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filterPrivacy="1" codeName="ЭтаКнига" defaultThemeVersion="124226"/>
  <xr:revisionPtr revIDLastSave="0" documentId="8_{A61D84E5-482D-49FE-886C-C882137C0B6F}" xr6:coauthVersionLast="45" xr6:coauthVersionMax="45" xr10:uidLastSave="{00000000-0000-0000-0000-000000000000}"/>
  <bookViews>
    <workbookView xWindow="-108" yWindow="-108" windowWidth="23256" windowHeight="12576" tabRatio="843" firstSheet="32" activeTab="32" xr2:uid="{00000000-000D-0000-FFFF-FFFF00000000}"/>
  </bookViews>
  <sheets>
    <sheet name="расчет 2020" sheetId="93" state="hidden" r:id="rId1"/>
    <sheet name="ОС" sheetId="94" state="hidden" r:id="rId2"/>
    <sheet name="PL_Сватово очередь 2" sheetId="88" state="hidden" r:id="rId3"/>
    <sheet name="расчет 2022" sheetId="101" state="hidden" r:id="rId4"/>
    <sheet name="PL_Козин" sheetId="81" state="hidden" r:id="rId5"/>
    <sheet name="Лист1" sheetId="97" state="hidden" r:id="rId6"/>
    <sheet name="Цех ЗП" sheetId="92" state="hidden" r:id="rId7"/>
    <sheet name="PL_Пуща-Водица" sheetId="79" state="hidden" r:id="rId8"/>
    <sheet name="Печановка-2" sheetId="138" state="hidden" r:id="rId9"/>
    <sheet name="PL_Ретал" sheetId="126" state="hidden" r:id="rId10"/>
    <sheet name="Глухов" sheetId="115" state="hidden" r:id="rId11"/>
    <sheet name="PL_МХП3" sheetId="127" state="hidden" r:id="rId12"/>
    <sheet name="PL_Ладыжин-2" sheetId="103" state="hidden" r:id="rId13"/>
    <sheet name="Олияр" sheetId="98" state="hidden" r:id="rId14"/>
    <sheet name="Беловоды" sheetId="96" state="hidden" r:id="rId15"/>
    <sheet name="Мексика" sheetId="113" state="hidden" r:id="rId16"/>
    <sheet name="Печановка" sheetId="108" state="hidden" r:id="rId17"/>
    <sheet name="PL_Нежин" sheetId="86" state="hidden" r:id="rId18"/>
    <sheet name="PL_Королевка" sheetId="89" state="hidden" r:id="rId19"/>
    <sheet name="Яр Вал" sheetId="99" state="hidden" r:id="rId20"/>
    <sheet name="PL_Пологи" sheetId="90" state="hidden" r:id="rId21"/>
    <sheet name="Славута" sheetId="109" state="hidden" r:id="rId22"/>
    <sheet name="PL_Волчанск" sheetId="91" state="hidden" r:id="rId23"/>
    <sheet name="ООН_Черниговская_обл" sheetId="136" state="hidden" r:id="rId24"/>
    <sheet name="Щедро_лапша" sheetId="134" state="hidden" r:id="rId25"/>
    <sheet name="Приднепровский МЄЗ 2" sheetId="114" state="hidden" r:id="rId26"/>
    <sheet name="Старкон Убежище" sheetId="142" state="hidden" r:id="rId27"/>
    <sheet name="Турбина" sheetId="111" state="hidden" r:id="rId28"/>
    <sheet name="Подгорцы" sheetId="116" state="hidden" r:id="rId29"/>
    <sheet name="PL_Производство" sheetId="82" state="hidden" r:id="rId30"/>
    <sheet name="МК Щедро. Флекситанки" sheetId="163" state="hidden" r:id="rId31"/>
    <sheet name="МК _Шаблон" sheetId="166" state="hidden" r:id="rId32"/>
    <sheet name="Техника" sheetId="106" r:id="rId33"/>
    <sheet name="PL_Логистика" sheetId="125" r:id="rId34"/>
    <sheet name="ЦО_логистика" sheetId="129" r:id="rId35"/>
    <sheet name="Форд Тягач" sheetId="100" r:id="rId36"/>
    <sheet name="MAN Blue KA1783HI" sheetId="121" r:id="rId37"/>
    <sheet name="MAN green KA2790IE" sheetId="122" r:id="rId38"/>
    <sheet name="MAN №3 white KA7837HO" sheetId="123" r:id="rId39"/>
    <sheet name="MAN №4 white KA3597HO" sheetId="124" r:id="rId40"/>
    <sheet name="MAN №5 Тент МД" sheetId="130" r:id="rId41"/>
    <sheet name="PL_Щедро" sheetId="85" state="hidden" r:id="rId42"/>
    <sheet name="Кривой Рог" sheetId="102" state="hidden" r:id="rId43"/>
    <sheet name="Нежин-2" sheetId="107" state="hidden" r:id="rId44"/>
    <sheet name="Красноармейская" sheetId="117" state="hidden" r:id="rId45"/>
    <sheet name="PL_Приднепровский МЭЗ" sheetId="87" state="hidden" r:id="rId46"/>
    <sheet name="Харьков" sheetId="95" state="hidden" r:id="rId47"/>
    <sheet name="Лист2" sheetId="139" state="hidden" r:id="rId48"/>
  </sheets>
  <externalReferences>
    <externalReference r:id="rId49"/>
  </externalReferences>
  <definedNames>
    <definedName name="_xlnm._FilterDatabase" localSheetId="22" hidden="1">PL_Волчанск!$A$4:$L$4</definedName>
    <definedName name="_xlnm._FilterDatabase" localSheetId="4" hidden="1">PL_Козин!$A$4:$AK$4</definedName>
    <definedName name="_xlnm._FilterDatabase" localSheetId="18" hidden="1">PL_Королевка!$A$4:$L$4</definedName>
    <definedName name="_xlnm._FilterDatabase" localSheetId="12" hidden="1">'PL_Ладыжин-2'!$A$4:$F$4</definedName>
    <definedName name="_xlnm._FilterDatabase" localSheetId="11" hidden="1">PL_МХП3!$A$4:$F$4</definedName>
    <definedName name="_xlnm._FilterDatabase" localSheetId="17" hidden="1">PL_Нежин!$A$4:$L$4</definedName>
    <definedName name="_xlnm._FilterDatabase" localSheetId="20" hidden="1">PL_Пологи!$A$4:$L$4</definedName>
    <definedName name="_xlnm._FilterDatabase" localSheetId="45" hidden="1">'PL_Приднепровский МЭЗ'!$A$4:$L$4</definedName>
    <definedName name="_xlnm._FilterDatabase" localSheetId="29" hidden="1">PL_Производство!$A$4:$R$4</definedName>
    <definedName name="_xlnm._FilterDatabase" localSheetId="7" hidden="1">'PL_Пуща-Водица'!$A$4:$AK$4</definedName>
    <definedName name="_xlnm._FilterDatabase" localSheetId="9" hidden="1">PL_Ретал!$A$4:$F$4</definedName>
    <definedName name="_xlnm._FilterDatabase" localSheetId="2" hidden="1">'PL_Сватово очередь 2'!$A$4:$AZ$4</definedName>
    <definedName name="_xlnm._FilterDatabase" localSheetId="41" hidden="1">PL_Щедро!$A$4:$L$4</definedName>
    <definedName name="_xlnm._FilterDatabase" localSheetId="31" hidden="1">'МК _Шаблон'!$A$4:$B$4</definedName>
    <definedName name="_xlnm._FilterDatabase" localSheetId="30" hidden="1">'МК Щедро. Флекситанки'!$A$4:$B$4</definedName>
    <definedName name="_xlnm._FilterDatabase" localSheetId="43" hidden="1">'Нежин-2'!$A$4:$F$4</definedName>
    <definedName name="_xlnm._FilterDatabase" localSheetId="1" hidden="1">ОС!$A$7:$E$37</definedName>
    <definedName name="_xlnm._FilterDatabase" localSheetId="16" hidden="1">Печановка!$A$4:$F$4</definedName>
    <definedName name="_xlnm._FilterDatabase" localSheetId="21" hidden="1">Славута!$A$4:$F$4</definedName>
    <definedName name="Excel_BuiltIn_Print_Area_4">"#REF!"</definedName>
    <definedName name="Excel_BuiltIn_Print_Area_4_1">"#REF!"</definedName>
    <definedName name="Excel_BuiltIn_Print_Area_7">"#REF!"</definedName>
    <definedName name="Excel_BuiltIn_Print_Area_7_1">"#REF!"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Q79" i="130" l="1"/>
  <c r="BP79" i="100"/>
  <c r="AQ79" i="129"/>
  <c r="DN25" i="106"/>
  <c r="DN6" i="106"/>
  <c r="DP86" i="106"/>
  <c r="BP79" i="106"/>
  <c r="M26" i="101" l="1"/>
  <c r="I26" i="101"/>
  <c r="E26" i="101"/>
  <c r="BP27" i="106" l="1"/>
  <c r="BP28" i="106"/>
  <c r="BP32" i="106" l="1"/>
  <c r="BQ44" i="106"/>
  <c r="BQ55" i="106"/>
  <c r="AR55" i="129"/>
  <c r="BK18" i="106" l="1"/>
  <c r="BP6" i="106" l="1"/>
  <c r="BR6" i="106" s="1"/>
  <c r="CP85" i="163" l="1"/>
  <c r="CQ85" i="163" s="1"/>
  <c r="CK85" i="163"/>
  <c r="CJ85" i="163"/>
  <c r="CL85" i="163" s="1"/>
  <c r="CG85" i="163"/>
  <c r="CB85" i="163"/>
  <c r="BW85" i="163"/>
  <c r="BR85" i="163"/>
  <c r="BM85" i="163"/>
  <c r="BH85" i="163"/>
  <c r="BC85" i="163"/>
  <c r="AX85" i="163"/>
  <c r="AS85" i="163"/>
  <c r="AN85" i="163"/>
  <c r="AI85" i="163"/>
  <c r="AD85" i="163"/>
  <c r="Y85" i="163"/>
  <c r="X85" i="163"/>
  <c r="W85" i="163"/>
  <c r="S85" i="163"/>
  <c r="R85" i="163"/>
  <c r="T85" i="163" s="1"/>
  <c r="O85" i="163"/>
  <c r="J85" i="163"/>
  <c r="E85" i="163"/>
  <c r="CQ82" i="163"/>
  <c r="CP82" i="163"/>
  <c r="CL82" i="163"/>
  <c r="CG82" i="163"/>
  <c r="CB82" i="163"/>
  <c r="BW82" i="163"/>
  <c r="BR82" i="163"/>
  <c r="BM82" i="163"/>
  <c r="BH82" i="163"/>
  <c r="BC82" i="163"/>
  <c r="AX82" i="163"/>
  <c r="AS82" i="163"/>
  <c r="AN82" i="163"/>
  <c r="AI82" i="163"/>
  <c r="AD82" i="163"/>
  <c r="X82" i="163"/>
  <c r="W82" i="163"/>
  <c r="S82" i="163"/>
  <c r="R82" i="163"/>
  <c r="T82" i="163" s="1"/>
  <c r="O82" i="163"/>
  <c r="J82" i="163"/>
  <c r="E82" i="163"/>
  <c r="CK80" i="163"/>
  <c r="CJ80" i="163"/>
  <c r="BM79" i="163"/>
  <c r="X79" i="163"/>
  <c r="CK79" i="163" s="1"/>
  <c r="S79" i="163"/>
  <c r="CQ78" i="163"/>
  <c r="CG78" i="163"/>
  <c r="CB78" i="163"/>
  <c r="BW78" i="163"/>
  <c r="BR78" i="163"/>
  <c r="BM78" i="163"/>
  <c r="BM77" i="163" s="1"/>
  <c r="BH78" i="163"/>
  <c r="BC78" i="163"/>
  <c r="AX78" i="163"/>
  <c r="AS78" i="163"/>
  <c r="AN78" i="163"/>
  <c r="AI78" i="163"/>
  <c r="AD78" i="163"/>
  <c r="X78" i="163"/>
  <c r="W78" i="163"/>
  <c r="S78" i="163"/>
  <c r="R78" i="163"/>
  <c r="O78" i="163"/>
  <c r="J78" i="163"/>
  <c r="E78" i="163"/>
  <c r="CP77" i="163"/>
  <c r="CF77" i="163"/>
  <c r="CA77" i="163"/>
  <c r="BV77" i="163"/>
  <c r="BQ77" i="163"/>
  <c r="BL77" i="163"/>
  <c r="BK77" i="163"/>
  <c r="BG77" i="163"/>
  <c r="BB77" i="163"/>
  <c r="AW77" i="163"/>
  <c r="AR77" i="163"/>
  <c r="AM77" i="163"/>
  <c r="AH77" i="163"/>
  <c r="AC77" i="163"/>
  <c r="N77" i="163"/>
  <c r="I77" i="163"/>
  <c r="D77" i="163"/>
  <c r="CP74" i="163"/>
  <c r="CQ74" i="163" s="1"/>
  <c r="CQ73" i="163" s="1"/>
  <c r="CK74" i="163"/>
  <c r="CK73" i="163" s="1"/>
  <c r="CJ74" i="163"/>
  <c r="CJ73" i="163" s="1"/>
  <c r="CG74" i="163"/>
  <c r="CB74" i="163"/>
  <c r="BW74" i="163"/>
  <c r="BW73" i="163" s="1"/>
  <c r="BR74" i="163"/>
  <c r="BR73" i="163" s="1"/>
  <c r="BM74" i="163"/>
  <c r="BM73" i="163" s="1"/>
  <c r="BH74" i="163"/>
  <c r="BH73" i="163" s="1"/>
  <c r="BC74" i="163"/>
  <c r="BC73" i="163" s="1"/>
  <c r="AX74" i="163"/>
  <c r="AX73" i="163" s="1"/>
  <c r="AS74" i="163"/>
  <c r="AN74" i="163"/>
  <c r="AN73" i="163" s="1"/>
  <c r="AI74" i="163"/>
  <c r="AI73" i="163" s="1"/>
  <c r="AD74" i="163"/>
  <c r="AD73" i="163" s="1"/>
  <c r="X74" i="163"/>
  <c r="X73" i="163" s="1"/>
  <c r="W74" i="163"/>
  <c r="W73" i="163" s="1"/>
  <c r="O74" i="163"/>
  <c r="O73" i="163" s="1"/>
  <c r="J74" i="163"/>
  <c r="J73" i="163" s="1"/>
  <c r="E74" i="163"/>
  <c r="CP73" i="163"/>
  <c r="CG73" i="163"/>
  <c r="CF73" i="163"/>
  <c r="CE73" i="163"/>
  <c r="CB73" i="163"/>
  <c r="CA73" i="163"/>
  <c r="BZ73" i="163"/>
  <c r="BV73" i="163"/>
  <c r="BU73" i="163"/>
  <c r="BQ73" i="163"/>
  <c r="BP73" i="163"/>
  <c r="BL73" i="163"/>
  <c r="BK73" i="163"/>
  <c r="BG73" i="163"/>
  <c r="BF73" i="163"/>
  <c r="BB73" i="163"/>
  <c r="BA73" i="163"/>
  <c r="AW73" i="163"/>
  <c r="AV73" i="163"/>
  <c r="AS73" i="163"/>
  <c r="AR73" i="163"/>
  <c r="AQ73" i="163"/>
  <c r="AM73" i="163"/>
  <c r="AL73" i="163"/>
  <c r="AH73" i="163"/>
  <c r="AG73" i="163"/>
  <c r="AC73" i="163"/>
  <c r="AB73" i="163"/>
  <c r="Y73" i="163"/>
  <c r="T73" i="163"/>
  <c r="S73" i="163"/>
  <c r="R73" i="163"/>
  <c r="N73" i="163"/>
  <c r="M73" i="163"/>
  <c r="I73" i="163"/>
  <c r="H73" i="163"/>
  <c r="E73" i="163"/>
  <c r="D73" i="163"/>
  <c r="C73" i="163"/>
  <c r="CQ71" i="163"/>
  <c r="CG71" i="163"/>
  <c r="CB71" i="163"/>
  <c r="BW71" i="163"/>
  <c r="BR71" i="163"/>
  <c r="BM71" i="163"/>
  <c r="BH71" i="163"/>
  <c r="BC71" i="163"/>
  <c r="AX71" i="163"/>
  <c r="AS71" i="163"/>
  <c r="AN71" i="163"/>
  <c r="AI71" i="163"/>
  <c r="AD71" i="163"/>
  <c r="X71" i="163"/>
  <c r="CK71" i="163" s="1"/>
  <c r="W71" i="163"/>
  <c r="CJ71" i="163" s="1"/>
  <c r="S71" i="163"/>
  <c r="R71" i="163"/>
  <c r="T71" i="163" s="1"/>
  <c r="O71" i="163"/>
  <c r="J71" i="163"/>
  <c r="E71" i="163"/>
  <c r="CQ70" i="163"/>
  <c r="CG70" i="163"/>
  <c r="CB70" i="163"/>
  <c r="BW70" i="163"/>
  <c r="BR70" i="163"/>
  <c r="BM70" i="163"/>
  <c r="BH70" i="163"/>
  <c r="BC70" i="163"/>
  <c r="AX70" i="163"/>
  <c r="AS70" i="163"/>
  <c r="AN70" i="163"/>
  <c r="AI70" i="163"/>
  <c r="AD70" i="163"/>
  <c r="X70" i="163"/>
  <c r="CK70" i="163" s="1"/>
  <c r="W70" i="163"/>
  <c r="S70" i="163"/>
  <c r="R70" i="163"/>
  <c r="O70" i="163"/>
  <c r="J70" i="163"/>
  <c r="E70" i="163"/>
  <c r="CQ69" i="163"/>
  <c r="CG69" i="163"/>
  <c r="CB69" i="163"/>
  <c r="BW69" i="163"/>
  <c r="BR69" i="163"/>
  <c r="BM69" i="163"/>
  <c r="BH69" i="163"/>
  <c r="BC69" i="163"/>
  <c r="AX69" i="163"/>
  <c r="AS69" i="163"/>
  <c r="AN69" i="163"/>
  <c r="AI69" i="163"/>
  <c r="AD69" i="163"/>
  <c r="X69" i="163"/>
  <c r="CK69" i="163" s="1"/>
  <c r="W69" i="163"/>
  <c r="S69" i="163"/>
  <c r="R69" i="163"/>
  <c r="T69" i="163" s="1"/>
  <c r="O69" i="163"/>
  <c r="J69" i="163"/>
  <c r="E69" i="163"/>
  <c r="CQ68" i="163"/>
  <c r="CG68" i="163"/>
  <c r="CB68" i="163"/>
  <c r="BW68" i="163"/>
  <c r="BR68" i="163"/>
  <c r="BM68" i="163"/>
  <c r="BH68" i="163"/>
  <c r="BC68" i="163"/>
  <c r="AX68" i="163"/>
  <c r="AS68" i="163"/>
  <c r="AN68" i="163"/>
  <c r="AI68" i="163"/>
  <c r="AD68" i="163"/>
  <c r="X68" i="163"/>
  <c r="CK68" i="163" s="1"/>
  <c r="W68" i="163"/>
  <c r="S68" i="163"/>
  <c r="R68" i="163"/>
  <c r="O68" i="163"/>
  <c r="J68" i="163"/>
  <c r="E68" i="163"/>
  <c r="CQ67" i="163"/>
  <c r="CG67" i="163"/>
  <c r="CB67" i="163"/>
  <c r="BW67" i="163"/>
  <c r="BR67" i="163"/>
  <c r="BM67" i="163"/>
  <c r="BH67" i="163"/>
  <c r="BC67" i="163"/>
  <c r="AX67" i="163"/>
  <c r="AS67" i="163"/>
  <c r="AN67" i="163"/>
  <c r="AI67" i="163"/>
  <c r="AD67" i="163"/>
  <c r="X67" i="163"/>
  <c r="CK67" i="163" s="1"/>
  <c r="W67" i="163"/>
  <c r="Y67" i="163" s="1"/>
  <c r="S67" i="163"/>
  <c r="R67" i="163"/>
  <c r="O67" i="163"/>
  <c r="J67" i="163"/>
  <c r="E67" i="163"/>
  <c r="CQ66" i="163"/>
  <c r="CG66" i="163"/>
  <c r="CB66" i="163"/>
  <c r="BW66" i="163"/>
  <c r="BR66" i="163"/>
  <c r="BM66" i="163"/>
  <c r="BH66" i="163"/>
  <c r="BC66" i="163"/>
  <c r="AX66" i="163"/>
  <c r="AS66" i="163"/>
  <c r="AN66" i="163"/>
  <c r="AI66" i="163"/>
  <c r="AD66" i="163"/>
  <c r="X66" i="163"/>
  <c r="CK66" i="163" s="1"/>
  <c r="W66" i="163"/>
  <c r="S66" i="163"/>
  <c r="T66" i="163" s="1"/>
  <c r="R66" i="163"/>
  <c r="O66" i="163"/>
  <c r="J66" i="163"/>
  <c r="E66" i="163"/>
  <c r="CQ65" i="163"/>
  <c r="CG65" i="163"/>
  <c r="CB65" i="163"/>
  <c r="BW65" i="163"/>
  <c r="BR65" i="163"/>
  <c r="BM65" i="163"/>
  <c r="BH65" i="163"/>
  <c r="BC65" i="163"/>
  <c r="AX65" i="163"/>
  <c r="AS65" i="163"/>
  <c r="AN65" i="163"/>
  <c r="AI65" i="163"/>
  <c r="AD65" i="163"/>
  <c r="X65" i="163"/>
  <c r="CK65" i="163" s="1"/>
  <c r="W65" i="163"/>
  <c r="Y65" i="163" s="1"/>
  <c r="T65" i="163"/>
  <c r="S65" i="163"/>
  <c r="R65" i="163"/>
  <c r="O65" i="163"/>
  <c r="J65" i="163"/>
  <c r="E65" i="163"/>
  <c r="CQ64" i="163"/>
  <c r="CJ64" i="163"/>
  <c r="CG64" i="163"/>
  <c r="CB64" i="163"/>
  <c r="BW64" i="163"/>
  <c r="BR64" i="163"/>
  <c r="BM64" i="163"/>
  <c r="BH64" i="163"/>
  <c r="BC64" i="163"/>
  <c r="AX64" i="163"/>
  <c r="AS64" i="163"/>
  <c r="AN64" i="163"/>
  <c r="AI64" i="163"/>
  <c r="AD64" i="163"/>
  <c r="X64" i="163"/>
  <c r="CK64" i="163" s="1"/>
  <c r="W64" i="163"/>
  <c r="Y64" i="163" s="1"/>
  <c r="S64" i="163"/>
  <c r="R64" i="163"/>
  <c r="O64" i="163"/>
  <c r="J64" i="163"/>
  <c r="E64" i="163"/>
  <c r="CQ63" i="163"/>
  <c r="CG63" i="163"/>
  <c r="CB63" i="163"/>
  <c r="BW63" i="163"/>
  <c r="BR63" i="163"/>
  <c r="BM63" i="163"/>
  <c r="BH63" i="163"/>
  <c r="BC63" i="163"/>
  <c r="AX63" i="163"/>
  <c r="AS63" i="163"/>
  <c r="AN63" i="163"/>
  <c r="AI63" i="163"/>
  <c r="AD63" i="163"/>
  <c r="X63" i="163"/>
  <c r="W63" i="163"/>
  <c r="CJ63" i="163" s="1"/>
  <c r="S63" i="163"/>
  <c r="R63" i="163"/>
  <c r="O63" i="163"/>
  <c r="J63" i="163"/>
  <c r="E63" i="163"/>
  <c r="CQ62" i="163"/>
  <c r="CG62" i="163"/>
  <c r="CB62" i="163"/>
  <c r="BW62" i="163"/>
  <c r="BR62" i="163"/>
  <c r="BM62" i="163"/>
  <c r="BH62" i="163"/>
  <c r="BC62" i="163"/>
  <c r="AX62" i="163"/>
  <c r="AS62" i="163"/>
  <c r="AN62" i="163"/>
  <c r="AI62" i="163"/>
  <c r="AD62" i="163"/>
  <c r="X62" i="163"/>
  <c r="CK62" i="163" s="1"/>
  <c r="W62" i="163"/>
  <c r="S62" i="163"/>
  <c r="T62" i="163" s="1"/>
  <c r="R62" i="163"/>
  <c r="O62" i="163"/>
  <c r="J62" i="163"/>
  <c r="E62" i="163"/>
  <c r="CQ61" i="163"/>
  <c r="CJ61" i="163"/>
  <c r="CG61" i="163"/>
  <c r="CB61" i="163"/>
  <c r="BW61" i="163"/>
  <c r="BR61" i="163"/>
  <c r="BM61" i="163"/>
  <c r="BH61" i="163"/>
  <c r="BC61" i="163"/>
  <c r="AX61" i="163"/>
  <c r="AS61" i="163"/>
  <c r="AN61" i="163"/>
  <c r="AI61" i="163"/>
  <c r="AD61" i="163"/>
  <c r="X61" i="163"/>
  <c r="CK61" i="163" s="1"/>
  <c r="W61" i="163"/>
  <c r="S61" i="163"/>
  <c r="R61" i="163"/>
  <c r="T61" i="163" s="1"/>
  <c r="O61" i="163"/>
  <c r="J61" i="163"/>
  <c r="E61" i="163"/>
  <c r="CQ60" i="163"/>
  <c r="CK60" i="163"/>
  <c r="CG60" i="163"/>
  <c r="CB60" i="163"/>
  <c r="BW60" i="163"/>
  <c r="BR60" i="163"/>
  <c r="BM60" i="163"/>
  <c r="BH60" i="163"/>
  <c r="BC60" i="163"/>
  <c r="AX60" i="163"/>
  <c r="AS60" i="163"/>
  <c r="AN60" i="163"/>
  <c r="AI60" i="163"/>
  <c r="AD60" i="163"/>
  <c r="X60" i="163"/>
  <c r="W60" i="163"/>
  <c r="CJ60" i="163" s="1"/>
  <c r="S60" i="163"/>
  <c r="R60" i="163"/>
  <c r="O60" i="163"/>
  <c r="J60" i="163"/>
  <c r="E60" i="163"/>
  <c r="CQ59" i="163"/>
  <c r="CJ59" i="163"/>
  <c r="CL59" i="163" s="1"/>
  <c r="CG59" i="163"/>
  <c r="CB59" i="163"/>
  <c r="BW59" i="163"/>
  <c r="BR59" i="163"/>
  <c r="BM59" i="163"/>
  <c r="BH59" i="163"/>
  <c r="BC59" i="163"/>
  <c r="AX59" i="163"/>
  <c r="AS59" i="163"/>
  <c r="AN59" i="163"/>
  <c r="AI59" i="163"/>
  <c r="AD59" i="163"/>
  <c r="X59" i="163"/>
  <c r="CK59" i="163" s="1"/>
  <c r="W59" i="163"/>
  <c r="S59" i="163"/>
  <c r="R59" i="163"/>
  <c r="T59" i="163" s="1"/>
  <c r="O59" i="163"/>
  <c r="J59" i="163"/>
  <c r="E59" i="163"/>
  <c r="CQ58" i="163"/>
  <c r="CG58" i="163"/>
  <c r="CB58" i="163"/>
  <c r="BW58" i="163"/>
  <c r="BR58" i="163"/>
  <c r="BM58" i="163"/>
  <c r="BH58" i="163"/>
  <c r="BC58" i="163"/>
  <c r="AX58" i="163"/>
  <c r="AS58" i="163"/>
  <c r="AN58" i="163"/>
  <c r="AI58" i="163"/>
  <c r="AD58" i="163"/>
  <c r="Y58" i="163"/>
  <c r="X58" i="163"/>
  <c r="CK58" i="163" s="1"/>
  <c r="W58" i="163"/>
  <c r="CJ58" i="163" s="1"/>
  <c r="CL58" i="163" s="1"/>
  <c r="S58" i="163"/>
  <c r="R58" i="163"/>
  <c r="O58" i="163"/>
  <c r="J58" i="163"/>
  <c r="E58" i="163"/>
  <c r="CQ57" i="163"/>
  <c r="CG57" i="163"/>
  <c r="CB57" i="163"/>
  <c r="BW57" i="163"/>
  <c r="BR57" i="163"/>
  <c r="BM57" i="163"/>
  <c r="BH57" i="163"/>
  <c r="BC57" i="163"/>
  <c r="AX57" i="163"/>
  <c r="AS57" i="163"/>
  <c r="AN57" i="163"/>
  <c r="AI57" i="163"/>
  <c r="AD57" i="163"/>
  <c r="X57" i="163"/>
  <c r="CK57" i="163" s="1"/>
  <c r="W57" i="163"/>
  <c r="CJ57" i="163" s="1"/>
  <c r="CL57" i="163" s="1"/>
  <c r="S57" i="163"/>
  <c r="R57" i="163"/>
  <c r="O57" i="163"/>
  <c r="J57" i="163"/>
  <c r="E57" i="163"/>
  <c r="CQ56" i="163"/>
  <c r="CG56" i="163"/>
  <c r="CB56" i="163"/>
  <c r="BW56" i="163"/>
  <c r="BR56" i="163"/>
  <c r="BM56" i="163"/>
  <c r="BH56" i="163"/>
  <c r="BC56" i="163"/>
  <c r="AX56" i="163"/>
  <c r="AS56" i="163"/>
  <c r="AN56" i="163"/>
  <c r="AI56" i="163"/>
  <c r="AD56" i="163"/>
  <c r="X56" i="163"/>
  <c r="Y56" i="163" s="1"/>
  <c r="W56" i="163"/>
  <c r="CJ56" i="163" s="1"/>
  <c r="S56" i="163"/>
  <c r="R56" i="163"/>
  <c r="O56" i="163"/>
  <c r="J56" i="163"/>
  <c r="E56" i="163"/>
  <c r="CQ55" i="163"/>
  <c r="CG55" i="163"/>
  <c r="CB55" i="163"/>
  <c r="BW55" i="163"/>
  <c r="BR55" i="163"/>
  <c r="BM55" i="163"/>
  <c r="BH55" i="163"/>
  <c r="BC55" i="163"/>
  <c r="AX55" i="163"/>
  <c r="AS55" i="163"/>
  <c r="AN55" i="163"/>
  <c r="AI55" i="163"/>
  <c r="AD55" i="163"/>
  <c r="AD54" i="163" s="1"/>
  <c r="X55" i="163"/>
  <c r="W55" i="163"/>
  <c r="S55" i="163"/>
  <c r="R55" i="163"/>
  <c r="O55" i="163"/>
  <c r="J55" i="163"/>
  <c r="E55" i="163"/>
  <c r="CP54" i="163"/>
  <c r="CF54" i="163"/>
  <c r="CE54" i="163"/>
  <c r="CA54" i="163"/>
  <c r="BZ54" i="163"/>
  <c r="BV54" i="163"/>
  <c r="BU54" i="163"/>
  <c r="BQ54" i="163"/>
  <c r="BP54" i="163"/>
  <c r="BL54" i="163"/>
  <c r="BK54" i="163"/>
  <c r="BG54" i="163"/>
  <c r="BF54" i="163"/>
  <c r="BB54" i="163"/>
  <c r="BA54" i="163"/>
  <c r="AW54" i="163"/>
  <c r="AV54" i="163"/>
  <c r="AR54" i="163"/>
  <c r="AQ54" i="163"/>
  <c r="AM54" i="163"/>
  <c r="AL54" i="163"/>
  <c r="AH54" i="163"/>
  <c r="AG54" i="163"/>
  <c r="AC54" i="163"/>
  <c r="AB54" i="163"/>
  <c r="N54" i="163"/>
  <c r="M54" i="163"/>
  <c r="I54" i="163"/>
  <c r="H54" i="163"/>
  <c r="D54" i="163"/>
  <c r="C54" i="163"/>
  <c r="CK53" i="163"/>
  <c r="CJ53" i="163"/>
  <c r="CP52" i="163"/>
  <c r="CQ52" i="163" s="1"/>
  <c r="CK52" i="163"/>
  <c r="CJ52" i="163"/>
  <c r="CG52" i="163"/>
  <c r="CB52" i="163"/>
  <c r="BW52" i="163"/>
  <c r="BR52" i="163"/>
  <c r="BM52" i="163"/>
  <c r="BH52" i="163"/>
  <c r="BC52" i="163"/>
  <c r="AX52" i="163"/>
  <c r="AS52" i="163"/>
  <c r="AN52" i="163"/>
  <c r="AI52" i="163"/>
  <c r="AD52" i="163"/>
  <c r="X52" i="163"/>
  <c r="W52" i="163"/>
  <c r="Y52" i="163" s="1"/>
  <c r="T52" i="163"/>
  <c r="S52" i="163"/>
  <c r="R52" i="163"/>
  <c r="O52" i="163"/>
  <c r="O50" i="163" s="1"/>
  <c r="J52" i="163"/>
  <c r="E52" i="163"/>
  <c r="CP51" i="163"/>
  <c r="CQ51" i="163" s="1"/>
  <c r="CK51" i="163"/>
  <c r="CK50" i="163" s="1"/>
  <c r="CG51" i="163"/>
  <c r="CB51" i="163"/>
  <c r="BW51" i="163"/>
  <c r="BR51" i="163"/>
  <c r="BM51" i="163"/>
  <c r="BH51" i="163"/>
  <c r="BH50" i="163" s="1"/>
  <c r="BC51" i="163"/>
  <c r="BC50" i="163" s="1"/>
  <c r="AX51" i="163"/>
  <c r="AS51" i="163"/>
  <c r="AN51" i="163"/>
  <c r="AN50" i="163" s="1"/>
  <c r="AI51" i="163"/>
  <c r="AD51" i="163"/>
  <c r="X51" i="163"/>
  <c r="W51" i="163"/>
  <c r="CJ51" i="163" s="1"/>
  <c r="S51" i="163"/>
  <c r="S50" i="163" s="1"/>
  <c r="R51" i="163"/>
  <c r="O51" i="163"/>
  <c r="J51" i="163"/>
  <c r="J50" i="163" s="1"/>
  <c r="E51" i="163"/>
  <c r="CG50" i="163"/>
  <c r="CF50" i="163"/>
  <c r="CE50" i="163"/>
  <c r="CA50" i="163"/>
  <c r="BZ50" i="163"/>
  <c r="BV50" i="163"/>
  <c r="BU50" i="163"/>
  <c r="BR50" i="163"/>
  <c r="BQ50" i="163"/>
  <c r="BP50" i="163"/>
  <c r="BL50" i="163"/>
  <c r="BK50" i="163"/>
  <c r="BG50" i="163"/>
  <c r="BF50" i="163"/>
  <c r="BB50" i="163"/>
  <c r="BA50" i="163"/>
  <c r="AW50" i="163"/>
  <c r="AV50" i="163"/>
  <c r="AR50" i="163"/>
  <c r="AQ50" i="163"/>
  <c r="AM50" i="163"/>
  <c r="AL50" i="163"/>
  <c r="AH50" i="163"/>
  <c r="AG50" i="163"/>
  <c r="AC50" i="163"/>
  <c r="AB50" i="163"/>
  <c r="X50" i="163"/>
  <c r="N50" i="163"/>
  <c r="M50" i="163"/>
  <c r="I50" i="163"/>
  <c r="H50" i="163"/>
  <c r="D50" i="163"/>
  <c r="C50" i="163"/>
  <c r="CP48" i="163"/>
  <c r="CQ48" i="163" s="1"/>
  <c r="CJ48" i="163"/>
  <c r="CL48" i="163" s="1"/>
  <c r="CG48" i="163"/>
  <c r="CB48" i="163"/>
  <c r="BW48" i="163"/>
  <c r="BR48" i="163"/>
  <c r="BM48" i="163"/>
  <c r="BH48" i="163"/>
  <c r="BC48" i="163"/>
  <c r="AX48" i="163"/>
  <c r="AS48" i="163"/>
  <c r="AN48" i="163"/>
  <c r="AI48" i="163"/>
  <c r="AD48" i="163"/>
  <c r="X48" i="163"/>
  <c r="CK48" i="163" s="1"/>
  <c r="W48" i="163"/>
  <c r="T48" i="163"/>
  <c r="S48" i="163"/>
  <c r="R48" i="163"/>
  <c r="O48" i="163"/>
  <c r="J48" i="163"/>
  <c r="E48" i="163"/>
  <c r="CQ47" i="163"/>
  <c r="CP47" i="163"/>
  <c r="CK47" i="163"/>
  <c r="CG47" i="163"/>
  <c r="CB47" i="163"/>
  <c r="BW47" i="163"/>
  <c r="BR47" i="163"/>
  <c r="BM47" i="163"/>
  <c r="BH47" i="163"/>
  <c r="BC47" i="163"/>
  <c r="AX47" i="163"/>
  <c r="AS47" i="163"/>
  <c r="AN47" i="163"/>
  <c r="AI47" i="163"/>
  <c r="AD47" i="163"/>
  <c r="X47" i="163"/>
  <c r="W47" i="163"/>
  <c r="Y47" i="163" s="1"/>
  <c r="S47" i="163"/>
  <c r="T47" i="163" s="1"/>
  <c r="R47" i="163"/>
  <c r="O47" i="163"/>
  <c r="J47" i="163"/>
  <c r="E47" i="163"/>
  <c r="CQ46" i="163"/>
  <c r="CP46" i="163"/>
  <c r="CK46" i="163"/>
  <c r="CG46" i="163"/>
  <c r="CB46" i="163"/>
  <c r="BW46" i="163"/>
  <c r="BR46" i="163"/>
  <c r="BM46" i="163"/>
  <c r="BH46" i="163"/>
  <c r="BC46" i="163"/>
  <c r="AX46" i="163"/>
  <c r="AS46" i="163"/>
  <c r="AN46" i="163"/>
  <c r="AI46" i="163"/>
  <c r="AD46" i="163"/>
  <c r="X46" i="163"/>
  <c r="W46" i="163"/>
  <c r="Y46" i="163" s="1"/>
  <c r="S46" i="163"/>
  <c r="T46" i="163" s="1"/>
  <c r="R46" i="163"/>
  <c r="O46" i="163"/>
  <c r="J46" i="163"/>
  <c r="E46" i="163"/>
  <c r="CQ45" i="163"/>
  <c r="CP45" i="163"/>
  <c r="CK45" i="163"/>
  <c r="CG45" i="163"/>
  <c r="CB45" i="163"/>
  <c r="BW45" i="163"/>
  <c r="BR45" i="163"/>
  <c r="BM45" i="163"/>
  <c r="BH45" i="163"/>
  <c r="BC45" i="163"/>
  <c r="AX45" i="163"/>
  <c r="AS45" i="163"/>
  <c r="AN45" i="163"/>
  <c r="AI45" i="163"/>
  <c r="AI41" i="163" s="1"/>
  <c r="AD45" i="163"/>
  <c r="X45" i="163"/>
  <c r="W45" i="163"/>
  <c r="Y45" i="163" s="1"/>
  <c r="S45" i="163"/>
  <c r="R45" i="163"/>
  <c r="T45" i="163" s="1"/>
  <c r="O45" i="163"/>
  <c r="J45" i="163"/>
  <c r="E45" i="163"/>
  <c r="CP44" i="163"/>
  <c r="CQ44" i="163" s="1"/>
  <c r="CK44" i="163"/>
  <c r="CG44" i="163"/>
  <c r="CB44" i="163"/>
  <c r="BW44" i="163"/>
  <c r="BR44" i="163"/>
  <c r="BM44" i="163"/>
  <c r="BH44" i="163"/>
  <c r="BC44" i="163"/>
  <c r="AX44" i="163"/>
  <c r="AS44" i="163"/>
  <c r="AN44" i="163"/>
  <c r="AI44" i="163"/>
  <c r="AD44" i="163"/>
  <c r="X44" i="163"/>
  <c r="W44" i="163"/>
  <c r="S44" i="163"/>
  <c r="R44" i="163"/>
  <c r="O44" i="163"/>
  <c r="J44" i="163"/>
  <c r="E44" i="163"/>
  <c r="CP43" i="163"/>
  <c r="CJ43" i="163"/>
  <c r="CL43" i="163" s="1"/>
  <c r="CG43" i="163"/>
  <c r="CB43" i="163"/>
  <c r="BW43" i="163"/>
  <c r="BR43" i="163"/>
  <c r="BM43" i="163"/>
  <c r="BH43" i="163"/>
  <c r="BC43" i="163"/>
  <c r="AX43" i="163"/>
  <c r="AS43" i="163"/>
  <c r="AN43" i="163"/>
  <c r="AI43" i="163"/>
  <c r="AD43" i="163"/>
  <c r="X43" i="163"/>
  <c r="CK43" i="163" s="1"/>
  <c r="W43" i="163"/>
  <c r="S43" i="163"/>
  <c r="R43" i="163"/>
  <c r="T43" i="163" s="1"/>
  <c r="O43" i="163"/>
  <c r="J43" i="163"/>
  <c r="E43" i="163"/>
  <c r="CQ42" i="163"/>
  <c r="CP42" i="163"/>
  <c r="CK42" i="163"/>
  <c r="CJ42" i="163"/>
  <c r="CG42" i="163"/>
  <c r="CG41" i="163" s="1"/>
  <c r="CB42" i="163"/>
  <c r="BW42" i="163"/>
  <c r="BR42" i="163"/>
  <c r="BM42" i="163"/>
  <c r="BM41" i="163" s="1"/>
  <c r="BH42" i="163"/>
  <c r="BC42" i="163"/>
  <c r="AX42" i="163"/>
  <c r="AS42" i="163"/>
  <c r="AS41" i="163" s="1"/>
  <c r="AN42" i="163"/>
  <c r="AI42" i="163"/>
  <c r="AD42" i="163"/>
  <c r="AD41" i="163" s="1"/>
  <c r="Y42" i="163"/>
  <c r="X42" i="163"/>
  <c r="W42" i="163"/>
  <c r="S42" i="163"/>
  <c r="R42" i="163"/>
  <c r="O42" i="163"/>
  <c r="J42" i="163"/>
  <c r="E42" i="163"/>
  <c r="E41" i="163" s="1"/>
  <c r="CF41" i="163"/>
  <c r="CE41" i="163"/>
  <c r="CA41" i="163"/>
  <c r="BZ41" i="163"/>
  <c r="BV41" i="163"/>
  <c r="BU41" i="163"/>
  <c r="BQ41" i="163"/>
  <c r="BP41" i="163"/>
  <c r="BL41" i="163"/>
  <c r="BK41" i="163"/>
  <c r="BG41" i="163"/>
  <c r="BF41" i="163"/>
  <c r="BB41" i="163"/>
  <c r="BA41" i="163"/>
  <c r="AW41" i="163"/>
  <c r="AV41" i="163"/>
  <c r="AR41" i="163"/>
  <c r="AQ41" i="163"/>
  <c r="AM41" i="163"/>
  <c r="AL41" i="163"/>
  <c r="AH41" i="163"/>
  <c r="AG41" i="163"/>
  <c r="AC41" i="163"/>
  <c r="AB41" i="163"/>
  <c r="W41" i="163"/>
  <c r="R41" i="163"/>
  <c r="N41" i="163"/>
  <c r="M41" i="163"/>
  <c r="I41" i="163"/>
  <c r="H41" i="163"/>
  <c r="D41" i="163"/>
  <c r="C41" i="163"/>
  <c r="M39" i="163"/>
  <c r="X37" i="163"/>
  <c r="W37" i="163"/>
  <c r="CK36" i="163"/>
  <c r="CK35" i="163" s="1"/>
  <c r="CG36" i="163"/>
  <c r="CG35" i="163" s="1"/>
  <c r="CB36" i="163"/>
  <c r="BW36" i="163"/>
  <c r="BR36" i="163"/>
  <c r="BR35" i="163" s="1"/>
  <c r="BM36" i="163"/>
  <c r="BM35" i="163" s="1"/>
  <c r="BH36" i="163"/>
  <c r="BC36" i="163"/>
  <c r="AX36" i="163"/>
  <c r="AX35" i="163" s="1"/>
  <c r="AS36" i="163"/>
  <c r="AS35" i="163" s="1"/>
  <c r="AN36" i="163"/>
  <c r="AI36" i="163"/>
  <c r="AI35" i="163" s="1"/>
  <c r="AD36" i="163"/>
  <c r="AD35" i="163" s="1"/>
  <c r="X36" i="163"/>
  <c r="W36" i="163"/>
  <c r="S36" i="163"/>
  <c r="S35" i="163" s="1"/>
  <c r="R36" i="163"/>
  <c r="R35" i="163" s="1"/>
  <c r="O36" i="163"/>
  <c r="O35" i="163" s="1"/>
  <c r="J36" i="163"/>
  <c r="J35" i="163" s="1"/>
  <c r="E36" i="163"/>
  <c r="E35" i="163" s="1"/>
  <c r="CP35" i="163"/>
  <c r="CF35" i="163"/>
  <c r="CE35" i="163"/>
  <c r="CB35" i="163"/>
  <c r="CA35" i="163"/>
  <c r="BZ35" i="163"/>
  <c r="BW35" i="163"/>
  <c r="BV35" i="163"/>
  <c r="BU35" i="163"/>
  <c r="BQ35" i="163"/>
  <c r="BP35" i="163"/>
  <c r="BL35" i="163"/>
  <c r="BK35" i="163"/>
  <c r="BH35" i="163"/>
  <c r="BG35" i="163"/>
  <c r="BF35" i="163"/>
  <c r="BC35" i="163"/>
  <c r="BB35" i="163"/>
  <c r="BA35" i="163"/>
  <c r="AW35" i="163"/>
  <c r="AV35" i="163"/>
  <c r="AR35" i="163"/>
  <c r="AQ35" i="163"/>
  <c r="AN35" i="163"/>
  <c r="AM35" i="163"/>
  <c r="AL35" i="163"/>
  <c r="AH35" i="163"/>
  <c r="AG35" i="163"/>
  <c r="AC35" i="163"/>
  <c r="AB35" i="163"/>
  <c r="X35" i="163"/>
  <c r="N35" i="163"/>
  <c r="M35" i="163"/>
  <c r="I35" i="163"/>
  <c r="H35" i="163"/>
  <c r="D35" i="163"/>
  <c r="C35" i="163"/>
  <c r="CR33" i="163"/>
  <c r="CG33" i="163"/>
  <c r="CB33" i="163"/>
  <c r="BW33" i="163"/>
  <c r="BR33" i="163"/>
  <c r="BM33" i="163"/>
  <c r="BH33" i="163"/>
  <c r="BC33" i="163"/>
  <c r="AX33" i="163"/>
  <c r="AS33" i="163"/>
  <c r="AN33" i="163"/>
  <c r="AI33" i="163"/>
  <c r="AD33" i="163"/>
  <c r="X33" i="163"/>
  <c r="CK33" i="163" s="1"/>
  <c r="W33" i="163"/>
  <c r="CJ33" i="163" s="1"/>
  <c r="S33" i="163"/>
  <c r="T33" i="163" s="1"/>
  <c r="R33" i="163"/>
  <c r="O33" i="163"/>
  <c r="J33" i="163"/>
  <c r="E33" i="163"/>
  <c r="CG32" i="163"/>
  <c r="CB32" i="163"/>
  <c r="BW32" i="163"/>
  <c r="BR32" i="163"/>
  <c r="BM32" i="163"/>
  <c r="BH32" i="163"/>
  <c r="BC32" i="163"/>
  <c r="AX32" i="163"/>
  <c r="AS32" i="163"/>
  <c r="AN32" i="163"/>
  <c r="AI32" i="163"/>
  <c r="AD32" i="163"/>
  <c r="X32" i="163"/>
  <c r="CK32" i="163" s="1"/>
  <c r="W32" i="163"/>
  <c r="S32" i="163"/>
  <c r="R32" i="163"/>
  <c r="T32" i="163" s="1"/>
  <c r="O32" i="163"/>
  <c r="J32" i="163"/>
  <c r="E32" i="163"/>
  <c r="CK31" i="163"/>
  <c r="CG31" i="163"/>
  <c r="CB31" i="163"/>
  <c r="BW31" i="163"/>
  <c r="BR31" i="163"/>
  <c r="BM31" i="163"/>
  <c r="BH31" i="163"/>
  <c r="BC31" i="163"/>
  <c r="AX31" i="163"/>
  <c r="AS31" i="163"/>
  <c r="AN31" i="163"/>
  <c r="AI31" i="163"/>
  <c r="AD31" i="163"/>
  <c r="Y31" i="163"/>
  <c r="X31" i="163"/>
  <c r="W31" i="163"/>
  <c r="CJ31" i="163" s="1"/>
  <c r="S31" i="163"/>
  <c r="T31" i="163" s="1"/>
  <c r="R31" i="163"/>
  <c r="O31" i="163"/>
  <c r="J31" i="163"/>
  <c r="E31" i="163"/>
  <c r="CK30" i="163"/>
  <c r="CG30" i="163"/>
  <c r="CB30" i="163"/>
  <c r="BW30" i="163"/>
  <c r="BR30" i="163"/>
  <c r="BM30" i="163"/>
  <c r="BH30" i="163"/>
  <c r="BC30" i="163"/>
  <c r="AX30" i="163"/>
  <c r="AS30" i="163"/>
  <c r="AN30" i="163"/>
  <c r="AI30" i="163"/>
  <c r="AD30" i="163"/>
  <c r="X30" i="163"/>
  <c r="W30" i="163"/>
  <c r="CJ30" i="163" s="1"/>
  <c r="S30" i="163"/>
  <c r="R30" i="163"/>
  <c r="T30" i="163" s="1"/>
  <c r="O30" i="163"/>
  <c r="J30" i="163"/>
  <c r="E30" i="163"/>
  <c r="CG29" i="163"/>
  <c r="CB29" i="163"/>
  <c r="BW29" i="163"/>
  <c r="BR29" i="163"/>
  <c r="BM29" i="163"/>
  <c r="BH29" i="163"/>
  <c r="BC29" i="163"/>
  <c r="AX29" i="163"/>
  <c r="AS29" i="163"/>
  <c r="AN29" i="163"/>
  <c r="AI29" i="163"/>
  <c r="AD29" i="163"/>
  <c r="X29" i="163"/>
  <c r="CK29" i="163" s="1"/>
  <c r="W29" i="163"/>
  <c r="S29" i="163"/>
  <c r="T29" i="163" s="1"/>
  <c r="R29" i="163"/>
  <c r="O29" i="163"/>
  <c r="J29" i="163"/>
  <c r="E29" i="163"/>
  <c r="CG28" i="163"/>
  <c r="CB28" i="163"/>
  <c r="BW28" i="163"/>
  <c r="BR28" i="163"/>
  <c r="BM28" i="163"/>
  <c r="BH28" i="163"/>
  <c r="BC28" i="163"/>
  <c r="AX28" i="163"/>
  <c r="AS28" i="163"/>
  <c r="AN28" i="163"/>
  <c r="AI28" i="163"/>
  <c r="AD28" i="163"/>
  <c r="X28" i="163"/>
  <c r="W28" i="163"/>
  <c r="CJ28" i="163" s="1"/>
  <c r="T28" i="163"/>
  <c r="S28" i="163"/>
  <c r="R28" i="163"/>
  <c r="O28" i="163"/>
  <c r="J28" i="163"/>
  <c r="E28" i="163"/>
  <c r="CG27" i="163"/>
  <c r="CB27" i="163"/>
  <c r="BW27" i="163"/>
  <c r="BR27" i="163"/>
  <c r="BM27" i="163"/>
  <c r="BH27" i="163"/>
  <c r="BC27" i="163"/>
  <c r="AX27" i="163"/>
  <c r="AS27" i="163"/>
  <c r="AN27" i="163"/>
  <c r="AI27" i="163"/>
  <c r="AD27" i="163"/>
  <c r="X27" i="163"/>
  <c r="W27" i="163"/>
  <c r="CJ27" i="163" s="1"/>
  <c r="T27" i="163"/>
  <c r="S27" i="163"/>
  <c r="R27" i="163"/>
  <c r="O27" i="163"/>
  <c r="J27" i="163"/>
  <c r="E27" i="163"/>
  <c r="CG26" i="163"/>
  <c r="CB26" i="163"/>
  <c r="BW26" i="163"/>
  <c r="BR26" i="163"/>
  <c r="BM26" i="163"/>
  <c r="BH26" i="163"/>
  <c r="BC26" i="163"/>
  <c r="AX26" i="163"/>
  <c r="AS26" i="163"/>
  <c r="AN26" i="163"/>
  <c r="AI26" i="163"/>
  <c r="AD26" i="163"/>
  <c r="X26" i="163"/>
  <c r="CK26" i="163" s="1"/>
  <c r="W26" i="163"/>
  <c r="S26" i="163"/>
  <c r="R26" i="163"/>
  <c r="T26" i="163" s="1"/>
  <c r="O26" i="163"/>
  <c r="J26" i="163"/>
  <c r="E26" i="163"/>
  <c r="CG25" i="163"/>
  <c r="CB25" i="163"/>
  <c r="BW25" i="163"/>
  <c r="BR25" i="163"/>
  <c r="BM25" i="163"/>
  <c r="BH25" i="163"/>
  <c r="BC25" i="163"/>
  <c r="AX25" i="163"/>
  <c r="AS25" i="163"/>
  <c r="AN25" i="163"/>
  <c r="AI25" i="163"/>
  <c r="AD25" i="163"/>
  <c r="X25" i="163"/>
  <c r="Y25" i="163" s="1"/>
  <c r="W25" i="163"/>
  <c r="CJ25" i="163" s="1"/>
  <c r="S25" i="163"/>
  <c r="T25" i="163" s="1"/>
  <c r="R25" i="163"/>
  <c r="O25" i="163"/>
  <c r="J25" i="163"/>
  <c r="E25" i="163"/>
  <c r="CG24" i="163"/>
  <c r="CB24" i="163"/>
  <c r="BW24" i="163"/>
  <c r="BR24" i="163"/>
  <c r="BM24" i="163"/>
  <c r="BH24" i="163"/>
  <c r="BC24" i="163"/>
  <c r="AX24" i="163"/>
  <c r="AS24" i="163"/>
  <c r="AN24" i="163"/>
  <c r="AI24" i="163"/>
  <c r="AD24" i="163"/>
  <c r="X24" i="163"/>
  <c r="CK24" i="163" s="1"/>
  <c r="W24" i="163"/>
  <c r="CJ24" i="163" s="1"/>
  <c r="T24" i="163"/>
  <c r="S24" i="163"/>
  <c r="R24" i="163"/>
  <c r="O24" i="163"/>
  <c r="J24" i="163"/>
  <c r="E24" i="163"/>
  <c r="CK23" i="163"/>
  <c r="CL23" i="163" s="1"/>
  <c r="CG23" i="163"/>
  <c r="CB23" i="163"/>
  <c r="BW23" i="163"/>
  <c r="BR23" i="163"/>
  <c r="BM23" i="163"/>
  <c r="BH23" i="163"/>
  <c r="BC23" i="163"/>
  <c r="AX23" i="163"/>
  <c r="AS23" i="163"/>
  <c r="AN23" i="163"/>
  <c r="AI23" i="163"/>
  <c r="AD23" i="163"/>
  <c r="Y23" i="163"/>
  <c r="X23" i="163"/>
  <c r="W23" i="163"/>
  <c r="CJ23" i="163" s="1"/>
  <c r="S23" i="163"/>
  <c r="R23" i="163"/>
  <c r="O23" i="163"/>
  <c r="J23" i="163"/>
  <c r="E23" i="163"/>
  <c r="CG22" i="163"/>
  <c r="CB22" i="163"/>
  <c r="BW22" i="163"/>
  <c r="BR22" i="163"/>
  <c r="BM22" i="163"/>
  <c r="BH22" i="163"/>
  <c r="BC22" i="163"/>
  <c r="AX22" i="163"/>
  <c r="AS22" i="163"/>
  <c r="AN22" i="163"/>
  <c r="AI22" i="163"/>
  <c r="AD22" i="163"/>
  <c r="X22" i="163"/>
  <c r="CK22" i="163" s="1"/>
  <c r="W22" i="163"/>
  <c r="S22" i="163"/>
  <c r="R22" i="163"/>
  <c r="T22" i="163" s="1"/>
  <c r="O22" i="163"/>
  <c r="J22" i="163"/>
  <c r="E22" i="163"/>
  <c r="CJ21" i="163"/>
  <c r="CG21" i="163"/>
  <c r="CB21" i="163"/>
  <c r="BW21" i="163"/>
  <c r="BR21" i="163"/>
  <c r="BM21" i="163"/>
  <c r="BH21" i="163"/>
  <c r="BC21" i="163"/>
  <c r="AX21" i="163"/>
  <c r="AS21" i="163"/>
  <c r="AN21" i="163"/>
  <c r="AI21" i="163"/>
  <c r="AD21" i="163"/>
  <c r="X21" i="163"/>
  <c r="CK21" i="163" s="1"/>
  <c r="W21" i="163"/>
  <c r="S21" i="163"/>
  <c r="R21" i="163"/>
  <c r="T21" i="163" s="1"/>
  <c r="O21" i="163"/>
  <c r="J21" i="163"/>
  <c r="E21" i="163"/>
  <c r="CJ20" i="163"/>
  <c r="CL20" i="163" s="1"/>
  <c r="CG20" i="163"/>
  <c r="CB20" i="163"/>
  <c r="BW20" i="163"/>
  <c r="BR20" i="163"/>
  <c r="BM20" i="163"/>
  <c r="BH20" i="163"/>
  <c r="BC20" i="163"/>
  <c r="AX20" i="163"/>
  <c r="AS20" i="163"/>
  <c r="AN20" i="163"/>
  <c r="AI20" i="163"/>
  <c r="AD20" i="163"/>
  <c r="Y20" i="163"/>
  <c r="X20" i="163"/>
  <c r="CK20" i="163" s="1"/>
  <c r="W20" i="163"/>
  <c r="S20" i="163"/>
  <c r="R20" i="163"/>
  <c r="O20" i="163"/>
  <c r="J20" i="163"/>
  <c r="E20" i="163"/>
  <c r="CG19" i="163"/>
  <c r="CB19" i="163"/>
  <c r="BW19" i="163"/>
  <c r="BR19" i="163"/>
  <c r="BM19" i="163"/>
  <c r="BH19" i="163"/>
  <c r="BC19" i="163"/>
  <c r="AX19" i="163"/>
  <c r="AS19" i="163"/>
  <c r="AN19" i="163"/>
  <c r="AI19" i="163"/>
  <c r="AD19" i="163"/>
  <c r="X19" i="163"/>
  <c r="CK19" i="163" s="1"/>
  <c r="W19" i="163"/>
  <c r="S19" i="163"/>
  <c r="R19" i="163"/>
  <c r="T19" i="163" s="1"/>
  <c r="O19" i="163"/>
  <c r="J19" i="163"/>
  <c r="E19" i="163"/>
  <c r="CG18" i="163"/>
  <c r="CB18" i="163"/>
  <c r="BW18" i="163"/>
  <c r="BR18" i="163"/>
  <c r="BM18" i="163"/>
  <c r="BH18" i="163"/>
  <c r="BC18" i="163"/>
  <c r="AX18" i="163"/>
  <c r="AS18" i="163"/>
  <c r="AN18" i="163"/>
  <c r="AI18" i="163"/>
  <c r="AD18" i="163"/>
  <c r="X18" i="163"/>
  <c r="CK18" i="163" s="1"/>
  <c r="W18" i="163"/>
  <c r="S18" i="163"/>
  <c r="R18" i="163"/>
  <c r="O18" i="163"/>
  <c r="J18" i="163"/>
  <c r="E18" i="163"/>
  <c r="CG17" i="163"/>
  <c r="CB17" i="163"/>
  <c r="BW17" i="163"/>
  <c r="BR17" i="163"/>
  <c r="BM17" i="163"/>
  <c r="BH17" i="163"/>
  <c r="BC17" i="163"/>
  <c r="AX17" i="163"/>
  <c r="AS17" i="163"/>
  <c r="AN17" i="163"/>
  <c r="AI17" i="163"/>
  <c r="AD17" i="163"/>
  <c r="X17" i="163"/>
  <c r="CK17" i="163" s="1"/>
  <c r="W17" i="163"/>
  <c r="Y17" i="163" s="1"/>
  <c r="S17" i="163"/>
  <c r="R17" i="163"/>
  <c r="T17" i="163" s="1"/>
  <c r="O17" i="163"/>
  <c r="J17" i="163"/>
  <c r="E17" i="163"/>
  <c r="CG16" i="163"/>
  <c r="CB16" i="163"/>
  <c r="BW16" i="163"/>
  <c r="BR16" i="163"/>
  <c r="BM16" i="163"/>
  <c r="BH16" i="163"/>
  <c r="BC16" i="163"/>
  <c r="AX16" i="163"/>
  <c r="AS16" i="163"/>
  <c r="AN16" i="163"/>
  <c r="AI16" i="163"/>
  <c r="AD16" i="163"/>
  <c r="X16" i="163"/>
  <c r="CK16" i="163" s="1"/>
  <c r="W16" i="163"/>
  <c r="CJ16" i="163" s="1"/>
  <c r="CL16" i="163" s="1"/>
  <c r="S16" i="163"/>
  <c r="R16" i="163"/>
  <c r="O16" i="163"/>
  <c r="J16" i="163"/>
  <c r="E16" i="163"/>
  <c r="CG15" i="163"/>
  <c r="CB15" i="163"/>
  <c r="BW15" i="163"/>
  <c r="BR15" i="163"/>
  <c r="BM15" i="163"/>
  <c r="BH15" i="163"/>
  <c r="BC15" i="163"/>
  <c r="AX15" i="163"/>
  <c r="AS15" i="163"/>
  <c r="AN15" i="163"/>
  <c r="AI15" i="163"/>
  <c r="AD15" i="163"/>
  <c r="X15" i="163"/>
  <c r="CK15" i="163" s="1"/>
  <c r="W15" i="163"/>
  <c r="T15" i="163"/>
  <c r="S15" i="163"/>
  <c r="R15" i="163"/>
  <c r="O15" i="163"/>
  <c r="J15" i="163"/>
  <c r="E15" i="163"/>
  <c r="CG14" i="163"/>
  <c r="CB14" i="163"/>
  <c r="BW14" i="163"/>
  <c r="BR14" i="163"/>
  <c r="BM14" i="163"/>
  <c r="BH14" i="163"/>
  <c r="BC14" i="163"/>
  <c r="AX14" i="163"/>
  <c r="AS14" i="163"/>
  <c r="AN14" i="163"/>
  <c r="AI14" i="163"/>
  <c r="AD14" i="163"/>
  <c r="X14" i="163"/>
  <c r="CK14" i="163" s="1"/>
  <c r="W14" i="163"/>
  <c r="CJ14" i="163" s="1"/>
  <c r="CL14" i="163" s="1"/>
  <c r="S14" i="163"/>
  <c r="R14" i="163"/>
  <c r="T14" i="163" s="1"/>
  <c r="O14" i="163"/>
  <c r="J14" i="163"/>
  <c r="E14" i="163"/>
  <c r="CG13" i="163"/>
  <c r="CB13" i="163"/>
  <c r="BW13" i="163"/>
  <c r="BR13" i="163"/>
  <c r="BM13" i="163"/>
  <c r="BH13" i="163"/>
  <c r="BC13" i="163"/>
  <c r="AX13" i="163"/>
  <c r="AS13" i="163"/>
  <c r="AN13" i="163"/>
  <c r="AI13" i="163"/>
  <c r="AD13" i="163"/>
  <c r="X13" i="163"/>
  <c r="CK13" i="163" s="1"/>
  <c r="W13" i="163"/>
  <c r="CJ13" i="163" s="1"/>
  <c r="S13" i="163"/>
  <c r="R13" i="163"/>
  <c r="T13" i="163" s="1"/>
  <c r="O13" i="163"/>
  <c r="J13" i="163"/>
  <c r="E13" i="163"/>
  <c r="CG12" i="163"/>
  <c r="CB12" i="163"/>
  <c r="BW12" i="163"/>
  <c r="BR12" i="163"/>
  <c r="BM12" i="163"/>
  <c r="BH12" i="163"/>
  <c r="BC12" i="163"/>
  <c r="AX12" i="163"/>
  <c r="AS12" i="163"/>
  <c r="AN12" i="163"/>
  <c r="AI12" i="163"/>
  <c r="AD12" i="163"/>
  <c r="X12" i="163"/>
  <c r="CK12" i="163" s="1"/>
  <c r="W12" i="163"/>
  <c r="CJ12" i="163" s="1"/>
  <c r="CL12" i="163" s="1"/>
  <c r="CQ12" i="163" s="1"/>
  <c r="CR12" i="163" s="1"/>
  <c r="S12" i="163"/>
  <c r="R12" i="163"/>
  <c r="T12" i="163" s="1"/>
  <c r="O12" i="163"/>
  <c r="J12" i="163"/>
  <c r="E12" i="163"/>
  <c r="CK11" i="163"/>
  <c r="CG11" i="163"/>
  <c r="CB11" i="163"/>
  <c r="BW11" i="163"/>
  <c r="BR11" i="163"/>
  <c r="BM11" i="163"/>
  <c r="BH11" i="163"/>
  <c r="BC11" i="163"/>
  <c r="AX11" i="163"/>
  <c r="AS11" i="163"/>
  <c r="AN11" i="163"/>
  <c r="AI11" i="163"/>
  <c r="AD11" i="163"/>
  <c r="X11" i="163"/>
  <c r="W11" i="163"/>
  <c r="S11" i="163"/>
  <c r="R11" i="163"/>
  <c r="T11" i="163" s="1"/>
  <c r="O11" i="163"/>
  <c r="J11" i="163"/>
  <c r="E11" i="163"/>
  <c r="CG10" i="163"/>
  <c r="CB10" i="163"/>
  <c r="BW10" i="163"/>
  <c r="BR10" i="163"/>
  <c r="BM10" i="163"/>
  <c r="BH10" i="163"/>
  <c r="BC10" i="163"/>
  <c r="AX10" i="163"/>
  <c r="AS10" i="163"/>
  <c r="AN10" i="163"/>
  <c r="AI10" i="163"/>
  <c r="AD10" i="163"/>
  <c r="X10" i="163"/>
  <c r="CK10" i="163" s="1"/>
  <c r="W10" i="163"/>
  <c r="S10" i="163"/>
  <c r="R10" i="163"/>
  <c r="T10" i="163" s="1"/>
  <c r="O10" i="163"/>
  <c r="J10" i="163"/>
  <c r="E10" i="163"/>
  <c r="CG9" i="163"/>
  <c r="CB9" i="163"/>
  <c r="BW9" i="163"/>
  <c r="BR9" i="163"/>
  <c r="BM9" i="163"/>
  <c r="BH9" i="163"/>
  <c r="BC9" i="163"/>
  <c r="AX9" i="163"/>
  <c r="AS9" i="163"/>
  <c r="AN9" i="163"/>
  <c r="AI9" i="163"/>
  <c r="AD9" i="163"/>
  <c r="X9" i="163"/>
  <c r="W9" i="163"/>
  <c r="S9" i="163"/>
  <c r="R9" i="163"/>
  <c r="O9" i="163"/>
  <c r="O8" i="163" s="1"/>
  <c r="J9" i="163"/>
  <c r="E9" i="163"/>
  <c r="CP8" i="163"/>
  <c r="CF8" i="163"/>
  <c r="CE8" i="163"/>
  <c r="CA8" i="163"/>
  <c r="BZ8" i="163"/>
  <c r="BV8" i="163"/>
  <c r="BU8" i="163"/>
  <c r="BQ8" i="163"/>
  <c r="BP8" i="163"/>
  <c r="BL8" i="163"/>
  <c r="BK8" i="163"/>
  <c r="BG8" i="163"/>
  <c r="BF8" i="163"/>
  <c r="BB8" i="163"/>
  <c r="BA8" i="163"/>
  <c r="AW8" i="163"/>
  <c r="AV8" i="163"/>
  <c r="AR8" i="163"/>
  <c r="AQ8" i="163"/>
  <c r="AM8" i="163"/>
  <c r="AL8" i="163"/>
  <c r="AH8" i="163"/>
  <c r="AG8" i="163"/>
  <c r="AC8" i="163"/>
  <c r="AB8" i="163"/>
  <c r="N8" i="163"/>
  <c r="M8" i="163"/>
  <c r="I8" i="163"/>
  <c r="H8" i="163"/>
  <c r="D8" i="163"/>
  <c r="C8" i="163"/>
  <c r="CG7" i="163"/>
  <c r="CB7" i="163"/>
  <c r="BW7" i="163"/>
  <c r="BR7" i="163"/>
  <c r="BM7" i="163"/>
  <c r="BH7" i="163"/>
  <c r="BC7" i="163"/>
  <c r="AX7" i="163"/>
  <c r="AS7" i="163"/>
  <c r="AN7" i="163"/>
  <c r="AI7" i="163"/>
  <c r="AD7" i="163"/>
  <c r="X7" i="163"/>
  <c r="W7" i="163"/>
  <c r="CJ7" i="163" s="1"/>
  <c r="S7" i="163"/>
  <c r="R7" i="163"/>
  <c r="T7" i="163" s="1"/>
  <c r="O7" i="163"/>
  <c r="O5" i="163" s="1"/>
  <c r="J7" i="163"/>
  <c r="E7" i="163"/>
  <c r="CJ6" i="163"/>
  <c r="CG6" i="163"/>
  <c r="CG5" i="163" s="1"/>
  <c r="CB6" i="163"/>
  <c r="BW6" i="163"/>
  <c r="BW5" i="163" s="1"/>
  <c r="BR6" i="163"/>
  <c r="BR5" i="163" s="1"/>
  <c r="BM6" i="163"/>
  <c r="BM5" i="163" s="1"/>
  <c r="BH6" i="163"/>
  <c r="BC6" i="163"/>
  <c r="AX6" i="163"/>
  <c r="AX5" i="163" s="1"/>
  <c r="AS6" i="163"/>
  <c r="AS5" i="163" s="1"/>
  <c r="AN6" i="163"/>
  <c r="AI6" i="163"/>
  <c r="AI5" i="163" s="1"/>
  <c r="AD6" i="163"/>
  <c r="X6" i="163"/>
  <c r="CK6" i="163" s="1"/>
  <c r="W6" i="163"/>
  <c r="S6" i="163"/>
  <c r="S5" i="163" s="1"/>
  <c r="R6" i="163"/>
  <c r="T6" i="163" s="1"/>
  <c r="O6" i="163"/>
  <c r="J6" i="163"/>
  <c r="E6" i="163"/>
  <c r="E5" i="163" s="1"/>
  <c r="CP5" i="163"/>
  <c r="CK5" i="163"/>
  <c r="CF5" i="163"/>
  <c r="CE5" i="163"/>
  <c r="CE38" i="163" s="1"/>
  <c r="CA5" i="163"/>
  <c r="BZ5" i="163"/>
  <c r="BZ38" i="163" s="1"/>
  <c r="BV5" i="163"/>
  <c r="BU5" i="163"/>
  <c r="BQ5" i="163"/>
  <c r="BP5" i="163"/>
  <c r="BL5" i="163"/>
  <c r="BL38" i="163" s="1"/>
  <c r="BK5" i="163"/>
  <c r="BK38" i="163" s="1"/>
  <c r="BG5" i="163"/>
  <c r="BF5" i="163"/>
  <c r="BF38" i="163" s="1"/>
  <c r="BC5" i="163"/>
  <c r="BB5" i="163"/>
  <c r="BA5" i="163"/>
  <c r="AW5" i="163"/>
  <c r="AW38" i="163" s="1"/>
  <c r="AV5" i="163"/>
  <c r="AR5" i="163"/>
  <c r="AR38" i="163" s="1"/>
  <c r="AQ5" i="163"/>
  <c r="AQ38" i="163" s="1"/>
  <c r="AM5" i="163"/>
  <c r="AM38" i="163" s="1"/>
  <c r="AL5" i="163"/>
  <c r="AH5" i="163"/>
  <c r="AG5" i="163"/>
  <c r="AC5" i="163"/>
  <c r="AB5" i="163"/>
  <c r="AB38" i="163" s="1"/>
  <c r="X5" i="163"/>
  <c r="N5" i="163"/>
  <c r="N38" i="163" s="1"/>
  <c r="M5" i="163"/>
  <c r="M38" i="163" s="1"/>
  <c r="I5" i="163"/>
  <c r="H5" i="163"/>
  <c r="D5" i="163"/>
  <c r="D38" i="163" s="1"/>
  <c r="C5" i="163"/>
  <c r="C38" i="163" s="1"/>
  <c r="CQ50" i="163" l="1"/>
  <c r="CP41" i="163"/>
  <c r="CQ43" i="163"/>
  <c r="CQ41" i="163" s="1"/>
  <c r="Y69" i="163"/>
  <c r="CJ69" i="163"/>
  <c r="CL69" i="163" s="1"/>
  <c r="CL6" i="163"/>
  <c r="CJ5" i="163"/>
  <c r="Y13" i="163"/>
  <c r="BR41" i="163"/>
  <c r="Y43" i="163"/>
  <c r="T68" i="163"/>
  <c r="AW75" i="163"/>
  <c r="CF38" i="163"/>
  <c r="Y12" i="163"/>
  <c r="T18" i="163"/>
  <c r="CK25" i="163"/>
  <c r="Y30" i="163"/>
  <c r="Y33" i="163"/>
  <c r="X41" i="163"/>
  <c r="T56" i="163"/>
  <c r="CK56" i="163"/>
  <c r="CL56" i="163" s="1"/>
  <c r="Y60" i="163"/>
  <c r="CJ65" i="163"/>
  <c r="CL65" i="163" s="1"/>
  <c r="CJ68" i="163"/>
  <c r="CL68" i="163" s="1"/>
  <c r="Y68" i="163"/>
  <c r="BP38" i="163"/>
  <c r="BP39" i="163" s="1"/>
  <c r="Y6" i="163"/>
  <c r="AN8" i="163"/>
  <c r="T9" i="163"/>
  <c r="S8" i="163"/>
  <c r="O41" i="163"/>
  <c r="AN41" i="163"/>
  <c r="CJ45" i="163"/>
  <c r="CL45" i="163" s="1"/>
  <c r="CJ46" i="163"/>
  <c r="CL46" i="163" s="1"/>
  <c r="CJ47" i="163"/>
  <c r="T78" i="163"/>
  <c r="AH38" i="163"/>
  <c r="CL47" i="163"/>
  <c r="S77" i="163"/>
  <c r="AL38" i="163"/>
  <c r="BU38" i="163"/>
  <c r="CL51" i="163"/>
  <c r="CL50" i="163" s="1"/>
  <c r="CL74" i="163"/>
  <c r="CL73" i="163" s="1"/>
  <c r="R5" i="163"/>
  <c r="BF75" i="163"/>
  <c r="BF39" i="163"/>
  <c r="BV38" i="163"/>
  <c r="Y14" i="163"/>
  <c r="Y16" i="163"/>
  <c r="CJ17" i="163"/>
  <c r="CL17" i="163" s="1"/>
  <c r="CL21" i="163"/>
  <c r="T23" i="163"/>
  <c r="CL24" i="163"/>
  <c r="CQ24" i="163" s="1"/>
  <c r="CR24" i="163" s="1"/>
  <c r="BC41" i="163"/>
  <c r="CJ44" i="163"/>
  <c r="CL44" i="163" s="1"/>
  <c r="Y44" i="163"/>
  <c r="Y41" i="163" s="1"/>
  <c r="CP50" i="163"/>
  <c r="CL60" i="163"/>
  <c r="W5" i="163"/>
  <c r="BG38" i="163"/>
  <c r="CL13" i="163"/>
  <c r="CQ13" i="163" s="1"/>
  <c r="CR13" i="163" s="1"/>
  <c r="Y24" i="163"/>
  <c r="CL30" i="163"/>
  <c r="Y48" i="163"/>
  <c r="Y51" i="163"/>
  <c r="T63" i="163"/>
  <c r="BB38" i="163"/>
  <c r="CL25" i="163"/>
  <c r="CQ25" i="163" s="1"/>
  <c r="CR25" i="163" s="1"/>
  <c r="Y28" i="163"/>
  <c r="CL33" i="163"/>
  <c r="Y82" i="163"/>
  <c r="I38" i="163"/>
  <c r="AV38" i="163"/>
  <c r="CE75" i="163"/>
  <c r="AN5" i="163"/>
  <c r="CB5" i="163"/>
  <c r="T16" i="163"/>
  <c r="T20" i="163"/>
  <c r="Y21" i="163"/>
  <c r="CK28" i="163"/>
  <c r="CL31" i="163"/>
  <c r="CQ31" i="163" s="1"/>
  <c r="CR31" i="163" s="1"/>
  <c r="T44" i="163"/>
  <c r="T60" i="163"/>
  <c r="T67" i="163"/>
  <c r="T70" i="163"/>
  <c r="AQ75" i="163"/>
  <c r="AQ39" i="163"/>
  <c r="D39" i="163"/>
  <c r="D75" i="163"/>
  <c r="AV75" i="163"/>
  <c r="AV39" i="163"/>
  <c r="BG39" i="163"/>
  <c r="BG75" i="163"/>
  <c r="BU75" i="163"/>
  <c r="BU39" i="163"/>
  <c r="AS8" i="163"/>
  <c r="E8" i="163"/>
  <c r="E38" i="163" s="1"/>
  <c r="CQ23" i="163"/>
  <c r="CR23" i="163" s="1"/>
  <c r="BR54" i="163"/>
  <c r="CL5" i="163"/>
  <c r="CQ6" i="163"/>
  <c r="CB79" i="163"/>
  <c r="CB77" i="163" s="1"/>
  <c r="BZ77" i="163"/>
  <c r="X8" i="163"/>
  <c r="CK9" i="163"/>
  <c r="CK8" i="163" s="1"/>
  <c r="CK38" i="163" s="1"/>
  <c r="BZ75" i="163"/>
  <c r="BZ39" i="163"/>
  <c r="AL75" i="163"/>
  <c r="AL39" i="163"/>
  <c r="CB8" i="163"/>
  <c r="J8" i="163"/>
  <c r="BC8" i="163"/>
  <c r="AB39" i="163"/>
  <c r="AB75" i="163"/>
  <c r="AM75" i="163"/>
  <c r="AM39" i="163"/>
  <c r="BB39" i="163"/>
  <c r="BB75" i="163"/>
  <c r="BM38" i="163"/>
  <c r="AB77" i="163"/>
  <c r="AD79" i="163"/>
  <c r="AD77" i="163" s="1"/>
  <c r="BC79" i="163"/>
  <c r="BC77" i="163" s="1"/>
  <c r="BA77" i="163"/>
  <c r="AI8" i="163"/>
  <c r="BH8" i="163"/>
  <c r="CQ17" i="163"/>
  <c r="CR17" i="163" s="1"/>
  <c r="J41" i="163"/>
  <c r="CJ66" i="163"/>
  <c r="CL66" i="163" s="1"/>
  <c r="Y66" i="163"/>
  <c r="N75" i="163"/>
  <c r="N39" i="163"/>
  <c r="AC38" i="163"/>
  <c r="Y7" i="163"/>
  <c r="Y5" i="163" s="1"/>
  <c r="CK7" i="163"/>
  <c r="AD8" i="163"/>
  <c r="CG8" i="163"/>
  <c r="CG38" i="163" s="1"/>
  <c r="CJ18" i="163"/>
  <c r="CL18" i="163" s="1"/>
  <c r="Y18" i="163"/>
  <c r="CJ19" i="163"/>
  <c r="CL19" i="163" s="1"/>
  <c r="Y19" i="163"/>
  <c r="CQ21" i="163"/>
  <c r="CR21" i="163" s="1"/>
  <c r="Y22" i="163"/>
  <c r="CJ22" i="163"/>
  <c r="CL22" i="163" s="1"/>
  <c r="BW50" i="163"/>
  <c r="AX54" i="163"/>
  <c r="CB54" i="163"/>
  <c r="C75" i="163"/>
  <c r="C39" i="163"/>
  <c r="O38" i="163"/>
  <c r="CF39" i="163"/>
  <c r="CF75" i="163"/>
  <c r="T8" i="163"/>
  <c r="CJ11" i="163"/>
  <c r="CL11" i="163" s="1"/>
  <c r="Y11" i="163"/>
  <c r="W8" i="163"/>
  <c r="CQ14" i="163"/>
  <c r="CR14" i="163" s="1"/>
  <c r="CQ20" i="163"/>
  <c r="CR20" i="163" s="1"/>
  <c r="E54" i="163"/>
  <c r="CK55" i="163"/>
  <c r="X54" i="163"/>
  <c r="I39" i="163"/>
  <c r="I75" i="163"/>
  <c r="X38" i="163"/>
  <c r="BK75" i="163"/>
  <c r="BK39" i="163"/>
  <c r="BV75" i="163"/>
  <c r="BV39" i="163"/>
  <c r="J5" i="163"/>
  <c r="J38" i="163" s="1"/>
  <c r="CL7" i="163"/>
  <c r="H77" i="163"/>
  <c r="J79" i="163"/>
  <c r="J77" i="163" s="1"/>
  <c r="AV77" i="163"/>
  <c r="AX79" i="163"/>
  <c r="AX77" i="163" s="1"/>
  <c r="BR8" i="163"/>
  <c r="Y50" i="163"/>
  <c r="CB50" i="163"/>
  <c r="CJ70" i="163"/>
  <c r="CL70" i="163" s="1"/>
  <c r="Y70" i="163"/>
  <c r="M75" i="163"/>
  <c r="BA38" i="163"/>
  <c r="AD5" i="163"/>
  <c r="BH5" i="163"/>
  <c r="BH38" i="163" s="1"/>
  <c r="W79" i="163"/>
  <c r="AX8" i="163"/>
  <c r="AX38" i="163" s="1"/>
  <c r="CQ16" i="163"/>
  <c r="CR16" i="163" s="1"/>
  <c r="AX50" i="163"/>
  <c r="Y55" i="163"/>
  <c r="CJ55" i="163"/>
  <c r="W54" i="163"/>
  <c r="CB41" i="163"/>
  <c r="BM50" i="163"/>
  <c r="J54" i="163"/>
  <c r="T5" i="163"/>
  <c r="AS38" i="163"/>
  <c r="BM8" i="163"/>
  <c r="CJ15" i="163"/>
  <c r="CL15" i="163" s="1"/>
  <c r="Y15" i="163"/>
  <c r="CQ30" i="163"/>
  <c r="CR30" i="163" s="1"/>
  <c r="BL39" i="163"/>
  <c r="BL75" i="163"/>
  <c r="AW39" i="163"/>
  <c r="BH41" i="163"/>
  <c r="CJ50" i="163"/>
  <c r="CL52" i="163"/>
  <c r="AG77" i="163"/>
  <c r="AI79" i="163"/>
  <c r="AI77" i="163" s="1"/>
  <c r="CK27" i="163"/>
  <c r="CL27" i="163" s="1"/>
  <c r="Y27" i="163"/>
  <c r="T42" i="163"/>
  <c r="T41" i="163" s="1"/>
  <c r="S41" i="163"/>
  <c r="CL42" i="163"/>
  <c r="CJ41" i="163"/>
  <c r="BW41" i="163"/>
  <c r="AD50" i="163"/>
  <c r="CL61" i="163"/>
  <c r="W38" i="163"/>
  <c r="AH39" i="163"/>
  <c r="AH75" i="163"/>
  <c r="BF76" i="163"/>
  <c r="BQ38" i="163"/>
  <c r="CE76" i="163"/>
  <c r="CE81" i="163"/>
  <c r="CE83" i="163" s="1"/>
  <c r="CE84" i="163" s="1"/>
  <c r="CE86" i="163" s="1"/>
  <c r="CE87" i="163" s="1"/>
  <c r="S38" i="163"/>
  <c r="AN38" i="163"/>
  <c r="CJ9" i="163"/>
  <c r="Y9" i="163"/>
  <c r="R8" i="163"/>
  <c r="R38" i="163" s="1"/>
  <c r="BW8" i="163"/>
  <c r="T36" i="163"/>
  <c r="T35" i="163" s="1"/>
  <c r="CE39" i="163"/>
  <c r="CK41" i="163"/>
  <c r="Y71" i="163"/>
  <c r="CJ32" i="163"/>
  <c r="CL32" i="163" s="1"/>
  <c r="Y32" i="163"/>
  <c r="CJ36" i="163"/>
  <c r="Y36" i="163"/>
  <c r="Y35" i="163" s="1"/>
  <c r="AX41" i="163"/>
  <c r="T51" i="163"/>
  <c r="T50" i="163" s="1"/>
  <c r="R50" i="163"/>
  <c r="CG54" i="163"/>
  <c r="CK63" i="163"/>
  <c r="CL63" i="163" s="1"/>
  <c r="Y63" i="163"/>
  <c r="Y10" i="163"/>
  <c r="CJ10" i="163"/>
  <c r="CL10" i="163" s="1"/>
  <c r="CJ29" i="163"/>
  <c r="CL29" i="163" s="1"/>
  <c r="Y29" i="163"/>
  <c r="W35" i="163"/>
  <c r="CQ54" i="163"/>
  <c r="CL71" i="163"/>
  <c r="X77" i="163"/>
  <c r="CK78" i="163"/>
  <c r="CK77" i="163" s="1"/>
  <c r="CL28" i="163"/>
  <c r="BH54" i="163"/>
  <c r="W50" i="163"/>
  <c r="S54" i="163"/>
  <c r="AS54" i="163"/>
  <c r="CJ26" i="163"/>
  <c r="CL26" i="163" s="1"/>
  <c r="Y26" i="163"/>
  <c r="BM54" i="163"/>
  <c r="CJ62" i="163"/>
  <c r="CL62" i="163" s="1"/>
  <c r="Y62" i="163"/>
  <c r="CL64" i="163"/>
  <c r="AS50" i="163"/>
  <c r="AN54" i="163"/>
  <c r="R54" i="163"/>
  <c r="T57" i="163"/>
  <c r="O54" i="163"/>
  <c r="H38" i="163"/>
  <c r="AG38" i="163"/>
  <c r="AR39" i="163"/>
  <c r="AR75" i="163"/>
  <c r="CA38" i="163"/>
  <c r="CP38" i="163"/>
  <c r="E50" i="163"/>
  <c r="AI50" i="163"/>
  <c r="T55" i="163"/>
  <c r="AI54" i="163"/>
  <c r="Y57" i="163"/>
  <c r="T58" i="163"/>
  <c r="Y59" i="163"/>
  <c r="Y61" i="163"/>
  <c r="CJ67" i="163"/>
  <c r="CL67" i="163" s="1"/>
  <c r="BP75" i="163"/>
  <c r="T64" i="163"/>
  <c r="Y78" i="163"/>
  <c r="BC54" i="163"/>
  <c r="BW54" i="163"/>
  <c r="CJ78" i="163"/>
  <c r="CO55" i="129"/>
  <c r="CO10" i="130"/>
  <c r="CP10" i="130"/>
  <c r="CO11" i="130"/>
  <c r="CP11" i="130"/>
  <c r="CO12" i="130"/>
  <c r="CP12" i="130"/>
  <c r="CQ12" i="130" s="1"/>
  <c r="CO13" i="130"/>
  <c r="CQ13" i="130" s="1"/>
  <c r="CP13" i="130"/>
  <c r="CO14" i="130"/>
  <c r="CP14" i="130"/>
  <c r="CO15" i="130"/>
  <c r="CP15" i="130"/>
  <c r="CQ15" i="130" s="1"/>
  <c r="CO16" i="130"/>
  <c r="CP16" i="130"/>
  <c r="CO17" i="130"/>
  <c r="CP17" i="130"/>
  <c r="CP18" i="130"/>
  <c r="CO19" i="130"/>
  <c r="CP19" i="130"/>
  <c r="CO20" i="130"/>
  <c r="CP20" i="130"/>
  <c r="CO21" i="130"/>
  <c r="CP21" i="130"/>
  <c r="CO22" i="130"/>
  <c r="CP22" i="130"/>
  <c r="CO23" i="130"/>
  <c r="CP23" i="130"/>
  <c r="CO24" i="130"/>
  <c r="CP24" i="130"/>
  <c r="CQ24" i="130" s="1"/>
  <c r="CP25" i="130"/>
  <c r="CO26" i="130"/>
  <c r="CP26" i="130"/>
  <c r="CP27" i="130"/>
  <c r="CP29" i="130"/>
  <c r="CO30" i="130"/>
  <c r="CP30" i="130"/>
  <c r="CO31" i="130"/>
  <c r="CP31" i="130"/>
  <c r="CP32" i="130"/>
  <c r="CO33" i="130"/>
  <c r="CP33" i="130"/>
  <c r="CQ30" i="130"/>
  <c r="CO36" i="130"/>
  <c r="CO35" i="130" s="1"/>
  <c r="CP36" i="130"/>
  <c r="CP35" i="130" s="1"/>
  <c r="CO42" i="130"/>
  <c r="CP42" i="130"/>
  <c r="CO43" i="130"/>
  <c r="CP43" i="130"/>
  <c r="CO44" i="130"/>
  <c r="CP44" i="130"/>
  <c r="CO45" i="130"/>
  <c r="CP45" i="130"/>
  <c r="CO46" i="130"/>
  <c r="CP46" i="130"/>
  <c r="CO47" i="130"/>
  <c r="CP47" i="130"/>
  <c r="CO48" i="130"/>
  <c r="CP48" i="130"/>
  <c r="CO51" i="130"/>
  <c r="CP51" i="130"/>
  <c r="CO52" i="130"/>
  <c r="CO50" i="130" s="1"/>
  <c r="CP52" i="130"/>
  <c r="CO55" i="130"/>
  <c r="CP55" i="130"/>
  <c r="CO56" i="130"/>
  <c r="CP56" i="130"/>
  <c r="CQ56" i="130" s="1"/>
  <c r="CO57" i="130"/>
  <c r="CP57" i="130"/>
  <c r="CQ57" i="130" s="1"/>
  <c r="CO58" i="130"/>
  <c r="CP58" i="130"/>
  <c r="CO59" i="130"/>
  <c r="CP59" i="130"/>
  <c r="CO60" i="130"/>
  <c r="CQ60" i="130" s="1"/>
  <c r="CP60" i="130"/>
  <c r="CO61" i="130"/>
  <c r="CP61" i="130"/>
  <c r="CO62" i="130"/>
  <c r="CP62" i="130"/>
  <c r="CO63" i="130"/>
  <c r="CP63" i="130"/>
  <c r="CO64" i="130"/>
  <c r="CP64" i="130"/>
  <c r="CO65" i="130"/>
  <c r="CP65" i="130"/>
  <c r="CO66" i="130"/>
  <c r="CP66" i="130"/>
  <c r="CO67" i="130"/>
  <c r="CQ67" i="130" s="1"/>
  <c r="CP67" i="130"/>
  <c r="CO68" i="130"/>
  <c r="CP68" i="130"/>
  <c r="CO69" i="130"/>
  <c r="CP69" i="130"/>
  <c r="CQ69" i="130" s="1"/>
  <c r="CO70" i="130"/>
  <c r="CQ70" i="130" s="1"/>
  <c r="CP70" i="130"/>
  <c r="CO71" i="130"/>
  <c r="CP71" i="130"/>
  <c r="CO74" i="130"/>
  <c r="CO73" i="130" s="1"/>
  <c r="CP74" i="130"/>
  <c r="CP73" i="130" s="1"/>
  <c r="CO78" i="130"/>
  <c r="CP78" i="130"/>
  <c r="CP77" i="130" s="1"/>
  <c r="CP79" i="130"/>
  <c r="CO82" i="130"/>
  <c r="CP82" i="130"/>
  <c r="CO85" i="130"/>
  <c r="CY10" i="124"/>
  <c r="CZ10" i="124"/>
  <c r="CY11" i="124"/>
  <c r="CZ11" i="124"/>
  <c r="CY12" i="124"/>
  <c r="CZ12" i="124"/>
  <c r="CY13" i="124"/>
  <c r="CZ13" i="124"/>
  <c r="CY14" i="124"/>
  <c r="CZ14" i="124"/>
  <c r="CY15" i="124"/>
  <c r="CZ15" i="124"/>
  <c r="CY16" i="124"/>
  <c r="CZ16" i="124"/>
  <c r="CY17" i="124"/>
  <c r="CZ17" i="124"/>
  <c r="CZ18" i="124"/>
  <c r="CY19" i="124"/>
  <c r="CZ19" i="124"/>
  <c r="CY20" i="124"/>
  <c r="CZ20" i="124"/>
  <c r="CY21" i="124"/>
  <c r="CZ21" i="124"/>
  <c r="CY22" i="124"/>
  <c r="CZ22" i="124"/>
  <c r="CY23" i="124"/>
  <c r="CZ23" i="124"/>
  <c r="CY24" i="124"/>
  <c r="CZ24" i="124"/>
  <c r="CZ25" i="124"/>
  <c r="CY26" i="124"/>
  <c r="CZ26" i="124"/>
  <c r="CZ27" i="124"/>
  <c r="CZ29" i="124"/>
  <c r="CY30" i="124"/>
  <c r="CZ30" i="124"/>
  <c r="CY31" i="124"/>
  <c r="CZ31" i="124"/>
  <c r="CY10" i="123"/>
  <c r="CZ10" i="123"/>
  <c r="CY11" i="123"/>
  <c r="CZ11" i="123"/>
  <c r="CY12" i="123"/>
  <c r="CZ12" i="123"/>
  <c r="CY13" i="123"/>
  <c r="CZ13" i="123"/>
  <c r="CY14" i="123"/>
  <c r="CZ14" i="123"/>
  <c r="CY15" i="123"/>
  <c r="CZ15" i="123"/>
  <c r="CY16" i="123"/>
  <c r="CZ16" i="123"/>
  <c r="CY17" i="123"/>
  <c r="CZ17" i="123"/>
  <c r="CZ18" i="123"/>
  <c r="CY19" i="123"/>
  <c r="CZ19" i="123"/>
  <c r="CY20" i="123"/>
  <c r="CZ20" i="123"/>
  <c r="CY21" i="123"/>
  <c r="CZ21" i="123"/>
  <c r="CY22" i="123"/>
  <c r="CZ22" i="123"/>
  <c r="CY23" i="123"/>
  <c r="CZ23" i="123"/>
  <c r="CY24" i="123"/>
  <c r="CZ24" i="123"/>
  <c r="CZ25" i="123"/>
  <c r="CY26" i="123"/>
  <c r="CZ26" i="123"/>
  <c r="CY27" i="123"/>
  <c r="CZ27" i="123"/>
  <c r="CZ29" i="123"/>
  <c r="CY30" i="123"/>
  <c r="CZ30" i="123"/>
  <c r="CY31" i="123"/>
  <c r="CZ31" i="123"/>
  <c r="CY10" i="122"/>
  <c r="CZ10" i="122"/>
  <c r="CY11" i="122"/>
  <c r="CZ11" i="122"/>
  <c r="CY12" i="122"/>
  <c r="CZ12" i="122"/>
  <c r="CY13" i="122"/>
  <c r="CZ13" i="122"/>
  <c r="CY14" i="122"/>
  <c r="CZ14" i="122"/>
  <c r="CY15" i="122"/>
  <c r="CZ15" i="122"/>
  <c r="CY16" i="122"/>
  <c r="CZ16" i="122"/>
  <c r="CY17" i="122"/>
  <c r="CZ17" i="122"/>
  <c r="CZ18" i="122"/>
  <c r="CY19" i="122"/>
  <c r="CZ19" i="122"/>
  <c r="CY20" i="122"/>
  <c r="CZ20" i="122"/>
  <c r="CY21" i="122"/>
  <c r="CZ21" i="122"/>
  <c r="CY22" i="122"/>
  <c r="CZ22" i="122"/>
  <c r="CY23" i="122"/>
  <c r="CZ23" i="122"/>
  <c r="CY24" i="122"/>
  <c r="CZ24" i="122"/>
  <c r="CZ25" i="122"/>
  <c r="CY26" i="122"/>
  <c r="CZ26" i="122"/>
  <c r="CY27" i="122"/>
  <c r="CZ27" i="122"/>
  <c r="CZ29" i="122"/>
  <c r="CY30" i="122"/>
  <c r="CZ30" i="122"/>
  <c r="CY31" i="122"/>
  <c r="CZ31" i="122"/>
  <c r="CY10" i="121"/>
  <c r="CZ10" i="121"/>
  <c r="CY11" i="121"/>
  <c r="CZ11" i="121"/>
  <c r="CY12" i="121"/>
  <c r="CZ12" i="121"/>
  <c r="CY13" i="121"/>
  <c r="CZ13" i="121"/>
  <c r="CY14" i="121"/>
  <c r="CZ14" i="121"/>
  <c r="CY15" i="121"/>
  <c r="CZ15" i="121"/>
  <c r="CY16" i="121"/>
  <c r="CZ16" i="121"/>
  <c r="CY17" i="121"/>
  <c r="CZ17" i="121"/>
  <c r="CZ18" i="121"/>
  <c r="CY19" i="121"/>
  <c r="CZ19" i="121"/>
  <c r="CY20" i="121"/>
  <c r="CZ20" i="121"/>
  <c r="CY21" i="121"/>
  <c r="CZ21" i="121"/>
  <c r="CY22" i="121"/>
  <c r="CZ22" i="121"/>
  <c r="CY23" i="121"/>
  <c r="CZ23" i="121"/>
  <c r="CY24" i="121"/>
  <c r="CZ24" i="121"/>
  <c r="CZ25" i="121"/>
  <c r="CY26" i="121"/>
  <c r="CZ26" i="121"/>
  <c r="CZ27" i="121"/>
  <c r="CZ29" i="121"/>
  <c r="CY30" i="121"/>
  <c r="CZ30" i="121"/>
  <c r="CY31" i="121"/>
  <c r="CZ31" i="121"/>
  <c r="CZ32" i="121"/>
  <c r="DO10" i="100"/>
  <c r="DO11" i="100"/>
  <c r="DN12" i="100"/>
  <c r="DO12" i="100"/>
  <c r="DN13" i="100"/>
  <c r="DO13" i="100"/>
  <c r="DN14" i="100"/>
  <c r="DO14" i="100"/>
  <c r="DN15" i="100"/>
  <c r="DO15" i="100"/>
  <c r="DN16" i="100"/>
  <c r="DO16" i="100"/>
  <c r="DN17" i="100"/>
  <c r="DO17" i="100"/>
  <c r="DN18" i="100"/>
  <c r="DO18" i="100"/>
  <c r="DN19" i="100"/>
  <c r="DO19" i="100"/>
  <c r="DN20" i="100"/>
  <c r="DO20" i="100"/>
  <c r="DN21" i="100"/>
  <c r="DO21" i="100"/>
  <c r="DN22" i="100"/>
  <c r="DO22" i="100"/>
  <c r="DN23" i="100"/>
  <c r="DO23" i="100"/>
  <c r="DN24" i="100"/>
  <c r="DO24" i="100"/>
  <c r="DO25" i="100"/>
  <c r="DN26" i="100"/>
  <c r="DO26" i="100"/>
  <c r="DO27" i="100"/>
  <c r="DO29" i="100"/>
  <c r="DN30" i="100"/>
  <c r="DO30" i="100"/>
  <c r="DN31" i="100"/>
  <c r="DO31" i="100"/>
  <c r="DN33" i="100"/>
  <c r="DO33" i="100"/>
  <c r="CO10" i="129"/>
  <c r="CP10" i="129"/>
  <c r="CO11" i="129"/>
  <c r="CP11" i="129"/>
  <c r="CO12" i="129"/>
  <c r="CP12" i="129"/>
  <c r="CO13" i="129"/>
  <c r="CP13" i="129"/>
  <c r="CO14" i="129"/>
  <c r="CP14" i="129"/>
  <c r="CO15" i="129"/>
  <c r="CP15" i="129"/>
  <c r="CO16" i="129"/>
  <c r="CP16" i="129"/>
  <c r="CO17" i="129"/>
  <c r="CP17" i="129"/>
  <c r="CP18" i="129"/>
  <c r="CO19" i="129"/>
  <c r="CP19" i="129"/>
  <c r="CO20" i="129"/>
  <c r="CP20" i="129"/>
  <c r="CO21" i="129"/>
  <c r="CP21" i="129"/>
  <c r="CO22" i="129"/>
  <c r="CP22" i="129"/>
  <c r="CO23" i="129"/>
  <c r="CP23" i="129"/>
  <c r="CP24" i="129"/>
  <c r="CO25" i="129"/>
  <c r="CP25" i="129"/>
  <c r="CO26" i="129"/>
  <c r="CP26" i="129"/>
  <c r="CO27" i="129"/>
  <c r="CP27" i="129"/>
  <c r="CO28" i="129"/>
  <c r="CO29" i="129"/>
  <c r="CP29" i="129"/>
  <c r="CO30" i="129"/>
  <c r="CP30" i="129"/>
  <c r="CP31" i="129"/>
  <c r="CO32" i="129"/>
  <c r="CO33" i="129"/>
  <c r="CP33" i="129"/>
  <c r="AS78" i="129"/>
  <c r="AR77" i="129"/>
  <c r="AS74" i="129"/>
  <c r="AS73" i="129" s="1"/>
  <c r="AR73" i="129"/>
  <c r="AQ73" i="129"/>
  <c r="AS71" i="129"/>
  <c r="AS70" i="129"/>
  <c r="AS69" i="129"/>
  <c r="AS68" i="129"/>
  <c r="AS67" i="129"/>
  <c r="AS66" i="129"/>
  <c r="AS65" i="129"/>
  <c r="AS64" i="129"/>
  <c r="AS63" i="129"/>
  <c r="AS62" i="129"/>
  <c r="AS61" i="129"/>
  <c r="AS60" i="129"/>
  <c r="AS59" i="129"/>
  <c r="AS58" i="129"/>
  <c r="AS57" i="129"/>
  <c r="AS56" i="129"/>
  <c r="AS54" i="129" s="1"/>
  <c r="AS55" i="129"/>
  <c r="AR54" i="129"/>
  <c r="AQ54" i="129"/>
  <c r="AS52" i="129"/>
  <c r="AS51" i="129"/>
  <c r="AR50" i="129"/>
  <c r="AQ50" i="129"/>
  <c r="AS48" i="129"/>
  <c r="AS47" i="129"/>
  <c r="AS46" i="129"/>
  <c r="AS45" i="129"/>
  <c r="AS44" i="129"/>
  <c r="AS43" i="129"/>
  <c r="AS42" i="129"/>
  <c r="AR41" i="129"/>
  <c r="AQ41" i="129"/>
  <c r="AS36" i="129"/>
  <c r="AS35" i="129"/>
  <c r="AR35" i="129"/>
  <c r="AQ35" i="129"/>
  <c r="AS33" i="129"/>
  <c r="AS32" i="129"/>
  <c r="AS31" i="129"/>
  <c r="AS30" i="129"/>
  <c r="AS29" i="129"/>
  <c r="AS28" i="129"/>
  <c r="AS27" i="129"/>
  <c r="AS26" i="129"/>
  <c r="AS25" i="129"/>
  <c r="AS24" i="129"/>
  <c r="AS23" i="129"/>
  <c r="AS22" i="129"/>
  <c r="AS21" i="129"/>
  <c r="AS20" i="129"/>
  <c r="AS19" i="129"/>
  <c r="AS18" i="129"/>
  <c r="AS17" i="129"/>
  <c r="AS16" i="129"/>
  <c r="AS8" i="129" s="1"/>
  <c r="AS15" i="129"/>
  <c r="AS14" i="129"/>
  <c r="AS13" i="129"/>
  <c r="AS12" i="129"/>
  <c r="AS11" i="129"/>
  <c r="AS10" i="129"/>
  <c r="AS9" i="129"/>
  <c r="AR8" i="129"/>
  <c r="AQ8" i="129"/>
  <c r="AS7" i="129"/>
  <c r="AS6" i="129"/>
  <c r="AS5" i="129"/>
  <c r="AR5" i="129"/>
  <c r="AQ5" i="129"/>
  <c r="AQ38" i="129" s="1"/>
  <c r="BB6" i="100"/>
  <c r="BA6" i="100"/>
  <c r="BR71" i="100"/>
  <c r="BR70" i="100"/>
  <c r="BR69" i="100"/>
  <c r="BR68" i="100"/>
  <c r="BR67" i="100"/>
  <c r="BR66" i="100"/>
  <c r="BR65" i="100"/>
  <c r="BR64" i="100"/>
  <c r="BR63" i="100"/>
  <c r="BR62" i="100"/>
  <c r="BR61" i="100"/>
  <c r="BR60" i="100"/>
  <c r="BR59" i="100"/>
  <c r="BR58" i="100"/>
  <c r="BR57" i="100"/>
  <c r="BR56" i="100"/>
  <c r="BR55" i="100"/>
  <c r="BQ54" i="100"/>
  <c r="BP54" i="100"/>
  <c r="BR52" i="100"/>
  <c r="BR51" i="100"/>
  <c r="BQ50" i="100"/>
  <c r="BP50" i="100"/>
  <c r="BR48" i="100"/>
  <c r="BR47" i="100"/>
  <c r="BR46" i="100"/>
  <c r="BR45" i="100"/>
  <c r="BR44" i="100"/>
  <c r="BR43" i="100"/>
  <c r="BR42" i="100"/>
  <c r="BQ41" i="100"/>
  <c r="BP41" i="100"/>
  <c r="BR36" i="100"/>
  <c r="BR35" i="100" s="1"/>
  <c r="BQ35" i="100"/>
  <c r="BP35" i="100"/>
  <c r="BR33" i="100"/>
  <c r="BR32" i="100"/>
  <c r="BR31" i="100"/>
  <c r="BR30" i="100"/>
  <c r="BR29" i="100"/>
  <c r="BP28" i="100"/>
  <c r="BR28" i="100" s="1"/>
  <c r="BR27" i="100"/>
  <c r="BP27" i="100"/>
  <c r="BR26" i="100"/>
  <c r="BR25" i="100"/>
  <c r="BR24" i="100"/>
  <c r="BR23" i="100"/>
  <c r="BR22" i="100"/>
  <c r="BR21" i="100"/>
  <c r="BR20" i="100"/>
  <c r="BR19" i="100"/>
  <c r="BR18" i="100"/>
  <c r="BR17" i="100"/>
  <c r="BR16" i="100"/>
  <c r="BR15" i="100"/>
  <c r="BR14" i="100"/>
  <c r="BR13" i="100"/>
  <c r="BR12" i="100"/>
  <c r="BR11" i="100"/>
  <c r="BR10" i="100"/>
  <c r="BQ9" i="100"/>
  <c r="BQ8" i="100" s="1"/>
  <c r="BR7" i="100"/>
  <c r="BR6" i="100"/>
  <c r="BR5" i="100" s="1"/>
  <c r="BQ5" i="100"/>
  <c r="BP5" i="100"/>
  <c r="AC6" i="130"/>
  <c r="CO9" i="130"/>
  <c r="CP6" i="130"/>
  <c r="AS82" i="130"/>
  <c r="AS78" i="130"/>
  <c r="AR77" i="130"/>
  <c r="AS74" i="130"/>
  <c r="AS73" i="130" s="1"/>
  <c r="AR73" i="130"/>
  <c r="AQ73" i="130"/>
  <c r="AS71" i="130"/>
  <c r="AS70" i="130"/>
  <c r="AS69" i="130"/>
  <c r="AS68" i="130"/>
  <c r="AS67" i="130"/>
  <c r="AS66" i="130"/>
  <c r="AS65" i="130"/>
  <c r="AS64" i="130"/>
  <c r="AS63" i="130"/>
  <c r="AS62" i="130"/>
  <c r="AS61" i="130"/>
  <c r="AS60" i="130"/>
  <c r="AS59" i="130"/>
  <c r="AS58" i="130"/>
  <c r="AS57" i="130"/>
  <c r="AS56" i="130"/>
  <c r="AS55" i="130"/>
  <c r="AR54" i="130"/>
  <c r="AQ54" i="130"/>
  <c r="AS52" i="130"/>
  <c r="AS51" i="130"/>
  <c r="AS50" i="130" s="1"/>
  <c r="AR50" i="130"/>
  <c r="AQ50" i="130"/>
  <c r="AS48" i="130"/>
  <c r="AS47" i="130"/>
  <c r="AS46" i="130"/>
  <c r="AS45" i="130"/>
  <c r="AS44" i="130"/>
  <c r="AS43" i="130"/>
  <c r="AS42" i="130"/>
  <c r="AR41" i="130"/>
  <c r="AQ41" i="130"/>
  <c r="AS36" i="130"/>
  <c r="AS35" i="130" s="1"/>
  <c r="AR35" i="130"/>
  <c r="AQ35" i="130"/>
  <c r="AS33" i="130"/>
  <c r="AS32" i="130"/>
  <c r="AS31" i="130"/>
  <c r="AS30" i="130"/>
  <c r="AS29" i="130"/>
  <c r="AQ28" i="130"/>
  <c r="AS28" i="130" s="1"/>
  <c r="AS27" i="130"/>
  <c r="AQ27" i="130"/>
  <c r="AS26" i="130"/>
  <c r="AS25" i="130"/>
  <c r="AS24" i="130"/>
  <c r="AS23" i="130"/>
  <c r="AS22" i="130"/>
  <c r="AS21" i="130"/>
  <c r="AS20" i="130"/>
  <c r="AS19" i="130"/>
  <c r="AQ18" i="130"/>
  <c r="AS18" i="130" s="1"/>
  <c r="AS17" i="130"/>
  <c r="AS16" i="130"/>
  <c r="AS15" i="130"/>
  <c r="AS14" i="130"/>
  <c r="AS13" i="130"/>
  <c r="AS12" i="130"/>
  <c r="AS11" i="130"/>
  <c r="AS10" i="130"/>
  <c r="AS9" i="130"/>
  <c r="AR8" i="130"/>
  <c r="AR38" i="130" s="1"/>
  <c r="AR39" i="130" s="1"/>
  <c r="AS7" i="130"/>
  <c r="AQ6" i="130"/>
  <c r="AR5" i="130"/>
  <c r="C5" i="130"/>
  <c r="D5" i="130"/>
  <c r="E5" i="130"/>
  <c r="H5" i="130"/>
  <c r="I5" i="130"/>
  <c r="M5" i="130"/>
  <c r="N5" i="130"/>
  <c r="S5" i="130"/>
  <c r="AG5" i="130"/>
  <c r="AH5" i="130"/>
  <c r="AL5" i="130"/>
  <c r="AM5" i="130"/>
  <c r="AV5" i="130"/>
  <c r="AW5" i="130"/>
  <c r="BA5" i="130"/>
  <c r="BB5" i="130"/>
  <c r="BF5" i="130"/>
  <c r="BF38" i="130" s="1"/>
  <c r="BF39" i="130" s="1"/>
  <c r="BG5" i="130"/>
  <c r="BK5" i="130"/>
  <c r="BL5" i="130"/>
  <c r="BP5" i="130"/>
  <c r="BQ5" i="130"/>
  <c r="BU5" i="130"/>
  <c r="BV5" i="130"/>
  <c r="BZ5" i="130"/>
  <c r="BZ38" i="130" s="1"/>
  <c r="BZ39" i="130" s="1"/>
  <c r="CA5" i="130"/>
  <c r="CE5" i="130"/>
  <c r="CF5" i="130"/>
  <c r="CJ5" i="130"/>
  <c r="CK5" i="130"/>
  <c r="E6" i="130"/>
  <c r="J6" i="130"/>
  <c r="J5" i="130" s="1"/>
  <c r="O6" i="130"/>
  <c r="O5" i="130" s="1"/>
  <c r="R6" i="130"/>
  <c r="AI6" i="130"/>
  <c r="AN6" i="130"/>
  <c r="AX6" i="130"/>
  <c r="AX5" i="130" s="1"/>
  <c r="BC6" i="130"/>
  <c r="BH6" i="130"/>
  <c r="BM6" i="130"/>
  <c r="BM5" i="130" s="1"/>
  <c r="BR6" i="130"/>
  <c r="BR5" i="130" s="1"/>
  <c r="BW6" i="130"/>
  <c r="BW5" i="130" s="1"/>
  <c r="CB6" i="130"/>
  <c r="CG6" i="130"/>
  <c r="CG5" i="130" s="1"/>
  <c r="CL6" i="130"/>
  <c r="E7" i="130"/>
  <c r="J7" i="130"/>
  <c r="O7" i="130"/>
  <c r="T7" i="130"/>
  <c r="AB7" i="130"/>
  <c r="AC7" i="130"/>
  <c r="AD7" i="130" s="1"/>
  <c r="AI7" i="130"/>
  <c r="AI5" i="130" s="1"/>
  <c r="AN7" i="130"/>
  <c r="AX7" i="130"/>
  <c r="BC7" i="130"/>
  <c r="BH7" i="130"/>
  <c r="BH5" i="130" s="1"/>
  <c r="BM7" i="130"/>
  <c r="BR7" i="130"/>
  <c r="BW7" i="130"/>
  <c r="CB7" i="130"/>
  <c r="CG7" i="130"/>
  <c r="CL7" i="130"/>
  <c r="CO7" i="130"/>
  <c r="CP7" i="130"/>
  <c r="CP5" i="130" s="1"/>
  <c r="C8" i="130"/>
  <c r="D8" i="130"/>
  <c r="I8" i="130"/>
  <c r="N8" i="130"/>
  <c r="N38" i="130" s="1"/>
  <c r="N39" i="130" s="1"/>
  <c r="AH8" i="130"/>
  <c r="AM8" i="130"/>
  <c r="AV8" i="130"/>
  <c r="AW8" i="130"/>
  <c r="BA8" i="130"/>
  <c r="BB8" i="130"/>
  <c r="BF8" i="130"/>
  <c r="BG8" i="130"/>
  <c r="BK8" i="130"/>
  <c r="BL8" i="130"/>
  <c r="BP8" i="130"/>
  <c r="BP38" i="130" s="1"/>
  <c r="BQ8" i="130"/>
  <c r="BU8" i="130"/>
  <c r="BV8" i="130"/>
  <c r="BZ8" i="130"/>
  <c r="CA8" i="130"/>
  <c r="CE8" i="130"/>
  <c r="CF8" i="130"/>
  <c r="CJ8" i="130"/>
  <c r="CK8" i="130"/>
  <c r="E9" i="130"/>
  <c r="J9" i="130"/>
  <c r="O9" i="130"/>
  <c r="T9" i="130"/>
  <c r="AB9" i="130"/>
  <c r="AC9" i="130"/>
  <c r="AI9" i="130"/>
  <c r="AN9" i="130"/>
  <c r="AX9" i="130"/>
  <c r="BC9" i="130"/>
  <c r="BH9" i="130"/>
  <c r="BM9" i="130"/>
  <c r="BR9" i="130"/>
  <c r="BW9" i="130"/>
  <c r="CB9" i="130"/>
  <c r="CG9" i="130"/>
  <c r="CL9" i="130"/>
  <c r="CP9" i="130"/>
  <c r="E10" i="130"/>
  <c r="J10" i="130"/>
  <c r="O10" i="130"/>
  <c r="T10" i="130"/>
  <c r="AB10" i="130"/>
  <c r="AD10" i="130" s="1"/>
  <c r="AC10" i="130"/>
  <c r="AI10" i="130"/>
  <c r="AN10" i="130"/>
  <c r="AX10" i="130"/>
  <c r="BC10" i="130"/>
  <c r="BH10" i="130"/>
  <c r="BM10" i="130"/>
  <c r="BR10" i="130"/>
  <c r="BW10" i="130"/>
  <c r="CB10" i="130"/>
  <c r="CG10" i="130"/>
  <c r="CL10" i="130"/>
  <c r="CQ10" i="130"/>
  <c r="E11" i="130"/>
  <c r="J11" i="130"/>
  <c r="O11" i="130"/>
  <c r="T11" i="130"/>
  <c r="AB11" i="130"/>
  <c r="AC11" i="130"/>
  <c r="AD11" i="130" s="1"/>
  <c r="AI11" i="130"/>
  <c r="AN11" i="130"/>
  <c r="AX11" i="130"/>
  <c r="BC11" i="130"/>
  <c r="BH11" i="130"/>
  <c r="BM11" i="130"/>
  <c r="BR11" i="130"/>
  <c r="BW11" i="130"/>
  <c r="CB11" i="130"/>
  <c r="CG11" i="130"/>
  <c r="CL11" i="130"/>
  <c r="E12" i="130"/>
  <c r="J12" i="130"/>
  <c r="O12" i="130"/>
  <c r="T12" i="130"/>
  <c r="AB12" i="130"/>
  <c r="AC12" i="130"/>
  <c r="AI12" i="130"/>
  <c r="AN12" i="130"/>
  <c r="AX12" i="130"/>
  <c r="BC12" i="130"/>
  <c r="BH12" i="130"/>
  <c r="BM12" i="130"/>
  <c r="BR12" i="130"/>
  <c r="BW12" i="130"/>
  <c r="CB12" i="130"/>
  <c r="CG12" i="130"/>
  <c r="CL12" i="130"/>
  <c r="E13" i="130"/>
  <c r="J13" i="130"/>
  <c r="O13" i="130"/>
  <c r="T13" i="130"/>
  <c r="AB13" i="130"/>
  <c r="AD13" i="130" s="1"/>
  <c r="AC13" i="130"/>
  <c r="AI13" i="130"/>
  <c r="AN13" i="130"/>
  <c r="AX13" i="130"/>
  <c r="BC13" i="130"/>
  <c r="BH13" i="130"/>
  <c r="BM13" i="130"/>
  <c r="BR13" i="130"/>
  <c r="BW13" i="130"/>
  <c r="CB13" i="130"/>
  <c r="CG13" i="130"/>
  <c r="CL13" i="130"/>
  <c r="E14" i="130"/>
  <c r="J14" i="130"/>
  <c r="O14" i="130"/>
  <c r="T14" i="130"/>
  <c r="AB14" i="130"/>
  <c r="AC14" i="130"/>
  <c r="AI14" i="130"/>
  <c r="AN14" i="130"/>
  <c r="AX14" i="130"/>
  <c r="BC14" i="130"/>
  <c r="BH14" i="130"/>
  <c r="BM14" i="130"/>
  <c r="BR14" i="130"/>
  <c r="BW14" i="130"/>
  <c r="CB14" i="130"/>
  <c r="CG14" i="130"/>
  <c r="CL14" i="130"/>
  <c r="E15" i="130"/>
  <c r="J15" i="130"/>
  <c r="O15" i="130"/>
  <c r="T15" i="130"/>
  <c r="AB15" i="130"/>
  <c r="AC15" i="130"/>
  <c r="AI15" i="130"/>
  <c r="AN15" i="130"/>
  <c r="AX15" i="130"/>
  <c r="BC15" i="130"/>
  <c r="BH15" i="130"/>
  <c r="BM15" i="130"/>
  <c r="BR15" i="130"/>
  <c r="BW15" i="130"/>
  <c r="CB15" i="130"/>
  <c r="CG15" i="130"/>
  <c r="CL15" i="130"/>
  <c r="E16" i="130"/>
  <c r="J16" i="130"/>
  <c r="O16" i="130"/>
  <c r="T16" i="130"/>
  <c r="AB16" i="130"/>
  <c r="AD16" i="130" s="1"/>
  <c r="AC16" i="130"/>
  <c r="AI16" i="130"/>
  <c r="AN16" i="130"/>
  <c r="AX16" i="130"/>
  <c r="BC16" i="130"/>
  <c r="BH16" i="130"/>
  <c r="BM16" i="130"/>
  <c r="BR16" i="130"/>
  <c r="BW16" i="130"/>
  <c r="CB16" i="130"/>
  <c r="CG16" i="130"/>
  <c r="CL16" i="130"/>
  <c r="CQ16" i="130"/>
  <c r="E17" i="130"/>
  <c r="J17" i="130"/>
  <c r="O17" i="130"/>
  <c r="T17" i="130"/>
  <c r="AB17" i="130"/>
  <c r="AC17" i="130"/>
  <c r="AI17" i="130"/>
  <c r="AN17" i="130"/>
  <c r="AX17" i="130"/>
  <c r="BC17" i="130"/>
  <c r="BH17" i="130"/>
  <c r="BM17" i="130"/>
  <c r="BR17" i="130"/>
  <c r="BW17" i="130"/>
  <c r="CB17" i="130"/>
  <c r="CG17" i="130"/>
  <c r="CL17" i="130"/>
  <c r="E18" i="130"/>
  <c r="J18" i="130"/>
  <c r="O18" i="130"/>
  <c r="T18" i="130"/>
  <c r="AB18" i="130"/>
  <c r="AC18" i="130"/>
  <c r="AI18" i="130"/>
  <c r="AL18" i="130"/>
  <c r="AX18" i="130"/>
  <c r="BC18" i="130"/>
  <c r="BH18" i="130"/>
  <c r="BM18" i="130"/>
  <c r="BR18" i="130"/>
  <c r="BW18" i="130"/>
  <c r="CB18" i="130"/>
  <c r="CG18" i="130"/>
  <c r="CL18" i="130"/>
  <c r="E19" i="130"/>
  <c r="J19" i="130"/>
  <c r="O19" i="130"/>
  <c r="T19" i="130"/>
  <c r="AB19" i="130"/>
  <c r="AC19" i="130"/>
  <c r="AI19" i="130"/>
  <c r="AN19" i="130"/>
  <c r="AX19" i="130"/>
  <c r="BC19" i="130"/>
  <c r="BH19" i="130"/>
  <c r="BM19" i="130"/>
  <c r="BR19" i="130"/>
  <c r="BW19" i="130"/>
  <c r="CB19" i="130"/>
  <c r="CG19" i="130"/>
  <c r="CL19" i="130"/>
  <c r="E20" i="130"/>
  <c r="J20" i="130"/>
  <c r="O20" i="130"/>
  <c r="T20" i="130"/>
  <c r="AB20" i="130"/>
  <c r="AC20" i="130"/>
  <c r="AI20" i="130"/>
  <c r="AN20" i="130"/>
  <c r="AX20" i="130"/>
  <c r="BC20" i="130"/>
  <c r="BH20" i="130"/>
  <c r="BM20" i="130"/>
  <c r="BR20" i="130"/>
  <c r="BW20" i="130"/>
  <c r="CB20" i="130"/>
  <c r="CG20" i="130"/>
  <c r="CL20" i="130"/>
  <c r="CQ20" i="130"/>
  <c r="E21" i="130"/>
  <c r="J21" i="130"/>
  <c r="O21" i="130"/>
  <c r="T21" i="130"/>
  <c r="AB21" i="130"/>
  <c r="AC21" i="130"/>
  <c r="AI21" i="130"/>
  <c r="AN21" i="130"/>
  <c r="AX21" i="130"/>
  <c r="BC21" i="130"/>
  <c r="BH21" i="130"/>
  <c r="BM21" i="130"/>
  <c r="BR21" i="130"/>
  <c r="BW21" i="130"/>
  <c r="CB21" i="130"/>
  <c r="CG21" i="130"/>
  <c r="CL21" i="130"/>
  <c r="CQ21" i="130"/>
  <c r="T22" i="130"/>
  <c r="AB22" i="130"/>
  <c r="AC22" i="130"/>
  <c r="AI22" i="130"/>
  <c r="AN22" i="130"/>
  <c r="AX22" i="130"/>
  <c r="BC22" i="130"/>
  <c r="BH22" i="130"/>
  <c r="BM22" i="130"/>
  <c r="BR22" i="130"/>
  <c r="BW22" i="130"/>
  <c r="CB22" i="130"/>
  <c r="CG22" i="130"/>
  <c r="CL22" i="130"/>
  <c r="T23" i="130"/>
  <c r="AB23" i="130"/>
  <c r="AC23" i="130"/>
  <c r="AI23" i="130"/>
  <c r="AN23" i="130"/>
  <c r="AX23" i="130"/>
  <c r="BC23" i="130"/>
  <c r="BH23" i="130"/>
  <c r="BM23" i="130"/>
  <c r="BR23" i="130"/>
  <c r="BW23" i="130"/>
  <c r="CB23" i="130"/>
  <c r="CG23" i="130"/>
  <c r="CL23" i="130"/>
  <c r="E24" i="130"/>
  <c r="J24" i="130"/>
  <c r="O24" i="130"/>
  <c r="T24" i="130"/>
  <c r="AB24" i="130"/>
  <c r="AC24" i="130"/>
  <c r="AI24" i="130"/>
  <c r="AN24" i="130"/>
  <c r="AX24" i="130"/>
  <c r="BC24" i="130"/>
  <c r="BH24" i="130"/>
  <c r="BM24" i="130"/>
  <c r="BR24" i="130"/>
  <c r="BW24" i="130"/>
  <c r="CB24" i="130"/>
  <c r="CG24" i="130"/>
  <c r="CL24" i="130"/>
  <c r="E25" i="130"/>
  <c r="J25" i="130"/>
  <c r="O25" i="130"/>
  <c r="R25" i="130"/>
  <c r="T25" i="130" s="1"/>
  <c r="AB25" i="130"/>
  <c r="AC25" i="130"/>
  <c r="AI25" i="130"/>
  <c r="AN25" i="130"/>
  <c r="AX25" i="130"/>
  <c r="BC25" i="130"/>
  <c r="BH25" i="130"/>
  <c r="BM25" i="130"/>
  <c r="BR25" i="130"/>
  <c r="BW25" i="130"/>
  <c r="CB25" i="130"/>
  <c r="CG25" i="130"/>
  <c r="CL25" i="130"/>
  <c r="E26" i="130"/>
  <c r="J26" i="130"/>
  <c r="O26" i="130"/>
  <c r="T26" i="130"/>
  <c r="AB26" i="130"/>
  <c r="AC26" i="130"/>
  <c r="AI26" i="130"/>
  <c r="AN26" i="130"/>
  <c r="AX26" i="130"/>
  <c r="BC26" i="130"/>
  <c r="BH26" i="130"/>
  <c r="BM26" i="130"/>
  <c r="BR26" i="130"/>
  <c r="BW26" i="130"/>
  <c r="CB26" i="130"/>
  <c r="CG26" i="130"/>
  <c r="CL26" i="130"/>
  <c r="CQ26" i="130"/>
  <c r="E27" i="130"/>
  <c r="H27" i="130"/>
  <c r="CO27" i="130" s="1"/>
  <c r="O27" i="130"/>
  <c r="T27" i="130"/>
  <c r="AB27" i="130"/>
  <c r="AC27" i="130"/>
  <c r="AI27" i="130"/>
  <c r="AN27" i="130"/>
  <c r="AX27" i="130"/>
  <c r="BC27" i="130"/>
  <c r="BH27" i="130"/>
  <c r="BM27" i="130"/>
  <c r="BR27" i="130"/>
  <c r="BW27" i="130"/>
  <c r="CB27" i="130"/>
  <c r="CG27" i="130"/>
  <c r="CL27" i="130"/>
  <c r="E28" i="130"/>
  <c r="H28" i="130"/>
  <c r="CO28" i="130" s="1"/>
  <c r="M28" i="130"/>
  <c r="O28" i="130" s="1"/>
  <c r="R28" i="130"/>
  <c r="S28" i="130"/>
  <c r="S8" i="130" s="1"/>
  <c r="S38" i="130" s="1"/>
  <c r="S39" i="130" s="1"/>
  <c r="AC28" i="130"/>
  <c r="AG28" i="130"/>
  <c r="AI28" i="130" s="1"/>
  <c r="AL28" i="130"/>
  <c r="AN28" i="130"/>
  <c r="AX28" i="130"/>
  <c r="BC28" i="130"/>
  <c r="BH28" i="130"/>
  <c r="BM28" i="130"/>
  <c r="BR28" i="130"/>
  <c r="BW28" i="130"/>
  <c r="CB28" i="130"/>
  <c r="CG28" i="130"/>
  <c r="CL28" i="130"/>
  <c r="E29" i="130"/>
  <c r="J29" i="130"/>
  <c r="O29" i="130"/>
  <c r="R29" i="130"/>
  <c r="CO29" i="130" s="1"/>
  <c r="CQ29" i="130" s="1"/>
  <c r="AB29" i="130"/>
  <c r="AC29" i="130"/>
  <c r="AI29" i="130"/>
  <c r="AN29" i="130"/>
  <c r="AX29" i="130"/>
  <c r="BC29" i="130"/>
  <c r="BH29" i="130"/>
  <c r="BM29" i="130"/>
  <c r="BR29" i="130"/>
  <c r="BW29" i="130"/>
  <c r="CB29" i="130"/>
  <c r="CG29" i="130"/>
  <c r="CL29" i="130"/>
  <c r="E30" i="130"/>
  <c r="J30" i="130"/>
  <c r="O30" i="130"/>
  <c r="T30" i="130"/>
  <c r="AB30" i="130"/>
  <c r="AD30" i="130" s="1"/>
  <c r="AC30" i="130"/>
  <c r="AI30" i="130"/>
  <c r="AN30" i="130"/>
  <c r="AX30" i="130"/>
  <c r="BC30" i="130"/>
  <c r="BH30" i="130"/>
  <c r="BM30" i="130"/>
  <c r="BR30" i="130"/>
  <c r="BW30" i="130"/>
  <c r="CB30" i="130"/>
  <c r="CG30" i="130"/>
  <c r="CL30" i="130"/>
  <c r="E31" i="130"/>
  <c r="J31" i="130"/>
  <c r="O31" i="130"/>
  <c r="T31" i="130"/>
  <c r="AB31" i="130"/>
  <c r="AC31" i="130"/>
  <c r="AI31" i="130"/>
  <c r="AN31" i="130"/>
  <c r="AX31" i="130"/>
  <c r="BC31" i="130"/>
  <c r="BH31" i="130"/>
  <c r="BM31" i="130"/>
  <c r="BR31" i="130"/>
  <c r="BW31" i="130"/>
  <c r="CB31" i="130"/>
  <c r="CG31" i="130"/>
  <c r="CL31" i="130"/>
  <c r="CQ31" i="130"/>
  <c r="E32" i="130"/>
  <c r="H32" i="130"/>
  <c r="J32" i="130"/>
  <c r="O32" i="130"/>
  <c r="T32" i="130"/>
  <c r="AC32" i="130"/>
  <c r="AG32" i="130"/>
  <c r="AB32" i="130" s="1"/>
  <c r="AD32" i="130" s="1"/>
  <c r="AI32" i="130"/>
  <c r="AN32" i="130"/>
  <c r="AX32" i="130"/>
  <c r="BC32" i="130"/>
  <c r="BH32" i="130"/>
  <c r="BM32" i="130"/>
  <c r="BR32" i="130"/>
  <c r="BW32" i="130"/>
  <c r="CB32" i="130"/>
  <c r="CG32" i="130"/>
  <c r="CL32" i="130"/>
  <c r="E33" i="130"/>
  <c r="J33" i="130"/>
  <c r="O33" i="130"/>
  <c r="T33" i="130"/>
  <c r="AB33" i="130"/>
  <c r="AD33" i="130" s="1"/>
  <c r="AC33" i="130"/>
  <c r="AI33" i="130"/>
  <c r="AN33" i="130"/>
  <c r="AX33" i="130"/>
  <c r="BC33" i="130"/>
  <c r="BH33" i="130"/>
  <c r="BM33" i="130"/>
  <c r="BR33" i="130"/>
  <c r="BW33" i="130"/>
  <c r="CB33" i="130"/>
  <c r="CG33" i="130"/>
  <c r="CL33" i="130"/>
  <c r="C35" i="130"/>
  <c r="D35" i="130"/>
  <c r="H35" i="130"/>
  <c r="I35" i="130"/>
  <c r="M35" i="130"/>
  <c r="N35" i="130"/>
  <c r="R35" i="130"/>
  <c r="S35" i="130"/>
  <c r="AG35" i="130"/>
  <c r="AH35" i="130"/>
  <c r="AL35" i="130"/>
  <c r="AM35" i="130"/>
  <c r="AN35" i="130"/>
  <c r="AV35" i="130"/>
  <c r="AW35" i="130"/>
  <c r="BA35" i="130"/>
  <c r="BB35" i="130"/>
  <c r="BC35" i="130"/>
  <c r="BF35" i="130"/>
  <c r="BG35" i="130"/>
  <c r="BK35" i="130"/>
  <c r="BL35" i="130"/>
  <c r="BP35" i="130"/>
  <c r="BQ35" i="130"/>
  <c r="BR35" i="130"/>
  <c r="BU35" i="130"/>
  <c r="BV35" i="130"/>
  <c r="BZ35" i="130"/>
  <c r="CA35" i="130"/>
  <c r="CE35" i="130"/>
  <c r="CF35" i="130"/>
  <c r="CJ35" i="130"/>
  <c r="CK35" i="130"/>
  <c r="E36" i="130"/>
  <c r="J36" i="130"/>
  <c r="J35" i="130" s="1"/>
  <c r="O36" i="130"/>
  <c r="O35" i="130" s="1"/>
  <c r="T36" i="130"/>
  <c r="T35" i="130" s="1"/>
  <c r="AB36" i="130"/>
  <c r="AB35" i="130" s="1"/>
  <c r="AC36" i="130"/>
  <c r="AC35" i="130" s="1"/>
  <c r="AD36" i="130"/>
  <c r="AI36" i="130"/>
  <c r="AN36" i="130"/>
  <c r="AX36" i="130"/>
  <c r="BC36" i="130"/>
  <c r="BH36" i="130"/>
  <c r="BM36" i="130"/>
  <c r="BR36" i="130"/>
  <c r="BW36" i="130"/>
  <c r="CB36" i="130"/>
  <c r="CG36" i="130"/>
  <c r="CG35" i="130" s="1"/>
  <c r="CL36" i="130"/>
  <c r="C38" i="130"/>
  <c r="D38" i="130"/>
  <c r="I38" i="130"/>
  <c r="I39" i="130" s="1"/>
  <c r="AH38" i="130"/>
  <c r="AW38" i="130"/>
  <c r="AW39" i="130" s="1"/>
  <c r="BA38" i="130"/>
  <c r="BB38" i="130"/>
  <c r="BB39" i="130" s="1"/>
  <c r="BG38" i="130"/>
  <c r="BG39" i="130" s="1"/>
  <c r="BK38" i="130"/>
  <c r="BQ38" i="130"/>
  <c r="BU38" i="130"/>
  <c r="BU39" i="130" s="1"/>
  <c r="BV38" i="130"/>
  <c r="BV39" i="130" s="1"/>
  <c r="CA38" i="130"/>
  <c r="CA39" i="130" s="1"/>
  <c r="CE38" i="130"/>
  <c r="CK38" i="130"/>
  <c r="CK39" i="130" s="1"/>
  <c r="C39" i="130"/>
  <c r="D39" i="130"/>
  <c r="BA39" i="130"/>
  <c r="BQ39" i="130"/>
  <c r="C41" i="130"/>
  <c r="D41" i="130"/>
  <c r="H41" i="130"/>
  <c r="I41" i="130"/>
  <c r="M41" i="130"/>
  <c r="N41" i="130"/>
  <c r="R41" i="130"/>
  <c r="S41" i="130"/>
  <c r="AG41" i="130"/>
  <c r="AH41" i="130"/>
  <c r="AL41" i="130"/>
  <c r="AM41" i="130"/>
  <c r="AV41" i="130"/>
  <c r="AW41" i="130"/>
  <c r="BA41" i="130"/>
  <c r="BB41" i="130"/>
  <c r="BF41" i="130"/>
  <c r="BG41" i="130"/>
  <c r="BK41" i="130"/>
  <c r="BL41" i="130"/>
  <c r="BP41" i="130"/>
  <c r="BQ41" i="130"/>
  <c r="BQ75" i="130" s="1"/>
  <c r="BU41" i="130"/>
  <c r="BV41" i="130"/>
  <c r="BZ41" i="130"/>
  <c r="CA41" i="130"/>
  <c r="CE41" i="130"/>
  <c r="CF41" i="130"/>
  <c r="CJ41" i="130"/>
  <c r="CK41" i="130"/>
  <c r="CK75" i="130" s="1"/>
  <c r="E42" i="130"/>
  <c r="J42" i="130"/>
  <c r="O42" i="130"/>
  <c r="T42" i="130"/>
  <c r="AB42" i="130"/>
  <c r="AC42" i="130"/>
  <c r="AD42" i="130" s="1"/>
  <c r="AI42" i="130"/>
  <c r="AN42" i="130"/>
  <c r="AX42" i="130"/>
  <c r="BC42" i="130"/>
  <c r="BC41" i="130" s="1"/>
  <c r="BH42" i="130"/>
  <c r="BM42" i="130"/>
  <c r="BR42" i="130"/>
  <c r="BW42" i="130"/>
  <c r="CB42" i="130"/>
  <c r="CG42" i="130"/>
  <c r="CL42" i="130"/>
  <c r="E43" i="130"/>
  <c r="J43" i="130"/>
  <c r="O43" i="130"/>
  <c r="T43" i="130"/>
  <c r="AB43" i="130"/>
  <c r="AC43" i="130"/>
  <c r="AI43" i="130"/>
  <c r="AN43" i="130"/>
  <c r="AX43" i="130"/>
  <c r="BC43" i="130"/>
  <c r="BH43" i="130"/>
  <c r="BM43" i="130"/>
  <c r="BR43" i="130"/>
  <c r="BW43" i="130"/>
  <c r="CB43" i="130"/>
  <c r="CG43" i="130"/>
  <c r="CL43" i="130"/>
  <c r="E44" i="130"/>
  <c r="J44" i="130"/>
  <c r="O44" i="130"/>
  <c r="T44" i="130"/>
  <c r="AB44" i="130"/>
  <c r="AC44" i="130"/>
  <c r="AI44" i="130"/>
  <c r="AN44" i="130"/>
  <c r="AX44" i="130"/>
  <c r="BC44" i="130"/>
  <c r="BH44" i="130"/>
  <c r="BM44" i="130"/>
  <c r="BR44" i="130"/>
  <c r="BW44" i="130"/>
  <c r="CB44" i="130"/>
  <c r="CG44" i="130"/>
  <c r="CL44" i="130"/>
  <c r="E45" i="130"/>
  <c r="J45" i="130"/>
  <c r="O45" i="130"/>
  <c r="T45" i="130"/>
  <c r="AB45" i="130"/>
  <c r="AC45" i="130"/>
  <c r="AI45" i="130"/>
  <c r="AN45" i="130"/>
  <c r="AX45" i="130"/>
  <c r="BC45" i="130"/>
  <c r="BH45" i="130"/>
  <c r="BM45" i="130"/>
  <c r="BR45" i="130"/>
  <c r="BW45" i="130"/>
  <c r="CB45" i="130"/>
  <c r="CG45" i="130"/>
  <c r="CL45" i="130"/>
  <c r="E46" i="130"/>
  <c r="J46" i="130"/>
  <c r="O46" i="130"/>
  <c r="T46" i="130"/>
  <c r="AB46" i="130"/>
  <c r="AD46" i="130" s="1"/>
  <c r="AC46" i="130"/>
  <c r="AI46" i="130"/>
  <c r="AN46" i="130"/>
  <c r="AX46" i="130"/>
  <c r="BC46" i="130"/>
  <c r="BH46" i="130"/>
  <c r="BM46" i="130"/>
  <c r="BR46" i="130"/>
  <c r="BW46" i="130"/>
  <c r="CB46" i="130"/>
  <c r="CG46" i="130"/>
  <c r="CL46" i="130"/>
  <c r="E47" i="130"/>
  <c r="J47" i="130"/>
  <c r="O47" i="130"/>
  <c r="T47" i="130"/>
  <c r="AB47" i="130"/>
  <c r="AC47" i="130"/>
  <c r="AI47" i="130"/>
  <c r="AN47" i="130"/>
  <c r="AX47" i="130"/>
  <c r="BC47" i="130"/>
  <c r="BH47" i="130"/>
  <c r="BM47" i="130"/>
  <c r="BR47" i="130"/>
  <c r="BW47" i="130"/>
  <c r="CB47" i="130"/>
  <c r="CG47" i="130"/>
  <c r="CL47" i="130"/>
  <c r="CQ47" i="130"/>
  <c r="E48" i="130"/>
  <c r="J48" i="130"/>
  <c r="O48" i="130"/>
  <c r="T48" i="130"/>
  <c r="AB48" i="130"/>
  <c r="AC48" i="130"/>
  <c r="AI48" i="130"/>
  <c r="AN48" i="130"/>
  <c r="AX48" i="130"/>
  <c r="BC48" i="130"/>
  <c r="BH48" i="130"/>
  <c r="BM48" i="130"/>
  <c r="BR48" i="130"/>
  <c r="BW48" i="130"/>
  <c r="CB48" i="130"/>
  <c r="CG48" i="130"/>
  <c r="CL48" i="130"/>
  <c r="C50" i="130"/>
  <c r="C75" i="130" s="1"/>
  <c r="C76" i="130" s="1"/>
  <c r="D50" i="130"/>
  <c r="H50" i="130"/>
  <c r="I50" i="130"/>
  <c r="M50" i="130"/>
  <c r="N50" i="130"/>
  <c r="R50" i="130"/>
  <c r="S50" i="130"/>
  <c r="AB50" i="130"/>
  <c r="AG50" i="130"/>
  <c r="AH50" i="130"/>
  <c r="AL50" i="130"/>
  <c r="AM50" i="130"/>
  <c r="AN50" i="130"/>
  <c r="AV50" i="130"/>
  <c r="AW50" i="130"/>
  <c r="AW75" i="130" s="1"/>
  <c r="BA50" i="130"/>
  <c r="BB50" i="130"/>
  <c r="BF50" i="130"/>
  <c r="BG50" i="130"/>
  <c r="BK50" i="130"/>
  <c r="BL50" i="130"/>
  <c r="BP50" i="130"/>
  <c r="BQ50" i="130"/>
  <c r="BU50" i="130"/>
  <c r="BV50" i="130"/>
  <c r="BZ50" i="130"/>
  <c r="CA50" i="130"/>
  <c r="CE50" i="130"/>
  <c r="CF50" i="130"/>
  <c r="CJ50" i="130"/>
  <c r="CK50" i="130"/>
  <c r="E51" i="130"/>
  <c r="J51" i="130"/>
  <c r="O51" i="130"/>
  <c r="T51" i="130"/>
  <c r="AB51" i="130"/>
  <c r="AC51" i="130"/>
  <c r="AI51" i="130"/>
  <c r="AN51" i="130"/>
  <c r="AX51" i="130"/>
  <c r="BC51" i="130"/>
  <c r="BC50" i="130" s="1"/>
  <c r="BH51" i="130"/>
  <c r="BM51" i="130"/>
  <c r="BM50" i="130" s="1"/>
  <c r="BR51" i="130"/>
  <c r="BR50" i="130" s="1"/>
  <c r="BW51" i="130"/>
  <c r="CB51" i="130"/>
  <c r="CG51" i="130"/>
  <c r="CG50" i="130" s="1"/>
  <c r="CL51" i="130"/>
  <c r="E52" i="130"/>
  <c r="J52" i="130"/>
  <c r="O52" i="130"/>
  <c r="T52" i="130"/>
  <c r="AB52" i="130"/>
  <c r="AC52" i="130"/>
  <c r="AI52" i="130"/>
  <c r="AN52" i="130"/>
  <c r="AX52" i="130"/>
  <c r="AX50" i="130" s="1"/>
  <c r="BC52" i="130"/>
  <c r="BH52" i="130"/>
  <c r="BM52" i="130"/>
  <c r="BR52" i="130"/>
  <c r="BW52" i="130"/>
  <c r="CB52" i="130"/>
  <c r="CB50" i="130" s="1"/>
  <c r="CG52" i="130"/>
  <c r="CL52" i="130"/>
  <c r="C54" i="130"/>
  <c r="D54" i="130"/>
  <c r="H54" i="130"/>
  <c r="I54" i="130"/>
  <c r="M54" i="130"/>
  <c r="N54" i="130"/>
  <c r="R54" i="130"/>
  <c r="S54" i="130"/>
  <c r="AG54" i="130"/>
  <c r="AH54" i="130"/>
  <c r="AL54" i="130"/>
  <c r="AM54" i="130"/>
  <c r="AV54" i="130"/>
  <c r="AW54" i="130"/>
  <c r="BA54" i="130"/>
  <c r="BB54" i="130"/>
  <c r="BF54" i="130"/>
  <c r="BG54" i="130"/>
  <c r="BG75" i="130" s="1"/>
  <c r="BK54" i="130"/>
  <c r="BL54" i="130"/>
  <c r="BP54" i="130"/>
  <c r="BQ54" i="130"/>
  <c r="BU54" i="130"/>
  <c r="BV54" i="130"/>
  <c r="BZ54" i="130"/>
  <c r="CA54" i="130"/>
  <c r="CE54" i="130"/>
  <c r="CF54" i="130"/>
  <c r="CJ54" i="130"/>
  <c r="CK54" i="130"/>
  <c r="E55" i="130"/>
  <c r="J55" i="130"/>
  <c r="O55" i="130"/>
  <c r="T55" i="130"/>
  <c r="AB55" i="130"/>
  <c r="AD55" i="130" s="1"/>
  <c r="AC55" i="130"/>
  <c r="AI55" i="130"/>
  <c r="AN55" i="130"/>
  <c r="AX55" i="130"/>
  <c r="BC55" i="130"/>
  <c r="BH55" i="130"/>
  <c r="BM55" i="130"/>
  <c r="BR55" i="130"/>
  <c r="BW55" i="130"/>
  <c r="CB55" i="130"/>
  <c r="CG55" i="130"/>
  <c r="CL55" i="130"/>
  <c r="E56" i="130"/>
  <c r="J56" i="130"/>
  <c r="O56" i="130"/>
  <c r="T56" i="130"/>
  <c r="AB56" i="130"/>
  <c r="AC56" i="130"/>
  <c r="AI56" i="130"/>
  <c r="AN56" i="130"/>
  <c r="AX56" i="130"/>
  <c r="BC56" i="130"/>
  <c r="BH56" i="130"/>
  <c r="BM56" i="130"/>
  <c r="BR56" i="130"/>
  <c r="BW56" i="130"/>
  <c r="CB56" i="130"/>
  <c r="CG56" i="130"/>
  <c r="CL56" i="130"/>
  <c r="E57" i="130"/>
  <c r="J57" i="130"/>
  <c r="O57" i="130"/>
  <c r="T57" i="130"/>
  <c r="AB57" i="130"/>
  <c r="AC57" i="130"/>
  <c r="AI57" i="130"/>
  <c r="AN57" i="130"/>
  <c r="AX57" i="130"/>
  <c r="BC57" i="130"/>
  <c r="BH57" i="130"/>
  <c r="BM57" i="130"/>
  <c r="BR57" i="130"/>
  <c r="BW57" i="130"/>
  <c r="CB57" i="130"/>
  <c r="CG57" i="130"/>
  <c r="CL57" i="130"/>
  <c r="E58" i="130"/>
  <c r="J58" i="130"/>
  <c r="O58" i="130"/>
  <c r="T58" i="130"/>
  <c r="AB58" i="130"/>
  <c r="AC58" i="130"/>
  <c r="AI58" i="130"/>
  <c r="AN58" i="130"/>
  <c r="AX58" i="130"/>
  <c r="BC58" i="130"/>
  <c r="BH58" i="130"/>
  <c r="BM58" i="130"/>
  <c r="BR58" i="130"/>
  <c r="BW58" i="130"/>
  <c r="CB58" i="130"/>
  <c r="CG58" i="130"/>
  <c r="CL58" i="130"/>
  <c r="E59" i="130"/>
  <c r="J59" i="130"/>
  <c r="O59" i="130"/>
  <c r="T59" i="130"/>
  <c r="AB59" i="130"/>
  <c r="AC59" i="130"/>
  <c r="AD59" i="130" s="1"/>
  <c r="AI59" i="130"/>
  <c r="AN59" i="130"/>
  <c r="AX59" i="130"/>
  <c r="BC59" i="130"/>
  <c r="BH59" i="130"/>
  <c r="BM59" i="130"/>
  <c r="BR59" i="130"/>
  <c r="BW59" i="130"/>
  <c r="CB59" i="130"/>
  <c r="CG59" i="130"/>
  <c r="CL59" i="130"/>
  <c r="CQ59" i="130"/>
  <c r="E60" i="130"/>
  <c r="J60" i="130"/>
  <c r="O60" i="130"/>
  <c r="T60" i="130"/>
  <c r="AB60" i="130"/>
  <c r="AC60" i="130"/>
  <c r="AI60" i="130"/>
  <c r="AN60" i="130"/>
  <c r="AX60" i="130"/>
  <c r="BC60" i="130"/>
  <c r="BH60" i="130"/>
  <c r="BM60" i="130"/>
  <c r="BR60" i="130"/>
  <c r="BW60" i="130"/>
  <c r="CB60" i="130"/>
  <c r="CG60" i="130"/>
  <c r="CL60" i="130"/>
  <c r="E61" i="130"/>
  <c r="J61" i="130"/>
  <c r="O61" i="130"/>
  <c r="T61" i="130"/>
  <c r="AB61" i="130"/>
  <c r="AC61" i="130"/>
  <c r="AI61" i="130"/>
  <c r="AN61" i="130"/>
  <c r="AX61" i="130"/>
  <c r="BC61" i="130"/>
  <c r="BH61" i="130"/>
  <c r="BM61" i="130"/>
  <c r="BR61" i="130"/>
  <c r="BW61" i="130"/>
  <c r="CB61" i="130"/>
  <c r="CG61" i="130"/>
  <c r="CL61" i="130"/>
  <c r="E62" i="130"/>
  <c r="J62" i="130"/>
  <c r="O62" i="130"/>
  <c r="T62" i="130"/>
  <c r="AB62" i="130"/>
  <c r="AD62" i="130" s="1"/>
  <c r="AC62" i="130"/>
  <c r="AI62" i="130"/>
  <c r="AN62" i="130"/>
  <c r="AX62" i="130"/>
  <c r="BC62" i="130"/>
  <c r="BH62" i="130"/>
  <c r="BM62" i="130"/>
  <c r="BR62" i="130"/>
  <c r="BW62" i="130"/>
  <c r="CB62" i="130"/>
  <c r="CG62" i="130"/>
  <c r="CL62" i="130"/>
  <c r="E63" i="130"/>
  <c r="J63" i="130"/>
  <c r="O63" i="130"/>
  <c r="T63" i="130"/>
  <c r="AB63" i="130"/>
  <c r="AC63" i="130"/>
  <c r="AD63" i="130"/>
  <c r="AI63" i="130"/>
  <c r="AN63" i="130"/>
  <c r="AX63" i="130"/>
  <c r="BC63" i="130"/>
  <c r="BH63" i="130"/>
  <c r="BM63" i="130"/>
  <c r="BR63" i="130"/>
  <c r="BW63" i="130"/>
  <c r="CB63" i="130"/>
  <c r="CG63" i="130"/>
  <c r="CL63" i="130"/>
  <c r="E64" i="130"/>
  <c r="J64" i="130"/>
  <c r="O64" i="130"/>
  <c r="T64" i="130"/>
  <c r="AB64" i="130"/>
  <c r="AC64" i="130"/>
  <c r="AI64" i="130"/>
  <c r="AN64" i="130"/>
  <c r="AX64" i="130"/>
  <c r="BC64" i="130"/>
  <c r="BH64" i="130"/>
  <c r="BM64" i="130"/>
  <c r="BR64" i="130"/>
  <c r="BW64" i="130"/>
  <c r="CB64" i="130"/>
  <c r="CG64" i="130"/>
  <c r="CL64" i="130"/>
  <c r="E65" i="130"/>
  <c r="J65" i="130"/>
  <c r="O65" i="130"/>
  <c r="T65" i="130"/>
  <c r="AB65" i="130"/>
  <c r="AC65" i="130"/>
  <c r="AI65" i="130"/>
  <c r="AN65" i="130"/>
  <c r="AX65" i="130"/>
  <c r="BC65" i="130"/>
  <c r="BH65" i="130"/>
  <c r="BM65" i="130"/>
  <c r="BR65" i="130"/>
  <c r="BW65" i="130"/>
  <c r="CB65" i="130"/>
  <c r="CG65" i="130"/>
  <c r="CL65" i="130"/>
  <c r="E66" i="130"/>
  <c r="J66" i="130"/>
  <c r="O66" i="130"/>
  <c r="T66" i="130"/>
  <c r="AB66" i="130"/>
  <c r="AC66" i="130"/>
  <c r="AI66" i="130"/>
  <c r="AN66" i="130"/>
  <c r="AX66" i="130"/>
  <c r="BC66" i="130"/>
  <c r="BH66" i="130"/>
  <c r="BM66" i="130"/>
  <c r="BR66" i="130"/>
  <c r="BW66" i="130"/>
  <c r="CB66" i="130"/>
  <c r="CG66" i="130"/>
  <c r="CL66" i="130"/>
  <c r="E67" i="130"/>
  <c r="J67" i="130"/>
  <c r="O67" i="130"/>
  <c r="T67" i="130"/>
  <c r="AB67" i="130"/>
  <c r="AC67" i="130"/>
  <c r="AI67" i="130"/>
  <c r="AN67" i="130"/>
  <c r="AX67" i="130"/>
  <c r="BC67" i="130"/>
  <c r="BH67" i="130"/>
  <c r="BM67" i="130"/>
  <c r="BR67" i="130"/>
  <c r="BW67" i="130"/>
  <c r="CB67" i="130"/>
  <c r="CG67" i="130"/>
  <c r="CL67" i="130"/>
  <c r="E68" i="130"/>
  <c r="J68" i="130"/>
  <c r="O68" i="130"/>
  <c r="T68" i="130"/>
  <c r="AB68" i="130"/>
  <c r="AD68" i="130" s="1"/>
  <c r="AC68" i="130"/>
  <c r="AI68" i="130"/>
  <c r="AN68" i="130"/>
  <c r="AX68" i="130"/>
  <c r="BC68" i="130"/>
  <c r="BH68" i="130"/>
  <c r="BM68" i="130"/>
  <c r="BR68" i="130"/>
  <c r="BW68" i="130"/>
  <c r="CB68" i="130"/>
  <c r="CG68" i="130"/>
  <c r="CL68" i="130"/>
  <c r="E69" i="130"/>
  <c r="J69" i="130"/>
  <c r="O69" i="130"/>
  <c r="T69" i="130"/>
  <c r="AB69" i="130"/>
  <c r="AC69" i="130"/>
  <c r="AI69" i="130"/>
  <c r="AN69" i="130"/>
  <c r="AX69" i="130"/>
  <c r="BC69" i="130"/>
  <c r="BH69" i="130"/>
  <c r="BM69" i="130"/>
  <c r="BR69" i="130"/>
  <c r="BW69" i="130"/>
  <c r="CB69" i="130"/>
  <c r="CG69" i="130"/>
  <c r="CL69" i="130"/>
  <c r="E70" i="130"/>
  <c r="J70" i="130"/>
  <c r="O70" i="130"/>
  <c r="T70" i="130"/>
  <c r="AB70" i="130"/>
  <c r="AC70" i="130"/>
  <c r="AD70" i="130" s="1"/>
  <c r="AI70" i="130"/>
  <c r="AN70" i="130"/>
  <c r="AX70" i="130"/>
  <c r="BC70" i="130"/>
  <c r="BH70" i="130"/>
  <c r="BM70" i="130"/>
  <c r="BR70" i="130"/>
  <c r="BW70" i="130"/>
  <c r="CB70" i="130"/>
  <c r="CG70" i="130"/>
  <c r="CL70" i="130"/>
  <c r="E71" i="130"/>
  <c r="J71" i="130"/>
  <c r="O71" i="130"/>
  <c r="T71" i="130"/>
  <c r="AB71" i="130"/>
  <c r="AC71" i="130"/>
  <c r="AI71" i="130"/>
  <c r="AN71" i="130"/>
  <c r="AX71" i="130"/>
  <c r="BC71" i="130"/>
  <c r="BH71" i="130"/>
  <c r="BM71" i="130"/>
  <c r="BR71" i="130"/>
  <c r="BW71" i="130"/>
  <c r="CB71" i="130"/>
  <c r="CG71" i="130"/>
  <c r="CL71" i="130"/>
  <c r="C73" i="130"/>
  <c r="D73" i="130"/>
  <c r="H73" i="130"/>
  <c r="I73" i="130"/>
  <c r="M73" i="130"/>
  <c r="N73" i="130"/>
  <c r="R73" i="130"/>
  <c r="S73" i="130"/>
  <c r="AG73" i="130"/>
  <c r="AH73" i="130"/>
  <c r="AI73" i="130"/>
  <c r="AL73" i="130"/>
  <c r="AM73" i="130"/>
  <c r="AV73" i="130"/>
  <c r="AW73" i="130"/>
  <c r="BA73" i="130"/>
  <c r="BB73" i="130"/>
  <c r="BF73" i="130"/>
  <c r="BG73" i="130"/>
  <c r="BH73" i="130"/>
  <c r="BK73" i="130"/>
  <c r="BL73" i="130"/>
  <c r="BP73" i="130"/>
  <c r="BQ73" i="130"/>
  <c r="BU73" i="130"/>
  <c r="BV73" i="130"/>
  <c r="BZ73" i="130"/>
  <c r="CA73" i="130"/>
  <c r="CE73" i="130"/>
  <c r="CF73" i="130"/>
  <c r="CJ73" i="130"/>
  <c r="CK73" i="130"/>
  <c r="E74" i="130"/>
  <c r="E73" i="130" s="1"/>
  <c r="J74" i="130"/>
  <c r="J73" i="130" s="1"/>
  <c r="O74" i="130"/>
  <c r="O73" i="130" s="1"/>
  <c r="T74" i="130"/>
  <c r="T73" i="130" s="1"/>
  <c r="AB74" i="130"/>
  <c r="AB73" i="130" s="1"/>
  <c r="AC74" i="130"/>
  <c r="AC73" i="130" s="1"/>
  <c r="AI74" i="130"/>
  <c r="AN74" i="130"/>
  <c r="AN73" i="130" s="1"/>
  <c r="AX74" i="130"/>
  <c r="AX73" i="130" s="1"/>
  <c r="BC74" i="130"/>
  <c r="BC73" i="130" s="1"/>
  <c r="BH74" i="130"/>
  <c r="BM74" i="130"/>
  <c r="BM73" i="130" s="1"/>
  <c r="BR74" i="130"/>
  <c r="BR73" i="130" s="1"/>
  <c r="BW74" i="130"/>
  <c r="BW73" i="130" s="1"/>
  <c r="CB74" i="130"/>
  <c r="CB73" i="130" s="1"/>
  <c r="CG74" i="130"/>
  <c r="CG73" i="130" s="1"/>
  <c r="CL74" i="130"/>
  <c r="CL73" i="130" s="1"/>
  <c r="N75" i="130"/>
  <c r="BA75" i="130"/>
  <c r="BA76" i="130" s="1"/>
  <c r="BU75" i="130"/>
  <c r="BU76" i="130" s="1"/>
  <c r="N76" i="130"/>
  <c r="D77" i="130"/>
  <c r="I77" i="130"/>
  <c r="N77" i="130"/>
  <c r="S77" i="130"/>
  <c r="AH77" i="130"/>
  <c r="AM77" i="130"/>
  <c r="AV77" i="130"/>
  <c r="AW77" i="130"/>
  <c r="BA77" i="130"/>
  <c r="BB77" i="130"/>
  <c r="BF77" i="130"/>
  <c r="BG77" i="130"/>
  <c r="BL77" i="130"/>
  <c r="BP77" i="130"/>
  <c r="BQ77" i="130"/>
  <c r="BU77" i="130"/>
  <c r="BV77" i="130"/>
  <c r="BZ77" i="130"/>
  <c r="CA77" i="130"/>
  <c r="CE77" i="130"/>
  <c r="CF77" i="130"/>
  <c r="CJ77" i="130"/>
  <c r="CK77" i="130"/>
  <c r="E78" i="130"/>
  <c r="J78" i="130"/>
  <c r="O78" i="130"/>
  <c r="T78" i="130"/>
  <c r="AB78" i="130"/>
  <c r="AC78" i="130"/>
  <c r="AI78" i="130"/>
  <c r="AN78" i="130"/>
  <c r="AX78" i="130"/>
  <c r="BC78" i="130"/>
  <c r="BH78" i="130"/>
  <c r="BH77" i="130" s="1"/>
  <c r="BM78" i="130"/>
  <c r="BR78" i="130"/>
  <c r="BW78" i="130"/>
  <c r="BW77" i="130" s="1"/>
  <c r="CB78" i="130"/>
  <c r="CG78" i="130"/>
  <c r="CL78" i="130"/>
  <c r="CL77" i="130" s="1"/>
  <c r="AC79" i="130"/>
  <c r="AX79" i="130"/>
  <c r="BC79" i="130"/>
  <c r="BH79" i="130"/>
  <c r="BR79" i="130"/>
  <c r="BW79" i="130"/>
  <c r="CB79" i="130"/>
  <c r="CG79" i="130"/>
  <c r="CL79" i="130"/>
  <c r="N81" i="130"/>
  <c r="N83" i="130" s="1"/>
  <c r="N84" i="130" s="1"/>
  <c r="N86" i="130" s="1"/>
  <c r="N87" i="130" s="1"/>
  <c r="BA81" i="130"/>
  <c r="BA83" i="130" s="1"/>
  <c r="E82" i="130"/>
  <c r="J82" i="130"/>
  <c r="O82" i="130"/>
  <c r="T82" i="130"/>
  <c r="AB82" i="130"/>
  <c r="AC82" i="130"/>
  <c r="AI82" i="130"/>
  <c r="AN82" i="130"/>
  <c r="AX82" i="130"/>
  <c r="BC82" i="130"/>
  <c r="BH82" i="130"/>
  <c r="BM82" i="130"/>
  <c r="BR82" i="130"/>
  <c r="BW82" i="130"/>
  <c r="CB82" i="130"/>
  <c r="CG82" i="130"/>
  <c r="CL82" i="130"/>
  <c r="E85" i="130"/>
  <c r="J85" i="130"/>
  <c r="AB85" i="130"/>
  <c r="AX85" i="130"/>
  <c r="BC85" i="130"/>
  <c r="BH85" i="130"/>
  <c r="BM85" i="130"/>
  <c r="BR85" i="130"/>
  <c r="BW85" i="130"/>
  <c r="CB85" i="130"/>
  <c r="CG85" i="130"/>
  <c r="CL85" i="130"/>
  <c r="Y89" i="130"/>
  <c r="Y91" i="130" s="1"/>
  <c r="Y93" i="130" s="1"/>
  <c r="BG81" i="130" l="1"/>
  <c r="BG83" i="130" s="1"/>
  <c r="BG84" i="130" s="1"/>
  <c r="BG86" i="130" s="1"/>
  <c r="BG87" i="130" s="1"/>
  <c r="BG76" i="130"/>
  <c r="BA84" i="130"/>
  <c r="BA86" i="130" s="1"/>
  <c r="BA87" i="130" s="1"/>
  <c r="BF75" i="130"/>
  <c r="BP75" i="130"/>
  <c r="BP39" i="130"/>
  <c r="CQ7" i="130"/>
  <c r="BR50" i="100"/>
  <c r="CE39" i="130"/>
  <c r="CE75" i="130"/>
  <c r="BC5" i="130"/>
  <c r="AS6" i="130"/>
  <c r="AS5" i="130" s="1"/>
  <c r="AB6" i="130"/>
  <c r="CO6" i="130"/>
  <c r="CQ27" i="130"/>
  <c r="AW76" i="163"/>
  <c r="AW81" i="163"/>
  <c r="AW83" i="163" s="1"/>
  <c r="AW84" i="163" s="1"/>
  <c r="AW86" i="163" s="1"/>
  <c r="AW87" i="163" s="1"/>
  <c r="CJ38" i="130"/>
  <c r="AV38" i="130"/>
  <c r="AX77" i="130"/>
  <c r="CK81" i="130"/>
  <c r="CK83" i="130" s="1"/>
  <c r="CK84" i="130" s="1"/>
  <c r="CK86" i="130" s="1"/>
  <c r="CK87" i="130" s="1"/>
  <c r="CK76" i="130"/>
  <c r="BQ81" i="130"/>
  <c r="BQ83" i="130" s="1"/>
  <c r="BQ84" i="130" s="1"/>
  <c r="BQ86" i="130" s="1"/>
  <c r="BQ87" i="130" s="1"/>
  <c r="BQ76" i="130"/>
  <c r="AH39" i="130"/>
  <c r="AH75" i="130"/>
  <c r="CF38" i="130"/>
  <c r="BL38" i="130"/>
  <c r="AM38" i="130"/>
  <c r="BK39" i="130"/>
  <c r="BK75" i="130"/>
  <c r="BK76" i="130" s="1"/>
  <c r="AW76" i="130"/>
  <c r="AW81" i="130"/>
  <c r="AW83" i="130" s="1"/>
  <c r="AW84" i="130" s="1"/>
  <c r="AW86" i="130" s="1"/>
  <c r="AW87" i="130" s="1"/>
  <c r="BU81" i="130"/>
  <c r="BU83" i="130" s="1"/>
  <c r="CG77" i="130"/>
  <c r="CA75" i="130"/>
  <c r="CO32" i="130"/>
  <c r="CQ32" i="130" s="1"/>
  <c r="AB28" i="130"/>
  <c r="BZ75" i="130"/>
  <c r="BR54" i="130"/>
  <c r="T50" i="130"/>
  <c r="BC77" i="130"/>
  <c r="BV75" i="130"/>
  <c r="BB75" i="130"/>
  <c r="I75" i="130"/>
  <c r="O50" i="130"/>
  <c r="AD43" i="130"/>
  <c r="T29" i="130"/>
  <c r="AD25" i="130"/>
  <c r="AD14" i="130"/>
  <c r="CL5" i="130"/>
  <c r="AQ8" i="130"/>
  <c r="AS79" i="130"/>
  <c r="AS50" i="129"/>
  <c r="AG8" i="130"/>
  <c r="AG38" i="130" s="1"/>
  <c r="AD19" i="130"/>
  <c r="AR75" i="130"/>
  <c r="AR38" i="129"/>
  <c r="CO18" i="130"/>
  <c r="CB38" i="163"/>
  <c r="CB39" i="163" s="1"/>
  <c r="AD28" i="130"/>
  <c r="AS54" i="130"/>
  <c r="BQ38" i="100"/>
  <c r="BQ39" i="100" s="1"/>
  <c r="CO41" i="130"/>
  <c r="CB77" i="130"/>
  <c r="AN5" i="130"/>
  <c r="AS8" i="130"/>
  <c r="AS79" i="129"/>
  <c r="CP54" i="130"/>
  <c r="CO25" i="130"/>
  <c r="CQ25" i="130" s="1"/>
  <c r="AI89" i="163"/>
  <c r="AJ52" i="163" s="1"/>
  <c r="AD31" i="130"/>
  <c r="CO54" i="130"/>
  <c r="CP28" i="130"/>
  <c r="AD58" i="130"/>
  <c r="AD48" i="130"/>
  <c r="CQ85" i="130"/>
  <c r="BU84" i="130"/>
  <c r="BU86" i="130" s="1"/>
  <c r="BU87" i="130" s="1"/>
  <c r="AD71" i="130"/>
  <c r="O41" i="130"/>
  <c r="CB5" i="130"/>
  <c r="BR77" i="130"/>
  <c r="AD56" i="130"/>
  <c r="AD51" i="130"/>
  <c r="AD47" i="130"/>
  <c r="AX41" i="130"/>
  <c r="AD26" i="130"/>
  <c r="BP8" i="100"/>
  <c r="BP38" i="100" s="1"/>
  <c r="BP39" i="100" s="1"/>
  <c r="BR41" i="100"/>
  <c r="CQ62" i="130"/>
  <c r="CP50" i="130"/>
  <c r="CP41" i="130"/>
  <c r="AD38" i="163"/>
  <c r="AS41" i="129"/>
  <c r="AN89" i="163"/>
  <c r="E75" i="163"/>
  <c r="E39" i="163"/>
  <c r="Y79" i="163"/>
  <c r="W77" i="163"/>
  <c r="CB75" i="163"/>
  <c r="CK39" i="163"/>
  <c r="AV76" i="163"/>
  <c r="AV81" i="163"/>
  <c r="AV83" i="163" s="1"/>
  <c r="AV84" i="163" s="1"/>
  <c r="AV86" i="163" s="1"/>
  <c r="AV87" i="163" s="1"/>
  <c r="CP75" i="163"/>
  <c r="CP39" i="163"/>
  <c r="H39" i="163"/>
  <c r="H75" i="163"/>
  <c r="CQ29" i="163"/>
  <c r="CR29" i="163" s="1"/>
  <c r="CQ10" i="163"/>
  <c r="CJ35" i="163"/>
  <c r="CL36" i="163"/>
  <c r="CJ8" i="163"/>
  <c r="CJ38" i="163" s="1"/>
  <c r="CL9" i="163"/>
  <c r="W75" i="163"/>
  <c r="W81" i="163" s="1"/>
  <c r="W83" i="163" s="1"/>
  <c r="AS75" i="163"/>
  <c r="AS39" i="163"/>
  <c r="CJ54" i="163"/>
  <c r="CL55" i="163"/>
  <c r="I81" i="163"/>
  <c r="I83" i="163" s="1"/>
  <c r="I84" i="163" s="1"/>
  <c r="I86" i="163" s="1"/>
  <c r="I87" i="163" s="1"/>
  <c r="I76" i="163"/>
  <c r="O75" i="163"/>
  <c r="O39" i="163"/>
  <c r="AJ68" i="163"/>
  <c r="AJ23" i="163"/>
  <c r="AJ21" i="163"/>
  <c r="AJ15" i="163"/>
  <c r="AJ14" i="163"/>
  <c r="BZ76" i="163"/>
  <c r="BZ81" i="163"/>
  <c r="BZ83" i="163" s="1"/>
  <c r="BZ84" i="163" s="1"/>
  <c r="BZ86" i="163" s="1"/>
  <c r="BZ87" i="163" s="1"/>
  <c r="BG76" i="163"/>
  <c r="BG81" i="163"/>
  <c r="BG83" i="163" s="1"/>
  <c r="BG84" i="163" s="1"/>
  <c r="BG86" i="163" s="1"/>
  <c r="BG87" i="163" s="1"/>
  <c r="BP76" i="163"/>
  <c r="BP81" i="163"/>
  <c r="BP83" i="163" s="1"/>
  <c r="BP84" i="163" s="1"/>
  <c r="BP86" i="163" s="1"/>
  <c r="BP87" i="163" s="1"/>
  <c r="CA39" i="163"/>
  <c r="CA75" i="163"/>
  <c r="AJ42" i="163"/>
  <c r="BH79" i="163"/>
  <c r="BH77" i="163" s="1"/>
  <c r="BF77" i="163"/>
  <c r="BQ75" i="163"/>
  <c r="BQ39" i="163"/>
  <c r="T38" i="163"/>
  <c r="Y54" i="163"/>
  <c r="BA75" i="163"/>
  <c r="BA39" i="163"/>
  <c r="BK81" i="163"/>
  <c r="BK83" i="163" s="1"/>
  <c r="BK84" i="163" s="1"/>
  <c r="BK86" i="163" s="1"/>
  <c r="BK87" i="163" s="1"/>
  <c r="BK76" i="163"/>
  <c r="AX75" i="163"/>
  <c r="AX39" i="163"/>
  <c r="AM81" i="163"/>
  <c r="AM83" i="163" s="1"/>
  <c r="AM84" i="163" s="1"/>
  <c r="AM86" i="163" s="1"/>
  <c r="AM87" i="163" s="1"/>
  <c r="AM76" i="163"/>
  <c r="BC89" i="163"/>
  <c r="CQ5" i="163"/>
  <c r="CR6" i="163"/>
  <c r="CR5" i="163" s="1"/>
  <c r="Y77" i="163"/>
  <c r="CE77" i="163"/>
  <c r="CG79" i="163"/>
  <c r="CG77" i="163" s="1"/>
  <c r="BC38" i="163"/>
  <c r="CQ26" i="163"/>
  <c r="CR26" i="163" s="1"/>
  <c r="BR38" i="163"/>
  <c r="BF81" i="163"/>
  <c r="BF83" i="163" s="1"/>
  <c r="BF84" i="163" s="1"/>
  <c r="BF86" i="163" s="1"/>
  <c r="BF87" i="163" s="1"/>
  <c r="BL76" i="163"/>
  <c r="BL81" i="163"/>
  <c r="BL83" i="163" s="1"/>
  <c r="BL84" i="163" s="1"/>
  <c r="BL86" i="163" s="1"/>
  <c r="BL87" i="163" s="1"/>
  <c r="R75" i="163"/>
  <c r="AX89" i="163"/>
  <c r="M76" i="163"/>
  <c r="M81" i="163"/>
  <c r="M83" i="163" s="1"/>
  <c r="M84" i="163" s="1"/>
  <c r="M86" i="163" s="1"/>
  <c r="M87" i="163" s="1"/>
  <c r="J39" i="163"/>
  <c r="J75" i="163"/>
  <c r="CQ11" i="163"/>
  <c r="C76" i="163"/>
  <c r="C81" i="163"/>
  <c r="C83" i="163" s="1"/>
  <c r="C84" i="163" s="1"/>
  <c r="CQ22" i="163"/>
  <c r="CQ19" i="163"/>
  <c r="CR19" i="163" s="1"/>
  <c r="BW38" i="163"/>
  <c r="AB76" i="163"/>
  <c r="AB81" i="163"/>
  <c r="AB83" i="163" s="1"/>
  <c r="AB84" i="163" s="1"/>
  <c r="AL76" i="163"/>
  <c r="AL81" i="163"/>
  <c r="AL83" i="163" s="1"/>
  <c r="AL84" i="163" s="1"/>
  <c r="AL86" i="163" s="1"/>
  <c r="AL87" i="163" s="1"/>
  <c r="AQ77" i="163"/>
  <c r="AS79" i="163"/>
  <c r="AS77" i="163" s="1"/>
  <c r="AJ45" i="163"/>
  <c r="S75" i="163"/>
  <c r="S81" i="163" s="1"/>
  <c r="S83" i="163" s="1"/>
  <c r="S84" i="163" s="1"/>
  <c r="S86" i="163" s="1"/>
  <c r="AH81" i="163"/>
  <c r="AH83" i="163" s="1"/>
  <c r="AH84" i="163" s="1"/>
  <c r="AH86" i="163" s="1"/>
  <c r="AH87" i="163" s="1"/>
  <c r="AH76" i="163"/>
  <c r="CQ27" i="163"/>
  <c r="CR27" i="163" s="1"/>
  <c r="BM89" i="163"/>
  <c r="BH75" i="163"/>
  <c r="BH39" i="163"/>
  <c r="AI38" i="163"/>
  <c r="CK54" i="163"/>
  <c r="CK75" i="163" s="1"/>
  <c r="CF76" i="163"/>
  <c r="CF81" i="163"/>
  <c r="CF83" i="163" s="1"/>
  <c r="CF84" i="163" s="1"/>
  <c r="CF86" i="163" s="1"/>
  <c r="CF87" i="163" s="1"/>
  <c r="AD89" i="163"/>
  <c r="BB76" i="163"/>
  <c r="BB81" i="163"/>
  <c r="BB83" i="163" s="1"/>
  <c r="BB84" i="163" s="1"/>
  <c r="BB86" i="163" s="1"/>
  <c r="BB87" i="163" s="1"/>
  <c r="J89" i="163"/>
  <c r="D81" i="163"/>
  <c r="D83" i="163" s="1"/>
  <c r="D84" i="163" s="1"/>
  <c r="D76" i="163"/>
  <c r="T54" i="163"/>
  <c r="BU77" i="163"/>
  <c r="BW79" i="163"/>
  <c r="BW77" i="163" s="1"/>
  <c r="AR81" i="163"/>
  <c r="AR83" i="163" s="1"/>
  <c r="AR84" i="163" s="1"/>
  <c r="AR86" i="163" s="1"/>
  <c r="AR87" i="163" s="1"/>
  <c r="AR76" i="163"/>
  <c r="CQ28" i="163"/>
  <c r="CR28" i="163" s="1"/>
  <c r="CJ79" i="163"/>
  <c r="E79" i="163"/>
  <c r="E77" i="163" s="1"/>
  <c r="C77" i="163"/>
  <c r="CQ32" i="163"/>
  <c r="CR32" i="163" s="1"/>
  <c r="AN75" i="163"/>
  <c r="AN39" i="163"/>
  <c r="CL41" i="163"/>
  <c r="AN79" i="163"/>
  <c r="AN77" i="163" s="1"/>
  <c r="AL77" i="163"/>
  <c r="CG75" i="163"/>
  <c r="CG39" i="163"/>
  <c r="AC75" i="163"/>
  <c r="AC39" i="163"/>
  <c r="BM75" i="163"/>
  <c r="BM39" i="163"/>
  <c r="AQ81" i="163"/>
  <c r="AQ83" i="163" s="1"/>
  <c r="AQ84" i="163" s="1"/>
  <c r="AQ86" i="163" s="1"/>
  <c r="AQ87" i="163" s="1"/>
  <c r="AQ76" i="163"/>
  <c r="CL78" i="163"/>
  <c r="M77" i="163"/>
  <c r="O79" i="163"/>
  <c r="R79" i="163"/>
  <c r="AG75" i="163"/>
  <c r="AG39" i="163"/>
  <c r="AJ19" i="163"/>
  <c r="Y8" i="163"/>
  <c r="Y38" i="163" s="1"/>
  <c r="CQ15" i="163"/>
  <c r="CR15" i="163" s="1"/>
  <c r="BR79" i="163"/>
  <c r="BR77" i="163" s="1"/>
  <c r="BP77" i="163"/>
  <c r="AD39" i="163"/>
  <c r="AD75" i="163"/>
  <c r="K79" i="163"/>
  <c r="BV76" i="163"/>
  <c r="BV81" i="163"/>
  <c r="BV83" i="163" s="1"/>
  <c r="BV84" i="163" s="1"/>
  <c r="BV86" i="163" s="1"/>
  <c r="BV87" i="163" s="1"/>
  <c r="X75" i="163"/>
  <c r="X81" i="163" s="1"/>
  <c r="X83" i="163" s="1"/>
  <c r="CQ18" i="163"/>
  <c r="CR18" i="163" s="1"/>
  <c r="N76" i="163"/>
  <c r="N81" i="163"/>
  <c r="N83" i="163" s="1"/>
  <c r="N84" i="163" s="1"/>
  <c r="N86" i="163" s="1"/>
  <c r="N87" i="163" s="1"/>
  <c r="CB89" i="163"/>
  <c r="BU76" i="163"/>
  <c r="BU81" i="163"/>
  <c r="BU83" i="163" s="1"/>
  <c r="BU84" i="163" s="1"/>
  <c r="BU86" i="163" s="1"/>
  <c r="BU87" i="163" s="1"/>
  <c r="CQ74" i="130"/>
  <c r="AQ77" i="129"/>
  <c r="AS77" i="129"/>
  <c r="AR75" i="129"/>
  <c r="AR76" i="129" s="1"/>
  <c r="AR39" i="129"/>
  <c r="AQ75" i="129"/>
  <c r="AQ76" i="129" s="1"/>
  <c r="AQ39" i="129"/>
  <c r="AS38" i="129"/>
  <c r="BR54" i="100"/>
  <c r="BR9" i="100"/>
  <c r="AQ77" i="130"/>
  <c r="AS77" i="130"/>
  <c r="AR81" i="130"/>
  <c r="AR83" i="130" s="1"/>
  <c r="AR84" i="130" s="1"/>
  <c r="AR76" i="130"/>
  <c r="AC5" i="130"/>
  <c r="AQ5" i="130"/>
  <c r="AQ38" i="130" s="1"/>
  <c r="AC77" i="130"/>
  <c r="AD67" i="130"/>
  <c r="AD66" i="130"/>
  <c r="CQ65" i="130"/>
  <c r="CQ61" i="130"/>
  <c r="CQ58" i="130"/>
  <c r="CQ48" i="130"/>
  <c r="AC41" i="130"/>
  <c r="CQ45" i="130"/>
  <c r="CQ33" i="130"/>
  <c r="AD21" i="130"/>
  <c r="AS41" i="130"/>
  <c r="AD65" i="130"/>
  <c r="CQ64" i="130"/>
  <c r="CQ63" i="130"/>
  <c r="AD60" i="130"/>
  <c r="CQ52" i="130"/>
  <c r="AD44" i="130"/>
  <c r="AD20" i="130"/>
  <c r="CQ19" i="130"/>
  <c r="AD15" i="130"/>
  <c r="CQ14" i="130"/>
  <c r="AD82" i="130"/>
  <c r="AD57" i="130"/>
  <c r="AD52" i="130"/>
  <c r="AD50" i="130" s="1"/>
  <c r="AD24" i="130"/>
  <c r="AD18" i="130"/>
  <c r="CQ17" i="130"/>
  <c r="AD17" i="130"/>
  <c r="AD12" i="130"/>
  <c r="CQ11" i="130"/>
  <c r="D75" i="130"/>
  <c r="S75" i="130"/>
  <c r="AD69" i="130"/>
  <c r="J54" i="130"/>
  <c r="CQ82" i="130"/>
  <c r="CQ71" i="130"/>
  <c r="CQ68" i="130"/>
  <c r="AD78" i="130"/>
  <c r="BH54" i="130"/>
  <c r="BW54" i="130"/>
  <c r="E41" i="130"/>
  <c r="CQ66" i="130"/>
  <c r="AD61" i="130"/>
  <c r="CL54" i="130"/>
  <c r="CQ55" i="130"/>
  <c r="BM54" i="130"/>
  <c r="BW50" i="130"/>
  <c r="CQ78" i="130"/>
  <c r="T54" i="130"/>
  <c r="AD74" i="130"/>
  <c r="AD73" i="130" s="1"/>
  <c r="AD64" i="130"/>
  <c r="O54" i="130"/>
  <c r="AC54" i="130"/>
  <c r="E54" i="130"/>
  <c r="AB41" i="130"/>
  <c r="CQ36" i="130"/>
  <c r="AX54" i="130"/>
  <c r="AB54" i="130"/>
  <c r="CL50" i="130"/>
  <c r="BH50" i="130"/>
  <c r="CQ42" i="130"/>
  <c r="CQ44" i="130"/>
  <c r="AN41" i="130"/>
  <c r="CB41" i="130"/>
  <c r="T41" i="130"/>
  <c r="J41" i="130"/>
  <c r="BM41" i="130"/>
  <c r="CG54" i="130"/>
  <c r="AN54" i="130"/>
  <c r="AD35" i="130"/>
  <c r="E35" i="130"/>
  <c r="AI41" i="130"/>
  <c r="CG41" i="130"/>
  <c r="BC54" i="130"/>
  <c r="AC50" i="130"/>
  <c r="CQ51" i="130"/>
  <c r="AI50" i="130"/>
  <c r="E50" i="130"/>
  <c r="AD45" i="130"/>
  <c r="BW35" i="130"/>
  <c r="AX35" i="130"/>
  <c r="CB54" i="130"/>
  <c r="AI54" i="130"/>
  <c r="CQ46" i="130"/>
  <c r="CL41" i="130"/>
  <c r="CB35" i="130"/>
  <c r="AI35" i="130"/>
  <c r="BR8" i="130"/>
  <c r="AD29" i="130"/>
  <c r="CL35" i="130"/>
  <c r="BC8" i="130"/>
  <c r="AC8" i="130"/>
  <c r="AC38" i="130" s="1"/>
  <c r="BW8" i="130"/>
  <c r="CG8" i="130"/>
  <c r="J50" i="130"/>
  <c r="CQ43" i="130"/>
  <c r="BH41" i="130"/>
  <c r="BR41" i="130"/>
  <c r="BM35" i="130"/>
  <c r="BW41" i="130"/>
  <c r="BH35" i="130"/>
  <c r="CP8" i="130"/>
  <c r="CP38" i="130" s="1"/>
  <c r="J28" i="130"/>
  <c r="H8" i="130"/>
  <c r="H38" i="130" s="1"/>
  <c r="J27" i="130"/>
  <c r="T28" i="130"/>
  <c r="T8" i="130" s="1"/>
  <c r="CQ9" i="130"/>
  <c r="BM8" i="130"/>
  <c r="E8" i="130"/>
  <c r="O8" i="130"/>
  <c r="AI8" i="130"/>
  <c r="AB5" i="130"/>
  <c r="AD6" i="130"/>
  <c r="AD5" i="130" s="1"/>
  <c r="M8" i="130"/>
  <c r="M38" i="130" s="1"/>
  <c r="CO5" i="130"/>
  <c r="CQ6" i="130"/>
  <c r="CQ5" i="130" s="1"/>
  <c r="AD27" i="130"/>
  <c r="AB8" i="130"/>
  <c r="AD9" i="130"/>
  <c r="R8" i="130"/>
  <c r="AN18" i="130"/>
  <c r="AN8" i="130" s="1"/>
  <c r="AL8" i="130"/>
  <c r="AL38" i="130" s="1"/>
  <c r="CQ18" i="130"/>
  <c r="CL8" i="130"/>
  <c r="BH8" i="130"/>
  <c r="CB8" i="130"/>
  <c r="AX8" i="130"/>
  <c r="T6" i="130"/>
  <c r="T5" i="130" s="1"/>
  <c r="R5" i="130"/>
  <c r="R38" i="130" s="1"/>
  <c r="AJ36" i="163" l="1"/>
  <c r="AG39" i="130"/>
  <c r="AG75" i="130"/>
  <c r="AG76" i="130" s="1"/>
  <c r="AS38" i="130"/>
  <c r="J8" i="130"/>
  <c r="AJ16" i="163"/>
  <c r="AJ29" i="163"/>
  <c r="AJ17" i="163"/>
  <c r="AJ64" i="163"/>
  <c r="AJ28" i="163"/>
  <c r="AJ51" i="163"/>
  <c r="AJ9" i="163"/>
  <c r="AJ63" i="163"/>
  <c r="AJ67" i="163"/>
  <c r="AJ10" i="163"/>
  <c r="AJ26" i="163"/>
  <c r="AJ53" i="163"/>
  <c r="AV39" i="130"/>
  <c r="AV75" i="130"/>
  <c r="CE76" i="130"/>
  <c r="CE81" i="130"/>
  <c r="CE83" i="130" s="1"/>
  <c r="CE84" i="130" s="1"/>
  <c r="CE86" i="130" s="1"/>
  <c r="CE87" i="130" s="1"/>
  <c r="AM75" i="130"/>
  <c r="AM39" i="130"/>
  <c r="CJ75" i="130"/>
  <c r="CJ39" i="130"/>
  <c r="AJ59" i="163"/>
  <c r="AJ65" i="163"/>
  <c r="AJ30" i="163"/>
  <c r="AJ32" i="163"/>
  <c r="I76" i="130"/>
  <c r="I81" i="130"/>
  <c r="I83" i="130" s="1"/>
  <c r="I84" i="130" s="1"/>
  <c r="I86" i="130" s="1"/>
  <c r="I87" i="130" s="1"/>
  <c r="BL75" i="130"/>
  <c r="BL39" i="130"/>
  <c r="BP81" i="130"/>
  <c r="BP83" i="130" s="1"/>
  <c r="BP84" i="130" s="1"/>
  <c r="BP86" i="130" s="1"/>
  <c r="BP87" i="130" s="1"/>
  <c r="BP76" i="130"/>
  <c r="AJ66" i="163"/>
  <c r="AJ62" i="163"/>
  <c r="AJ27" i="163"/>
  <c r="AJ22" i="163"/>
  <c r="AJ24" i="163"/>
  <c r="AJ20" i="163"/>
  <c r="AJ33" i="163"/>
  <c r="AJ44" i="163"/>
  <c r="AJ60" i="163"/>
  <c r="AJ57" i="163"/>
  <c r="AJ43" i="163"/>
  <c r="AJ71" i="163"/>
  <c r="AJ48" i="163"/>
  <c r="AJ61" i="163"/>
  <c r="AJ11" i="163"/>
  <c r="AJ31" i="163"/>
  <c r="AJ58" i="163"/>
  <c r="BB76" i="130"/>
  <c r="BB81" i="130"/>
  <c r="BB83" i="130" s="1"/>
  <c r="BB84" i="130" s="1"/>
  <c r="BB86" i="130" s="1"/>
  <c r="BB87" i="130" s="1"/>
  <c r="BZ81" i="130"/>
  <c r="BZ83" i="130" s="1"/>
  <c r="BZ84" i="130" s="1"/>
  <c r="BZ86" i="130" s="1"/>
  <c r="BZ87" i="130" s="1"/>
  <c r="BZ76" i="130"/>
  <c r="CF75" i="130"/>
  <c r="CF39" i="130"/>
  <c r="BF76" i="130"/>
  <c r="BF81" i="130"/>
  <c r="BF83" i="130" s="1"/>
  <c r="BF84" i="130" s="1"/>
  <c r="BF86" i="130" s="1"/>
  <c r="BF87" i="130" s="1"/>
  <c r="R81" i="163"/>
  <c r="R83" i="163" s="1"/>
  <c r="R84" i="163" s="1"/>
  <c r="R86" i="163" s="1"/>
  <c r="CA76" i="130"/>
  <c r="CA81" i="130"/>
  <c r="CA83" i="130" s="1"/>
  <c r="CA84" i="130" s="1"/>
  <c r="CA86" i="130" s="1"/>
  <c r="CA87" i="130" s="1"/>
  <c r="AJ18" i="163"/>
  <c r="AJ46" i="163"/>
  <c r="AJ55" i="163"/>
  <c r="AJ12" i="163"/>
  <c r="AJ69" i="163"/>
  <c r="AJ70" i="163"/>
  <c r="BV76" i="130"/>
  <c r="BV81" i="130"/>
  <c r="BV83" i="130" s="1"/>
  <c r="BV84" i="130" s="1"/>
  <c r="BV86" i="130" s="1"/>
  <c r="BV87" i="130" s="1"/>
  <c r="AH76" i="130"/>
  <c r="AH81" i="130"/>
  <c r="AH83" i="130" s="1"/>
  <c r="AH84" i="130" s="1"/>
  <c r="AH86" i="130" s="1"/>
  <c r="AH87" i="130" s="1"/>
  <c r="E89" i="163"/>
  <c r="AJ13" i="163"/>
  <c r="AJ47" i="163"/>
  <c r="AJ25" i="163"/>
  <c r="AJ49" i="163"/>
  <c r="AJ56" i="163"/>
  <c r="CK81" i="163"/>
  <c r="CK83" i="163" s="1"/>
  <c r="CK76" i="163"/>
  <c r="CG81" i="163"/>
  <c r="CG83" i="163" s="1"/>
  <c r="CG84" i="163" s="1"/>
  <c r="CG86" i="163" s="1"/>
  <c r="CG87" i="163" s="1"/>
  <c r="CG76" i="163"/>
  <c r="CQ79" i="163"/>
  <c r="CL79" i="163"/>
  <c r="CL77" i="163" s="1"/>
  <c r="D86" i="163"/>
  <c r="D87" i="163" s="1"/>
  <c r="AE65" i="163"/>
  <c r="AE62" i="163"/>
  <c r="AE58" i="163"/>
  <c r="AE28" i="163"/>
  <c r="AE11" i="163"/>
  <c r="AE43" i="163"/>
  <c r="AE33" i="163"/>
  <c r="AE29" i="163"/>
  <c r="AE70" i="163"/>
  <c r="AE56" i="163"/>
  <c r="AE53" i="163"/>
  <c r="AE45" i="163"/>
  <c r="AE68" i="163"/>
  <c r="AE66" i="163"/>
  <c r="AE48" i="163"/>
  <c r="AE30" i="163"/>
  <c r="AE27" i="163"/>
  <c r="AE25" i="163"/>
  <c r="AE47" i="163"/>
  <c r="AE46" i="163"/>
  <c r="AE31" i="163"/>
  <c r="AE24" i="163"/>
  <c r="AE26" i="163"/>
  <c r="AE23" i="163"/>
  <c r="AE61" i="163"/>
  <c r="AE42" i="163"/>
  <c r="AE36" i="163"/>
  <c r="AE44" i="163"/>
  <c r="AE9" i="163"/>
  <c r="AE49" i="163"/>
  <c r="AE32" i="163"/>
  <c r="AE14" i="163"/>
  <c r="AE10" i="163"/>
  <c r="AE20" i="163"/>
  <c r="AE59" i="163"/>
  <c r="AE15" i="163"/>
  <c r="AE21" i="163"/>
  <c r="AE71" i="163"/>
  <c r="AE52" i="163"/>
  <c r="AE67" i="163"/>
  <c r="AE51" i="163"/>
  <c r="AE16" i="163"/>
  <c r="AE13" i="163"/>
  <c r="AE60" i="163"/>
  <c r="AE12" i="163"/>
  <c r="AE18" i="163"/>
  <c r="AE17" i="163"/>
  <c r="AE22" i="163"/>
  <c r="AE57" i="163"/>
  <c r="AE55" i="163"/>
  <c r="AE19" i="163"/>
  <c r="AE63" i="163"/>
  <c r="AE69" i="163"/>
  <c r="AE64" i="163"/>
  <c r="BH81" i="163"/>
  <c r="BH83" i="163" s="1"/>
  <c r="BH84" i="163" s="1"/>
  <c r="BH86" i="163" s="1"/>
  <c r="BH87" i="163" s="1"/>
  <c r="BH76" i="163"/>
  <c r="BD53" i="163"/>
  <c r="BD70" i="163"/>
  <c r="BD66" i="163"/>
  <c r="BD63" i="163"/>
  <c r="BD56" i="163"/>
  <c r="BD52" i="163"/>
  <c r="BD44" i="163"/>
  <c r="BD36" i="163"/>
  <c r="BD60" i="163"/>
  <c r="BD58" i="163"/>
  <c r="BD42" i="163"/>
  <c r="BD47" i="163"/>
  <c r="BD46" i="163"/>
  <c r="BD30" i="163"/>
  <c r="BD51" i="163"/>
  <c r="BD25" i="163"/>
  <c r="BD48" i="163"/>
  <c r="BD45" i="163"/>
  <c r="BD17" i="163"/>
  <c r="BD49" i="163"/>
  <c r="BD15" i="163"/>
  <c r="BD31" i="163"/>
  <c r="BD27" i="163"/>
  <c r="BD43" i="163"/>
  <c r="BD14" i="163"/>
  <c r="BD11" i="163"/>
  <c r="BD68" i="163"/>
  <c r="BD18" i="163"/>
  <c r="BD24" i="163"/>
  <c r="BD12" i="163"/>
  <c r="BD19" i="163"/>
  <c r="BD64" i="163"/>
  <c r="BD69" i="163"/>
  <c r="BD55" i="163"/>
  <c r="BD33" i="163"/>
  <c r="BD23" i="163"/>
  <c r="BD20" i="163"/>
  <c r="BD65" i="163"/>
  <c r="BD71" i="163"/>
  <c r="BD67" i="163"/>
  <c r="BD10" i="163"/>
  <c r="BD9" i="163"/>
  <c r="BD21" i="163"/>
  <c r="BD32" i="163"/>
  <c r="BD28" i="163"/>
  <c r="BD16" i="163"/>
  <c r="BD29" i="163"/>
  <c r="BD13" i="163"/>
  <c r="BD26" i="163"/>
  <c r="BD59" i="163"/>
  <c r="BD62" i="163"/>
  <c r="BD22" i="163"/>
  <c r="BD61" i="163"/>
  <c r="BD57" i="163"/>
  <c r="AX81" i="163"/>
  <c r="AX83" i="163" s="1"/>
  <c r="AX84" i="163" s="1"/>
  <c r="AX86" i="163" s="1"/>
  <c r="AX87" i="163" s="1"/>
  <c r="AX76" i="163"/>
  <c r="BA76" i="163"/>
  <c r="BA81" i="163"/>
  <c r="BA83" i="163" s="1"/>
  <c r="BA84" i="163" s="1"/>
  <c r="BA86" i="163" s="1"/>
  <c r="BA87" i="163" s="1"/>
  <c r="BQ81" i="163"/>
  <c r="BQ83" i="163" s="1"/>
  <c r="BQ84" i="163" s="1"/>
  <c r="BQ86" i="163" s="1"/>
  <c r="BQ87" i="163" s="1"/>
  <c r="BQ76" i="163"/>
  <c r="CL8" i="163"/>
  <c r="CQ9" i="163"/>
  <c r="CB81" i="163"/>
  <c r="CB83" i="163" s="1"/>
  <c r="CB84" i="163" s="1"/>
  <c r="CB86" i="163" s="1"/>
  <c r="CB87" i="163" s="1"/>
  <c r="CB76" i="163"/>
  <c r="AO71" i="163"/>
  <c r="AO70" i="163"/>
  <c r="AO66" i="163"/>
  <c r="AO69" i="163"/>
  <c r="AO59" i="163"/>
  <c r="AO60" i="163"/>
  <c r="AO53" i="163"/>
  <c r="AO46" i="163"/>
  <c r="AO47" i="163"/>
  <c r="AO36" i="163"/>
  <c r="AO52" i="163"/>
  <c r="AO42" i="163"/>
  <c r="AO49" i="163"/>
  <c r="AO58" i="163"/>
  <c r="AO48" i="163"/>
  <c r="AO25" i="163"/>
  <c r="AO28" i="163"/>
  <c r="AO51" i="163"/>
  <c r="AO44" i="163"/>
  <c r="AO43" i="163"/>
  <c r="AO45" i="163"/>
  <c r="AO56" i="163"/>
  <c r="AO27" i="163"/>
  <c r="AO31" i="163"/>
  <c r="AO15" i="163"/>
  <c r="AO33" i="163"/>
  <c r="AO29" i="163"/>
  <c r="AO14" i="163"/>
  <c r="AO64" i="163"/>
  <c r="AO10" i="163"/>
  <c r="AO24" i="163"/>
  <c r="AO9" i="163"/>
  <c r="AO30" i="163"/>
  <c r="AO62" i="163"/>
  <c r="AO55" i="163"/>
  <c r="AO23" i="163"/>
  <c r="AO12" i="163"/>
  <c r="AO20" i="163"/>
  <c r="AO63" i="163"/>
  <c r="AO61" i="163"/>
  <c r="AO18" i="163"/>
  <c r="AO13" i="163"/>
  <c r="AO67" i="163"/>
  <c r="AO65" i="163"/>
  <c r="AO57" i="163"/>
  <c r="AO17" i="163"/>
  <c r="AO32" i="163"/>
  <c r="AO22" i="163"/>
  <c r="AO16" i="163"/>
  <c r="AO11" i="163"/>
  <c r="AO21" i="163"/>
  <c r="AO19" i="163"/>
  <c r="AO68" i="163"/>
  <c r="AO26" i="163"/>
  <c r="AG81" i="163"/>
  <c r="AG83" i="163" s="1"/>
  <c r="AG84" i="163" s="1"/>
  <c r="AG86" i="163" s="1"/>
  <c r="AG87" i="163" s="1"/>
  <c r="AG76" i="163"/>
  <c r="BM81" i="163"/>
  <c r="BM83" i="163" s="1"/>
  <c r="BM84" i="163" s="1"/>
  <c r="BM86" i="163" s="1"/>
  <c r="BM87" i="163" s="1"/>
  <c r="BM76" i="163"/>
  <c r="AN81" i="163"/>
  <c r="AN83" i="163" s="1"/>
  <c r="AN84" i="163" s="1"/>
  <c r="AN86" i="163" s="1"/>
  <c r="AN87" i="163" s="1"/>
  <c r="AN76" i="163"/>
  <c r="AB86" i="163"/>
  <c r="AB87" i="163" s="1"/>
  <c r="CT22" i="163"/>
  <c r="CR22" i="163"/>
  <c r="J81" i="163"/>
  <c r="J83" i="163" s="1"/>
  <c r="J84" i="163" s="1"/>
  <c r="J86" i="163" s="1"/>
  <c r="J87" i="163" s="1"/>
  <c r="J76" i="163"/>
  <c r="CG89" i="163"/>
  <c r="CA81" i="163"/>
  <c r="CA83" i="163" s="1"/>
  <c r="CA84" i="163" s="1"/>
  <c r="CA86" i="163" s="1"/>
  <c r="CA87" i="163" s="1"/>
  <c r="CA76" i="163"/>
  <c r="CL54" i="163"/>
  <c r="CJ75" i="163"/>
  <c r="CJ39" i="163"/>
  <c r="Y75" i="163"/>
  <c r="Y81" i="163" s="1"/>
  <c r="Y83" i="163" s="1"/>
  <c r="Y84" i="163" s="1"/>
  <c r="Y86" i="163" s="1"/>
  <c r="T79" i="163"/>
  <c r="T77" i="163" s="1"/>
  <c r="R77" i="163"/>
  <c r="K85" i="163"/>
  <c r="K70" i="163"/>
  <c r="K56" i="163"/>
  <c r="K72" i="163"/>
  <c r="K68" i="163"/>
  <c r="K51" i="163"/>
  <c r="K61" i="163"/>
  <c r="K57" i="163"/>
  <c r="K78" i="163"/>
  <c r="K52" i="163"/>
  <c r="K26" i="163"/>
  <c r="K23" i="163"/>
  <c r="K19" i="163"/>
  <c r="K16" i="163"/>
  <c r="K64" i="163"/>
  <c r="K63" i="163"/>
  <c r="K58" i="163"/>
  <c r="K29" i="163"/>
  <c r="K22" i="163"/>
  <c r="K13" i="163"/>
  <c r="K33" i="163"/>
  <c r="K67" i="163"/>
  <c r="K10" i="163"/>
  <c r="K74" i="163"/>
  <c r="K17" i="163"/>
  <c r="K15" i="163"/>
  <c r="K11" i="163"/>
  <c r="K18" i="163"/>
  <c r="K20" i="163"/>
  <c r="K27" i="163"/>
  <c r="K60" i="163"/>
  <c r="K9" i="163"/>
  <c r="K42" i="163"/>
  <c r="K25" i="163"/>
  <c r="K66" i="163"/>
  <c r="K69" i="163"/>
  <c r="K14" i="163"/>
  <c r="K30" i="163"/>
  <c r="K21" i="163"/>
  <c r="K28" i="163"/>
  <c r="K32" i="163"/>
  <c r="K62" i="163"/>
  <c r="K24" i="163"/>
  <c r="K65" i="163"/>
  <c r="K45" i="163"/>
  <c r="K71" i="163"/>
  <c r="K46" i="163"/>
  <c r="K43" i="163"/>
  <c r="K36" i="163"/>
  <c r="K59" i="163"/>
  <c r="K31" i="163"/>
  <c r="K12" i="163"/>
  <c r="K48" i="163"/>
  <c r="K55" i="163"/>
  <c r="K44" i="163"/>
  <c r="K47" i="163"/>
  <c r="K82" i="163"/>
  <c r="CQ36" i="163"/>
  <c r="CL35" i="163"/>
  <c r="H76" i="163"/>
  <c r="H81" i="163"/>
  <c r="H83" i="163" s="1"/>
  <c r="H84" i="163" s="1"/>
  <c r="H86" i="163" s="1"/>
  <c r="H87" i="163" s="1"/>
  <c r="P79" i="163"/>
  <c r="O77" i="163"/>
  <c r="O89" i="163"/>
  <c r="AC81" i="163"/>
  <c r="AC83" i="163" s="1"/>
  <c r="AC84" i="163" s="1"/>
  <c r="AC76" i="163"/>
  <c r="BN53" i="163"/>
  <c r="BN64" i="163"/>
  <c r="BN69" i="163"/>
  <c r="BN68" i="163"/>
  <c r="BN49" i="163"/>
  <c r="BN56" i="163"/>
  <c r="BN61" i="163"/>
  <c r="BN70" i="163"/>
  <c r="BN23" i="163"/>
  <c r="BN57" i="163"/>
  <c r="BN55" i="163"/>
  <c r="BN32" i="163"/>
  <c r="BN12" i="163"/>
  <c r="BN29" i="163"/>
  <c r="BN17" i="163"/>
  <c r="BN36" i="163"/>
  <c r="BN13" i="163"/>
  <c r="BN16" i="163"/>
  <c r="BN58" i="163"/>
  <c r="BN10" i="163"/>
  <c r="BN9" i="163"/>
  <c r="BN21" i="163"/>
  <c r="BN18" i="163"/>
  <c r="BN22" i="163"/>
  <c r="BN20" i="163"/>
  <c r="BN14" i="163"/>
  <c r="BN52" i="163"/>
  <c r="BN19" i="163"/>
  <c r="BN44" i="163"/>
  <c r="BN65" i="163"/>
  <c r="BN24" i="163"/>
  <c r="BN67" i="163"/>
  <c r="BN46" i="163"/>
  <c r="BN33" i="163"/>
  <c r="BN28" i="163"/>
  <c r="BN60" i="163"/>
  <c r="BN45" i="163"/>
  <c r="BN26" i="163"/>
  <c r="BN25" i="163"/>
  <c r="BN15" i="163"/>
  <c r="BN31" i="163"/>
  <c r="BN51" i="163"/>
  <c r="BN30" i="163"/>
  <c r="BN47" i="163"/>
  <c r="BN66" i="163"/>
  <c r="BN11" i="163"/>
  <c r="BN62" i="163"/>
  <c r="BN42" i="163"/>
  <c r="BN48" i="163"/>
  <c r="BN59" i="163"/>
  <c r="BN63" i="163"/>
  <c r="BN27" i="163"/>
  <c r="BN71" i="163"/>
  <c r="BN43" i="163"/>
  <c r="BW39" i="163"/>
  <c r="BW75" i="163"/>
  <c r="C86" i="163"/>
  <c r="C87" i="163" s="1"/>
  <c r="AS89" i="163"/>
  <c r="O76" i="163"/>
  <c r="O81" i="163"/>
  <c r="O83" i="163" s="1"/>
  <c r="O84" i="163" s="1"/>
  <c r="O86" i="163" s="1"/>
  <c r="O87" i="163" s="1"/>
  <c r="AD81" i="163"/>
  <c r="AD83" i="163" s="1"/>
  <c r="AD84" i="163" s="1"/>
  <c r="AD86" i="163" s="1"/>
  <c r="AD87" i="163" s="1"/>
  <c r="AD76" i="163"/>
  <c r="Y89" i="163"/>
  <c r="AI39" i="163"/>
  <c r="AI75" i="163"/>
  <c r="BR75" i="163"/>
  <c r="BR39" i="163"/>
  <c r="BR89" i="163"/>
  <c r="T75" i="163"/>
  <c r="T81" i="163" s="1"/>
  <c r="T83" i="163" s="1"/>
  <c r="T84" i="163" s="1"/>
  <c r="T86" i="163" s="1"/>
  <c r="AS76" i="163"/>
  <c r="AS81" i="163"/>
  <c r="AS83" i="163" s="1"/>
  <c r="AS84" i="163" s="1"/>
  <c r="AS86" i="163" s="1"/>
  <c r="AS87" i="163" s="1"/>
  <c r="CC49" i="163"/>
  <c r="CC64" i="163"/>
  <c r="CC68" i="163"/>
  <c r="CC56" i="163"/>
  <c r="CC55" i="163"/>
  <c r="CC52" i="163"/>
  <c r="CC23" i="163"/>
  <c r="CC20" i="163"/>
  <c r="CC17" i="163"/>
  <c r="CC14" i="163"/>
  <c r="CC66" i="163"/>
  <c r="CC29" i="163"/>
  <c r="CC16" i="163"/>
  <c r="CC53" i="163"/>
  <c r="CC36" i="163"/>
  <c r="CC22" i="163"/>
  <c r="CC13" i="163"/>
  <c r="CC12" i="163"/>
  <c r="CC58" i="163"/>
  <c r="CC28" i="163"/>
  <c r="CC25" i="163"/>
  <c r="CC10" i="163"/>
  <c r="CC9" i="163"/>
  <c r="CC33" i="163"/>
  <c r="CC19" i="163"/>
  <c r="CC15" i="163"/>
  <c r="CC70" i="163"/>
  <c r="CC21" i="163"/>
  <c r="CC18" i="163"/>
  <c r="CC31" i="163"/>
  <c r="CC62" i="163"/>
  <c r="CC42" i="163"/>
  <c r="CC63" i="163"/>
  <c r="CC30" i="163"/>
  <c r="CC65" i="163"/>
  <c r="CC61" i="163"/>
  <c r="CC32" i="163"/>
  <c r="CC44" i="163"/>
  <c r="CC69" i="163"/>
  <c r="CC59" i="163"/>
  <c r="CC57" i="163"/>
  <c r="CC51" i="163"/>
  <c r="CC27" i="163"/>
  <c r="CC67" i="163"/>
  <c r="CC46" i="163"/>
  <c r="CC60" i="163"/>
  <c r="CC47" i="163"/>
  <c r="CC71" i="163"/>
  <c r="CC24" i="163"/>
  <c r="CC45" i="163"/>
  <c r="CC48" i="163"/>
  <c r="CC11" i="163"/>
  <c r="CC43" i="163"/>
  <c r="CC26" i="163"/>
  <c r="CJ77" i="163"/>
  <c r="K53" i="163"/>
  <c r="F28" i="163"/>
  <c r="F11" i="163"/>
  <c r="F71" i="163"/>
  <c r="F68" i="163"/>
  <c r="F65" i="163"/>
  <c r="F56" i="163"/>
  <c r="F64" i="163"/>
  <c r="F62" i="163"/>
  <c r="F33" i="163"/>
  <c r="K50" i="163"/>
  <c r="F59" i="163"/>
  <c r="F53" i="163"/>
  <c r="F25" i="163"/>
  <c r="F58" i="163"/>
  <c r="F31" i="163"/>
  <c r="F9" i="163"/>
  <c r="F36" i="163"/>
  <c r="F29" i="163"/>
  <c r="F32" i="163"/>
  <c r="F43" i="163"/>
  <c r="P41" i="163"/>
  <c r="F23" i="163"/>
  <c r="F10" i="163"/>
  <c r="F45" i="163"/>
  <c r="F66" i="163"/>
  <c r="F30" i="163"/>
  <c r="F26" i="163"/>
  <c r="F47" i="163"/>
  <c r="F27" i="163"/>
  <c r="F24" i="163"/>
  <c r="F44" i="163"/>
  <c r="F48" i="163"/>
  <c r="F46" i="163"/>
  <c r="F13" i="163"/>
  <c r="F21" i="163"/>
  <c r="F60" i="163"/>
  <c r="F12" i="163"/>
  <c r="F42" i="163"/>
  <c r="F19" i="163"/>
  <c r="F20" i="163"/>
  <c r="F67" i="163"/>
  <c r="F52" i="163"/>
  <c r="P8" i="163"/>
  <c r="F22" i="163"/>
  <c r="P50" i="163"/>
  <c r="F16" i="163"/>
  <c r="F69" i="163"/>
  <c r="F14" i="163"/>
  <c r="F61" i="163"/>
  <c r="F57" i="163"/>
  <c r="F63" i="163"/>
  <c r="F15" i="163"/>
  <c r="F18" i="163"/>
  <c r="F55" i="163"/>
  <c r="F41" i="163"/>
  <c r="F17" i="163"/>
  <c r="F70" i="163"/>
  <c r="F51" i="163"/>
  <c r="BH89" i="163"/>
  <c r="AY49" i="163"/>
  <c r="AY64" i="163"/>
  <c r="AY68" i="163"/>
  <c r="AY53" i="163"/>
  <c r="AY56" i="163"/>
  <c r="AY23" i="163"/>
  <c r="AY70" i="163"/>
  <c r="AY67" i="163"/>
  <c r="AY62" i="163"/>
  <c r="AY58" i="163"/>
  <c r="AY28" i="163"/>
  <c r="AY19" i="163"/>
  <c r="AY29" i="163"/>
  <c r="AY11" i="163"/>
  <c r="AY13" i="163"/>
  <c r="AY33" i="163"/>
  <c r="AY16" i="163"/>
  <c r="AY14" i="163"/>
  <c r="AY48" i="163"/>
  <c r="AY31" i="163"/>
  <c r="AY30" i="163"/>
  <c r="AY44" i="163"/>
  <c r="AY18" i="163"/>
  <c r="AY24" i="163"/>
  <c r="AY17" i="163"/>
  <c r="AY12" i="163"/>
  <c r="AY25" i="163"/>
  <c r="AY51" i="163"/>
  <c r="AY69" i="163"/>
  <c r="AY10" i="163"/>
  <c r="AY60" i="163"/>
  <c r="AY71" i="163"/>
  <c r="AY61" i="163"/>
  <c r="AY20" i="163"/>
  <c r="AY32" i="163"/>
  <c r="AY66" i="163"/>
  <c r="AY57" i="163"/>
  <c r="AY63" i="163"/>
  <c r="AY21" i="163"/>
  <c r="AY43" i="163"/>
  <c r="AY45" i="163"/>
  <c r="AY27" i="163"/>
  <c r="AY42" i="163"/>
  <c r="AY9" i="163"/>
  <c r="AY46" i="163"/>
  <c r="AY22" i="163"/>
  <c r="AY55" i="163"/>
  <c r="AY36" i="163"/>
  <c r="AY52" i="163"/>
  <c r="AY65" i="163"/>
  <c r="AY47" i="163"/>
  <c r="AY26" i="163"/>
  <c r="AY59" i="163"/>
  <c r="AY15" i="163"/>
  <c r="BW89" i="163"/>
  <c r="BC39" i="163"/>
  <c r="BC75" i="163"/>
  <c r="CP81" i="163"/>
  <c r="CP83" i="163" s="1"/>
  <c r="CP84" i="163" s="1"/>
  <c r="CP86" i="163" s="1"/>
  <c r="CP87" i="163" s="1"/>
  <c r="CP76" i="163"/>
  <c r="E76" i="163"/>
  <c r="E81" i="163"/>
  <c r="E83" i="163" s="1"/>
  <c r="E84" i="163" s="1"/>
  <c r="E86" i="163" s="1"/>
  <c r="E87" i="163" s="1"/>
  <c r="CP39" i="130"/>
  <c r="CP75" i="130"/>
  <c r="CQ73" i="130"/>
  <c r="AS75" i="129"/>
  <c r="AS76" i="129" s="1"/>
  <c r="AS39" i="129"/>
  <c r="BR8" i="100"/>
  <c r="AB38" i="130"/>
  <c r="AB39" i="130" s="1"/>
  <c r="AQ75" i="130"/>
  <c r="AQ39" i="130"/>
  <c r="AS75" i="130"/>
  <c r="J38" i="130"/>
  <c r="AX38" i="130"/>
  <c r="AX89" i="130"/>
  <c r="AX91" i="130" s="1"/>
  <c r="AB75" i="130"/>
  <c r="AN38" i="130"/>
  <c r="T38" i="130"/>
  <c r="AL39" i="130"/>
  <c r="AL75" i="130"/>
  <c r="BC38" i="130"/>
  <c r="BC89" i="130"/>
  <c r="BC91" i="130" s="1"/>
  <c r="CQ41" i="130"/>
  <c r="CQ35" i="130"/>
  <c r="CO8" i="130"/>
  <c r="CO38" i="130" s="1"/>
  <c r="AS89" i="130"/>
  <c r="CB38" i="130"/>
  <c r="CB89" i="130"/>
  <c r="CB91" i="130" s="1"/>
  <c r="CQ28" i="130"/>
  <c r="CQ8" i="130" s="1"/>
  <c r="CQ38" i="130" s="1"/>
  <c r="BW38" i="130"/>
  <c r="BW89" i="130"/>
  <c r="BW91" i="130" s="1"/>
  <c r="AD54" i="130"/>
  <c r="CQ54" i="130"/>
  <c r="S81" i="130"/>
  <c r="S83" i="130" s="1"/>
  <c r="S84" i="130" s="1"/>
  <c r="S86" i="130" s="1"/>
  <c r="S87" i="130" s="1"/>
  <c r="S76" i="130"/>
  <c r="AD8" i="130"/>
  <c r="AD38" i="130" s="1"/>
  <c r="BH38" i="130"/>
  <c r="BH89" i="130"/>
  <c r="BH91" i="130" s="1"/>
  <c r="AI38" i="130"/>
  <c r="R39" i="130"/>
  <c r="R75" i="130"/>
  <c r="O38" i="130"/>
  <c r="BM38" i="130"/>
  <c r="BR38" i="130"/>
  <c r="BR89" i="130"/>
  <c r="BR91" i="130" s="1"/>
  <c r="E38" i="130"/>
  <c r="CL38" i="130"/>
  <c r="CL89" i="130"/>
  <c r="CL91" i="130" s="1"/>
  <c r="M39" i="130"/>
  <c r="M75" i="130"/>
  <c r="H39" i="130"/>
  <c r="H75" i="130"/>
  <c r="CG38" i="130"/>
  <c r="CG89" i="130"/>
  <c r="CG91" i="130" s="1"/>
  <c r="AC39" i="130"/>
  <c r="AC75" i="130"/>
  <c r="CQ50" i="130"/>
  <c r="AD41" i="130"/>
  <c r="D76" i="130"/>
  <c r="D81" i="130"/>
  <c r="D83" i="130" s="1"/>
  <c r="D84" i="130" s="1"/>
  <c r="D86" i="130" s="1"/>
  <c r="D87" i="130" s="1"/>
  <c r="T89" i="163" l="1"/>
  <c r="CJ76" i="130"/>
  <c r="CJ81" i="130"/>
  <c r="CJ83" i="130" s="1"/>
  <c r="CJ84" i="130" s="1"/>
  <c r="CJ86" i="130" s="1"/>
  <c r="CJ87" i="130" s="1"/>
  <c r="AM76" i="130"/>
  <c r="AM81" i="130"/>
  <c r="AM83" i="130" s="1"/>
  <c r="AM84" i="130" s="1"/>
  <c r="AM86" i="130" s="1"/>
  <c r="AM87" i="130" s="1"/>
  <c r="F8" i="163"/>
  <c r="F50" i="163"/>
  <c r="K54" i="163"/>
  <c r="K41" i="163"/>
  <c r="F54" i="163"/>
  <c r="K8" i="163"/>
  <c r="P54" i="163"/>
  <c r="W84" i="163"/>
  <c r="W86" i="163" s="1"/>
  <c r="CF81" i="130"/>
  <c r="CF83" i="130" s="1"/>
  <c r="CF84" i="130" s="1"/>
  <c r="CF86" i="130" s="1"/>
  <c r="CF87" i="130" s="1"/>
  <c r="CF76" i="130"/>
  <c r="BL81" i="130"/>
  <c r="BL83" i="130" s="1"/>
  <c r="BL84" i="130" s="1"/>
  <c r="BL86" i="130" s="1"/>
  <c r="BL87" i="130" s="1"/>
  <c r="BL76" i="130"/>
  <c r="AV76" i="130"/>
  <c r="AV81" i="130"/>
  <c r="AV83" i="130" s="1"/>
  <c r="AV84" i="130" s="1"/>
  <c r="AV86" i="130" s="1"/>
  <c r="AV87" i="130" s="1"/>
  <c r="AR85" i="130"/>
  <c r="AS39" i="130"/>
  <c r="BI58" i="163"/>
  <c r="BI28" i="163"/>
  <c r="BI11" i="163"/>
  <c r="BI49" i="163"/>
  <c r="BI66" i="163"/>
  <c r="BI68" i="163"/>
  <c r="BI33" i="163"/>
  <c r="BI29" i="163"/>
  <c r="BI60" i="163"/>
  <c r="BI36" i="163"/>
  <c r="BI26" i="163"/>
  <c r="BI25" i="163"/>
  <c r="BI31" i="163"/>
  <c r="BI62" i="163"/>
  <c r="BI32" i="163"/>
  <c r="BI9" i="163"/>
  <c r="BI24" i="163"/>
  <c r="BI70" i="163"/>
  <c r="BI65" i="163"/>
  <c r="BI45" i="163"/>
  <c r="BI53" i="163"/>
  <c r="BI23" i="163"/>
  <c r="BI30" i="163"/>
  <c r="BI56" i="163"/>
  <c r="BI27" i="163"/>
  <c r="BI10" i="163"/>
  <c r="BI42" i="163"/>
  <c r="BI13" i="163"/>
  <c r="BI19" i="163"/>
  <c r="BI57" i="163"/>
  <c r="BI44" i="163"/>
  <c r="BI52" i="163"/>
  <c r="BI64" i="163"/>
  <c r="BI21" i="163"/>
  <c r="BI61" i="163"/>
  <c r="BI51" i="163"/>
  <c r="BI59" i="163"/>
  <c r="BI71" i="163"/>
  <c r="BI14" i="163"/>
  <c r="BI20" i="163"/>
  <c r="BI43" i="163"/>
  <c r="BI67" i="163"/>
  <c r="BI69" i="163"/>
  <c r="BI16" i="163"/>
  <c r="BI22" i="163"/>
  <c r="BI46" i="163"/>
  <c r="BI47" i="163"/>
  <c r="BI17" i="163"/>
  <c r="BI63" i="163"/>
  <c r="BI55" i="163"/>
  <c r="BI48" i="163"/>
  <c r="BI12" i="163"/>
  <c r="BI18" i="163"/>
  <c r="BI15" i="163"/>
  <c r="BW81" i="163"/>
  <c r="BW83" i="163" s="1"/>
  <c r="BW84" i="163" s="1"/>
  <c r="BW86" i="163" s="1"/>
  <c r="BW87" i="163" s="1"/>
  <c r="BW76" i="163"/>
  <c r="CR36" i="163"/>
  <c r="CR35" i="163" s="1"/>
  <c r="CQ35" i="163"/>
  <c r="CR79" i="163"/>
  <c r="CQ77" i="163"/>
  <c r="BR81" i="163"/>
  <c r="BR83" i="163" s="1"/>
  <c r="BR84" i="163" s="1"/>
  <c r="BR86" i="163" s="1"/>
  <c r="BR87" i="163" s="1"/>
  <c r="BR76" i="163"/>
  <c r="CH49" i="163"/>
  <c r="CH70" i="163"/>
  <c r="CH66" i="163"/>
  <c r="CH52" i="163"/>
  <c r="CH60" i="163"/>
  <c r="CH53" i="163"/>
  <c r="CH51" i="163"/>
  <c r="CH47" i="163"/>
  <c r="CH42" i="163"/>
  <c r="CH36" i="163"/>
  <c r="CH46" i="163"/>
  <c r="CH44" i="163"/>
  <c r="CH45" i="163"/>
  <c r="CH43" i="163"/>
  <c r="CH24" i="163"/>
  <c r="CH68" i="163"/>
  <c r="CH63" i="163"/>
  <c r="CH28" i="163"/>
  <c r="CH59" i="163"/>
  <c r="CH31" i="163"/>
  <c r="CH25" i="163"/>
  <c r="CH58" i="163"/>
  <c r="CH20" i="163"/>
  <c r="CH48" i="163"/>
  <c r="CH65" i="163"/>
  <c r="CH23" i="163"/>
  <c r="CH11" i="163"/>
  <c r="CH30" i="163"/>
  <c r="CH64" i="163"/>
  <c r="CH22" i="163"/>
  <c r="CH56" i="163"/>
  <c r="CH17" i="163"/>
  <c r="CH33" i="163"/>
  <c r="CH27" i="163"/>
  <c r="CH61" i="163"/>
  <c r="CH67" i="163"/>
  <c r="CH71" i="163"/>
  <c r="CH12" i="163"/>
  <c r="CH14" i="163"/>
  <c r="CH21" i="163"/>
  <c r="CH55" i="163"/>
  <c r="CH9" i="163"/>
  <c r="CH15" i="163"/>
  <c r="CH62" i="163"/>
  <c r="CH13" i="163"/>
  <c r="CH16" i="163"/>
  <c r="CH18" i="163"/>
  <c r="CH32" i="163"/>
  <c r="CH26" i="163"/>
  <c r="CH29" i="163"/>
  <c r="CH10" i="163"/>
  <c r="CH19" i="163"/>
  <c r="CH57" i="163"/>
  <c r="CH69" i="163"/>
  <c r="AI76" i="163"/>
  <c r="AI81" i="163"/>
  <c r="AI83" i="163" s="1"/>
  <c r="AI84" i="163" s="1"/>
  <c r="AI86" i="163" s="1"/>
  <c r="AI87" i="163" s="1"/>
  <c r="CJ76" i="163"/>
  <c r="CJ81" i="163"/>
  <c r="CJ83" i="163" s="1"/>
  <c r="BC81" i="163"/>
  <c r="BC83" i="163" s="1"/>
  <c r="BC84" i="163" s="1"/>
  <c r="BC86" i="163" s="1"/>
  <c r="BC87" i="163" s="1"/>
  <c r="BC76" i="163"/>
  <c r="AT49" i="163"/>
  <c r="AT58" i="163"/>
  <c r="AT28" i="163"/>
  <c r="AT11" i="163"/>
  <c r="AT62" i="163"/>
  <c r="AT53" i="163"/>
  <c r="AT33" i="163"/>
  <c r="AT29" i="163"/>
  <c r="AT24" i="163"/>
  <c r="AT70" i="163"/>
  <c r="AT59" i="163"/>
  <c r="AT25" i="163"/>
  <c r="AT31" i="163"/>
  <c r="AT27" i="163"/>
  <c r="AT71" i="163"/>
  <c r="AT68" i="163"/>
  <c r="AT30" i="163"/>
  <c r="AT23" i="163"/>
  <c r="AT56" i="163"/>
  <c r="AT55" i="163"/>
  <c r="AT36" i="163"/>
  <c r="AT66" i="163"/>
  <c r="AT26" i="163"/>
  <c r="AT32" i="163"/>
  <c r="AT9" i="163"/>
  <c r="AT64" i="163"/>
  <c r="AT60" i="163"/>
  <c r="AT51" i="163"/>
  <c r="AT18" i="163"/>
  <c r="AT21" i="163"/>
  <c r="AT13" i="163"/>
  <c r="AT42" i="163"/>
  <c r="AT15" i="163"/>
  <c r="AT22" i="163"/>
  <c r="AT47" i="163"/>
  <c r="AT52" i="163"/>
  <c r="AT45" i="163"/>
  <c r="AT46" i="163"/>
  <c r="AT17" i="163"/>
  <c r="AT65" i="163"/>
  <c r="AT44" i="163"/>
  <c r="AT63" i="163"/>
  <c r="AT57" i="163"/>
  <c r="AT16" i="163"/>
  <c r="AT19" i="163"/>
  <c r="AT10" i="163"/>
  <c r="AT48" i="163"/>
  <c r="AT12" i="163"/>
  <c r="AT43" i="163"/>
  <c r="AT14" i="163"/>
  <c r="AT20" i="163"/>
  <c r="AT61" i="163"/>
  <c r="AT67" i="163"/>
  <c r="AT69" i="163"/>
  <c r="BS70" i="163"/>
  <c r="BS66" i="163"/>
  <c r="BS60" i="163"/>
  <c r="BS51" i="163"/>
  <c r="BS49" i="163"/>
  <c r="BS47" i="163"/>
  <c r="BS43" i="163"/>
  <c r="BS36" i="163"/>
  <c r="BS56" i="163"/>
  <c r="BS45" i="163"/>
  <c r="BS69" i="163"/>
  <c r="BS52" i="163"/>
  <c r="BS24" i="163"/>
  <c r="BS18" i="163"/>
  <c r="BS53" i="163"/>
  <c r="BS44" i="163"/>
  <c r="BS21" i="163"/>
  <c r="BS27" i="163"/>
  <c r="BS25" i="163"/>
  <c r="BS15" i="163"/>
  <c r="BS71" i="163"/>
  <c r="BS46" i="163"/>
  <c r="BS31" i="163"/>
  <c r="BS64" i="163"/>
  <c r="BS42" i="163"/>
  <c r="BS19" i="163"/>
  <c r="BS29" i="163"/>
  <c r="BS28" i="163"/>
  <c r="BS13" i="163"/>
  <c r="BS48" i="163"/>
  <c r="BS12" i="163"/>
  <c r="BS16" i="163"/>
  <c r="BS57" i="163"/>
  <c r="BS11" i="163"/>
  <c r="BS58" i="163"/>
  <c r="BS32" i="163"/>
  <c r="BS62" i="163"/>
  <c r="BS67" i="163"/>
  <c r="BS68" i="163"/>
  <c r="BS33" i="163"/>
  <c r="BS65" i="163"/>
  <c r="BS63" i="163"/>
  <c r="BS14" i="163"/>
  <c r="BS20" i="163"/>
  <c r="BS61" i="163"/>
  <c r="BS9" i="163"/>
  <c r="BS22" i="163"/>
  <c r="BS30" i="163"/>
  <c r="BS55" i="163"/>
  <c r="BS23" i="163"/>
  <c r="BS26" i="163"/>
  <c r="BS10" i="163"/>
  <c r="BS17" i="163"/>
  <c r="BS59" i="163"/>
  <c r="AC86" i="163"/>
  <c r="AC87" i="163" s="1"/>
  <c r="X84" i="163"/>
  <c r="CR9" i="163"/>
  <c r="CQ8" i="163"/>
  <c r="CQ38" i="163" s="1"/>
  <c r="BX58" i="163"/>
  <c r="BX28" i="163"/>
  <c r="BX11" i="163"/>
  <c r="BX71" i="163"/>
  <c r="BX68" i="163"/>
  <c r="BX66" i="163"/>
  <c r="BX53" i="163"/>
  <c r="BX49" i="163"/>
  <c r="BX33" i="163"/>
  <c r="BX30" i="163"/>
  <c r="BX29" i="163"/>
  <c r="BX26" i="163"/>
  <c r="BX67" i="163"/>
  <c r="BX59" i="163"/>
  <c r="BX25" i="163"/>
  <c r="BX23" i="163"/>
  <c r="BX46" i="163"/>
  <c r="BX42" i="163"/>
  <c r="BX31" i="163"/>
  <c r="BX56" i="163"/>
  <c r="BX62" i="163"/>
  <c r="BX48" i="163"/>
  <c r="BX44" i="163"/>
  <c r="BX36" i="163"/>
  <c r="BX70" i="163"/>
  <c r="BX27" i="163"/>
  <c r="BX24" i="163"/>
  <c r="BX55" i="163"/>
  <c r="BX43" i="163"/>
  <c r="BX32" i="163"/>
  <c r="BX10" i="163"/>
  <c r="BX9" i="163"/>
  <c r="BX45" i="163"/>
  <c r="BX64" i="163"/>
  <c r="BX15" i="163"/>
  <c r="BX20" i="163"/>
  <c r="BX51" i="163"/>
  <c r="BX60" i="163"/>
  <c r="BX16" i="163"/>
  <c r="BX22" i="163"/>
  <c r="BX63" i="163"/>
  <c r="BX69" i="163"/>
  <c r="BX47" i="163"/>
  <c r="BX21" i="163"/>
  <c r="BX52" i="163"/>
  <c r="BX61" i="163"/>
  <c r="BX13" i="163"/>
  <c r="BX19" i="163"/>
  <c r="BX12" i="163"/>
  <c r="BX17" i="163"/>
  <c r="BX18" i="163"/>
  <c r="BX14" i="163"/>
  <c r="BX57" i="163"/>
  <c r="BX65" i="163"/>
  <c r="CJ84" i="163"/>
  <c r="CJ86" i="163" s="1"/>
  <c r="CJ87" i="163" s="1"/>
  <c r="P72" i="163"/>
  <c r="P66" i="163"/>
  <c r="P48" i="163"/>
  <c r="P47" i="163"/>
  <c r="P65" i="163"/>
  <c r="P36" i="163"/>
  <c r="T90" i="163"/>
  <c r="P85" i="163"/>
  <c r="P60" i="163"/>
  <c r="P45" i="163"/>
  <c r="P22" i="163"/>
  <c r="P18" i="163"/>
  <c r="P44" i="163"/>
  <c r="P42" i="163"/>
  <c r="P15" i="163"/>
  <c r="P46" i="163"/>
  <c r="P43" i="163"/>
  <c r="P21" i="163"/>
  <c r="P19" i="163"/>
  <c r="P53" i="163"/>
  <c r="P30" i="163"/>
  <c r="P56" i="163"/>
  <c r="P51" i="163"/>
  <c r="P25" i="163"/>
  <c r="P20" i="163"/>
  <c r="P13" i="163"/>
  <c r="P52" i="163"/>
  <c r="P63" i="163"/>
  <c r="P29" i="163"/>
  <c r="P17" i="163"/>
  <c r="P24" i="163"/>
  <c r="P33" i="163"/>
  <c r="P16" i="163"/>
  <c r="P12" i="163"/>
  <c r="P31" i="163"/>
  <c r="P68" i="163"/>
  <c r="P14" i="163"/>
  <c r="P26" i="163"/>
  <c r="P82" i="163"/>
  <c r="P58" i="163"/>
  <c r="P64" i="163"/>
  <c r="P70" i="163"/>
  <c r="P32" i="163"/>
  <c r="P71" i="163"/>
  <c r="P57" i="163"/>
  <c r="P55" i="163"/>
  <c r="P67" i="163"/>
  <c r="P59" i="163"/>
  <c r="P62" i="163"/>
  <c r="P11" i="163"/>
  <c r="P28" i="163"/>
  <c r="P23" i="163"/>
  <c r="P9" i="163"/>
  <c r="P69" i="163"/>
  <c r="P74" i="163"/>
  <c r="P78" i="163"/>
  <c r="P10" i="163"/>
  <c r="P27" i="163"/>
  <c r="P61" i="163"/>
  <c r="CL89" i="163"/>
  <c r="CM54" i="163" s="1"/>
  <c r="CL38" i="163"/>
  <c r="CP76" i="130"/>
  <c r="CP81" i="130"/>
  <c r="CP83" i="130" s="1"/>
  <c r="CP84" i="130" s="1"/>
  <c r="CO39" i="130"/>
  <c r="CO75" i="130"/>
  <c r="BR38" i="100"/>
  <c r="AS91" i="130"/>
  <c r="AS81" i="130"/>
  <c r="AS83" i="130" s="1"/>
  <c r="AS84" i="130" s="1"/>
  <c r="AS86" i="130" s="1"/>
  <c r="AS87" i="130" s="1"/>
  <c r="AS76" i="130"/>
  <c r="AQ76" i="130"/>
  <c r="AQ81" i="130"/>
  <c r="AQ83" i="130" s="1"/>
  <c r="AQ84" i="130" s="1"/>
  <c r="AQ86" i="130" s="1"/>
  <c r="AQ87" i="130" s="1"/>
  <c r="AC76" i="130"/>
  <c r="AC81" i="130"/>
  <c r="AC83" i="130" s="1"/>
  <c r="AC84" i="130" s="1"/>
  <c r="CB39" i="130"/>
  <c r="CB75" i="130"/>
  <c r="AB76" i="130"/>
  <c r="J39" i="130"/>
  <c r="J75" i="130"/>
  <c r="E39" i="130"/>
  <c r="E75" i="130"/>
  <c r="BR39" i="130"/>
  <c r="BR75" i="130"/>
  <c r="T39" i="130"/>
  <c r="T75" i="130"/>
  <c r="CG39" i="130"/>
  <c r="CG75" i="130"/>
  <c r="AI39" i="130"/>
  <c r="AI75" i="130"/>
  <c r="AL76" i="130"/>
  <c r="AX39" i="130"/>
  <c r="AX75" i="130"/>
  <c r="CQ39" i="130"/>
  <c r="CQ75" i="130"/>
  <c r="CL39" i="130"/>
  <c r="CL75" i="130"/>
  <c r="O39" i="130"/>
  <c r="O75" i="130"/>
  <c r="BH39" i="130"/>
  <c r="BH75" i="130"/>
  <c r="AD39" i="130"/>
  <c r="AD75" i="130"/>
  <c r="R76" i="130"/>
  <c r="BW39" i="130"/>
  <c r="BW75" i="130"/>
  <c r="BC39" i="130"/>
  <c r="BC75" i="130"/>
  <c r="AN39" i="130"/>
  <c r="AN75" i="130"/>
  <c r="H76" i="130"/>
  <c r="M76" i="130"/>
  <c r="BM39" i="130"/>
  <c r="BM75" i="130"/>
  <c r="CP85" i="130" l="1"/>
  <c r="CP86" i="130" s="1"/>
  <c r="CP87" i="130" s="1"/>
  <c r="AR86" i="130"/>
  <c r="AR87" i="130" s="1"/>
  <c r="CQ39" i="163"/>
  <c r="CQ75" i="163"/>
  <c r="CT9" i="163"/>
  <c r="CR8" i="163"/>
  <c r="CR38" i="163" s="1"/>
  <c r="CM72" i="163"/>
  <c r="CM49" i="163"/>
  <c r="CM31" i="163"/>
  <c r="CM51" i="163"/>
  <c r="CM21" i="163"/>
  <c r="CM20" i="163"/>
  <c r="CM59" i="163"/>
  <c r="CM23" i="163"/>
  <c r="CM14" i="163"/>
  <c r="CM60" i="163"/>
  <c r="CM12" i="163"/>
  <c r="CM56" i="163"/>
  <c r="CM13" i="163"/>
  <c r="CM44" i="163"/>
  <c r="CM57" i="163"/>
  <c r="CM16" i="163"/>
  <c r="CM45" i="163"/>
  <c r="CM24" i="163"/>
  <c r="CM25" i="163"/>
  <c r="CM47" i="163"/>
  <c r="CM46" i="163"/>
  <c r="CM68" i="163"/>
  <c r="CM48" i="163"/>
  <c r="CM58" i="163"/>
  <c r="CM69" i="163"/>
  <c r="CM65" i="163"/>
  <c r="CM17" i="163"/>
  <c r="CM30" i="163"/>
  <c r="CM33" i="163"/>
  <c r="CM43" i="163"/>
  <c r="CM11" i="163"/>
  <c r="CM27" i="163"/>
  <c r="CM61" i="163"/>
  <c r="CM10" i="163"/>
  <c r="CM63" i="163"/>
  <c r="CM66" i="163"/>
  <c r="CM26" i="163"/>
  <c r="CM52" i="163"/>
  <c r="CM42" i="163"/>
  <c r="CM62" i="163"/>
  <c r="CM32" i="163"/>
  <c r="CM64" i="163"/>
  <c r="CM15" i="163"/>
  <c r="CM18" i="163"/>
  <c r="CM22" i="163"/>
  <c r="CM67" i="163"/>
  <c r="CM71" i="163"/>
  <c r="CM29" i="163"/>
  <c r="CM28" i="163"/>
  <c r="CM70" i="163"/>
  <c r="CM19" i="163"/>
  <c r="CM36" i="163"/>
  <c r="CM55" i="163"/>
  <c r="CM41" i="163"/>
  <c r="CM9" i="163"/>
  <c r="X86" i="163"/>
  <c r="CK84" i="163"/>
  <c r="CK86" i="163" s="1"/>
  <c r="CK87" i="163" s="1"/>
  <c r="CL75" i="163"/>
  <c r="CL39" i="163"/>
  <c r="CO76" i="130"/>
  <c r="BR39" i="100"/>
  <c r="O76" i="130"/>
  <c r="CG81" i="130"/>
  <c r="CG83" i="130" s="1"/>
  <c r="CG84" i="130" s="1"/>
  <c r="CG86" i="130" s="1"/>
  <c r="CG87" i="130" s="1"/>
  <c r="CG76" i="130"/>
  <c r="AC85" i="130"/>
  <c r="AD85" i="130" s="1"/>
  <c r="BR76" i="130"/>
  <c r="BR81" i="130"/>
  <c r="BR83" i="130" s="1"/>
  <c r="BR84" i="130" s="1"/>
  <c r="BR86" i="130" s="1"/>
  <c r="BR87" i="130" s="1"/>
  <c r="CB76" i="130"/>
  <c r="CB81" i="130"/>
  <c r="CB83" i="130" s="1"/>
  <c r="CB84" i="130" s="1"/>
  <c r="CB86" i="130" s="1"/>
  <c r="CB87" i="130" s="1"/>
  <c r="BM76" i="130"/>
  <c r="AD76" i="130"/>
  <c r="CL76" i="130"/>
  <c r="CL81" i="130"/>
  <c r="CL83" i="130" s="1"/>
  <c r="CL84" i="130" s="1"/>
  <c r="CL86" i="130" s="1"/>
  <c r="CL87" i="130" s="1"/>
  <c r="AX76" i="130"/>
  <c r="AX81" i="130"/>
  <c r="AX83" i="130" s="1"/>
  <c r="AX84" i="130" s="1"/>
  <c r="AX86" i="130" s="1"/>
  <c r="AX87" i="130" s="1"/>
  <c r="AI76" i="130"/>
  <c r="BC81" i="130"/>
  <c r="BC83" i="130" s="1"/>
  <c r="BC84" i="130" s="1"/>
  <c r="BC86" i="130" s="1"/>
  <c r="BC87" i="130" s="1"/>
  <c r="BC76" i="130"/>
  <c r="BW81" i="130"/>
  <c r="BW83" i="130" s="1"/>
  <c r="BW84" i="130" s="1"/>
  <c r="BW86" i="130" s="1"/>
  <c r="BW87" i="130" s="1"/>
  <c r="BW76" i="130"/>
  <c r="T76" i="130"/>
  <c r="AN76" i="130"/>
  <c r="BH76" i="130"/>
  <c r="BH81" i="130"/>
  <c r="BH83" i="130" s="1"/>
  <c r="BH84" i="130" s="1"/>
  <c r="BH86" i="130" s="1"/>
  <c r="BH87" i="130" s="1"/>
  <c r="CQ76" i="130"/>
  <c r="E76" i="130"/>
  <c r="J76" i="130"/>
  <c r="CR39" i="163" l="1"/>
  <c r="CR75" i="163"/>
  <c r="CL81" i="163"/>
  <c r="CL83" i="163" s="1"/>
  <c r="CL84" i="163" s="1"/>
  <c r="CL86" i="163" s="1"/>
  <c r="CL87" i="163" s="1"/>
  <c r="CL76" i="163"/>
  <c r="CQ81" i="163"/>
  <c r="CQ83" i="163" s="1"/>
  <c r="CQ84" i="163" s="1"/>
  <c r="CQ86" i="163" s="1"/>
  <c r="CQ76" i="163"/>
  <c r="AC86" i="130"/>
  <c r="AC87" i="130" s="1"/>
  <c r="CR76" i="163" l="1"/>
  <c r="CR81" i="163"/>
  <c r="CR83" i="163" s="1"/>
  <c r="CR84" i="163" s="1"/>
  <c r="CR86" i="163"/>
  <c r="CQ87" i="163"/>
  <c r="C105" i="101" l="1"/>
  <c r="AC61" i="101" l="1"/>
  <c r="AB60" i="101"/>
  <c r="AB55" i="101"/>
  <c r="AB52" i="101"/>
  <c r="AB43" i="101"/>
  <c r="AB42" i="101" s="1"/>
  <c r="DN78" i="106"/>
  <c r="AM55" i="129" l="1"/>
  <c r="BL55" i="106"/>
  <c r="BL28" i="106"/>
  <c r="M25" i="101" l="1"/>
  <c r="E25" i="101"/>
  <c r="BM85" i="106" l="1"/>
  <c r="BH85" i="106"/>
  <c r="BK27" i="106"/>
  <c r="BM27" i="106" s="1"/>
  <c r="BK28" i="106"/>
  <c r="BB6" i="106"/>
  <c r="BL77" i="106"/>
  <c r="BL73" i="106"/>
  <c r="BK73" i="106"/>
  <c r="BL54" i="106"/>
  <c r="BK54" i="106"/>
  <c r="BL50" i="106"/>
  <c r="BK50" i="106"/>
  <c r="BK47" i="106"/>
  <c r="BK41" i="106" s="1"/>
  <c r="BL41" i="106"/>
  <c r="BL35" i="106"/>
  <c r="BK35" i="106"/>
  <c r="BK6" i="106"/>
  <c r="BM6" i="106" s="1"/>
  <c r="BK6" i="125" l="1"/>
  <c r="AB6" i="129"/>
  <c r="I24" i="101"/>
  <c r="AL44" i="129"/>
  <c r="AL47" i="129"/>
  <c r="BK28" i="100"/>
  <c r="I25" i="101" l="1"/>
  <c r="AG79" i="130"/>
  <c r="AL79" i="130" l="1"/>
  <c r="AG77" i="130"/>
  <c r="AG81" i="130"/>
  <c r="AG83" i="130" s="1"/>
  <c r="AG84" i="130" s="1"/>
  <c r="AG86" i="130" s="1"/>
  <c r="AG87" i="130" s="1"/>
  <c r="AI79" i="130"/>
  <c r="AN79" i="130"/>
  <c r="AL77" i="130"/>
  <c r="AL81" i="130"/>
  <c r="AL83" i="130" s="1"/>
  <c r="AL84" i="130" s="1"/>
  <c r="AL86" i="130" s="1"/>
  <c r="AL87" i="130" s="1"/>
  <c r="AN77" i="130" l="1"/>
  <c r="AN89" i="130"/>
  <c r="AN81" i="130"/>
  <c r="AN83" i="130" s="1"/>
  <c r="AN84" i="130" s="1"/>
  <c r="AN86" i="130" s="1"/>
  <c r="AN87" i="130" s="1"/>
  <c r="AI77" i="130"/>
  <c r="AI89" i="130"/>
  <c r="AI81" i="130"/>
  <c r="AI83" i="130" s="1"/>
  <c r="AI84" i="130" s="1"/>
  <c r="AI86" i="130" s="1"/>
  <c r="AI87" i="130" s="1"/>
  <c r="AJ35" i="130" l="1"/>
  <c r="AJ41" i="130"/>
  <c r="AJ50" i="130"/>
  <c r="AJ54" i="130"/>
  <c r="AJ38" i="130"/>
  <c r="AJ16" i="130"/>
  <c r="AJ40" i="130"/>
  <c r="AJ31" i="130"/>
  <c r="AJ43" i="130"/>
  <c r="AJ70" i="130"/>
  <c r="AJ71" i="130"/>
  <c r="AJ30" i="130"/>
  <c r="AJ19" i="130"/>
  <c r="AJ9" i="130"/>
  <c r="AJ13" i="130"/>
  <c r="AJ49" i="130"/>
  <c r="AJ34" i="130"/>
  <c r="AJ62" i="130"/>
  <c r="AJ67" i="130"/>
  <c r="AJ68" i="130"/>
  <c r="AJ60" i="130"/>
  <c r="AJ36" i="130"/>
  <c r="AJ11" i="130"/>
  <c r="AJ63" i="130"/>
  <c r="AJ8" i="130"/>
  <c r="AJ26" i="130"/>
  <c r="AJ48" i="130"/>
  <c r="AJ44" i="130"/>
  <c r="AJ66" i="130"/>
  <c r="AJ23" i="130"/>
  <c r="AJ33" i="130"/>
  <c r="AJ20" i="130"/>
  <c r="AJ69" i="130"/>
  <c r="AJ29" i="130"/>
  <c r="AI91" i="130"/>
  <c r="AJ21" i="130"/>
  <c r="AJ37" i="130"/>
  <c r="AJ45" i="130"/>
  <c r="AJ64" i="130"/>
  <c r="AJ17" i="130"/>
  <c r="AJ15" i="130"/>
  <c r="AJ59" i="130"/>
  <c r="AJ10" i="130"/>
  <c r="AJ58" i="130"/>
  <c r="AJ32" i="130"/>
  <c r="AJ24" i="130"/>
  <c r="AJ47" i="130"/>
  <c r="AJ61" i="130"/>
  <c r="AJ14" i="130"/>
  <c r="AJ12" i="130"/>
  <c r="AJ28" i="130"/>
  <c r="AJ42" i="130"/>
  <c r="AJ52" i="130"/>
  <c r="AJ22" i="130"/>
  <c r="AJ51" i="130"/>
  <c r="AJ65" i="130"/>
  <c r="AJ27" i="130"/>
  <c r="AJ25" i="130"/>
  <c r="AJ57" i="130"/>
  <c r="AJ55" i="130"/>
  <c r="AJ18" i="130"/>
  <c r="AJ46" i="130"/>
  <c r="AJ56" i="130"/>
  <c r="AJ39" i="130"/>
  <c r="AT68" i="130"/>
  <c r="AT57" i="130"/>
  <c r="AT49" i="130"/>
  <c r="AT21" i="130"/>
  <c r="AT11" i="130"/>
  <c r="AT44" i="130"/>
  <c r="AT63" i="130"/>
  <c r="AT56" i="130"/>
  <c r="AT51" i="130"/>
  <c r="AT47" i="130"/>
  <c r="AT30" i="130"/>
  <c r="AT17" i="130"/>
  <c r="AT71" i="130"/>
  <c r="AT66" i="130"/>
  <c r="AT59" i="130"/>
  <c r="AT43" i="130"/>
  <c r="AT36" i="130"/>
  <c r="AT33" i="130"/>
  <c r="AT19" i="130"/>
  <c r="AT69" i="130"/>
  <c r="AT62" i="130"/>
  <c r="AT46" i="130"/>
  <c r="AT29" i="130"/>
  <c r="AT22" i="130"/>
  <c r="AT12" i="130"/>
  <c r="AT65" i="130"/>
  <c r="AT35" i="130"/>
  <c r="AT32" i="130"/>
  <c r="AT25" i="130"/>
  <c r="AT18" i="130"/>
  <c r="AT15" i="130"/>
  <c r="AT60" i="130"/>
  <c r="AT24" i="130"/>
  <c r="AT14" i="130"/>
  <c r="AT48" i="130"/>
  <c r="AT26" i="130"/>
  <c r="AT70" i="130"/>
  <c r="AT52" i="130"/>
  <c r="AT10" i="130"/>
  <c r="AT54" i="130"/>
  <c r="AT8" i="130"/>
  <c r="AT28" i="130"/>
  <c r="AT42" i="130"/>
  <c r="AT9" i="130"/>
  <c r="AT20" i="130"/>
  <c r="AT45" i="130"/>
  <c r="AT38" i="130"/>
  <c r="AT58" i="130"/>
  <c r="AT13" i="130"/>
  <c r="AT27" i="130"/>
  <c r="AT61" i="130"/>
  <c r="AT55" i="130"/>
  <c r="AT64" i="130"/>
  <c r="AT23" i="130"/>
  <c r="AT67" i="130"/>
  <c r="AT16" i="130"/>
  <c r="AT50" i="130"/>
  <c r="AT31" i="130"/>
  <c r="AT41" i="130"/>
  <c r="CM41" i="130"/>
  <c r="BI8" i="130"/>
  <c r="BX54" i="130"/>
  <c r="AY54" i="130"/>
  <c r="BN35" i="130"/>
  <c r="CM8" i="130"/>
  <c r="BI54" i="130"/>
  <c r="BN8" i="130"/>
  <c r="CH8" i="130"/>
  <c r="BN54" i="130"/>
  <c r="AY35" i="130"/>
  <c r="AT39" i="130"/>
  <c r="BD54" i="130"/>
  <c r="AO41" i="130"/>
  <c r="BS41" i="130"/>
  <c r="CC54" i="130"/>
  <c r="BX8" i="130"/>
  <c r="CM54" i="130"/>
  <c r="BN41" i="130"/>
  <c r="BX41" i="130"/>
  <c r="CM50" i="130"/>
  <c r="BI35" i="130"/>
  <c r="CC41" i="130"/>
  <c r="BI41" i="130"/>
  <c r="AO54" i="130"/>
  <c r="BS8" i="130"/>
  <c r="CC35" i="130"/>
  <c r="CM35" i="130"/>
  <c r="BX50" i="130"/>
  <c r="BS38" i="130"/>
  <c r="BX35" i="130"/>
  <c r="BD18" i="130"/>
  <c r="AY20" i="130"/>
  <c r="AY10" i="130"/>
  <c r="CH11" i="130"/>
  <c r="CC13" i="130"/>
  <c r="BX15" i="130"/>
  <c r="BX18" i="130"/>
  <c r="CH22" i="130"/>
  <c r="CC21" i="130"/>
  <c r="AO23" i="130"/>
  <c r="CC24" i="130"/>
  <c r="BS23" i="130"/>
  <c r="CM28" i="130"/>
  <c r="AO21" i="130"/>
  <c r="BN28" i="130"/>
  <c r="BN31" i="130"/>
  <c r="BD44" i="130"/>
  <c r="AY46" i="130"/>
  <c r="AY48" i="130"/>
  <c r="AO25" i="130"/>
  <c r="BS29" i="130"/>
  <c r="BD36" i="130"/>
  <c r="BS36" i="130"/>
  <c r="AO52" i="130"/>
  <c r="CC42" i="130"/>
  <c r="AO48" i="130"/>
  <c r="BN45" i="130"/>
  <c r="AY51" i="130"/>
  <c r="CC55" i="130"/>
  <c r="BI61" i="130"/>
  <c r="AO63" i="130"/>
  <c r="BN42" i="130"/>
  <c r="BX46" i="130"/>
  <c r="BX44" i="130"/>
  <c r="BD56" i="130"/>
  <c r="BS61" i="130"/>
  <c r="AY65" i="130"/>
  <c r="CH66" i="130"/>
  <c r="BS68" i="130"/>
  <c r="BN70" i="130"/>
  <c r="AN91" i="130"/>
  <c r="CH59" i="130"/>
  <c r="AO65" i="130"/>
  <c r="CM66" i="130"/>
  <c r="BX68" i="130"/>
  <c r="BS18" i="130"/>
  <c r="BN20" i="130"/>
  <c r="BN10" i="130"/>
  <c r="BI12" i="130"/>
  <c r="AO14" i="130"/>
  <c r="CM15" i="130"/>
  <c r="BD19" i="130"/>
  <c r="BS25" i="130"/>
  <c r="BS19" i="130"/>
  <c r="CH23" i="130"/>
  <c r="BD17" i="130"/>
  <c r="BI26" i="130"/>
  <c r="CH17" i="130"/>
  <c r="CH21" i="130"/>
  <c r="CC28" i="130"/>
  <c r="CM42" i="130"/>
  <c r="BS44" i="130"/>
  <c r="BN46" i="130"/>
  <c r="BN48" i="130"/>
  <c r="BD33" i="130"/>
  <c r="AY24" i="130"/>
  <c r="AY42" i="130"/>
  <c r="BN43" i="130"/>
  <c r="CH18" i="130"/>
  <c r="CC20" i="130"/>
  <c r="CC10" i="130"/>
  <c r="BX12" i="130"/>
  <c r="BD14" i="130"/>
  <c r="AY16" i="130"/>
  <c r="BS20" i="130"/>
  <c r="AO19" i="130"/>
  <c r="BN18" i="130"/>
  <c r="BX27" i="130"/>
  <c r="AY18" i="130"/>
  <c r="CC26" i="130"/>
  <c r="AY22" i="130"/>
  <c r="CM22" i="130"/>
  <c r="BN49" i="130"/>
  <c r="BI43" i="130"/>
  <c r="CH44" i="130"/>
  <c r="CC46" i="130"/>
  <c r="CC48" i="130"/>
  <c r="AO36" i="130"/>
  <c r="AO33" i="130"/>
  <c r="AO43" i="130"/>
  <c r="CH46" i="130"/>
  <c r="CC38" i="130"/>
  <c r="BI19" i="130"/>
  <c r="BI9" i="130"/>
  <c r="AO11" i="130"/>
  <c r="CM12" i="130"/>
  <c r="BS14" i="130"/>
  <c r="BN16" i="130"/>
  <c r="AO22" i="130"/>
  <c r="CM20" i="130"/>
  <c r="CH19" i="130"/>
  <c r="AO20" i="130"/>
  <c r="AY19" i="130"/>
  <c r="BI27" i="130"/>
  <c r="AO17" i="130"/>
  <c r="BD23" i="130"/>
  <c r="BI25" i="130"/>
  <c r="BX43" i="130"/>
  <c r="BI45" i="130"/>
  <c r="BI47" i="130"/>
  <c r="CC49" i="130"/>
  <c r="CH36" i="130"/>
  <c r="CH33" i="130"/>
  <c r="AO49" i="130"/>
  <c r="BN47" i="130"/>
  <c r="CH52" i="130"/>
  <c r="CC45" i="130"/>
  <c r="BX25" i="130"/>
  <c r="BS47" i="130"/>
  <c r="BI52" i="130"/>
  <c r="CC58" i="130"/>
  <c r="CC8" i="130"/>
  <c r="BX19" i="130"/>
  <c r="BX9" i="130"/>
  <c r="BD11" i="130"/>
  <c r="AY13" i="130"/>
  <c r="CH14" i="130"/>
  <c r="CC16" i="130"/>
  <c r="BD22" i="130"/>
  <c r="AY21" i="130"/>
  <c r="BS21" i="130"/>
  <c r="BI20" i="130"/>
  <c r="BD21" i="130"/>
  <c r="BI28" i="130"/>
  <c r="CC18" i="130"/>
  <c r="CM27" i="130"/>
  <c r="CM26" i="130"/>
  <c r="CM43" i="130"/>
  <c r="BX45" i="130"/>
  <c r="BX47" i="130"/>
  <c r="BX20" i="130"/>
  <c r="AY49" i="130"/>
  <c r="AY32" i="130"/>
  <c r="BX49" i="130"/>
  <c r="BD48" i="130"/>
  <c r="CC31" i="130"/>
  <c r="BS46" i="130"/>
  <c r="BS43" i="130"/>
  <c r="BI48" i="130"/>
  <c r="BX52" i="130"/>
  <c r="BS59" i="130"/>
  <c r="BN62" i="130"/>
  <c r="BI64" i="130"/>
  <c r="CH45" i="130"/>
  <c r="BS50" i="130"/>
  <c r="BN13" i="130"/>
  <c r="CC22" i="130"/>
  <c r="AO44" i="130"/>
  <c r="BD29" i="130"/>
  <c r="CH43" i="130"/>
  <c r="CM46" i="130"/>
  <c r="BX57" i="130"/>
  <c r="BD63" i="130"/>
  <c r="AY45" i="130"/>
  <c r="CH48" i="130"/>
  <c r="BN58" i="130"/>
  <c r="AO64" i="130"/>
  <c r="BD66" i="130"/>
  <c r="BD68" i="130"/>
  <c r="CC70" i="130"/>
  <c r="BX60" i="130"/>
  <c r="AY63" i="130"/>
  <c r="BI66" i="130"/>
  <c r="BI68" i="130"/>
  <c r="BD70" i="130"/>
  <c r="CC47" i="130"/>
  <c r="CC66" i="130"/>
  <c r="AY71" i="130"/>
  <c r="BX65" i="130"/>
  <c r="CM67" i="130"/>
  <c r="CM62" i="130"/>
  <c r="CH56" i="130"/>
  <c r="BD60" i="130"/>
  <c r="AY59" i="130"/>
  <c r="CC32" i="130"/>
  <c r="CH25" i="130"/>
  <c r="BD24" i="130"/>
  <c r="BN12" i="130"/>
  <c r="BX31" i="130"/>
  <c r="BX58" i="130"/>
  <c r="AY27" i="130"/>
  <c r="BN27" i="130"/>
  <c r="AY25" i="130"/>
  <c r="CC29" i="130"/>
  <c r="CH27" i="130"/>
  <c r="CH61" i="130"/>
  <c r="BN44" i="130"/>
  <c r="CH28" i="130"/>
  <c r="BX10" i="130"/>
  <c r="BX29" i="130"/>
  <c r="BN9" i="130"/>
  <c r="CC11" i="130"/>
  <c r="BD35" i="130"/>
  <c r="CM63" i="130"/>
  <c r="BI46" i="130"/>
  <c r="BD28" i="130"/>
  <c r="CH29" i="130"/>
  <c r="BI32" i="130"/>
  <c r="CM23" i="130"/>
  <c r="CC15" i="130"/>
  <c r="BS13" i="130"/>
  <c r="BS16" i="130"/>
  <c r="AO35" i="130"/>
  <c r="CH57" i="130"/>
  <c r="AY33" i="130"/>
  <c r="CH32" i="130"/>
  <c r="AO24" i="130"/>
  <c r="AY15" i="130"/>
  <c r="CC9" i="130"/>
  <c r="CM21" i="130"/>
  <c r="BI38" i="130"/>
  <c r="CH54" i="130"/>
  <c r="AO38" i="130"/>
  <c r="BI15" i="130"/>
  <c r="BN22" i="130"/>
  <c r="CM45" i="130"/>
  <c r="BD49" i="130"/>
  <c r="AY47" i="130"/>
  <c r="BS49" i="130"/>
  <c r="CH60" i="130"/>
  <c r="BS63" i="130"/>
  <c r="AO46" i="130"/>
  <c r="AO51" i="130"/>
  <c r="BD59" i="130"/>
  <c r="BX64" i="130"/>
  <c r="BS66" i="130"/>
  <c r="CH68" i="130"/>
  <c r="AO71" i="130"/>
  <c r="CH35" i="130"/>
  <c r="BN64" i="130"/>
  <c r="BX66" i="130"/>
  <c r="CM68" i="130"/>
  <c r="BS70" i="130"/>
  <c r="BI60" i="130"/>
  <c r="BX63" i="130"/>
  <c r="AO69" i="130"/>
  <c r="BN66" i="130"/>
  <c r="CC68" i="130"/>
  <c r="BS64" i="130"/>
  <c r="BX62" i="130"/>
  <c r="CC59" i="130"/>
  <c r="BI55" i="130"/>
  <c r="AO32" i="130"/>
  <c r="CC30" i="130"/>
  <c r="AY12" i="130"/>
  <c r="BD26" i="130"/>
  <c r="BS31" i="130"/>
  <c r="AO58" i="130"/>
  <c r="CM36" i="130"/>
  <c r="CM24" i="130"/>
  <c r="BI16" i="130"/>
  <c r="AY60" i="130"/>
  <c r="BX21" i="130"/>
  <c r="AO45" i="130"/>
  <c r="CM51" i="130"/>
  <c r="BI58" i="130"/>
  <c r="CC33" i="130"/>
  <c r="BI21" i="130"/>
  <c r="BD27" i="130"/>
  <c r="BD16" i="130"/>
  <c r="AY55" i="130"/>
  <c r="BI63" i="130"/>
  <c r="BX42" i="130"/>
  <c r="BD57" i="130"/>
  <c r="BX24" i="130"/>
  <c r="CC25" i="130"/>
  <c r="CM32" i="130"/>
  <c r="BS12" i="130"/>
  <c r="BS62" i="130"/>
  <c r="AY23" i="130"/>
  <c r="BN57" i="130"/>
  <c r="AO55" i="130"/>
  <c r="BX23" i="130"/>
  <c r="AO29" i="130"/>
  <c r="AO9" i="130"/>
  <c r="AO12" i="130"/>
  <c r="AY50" i="130"/>
  <c r="CH38" i="130"/>
  <c r="BS17" i="130"/>
  <c r="BX28" i="130"/>
  <c r="CM47" i="130"/>
  <c r="BD52" i="130"/>
  <c r="BI49" i="130"/>
  <c r="BN51" i="130"/>
  <c r="BX61" i="130"/>
  <c r="CH63" i="130"/>
  <c r="BD47" i="130"/>
  <c r="BD51" i="130"/>
  <c r="CC43" i="130"/>
  <c r="CM64" i="130"/>
  <c r="AY67" i="130"/>
  <c r="BI69" i="130"/>
  <c r="BD71" i="130"/>
  <c r="BD45" i="130"/>
  <c r="CC64" i="130"/>
  <c r="AO67" i="130"/>
  <c r="AY69" i="130"/>
  <c r="CH70" i="130"/>
  <c r="CC61" i="130"/>
  <c r="BI67" i="130"/>
  <c r="BX70" i="130"/>
  <c r="BX67" i="130"/>
  <c r="BD69" i="130"/>
  <c r="BI65" i="130"/>
  <c r="BX32" i="130"/>
  <c r="CC56" i="130"/>
  <c r="BI31" i="130"/>
  <c r="AO16" i="130"/>
  <c r="CC23" i="130"/>
  <c r="BS26" i="130"/>
  <c r="AY17" i="130"/>
  <c r="BX17" i="130"/>
  <c r="CH26" i="130"/>
  <c r="AY31" i="130"/>
  <c r="CC17" i="130"/>
  <c r="CH16" i="130"/>
  <c r="BS42" i="130"/>
  <c r="BD12" i="130"/>
  <c r="AY61" i="130"/>
  <c r="AO47" i="130"/>
  <c r="BN33" i="130"/>
  <c r="BS28" i="130"/>
  <c r="BI17" i="130"/>
  <c r="CM13" i="130"/>
  <c r="CH9" i="130"/>
  <c r="CC52" i="130"/>
  <c r="CC44" i="130"/>
  <c r="BS58" i="130"/>
  <c r="CH42" i="130"/>
  <c r="BD20" i="130"/>
  <c r="BI18" i="130"/>
  <c r="BX26" i="130"/>
  <c r="AY11" i="130"/>
  <c r="BN50" i="130"/>
  <c r="CC27" i="130"/>
  <c r="BS57" i="130"/>
  <c r="BD25" i="130"/>
  <c r="BI33" i="130"/>
  <c r="CH31" i="130"/>
  <c r="BS32" i="130"/>
  <c r="BS10" i="130"/>
  <c r="AO57" i="130"/>
  <c r="CM19" i="130"/>
  <c r="BS22" i="130"/>
  <c r="CC19" i="130"/>
  <c r="BN24" i="130"/>
  <c r="BS52" i="130"/>
  <c r="BX22" i="130"/>
  <c r="CC51" i="130"/>
  <c r="CM61" i="130"/>
  <c r="BX30" i="130"/>
  <c r="CM49" i="130"/>
  <c r="BS51" i="130"/>
  <c r="BI44" i="130"/>
  <c r="BN65" i="130"/>
  <c r="BN67" i="130"/>
  <c r="BX69" i="130"/>
  <c r="BS71" i="130"/>
  <c r="AY58" i="130"/>
  <c r="BD65" i="130"/>
  <c r="BD67" i="130"/>
  <c r="BN69" i="130"/>
  <c r="BI71" i="130"/>
  <c r="AO59" i="130"/>
  <c r="AY68" i="130"/>
  <c r="CM57" i="130"/>
  <c r="BN68" i="130"/>
  <c r="CM70" i="130"/>
  <c r="AY66" i="130"/>
  <c r="BN59" i="130"/>
  <c r="AY52" i="130"/>
  <c r="AY36" i="130"/>
  <c r="BN36" i="130"/>
  <c r="AO27" i="130"/>
  <c r="BX16" i="130"/>
  <c r="AY9" i="130"/>
  <c r="CM10" i="130"/>
  <c r="CM59" i="130"/>
  <c r="CH15" i="130"/>
  <c r="BI29" i="130"/>
  <c r="CC14" i="130"/>
  <c r="AY29" i="130"/>
  <c r="CM14" i="130"/>
  <c r="BN52" i="130"/>
  <c r="CM58" i="130"/>
  <c r="AY26" i="130"/>
  <c r="CM31" i="130"/>
  <c r="CM29" i="130"/>
  <c r="BI11" i="130"/>
  <c r="BS15" i="130"/>
  <c r="BS35" i="130"/>
  <c r="CM60" i="130"/>
  <c r="BN55" i="130"/>
  <c r="BD58" i="130"/>
  <c r="BD13" i="130"/>
  <c r="CM16" i="130"/>
  <c r="BN23" i="130"/>
  <c r="BX11" i="130"/>
  <c r="BI56" i="130"/>
  <c r="CC12" i="130"/>
  <c r="BD50" i="130"/>
  <c r="AY56" i="130"/>
  <c r="BN19" i="130"/>
  <c r="BS24" i="130"/>
  <c r="BN29" i="130"/>
  <c r="BS11" i="130"/>
  <c r="BI22" i="130"/>
  <c r="BI30" i="130"/>
  <c r="BS33" i="130"/>
  <c r="AY43" i="130"/>
  <c r="BD46" i="130"/>
  <c r="BS56" i="130"/>
  <c r="CC62" i="130"/>
  <c r="CM44" i="130"/>
  <c r="BS60" i="130"/>
  <c r="BI57" i="130"/>
  <c r="CC63" i="130"/>
  <c r="AO66" i="130"/>
  <c r="AO68" i="130"/>
  <c r="AY70" i="130"/>
  <c r="BS48" i="130"/>
  <c r="CH62" i="130"/>
  <c r="CH65" i="130"/>
  <c r="CH67" i="130"/>
  <c r="AO70" i="130"/>
  <c r="CM71" i="130"/>
  <c r="CM65" i="130"/>
  <c r="BI70" i="130"/>
  <c r="CH64" i="130"/>
  <c r="BN71" i="130"/>
  <c r="AO60" i="130"/>
  <c r="AO62" i="130"/>
  <c r="CH50" i="130"/>
  <c r="CH58" i="130"/>
  <c r="CC36" i="130"/>
  <c r="BI36" i="130"/>
  <c r="BN30" i="130"/>
  <c r="BI14" i="130"/>
  <c r="BI51" i="130"/>
  <c r="BX48" i="130"/>
  <c r="BN56" i="130"/>
  <c r="BX33" i="130"/>
  <c r="CM11" i="130"/>
  <c r="BD61" i="130"/>
  <c r="BS27" i="130"/>
  <c r="AY64" i="130"/>
  <c r="AO56" i="130"/>
  <c r="BX59" i="130"/>
  <c r="CH13" i="130"/>
  <c r="BI23" i="130"/>
  <c r="BI24" i="130"/>
  <c r="BN11" i="130"/>
  <c r="BD64" i="130"/>
  <c r="BX14" i="130"/>
  <c r="BX51" i="130"/>
  <c r="CH55" i="130"/>
  <c r="BX55" i="130"/>
  <c r="CH30" i="130"/>
  <c r="BS9" i="130"/>
  <c r="CM17" i="130"/>
  <c r="AO15" i="130"/>
  <c r="BX36" i="130"/>
  <c r="BN63" i="130"/>
  <c r="CC50" i="130"/>
  <c r="AY57" i="130"/>
  <c r="BD42" i="130"/>
  <c r="BD31" i="130"/>
  <c r="CH12" i="130"/>
  <c r="AO13" i="130"/>
  <c r="BN14" i="130"/>
  <c r="AY44" i="130"/>
  <c r="BI62" i="130"/>
  <c r="BS65" i="130"/>
  <c r="BD62" i="130"/>
  <c r="CM33" i="130"/>
  <c r="CM56" i="130"/>
  <c r="BS45" i="130"/>
  <c r="AY14" i="130"/>
  <c r="CH24" i="130"/>
  <c r="BN60" i="130"/>
  <c r="BX56" i="130"/>
  <c r="BI50" i="130"/>
  <c r="AO50" i="130"/>
  <c r="BN61" i="130"/>
  <c r="BD32" i="130"/>
  <c r="CH10" i="130"/>
  <c r="BI42" i="130"/>
  <c r="AO61" i="130"/>
  <c r="BS55" i="130"/>
  <c r="CC60" i="130"/>
  <c r="AY38" i="130"/>
  <c r="BD38" i="130"/>
  <c r="CM9" i="130"/>
  <c r="CM52" i="130"/>
  <c r="CC65" i="130"/>
  <c r="BS67" i="130"/>
  <c r="CH69" i="130"/>
  <c r="CM30" i="130"/>
  <c r="AO30" i="130"/>
  <c r="CM55" i="130"/>
  <c r="AY41" i="130"/>
  <c r="BI13" i="130"/>
  <c r="AO42" i="130"/>
  <c r="BN32" i="130"/>
  <c r="CH49" i="130"/>
  <c r="CH47" i="130"/>
  <c r="BS30" i="130"/>
  <c r="BN25" i="130"/>
  <c r="BS69" i="130"/>
  <c r="AO28" i="130"/>
  <c r="BN21" i="130"/>
  <c r="AY62" i="130"/>
  <c r="CC67" i="130"/>
  <c r="CC69" i="130"/>
  <c r="CC71" i="130"/>
  <c r="CH20" i="130"/>
  <c r="CM18" i="130"/>
  <c r="BD15" i="130"/>
  <c r="BD41" i="130"/>
  <c r="BD9" i="130"/>
  <c r="BN17" i="130"/>
  <c r="AO31" i="130"/>
  <c r="AO18" i="130"/>
  <c r="CH41" i="130"/>
  <c r="BI59" i="130"/>
  <c r="BD55" i="130"/>
  <c r="AO10" i="130"/>
  <c r="CM38" i="130"/>
  <c r="AY28" i="130"/>
  <c r="BD43" i="130"/>
  <c r="CM69" i="130"/>
  <c r="BX71" i="130"/>
  <c r="BS54" i="130"/>
  <c r="BD10" i="130"/>
  <c r="BI10" i="130"/>
  <c r="BN26" i="130"/>
  <c r="CC57" i="130"/>
  <c r="CM48" i="130"/>
  <c r="CM25" i="130"/>
  <c r="AY30" i="130"/>
  <c r="AY8" i="130"/>
  <c r="BN38" i="130"/>
  <c r="BD8" i="130"/>
  <c r="CH71" i="130"/>
  <c r="AO26" i="130"/>
  <c r="CH51" i="130"/>
  <c r="BD30" i="130"/>
  <c r="BN15" i="130"/>
  <c r="BX13" i="130"/>
  <c r="BX38" i="130"/>
  <c r="AO8" i="130"/>
  <c r="BN39" i="130"/>
  <c r="CM39" i="130"/>
  <c r="AY39" i="130"/>
  <c r="AO39" i="130"/>
  <c r="BS39" i="130"/>
  <c r="CH39" i="130"/>
  <c r="BI39" i="130"/>
  <c r="BD39" i="130"/>
  <c r="BX39" i="130"/>
  <c r="CC39" i="130"/>
  <c r="CB85" i="111" l="1"/>
  <c r="CA85" i="111"/>
  <c r="BZ85" i="111"/>
  <c r="BW85" i="111"/>
  <c r="BR85" i="111"/>
  <c r="BM85" i="111"/>
  <c r="BH85" i="111"/>
  <c r="BC85" i="111"/>
  <c r="AX85" i="111"/>
  <c r="AS85" i="111"/>
  <c r="AN85" i="111"/>
  <c r="AI85" i="111"/>
  <c r="AD85" i="111"/>
  <c r="Y85" i="111"/>
  <c r="T85" i="111"/>
  <c r="N85" i="111"/>
  <c r="E85" i="111"/>
  <c r="CA82" i="111"/>
  <c r="BZ82" i="111"/>
  <c r="CB82" i="111" s="1"/>
  <c r="BW82" i="111"/>
  <c r="BR82" i="111"/>
  <c r="BM82" i="111"/>
  <c r="BH82" i="111"/>
  <c r="BC82" i="111"/>
  <c r="AX82" i="111"/>
  <c r="AS82" i="111"/>
  <c r="AN82" i="111"/>
  <c r="AI82" i="111"/>
  <c r="AD82" i="111"/>
  <c r="Y82" i="111"/>
  <c r="T82" i="111"/>
  <c r="N82" i="111"/>
  <c r="E82" i="111"/>
  <c r="CA79" i="111"/>
  <c r="E79" i="111"/>
  <c r="CA78" i="111"/>
  <c r="CA77" i="111" s="1"/>
  <c r="BZ78" i="111"/>
  <c r="CB78" i="111" s="1"/>
  <c r="BW78" i="111"/>
  <c r="BR78" i="111"/>
  <c r="BM78" i="111"/>
  <c r="BH78" i="111"/>
  <c r="BC78" i="111"/>
  <c r="AX78" i="111"/>
  <c r="AS78" i="111"/>
  <c r="AN78" i="111"/>
  <c r="AI78" i="111"/>
  <c r="AD78" i="111"/>
  <c r="Y78" i="111"/>
  <c r="T78" i="111"/>
  <c r="E78" i="111"/>
  <c r="E77" i="111" s="1"/>
  <c r="BV77" i="111"/>
  <c r="BQ77" i="111"/>
  <c r="BP77" i="111"/>
  <c r="BL77" i="111"/>
  <c r="BK77" i="111"/>
  <c r="BG77" i="111"/>
  <c r="BF77" i="111"/>
  <c r="BB77" i="111"/>
  <c r="BA77" i="111"/>
  <c r="AW77" i="111"/>
  <c r="AV77" i="111"/>
  <c r="AR77" i="111"/>
  <c r="AQ77" i="111"/>
  <c r="AM77" i="111"/>
  <c r="AL77" i="111"/>
  <c r="AH77" i="111"/>
  <c r="AG77" i="111"/>
  <c r="AC77" i="111"/>
  <c r="AB77" i="111"/>
  <c r="X77" i="111"/>
  <c r="W77" i="111"/>
  <c r="T77" i="111"/>
  <c r="S77" i="111"/>
  <c r="R77" i="111"/>
  <c r="N77" i="111"/>
  <c r="M77" i="111"/>
  <c r="L77" i="111"/>
  <c r="D77" i="111"/>
  <c r="C77" i="111"/>
  <c r="CA74" i="111"/>
  <c r="BZ74" i="111"/>
  <c r="CB74" i="111" s="1"/>
  <c r="CB73" i="111" s="1"/>
  <c r="BW74" i="111"/>
  <c r="BW73" i="111" s="1"/>
  <c r="BR74" i="111"/>
  <c r="BR73" i="111" s="1"/>
  <c r="BM74" i="111"/>
  <c r="BH74" i="111"/>
  <c r="BH73" i="111" s="1"/>
  <c r="BC74" i="111"/>
  <c r="BC73" i="111" s="1"/>
  <c r="AX74" i="111"/>
  <c r="AS74" i="111"/>
  <c r="AS73" i="111" s="1"/>
  <c r="AN74" i="111"/>
  <c r="AN73" i="111" s="1"/>
  <c r="AI74" i="111"/>
  <c r="AI73" i="111" s="1"/>
  <c r="AD74" i="111"/>
  <c r="Y74" i="111"/>
  <c r="T74" i="111"/>
  <c r="T73" i="111" s="1"/>
  <c r="N74" i="111"/>
  <c r="N73" i="111" s="1"/>
  <c r="C74" i="111"/>
  <c r="E74" i="111" s="1"/>
  <c r="E73" i="111" s="1"/>
  <c r="CA73" i="111"/>
  <c r="BZ73" i="111"/>
  <c r="BV73" i="111"/>
  <c r="BU73" i="111"/>
  <c r="BQ73" i="111"/>
  <c r="BP73" i="111"/>
  <c r="BM73" i="111"/>
  <c r="BL73" i="111"/>
  <c r="BK73" i="111"/>
  <c r="BG73" i="111"/>
  <c r="BF73" i="111"/>
  <c r="BB73" i="111"/>
  <c r="BA73" i="111"/>
  <c r="AX73" i="111"/>
  <c r="AW73" i="111"/>
  <c r="AV73" i="111"/>
  <c r="AR73" i="111"/>
  <c r="AQ73" i="111"/>
  <c r="AM73" i="111"/>
  <c r="AL73" i="111"/>
  <c r="AH73" i="111"/>
  <c r="AG73" i="111"/>
  <c r="AD73" i="111"/>
  <c r="AC73" i="111"/>
  <c r="AB73" i="111"/>
  <c r="Y73" i="111"/>
  <c r="X73" i="111"/>
  <c r="W73" i="111"/>
  <c r="S73" i="111"/>
  <c r="R73" i="111"/>
  <c r="M73" i="111"/>
  <c r="L73" i="111"/>
  <c r="D73" i="111"/>
  <c r="CA71" i="111"/>
  <c r="BZ71" i="111"/>
  <c r="CB71" i="111" s="1"/>
  <c r="BW71" i="111"/>
  <c r="BR71" i="111"/>
  <c r="BM71" i="111"/>
  <c r="BH71" i="111"/>
  <c r="BC71" i="111"/>
  <c r="AX71" i="111"/>
  <c r="AS71" i="111"/>
  <c r="AN71" i="111"/>
  <c r="AI71" i="111"/>
  <c r="AD71" i="111"/>
  <c r="Y71" i="111"/>
  <c r="T71" i="111"/>
  <c r="N71" i="111"/>
  <c r="E71" i="111"/>
  <c r="CA70" i="111"/>
  <c r="BZ70" i="111"/>
  <c r="BW70" i="111"/>
  <c r="BR70" i="111"/>
  <c r="BM70" i="111"/>
  <c r="BH70" i="111"/>
  <c r="BC70" i="111"/>
  <c r="AX70" i="111"/>
  <c r="AS70" i="111"/>
  <c r="AN70" i="111"/>
  <c r="AI70" i="111"/>
  <c r="AD70" i="111"/>
  <c r="Y70" i="111"/>
  <c r="T70" i="111"/>
  <c r="N70" i="111"/>
  <c r="E70" i="111"/>
  <c r="CA69" i="111"/>
  <c r="BZ69" i="111"/>
  <c r="CB69" i="111" s="1"/>
  <c r="BW69" i="111"/>
  <c r="BR69" i="111"/>
  <c r="BM69" i="111"/>
  <c r="BH69" i="111"/>
  <c r="BC69" i="111"/>
  <c r="AX69" i="111"/>
  <c r="AS69" i="111"/>
  <c r="AN69" i="111"/>
  <c r="AI69" i="111"/>
  <c r="AD69" i="111"/>
  <c r="Y69" i="111"/>
  <c r="T69" i="111"/>
  <c r="N69" i="111"/>
  <c r="E69" i="111"/>
  <c r="CA68" i="111"/>
  <c r="BZ68" i="111"/>
  <c r="CB68" i="111" s="1"/>
  <c r="BW68" i="111"/>
  <c r="BR68" i="111"/>
  <c r="BM68" i="111"/>
  <c r="BH68" i="111"/>
  <c r="BC68" i="111"/>
  <c r="AX68" i="111"/>
  <c r="AS68" i="111"/>
  <c r="AN68" i="111"/>
  <c r="AI68" i="111"/>
  <c r="AD68" i="111"/>
  <c r="Y68" i="111"/>
  <c r="T68" i="111"/>
  <c r="N68" i="111"/>
  <c r="E68" i="111"/>
  <c r="CA67" i="111"/>
  <c r="BZ67" i="111"/>
  <c r="CB67" i="111" s="1"/>
  <c r="BW67" i="111"/>
  <c r="BR67" i="111"/>
  <c r="BM67" i="111"/>
  <c r="BH67" i="111"/>
  <c r="BC67" i="111"/>
  <c r="AX67" i="111"/>
  <c r="AS67" i="111"/>
  <c r="AN67" i="111"/>
  <c r="AI67" i="111"/>
  <c r="AD67" i="111"/>
  <c r="Y67" i="111"/>
  <c r="T67" i="111"/>
  <c r="N67" i="111"/>
  <c r="E67" i="111"/>
  <c r="CA66" i="111"/>
  <c r="BZ66" i="111"/>
  <c r="CB66" i="111" s="1"/>
  <c r="BW66" i="111"/>
  <c r="BR66" i="111"/>
  <c r="BM66" i="111"/>
  <c r="BH66" i="111"/>
  <c r="BC66" i="111"/>
  <c r="AX66" i="111"/>
  <c r="AS66" i="111"/>
  <c r="AN66" i="111"/>
  <c r="AI66" i="111"/>
  <c r="AD66" i="111"/>
  <c r="Y66" i="111"/>
  <c r="T66" i="111"/>
  <c r="N66" i="111"/>
  <c r="E66" i="111"/>
  <c r="CA65" i="111"/>
  <c r="BZ65" i="111"/>
  <c r="CB65" i="111" s="1"/>
  <c r="BW65" i="111"/>
  <c r="BR65" i="111"/>
  <c r="BM65" i="111"/>
  <c r="BH65" i="111"/>
  <c r="BC65" i="111"/>
  <c r="AX65" i="111"/>
  <c r="AS65" i="111"/>
  <c r="AN65" i="111"/>
  <c r="AI65" i="111"/>
  <c r="AD65" i="111"/>
  <c r="Y65" i="111"/>
  <c r="T65" i="111"/>
  <c r="N65" i="111"/>
  <c r="E65" i="111"/>
  <c r="CA64" i="111"/>
  <c r="BZ64" i="111"/>
  <c r="CB64" i="111" s="1"/>
  <c r="BW64" i="111"/>
  <c r="BR64" i="111"/>
  <c r="BM64" i="111"/>
  <c r="BH64" i="111"/>
  <c r="BC64" i="111"/>
  <c r="AX64" i="111"/>
  <c r="AS64" i="111"/>
  <c r="AN64" i="111"/>
  <c r="AI64" i="111"/>
  <c r="AD64" i="111"/>
  <c r="Y64" i="111"/>
  <c r="T64" i="111"/>
  <c r="N64" i="111"/>
  <c r="E64" i="111"/>
  <c r="CA63" i="111"/>
  <c r="CB63" i="111" s="1"/>
  <c r="BZ63" i="111"/>
  <c r="BW63" i="111"/>
  <c r="BR63" i="111"/>
  <c r="BM63" i="111"/>
  <c r="BH63" i="111"/>
  <c r="BC63" i="111"/>
  <c r="AX63" i="111"/>
  <c r="AS63" i="111"/>
  <c r="AN63" i="111"/>
  <c r="AI63" i="111"/>
  <c r="AD63" i="111"/>
  <c r="Y63" i="111"/>
  <c r="T63" i="111"/>
  <c r="N63" i="111"/>
  <c r="E63" i="111"/>
  <c r="CA62" i="111"/>
  <c r="BZ62" i="111"/>
  <c r="BW62" i="111"/>
  <c r="BR62" i="111"/>
  <c r="BM62" i="111"/>
  <c r="BH62" i="111"/>
  <c r="BC62" i="111"/>
  <c r="AX62" i="111"/>
  <c r="AS62" i="111"/>
  <c r="AN62" i="111"/>
  <c r="AI62" i="111"/>
  <c r="AD62" i="111"/>
  <c r="Y62" i="111"/>
  <c r="T62" i="111"/>
  <c r="N62" i="111"/>
  <c r="E62" i="111"/>
  <c r="CA61" i="111"/>
  <c r="BZ61" i="111"/>
  <c r="BW61" i="111"/>
  <c r="BR61" i="111"/>
  <c r="BM61" i="111"/>
  <c r="BH61" i="111"/>
  <c r="BC61" i="111"/>
  <c r="AX61" i="111"/>
  <c r="AS61" i="111"/>
  <c r="AN61" i="111"/>
  <c r="AI61" i="111"/>
  <c r="AD61" i="111"/>
  <c r="Y61" i="111"/>
  <c r="T61" i="111"/>
  <c r="N61" i="111"/>
  <c r="E61" i="111"/>
  <c r="CA60" i="111"/>
  <c r="CB60" i="111" s="1"/>
  <c r="BZ60" i="111"/>
  <c r="BW60" i="111"/>
  <c r="BR60" i="111"/>
  <c r="BM60" i="111"/>
  <c r="BH60" i="111"/>
  <c r="BC60" i="111"/>
  <c r="AX60" i="111"/>
  <c r="AS60" i="111"/>
  <c r="AN60" i="111"/>
  <c r="AI60" i="111"/>
  <c r="AD60" i="111"/>
  <c r="Y60" i="111"/>
  <c r="T60" i="111"/>
  <c r="N60" i="111"/>
  <c r="E60" i="111"/>
  <c r="CA59" i="111"/>
  <c r="BZ59" i="111"/>
  <c r="BW59" i="111"/>
  <c r="BR59" i="111"/>
  <c r="BM59" i="111"/>
  <c r="BH59" i="111"/>
  <c r="BC59" i="111"/>
  <c r="AX59" i="111"/>
  <c r="AS59" i="111"/>
  <c r="AN59" i="111"/>
  <c r="AI59" i="111"/>
  <c r="AD59" i="111"/>
  <c r="Y59" i="111"/>
  <c r="T59" i="111"/>
  <c r="N59" i="111"/>
  <c r="E59" i="111"/>
  <c r="CA58" i="111"/>
  <c r="BZ58" i="111"/>
  <c r="BW58" i="111"/>
  <c r="BR58" i="111"/>
  <c r="BM58" i="111"/>
  <c r="BH58" i="111"/>
  <c r="BC58" i="111"/>
  <c r="AX58" i="111"/>
  <c r="AS58" i="111"/>
  <c r="AN58" i="111"/>
  <c r="AI58" i="111"/>
  <c r="AD58" i="111"/>
  <c r="Y58" i="111"/>
  <c r="T58" i="111"/>
  <c r="N58" i="111"/>
  <c r="E58" i="111"/>
  <c r="CA57" i="111"/>
  <c r="CB57" i="111" s="1"/>
  <c r="BZ57" i="111"/>
  <c r="BW57" i="111"/>
  <c r="BR57" i="111"/>
  <c r="BM57" i="111"/>
  <c r="BH57" i="111"/>
  <c r="BC57" i="111"/>
  <c r="AX57" i="111"/>
  <c r="AS57" i="111"/>
  <c r="AN57" i="111"/>
  <c r="AI57" i="111"/>
  <c r="AD57" i="111"/>
  <c r="Y57" i="111"/>
  <c r="T57" i="111"/>
  <c r="N57" i="111"/>
  <c r="E57" i="111"/>
  <c r="CA56" i="111"/>
  <c r="BZ56" i="111"/>
  <c r="BW56" i="111"/>
  <c r="BR56" i="111"/>
  <c r="BM56" i="111"/>
  <c r="BH56" i="111"/>
  <c r="BC56" i="111"/>
  <c r="AX56" i="111"/>
  <c r="AS56" i="111"/>
  <c r="AN56" i="111"/>
  <c r="AI56" i="111"/>
  <c r="AD56" i="111"/>
  <c r="Y56" i="111"/>
  <c r="T56" i="111"/>
  <c r="N56" i="111"/>
  <c r="E56" i="111"/>
  <c r="CA55" i="111"/>
  <c r="CA54" i="111" s="1"/>
  <c r="BZ55" i="111"/>
  <c r="BW55" i="111"/>
  <c r="BR55" i="111"/>
  <c r="BM55" i="111"/>
  <c r="BH55" i="111"/>
  <c r="BC55" i="111"/>
  <c r="BC54" i="111" s="1"/>
  <c r="AX55" i="111"/>
  <c r="AX54" i="111" s="1"/>
  <c r="AS55" i="111"/>
  <c r="AN55" i="111"/>
  <c r="AI55" i="111"/>
  <c r="AD55" i="111"/>
  <c r="Y55" i="111"/>
  <c r="Y54" i="111" s="1"/>
  <c r="T55" i="111"/>
  <c r="T54" i="111" s="1"/>
  <c r="N55" i="111"/>
  <c r="E55" i="111"/>
  <c r="BV54" i="111"/>
  <c r="BU54" i="111"/>
  <c r="BQ54" i="111"/>
  <c r="BP54" i="111"/>
  <c r="BM54" i="111"/>
  <c r="BL54" i="111"/>
  <c r="BK54" i="111"/>
  <c r="BG54" i="111"/>
  <c r="BF54" i="111"/>
  <c r="BB54" i="111"/>
  <c r="BA54" i="111"/>
  <c r="AW54" i="111"/>
  <c r="AV54" i="111"/>
  <c r="AR54" i="111"/>
  <c r="AQ54" i="111"/>
  <c r="AM54" i="111"/>
  <c r="AL54" i="111"/>
  <c r="AH54" i="111"/>
  <c r="AG54" i="111"/>
  <c r="AC54" i="111"/>
  <c r="AB54" i="111"/>
  <c r="X54" i="111"/>
  <c r="W54" i="111"/>
  <c r="S54" i="111"/>
  <c r="R54" i="111"/>
  <c r="M54" i="111"/>
  <c r="L54" i="111"/>
  <c r="D54" i="111"/>
  <c r="C54" i="111"/>
  <c r="CB52" i="111"/>
  <c r="CA52" i="111"/>
  <c r="BZ52" i="111"/>
  <c r="BW52" i="111"/>
  <c r="BR52" i="111"/>
  <c r="BM52" i="111"/>
  <c r="BH52" i="111"/>
  <c r="BC52" i="111"/>
  <c r="AX52" i="111"/>
  <c r="AS52" i="111"/>
  <c r="AN52" i="111"/>
  <c r="AI52" i="111"/>
  <c r="AD52" i="111"/>
  <c r="Y52" i="111"/>
  <c r="T52" i="111"/>
  <c r="N52" i="111"/>
  <c r="E52" i="111"/>
  <c r="CA51" i="111"/>
  <c r="BZ51" i="111"/>
  <c r="BW51" i="111"/>
  <c r="BR51" i="111"/>
  <c r="BM51" i="111"/>
  <c r="BH51" i="111"/>
  <c r="BC51" i="111"/>
  <c r="AX51" i="111"/>
  <c r="AX50" i="111" s="1"/>
  <c r="AS51" i="111"/>
  <c r="AN51" i="111"/>
  <c r="AI51" i="111"/>
  <c r="AD51" i="111"/>
  <c r="Y51" i="111"/>
  <c r="T51" i="111"/>
  <c r="T50" i="111" s="1"/>
  <c r="N51" i="111"/>
  <c r="N50" i="111" s="1"/>
  <c r="E51" i="111"/>
  <c r="CA50" i="111"/>
  <c r="BZ50" i="111"/>
  <c r="BW50" i="111"/>
  <c r="BV50" i="111"/>
  <c r="BU50" i="111"/>
  <c r="BQ50" i="111"/>
  <c r="BP50" i="111"/>
  <c r="BM50" i="111"/>
  <c r="BL50" i="111"/>
  <c r="BK50" i="111"/>
  <c r="BH50" i="111"/>
  <c r="BG50" i="111"/>
  <c r="BF50" i="111"/>
  <c r="BB50" i="111"/>
  <c r="BA50" i="111"/>
  <c r="AW50" i="111"/>
  <c r="AV50" i="111"/>
  <c r="AS50" i="111"/>
  <c r="AR50" i="111"/>
  <c r="AQ50" i="111"/>
  <c r="AM50" i="111"/>
  <c r="AL50" i="111"/>
  <c r="AI50" i="111"/>
  <c r="AH50" i="111"/>
  <c r="AG50" i="111"/>
  <c r="AD50" i="111"/>
  <c r="AC50" i="111"/>
  <c r="AB50" i="111"/>
  <c r="X50" i="111"/>
  <c r="W50" i="111"/>
  <c r="S50" i="111"/>
  <c r="R50" i="111"/>
  <c r="M50" i="111"/>
  <c r="L50" i="111"/>
  <c r="CA48" i="111"/>
  <c r="BZ48" i="111"/>
  <c r="BW48" i="111"/>
  <c r="BR48" i="111"/>
  <c r="BM48" i="111"/>
  <c r="BH48" i="111"/>
  <c r="BC48" i="111"/>
  <c r="AX48" i="111"/>
  <c r="AS48" i="111"/>
  <c r="AN48" i="111"/>
  <c r="AI48" i="111"/>
  <c r="AD48" i="111"/>
  <c r="AD41" i="111" s="1"/>
  <c r="Y48" i="111"/>
  <c r="T48" i="111"/>
  <c r="N48" i="111"/>
  <c r="E48" i="111"/>
  <c r="CA47" i="111"/>
  <c r="BZ47" i="111"/>
  <c r="CB47" i="111" s="1"/>
  <c r="BW47" i="111"/>
  <c r="BR47" i="111"/>
  <c r="BM47" i="111"/>
  <c r="BH47" i="111"/>
  <c r="BC47" i="111"/>
  <c r="AX47" i="111"/>
  <c r="AS47" i="111"/>
  <c r="AN47" i="111"/>
  <c r="AI47" i="111"/>
  <c r="AI41" i="111" s="1"/>
  <c r="AD47" i="111"/>
  <c r="Y47" i="111"/>
  <c r="T47" i="111"/>
  <c r="N47" i="111"/>
  <c r="E47" i="111"/>
  <c r="CA46" i="111"/>
  <c r="BZ46" i="111"/>
  <c r="BW46" i="111"/>
  <c r="BR46" i="111"/>
  <c r="BM46" i="111"/>
  <c r="BH46" i="111"/>
  <c r="BC46" i="111"/>
  <c r="AX46" i="111"/>
  <c r="AS46" i="111"/>
  <c r="AN46" i="111"/>
  <c r="AI46" i="111"/>
  <c r="AD46" i="111"/>
  <c r="Y46" i="111"/>
  <c r="T46" i="111"/>
  <c r="N46" i="111"/>
  <c r="E46" i="111"/>
  <c r="CA45" i="111"/>
  <c r="BZ45" i="111"/>
  <c r="BW45" i="111"/>
  <c r="BR45" i="111"/>
  <c r="BM45" i="111"/>
  <c r="BH45" i="111"/>
  <c r="BC45" i="111"/>
  <c r="AX45" i="111"/>
  <c r="AS45" i="111"/>
  <c r="AN45" i="111"/>
  <c r="AI45" i="111"/>
  <c r="AD45" i="111"/>
  <c r="Y45" i="111"/>
  <c r="T45" i="111"/>
  <c r="N45" i="111"/>
  <c r="E45" i="111"/>
  <c r="CA44" i="111"/>
  <c r="BZ44" i="111"/>
  <c r="BW44" i="111"/>
  <c r="BR44" i="111"/>
  <c r="BM44" i="111"/>
  <c r="BH44" i="111"/>
  <c r="BC44" i="111"/>
  <c r="AX44" i="111"/>
  <c r="AS44" i="111"/>
  <c r="AN44" i="111"/>
  <c r="AI44" i="111"/>
  <c r="AD44" i="111"/>
  <c r="Y44" i="111"/>
  <c r="T44" i="111"/>
  <c r="N44" i="111"/>
  <c r="E44" i="111"/>
  <c r="CA43" i="111"/>
  <c r="BZ43" i="111"/>
  <c r="CB43" i="111" s="1"/>
  <c r="BW43" i="111"/>
  <c r="BR43" i="111"/>
  <c r="BM43" i="111"/>
  <c r="BH43" i="111"/>
  <c r="BC43" i="111"/>
  <c r="AX43" i="111"/>
  <c r="AS43" i="111"/>
  <c r="AN43" i="111"/>
  <c r="AI43" i="111"/>
  <c r="AD43" i="111"/>
  <c r="Y43" i="111"/>
  <c r="T43" i="111"/>
  <c r="N43" i="111"/>
  <c r="E43" i="111"/>
  <c r="CA42" i="111"/>
  <c r="BZ42" i="111"/>
  <c r="BW42" i="111"/>
  <c r="BR42" i="111"/>
  <c r="BM42" i="111"/>
  <c r="BH42" i="111"/>
  <c r="BC42" i="111"/>
  <c r="AX42" i="111"/>
  <c r="AX41" i="111" s="1"/>
  <c r="AS42" i="111"/>
  <c r="AN42" i="111"/>
  <c r="AI42" i="111"/>
  <c r="AD42" i="111"/>
  <c r="Y42" i="111"/>
  <c r="T42" i="111"/>
  <c r="N42" i="111"/>
  <c r="E42" i="111"/>
  <c r="BV41" i="111"/>
  <c r="BU41" i="111"/>
  <c r="BQ41" i="111"/>
  <c r="BP41" i="111"/>
  <c r="BM41" i="111"/>
  <c r="BL41" i="111"/>
  <c r="BK41" i="111"/>
  <c r="BH41" i="111"/>
  <c r="BG41" i="111"/>
  <c r="BF41" i="111"/>
  <c r="BB41" i="111"/>
  <c r="BA41" i="111"/>
  <c r="AW41" i="111"/>
  <c r="AV41" i="111"/>
  <c r="AR41" i="111"/>
  <c r="AQ41" i="111"/>
  <c r="AM41" i="111"/>
  <c r="AL41" i="111"/>
  <c r="AH41" i="111"/>
  <c r="AG41" i="111"/>
  <c r="AC41" i="111"/>
  <c r="AB41" i="111"/>
  <c r="X41" i="111"/>
  <c r="W41" i="111"/>
  <c r="S41" i="111"/>
  <c r="R41" i="111"/>
  <c r="N41" i="111"/>
  <c r="M41" i="111"/>
  <c r="L41" i="111"/>
  <c r="D41" i="111"/>
  <c r="C41" i="111"/>
  <c r="CA36" i="111"/>
  <c r="CA35" i="111" s="1"/>
  <c r="BW36" i="111"/>
  <c r="BW35" i="111" s="1"/>
  <c r="BP36" i="111"/>
  <c r="BM36" i="111"/>
  <c r="BH36" i="111"/>
  <c r="BH35" i="111" s="1"/>
  <c r="BC36" i="111"/>
  <c r="AX36" i="111"/>
  <c r="AX35" i="111" s="1"/>
  <c r="AS36" i="111"/>
  <c r="AN36" i="111"/>
  <c r="AN35" i="111" s="1"/>
  <c r="AI36" i="111"/>
  <c r="AI35" i="111" s="1"/>
  <c r="AD36" i="111"/>
  <c r="Y36" i="111"/>
  <c r="T36" i="111"/>
  <c r="T35" i="111" s="1"/>
  <c r="N36" i="111"/>
  <c r="N35" i="111" s="1"/>
  <c r="E36" i="111"/>
  <c r="E35" i="111" s="1"/>
  <c r="BM35" i="111"/>
  <c r="BC35" i="111"/>
  <c r="AS35" i="111"/>
  <c r="AM35" i="111"/>
  <c r="AL35" i="111"/>
  <c r="AH35" i="111"/>
  <c r="AG35" i="111"/>
  <c r="AC35" i="111"/>
  <c r="AB35" i="111"/>
  <c r="Y35" i="111"/>
  <c r="X35" i="111"/>
  <c r="W35" i="111"/>
  <c r="S35" i="111"/>
  <c r="R35" i="111"/>
  <c r="M35" i="111"/>
  <c r="L35" i="111"/>
  <c r="D35" i="111"/>
  <c r="C35" i="111"/>
  <c r="CA33" i="111"/>
  <c r="BZ33" i="111"/>
  <c r="CB33" i="111" s="1"/>
  <c r="BW33" i="111"/>
  <c r="BR33" i="111"/>
  <c r="BM33" i="111"/>
  <c r="BH33" i="111"/>
  <c r="BC33" i="111"/>
  <c r="AX33" i="111"/>
  <c r="AS33" i="111"/>
  <c r="AN33" i="111"/>
  <c r="AI33" i="111"/>
  <c r="AD33" i="111"/>
  <c r="Y33" i="111"/>
  <c r="T33" i="111"/>
  <c r="N33" i="111"/>
  <c r="I33" i="111"/>
  <c r="E33" i="111"/>
  <c r="CA32" i="111"/>
  <c r="BZ32" i="111"/>
  <c r="BW32" i="111"/>
  <c r="BR32" i="111"/>
  <c r="BM32" i="111"/>
  <c r="BH32" i="111"/>
  <c r="BC32" i="111"/>
  <c r="AX32" i="111"/>
  <c r="AS32" i="111"/>
  <c r="AN32" i="111"/>
  <c r="AI32" i="111"/>
  <c r="AD32" i="111"/>
  <c r="Y32" i="111"/>
  <c r="T32" i="111"/>
  <c r="N32" i="111"/>
  <c r="I32" i="111"/>
  <c r="E32" i="111"/>
  <c r="CA31" i="111"/>
  <c r="BZ31" i="111"/>
  <c r="BW31" i="111"/>
  <c r="BR31" i="111"/>
  <c r="BM31" i="111"/>
  <c r="BH31" i="111"/>
  <c r="BC31" i="111"/>
  <c r="AX31" i="111"/>
  <c r="AS31" i="111"/>
  <c r="AN31" i="111"/>
  <c r="AI31" i="111"/>
  <c r="AD31" i="111"/>
  <c r="Y31" i="111"/>
  <c r="T31" i="111"/>
  <c r="N31" i="111"/>
  <c r="I31" i="111"/>
  <c r="E31" i="111"/>
  <c r="CA30" i="111"/>
  <c r="BZ30" i="111"/>
  <c r="CB30" i="111" s="1"/>
  <c r="BW30" i="111"/>
  <c r="BR30" i="111"/>
  <c r="BM30" i="111"/>
  <c r="BH30" i="111"/>
  <c r="BC30" i="111"/>
  <c r="AX30" i="111"/>
  <c r="AS30" i="111"/>
  <c r="AN30" i="111"/>
  <c r="AI30" i="111"/>
  <c r="AD30" i="111"/>
  <c r="Y30" i="111"/>
  <c r="T30" i="111"/>
  <c r="N30" i="111"/>
  <c r="I30" i="111"/>
  <c r="E30" i="111"/>
  <c r="CA29" i="111"/>
  <c r="CB29" i="111" s="1"/>
  <c r="BZ29" i="111"/>
  <c r="BW29" i="111"/>
  <c r="BR29" i="111"/>
  <c r="BM29" i="111"/>
  <c r="BH29" i="111"/>
  <c r="BC29" i="111"/>
  <c r="AX29" i="111"/>
  <c r="AS29" i="111"/>
  <c r="AN29" i="111"/>
  <c r="AI29" i="111"/>
  <c r="AD29" i="111"/>
  <c r="Y29" i="111"/>
  <c r="T29" i="111"/>
  <c r="N29" i="111"/>
  <c r="I29" i="111"/>
  <c r="E29" i="111"/>
  <c r="CA28" i="111"/>
  <c r="BZ28" i="111"/>
  <c r="CB28" i="111" s="1"/>
  <c r="BW28" i="111"/>
  <c r="BR28" i="111"/>
  <c r="BM28" i="111"/>
  <c r="BH28" i="111"/>
  <c r="BC28" i="111"/>
  <c r="AX28" i="111"/>
  <c r="AS28" i="111"/>
  <c r="AN28" i="111"/>
  <c r="AI28" i="111"/>
  <c r="AD28" i="111"/>
  <c r="Y28" i="111"/>
  <c r="T28" i="111"/>
  <c r="N28" i="111"/>
  <c r="I28" i="111"/>
  <c r="E28" i="111"/>
  <c r="CA27" i="111"/>
  <c r="CB27" i="111" s="1"/>
  <c r="BZ27" i="111"/>
  <c r="BW27" i="111"/>
  <c r="BR27" i="111"/>
  <c r="BM27" i="111"/>
  <c r="BH27" i="111"/>
  <c r="BC27" i="111"/>
  <c r="AX27" i="111"/>
  <c r="AS27" i="111"/>
  <c r="AN27" i="111"/>
  <c r="AI27" i="111"/>
  <c r="AD27" i="111"/>
  <c r="Y27" i="111"/>
  <c r="T27" i="111"/>
  <c r="N27" i="111"/>
  <c r="I27" i="111"/>
  <c r="E27" i="111"/>
  <c r="CA26" i="111"/>
  <c r="BW26" i="111"/>
  <c r="BR26" i="111"/>
  <c r="BM26" i="111"/>
  <c r="BH26" i="111"/>
  <c r="BC26" i="111"/>
  <c r="AV26" i="111"/>
  <c r="AX26" i="111" s="1"/>
  <c r="AS26" i="111"/>
  <c r="AL26" i="111"/>
  <c r="AN26" i="111" s="1"/>
  <c r="AI26" i="111"/>
  <c r="AB26" i="111"/>
  <c r="AD26" i="111" s="1"/>
  <c r="Y26" i="111"/>
  <c r="T26" i="111"/>
  <c r="L26" i="111"/>
  <c r="N26" i="111" s="1"/>
  <c r="G26" i="111"/>
  <c r="I26" i="111" s="1"/>
  <c r="E26" i="111"/>
  <c r="CA25" i="111"/>
  <c r="BZ25" i="111"/>
  <c r="CB25" i="111" s="1"/>
  <c r="BW25" i="111"/>
  <c r="BR25" i="111"/>
  <c r="BM25" i="111"/>
  <c r="BH25" i="111"/>
  <c r="BC25" i="111"/>
  <c r="AX25" i="111"/>
  <c r="AS25" i="111"/>
  <c r="AN25" i="111"/>
  <c r="AI25" i="111"/>
  <c r="AD25" i="111"/>
  <c r="Y25" i="111"/>
  <c r="T25" i="111"/>
  <c r="N25" i="111"/>
  <c r="I25" i="111"/>
  <c r="E25" i="111"/>
  <c r="CA24" i="111"/>
  <c r="BZ24" i="111"/>
  <c r="BW24" i="111"/>
  <c r="BR24" i="111"/>
  <c r="BM24" i="111"/>
  <c r="BH24" i="111"/>
  <c r="BC24" i="111"/>
  <c r="AX24" i="111"/>
  <c r="AS24" i="111"/>
  <c r="AN24" i="111"/>
  <c r="AI24" i="111"/>
  <c r="AD24" i="111"/>
  <c r="Y24" i="111"/>
  <c r="T24" i="111"/>
  <c r="N24" i="111"/>
  <c r="I24" i="111"/>
  <c r="E24" i="111"/>
  <c r="CA23" i="111"/>
  <c r="BZ23" i="111"/>
  <c r="CB23" i="111" s="1"/>
  <c r="BW23" i="111"/>
  <c r="BR23" i="111"/>
  <c r="BM23" i="111"/>
  <c r="BH23" i="111"/>
  <c r="BC23" i="111"/>
  <c r="AX23" i="111"/>
  <c r="AS23" i="111"/>
  <c r="AN23" i="111"/>
  <c r="AI23" i="111"/>
  <c r="AD23" i="111"/>
  <c r="Y23" i="111"/>
  <c r="T23" i="111"/>
  <c r="N23" i="111"/>
  <c r="I23" i="111"/>
  <c r="CA22" i="111"/>
  <c r="BZ22" i="111"/>
  <c r="BW22" i="111"/>
  <c r="BR22" i="111"/>
  <c r="BM22" i="111"/>
  <c r="BH22" i="111"/>
  <c r="BC22" i="111"/>
  <c r="AX22" i="111"/>
  <c r="AS22" i="111"/>
  <c r="AN22" i="111"/>
  <c r="AI22" i="111"/>
  <c r="AD22" i="111"/>
  <c r="Y22" i="111"/>
  <c r="T22" i="111"/>
  <c r="N22" i="111"/>
  <c r="I22" i="111"/>
  <c r="CA21" i="111"/>
  <c r="BZ21" i="111"/>
  <c r="CB21" i="111" s="1"/>
  <c r="BW21" i="111"/>
  <c r="BR21" i="111"/>
  <c r="BM21" i="111"/>
  <c r="BH21" i="111"/>
  <c r="BC21" i="111"/>
  <c r="AX21" i="111"/>
  <c r="AS21" i="111"/>
  <c r="AN21" i="111"/>
  <c r="AI21" i="111"/>
  <c r="AD21" i="111"/>
  <c r="Y21" i="111"/>
  <c r="T21" i="111"/>
  <c r="N21" i="111"/>
  <c r="I21" i="111"/>
  <c r="E21" i="111"/>
  <c r="CA20" i="111"/>
  <c r="CB20" i="111" s="1"/>
  <c r="BZ20" i="111"/>
  <c r="BW20" i="111"/>
  <c r="BR20" i="111"/>
  <c r="BM20" i="111"/>
  <c r="BH20" i="111"/>
  <c r="BC20" i="111"/>
  <c r="AX20" i="111"/>
  <c r="AS20" i="111"/>
  <c r="AN20" i="111"/>
  <c r="AI20" i="111"/>
  <c r="AD20" i="111"/>
  <c r="Y20" i="111"/>
  <c r="T20" i="111"/>
  <c r="N20" i="111"/>
  <c r="I20" i="111"/>
  <c r="E20" i="111"/>
  <c r="CA19" i="111"/>
  <c r="BZ19" i="111"/>
  <c r="CB19" i="111" s="1"/>
  <c r="BW19" i="111"/>
  <c r="BR19" i="111"/>
  <c r="BM19" i="111"/>
  <c r="BH19" i="111"/>
  <c r="BC19" i="111"/>
  <c r="AX19" i="111"/>
  <c r="AS19" i="111"/>
  <c r="AN19" i="111"/>
  <c r="AI19" i="111"/>
  <c r="AD19" i="111"/>
  <c r="Y19" i="111"/>
  <c r="T19" i="111"/>
  <c r="N19" i="111"/>
  <c r="I19" i="111"/>
  <c r="E19" i="111"/>
  <c r="CA18" i="111"/>
  <c r="CB18" i="111" s="1"/>
  <c r="BZ18" i="111"/>
  <c r="BW18" i="111"/>
  <c r="BR18" i="111"/>
  <c r="BM18" i="111"/>
  <c r="BH18" i="111"/>
  <c r="BC18" i="111"/>
  <c r="AX18" i="111"/>
  <c r="AS18" i="111"/>
  <c r="AN18" i="111"/>
  <c r="AI18" i="111"/>
  <c r="AD18" i="111"/>
  <c r="Y18" i="111"/>
  <c r="T18" i="111"/>
  <c r="N18" i="111"/>
  <c r="I18" i="111"/>
  <c r="E18" i="111"/>
  <c r="CA17" i="111"/>
  <c r="BZ17" i="111"/>
  <c r="CB17" i="111" s="1"/>
  <c r="BW17" i="111"/>
  <c r="BR17" i="111"/>
  <c r="BM17" i="111"/>
  <c r="BH17" i="111"/>
  <c r="BC17" i="111"/>
  <c r="AX17" i="111"/>
  <c r="AS17" i="111"/>
  <c r="AN17" i="111"/>
  <c r="AI17" i="111"/>
  <c r="AD17" i="111"/>
  <c r="Y17" i="111"/>
  <c r="T17" i="111"/>
  <c r="N17" i="111"/>
  <c r="I17" i="111"/>
  <c r="E17" i="111"/>
  <c r="BZ16" i="111"/>
  <c r="BW16" i="111"/>
  <c r="BR16" i="111"/>
  <c r="BM16" i="111"/>
  <c r="BH16" i="111"/>
  <c r="BC16" i="111"/>
  <c r="AX16" i="111"/>
  <c r="AS16" i="111"/>
  <c r="AN16" i="111"/>
  <c r="AI16" i="111"/>
  <c r="AD16" i="111"/>
  <c r="Y16" i="111"/>
  <c r="T16" i="111"/>
  <c r="N16" i="111"/>
  <c r="H16" i="111"/>
  <c r="I16" i="111" s="1"/>
  <c r="E16" i="111"/>
  <c r="CA15" i="111"/>
  <c r="BZ15" i="111"/>
  <c r="CB15" i="111" s="1"/>
  <c r="BW15" i="111"/>
  <c r="BR15" i="111"/>
  <c r="BM15" i="111"/>
  <c r="BH15" i="111"/>
  <c r="BC15" i="111"/>
  <c r="AX15" i="111"/>
  <c r="AS15" i="111"/>
  <c r="AN15" i="111"/>
  <c r="AI15" i="111"/>
  <c r="AD15" i="111"/>
  <c r="Y15" i="111"/>
  <c r="T15" i="111"/>
  <c r="N15" i="111"/>
  <c r="I15" i="111"/>
  <c r="E15" i="111"/>
  <c r="CA14" i="111"/>
  <c r="BZ14" i="111"/>
  <c r="CB14" i="111" s="1"/>
  <c r="BW14" i="111"/>
  <c r="BR14" i="111"/>
  <c r="BM14" i="111"/>
  <c r="BH14" i="111"/>
  <c r="BC14" i="111"/>
  <c r="AX14" i="111"/>
  <c r="AS14" i="111"/>
  <c r="AN14" i="111"/>
  <c r="AN8" i="111" s="1"/>
  <c r="AI14" i="111"/>
  <c r="AD14" i="111"/>
  <c r="Y14" i="111"/>
  <c r="T14" i="111"/>
  <c r="N14" i="111"/>
  <c r="I14" i="111"/>
  <c r="E14" i="111"/>
  <c r="CA13" i="111"/>
  <c r="BZ13" i="111"/>
  <c r="BW13" i="111"/>
  <c r="BR13" i="111"/>
  <c r="BM13" i="111"/>
  <c r="BH13" i="111"/>
  <c r="BC13" i="111"/>
  <c r="AX13" i="111"/>
  <c r="AS13" i="111"/>
  <c r="AN13" i="111"/>
  <c r="AI13" i="111"/>
  <c r="AD13" i="111"/>
  <c r="Y13" i="111"/>
  <c r="T13" i="111"/>
  <c r="N13" i="111"/>
  <c r="I13" i="111"/>
  <c r="E13" i="111"/>
  <c r="BZ12" i="111"/>
  <c r="BW12" i="111"/>
  <c r="BR12" i="111"/>
  <c r="BM12" i="111"/>
  <c r="BH12" i="111"/>
  <c r="BC12" i="111"/>
  <c r="AX12" i="111"/>
  <c r="AS12" i="111"/>
  <c r="AN12" i="111"/>
  <c r="AI12" i="111"/>
  <c r="AD12" i="111"/>
  <c r="Y12" i="111"/>
  <c r="T12" i="111"/>
  <c r="N12" i="111"/>
  <c r="I12" i="111"/>
  <c r="H12" i="111"/>
  <c r="CA12" i="111" s="1"/>
  <c r="E12" i="111"/>
  <c r="CA11" i="111"/>
  <c r="BZ11" i="111"/>
  <c r="CB11" i="111" s="1"/>
  <c r="BW11" i="111"/>
  <c r="BR11" i="111"/>
  <c r="BM11" i="111"/>
  <c r="BH11" i="111"/>
  <c r="BC11" i="111"/>
  <c r="AX11" i="111"/>
  <c r="AS11" i="111"/>
  <c r="AN11" i="111"/>
  <c r="AI11" i="111"/>
  <c r="AD11" i="111"/>
  <c r="Y11" i="111"/>
  <c r="T11" i="111"/>
  <c r="N11" i="111"/>
  <c r="I11" i="111"/>
  <c r="E11" i="111"/>
  <c r="CA10" i="111"/>
  <c r="BZ10" i="111"/>
  <c r="CB10" i="111" s="1"/>
  <c r="BW10" i="111"/>
  <c r="BR10" i="111"/>
  <c r="BM10" i="111"/>
  <c r="BH10" i="111"/>
  <c r="BC10" i="111"/>
  <c r="AX10" i="111"/>
  <c r="AS10" i="111"/>
  <c r="AN10" i="111"/>
  <c r="AI10" i="111"/>
  <c r="AD10" i="111"/>
  <c r="Y10" i="111"/>
  <c r="T10" i="111"/>
  <c r="N10" i="111"/>
  <c r="I10" i="111"/>
  <c r="E10" i="111"/>
  <c r="CA9" i="111"/>
  <c r="BZ9" i="111"/>
  <c r="BW9" i="111"/>
  <c r="BW8" i="111" s="1"/>
  <c r="BR9" i="111"/>
  <c r="BR8" i="111" s="1"/>
  <c r="BM9" i="111"/>
  <c r="BH9" i="111"/>
  <c r="BC9" i="111"/>
  <c r="AX9" i="111"/>
  <c r="AS9" i="111"/>
  <c r="AN9" i="111"/>
  <c r="AI9" i="111"/>
  <c r="AD9" i="111"/>
  <c r="AD8" i="111" s="1"/>
  <c r="Y9" i="111"/>
  <c r="T9" i="111"/>
  <c r="N9" i="111"/>
  <c r="I9" i="111"/>
  <c r="E9" i="111"/>
  <c r="BV8" i="111"/>
  <c r="BU8" i="111"/>
  <c r="BQ8" i="111"/>
  <c r="BP8" i="111"/>
  <c r="BL8" i="111"/>
  <c r="BM79" i="111" s="1"/>
  <c r="BK8" i="111"/>
  <c r="BG8" i="111"/>
  <c r="BF8" i="111"/>
  <c r="BC8" i="111"/>
  <c r="BB8" i="111"/>
  <c r="BA8" i="111"/>
  <c r="AW8" i="111"/>
  <c r="AX79" i="111" s="1"/>
  <c r="AR8" i="111"/>
  <c r="AQ8" i="111"/>
  <c r="AM8" i="111"/>
  <c r="AN79" i="111" s="1"/>
  <c r="AL8" i="111"/>
  <c r="AH8" i="111"/>
  <c r="AG8" i="111"/>
  <c r="AC8" i="111"/>
  <c r="AD79" i="111" s="1"/>
  <c r="AB8" i="111"/>
  <c r="X8" i="111"/>
  <c r="W8" i="111"/>
  <c r="S8" i="111"/>
  <c r="R8" i="111"/>
  <c r="M8" i="111"/>
  <c r="H8" i="111"/>
  <c r="G8" i="111"/>
  <c r="D8" i="111"/>
  <c r="C8" i="111"/>
  <c r="CA7" i="111"/>
  <c r="CA5" i="111" s="1"/>
  <c r="BW7" i="111"/>
  <c r="BR7" i="111"/>
  <c r="BM7" i="111"/>
  <c r="BH7" i="111"/>
  <c r="BC7" i="111"/>
  <c r="AX7" i="111"/>
  <c r="AS7" i="111"/>
  <c r="AS5" i="111" s="1"/>
  <c r="AN7" i="111"/>
  <c r="AI7" i="111"/>
  <c r="AB7" i="111"/>
  <c r="BZ7" i="111" s="1"/>
  <c r="CB7" i="111" s="1"/>
  <c r="Y7" i="111"/>
  <c r="T7" i="111"/>
  <c r="N7" i="111"/>
  <c r="E7" i="111"/>
  <c r="CA6" i="111"/>
  <c r="BW6" i="111"/>
  <c r="BW5" i="111" s="1"/>
  <c r="BR6" i="111"/>
  <c r="BM6" i="111"/>
  <c r="BM5" i="111" s="1"/>
  <c r="BH6" i="111"/>
  <c r="BC6" i="111"/>
  <c r="BC5" i="111" s="1"/>
  <c r="BC38" i="111" s="1"/>
  <c r="AX6" i="111"/>
  <c r="AV6" i="111"/>
  <c r="AS6" i="111"/>
  <c r="AL6" i="111"/>
  <c r="AN6" i="111" s="1"/>
  <c r="AN5" i="111" s="1"/>
  <c r="AI6" i="111"/>
  <c r="AD6" i="111"/>
  <c r="Y6" i="111"/>
  <c r="T6" i="111"/>
  <c r="T5" i="111" s="1"/>
  <c r="N6" i="111"/>
  <c r="N5" i="111" s="1"/>
  <c r="E6" i="111"/>
  <c r="E5" i="111" s="1"/>
  <c r="BV5" i="111"/>
  <c r="BU5" i="111"/>
  <c r="BR5" i="111"/>
  <c r="BQ5" i="111"/>
  <c r="BP5" i="111"/>
  <c r="BL5" i="111"/>
  <c r="BL38" i="111" s="1"/>
  <c r="BK5" i="111"/>
  <c r="BG5" i="111"/>
  <c r="BG38" i="111" s="1"/>
  <c r="BF5" i="111"/>
  <c r="BB5" i="111"/>
  <c r="BB38" i="111" s="1"/>
  <c r="BA5" i="111"/>
  <c r="AW5" i="111"/>
  <c r="AW38" i="111" s="1"/>
  <c r="AV5" i="111"/>
  <c r="AR5" i="111"/>
  <c r="AQ5" i="111"/>
  <c r="AQ38" i="111" s="1"/>
  <c r="AM5" i="111"/>
  <c r="AL5" i="111"/>
  <c r="AI5" i="111"/>
  <c r="AH5" i="111"/>
  <c r="AH38" i="111" s="1"/>
  <c r="AG5" i="111"/>
  <c r="AG38" i="111" s="1"/>
  <c r="AC5" i="111"/>
  <c r="AC38" i="111" s="1"/>
  <c r="X5" i="111"/>
  <c r="X38" i="111" s="1"/>
  <c r="W5" i="111"/>
  <c r="S5" i="111"/>
  <c r="R5" i="111"/>
  <c r="R38" i="111" s="1"/>
  <c r="M5" i="111"/>
  <c r="M38" i="111" s="1"/>
  <c r="L5" i="111"/>
  <c r="D5" i="111"/>
  <c r="D38" i="111" s="1"/>
  <c r="C5" i="111"/>
  <c r="BQ38" i="111" l="1"/>
  <c r="BH5" i="111"/>
  <c r="Y79" i="111"/>
  <c r="BH79" i="111"/>
  <c r="BH77" i="111" s="1"/>
  <c r="CB9" i="111"/>
  <c r="CB22" i="111"/>
  <c r="CB44" i="111"/>
  <c r="CB45" i="111"/>
  <c r="CB48" i="111"/>
  <c r="S38" i="111"/>
  <c r="S75" i="111" s="1"/>
  <c r="BR38" i="111"/>
  <c r="AS79" i="111"/>
  <c r="T8" i="111"/>
  <c r="Y8" i="111"/>
  <c r="AV38" i="111"/>
  <c r="AV75" i="111" s="1"/>
  <c r="BU38" i="111"/>
  <c r="AV8" i="111"/>
  <c r="BM8" i="111"/>
  <c r="BM89" i="111" s="1"/>
  <c r="CA16" i="111"/>
  <c r="CB16" i="111" s="1"/>
  <c r="C73" i="111"/>
  <c r="C38" i="111"/>
  <c r="C75" i="111" s="1"/>
  <c r="C81" i="111" s="1"/>
  <c r="C83" i="111" s="1"/>
  <c r="C84" i="111" s="1"/>
  <c r="C86" i="111" s="1"/>
  <c r="C87" i="111" s="1"/>
  <c r="AM38" i="111"/>
  <c r="AM39" i="111" s="1"/>
  <c r="BF38" i="111"/>
  <c r="BV38" i="111"/>
  <c r="AD7" i="111"/>
  <c r="AD5" i="111" s="1"/>
  <c r="AD38" i="111" s="1"/>
  <c r="L8" i="111"/>
  <c r="I8" i="111"/>
  <c r="I89" i="111" s="1"/>
  <c r="BW41" i="111"/>
  <c r="BZ6" i="111"/>
  <c r="CB6" i="111" s="1"/>
  <c r="CB5" i="111" s="1"/>
  <c r="BR79" i="111"/>
  <c r="N8" i="111"/>
  <c r="CB12" i="111"/>
  <c r="AI8" i="111"/>
  <c r="AX8" i="111"/>
  <c r="L38" i="111"/>
  <c r="AB5" i="111"/>
  <c r="AB38" i="111" s="1"/>
  <c r="AR38" i="111"/>
  <c r="BK38" i="111"/>
  <c r="BK75" i="111" s="1"/>
  <c r="AI79" i="111"/>
  <c r="AI77" i="111" s="1"/>
  <c r="BC79" i="111"/>
  <c r="BC77" i="111" s="1"/>
  <c r="CB13" i="111"/>
  <c r="CB31" i="111"/>
  <c r="CB32" i="111"/>
  <c r="CB56" i="111"/>
  <c r="CB58" i="111"/>
  <c r="CB59" i="111"/>
  <c r="CB61" i="111"/>
  <c r="CB62" i="111"/>
  <c r="AM75" i="111"/>
  <c r="AN38" i="111"/>
  <c r="E8" i="111"/>
  <c r="R75" i="111"/>
  <c r="R39" i="111"/>
  <c r="AC75" i="111"/>
  <c r="AC39" i="111"/>
  <c r="BQ75" i="111"/>
  <c r="BQ39" i="111"/>
  <c r="AS8" i="111"/>
  <c r="BW38" i="111"/>
  <c r="AX89" i="111"/>
  <c r="AY8" i="111" s="1"/>
  <c r="D75" i="111"/>
  <c r="D39" i="111"/>
  <c r="AH75" i="111"/>
  <c r="AH39" i="111"/>
  <c r="BG75" i="111"/>
  <c r="BG39" i="111"/>
  <c r="Y5" i="111"/>
  <c r="AX5" i="111"/>
  <c r="AX38" i="111" s="1"/>
  <c r="BZ5" i="111"/>
  <c r="BH8" i="111"/>
  <c r="BH38" i="111" s="1"/>
  <c r="AW75" i="111"/>
  <c r="AW39" i="111"/>
  <c r="T38" i="111"/>
  <c r="BR39" i="111"/>
  <c r="AN77" i="111"/>
  <c r="BR77" i="111"/>
  <c r="BZ26" i="111"/>
  <c r="CB26" i="111" s="1"/>
  <c r="L75" i="111"/>
  <c r="L39" i="111"/>
  <c r="W38" i="111"/>
  <c r="AG75" i="111"/>
  <c r="AG39" i="111"/>
  <c r="AQ75" i="111"/>
  <c r="AQ39" i="111"/>
  <c r="BA38" i="111"/>
  <c r="BK76" i="111"/>
  <c r="BK81" i="111"/>
  <c r="BK83" i="111" s="1"/>
  <c r="BK84" i="111" s="1"/>
  <c r="BK86" i="111" s="1"/>
  <c r="BK87" i="111" s="1"/>
  <c r="BU75" i="111"/>
  <c r="BU39" i="111"/>
  <c r="M75" i="111"/>
  <c r="M39" i="111"/>
  <c r="X75" i="111"/>
  <c r="X39" i="111"/>
  <c r="AR75" i="111"/>
  <c r="AR39" i="111"/>
  <c r="BB75" i="111"/>
  <c r="BB39" i="111"/>
  <c r="BL75" i="111"/>
  <c r="BL39" i="111"/>
  <c r="BV75" i="111"/>
  <c r="BV39" i="111"/>
  <c r="AX77" i="111"/>
  <c r="BM77" i="111"/>
  <c r="N38" i="111"/>
  <c r="AI38" i="111"/>
  <c r="BC39" i="111"/>
  <c r="E50" i="111"/>
  <c r="AN50" i="111"/>
  <c r="BR50" i="111"/>
  <c r="AB75" i="111"/>
  <c r="AB39" i="111"/>
  <c r="AL38" i="111"/>
  <c r="AV39" i="111"/>
  <c r="BF75" i="111"/>
  <c r="BF39" i="111"/>
  <c r="BP38" i="111"/>
  <c r="AD77" i="111"/>
  <c r="BR36" i="111"/>
  <c r="BR89" i="111" s="1"/>
  <c r="BZ36" i="111"/>
  <c r="AY41" i="111"/>
  <c r="N54" i="111"/>
  <c r="AS54" i="111"/>
  <c r="CA41" i="111"/>
  <c r="AI54" i="111"/>
  <c r="CB24" i="111"/>
  <c r="Y50" i="111"/>
  <c r="Y89" i="111" s="1"/>
  <c r="Z14" i="111" s="1"/>
  <c r="BC50" i="111"/>
  <c r="AD54" i="111"/>
  <c r="BH54" i="111"/>
  <c r="E41" i="111"/>
  <c r="AY48" i="111"/>
  <c r="AD35" i="111"/>
  <c r="T41" i="111"/>
  <c r="AS41" i="111"/>
  <c r="CB55" i="111"/>
  <c r="BZ54" i="111"/>
  <c r="BZ41" i="111"/>
  <c r="CB46" i="111"/>
  <c r="CB51" i="111"/>
  <c r="E54" i="111"/>
  <c r="AN54" i="111"/>
  <c r="AN89" i="111" s="1"/>
  <c r="BR54" i="111"/>
  <c r="BW54" i="111"/>
  <c r="Y41" i="111"/>
  <c r="AN41" i="111"/>
  <c r="BC41" i="111"/>
  <c r="BR41" i="111"/>
  <c r="CB42" i="111"/>
  <c r="AY68" i="111"/>
  <c r="Y77" i="111"/>
  <c r="CB70" i="111"/>
  <c r="AS77" i="111"/>
  <c r="AO57" i="111" l="1"/>
  <c r="AO63" i="111"/>
  <c r="AO14" i="111"/>
  <c r="BN78" i="111"/>
  <c r="AO47" i="111"/>
  <c r="AO64" i="111"/>
  <c r="BN8" i="111"/>
  <c r="BN19" i="111"/>
  <c r="BN50" i="111"/>
  <c r="BN65" i="111"/>
  <c r="BN35" i="111"/>
  <c r="BN61" i="111"/>
  <c r="BN28" i="111"/>
  <c r="BN54" i="111"/>
  <c r="BN71" i="111"/>
  <c r="BN43" i="111"/>
  <c r="BN41" i="111"/>
  <c r="BN64" i="111"/>
  <c r="BN59" i="111"/>
  <c r="BS27" i="111"/>
  <c r="BS56" i="111"/>
  <c r="BS52" i="111"/>
  <c r="BS28" i="111"/>
  <c r="BS63" i="111"/>
  <c r="BS59" i="111"/>
  <c r="BS22" i="111"/>
  <c r="AY74" i="111"/>
  <c r="AY71" i="111"/>
  <c r="AY14" i="111"/>
  <c r="S39" i="111"/>
  <c r="BR75" i="111"/>
  <c r="BR81" i="111" s="1"/>
  <c r="BR83" i="111" s="1"/>
  <c r="BR84" i="111" s="1"/>
  <c r="BR86" i="111" s="1"/>
  <c r="BR87" i="111" s="1"/>
  <c r="AY35" i="111"/>
  <c r="CA8" i="111"/>
  <c r="CA38" i="111" s="1"/>
  <c r="CA39" i="111" s="1"/>
  <c r="AY67" i="111"/>
  <c r="BK39" i="111"/>
  <c r="AY15" i="111"/>
  <c r="AY73" i="111"/>
  <c r="AY64" i="111"/>
  <c r="AY58" i="111"/>
  <c r="AY42" i="111"/>
  <c r="AY19" i="111"/>
  <c r="AY30" i="111"/>
  <c r="AY25" i="111"/>
  <c r="AY79" i="111"/>
  <c r="BM38" i="111"/>
  <c r="AY43" i="111"/>
  <c r="C39" i="111"/>
  <c r="AY62" i="111"/>
  <c r="AY17" i="111"/>
  <c r="AY59" i="111"/>
  <c r="AY50" i="111"/>
  <c r="C76" i="111"/>
  <c r="AY21" i="111"/>
  <c r="AY77" i="111"/>
  <c r="AY65" i="111"/>
  <c r="AY54" i="111"/>
  <c r="BN77" i="111"/>
  <c r="AY61" i="111"/>
  <c r="BN15" i="111"/>
  <c r="BN73" i="111"/>
  <c r="BN68" i="111"/>
  <c r="Z59" i="111"/>
  <c r="Z65" i="111"/>
  <c r="BN21" i="111"/>
  <c r="BN42" i="111"/>
  <c r="BN63" i="111"/>
  <c r="BN30" i="111"/>
  <c r="BN23" i="111"/>
  <c r="BN13" i="111"/>
  <c r="BN74" i="111"/>
  <c r="BN62" i="111"/>
  <c r="BN67" i="111"/>
  <c r="BN58" i="111"/>
  <c r="BN56" i="111"/>
  <c r="BN36" i="111"/>
  <c r="BN17" i="111"/>
  <c r="AY13" i="111"/>
  <c r="Z60" i="111"/>
  <c r="BN66" i="111"/>
  <c r="BN60" i="111"/>
  <c r="BN32" i="111"/>
  <c r="BN48" i="111"/>
  <c r="BN79" i="111"/>
  <c r="AY26" i="111"/>
  <c r="BH75" i="111"/>
  <c r="BH39" i="111"/>
  <c r="BS74" i="111"/>
  <c r="BS71" i="111"/>
  <c r="BS70" i="111"/>
  <c r="BS68" i="111"/>
  <c r="BS55" i="111"/>
  <c r="BS45" i="111"/>
  <c r="BS44" i="111"/>
  <c r="BS43" i="111"/>
  <c r="BS46" i="111"/>
  <c r="BS31" i="111"/>
  <c r="BS25" i="111"/>
  <c r="BS16" i="111"/>
  <c r="BS51" i="111"/>
  <c r="BS18" i="111"/>
  <c r="BS14" i="111"/>
  <c r="BS24" i="111"/>
  <c r="BS15" i="111"/>
  <c r="BS11" i="111"/>
  <c r="BS9" i="111"/>
  <c r="BS12" i="111"/>
  <c r="AO71" i="111"/>
  <c r="AO70" i="111"/>
  <c r="AO68" i="111"/>
  <c r="AO69" i="111"/>
  <c r="AT78" i="111"/>
  <c r="AO56" i="111"/>
  <c r="AO55" i="111"/>
  <c r="AO45" i="111"/>
  <c r="BI78" i="111"/>
  <c r="AO44" i="111"/>
  <c r="AO43" i="111"/>
  <c r="BI37" i="111"/>
  <c r="AO31" i="111"/>
  <c r="AO16" i="111"/>
  <c r="AO46" i="111"/>
  <c r="AO36" i="111"/>
  <c r="BS37" i="111"/>
  <c r="BN37" i="111"/>
  <c r="AO25" i="111"/>
  <c r="AO18" i="111"/>
  <c r="AO11" i="111"/>
  <c r="AO9" i="111"/>
  <c r="AO51" i="111"/>
  <c r="AO24" i="111"/>
  <c r="AO15" i="111"/>
  <c r="AO12" i="111"/>
  <c r="BS66" i="111"/>
  <c r="Z63" i="111"/>
  <c r="BS67" i="111"/>
  <c r="BS64" i="111"/>
  <c r="BS61" i="111"/>
  <c r="BS42" i="111"/>
  <c r="AO41" i="111"/>
  <c r="BS62" i="111"/>
  <c r="CB54" i="111"/>
  <c r="Z28" i="111"/>
  <c r="AO67" i="111"/>
  <c r="Z35" i="111"/>
  <c r="BS33" i="111"/>
  <c r="Z22" i="111"/>
  <c r="AB81" i="111"/>
  <c r="AB83" i="111" s="1"/>
  <c r="AB84" i="111" s="1"/>
  <c r="AB86" i="111" s="1"/>
  <c r="AB87" i="111" s="1"/>
  <c r="AB76" i="111"/>
  <c r="BS50" i="111"/>
  <c r="Z47" i="111"/>
  <c r="AO27" i="111"/>
  <c r="AO23" i="111"/>
  <c r="AO17" i="111"/>
  <c r="Z20" i="111"/>
  <c r="BC89" i="111"/>
  <c r="BD77" i="111" s="1"/>
  <c r="L76" i="111"/>
  <c r="L81" i="111"/>
  <c r="L83" i="111" s="1"/>
  <c r="L84" i="111" s="1"/>
  <c r="L86" i="111" s="1"/>
  <c r="L87" i="111" s="1"/>
  <c r="AY32" i="111"/>
  <c r="AO13" i="111"/>
  <c r="E89" i="111"/>
  <c r="F41" i="111" s="1"/>
  <c r="F8" i="111"/>
  <c r="E38" i="111"/>
  <c r="CB50" i="111"/>
  <c r="BP75" i="111"/>
  <c r="BP39" i="111"/>
  <c r="BS20" i="111"/>
  <c r="BS13" i="111"/>
  <c r="Z66" i="111"/>
  <c r="BS69" i="111"/>
  <c r="AO66" i="111"/>
  <c r="Z67" i="111"/>
  <c r="Z64" i="111"/>
  <c r="Z61" i="111"/>
  <c r="Z41" i="111"/>
  <c r="AO61" i="111"/>
  <c r="BS58" i="111"/>
  <c r="AO62" i="111"/>
  <c r="AO58" i="111"/>
  <c r="AO32" i="111"/>
  <c r="BS48" i="111"/>
  <c r="AO33" i="111"/>
  <c r="BF81" i="111"/>
  <c r="BF83" i="111" s="1"/>
  <c r="BF84" i="111" s="1"/>
  <c r="BF86" i="111" s="1"/>
  <c r="BF87" i="111" s="1"/>
  <c r="BF76" i="111"/>
  <c r="AO52" i="111"/>
  <c r="AO22" i="111"/>
  <c r="BL76" i="111"/>
  <c r="BL81" i="111"/>
  <c r="BL83" i="111" s="1"/>
  <c r="BL84" i="111" s="1"/>
  <c r="BL86" i="111" s="1"/>
  <c r="BL87" i="111" s="1"/>
  <c r="X76" i="111"/>
  <c r="X81" i="111"/>
  <c r="X83" i="111" s="1"/>
  <c r="X84" i="111" s="1"/>
  <c r="X86" i="111" s="1"/>
  <c r="X87" i="111" s="1"/>
  <c r="AQ76" i="111"/>
  <c r="AQ81" i="111"/>
  <c r="AQ83" i="111" s="1"/>
  <c r="AQ84" i="111" s="1"/>
  <c r="AQ86" i="111" s="1"/>
  <c r="AQ87" i="111" s="1"/>
  <c r="AO65" i="111"/>
  <c r="AW81" i="111"/>
  <c r="AW83" i="111" s="1"/>
  <c r="AW84" i="111" s="1"/>
  <c r="AW86" i="111" s="1"/>
  <c r="AW87" i="111" s="1"/>
  <c r="AW76" i="111"/>
  <c r="Z13" i="111"/>
  <c r="AH76" i="111"/>
  <c r="AH81" i="111"/>
  <c r="AH83" i="111" s="1"/>
  <c r="AH84" i="111" s="1"/>
  <c r="AH86" i="111" s="1"/>
  <c r="AH87" i="111" s="1"/>
  <c r="AY69" i="111"/>
  <c r="AY70" i="111"/>
  <c r="AY60" i="111"/>
  <c r="AY52" i="111"/>
  <c r="AY47" i="111"/>
  <c r="AY51" i="111"/>
  <c r="AY46" i="111"/>
  <c r="AY63" i="111"/>
  <c r="AY56" i="111"/>
  <c r="AY66" i="111"/>
  <c r="AY55" i="111"/>
  <c r="AY45" i="111"/>
  <c r="AY33" i="111"/>
  <c r="AY29" i="111"/>
  <c r="AY24" i="111"/>
  <c r="AY23" i="111"/>
  <c r="AY18" i="111"/>
  <c r="AY31" i="111"/>
  <c r="AY57" i="111"/>
  <c r="AY36" i="111"/>
  <c r="AY27" i="111"/>
  <c r="AY11" i="111"/>
  <c r="AY12" i="111"/>
  <c r="AY44" i="111"/>
  <c r="AY20" i="111"/>
  <c r="AY22" i="111"/>
  <c r="AY16" i="111"/>
  <c r="AY9" i="111"/>
  <c r="CB8" i="111"/>
  <c r="CB38" i="111" s="1"/>
  <c r="AC81" i="111"/>
  <c r="AC83" i="111" s="1"/>
  <c r="AC84" i="111" s="1"/>
  <c r="AC86" i="111" s="1"/>
  <c r="AC87" i="111" s="1"/>
  <c r="AC76" i="111"/>
  <c r="BN69" i="111"/>
  <c r="BN70" i="111"/>
  <c r="BN52" i="111"/>
  <c r="BN47" i="111"/>
  <c r="BN57" i="111"/>
  <c r="BN51" i="111"/>
  <c r="BN46" i="111"/>
  <c r="BN55" i="111"/>
  <c r="BN45" i="111"/>
  <c r="BN33" i="111"/>
  <c r="BN29" i="111"/>
  <c r="BN44" i="111"/>
  <c r="BN24" i="111"/>
  <c r="BN18" i="111"/>
  <c r="BN31" i="111"/>
  <c r="BN25" i="111"/>
  <c r="BN27" i="111"/>
  <c r="BN26" i="111"/>
  <c r="BN22" i="111"/>
  <c r="BN12" i="111"/>
  <c r="BN14" i="111"/>
  <c r="BN20" i="111"/>
  <c r="BN9" i="111"/>
  <c r="BN11" i="111"/>
  <c r="BQ81" i="111"/>
  <c r="BQ83" i="111" s="1"/>
  <c r="BQ84" i="111" s="1"/>
  <c r="BQ86" i="111" s="1"/>
  <c r="BQ87" i="111" s="1"/>
  <c r="BQ76" i="111"/>
  <c r="BS78" i="111"/>
  <c r="AO42" i="111"/>
  <c r="Z62" i="111"/>
  <c r="BS54" i="111"/>
  <c r="Z58" i="111"/>
  <c r="BS32" i="111"/>
  <c r="Z52" i="111"/>
  <c r="AO48" i="111"/>
  <c r="BS30" i="111"/>
  <c r="BS26" i="111"/>
  <c r="BS19" i="111"/>
  <c r="AO50" i="111"/>
  <c r="AO35" i="111"/>
  <c r="BC75" i="111"/>
  <c r="AO20" i="111"/>
  <c r="BS8" i="111"/>
  <c r="BS21" i="111"/>
  <c r="BU76" i="111"/>
  <c r="Z29" i="111"/>
  <c r="T75" i="111"/>
  <c r="T39" i="111"/>
  <c r="BS10" i="111"/>
  <c r="AX75" i="111"/>
  <c r="AX39" i="111"/>
  <c r="BW75" i="111"/>
  <c r="BW39" i="111"/>
  <c r="AS89" i="111"/>
  <c r="AT8" i="111" s="1"/>
  <c r="AD89" i="111"/>
  <c r="AE54" i="111" s="1"/>
  <c r="AM81" i="111"/>
  <c r="AM83" i="111" s="1"/>
  <c r="AM84" i="111" s="1"/>
  <c r="AM86" i="111" s="1"/>
  <c r="AM87" i="111" s="1"/>
  <c r="AM76" i="111"/>
  <c r="AR76" i="111"/>
  <c r="AR81" i="111"/>
  <c r="AR83" i="111" s="1"/>
  <c r="AR84" i="111" s="1"/>
  <c r="AR86" i="111" s="1"/>
  <c r="AR87" i="111" s="1"/>
  <c r="BA75" i="111"/>
  <c r="BA39" i="111"/>
  <c r="BS77" i="111"/>
  <c r="BH89" i="111"/>
  <c r="BI54" i="111" s="1"/>
  <c r="Z10" i="111"/>
  <c r="AN92" i="111"/>
  <c r="BS57" i="111"/>
  <c r="Z42" i="111"/>
  <c r="CB41" i="111"/>
  <c r="AO54" i="111"/>
  <c r="AO60" i="111"/>
  <c r="AO59" i="111"/>
  <c r="U41" i="111"/>
  <c r="Z48" i="111"/>
  <c r="Z32" i="111"/>
  <c r="Z50" i="111"/>
  <c r="AO28" i="111"/>
  <c r="Z30" i="111"/>
  <c r="CB36" i="111"/>
  <c r="BZ35" i="111"/>
  <c r="AO30" i="111"/>
  <c r="AV81" i="111"/>
  <c r="AV83" i="111" s="1"/>
  <c r="AV84" i="111" s="1"/>
  <c r="AV86" i="111" s="1"/>
  <c r="AV87" i="111" s="1"/>
  <c r="AV76" i="111"/>
  <c r="BS29" i="111"/>
  <c r="AO19" i="111"/>
  <c r="AI75" i="111"/>
  <c r="AI39" i="111"/>
  <c r="BB76" i="111"/>
  <c r="BB81" i="111"/>
  <c r="BB83" i="111" s="1"/>
  <c r="BB84" i="111" s="1"/>
  <c r="BB86" i="111" s="1"/>
  <c r="BB87" i="111" s="1"/>
  <c r="M76" i="111"/>
  <c r="M81" i="111"/>
  <c r="M83" i="111" s="1"/>
  <c r="M84" i="111" s="1"/>
  <c r="M86" i="111" s="1"/>
  <c r="M87" i="111" s="1"/>
  <c r="AO21" i="111"/>
  <c r="AG76" i="111"/>
  <c r="AG81" i="111"/>
  <c r="AG83" i="111" s="1"/>
  <c r="AG84" i="111" s="1"/>
  <c r="AG86" i="111" s="1"/>
  <c r="AG87" i="111" s="1"/>
  <c r="AO79" i="111"/>
  <c r="BS65" i="111"/>
  <c r="AO10" i="111"/>
  <c r="BN10" i="111"/>
  <c r="Y92" i="111"/>
  <c r="Y38" i="111"/>
  <c r="D81" i="111"/>
  <c r="D83" i="111" s="1"/>
  <c r="D84" i="111" s="1"/>
  <c r="D86" i="111" s="1"/>
  <c r="D87" i="111" s="1"/>
  <c r="D76" i="111"/>
  <c r="T89" i="111"/>
  <c r="AS38" i="111"/>
  <c r="R81" i="111"/>
  <c r="R83" i="111" s="1"/>
  <c r="R84" i="111" s="1"/>
  <c r="R86" i="111" s="1"/>
  <c r="R87" i="111" s="1"/>
  <c r="R76" i="111"/>
  <c r="AY10" i="111"/>
  <c r="BM75" i="111"/>
  <c r="BM39" i="111"/>
  <c r="AI89" i="111"/>
  <c r="N75" i="111"/>
  <c r="N39" i="111"/>
  <c r="BV76" i="111"/>
  <c r="BV81" i="111"/>
  <c r="BV83" i="111" s="1"/>
  <c r="BV84" i="111" s="1"/>
  <c r="BV86" i="111" s="1"/>
  <c r="BV87" i="111" s="1"/>
  <c r="Z71" i="111"/>
  <c r="Z70" i="111"/>
  <c r="Z72" i="111"/>
  <c r="Z68" i="111"/>
  <c r="Z56" i="111"/>
  <c r="Z55" i="111"/>
  <c r="Z49" i="111"/>
  <c r="Z45" i="111"/>
  <c r="Z54" i="111"/>
  <c r="Z44" i="111"/>
  <c r="Z43" i="111"/>
  <c r="Z46" i="111"/>
  <c r="Z31" i="111"/>
  <c r="Z21" i="111"/>
  <c r="Z16" i="111"/>
  <c r="Z36" i="111"/>
  <c r="Z51" i="111"/>
  <c r="Z23" i="111"/>
  <c r="Z19" i="111"/>
  <c r="Z17" i="111"/>
  <c r="Z18" i="111"/>
  <c r="Z24" i="111"/>
  <c r="Z15" i="111"/>
  <c r="Z11" i="111"/>
  <c r="Z9" i="111"/>
  <c r="Z12" i="111"/>
  <c r="BG81" i="111"/>
  <c r="BG83" i="111" s="1"/>
  <c r="BG84" i="111" s="1"/>
  <c r="BG86" i="111" s="1"/>
  <c r="BG87" i="111" s="1"/>
  <c r="BG76" i="111"/>
  <c r="BS73" i="111"/>
  <c r="BD78" i="111"/>
  <c r="BS60" i="111"/>
  <c r="Z57" i="111"/>
  <c r="AY78" i="111"/>
  <c r="AO78" i="111"/>
  <c r="BS41" i="111"/>
  <c r="F54" i="111"/>
  <c r="BS47" i="111"/>
  <c r="Z69" i="111"/>
  <c r="BS36" i="111"/>
  <c r="BR35" i="111"/>
  <c r="BS35" i="111" s="1"/>
  <c r="BS23" i="111"/>
  <c r="AL75" i="111"/>
  <c r="AL39" i="111"/>
  <c r="Z26" i="111"/>
  <c r="AO29" i="111"/>
  <c r="Z25" i="111"/>
  <c r="BS17" i="111"/>
  <c r="AO26" i="111"/>
  <c r="Z33" i="111"/>
  <c r="BZ8" i="111"/>
  <c r="BZ38" i="111" s="1"/>
  <c r="W75" i="111"/>
  <c r="W39" i="111"/>
  <c r="AY28" i="111"/>
  <c r="Z27" i="111"/>
  <c r="BS79" i="111"/>
  <c r="Z79" i="111"/>
  <c r="Z8" i="111"/>
  <c r="AD75" i="111"/>
  <c r="AD39" i="111"/>
  <c r="AE39" i="111" s="1"/>
  <c r="AE38" i="111"/>
  <c r="BN16" i="111"/>
  <c r="S81" i="111"/>
  <c r="S83" i="111" s="1"/>
  <c r="S84" i="111" s="1"/>
  <c r="S86" i="111" s="1"/>
  <c r="S87" i="111" s="1"/>
  <c r="S76" i="111"/>
  <c r="AN75" i="111"/>
  <c r="AO38" i="111"/>
  <c r="AN39" i="111"/>
  <c r="AO39" i="111" s="1"/>
  <c r="AO8" i="111"/>
  <c r="N89" i="111"/>
  <c r="F50" i="111" l="1"/>
  <c r="BR76" i="111"/>
  <c r="CA75" i="111"/>
  <c r="CB75" i="111"/>
  <c r="CB39" i="111"/>
  <c r="BZ75" i="111"/>
  <c r="BZ39" i="111"/>
  <c r="AL81" i="111"/>
  <c r="AL83" i="111" s="1"/>
  <c r="AL84" i="111" s="1"/>
  <c r="AL86" i="111" s="1"/>
  <c r="AL87" i="111" s="1"/>
  <c r="AL76" i="111"/>
  <c r="BD50" i="111"/>
  <c r="AJ71" i="111"/>
  <c r="AJ70" i="111"/>
  <c r="AJ69" i="111"/>
  <c r="AJ66" i="111"/>
  <c r="AJ63" i="111"/>
  <c r="AJ52" i="111"/>
  <c r="AJ47" i="111"/>
  <c r="AJ51" i="111"/>
  <c r="AJ46" i="111"/>
  <c r="AJ56" i="111"/>
  <c r="AJ57" i="111"/>
  <c r="AJ55" i="111"/>
  <c r="AJ45" i="111"/>
  <c r="AJ60" i="111"/>
  <c r="AJ33" i="111"/>
  <c r="AJ29" i="111"/>
  <c r="AJ25" i="111"/>
  <c r="AJ24" i="111"/>
  <c r="AJ18" i="111"/>
  <c r="AJ44" i="111"/>
  <c r="AJ31" i="111"/>
  <c r="AJ36" i="111"/>
  <c r="AJ27" i="111"/>
  <c r="AJ20" i="111"/>
  <c r="AJ14" i="111"/>
  <c r="AJ12" i="111"/>
  <c r="AJ22" i="111"/>
  <c r="AJ11" i="111"/>
  <c r="AJ9" i="111"/>
  <c r="AJ10" i="111"/>
  <c r="AJ35" i="111"/>
  <c r="AI92" i="111"/>
  <c r="AJ28" i="111"/>
  <c r="AJ42" i="111"/>
  <c r="AJ19" i="111"/>
  <c r="AJ30" i="111"/>
  <c r="AJ68" i="111"/>
  <c r="AJ64" i="111"/>
  <c r="AJ21" i="111"/>
  <c r="AJ67" i="111"/>
  <c r="AJ61" i="111"/>
  <c r="AJ8" i="111"/>
  <c r="AJ13" i="111"/>
  <c r="AJ79" i="111"/>
  <c r="AJ59" i="111"/>
  <c r="AJ17" i="111"/>
  <c r="AJ65" i="111"/>
  <c r="AJ58" i="111"/>
  <c r="AJ32" i="111"/>
  <c r="AJ41" i="111"/>
  <c r="AJ50" i="111"/>
  <c r="AJ78" i="111"/>
  <c r="AJ26" i="111"/>
  <c r="AJ23" i="111"/>
  <c r="AJ15" i="111"/>
  <c r="AJ48" i="111"/>
  <c r="AJ62" i="111"/>
  <c r="AJ16" i="111"/>
  <c r="AJ43" i="111"/>
  <c r="AN81" i="111"/>
  <c r="AN83" i="111" s="1"/>
  <c r="AN84" i="111" s="1"/>
  <c r="AN86" i="111" s="1"/>
  <c r="AN87" i="111" s="1"/>
  <c r="AN76" i="111"/>
  <c r="AD81" i="111"/>
  <c r="AD83" i="111" s="1"/>
  <c r="AD84" i="111" s="1"/>
  <c r="AD86" i="111" s="1"/>
  <c r="AD87" i="111" s="1"/>
  <c r="AD76" i="111"/>
  <c r="U71" i="111"/>
  <c r="U69" i="111"/>
  <c r="U72" i="111"/>
  <c r="U70" i="111"/>
  <c r="U49" i="111"/>
  <c r="U52" i="111"/>
  <c r="U47" i="111"/>
  <c r="U57" i="111"/>
  <c r="U51" i="111"/>
  <c r="U46" i="111"/>
  <c r="U56" i="111"/>
  <c r="U55" i="111"/>
  <c r="U45" i="111"/>
  <c r="U33" i="111"/>
  <c r="U29" i="111"/>
  <c r="U26" i="111"/>
  <c r="U44" i="111"/>
  <c r="U28" i="111"/>
  <c r="U24" i="111"/>
  <c r="U18" i="111"/>
  <c r="U31" i="111"/>
  <c r="U36" i="111"/>
  <c r="U27" i="111"/>
  <c r="U22" i="111"/>
  <c r="U12" i="111"/>
  <c r="U16" i="111"/>
  <c r="U20" i="111"/>
  <c r="U23" i="111"/>
  <c r="U9" i="111"/>
  <c r="U11" i="111"/>
  <c r="U10" i="111"/>
  <c r="U43" i="111"/>
  <c r="U61" i="111"/>
  <c r="U68" i="111"/>
  <c r="U63" i="111"/>
  <c r="U19" i="111"/>
  <c r="U13" i="111"/>
  <c r="U66" i="111"/>
  <c r="U58" i="111"/>
  <c r="U65" i="111"/>
  <c r="U25" i="111"/>
  <c r="U17" i="111"/>
  <c r="U64" i="111"/>
  <c r="U8" i="111"/>
  <c r="U42" i="111"/>
  <c r="U21" i="111"/>
  <c r="U62" i="111"/>
  <c r="U15" i="111"/>
  <c r="U60" i="111"/>
  <c r="U59" i="111"/>
  <c r="U32" i="111"/>
  <c r="U48" i="111"/>
  <c r="U14" i="111"/>
  <c r="U30" i="111"/>
  <c r="U54" i="111"/>
  <c r="U67" i="111"/>
  <c r="AJ39" i="111"/>
  <c r="BA76" i="111"/>
  <c r="BA81" i="111"/>
  <c r="BA83" i="111" s="1"/>
  <c r="BA84" i="111" s="1"/>
  <c r="BA86" i="111" s="1"/>
  <c r="BA87" i="111" s="1"/>
  <c r="AE35" i="111"/>
  <c r="E75" i="111"/>
  <c r="E39" i="111"/>
  <c r="N81" i="111"/>
  <c r="N83" i="111" s="1"/>
  <c r="N84" i="111" s="1"/>
  <c r="N86" i="111" s="1"/>
  <c r="N87" i="111" s="1"/>
  <c r="N76" i="111"/>
  <c r="Y75" i="111"/>
  <c r="Z38" i="111"/>
  <c r="Y39" i="111"/>
  <c r="Z39" i="111" s="1"/>
  <c r="BI70" i="111"/>
  <c r="BI69" i="111"/>
  <c r="BI74" i="111"/>
  <c r="BI71" i="111"/>
  <c r="BI67" i="111"/>
  <c r="BI48" i="111"/>
  <c r="BI44" i="111"/>
  <c r="BI52" i="111"/>
  <c r="BI51" i="111"/>
  <c r="BI50" i="111"/>
  <c r="BI46" i="111"/>
  <c r="BI61" i="111"/>
  <c r="BI42" i="111"/>
  <c r="BI45" i="111"/>
  <c r="BI55" i="111"/>
  <c r="BI26" i="111"/>
  <c r="BI22" i="111"/>
  <c r="BI21" i="111"/>
  <c r="BI20" i="111"/>
  <c r="BI58" i="111"/>
  <c r="BI33" i="111"/>
  <c r="BI29" i="111"/>
  <c r="BI24" i="111"/>
  <c r="BI19" i="111"/>
  <c r="BI18" i="111"/>
  <c r="BI30" i="111"/>
  <c r="BI11" i="111"/>
  <c r="BI9" i="111"/>
  <c r="BI16" i="111"/>
  <c r="BI35" i="111"/>
  <c r="BI31" i="111"/>
  <c r="BI17" i="111"/>
  <c r="BI12" i="111"/>
  <c r="BI64" i="111"/>
  <c r="BI27" i="111"/>
  <c r="BI41" i="111"/>
  <c r="BI23" i="111"/>
  <c r="BI65" i="111"/>
  <c r="BI56" i="111"/>
  <c r="BI57" i="111"/>
  <c r="BI59" i="111"/>
  <c r="BI73" i="111"/>
  <c r="BI47" i="111"/>
  <c r="BI36" i="111"/>
  <c r="BI60" i="111"/>
  <c r="BI63" i="111"/>
  <c r="BI66" i="111"/>
  <c r="BI68" i="111"/>
  <c r="BI28" i="111"/>
  <c r="BI14" i="111"/>
  <c r="BI32" i="111"/>
  <c r="BI25" i="111"/>
  <c r="BI79" i="111"/>
  <c r="BI15" i="111"/>
  <c r="BI43" i="111"/>
  <c r="BI10" i="111"/>
  <c r="BI13" i="111"/>
  <c r="BI62" i="111"/>
  <c r="BC81" i="111"/>
  <c r="BC83" i="111" s="1"/>
  <c r="BC84" i="111" s="1"/>
  <c r="BC86" i="111" s="1"/>
  <c r="BC87" i="111" s="1"/>
  <c r="BC76" i="111"/>
  <c r="AS75" i="111"/>
  <c r="AS39" i="111"/>
  <c r="AJ38" i="111"/>
  <c r="AX81" i="111"/>
  <c r="AX83" i="111" s="1"/>
  <c r="AX84" i="111" s="1"/>
  <c r="AX86" i="111" s="1"/>
  <c r="AX87" i="111" s="1"/>
  <c r="AX76" i="111"/>
  <c r="W76" i="111"/>
  <c r="W81" i="111"/>
  <c r="W83" i="111" s="1"/>
  <c r="W84" i="111" s="1"/>
  <c r="W86" i="111" s="1"/>
  <c r="W87" i="111" s="1"/>
  <c r="O39" i="111"/>
  <c r="BM81" i="111"/>
  <c r="BM83" i="111" s="1"/>
  <c r="BM84" i="111" s="1"/>
  <c r="BM86" i="111" s="1"/>
  <c r="BM87" i="111" s="1"/>
  <c r="BM76" i="111"/>
  <c r="AI81" i="111"/>
  <c r="AI83" i="111" s="1"/>
  <c r="AI84" i="111" s="1"/>
  <c r="AI86" i="111" s="1"/>
  <c r="AI87" i="111" s="1"/>
  <c r="AI76" i="111"/>
  <c r="AT70" i="111"/>
  <c r="AT69" i="111"/>
  <c r="AT67" i="111"/>
  <c r="AT64" i="111"/>
  <c r="AT61" i="111"/>
  <c r="AT74" i="111"/>
  <c r="AT48" i="111"/>
  <c r="AT44" i="111"/>
  <c r="AT52" i="111"/>
  <c r="AT58" i="111"/>
  <c r="AT51" i="111"/>
  <c r="AT46" i="111"/>
  <c r="AT42" i="111"/>
  <c r="AT26" i="111"/>
  <c r="AT22" i="111"/>
  <c r="AT20" i="111"/>
  <c r="AT33" i="111"/>
  <c r="AT29" i="111"/>
  <c r="AT30" i="111"/>
  <c r="AT24" i="111"/>
  <c r="AT18" i="111"/>
  <c r="AT45" i="111"/>
  <c r="AT31" i="111"/>
  <c r="AT16" i="111"/>
  <c r="AT11" i="111"/>
  <c r="AT9" i="111"/>
  <c r="AT12" i="111"/>
  <c r="AT55" i="111"/>
  <c r="AT36" i="111"/>
  <c r="AT15" i="111"/>
  <c r="AT65" i="111"/>
  <c r="AT60" i="111"/>
  <c r="AT10" i="111"/>
  <c r="AT21" i="111"/>
  <c r="AT19" i="111"/>
  <c r="AT25" i="111"/>
  <c r="AT14" i="111"/>
  <c r="AT71" i="111"/>
  <c r="AT73" i="111"/>
  <c r="AT68" i="111"/>
  <c r="AT13" i="111"/>
  <c r="AT79" i="111"/>
  <c r="AT57" i="111"/>
  <c r="AT17" i="111"/>
  <c r="AT28" i="111"/>
  <c r="AT63" i="111"/>
  <c r="AT27" i="111"/>
  <c r="AT56" i="111"/>
  <c r="AT23" i="111"/>
  <c r="AT43" i="111"/>
  <c r="AT47" i="111"/>
  <c r="AT50" i="111"/>
  <c r="AT59" i="111"/>
  <c r="AT62" i="111"/>
  <c r="AT66" i="111"/>
  <c r="AT32" i="111"/>
  <c r="AT35" i="111"/>
  <c r="AT54" i="111"/>
  <c r="BI77" i="111"/>
  <c r="CB35" i="111"/>
  <c r="BW76" i="111"/>
  <c r="BD74" i="111"/>
  <c r="BD71" i="111"/>
  <c r="BD70" i="111"/>
  <c r="BX78" i="111"/>
  <c r="BD68" i="111"/>
  <c r="BD65" i="111"/>
  <c r="BD62" i="111"/>
  <c r="BD56" i="111"/>
  <c r="BD55" i="111"/>
  <c r="BD54" i="111"/>
  <c r="BD45" i="111"/>
  <c r="BD44" i="111"/>
  <c r="BD43" i="111"/>
  <c r="BD51" i="111"/>
  <c r="BD31" i="111"/>
  <c r="BD17" i="111"/>
  <c r="BD16" i="111"/>
  <c r="BX37" i="111"/>
  <c r="BD21" i="111"/>
  <c r="BD46" i="111"/>
  <c r="BD12" i="111"/>
  <c r="BD24" i="111"/>
  <c r="BD15" i="111"/>
  <c r="BD18" i="111"/>
  <c r="BD23" i="111"/>
  <c r="BD19" i="111"/>
  <c r="BD11" i="111"/>
  <c r="BD9" i="111"/>
  <c r="BD10" i="111"/>
  <c r="BD14" i="111"/>
  <c r="BD36" i="111"/>
  <c r="BD57" i="111"/>
  <c r="BD67" i="111"/>
  <c r="BD26" i="111"/>
  <c r="BD27" i="111"/>
  <c r="BD33" i="111"/>
  <c r="BD25" i="111"/>
  <c r="BD32" i="111"/>
  <c r="BD35" i="111"/>
  <c r="BD69" i="111"/>
  <c r="BD64" i="111"/>
  <c r="BD22" i="111"/>
  <c r="BD59" i="111"/>
  <c r="BD20" i="111"/>
  <c r="BD48" i="111"/>
  <c r="BD61" i="111"/>
  <c r="BD29" i="111"/>
  <c r="BD28" i="111"/>
  <c r="BD42" i="111"/>
  <c r="BD66" i="111"/>
  <c r="BD58" i="111"/>
  <c r="BD8" i="111"/>
  <c r="BD60" i="111"/>
  <c r="BD13" i="111"/>
  <c r="BD79" i="111"/>
  <c r="BD52" i="111"/>
  <c r="BD30" i="111"/>
  <c r="BD63" i="111"/>
  <c r="BD73" i="111"/>
  <c r="BD47" i="111"/>
  <c r="AE70" i="111"/>
  <c r="AE72" i="111"/>
  <c r="AE69" i="111"/>
  <c r="AE49" i="111"/>
  <c r="AE48" i="111"/>
  <c r="AE58" i="111"/>
  <c r="AE50" i="111"/>
  <c r="AE44" i="111"/>
  <c r="AE52" i="111"/>
  <c r="AE51" i="111"/>
  <c r="AE46" i="111"/>
  <c r="AE42" i="111"/>
  <c r="AE30" i="111"/>
  <c r="AE22" i="111"/>
  <c r="AE20" i="111"/>
  <c r="AE19" i="111"/>
  <c r="AE45" i="111"/>
  <c r="AE33" i="111"/>
  <c r="AE29" i="111"/>
  <c r="AE55" i="111"/>
  <c r="AE24" i="111"/>
  <c r="AE18" i="111"/>
  <c r="AE16" i="111"/>
  <c r="AE11" i="111"/>
  <c r="AE9" i="111"/>
  <c r="AE21" i="111"/>
  <c r="AE12" i="111"/>
  <c r="AE17" i="111"/>
  <c r="AE31" i="111"/>
  <c r="AE79" i="111"/>
  <c r="AE57" i="111"/>
  <c r="AE56" i="111"/>
  <c r="AE66" i="111"/>
  <c r="AE59" i="111"/>
  <c r="AE15" i="111"/>
  <c r="AE47" i="111"/>
  <c r="AE60" i="111"/>
  <c r="AE65" i="111"/>
  <c r="AE28" i="111"/>
  <c r="AE32" i="111"/>
  <c r="AE71" i="111"/>
  <c r="AD92" i="111"/>
  <c r="AE27" i="111"/>
  <c r="AE62" i="111"/>
  <c r="AE8" i="111"/>
  <c r="AE10" i="111"/>
  <c r="AE13" i="111"/>
  <c r="AE41" i="111"/>
  <c r="AE63" i="111"/>
  <c r="AE64" i="111"/>
  <c r="AE36" i="111"/>
  <c r="AE67" i="111"/>
  <c r="AE14" i="111"/>
  <c r="AE43" i="111"/>
  <c r="AE25" i="111"/>
  <c r="AE23" i="111"/>
  <c r="AE61" i="111"/>
  <c r="AE26" i="111"/>
  <c r="AE68" i="111"/>
  <c r="O70" i="111"/>
  <c r="O78" i="111"/>
  <c r="O71" i="111"/>
  <c r="O79" i="111"/>
  <c r="O48" i="111"/>
  <c r="O61" i="111"/>
  <c r="O52" i="111"/>
  <c r="O64" i="111"/>
  <c r="O51" i="111"/>
  <c r="O46" i="111"/>
  <c r="O67" i="111"/>
  <c r="O42" i="111"/>
  <c r="O58" i="111"/>
  <c r="O45" i="111"/>
  <c r="O41" i="111"/>
  <c r="O55" i="111"/>
  <c r="O50" i="111"/>
  <c r="O22" i="111"/>
  <c r="O20" i="111"/>
  <c r="O33" i="111"/>
  <c r="O29" i="111"/>
  <c r="O35" i="111"/>
  <c r="O28" i="111"/>
  <c r="O24" i="111"/>
  <c r="O30" i="111"/>
  <c r="O18" i="111"/>
  <c r="O11" i="111"/>
  <c r="O9" i="111"/>
  <c r="O16" i="111"/>
  <c r="O31" i="111"/>
  <c r="O12" i="111"/>
  <c r="O10" i="111"/>
  <c r="O21" i="111"/>
  <c r="O19" i="111"/>
  <c r="O25" i="111"/>
  <c r="O57" i="111"/>
  <c r="O60" i="111"/>
  <c r="O14" i="111"/>
  <c r="O8" i="111"/>
  <c r="O13" i="111"/>
  <c r="O56" i="111"/>
  <c r="O23" i="111"/>
  <c r="O63" i="111"/>
  <c r="O66" i="111"/>
  <c r="O68" i="111"/>
  <c r="O15" i="111"/>
  <c r="O27" i="111"/>
  <c r="O43" i="111"/>
  <c r="O47" i="111"/>
  <c r="O65" i="111"/>
  <c r="O17" i="111"/>
  <c r="O26" i="111"/>
  <c r="O62" i="111"/>
  <c r="O44" i="111"/>
  <c r="O32" i="111"/>
  <c r="O36" i="111"/>
  <c r="O59" i="111"/>
  <c r="O69" i="111"/>
  <c r="O54" i="111"/>
  <c r="O38" i="111"/>
  <c r="BI8" i="111"/>
  <c r="T81" i="111"/>
  <c r="T83" i="111" s="1"/>
  <c r="T84" i="111" s="1"/>
  <c r="T86" i="111" s="1"/>
  <c r="T87" i="111" s="1"/>
  <c r="T76" i="111"/>
  <c r="AT41" i="111"/>
  <c r="AJ54" i="111"/>
  <c r="BP81" i="111"/>
  <c r="BP83" i="111" s="1"/>
  <c r="BP84" i="111" s="1"/>
  <c r="BP86" i="111" s="1"/>
  <c r="BP87" i="111" s="1"/>
  <c r="BP76" i="111"/>
  <c r="F79" i="111"/>
  <c r="F71" i="111"/>
  <c r="F70" i="111"/>
  <c r="F68" i="111"/>
  <c r="F65" i="111"/>
  <c r="F62" i="111"/>
  <c r="F72" i="111"/>
  <c r="F56" i="111"/>
  <c r="F55" i="111"/>
  <c r="F45" i="111"/>
  <c r="F44" i="111"/>
  <c r="F43" i="111"/>
  <c r="F35" i="111"/>
  <c r="F51" i="111"/>
  <c r="F21" i="111"/>
  <c r="F36" i="111"/>
  <c r="F30" i="111"/>
  <c r="F27" i="111"/>
  <c r="F19" i="111"/>
  <c r="F46" i="111"/>
  <c r="F17" i="111"/>
  <c r="F33" i="111"/>
  <c r="F32" i="111"/>
  <c r="F12" i="111"/>
  <c r="F10" i="111"/>
  <c r="F29" i="111"/>
  <c r="F16" i="111"/>
  <c r="F13" i="111"/>
  <c r="F15" i="111"/>
  <c r="F20" i="111"/>
  <c r="F52" i="111"/>
  <c r="F64" i="111"/>
  <c r="F85" i="111"/>
  <c r="F28" i="111"/>
  <c r="F48" i="111"/>
  <c r="F61" i="111"/>
  <c r="F11" i="111"/>
  <c r="F31" i="111"/>
  <c r="F26" i="111"/>
  <c r="F24" i="111"/>
  <c r="F69" i="111"/>
  <c r="F66" i="111"/>
  <c r="F82" i="111"/>
  <c r="F9" i="111"/>
  <c r="F42" i="111"/>
  <c r="F57" i="111"/>
  <c r="F14" i="111"/>
  <c r="F59" i="111"/>
  <c r="F58" i="111"/>
  <c r="F63" i="111"/>
  <c r="F73" i="111"/>
  <c r="F67" i="111"/>
  <c r="F25" i="111"/>
  <c r="F47" i="111"/>
  <c r="F60" i="111"/>
  <c r="F18" i="111"/>
  <c r="AT77" i="111"/>
  <c r="BD41" i="111"/>
  <c r="BH81" i="111"/>
  <c r="BH83" i="111" s="1"/>
  <c r="BH84" i="111" s="1"/>
  <c r="BH86" i="111" s="1"/>
  <c r="BH87" i="111" s="1"/>
  <c r="BH76" i="111"/>
  <c r="CA81" i="111" l="1"/>
  <c r="CA83" i="111" s="1"/>
  <c r="CA84" i="111" s="1"/>
  <c r="CA86" i="111" s="1"/>
  <c r="CA87" i="111" s="1"/>
  <c r="CA76" i="111"/>
  <c r="E81" i="111"/>
  <c r="E83" i="111" s="1"/>
  <c r="E84" i="111" s="1"/>
  <c r="E86" i="111" s="1"/>
  <c r="E87" i="111" s="1"/>
  <c r="E76" i="111"/>
  <c r="BZ76" i="111"/>
  <c r="Y81" i="111"/>
  <c r="Y83" i="111" s="1"/>
  <c r="Y84" i="111" s="1"/>
  <c r="Y86" i="111" s="1"/>
  <c r="Y87" i="111" s="1"/>
  <c r="Y76" i="111"/>
  <c r="AS81" i="111"/>
  <c r="AS83" i="111" s="1"/>
  <c r="AS84" i="111" s="1"/>
  <c r="AS86" i="111" s="1"/>
  <c r="AS87" i="111" s="1"/>
  <c r="AS76" i="111"/>
  <c r="CB76" i="111"/>
  <c r="AA61" i="101" l="1"/>
  <c r="AA60" i="101"/>
  <c r="AA55" i="101"/>
  <c r="AA52" i="101"/>
  <c r="AA43" i="101"/>
  <c r="AA42" i="101" s="1"/>
  <c r="M24" i="101" l="1"/>
  <c r="E24" i="101"/>
  <c r="BU79" i="111" l="1"/>
  <c r="BZ79" i="111" l="1"/>
  <c r="BW79" i="111"/>
  <c r="BU77" i="111"/>
  <c r="BU81" i="111"/>
  <c r="BU83" i="111" s="1"/>
  <c r="BU84" i="111" s="1"/>
  <c r="BU86" i="111" s="1"/>
  <c r="BU87" i="111" s="1"/>
  <c r="BZ77" i="111" l="1"/>
  <c r="BZ81" i="111"/>
  <c r="BZ83" i="111" s="1"/>
  <c r="BZ84" i="111" s="1"/>
  <c r="BZ86" i="111" s="1"/>
  <c r="BZ87" i="111" s="1"/>
  <c r="CB79" i="111"/>
  <c r="BW77" i="111"/>
  <c r="BW89" i="111"/>
  <c r="BX79" i="111" s="1"/>
  <c r="BW81" i="111"/>
  <c r="BW83" i="111" s="1"/>
  <c r="BW84" i="111" s="1"/>
  <c r="BW86" i="111" s="1"/>
  <c r="BW87" i="111" s="1"/>
  <c r="CB77" i="111" l="1"/>
  <c r="CB89" i="111"/>
  <c r="CB81" i="111"/>
  <c r="CB83" i="111" s="1"/>
  <c r="CB84" i="111" s="1"/>
  <c r="CB86" i="111" s="1"/>
  <c r="BX54" i="111"/>
  <c r="BX44" i="111"/>
  <c r="BX22" i="111"/>
  <c r="BX55" i="111"/>
  <c r="BX16" i="111"/>
  <c r="BX63" i="111"/>
  <c r="BX26" i="111"/>
  <c r="BX61" i="111"/>
  <c r="BX59" i="111"/>
  <c r="BX19" i="111"/>
  <c r="BX52" i="111"/>
  <c r="BX20" i="111"/>
  <c r="BX36" i="111"/>
  <c r="BX12" i="111"/>
  <c r="BX60" i="111"/>
  <c r="BX35" i="111"/>
  <c r="BX8" i="111"/>
  <c r="BX71" i="111"/>
  <c r="BX27" i="111"/>
  <c r="BX70" i="111"/>
  <c r="BX51" i="111"/>
  <c r="BX45" i="111"/>
  <c r="BX24" i="111"/>
  <c r="BX31" i="111"/>
  <c r="BX62" i="111"/>
  <c r="BX32" i="111"/>
  <c r="BX50" i="111"/>
  <c r="BX13" i="111"/>
  <c r="BX47" i="111"/>
  <c r="BX69" i="111"/>
  <c r="BX46" i="111"/>
  <c r="BX41" i="111"/>
  <c r="BX18" i="111"/>
  <c r="BX10" i="111"/>
  <c r="BX65" i="111"/>
  <c r="BX14" i="111"/>
  <c r="BX15" i="111"/>
  <c r="BX25" i="111"/>
  <c r="BX64" i="111"/>
  <c r="BX74" i="111"/>
  <c r="BX42" i="111"/>
  <c r="BX33" i="111"/>
  <c r="BX11" i="111"/>
  <c r="BX57" i="111"/>
  <c r="BX68" i="111"/>
  <c r="BX67" i="111"/>
  <c r="BX21" i="111"/>
  <c r="BX43" i="111"/>
  <c r="BX23" i="111"/>
  <c r="BX48" i="111"/>
  <c r="BX30" i="111"/>
  <c r="BX29" i="111"/>
  <c r="BX9" i="111"/>
  <c r="BX28" i="111"/>
  <c r="BX73" i="111"/>
  <c r="BX58" i="111"/>
  <c r="BX66" i="111"/>
  <c r="BX56" i="111"/>
  <c r="BX17" i="111"/>
  <c r="CB90" i="111"/>
  <c r="BX77" i="111"/>
  <c r="CB87" i="111" l="1"/>
  <c r="CB93" i="111"/>
  <c r="CB100" i="111" s="1"/>
  <c r="CC100" i="111" s="1"/>
  <c r="CC41" i="111"/>
  <c r="CC54" i="111"/>
  <c r="CC56" i="111"/>
  <c r="CC11" i="111"/>
  <c r="CC17" i="111"/>
  <c r="CC32" i="111"/>
  <c r="CC25" i="111"/>
  <c r="CC20" i="111"/>
  <c r="CC29" i="111"/>
  <c r="CC71" i="111"/>
  <c r="CC46" i="111"/>
  <c r="CC59" i="111"/>
  <c r="CC30" i="111"/>
  <c r="CC19" i="111"/>
  <c r="CC31" i="111"/>
  <c r="CC52" i="111"/>
  <c r="CC47" i="111"/>
  <c r="CC33" i="111"/>
  <c r="CC55" i="111"/>
  <c r="CC51" i="111"/>
  <c r="CC8" i="111"/>
  <c r="CC43" i="111"/>
  <c r="CC44" i="111"/>
  <c r="CC27" i="111"/>
  <c r="CC10" i="111"/>
  <c r="CC61" i="111"/>
  <c r="CC68" i="111"/>
  <c r="CC65" i="111"/>
  <c r="CC42" i="111"/>
  <c r="CC24" i="111"/>
  <c r="CC36" i="111"/>
  <c r="CC15" i="111"/>
  <c r="CC45" i="111"/>
  <c r="CC57" i="111"/>
  <c r="CC12" i="111"/>
  <c r="CC13" i="111"/>
  <c r="CC60" i="111"/>
  <c r="CC58" i="111"/>
  <c r="CC16" i="111"/>
  <c r="CC72" i="111"/>
  <c r="CC49" i="111"/>
  <c r="CC63" i="111"/>
  <c r="CC48" i="111"/>
  <c r="CC21" i="111"/>
  <c r="CC23" i="111"/>
  <c r="CC9" i="111"/>
  <c r="CC64" i="111"/>
  <c r="CC26" i="111"/>
  <c r="CC69" i="111"/>
  <c r="CC18" i="111"/>
  <c r="CC14" i="111"/>
  <c r="CC67" i="111"/>
  <c r="CC62" i="111"/>
  <c r="CC22" i="111"/>
  <c r="CC28" i="111"/>
  <c r="CC66" i="111"/>
  <c r="CC70" i="111"/>
  <c r="D101" i="129"/>
  <c r="I68" i="106"/>
  <c r="H29" i="106"/>
  <c r="H6" i="106"/>
  <c r="CP85" i="166"/>
  <c r="CQ85" i="166" s="1"/>
  <c r="CK85" i="166"/>
  <c r="CJ85" i="166"/>
  <c r="CG85" i="166"/>
  <c r="CB85" i="166"/>
  <c r="BW85" i="166"/>
  <c r="BR85" i="166"/>
  <c r="BM85" i="166"/>
  <c r="BH85" i="166"/>
  <c r="BC85" i="166"/>
  <c r="AX85" i="166"/>
  <c r="AS85" i="166"/>
  <c r="AN85" i="166"/>
  <c r="AI85" i="166"/>
  <c r="AD85" i="166"/>
  <c r="X85" i="166"/>
  <c r="W85" i="166"/>
  <c r="Y85" i="166" s="1"/>
  <c r="S85" i="166"/>
  <c r="R85" i="166"/>
  <c r="O85" i="166"/>
  <c r="J85" i="166"/>
  <c r="E85" i="166"/>
  <c r="CP82" i="166"/>
  <c r="CQ82" i="166" s="1"/>
  <c r="CL82" i="166"/>
  <c r="CG82" i="166"/>
  <c r="CB82" i="166"/>
  <c r="BW82" i="166"/>
  <c r="BR82" i="166"/>
  <c r="BM82" i="166"/>
  <c r="BH82" i="166"/>
  <c r="BC82" i="166"/>
  <c r="AX82" i="166"/>
  <c r="AS82" i="166"/>
  <c r="AN82" i="166"/>
  <c r="AI82" i="166"/>
  <c r="AD82" i="166"/>
  <c r="X82" i="166"/>
  <c r="W82" i="166"/>
  <c r="Y82" i="166" s="1"/>
  <c r="S82" i="166"/>
  <c r="R82" i="166"/>
  <c r="T82" i="166" s="1"/>
  <c r="O82" i="166"/>
  <c r="J82" i="166"/>
  <c r="E82" i="166"/>
  <c r="CK80" i="166"/>
  <c r="CJ80" i="166"/>
  <c r="CP79" i="166"/>
  <c r="CR79" i="166" s="1"/>
  <c r="BM79" i="166"/>
  <c r="BM77" i="166" s="1"/>
  <c r="X79" i="166"/>
  <c r="CK79" i="166" s="1"/>
  <c r="S79" i="166"/>
  <c r="CP78" i="166"/>
  <c r="CQ78" i="166" s="1"/>
  <c r="CQ77" i="166" s="1"/>
  <c r="CJ78" i="166"/>
  <c r="CG78" i="166"/>
  <c r="CB78" i="166"/>
  <c r="BW78" i="166"/>
  <c r="BR78" i="166"/>
  <c r="BM78" i="166"/>
  <c r="BH78" i="166"/>
  <c r="BC78" i="166"/>
  <c r="AX78" i="166"/>
  <c r="AS78" i="166"/>
  <c r="AN78" i="166"/>
  <c r="AI78" i="166"/>
  <c r="AD78" i="166"/>
  <c r="X78" i="166"/>
  <c r="Y78" i="166" s="1"/>
  <c r="W78" i="166"/>
  <c r="S78" i="166"/>
  <c r="S77" i="166" s="1"/>
  <c r="R78" i="166"/>
  <c r="O78" i="166"/>
  <c r="J78" i="166"/>
  <c r="E78" i="166"/>
  <c r="CF77" i="166"/>
  <c r="CA77" i="166"/>
  <c r="BV77" i="166"/>
  <c r="BQ77" i="166"/>
  <c r="BL77" i="166"/>
  <c r="BK77" i="166"/>
  <c r="BG77" i="166"/>
  <c r="BB77" i="166"/>
  <c r="AW77" i="166"/>
  <c r="AR77" i="166"/>
  <c r="AM77" i="166"/>
  <c r="AH77" i="166"/>
  <c r="AC77" i="166"/>
  <c r="N77" i="166"/>
  <c r="I77" i="166"/>
  <c r="D77" i="166"/>
  <c r="CP74" i="166"/>
  <c r="CQ74" i="166" s="1"/>
  <c r="CQ73" i="166" s="1"/>
  <c r="CK74" i="166"/>
  <c r="CK73" i="166" s="1"/>
  <c r="CJ74" i="166"/>
  <c r="CG74" i="166"/>
  <c r="CG73" i="166" s="1"/>
  <c r="CB74" i="166"/>
  <c r="CB73" i="166" s="1"/>
  <c r="BW74" i="166"/>
  <c r="BR74" i="166"/>
  <c r="BR73" i="166" s="1"/>
  <c r="BM74" i="166"/>
  <c r="BH74" i="166"/>
  <c r="BH73" i="166" s="1"/>
  <c r="BC74" i="166"/>
  <c r="BC73" i="166" s="1"/>
  <c r="AX74" i="166"/>
  <c r="AS74" i="166"/>
  <c r="AS73" i="166" s="1"/>
  <c r="AN74" i="166"/>
  <c r="AN73" i="166" s="1"/>
  <c r="AI74" i="166"/>
  <c r="AD74" i="166"/>
  <c r="AD73" i="166" s="1"/>
  <c r="X74" i="166"/>
  <c r="X73" i="166" s="1"/>
  <c r="W74" i="166"/>
  <c r="O74" i="166"/>
  <c r="J74" i="166"/>
  <c r="J73" i="166" s="1"/>
  <c r="E74" i="166"/>
  <c r="E73" i="166" s="1"/>
  <c r="CP73" i="166"/>
  <c r="CF73" i="166"/>
  <c r="CE73" i="166"/>
  <c r="CA73" i="166"/>
  <c r="BZ73" i="166"/>
  <c r="BW73" i="166"/>
  <c r="BV73" i="166"/>
  <c r="BU73" i="166"/>
  <c r="BQ73" i="166"/>
  <c r="BP73" i="166"/>
  <c r="BM73" i="166"/>
  <c r="BL73" i="166"/>
  <c r="BK73" i="166"/>
  <c r="BG73" i="166"/>
  <c r="BF73" i="166"/>
  <c r="BB73" i="166"/>
  <c r="BA73" i="166"/>
  <c r="AX73" i="166"/>
  <c r="AW73" i="166"/>
  <c r="AV73" i="166"/>
  <c r="AR73" i="166"/>
  <c r="AQ73" i="166"/>
  <c r="AM73" i="166"/>
  <c r="AL73" i="166"/>
  <c r="AI73" i="166"/>
  <c r="AH73" i="166"/>
  <c r="AG73" i="166"/>
  <c r="AC73" i="166"/>
  <c r="AB73" i="166"/>
  <c r="Y73" i="166"/>
  <c r="W73" i="166"/>
  <c r="T73" i="166"/>
  <c r="S73" i="166"/>
  <c r="R73" i="166"/>
  <c r="N73" i="166"/>
  <c r="M73" i="166"/>
  <c r="I73" i="166"/>
  <c r="H73" i="166"/>
  <c r="D73" i="166"/>
  <c r="C73" i="166"/>
  <c r="CP71" i="166"/>
  <c r="CQ71" i="166" s="1"/>
  <c r="CK71" i="166"/>
  <c r="CJ71" i="166"/>
  <c r="CL71" i="166" s="1"/>
  <c r="CG71" i="166"/>
  <c r="CB71" i="166"/>
  <c r="BW71" i="166"/>
  <c r="BR71" i="166"/>
  <c r="BM71" i="166"/>
  <c r="BH71" i="166"/>
  <c r="BC71" i="166"/>
  <c r="AX71" i="166"/>
  <c r="AS71" i="166"/>
  <c r="AN71" i="166"/>
  <c r="AI71" i="166"/>
  <c r="AD71" i="166"/>
  <c r="X71" i="166"/>
  <c r="W71" i="166"/>
  <c r="Y71" i="166" s="1"/>
  <c r="S71" i="166"/>
  <c r="R71" i="166"/>
  <c r="T71" i="166" s="1"/>
  <c r="O71" i="166"/>
  <c r="O54" i="166" s="1"/>
  <c r="J71" i="166"/>
  <c r="E71" i="166"/>
  <c r="CP70" i="166"/>
  <c r="CQ70" i="166" s="1"/>
  <c r="CK70" i="166"/>
  <c r="CJ70" i="166"/>
  <c r="CL70" i="166" s="1"/>
  <c r="CG70" i="166"/>
  <c r="CB70" i="166"/>
  <c r="BW70" i="166"/>
  <c r="BR70" i="166"/>
  <c r="BM70" i="166"/>
  <c r="BH70" i="166"/>
  <c r="BC70" i="166"/>
  <c r="AX70" i="166"/>
  <c r="AS70" i="166"/>
  <c r="AN70" i="166"/>
  <c r="AI70" i="166"/>
  <c r="AD70" i="166"/>
  <c r="X70" i="166"/>
  <c r="W70" i="166"/>
  <c r="Y70" i="166" s="1"/>
  <c r="S70" i="166"/>
  <c r="R70" i="166"/>
  <c r="T70" i="166" s="1"/>
  <c r="O70" i="166"/>
  <c r="J70" i="166"/>
  <c r="E70" i="166"/>
  <c r="CP69" i="166"/>
  <c r="CQ69" i="166" s="1"/>
  <c r="CK69" i="166"/>
  <c r="CJ69" i="166"/>
  <c r="CL69" i="166" s="1"/>
  <c r="CG69" i="166"/>
  <c r="CB69" i="166"/>
  <c r="BW69" i="166"/>
  <c r="BR69" i="166"/>
  <c r="BM69" i="166"/>
  <c r="BH69" i="166"/>
  <c r="BC69" i="166"/>
  <c r="AX69" i="166"/>
  <c r="AS69" i="166"/>
  <c r="AN69" i="166"/>
  <c r="AI69" i="166"/>
  <c r="AD69" i="166"/>
  <c r="X69" i="166"/>
  <c r="W69" i="166"/>
  <c r="Y69" i="166" s="1"/>
  <c r="S69" i="166"/>
  <c r="R69" i="166"/>
  <c r="T69" i="166" s="1"/>
  <c r="O69" i="166"/>
  <c r="J69" i="166"/>
  <c r="E69" i="166"/>
  <c r="CP68" i="166"/>
  <c r="CQ68" i="166" s="1"/>
  <c r="CK68" i="166"/>
  <c r="CJ68" i="166"/>
  <c r="CL68" i="166" s="1"/>
  <c r="CG68" i="166"/>
  <c r="CB68" i="166"/>
  <c r="BW68" i="166"/>
  <c r="BR68" i="166"/>
  <c r="BM68" i="166"/>
  <c r="BH68" i="166"/>
  <c r="BC68" i="166"/>
  <c r="AX68" i="166"/>
  <c r="AS68" i="166"/>
  <c r="AN68" i="166"/>
  <c r="AI68" i="166"/>
  <c r="AD68" i="166"/>
  <c r="X68" i="166"/>
  <c r="W68" i="166"/>
  <c r="Y68" i="166" s="1"/>
  <c r="T68" i="166"/>
  <c r="S68" i="166"/>
  <c r="R68" i="166"/>
  <c r="O68" i="166"/>
  <c r="J68" i="166"/>
  <c r="E68" i="166"/>
  <c r="CP67" i="166"/>
  <c r="CQ67" i="166" s="1"/>
  <c r="CG67" i="166"/>
  <c r="CB67" i="166"/>
  <c r="BW67" i="166"/>
  <c r="BR67" i="166"/>
  <c r="BM67" i="166"/>
  <c r="BH67" i="166"/>
  <c r="BC67" i="166"/>
  <c r="AX67" i="166"/>
  <c r="AS67" i="166"/>
  <c r="AN67" i="166"/>
  <c r="AI67" i="166"/>
  <c r="AD67" i="166"/>
  <c r="X67" i="166"/>
  <c r="W67" i="166"/>
  <c r="CJ67" i="166" s="1"/>
  <c r="S67" i="166"/>
  <c r="R67" i="166"/>
  <c r="T67" i="166" s="1"/>
  <c r="O67" i="166"/>
  <c r="J67" i="166"/>
  <c r="E67" i="166"/>
  <c r="CQ66" i="166"/>
  <c r="CP66" i="166"/>
  <c r="CJ66" i="166"/>
  <c r="CG66" i="166"/>
  <c r="CB66" i="166"/>
  <c r="BW66" i="166"/>
  <c r="BR66" i="166"/>
  <c r="BM66" i="166"/>
  <c r="BH66" i="166"/>
  <c r="BC66" i="166"/>
  <c r="AX66" i="166"/>
  <c r="AS66" i="166"/>
  <c r="AN66" i="166"/>
  <c r="AI66" i="166"/>
  <c r="AD66" i="166"/>
  <c r="X66" i="166"/>
  <c r="Y66" i="166" s="1"/>
  <c r="W66" i="166"/>
  <c r="S66" i="166"/>
  <c r="R66" i="166"/>
  <c r="T66" i="166" s="1"/>
  <c r="O66" i="166"/>
  <c r="J66" i="166"/>
  <c r="E66" i="166"/>
  <c r="CP65" i="166"/>
  <c r="CQ65" i="166" s="1"/>
  <c r="CG65" i="166"/>
  <c r="CB65" i="166"/>
  <c r="BW65" i="166"/>
  <c r="BR65" i="166"/>
  <c r="BM65" i="166"/>
  <c r="BH65" i="166"/>
  <c r="BC65" i="166"/>
  <c r="AX65" i="166"/>
  <c r="AS65" i="166"/>
  <c r="AN65" i="166"/>
  <c r="AI65" i="166"/>
  <c r="AD65" i="166"/>
  <c r="X65" i="166"/>
  <c r="CK65" i="166" s="1"/>
  <c r="W65" i="166"/>
  <c r="CJ65" i="166" s="1"/>
  <c r="CL65" i="166" s="1"/>
  <c r="S65" i="166"/>
  <c r="T65" i="166" s="1"/>
  <c r="R65" i="166"/>
  <c r="O65" i="166"/>
  <c r="J65" i="166"/>
  <c r="E65" i="166"/>
  <c r="CP64" i="166"/>
  <c r="CQ64" i="166" s="1"/>
  <c r="CG64" i="166"/>
  <c r="CB64" i="166"/>
  <c r="BW64" i="166"/>
  <c r="BR64" i="166"/>
  <c r="BM64" i="166"/>
  <c r="BH64" i="166"/>
  <c r="BC64" i="166"/>
  <c r="AX64" i="166"/>
  <c r="AS64" i="166"/>
  <c r="AN64" i="166"/>
  <c r="AI64" i="166"/>
  <c r="AD64" i="166"/>
  <c r="X64" i="166"/>
  <c r="CK64" i="166" s="1"/>
  <c r="W64" i="166"/>
  <c r="CJ64" i="166" s="1"/>
  <c r="S64" i="166"/>
  <c r="R64" i="166"/>
  <c r="T64" i="166" s="1"/>
  <c r="O64" i="166"/>
  <c r="J64" i="166"/>
  <c r="E64" i="166"/>
  <c r="CP63" i="166"/>
  <c r="CQ63" i="166" s="1"/>
  <c r="CG63" i="166"/>
  <c r="CB63" i="166"/>
  <c r="BW63" i="166"/>
  <c r="BR63" i="166"/>
  <c r="BM63" i="166"/>
  <c r="BH63" i="166"/>
  <c r="BC63" i="166"/>
  <c r="AX63" i="166"/>
  <c r="AS63" i="166"/>
  <c r="AN63" i="166"/>
  <c r="AI63" i="166"/>
  <c r="AD63" i="166"/>
  <c r="X63" i="166"/>
  <c r="CK63" i="166" s="1"/>
  <c r="W63" i="166"/>
  <c r="CJ63" i="166" s="1"/>
  <c r="S63" i="166"/>
  <c r="R63" i="166"/>
  <c r="T63" i="166" s="1"/>
  <c r="O63" i="166"/>
  <c r="J63" i="166"/>
  <c r="E63" i="166"/>
  <c r="CP62" i="166"/>
  <c r="CQ62" i="166" s="1"/>
  <c r="CG62" i="166"/>
  <c r="CB62" i="166"/>
  <c r="BW62" i="166"/>
  <c r="BR62" i="166"/>
  <c r="BM62" i="166"/>
  <c r="BH62" i="166"/>
  <c r="BC62" i="166"/>
  <c r="AX62" i="166"/>
  <c r="AS62" i="166"/>
  <c r="AN62" i="166"/>
  <c r="AI62" i="166"/>
  <c r="AD62" i="166"/>
  <c r="X62" i="166"/>
  <c r="CK62" i="166" s="1"/>
  <c r="W62" i="166"/>
  <c r="CJ62" i="166" s="1"/>
  <c r="CL62" i="166" s="1"/>
  <c r="T62" i="166"/>
  <c r="S62" i="166"/>
  <c r="R62" i="166"/>
  <c r="O62" i="166"/>
  <c r="J62" i="166"/>
  <c r="E62" i="166"/>
  <c r="CP61" i="166"/>
  <c r="CQ61" i="166" s="1"/>
  <c r="CG61" i="166"/>
  <c r="CB61" i="166"/>
  <c r="BW61" i="166"/>
  <c r="BR61" i="166"/>
  <c r="BM61" i="166"/>
  <c r="BH61" i="166"/>
  <c r="BC61" i="166"/>
  <c r="AX61" i="166"/>
  <c r="AS61" i="166"/>
  <c r="AN61" i="166"/>
  <c r="AI61" i="166"/>
  <c r="AD61" i="166"/>
  <c r="X61" i="166"/>
  <c r="CK61" i="166" s="1"/>
  <c r="W61" i="166"/>
  <c r="CJ61" i="166" s="1"/>
  <c r="CL61" i="166" s="1"/>
  <c r="S61" i="166"/>
  <c r="R61" i="166"/>
  <c r="T61" i="166" s="1"/>
  <c r="O61" i="166"/>
  <c r="J61" i="166"/>
  <c r="E61" i="166"/>
  <c r="CP60" i="166"/>
  <c r="CQ60" i="166" s="1"/>
  <c r="CG60" i="166"/>
  <c r="CB60" i="166"/>
  <c r="BW60" i="166"/>
  <c r="BR60" i="166"/>
  <c r="BM60" i="166"/>
  <c r="BH60" i="166"/>
  <c r="BC60" i="166"/>
  <c r="AX60" i="166"/>
  <c r="AS60" i="166"/>
  <c r="AN60" i="166"/>
  <c r="AI60" i="166"/>
  <c r="AD60" i="166"/>
  <c r="X60" i="166"/>
  <c r="CK60" i="166" s="1"/>
  <c r="CL60" i="166" s="1"/>
  <c r="W60" i="166"/>
  <c r="CJ60" i="166" s="1"/>
  <c r="S60" i="166"/>
  <c r="R60" i="166"/>
  <c r="T60" i="166" s="1"/>
  <c r="O60" i="166"/>
  <c r="J60" i="166"/>
  <c r="E60" i="166"/>
  <c r="CP59" i="166"/>
  <c r="CQ59" i="166" s="1"/>
  <c r="CG59" i="166"/>
  <c r="CB59" i="166"/>
  <c r="BW59" i="166"/>
  <c r="BR59" i="166"/>
  <c r="BM59" i="166"/>
  <c r="BH59" i="166"/>
  <c r="BC59" i="166"/>
  <c r="AX59" i="166"/>
  <c r="AS59" i="166"/>
  <c r="AN59" i="166"/>
  <c r="AI59" i="166"/>
  <c r="AD59" i="166"/>
  <c r="X59" i="166"/>
  <c r="CK59" i="166" s="1"/>
  <c r="W59" i="166"/>
  <c r="CJ59" i="166" s="1"/>
  <c r="CL59" i="166" s="1"/>
  <c r="S59" i="166"/>
  <c r="T59" i="166" s="1"/>
  <c r="R59" i="166"/>
  <c r="O59" i="166"/>
  <c r="J59" i="166"/>
  <c r="E59" i="166"/>
  <c r="CP58" i="166"/>
  <c r="CQ58" i="166" s="1"/>
  <c r="CG58" i="166"/>
  <c r="CB58" i="166"/>
  <c r="BW58" i="166"/>
  <c r="BR58" i="166"/>
  <c r="BM58" i="166"/>
  <c r="BH58" i="166"/>
  <c r="BC58" i="166"/>
  <c r="AX58" i="166"/>
  <c r="AS58" i="166"/>
  <c r="AN58" i="166"/>
  <c r="AI58" i="166"/>
  <c r="AD58" i="166"/>
  <c r="X58" i="166"/>
  <c r="W58" i="166"/>
  <c r="CJ58" i="166" s="1"/>
  <c r="S58" i="166"/>
  <c r="R58" i="166"/>
  <c r="T58" i="166" s="1"/>
  <c r="O58" i="166"/>
  <c r="J58" i="166"/>
  <c r="E58" i="166"/>
  <c r="CP57" i="166"/>
  <c r="CQ57" i="166" s="1"/>
  <c r="CG57" i="166"/>
  <c r="CB57" i="166"/>
  <c r="BW57" i="166"/>
  <c r="BR57" i="166"/>
  <c r="BM57" i="166"/>
  <c r="BH57" i="166"/>
  <c r="BC57" i="166"/>
  <c r="AX57" i="166"/>
  <c r="AS57" i="166"/>
  <c r="AN57" i="166"/>
  <c r="AI57" i="166"/>
  <c r="AD57" i="166"/>
  <c r="X57" i="166"/>
  <c r="CK57" i="166" s="1"/>
  <c r="W57" i="166"/>
  <c r="S57" i="166"/>
  <c r="T57" i="166" s="1"/>
  <c r="R57" i="166"/>
  <c r="O57" i="166"/>
  <c r="J57" i="166"/>
  <c r="E57" i="166"/>
  <c r="CP56" i="166"/>
  <c r="CQ56" i="166" s="1"/>
  <c r="CG56" i="166"/>
  <c r="CB56" i="166"/>
  <c r="BW56" i="166"/>
  <c r="BR56" i="166"/>
  <c r="BM56" i="166"/>
  <c r="BH56" i="166"/>
  <c r="BC56" i="166"/>
  <c r="AX56" i="166"/>
  <c r="AS56" i="166"/>
  <c r="AN56" i="166"/>
  <c r="AI56" i="166"/>
  <c r="AD56" i="166"/>
  <c r="X56" i="166"/>
  <c r="CK56" i="166" s="1"/>
  <c r="W56" i="166"/>
  <c r="CJ56" i="166" s="1"/>
  <c r="CL56" i="166" s="1"/>
  <c r="S56" i="166"/>
  <c r="R56" i="166"/>
  <c r="O56" i="166"/>
  <c r="J56" i="166"/>
  <c r="E56" i="166"/>
  <c r="CP55" i="166"/>
  <c r="CG55" i="166"/>
  <c r="CB55" i="166"/>
  <c r="BW55" i="166"/>
  <c r="BR55" i="166"/>
  <c r="BM55" i="166"/>
  <c r="BH55" i="166"/>
  <c r="BC55" i="166"/>
  <c r="AX55" i="166"/>
  <c r="AS55" i="166"/>
  <c r="AN55" i="166"/>
  <c r="AI55" i="166"/>
  <c r="AD55" i="166"/>
  <c r="X55" i="166"/>
  <c r="CK55" i="166" s="1"/>
  <c r="W55" i="166"/>
  <c r="CJ55" i="166" s="1"/>
  <c r="CL55" i="166" s="1"/>
  <c r="S55" i="166"/>
  <c r="R55" i="166"/>
  <c r="T55" i="166" s="1"/>
  <c r="O55" i="166"/>
  <c r="J55" i="166"/>
  <c r="E55" i="166"/>
  <c r="CF54" i="166"/>
  <c r="CE54" i="166"/>
  <c r="CA54" i="166"/>
  <c r="BZ54" i="166"/>
  <c r="BV54" i="166"/>
  <c r="BU54" i="166"/>
  <c r="BQ54" i="166"/>
  <c r="BP54" i="166"/>
  <c r="BL54" i="166"/>
  <c r="BK54" i="166"/>
  <c r="BG54" i="166"/>
  <c r="BF54" i="166"/>
  <c r="BB54" i="166"/>
  <c r="BA54" i="166"/>
  <c r="AW54" i="166"/>
  <c r="AV54" i="166"/>
  <c r="AR54" i="166"/>
  <c r="AQ54" i="166"/>
  <c r="AM54" i="166"/>
  <c r="AL54" i="166"/>
  <c r="AH54" i="166"/>
  <c r="AG54" i="166"/>
  <c r="AC54" i="166"/>
  <c r="AB54" i="166"/>
  <c r="N54" i="166"/>
  <c r="M54" i="166"/>
  <c r="I54" i="166"/>
  <c r="H54" i="166"/>
  <c r="D54" i="166"/>
  <c r="C54" i="166"/>
  <c r="CK53" i="166"/>
  <c r="CJ53" i="166"/>
  <c r="CP52" i="166"/>
  <c r="CQ52" i="166" s="1"/>
  <c r="CG52" i="166"/>
  <c r="CB52" i="166"/>
  <c r="BW52" i="166"/>
  <c r="BW50" i="166" s="1"/>
  <c r="BR52" i="166"/>
  <c r="BR50" i="166" s="1"/>
  <c r="BM52" i="166"/>
  <c r="BH52" i="166"/>
  <c r="BC52" i="166"/>
  <c r="AX52" i="166"/>
  <c r="AS52" i="166"/>
  <c r="AN52" i="166"/>
  <c r="AI52" i="166"/>
  <c r="AI50" i="166" s="1"/>
  <c r="AD52" i="166"/>
  <c r="AD50" i="166" s="1"/>
  <c r="X52" i="166"/>
  <c r="CK52" i="166" s="1"/>
  <c r="W52" i="166"/>
  <c r="S52" i="166"/>
  <c r="R52" i="166"/>
  <c r="O52" i="166"/>
  <c r="J52" i="166"/>
  <c r="E52" i="166"/>
  <c r="E50" i="166" s="1"/>
  <c r="CP51" i="166"/>
  <c r="CQ51" i="166" s="1"/>
  <c r="CK51" i="166"/>
  <c r="CG51" i="166"/>
  <c r="CG50" i="166" s="1"/>
  <c r="CB51" i="166"/>
  <c r="BW51" i="166"/>
  <c r="BR51" i="166"/>
  <c r="BM51" i="166"/>
  <c r="BH51" i="166"/>
  <c r="BC51" i="166"/>
  <c r="AX51" i="166"/>
  <c r="AX50" i="166" s="1"/>
  <c r="AS51" i="166"/>
  <c r="AS50" i="166" s="1"/>
  <c r="AN51" i="166"/>
  <c r="AI51" i="166"/>
  <c r="AD51" i="166"/>
  <c r="X51" i="166"/>
  <c r="W51" i="166"/>
  <c r="S51" i="166"/>
  <c r="S50" i="166" s="1"/>
  <c r="R51" i="166"/>
  <c r="T51" i="166" s="1"/>
  <c r="O51" i="166"/>
  <c r="O50" i="166" s="1"/>
  <c r="J51" i="166"/>
  <c r="E51" i="166"/>
  <c r="CF50" i="166"/>
  <c r="CE50" i="166"/>
  <c r="CB50" i="166"/>
  <c r="CA50" i="166"/>
  <c r="BZ50" i="166"/>
  <c r="BV50" i="166"/>
  <c r="BU50" i="166"/>
  <c r="BQ50" i="166"/>
  <c r="BP50" i="166"/>
  <c r="BM50" i="166"/>
  <c r="BL50" i="166"/>
  <c r="BK50" i="166"/>
  <c r="BG50" i="166"/>
  <c r="BF50" i="166"/>
  <c r="BC50" i="166"/>
  <c r="BB50" i="166"/>
  <c r="BA50" i="166"/>
  <c r="AW50" i="166"/>
  <c r="AV50" i="166"/>
  <c r="AR50" i="166"/>
  <c r="AQ50" i="166"/>
  <c r="AN50" i="166"/>
  <c r="AM50" i="166"/>
  <c r="AL50" i="166"/>
  <c r="AH50" i="166"/>
  <c r="AG50" i="166"/>
  <c r="AC50" i="166"/>
  <c r="AB50" i="166"/>
  <c r="X50" i="166"/>
  <c r="N50" i="166"/>
  <c r="M50" i="166"/>
  <c r="J50" i="166"/>
  <c r="I50" i="166"/>
  <c r="H50" i="166"/>
  <c r="D50" i="166"/>
  <c r="C50" i="166"/>
  <c r="CP48" i="166"/>
  <c r="CQ48" i="166" s="1"/>
  <c r="CK48" i="166"/>
  <c r="CG48" i="166"/>
  <c r="CB48" i="166"/>
  <c r="BW48" i="166"/>
  <c r="BR48" i="166"/>
  <c r="BM48" i="166"/>
  <c r="BH48" i="166"/>
  <c r="BC48" i="166"/>
  <c r="AX48" i="166"/>
  <c r="AS48" i="166"/>
  <c r="AN48" i="166"/>
  <c r="AI48" i="166"/>
  <c r="AD48" i="166"/>
  <c r="X48" i="166"/>
  <c r="W48" i="166"/>
  <c r="S48" i="166"/>
  <c r="R48" i="166"/>
  <c r="O48" i="166"/>
  <c r="J48" i="166"/>
  <c r="E48" i="166"/>
  <c r="CP47" i="166"/>
  <c r="CQ47" i="166" s="1"/>
  <c r="CG47" i="166"/>
  <c r="CB47" i="166"/>
  <c r="BW47" i="166"/>
  <c r="BR47" i="166"/>
  <c r="BM47" i="166"/>
  <c r="BH47" i="166"/>
  <c r="BC47" i="166"/>
  <c r="AX47" i="166"/>
  <c r="AS47" i="166"/>
  <c r="AN47" i="166"/>
  <c r="AI47" i="166"/>
  <c r="AD47" i="166"/>
  <c r="X47" i="166"/>
  <c r="CK47" i="166" s="1"/>
  <c r="W47" i="166"/>
  <c r="Y47" i="166" s="1"/>
  <c r="S47" i="166"/>
  <c r="T47" i="166" s="1"/>
  <c r="R47" i="166"/>
  <c r="O47" i="166"/>
  <c r="J47" i="166"/>
  <c r="E47" i="166"/>
  <c r="CP46" i="166"/>
  <c r="CQ46" i="166" s="1"/>
  <c r="CK46" i="166"/>
  <c r="CG46" i="166"/>
  <c r="CB46" i="166"/>
  <c r="BW46" i="166"/>
  <c r="BR46" i="166"/>
  <c r="BM46" i="166"/>
  <c r="BH46" i="166"/>
  <c r="BC46" i="166"/>
  <c r="AX46" i="166"/>
  <c r="AS46" i="166"/>
  <c r="AN46" i="166"/>
  <c r="AI46" i="166"/>
  <c r="AD46" i="166"/>
  <c r="X46" i="166"/>
  <c r="W46" i="166"/>
  <c r="Y46" i="166" s="1"/>
  <c r="S46" i="166"/>
  <c r="T46" i="166" s="1"/>
  <c r="R46" i="166"/>
  <c r="O46" i="166"/>
  <c r="J46" i="166"/>
  <c r="E46" i="166"/>
  <c r="CP45" i="166"/>
  <c r="CQ45" i="166" s="1"/>
  <c r="CK45" i="166"/>
  <c r="CJ45" i="166"/>
  <c r="CL45" i="166" s="1"/>
  <c r="CG45" i="166"/>
  <c r="CB45" i="166"/>
  <c r="BW45" i="166"/>
  <c r="BR45" i="166"/>
  <c r="BM45" i="166"/>
  <c r="BH45" i="166"/>
  <c r="BC45" i="166"/>
  <c r="AX45" i="166"/>
  <c r="AS45" i="166"/>
  <c r="AN45" i="166"/>
  <c r="AI45" i="166"/>
  <c r="AD45" i="166"/>
  <c r="X45" i="166"/>
  <c r="W45" i="166"/>
  <c r="Y45" i="166" s="1"/>
  <c r="S45" i="166"/>
  <c r="R45" i="166"/>
  <c r="T45" i="166" s="1"/>
  <c r="O45" i="166"/>
  <c r="J45" i="166"/>
  <c r="E45" i="166"/>
  <c r="CP44" i="166"/>
  <c r="CQ44" i="166" s="1"/>
  <c r="CK44" i="166"/>
  <c r="CG44" i="166"/>
  <c r="CB44" i="166"/>
  <c r="BW44" i="166"/>
  <c r="BR44" i="166"/>
  <c r="BM44" i="166"/>
  <c r="BH44" i="166"/>
  <c r="BC44" i="166"/>
  <c r="AX44" i="166"/>
  <c r="AS44" i="166"/>
  <c r="AN44" i="166"/>
  <c r="AN41" i="166" s="1"/>
  <c r="AI44" i="166"/>
  <c r="AD44" i="166"/>
  <c r="X44" i="166"/>
  <c r="W44" i="166"/>
  <c r="S44" i="166"/>
  <c r="R44" i="166"/>
  <c r="T44" i="166" s="1"/>
  <c r="O44" i="166"/>
  <c r="J44" i="166"/>
  <c r="E44" i="166"/>
  <c r="CP43" i="166"/>
  <c r="CQ43" i="166" s="1"/>
  <c r="CG43" i="166"/>
  <c r="CB43" i="166"/>
  <c r="BW43" i="166"/>
  <c r="BR43" i="166"/>
  <c r="BR41" i="166" s="1"/>
  <c r="BM43" i="166"/>
  <c r="BH43" i="166"/>
  <c r="BC43" i="166"/>
  <c r="AX43" i="166"/>
  <c r="AS43" i="166"/>
  <c r="AN43" i="166"/>
  <c r="AI43" i="166"/>
  <c r="AD43" i="166"/>
  <c r="X43" i="166"/>
  <c r="CK43" i="166" s="1"/>
  <c r="W43" i="166"/>
  <c r="Y43" i="166" s="1"/>
  <c r="T43" i="166"/>
  <c r="S43" i="166"/>
  <c r="R43" i="166"/>
  <c r="O43" i="166"/>
  <c r="J43" i="166"/>
  <c r="E43" i="166"/>
  <c r="CP42" i="166"/>
  <c r="CQ42" i="166" s="1"/>
  <c r="CK42" i="166"/>
  <c r="CJ42" i="166"/>
  <c r="CG42" i="166"/>
  <c r="CB42" i="166"/>
  <c r="BW42" i="166"/>
  <c r="BR42" i="166"/>
  <c r="BM42" i="166"/>
  <c r="BH42" i="166"/>
  <c r="BC42" i="166"/>
  <c r="AX42" i="166"/>
  <c r="AX41" i="166" s="1"/>
  <c r="AS42" i="166"/>
  <c r="AN42" i="166"/>
  <c r="AI42" i="166"/>
  <c r="AD42" i="166"/>
  <c r="X42" i="166"/>
  <c r="X41" i="166" s="1"/>
  <c r="W42" i="166"/>
  <c r="S42" i="166"/>
  <c r="R42" i="166"/>
  <c r="O42" i="166"/>
  <c r="J42" i="166"/>
  <c r="E42" i="166"/>
  <c r="CF41" i="166"/>
  <c r="CE41" i="166"/>
  <c r="CA41" i="166"/>
  <c r="BZ41" i="166"/>
  <c r="BV41" i="166"/>
  <c r="BU41" i="166"/>
  <c r="BQ41" i="166"/>
  <c r="BP41" i="166"/>
  <c r="BL41" i="166"/>
  <c r="BK41" i="166"/>
  <c r="BG41" i="166"/>
  <c r="BF41" i="166"/>
  <c r="BB41" i="166"/>
  <c r="BA41" i="166"/>
  <c r="AW41" i="166"/>
  <c r="AV41" i="166"/>
  <c r="AR41" i="166"/>
  <c r="AQ41" i="166"/>
  <c r="AM41" i="166"/>
  <c r="AL41" i="166"/>
  <c r="AH41" i="166"/>
  <c r="AG41" i="166"/>
  <c r="AC41" i="166"/>
  <c r="AB41" i="166"/>
  <c r="N41" i="166"/>
  <c r="M41" i="166"/>
  <c r="J41" i="166"/>
  <c r="I41" i="166"/>
  <c r="H41" i="166"/>
  <c r="D41" i="166"/>
  <c r="C41" i="166"/>
  <c r="X37" i="166"/>
  <c r="W37" i="166"/>
  <c r="CJ36" i="166"/>
  <c r="CG36" i="166"/>
  <c r="CB36" i="166"/>
  <c r="BW36" i="166"/>
  <c r="BR36" i="166"/>
  <c r="BM36" i="166"/>
  <c r="BH36" i="166"/>
  <c r="BC36" i="166"/>
  <c r="AX36" i="166"/>
  <c r="AX35" i="166" s="1"/>
  <c r="AS36" i="166"/>
  <c r="AN36" i="166"/>
  <c r="AI36" i="166"/>
  <c r="AI35" i="166" s="1"/>
  <c r="AD36" i="166"/>
  <c r="X36" i="166"/>
  <c r="W36" i="166"/>
  <c r="S36" i="166"/>
  <c r="S35" i="166" s="1"/>
  <c r="R36" i="166"/>
  <c r="T36" i="166" s="1"/>
  <c r="T35" i="166" s="1"/>
  <c r="O36" i="166"/>
  <c r="J36" i="166"/>
  <c r="E36" i="166"/>
  <c r="CP35" i="166"/>
  <c r="CF35" i="166"/>
  <c r="CE35" i="166"/>
  <c r="CB35" i="166"/>
  <c r="CA35" i="166"/>
  <c r="BZ35" i="166"/>
  <c r="BV35" i="166"/>
  <c r="BU35" i="166"/>
  <c r="BQ35" i="166"/>
  <c r="BP35" i="166"/>
  <c r="BM35" i="166"/>
  <c r="BL35" i="166"/>
  <c r="BK35" i="166"/>
  <c r="BG35" i="166"/>
  <c r="BF35" i="166"/>
  <c r="BB35" i="166"/>
  <c r="BA35" i="166"/>
  <c r="AW35" i="166"/>
  <c r="AV35" i="166"/>
  <c r="AR35" i="166"/>
  <c r="AQ35" i="166"/>
  <c r="AM35" i="166"/>
  <c r="AL35" i="166"/>
  <c r="AH35" i="166"/>
  <c r="AG35" i="166"/>
  <c r="AC35" i="166"/>
  <c r="AB35" i="166"/>
  <c r="W35" i="166"/>
  <c r="N35" i="166"/>
  <c r="M35" i="166"/>
  <c r="J35" i="166"/>
  <c r="I35" i="166"/>
  <c r="H35" i="166"/>
  <c r="D35" i="166"/>
  <c r="C35" i="166"/>
  <c r="CR33" i="166"/>
  <c r="CK33" i="166"/>
  <c r="CJ33" i="166"/>
  <c r="CL33" i="166" s="1"/>
  <c r="CG33" i="166"/>
  <c r="CB33" i="166"/>
  <c r="BW33" i="166"/>
  <c r="BR33" i="166"/>
  <c r="BM33" i="166"/>
  <c r="BH33" i="166"/>
  <c r="BC33" i="166"/>
  <c r="AX33" i="166"/>
  <c r="AS33" i="166"/>
  <c r="AN33" i="166"/>
  <c r="AI33" i="166"/>
  <c r="AD33" i="166"/>
  <c r="X33" i="166"/>
  <c r="W33" i="166"/>
  <c r="S33" i="166"/>
  <c r="R33" i="166"/>
  <c r="T33" i="166" s="1"/>
  <c r="O33" i="166"/>
  <c r="J33" i="166"/>
  <c r="E33" i="166"/>
  <c r="CJ32" i="166"/>
  <c r="CG32" i="166"/>
  <c r="CB32" i="166"/>
  <c r="BW32" i="166"/>
  <c r="BR32" i="166"/>
  <c r="BM32" i="166"/>
  <c r="BH32" i="166"/>
  <c r="BC32" i="166"/>
  <c r="AX32" i="166"/>
  <c r="AS32" i="166"/>
  <c r="AN32" i="166"/>
  <c r="AI32" i="166"/>
  <c r="AD32" i="166"/>
  <c r="X32" i="166"/>
  <c r="CK32" i="166" s="1"/>
  <c r="W32" i="166"/>
  <c r="Y32" i="166" s="1"/>
  <c r="S32" i="166"/>
  <c r="R32" i="166"/>
  <c r="T32" i="166" s="1"/>
  <c r="O32" i="166"/>
  <c r="J32" i="166"/>
  <c r="E32" i="166"/>
  <c r="CG31" i="166"/>
  <c r="CB31" i="166"/>
  <c r="BW31" i="166"/>
  <c r="BR31" i="166"/>
  <c r="BM31" i="166"/>
  <c r="BH31" i="166"/>
  <c r="BC31" i="166"/>
  <c r="AX31" i="166"/>
  <c r="AS31" i="166"/>
  <c r="AN31" i="166"/>
  <c r="AI31" i="166"/>
  <c r="AD31" i="166"/>
  <c r="X31" i="166"/>
  <c r="CK31" i="166" s="1"/>
  <c r="W31" i="166"/>
  <c r="CJ31" i="166" s="1"/>
  <c r="CL31" i="166" s="1"/>
  <c r="S31" i="166"/>
  <c r="R31" i="166"/>
  <c r="O31" i="166"/>
  <c r="J31" i="166"/>
  <c r="E31" i="166"/>
  <c r="CK30" i="166"/>
  <c r="CJ30" i="166"/>
  <c r="CL30" i="166" s="1"/>
  <c r="CG30" i="166"/>
  <c r="CB30" i="166"/>
  <c r="BW30" i="166"/>
  <c r="BR30" i="166"/>
  <c r="BM30" i="166"/>
  <c r="BH30" i="166"/>
  <c r="BC30" i="166"/>
  <c r="AX30" i="166"/>
  <c r="AS30" i="166"/>
  <c r="AN30" i="166"/>
  <c r="AI30" i="166"/>
  <c r="AD30" i="166"/>
  <c r="X30" i="166"/>
  <c r="W30" i="166"/>
  <c r="Y30" i="166" s="1"/>
  <c r="S30" i="166"/>
  <c r="R30" i="166"/>
  <c r="T30" i="166" s="1"/>
  <c r="O30" i="166"/>
  <c r="J30" i="166"/>
  <c r="E30" i="166"/>
  <c r="CK29" i="166"/>
  <c r="CJ29" i="166"/>
  <c r="CL29" i="166" s="1"/>
  <c r="CG29" i="166"/>
  <c r="CB29" i="166"/>
  <c r="BW29" i="166"/>
  <c r="BR29" i="166"/>
  <c r="BM29" i="166"/>
  <c r="BH29" i="166"/>
  <c r="BC29" i="166"/>
  <c r="AX29" i="166"/>
  <c r="AS29" i="166"/>
  <c r="AN29" i="166"/>
  <c r="AI29" i="166"/>
  <c r="AD29" i="166"/>
  <c r="X29" i="166"/>
  <c r="W29" i="166"/>
  <c r="S29" i="166"/>
  <c r="R29" i="166"/>
  <c r="T29" i="166" s="1"/>
  <c r="O29" i="166"/>
  <c r="J29" i="166"/>
  <c r="E29" i="166"/>
  <c r="CG28" i="166"/>
  <c r="CB28" i="166"/>
  <c r="BW28" i="166"/>
  <c r="BR28" i="166"/>
  <c r="BM28" i="166"/>
  <c r="BH28" i="166"/>
  <c r="BC28" i="166"/>
  <c r="AX28" i="166"/>
  <c r="AS28" i="166"/>
  <c r="AN28" i="166"/>
  <c r="AI28" i="166"/>
  <c r="AD28" i="166"/>
  <c r="X28" i="166"/>
  <c r="CK28" i="166" s="1"/>
  <c r="W28" i="166"/>
  <c r="S28" i="166"/>
  <c r="T28" i="166" s="1"/>
  <c r="R28" i="166"/>
  <c r="O28" i="166"/>
  <c r="J28" i="166"/>
  <c r="E28" i="166"/>
  <c r="CK27" i="166"/>
  <c r="CG27" i="166"/>
  <c r="CB27" i="166"/>
  <c r="BW27" i="166"/>
  <c r="BR27" i="166"/>
  <c r="BM27" i="166"/>
  <c r="BH27" i="166"/>
  <c r="BC27" i="166"/>
  <c r="AX27" i="166"/>
  <c r="AS27" i="166"/>
  <c r="AN27" i="166"/>
  <c r="AI27" i="166"/>
  <c r="AD27" i="166"/>
  <c r="X27" i="166"/>
  <c r="W27" i="166"/>
  <c r="Y27" i="166" s="1"/>
  <c r="T27" i="166"/>
  <c r="S27" i="166"/>
  <c r="R27" i="166"/>
  <c r="O27" i="166"/>
  <c r="J27" i="166"/>
  <c r="E27" i="166"/>
  <c r="CR26" i="166"/>
  <c r="CK26" i="166"/>
  <c r="CJ26" i="166"/>
  <c r="CG26" i="166"/>
  <c r="CB26" i="166"/>
  <c r="BW26" i="166"/>
  <c r="BR26" i="166"/>
  <c r="BM26" i="166"/>
  <c r="BH26" i="166"/>
  <c r="BC26" i="166"/>
  <c r="AX26" i="166"/>
  <c r="AS26" i="166"/>
  <c r="AN26" i="166"/>
  <c r="AI26" i="166"/>
  <c r="AD26" i="166"/>
  <c r="X26" i="166"/>
  <c r="W26" i="166"/>
  <c r="Y26" i="166" s="1"/>
  <c r="S26" i="166"/>
  <c r="T26" i="166" s="1"/>
  <c r="R26" i="166"/>
  <c r="O26" i="166"/>
  <c r="J26" i="166"/>
  <c r="E26" i="166"/>
  <c r="CR25" i="166"/>
  <c r="CJ25" i="166"/>
  <c r="CG25" i="166"/>
  <c r="CB25" i="166"/>
  <c r="BW25" i="166"/>
  <c r="BR25" i="166"/>
  <c r="BM25" i="166"/>
  <c r="BH25" i="166"/>
  <c r="BC25" i="166"/>
  <c r="AX25" i="166"/>
  <c r="AS25" i="166"/>
  <c r="AN25" i="166"/>
  <c r="AI25" i="166"/>
  <c r="AD25" i="166"/>
  <c r="X25" i="166"/>
  <c r="CK25" i="166" s="1"/>
  <c r="W25" i="166"/>
  <c r="Y25" i="166" s="1"/>
  <c r="S25" i="166"/>
  <c r="R25" i="166"/>
  <c r="T25" i="166" s="1"/>
  <c r="O25" i="166"/>
  <c r="J25" i="166"/>
  <c r="E25" i="166"/>
  <c r="CG24" i="166"/>
  <c r="CB24" i="166"/>
  <c r="BW24" i="166"/>
  <c r="BR24" i="166"/>
  <c r="BM24" i="166"/>
  <c r="BH24" i="166"/>
  <c r="BC24" i="166"/>
  <c r="AX24" i="166"/>
  <c r="AS24" i="166"/>
  <c r="AN24" i="166"/>
  <c r="AI24" i="166"/>
  <c r="AD24" i="166"/>
  <c r="X24" i="166"/>
  <c r="CK24" i="166" s="1"/>
  <c r="W24" i="166"/>
  <c r="CJ24" i="166" s="1"/>
  <c r="CL24" i="166" s="1"/>
  <c r="CQ24" i="166" s="1"/>
  <c r="CR24" i="166" s="1"/>
  <c r="S24" i="166"/>
  <c r="R24" i="166"/>
  <c r="O24" i="166"/>
  <c r="J24" i="166"/>
  <c r="E24" i="166"/>
  <c r="CJ23" i="166"/>
  <c r="CG23" i="166"/>
  <c r="CB23" i="166"/>
  <c r="BW23" i="166"/>
  <c r="BR23" i="166"/>
  <c r="BM23" i="166"/>
  <c r="BH23" i="166"/>
  <c r="BC23" i="166"/>
  <c r="AX23" i="166"/>
  <c r="AS23" i="166"/>
  <c r="AN23" i="166"/>
  <c r="AI23" i="166"/>
  <c r="AD23" i="166"/>
  <c r="X23" i="166"/>
  <c r="CK23" i="166" s="1"/>
  <c r="W23" i="166"/>
  <c r="S23" i="166"/>
  <c r="R23" i="166"/>
  <c r="T23" i="166" s="1"/>
  <c r="O23" i="166"/>
  <c r="J23" i="166"/>
  <c r="E23" i="166"/>
  <c r="CJ22" i="166"/>
  <c r="CG22" i="166"/>
  <c r="CB22" i="166"/>
  <c r="BW22" i="166"/>
  <c r="BR22" i="166"/>
  <c r="BM22" i="166"/>
  <c r="BH22" i="166"/>
  <c r="BC22" i="166"/>
  <c r="AX22" i="166"/>
  <c r="AS22" i="166"/>
  <c r="AN22" i="166"/>
  <c r="AI22" i="166"/>
  <c r="AD22" i="166"/>
  <c r="Y22" i="166"/>
  <c r="X22" i="166"/>
  <c r="CK22" i="166" s="1"/>
  <c r="CL22" i="166" s="1"/>
  <c r="W22" i="166"/>
  <c r="S22" i="166"/>
  <c r="R22" i="166"/>
  <c r="O22" i="166"/>
  <c r="J22" i="166"/>
  <c r="E22" i="166"/>
  <c r="CG21" i="166"/>
  <c r="CB21" i="166"/>
  <c r="BW21" i="166"/>
  <c r="BR21" i="166"/>
  <c r="BM21" i="166"/>
  <c r="BH21" i="166"/>
  <c r="BC21" i="166"/>
  <c r="AX21" i="166"/>
  <c r="AS21" i="166"/>
  <c r="AN21" i="166"/>
  <c r="AI21" i="166"/>
  <c r="AD21" i="166"/>
  <c r="X21" i="166"/>
  <c r="W21" i="166"/>
  <c r="CJ21" i="166" s="1"/>
  <c r="S21" i="166"/>
  <c r="T21" i="166" s="1"/>
  <c r="R21" i="166"/>
  <c r="O21" i="166"/>
  <c r="J21" i="166"/>
  <c r="E21" i="166"/>
  <c r="CK20" i="166"/>
  <c r="CJ20" i="166"/>
  <c r="CG20" i="166"/>
  <c r="CB20" i="166"/>
  <c r="BW20" i="166"/>
  <c r="BR20" i="166"/>
  <c r="BM20" i="166"/>
  <c r="BH20" i="166"/>
  <c r="BC20" i="166"/>
  <c r="AX20" i="166"/>
  <c r="AS20" i="166"/>
  <c r="AN20" i="166"/>
  <c r="AI20" i="166"/>
  <c r="AD20" i="166"/>
  <c r="X20" i="166"/>
  <c r="W20" i="166"/>
  <c r="Y20" i="166" s="1"/>
  <c r="T20" i="166"/>
  <c r="S20" i="166"/>
  <c r="R20" i="166"/>
  <c r="O20" i="166"/>
  <c r="J20" i="166"/>
  <c r="E20" i="166"/>
  <c r="CK19" i="166"/>
  <c r="CJ19" i="166"/>
  <c r="CG19" i="166"/>
  <c r="CB19" i="166"/>
  <c r="BW19" i="166"/>
  <c r="BR19" i="166"/>
  <c r="BM19" i="166"/>
  <c r="BH19" i="166"/>
  <c r="BC19" i="166"/>
  <c r="AX19" i="166"/>
  <c r="AS19" i="166"/>
  <c r="AN19" i="166"/>
  <c r="AI19" i="166"/>
  <c r="AD19" i="166"/>
  <c r="X19" i="166"/>
  <c r="W19" i="166"/>
  <c r="S19" i="166"/>
  <c r="R19" i="166"/>
  <c r="T19" i="166" s="1"/>
  <c r="O19" i="166"/>
  <c r="J19" i="166"/>
  <c r="E19" i="166"/>
  <c r="CJ18" i="166"/>
  <c r="CG18" i="166"/>
  <c r="CB18" i="166"/>
  <c r="BW18" i="166"/>
  <c r="BR18" i="166"/>
  <c r="BM18" i="166"/>
  <c r="BH18" i="166"/>
  <c r="BC18" i="166"/>
  <c r="AX18" i="166"/>
  <c r="AS18" i="166"/>
  <c r="AN18" i="166"/>
  <c r="AI18" i="166"/>
  <c r="AD18" i="166"/>
  <c r="X18" i="166"/>
  <c r="W18" i="166"/>
  <c r="S18" i="166"/>
  <c r="R18" i="166"/>
  <c r="T18" i="166" s="1"/>
  <c r="O18" i="166"/>
  <c r="J18" i="166"/>
  <c r="E18" i="166"/>
  <c r="CG17" i="166"/>
  <c r="CB17" i="166"/>
  <c r="BW17" i="166"/>
  <c r="BR17" i="166"/>
  <c r="BM17" i="166"/>
  <c r="BH17" i="166"/>
  <c r="BC17" i="166"/>
  <c r="AX17" i="166"/>
  <c r="AS17" i="166"/>
  <c r="AN17" i="166"/>
  <c r="AI17" i="166"/>
  <c r="AD17" i="166"/>
  <c r="X17" i="166"/>
  <c r="W17" i="166"/>
  <c r="CJ17" i="166" s="1"/>
  <c r="T17" i="166"/>
  <c r="S17" i="166"/>
  <c r="R17" i="166"/>
  <c r="O17" i="166"/>
  <c r="J17" i="166"/>
  <c r="E17" i="166"/>
  <c r="CK16" i="166"/>
  <c r="CJ16" i="166"/>
  <c r="CG16" i="166"/>
  <c r="CB16" i="166"/>
  <c r="BW16" i="166"/>
  <c r="BR16" i="166"/>
  <c r="BM16" i="166"/>
  <c r="BH16" i="166"/>
  <c r="BC16" i="166"/>
  <c r="AX16" i="166"/>
  <c r="AS16" i="166"/>
  <c r="AN16" i="166"/>
  <c r="AI16" i="166"/>
  <c r="AD16" i="166"/>
  <c r="X16" i="166"/>
  <c r="W16" i="166"/>
  <c r="S16" i="166"/>
  <c r="R16" i="166"/>
  <c r="T16" i="166" s="1"/>
  <c r="O16" i="166"/>
  <c r="J16" i="166"/>
  <c r="E16" i="166"/>
  <c r="CJ15" i="166"/>
  <c r="CG15" i="166"/>
  <c r="CB15" i="166"/>
  <c r="BW15" i="166"/>
  <c r="BR15" i="166"/>
  <c r="BM15" i="166"/>
  <c r="BH15" i="166"/>
  <c r="BC15" i="166"/>
  <c r="AX15" i="166"/>
  <c r="AS15" i="166"/>
  <c r="AN15" i="166"/>
  <c r="AI15" i="166"/>
  <c r="AD15" i="166"/>
  <c r="X15" i="166"/>
  <c r="W15" i="166"/>
  <c r="S15" i="166"/>
  <c r="R15" i="166"/>
  <c r="T15" i="166" s="1"/>
  <c r="O15" i="166"/>
  <c r="J15" i="166"/>
  <c r="E15" i="166"/>
  <c r="CG14" i="166"/>
  <c r="CB14" i="166"/>
  <c r="BW14" i="166"/>
  <c r="BR14" i="166"/>
  <c r="BM14" i="166"/>
  <c r="BH14" i="166"/>
  <c r="BC14" i="166"/>
  <c r="AX14" i="166"/>
  <c r="AS14" i="166"/>
  <c r="AN14" i="166"/>
  <c r="AI14" i="166"/>
  <c r="AD14" i="166"/>
  <c r="X14" i="166"/>
  <c r="W14" i="166"/>
  <c r="CJ14" i="166" s="1"/>
  <c r="T14" i="166"/>
  <c r="S14" i="166"/>
  <c r="R14" i="166"/>
  <c r="O14" i="166"/>
  <c r="J14" i="166"/>
  <c r="E14" i="166"/>
  <c r="CJ13" i="166"/>
  <c r="CG13" i="166"/>
  <c r="CB13" i="166"/>
  <c r="BW13" i="166"/>
  <c r="BR13" i="166"/>
  <c r="BM13" i="166"/>
  <c r="BH13" i="166"/>
  <c r="BC13" i="166"/>
  <c r="AX13" i="166"/>
  <c r="AS13" i="166"/>
  <c r="AN13" i="166"/>
  <c r="AI13" i="166"/>
  <c r="AD13" i="166"/>
  <c r="X13" i="166"/>
  <c r="W13" i="166"/>
  <c r="S13" i="166"/>
  <c r="R13" i="166"/>
  <c r="T13" i="166" s="1"/>
  <c r="O13" i="166"/>
  <c r="J13" i="166"/>
  <c r="E13" i="166"/>
  <c r="CJ12" i="166"/>
  <c r="CG12" i="166"/>
  <c r="CB12" i="166"/>
  <c r="BW12" i="166"/>
  <c r="BR12" i="166"/>
  <c r="BR8" i="166" s="1"/>
  <c r="BM12" i="166"/>
  <c r="BH12" i="166"/>
  <c r="BC12" i="166"/>
  <c r="AX12" i="166"/>
  <c r="AS12" i="166"/>
  <c r="AN12" i="166"/>
  <c r="AI12" i="166"/>
  <c r="AD12" i="166"/>
  <c r="X12" i="166"/>
  <c r="Y12" i="166" s="1"/>
  <c r="W12" i="166"/>
  <c r="S12" i="166"/>
  <c r="R12" i="166"/>
  <c r="T12" i="166" s="1"/>
  <c r="O12" i="166"/>
  <c r="J12" i="166"/>
  <c r="E12" i="166"/>
  <c r="CG11" i="166"/>
  <c r="CB11" i="166"/>
  <c r="BW11" i="166"/>
  <c r="BR11" i="166"/>
  <c r="BM11" i="166"/>
  <c r="BH11" i="166"/>
  <c r="BC11" i="166"/>
  <c r="AX11" i="166"/>
  <c r="AS11" i="166"/>
  <c r="AN11" i="166"/>
  <c r="AI11" i="166"/>
  <c r="AD11" i="166"/>
  <c r="X11" i="166"/>
  <c r="W11" i="166"/>
  <c r="CJ11" i="166" s="1"/>
  <c r="S11" i="166"/>
  <c r="T11" i="166" s="1"/>
  <c r="R11" i="166"/>
  <c r="O11" i="166"/>
  <c r="J11" i="166"/>
  <c r="E11" i="166"/>
  <c r="CJ10" i="166"/>
  <c r="CG10" i="166"/>
  <c r="CB10" i="166"/>
  <c r="BW10" i="166"/>
  <c r="BR10" i="166"/>
  <c r="BM10" i="166"/>
  <c r="BH10" i="166"/>
  <c r="BC10" i="166"/>
  <c r="AX10" i="166"/>
  <c r="AS10" i="166"/>
  <c r="AN10" i="166"/>
  <c r="AI10" i="166"/>
  <c r="AD10" i="166"/>
  <c r="X10" i="166"/>
  <c r="Y10" i="166" s="1"/>
  <c r="W10" i="166"/>
  <c r="S10" i="166"/>
  <c r="R10" i="166"/>
  <c r="T10" i="166" s="1"/>
  <c r="O10" i="166"/>
  <c r="J10" i="166"/>
  <c r="E10" i="166"/>
  <c r="CG9" i="166"/>
  <c r="CB9" i="166"/>
  <c r="BW9" i="166"/>
  <c r="BR9" i="166"/>
  <c r="BM9" i="166"/>
  <c r="BH9" i="166"/>
  <c r="BC9" i="166"/>
  <c r="AX9" i="166"/>
  <c r="AS9" i="166"/>
  <c r="AN9" i="166"/>
  <c r="AI9" i="166"/>
  <c r="AD9" i="166"/>
  <c r="X9" i="166"/>
  <c r="W9" i="166"/>
  <c r="CJ9" i="166" s="1"/>
  <c r="S9" i="166"/>
  <c r="R9" i="166"/>
  <c r="T9" i="166" s="1"/>
  <c r="O9" i="166"/>
  <c r="J9" i="166"/>
  <c r="E9" i="166"/>
  <c r="CP8" i="166"/>
  <c r="CF8" i="166"/>
  <c r="CE8" i="166"/>
  <c r="CA8" i="166"/>
  <c r="BZ8" i="166"/>
  <c r="BV8" i="166"/>
  <c r="BU8" i="166"/>
  <c r="BQ8" i="166"/>
  <c r="BP8" i="166"/>
  <c r="BL8" i="166"/>
  <c r="BK8" i="166"/>
  <c r="BG8" i="166"/>
  <c r="BF8" i="166"/>
  <c r="BB8" i="166"/>
  <c r="BA8" i="166"/>
  <c r="AW8" i="166"/>
  <c r="AV8" i="166"/>
  <c r="AR8" i="166"/>
  <c r="AQ8" i="166"/>
  <c r="AM8" i="166"/>
  <c r="AL8" i="166"/>
  <c r="AH8" i="166"/>
  <c r="AG8" i="166"/>
  <c r="AC8" i="166"/>
  <c r="AB8" i="166"/>
  <c r="N8" i="166"/>
  <c r="M8" i="166"/>
  <c r="I8" i="166"/>
  <c r="H8" i="166"/>
  <c r="D8" i="166"/>
  <c r="C8" i="166"/>
  <c r="CG7" i="166"/>
  <c r="CB7" i="166"/>
  <c r="BW7" i="166"/>
  <c r="BR7" i="166"/>
  <c r="BR5" i="166" s="1"/>
  <c r="BM7" i="166"/>
  <c r="BH7" i="166"/>
  <c r="BC7" i="166"/>
  <c r="AX7" i="166"/>
  <c r="AS7" i="166"/>
  <c r="AN7" i="166"/>
  <c r="AN5" i="166" s="1"/>
  <c r="AI7" i="166"/>
  <c r="AD7" i="166"/>
  <c r="X7" i="166"/>
  <c r="W7" i="166"/>
  <c r="CJ7" i="166" s="1"/>
  <c r="T7" i="166"/>
  <c r="S7" i="166"/>
  <c r="R7" i="166"/>
  <c r="O7" i="166"/>
  <c r="J7" i="166"/>
  <c r="E7" i="166"/>
  <c r="CR6" i="166"/>
  <c r="CR5" i="166" s="1"/>
  <c r="CG6" i="166"/>
  <c r="CB6" i="166"/>
  <c r="CB5" i="166" s="1"/>
  <c r="BW6" i="166"/>
  <c r="BR6" i="166"/>
  <c r="BM6" i="166"/>
  <c r="BH6" i="166"/>
  <c r="BC6" i="166"/>
  <c r="AX6" i="166"/>
  <c r="AX5" i="166" s="1"/>
  <c r="AS6" i="166"/>
  <c r="AS5" i="166" s="1"/>
  <c r="AN6" i="166"/>
  <c r="AI6" i="166"/>
  <c r="AD6" i="166"/>
  <c r="X6" i="166"/>
  <c r="CK6" i="166" s="1"/>
  <c r="W6" i="166"/>
  <c r="S6" i="166"/>
  <c r="S5" i="166" s="1"/>
  <c r="R6" i="166"/>
  <c r="O6" i="166"/>
  <c r="J6" i="166"/>
  <c r="E6" i="166"/>
  <c r="CQ5" i="166"/>
  <c r="CP5" i="166"/>
  <c r="CK5" i="166"/>
  <c r="CF5" i="166"/>
  <c r="CF38" i="166" s="1"/>
  <c r="CE5" i="166"/>
  <c r="CE38" i="166" s="1"/>
  <c r="CA5" i="166"/>
  <c r="CA38" i="166" s="1"/>
  <c r="BZ5" i="166"/>
  <c r="BZ38" i="166" s="1"/>
  <c r="BV5" i="166"/>
  <c r="BU5" i="166"/>
  <c r="BU38" i="166" s="1"/>
  <c r="BQ5" i="166"/>
  <c r="BP5" i="166"/>
  <c r="BP38" i="166" s="1"/>
  <c r="BM5" i="166"/>
  <c r="BL5" i="166"/>
  <c r="BL38" i="166" s="1"/>
  <c r="BK5" i="166"/>
  <c r="BK38" i="166" s="1"/>
  <c r="BG5" i="166"/>
  <c r="BF5" i="166"/>
  <c r="BB5" i="166"/>
  <c r="BA5" i="166"/>
  <c r="AW5" i="166"/>
  <c r="AV5" i="166"/>
  <c r="AR5" i="166"/>
  <c r="AR38" i="166" s="1"/>
  <c r="AQ5" i="166"/>
  <c r="AQ38" i="166" s="1"/>
  <c r="AM5" i="166"/>
  <c r="AL5" i="166"/>
  <c r="AI5" i="166"/>
  <c r="AH5" i="166"/>
  <c r="AH38" i="166" s="1"/>
  <c r="AG5" i="166"/>
  <c r="AG38" i="166" s="1"/>
  <c r="AD5" i="166"/>
  <c r="AC5" i="166"/>
  <c r="AB5" i="166"/>
  <c r="AB38" i="166" s="1"/>
  <c r="O5" i="166"/>
  <c r="N5" i="166"/>
  <c r="N38" i="166" s="1"/>
  <c r="M5" i="166"/>
  <c r="I5" i="166"/>
  <c r="H5" i="166"/>
  <c r="D5" i="166"/>
  <c r="C5" i="166"/>
  <c r="R5" i="166" l="1"/>
  <c r="T6" i="166"/>
  <c r="CL32" i="166"/>
  <c r="CQ32" i="166" s="1"/>
  <c r="CR32" i="166" s="1"/>
  <c r="AD54" i="166"/>
  <c r="BR54" i="166"/>
  <c r="R54" i="166"/>
  <c r="T56" i="166"/>
  <c r="T54" i="166"/>
  <c r="CJ57" i="166"/>
  <c r="CJ54" i="166" s="1"/>
  <c r="W54" i="166"/>
  <c r="S54" i="166"/>
  <c r="CL66" i="166"/>
  <c r="X77" i="166"/>
  <c r="BH5" i="166"/>
  <c r="Y9" i="166"/>
  <c r="CK9" i="166"/>
  <c r="CL9" i="166" s="1"/>
  <c r="Y28" i="166"/>
  <c r="CJ28" i="166"/>
  <c r="CL28" i="166" s="1"/>
  <c r="CB54" i="166"/>
  <c r="BH54" i="166"/>
  <c r="CK67" i="166"/>
  <c r="CL67" i="166" s="1"/>
  <c r="Y67" i="166"/>
  <c r="S8" i="166"/>
  <c r="S38" i="166" s="1"/>
  <c r="S75" i="166" s="1"/>
  <c r="S81" i="166" s="1"/>
  <c r="S83" i="166" s="1"/>
  <c r="S84" i="166" s="1"/>
  <c r="S86" i="166" s="1"/>
  <c r="BC41" i="166"/>
  <c r="CK41" i="166"/>
  <c r="CK21" i="166"/>
  <c r="CL21" i="166" s="1"/>
  <c r="CQ21" i="166" s="1"/>
  <c r="CR21" i="166" s="1"/>
  <c r="Y21" i="166"/>
  <c r="BH41" i="166"/>
  <c r="O41" i="166"/>
  <c r="BH50" i="166"/>
  <c r="AX54" i="166"/>
  <c r="CL85" i="166"/>
  <c r="CL19" i="166"/>
  <c r="CQ19" i="166" s="1"/>
  <c r="CR19" i="166" s="1"/>
  <c r="AW38" i="166"/>
  <c r="AW75" i="166" s="1"/>
  <c r="T85" i="166"/>
  <c r="Y14" i="166"/>
  <c r="AL38" i="166"/>
  <c r="BF38" i="166"/>
  <c r="R8" i="166"/>
  <c r="Y16" i="166"/>
  <c r="Y19" i="166"/>
  <c r="T22" i="166"/>
  <c r="T8" i="166" s="1"/>
  <c r="CP41" i="166"/>
  <c r="CL20" i="166"/>
  <c r="S41" i="166"/>
  <c r="BA38" i="166"/>
  <c r="BA75" i="166" s="1"/>
  <c r="CL16" i="166"/>
  <c r="CQ16" i="166" s="1"/>
  <c r="CR16" i="166" s="1"/>
  <c r="X5" i="166"/>
  <c r="AM38" i="166"/>
  <c r="E5" i="166"/>
  <c r="CG5" i="166"/>
  <c r="CK12" i="166"/>
  <c r="CL12" i="166" s="1"/>
  <c r="Y13" i="166"/>
  <c r="T24" i="166"/>
  <c r="Y29" i="166"/>
  <c r="T31" i="166"/>
  <c r="Y33" i="166"/>
  <c r="CP50" i="166"/>
  <c r="CK66" i="166"/>
  <c r="CK78" i="166"/>
  <c r="CK77" i="166" s="1"/>
  <c r="CL26" i="166"/>
  <c r="BB38" i="166"/>
  <c r="BB75" i="166" s="1"/>
  <c r="BQ38" i="166"/>
  <c r="CP38" i="166"/>
  <c r="BW5" i="166"/>
  <c r="W8" i="166"/>
  <c r="R35" i="166"/>
  <c r="R50" i="166"/>
  <c r="I38" i="166"/>
  <c r="AC38" i="166"/>
  <c r="T5" i="166"/>
  <c r="BC5" i="166"/>
  <c r="CJ27" i="166"/>
  <c r="CL27" i="166" s="1"/>
  <c r="Y31" i="166"/>
  <c r="CJ46" i="166"/>
  <c r="CL46" i="166" s="1"/>
  <c r="CL63" i="166"/>
  <c r="CP77" i="166"/>
  <c r="CK7" i="166"/>
  <c r="CL7" i="166" s="1"/>
  <c r="Y7" i="166"/>
  <c r="AN8" i="166"/>
  <c r="J8" i="166"/>
  <c r="Y15" i="166"/>
  <c r="CK15" i="166"/>
  <c r="CL15" i="166" s="1"/>
  <c r="O8" i="166"/>
  <c r="CK10" i="166"/>
  <c r="CL10" i="166" s="1"/>
  <c r="AB75" i="166"/>
  <c r="AB39" i="166"/>
  <c r="AL75" i="166"/>
  <c r="AL39" i="166"/>
  <c r="BL39" i="166"/>
  <c r="BL75" i="166"/>
  <c r="BZ75" i="166"/>
  <c r="BZ39" i="166"/>
  <c r="BW38" i="166"/>
  <c r="Y17" i="166"/>
  <c r="CK17" i="166"/>
  <c r="CL17" i="166" s="1"/>
  <c r="AM75" i="166"/>
  <c r="AM39" i="166"/>
  <c r="I75" i="166"/>
  <c r="I39" i="166"/>
  <c r="BV38" i="166"/>
  <c r="BW8" i="166"/>
  <c r="Y18" i="166"/>
  <c r="CK18" i="166"/>
  <c r="CL18" i="166" s="1"/>
  <c r="O38" i="166"/>
  <c r="BF75" i="166"/>
  <c r="BF39" i="166"/>
  <c r="BP75" i="166"/>
  <c r="BP39" i="166"/>
  <c r="CJ6" i="166"/>
  <c r="W5" i="166"/>
  <c r="W38" i="166" s="1"/>
  <c r="Y6" i="166"/>
  <c r="AI8" i="166"/>
  <c r="CK11" i="166"/>
  <c r="Y11" i="166"/>
  <c r="CQ12" i="166"/>
  <c r="CR12" i="166" s="1"/>
  <c r="AR39" i="166"/>
  <c r="AR75" i="166"/>
  <c r="CF75" i="166"/>
  <c r="CF39" i="166"/>
  <c r="J5" i="166"/>
  <c r="J38" i="166" s="1"/>
  <c r="BR38" i="166"/>
  <c r="AX8" i="166"/>
  <c r="AX38" i="166" s="1"/>
  <c r="E35" i="166"/>
  <c r="CK36" i="166"/>
  <c r="CK35" i="166" s="1"/>
  <c r="X35" i="166"/>
  <c r="BC35" i="166"/>
  <c r="CG35" i="166"/>
  <c r="AH39" i="166"/>
  <c r="AH75" i="166"/>
  <c r="AV38" i="166"/>
  <c r="CG8" i="166"/>
  <c r="AD8" i="166"/>
  <c r="AD38" i="166" s="1"/>
  <c r="CQ29" i="166"/>
  <c r="CR29" i="166" s="1"/>
  <c r="D38" i="166"/>
  <c r="N39" i="166"/>
  <c r="N75" i="166"/>
  <c r="E8" i="166"/>
  <c r="E38" i="166" s="1"/>
  <c r="X8" i="166"/>
  <c r="X38" i="166" s="1"/>
  <c r="BH8" i="166"/>
  <c r="BC8" i="166"/>
  <c r="CK13" i="166"/>
  <c r="CL13" i="166" s="1"/>
  <c r="Y36" i="166"/>
  <c r="Y35" i="166" s="1"/>
  <c r="H38" i="166"/>
  <c r="AC75" i="166"/>
  <c r="AC39" i="166"/>
  <c r="BG38" i="166"/>
  <c r="BQ75" i="166"/>
  <c r="BQ39" i="166"/>
  <c r="CA75" i="166"/>
  <c r="CA39" i="166"/>
  <c r="CL42" i="166"/>
  <c r="CK58" i="166"/>
  <c r="CK54" i="166" s="1"/>
  <c r="X54" i="166"/>
  <c r="BH38" i="166"/>
  <c r="CQ31" i="166"/>
  <c r="CR31" i="166" s="1"/>
  <c r="BU75" i="166"/>
  <c r="BU39" i="166"/>
  <c r="Y44" i="166"/>
  <c r="CJ44" i="166"/>
  <c r="CL44" i="166" s="1"/>
  <c r="Y48" i="166"/>
  <c r="CJ48" i="166"/>
  <c r="CL48" i="166" s="1"/>
  <c r="CP39" i="166"/>
  <c r="CB8" i="166"/>
  <c r="AS8" i="166"/>
  <c r="AS38" i="166" s="1"/>
  <c r="CK14" i="166"/>
  <c r="CL14" i="166" s="1"/>
  <c r="Y23" i="166"/>
  <c r="CQ28" i="166"/>
  <c r="CR28" i="166" s="1"/>
  <c r="CQ30" i="166"/>
  <c r="CR30" i="166" s="1"/>
  <c r="T42" i="166"/>
  <c r="CJ52" i="166"/>
  <c r="Y52" i="166"/>
  <c r="W50" i="166"/>
  <c r="CQ20" i="166"/>
  <c r="CR20" i="166" s="1"/>
  <c r="CQ22" i="166"/>
  <c r="CQ27" i="166"/>
  <c r="CR27" i="166" s="1"/>
  <c r="AS35" i="166"/>
  <c r="BW35" i="166"/>
  <c r="AI41" i="166"/>
  <c r="T48" i="166"/>
  <c r="AI54" i="166"/>
  <c r="BM54" i="166"/>
  <c r="CL64" i="166"/>
  <c r="CL23" i="166"/>
  <c r="CL25" i="166"/>
  <c r="AD35" i="166"/>
  <c r="BH35" i="166"/>
  <c r="CL36" i="166"/>
  <c r="Y42" i="166"/>
  <c r="W41" i="166"/>
  <c r="C38" i="166"/>
  <c r="M38" i="166"/>
  <c r="AG75" i="166"/>
  <c r="AG39" i="166"/>
  <c r="AQ75" i="166"/>
  <c r="AQ39" i="166"/>
  <c r="BK75" i="166"/>
  <c r="BK39" i="166"/>
  <c r="CE75" i="166"/>
  <c r="CE39" i="166"/>
  <c r="BM8" i="166"/>
  <c r="Y24" i="166"/>
  <c r="O35" i="166"/>
  <c r="AD41" i="166"/>
  <c r="E41" i="166"/>
  <c r="J54" i="166"/>
  <c r="BC54" i="166"/>
  <c r="CG54" i="166"/>
  <c r="E54" i="166"/>
  <c r="CJ35" i="166"/>
  <c r="AN35" i="166"/>
  <c r="BR35" i="166"/>
  <c r="CQ55" i="166"/>
  <c r="CQ54" i="166" s="1"/>
  <c r="CP54" i="166"/>
  <c r="CP75" i="166" s="1"/>
  <c r="R41" i="166"/>
  <c r="BW41" i="166"/>
  <c r="CJ47" i="166"/>
  <c r="CL47" i="166" s="1"/>
  <c r="AS54" i="166"/>
  <c r="BW54" i="166"/>
  <c r="AS41" i="166"/>
  <c r="CB41" i="166"/>
  <c r="BM41" i="166"/>
  <c r="CQ41" i="166"/>
  <c r="CJ51" i="166"/>
  <c r="CL51" i="166" s="1"/>
  <c r="Y51" i="166"/>
  <c r="CQ50" i="166"/>
  <c r="T52" i="166"/>
  <c r="T50" i="166" s="1"/>
  <c r="CK50" i="166"/>
  <c r="AN54" i="166"/>
  <c r="T78" i="166"/>
  <c r="CJ43" i="166"/>
  <c r="CL43" i="166" s="1"/>
  <c r="CJ73" i="166"/>
  <c r="CL74" i="166"/>
  <c r="CL73" i="166" s="1"/>
  <c r="Y55" i="166"/>
  <c r="Y56" i="166"/>
  <c r="Y57" i="166"/>
  <c r="Y58" i="166"/>
  <c r="Y59" i="166"/>
  <c r="Y60" i="166"/>
  <c r="Y61" i="166"/>
  <c r="Y62" i="166"/>
  <c r="Y63" i="166"/>
  <c r="Y64" i="166"/>
  <c r="Y65" i="166"/>
  <c r="CG41" i="166"/>
  <c r="O73" i="166"/>
  <c r="AW39" i="166" l="1"/>
  <c r="Y5" i="166"/>
  <c r="BB39" i="166"/>
  <c r="CL57" i="166"/>
  <c r="R38" i="166"/>
  <c r="CK8" i="166"/>
  <c r="CK38" i="166" s="1"/>
  <c r="Y50" i="166"/>
  <c r="CJ8" i="166"/>
  <c r="BA39" i="166"/>
  <c r="BC38" i="166"/>
  <c r="R75" i="166"/>
  <c r="CL78" i="166"/>
  <c r="Y8" i="166"/>
  <c r="Y38" i="166" s="1"/>
  <c r="Y75" i="166" s="1"/>
  <c r="CL35" i="166"/>
  <c r="CQ36" i="166"/>
  <c r="CQ13" i="166"/>
  <c r="CR13" i="166" s="1"/>
  <c r="CK75" i="166"/>
  <c r="CK39" i="166"/>
  <c r="CL11" i="166"/>
  <c r="CL8" i="166" s="1"/>
  <c r="CL6" i="166"/>
  <c r="CL5" i="166" s="1"/>
  <c r="CJ5" i="166"/>
  <c r="AH76" i="166"/>
  <c r="AH81" i="166"/>
  <c r="AH83" i="166" s="1"/>
  <c r="AH84" i="166" s="1"/>
  <c r="AH86" i="166" s="1"/>
  <c r="AH87" i="166" s="1"/>
  <c r="CF76" i="166"/>
  <c r="CF81" i="166"/>
  <c r="CF83" i="166" s="1"/>
  <c r="CF84" i="166" s="1"/>
  <c r="CF86" i="166" s="1"/>
  <c r="CF87" i="166" s="1"/>
  <c r="CG38" i="166"/>
  <c r="BL76" i="166"/>
  <c r="BL81" i="166"/>
  <c r="BL83" i="166" s="1"/>
  <c r="BL84" i="166" s="1"/>
  <c r="BL86" i="166" s="1"/>
  <c r="BL87" i="166" s="1"/>
  <c r="AM81" i="166"/>
  <c r="AM83" i="166" s="1"/>
  <c r="AM84" i="166" s="1"/>
  <c r="AM86" i="166" s="1"/>
  <c r="AM87" i="166" s="1"/>
  <c r="AM76" i="166"/>
  <c r="CL52" i="166"/>
  <c r="CJ50" i="166"/>
  <c r="AW81" i="166"/>
  <c r="AW83" i="166" s="1"/>
  <c r="AW84" i="166" s="1"/>
  <c r="AW86" i="166" s="1"/>
  <c r="AW87" i="166" s="1"/>
  <c r="AW76" i="166"/>
  <c r="T38" i="166"/>
  <c r="AX75" i="166"/>
  <c r="AX39" i="166"/>
  <c r="AN38" i="166"/>
  <c r="BC75" i="166"/>
  <c r="BC39" i="166"/>
  <c r="BV39" i="166"/>
  <c r="BV75" i="166"/>
  <c r="CT22" i="166"/>
  <c r="CT86" i="166" s="1"/>
  <c r="CR22" i="166"/>
  <c r="CE76" i="166"/>
  <c r="AR76" i="166"/>
  <c r="AR81" i="166"/>
  <c r="AR83" i="166" s="1"/>
  <c r="AR84" i="166" s="1"/>
  <c r="AR86" i="166" s="1"/>
  <c r="AR87" i="166" s="1"/>
  <c r="E75" i="166"/>
  <c r="E39" i="166"/>
  <c r="BR75" i="166"/>
  <c r="BR39" i="166"/>
  <c r="BP76" i="166"/>
  <c r="CQ10" i="166"/>
  <c r="CR10" i="166" s="1"/>
  <c r="Y54" i="166"/>
  <c r="AQ76" i="166"/>
  <c r="Y41" i="166"/>
  <c r="CL58" i="166"/>
  <c r="T41" i="166"/>
  <c r="BU76" i="166"/>
  <c r="CJ41" i="166"/>
  <c r="N76" i="166"/>
  <c r="N81" i="166"/>
  <c r="N83" i="166" s="1"/>
  <c r="N84" i="166" s="1"/>
  <c r="N86" i="166" s="1"/>
  <c r="N87" i="166" s="1"/>
  <c r="AV75" i="166"/>
  <c r="AV39" i="166"/>
  <c r="AI38" i="166"/>
  <c r="W75" i="166"/>
  <c r="O75" i="166"/>
  <c r="O39" i="166"/>
  <c r="BZ76" i="166"/>
  <c r="AB76" i="166"/>
  <c r="CP81" i="166"/>
  <c r="CP83" i="166" s="1"/>
  <c r="CP84" i="166" s="1"/>
  <c r="CP86" i="166" s="1"/>
  <c r="CP87" i="166" s="1"/>
  <c r="CP76" i="166"/>
  <c r="D39" i="166"/>
  <c r="D75" i="166"/>
  <c r="BH75" i="166"/>
  <c r="BH39" i="166"/>
  <c r="CQ15" i="166"/>
  <c r="CR15" i="166" s="1"/>
  <c r="CQ17" i="166"/>
  <c r="CR17" i="166" s="1"/>
  <c r="M75" i="166"/>
  <c r="M39" i="166"/>
  <c r="AC81" i="166"/>
  <c r="AC83" i="166" s="1"/>
  <c r="AC84" i="166" s="1"/>
  <c r="AC76" i="166"/>
  <c r="CB38" i="166"/>
  <c r="BM89" i="166"/>
  <c r="BK81" i="166"/>
  <c r="BK83" i="166" s="1"/>
  <c r="BK84" i="166" s="1"/>
  <c r="BK86" i="166" s="1"/>
  <c r="BK87" i="166" s="1"/>
  <c r="BK76" i="166"/>
  <c r="C75" i="166"/>
  <c r="C39" i="166"/>
  <c r="BA76" i="166"/>
  <c r="AD75" i="166"/>
  <c r="AD39" i="166"/>
  <c r="BQ81" i="166"/>
  <c r="BQ83" i="166" s="1"/>
  <c r="BQ84" i="166" s="1"/>
  <c r="BQ86" i="166" s="1"/>
  <c r="BQ87" i="166" s="1"/>
  <c r="BQ76" i="166"/>
  <c r="I81" i="166"/>
  <c r="I83" i="166" s="1"/>
  <c r="I84" i="166" s="1"/>
  <c r="I86" i="166" s="1"/>
  <c r="I87" i="166" s="1"/>
  <c r="I76" i="166"/>
  <c r="AL76" i="166"/>
  <c r="AG76" i="166"/>
  <c r="CQ14" i="166"/>
  <c r="CR14" i="166" s="1"/>
  <c r="CA81" i="166"/>
  <c r="CA83" i="166" s="1"/>
  <c r="CA84" i="166" s="1"/>
  <c r="CA86" i="166" s="1"/>
  <c r="CA87" i="166" s="1"/>
  <c r="CA76" i="166"/>
  <c r="X75" i="166"/>
  <c r="X81" i="166" s="1"/>
  <c r="X83" i="166" s="1"/>
  <c r="BW75" i="166"/>
  <c r="BW39" i="166"/>
  <c r="CQ18" i="166"/>
  <c r="CR18" i="166" s="1"/>
  <c r="AS75" i="166"/>
  <c r="AS39" i="166"/>
  <c r="CL50" i="166"/>
  <c r="CQ23" i="166"/>
  <c r="CR23" i="166" s="1"/>
  <c r="CL41" i="166"/>
  <c r="BG75" i="166"/>
  <c r="BG39" i="166"/>
  <c r="H75" i="166"/>
  <c r="H39" i="166"/>
  <c r="BM38" i="166"/>
  <c r="CQ9" i="166"/>
  <c r="J75" i="166"/>
  <c r="J39" i="166"/>
  <c r="BF76" i="166"/>
  <c r="BB76" i="166"/>
  <c r="BB81" i="166"/>
  <c r="BB83" i="166" s="1"/>
  <c r="BB84" i="166" s="1"/>
  <c r="BB86" i="166" s="1"/>
  <c r="BB87" i="166" s="1"/>
  <c r="DN85" i="106"/>
  <c r="BA85" i="106"/>
  <c r="AS85" i="106"/>
  <c r="AN85" i="106"/>
  <c r="AI85" i="106"/>
  <c r="AD85" i="106"/>
  <c r="Y85" i="106"/>
  <c r="T85" i="106"/>
  <c r="O85" i="106"/>
  <c r="J85" i="106"/>
  <c r="DO82" i="106"/>
  <c r="DN82" i="106"/>
  <c r="DK82" i="106"/>
  <c r="DF82" i="106"/>
  <c r="DA82" i="106"/>
  <c r="CV82" i="106"/>
  <c r="CQ82" i="106"/>
  <c r="CL82" i="106"/>
  <c r="CG82" i="106"/>
  <c r="CB82" i="106"/>
  <c r="BW82" i="106"/>
  <c r="BR82" i="106"/>
  <c r="BM82" i="106"/>
  <c r="BH82" i="106"/>
  <c r="BB82" i="106"/>
  <c r="BA82" i="106"/>
  <c r="AS82" i="106"/>
  <c r="AN82" i="106"/>
  <c r="AI82" i="106"/>
  <c r="AD82" i="106"/>
  <c r="Y82" i="106"/>
  <c r="T82" i="106"/>
  <c r="O82" i="106"/>
  <c r="J82" i="106"/>
  <c r="DO79" i="106"/>
  <c r="DO77" i="106" s="1"/>
  <c r="DK79" i="106"/>
  <c r="DF79" i="106"/>
  <c r="DA79" i="106"/>
  <c r="CV79" i="106"/>
  <c r="CQ79" i="106"/>
  <c r="CL79" i="106"/>
  <c r="CL77" i="106" s="1"/>
  <c r="CG79" i="106"/>
  <c r="CB79" i="106"/>
  <c r="BW79" i="106"/>
  <c r="BB79" i="106"/>
  <c r="Y79" i="106"/>
  <c r="DO78" i="106"/>
  <c r="DP78" i="106"/>
  <c r="DK78" i="106"/>
  <c r="DK77" i="106" s="1"/>
  <c r="DF78" i="106"/>
  <c r="DF77" i="106" s="1"/>
  <c r="DA78" i="106"/>
  <c r="DA77" i="106" s="1"/>
  <c r="CV78" i="106"/>
  <c r="CV77" i="106" s="1"/>
  <c r="CQ78" i="106"/>
  <c r="CL78" i="106"/>
  <c r="CG78" i="106"/>
  <c r="CG77" i="106" s="1"/>
  <c r="CB78" i="106"/>
  <c r="BW78" i="106"/>
  <c r="BR78" i="106"/>
  <c r="BM78" i="106"/>
  <c r="BH78" i="106"/>
  <c r="BB78" i="106"/>
  <c r="BA78" i="106"/>
  <c r="AS78" i="106"/>
  <c r="AN78" i="106"/>
  <c r="AI78" i="106"/>
  <c r="AD78" i="106"/>
  <c r="Y78" i="106"/>
  <c r="Y77" i="106" s="1"/>
  <c r="T78" i="106"/>
  <c r="O78" i="106"/>
  <c r="J78" i="106"/>
  <c r="DJ77" i="106"/>
  <c r="DI77" i="106"/>
  <c r="DE77" i="106"/>
  <c r="DD77" i="106"/>
  <c r="CZ77" i="106"/>
  <c r="CY77" i="106"/>
  <c r="CU77" i="106"/>
  <c r="CT77" i="106"/>
  <c r="CQ77" i="106"/>
  <c r="CP77" i="106"/>
  <c r="CO77" i="106"/>
  <c r="CK77" i="106"/>
  <c r="CJ77" i="106"/>
  <c r="CF77" i="106"/>
  <c r="CE77" i="106"/>
  <c r="CA77" i="106"/>
  <c r="BZ77" i="106"/>
  <c r="BW77" i="106"/>
  <c r="BV77" i="106"/>
  <c r="BU77" i="106"/>
  <c r="BQ77" i="106"/>
  <c r="BG77" i="106"/>
  <c r="AR77" i="106"/>
  <c r="AM77" i="106"/>
  <c r="AH77" i="106"/>
  <c r="AC77" i="106"/>
  <c r="X77" i="106"/>
  <c r="W77" i="106"/>
  <c r="S77" i="106"/>
  <c r="N77" i="106"/>
  <c r="M77" i="106"/>
  <c r="I77" i="106"/>
  <c r="H77" i="106"/>
  <c r="DO74" i="106"/>
  <c r="DO73" i="106" s="1"/>
  <c r="DN74" i="106"/>
  <c r="DK74" i="106"/>
  <c r="DF74" i="106"/>
  <c r="DA74" i="106"/>
  <c r="DA73" i="106" s="1"/>
  <c r="CV74" i="106"/>
  <c r="CV73" i="106" s="1"/>
  <c r="CQ74" i="106"/>
  <c r="CQ73" i="106" s="1"/>
  <c r="CL74" i="106"/>
  <c r="CL73" i="106" s="1"/>
  <c r="CG74" i="106"/>
  <c r="CG73" i="106" s="1"/>
  <c r="CB74" i="106"/>
  <c r="CB73" i="106" s="1"/>
  <c r="BW74" i="106"/>
  <c r="BW73" i="106" s="1"/>
  <c r="BR74" i="106"/>
  <c r="BM74" i="106"/>
  <c r="BM73" i="106" s="1"/>
  <c r="BH74" i="106"/>
  <c r="BH73" i="106" s="1"/>
  <c r="BB74" i="106"/>
  <c r="BA74" i="106"/>
  <c r="AS74" i="106"/>
  <c r="AS73" i="106" s="1"/>
  <c r="AN74" i="106"/>
  <c r="AN73" i="106" s="1"/>
  <c r="AI74" i="106"/>
  <c r="AI73" i="106" s="1"/>
  <c r="AD74" i="106"/>
  <c r="Y74" i="106"/>
  <c r="Y73" i="106" s="1"/>
  <c r="T74" i="106"/>
  <c r="O74" i="106"/>
  <c r="O73" i="106" s="1"/>
  <c r="DP73" i="106"/>
  <c r="DN73" i="106"/>
  <c r="DK73" i="106"/>
  <c r="DJ73" i="106"/>
  <c r="DI73" i="106"/>
  <c r="DF73" i="106"/>
  <c r="DE73" i="106"/>
  <c r="DD73" i="106"/>
  <c r="CZ73" i="106"/>
  <c r="CY73" i="106"/>
  <c r="CU73" i="106"/>
  <c r="CT73" i="106"/>
  <c r="CP73" i="106"/>
  <c r="CO73" i="106"/>
  <c r="CK73" i="106"/>
  <c r="CJ73" i="106"/>
  <c r="CF73" i="106"/>
  <c r="CE73" i="106"/>
  <c r="CA73" i="106"/>
  <c r="BZ73" i="106"/>
  <c r="BV73" i="106"/>
  <c r="BU73" i="106"/>
  <c r="BR73" i="106"/>
  <c r="BQ73" i="106"/>
  <c r="BP73" i="106"/>
  <c r="BG73" i="106"/>
  <c r="BF73" i="106"/>
  <c r="BC73" i="106"/>
  <c r="BB73" i="106"/>
  <c r="BA73" i="106"/>
  <c r="AR73" i="106"/>
  <c r="AQ73" i="106"/>
  <c r="AM73" i="106"/>
  <c r="AL73" i="106"/>
  <c r="AH73" i="106"/>
  <c r="AG73" i="106"/>
  <c r="AD73" i="106"/>
  <c r="AC73" i="106"/>
  <c r="AB73" i="106"/>
  <c r="X73" i="106"/>
  <c r="W73" i="106"/>
  <c r="T73" i="106"/>
  <c r="S73" i="106"/>
  <c r="R73" i="106"/>
  <c r="N73" i="106"/>
  <c r="M73" i="106"/>
  <c r="J73" i="106"/>
  <c r="I73" i="106"/>
  <c r="H73" i="106"/>
  <c r="DO71" i="106"/>
  <c r="DN71" i="106"/>
  <c r="DP71" i="106" s="1"/>
  <c r="DK71" i="106"/>
  <c r="DF71" i="106"/>
  <c r="DA71" i="106"/>
  <c r="CV71" i="106"/>
  <c r="CQ71" i="106"/>
  <c r="CL71" i="106"/>
  <c r="CG71" i="106"/>
  <c r="CB71" i="106"/>
  <c r="BW71" i="106"/>
  <c r="BR71" i="106"/>
  <c r="BM71" i="106"/>
  <c r="BN71" i="106" s="1"/>
  <c r="BH71" i="106"/>
  <c r="BB71" i="106"/>
  <c r="BA71" i="106"/>
  <c r="AS71" i="106"/>
  <c r="AN71" i="106"/>
  <c r="AI71" i="106"/>
  <c r="AD71" i="106"/>
  <c r="Y71" i="106"/>
  <c r="T71" i="106"/>
  <c r="O71" i="106"/>
  <c r="J71" i="106"/>
  <c r="DO70" i="106"/>
  <c r="DN70" i="106"/>
  <c r="DP70" i="106" s="1"/>
  <c r="DK70" i="106"/>
  <c r="DF70" i="106"/>
  <c r="DA70" i="106"/>
  <c r="CV70" i="106"/>
  <c r="CQ70" i="106"/>
  <c r="CL70" i="106"/>
  <c r="CG70" i="106"/>
  <c r="CB70" i="106"/>
  <c r="BW70" i="106"/>
  <c r="BR70" i="106"/>
  <c r="BM70" i="106"/>
  <c r="BN70" i="106" s="1"/>
  <c r="BH70" i="106"/>
  <c r="BB70" i="106"/>
  <c r="BA70" i="106"/>
  <c r="BC70" i="106" s="1"/>
  <c r="AS70" i="106"/>
  <c r="AN70" i="106"/>
  <c r="AI70" i="106"/>
  <c r="AD70" i="106"/>
  <c r="Y70" i="106"/>
  <c r="T70" i="106"/>
  <c r="O70" i="106"/>
  <c r="J70" i="106"/>
  <c r="DO69" i="106"/>
  <c r="DN69" i="106"/>
  <c r="DK69" i="106"/>
  <c r="DF69" i="106"/>
  <c r="DA69" i="106"/>
  <c r="CV69" i="106"/>
  <c r="CQ69" i="106"/>
  <c r="CL69" i="106"/>
  <c r="CG69" i="106"/>
  <c r="CB69" i="106"/>
  <c r="BW69" i="106"/>
  <c r="BR69" i="106"/>
  <c r="BM69" i="106"/>
  <c r="BN69" i="106" s="1"/>
  <c r="BH69" i="106"/>
  <c r="BB69" i="106"/>
  <c r="BA69" i="106"/>
  <c r="AS69" i="106"/>
  <c r="AN69" i="106"/>
  <c r="AI69" i="106"/>
  <c r="AD69" i="106"/>
  <c r="Y69" i="106"/>
  <c r="T69" i="106"/>
  <c r="O69" i="106"/>
  <c r="J69" i="106"/>
  <c r="DN68" i="106"/>
  <c r="DK68" i="106"/>
  <c r="DF68" i="106"/>
  <c r="DA68" i="106"/>
  <c r="CV68" i="106"/>
  <c r="CQ68" i="106"/>
  <c r="CL68" i="106"/>
  <c r="CG68" i="106"/>
  <c r="CB68" i="106"/>
  <c r="BW68" i="106"/>
  <c r="BR68" i="106"/>
  <c r="BM68" i="106"/>
  <c r="BN68" i="106" s="1"/>
  <c r="BF68" i="106"/>
  <c r="BA68" i="106" s="1"/>
  <c r="AS68" i="106"/>
  <c r="AN68" i="106"/>
  <c r="AI68" i="106"/>
  <c r="AD68" i="106"/>
  <c r="Y68" i="106"/>
  <c r="T68" i="106"/>
  <c r="N68" i="106"/>
  <c r="O68" i="106" s="1"/>
  <c r="J68" i="106"/>
  <c r="DO67" i="106"/>
  <c r="DN67" i="106"/>
  <c r="DP67" i="106" s="1"/>
  <c r="DK67" i="106"/>
  <c r="DF67" i="106"/>
  <c r="DA67" i="106"/>
  <c r="CV67" i="106"/>
  <c r="CQ67" i="106"/>
  <c r="CL67" i="106"/>
  <c r="CG67" i="106"/>
  <c r="CB67" i="106"/>
  <c r="BW67" i="106"/>
  <c r="BR67" i="106"/>
  <c r="BM67" i="106"/>
  <c r="BN67" i="106" s="1"/>
  <c r="BH67" i="106"/>
  <c r="BB67" i="106"/>
  <c r="BA67" i="106"/>
  <c r="AS67" i="106"/>
  <c r="AN67" i="106"/>
  <c r="AI67" i="106"/>
  <c r="AD67" i="106"/>
  <c r="Y67" i="106"/>
  <c r="T67" i="106"/>
  <c r="O67" i="106"/>
  <c r="J67" i="106"/>
  <c r="DO66" i="106"/>
  <c r="DN66" i="106"/>
  <c r="DP66" i="106" s="1"/>
  <c r="DK66" i="106"/>
  <c r="DF66" i="106"/>
  <c r="DA66" i="106"/>
  <c r="CV66" i="106"/>
  <c r="CQ66" i="106"/>
  <c r="CL66" i="106"/>
  <c r="CG66" i="106"/>
  <c r="CB66" i="106"/>
  <c r="BW66" i="106"/>
  <c r="BR66" i="106"/>
  <c r="BM66" i="106"/>
  <c r="BN66" i="106" s="1"/>
  <c r="BH66" i="106"/>
  <c r="BB66" i="106"/>
  <c r="BC66" i="106" s="1"/>
  <c r="BA66" i="106"/>
  <c r="AS66" i="106"/>
  <c r="AN66" i="106"/>
  <c r="AI66" i="106"/>
  <c r="AD66" i="106"/>
  <c r="Y66" i="106"/>
  <c r="T66" i="106"/>
  <c r="O66" i="106"/>
  <c r="J66" i="106"/>
  <c r="DN65" i="106"/>
  <c r="DK65" i="106"/>
  <c r="DF65" i="106"/>
  <c r="DA65" i="106"/>
  <c r="CV65" i="106"/>
  <c r="CQ65" i="106"/>
  <c r="CL65" i="106"/>
  <c r="CG65" i="106"/>
  <c r="CB65" i="106"/>
  <c r="BW65" i="106"/>
  <c r="BR65" i="106"/>
  <c r="BM65" i="106"/>
  <c r="BN65" i="106" s="1"/>
  <c r="BH65" i="106"/>
  <c r="BC65" i="106"/>
  <c r="BB65" i="106"/>
  <c r="BA65" i="106"/>
  <c r="AS65" i="106"/>
  <c r="AN65" i="106"/>
  <c r="AH65" i="106"/>
  <c r="AD65" i="106"/>
  <c r="Y65" i="106"/>
  <c r="T65" i="106"/>
  <c r="O65" i="106"/>
  <c r="J65" i="106"/>
  <c r="DO64" i="106"/>
  <c r="DN64" i="106"/>
  <c r="DP64" i="106" s="1"/>
  <c r="DK64" i="106"/>
  <c r="DF64" i="106"/>
  <c r="DA64" i="106"/>
  <c r="CV64" i="106"/>
  <c r="CQ64" i="106"/>
  <c r="CL64" i="106"/>
  <c r="CG64" i="106"/>
  <c r="CB64" i="106"/>
  <c r="BW64" i="106"/>
  <c r="BR64" i="106"/>
  <c r="BM64" i="106"/>
  <c r="BN64" i="106" s="1"/>
  <c r="BH64" i="106"/>
  <c r="BB64" i="106"/>
  <c r="BA64" i="106"/>
  <c r="AS64" i="106"/>
  <c r="AN64" i="106"/>
  <c r="AI64" i="106"/>
  <c r="AD64" i="106"/>
  <c r="Y64" i="106"/>
  <c r="T64" i="106"/>
  <c r="O64" i="106"/>
  <c r="J64" i="106"/>
  <c r="DO63" i="106"/>
  <c r="DN63" i="106"/>
  <c r="DK63" i="106"/>
  <c r="DF63" i="106"/>
  <c r="DA63" i="106"/>
  <c r="CV63" i="106"/>
  <c r="CQ63" i="106"/>
  <c r="CL63" i="106"/>
  <c r="CG63" i="106"/>
  <c r="CB63" i="106"/>
  <c r="BW63" i="106"/>
  <c r="BR63" i="106"/>
  <c r="BM63" i="106"/>
  <c r="BN63" i="106" s="1"/>
  <c r="BH63" i="106"/>
  <c r="BB63" i="106"/>
  <c r="BA63" i="106"/>
  <c r="AS63" i="106"/>
  <c r="AN63" i="106"/>
  <c r="AI63" i="106"/>
  <c r="AD63" i="106"/>
  <c r="Y63" i="106"/>
  <c r="T63" i="106"/>
  <c r="O63" i="106"/>
  <c r="J63" i="106"/>
  <c r="DO62" i="106"/>
  <c r="DN62" i="106"/>
  <c r="DP62" i="106" s="1"/>
  <c r="DK62" i="106"/>
  <c r="DF62" i="106"/>
  <c r="DA62" i="106"/>
  <c r="CV62" i="106"/>
  <c r="CQ62" i="106"/>
  <c r="CL62" i="106"/>
  <c r="CG62" i="106"/>
  <c r="CB62" i="106"/>
  <c r="BW62" i="106"/>
  <c r="BR62" i="106"/>
  <c r="BM62" i="106"/>
  <c r="BN62" i="106" s="1"/>
  <c r="BH62" i="106"/>
  <c r="BB62" i="106"/>
  <c r="BA62" i="106"/>
  <c r="AS62" i="106"/>
  <c r="AN62" i="106"/>
  <c r="AI62" i="106"/>
  <c r="AD62" i="106"/>
  <c r="Y62" i="106"/>
  <c r="T62" i="106"/>
  <c r="O62" i="106"/>
  <c r="J62" i="106"/>
  <c r="DO61" i="106"/>
  <c r="DN61" i="106"/>
  <c r="DP61" i="106" s="1"/>
  <c r="DK61" i="106"/>
  <c r="DF61" i="106"/>
  <c r="DA61" i="106"/>
  <c r="CV61" i="106"/>
  <c r="CQ61" i="106"/>
  <c r="CL61" i="106"/>
  <c r="CG61" i="106"/>
  <c r="CB61" i="106"/>
  <c r="BW61" i="106"/>
  <c r="BR61" i="106"/>
  <c r="BM61" i="106"/>
  <c r="BN61" i="106" s="1"/>
  <c r="BH61" i="106"/>
  <c r="BB61" i="106"/>
  <c r="BA61" i="106"/>
  <c r="AS61" i="106"/>
  <c r="AN61" i="106"/>
  <c r="AI61" i="106"/>
  <c r="AD61" i="106"/>
  <c r="Y61" i="106"/>
  <c r="T61" i="106"/>
  <c r="O61" i="106"/>
  <c r="J61" i="106"/>
  <c r="DO60" i="106"/>
  <c r="DN60" i="106"/>
  <c r="DK60" i="106"/>
  <c r="DF60" i="106"/>
  <c r="DA60" i="106"/>
  <c r="CV60" i="106"/>
  <c r="CQ60" i="106"/>
  <c r="CL60" i="106"/>
  <c r="CG60" i="106"/>
  <c r="CB60" i="106"/>
  <c r="BW60" i="106"/>
  <c r="BR60" i="106"/>
  <c r="BM60" i="106"/>
  <c r="BN60" i="106" s="1"/>
  <c r="BH60" i="106"/>
  <c r="BB60" i="106"/>
  <c r="BA60" i="106"/>
  <c r="BC60" i="106" s="1"/>
  <c r="AS60" i="106"/>
  <c r="AN60" i="106"/>
  <c r="AI60" i="106"/>
  <c r="AD60" i="106"/>
  <c r="Y60" i="106"/>
  <c r="T60" i="106"/>
  <c r="O60" i="106"/>
  <c r="J60" i="106"/>
  <c r="DO59" i="106"/>
  <c r="DN59" i="106"/>
  <c r="DK59" i="106"/>
  <c r="DF59" i="106"/>
  <c r="DA59" i="106"/>
  <c r="CV59" i="106"/>
  <c r="CQ59" i="106"/>
  <c r="CL59" i="106"/>
  <c r="CG59" i="106"/>
  <c r="CB59" i="106"/>
  <c r="BW59" i="106"/>
  <c r="BR59" i="106"/>
  <c r="BM59" i="106"/>
  <c r="BN59" i="106" s="1"/>
  <c r="BH59" i="106"/>
  <c r="BB59" i="106"/>
  <c r="BA59" i="106"/>
  <c r="BC59" i="106" s="1"/>
  <c r="AS59" i="106"/>
  <c r="AN59" i="106"/>
  <c r="AI59" i="106"/>
  <c r="AD59" i="106"/>
  <c r="Y59" i="106"/>
  <c r="T59" i="106"/>
  <c r="O59" i="106"/>
  <c r="J59" i="106"/>
  <c r="DO58" i="106"/>
  <c r="DN58" i="106"/>
  <c r="DP58" i="106" s="1"/>
  <c r="DK58" i="106"/>
  <c r="DF58" i="106"/>
  <c r="DA58" i="106"/>
  <c r="CV58" i="106"/>
  <c r="CQ58" i="106"/>
  <c r="CL58" i="106"/>
  <c r="CG58" i="106"/>
  <c r="CB58" i="106"/>
  <c r="BW58" i="106"/>
  <c r="BR58" i="106"/>
  <c r="BM58" i="106"/>
  <c r="BN58" i="106" s="1"/>
  <c r="BH58" i="106"/>
  <c r="BB58" i="106"/>
  <c r="BA58" i="106"/>
  <c r="BC58" i="106" s="1"/>
  <c r="AS58" i="106"/>
  <c r="AN58" i="106"/>
  <c r="AI58" i="106"/>
  <c r="AD58" i="106"/>
  <c r="Y58" i="106"/>
  <c r="T58" i="106"/>
  <c r="O58" i="106"/>
  <c r="J58" i="106"/>
  <c r="DO57" i="106"/>
  <c r="DN57" i="106"/>
  <c r="DK57" i="106"/>
  <c r="DF57" i="106"/>
  <c r="DA57" i="106"/>
  <c r="CV57" i="106"/>
  <c r="CQ57" i="106"/>
  <c r="CL57" i="106"/>
  <c r="CG57" i="106"/>
  <c r="CB57" i="106"/>
  <c r="BW57" i="106"/>
  <c r="BR57" i="106"/>
  <c r="BM57" i="106"/>
  <c r="BN57" i="106" s="1"/>
  <c r="BH57" i="106"/>
  <c r="BB57" i="106"/>
  <c r="BA57" i="106"/>
  <c r="BC57" i="106" s="1"/>
  <c r="AS57" i="106"/>
  <c r="AN57" i="106"/>
  <c r="AI57" i="106"/>
  <c r="AD57" i="106"/>
  <c r="Y57" i="106"/>
  <c r="T57" i="106"/>
  <c r="O57" i="106"/>
  <c r="J57" i="106"/>
  <c r="DO56" i="106"/>
  <c r="DN56" i="106"/>
  <c r="DP56" i="106" s="1"/>
  <c r="DK56" i="106"/>
  <c r="DF56" i="106"/>
  <c r="DA56" i="106"/>
  <c r="CV56" i="106"/>
  <c r="CQ56" i="106"/>
  <c r="CL56" i="106"/>
  <c r="CG56" i="106"/>
  <c r="CB56" i="106"/>
  <c r="BW56" i="106"/>
  <c r="BR56" i="106"/>
  <c r="BM56" i="106"/>
  <c r="BN56" i="106" s="1"/>
  <c r="BH56" i="106"/>
  <c r="BB56" i="106"/>
  <c r="BA56" i="106"/>
  <c r="BC56" i="106" s="1"/>
  <c r="AS56" i="106"/>
  <c r="AS54" i="106" s="1"/>
  <c r="AN56" i="106"/>
  <c r="AI56" i="106"/>
  <c r="AD56" i="106"/>
  <c r="Y56" i="106"/>
  <c r="T56" i="106"/>
  <c r="O56" i="106"/>
  <c r="J56" i="106"/>
  <c r="DN55" i="106"/>
  <c r="DK55" i="106"/>
  <c r="DF55" i="106"/>
  <c r="DF54" i="106" s="1"/>
  <c r="DA55" i="106"/>
  <c r="CV55" i="106"/>
  <c r="CQ55" i="106"/>
  <c r="CL55" i="106"/>
  <c r="CG55" i="106"/>
  <c r="CB55" i="106"/>
  <c r="CB54" i="106" s="1"/>
  <c r="BW55" i="106"/>
  <c r="BR55" i="106"/>
  <c r="BM55" i="106"/>
  <c r="BN55" i="106" s="1"/>
  <c r="BG55" i="106"/>
  <c r="BA55" i="106"/>
  <c r="AS55" i="106"/>
  <c r="AN55" i="106"/>
  <c r="AI55" i="106"/>
  <c r="AD55" i="106"/>
  <c r="AD54" i="106" s="1"/>
  <c r="Y55" i="106"/>
  <c r="T55" i="106"/>
  <c r="T54" i="106" s="1"/>
  <c r="O55" i="106"/>
  <c r="J55" i="106"/>
  <c r="DJ54" i="106"/>
  <c r="DI54" i="106"/>
  <c r="DE54" i="106"/>
  <c r="DD54" i="106"/>
  <c r="CZ54" i="106"/>
  <c r="CY54" i="106"/>
  <c r="CU54" i="106"/>
  <c r="CT54" i="106"/>
  <c r="CQ54" i="106"/>
  <c r="CP54" i="106"/>
  <c r="CO54" i="106"/>
  <c r="CK54" i="106"/>
  <c r="CJ54" i="106"/>
  <c r="CF54" i="106"/>
  <c r="CE54" i="106"/>
  <c r="CA54" i="106"/>
  <c r="BZ54" i="106"/>
  <c r="BV54" i="106"/>
  <c r="BU54" i="106"/>
  <c r="BQ54" i="106"/>
  <c r="BP54" i="106"/>
  <c r="BF54" i="106"/>
  <c r="AR54" i="106"/>
  <c r="AQ54" i="106"/>
  <c r="AM54" i="106"/>
  <c r="AL54" i="106"/>
  <c r="AH54" i="106"/>
  <c r="AG54" i="106"/>
  <c r="AC54" i="106"/>
  <c r="AB54" i="106"/>
  <c r="X54" i="106"/>
  <c r="W54" i="106"/>
  <c r="S54" i="106"/>
  <c r="R54" i="106"/>
  <c r="O54" i="106"/>
  <c r="N54" i="106"/>
  <c r="M54" i="106"/>
  <c r="H54" i="106"/>
  <c r="DO52" i="106"/>
  <c r="DO50" i="106" s="1"/>
  <c r="DN52" i="106"/>
  <c r="DK52" i="106"/>
  <c r="DF52" i="106"/>
  <c r="DA52" i="106"/>
  <c r="CV52" i="106"/>
  <c r="CQ52" i="106"/>
  <c r="CL52" i="106"/>
  <c r="CG52" i="106"/>
  <c r="CB52" i="106"/>
  <c r="BW52" i="106"/>
  <c r="BR52" i="106"/>
  <c r="BM52" i="106"/>
  <c r="BN52" i="106" s="1"/>
  <c r="BH52" i="106"/>
  <c r="BB52" i="106"/>
  <c r="BA52" i="106"/>
  <c r="AS52" i="106"/>
  <c r="AN52" i="106"/>
  <c r="AI52" i="106"/>
  <c r="AD52" i="106"/>
  <c r="Y52" i="106"/>
  <c r="T52" i="106"/>
  <c r="O52" i="106"/>
  <c r="J52" i="106"/>
  <c r="DO51" i="106"/>
  <c r="DN51" i="106"/>
  <c r="DK51" i="106"/>
  <c r="DF51" i="106"/>
  <c r="DA51" i="106"/>
  <c r="DA50" i="106" s="1"/>
  <c r="CV51" i="106"/>
  <c r="CQ51" i="106"/>
  <c r="CL51" i="106"/>
  <c r="CL50" i="106" s="1"/>
  <c r="CG51" i="106"/>
  <c r="CB51" i="106"/>
  <c r="BW51" i="106"/>
  <c r="BW50" i="106" s="1"/>
  <c r="BR51" i="106"/>
  <c r="BM51" i="106"/>
  <c r="BN51" i="106" s="1"/>
  <c r="BH51" i="106"/>
  <c r="BH50" i="106" s="1"/>
  <c r="BB51" i="106"/>
  <c r="BB50" i="106" s="1"/>
  <c r="BA51" i="106"/>
  <c r="BC51" i="106" s="1"/>
  <c r="AS51" i="106"/>
  <c r="AN51" i="106"/>
  <c r="AI51" i="106"/>
  <c r="AD51" i="106"/>
  <c r="Y51" i="106"/>
  <c r="T51" i="106"/>
  <c r="O51" i="106"/>
  <c r="J51" i="106"/>
  <c r="DJ50" i="106"/>
  <c r="DI50" i="106"/>
  <c r="DE50" i="106"/>
  <c r="DD50" i="106"/>
  <c r="CZ50" i="106"/>
  <c r="CY50" i="106"/>
  <c r="CU50" i="106"/>
  <c r="CT50" i="106"/>
  <c r="CP50" i="106"/>
  <c r="CO50" i="106"/>
  <c r="CK50" i="106"/>
  <c r="CJ50" i="106"/>
  <c r="CF50" i="106"/>
  <c r="CE50" i="106"/>
  <c r="CA50" i="106"/>
  <c r="BZ50" i="106"/>
  <c r="BV50" i="106"/>
  <c r="BU50" i="106"/>
  <c r="BQ50" i="106"/>
  <c r="BP50" i="106"/>
  <c r="BG50" i="106"/>
  <c r="BF50" i="106"/>
  <c r="AR50" i="106"/>
  <c r="AQ50" i="106"/>
  <c r="AM50" i="106"/>
  <c r="AL50" i="106"/>
  <c r="AH50" i="106"/>
  <c r="AG50" i="106"/>
  <c r="AC50" i="106"/>
  <c r="AB50" i="106"/>
  <c r="X50" i="106"/>
  <c r="W50" i="106"/>
  <c r="S50" i="106"/>
  <c r="R50" i="106"/>
  <c r="O50" i="106"/>
  <c r="N50" i="106"/>
  <c r="M50" i="106"/>
  <c r="I50" i="106"/>
  <c r="H50" i="106"/>
  <c r="DO48" i="106"/>
  <c r="DN48" i="106"/>
  <c r="DK48" i="106"/>
  <c r="DF48" i="106"/>
  <c r="DA48" i="106"/>
  <c r="CV48" i="106"/>
  <c r="CQ48" i="106"/>
  <c r="CL48" i="106"/>
  <c r="CG48" i="106"/>
  <c r="CB48" i="106"/>
  <c r="BW48" i="106"/>
  <c r="BR48" i="106"/>
  <c r="BN48" i="106"/>
  <c r="BM48" i="106"/>
  <c r="BH48" i="106"/>
  <c r="BB48" i="106"/>
  <c r="BA48" i="106"/>
  <c r="AS48" i="106"/>
  <c r="AN48" i="106"/>
  <c r="AI48" i="106"/>
  <c r="AD48" i="106"/>
  <c r="Y48" i="106"/>
  <c r="T48" i="106"/>
  <c r="O48" i="106"/>
  <c r="J48" i="106"/>
  <c r="DO47" i="106"/>
  <c r="DK47" i="106"/>
  <c r="DF47" i="106"/>
  <c r="DA47" i="106"/>
  <c r="CV47" i="106"/>
  <c r="CQ47" i="106"/>
  <c r="CL47" i="106"/>
  <c r="CG47" i="106"/>
  <c r="CB47" i="106"/>
  <c r="BW47" i="106"/>
  <c r="BR47" i="106"/>
  <c r="BR41" i="106" s="1"/>
  <c r="BM47" i="106"/>
  <c r="BN47" i="106" s="1"/>
  <c r="BF47" i="106"/>
  <c r="BB47" i="106"/>
  <c r="BA47" i="106"/>
  <c r="AS47" i="106"/>
  <c r="AN47" i="106"/>
  <c r="AI47" i="106"/>
  <c r="AD47" i="106"/>
  <c r="Y47" i="106"/>
  <c r="T47" i="106"/>
  <c r="O47" i="106"/>
  <c r="J47" i="106"/>
  <c r="DO46" i="106"/>
  <c r="DN46" i="106"/>
  <c r="DP46" i="106" s="1"/>
  <c r="DK46" i="106"/>
  <c r="DF46" i="106"/>
  <c r="DA46" i="106"/>
  <c r="CV46" i="106"/>
  <c r="CQ46" i="106"/>
  <c r="CL46" i="106"/>
  <c r="CG46" i="106"/>
  <c r="CB46" i="106"/>
  <c r="BW46" i="106"/>
  <c r="BR46" i="106"/>
  <c r="BM46" i="106"/>
  <c r="BN46" i="106" s="1"/>
  <c r="BH46" i="106"/>
  <c r="BB46" i="106"/>
  <c r="BA46" i="106"/>
  <c r="AS46" i="106"/>
  <c r="AN46" i="106"/>
  <c r="AI46" i="106"/>
  <c r="AD46" i="106"/>
  <c r="AD41" i="106" s="1"/>
  <c r="Y46" i="106"/>
  <c r="T46" i="106"/>
  <c r="O46" i="106"/>
  <c r="J46" i="106"/>
  <c r="DO45" i="106"/>
  <c r="DN45" i="106"/>
  <c r="DK45" i="106"/>
  <c r="DF45" i="106"/>
  <c r="DA45" i="106"/>
  <c r="CV45" i="106"/>
  <c r="CQ45" i="106"/>
  <c r="CL45" i="106"/>
  <c r="CG45" i="106"/>
  <c r="CB45" i="106"/>
  <c r="BW45" i="106"/>
  <c r="BR45" i="106"/>
  <c r="BN45" i="106"/>
  <c r="BM45" i="106"/>
  <c r="BH45" i="106"/>
  <c r="BB45" i="106"/>
  <c r="BA45" i="106"/>
  <c r="AS45" i="106"/>
  <c r="AN45" i="106"/>
  <c r="AI45" i="106"/>
  <c r="AD45" i="106"/>
  <c r="Y45" i="106"/>
  <c r="T45" i="106"/>
  <c r="O45" i="106"/>
  <c r="J45" i="106"/>
  <c r="DO44" i="106"/>
  <c r="DN44" i="106"/>
  <c r="DP44" i="106" s="1"/>
  <c r="DK44" i="106"/>
  <c r="DF44" i="106"/>
  <c r="DA44" i="106"/>
  <c r="CV44" i="106"/>
  <c r="CQ44" i="106"/>
  <c r="CL44" i="106"/>
  <c r="CG44" i="106"/>
  <c r="CB44" i="106"/>
  <c r="BW44" i="106"/>
  <c r="BR44" i="106"/>
  <c r="BM44" i="106"/>
  <c r="BN44" i="106" s="1"/>
  <c r="BH44" i="106"/>
  <c r="BB44" i="106"/>
  <c r="BA44" i="106"/>
  <c r="AS44" i="106"/>
  <c r="AN44" i="106"/>
  <c r="AI44" i="106"/>
  <c r="AD44" i="106"/>
  <c r="Y44" i="106"/>
  <c r="T44" i="106"/>
  <c r="O44" i="106"/>
  <c r="J44" i="106"/>
  <c r="DO43" i="106"/>
  <c r="DN43" i="106"/>
  <c r="DK43" i="106"/>
  <c r="DF43" i="106"/>
  <c r="DF41" i="106" s="1"/>
  <c r="DA43" i="106"/>
  <c r="CV43" i="106"/>
  <c r="CQ43" i="106"/>
  <c r="CL43" i="106"/>
  <c r="CG43" i="106"/>
  <c r="CB43" i="106"/>
  <c r="BW43" i="106"/>
  <c r="BR43" i="106"/>
  <c r="BN43" i="106"/>
  <c r="BM43" i="106"/>
  <c r="BH43" i="106"/>
  <c r="BB43" i="106"/>
  <c r="BA43" i="106"/>
  <c r="AS43" i="106"/>
  <c r="AN43" i="106"/>
  <c r="AI43" i="106"/>
  <c r="AD43" i="106"/>
  <c r="Y43" i="106"/>
  <c r="T43" i="106"/>
  <c r="O43" i="106"/>
  <c r="J43" i="106"/>
  <c r="DO42" i="106"/>
  <c r="DN42" i="106"/>
  <c r="DK42" i="106"/>
  <c r="DF42" i="106"/>
  <c r="DA42" i="106"/>
  <c r="DA41" i="106" s="1"/>
  <c r="CV42" i="106"/>
  <c r="CQ42" i="106"/>
  <c r="CL42" i="106"/>
  <c r="CL41" i="106" s="1"/>
  <c r="CG42" i="106"/>
  <c r="CB42" i="106"/>
  <c r="CB41" i="106" s="1"/>
  <c r="BW42" i="106"/>
  <c r="BR42" i="106"/>
  <c r="BM42" i="106"/>
  <c r="BM41" i="106" s="1"/>
  <c r="BN41" i="106" s="1"/>
  <c r="BH42" i="106"/>
  <c r="BB42" i="106"/>
  <c r="BA42" i="106"/>
  <c r="AS42" i="106"/>
  <c r="AS41" i="106" s="1"/>
  <c r="AN42" i="106"/>
  <c r="AI42" i="106"/>
  <c r="AD42" i="106"/>
  <c r="Y42" i="106"/>
  <c r="Y41" i="106" s="1"/>
  <c r="T42" i="106"/>
  <c r="O42" i="106"/>
  <c r="J42" i="106"/>
  <c r="J41" i="106" s="1"/>
  <c r="DK41" i="106"/>
  <c r="DJ41" i="106"/>
  <c r="DI41" i="106"/>
  <c r="DE41" i="106"/>
  <c r="DD41" i="106"/>
  <c r="CZ41" i="106"/>
  <c r="CY41" i="106"/>
  <c r="CV41" i="106"/>
  <c r="CU41" i="106"/>
  <c r="CT41" i="106"/>
  <c r="CP41" i="106"/>
  <c r="CO41" i="106"/>
  <c r="CK41" i="106"/>
  <c r="CJ41" i="106"/>
  <c r="CG41" i="106"/>
  <c r="CF41" i="106"/>
  <c r="CE41" i="106"/>
  <c r="CA41" i="106"/>
  <c r="BZ41" i="106"/>
  <c r="BV41" i="106"/>
  <c r="BU41" i="106"/>
  <c r="BQ41" i="106"/>
  <c r="BP41" i="106"/>
  <c r="BG41" i="106"/>
  <c r="BF41" i="106"/>
  <c r="AR41" i="106"/>
  <c r="AQ41" i="106"/>
  <c r="AM41" i="106"/>
  <c r="AL41" i="106"/>
  <c r="AI41" i="106"/>
  <c r="AH41" i="106"/>
  <c r="AG41" i="106"/>
  <c r="AC41" i="106"/>
  <c r="AB41" i="106"/>
  <c r="X41" i="106"/>
  <c r="W41" i="106"/>
  <c r="T41" i="106"/>
  <c r="S41" i="106"/>
  <c r="R41" i="106"/>
  <c r="N41" i="106"/>
  <c r="M41" i="106"/>
  <c r="I41" i="106"/>
  <c r="H41" i="106"/>
  <c r="BN40" i="106"/>
  <c r="DO36" i="106"/>
  <c r="DN36" i="106"/>
  <c r="DK36" i="106"/>
  <c r="DF36" i="106"/>
  <c r="DA36" i="106"/>
  <c r="CV36" i="106"/>
  <c r="CQ36" i="106"/>
  <c r="CL36" i="106"/>
  <c r="CG36" i="106"/>
  <c r="CB36" i="106"/>
  <c r="BW36" i="106"/>
  <c r="BR36" i="106"/>
  <c r="BM36" i="106"/>
  <c r="BH36" i="106"/>
  <c r="BH35" i="106" s="1"/>
  <c r="BB36" i="106"/>
  <c r="BB35" i="106" s="1"/>
  <c r="BA36" i="106"/>
  <c r="AS36" i="106"/>
  <c r="AN36" i="106"/>
  <c r="AI36" i="106"/>
  <c r="AD36" i="106"/>
  <c r="Y36" i="106"/>
  <c r="Y35" i="106" s="1"/>
  <c r="T36" i="106"/>
  <c r="O36" i="106"/>
  <c r="J36" i="106"/>
  <c r="J35" i="106" s="1"/>
  <c r="DJ35" i="106"/>
  <c r="DI35" i="106"/>
  <c r="DE35" i="106"/>
  <c r="DD35" i="106"/>
  <c r="CZ35" i="106"/>
  <c r="CY35" i="106"/>
  <c r="CU35" i="106"/>
  <c r="CT35" i="106"/>
  <c r="CP35" i="106"/>
  <c r="CO35" i="106"/>
  <c r="CK35" i="106"/>
  <c r="CJ35" i="106"/>
  <c r="CF35" i="106"/>
  <c r="CE35" i="106"/>
  <c r="CA35" i="106"/>
  <c r="BZ35" i="106"/>
  <c r="BV35" i="106"/>
  <c r="BU35" i="106"/>
  <c r="BQ35" i="106"/>
  <c r="BP35" i="106"/>
  <c r="BG35" i="106"/>
  <c r="BF35" i="106"/>
  <c r="AR35" i="106"/>
  <c r="AQ35" i="106"/>
  <c r="AN35" i="106"/>
  <c r="AM35" i="106"/>
  <c r="AL35" i="106"/>
  <c r="AI35" i="106"/>
  <c r="AH35" i="106"/>
  <c r="AG35" i="106"/>
  <c r="AD35" i="106"/>
  <c r="AC35" i="106"/>
  <c r="AB35" i="106"/>
  <c r="X35" i="106"/>
  <c r="W35" i="106"/>
  <c r="S35" i="106"/>
  <c r="R35" i="106"/>
  <c r="O35" i="106"/>
  <c r="N35" i="106"/>
  <c r="M35" i="106"/>
  <c r="I35" i="106"/>
  <c r="H35" i="106"/>
  <c r="DN35" i="106" s="1"/>
  <c r="DO33" i="106"/>
  <c r="DN33" i="106"/>
  <c r="DK33" i="106"/>
  <c r="DF33" i="106"/>
  <c r="DA33" i="106"/>
  <c r="CV33" i="106"/>
  <c r="CQ33" i="106"/>
  <c r="CL33" i="106"/>
  <c r="CG33" i="106"/>
  <c r="CB33" i="106"/>
  <c r="BW33" i="106"/>
  <c r="BR33" i="106"/>
  <c r="BN33" i="106"/>
  <c r="BM33" i="106"/>
  <c r="BH33" i="106"/>
  <c r="BB33" i="106"/>
  <c r="BA33" i="106"/>
  <c r="AS33" i="106"/>
  <c r="AN33" i="106"/>
  <c r="AI33" i="106"/>
  <c r="AD33" i="106"/>
  <c r="Y33" i="106"/>
  <c r="T33" i="106"/>
  <c r="O33" i="106"/>
  <c r="J33" i="106"/>
  <c r="DK32" i="106"/>
  <c r="DF32" i="106"/>
  <c r="DA32" i="106"/>
  <c r="CV32" i="106"/>
  <c r="CQ32" i="106"/>
  <c r="CL32" i="106"/>
  <c r="CG32" i="106"/>
  <c r="CB32" i="106"/>
  <c r="BW32" i="106"/>
  <c r="BR32" i="106"/>
  <c r="BM32" i="106"/>
  <c r="BN32" i="106" s="1"/>
  <c r="BH32" i="106"/>
  <c r="BB32" i="106"/>
  <c r="BA32" i="106"/>
  <c r="AS32" i="106"/>
  <c r="AL32" i="106"/>
  <c r="AN32" i="106" s="1"/>
  <c r="AI32" i="106"/>
  <c r="AD32" i="106"/>
  <c r="X32" i="106"/>
  <c r="W32" i="106"/>
  <c r="T32" i="106"/>
  <c r="O32" i="106"/>
  <c r="J32" i="106"/>
  <c r="DN31" i="106"/>
  <c r="DK31" i="106"/>
  <c r="DF31" i="106"/>
  <c r="DA31" i="106"/>
  <c r="CV31" i="106"/>
  <c r="CQ31" i="106"/>
  <c r="CL31" i="106"/>
  <c r="CG31" i="106"/>
  <c r="CB31" i="106"/>
  <c r="BW31" i="106"/>
  <c r="BR31" i="106"/>
  <c r="BM31" i="106"/>
  <c r="BN31" i="106" s="1"/>
  <c r="BH31" i="106"/>
  <c r="BB31" i="106"/>
  <c r="BA31" i="106"/>
  <c r="AR31" i="106"/>
  <c r="DO31" i="106" s="1"/>
  <c r="AN31" i="106"/>
  <c r="AI31" i="106"/>
  <c r="AD31" i="106"/>
  <c r="Y31" i="106"/>
  <c r="T31" i="106"/>
  <c r="O31" i="106"/>
  <c r="J31" i="106"/>
  <c r="DN30" i="106"/>
  <c r="DK30" i="106"/>
  <c r="DF30" i="106"/>
  <c r="DA30" i="106"/>
  <c r="CV30" i="106"/>
  <c r="CQ30" i="106"/>
  <c r="CL30" i="106"/>
  <c r="CG30" i="106"/>
  <c r="CB30" i="106"/>
  <c r="BW30" i="106"/>
  <c r="BR30" i="106"/>
  <c r="BM30" i="106"/>
  <c r="BN30" i="106" s="1"/>
  <c r="BH30" i="106"/>
  <c r="BB30" i="106"/>
  <c r="BC30" i="106" s="1"/>
  <c r="BA30" i="106"/>
  <c r="AS30" i="106"/>
  <c r="AN30" i="106"/>
  <c r="AH30" i="106"/>
  <c r="AI30" i="106" s="1"/>
  <c r="AD30" i="106"/>
  <c r="X30" i="106"/>
  <c r="T30" i="106"/>
  <c r="O30" i="106"/>
  <c r="J30" i="106"/>
  <c r="DO29" i="106"/>
  <c r="DN29" i="106"/>
  <c r="DP29" i="106" s="1"/>
  <c r="DK29" i="106"/>
  <c r="DF29" i="106"/>
  <c r="DA29" i="106"/>
  <c r="CV29" i="106"/>
  <c r="CQ29" i="106"/>
  <c r="CL29" i="106"/>
  <c r="CG29" i="106"/>
  <c r="CB29" i="106"/>
  <c r="BW29" i="106"/>
  <c r="BR29" i="106"/>
  <c r="BM29" i="106"/>
  <c r="BN29" i="106" s="1"/>
  <c r="BH29" i="106"/>
  <c r="BB29" i="106"/>
  <c r="BA29" i="106"/>
  <c r="AS29" i="106"/>
  <c r="AN29" i="106"/>
  <c r="AI29" i="106"/>
  <c r="AD29" i="106"/>
  <c r="Y29" i="106"/>
  <c r="T29" i="106"/>
  <c r="N29" i="106"/>
  <c r="O29" i="106" s="1"/>
  <c r="J29" i="106"/>
  <c r="DK28" i="106"/>
  <c r="DF28" i="106"/>
  <c r="DA28" i="106"/>
  <c r="CV28" i="106"/>
  <c r="CQ28" i="106"/>
  <c r="CL28" i="106"/>
  <c r="CG28" i="106"/>
  <c r="CB28" i="106"/>
  <c r="BW28" i="106"/>
  <c r="BR28" i="106"/>
  <c r="BM28" i="106"/>
  <c r="BN28" i="106" s="1"/>
  <c r="BH28" i="106"/>
  <c r="BB28" i="106"/>
  <c r="BA28" i="106"/>
  <c r="AR28" i="106"/>
  <c r="AS28" i="106" s="1"/>
  <c r="AQ28" i="106"/>
  <c r="AL28" i="106"/>
  <c r="AN28" i="106" s="1"/>
  <c r="AH28" i="106"/>
  <c r="AG28" i="106"/>
  <c r="AB28" i="106"/>
  <c r="AD28" i="106" s="1"/>
  <c r="Y28" i="106"/>
  <c r="X28" i="106"/>
  <c r="R28" i="106"/>
  <c r="N28" i="106"/>
  <c r="M28" i="106"/>
  <c r="O28" i="106" s="1"/>
  <c r="I28" i="106"/>
  <c r="H28" i="106"/>
  <c r="J28" i="106" s="1"/>
  <c r="DK27" i="106"/>
  <c r="DF27" i="106"/>
  <c r="DA27" i="106"/>
  <c r="CV27" i="106"/>
  <c r="CQ27" i="106"/>
  <c r="CL27" i="106"/>
  <c r="CG27" i="106"/>
  <c r="CB27" i="106"/>
  <c r="BW27" i="106"/>
  <c r="BR27" i="106"/>
  <c r="BN27" i="106"/>
  <c r="BH27" i="106"/>
  <c r="BB27" i="106"/>
  <c r="BA27" i="106"/>
  <c r="AR27" i="106"/>
  <c r="AR8" i="106" s="1"/>
  <c r="AQ27" i="106"/>
  <c r="AQ8" i="106" s="1"/>
  <c r="AN27" i="106"/>
  <c r="AI27" i="106"/>
  <c r="AD27" i="106"/>
  <c r="AB27" i="106"/>
  <c r="W27" i="106"/>
  <c r="R27" i="106"/>
  <c r="R8" i="106" s="1"/>
  <c r="M27" i="106"/>
  <c r="O27" i="106" s="1"/>
  <c r="J27" i="106"/>
  <c r="H27" i="106"/>
  <c r="DO26" i="106"/>
  <c r="DN26" i="106"/>
  <c r="DK26" i="106"/>
  <c r="DF26" i="106"/>
  <c r="DA26" i="106"/>
  <c r="CV26" i="106"/>
  <c r="CQ26" i="106"/>
  <c r="CL26" i="106"/>
  <c r="CG26" i="106"/>
  <c r="CB26" i="106"/>
  <c r="BW26" i="106"/>
  <c r="BR26" i="106"/>
  <c r="BM26" i="106"/>
  <c r="BN26" i="106" s="1"/>
  <c r="BH26" i="106"/>
  <c r="BB26" i="106"/>
  <c r="BA26" i="106"/>
  <c r="AS26" i="106"/>
  <c r="AN26" i="106"/>
  <c r="AI26" i="106"/>
  <c r="AD26" i="106"/>
  <c r="Y26" i="106"/>
  <c r="T26" i="106"/>
  <c r="O26" i="106"/>
  <c r="J26" i="106"/>
  <c r="DO25" i="106"/>
  <c r="DK25" i="106"/>
  <c r="DF25" i="106"/>
  <c r="DA25" i="106"/>
  <c r="CV25" i="106"/>
  <c r="CQ25" i="106"/>
  <c r="CL25" i="106"/>
  <c r="CG25" i="106"/>
  <c r="CB25" i="106"/>
  <c r="BW25" i="106"/>
  <c r="BR25" i="106"/>
  <c r="BM25" i="106"/>
  <c r="BN25" i="106" s="1"/>
  <c r="BH25" i="106"/>
  <c r="BB25" i="106"/>
  <c r="BA25" i="106"/>
  <c r="AS25" i="106"/>
  <c r="AN25" i="106"/>
  <c r="AI25" i="106"/>
  <c r="AD25" i="106"/>
  <c r="Y25" i="106"/>
  <c r="T25" i="106"/>
  <c r="O25" i="106"/>
  <c r="J25" i="106"/>
  <c r="DO24" i="106"/>
  <c r="DN24" i="106"/>
  <c r="DK24" i="106"/>
  <c r="DF24" i="106"/>
  <c r="DA24" i="106"/>
  <c r="CV24" i="106"/>
  <c r="CQ24" i="106"/>
  <c r="CL24" i="106"/>
  <c r="CG24" i="106"/>
  <c r="CB24" i="106"/>
  <c r="BW24" i="106"/>
  <c r="BR24" i="106"/>
  <c r="BM24" i="106"/>
  <c r="BN24" i="106" s="1"/>
  <c r="BH24" i="106"/>
  <c r="BB24" i="106"/>
  <c r="BA24" i="106"/>
  <c r="BC24" i="106" s="1"/>
  <c r="AS24" i="106"/>
  <c r="AN24" i="106"/>
  <c r="AI24" i="106"/>
  <c r="AD24" i="106"/>
  <c r="Y24" i="106"/>
  <c r="T24" i="106"/>
  <c r="M24" i="106"/>
  <c r="O24" i="106" s="1"/>
  <c r="J24" i="106"/>
  <c r="DO23" i="106"/>
  <c r="DN23" i="106"/>
  <c r="DP23" i="106" s="1"/>
  <c r="DK23" i="106"/>
  <c r="DF23" i="106"/>
  <c r="DA23" i="106"/>
  <c r="CV23" i="106"/>
  <c r="CQ23" i="106"/>
  <c r="CL23" i="106"/>
  <c r="CG23" i="106"/>
  <c r="CB23" i="106"/>
  <c r="BW23" i="106"/>
  <c r="BR23" i="106"/>
  <c r="BN23" i="106"/>
  <c r="BM23" i="106"/>
  <c r="BH23" i="106"/>
  <c r="BB23" i="106"/>
  <c r="BA23" i="106"/>
  <c r="AS23" i="106"/>
  <c r="AN23" i="106"/>
  <c r="AI23" i="106"/>
  <c r="J23" i="106"/>
  <c r="DO22" i="106"/>
  <c r="DN22" i="106"/>
  <c r="DK22" i="106"/>
  <c r="DF22" i="106"/>
  <c r="DA22" i="106"/>
  <c r="CV22" i="106"/>
  <c r="CQ22" i="106"/>
  <c r="CL22" i="106"/>
  <c r="CG22" i="106"/>
  <c r="CB22" i="106"/>
  <c r="BW22" i="106"/>
  <c r="BR22" i="106"/>
  <c r="BM22" i="106"/>
  <c r="BN22" i="106" s="1"/>
  <c r="BH22" i="106"/>
  <c r="BB22" i="106"/>
  <c r="BA22" i="106"/>
  <c r="AS22" i="106"/>
  <c r="AN22" i="106"/>
  <c r="AI22" i="106"/>
  <c r="J22" i="106"/>
  <c r="DO21" i="106"/>
  <c r="DN21" i="106"/>
  <c r="DK21" i="106"/>
  <c r="DF21" i="106"/>
  <c r="DA21" i="106"/>
  <c r="CV21" i="106"/>
  <c r="CQ21" i="106"/>
  <c r="CL21" i="106"/>
  <c r="CG21" i="106"/>
  <c r="CB21" i="106"/>
  <c r="BW21" i="106"/>
  <c r="BR21" i="106"/>
  <c r="BM21" i="106"/>
  <c r="BN21" i="106" s="1"/>
  <c r="BH21" i="106"/>
  <c r="BB21" i="106"/>
  <c r="BA21" i="106"/>
  <c r="BC21" i="106" s="1"/>
  <c r="AS21" i="106"/>
  <c r="AN21" i="106"/>
  <c r="AI21" i="106"/>
  <c r="AD21" i="106"/>
  <c r="Y21" i="106"/>
  <c r="T21" i="106"/>
  <c r="O21" i="106"/>
  <c r="J21" i="106"/>
  <c r="DO20" i="106"/>
  <c r="DN20" i="106"/>
  <c r="DK20" i="106"/>
  <c r="DF20" i="106"/>
  <c r="DA20" i="106"/>
  <c r="CV20" i="106"/>
  <c r="CQ20" i="106"/>
  <c r="CL20" i="106"/>
  <c r="CG20" i="106"/>
  <c r="CB20" i="106"/>
  <c r="BW20" i="106"/>
  <c r="BR20" i="106"/>
  <c r="BM20" i="106"/>
  <c r="BN20" i="106" s="1"/>
  <c r="BH20" i="106"/>
  <c r="BB20" i="106"/>
  <c r="BA20" i="106"/>
  <c r="BC20" i="106" s="1"/>
  <c r="AS20" i="106"/>
  <c r="AN20" i="106"/>
  <c r="AI20" i="106"/>
  <c r="AD20" i="106"/>
  <c r="Y20" i="106"/>
  <c r="T20" i="106"/>
  <c r="O20" i="106"/>
  <c r="J20" i="106"/>
  <c r="DO19" i="106"/>
  <c r="DN19" i="106"/>
  <c r="DP19" i="106" s="1"/>
  <c r="DK19" i="106"/>
  <c r="DF19" i="106"/>
  <c r="DA19" i="106"/>
  <c r="CV19" i="106"/>
  <c r="CQ19" i="106"/>
  <c r="CL19" i="106"/>
  <c r="CG19" i="106"/>
  <c r="CB19" i="106"/>
  <c r="BW19" i="106"/>
  <c r="BR19" i="106"/>
  <c r="BM19" i="106"/>
  <c r="BN19" i="106" s="1"/>
  <c r="BH19" i="106"/>
  <c r="BB19" i="106"/>
  <c r="BA19" i="106"/>
  <c r="BC19" i="106" s="1"/>
  <c r="AS19" i="106"/>
  <c r="AN19" i="106"/>
  <c r="AI19" i="106"/>
  <c r="AD19" i="106"/>
  <c r="Y19" i="106"/>
  <c r="T19" i="106"/>
  <c r="O19" i="106"/>
  <c r="J19" i="106"/>
  <c r="DO18" i="106"/>
  <c r="DK18" i="106"/>
  <c r="DK8" i="106" s="1"/>
  <c r="DF18" i="106"/>
  <c r="DA18" i="106"/>
  <c r="CV18" i="106"/>
  <c r="CQ18" i="106"/>
  <c r="CL18" i="106"/>
  <c r="CG18" i="106"/>
  <c r="CB18" i="106"/>
  <c r="BW18" i="106"/>
  <c r="BR18" i="106"/>
  <c r="BM18" i="106"/>
  <c r="BN18" i="106" s="1"/>
  <c r="BF18" i="106"/>
  <c r="DN18" i="106" s="1"/>
  <c r="BB18" i="106"/>
  <c r="AS18" i="106"/>
  <c r="AN18" i="106"/>
  <c r="AI18" i="106"/>
  <c r="AD18" i="106"/>
  <c r="Y18" i="106"/>
  <c r="T18" i="106"/>
  <c r="N18" i="106"/>
  <c r="M18" i="106"/>
  <c r="H18" i="106"/>
  <c r="H8" i="106" s="1"/>
  <c r="DO17" i="106"/>
  <c r="DP17" i="106" s="1"/>
  <c r="DN17" i="106"/>
  <c r="DK17" i="106"/>
  <c r="DF17" i="106"/>
  <c r="DA17" i="106"/>
  <c r="CV17" i="106"/>
  <c r="CQ17" i="106"/>
  <c r="CL17" i="106"/>
  <c r="CG17" i="106"/>
  <c r="CB17" i="106"/>
  <c r="BW17" i="106"/>
  <c r="BR17" i="106"/>
  <c r="BM17" i="106"/>
  <c r="BN17" i="106" s="1"/>
  <c r="BH17" i="106"/>
  <c r="BB17" i="106"/>
  <c r="BA17" i="106"/>
  <c r="AS17" i="106"/>
  <c r="AN17" i="106"/>
  <c r="AI17" i="106"/>
  <c r="AD17" i="106"/>
  <c r="Y17" i="106"/>
  <c r="T17" i="106"/>
  <c r="O17" i="106"/>
  <c r="J17" i="106"/>
  <c r="DO16" i="106"/>
  <c r="DN16" i="106"/>
  <c r="DK16" i="106"/>
  <c r="DF16" i="106"/>
  <c r="DA16" i="106"/>
  <c r="CV16" i="106"/>
  <c r="CQ16" i="106"/>
  <c r="CL16" i="106"/>
  <c r="CG16" i="106"/>
  <c r="CG8" i="106" s="1"/>
  <c r="CB16" i="106"/>
  <c r="BW16" i="106"/>
  <c r="BR16" i="106"/>
  <c r="BM16" i="106"/>
  <c r="BN16" i="106" s="1"/>
  <c r="BH16" i="106"/>
  <c r="BB16" i="106"/>
  <c r="BA16" i="106"/>
  <c r="BC16" i="106" s="1"/>
  <c r="AS16" i="106"/>
  <c r="AN16" i="106"/>
  <c r="AI16" i="106"/>
  <c r="AD16" i="106"/>
  <c r="Y16" i="106"/>
  <c r="T16" i="106"/>
  <c r="O16" i="106"/>
  <c r="J16" i="106"/>
  <c r="DO15" i="106"/>
  <c r="DN15" i="106"/>
  <c r="DK15" i="106"/>
  <c r="DF15" i="106"/>
  <c r="DA15" i="106"/>
  <c r="CV15" i="106"/>
  <c r="CQ15" i="106"/>
  <c r="CL15" i="106"/>
  <c r="CG15" i="106"/>
  <c r="CB15" i="106"/>
  <c r="BW15" i="106"/>
  <c r="BR15" i="106"/>
  <c r="BM15" i="106"/>
  <c r="BN15" i="106" s="1"/>
  <c r="BH15" i="106"/>
  <c r="BB15" i="106"/>
  <c r="BA15" i="106"/>
  <c r="BC15" i="106" s="1"/>
  <c r="AS15" i="106"/>
  <c r="AN15" i="106"/>
  <c r="AI15" i="106"/>
  <c r="AD15" i="106"/>
  <c r="Y15" i="106"/>
  <c r="T15" i="106"/>
  <c r="O15" i="106"/>
  <c r="J15" i="106"/>
  <c r="DO14" i="106"/>
  <c r="DP14" i="106" s="1"/>
  <c r="DN14" i="106"/>
  <c r="DK14" i="106"/>
  <c r="DF14" i="106"/>
  <c r="DA14" i="106"/>
  <c r="CV14" i="106"/>
  <c r="CQ14" i="106"/>
  <c r="CL14" i="106"/>
  <c r="CG14" i="106"/>
  <c r="CB14" i="106"/>
  <c r="BW14" i="106"/>
  <c r="BR14" i="106"/>
  <c r="BM14" i="106"/>
  <c r="BN14" i="106" s="1"/>
  <c r="BH14" i="106"/>
  <c r="BB14" i="106"/>
  <c r="BA14" i="106"/>
  <c r="AS14" i="106"/>
  <c r="AN14" i="106"/>
  <c r="AI14" i="106"/>
  <c r="AD14" i="106"/>
  <c r="Y14" i="106"/>
  <c r="T14" i="106"/>
  <c r="O14" i="106"/>
  <c r="J14" i="106"/>
  <c r="DO13" i="106"/>
  <c r="DN13" i="106"/>
  <c r="DK13" i="106"/>
  <c r="DF13" i="106"/>
  <c r="DA13" i="106"/>
  <c r="CV13" i="106"/>
  <c r="CQ13" i="106"/>
  <c r="CL13" i="106"/>
  <c r="CG13" i="106"/>
  <c r="CB13" i="106"/>
  <c r="BW13" i="106"/>
  <c r="BR13" i="106"/>
  <c r="BM13" i="106"/>
  <c r="BN13" i="106" s="1"/>
  <c r="BH13" i="106"/>
  <c r="BB13" i="106"/>
  <c r="BA13" i="106"/>
  <c r="AS13" i="106"/>
  <c r="AN13" i="106"/>
  <c r="AI13" i="106"/>
  <c r="AD13" i="106"/>
  <c r="Y13" i="106"/>
  <c r="T13" i="106"/>
  <c r="O13" i="106"/>
  <c r="J13" i="106"/>
  <c r="DO12" i="106"/>
  <c r="DN12" i="106"/>
  <c r="DK12" i="106"/>
  <c r="DF12" i="106"/>
  <c r="DA12" i="106"/>
  <c r="CV12" i="106"/>
  <c r="CQ12" i="106"/>
  <c r="CL12" i="106"/>
  <c r="CG12" i="106"/>
  <c r="CB12" i="106"/>
  <c r="BW12" i="106"/>
  <c r="BR12" i="106"/>
  <c r="BM12" i="106"/>
  <c r="BN12" i="106" s="1"/>
  <c r="BH12" i="106"/>
  <c r="BB12" i="106"/>
  <c r="BA12" i="106"/>
  <c r="AS12" i="106"/>
  <c r="AN12" i="106"/>
  <c r="AI12" i="106"/>
  <c r="AD12" i="106"/>
  <c r="Y12" i="106"/>
  <c r="T12" i="106"/>
  <c r="O12" i="106"/>
  <c r="J12" i="106"/>
  <c r="DO11" i="106"/>
  <c r="DK11" i="106"/>
  <c r="DF11" i="106"/>
  <c r="DA11" i="106"/>
  <c r="CV11" i="106"/>
  <c r="CQ11" i="106"/>
  <c r="CL11" i="106"/>
  <c r="CG11" i="106"/>
  <c r="CB11" i="106"/>
  <c r="BW11" i="106"/>
  <c r="BR11" i="106"/>
  <c r="BM11" i="106"/>
  <c r="BN11" i="106" s="1"/>
  <c r="BF11" i="106"/>
  <c r="BH11" i="106" s="1"/>
  <c r="BB11" i="106"/>
  <c r="BA11" i="106"/>
  <c r="AS11" i="106"/>
  <c r="AN11" i="106"/>
  <c r="AI11" i="106"/>
  <c r="AD11" i="106"/>
  <c r="Y11" i="106"/>
  <c r="T11" i="106"/>
  <c r="J11" i="106"/>
  <c r="DO10" i="106"/>
  <c r="DK10" i="106"/>
  <c r="DF10" i="106"/>
  <c r="DA10" i="106"/>
  <c r="CV10" i="106"/>
  <c r="CQ10" i="106"/>
  <c r="CL10" i="106"/>
  <c r="CG10" i="106"/>
  <c r="CB10" i="106"/>
  <c r="BW10" i="106"/>
  <c r="BR10" i="106"/>
  <c r="BM10" i="106"/>
  <c r="BN10" i="106" s="1"/>
  <c r="BF10" i="106"/>
  <c r="DN10" i="106" s="1"/>
  <c r="BB10" i="106"/>
  <c r="AS10" i="106"/>
  <c r="AN10" i="106"/>
  <c r="AI10" i="106"/>
  <c r="AD10" i="106"/>
  <c r="Y10" i="106"/>
  <c r="T10" i="106"/>
  <c r="J10" i="106"/>
  <c r="DK9" i="106"/>
  <c r="DF9" i="106"/>
  <c r="DA9" i="106"/>
  <c r="CV9" i="106"/>
  <c r="CQ9" i="106"/>
  <c r="CL9" i="106"/>
  <c r="CG9" i="106"/>
  <c r="CB9" i="106"/>
  <c r="BW9" i="106"/>
  <c r="BR9" i="106"/>
  <c r="BM9" i="106"/>
  <c r="BN9" i="106" s="1"/>
  <c r="BF9" i="106"/>
  <c r="BB9" i="106"/>
  <c r="AS9" i="106"/>
  <c r="AN9" i="106"/>
  <c r="AH9" i="106"/>
  <c r="AI9" i="106" s="1"/>
  <c r="AC9" i="106"/>
  <c r="AD9" i="106" s="1"/>
  <c r="X9" i="106"/>
  <c r="Y9" i="106" s="1"/>
  <c r="S9" i="106"/>
  <c r="N9" i="106"/>
  <c r="N8" i="106" s="1"/>
  <c r="I9" i="106"/>
  <c r="I8" i="106" s="1"/>
  <c r="DJ8" i="106"/>
  <c r="DI8" i="106"/>
  <c r="DE8" i="106"/>
  <c r="DD8" i="106"/>
  <c r="CZ8" i="106"/>
  <c r="CY8" i="106"/>
  <c r="CV8" i="106"/>
  <c r="CU8" i="106"/>
  <c r="CT8" i="106"/>
  <c r="CP8" i="106"/>
  <c r="CO8" i="106"/>
  <c r="CK8" i="106"/>
  <c r="CJ8" i="106"/>
  <c r="CF8" i="106"/>
  <c r="CE8" i="106"/>
  <c r="CA8" i="106"/>
  <c r="BZ8" i="106"/>
  <c r="BV8" i="106"/>
  <c r="BU8" i="106"/>
  <c r="BQ8" i="106"/>
  <c r="BP8" i="106"/>
  <c r="BL8" i="106"/>
  <c r="BK8" i="106"/>
  <c r="BG8" i="106"/>
  <c r="AM8" i="106"/>
  <c r="AL8" i="106"/>
  <c r="AG8" i="106"/>
  <c r="AB8" i="106"/>
  <c r="W8" i="106"/>
  <c r="DO7" i="106"/>
  <c r="DK7" i="106"/>
  <c r="DF7" i="106"/>
  <c r="DA7" i="106"/>
  <c r="CV7" i="106"/>
  <c r="CQ7" i="106"/>
  <c r="CL7" i="106"/>
  <c r="CG7" i="106"/>
  <c r="CB7" i="106"/>
  <c r="BW7" i="106"/>
  <c r="BR7" i="106"/>
  <c r="BR5" i="106" s="1"/>
  <c r="BM7" i="106"/>
  <c r="BM5" i="106" s="1"/>
  <c r="BF7" i="106"/>
  <c r="BH7" i="106" s="1"/>
  <c r="BB7" i="106"/>
  <c r="BA7" i="106"/>
  <c r="BC7" i="106" s="1"/>
  <c r="AS7" i="106"/>
  <c r="AN7" i="106"/>
  <c r="AG7" i="106"/>
  <c r="DN7" i="106" s="1"/>
  <c r="DP7" i="106" s="1"/>
  <c r="AD7" i="106"/>
  <c r="Y7" i="106"/>
  <c r="T7" i="106"/>
  <c r="O7" i="106"/>
  <c r="J7" i="106"/>
  <c r="DO6" i="106"/>
  <c r="DK6" i="106"/>
  <c r="DK5" i="106" s="1"/>
  <c r="DF6" i="106"/>
  <c r="DF5" i="106" s="1"/>
  <c r="DA6" i="106"/>
  <c r="CV6" i="106"/>
  <c r="CQ6" i="106"/>
  <c r="CL6" i="106"/>
  <c r="CL5" i="106" s="1"/>
  <c r="CG6" i="106"/>
  <c r="CG5" i="106" s="1"/>
  <c r="CB6" i="106"/>
  <c r="CB5" i="106" s="1"/>
  <c r="BW6" i="106"/>
  <c r="BF6" i="106"/>
  <c r="BA6" i="106" s="1"/>
  <c r="BB5" i="106"/>
  <c r="AQ6" i="106"/>
  <c r="AS6" i="106" s="1"/>
  <c r="AL6" i="106"/>
  <c r="AN6" i="106" s="1"/>
  <c r="AN5" i="106" s="1"/>
  <c r="AG6" i="106"/>
  <c r="AI6" i="106" s="1"/>
  <c r="AB6" i="106"/>
  <c r="AB5" i="106" s="1"/>
  <c r="Y6" i="106"/>
  <c r="Y5" i="106" s="1"/>
  <c r="R6" i="106"/>
  <c r="M6" i="106"/>
  <c r="O6" i="106" s="1"/>
  <c r="J6" i="106"/>
  <c r="DJ5" i="106"/>
  <c r="DJ38" i="106" s="1"/>
  <c r="DI5" i="106"/>
  <c r="DE5" i="106"/>
  <c r="DE38" i="106" s="1"/>
  <c r="DD5" i="106"/>
  <c r="DA5" i="106"/>
  <c r="CZ5" i="106"/>
  <c r="CY5" i="106"/>
  <c r="CV5" i="106"/>
  <c r="CU5" i="106"/>
  <c r="CU38" i="106" s="1"/>
  <c r="CT5" i="106"/>
  <c r="CT38" i="106" s="1"/>
  <c r="CP5" i="106"/>
  <c r="CP38" i="106" s="1"/>
  <c r="CO5" i="106"/>
  <c r="CK5" i="106"/>
  <c r="CK38" i="106" s="1"/>
  <c r="CJ5" i="106"/>
  <c r="CF5" i="106"/>
  <c r="CE5" i="106"/>
  <c r="CA5" i="106"/>
  <c r="CA38" i="106" s="1"/>
  <c r="BZ5" i="106"/>
  <c r="BW5" i="106"/>
  <c r="BV5" i="106"/>
  <c r="BV38" i="106" s="1"/>
  <c r="BU5" i="106"/>
  <c r="BQ5" i="106"/>
  <c r="BP5" i="106"/>
  <c r="BL5" i="106"/>
  <c r="BK5" i="106"/>
  <c r="BG5" i="106"/>
  <c r="BG38" i="106" s="1"/>
  <c r="AR5" i="106"/>
  <c r="AQ5" i="106"/>
  <c r="AM5" i="106"/>
  <c r="AL5" i="106"/>
  <c r="AH5" i="106"/>
  <c r="AC5" i="106"/>
  <c r="W5" i="106"/>
  <c r="W38" i="106" s="1"/>
  <c r="S5" i="106"/>
  <c r="N5" i="106"/>
  <c r="M5" i="106"/>
  <c r="I5" i="106"/>
  <c r="H5" i="106"/>
  <c r="Y91" i="129"/>
  <c r="Y94" i="129" s="1"/>
  <c r="Y89" i="129"/>
  <c r="CO85" i="129"/>
  <c r="CL85" i="129"/>
  <c r="CG85" i="129"/>
  <c r="CB85" i="129"/>
  <c r="BW85" i="129"/>
  <c r="BR85" i="129"/>
  <c r="BM85" i="129"/>
  <c r="AI85" i="129"/>
  <c r="AB85" i="129"/>
  <c r="T85" i="129"/>
  <c r="O85" i="129"/>
  <c r="CP82" i="129"/>
  <c r="CO82" i="129"/>
  <c r="CQ82" i="129" s="1"/>
  <c r="CL82" i="129"/>
  <c r="CG82" i="129"/>
  <c r="CB82" i="129"/>
  <c r="BW82" i="129"/>
  <c r="BR82" i="129"/>
  <c r="BM82" i="129"/>
  <c r="BH82" i="129"/>
  <c r="BC82" i="129"/>
  <c r="AX82" i="129"/>
  <c r="AS82" i="129"/>
  <c r="AN82" i="129"/>
  <c r="AI82" i="129"/>
  <c r="AD82" i="129"/>
  <c r="T82" i="129"/>
  <c r="O82" i="129"/>
  <c r="J82" i="129"/>
  <c r="E82" i="129"/>
  <c r="CP79" i="129"/>
  <c r="BM79" i="129"/>
  <c r="BH79" i="129"/>
  <c r="AC79" i="129"/>
  <c r="CP78" i="129"/>
  <c r="CO78" i="129"/>
  <c r="CL78" i="129"/>
  <c r="CG78" i="129"/>
  <c r="CB78" i="129"/>
  <c r="BW78" i="129"/>
  <c r="BR78" i="129"/>
  <c r="BM78" i="129"/>
  <c r="BM77" i="129" s="1"/>
  <c r="BH78" i="129"/>
  <c r="BC78" i="129"/>
  <c r="AX78" i="129"/>
  <c r="AN78" i="129"/>
  <c r="AI78" i="129"/>
  <c r="AC78" i="129"/>
  <c r="AB78" i="129"/>
  <c r="AD78" i="129" s="1"/>
  <c r="T78" i="129"/>
  <c r="O78" i="129"/>
  <c r="J78" i="129"/>
  <c r="E78" i="129"/>
  <c r="CK77" i="129"/>
  <c r="CF77" i="129"/>
  <c r="CA77" i="129"/>
  <c r="BV77" i="129"/>
  <c r="BQ77" i="129"/>
  <c r="BL77" i="129"/>
  <c r="BK77" i="129"/>
  <c r="BG77" i="129"/>
  <c r="BF77" i="129"/>
  <c r="BB77" i="129"/>
  <c r="AW77" i="129"/>
  <c r="AM77" i="129"/>
  <c r="AH77" i="129"/>
  <c r="S77" i="129"/>
  <c r="N77" i="129"/>
  <c r="I77" i="129"/>
  <c r="D77" i="129"/>
  <c r="CP74" i="129"/>
  <c r="CP73" i="129" s="1"/>
  <c r="CL74" i="129"/>
  <c r="CG74" i="129"/>
  <c r="CG73" i="129" s="1"/>
  <c r="CB74" i="129"/>
  <c r="BW74" i="129"/>
  <c r="BW73" i="129" s="1"/>
  <c r="BR74" i="129"/>
  <c r="BM74" i="129"/>
  <c r="BM73" i="129" s="1"/>
  <c r="BH74" i="129"/>
  <c r="BH73" i="129" s="1"/>
  <c r="BC74" i="129"/>
  <c r="BC73" i="129" s="1"/>
  <c r="AX74" i="129"/>
  <c r="AX73" i="129" s="1"/>
  <c r="AN74" i="129"/>
  <c r="AN73" i="129" s="1"/>
  <c r="AI74" i="129"/>
  <c r="AC74" i="129"/>
  <c r="AC73" i="129" s="1"/>
  <c r="AB74" i="129"/>
  <c r="AB73" i="129" s="1"/>
  <c r="R74" i="129"/>
  <c r="T74" i="129" s="1"/>
  <c r="T73" i="129" s="1"/>
  <c r="M74" i="129"/>
  <c r="H74" i="129"/>
  <c r="H73" i="129" s="1"/>
  <c r="C74" i="129"/>
  <c r="E74" i="129" s="1"/>
  <c r="E73" i="129" s="1"/>
  <c r="CL73" i="129"/>
  <c r="CK73" i="129"/>
  <c r="CJ73" i="129"/>
  <c r="CF73" i="129"/>
  <c r="CE73" i="129"/>
  <c r="CB73" i="129"/>
  <c r="CA73" i="129"/>
  <c r="BZ73" i="129"/>
  <c r="BV73" i="129"/>
  <c r="BU73" i="129"/>
  <c r="BR73" i="129"/>
  <c r="BQ73" i="129"/>
  <c r="BP73" i="129"/>
  <c r="BL73" i="129"/>
  <c r="BK73" i="129"/>
  <c r="BG73" i="129"/>
  <c r="BF73" i="129"/>
  <c r="BB73" i="129"/>
  <c r="BA73" i="129"/>
  <c r="AW73" i="129"/>
  <c r="AV73" i="129"/>
  <c r="AM73" i="129"/>
  <c r="AL73" i="129"/>
  <c r="AI73" i="129"/>
  <c r="AH73" i="129"/>
  <c r="AG73" i="129"/>
  <c r="S73" i="129"/>
  <c r="N73" i="129"/>
  <c r="I73" i="129"/>
  <c r="D73" i="129"/>
  <c r="C73" i="129"/>
  <c r="CP71" i="129"/>
  <c r="CO71" i="129"/>
  <c r="CL71" i="129"/>
  <c r="CG71" i="129"/>
  <c r="CB71" i="129"/>
  <c r="BW71" i="129"/>
  <c r="BR71" i="129"/>
  <c r="BM71" i="129"/>
  <c r="BH71" i="129"/>
  <c r="BC71" i="129"/>
  <c r="AX71" i="129"/>
  <c r="AN71" i="129"/>
  <c r="AI71" i="129"/>
  <c r="AC71" i="129"/>
  <c r="AB71" i="129"/>
  <c r="T71" i="129"/>
  <c r="O71" i="129"/>
  <c r="J71" i="129"/>
  <c r="E71" i="129"/>
  <c r="CP70" i="129"/>
  <c r="CO70" i="129"/>
  <c r="CQ70" i="129" s="1"/>
  <c r="CL70" i="129"/>
  <c r="CG70" i="129"/>
  <c r="CB70" i="129"/>
  <c r="BW70" i="129"/>
  <c r="BR70" i="129"/>
  <c r="BM70" i="129"/>
  <c r="BH70" i="129"/>
  <c r="BC70" i="129"/>
  <c r="AX70" i="129"/>
  <c r="AN70" i="129"/>
  <c r="AI70" i="129"/>
  <c r="AC70" i="129"/>
  <c r="AB70" i="129"/>
  <c r="AD70" i="129" s="1"/>
  <c r="T70" i="129"/>
  <c r="O70" i="129"/>
  <c r="J70" i="129"/>
  <c r="E70" i="129"/>
  <c r="CP69" i="129"/>
  <c r="CO69" i="129"/>
  <c r="CL69" i="129"/>
  <c r="CG69" i="129"/>
  <c r="CB69" i="129"/>
  <c r="BW69" i="129"/>
  <c r="BR69" i="129"/>
  <c r="BM69" i="129"/>
  <c r="BH69" i="129"/>
  <c r="BC69" i="129"/>
  <c r="AX69" i="129"/>
  <c r="AN69" i="129"/>
  <c r="AI69" i="129"/>
  <c r="AC69" i="129"/>
  <c r="AB69" i="129"/>
  <c r="AD69" i="129" s="1"/>
  <c r="T69" i="129"/>
  <c r="O69" i="129"/>
  <c r="J69" i="129"/>
  <c r="E69" i="129"/>
  <c r="CL68" i="129"/>
  <c r="CG68" i="129"/>
  <c r="CB68" i="129"/>
  <c r="BW68" i="129"/>
  <c r="BR68" i="129"/>
  <c r="BM68" i="129"/>
  <c r="BH68" i="129"/>
  <c r="BC68" i="129"/>
  <c r="AX68" i="129"/>
  <c r="AN68" i="129"/>
  <c r="AH68" i="129"/>
  <c r="AH54" i="129" s="1"/>
  <c r="AG68" i="129"/>
  <c r="AB68" i="129"/>
  <c r="T68" i="129"/>
  <c r="M68" i="129"/>
  <c r="O68" i="129" s="1"/>
  <c r="H68" i="129"/>
  <c r="J68" i="129" s="1"/>
  <c r="C68" i="129"/>
  <c r="CP67" i="129"/>
  <c r="CL67" i="129"/>
  <c r="CG67" i="129"/>
  <c r="CB67" i="129"/>
  <c r="BW67" i="129"/>
  <c r="BR67" i="129"/>
  <c r="BM67" i="129"/>
  <c r="BH67" i="129"/>
  <c r="BC67" i="129"/>
  <c r="AX67" i="129"/>
  <c r="AN67" i="129"/>
  <c r="AI67" i="129"/>
  <c r="AC67" i="129"/>
  <c r="AB67" i="129"/>
  <c r="T67" i="129"/>
  <c r="O67" i="129"/>
  <c r="H67" i="129"/>
  <c r="J67" i="129" s="1"/>
  <c r="E67" i="129"/>
  <c r="CP66" i="129"/>
  <c r="CO66" i="129"/>
  <c r="CQ66" i="129" s="1"/>
  <c r="CL66" i="129"/>
  <c r="CG66" i="129"/>
  <c r="CB66" i="129"/>
  <c r="BW66" i="129"/>
  <c r="BR66" i="129"/>
  <c r="BM66" i="129"/>
  <c r="BH66" i="129"/>
  <c r="BC66" i="129"/>
  <c r="AX66" i="129"/>
  <c r="AN66" i="129"/>
  <c r="AI66" i="129"/>
  <c r="AC66" i="129"/>
  <c r="AB66" i="129"/>
  <c r="AD66" i="129" s="1"/>
  <c r="T66" i="129"/>
  <c r="O66" i="129"/>
  <c r="J66" i="129"/>
  <c r="E66" i="129"/>
  <c r="CQ65" i="129"/>
  <c r="CP65" i="129"/>
  <c r="CO65" i="129"/>
  <c r="CL65" i="129"/>
  <c r="CG65" i="129"/>
  <c r="CB65" i="129"/>
  <c r="BW65" i="129"/>
  <c r="BR65" i="129"/>
  <c r="BM65" i="129"/>
  <c r="BH65" i="129"/>
  <c r="BC65" i="129"/>
  <c r="AX65" i="129"/>
  <c r="AN65" i="129"/>
  <c r="AI65" i="129"/>
  <c r="AC65" i="129"/>
  <c r="AB65" i="129"/>
  <c r="T65" i="129"/>
  <c r="O65" i="129"/>
  <c r="J65" i="129"/>
  <c r="E65" i="129"/>
  <c r="CP64" i="129"/>
  <c r="CL64" i="129"/>
  <c r="CG64" i="129"/>
  <c r="CB64" i="129"/>
  <c r="BW64" i="129"/>
  <c r="BR64" i="129"/>
  <c r="BM64" i="129"/>
  <c r="BH64" i="129"/>
  <c r="BC64" i="129"/>
  <c r="AX64" i="129"/>
  <c r="AN64" i="129"/>
  <c r="AI64" i="129"/>
  <c r="AC64" i="129"/>
  <c r="AD64" i="129" s="1"/>
  <c r="AB64" i="129"/>
  <c r="R64" i="129"/>
  <c r="T64" i="129" s="1"/>
  <c r="O64" i="129"/>
  <c r="H64" i="129"/>
  <c r="CO64" i="129" s="1"/>
  <c r="E64" i="129"/>
  <c r="CP63" i="129"/>
  <c r="CL63" i="129"/>
  <c r="CG63" i="129"/>
  <c r="CB63" i="129"/>
  <c r="BW63" i="129"/>
  <c r="BR63" i="129"/>
  <c r="BM63" i="129"/>
  <c r="BH63" i="129"/>
  <c r="BC63" i="129"/>
  <c r="AX63" i="129"/>
  <c r="AN63" i="129"/>
  <c r="AI63" i="129"/>
  <c r="AC63" i="129"/>
  <c r="AD63" i="129" s="1"/>
  <c r="AB63" i="129"/>
  <c r="T63" i="129"/>
  <c r="O63" i="129"/>
  <c r="H63" i="129"/>
  <c r="CO63" i="129" s="1"/>
  <c r="CQ63" i="129" s="1"/>
  <c r="E63" i="129"/>
  <c r="CP62" i="129"/>
  <c r="CL62" i="129"/>
  <c r="CG62" i="129"/>
  <c r="CB62" i="129"/>
  <c r="BW62" i="129"/>
  <c r="BR62" i="129"/>
  <c r="BM62" i="129"/>
  <c r="BH62" i="129"/>
  <c r="BC62" i="129"/>
  <c r="AX62" i="129"/>
  <c r="AN62" i="129"/>
  <c r="AI62" i="129"/>
  <c r="AC62" i="129"/>
  <c r="AB62" i="129"/>
  <c r="AD62" i="129" s="1"/>
  <c r="T62" i="129"/>
  <c r="R62" i="129"/>
  <c r="M62" i="129"/>
  <c r="J62" i="129"/>
  <c r="H62" i="129"/>
  <c r="E62" i="129"/>
  <c r="CP61" i="129"/>
  <c r="CO61" i="129"/>
  <c r="CQ61" i="129" s="1"/>
  <c r="CL61" i="129"/>
  <c r="CG61" i="129"/>
  <c r="CB61" i="129"/>
  <c r="BW61" i="129"/>
  <c r="BR61" i="129"/>
  <c r="BM61" i="129"/>
  <c r="BH61" i="129"/>
  <c r="BC61" i="129"/>
  <c r="AX61" i="129"/>
  <c r="AN61" i="129"/>
  <c r="AI61" i="129"/>
  <c r="AC61" i="129"/>
  <c r="AD61" i="129" s="1"/>
  <c r="AB61" i="129"/>
  <c r="T61" i="129"/>
  <c r="O61" i="129"/>
  <c r="J61" i="129"/>
  <c r="E61" i="129"/>
  <c r="CP60" i="129"/>
  <c r="CO60" i="129"/>
  <c r="CQ60" i="129" s="1"/>
  <c r="CL60" i="129"/>
  <c r="CG60" i="129"/>
  <c r="CB60" i="129"/>
  <c r="BW60" i="129"/>
  <c r="BR60" i="129"/>
  <c r="BM60" i="129"/>
  <c r="BH60" i="129"/>
  <c r="BC60" i="129"/>
  <c r="AX60" i="129"/>
  <c r="AN60" i="129"/>
  <c r="AI60" i="129"/>
  <c r="AC60" i="129"/>
  <c r="AB60" i="129"/>
  <c r="AD60" i="129" s="1"/>
  <c r="T60" i="129"/>
  <c r="O60" i="129"/>
  <c r="J60" i="129"/>
  <c r="E60" i="129"/>
  <c r="CP59" i="129"/>
  <c r="CO59" i="129"/>
  <c r="CQ59" i="129" s="1"/>
  <c r="CL59" i="129"/>
  <c r="CG59" i="129"/>
  <c r="CB59" i="129"/>
  <c r="BW59" i="129"/>
  <c r="BR59" i="129"/>
  <c r="BM59" i="129"/>
  <c r="BH59" i="129"/>
  <c r="BC59" i="129"/>
  <c r="AX59" i="129"/>
  <c r="AN59" i="129"/>
  <c r="AI59" i="129"/>
  <c r="AC59" i="129"/>
  <c r="AB59" i="129"/>
  <c r="AD59" i="129" s="1"/>
  <c r="T59" i="129"/>
  <c r="O59" i="129"/>
  <c r="J59" i="129"/>
  <c r="E59" i="129"/>
  <c r="CP58" i="129"/>
  <c r="CO58" i="129"/>
  <c r="CL58" i="129"/>
  <c r="CG58" i="129"/>
  <c r="CB58" i="129"/>
  <c r="BW58" i="129"/>
  <c r="BR58" i="129"/>
  <c r="BM58" i="129"/>
  <c r="BH58" i="129"/>
  <c r="BC58" i="129"/>
  <c r="AX58" i="129"/>
  <c r="AN58" i="129"/>
  <c r="AI58" i="129"/>
  <c r="AC58" i="129"/>
  <c r="AB58" i="129"/>
  <c r="AD58" i="129" s="1"/>
  <c r="T58" i="129"/>
  <c r="O58" i="129"/>
  <c r="J58" i="129"/>
  <c r="E58" i="129"/>
  <c r="CP57" i="129"/>
  <c r="CO57" i="129"/>
  <c r="CQ57" i="129" s="1"/>
  <c r="CL57" i="129"/>
  <c r="CG57" i="129"/>
  <c r="CB57" i="129"/>
  <c r="BW57" i="129"/>
  <c r="BR57" i="129"/>
  <c r="BM57" i="129"/>
  <c r="BH57" i="129"/>
  <c r="BC57" i="129"/>
  <c r="AX57" i="129"/>
  <c r="AN57" i="129"/>
  <c r="AI57" i="129"/>
  <c r="AC57" i="129"/>
  <c r="AB57" i="129"/>
  <c r="T57" i="129"/>
  <c r="O57" i="129"/>
  <c r="J57" i="129"/>
  <c r="E57" i="129"/>
  <c r="CP56" i="129"/>
  <c r="CO56" i="129"/>
  <c r="CL56" i="129"/>
  <c r="CG56" i="129"/>
  <c r="CB56" i="129"/>
  <c r="BW56" i="129"/>
  <c r="BR56" i="129"/>
  <c r="BM56" i="129"/>
  <c r="BH56" i="129"/>
  <c r="BC56" i="129"/>
  <c r="AX56" i="129"/>
  <c r="AN56" i="129"/>
  <c r="AI56" i="129"/>
  <c r="AC56" i="129"/>
  <c r="AB56" i="129"/>
  <c r="T56" i="129"/>
  <c r="O56" i="129"/>
  <c r="J56" i="129"/>
  <c r="E56" i="129"/>
  <c r="CL55" i="129"/>
  <c r="CG55" i="129"/>
  <c r="CB55" i="129"/>
  <c r="BW55" i="129"/>
  <c r="BR55" i="129"/>
  <c r="BM55" i="129"/>
  <c r="BH55" i="129"/>
  <c r="BC55" i="129"/>
  <c r="AX55" i="129"/>
  <c r="AN55" i="129"/>
  <c r="AI55" i="129"/>
  <c r="AC55" i="129"/>
  <c r="AB55" i="129"/>
  <c r="T55" i="129"/>
  <c r="O55" i="129"/>
  <c r="I55" i="129"/>
  <c r="CP55" i="129" s="1"/>
  <c r="E55" i="129"/>
  <c r="CK54" i="129"/>
  <c r="CJ54" i="129"/>
  <c r="CF54" i="129"/>
  <c r="CE54" i="129"/>
  <c r="CA54" i="129"/>
  <c r="BZ54" i="129"/>
  <c r="BV54" i="129"/>
  <c r="BU54" i="129"/>
  <c r="BQ54" i="129"/>
  <c r="BP54" i="129"/>
  <c r="BL54" i="129"/>
  <c r="BK54" i="129"/>
  <c r="BG54" i="129"/>
  <c r="BF54" i="129"/>
  <c r="BB54" i="129"/>
  <c r="BA54" i="129"/>
  <c r="AW54" i="129"/>
  <c r="AV54" i="129"/>
  <c r="AM54" i="129"/>
  <c r="AL54" i="129"/>
  <c r="AG54" i="129"/>
  <c r="S54" i="129"/>
  <c r="R54" i="129"/>
  <c r="N54" i="129"/>
  <c r="I54" i="129"/>
  <c r="D54" i="129"/>
  <c r="CP52" i="129"/>
  <c r="CO52" i="129"/>
  <c r="CL52" i="129"/>
  <c r="CG52" i="129"/>
  <c r="CB52" i="129"/>
  <c r="BW52" i="129"/>
  <c r="BR52" i="129"/>
  <c r="BM52" i="129"/>
  <c r="BH52" i="129"/>
  <c r="BC52" i="129"/>
  <c r="AX52" i="129"/>
  <c r="AN52" i="129"/>
  <c r="AI52" i="129"/>
  <c r="AC52" i="129"/>
  <c r="AB52" i="129"/>
  <c r="AD52" i="129" s="1"/>
  <c r="T52" i="129"/>
  <c r="O52" i="129"/>
  <c r="J52" i="129"/>
  <c r="E52" i="129"/>
  <c r="CP51" i="129"/>
  <c r="CO51" i="129"/>
  <c r="CL51" i="129"/>
  <c r="CG51" i="129"/>
  <c r="CB51" i="129"/>
  <c r="CB50" i="129" s="1"/>
  <c r="BW51" i="129"/>
  <c r="BR51" i="129"/>
  <c r="BM51" i="129"/>
  <c r="BM50" i="129" s="1"/>
  <c r="BH51" i="129"/>
  <c r="BC51" i="129"/>
  <c r="AX51" i="129"/>
  <c r="AN51" i="129"/>
  <c r="AI51" i="129"/>
  <c r="AI50" i="129" s="1"/>
  <c r="AC51" i="129"/>
  <c r="AB51" i="129"/>
  <c r="T51" i="129"/>
  <c r="O51" i="129"/>
  <c r="J51" i="129"/>
  <c r="E51" i="129"/>
  <c r="CL50" i="129"/>
  <c r="CK50" i="129"/>
  <c r="CJ50" i="129"/>
  <c r="CF50" i="129"/>
  <c r="CE50" i="129"/>
  <c r="CA50" i="129"/>
  <c r="BZ50" i="129"/>
  <c r="BW50" i="129"/>
  <c r="BV50" i="129"/>
  <c r="BU50" i="129"/>
  <c r="BQ50" i="129"/>
  <c r="BP50" i="129"/>
  <c r="BL50" i="129"/>
  <c r="BK50" i="129"/>
  <c r="BG50" i="129"/>
  <c r="BF50" i="129"/>
  <c r="BB50" i="129"/>
  <c r="BA50" i="129"/>
  <c r="AW50" i="129"/>
  <c r="AV50" i="129"/>
  <c r="AM50" i="129"/>
  <c r="AL50" i="129"/>
  <c r="AH50" i="129"/>
  <c r="AG50" i="129"/>
  <c r="S50" i="129"/>
  <c r="R50" i="129"/>
  <c r="O50" i="129"/>
  <c r="N50" i="129"/>
  <c r="M50" i="129"/>
  <c r="I50" i="129"/>
  <c r="H50" i="129"/>
  <c r="D50" i="129"/>
  <c r="C50" i="129"/>
  <c r="CP48" i="129"/>
  <c r="CL48" i="129"/>
  <c r="CG48" i="129"/>
  <c r="CB48" i="129"/>
  <c r="BW48" i="129"/>
  <c r="BR48" i="129"/>
  <c r="BM48" i="129"/>
  <c r="BH48" i="129"/>
  <c r="BC48" i="129"/>
  <c r="AX48" i="129"/>
  <c r="AN48" i="129"/>
  <c r="AI48" i="129"/>
  <c r="AC48" i="129"/>
  <c r="AB48" i="129"/>
  <c r="T48" i="129"/>
  <c r="O48" i="129"/>
  <c r="M48" i="129"/>
  <c r="H48" i="129"/>
  <c r="CO48" i="129" s="1"/>
  <c r="CQ48" i="129" s="1"/>
  <c r="E48" i="129"/>
  <c r="CP47" i="129"/>
  <c r="CL47" i="129"/>
  <c r="CG47" i="129"/>
  <c r="CB47" i="129"/>
  <c r="BW47" i="129"/>
  <c r="BR47" i="129"/>
  <c r="BM47" i="129"/>
  <c r="BH47" i="129"/>
  <c r="BC47" i="129"/>
  <c r="AX47" i="129"/>
  <c r="AN47" i="129"/>
  <c r="AI47" i="129"/>
  <c r="AG47" i="129"/>
  <c r="AC47" i="129"/>
  <c r="AB47" i="129"/>
  <c r="T47" i="129"/>
  <c r="O47" i="129"/>
  <c r="J47" i="129"/>
  <c r="H47" i="129"/>
  <c r="CO47" i="129" s="1"/>
  <c r="E47" i="129"/>
  <c r="CP46" i="129"/>
  <c r="CL46" i="129"/>
  <c r="CG46" i="129"/>
  <c r="CB46" i="129"/>
  <c r="BW46" i="129"/>
  <c r="BR46" i="129"/>
  <c r="BM46" i="129"/>
  <c r="BH46" i="129"/>
  <c r="BC46" i="129"/>
  <c r="AX46" i="129"/>
  <c r="AN46" i="129"/>
  <c r="AI46" i="129"/>
  <c r="AC46" i="129"/>
  <c r="AB46" i="129"/>
  <c r="T46" i="129"/>
  <c r="O46" i="129"/>
  <c r="H46" i="129"/>
  <c r="E46" i="129"/>
  <c r="CP45" i="129"/>
  <c r="CL45" i="129"/>
  <c r="CG45" i="129"/>
  <c r="CB45" i="129"/>
  <c r="BW45" i="129"/>
  <c r="BR45" i="129"/>
  <c r="BM45" i="129"/>
  <c r="BH45" i="129"/>
  <c r="BC45" i="129"/>
  <c r="AX45" i="129"/>
  <c r="AN45" i="129"/>
  <c r="AI45" i="129"/>
  <c r="AC45" i="129"/>
  <c r="AB45" i="129"/>
  <c r="AD45" i="129" s="1"/>
  <c r="T45" i="129"/>
  <c r="M45" i="129"/>
  <c r="H45" i="129"/>
  <c r="E45" i="129"/>
  <c r="CL44" i="129"/>
  <c r="CG44" i="129"/>
  <c r="CB44" i="129"/>
  <c r="BW44" i="129"/>
  <c r="BR44" i="129"/>
  <c r="BM44" i="129"/>
  <c r="BH44" i="129"/>
  <c r="BC44" i="129"/>
  <c r="AX44" i="129"/>
  <c r="AN44" i="129"/>
  <c r="AI44" i="129"/>
  <c r="AC44" i="129"/>
  <c r="AB44" i="129"/>
  <c r="S44" i="129"/>
  <c r="R44" i="129"/>
  <c r="R41" i="129" s="1"/>
  <c r="O44" i="129"/>
  <c r="N44" i="129"/>
  <c r="N41" i="129" s="1"/>
  <c r="I44" i="129"/>
  <c r="H44" i="129"/>
  <c r="E44" i="129"/>
  <c r="D44" i="129"/>
  <c r="CP43" i="129"/>
  <c r="CL43" i="129"/>
  <c r="CL41" i="129" s="1"/>
  <c r="CG43" i="129"/>
  <c r="CB43" i="129"/>
  <c r="BW43" i="129"/>
  <c r="BR43" i="129"/>
  <c r="BM43" i="129"/>
  <c r="BH43" i="129"/>
  <c r="BC43" i="129"/>
  <c r="AX43" i="129"/>
  <c r="AN43" i="129"/>
  <c r="AI43" i="129"/>
  <c r="AC43" i="129"/>
  <c r="AB43" i="129"/>
  <c r="T43" i="129"/>
  <c r="O43" i="129"/>
  <c r="H43" i="129"/>
  <c r="J43" i="129" s="1"/>
  <c r="E43" i="129"/>
  <c r="CO42" i="129"/>
  <c r="CL42" i="129"/>
  <c r="CG42" i="129"/>
  <c r="CB42" i="129"/>
  <c r="BW42" i="129"/>
  <c r="BR42" i="129"/>
  <c r="BM42" i="129"/>
  <c r="BH42" i="129"/>
  <c r="BC42" i="129"/>
  <c r="AX42" i="129"/>
  <c r="AN42" i="129"/>
  <c r="AI42" i="129"/>
  <c r="AC42" i="129"/>
  <c r="AB42" i="129"/>
  <c r="S42" i="129"/>
  <c r="CP42" i="129" s="1"/>
  <c r="O42" i="129"/>
  <c r="J42" i="129"/>
  <c r="E42" i="129"/>
  <c r="CK41" i="129"/>
  <c r="CJ41" i="129"/>
  <c r="CF41" i="129"/>
  <c r="CE41" i="129"/>
  <c r="CB41" i="129"/>
  <c r="CA41" i="129"/>
  <c r="BZ41" i="129"/>
  <c r="BV41" i="129"/>
  <c r="BU41" i="129"/>
  <c r="BQ41" i="129"/>
  <c r="BP41" i="129"/>
  <c r="BL41" i="129"/>
  <c r="BK41" i="129"/>
  <c r="BG41" i="129"/>
  <c r="BF41" i="129"/>
  <c r="BB41" i="129"/>
  <c r="BA41" i="129"/>
  <c r="AW41" i="129"/>
  <c r="AV41" i="129"/>
  <c r="AM41" i="129"/>
  <c r="AL41" i="129"/>
  <c r="AH41" i="129"/>
  <c r="AG41" i="129"/>
  <c r="I41" i="129"/>
  <c r="D41" i="129"/>
  <c r="C41" i="129"/>
  <c r="H38" i="129"/>
  <c r="CP36" i="129"/>
  <c r="CP35" i="129" s="1"/>
  <c r="CL36" i="129"/>
  <c r="CG36" i="129"/>
  <c r="CB36" i="129"/>
  <c r="BW36" i="129"/>
  <c r="BR36" i="129"/>
  <c r="BR35" i="129" s="1"/>
  <c r="BM36" i="129"/>
  <c r="BM35" i="129" s="1"/>
  <c r="BH36" i="129"/>
  <c r="BC36" i="129"/>
  <c r="AX36" i="129"/>
  <c r="AN36" i="129"/>
  <c r="AN35" i="129" s="1"/>
  <c r="AI36" i="129"/>
  <c r="AC36" i="129"/>
  <c r="AC35" i="129" s="1"/>
  <c r="AB36" i="129"/>
  <c r="AB35" i="129" s="1"/>
  <c r="T36" i="129"/>
  <c r="T35" i="129" s="1"/>
  <c r="O36" i="129"/>
  <c r="H36" i="129"/>
  <c r="H35" i="129" s="1"/>
  <c r="E36" i="129"/>
  <c r="E35" i="129" s="1"/>
  <c r="CK35" i="129"/>
  <c r="CJ35" i="129"/>
  <c r="CG35" i="129"/>
  <c r="CF35" i="129"/>
  <c r="CE35" i="129"/>
  <c r="CB35" i="129"/>
  <c r="CA35" i="129"/>
  <c r="BZ35" i="129"/>
  <c r="BV35" i="129"/>
  <c r="BU35" i="129"/>
  <c r="BQ35" i="129"/>
  <c r="BP35" i="129"/>
  <c r="BL35" i="129"/>
  <c r="BK35" i="129"/>
  <c r="BG35" i="129"/>
  <c r="BF35" i="129"/>
  <c r="BC35" i="129"/>
  <c r="BB35" i="129"/>
  <c r="BA35" i="129"/>
  <c r="AX35" i="129"/>
  <c r="AW35" i="129"/>
  <c r="AV35" i="129"/>
  <c r="AM35" i="129"/>
  <c r="AL35" i="129"/>
  <c r="AI35" i="129"/>
  <c r="AH35" i="129"/>
  <c r="AG35" i="129"/>
  <c r="S35" i="129"/>
  <c r="R35" i="129"/>
  <c r="O35" i="129"/>
  <c r="N35" i="129"/>
  <c r="M35" i="129"/>
  <c r="I35" i="129"/>
  <c r="D35" i="129"/>
  <c r="C35" i="129"/>
  <c r="CL33" i="129"/>
  <c r="CG33" i="129"/>
  <c r="CB33" i="129"/>
  <c r="BW33" i="129"/>
  <c r="BR33" i="129"/>
  <c r="BM33" i="129"/>
  <c r="BH33" i="129"/>
  <c r="BC33" i="129"/>
  <c r="AX33" i="129"/>
  <c r="AN33" i="129"/>
  <c r="AI33" i="129"/>
  <c r="AC33" i="129"/>
  <c r="AB33" i="129"/>
  <c r="T33" i="129"/>
  <c r="O33" i="129"/>
  <c r="J33" i="129"/>
  <c r="E33" i="129"/>
  <c r="CL32" i="129"/>
  <c r="CG32" i="129"/>
  <c r="CB32" i="129"/>
  <c r="BW32" i="129"/>
  <c r="BR32" i="129"/>
  <c r="BM32" i="129"/>
  <c r="BH32" i="129"/>
  <c r="BC32" i="129"/>
  <c r="AX32" i="129"/>
  <c r="AN32" i="129"/>
  <c r="AI32" i="129"/>
  <c r="AC32" i="129"/>
  <c r="AD32" i="129" s="1"/>
  <c r="AB32" i="129"/>
  <c r="T32" i="129"/>
  <c r="O32" i="129"/>
  <c r="J32" i="129"/>
  <c r="D32" i="129"/>
  <c r="CP32" i="129" s="1"/>
  <c r="CL31" i="129"/>
  <c r="CG31" i="129"/>
  <c r="CB31" i="129"/>
  <c r="BW31" i="129"/>
  <c r="BR31" i="129"/>
  <c r="BM31" i="129"/>
  <c r="BH31" i="129"/>
  <c r="BC31" i="129"/>
  <c r="AX31" i="129"/>
  <c r="AN31" i="129"/>
  <c r="AI31" i="129"/>
  <c r="AC31" i="129"/>
  <c r="AD31" i="129" s="1"/>
  <c r="AB31" i="129"/>
  <c r="T31" i="129"/>
  <c r="M31" i="129"/>
  <c r="J31" i="129"/>
  <c r="E31" i="129"/>
  <c r="CQ30" i="129"/>
  <c r="CL30" i="129"/>
  <c r="CG30" i="129"/>
  <c r="CB30" i="129"/>
  <c r="BW30" i="129"/>
  <c r="BR30" i="129"/>
  <c r="BM30" i="129"/>
  <c r="BH30" i="129"/>
  <c r="BC30" i="129"/>
  <c r="AX30" i="129"/>
  <c r="AN30" i="129"/>
  <c r="AI30" i="129"/>
  <c r="AC30" i="129"/>
  <c r="AB30" i="129"/>
  <c r="AD30" i="129" s="1"/>
  <c r="T30" i="129"/>
  <c r="O30" i="129"/>
  <c r="J30" i="129"/>
  <c r="E30" i="129"/>
  <c r="CL29" i="129"/>
  <c r="CG29" i="129"/>
  <c r="CB29" i="129"/>
  <c r="BW29" i="129"/>
  <c r="BR29" i="129"/>
  <c r="BM29" i="129"/>
  <c r="BH29" i="129"/>
  <c r="BC29" i="129"/>
  <c r="AX29" i="129"/>
  <c r="AN29" i="129"/>
  <c r="AI29" i="129"/>
  <c r="AC29" i="129"/>
  <c r="AB29" i="129"/>
  <c r="T29" i="129"/>
  <c r="O29" i="129"/>
  <c r="J29" i="129"/>
  <c r="E29" i="129"/>
  <c r="CL28" i="129"/>
  <c r="CG28" i="129"/>
  <c r="CB28" i="129"/>
  <c r="BW28" i="129"/>
  <c r="BR28" i="129"/>
  <c r="BM28" i="129"/>
  <c r="BH28" i="129"/>
  <c r="BC28" i="129"/>
  <c r="AX28" i="129"/>
  <c r="AN28" i="129"/>
  <c r="AI28" i="129"/>
  <c r="AC28" i="129"/>
  <c r="AB28" i="129"/>
  <c r="T28" i="129"/>
  <c r="O28" i="129"/>
  <c r="I28" i="129"/>
  <c r="CP28" i="129" s="1"/>
  <c r="E28" i="129"/>
  <c r="CQ27" i="129"/>
  <c r="CL27" i="129"/>
  <c r="CG27" i="129"/>
  <c r="CB27" i="129"/>
  <c r="BW27" i="129"/>
  <c r="BR27" i="129"/>
  <c r="BM27" i="129"/>
  <c r="BH27" i="129"/>
  <c r="BC27" i="129"/>
  <c r="AX27" i="129"/>
  <c r="AN27" i="129"/>
  <c r="AI27" i="129"/>
  <c r="AC27" i="129"/>
  <c r="AB27" i="129"/>
  <c r="AD27" i="129" s="1"/>
  <c r="T27" i="129"/>
  <c r="O27" i="129"/>
  <c r="J27" i="129"/>
  <c r="E27" i="129"/>
  <c r="CQ26" i="129"/>
  <c r="CL26" i="129"/>
  <c r="CG26" i="129"/>
  <c r="CB26" i="129"/>
  <c r="BW26" i="129"/>
  <c r="BR26" i="129"/>
  <c r="BM26" i="129"/>
  <c r="BH26" i="129"/>
  <c r="BC26" i="129"/>
  <c r="AX26" i="129"/>
  <c r="AN26" i="129"/>
  <c r="AI26" i="129"/>
  <c r="AC26" i="129"/>
  <c r="AB26" i="129"/>
  <c r="T26" i="129"/>
  <c r="O26" i="129"/>
  <c r="J26" i="129"/>
  <c r="E26" i="129"/>
  <c r="CL25" i="129"/>
  <c r="CG25" i="129"/>
  <c r="CB25" i="129"/>
  <c r="BW25" i="129"/>
  <c r="BR25" i="129"/>
  <c r="BM25" i="129"/>
  <c r="BH25" i="129"/>
  <c r="BC25" i="129"/>
  <c r="AX25" i="129"/>
  <c r="AN25" i="129"/>
  <c r="AI25" i="129"/>
  <c r="AC25" i="129"/>
  <c r="AB25" i="129"/>
  <c r="T25" i="129"/>
  <c r="O25" i="129"/>
  <c r="J25" i="129"/>
  <c r="E25" i="129"/>
  <c r="CL24" i="129"/>
  <c r="CG24" i="129"/>
  <c r="CB24" i="129"/>
  <c r="BW24" i="129"/>
  <c r="BR24" i="129"/>
  <c r="BM24" i="129"/>
  <c r="BH24" i="129"/>
  <c r="BC24" i="129"/>
  <c r="AX24" i="129"/>
  <c r="AN24" i="129"/>
  <c r="AI24" i="129"/>
  <c r="AC24" i="129"/>
  <c r="AB24" i="129"/>
  <c r="R24" i="129"/>
  <c r="T24" i="129" s="1"/>
  <c r="O24" i="129"/>
  <c r="H24" i="129"/>
  <c r="CO24" i="129" s="1"/>
  <c r="E24" i="129"/>
  <c r="CL23" i="129"/>
  <c r="CG23" i="129"/>
  <c r="CB23" i="129"/>
  <c r="BW23" i="129"/>
  <c r="BR23" i="129"/>
  <c r="BM23" i="129"/>
  <c r="BH23" i="129"/>
  <c r="BC23" i="129"/>
  <c r="AX23" i="129"/>
  <c r="AN23" i="129"/>
  <c r="AC23" i="129"/>
  <c r="AB23" i="129"/>
  <c r="E23" i="129"/>
  <c r="CL22" i="129"/>
  <c r="CG22" i="129"/>
  <c r="CB22" i="129"/>
  <c r="BW22" i="129"/>
  <c r="BR22" i="129"/>
  <c r="BM22" i="129"/>
  <c r="BH22" i="129"/>
  <c r="BC22" i="129"/>
  <c r="AX22" i="129"/>
  <c r="AN22" i="129"/>
  <c r="AC22" i="129"/>
  <c r="AB22" i="129"/>
  <c r="E22" i="129"/>
  <c r="CL21" i="129"/>
  <c r="CG21" i="129"/>
  <c r="CB21" i="129"/>
  <c r="BW21" i="129"/>
  <c r="BR21" i="129"/>
  <c r="BM21" i="129"/>
  <c r="BH21" i="129"/>
  <c r="BC21" i="129"/>
  <c r="AX21" i="129"/>
  <c r="AN21" i="129"/>
  <c r="AI21" i="129"/>
  <c r="AC21" i="129"/>
  <c r="AB21" i="129"/>
  <c r="AD21" i="129" s="1"/>
  <c r="T21" i="129"/>
  <c r="O21" i="129"/>
  <c r="J21" i="129"/>
  <c r="E21" i="129"/>
  <c r="CQ20" i="129"/>
  <c r="CL20" i="129"/>
  <c r="CG20" i="129"/>
  <c r="CB20" i="129"/>
  <c r="BW20" i="129"/>
  <c r="BR20" i="129"/>
  <c r="BM20" i="129"/>
  <c r="BH20" i="129"/>
  <c r="BC20" i="129"/>
  <c r="AX20" i="129"/>
  <c r="AN20" i="129"/>
  <c r="AI20" i="129"/>
  <c r="AC20" i="129"/>
  <c r="AB20" i="129"/>
  <c r="T20" i="129"/>
  <c r="O20" i="129"/>
  <c r="J20" i="129"/>
  <c r="E20" i="129"/>
  <c r="CQ19" i="129"/>
  <c r="CL19" i="129"/>
  <c r="CG19" i="129"/>
  <c r="CB19" i="129"/>
  <c r="BW19" i="129"/>
  <c r="BR19" i="129"/>
  <c r="BM19" i="129"/>
  <c r="BH19" i="129"/>
  <c r="BC19" i="129"/>
  <c r="AX19" i="129"/>
  <c r="AN19" i="129"/>
  <c r="AI19" i="129"/>
  <c r="AC19" i="129"/>
  <c r="AB19" i="129"/>
  <c r="T19" i="129"/>
  <c r="O19" i="129"/>
  <c r="J19" i="129"/>
  <c r="E19" i="129"/>
  <c r="CL18" i="129"/>
  <c r="CG18" i="129"/>
  <c r="CB18" i="129"/>
  <c r="BW18" i="129"/>
  <c r="BR18" i="129"/>
  <c r="BM18" i="129"/>
  <c r="BH18" i="129"/>
  <c r="BC18" i="129"/>
  <c r="AX18" i="129"/>
  <c r="AN18" i="129"/>
  <c r="AI18" i="129"/>
  <c r="AC18" i="129"/>
  <c r="AB18" i="129"/>
  <c r="T18" i="129"/>
  <c r="M18" i="129"/>
  <c r="M8" i="129" s="1"/>
  <c r="J18" i="129"/>
  <c r="H18" i="129"/>
  <c r="C18" i="129"/>
  <c r="CQ17" i="129"/>
  <c r="CL17" i="129"/>
  <c r="CG17" i="129"/>
  <c r="CB17" i="129"/>
  <c r="BW17" i="129"/>
  <c r="BR17" i="129"/>
  <c r="BM17" i="129"/>
  <c r="BH17" i="129"/>
  <c r="BC17" i="129"/>
  <c r="AX17" i="129"/>
  <c r="AN17" i="129"/>
  <c r="AI17" i="129"/>
  <c r="AC17" i="129"/>
  <c r="AB17" i="129"/>
  <c r="T17" i="129"/>
  <c r="O17" i="129"/>
  <c r="J17" i="129"/>
  <c r="E17" i="129"/>
  <c r="CL16" i="129"/>
  <c r="CG16" i="129"/>
  <c r="CB16" i="129"/>
  <c r="BW16" i="129"/>
  <c r="BR16" i="129"/>
  <c r="BM16" i="129"/>
  <c r="BH16" i="129"/>
  <c r="BC16" i="129"/>
  <c r="AX16" i="129"/>
  <c r="AN16" i="129"/>
  <c r="AI16" i="129"/>
  <c r="AC16" i="129"/>
  <c r="AB16" i="129"/>
  <c r="T16" i="129"/>
  <c r="O16" i="129"/>
  <c r="J16" i="129"/>
  <c r="E16" i="129"/>
  <c r="CQ15" i="129"/>
  <c r="CL15" i="129"/>
  <c r="CG15" i="129"/>
  <c r="CB15" i="129"/>
  <c r="BW15" i="129"/>
  <c r="BR15" i="129"/>
  <c r="BM15" i="129"/>
  <c r="BH15" i="129"/>
  <c r="BC15" i="129"/>
  <c r="AX15" i="129"/>
  <c r="AN15" i="129"/>
  <c r="AI15" i="129"/>
  <c r="AC15" i="129"/>
  <c r="AD15" i="129" s="1"/>
  <c r="AB15" i="129"/>
  <c r="T15" i="129"/>
  <c r="O15" i="129"/>
  <c r="J15" i="129"/>
  <c r="E15" i="129"/>
  <c r="CQ14" i="129"/>
  <c r="CL14" i="129"/>
  <c r="CG14" i="129"/>
  <c r="CB14" i="129"/>
  <c r="BW14" i="129"/>
  <c r="BR14" i="129"/>
  <c r="BM14" i="129"/>
  <c r="BH14" i="129"/>
  <c r="BC14" i="129"/>
  <c r="AX14" i="129"/>
  <c r="AN14" i="129"/>
  <c r="AI14" i="129"/>
  <c r="AC14" i="129"/>
  <c r="AB14" i="129"/>
  <c r="T14" i="129"/>
  <c r="O14" i="129"/>
  <c r="J14" i="129"/>
  <c r="E14" i="129"/>
  <c r="CQ13" i="129"/>
  <c r="CL13" i="129"/>
  <c r="CG13" i="129"/>
  <c r="CB13" i="129"/>
  <c r="BW13" i="129"/>
  <c r="BR13" i="129"/>
  <c r="BM13" i="129"/>
  <c r="BH13" i="129"/>
  <c r="BC13" i="129"/>
  <c r="AX13" i="129"/>
  <c r="AN13" i="129"/>
  <c r="AI13" i="129"/>
  <c r="AC13" i="129"/>
  <c r="AB13" i="129"/>
  <c r="T13" i="129"/>
  <c r="O13" i="129"/>
  <c r="J13" i="129"/>
  <c r="E13" i="129"/>
  <c r="CL12" i="129"/>
  <c r="CG12" i="129"/>
  <c r="CB12" i="129"/>
  <c r="BW12" i="129"/>
  <c r="BR12" i="129"/>
  <c r="BM12" i="129"/>
  <c r="BH12" i="129"/>
  <c r="BC12" i="129"/>
  <c r="AX12" i="129"/>
  <c r="AN12" i="129"/>
  <c r="AI12" i="129"/>
  <c r="AC12" i="129"/>
  <c r="AB12" i="129"/>
  <c r="AD12" i="129" s="1"/>
  <c r="T12" i="129"/>
  <c r="O12" i="129"/>
  <c r="J12" i="129"/>
  <c r="E12" i="129"/>
  <c r="CQ11" i="129"/>
  <c r="CL11" i="129"/>
  <c r="CG11" i="129"/>
  <c r="CB11" i="129"/>
  <c r="BW11" i="129"/>
  <c r="BR11" i="129"/>
  <c r="BM11" i="129"/>
  <c r="BH11" i="129"/>
  <c r="BC11" i="129"/>
  <c r="AX11" i="129"/>
  <c r="AN11" i="129"/>
  <c r="AI11" i="129"/>
  <c r="AC11" i="129"/>
  <c r="AB11" i="129"/>
  <c r="T11" i="129"/>
  <c r="O11" i="129"/>
  <c r="J11" i="129"/>
  <c r="E11" i="129"/>
  <c r="CL10" i="129"/>
  <c r="CG10" i="129"/>
  <c r="CB10" i="129"/>
  <c r="BW10" i="129"/>
  <c r="BR10" i="129"/>
  <c r="BM10" i="129"/>
  <c r="BH10" i="129"/>
  <c r="BC10" i="129"/>
  <c r="AX10" i="129"/>
  <c r="AN10" i="129"/>
  <c r="AI10" i="129"/>
  <c r="AC10" i="129"/>
  <c r="AB10" i="129"/>
  <c r="T10" i="129"/>
  <c r="O10" i="129"/>
  <c r="J10" i="129"/>
  <c r="E10" i="129"/>
  <c r="CP9" i="129"/>
  <c r="CO9" i="129"/>
  <c r="CL9" i="129"/>
  <c r="CG9" i="129"/>
  <c r="CB9" i="129"/>
  <c r="BW9" i="129"/>
  <c r="BR9" i="129"/>
  <c r="BM9" i="129"/>
  <c r="BH9" i="129"/>
  <c r="BC9" i="129"/>
  <c r="AX9" i="129"/>
  <c r="AN9" i="129"/>
  <c r="AI9" i="129"/>
  <c r="AC9" i="129"/>
  <c r="AB9" i="129"/>
  <c r="AD9" i="129" s="1"/>
  <c r="T9" i="129"/>
  <c r="O9" i="129"/>
  <c r="J9" i="129"/>
  <c r="E9" i="129"/>
  <c r="CK8" i="129"/>
  <c r="CJ8" i="129"/>
  <c r="CF8" i="129"/>
  <c r="CE8" i="129"/>
  <c r="CA8" i="129"/>
  <c r="BZ8" i="129"/>
  <c r="BV8" i="129"/>
  <c r="BU8" i="129"/>
  <c r="BQ8" i="129"/>
  <c r="BP8" i="129"/>
  <c r="BL8" i="129"/>
  <c r="BK8" i="129"/>
  <c r="BG8" i="129"/>
  <c r="BF8" i="129"/>
  <c r="BB8" i="129"/>
  <c r="BA8" i="129"/>
  <c r="AW8" i="129"/>
  <c r="AV8" i="129"/>
  <c r="AM8" i="129"/>
  <c r="AL8" i="129"/>
  <c r="AH8" i="129"/>
  <c r="AG8" i="129"/>
  <c r="S8" i="129"/>
  <c r="R8" i="129"/>
  <c r="N8" i="129"/>
  <c r="H8" i="129"/>
  <c r="D8" i="129"/>
  <c r="C8" i="129"/>
  <c r="CP7" i="129"/>
  <c r="CO7" i="129"/>
  <c r="CL7" i="129"/>
  <c r="CG7" i="129"/>
  <c r="CB7" i="129"/>
  <c r="BW7" i="129"/>
  <c r="BR7" i="129"/>
  <c r="BM7" i="129"/>
  <c r="BH7" i="129"/>
  <c r="BC7" i="129"/>
  <c r="AX7" i="129"/>
  <c r="AN7" i="129"/>
  <c r="AI7" i="129"/>
  <c r="AC7" i="129"/>
  <c r="AB7" i="129"/>
  <c r="T7" i="129"/>
  <c r="J7" i="129"/>
  <c r="E7" i="129"/>
  <c r="CP6" i="129"/>
  <c r="CL6" i="129"/>
  <c r="CL5" i="129" s="1"/>
  <c r="CG6" i="129"/>
  <c r="CG5" i="129" s="1"/>
  <c r="CB6" i="129"/>
  <c r="BW6" i="129"/>
  <c r="BW5" i="129" s="1"/>
  <c r="BR6" i="129"/>
  <c r="BM6" i="129"/>
  <c r="BH6" i="129"/>
  <c r="BH5" i="129" s="1"/>
  <c r="BC6" i="129"/>
  <c r="AX6" i="129"/>
  <c r="AN6" i="129"/>
  <c r="AI6" i="129"/>
  <c r="AI5" i="129" s="1"/>
  <c r="AC6" i="129"/>
  <c r="R6" i="129"/>
  <c r="M6" i="129"/>
  <c r="O6" i="129" s="1"/>
  <c r="O5" i="129" s="1"/>
  <c r="J6" i="129"/>
  <c r="H6" i="129"/>
  <c r="C6" i="129"/>
  <c r="CK5" i="129"/>
  <c r="CJ5" i="129"/>
  <c r="CJ38" i="129" s="1"/>
  <c r="CF5" i="129"/>
  <c r="CF38" i="129" s="1"/>
  <c r="CE5" i="129"/>
  <c r="CA5" i="129"/>
  <c r="BZ5" i="129"/>
  <c r="BZ38" i="129" s="1"/>
  <c r="BV5" i="129"/>
  <c r="BU5" i="129"/>
  <c r="BU38" i="129" s="1"/>
  <c r="BQ5" i="129"/>
  <c r="BP5" i="129"/>
  <c r="BP38" i="129" s="1"/>
  <c r="BM5" i="129"/>
  <c r="BL5" i="129"/>
  <c r="BK5" i="129"/>
  <c r="BG5" i="129"/>
  <c r="BF5" i="129"/>
  <c r="BF38" i="129" s="1"/>
  <c r="BC5" i="129"/>
  <c r="BB5" i="129"/>
  <c r="BA5" i="129"/>
  <c r="BA38" i="129" s="1"/>
  <c r="AW5" i="129"/>
  <c r="AV5" i="129"/>
  <c r="AV38" i="129" s="1"/>
  <c r="AM5" i="129"/>
  <c r="AL5" i="129"/>
  <c r="AH5" i="129"/>
  <c r="AG5" i="129"/>
  <c r="S5" i="129"/>
  <c r="S38" i="129" s="1"/>
  <c r="N5" i="129"/>
  <c r="M5" i="129"/>
  <c r="J5" i="129"/>
  <c r="I5" i="129"/>
  <c r="H5" i="129"/>
  <c r="D5" i="129"/>
  <c r="T6" i="106" l="1"/>
  <c r="T5" i="106" s="1"/>
  <c r="CO31" i="129"/>
  <c r="CQ31" i="129" s="1"/>
  <c r="CO43" i="129"/>
  <c r="CQ43" i="129" s="1"/>
  <c r="BH10" i="106"/>
  <c r="O31" i="129"/>
  <c r="O8" i="129" s="1"/>
  <c r="O38" i="129" s="1"/>
  <c r="AD65" i="129"/>
  <c r="H38" i="106"/>
  <c r="AB38" i="106"/>
  <c r="AI7" i="106"/>
  <c r="AI5" i="106" s="1"/>
  <c r="BA9" i="106"/>
  <c r="DN9" i="106"/>
  <c r="DP69" i="106"/>
  <c r="AG79" i="129"/>
  <c r="BR5" i="129"/>
  <c r="AI68" i="129"/>
  <c r="CB5" i="129"/>
  <c r="I8" i="129"/>
  <c r="J24" i="129"/>
  <c r="J28" i="129"/>
  <c r="J8" i="129" s="1"/>
  <c r="AD36" i="129"/>
  <c r="AD42" i="129"/>
  <c r="CP44" i="129"/>
  <c r="T44" i="129"/>
  <c r="J48" i="129"/>
  <c r="BH77" i="129"/>
  <c r="DO9" i="106"/>
  <c r="DA8" i="106"/>
  <c r="J18" i="106"/>
  <c r="T27" i="106"/>
  <c r="BA50" i="106"/>
  <c r="CB77" i="106"/>
  <c r="AR38" i="106"/>
  <c r="H54" i="129"/>
  <c r="J63" i="129"/>
  <c r="O18" i="129"/>
  <c r="BC42" i="106"/>
  <c r="BC41" i="106" s="1"/>
  <c r="E6" i="129"/>
  <c r="E5" i="129" s="1"/>
  <c r="CO6" i="129"/>
  <c r="AN5" i="129"/>
  <c r="AD43" i="129"/>
  <c r="J64" i="129"/>
  <c r="CP68" i="129"/>
  <c r="AN8" i="106"/>
  <c r="DF8" i="106"/>
  <c r="DN27" i="106"/>
  <c r="BC44" i="106"/>
  <c r="BC45" i="106"/>
  <c r="BC48" i="106"/>
  <c r="AL79" i="129"/>
  <c r="BP77" i="106"/>
  <c r="AH38" i="129"/>
  <c r="AH75" i="129" s="1"/>
  <c r="I38" i="129"/>
  <c r="I39" i="129" s="1"/>
  <c r="AX5" i="129"/>
  <c r="S41" i="129"/>
  <c r="BW41" i="129"/>
  <c r="T50" i="129"/>
  <c r="R73" i="129"/>
  <c r="N38" i="106"/>
  <c r="BW8" i="106"/>
  <c r="BW38" i="106" s="1"/>
  <c r="O18" i="106"/>
  <c r="DP18" i="106"/>
  <c r="DP25" i="106"/>
  <c r="DP26" i="106"/>
  <c r="DO35" i="106"/>
  <c r="BN42" i="106"/>
  <c r="BC46" i="106"/>
  <c r="BC61" i="106"/>
  <c r="BC63" i="106"/>
  <c r="BC64" i="106"/>
  <c r="BC67" i="106"/>
  <c r="AD17" i="129"/>
  <c r="CQ8" i="106"/>
  <c r="E32" i="129"/>
  <c r="BC17" i="106"/>
  <c r="BK38" i="129"/>
  <c r="CO18" i="129"/>
  <c r="CQ18" i="129" s="1"/>
  <c r="J50" i="129"/>
  <c r="J55" i="129"/>
  <c r="BC54" i="129"/>
  <c r="CQ58" i="129"/>
  <c r="CO67" i="129"/>
  <c r="CQ67" i="129" s="1"/>
  <c r="AC68" i="129"/>
  <c r="AC54" i="129" s="1"/>
  <c r="CQ71" i="129"/>
  <c r="J74" i="129"/>
  <c r="J73" i="129" s="1"/>
  <c r="R5" i="106"/>
  <c r="R38" i="106" s="1"/>
  <c r="AM38" i="106"/>
  <c r="CF38" i="106"/>
  <c r="J5" i="106"/>
  <c r="CQ5" i="106"/>
  <c r="BA10" i="106"/>
  <c r="BC10" i="106" s="1"/>
  <c r="CB8" i="106"/>
  <c r="CB38" i="106" s="1"/>
  <c r="DN11" i="106"/>
  <c r="DP11" i="106" s="1"/>
  <c r="DP22" i="106"/>
  <c r="DN28" i="106"/>
  <c r="BB77" i="106"/>
  <c r="CJ38" i="166"/>
  <c r="CL8" i="106"/>
  <c r="AD67" i="129"/>
  <c r="AG5" i="106"/>
  <c r="AG38" i="106" s="1"/>
  <c r="M38" i="129"/>
  <c r="M75" i="129" s="1"/>
  <c r="BL38" i="129"/>
  <c r="CA38" i="129"/>
  <c r="AD29" i="129"/>
  <c r="CG41" i="129"/>
  <c r="AD46" i="129"/>
  <c r="BH50" i="129"/>
  <c r="CP50" i="129"/>
  <c r="CQ69" i="129"/>
  <c r="CJ38" i="106"/>
  <c r="CZ38" i="106"/>
  <c r="O5" i="106"/>
  <c r="AS5" i="106"/>
  <c r="BK38" i="106"/>
  <c r="BK75" i="106" s="1"/>
  <c r="DP10" i="106"/>
  <c r="BW41" i="106"/>
  <c r="BR79" i="106"/>
  <c r="BR77" i="106" s="1"/>
  <c r="BC62" i="106"/>
  <c r="BA54" i="106"/>
  <c r="BP38" i="106"/>
  <c r="BP75" i="106" s="1"/>
  <c r="BR8" i="106"/>
  <c r="BR38" i="106" s="1"/>
  <c r="BC9" i="106"/>
  <c r="BQ38" i="106"/>
  <c r="DO5" i="106"/>
  <c r="DP6" i="106"/>
  <c r="AD7" i="129"/>
  <c r="AD92" i="129" s="1"/>
  <c r="AD19" i="129"/>
  <c r="AD20" i="129"/>
  <c r="AD24" i="129"/>
  <c r="AD25" i="129"/>
  <c r="CQ25" i="129"/>
  <c r="AD26" i="129"/>
  <c r="CQ28" i="129"/>
  <c r="CQ29" i="129"/>
  <c r="AD48" i="129"/>
  <c r="CQ52" i="129"/>
  <c r="AC77" i="129"/>
  <c r="CQ12" i="129"/>
  <c r="CQ16" i="129"/>
  <c r="AD51" i="129"/>
  <c r="AD10" i="129"/>
  <c r="AD14" i="129"/>
  <c r="AC50" i="129"/>
  <c r="CQ64" i="129"/>
  <c r="CP77" i="129"/>
  <c r="CQ10" i="129"/>
  <c r="AD11" i="129"/>
  <c r="CQ21" i="129"/>
  <c r="AD56" i="129"/>
  <c r="BC27" i="106"/>
  <c r="BC28" i="106"/>
  <c r="BL38" i="106"/>
  <c r="BL75" i="106" s="1"/>
  <c r="BK79" i="106"/>
  <c r="AL38" i="129"/>
  <c r="AL75" i="129" s="1"/>
  <c r="BL39" i="106"/>
  <c r="DP12" i="106"/>
  <c r="DP13" i="106"/>
  <c r="BC36" i="106"/>
  <c r="BC35" i="106" s="1"/>
  <c r="BC43" i="106"/>
  <c r="DP59" i="106"/>
  <c r="BC71" i="106"/>
  <c r="BK39" i="106"/>
  <c r="DP15" i="106"/>
  <c r="DP20" i="106"/>
  <c r="DP21" i="106"/>
  <c r="BC22" i="106"/>
  <c r="BC29" i="106"/>
  <c r="BC33" i="106"/>
  <c r="BB41" i="106"/>
  <c r="DP51" i="106"/>
  <c r="DP50" i="106" s="1"/>
  <c r="BC52" i="106"/>
  <c r="BM54" i="106"/>
  <c r="BN54" i="106" s="1"/>
  <c r="DP60" i="106"/>
  <c r="DP16" i="106"/>
  <c r="DP24" i="106"/>
  <c r="BC32" i="106"/>
  <c r="DP36" i="106"/>
  <c r="DP35" i="106" s="1"/>
  <c r="DO41" i="106"/>
  <c r="DP52" i="106"/>
  <c r="BB8" i="106"/>
  <c r="BC11" i="106"/>
  <c r="BC12" i="106"/>
  <c r="BC13" i="106"/>
  <c r="BC14" i="106"/>
  <c r="BC23" i="106"/>
  <c r="DP31" i="106"/>
  <c r="DP33" i="106"/>
  <c r="BC47" i="106"/>
  <c r="DP57" i="106"/>
  <c r="DP63" i="106"/>
  <c r="BC69" i="106"/>
  <c r="BC82" i="106"/>
  <c r="DP82" i="106"/>
  <c r="CQ33" i="129"/>
  <c r="AN79" i="129"/>
  <c r="AN77" i="129" s="1"/>
  <c r="CQ47" i="129"/>
  <c r="AD47" i="129"/>
  <c r="AB50" i="129"/>
  <c r="AB54" i="129"/>
  <c r="AD74" i="129"/>
  <c r="AD73" i="129" s="1"/>
  <c r="AD28" i="129"/>
  <c r="AG38" i="129"/>
  <c r="AG39" i="129" s="1"/>
  <c r="AD18" i="129"/>
  <c r="BR76" i="166"/>
  <c r="J76" i="166"/>
  <c r="AS76" i="166"/>
  <c r="AD76" i="166"/>
  <c r="C76" i="166"/>
  <c r="O76" i="166"/>
  <c r="BC76" i="166"/>
  <c r="AN75" i="166"/>
  <c r="AN39" i="166"/>
  <c r="T75" i="166"/>
  <c r="CJ75" i="166"/>
  <c r="CJ39" i="166"/>
  <c r="CQ11" i="166"/>
  <c r="CR11" i="166" s="1"/>
  <c r="CL54" i="166"/>
  <c r="AX76" i="166"/>
  <c r="CR36" i="166"/>
  <c r="CR35" i="166" s="1"/>
  <c r="CQ35" i="166"/>
  <c r="H76" i="166"/>
  <c r="CB75" i="166"/>
  <c r="CB39" i="166"/>
  <c r="BH76" i="166"/>
  <c r="AV76" i="166"/>
  <c r="CL38" i="166"/>
  <c r="AI75" i="166"/>
  <c r="AI39" i="166"/>
  <c r="BM75" i="166"/>
  <c r="BM39" i="166"/>
  <c r="BW76" i="166"/>
  <c r="CR9" i="166"/>
  <c r="BG81" i="166"/>
  <c r="BG83" i="166" s="1"/>
  <c r="BG84" i="166" s="1"/>
  <c r="BG86" i="166" s="1"/>
  <c r="BG87" i="166" s="1"/>
  <c r="BG76" i="166"/>
  <c r="BN53" i="166"/>
  <c r="BN48" i="166"/>
  <c r="BN42" i="166"/>
  <c r="BN36" i="166"/>
  <c r="BN25" i="166"/>
  <c r="BN24" i="166"/>
  <c r="BN23" i="166"/>
  <c r="BN49" i="166"/>
  <c r="BN52" i="166"/>
  <c r="BN51" i="166"/>
  <c r="BN45" i="166"/>
  <c r="BN47" i="166"/>
  <c r="BN31" i="166"/>
  <c r="BN20" i="166"/>
  <c r="BN26" i="166"/>
  <c r="BN13" i="166"/>
  <c r="BN19" i="166"/>
  <c r="BN57" i="166"/>
  <c r="BN62" i="166"/>
  <c r="BN15" i="166"/>
  <c r="BN32" i="166"/>
  <c r="BN59" i="166"/>
  <c r="BN65" i="166"/>
  <c r="BN14" i="166"/>
  <c r="BN27" i="166"/>
  <c r="BN69" i="166"/>
  <c r="BN56" i="166"/>
  <c r="BN9" i="166"/>
  <c r="BN66" i="166"/>
  <c r="BN30" i="166"/>
  <c r="BN61" i="166"/>
  <c r="BN22" i="166"/>
  <c r="BN10" i="166"/>
  <c r="BN16" i="166"/>
  <c r="BN70" i="166"/>
  <c r="BN67" i="166"/>
  <c r="BN21" i="166"/>
  <c r="BN55" i="166"/>
  <c r="BN71" i="166"/>
  <c r="BN29" i="166"/>
  <c r="BN12" i="166"/>
  <c r="BN18" i="166"/>
  <c r="BN28" i="166"/>
  <c r="BN33" i="166"/>
  <c r="BN60" i="166"/>
  <c r="BN44" i="166"/>
  <c r="BN11" i="166"/>
  <c r="BN43" i="166"/>
  <c r="BN64" i="166"/>
  <c r="BN46" i="166"/>
  <c r="BN17" i="166"/>
  <c r="BN68" i="166"/>
  <c r="BN63" i="166"/>
  <c r="BN58" i="166"/>
  <c r="M76" i="166"/>
  <c r="E76" i="166"/>
  <c r="BV76" i="166"/>
  <c r="BV81" i="166"/>
  <c r="BV83" i="166" s="1"/>
  <c r="BV84" i="166" s="1"/>
  <c r="BV86" i="166" s="1"/>
  <c r="BV87" i="166" s="1"/>
  <c r="AC86" i="166"/>
  <c r="AC87" i="166" s="1"/>
  <c r="D76" i="166"/>
  <c r="D81" i="166"/>
  <c r="D83" i="166" s="1"/>
  <c r="D84" i="166" s="1"/>
  <c r="CG75" i="166"/>
  <c r="CG39" i="166"/>
  <c r="CK81" i="166"/>
  <c r="CK83" i="166" s="1"/>
  <c r="CK76" i="166"/>
  <c r="I54" i="106"/>
  <c r="AN38" i="106"/>
  <c r="CA75" i="106"/>
  <c r="CA39" i="106"/>
  <c r="AB75" i="106"/>
  <c r="AB39" i="106"/>
  <c r="CG38" i="106"/>
  <c r="DK38" i="106"/>
  <c r="DA89" i="106"/>
  <c r="DA91" i="106" s="1"/>
  <c r="AD8" i="106"/>
  <c r="BC6" i="106"/>
  <c r="BC5" i="106" s="1"/>
  <c r="BA5" i="106"/>
  <c r="CL38" i="106"/>
  <c r="CQ38" i="106"/>
  <c r="R75" i="106"/>
  <c r="R39" i="106"/>
  <c r="BV75" i="106"/>
  <c r="BV39" i="106"/>
  <c r="DO32" i="106"/>
  <c r="Y32" i="106"/>
  <c r="I38" i="106"/>
  <c r="DA38" i="106"/>
  <c r="BH6" i="106"/>
  <c r="BH5" i="106" s="1"/>
  <c r="AC8" i="106"/>
  <c r="J9" i="106"/>
  <c r="BH9" i="106"/>
  <c r="AM75" i="106"/>
  <c r="AM39" i="106"/>
  <c r="CP75" i="106"/>
  <c r="CP39" i="106"/>
  <c r="AG75" i="106"/>
  <c r="AG39" i="106"/>
  <c r="AQ38" i="106"/>
  <c r="BF5" i="106"/>
  <c r="BZ38" i="106"/>
  <c r="CJ75" i="106"/>
  <c r="CJ39" i="106"/>
  <c r="CT75" i="106"/>
  <c r="CT39" i="106"/>
  <c r="DD38" i="106"/>
  <c r="AD6" i="106"/>
  <c r="AD5" i="106" s="1"/>
  <c r="BF8" i="106"/>
  <c r="BM8" i="106"/>
  <c r="T9" i="106"/>
  <c r="CF75" i="106"/>
  <c r="CF39" i="106"/>
  <c r="DJ75" i="106"/>
  <c r="DJ39" i="106"/>
  <c r="W75" i="106"/>
  <c r="W39" i="106"/>
  <c r="AR75" i="106"/>
  <c r="AR39" i="106"/>
  <c r="BG39" i="106"/>
  <c r="BQ75" i="106"/>
  <c r="BQ39" i="106"/>
  <c r="CK75" i="106"/>
  <c r="CK39" i="106"/>
  <c r="CU75" i="106"/>
  <c r="CU39" i="106"/>
  <c r="DE75" i="106"/>
  <c r="DE39" i="106"/>
  <c r="X8" i="106"/>
  <c r="X38" i="106" s="1"/>
  <c r="H75" i="106"/>
  <c r="H39" i="106"/>
  <c r="CZ75" i="106"/>
  <c r="CZ39" i="106"/>
  <c r="N75" i="106"/>
  <c r="N39" i="106"/>
  <c r="CV38" i="106"/>
  <c r="DF38" i="106"/>
  <c r="BW35" i="106"/>
  <c r="DA35" i="106"/>
  <c r="BB38" i="106"/>
  <c r="AL38" i="106"/>
  <c r="BU38" i="106"/>
  <c r="CE38" i="106"/>
  <c r="CO38" i="106"/>
  <c r="CY38" i="106"/>
  <c r="DI38" i="106"/>
  <c r="S8" i="106"/>
  <c r="R79" i="106" s="1"/>
  <c r="AH8" i="106"/>
  <c r="DO28" i="106"/>
  <c r="DP28" i="106" s="1"/>
  <c r="AI28" i="106"/>
  <c r="T35" i="106"/>
  <c r="BH18" i="106"/>
  <c r="DO27" i="106"/>
  <c r="DP27" i="106" s="1"/>
  <c r="AS27" i="106"/>
  <c r="Y30" i="106"/>
  <c r="DO30" i="106"/>
  <c r="DP30" i="106" s="1"/>
  <c r="BA35" i="106"/>
  <c r="BA18" i="106"/>
  <c r="BC18" i="106" s="1"/>
  <c r="BC25" i="106"/>
  <c r="DN32" i="106"/>
  <c r="AS35" i="106"/>
  <c r="O41" i="106"/>
  <c r="AS31" i="106"/>
  <c r="DP42" i="106"/>
  <c r="DP45" i="106"/>
  <c r="BG68" i="106"/>
  <c r="BG54" i="106" s="1"/>
  <c r="BB55" i="106"/>
  <c r="BC55" i="106" s="1"/>
  <c r="DO55" i="106"/>
  <c r="BH55" i="106"/>
  <c r="Y27" i="106"/>
  <c r="T28" i="106"/>
  <c r="CL35" i="106"/>
  <c r="CQ41" i="106"/>
  <c r="J50" i="106"/>
  <c r="AN50" i="106"/>
  <c r="BC26" i="106"/>
  <c r="BC31" i="106"/>
  <c r="BN36" i="106"/>
  <c r="BM35" i="106"/>
  <c r="BN35" i="106" s="1"/>
  <c r="AN41" i="106"/>
  <c r="DP43" i="106"/>
  <c r="CB35" i="106"/>
  <c r="CQ35" i="106"/>
  <c r="DF35" i="106"/>
  <c r="BA41" i="106"/>
  <c r="DN47" i="106"/>
  <c r="BH47" i="106"/>
  <c r="BR50" i="106"/>
  <c r="CV50" i="106"/>
  <c r="DN54" i="106"/>
  <c r="Y50" i="106"/>
  <c r="Y54" i="106"/>
  <c r="BC50" i="106"/>
  <c r="CG50" i="106"/>
  <c r="DK50" i="106"/>
  <c r="BR35" i="106"/>
  <c r="CG35" i="106"/>
  <c r="CV35" i="106"/>
  <c r="DK35" i="106"/>
  <c r="DP48" i="106"/>
  <c r="CL54" i="106"/>
  <c r="CG54" i="106"/>
  <c r="DK54" i="106"/>
  <c r="BW54" i="106"/>
  <c r="DA54" i="106"/>
  <c r="BR54" i="106"/>
  <c r="CV54" i="106"/>
  <c r="J54" i="106"/>
  <c r="AN54" i="106"/>
  <c r="T50" i="106"/>
  <c r="AI50" i="106"/>
  <c r="AD50" i="106"/>
  <c r="AS50" i="106"/>
  <c r="BM50" i="106"/>
  <c r="BN50" i="106" s="1"/>
  <c r="CB50" i="106"/>
  <c r="CQ50" i="106"/>
  <c r="DF50" i="106"/>
  <c r="DN50" i="106"/>
  <c r="AI65" i="106"/>
  <c r="DO65" i="106"/>
  <c r="DP65" i="106" s="1"/>
  <c r="BC78" i="106"/>
  <c r="BU75" i="129"/>
  <c r="BU39" i="129"/>
  <c r="BH8" i="129"/>
  <c r="BK75" i="129"/>
  <c r="BK39" i="129"/>
  <c r="CL8" i="129"/>
  <c r="BA75" i="129"/>
  <c r="BA39" i="129"/>
  <c r="T6" i="129"/>
  <c r="T5" i="129" s="1"/>
  <c r="R5" i="129"/>
  <c r="R38" i="129" s="1"/>
  <c r="CQ24" i="129"/>
  <c r="CF75" i="129"/>
  <c r="CF39" i="129"/>
  <c r="BC8" i="129"/>
  <c r="BC38" i="129" s="1"/>
  <c r="CB8" i="129"/>
  <c r="CJ75" i="129"/>
  <c r="CJ39" i="129"/>
  <c r="BM8" i="129"/>
  <c r="AI8" i="129"/>
  <c r="AI38" i="129" s="1"/>
  <c r="S39" i="129"/>
  <c r="S75" i="129"/>
  <c r="AC8" i="129"/>
  <c r="CQ9" i="129"/>
  <c r="CQ7" i="129"/>
  <c r="CP5" i="129"/>
  <c r="I75" i="129"/>
  <c r="AC5" i="129"/>
  <c r="AD6" i="129"/>
  <c r="AD5" i="129" s="1"/>
  <c r="BH38" i="129"/>
  <c r="AX8" i="129"/>
  <c r="BW8" i="129"/>
  <c r="BF39" i="129"/>
  <c r="BF75" i="129"/>
  <c r="AV39" i="129"/>
  <c r="AV75" i="129"/>
  <c r="BZ75" i="129"/>
  <c r="BZ39" i="129"/>
  <c r="CL38" i="129"/>
  <c r="CA75" i="129"/>
  <c r="CA39" i="129"/>
  <c r="T8" i="129"/>
  <c r="CG8" i="129"/>
  <c r="E18" i="129"/>
  <c r="E8" i="129" s="1"/>
  <c r="BH35" i="129"/>
  <c r="CL35" i="129"/>
  <c r="AN50" i="129"/>
  <c r="BP75" i="129"/>
  <c r="BP39" i="129"/>
  <c r="BW35" i="129"/>
  <c r="BM54" i="129"/>
  <c r="C5" i="129"/>
  <c r="C38" i="129" s="1"/>
  <c r="AB5" i="129"/>
  <c r="CE38" i="129"/>
  <c r="BR8" i="129"/>
  <c r="AD16" i="129"/>
  <c r="D38" i="129"/>
  <c r="AC41" i="129"/>
  <c r="BC50" i="129"/>
  <c r="AD35" i="129"/>
  <c r="H39" i="129"/>
  <c r="AI41" i="129"/>
  <c r="AD44" i="129"/>
  <c r="AB41" i="129"/>
  <c r="O45" i="129"/>
  <c r="M41" i="129"/>
  <c r="AD50" i="129"/>
  <c r="BB38" i="129"/>
  <c r="BL75" i="129"/>
  <c r="BL39" i="129"/>
  <c r="BV38" i="129"/>
  <c r="AB8" i="129"/>
  <c r="CP8" i="129"/>
  <c r="AN8" i="129"/>
  <c r="AN38" i="129" s="1"/>
  <c r="AD13" i="129"/>
  <c r="BM41" i="129"/>
  <c r="E50" i="129"/>
  <c r="N38" i="129"/>
  <c r="AM38" i="129"/>
  <c r="AW38" i="129"/>
  <c r="BG38" i="129"/>
  <c r="BQ38" i="129"/>
  <c r="CK38" i="129"/>
  <c r="CQ42" i="129"/>
  <c r="CO50" i="129"/>
  <c r="CQ51" i="129"/>
  <c r="J54" i="129"/>
  <c r="CO68" i="129"/>
  <c r="CQ68" i="129" s="1"/>
  <c r="E68" i="129"/>
  <c r="E54" i="129" s="1"/>
  <c r="C54" i="129"/>
  <c r="CQ32" i="129"/>
  <c r="AX41" i="129"/>
  <c r="BR41" i="129"/>
  <c r="AX50" i="129"/>
  <c r="CQ55" i="129"/>
  <c r="CP54" i="129"/>
  <c r="AD55" i="129"/>
  <c r="CO36" i="129"/>
  <c r="J36" i="129"/>
  <c r="J45" i="129"/>
  <c r="CO45" i="129"/>
  <c r="CQ45" i="129" s="1"/>
  <c r="T54" i="129"/>
  <c r="J44" i="129"/>
  <c r="CO44" i="129"/>
  <c r="CQ44" i="129" s="1"/>
  <c r="CL54" i="129"/>
  <c r="AI54" i="129"/>
  <c r="CB54" i="129"/>
  <c r="BH41" i="129"/>
  <c r="BH54" i="129"/>
  <c r="AX54" i="129"/>
  <c r="BW54" i="129"/>
  <c r="AD33" i="129"/>
  <c r="BC41" i="129"/>
  <c r="CO46" i="129"/>
  <c r="CQ46" i="129" s="1"/>
  <c r="J46" i="129"/>
  <c r="CG50" i="129"/>
  <c r="AD57" i="129"/>
  <c r="CP41" i="129"/>
  <c r="AN41" i="129"/>
  <c r="CG54" i="129"/>
  <c r="CO62" i="129"/>
  <c r="CQ62" i="129" s="1"/>
  <c r="M54" i="129"/>
  <c r="H41" i="129"/>
  <c r="H75" i="129" s="1"/>
  <c r="E41" i="129"/>
  <c r="T42" i="129"/>
  <c r="BR54" i="129"/>
  <c r="CQ56" i="129"/>
  <c r="O62" i="129"/>
  <c r="M73" i="129"/>
  <c r="O74" i="129"/>
  <c r="O73" i="129" s="1"/>
  <c r="BR50" i="129"/>
  <c r="AN54" i="129"/>
  <c r="CQ78" i="129"/>
  <c r="CO74" i="129"/>
  <c r="AD71" i="129"/>
  <c r="CO8" i="129" l="1"/>
  <c r="CB89" i="106"/>
  <c r="CB91" i="106" s="1"/>
  <c r="AD68" i="129"/>
  <c r="AG75" i="129"/>
  <c r="AL39" i="129"/>
  <c r="T38" i="129"/>
  <c r="T75" i="129" s="1"/>
  <c r="AH39" i="129"/>
  <c r="M39" i="129"/>
  <c r="CQ8" i="166"/>
  <c r="CQ38" i="166" s="1"/>
  <c r="CR8" i="166"/>
  <c r="CR38" i="166" s="1"/>
  <c r="BP39" i="106"/>
  <c r="BK81" i="106"/>
  <c r="BK83" i="106" s="1"/>
  <c r="BK84" i="106" s="1"/>
  <c r="BK86" i="106" s="1"/>
  <c r="BK87" i="106" s="1"/>
  <c r="BK77" i="106"/>
  <c r="BM79" i="106"/>
  <c r="BM77" i="106" s="1"/>
  <c r="BK76" i="106"/>
  <c r="BL76" i="106"/>
  <c r="BL81" i="106"/>
  <c r="BL83" i="106" s="1"/>
  <c r="BL84" i="106" s="1"/>
  <c r="BL86" i="106" s="1"/>
  <c r="BL87" i="106" s="1"/>
  <c r="DP32" i="106"/>
  <c r="BA8" i="106"/>
  <c r="BA38" i="106" s="1"/>
  <c r="AC38" i="129"/>
  <c r="AL77" i="129"/>
  <c r="CO54" i="129"/>
  <c r="AB38" i="129"/>
  <c r="AB39" i="129" s="1"/>
  <c r="CB76" i="166"/>
  <c r="CJ76" i="166"/>
  <c r="CL75" i="166"/>
  <c r="CL39" i="166"/>
  <c r="CG76" i="166"/>
  <c r="X84" i="166"/>
  <c r="X86" i="166" s="1"/>
  <c r="D86" i="166"/>
  <c r="D87" i="166" s="1"/>
  <c r="CQ39" i="166"/>
  <c r="CQ75" i="166"/>
  <c r="BM76" i="166"/>
  <c r="BM81" i="166"/>
  <c r="BM83" i="166" s="1"/>
  <c r="BM84" i="166" s="1"/>
  <c r="BM86" i="166" s="1"/>
  <c r="BM87" i="166" s="1"/>
  <c r="AN76" i="166"/>
  <c r="CR75" i="166"/>
  <c r="CR39" i="166"/>
  <c r="AI76" i="166"/>
  <c r="H81" i="106"/>
  <c r="H83" i="106" s="1"/>
  <c r="H84" i="106" s="1"/>
  <c r="H86" i="106" s="1"/>
  <c r="H87" i="106" s="1"/>
  <c r="H76" i="106"/>
  <c r="AH38" i="106"/>
  <c r="BH8" i="106"/>
  <c r="CG89" i="106"/>
  <c r="CG91" i="106" s="1"/>
  <c r="BR89" i="106"/>
  <c r="BR91" i="106" s="1"/>
  <c r="CA85" i="106"/>
  <c r="CB75" i="106"/>
  <c r="CB39" i="106"/>
  <c r="CJ81" i="106"/>
  <c r="CJ83" i="106" s="1"/>
  <c r="CJ84" i="106" s="1"/>
  <c r="CJ86" i="106" s="1"/>
  <c r="CJ87" i="106" s="1"/>
  <c r="CJ76" i="106"/>
  <c r="CP85" i="106"/>
  <c r="CQ75" i="106"/>
  <c r="CQ39" i="106"/>
  <c r="BG75" i="106"/>
  <c r="AB76" i="106"/>
  <c r="BW89" i="106"/>
  <c r="BW91" i="106" s="1"/>
  <c r="CL89" i="106"/>
  <c r="CL91" i="106" s="1"/>
  <c r="AN75" i="106"/>
  <c r="AN39" i="106"/>
  <c r="DP47" i="106"/>
  <c r="DN41" i="106"/>
  <c r="BU75" i="106"/>
  <c r="BU39" i="106"/>
  <c r="AC38" i="106"/>
  <c r="BZ75" i="106"/>
  <c r="BZ39" i="106"/>
  <c r="DO68" i="106"/>
  <c r="DP68" i="106" s="1"/>
  <c r="BB68" i="106"/>
  <c r="BC68" i="106" s="1"/>
  <c r="BH68" i="106"/>
  <c r="BH54" i="106" s="1"/>
  <c r="CE75" i="106"/>
  <c r="CE39" i="106"/>
  <c r="X75" i="106"/>
  <c r="X39" i="106"/>
  <c r="CK76" i="106"/>
  <c r="CK81" i="106"/>
  <c r="CK83" i="106" s="1"/>
  <c r="CK84" i="106" s="1"/>
  <c r="AR76" i="106"/>
  <c r="AR81" i="106"/>
  <c r="AR83" i="106" s="1"/>
  <c r="AR84" i="106" s="1"/>
  <c r="AR86" i="106" s="1"/>
  <c r="AR87" i="106" s="1"/>
  <c r="BN8" i="106"/>
  <c r="AQ75" i="106"/>
  <c r="AQ39" i="106"/>
  <c r="CP81" i="106"/>
  <c r="CP83" i="106" s="1"/>
  <c r="CP84" i="106" s="1"/>
  <c r="CP86" i="106" s="1"/>
  <c r="CP87" i="106" s="1"/>
  <c r="CP76" i="106"/>
  <c r="BV85" i="106"/>
  <c r="BW75" i="106"/>
  <c r="BW39" i="106"/>
  <c r="BV81" i="106"/>
  <c r="BV83" i="106" s="1"/>
  <c r="BV84" i="106" s="1"/>
  <c r="BV76" i="106"/>
  <c r="Y8" i="106"/>
  <c r="DE76" i="106"/>
  <c r="DE81" i="106"/>
  <c r="DE83" i="106" s="1"/>
  <c r="DE84" i="106" s="1"/>
  <c r="DJ81" i="106"/>
  <c r="DJ83" i="106" s="1"/>
  <c r="DJ84" i="106" s="1"/>
  <c r="DJ86" i="106" s="1"/>
  <c r="DJ87" i="106" s="1"/>
  <c r="DJ76" i="106"/>
  <c r="AD38" i="106"/>
  <c r="AG76" i="106"/>
  <c r="AM81" i="106"/>
  <c r="AM83" i="106" s="1"/>
  <c r="AM84" i="106" s="1"/>
  <c r="AM86" i="106" s="1"/>
  <c r="AM87" i="106" s="1"/>
  <c r="AM76" i="106"/>
  <c r="DP5" i="106"/>
  <c r="DN5" i="106"/>
  <c r="S38" i="106"/>
  <c r="R81" i="106"/>
  <c r="R83" i="106" s="1"/>
  <c r="R84" i="106" s="1"/>
  <c r="R86" i="106" s="1"/>
  <c r="R87" i="106" s="1"/>
  <c r="R76" i="106"/>
  <c r="DK75" i="106"/>
  <c r="DK39" i="106"/>
  <c r="DO8" i="106"/>
  <c r="DO38" i="106" s="1"/>
  <c r="AI54" i="106"/>
  <c r="DI75" i="106"/>
  <c r="DI39" i="106"/>
  <c r="AL75" i="106"/>
  <c r="AL39" i="106"/>
  <c r="DK89" i="106"/>
  <c r="DK91" i="106" s="1"/>
  <c r="DE85" i="106"/>
  <c r="DF75" i="106"/>
  <c r="DF39" i="106"/>
  <c r="BR75" i="106"/>
  <c r="BR39" i="106"/>
  <c r="CZ81" i="106"/>
  <c r="CZ83" i="106" s="1"/>
  <c r="CZ84" i="106" s="1"/>
  <c r="CZ86" i="106" s="1"/>
  <c r="CZ87" i="106" s="1"/>
  <c r="CZ76" i="106"/>
  <c r="W81" i="106"/>
  <c r="W83" i="106" s="1"/>
  <c r="W84" i="106" s="1"/>
  <c r="W86" i="106" s="1"/>
  <c r="W87" i="106" s="1"/>
  <c r="W76" i="106"/>
  <c r="DD75" i="106"/>
  <c r="DD39" i="106"/>
  <c r="J8" i="106"/>
  <c r="BH38" i="106"/>
  <c r="I75" i="106"/>
  <c r="I39" i="106"/>
  <c r="BM38" i="106"/>
  <c r="CA76" i="106"/>
  <c r="CA81" i="106"/>
  <c r="CA83" i="106" s="1"/>
  <c r="CA84" i="106" s="1"/>
  <c r="R77" i="106"/>
  <c r="T79" i="106"/>
  <c r="T77" i="106" s="1"/>
  <c r="DP55" i="106"/>
  <c r="DO54" i="106"/>
  <c r="AI8" i="106"/>
  <c r="CY75" i="106"/>
  <c r="CY39" i="106"/>
  <c r="BB39" i="106"/>
  <c r="CU76" i="106"/>
  <c r="CU81" i="106"/>
  <c r="CU83" i="106" s="1"/>
  <c r="CU84" i="106" s="1"/>
  <c r="CU86" i="106" s="1"/>
  <c r="CU87" i="106" s="1"/>
  <c r="CF81" i="106"/>
  <c r="CF83" i="106" s="1"/>
  <c r="CF84" i="106" s="1"/>
  <c r="CF86" i="106" s="1"/>
  <c r="CF87" i="106" s="1"/>
  <c r="CF76" i="106"/>
  <c r="BP76" i="106"/>
  <c r="BP81" i="106"/>
  <c r="BP83" i="106" s="1"/>
  <c r="BP84" i="106" s="1"/>
  <c r="BP86" i="106" s="1"/>
  <c r="BP87" i="106" s="1"/>
  <c r="CZ85" i="106"/>
  <c r="DA75" i="106"/>
  <c r="DA39" i="106"/>
  <c r="CV89" i="106"/>
  <c r="CV91" i="106" s="1"/>
  <c r="BC8" i="106"/>
  <c r="DF89" i="106"/>
  <c r="DF91" i="106" s="1"/>
  <c r="CK85" i="106"/>
  <c r="CL75" i="106"/>
  <c r="CL39" i="106"/>
  <c r="CF85" i="106"/>
  <c r="CG75" i="106"/>
  <c r="CG39" i="106"/>
  <c r="N81" i="106"/>
  <c r="N83" i="106" s="1"/>
  <c r="N84" i="106" s="1"/>
  <c r="N86" i="106" s="1"/>
  <c r="N87" i="106" s="1"/>
  <c r="N76" i="106"/>
  <c r="DP9" i="106"/>
  <c r="DN8" i="106"/>
  <c r="BQ76" i="106"/>
  <c r="BQ81" i="106"/>
  <c r="BQ83" i="106" s="1"/>
  <c r="BQ84" i="106" s="1"/>
  <c r="BQ86" i="106" s="1"/>
  <c r="BQ87" i="106" s="1"/>
  <c r="BC54" i="106"/>
  <c r="BH41" i="106"/>
  <c r="BB54" i="106"/>
  <c r="BB75" i="106" s="1"/>
  <c r="CO75" i="106"/>
  <c r="CO39" i="106"/>
  <c r="CV75" i="106"/>
  <c r="CV39" i="106"/>
  <c r="T8" i="106"/>
  <c r="CT76" i="106"/>
  <c r="CT81" i="106"/>
  <c r="CT83" i="106" s="1"/>
  <c r="CT84" i="106" s="1"/>
  <c r="CT86" i="106" s="1"/>
  <c r="CT87" i="106" s="1"/>
  <c r="BF38" i="106"/>
  <c r="AS8" i="106"/>
  <c r="CQ89" i="106"/>
  <c r="CQ91" i="106" s="1"/>
  <c r="BV75" i="129"/>
  <c r="BV39" i="129"/>
  <c r="CO41" i="129"/>
  <c r="AM75" i="129"/>
  <c r="AM39" i="129"/>
  <c r="AH81" i="129"/>
  <c r="AH83" i="129" s="1"/>
  <c r="AH84" i="129" s="1"/>
  <c r="AH86" i="129" s="1"/>
  <c r="AH87" i="129" s="1"/>
  <c r="AH76" i="129"/>
  <c r="BC75" i="129"/>
  <c r="BC39" i="129"/>
  <c r="O54" i="129"/>
  <c r="BG75" i="129"/>
  <c r="BG39" i="129"/>
  <c r="J35" i="129"/>
  <c r="O41" i="129"/>
  <c r="O75" i="129" s="1"/>
  <c r="AB75" i="129"/>
  <c r="BL81" i="129"/>
  <c r="BL83" i="129" s="1"/>
  <c r="BL84" i="129" s="1"/>
  <c r="BL86" i="129" s="1"/>
  <c r="BL87" i="129" s="1"/>
  <c r="BL76" i="129"/>
  <c r="AL81" i="129"/>
  <c r="AL83" i="129" s="1"/>
  <c r="AL84" i="129" s="1"/>
  <c r="AL86" i="129" s="1"/>
  <c r="AL87" i="129" s="1"/>
  <c r="AL76" i="129"/>
  <c r="CQ74" i="129"/>
  <c r="CQ73" i="129" s="1"/>
  <c r="CO73" i="129"/>
  <c r="CO35" i="129"/>
  <c r="CQ36" i="129"/>
  <c r="CQ50" i="129"/>
  <c r="N75" i="129"/>
  <c r="N39" i="129"/>
  <c r="AN89" i="129"/>
  <c r="BB75" i="129"/>
  <c r="BB39" i="129"/>
  <c r="H76" i="129"/>
  <c r="M76" i="129"/>
  <c r="BF81" i="129"/>
  <c r="BF83" i="129" s="1"/>
  <c r="BF84" i="129" s="1"/>
  <c r="BF86" i="129" s="1"/>
  <c r="BF87" i="129" s="1"/>
  <c r="BF76" i="129"/>
  <c r="AC75" i="129"/>
  <c r="AC39" i="129"/>
  <c r="I81" i="129"/>
  <c r="I83" i="129" s="1"/>
  <c r="I84" i="129" s="1"/>
  <c r="I86" i="129" s="1"/>
  <c r="I87" i="129" s="1"/>
  <c r="I76" i="129"/>
  <c r="CQ8" i="129"/>
  <c r="AX38" i="129"/>
  <c r="BB85" i="129" s="1"/>
  <c r="CK75" i="129"/>
  <c r="CK39" i="129"/>
  <c r="CE75" i="129"/>
  <c r="CE39" i="129"/>
  <c r="BP76" i="129"/>
  <c r="BZ76" i="129"/>
  <c r="CP38" i="129"/>
  <c r="AQ81" i="129"/>
  <c r="BA76" i="129"/>
  <c r="BU76" i="129"/>
  <c r="BM89" i="129"/>
  <c r="BM91" i="129" s="1"/>
  <c r="AN75" i="129"/>
  <c r="AN39" i="129"/>
  <c r="T41" i="129"/>
  <c r="J41" i="129"/>
  <c r="CQ54" i="129"/>
  <c r="BQ75" i="129"/>
  <c r="BQ39" i="129"/>
  <c r="D39" i="129"/>
  <c r="D75" i="129"/>
  <c r="CQ6" i="129"/>
  <c r="CQ5" i="129" s="1"/>
  <c r="CO5" i="129"/>
  <c r="CO38" i="129" s="1"/>
  <c r="J38" i="129"/>
  <c r="AV76" i="129"/>
  <c r="AD8" i="129"/>
  <c r="CG38" i="129"/>
  <c r="S76" i="129"/>
  <c r="S81" i="129"/>
  <c r="S83" i="129" s="1"/>
  <c r="S84" i="129" s="1"/>
  <c r="S86" i="129" s="1"/>
  <c r="S87" i="129" s="1"/>
  <c r="CF76" i="129"/>
  <c r="CF81" i="129"/>
  <c r="CF83" i="129" s="1"/>
  <c r="CF84" i="129" s="1"/>
  <c r="CF86" i="129" s="1"/>
  <c r="CF87" i="129" s="1"/>
  <c r="AS89" i="129"/>
  <c r="AS91" i="129" s="1"/>
  <c r="R75" i="129"/>
  <c r="R39" i="129"/>
  <c r="E38" i="129"/>
  <c r="BH89" i="129"/>
  <c r="BH91" i="129" s="1"/>
  <c r="AG76" i="129"/>
  <c r="CJ76" i="129"/>
  <c r="AI75" i="129"/>
  <c r="AI39" i="129"/>
  <c r="BK81" i="129"/>
  <c r="BK83" i="129" s="1"/>
  <c r="BK84" i="129" s="1"/>
  <c r="BK86" i="129" s="1"/>
  <c r="BK87" i="129" s="1"/>
  <c r="BK76" i="129"/>
  <c r="O39" i="129"/>
  <c r="AD54" i="129"/>
  <c r="CQ41" i="129"/>
  <c r="AW75" i="129"/>
  <c r="AW39" i="129"/>
  <c r="AD41" i="129"/>
  <c r="C75" i="129"/>
  <c r="C39" i="129"/>
  <c r="CA81" i="129"/>
  <c r="CA83" i="129" s="1"/>
  <c r="CA84" i="129" s="1"/>
  <c r="CA86" i="129" s="1"/>
  <c r="CA87" i="129" s="1"/>
  <c r="CA76" i="129"/>
  <c r="CL75" i="129"/>
  <c r="CL39" i="129"/>
  <c r="BG85" i="129"/>
  <c r="BH75" i="129"/>
  <c r="BH39" i="129"/>
  <c r="BM38" i="129"/>
  <c r="CB38" i="129"/>
  <c r="BW38" i="129"/>
  <c r="BR38" i="129"/>
  <c r="T39" i="129" l="1"/>
  <c r="CK84" i="166"/>
  <c r="CK86" i="166" s="1"/>
  <c r="CK87" i="166" s="1"/>
  <c r="CA86" i="106"/>
  <c r="CA87" i="106" s="1"/>
  <c r="AQ83" i="129"/>
  <c r="AQ84" i="129" s="1"/>
  <c r="AQ86" i="129" s="1"/>
  <c r="AQ87" i="129" s="1"/>
  <c r="AT69" i="129"/>
  <c r="AT62" i="129"/>
  <c r="AT47" i="129"/>
  <c r="AT36" i="129"/>
  <c r="AT25" i="129"/>
  <c r="AT18" i="129"/>
  <c r="AT59" i="129"/>
  <c r="AT65" i="129"/>
  <c r="AT28" i="129"/>
  <c r="AT21" i="129"/>
  <c r="AT10" i="129"/>
  <c r="AT66" i="129"/>
  <c r="AT68" i="129"/>
  <c r="AT57" i="129"/>
  <c r="AT42" i="129"/>
  <c r="AT31" i="129"/>
  <c r="AT24" i="129"/>
  <c r="AT13" i="129"/>
  <c r="AT51" i="129"/>
  <c r="AT33" i="129"/>
  <c r="AT71" i="129"/>
  <c r="AT60" i="129"/>
  <c r="AT49" i="129"/>
  <c r="AT45" i="129"/>
  <c r="AT27" i="129"/>
  <c r="AT16" i="129"/>
  <c r="AT9" i="129"/>
  <c r="AT15" i="129"/>
  <c r="AT63" i="129"/>
  <c r="AT56" i="129"/>
  <c r="AT48" i="129"/>
  <c r="AT30" i="129"/>
  <c r="AT19" i="129"/>
  <c r="AT12" i="129"/>
  <c r="AT44" i="129"/>
  <c r="AT22" i="129"/>
  <c r="AT23" i="129"/>
  <c r="AT64" i="129"/>
  <c r="AT61" i="129"/>
  <c r="AT11" i="129"/>
  <c r="AT26" i="129"/>
  <c r="AT50" i="129"/>
  <c r="AT17" i="129"/>
  <c r="AT55" i="129"/>
  <c r="AT46" i="129"/>
  <c r="AT52" i="129"/>
  <c r="AT8" i="129"/>
  <c r="AT14" i="129"/>
  <c r="AT29" i="129"/>
  <c r="AT43" i="129"/>
  <c r="AT41" i="129"/>
  <c r="AT58" i="129"/>
  <c r="AT67" i="129"/>
  <c r="AT32" i="129"/>
  <c r="AT70" i="129"/>
  <c r="AT20" i="129"/>
  <c r="AT35" i="129"/>
  <c r="AT54" i="129"/>
  <c r="AT38" i="129"/>
  <c r="AT39" i="129"/>
  <c r="DN38" i="106"/>
  <c r="DN75" i="106" s="1"/>
  <c r="CM8" i="129"/>
  <c r="BI8" i="129"/>
  <c r="BD50" i="129"/>
  <c r="BI54" i="129"/>
  <c r="BI39" i="129"/>
  <c r="BN8" i="129"/>
  <c r="BI38" i="129"/>
  <c r="K41" i="129"/>
  <c r="K54" i="129"/>
  <c r="AY41" i="129"/>
  <c r="K44" i="129"/>
  <c r="K46" i="129"/>
  <c r="CM35" i="129"/>
  <c r="BI41" i="129"/>
  <c r="K36" i="129"/>
  <c r="BD38" i="129"/>
  <c r="BD8" i="129"/>
  <c r="CC54" i="129"/>
  <c r="CH8" i="129"/>
  <c r="BX8" i="129"/>
  <c r="BX35" i="129"/>
  <c r="BD41" i="129"/>
  <c r="K35" i="129"/>
  <c r="BD39" i="129"/>
  <c r="CM54" i="129"/>
  <c r="K8" i="129"/>
  <c r="BI35" i="129"/>
  <c r="CM39" i="129"/>
  <c r="AY54" i="129"/>
  <c r="CC8" i="129"/>
  <c r="AY8" i="129"/>
  <c r="BN54" i="129"/>
  <c r="BS54" i="129"/>
  <c r="BS50" i="129"/>
  <c r="AY50" i="129"/>
  <c r="CH50" i="129"/>
  <c r="CM38" i="129"/>
  <c r="BS8" i="129"/>
  <c r="BN41" i="129"/>
  <c r="CR76" i="166"/>
  <c r="CR81" i="166"/>
  <c r="CR83" i="166" s="1"/>
  <c r="CR84" i="166" s="1"/>
  <c r="CR86" i="166" s="1"/>
  <c r="CR87" i="166" s="1"/>
  <c r="CL76" i="166"/>
  <c r="CQ76" i="166"/>
  <c r="CQ81" i="166"/>
  <c r="CQ83" i="166" s="1"/>
  <c r="CQ84" i="166" s="1"/>
  <c r="CQ86" i="166" s="1"/>
  <c r="CQ87" i="166" s="1"/>
  <c r="CV76" i="106"/>
  <c r="CV81" i="106"/>
  <c r="CV83" i="106" s="1"/>
  <c r="CV84" i="106" s="1"/>
  <c r="CV86" i="106" s="1"/>
  <c r="CV87" i="106" s="1"/>
  <c r="DP8" i="106"/>
  <c r="DP38" i="106" s="1"/>
  <c r="AD75" i="106"/>
  <c r="AD39" i="106"/>
  <c r="AQ76" i="106"/>
  <c r="AH75" i="106"/>
  <c r="AH39" i="106"/>
  <c r="CG81" i="106"/>
  <c r="CG83" i="106" s="1"/>
  <c r="CG84" i="106" s="1"/>
  <c r="CG86" i="106" s="1"/>
  <c r="CG87" i="106" s="1"/>
  <c r="CG76" i="106"/>
  <c r="DA81" i="106"/>
  <c r="DA83" i="106" s="1"/>
  <c r="DA84" i="106" s="1"/>
  <c r="DA86" i="106" s="1"/>
  <c r="DA87" i="106" s="1"/>
  <c r="DA76" i="106"/>
  <c r="Y89" i="106"/>
  <c r="Y93" i="106" s="1"/>
  <c r="Y38" i="106"/>
  <c r="BW81" i="106"/>
  <c r="BW83" i="106" s="1"/>
  <c r="BW84" i="106" s="1"/>
  <c r="BW86" i="106" s="1"/>
  <c r="BW87" i="106" s="1"/>
  <c r="BW76" i="106"/>
  <c r="AC75" i="106"/>
  <c r="AC39" i="106"/>
  <c r="CO76" i="106"/>
  <c r="CO81" i="106"/>
  <c r="CO83" i="106" s="1"/>
  <c r="CO84" i="106" s="1"/>
  <c r="CO86" i="106" s="1"/>
  <c r="CO87" i="106" s="1"/>
  <c r="CY76" i="106"/>
  <c r="CY81" i="106"/>
  <c r="CY83" i="106" s="1"/>
  <c r="CY84" i="106" s="1"/>
  <c r="CY86" i="106" s="1"/>
  <c r="CY87" i="106" s="1"/>
  <c r="I81" i="106"/>
  <c r="I83" i="106" s="1"/>
  <c r="I84" i="106" s="1"/>
  <c r="I86" i="106" s="1"/>
  <c r="I87" i="106" s="1"/>
  <c r="I76" i="106"/>
  <c r="DD81" i="106"/>
  <c r="DD83" i="106" s="1"/>
  <c r="DD84" i="106" s="1"/>
  <c r="DD86" i="106" s="1"/>
  <c r="DD87" i="106" s="1"/>
  <c r="DD76" i="106"/>
  <c r="DK81" i="106"/>
  <c r="DK83" i="106" s="1"/>
  <c r="DK84" i="106" s="1"/>
  <c r="DK86" i="106" s="1"/>
  <c r="DK87" i="106" s="1"/>
  <c r="DK76" i="106"/>
  <c r="BA75" i="106"/>
  <c r="BA39" i="106"/>
  <c r="BB85" i="106"/>
  <c r="DO85" i="106"/>
  <c r="X81" i="106"/>
  <c r="X83" i="106" s="1"/>
  <c r="X84" i="106" s="1"/>
  <c r="X86" i="106" s="1"/>
  <c r="X87" i="106" s="1"/>
  <c r="X76" i="106"/>
  <c r="CQ81" i="106"/>
  <c r="CQ83" i="106" s="1"/>
  <c r="CQ84" i="106" s="1"/>
  <c r="CQ86" i="106" s="1"/>
  <c r="CQ87" i="106" s="1"/>
  <c r="CQ76" i="106"/>
  <c r="CB76" i="106"/>
  <c r="CB81" i="106"/>
  <c r="CB83" i="106" s="1"/>
  <c r="CB84" i="106" s="1"/>
  <c r="CB86" i="106" s="1"/>
  <c r="CB87" i="106" s="1"/>
  <c r="T89" i="106"/>
  <c r="Z8" i="106" s="1"/>
  <c r="T38" i="106"/>
  <c r="BB81" i="106"/>
  <c r="BB83" i="106" s="1"/>
  <c r="BB84" i="106" s="1"/>
  <c r="BB86" i="106" s="1"/>
  <c r="BB87" i="106" s="1"/>
  <c r="BB76" i="106"/>
  <c r="DI76" i="106"/>
  <c r="DI81" i="106"/>
  <c r="DI83" i="106" s="1"/>
  <c r="DI84" i="106" s="1"/>
  <c r="DI86" i="106" s="1"/>
  <c r="DI87" i="106" s="1"/>
  <c r="AI38" i="106"/>
  <c r="BH75" i="106"/>
  <c r="BH39" i="106"/>
  <c r="BR81" i="106"/>
  <c r="BR83" i="106" s="1"/>
  <c r="BR84" i="106" s="1"/>
  <c r="BR76" i="106"/>
  <c r="DP41" i="106"/>
  <c r="AN76" i="106"/>
  <c r="BM75" i="106"/>
  <c r="BN38" i="106"/>
  <c r="BM39" i="106"/>
  <c r="BN39" i="106" s="1"/>
  <c r="DF76" i="106"/>
  <c r="DF81" i="106"/>
  <c r="DF83" i="106" s="1"/>
  <c r="DF84" i="106" s="1"/>
  <c r="DF86" i="106" s="1"/>
  <c r="DF87" i="106" s="1"/>
  <c r="AS38" i="106"/>
  <c r="BF75" i="106"/>
  <c r="BF39" i="106"/>
  <c r="DP54" i="106"/>
  <c r="AL76" i="106"/>
  <c r="DE86" i="106"/>
  <c r="DE87" i="106" s="1"/>
  <c r="BV86" i="106"/>
  <c r="BV87" i="106" s="1"/>
  <c r="BU76" i="106"/>
  <c r="BU81" i="106"/>
  <c r="BU83" i="106" s="1"/>
  <c r="BU84" i="106" s="1"/>
  <c r="BU86" i="106" s="1"/>
  <c r="BU87" i="106" s="1"/>
  <c r="BC38" i="106"/>
  <c r="BG76" i="106"/>
  <c r="BG81" i="106"/>
  <c r="BG83" i="106" s="1"/>
  <c r="BG84" i="106" s="1"/>
  <c r="BG86" i="106" s="1"/>
  <c r="BG87" i="106" s="1"/>
  <c r="J38" i="106"/>
  <c r="CL76" i="106"/>
  <c r="CL81" i="106"/>
  <c r="CL83" i="106" s="1"/>
  <c r="CL84" i="106" s="1"/>
  <c r="CL86" i="106" s="1"/>
  <c r="CL87" i="106" s="1"/>
  <c r="DO75" i="106"/>
  <c r="DO39" i="106"/>
  <c r="S75" i="106"/>
  <c r="S39" i="106"/>
  <c r="CK86" i="106"/>
  <c r="CK87" i="106" s="1"/>
  <c r="CE76" i="106"/>
  <c r="CE81" i="106"/>
  <c r="CE83" i="106" s="1"/>
  <c r="CE84" i="106" s="1"/>
  <c r="CE86" i="106" s="1"/>
  <c r="CE87" i="106" s="1"/>
  <c r="BZ81" i="106"/>
  <c r="BZ83" i="106" s="1"/>
  <c r="BZ84" i="106" s="1"/>
  <c r="BZ86" i="106" s="1"/>
  <c r="BZ87" i="106" s="1"/>
  <c r="BZ76" i="106"/>
  <c r="CP85" i="129"/>
  <c r="CQ85" i="129" s="1"/>
  <c r="AC85" i="129"/>
  <c r="AD85" i="129" s="1"/>
  <c r="BQ76" i="129"/>
  <c r="BQ81" i="129"/>
  <c r="BQ83" i="129" s="1"/>
  <c r="BQ84" i="129" s="1"/>
  <c r="BQ86" i="129" s="1"/>
  <c r="BQ87" i="129" s="1"/>
  <c r="BW75" i="129"/>
  <c r="BX38" i="129"/>
  <c r="BW39" i="129"/>
  <c r="BX39" i="129" s="1"/>
  <c r="BH76" i="129"/>
  <c r="BH81" i="129"/>
  <c r="BH83" i="129" s="1"/>
  <c r="BH84" i="129" s="1"/>
  <c r="BH86" i="129" s="1"/>
  <c r="BH87" i="129" s="1"/>
  <c r="BB81" i="129"/>
  <c r="BB83" i="129" s="1"/>
  <c r="BB84" i="129" s="1"/>
  <c r="BB86" i="129" s="1"/>
  <c r="BB87" i="129" s="1"/>
  <c r="BB76" i="129"/>
  <c r="BG81" i="129"/>
  <c r="BG83" i="129" s="1"/>
  <c r="BG84" i="129" s="1"/>
  <c r="BG86" i="129" s="1"/>
  <c r="BG87" i="129" s="1"/>
  <c r="BG76" i="129"/>
  <c r="CC38" i="129"/>
  <c r="CB75" i="129"/>
  <c r="CB39" i="129"/>
  <c r="CC39" i="129" s="1"/>
  <c r="CO75" i="129"/>
  <c r="CO39" i="129"/>
  <c r="AR81" i="129"/>
  <c r="AR83" i="129" s="1"/>
  <c r="AR84" i="129" s="1"/>
  <c r="AR86" i="129" s="1"/>
  <c r="AR87" i="129" s="1"/>
  <c r="CG75" i="129"/>
  <c r="CG39" i="129"/>
  <c r="CH39" i="129" s="1"/>
  <c r="CH38" i="129"/>
  <c r="CQ38" i="129"/>
  <c r="AC76" i="129"/>
  <c r="AC81" i="129"/>
  <c r="AC83" i="129" s="1"/>
  <c r="AC84" i="129" s="1"/>
  <c r="K70" i="129"/>
  <c r="CM68" i="129"/>
  <c r="BX68" i="129"/>
  <c r="BI68" i="129"/>
  <c r="CC71" i="129"/>
  <c r="BN70" i="129"/>
  <c r="K69" i="129"/>
  <c r="BD68" i="129"/>
  <c r="K67" i="129"/>
  <c r="BI66" i="129"/>
  <c r="K64" i="129"/>
  <c r="CC62" i="129"/>
  <c r="BN62" i="129"/>
  <c r="AY62" i="129"/>
  <c r="K62" i="129"/>
  <c r="CC70" i="129"/>
  <c r="BI69" i="129"/>
  <c r="BS68" i="129"/>
  <c r="K68" i="129"/>
  <c r="BI67" i="129"/>
  <c r="BX66" i="129"/>
  <c r="CH65" i="129"/>
  <c r="BS65" i="129"/>
  <c r="BD65" i="129"/>
  <c r="K65" i="129"/>
  <c r="CC64" i="129"/>
  <c r="BN64" i="129"/>
  <c r="AY64" i="129"/>
  <c r="CC63" i="129"/>
  <c r="BN63" i="129"/>
  <c r="AY63" i="129"/>
  <c r="CC61" i="129"/>
  <c r="BN61" i="129"/>
  <c r="AY61" i="129"/>
  <c r="CM60" i="129"/>
  <c r="BX60" i="129"/>
  <c r="BI60" i="129"/>
  <c r="CH59" i="129"/>
  <c r="BS59" i="129"/>
  <c r="BD59" i="129"/>
  <c r="K59" i="129"/>
  <c r="CC58" i="129"/>
  <c r="BN58" i="129"/>
  <c r="AY58" i="129"/>
  <c r="CM57" i="129"/>
  <c r="BX57" i="129"/>
  <c r="BI57" i="129"/>
  <c r="CH56" i="129"/>
  <c r="BS56" i="129"/>
  <c r="BD56" i="129"/>
  <c r="K56" i="129"/>
  <c r="CC55" i="129"/>
  <c r="BN55" i="129"/>
  <c r="AY55" i="129"/>
  <c r="CH49" i="129"/>
  <c r="BD49" i="129"/>
  <c r="CM45" i="129"/>
  <c r="BX45" i="129"/>
  <c r="BI45" i="129"/>
  <c r="CM44" i="129"/>
  <c r="BX44" i="129"/>
  <c r="BI44" i="129"/>
  <c r="CH43" i="129"/>
  <c r="BS43" i="129"/>
  <c r="BD43" i="129"/>
  <c r="K42" i="129"/>
  <c r="BI70" i="129"/>
  <c r="CC49" i="129"/>
  <c r="AY49" i="129"/>
  <c r="CM70" i="129"/>
  <c r="CH67" i="129"/>
  <c r="BD63" i="129"/>
  <c r="BD61" i="129"/>
  <c r="BN60" i="129"/>
  <c r="CH58" i="129"/>
  <c r="BD55" i="129"/>
  <c r="BN49" i="129"/>
  <c r="BN47" i="129"/>
  <c r="CC46" i="129"/>
  <c r="BD67" i="129"/>
  <c r="CH63" i="129"/>
  <c r="CH61" i="129"/>
  <c r="BX56" i="129"/>
  <c r="CH55" i="129"/>
  <c r="BN48" i="129"/>
  <c r="BD42" i="129"/>
  <c r="K40" i="129"/>
  <c r="AY71" i="129"/>
  <c r="BD69" i="129"/>
  <c r="BD64" i="129"/>
  <c r="K63" i="129"/>
  <c r="K61" i="129"/>
  <c r="BI59" i="129"/>
  <c r="AY57" i="129"/>
  <c r="CM56" i="129"/>
  <c r="K55" i="129"/>
  <c r="AY52" i="129"/>
  <c r="BI51" i="129"/>
  <c r="CM49" i="129"/>
  <c r="CC48" i="129"/>
  <c r="BS42" i="129"/>
  <c r="CH71" i="129"/>
  <c r="K71" i="129"/>
  <c r="AY65" i="129"/>
  <c r="BD58" i="129"/>
  <c r="AY46" i="129"/>
  <c r="BX61" i="129"/>
  <c r="CH60" i="129"/>
  <c r="BX59" i="129"/>
  <c r="K58" i="129"/>
  <c r="BN56" i="129"/>
  <c r="BX55" i="129"/>
  <c r="CC47" i="129"/>
  <c r="CH69" i="129"/>
  <c r="CC68" i="129"/>
  <c r="BS67" i="129"/>
  <c r="CH64" i="129"/>
  <c r="BS63" i="129"/>
  <c r="BN59" i="129"/>
  <c r="CC57" i="129"/>
  <c r="CC52" i="129"/>
  <c r="CM51" i="129"/>
  <c r="BI49" i="129"/>
  <c r="BS45" i="129"/>
  <c r="CC44" i="129"/>
  <c r="CM33" i="129"/>
  <c r="BX33" i="129"/>
  <c r="BI33" i="129"/>
  <c r="BS69" i="129"/>
  <c r="CM67" i="129"/>
  <c r="K60" i="129"/>
  <c r="CM59" i="129"/>
  <c r="BS58" i="129"/>
  <c r="CH48" i="129"/>
  <c r="BN46" i="129"/>
  <c r="AY43" i="129"/>
  <c r="BD32" i="129"/>
  <c r="BN71" i="129"/>
  <c r="CH66" i="129"/>
  <c r="BI65" i="129"/>
  <c r="BX63" i="129"/>
  <c r="AY60" i="129"/>
  <c r="BN57" i="129"/>
  <c r="BN52" i="129"/>
  <c r="BS49" i="129"/>
  <c r="CH47" i="129"/>
  <c r="BN43" i="129"/>
  <c r="BX42" i="129"/>
  <c r="BS32" i="129"/>
  <c r="CC31" i="129"/>
  <c r="BN31" i="129"/>
  <c r="AY31" i="129"/>
  <c r="BS30" i="129"/>
  <c r="CC29" i="129"/>
  <c r="BX28" i="129"/>
  <c r="CC22" i="129"/>
  <c r="BN22" i="129"/>
  <c r="AY22" i="129"/>
  <c r="K22" i="129"/>
  <c r="CC17" i="129"/>
  <c r="BN17" i="129"/>
  <c r="AY17" i="129"/>
  <c r="CM16" i="129"/>
  <c r="BX16" i="129"/>
  <c r="BI16" i="129"/>
  <c r="CH15" i="129"/>
  <c r="BS15" i="129"/>
  <c r="BD15" i="129"/>
  <c r="K15" i="129"/>
  <c r="CC14" i="129"/>
  <c r="BN14" i="129"/>
  <c r="AY14" i="129"/>
  <c r="CM13" i="129"/>
  <c r="BX13" i="129"/>
  <c r="BI13" i="129"/>
  <c r="CH12" i="129"/>
  <c r="BS12" i="129"/>
  <c r="BD12" i="129"/>
  <c r="K12" i="129"/>
  <c r="CC11" i="129"/>
  <c r="BN11" i="129"/>
  <c r="AY11" i="129"/>
  <c r="CM10" i="129"/>
  <c r="BX10" i="129"/>
  <c r="BI10" i="129"/>
  <c r="CH9" i="129"/>
  <c r="BS9" i="129"/>
  <c r="BD9" i="129"/>
  <c r="K9" i="129"/>
  <c r="BX70" i="129"/>
  <c r="AY70" i="129"/>
  <c r="BS61" i="129"/>
  <c r="AY48" i="129"/>
  <c r="BN44" i="129"/>
  <c r="BD35" i="129"/>
  <c r="K33" i="129"/>
  <c r="K32" i="129"/>
  <c r="BI56" i="129"/>
  <c r="K52" i="129"/>
  <c r="CH46" i="129"/>
  <c r="CH36" i="129"/>
  <c r="AY36" i="129"/>
  <c r="CC35" i="129"/>
  <c r="CH27" i="129"/>
  <c r="AY27" i="129"/>
  <c r="BI26" i="129"/>
  <c r="BS25" i="129"/>
  <c r="BS24" i="129"/>
  <c r="CC23" i="129"/>
  <c r="CC21" i="129"/>
  <c r="CM20" i="129"/>
  <c r="BN18" i="129"/>
  <c r="BX65" i="129"/>
  <c r="BD52" i="129"/>
  <c r="CH42" i="129"/>
  <c r="BN36" i="129"/>
  <c r="CC33" i="129"/>
  <c r="CM31" i="129"/>
  <c r="K31" i="129"/>
  <c r="BS28" i="129"/>
  <c r="BN27" i="129"/>
  <c r="K27" i="129"/>
  <c r="BX26" i="129"/>
  <c r="CH25" i="129"/>
  <c r="K25" i="129"/>
  <c r="CH24" i="129"/>
  <c r="AY24" i="129"/>
  <c r="BI23" i="129"/>
  <c r="K23" i="129"/>
  <c r="BI22" i="129"/>
  <c r="CM69" i="129"/>
  <c r="BI64" i="129"/>
  <c r="BS55" i="129"/>
  <c r="BX51" i="129"/>
  <c r="CC36" i="129"/>
  <c r="CH35" i="129"/>
  <c r="CH32" i="129"/>
  <c r="CC27" i="129"/>
  <c r="CM26" i="129"/>
  <c r="BN24" i="129"/>
  <c r="BX23" i="129"/>
  <c r="BD21" i="129"/>
  <c r="BN20" i="129"/>
  <c r="BX19" i="129"/>
  <c r="BD62" i="129"/>
  <c r="CC60" i="129"/>
  <c r="BD45" i="129"/>
  <c r="BX43" i="129"/>
  <c r="CC30" i="129"/>
  <c r="CM29" i="129"/>
  <c r="BD27" i="129"/>
  <c r="BI20" i="129"/>
  <c r="BS18" i="129"/>
  <c r="BS64" i="129"/>
  <c r="BX49" i="129"/>
  <c r="CH44" i="129"/>
  <c r="BS36" i="129"/>
  <c r="AY35" i="129"/>
  <c r="BN33" i="129"/>
  <c r="BX31" i="129"/>
  <c r="CH62" i="129"/>
  <c r="BD48" i="129"/>
  <c r="AY47" i="129"/>
  <c r="CH28" i="129"/>
  <c r="AY26" i="129"/>
  <c r="BI25" i="129"/>
  <c r="CC24" i="129"/>
  <c r="CM23" i="129"/>
  <c r="BS21" i="129"/>
  <c r="CC20" i="129"/>
  <c r="CM19" i="129"/>
  <c r="BD19" i="129"/>
  <c r="BD18" i="129"/>
  <c r="K66" i="129"/>
  <c r="CM58" i="129"/>
  <c r="BD57" i="129"/>
  <c r="BD36" i="129"/>
  <c r="BI28" i="129"/>
  <c r="BN26" i="129"/>
  <c r="BX25" i="129"/>
  <c r="AY23" i="129"/>
  <c r="CH21" i="129"/>
  <c r="AY21" i="129"/>
  <c r="BS19" i="129"/>
  <c r="BN51" i="129"/>
  <c r="BN23" i="129"/>
  <c r="CM22" i="129"/>
  <c r="CC26" i="129"/>
  <c r="K21" i="129"/>
  <c r="CH18" i="129"/>
  <c r="BN16" i="129"/>
  <c r="BS10" i="129"/>
  <c r="BX9" i="129"/>
  <c r="BN29" i="129"/>
  <c r="BD24" i="129"/>
  <c r="CH19" i="129"/>
  <c r="BI19" i="129"/>
  <c r="K19" i="129"/>
  <c r="BI17" i="129"/>
  <c r="CM14" i="129"/>
  <c r="BN13" i="129"/>
  <c r="CH14" i="129"/>
  <c r="BD30" i="129"/>
  <c r="BD14" i="129"/>
  <c r="BS27" i="129"/>
  <c r="CM25" i="129"/>
  <c r="CC18" i="129"/>
  <c r="BX15" i="129"/>
  <c r="AY15" i="129"/>
  <c r="K30" i="129"/>
  <c r="BX20" i="129"/>
  <c r="AY20" i="129"/>
  <c r="AY18" i="129"/>
  <c r="BD17" i="129"/>
  <c r="CC12" i="129"/>
  <c r="BD25" i="129"/>
  <c r="BN21" i="129"/>
  <c r="BS16" i="129"/>
  <c r="AY12" i="129"/>
  <c r="CH11" i="129"/>
  <c r="BI11" i="129"/>
  <c r="CC9" i="129"/>
  <c r="BD13" i="129"/>
  <c r="BI31" i="129"/>
  <c r="BN10" i="129"/>
  <c r="AY19" i="129"/>
  <c r="BN9" i="129"/>
  <c r="K14" i="129"/>
  <c r="BX11" i="129"/>
  <c r="CM17" i="129"/>
  <c r="BD11" i="129"/>
  <c r="BX12" i="129"/>
  <c r="BS17" i="129"/>
  <c r="CM63" i="129"/>
  <c r="CM11" i="129"/>
  <c r="BD22" i="129"/>
  <c r="BI27" i="129"/>
  <c r="CH31" i="129"/>
  <c r="CM41" i="129"/>
  <c r="BX32" i="129"/>
  <c r="BS23" i="129"/>
  <c r="BX21" i="129"/>
  <c r="BS31" i="129"/>
  <c r="AY44" i="129"/>
  <c r="BN19" i="129"/>
  <c r="BX48" i="129"/>
  <c r="K57" i="129"/>
  <c r="BD33" i="129"/>
  <c r="CM50" i="129"/>
  <c r="CC32" i="129"/>
  <c r="BX41" i="129"/>
  <c r="BI48" i="129"/>
  <c r="AY45" i="129"/>
  <c r="BI50" i="129"/>
  <c r="CC42" i="129"/>
  <c r="BX58" i="129"/>
  <c r="BX69" i="129"/>
  <c r="BN45" i="129"/>
  <c r="BS48" i="129"/>
  <c r="BI55" i="129"/>
  <c r="BX67" i="129"/>
  <c r="BX46" i="129"/>
  <c r="BI52" i="129"/>
  <c r="BD66" i="129"/>
  <c r="CC67" i="129"/>
  <c r="BN69" i="129"/>
  <c r="BI9" i="129"/>
  <c r="CH13" i="129"/>
  <c r="CC19" i="129"/>
  <c r="K10" i="129"/>
  <c r="CC13" i="129"/>
  <c r="BS22" i="129"/>
  <c r="CC15" i="129"/>
  <c r="K18" i="129"/>
  <c r="BS13" i="129"/>
  <c r="AY13" i="129"/>
  <c r="CM18" i="129"/>
  <c r="BI14" i="129"/>
  <c r="CC28" i="129"/>
  <c r="K26" i="129"/>
  <c r="BN12" i="129"/>
  <c r="K16" i="129"/>
  <c r="BX14" i="129"/>
  <c r="K24" i="129"/>
  <c r="CH57" i="129"/>
  <c r="BX50" i="129"/>
  <c r="CM36" i="129"/>
  <c r="BD29" i="129"/>
  <c r="AY28" i="129"/>
  <c r="CM32" i="129"/>
  <c r="BN50" i="129"/>
  <c r="AY42" i="129"/>
  <c r="BS44" i="129"/>
  <c r="BD54" i="129"/>
  <c r="BN28" i="129"/>
  <c r="CH33" i="129"/>
  <c r="BI46" i="129"/>
  <c r="AY66" i="129"/>
  <c r="CC43" i="129"/>
  <c r="BX64" i="129"/>
  <c r="CH51" i="129"/>
  <c r="BS66" i="129"/>
  <c r="K51" i="129"/>
  <c r="BX62" i="129"/>
  <c r="BS70" i="129"/>
  <c r="BI71" i="129"/>
  <c r="BX30" i="129"/>
  <c r="AY32" i="129"/>
  <c r="K47" i="129"/>
  <c r="BI30" i="129"/>
  <c r="BS47" i="129"/>
  <c r="BI63" i="129"/>
  <c r="CC51" i="129"/>
  <c r="BN66" i="129"/>
  <c r="K50" i="129"/>
  <c r="BS51" i="129"/>
  <c r="CC66" i="129"/>
  <c r="CM9" i="129"/>
  <c r="BX17" i="129"/>
  <c r="BS14" i="129"/>
  <c r="BI15" i="129"/>
  <c r="BX36" i="129"/>
  <c r="BN68" i="129"/>
  <c r="CH20" i="129"/>
  <c r="BI32" i="129"/>
  <c r="BD51" i="129"/>
  <c r="AY30" i="129"/>
  <c r="AY68" i="129"/>
  <c r="K11" i="129"/>
  <c r="BD16" i="129"/>
  <c r="BS11" i="129"/>
  <c r="CC16" i="129"/>
  <c r="BN30" i="129"/>
  <c r="BD10" i="129"/>
  <c r="CM12" i="129"/>
  <c r="CH16" i="129"/>
  <c r="CH23" i="129"/>
  <c r="BN15" i="129"/>
  <c r="BS20" i="129"/>
  <c r="BI24" i="129"/>
  <c r="BX18" i="129"/>
  <c r="AY33" i="129"/>
  <c r="CH17" i="129"/>
  <c r="BS33" i="129"/>
  <c r="BN65" i="129"/>
  <c r="BI18" i="129"/>
  <c r="BN25" i="129"/>
  <c r="CH22" i="129"/>
  <c r="BI29" i="129"/>
  <c r="BS60" i="129"/>
  <c r="CH29" i="129"/>
  <c r="BN35" i="129"/>
  <c r="BI58" i="129"/>
  <c r="CM30" i="129"/>
  <c r="CC45" i="129"/>
  <c r="BS29" i="129"/>
  <c r="BS35" i="129"/>
  <c r="CM42" i="129"/>
  <c r="CM47" i="129"/>
  <c r="CM55" i="129"/>
  <c r="BD60" i="129"/>
  <c r="BS46" i="129"/>
  <c r="BS57" i="129"/>
  <c r="BI42" i="129"/>
  <c r="CC59" i="129"/>
  <c r="CM46" i="129"/>
  <c r="CM52" i="129"/>
  <c r="BD71" i="129"/>
  <c r="CM48" i="129"/>
  <c r="BX71" i="129"/>
  <c r="CM65" i="129"/>
  <c r="CM27" i="129"/>
  <c r="BX22" i="129"/>
  <c r="AN91" i="129"/>
  <c r="AY16" i="129"/>
  <c r="K13" i="129"/>
  <c r="K17" i="129"/>
  <c r="BI21" i="129"/>
  <c r="CM15" i="129"/>
  <c r="K28" i="129"/>
  <c r="AY9" i="129"/>
  <c r="K20" i="129"/>
  <c r="CC25" i="129"/>
  <c r="CH30" i="129"/>
  <c r="BD31" i="129"/>
  <c r="BD26" i="129"/>
  <c r="CC41" i="129"/>
  <c r="AY25" i="129"/>
  <c r="CM24" i="129"/>
  <c r="CH41" i="129"/>
  <c r="BD46" i="129"/>
  <c r="BS71" i="129"/>
  <c r="BX47" i="129"/>
  <c r="BI62" i="129"/>
  <c r="BX24" i="129"/>
  <c r="BI12" i="129"/>
  <c r="CC10" i="129"/>
  <c r="AY10" i="129"/>
  <c r="BX29" i="129"/>
  <c r="BX27" i="129"/>
  <c r="CM21" i="129"/>
  <c r="BS26" i="129"/>
  <c r="BI36" i="129"/>
  <c r="AY29" i="129"/>
  <c r="K48" i="129"/>
  <c r="CH26" i="129"/>
  <c r="AY51" i="129"/>
  <c r="BI61" i="129"/>
  <c r="CC50" i="129"/>
  <c r="CM61" i="129"/>
  <c r="BS62" i="129"/>
  <c r="CM28" i="129"/>
  <c r="CM64" i="129"/>
  <c r="CC65" i="129"/>
  <c r="BD44" i="129"/>
  <c r="CC69" i="129"/>
  <c r="BN67" i="129"/>
  <c r="K29" i="129"/>
  <c r="CM43" i="129"/>
  <c r="BD70" i="129"/>
  <c r="CH70" i="129"/>
  <c r="CC56" i="129"/>
  <c r="BS52" i="129"/>
  <c r="AY69" i="129"/>
  <c r="CH52" i="129"/>
  <c r="BD20" i="129"/>
  <c r="CM71" i="129"/>
  <c r="CH68" i="129"/>
  <c r="CH45" i="129"/>
  <c r="BX52" i="129"/>
  <c r="K43" i="129"/>
  <c r="CM66" i="129"/>
  <c r="BI47" i="129"/>
  <c r="BN32" i="129"/>
  <c r="BD28" i="129"/>
  <c r="BD47" i="129"/>
  <c r="AY59" i="129"/>
  <c r="BI43" i="129"/>
  <c r="CM62" i="129"/>
  <c r="AY56" i="129"/>
  <c r="BD23" i="129"/>
  <c r="CH10" i="129"/>
  <c r="BN42" i="129"/>
  <c r="AY67" i="129"/>
  <c r="CQ35" i="129"/>
  <c r="K45" i="129"/>
  <c r="BX54" i="129"/>
  <c r="CL76" i="129"/>
  <c r="O76" i="129"/>
  <c r="AW76" i="129"/>
  <c r="AW81" i="129"/>
  <c r="AW83" i="129" s="1"/>
  <c r="AW84" i="129" s="1"/>
  <c r="AW86" i="129" s="1"/>
  <c r="AW87" i="129" s="1"/>
  <c r="AI76" i="129"/>
  <c r="J75" i="129"/>
  <c r="J39" i="129"/>
  <c r="K39" i="129" s="1"/>
  <c r="K38" i="129"/>
  <c r="E75" i="129"/>
  <c r="E39" i="129"/>
  <c r="BR39" i="129"/>
  <c r="BS39" i="129" s="1"/>
  <c r="BR75" i="129"/>
  <c r="BS38" i="129"/>
  <c r="BM75" i="129"/>
  <c r="BN38" i="129"/>
  <c r="BM39" i="129"/>
  <c r="BN39" i="129" s="1"/>
  <c r="C76" i="129"/>
  <c r="T76" i="129"/>
  <c r="R76" i="129"/>
  <c r="AN76" i="129"/>
  <c r="AN81" i="129"/>
  <c r="AN83" i="129" s="1"/>
  <c r="AN84" i="129" s="1"/>
  <c r="AN86" i="129" s="1"/>
  <c r="AN87" i="129" s="1"/>
  <c r="CK81" i="129"/>
  <c r="CK83" i="129" s="1"/>
  <c r="CK84" i="129" s="1"/>
  <c r="CK86" i="129" s="1"/>
  <c r="CK87" i="129" s="1"/>
  <c r="CK76" i="129"/>
  <c r="AB76" i="129"/>
  <c r="CH54" i="129"/>
  <c r="BC76" i="129"/>
  <c r="AM81" i="129"/>
  <c r="AM83" i="129" s="1"/>
  <c r="AM84" i="129" s="1"/>
  <c r="AM86" i="129" s="1"/>
  <c r="AM87" i="129" s="1"/>
  <c r="AM76" i="129"/>
  <c r="D76" i="129"/>
  <c r="D81" i="129"/>
  <c r="D83" i="129" s="1"/>
  <c r="D84" i="129" s="1"/>
  <c r="AX75" i="129"/>
  <c r="AY38" i="129"/>
  <c r="AX39" i="129"/>
  <c r="AY39" i="129" s="1"/>
  <c r="N81" i="129"/>
  <c r="N83" i="129" s="1"/>
  <c r="N84" i="129" s="1"/>
  <c r="N86" i="129" s="1"/>
  <c r="N87" i="129" s="1"/>
  <c r="N76" i="129"/>
  <c r="AD38" i="129"/>
  <c r="BV81" i="129"/>
  <c r="BV83" i="129" s="1"/>
  <c r="BV84" i="129" s="1"/>
  <c r="BV86" i="129" s="1"/>
  <c r="BV87" i="129" s="1"/>
  <c r="BV76" i="129"/>
  <c r="AS81" i="129"/>
  <c r="AS83" i="129" s="1"/>
  <c r="AS84" i="129" s="1"/>
  <c r="AS86" i="129" s="1"/>
  <c r="AS87" i="129" s="1"/>
  <c r="CP75" i="129"/>
  <c r="CP39" i="129"/>
  <c r="CE76" i="129"/>
  <c r="BS41" i="129"/>
  <c r="DF100" i="82"/>
  <c r="DA100" i="82"/>
  <c r="DF99" i="82"/>
  <c r="DA99" i="82"/>
  <c r="ED97" i="82"/>
  <c r="DF97" i="82"/>
  <c r="DA97" i="82"/>
  <c r="CV97" i="82"/>
  <c r="CV96" i="82"/>
  <c r="DF95" i="82"/>
  <c r="DA95" i="82"/>
  <c r="CV95" i="82"/>
  <c r="DF94" i="82"/>
  <c r="DA94" i="82"/>
  <c r="CV94" i="82"/>
  <c r="BB94" i="82"/>
  <c r="DY85" i="82"/>
  <c r="DX85" i="82"/>
  <c r="DZ85" i="82" s="1"/>
  <c r="DU85" i="82"/>
  <c r="DP85" i="82"/>
  <c r="DK85" i="82"/>
  <c r="DF85" i="82"/>
  <c r="DA85" i="82"/>
  <c r="CV85" i="82"/>
  <c r="CQ85" i="82"/>
  <c r="CL85" i="82"/>
  <c r="CG85" i="82"/>
  <c r="CB85" i="82"/>
  <c r="BW85" i="82"/>
  <c r="BR85" i="82"/>
  <c r="BL85" i="82"/>
  <c r="BK85" i="82"/>
  <c r="BM85" i="82" s="1"/>
  <c r="BO85" i="82" s="1"/>
  <c r="BC85" i="82"/>
  <c r="AX85" i="82"/>
  <c r="AS85" i="82"/>
  <c r="AN85" i="82"/>
  <c r="AI85" i="82"/>
  <c r="AD85" i="82"/>
  <c r="Y85" i="82"/>
  <c r="T85" i="82"/>
  <c r="J85" i="82"/>
  <c r="E85" i="82"/>
  <c r="DZ82" i="82"/>
  <c r="DY82" i="82"/>
  <c r="DX82" i="82"/>
  <c r="DU82" i="82"/>
  <c r="DP82" i="82"/>
  <c r="DK82" i="82"/>
  <c r="DF82" i="82"/>
  <c r="DA82" i="82"/>
  <c r="CV82" i="82"/>
  <c r="CQ82" i="82"/>
  <c r="CL82" i="82"/>
  <c r="CG82" i="82"/>
  <c r="CB82" i="82"/>
  <c r="BW82" i="82"/>
  <c r="BR82" i="82"/>
  <c r="BL82" i="82"/>
  <c r="BK82" i="82"/>
  <c r="BC82" i="82"/>
  <c r="AX82" i="82"/>
  <c r="AS82" i="82"/>
  <c r="AN82" i="82"/>
  <c r="AI82" i="82"/>
  <c r="AD82" i="82"/>
  <c r="Y82" i="82"/>
  <c r="T82" i="82"/>
  <c r="J82" i="82"/>
  <c r="E82" i="82"/>
  <c r="DY80" i="82"/>
  <c r="DX80" i="82"/>
  <c r="DY79" i="82"/>
  <c r="DP79" i="82"/>
  <c r="BL79" i="82"/>
  <c r="M79" i="82"/>
  <c r="DY78" i="82"/>
  <c r="DX78" i="82"/>
  <c r="DU78" i="82"/>
  <c r="DP78" i="82"/>
  <c r="DP77" i="82" s="1"/>
  <c r="DK78" i="82"/>
  <c r="DF78" i="82"/>
  <c r="DA78" i="82"/>
  <c r="CV78" i="82"/>
  <c r="CQ78" i="82"/>
  <c r="CL78" i="82"/>
  <c r="CG78" i="82"/>
  <c r="CB78" i="82"/>
  <c r="BW78" i="82"/>
  <c r="BR78" i="82"/>
  <c r="BM78" i="82"/>
  <c r="BL78" i="82"/>
  <c r="BK78" i="82"/>
  <c r="BC78" i="82"/>
  <c r="AX78" i="82"/>
  <c r="AS78" i="82"/>
  <c r="AN78" i="82"/>
  <c r="AI78" i="82"/>
  <c r="AD78" i="82"/>
  <c r="Y78" i="82"/>
  <c r="T78" i="82"/>
  <c r="J78" i="82"/>
  <c r="E78" i="82"/>
  <c r="ED77" i="82"/>
  <c r="DY77" i="82"/>
  <c r="DT77" i="82"/>
  <c r="DO77" i="82"/>
  <c r="DN77" i="82"/>
  <c r="DJ77" i="82"/>
  <c r="DE77" i="82"/>
  <c r="CZ77" i="82"/>
  <c r="CU77" i="82"/>
  <c r="CP77" i="82"/>
  <c r="CK77" i="82"/>
  <c r="CF77" i="82"/>
  <c r="CA77" i="82"/>
  <c r="BV77" i="82"/>
  <c r="BQ77" i="82"/>
  <c r="BL77" i="82"/>
  <c r="BB77" i="82"/>
  <c r="AW77" i="82"/>
  <c r="AR77" i="82"/>
  <c r="AM77" i="82"/>
  <c r="AH77" i="82"/>
  <c r="AC77" i="82"/>
  <c r="X77" i="82"/>
  <c r="S77" i="82"/>
  <c r="I77" i="82"/>
  <c r="D77" i="82"/>
  <c r="C77" i="82"/>
  <c r="DY74" i="82"/>
  <c r="DY73" i="82" s="1"/>
  <c r="DU74" i="82"/>
  <c r="DU73" i="82" s="1"/>
  <c r="DP74" i="82"/>
  <c r="DK74" i="82"/>
  <c r="DK73" i="82" s="1"/>
  <c r="DF74" i="82"/>
  <c r="DA74" i="82"/>
  <c r="DA73" i="82" s="1"/>
  <c r="CV74" i="82"/>
  <c r="CV73" i="82" s="1"/>
  <c r="CQ74" i="82"/>
  <c r="CQ73" i="82" s="1"/>
  <c r="CL74" i="82"/>
  <c r="CG74" i="82"/>
  <c r="CG73" i="82" s="1"/>
  <c r="CB74" i="82"/>
  <c r="BW74" i="82"/>
  <c r="BR74" i="82"/>
  <c r="BR73" i="82" s="1"/>
  <c r="BM74" i="82"/>
  <c r="BM73" i="82" s="1"/>
  <c r="BL74" i="82"/>
  <c r="BK74" i="82"/>
  <c r="BC74" i="82"/>
  <c r="BA74" i="82"/>
  <c r="AX74" i="82"/>
  <c r="AQ74" i="82"/>
  <c r="AS74" i="82" s="1"/>
  <c r="AS73" i="82" s="1"/>
  <c r="AL74" i="82"/>
  <c r="AL73" i="82" s="1"/>
  <c r="AG74" i="82"/>
  <c r="AI74" i="82" s="1"/>
  <c r="AD74" i="82"/>
  <c r="Y74" i="82"/>
  <c r="Y73" i="82" s="1"/>
  <c r="T74" i="82"/>
  <c r="J74" i="82"/>
  <c r="J73" i="82" s="1"/>
  <c r="E74" i="82"/>
  <c r="ED73" i="82"/>
  <c r="DT73" i="82"/>
  <c r="DS73" i="82"/>
  <c r="DP73" i="82"/>
  <c r="DO73" i="82"/>
  <c r="DN73" i="82"/>
  <c r="DJ73" i="82"/>
  <c r="DI73" i="82"/>
  <c r="DF73" i="82"/>
  <c r="DE73" i="82"/>
  <c r="DD73" i="82"/>
  <c r="CZ73" i="82"/>
  <c r="CY73" i="82"/>
  <c r="CU73" i="82"/>
  <c r="CT73" i="82"/>
  <c r="CP73" i="82"/>
  <c r="CO73" i="82"/>
  <c r="CL73" i="82"/>
  <c r="CK73" i="82"/>
  <c r="CJ73" i="82"/>
  <c r="CF73" i="82"/>
  <c r="CE73" i="82"/>
  <c r="CB73" i="82"/>
  <c r="CA73" i="82"/>
  <c r="BZ73" i="82"/>
  <c r="BW73" i="82"/>
  <c r="BU73" i="82"/>
  <c r="BP73" i="82"/>
  <c r="BL73" i="82"/>
  <c r="BK73" i="82"/>
  <c r="BC73" i="82"/>
  <c r="BA73" i="82"/>
  <c r="AX73" i="82"/>
  <c r="AV73" i="82"/>
  <c r="AM73" i="82"/>
  <c r="AI73" i="82"/>
  <c r="AH73" i="82"/>
  <c r="AG73" i="82"/>
  <c r="AD73" i="82"/>
  <c r="AC73" i="82"/>
  <c r="AB73" i="82"/>
  <c r="X73" i="82"/>
  <c r="W73" i="82"/>
  <c r="T73" i="82"/>
  <c r="S73" i="82"/>
  <c r="R73" i="82"/>
  <c r="I73" i="82"/>
  <c r="H73" i="82"/>
  <c r="D73" i="82"/>
  <c r="C73" i="82"/>
  <c r="DY72" i="82"/>
  <c r="DX72" i="82"/>
  <c r="DY71" i="82"/>
  <c r="DZ71" i="82" s="1"/>
  <c r="DX71" i="82"/>
  <c r="DU71" i="82"/>
  <c r="DP71" i="82"/>
  <c r="DK71" i="82"/>
  <c r="DF71" i="82"/>
  <c r="DA71" i="82"/>
  <c r="CV71" i="82"/>
  <c r="CQ71" i="82"/>
  <c r="CL71" i="82"/>
  <c r="CG71" i="82"/>
  <c r="CB71" i="82"/>
  <c r="BW71" i="82"/>
  <c r="BR71" i="82"/>
  <c r="BL71" i="82"/>
  <c r="BK71" i="82"/>
  <c r="BC71" i="82"/>
  <c r="AX71" i="82"/>
  <c r="AS71" i="82"/>
  <c r="AN71" i="82"/>
  <c r="AI71" i="82"/>
  <c r="AD71" i="82"/>
  <c r="Y71" i="82"/>
  <c r="T71" i="82"/>
  <c r="J71" i="82"/>
  <c r="E71" i="82"/>
  <c r="DY70" i="82"/>
  <c r="DX70" i="82"/>
  <c r="DU70" i="82"/>
  <c r="DP70" i="82"/>
  <c r="DK70" i="82"/>
  <c r="DF70" i="82"/>
  <c r="DA70" i="82"/>
  <c r="CV70" i="82"/>
  <c r="CQ70" i="82"/>
  <c r="CL70" i="82"/>
  <c r="CG70" i="82"/>
  <c r="CB70" i="82"/>
  <c r="BW70" i="82"/>
  <c r="BR70" i="82"/>
  <c r="BL70" i="82"/>
  <c r="BK70" i="82"/>
  <c r="BC70" i="82"/>
  <c r="AX70" i="82"/>
  <c r="AS70" i="82"/>
  <c r="AN70" i="82"/>
  <c r="AI70" i="82"/>
  <c r="AD70" i="82"/>
  <c r="Y70" i="82"/>
  <c r="T70" i="82"/>
  <c r="J70" i="82"/>
  <c r="E70" i="82"/>
  <c r="DY69" i="82"/>
  <c r="DU69" i="82"/>
  <c r="DP69" i="82"/>
  <c r="DK69" i="82"/>
  <c r="DF69" i="82"/>
  <c r="DA69" i="82"/>
  <c r="CV69" i="82"/>
  <c r="CQ69" i="82"/>
  <c r="CL69" i="82"/>
  <c r="CG69" i="82"/>
  <c r="CB69" i="82"/>
  <c r="BW69" i="82"/>
  <c r="BR69" i="82"/>
  <c r="BM69" i="82"/>
  <c r="BL69" i="82"/>
  <c r="BK69" i="82"/>
  <c r="BC69" i="82"/>
  <c r="AX69" i="82"/>
  <c r="AS69" i="82"/>
  <c r="AN69" i="82"/>
  <c r="AL69" i="82"/>
  <c r="DX69" i="82" s="1"/>
  <c r="DZ69" i="82" s="1"/>
  <c r="AI69" i="82"/>
  <c r="AD69" i="82"/>
  <c r="Y69" i="82"/>
  <c r="T69" i="82"/>
  <c r="J69" i="82"/>
  <c r="E69" i="82"/>
  <c r="DY68" i="82"/>
  <c r="DU68" i="82"/>
  <c r="DP68" i="82"/>
  <c r="DK68" i="82"/>
  <c r="DF68" i="82"/>
  <c r="DA68" i="82"/>
  <c r="CV68" i="82"/>
  <c r="CQ68" i="82"/>
  <c r="CL68" i="82"/>
  <c r="CG68" i="82"/>
  <c r="CB68" i="82"/>
  <c r="BW68" i="82"/>
  <c r="BR68" i="82"/>
  <c r="BL68" i="82"/>
  <c r="BK68" i="82"/>
  <c r="BM68" i="82" s="1"/>
  <c r="BC68" i="82"/>
  <c r="AX68" i="82"/>
  <c r="AS68" i="82"/>
  <c r="AQ68" i="82"/>
  <c r="DX68" i="82" s="1"/>
  <c r="DZ68" i="82" s="1"/>
  <c r="AN68" i="82"/>
  <c r="AI68" i="82"/>
  <c r="AD68" i="82"/>
  <c r="Y68" i="82"/>
  <c r="T68" i="82"/>
  <c r="J68" i="82"/>
  <c r="E68" i="82"/>
  <c r="DU67" i="82"/>
  <c r="DP67" i="82"/>
  <c r="DK67" i="82"/>
  <c r="DF67" i="82"/>
  <c r="DA67" i="82"/>
  <c r="CV67" i="82"/>
  <c r="CQ67" i="82"/>
  <c r="CL67" i="82"/>
  <c r="CG67" i="82"/>
  <c r="CB67" i="82"/>
  <c r="BW67" i="82"/>
  <c r="BR67" i="82"/>
  <c r="BL67" i="82"/>
  <c r="BK67" i="82"/>
  <c r="BM67" i="82" s="1"/>
  <c r="BC67" i="82"/>
  <c r="AX67" i="82"/>
  <c r="AQ67" i="82"/>
  <c r="DX67" i="82" s="1"/>
  <c r="AN67" i="82"/>
  <c r="AI67" i="82"/>
  <c r="AD67" i="82"/>
  <c r="X67" i="82"/>
  <c r="Y67" i="82" s="1"/>
  <c r="T67" i="82"/>
  <c r="J67" i="82"/>
  <c r="E67" i="82"/>
  <c r="DY66" i="82"/>
  <c r="DX66" i="82"/>
  <c r="DU66" i="82"/>
  <c r="DP66" i="82"/>
  <c r="DK66" i="82"/>
  <c r="DF66" i="82"/>
  <c r="DA66" i="82"/>
  <c r="CV66" i="82"/>
  <c r="CQ66" i="82"/>
  <c r="CL66" i="82"/>
  <c r="CG66" i="82"/>
  <c r="CB66" i="82"/>
  <c r="BW66" i="82"/>
  <c r="BR66" i="82"/>
  <c r="BL66" i="82"/>
  <c r="BK66" i="82"/>
  <c r="BM66" i="82" s="1"/>
  <c r="EE66" i="82" s="1"/>
  <c r="BC66" i="82"/>
  <c r="AX66" i="82"/>
  <c r="AS66" i="82"/>
  <c r="AN66" i="82"/>
  <c r="AI66" i="82"/>
  <c r="AD66" i="82"/>
  <c r="Y66" i="82"/>
  <c r="T66" i="82"/>
  <c r="J66" i="82"/>
  <c r="E66" i="82"/>
  <c r="DY65" i="82"/>
  <c r="DZ65" i="82" s="1"/>
  <c r="DX65" i="82"/>
  <c r="DU65" i="82"/>
  <c r="DP65" i="82"/>
  <c r="DK65" i="82"/>
  <c r="DF65" i="82"/>
  <c r="DA65" i="82"/>
  <c r="CV65" i="82"/>
  <c r="CQ65" i="82"/>
  <c r="CL65" i="82"/>
  <c r="CG65" i="82"/>
  <c r="CB65" i="82"/>
  <c r="BW65" i="82"/>
  <c r="BR65" i="82"/>
  <c r="BL65" i="82"/>
  <c r="BK65" i="82"/>
  <c r="BM65" i="82" s="1"/>
  <c r="BC65" i="82"/>
  <c r="AX65" i="82"/>
  <c r="AS65" i="82"/>
  <c r="AN65" i="82"/>
  <c r="AI65" i="82"/>
  <c r="AD65" i="82"/>
  <c r="Y65" i="82"/>
  <c r="T65" i="82"/>
  <c r="J65" i="82"/>
  <c r="E65" i="82"/>
  <c r="DY64" i="82"/>
  <c r="DU64" i="82"/>
  <c r="DP64" i="82"/>
  <c r="DK64" i="82"/>
  <c r="DF64" i="82"/>
  <c r="DA64" i="82"/>
  <c r="CV64" i="82"/>
  <c r="CQ64" i="82"/>
  <c r="CL64" i="82"/>
  <c r="CG64" i="82"/>
  <c r="CB64" i="82"/>
  <c r="BW64" i="82"/>
  <c r="BR64" i="82"/>
  <c r="BM64" i="82"/>
  <c r="EE64" i="82" s="1"/>
  <c r="BL64" i="82"/>
  <c r="BK64" i="82"/>
  <c r="BA64" i="82"/>
  <c r="BC64" i="82" s="1"/>
  <c r="AX64" i="82"/>
  <c r="AS64" i="82"/>
  <c r="AL64" i="82"/>
  <c r="AI64" i="82"/>
  <c r="AG64" i="82"/>
  <c r="AD64" i="82"/>
  <c r="Y64" i="82"/>
  <c r="T64" i="82"/>
  <c r="J64" i="82"/>
  <c r="E64" i="82"/>
  <c r="DY63" i="82"/>
  <c r="DU63" i="82"/>
  <c r="DP63" i="82"/>
  <c r="DK63" i="82"/>
  <c r="DF63" i="82"/>
  <c r="DF54" i="82" s="1"/>
  <c r="DA63" i="82"/>
  <c r="CV63" i="82"/>
  <c r="CQ63" i="82"/>
  <c r="CL63" i="82"/>
  <c r="CG63" i="82"/>
  <c r="CB63" i="82"/>
  <c r="BW63" i="82"/>
  <c r="BR63" i="82"/>
  <c r="BM63" i="82"/>
  <c r="EE63" i="82" s="1"/>
  <c r="BL63" i="82"/>
  <c r="BK63" i="82"/>
  <c r="BC63" i="82"/>
  <c r="AX63" i="82"/>
  <c r="AQ63" i="82"/>
  <c r="DX63" i="82" s="1"/>
  <c r="DZ63" i="82" s="1"/>
  <c r="AN63" i="82"/>
  <c r="AI63" i="82"/>
  <c r="AD63" i="82"/>
  <c r="Y63" i="82"/>
  <c r="T63" i="82"/>
  <c r="J63" i="82"/>
  <c r="E63" i="82"/>
  <c r="DY62" i="82"/>
  <c r="DU62" i="82"/>
  <c r="DP62" i="82"/>
  <c r="DK62" i="82"/>
  <c r="DF62" i="82"/>
  <c r="DA62" i="82"/>
  <c r="CV62" i="82"/>
  <c r="CQ62" i="82"/>
  <c r="CL62" i="82"/>
  <c r="CG62" i="82"/>
  <c r="CB62" i="82"/>
  <c r="BW62" i="82"/>
  <c r="BR62" i="82"/>
  <c r="BL62" i="82"/>
  <c r="BK62" i="82"/>
  <c r="BM62" i="82" s="1"/>
  <c r="BA62" i="82"/>
  <c r="BA54" i="82" s="1"/>
  <c r="AX62" i="82"/>
  <c r="AS62" i="82"/>
  <c r="AN62" i="82"/>
  <c r="AG62" i="82"/>
  <c r="AI62" i="82" s="1"/>
  <c r="AD62" i="82"/>
  <c r="Y62" i="82"/>
  <c r="R62" i="82"/>
  <c r="T62" i="82" s="1"/>
  <c r="J62" i="82"/>
  <c r="E62" i="82"/>
  <c r="DZ61" i="82"/>
  <c r="DY61" i="82"/>
  <c r="DX61" i="82"/>
  <c r="DU61" i="82"/>
  <c r="DP61" i="82"/>
  <c r="DK61" i="82"/>
  <c r="DF61" i="82"/>
  <c r="DA61" i="82"/>
  <c r="CV61" i="82"/>
  <c r="CQ61" i="82"/>
  <c r="CL61" i="82"/>
  <c r="CG61" i="82"/>
  <c r="CB61" i="82"/>
  <c r="BW61" i="82"/>
  <c r="BR61" i="82"/>
  <c r="BL61" i="82"/>
  <c r="BK61" i="82"/>
  <c r="BC61" i="82"/>
  <c r="AX61" i="82"/>
  <c r="AS61" i="82"/>
  <c r="AN61" i="82"/>
  <c r="AI61" i="82"/>
  <c r="AD61" i="82"/>
  <c r="Y61" i="82"/>
  <c r="T61" i="82"/>
  <c r="J61" i="82"/>
  <c r="E61" i="82"/>
  <c r="DY60" i="82"/>
  <c r="DX60" i="82"/>
  <c r="DP60" i="82"/>
  <c r="DK60" i="82"/>
  <c r="DF60" i="82"/>
  <c r="DA60" i="82"/>
  <c r="CV60" i="82"/>
  <c r="CQ60" i="82"/>
  <c r="CL60" i="82"/>
  <c r="CG60" i="82"/>
  <c r="CB60" i="82"/>
  <c r="BW60" i="82"/>
  <c r="BR60" i="82"/>
  <c r="BL60" i="82"/>
  <c r="BK60" i="82"/>
  <c r="BC60" i="82"/>
  <c r="AX60" i="82"/>
  <c r="AS60" i="82"/>
  <c r="AN60" i="82"/>
  <c r="AI60" i="82"/>
  <c r="AD60" i="82"/>
  <c r="Y60" i="82"/>
  <c r="T60" i="82"/>
  <c r="J60" i="82"/>
  <c r="E60" i="82"/>
  <c r="DY59" i="82"/>
  <c r="DX59" i="82"/>
  <c r="DU59" i="82"/>
  <c r="DP59" i="82"/>
  <c r="DK59" i="82"/>
  <c r="DF59" i="82"/>
  <c r="DA59" i="82"/>
  <c r="CV59" i="82"/>
  <c r="CQ59" i="82"/>
  <c r="CL59" i="82"/>
  <c r="CG59" i="82"/>
  <c r="CB59" i="82"/>
  <c r="BW59" i="82"/>
  <c r="BR59" i="82"/>
  <c r="BL59" i="82"/>
  <c r="BK59" i="82"/>
  <c r="BC59" i="82"/>
  <c r="AX59" i="82"/>
  <c r="AS59" i="82"/>
  <c r="AN59" i="82"/>
  <c r="AI59" i="82"/>
  <c r="AD59" i="82"/>
  <c r="Y59" i="82"/>
  <c r="T59" i="82"/>
  <c r="J59" i="82"/>
  <c r="E59" i="82"/>
  <c r="DY58" i="82"/>
  <c r="DX58" i="82"/>
  <c r="DZ58" i="82" s="1"/>
  <c r="DU58" i="82"/>
  <c r="DP58" i="82"/>
  <c r="DK58" i="82"/>
  <c r="DF58" i="82"/>
  <c r="DA58" i="82"/>
  <c r="CV58" i="82"/>
  <c r="CQ58" i="82"/>
  <c r="CL58" i="82"/>
  <c r="CG58" i="82"/>
  <c r="CB58" i="82"/>
  <c r="BW58" i="82"/>
  <c r="BR58" i="82"/>
  <c r="BL58" i="82"/>
  <c r="BM58" i="82" s="1"/>
  <c r="BK58" i="82"/>
  <c r="BC58" i="82"/>
  <c r="AX58" i="82"/>
  <c r="AS58" i="82"/>
  <c r="AN58" i="82"/>
  <c r="AI58" i="82"/>
  <c r="AD58" i="82"/>
  <c r="Y58" i="82"/>
  <c r="T58" i="82"/>
  <c r="J58" i="82"/>
  <c r="E58" i="82"/>
  <c r="DY57" i="82"/>
  <c r="DU57" i="82"/>
  <c r="DP57" i="82"/>
  <c r="DP54" i="82" s="1"/>
  <c r="DK57" i="82"/>
  <c r="DF57" i="82"/>
  <c r="DA57" i="82"/>
  <c r="CV57" i="82"/>
  <c r="CQ57" i="82"/>
  <c r="CL57" i="82"/>
  <c r="CG57" i="82"/>
  <c r="CB57" i="82"/>
  <c r="BW57" i="82"/>
  <c r="BW54" i="82" s="1"/>
  <c r="BR57" i="82"/>
  <c r="BL57" i="82"/>
  <c r="BK57" i="82"/>
  <c r="BC57" i="82"/>
  <c r="AX57" i="82"/>
  <c r="AS57" i="82"/>
  <c r="AN57" i="82"/>
  <c r="AG57" i="82"/>
  <c r="AI57" i="82" s="1"/>
  <c r="AD57" i="82"/>
  <c r="Y57" i="82"/>
  <c r="T57" i="82"/>
  <c r="J57" i="82"/>
  <c r="E57" i="82"/>
  <c r="DY56" i="82"/>
  <c r="DX56" i="82"/>
  <c r="DZ56" i="82" s="1"/>
  <c r="DU56" i="82"/>
  <c r="DP56" i="82"/>
  <c r="DK56" i="82"/>
  <c r="DF56" i="82"/>
  <c r="DA56" i="82"/>
  <c r="CV56" i="82"/>
  <c r="CQ56" i="82"/>
  <c r="CL56" i="82"/>
  <c r="CL54" i="82" s="1"/>
  <c r="CG56" i="82"/>
  <c r="CB56" i="82"/>
  <c r="BW56" i="82"/>
  <c r="BR56" i="82"/>
  <c r="BL56" i="82"/>
  <c r="BK56" i="82"/>
  <c r="BC56" i="82"/>
  <c r="AX56" i="82"/>
  <c r="AS56" i="82"/>
  <c r="AN56" i="82"/>
  <c r="AG56" i="82"/>
  <c r="AI56" i="82" s="1"/>
  <c r="AD56" i="82"/>
  <c r="Y56" i="82"/>
  <c r="T56" i="82"/>
  <c r="J56" i="82"/>
  <c r="E56" i="82"/>
  <c r="DY55" i="82"/>
  <c r="DU55" i="82"/>
  <c r="DP55" i="82"/>
  <c r="DK55" i="82"/>
  <c r="DF55" i="82"/>
  <c r="DA55" i="82"/>
  <c r="DA54" i="82" s="1"/>
  <c r="CV55" i="82"/>
  <c r="CQ55" i="82"/>
  <c r="CL55" i="82"/>
  <c r="CG55" i="82"/>
  <c r="CB55" i="82"/>
  <c r="BW55" i="82"/>
  <c r="BR55" i="82"/>
  <c r="BL55" i="82"/>
  <c r="BK55" i="82"/>
  <c r="BM55" i="82" s="1"/>
  <c r="BC55" i="82"/>
  <c r="AX55" i="82"/>
  <c r="AS55" i="82"/>
  <c r="AN55" i="82"/>
  <c r="AG55" i="82"/>
  <c r="AI55" i="82" s="1"/>
  <c r="AD55" i="82"/>
  <c r="Y55" i="82"/>
  <c r="T55" i="82"/>
  <c r="T54" i="82" s="1"/>
  <c r="J55" i="82"/>
  <c r="E55" i="82"/>
  <c r="ED54" i="82"/>
  <c r="DT54" i="82"/>
  <c r="DS54" i="82"/>
  <c r="DO54" i="82"/>
  <c r="DN54" i="82"/>
  <c r="DJ54" i="82"/>
  <c r="DI54" i="82"/>
  <c r="DE54" i="82"/>
  <c r="DD54" i="82"/>
  <c r="CZ54" i="82"/>
  <c r="CY54" i="82"/>
  <c r="CU54" i="82"/>
  <c r="CT54" i="82"/>
  <c r="CP54" i="82"/>
  <c r="CO54" i="82"/>
  <c r="CK54" i="82"/>
  <c r="CJ54" i="82"/>
  <c r="CF54" i="82"/>
  <c r="CE54" i="82"/>
  <c r="CA54" i="82"/>
  <c r="BZ54" i="82"/>
  <c r="BV54" i="82"/>
  <c r="BU54" i="82"/>
  <c r="BQ54" i="82"/>
  <c r="BP54" i="82"/>
  <c r="BB54" i="82"/>
  <c r="AW54" i="82"/>
  <c r="AV54" i="82"/>
  <c r="AR54" i="82"/>
  <c r="AM54" i="82"/>
  <c r="AH54" i="82"/>
  <c r="AG54" i="82"/>
  <c r="AC54" i="82"/>
  <c r="AB54" i="82"/>
  <c r="X54" i="82"/>
  <c r="W54" i="82"/>
  <c r="S54" i="82"/>
  <c r="I54" i="82"/>
  <c r="H54" i="82"/>
  <c r="D54" i="82"/>
  <c r="C54" i="82"/>
  <c r="DY53" i="82"/>
  <c r="DX53" i="82"/>
  <c r="DY52" i="82"/>
  <c r="DX52" i="82"/>
  <c r="DZ52" i="82" s="1"/>
  <c r="DU52" i="82"/>
  <c r="DP52" i="82"/>
  <c r="DK52" i="82"/>
  <c r="DF52" i="82"/>
  <c r="DA52" i="82"/>
  <c r="CV52" i="82"/>
  <c r="CQ52" i="82"/>
  <c r="CL52" i="82"/>
  <c r="CG52" i="82"/>
  <c r="CG50" i="82" s="1"/>
  <c r="CB52" i="82"/>
  <c r="BW52" i="82"/>
  <c r="BR52" i="82"/>
  <c r="BL52" i="82"/>
  <c r="BK52" i="82"/>
  <c r="BM52" i="82" s="1"/>
  <c r="EE52" i="82" s="1"/>
  <c r="BC52" i="82"/>
  <c r="AX52" i="82"/>
  <c r="AX50" i="82" s="1"/>
  <c r="AS52" i="82"/>
  <c r="AS50" i="82" s="1"/>
  <c r="AN52" i="82"/>
  <c r="AI52" i="82"/>
  <c r="AD52" i="82"/>
  <c r="Y52" i="82"/>
  <c r="T52" i="82"/>
  <c r="J52" i="82"/>
  <c r="E52" i="82"/>
  <c r="DY51" i="82"/>
  <c r="DY50" i="82" s="1"/>
  <c r="DX51" i="82"/>
  <c r="DU51" i="82"/>
  <c r="DP51" i="82"/>
  <c r="DK51" i="82"/>
  <c r="DF51" i="82"/>
  <c r="DA51" i="82"/>
  <c r="CV51" i="82"/>
  <c r="CV50" i="82" s="1"/>
  <c r="CQ51" i="82"/>
  <c r="CQ50" i="82" s="1"/>
  <c r="CL51" i="82"/>
  <c r="CG51" i="82"/>
  <c r="CB51" i="82"/>
  <c r="CB50" i="82" s="1"/>
  <c r="BW51" i="82"/>
  <c r="BR51" i="82"/>
  <c r="BL51" i="82"/>
  <c r="BK51" i="82"/>
  <c r="BM51" i="82" s="1"/>
  <c r="BM50" i="82" s="1"/>
  <c r="BC51" i="82"/>
  <c r="BC50" i="82" s="1"/>
  <c r="AX51" i="82"/>
  <c r="AS51" i="82"/>
  <c r="AN51" i="82"/>
  <c r="AI51" i="82"/>
  <c r="AD51" i="82"/>
  <c r="Y51" i="82"/>
  <c r="T51" i="82"/>
  <c r="T50" i="82" s="1"/>
  <c r="J51" i="82"/>
  <c r="J50" i="82" s="1"/>
  <c r="E51" i="82"/>
  <c r="ED50" i="82"/>
  <c r="DT50" i="82"/>
  <c r="DS50" i="82"/>
  <c r="DP50" i="82"/>
  <c r="DO50" i="82"/>
  <c r="DN50" i="82"/>
  <c r="DK50" i="82"/>
  <c r="DJ50" i="82"/>
  <c r="DI50" i="82"/>
  <c r="DE50" i="82"/>
  <c r="DD50" i="82"/>
  <c r="DA50" i="82"/>
  <c r="CZ50" i="82"/>
  <c r="CY50" i="82"/>
  <c r="CU50" i="82"/>
  <c r="CT50" i="82"/>
  <c r="CP50" i="82"/>
  <c r="CO50" i="82"/>
  <c r="CL50" i="82"/>
  <c r="CK50" i="82"/>
  <c r="CJ50" i="82"/>
  <c r="CF50" i="82"/>
  <c r="CE50" i="82"/>
  <c r="CA50" i="82"/>
  <c r="BZ50" i="82"/>
  <c r="BW50" i="82"/>
  <c r="BV50" i="82"/>
  <c r="BU50" i="82"/>
  <c r="BR50" i="82"/>
  <c r="BQ50" i="82"/>
  <c r="BP50" i="82"/>
  <c r="BL50" i="82"/>
  <c r="BB50" i="82"/>
  <c r="BA50" i="82"/>
  <c r="AR50" i="82"/>
  <c r="AQ50" i="82"/>
  <c r="AN50" i="82"/>
  <c r="AM50" i="82"/>
  <c r="AL50" i="82"/>
  <c r="AI50" i="82"/>
  <c r="AH50" i="82"/>
  <c r="AG50" i="82"/>
  <c r="AD50" i="82"/>
  <c r="AC50" i="82"/>
  <c r="AB50" i="82"/>
  <c r="Y50" i="82"/>
  <c r="X50" i="82"/>
  <c r="W50" i="82"/>
  <c r="S50" i="82"/>
  <c r="R50" i="82"/>
  <c r="I50" i="82"/>
  <c r="H50" i="82"/>
  <c r="E50" i="82"/>
  <c r="D50" i="82"/>
  <c r="C50" i="82"/>
  <c r="DY49" i="82"/>
  <c r="DX49" i="82"/>
  <c r="DU49" i="82"/>
  <c r="DP49" i="82"/>
  <c r="DK49" i="82"/>
  <c r="DF49" i="82"/>
  <c r="DA49" i="82"/>
  <c r="CV49" i="82"/>
  <c r="CQ49" i="82"/>
  <c r="DY48" i="82"/>
  <c r="DX48" i="82"/>
  <c r="DZ48" i="82" s="1"/>
  <c r="DU48" i="82"/>
  <c r="DP48" i="82"/>
  <c r="DK48" i="82"/>
  <c r="DF48" i="82"/>
  <c r="DA48" i="82"/>
  <c r="CV48" i="82"/>
  <c r="CQ48" i="82"/>
  <c r="CL48" i="82"/>
  <c r="CG48" i="82"/>
  <c r="CB48" i="82"/>
  <c r="BW48" i="82"/>
  <c r="BR48" i="82"/>
  <c r="BL48" i="82"/>
  <c r="BK48" i="82"/>
  <c r="BM48" i="82" s="1"/>
  <c r="EE48" i="82" s="1"/>
  <c r="BC48" i="82"/>
  <c r="AX48" i="82"/>
  <c r="AS48" i="82"/>
  <c r="AN48" i="82"/>
  <c r="AI48" i="82"/>
  <c r="AD48" i="82"/>
  <c r="Y48" i="82"/>
  <c r="T48" i="82"/>
  <c r="J48" i="82"/>
  <c r="E48" i="82"/>
  <c r="DY47" i="82"/>
  <c r="DU47" i="82"/>
  <c r="DP47" i="82"/>
  <c r="DK47" i="82"/>
  <c r="DF47" i="82"/>
  <c r="DA47" i="82"/>
  <c r="CV47" i="82"/>
  <c r="CQ47" i="82"/>
  <c r="CL47" i="82"/>
  <c r="CG47" i="82"/>
  <c r="CB47" i="82"/>
  <c r="BW47" i="82"/>
  <c r="BR47" i="82"/>
  <c r="BL47" i="82"/>
  <c r="BK47" i="82"/>
  <c r="BC47" i="82"/>
  <c r="AX47" i="82"/>
  <c r="AS47" i="82"/>
  <c r="AN47" i="82"/>
  <c r="AG47" i="82"/>
  <c r="AI47" i="82" s="1"/>
  <c r="AD47" i="82"/>
  <c r="W47" i="82"/>
  <c r="DX47" i="82" s="1"/>
  <c r="T47" i="82"/>
  <c r="J47" i="82"/>
  <c r="E47" i="82"/>
  <c r="DY46" i="82"/>
  <c r="DX46" i="82"/>
  <c r="DZ46" i="82" s="1"/>
  <c r="DU46" i="82"/>
  <c r="DP46" i="82"/>
  <c r="DK46" i="82"/>
  <c r="DF46" i="82"/>
  <c r="DA46" i="82"/>
  <c r="CV46" i="82"/>
  <c r="CQ46" i="82"/>
  <c r="CL46" i="82"/>
  <c r="CG46" i="82"/>
  <c r="CB46" i="82"/>
  <c r="BW46" i="82"/>
  <c r="BR46" i="82"/>
  <c r="BL46" i="82"/>
  <c r="BK46" i="82"/>
  <c r="BC46" i="82"/>
  <c r="AX46" i="82"/>
  <c r="AS46" i="82"/>
  <c r="AN46" i="82"/>
  <c r="AI46" i="82"/>
  <c r="AD46" i="82"/>
  <c r="Y46" i="82"/>
  <c r="T46" i="82"/>
  <c r="J46" i="82"/>
  <c r="E46" i="82"/>
  <c r="DY45" i="82"/>
  <c r="DX45" i="82"/>
  <c r="DU45" i="82"/>
  <c r="DP45" i="82"/>
  <c r="DK45" i="82"/>
  <c r="DF45" i="82"/>
  <c r="DA45" i="82"/>
  <c r="CV45" i="82"/>
  <c r="CQ45" i="82"/>
  <c r="CL45" i="82"/>
  <c r="CG45" i="82"/>
  <c r="CB45" i="82"/>
  <c r="BW45" i="82"/>
  <c r="BR45" i="82"/>
  <c r="BL45" i="82"/>
  <c r="BM45" i="82" s="1"/>
  <c r="BK45" i="82"/>
  <c r="BC45" i="82"/>
  <c r="AX45" i="82"/>
  <c r="AS45" i="82"/>
  <c r="AN45" i="82"/>
  <c r="AI45" i="82"/>
  <c r="AD45" i="82"/>
  <c r="Y45" i="82"/>
  <c r="T45" i="82"/>
  <c r="J45" i="82"/>
  <c r="E45" i="82"/>
  <c r="DX44" i="82"/>
  <c r="DU44" i="82"/>
  <c r="DP44" i="82"/>
  <c r="DK44" i="82"/>
  <c r="DF44" i="82"/>
  <c r="DA44" i="82"/>
  <c r="CV44" i="82"/>
  <c r="CQ44" i="82"/>
  <c r="CL44" i="82"/>
  <c r="CG44" i="82"/>
  <c r="CB44" i="82"/>
  <c r="BW44" i="82"/>
  <c r="BR44" i="82"/>
  <c r="BL44" i="82"/>
  <c r="BK44" i="82"/>
  <c r="BM44" i="82" s="1"/>
  <c r="BB44" i="82"/>
  <c r="BB41" i="82" s="1"/>
  <c r="AX44" i="82"/>
  <c r="AR44" i="82"/>
  <c r="AN44" i="82"/>
  <c r="AI44" i="82"/>
  <c r="AD44" i="82"/>
  <c r="Y44" i="82"/>
  <c r="T44" i="82"/>
  <c r="J44" i="82"/>
  <c r="E44" i="82"/>
  <c r="DY43" i="82"/>
  <c r="DX43" i="82"/>
  <c r="DZ43" i="82" s="1"/>
  <c r="DU43" i="82"/>
  <c r="DP43" i="82"/>
  <c r="DK43" i="82"/>
  <c r="DF43" i="82"/>
  <c r="DA43" i="82"/>
  <c r="CV43" i="82"/>
  <c r="CQ43" i="82"/>
  <c r="CL43" i="82"/>
  <c r="CG43" i="82"/>
  <c r="CB43" i="82"/>
  <c r="BW43" i="82"/>
  <c r="BR43" i="82"/>
  <c r="BL43" i="82"/>
  <c r="BK43" i="82"/>
  <c r="BC43" i="82"/>
  <c r="AX43" i="82"/>
  <c r="AS43" i="82"/>
  <c r="AN43" i="82"/>
  <c r="AI43" i="82"/>
  <c r="AD43" i="82"/>
  <c r="AD41" i="82" s="1"/>
  <c r="Y43" i="82"/>
  <c r="T43" i="82"/>
  <c r="J43" i="82"/>
  <c r="E43" i="82"/>
  <c r="DY42" i="82"/>
  <c r="DX42" i="82"/>
  <c r="DU42" i="82"/>
  <c r="DP42" i="82"/>
  <c r="DK42" i="82"/>
  <c r="DK41" i="82" s="1"/>
  <c r="DF42" i="82"/>
  <c r="DA42" i="82"/>
  <c r="CV42" i="82"/>
  <c r="CQ42" i="82"/>
  <c r="CL42" i="82"/>
  <c r="CG42" i="82"/>
  <c r="CB42" i="82"/>
  <c r="BW42" i="82"/>
  <c r="BR42" i="82"/>
  <c r="BL42" i="82"/>
  <c r="BK42" i="82"/>
  <c r="BM42" i="82" s="1"/>
  <c r="BC42" i="82"/>
  <c r="AX42" i="82"/>
  <c r="AS42" i="82"/>
  <c r="AN42" i="82"/>
  <c r="AI42" i="82"/>
  <c r="AD42" i="82"/>
  <c r="Y42" i="82"/>
  <c r="T42" i="82"/>
  <c r="J42" i="82"/>
  <c r="E42" i="82"/>
  <c r="ED41" i="82"/>
  <c r="DT41" i="82"/>
  <c r="DS41" i="82"/>
  <c r="DO41" i="82"/>
  <c r="DN41" i="82"/>
  <c r="DJ41" i="82"/>
  <c r="DI41" i="82"/>
  <c r="DE41" i="82"/>
  <c r="DD41" i="82"/>
  <c r="CZ41" i="82"/>
  <c r="CY41" i="82"/>
  <c r="CU41" i="82"/>
  <c r="CT41" i="82"/>
  <c r="CP41" i="82"/>
  <c r="CO41" i="82"/>
  <c r="CK41" i="82"/>
  <c r="CJ41" i="82"/>
  <c r="CF41" i="82"/>
  <c r="CE41" i="82"/>
  <c r="CA41" i="82"/>
  <c r="BZ41" i="82"/>
  <c r="BV41" i="82"/>
  <c r="BU41" i="82"/>
  <c r="BQ41" i="82"/>
  <c r="BP41" i="82"/>
  <c r="BK41" i="82"/>
  <c r="BA41" i="82"/>
  <c r="AW41" i="82"/>
  <c r="AV41" i="82"/>
  <c r="AR41" i="82"/>
  <c r="AQ41" i="82"/>
  <c r="AM41" i="82"/>
  <c r="AL41" i="82"/>
  <c r="AH41" i="82"/>
  <c r="AG41" i="82"/>
  <c r="AC41" i="82"/>
  <c r="AB41" i="82"/>
  <c r="X41" i="82"/>
  <c r="W41" i="82"/>
  <c r="S41" i="82"/>
  <c r="R41" i="82"/>
  <c r="I41" i="82"/>
  <c r="H41" i="82"/>
  <c r="D41" i="82"/>
  <c r="C41" i="82"/>
  <c r="CO38" i="82"/>
  <c r="DY37" i="82"/>
  <c r="DX37" i="82"/>
  <c r="DY36" i="82"/>
  <c r="DU36" i="82"/>
  <c r="DP36" i="82"/>
  <c r="DK36" i="82"/>
  <c r="DF36" i="82"/>
  <c r="DA36" i="82"/>
  <c r="CV36" i="82"/>
  <c r="CQ36" i="82"/>
  <c r="CL36" i="82"/>
  <c r="CG36" i="82"/>
  <c r="CB36" i="82"/>
  <c r="BW36" i="82"/>
  <c r="BW35" i="82" s="1"/>
  <c r="BR36" i="82"/>
  <c r="BR35" i="82" s="1"/>
  <c r="BL36" i="82"/>
  <c r="BK36" i="82"/>
  <c r="BM36" i="82" s="1"/>
  <c r="BC36" i="82"/>
  <c r="AX36" i="82"/>
  <c r="AQ36" i="82"/>
  <c r="AS36" i="82" s="1"/>
  <c r="AL36" i="82"/>
  <c r="AN36" i="82" s="1"/>
  <c r="AN35" i="82" s="1"/>
  <c r="AI36" i="82"/>
  <c r="AI35" i="82" s="1"/>
  <c r="AD36" i="82"/>
  <c r="AD35" i="82" s="1"/>
  <c r="Y36" i="82"/>
  <c r="T36" i="82"/>
  <c r="T35" i="82" s="1"/>
  <c r="J36" i="82"/>
  <c r="J35" i="82" s="1"/>
  <c r="E36" i="82"/>
  <c r="ED35" i="82"/>
  <c r="DY35" i="82"/>
  <c r="DT35" i="82"/>
  <c r="DS35" i="82"/>
  <c r="DO35" i="82"/>
  <c r="DN35" i="82"/>
  <c r="DP35" i="82" s="1"/>
  <c r="DJ35" i="82"/>
  <c r="DI35" i="82"/>
  <c r="DK35" i="82" s="1"/>
  <c r="DE35" i="82"/>
  <c r="DD35" i="82"/>
  <c r="DF35" i="82" s="1"/>
  <c r="CZ35" i="82"/>
  <c r="CY35" i="82"/>
  <c r="DA35" i="82" s="1"/>
  <c r="CU35" i="82"/>
  <c r="CV35" i="82" s="1"/>
  <c r="CT35" i="82"/>
  <c r="CP35" i="82"/>
  <c r="CO35" i="82"/>
  <c r="CQ35" i="82" s="1"/>
  <c r="CL35" i="82"/>
  <c r="CK35" i="82"/>
  <c r="CJ35" i="82"/>
  <c r="CF35" i="82"/>
  <c r="CE35" i="82"/>
  <c r="CA35" i="82"/>
  <c r="BZ35" i="82"/>
  <c r="BV35" i="82"/>
  <c r="BU35" i="82"/>
  <c r="BL35" i="82"/>
  <c r="BK35" i="82"/>
  <c r="BC35" i="82"/>
  <c r="AM35" i="82"/>
  <c r="AH35" i="82"/>
  <c r="AG35" i="82"/>
  <c r="AC35" i="82"/>
  <c r="AB35" i="82"/>
  <c r="X35" i="82"/>
  <c r="W35" i="82"/>
  <c r="S35" i="82"/>
  <c r="R35" i="82"/>
  <c r="I35" i="82"/>
  <c r="H35" i="82"/>
  <c r="D35" i="82"/>
  <c r="C35" i="82"/>
  <c r="DY34" i="82"/>
  <c r="DX34" i="82"/>
  <c r="DU34" i="82"/>
  <c r="DP34" i="82"/>
  <c r="DK34" i="82"/>
  <c r="DF34" i="82"/>
  <c r="DA34" i="82"/>
  <c r="CV34" i="82"/>
  <c r="CQ34" i="82"/>
  <c r="DY33" i="82"/>
  <c r="DX33" i="82"/>
  <c r="DZ33" i="82" s="1"/>
  <c r="DU33" i="82"/>
  <c r="DP33" i="82"/>
  <c r="DK33" i="82"/>
  <c r="DF33" i="82"/>
  <c r="DA33" i="82"/>
  <c r="CV33" i="82"/>
  <c r="CQ33" i="82"/>
  <c r="CL33" i="82"/>
  <c r="CG33" i="82"/>
  <c r="CB33" i="82"/>
  <c r="BW33" i="82"/>
  <c r="BR33" i="82"/>
  <c r="BL33" i="82"/>
  <c r="BK33" i="82"/>
  <c r="BM33" i="82" s="1"/>
  <c r="BC33" i="82"/>
  <c r="AX33" i="82"/>
  <c r="AS33" i="82"/>
  <c r="AN33" i="82"/>
  <c r="AI33" i="82"/>
  <c r="AD33" i="82"/>
  <c r="Y33" i="82"/>
  <c r="T33" i="82"/>
  <c r="J33" i="82"/>
  <c r="E33" i="82"/>
  <c r="DY32" i="82"/>
  <c r="DX32" i="82"/>
  <c r="DZ32" i="82" s="1"/>
  <c r="DU32" i="82"/>
  <c r="DP32" i="82"/>
  <c r="DK32" i="82"/>
  <c r="DF32" i="82"/>
  <c r="DA32" i="82"/>
  <c r="CV32" i="82"/>
  <c r="CQ32" i="82"/>
  <c r="CL32" i="82"/>
  <c r="CG32" i="82"/>
  <c r="CB32" i="82"/>
  <c r="BW32" i="82"/>
  <c r="BR32" i="82"/>
  <c r="BL32" i="82"/>
  <c r="BK32" i="82"/>
  <c r="BC32" i="82"/>
  <c r="AX32" i="82"/>
  <c r="AS32" i="82"/>
  <c r="AN32" i="82"/>
  <c r="AI32" i="82"/>
  <c r="AD32" i="82"/>
  <c r="Y32" i="82"/>
  <c r="T32" i="82"/>
  <c r="J32" i="82"/>
  <c r="E32" i="82"/>
  <c r="DY31" i="82"/>
  <c r="DX31" i="82"/>
  <c r="DZ31" i="82" s="1"/>
  <c r="DU31" i="82"/>
  <c r="DP31" i="82"/>
  <c r="DK31" i="82"/>
  <c r="DF31" i="82"/>
  <c r="DA31" i="82"/>
  <c r="CV31" i="82"/>
  <c r="CQ31" i="82"/>
  <c r="CL31" i="82"/>
  <c r="CG31" i="82"/>
  <c r="CB31" i="82"/>
  <c r="BW31" i="82"/>
  <c r="BR31" i="82"/>
  <c r="BL31" i="82"/>
  <c r="BK31" i="82"/>
  <c r="BC31" i="82"/>
  <c r="AX31" i="82"/>
  <c r="AS31" i="82"/>
  <c r="AN31" i="82"/>
  <c r="AI31" i="82"/>
  <c r="AD31" i="82"/>
  <c r="Y31" i="82"/>
  <c r="T31" i="82"/>
  <c r="J31" i="82"/>
  <c r="D31" i="82"/>
  <c r="C31" i="82"/>
  <c r="E31" i="82" s="1"/>
  <c r="DX30" i="82"/>
  <c r="DU30" i="82"/>
  <c r="DP30" i="82"/>
  <c r="DK30" i="82"/>
  <c r="DF30" i="82"/>
  <c r="DA30" i="82"/>
  <c r="CV30" i="82"/>
  <c r="CQ30" i="82"/>
  <c r="CL30" i="82"/>
  <c r="CG30" i="82"/>
  <c r="CB30" i="82"/>
  <c r="BW30" i="82"/>
  <c r="BR30" i="82"/>
  <c r="BL30" i="82"/>
  <c r="BK30" i="82"/>
  <c r="BB30" i="82"/>
  <c r="BC30" i="82" s="1"/>
  <c r="AX30" i="82"/>
  <c r="AS30" i="82"/>
  <c r="AN30" i="82"/>
  <c r="AI30" i="82"/>
  <c r="AD30" i="82"/>
  <c r="X30" i="82"/>
  <c r="T30" i="82"/>
  <c r="J30" i="82"/>
  <c r="D30" i="82"/>
  <c r="E30" i="82" s="1"/>
  <c r="DY29" i="82"/>
  <c r="DX29" i="82"/>
  <c r="DZ29" i="82" s="1"/>
  <c r="DU29" i="82"/>
  <c r="DP29" i="82"/>
  <c r="DK29" i="82"/>
  <c r="DF29" i="82"/>
  <c r="DA29" i="82"/>
  <c r="CV29" i="82"/>
  <c r="CQ29" i="82"/>
  <c r="CL29" i="82"/>
  <c r="CG29" i="82"/>
  <c r="CB29" i="82"/>
  <c r="BW29" i="82"/>
  <c r="BR29" i="82"/>
  <c r="BL29" i="82"/>
  <c r="BK29" i="82"/>
  <c r="BM29" i="82" s="1"/>
  <c r="BC29" i="82"/>
  <c r="AX29" i="82"/>
  <c r="AS29" i="82"/>
  <c r="AN29" i="82"/>
  <c r="AI29" i="82"/>
  <c r="AD29" i="82"/>
  <c r="Y29" i="82"/>
  <c r="T29" i="82"/>
  <c r="J29" i="82"/>
  <c r="D29" i="82"/>
  <c r="C29" i="82"/>
  <c r="E29" i="82" s="1"/>
  <c r="DU28" i="82"/>
  <c r="DP28" i="82"/>
  <c r="DK28" i="82"/>
  <c r="DF28" i="82"/>
  <c r="DA28" i="82"/>
  <c r="CV28" i="82"/>
  <c r="CQ28" i="82"/>
  <c r="CL28" i="82"/>
  <c r="CG28" i="82"/>
  <c r="CB28" i="82"/>
  <c r="BW28" i="82"/>
  <c r="BR28" i="82"/>
  <c r="BL28" i="82"/>
  <c r="BK28" i="82"/>
  <c r="BA28" i="82"/>
  <c r="BC28" i="82" s="1"/>
  <c r="AX28" i="82"/>
  <c r="AS28" i="82"/>
  <c r="AN28" i="82"/>
  <c r="AI28" i="82"/>
  <c r="AH28" i="82"/>
  <c r="DY28" i="82" s="1"/>
  <c r="AB28" i="82"/>
  <c r="W28" i="82"/>
  <c r="Y28" i="82" s="1"/>
  <c r="T28" i="82"/>
  <c r="R28" i="82"/>
  <c r="J28" i="82"/>
  <c r="D28" i="82"/>
  <c r="C28" i="82"/>
  <c r="E28" i="82" s="1"/>
  <c r="DY27" i="82"/>
  <c r="DU27" i="82"/>
  <c r="DP27" i="82"/>
  <c r="DK27" i="82"/>
  <c r="DF27" i="82"/>
  <c r="DA27" i="82"/>
  <c r="CV27" i="82"/>
  <c r="CQ27" i="82"/>
  <c r="CL27" i="82"/>
  <c r="CG27" i="82"/>
  <c r="CB27" i="82"/>
  <c r="BW27" i="82"/>
  <c r="BR27" i="82"/>
  <c r="BL27" i="82"/>
  <c r="BK27" i="82"/>
  <c r="BM27" i="82" s="1"/>
  <c r="EE27" i="82" s="1"/>
  <c r="BC27" i="82"/>
  <c r="AX27" i="82"/>
  <c r="AS27" i="82"/>
  <c r="AN27" i="82"/>
  <c r="AI27" i="82"/>
  <c r="AD27" i="82"/>
  <c r="W27" i="82"/>
  <c r="Y27" i="82" s="1"/>
  <c r="T27" i="82"/>
  <c r="R27" i="82"/>
  <c r="DX27" i="82" s="1"/>
  <c r="DZ27" i="82" s="1"/>
  <c r="J27" i="82"/>
  <c r="C27" i="82"/>
  <c r="E27" i="82" s="1"/>
  <c r="DY26" i="82"/>
  <c r="DU26" i="82"/>
  <c r="DP26" i="82"/>
  <c r="DK26" i="82"/>
  <c r="DF26" i="82"/>
  <c r="DA26" i="82"/>
  <c r="CV26" i="82"/>
  <c r="CQ26" i="82"/>
  <c r="CL26" i="82"/>
  <c r="CG26" i="82"/>
  <c r="CB26" i="82"/>
  <c r="BW26" i="82"/>
  <c r="BR26" i="82"/>
  <c r="BL26" i="82"/>
  <c r="BK26" i="82"/>
  <c r="BM26" i="82" s="1"/>
  <c r="BA26" i="82"/>
  <c r="BC26" i="82" s="1"/>
  <c r="AX26" i="82"/>
  <c r="AQ26" i="82"/>
  <c r="AS26" i="82" s="1"/>
  <c r="AN26" i="82"/>
  <c r="AL26" i="82"/>
  <c r="AG26" i="82"/>
  <c r="AI26" i="82" s="1"/>
  <c r="AD26" i="82"/>
  <c r="AB26" i="82"/>
  <c r="W26" i="82"/>
  <c r="Y26" i="82" s="1"/>
  <c r="T26" i="82"/>
  <c r="R26" i="82"/>
  <c r="J26" i="82"/>
  <c r="E26" i="82"/>
  <c r="DY25" i="82"/>
  <c r="DU25" i="82"/>
  <c r="DP25" i="82"/>
  <c r="DK25" i="82"/>
  <c r="DF25" i="82"/>
  <c r="DA25" i="82"/>
  <c r="CV25" i="82"/>
  <c r="CQ25" i="82"/>
  <c r="CL25" i="82"/>
  <c r="CG25" i="82"/>
  <c r="CB25" i="82"/>
  <c r="BW25" i="82"/>
  <c r="BR25" i="82"/>
  <c r="BL25" i="82"/>
  <c r="BK25" i="82"/>
  <c r="BM25" i="82" s="1"/>
  <c r="BC25" i="82"/>
  <c r="AX25" i="82"/>
  <c r="AS25" i="82"/>
  <c r="AL25" i="82"/>
  <c r="AN25" i="82" s="1"/>
  <c r="AG25" i="82"/>
  <c r="AD25" i="82"/>
  <c r="Y25" i="82"/>
  <c r="T25" i="82"/>
  <c r="J25" i="82"/>
  <c r="E25" i="82"/>
  <c r="C25" i="82"/>
  <c r="DY24" i="82"/>
  <c r="DU24" i="82"/>
  <c r="DP24" i="82"/>
  <c r="DK24" i="82"/>
  <c r="DF24" i="82"/>
  <c r="DA24" i="82"/>
  <c r="CV24" i="82"/>
  <c r="CQ24" i="82"/>
  <c r="CL24" i="82"/>
  <c r="CG24" i="82"/>
  <c r="CB24" i="82"/>
  <c r="BW24" i="82"/>
  <c r="BR24" i="82"/>
  <c r="BL24" i="82"/>
  <c r="BM24" i="82" s="1"/>
  <c r="EE24" i="82" s="1"/>
  <c r="BK24" i="82"/>
  <c r="BC24" i="82"/>
  <c r="AX24" i="82"/>
  <c r="AS24" i="82"/>
  <c r="AN24" i="82"/>
  <c r="AG24" i="82"/>
  <c r="AI24" i="82" s="1"/>
  <c r="AD24" i="82"/>
  <c r="AB24" i="82"/>
  <c r="Y24" i="82"/>
  <c r="W24" i="82"/>
  <c r="T24" i="82"/>
  <c r="J24" i="82"/>
  <c r="E24" i="82"/>
  <c r="DY23" i="82"/>
  <c r="DZ23" i="82" s="1"/>
  <c r="DX23" i="82"/>
  <c r="DU23" i="82"/>
  <c r="DP23" i="82"/>
  <c r="DK23" i="82"/>
  <c r="DF23" i="82"/>
  <c r="DA23" i="82"/>
  <c r="CV23" i="82"/>
  <c r="CQ23" i="82"/>
  <c r="CL23" i="82"/>
  <c r="CG23" i="82"/>
  <c r="CB23" i="82"/>
  <c r="BW23" i="82"/>
  <c r="BR23" i="82"/>
  <c r="BL23" i="82"/>
  <c r="BK23" i="82"/>
  <c r="BC23" i="82"/>
  <c r="AX23" i="82"/>
  <c r="AS23" i="82"/>
  <c r="AN23" i="82"/>
  <c r="AI23" i="82"/>
  <c r="AD23" i="82"/>
  <c r="Y23" i="82"/>
  <c r="T23" i="82"/>
  <c r="EE22" i="82"/>
  <c r="DY22" i="82"/>
  <c r="DU22" i="82"/>
  <c r="DP22" i="82"/>
  <c r="DK22" i="82"/>
  <c r="DF22" i="82"/>
  <c r="DA22" i="82"/>
  <c r="CV22" i="82"/>
  <c r="CQ22" i="82"/>
  <c r="CL22" i="82"/>
  <c r="CG22" i="82"/>
  <c r="CB22" i="82"/>
  <c r="BW22" i="82"/>
  <c r="BR22" i="82"/>
  <c r="BL22" i="82"/>
  <c r="BK22" i="82"/>
  <c r="BC22" i="82"/>
  <c r="AX22" i="82"/>
  <c r="AQ22" i="82"/>
  <c r="AN22" i="82"/>
  <c r="AI22" i="82"/>
  <c r="AD22" i="82"/>
  <c r="W22" i="82"/>
  <c r="W8" i="82" s="1"/>
  <c r="T22" i="82"/>
  <c r="EF21" i="82"/>
  <c r="DY21" i="82"/>
  <c r="DX21" i="82"/>
  <c r="DZ21" i="82" s="1"/>
  <c r="DU21" i="82"/>
  <c r="DP21" i="82"/>
  <c r="DK21" i="82"/>
  <c r="DF21" i="82"/>
  <c r="DA21" i="82"/>
  <c r="CV21" i="82"/>
  <c r="CQ21" i="82"/>
  <c r="CL21" i="82"/>
  <c r="CG21" i="82"/>
  <c r="CB21" i="82"/>
  <c r="BW21" i="82"/>
  <c r="BR21" i="82"/>
  <c r="BM21" i="82"/>
  <c r="BL21" i="82"/>
  <c r="BK21" i="82"/>
  <c r="BC21" i="82"/>
  <c r="AX21" i="82"/>
  <c r="AS21" i="82"/>
  <c r="AN21" i="82"/>
  <c r="AI21" i="82"/>
  <c r="AD21" i="82"/>
  <c r="Y21" i="82"/>
  <c r="T21" i="82"/>
  <c r="J21" i="82"/>
  <c r="E21" i="82"/>
  <c r="DY20" i="82"/>
  <c r="DX20" i="82"/>
  <c r="DZ20" i="82" s="1"/>
  <c r="DU20" i="82"/>
  <c r="DP20" i="82"/>
  <c r="DK20" i="82"/>
  <c r="DF20" i="82"/>
  <c r="DA20" i="82"/>
  <c r="CV20" i="82"/>
  <c r="CQ20" i="82"/>
  <c r="CL20" i="82"/>
  <c r="CG20" i="82"/>
  <c r="CB20" i="82"/>
  <c r="BW20" i="82"/>
  <c r="BR20" i="82"/>
  <c r="BL20" i="82"/>
  <c r="BK20" i="82"/>
  <c r="BC20" i="82"/>
  <c r="AX20" i="82"/>
  <c r="AS20" i="82"/>
  <c r="AN20" i="82"/>
  <c r="AI20" i="82"/>
  <c r="AD20" i="82"/>
  <c r="Y20" i="82"/>
  <c r="T20" i="82"/>
  <c r="J20" i="82"/>
  <c r="E20" i="82"/>
  <c r="DX19" i="82"/>
  <c r="DU19" i="82"/>
  <c r="DP19" i="82"/>
  <c r="DK19" i="82"/>
  <c r="DF19" i="82"/>
  <c r="DA19" i="82"/>
  <c r="CV19" i="82"/>
  <c r="CQ19" i="82"/>
  <c r="CL19" i="82"/>
  <c r="CG19" i="82"/>
  <c r="CB19" i="82"/>
  <c r="BW19" i="82"/>
  <c r="BR19" i="82"/>
  <c r="BL19" i="82"/>
  <c r="BK19" i="82"/>
  <c r="BM19" i="82" s="1"/>
  <c r="BB19" i="82"/>
  <c r="BC19" i="82" s="1"/>
  <c r="AX19" i="82"/>
  <c r="AS19" i="82"/>
  <c r="AN19" i="82"/>
  <c r="AI19" i="82"/>
  <c r="AD19" i="82"/>
  <c r="Y19" i="82"/>
  <c r="T19" i="82"/>
  <c r="J19" i="82"/>
  <c r="E19" i="82"/>
  <c r="C19" i="82"/>
  <c r="DX18" i="82"/>
  <c r="DU18" i="82"/>
  <c r="DP18" i="82"/>
  <c r="DK18" i="82"/>
  <c r="DF18" i="82"/>
  <c r="DA18" i="82"/>
  <c r="CV18" i="82"/>
  <c r="CQ18" i="82"/>
  <c r="CL18" i="82"/>
  <c r="CG18" i="82"/>
  <c r="CB18" i="82"/>
  <c r="BW18" i="82"/>
  <c r="BR18" i="82"/>
  <c r="BL18" i="82"/>
  <c r="BK18" i="82"/>
  <c r="BB18" i="82"/>
  <c r="BC18" i="82" s="1"/>
  <c r="AX18" i="82"/>
  <c r="AS18" i="82"/>
  <c r="AM18" i="82"/>
  <c r="AN18" i="82" s="1"/>
  <c r="AH18" i="82"/>
  <c r="AH8" i="82" s="1"/>
  <c r="AD18" i="82"/>
  <c r="Y18" i="82"/>
  <c r="T18" i="82"/>
  <c r="J18" i="82"/>
  <c r="E18" i="82"/>
  <c r="DY17" i="82"/>
  <c r="DX17" i="82"/>
  <c r="DU17" i="82"/>
  <c r="DP17" i="82"/>
  <c r="DK17" i="82"/>
  <c r="DF17" i="82"/>
  <c r="DA17" i="82"/>
  <c r="CV17" i="82"/>
  <c r="CQ17" i="82"/>
  <c r="CL17" i="82"/>
  <c r="CG17" i="82"/>
  <c r="CB17" i="82"/>
  <c r="BW17" i="82"/>
  <c r="BR17" i="82"/>
  <c r="BL17" i="82"/>
  <c r="BK17" i="82"/>
  <c r="BC17" i="82"/>
  <c r="AX17" i="82"/>
  <c r="AS17" i="82"/>
  <c r="AN17" i="82"/>
  <c r="AI17" i="82"/>
  <c r="AD17" i="82"/>
  <c r="Y17" i="82"/>
  <c r="T17" i="82"/>
  <c r="J17" i="82"/>
  <c r="E17" i="82"/>
  <c r="DX16" i="82"/>
  <c r="DU16" i="82"/>
  <c r="DP16" i="82"/>
  <c r="DK16" i="82"/>
  <c r="DF16" i="82"/>
  <c r="DA16" i="82"/>
  <c r="CV16" i="82"/>
  <c r="CQ16" i="82"/>
  <c r="CL16" i="82"/>
  <c r="CG16" i="82"/>
  <c r="CB16" i="82"/>
  <c r="BW16" i="82"/>
  <c r="BR16" i="82"/>
  <c r="BL16" i="82"/>
  <c r="BK16" i="82"/>
  <c r="BM16" i="82" s="1"/>
  <c r="EE16" i="82" s="1"/>
  <c r="BC16" i="82"/>
  <c r="AX16" i="82"/>
  <c r="AR16" i="82"/>
  <c r="AS16" i="82" s="1"/>
  <c r="AM16" i="82"/>
  <c r="AN16" i="82" s="1"/>
  <c r="AH16" i="82"/>
  <c r="AI16" i="82" s="1"/>
  <c r="AC16" i="82"/>
  <c r="AD16" i="82" s="1"/>
  <c r="X16" i="82"/>
  <c r="Y16" i="82" s="1"/>
  <c r="S16" i="82"/>
  <c r="J16" i="82"/>
  <c r="E16" i="82"/>
  <c r="DY15" i="82"/>
  <c r="DX15" i="82"/>
  <c r="DZ15" i="82" s="1"/>
  <c r="DU15" i="82"/>
  <c r="DP15" i="82"/>
  <c r="DK15" i="82"/>
  <c r="DF15" i="82"/>
  <c r="DA15" i="82"/>
  <c r="CV15" i="82"/>
  <c r="CQ15" i="82"/>
  <c r="CL15" i="82"/>
  <c r="CG15" i="82"/>
  <c r="CB15" i="82"/>
  <c r="BW15" i="82"/>
  <c r="BR15" i="82"/>
  <c r="BL15" i="82"/>
  <c r="BM15" i="82" s="1"/>
  <c r="BK15" i="82"/>
  <c r="BC15" i="82"/>
  <c r="AX15" i="82"/>
  <c r="AS15" i="82"/>
  <c r="AN15" i="82"/>
  <c r="AI15" i="82"/>
  <c r="AD15" i="82"/>
  <c r="Y15" i="82"/>
  <c r="T15" i="82"/>
  <c r="J15" i="82"/>
  <c r="E15" i="82"/>
  <c r="DY14" i="82"/>
  <c r="DX14" i="82"/>
  <c r="DZ14" i="82" s="1"/>
  <c r="DU14" i="82"/>
  <c r="DP14" i="82"/>
  <c r="DK14" i="82"/>
  <c r="DF14" i="82"/>
  <c r="DA14" i="82"/>
  <c r="CV14" i="82"/>
  <c r="CQ14" i="82"/>
  <c r="CL14" i="82"/>
  <c r="CG14" i="82"/>
  <c r="CB14" i="82"/>
  <c r="BW14" i="82"/>
  <c r="BR14" i="82"/>
  <c r="BL14" i="82"/>
  <c r="BK14" i="82"/>
  <c r="BC14" i="82"/>
  <c r="AX14" i="82"/>
  <c r="AS14" i="82"/>
  <c r="AN14" i="82"/>
  <c r="AI14" i="82"/>
  <c r="AG14" i="82"/>
  <c r="AD14" i="82"/>
  <c r="Y14" i="82"/>
  <c r="T14" i="82"/>
  <c r="J14" i="82"/>
  <c r="E14" i="82"/>
  <c r="DY13" i="82"/>
  <c r="DU13" i="82"/>
  <c r="DP13" i="82"/>
  <c r="DK13" i="82"/>
  <c r="DF13" i="82"/>
  <c r="DA13" i="82"/>
  <c r="CV13" i="82"/>
  <c r="CQ13" i="82"/>
  <c r="CL13" i="82"/>
  <c r="CG13" i="82"/>
  <c r="CB13" i="82"/>
  <c r="BW13" i="82"/>
  <c r="BR13" i="82"/>
  <c r="BL13" i="82"/>
  <c r="BK13" i="82"/>
  <c r="BM13" i="82" s="1"/>
  <c r="BC13" i="82"/>
  <c r="AX13" i="82"/>
  <c r="AS13" i="82"/>
  <c r="AN13" i="82"/>
  <c r="AG13" i="82"/>
  <c r="DX13" i="82" s="1"/>
  <c r="DZ13" i="82" s="1"/>
  <c r="AD13" i="82"/>
  <c r="Y13" i="82"/>
  <c r="T13" i="82"/>
  <c r="J13" i="82"/>
  <c r="E13" i="82"/>
  <c r="DU12" i="82"/>
  <c r="DP12" i="82"/>
  <c r="DK12" i="82"/>
  <c r="DF12" i="82"/>
  <c r="DA12" i="82"/>
  <c r="CV12" i="82"/>
  <c r="CQ12" i="82"/>
  <c r="CL12" i="82"/>
  <c r="CG12" i="82"/>
  <c r="CB12" i="82"/>
  <c r="BW12" i="82"/>
  <c r="BR12" i="82"/>
  <c r="BL12" i="82"/>
  <c r="BK12" i="82"/>
  <c r="BC12" i="82"/>
  <c r="AX12" i="82"/>
  <c r="AS12" i="82"/>
  <c r="AN12" i="82"/>
  <c r="AG12" i="82"/>
  <c r="DX12" i="82" s="1"/>
  <c r="AD12" i="82"/>
  <c r="Y12" i="82"/>
  <c r="S12" i="82"/>
  <c r="J12" i="82"/>
  <c r="E12" i="82"/>
  <c r="DY11" i="82"/>
  <c r="DX11" i="82"/>
  <c r="DZ11" i="82" s="1"/>
  <c r="DU11" i="82"/>
  <c r="DP11" i="82"/>
  <c r="DK11" i="82"/>
  <c r="DF11" i="82"/>
  <c r="DA11" i="82"/>
  <c r="CV11" i="82"/>
  <c r="CQ11" i="82"/>
  <c r="CL11" i="82"/>
  <c r="CG11" i="82"/>
  <c r="CB11" i="82"/>
  <c r="BW11" i="82"/>
  <c r="BR11" i="82"/>
  <c r="BL11" i="82"/>
  <c r="BM11" i="82" s="1"/>
  <c r="EE11" i="82" s="1"/>
  <c r="BK11" i="82"/>
  <c r="BC11" i="82"/>
  <c r="AX11" i="82"/>
  <c r="AS11" i="82"/>
  <c r="AN11" i="82"/>
  <c r="AI11" i="82"/>
  <c r="AD11" i="82"/>
  <c r="Y11" i="82"/>
  <c r="T11" i="82"/>
  <c r="J11" i="82"/>
  <c r="E11" i="82"/>
  <c r="DZ10" i="82"/>
  <c r="DY10" i="82"/>
  <c r="DX10" i="82"/>
  <c r="DU10" i="82"/>
  <c r="DP10" i="82"/>
  <c r="DK10" i="82"/>
  <c r="DF10" i="82"/>
  <c r="DA10" i="82"/>
  <c r="CV10" i="82"/>
  <c r="CQ10" i="82"/>
  <c r="CL10" i="82"/>
  <c r="CG10" i="82"/>
  <c r="CB10" i="82"/>
  <c r="BW10" i="82"/>
  <c r="BR10" i="82"/>
  <c r="BL10" i="82"/>
  <c r="BM10" i="82" s="1"/>
  <c r="BK10" i="82"/>
  <c r="BC10" i="82"/>
  <c r="AX10" i="82"/>
  <c r="AS10" i="82"/>
  <c r="AN10" i="82"/>
  <c r="AI10" i="82"/>
  <c r="AD10" i="82"/>
  <c r="Y10" i="82"/>
  <c r="T10" i="82"/>
  <c r="J10" i="82"/>
  <c r="E10" i="82"/>
  <c r="DX9" i="82"/>
  <c r="DU9" i="82"/>
  <c r="DP9" i="82"/>
  <c r="DK9" i="82"/>
  <c r="DF9" i="82"/>
  <c r="DA9" i="82"/>
  <c r="CV9" i="82"/>
  <c r="CQ9" i="82"/>
  <c r="CL9" i="82"/>
  <c r="CG9" i="82"/>
  <c r="CB9" i="82"/>
  <c r="BW9" i="82"/>
  <c r="BR9" i="82"/>
  <c r="BL9" i="82"/>
  <c r="BM9" i="82" s="1"/>
  <c r="BK9" i="82"/>
  <c r="BC9" i="82"/>
  <c r="AX9" i="82"/>
  <c r="AS9" i="82"/>
  <c r="AN9" i="82"/>
  <c r="AI9" i="82"/>
  <c r="AD9" i="82"/>
  <c r="X9" i="82"/>
  <c r="Y9" i="82" s="1"/>
  <c r="T9" i="82"/>
  <c r="S9" i="82"/>
  <c r="DY9" i="82" s="1"/>
  <c r="J9" i="82"/>
  <c r="E9" i="82"/>
  <c r="ED8" i="82"/>
  <c r="DT8" i="82"/>
  <c r="DS8" i="82"/>
  <c r="DO8" i="82"/>
  <c r="DN8" i="82"/>
  <c r="DJ8" i="82"/>
  <c r="DI8" i="82"/>
  <c r="DE8" i="82"/>
  <c r="DD8" i="82"/>
  <c r="CZ8" i="82"/>
  <c r="CY8" i="82"/>
  <c r="CU8" i="82"/>
  <c r="CT8" i="82"/>
  <c r="CP8" i="82"/>
  <c r="CO8" i="82"/>
  <c r="CK8" i="82"/>
  <c r="CJ8" i="82"/>
  <c r="CF8" i="82"/>
  <c r="CE8" i="82"/>
  <c r="CA8" i="82"/>
  <c r="BZ8" i="82"/>
  <c r="BV8" i="82"/>
  <c r="BU8" i="82"/>
  <c r="BQ8" i="82"/>
  <c r="BP8" i="82"/>
  <c r="BA8" i="82"/>
  <c r="AW8" i="82"/>
  <c r="AV8" i="82"/>
  <c r="AR8" i="82"/>
  <c r="AM8" i="82"/>
  <c r="AL8" i="82"/>
  <c r="AC8" i="82"/>
  <c r="AD79" i="82" s="1"/>
  <c r="X8" i="82"/>
  <c r="R8" i="82"/>
  <c r="I8" i="82"/>
  <c r="H8" i="82"/>
  <c r="D8" i="82"/>
  <c r="E79" i="82" s="1"/>
  <c r="E77" i="82" s="1"/>
  <c r="DY7" i="82"/>
  <c r="DU7" i="82"/>
  <c r="DU5" i="82" s="1"/>
  <c r="DP7" i="82"/>
  <c r="DK7" i="82"/>
  <c r="DK5" i="82" s="1"/>
  <c r="DF7" i="82"/>
  <c r="DA7" i="82"/>
  <c r="CV7" i="82"/>
  <c r="CQ7" i="82"/>
  <c r="CL7" i="82"/>
  <c r="CG7" i="82"/>
  <c r="CG5" i="82" s="1"/>
  <c r="CB7" i="82"/>
  <c r="CB5" i="82" s="1"/>
  <c r="BW7" i="82"/>
  <c r="BR7" i="82"/>
  <c r="BO7" i="82" s="1"/>
  <c r="BL7" i="82"/>
  <c r="BM7" i="82" s="1"/>
  <c r="EE7" i="82" s="1"/>
  <c r="BK7" i="82"/>
  <c r="BA7" i="82"/>
  <c r="DX7" i="82" s="1"/>
  <c r="DZ7" i="82" s="1"/>
  <c r="AX7" i="82"/>
  <c r="AS7" i="82"/>
  <c r="AN7" i="82"/>
  <c r="AI7" i="82"/>
  <c r="AD7" i="82"/>
  <c r="Y7" i="82"/>
  <c r="T7" i="82"/>
  <c r="J7" i="82"/>
  <c r="E7" i="82"/>
  <c r="DY6" i="82"/>
  <c r="DU6" i="82"/>
  <c r="DP6" i="82"/>
  <c r="DK6" i="82"/>
  <c r="DF6" i="82"/>
  <c r="DA6" i="82"/>
  <c r="DA5" i="82" s="1"/>
  <c r="CV6" i="82"/>
  <c r="CV5" i="82" s="1"/>
  <c r="CQ6" i="82"/>
  <c r="CL6" i="82"/>
  <c r="CL5" i="82" s="1"/>
  <c r="CG6" i="82"/>
  <c r="CB6" i="82"/>
  <c r="BW6" i="82"/>
  <c r="BR6" i="82"/>
  <c r="BL6" i="82"/>
  <c r="BK6" i="82"/>
  <c r="BK5" i="82" s="1"/>
  <c r="BC6" i="82"/>
  <c r="BA6" i="82"/>
  <c r="AX6" i="82"/>
  <c r="AQ6" i="82"/>
  <c r="AS6" i="82" s="1"/>
  <c r="AS5" i="82" s="1"/>
  <c r="AL6" i="82"/>
  <c r="AN6" i="82" s="1"/>
  <c r="AN5" i="82" s="1"/>
  <c r="AG6" i="82"/>
  <c r="AI6" i="82" s="1"/>
  <c r="AI5" i="82" s="1"/>
  <c r="AB6" i="82"/>
  <c r="W6" i="82"/>
  <c r="Y6" i="82" s="1"/>
  <c r="Y5" i="82" s="1"/>
  <c r="T6" i="82"/>
  <c r="T5" i="82" s="1"/>
  <c r="J6" i="82"/>
  <c r="J5" i="82" s="1"/>
  <c r="E6" i="82"/>
  <c r="ED5" i="82"/>
  <c r="DT5" i="82"/>
  <c r="DS5" i="82"/>
  <c r="DO5" i="82"/>
  <c r="DN5" i="82"/>
  <c r="DN38" i="82" s="1"/>
  <c r="DJ5" i="82"/>
  <c r="DJ38" i="82" s="1"/>
  <c r="DI5" i="82"/>
  <c r="DF5" i="82"/>
  <c r="DE5" i="82"/>
  <c r="DD5" i="82"/>
  <c r="CZ5" i="82"/>
  <c r="CY5" i="82"/>
  <c r="CU5" i="82"/>
  <c r="CU38" i="82" s="1"/>
  <c r="CT5" i="82"/>
  <c r="CT38" i="82" s="1"/>
  <c r="CP5" i="82"/>
  <c r="CP38" i="82" s="1"/>
  <c r="CO5" i="82"/>
  <c r="CK5" i="82"/>
  <c r="CJ5" i="82"/>
  <c r="CF5" i="82"/>
  <c r="CE5" i="82"/>
  <c r="CA5" i="82"/>
  <c r="BZ5" i="82"/>
  <c r="BZ38" i="82" s="1"/>
  <c r="BV5" i="82"/>
  <c r="BV38" i="82" s="1"/>
  <c r="BU5" i="82"/>
  <c r="BU38" i="82" s="1"/>
  <c r="BU75" i="82" s="1"/>
  <c r="BQ5" i="82"/>
  <c r="BQ38" i="82" s="1"/>
  <c r="BP5" i="82"/>
  <c r="BB5" i="82"/>
  <c r="AW5" i="82"/>
  <c r="AV5" i="82"/>
  <c r="AR5" i="82"/>
  <c r="AM5" i="82"/>
  <c r="AM38" i="82" s="1"/>
  <c r="AH5" i="82"/>
  <c r="AC5" i="82"/>
  <c r="AC38" i="82" s="1"/>
  <c r="X5" i="82"/>
  <c r="X38" i="82" s="1"/>
  <c r="S5" i="82"/>
  <c r="R5" i="82"/>
  <c r="I5" i="82"/>
  <c r="I38" i="82" s="1"/>
  <c r="H5" i="82"/>
  <c r="H38" i="82" s="1"/>
  <c r="E5" i="82"/>
  <c r="D5" i="82"/>
  <c r="C5" i="82"/>
  <c r="DJ85" i="125"/>
  <c r="DI85" i="125"/>
  <c r="DE85" i="125"/>
  <c r="DD85" i="125"/>
  <c r="CZ85" i="125"/>
  <c r="CY85" i="125"/>
  <c r="CU85" i="125"/>
  <c r="CT85" i="125"/>
  <c r="CP85" i="125"/>
  <c r="CO85" i="125"/>
  <c r="CK85" i="125"/>
  <c r="CJ85" i="125"/>
  <c r="CE85" i="125"/>
  <c r="BZ85" i="125"/>
  <c r="BW85" i="125"/>
  <c r="BU85" i="125"/>
  <c r="BR85" i="125"/>
  <c r="BP85" i="125"/>
  <c r="BM85" i="125"/>
  <c r="BL85" i="125"/>
  <c r="BK85" i="125"/>
  <c r="BG85" i="125"/>
  <c r="BF85" i="125"/>
  <c r="AW85" i="125"/>
  <c r="AV85" i="125"/>
  <c r="AR85" i="125"/>
  <c r="AQ85" i="125"/>
  <c r="AM85" i="125"/>
  <c r="AL85" i="125"/>
  <c r="AH85" i="125"/>
  <c r="AG85" i="125"/>
  <c r="BQ82" i="125"/>
  <c r="BP82" i="125"/>
  <c r="BR82" i="125" s="1"/>
  <c r="BL82" i="125"/>
  <c r="BK82" i="125"/>
  <c r="BG82" i="125"/>
  <c r="BF82" i="125"/>
  <c r="AW82" i="125"/>
  <c r="AV82" i="125"/>
  <c r="AR82" i="125"/>
  <c r="AQ82" i="125"/>
  <c r="AM82" i="125"/>
  <c r="AL82" i="125"/>
  <c r="AN82" i="125" s="1"/>
  <c r="AH82" i="125"/>
  <c r="AG82" i="125"/>
  <c r="AC82" i="125"/>
  <c r="AB82" i="125"/>
  <c r="BE80" i="125"/>
  <c r="DJ79" i="125"/>
  <c r="DE79" i="125"/>
  <c r="CZ79" i="125"/>
  <c r="CU79" i="125"/>
  <c r="CP79" i="125"/>
  <c r="CK79" i="125"/>
  <c r="CF79" i="125"/>
  <c r="CA79" i="125"/>
  <c r="BV79" i="125"/>
  <c r="BQ79" i="125"/>
  <c r="BL79" i="125"/>
  <c r="BG79" i="125"/>
  <c r="AW79" i="125"/>
  <c r="AV79" i="125"/>
  <c r="AR79" i="125"/>
  <c r="AP79" i="125"/>
  <c r="AM79" i="125"/>
  <c r="AH79" i="125"/>
  <c r="AC79" i="125"/>
  <c r="DJ78" i="125"/>
  <c r="DI78" i="125"/>
  <c r="DE78" i="125"/>
  <c r="DD78" i="125"/>
  <c r="CZ78" i="125"/>
  <c r="CY78" i="125"/>
  <c r="CU78" i="125"/>
  <c r="CT78" i="125"/>
  <c r="CP78" i="125"/>
  <c r="CP77" i="125" s="1"/>
  <c r="CO78" i="125"/>
  <c r="CK78" i="125"/>
  <c r="CJ78" i="125"/>
  <c r="CF78" i="125"/>
  <c r="CE78" i="125"/>
  <c r="CA78" i="125"/>
  <c r="CA77" i="125" s="1"/>
  <c r="BZ78" i="125"/>
  <c r="BV78" i="125"/>
  <c r="BU78" i="125"/>
  <c r="BQ78" i="125"/>
  <c r="BP78" i="125"/>
  <c r="BL78" i="125"/>
  <c r="BK78" i="125"/>
  <c r="BG78" i="125"/>
  <c r="BF78" i="125"/>
  <c r="AW78" i="125"/>
  <c r="AV78" i="125"/>
  <c r="AV77" i="125" s="1"/>
  <c r="AU78" i="125"/>
  <c r="AR78" i="125"/>
  <c r="AQ78" i="125"/>
  <c r="AP78" i="125"/>
  <c r="AM78" i="125"/>
  <c r="AL78" i="125"/>
  <c r="AH78" i="125"/>
  <c r="AG78" i="125"/>
  <c r="AC78" i="125"/>
  <c r="AC77" i="125" s="1"/>
  <c r="AB78" i="125"/>
  <c r="DJ74" i="125"/>
  <c r="DI74" i="125"/>
  <c r="DK74" i="125" s="1"/>
  <c r="DK73" i="125" s="1"/>
  <c r="DE74" i="125"/>
  <c r="DD74" i="125"/>
  <c r="CZ74" i="125"/>
  <c r="CZ73" i="125" s="1"/>
  <c r="CY74" i="125"/>
  <c r="CU74" i="125"/>
  <c r="CT74" i="125"/>
  <c r="CT73" i="125" s="1"/>
  <c r="CP74" i="125"/>
  <c r="CO74" i="125"/>
  <c r="CK74" i="125"/>
  <c r="CJ74" i="125"/>
  <c r="CF74" i="125"/>
  <c r="CE74" i="125"/>
  <c r="CG74" i="125" s="1"/>
  <c r="CG73" i="125" s="1"/>
  <c r="CA74" i="125"/>
  <c r="BZ74" i="125"/>
  <c r="BV74" i="125"/>
  <c r="BU74" i="125"/>
  <c r="BU73" i="125" s="1"/>
  <c r="BQ74" i="125"/>
  <c r="BQ73" i="125" s="1"/>
  <c r="BP74" i="125"/>
  <c r="BL74" i="125"/>
  <c r="BK74" i="125"/>
  <c r="BG74" i="125"/>
  <c r="BF74" i="125"/>
  <c r="BF73" i="125" s="1"/>
  <c r="AW74" i="125"/>
  <c r="AW73" i="125" s="1"/>
  <c r="AV74" i="125"/>
  <c r="AU74" i="125"/>
  <c r="AR74" i="125"/>
  <c r="AR73" i="125" s="1"/>
  <c r="AQ74" i="125"/>
  <c r="AP74" i="125"/>
  <c r="AM74" i="125"/>
  <c r="AL74" i="125"/>
  <c r="AH74" i="125"/>
  <c r="AH73" i="125" s="1"/>
  <c r="AG74" i="125"/>
  <c r="AC74" i="125"/>
  <c r="AB74" i="125"/>
  <c r="X74" i="125"/>
  <c r="W74" i="125"/>
  <c r="BE72" i="125"/>
  <c r="DJ71" i="125"/>
  <c r="DK71" i="125" s="1"/>
  <c r="DI71" i="125"/>
  <c r="DE71" i="125"/>
  <c r="DD71" i="125"/>
  <c r="CZ71" i="125"/>
  <c r="CY71" i="125"/>
  <c r="CU71" i="125"/>
  <c r="CV71" i="125" s="1"/>
  <c r="CT71" i="125"/>
  <c r="CP71" i="125"/>
  <c r="CO71" i="125"/>
  <c r="CK71" i="125"/>
  <c r="CJ71" i="125"/>
  <c r="CF71" i="125"/>
  <c r="CG71" i="125" s="1"/>
  <c r="CE71" i="125"/>
  <c r="CA71" i="125"/>
  <c r="BZ71" i="125"/>
  <c r="BV71" i="125"/>
  <c r="BU71" i="125"/>
  <c r="BQ71" i="125"/>
  <c r="BP71" i="125"/>
  <c r="BL71" i="125"/>
  <c r="BK71" i="125"/>
  <c r="BG71" i="125"/>
  <c r="BH71" i="125" s="1"/>
  <c r="BF71" i="125"/>
  <c r="AW71" i="125"/>
  <c r="AX71" i="125" s="1"/>
  <c r="AV71" i="125"/>
  <c r="AU71" i="125"/>
  <c r="AR71" i="125"/>
  <c r="AQ71" i="125"/>
  <c r="AP71" i="125"/>
  <c r="AM71" i="125"/>
  <c r="AN71" i="125" s="1"/>
  <c r="AL71" i="125"/>
  <c r="AH71" i="125"/>
  <c r="AG71" i="125"/>
  <c r="AC71" i="125"/>
  <c r="AB71" i="125"/>
  <c r="X71" i="125"/>
  <c r="W71" i="125"/>
  <c r="S71" i="125"/>
  <c r="R71" i="125"/>
  <c r="DJ70" i="125"/>
  <c r="DK70" i="125" s="1"/>
  <c r="DI70" i="125"/>
  <c r="DE70" i="125"/>
  <c r="DD70" i="125"/>
  <c r="CZ70" i="125"/>
  <c r="CY70" i="125"/>
  <c r="CU70" i="125"/>
  <c r="CV70" i="125" s="1"/>
  <c r="CT70" i="125"/>
  <c r="CP70" i="125"/>
  <c r="CO70" i="125"/>
  <c r="CK70" i="125"/>
  <c r="CJ70" i="125"/>
  <c r="CL70" i="125" s="1"/>
  <c r="CF70" i="125"/>
  <c r="CG70" i="125" s="1"/>
  <c r="CE70" i="125"/>
  <c r="CA70" i="125"/>
  <c r="CB70" i="125" s="1"/>
  <c r="BZ70" i="125"/>
  <c r="BV70" i="125"/>
  <c r="BU70" i="125"/>
  <c r="BQ70" i="125"/>
  <c r="BP70" i="125"/>
  <c r="BL70" i="125"/>
  <c r="BK70" i="125"/>
  <c r="BG70" i="125"/>
  <c r="BF70" i="125"/>
  <c r="AW70" i="125"/>
  <c r="AX70" i="125" s="1"/>
  <c r="AV70" i="125"/>
  <c r="AU70" i="125"/>
  <c r="AR70" i="125"/>
  <c r="AQ70" i="125"/>
  <c r="AP70" i="125"/>
  <c r="AM70" i="125"/>
  <c r="AN70" i="125" s="1"/>
  <c r="AL70" i="125"/>
  <c r="AH70" i="125"/>
  <c r="AG70" i="125"/>
  <c r="AC70" i="125"/>
  <c r="AB70" i="125"/>
  <c r="X70" i="125"/>
  <c r="W70" i="125"/>
  <c r="S70" i="125"/>
  <c r="R70" i="125"/>
  <c r="DJ69" i="125"/>
  <c r="DI69" i="125"/>
  <c r="DE69" i="125"/>
  <c r="DD69" i="125"/>
  <c r="CZ69" i="125"/>
  <c r="DA69" i="125" s="1"/>
  <c r="CY69" i="125"/>
  <c r="CU69" i="125"/>
  <c r="CT69" i="125"/>
  <c r="CP69" i="125"/>
  <c r="CO69" i="125"/>
  <c r="CK69" i="125"/>
  <c r="CJ69" i="125"/>
  <c r="CF69" i="125"/>
  <c r="CE69" i="125"/>
  <c r="CA69" i="125"/>
  <c r="CB69" i="125" s="1"/>
  <c r="BZ69" i="125"/>
  <c r="BV69" i="125"/>
  <c r="BW69" i="125" s="1"/>
  <c r="BU69" i="125"/>
  <c r="BQ69" i="125"/>
  <c r="BP69" i="125"/>
  <c r="BL69" i="125"/>
  <c r="BK69" i="125"/>
  <c r="BG69" i="125"/>
  <c r="BH69" i="125" s="1"/>
  <c r="BF69" i="125"/>
  <c r="AW69" i="125"/>
  <c r="AV69" i="125"/>
  <c r="AU69" i="125"/>
  <c r="AR69" i="125"/>
  <c r="AQ69" i="125"/>
  <c r="AP69" i="125"/>
  <c r="AM69" i="125"/>
  <c r="AL69" i="125"/>
  <c r="AH69" i="125"/>
  <c r="AI69" i="125" s="1"/>
  <c r="AG69" i="125"/>
  <c r="AC69" i="125"/>
  <c r="AB69" i="125"/>
  <c r="X69" i="125"/>
  <c r="W69" i="125"/>
  <c r="S69" i="125"/>
  <c r="R69" i="125"/>
  <c r="DJ68" i="125"/>
  <c r="DK68" i="125" s="1"/>
  <c r="DI68" i="125"/>
  <c r="DE68" i="125"/>
  <c r="DD68" i="125"/>
  <c r="DF68" i="125" s="1"/>
  <c r="CZ68" i="125"/>
  <c r="CY68" i="125"/>
  <c r="CU68" i="125"/>
  <c r="CV68" i="125" s="1"/>
  <c r="CT68" i="125"/>
  <c r="CP68" i="125"/>
  <c r="CO68" i="125"/>
  <c r="CK68" i="125"/>
  <c r="CJ68" i="125"/>
  <c r="CF68" i="125"/>
  <c r="CG68" i="125" s="1"/>
  <c r="CE68" i="125"/>
  <c r="CA68" i="125"/>
  <c r="BZ68" i="125"/>
  <c r="BV68" i="125"/>
  <c r="BU68" i="125"/>
  <c r="BQ68" i="125"/>
  <c r="BP68" i="125"/>
  <c r="BL68" i="125"/>
  <c r="BK68" i="125"/>
  <c r="BG68" i="125"/>
  <c r="BF68" i="125"/>
  <c r="AW68" i="125"/>
  <c r="AX68" i="125" s="1"/>
  <c r="AV68" i="125"/>
  <c r="AU68" i="125"/>
  <c r="AR68" i="125"/>
  <c r="AQ68" i="125"/>
  <c r="AP68" i="125"/>
  <c r="AM68" i="125"/>
  <c r="AN68" i="125" s="1"/>
  <c r="AL68" i="125"/>
  <c r="AH68" i="125"/>
  <c r="AG68" i="125"/>
  <c r="AC68" i="125"/>
  <c r="AB68" i="125"/>
  <c r="X68" i="125"/>
  <c r="W68" i="125"/>
  <c r="S68" i="125"/>
  <c r="R68" i="125"/>
  <c r="DJ67" i="125"/>
  <c r="DI67" i="125"/>
  <c r="DE67" i="125"/>
  <c r="DD67" i="125"/>
  <c r="CZ67" i="125"/>
  <c r="CY67" i="125"/>
  <c r="CU67" i="125"/>
  <c r="CV67" i="125" s="1"/>
  <c r="CT67" i="125"/>
  <c r="CP67" i="125"/>
  <c r="CQ67" i="125" s="1"/>
  <c r="CO67" i="125"/>
  <c r="CK67" i="125"/>
  <c r="CJ67" i="125"/>
  <c r="CF67" i="125"/>
  <c r="CE67" i="125"/>
  <c r="CA67" i="125"/>
  <c r="BZ67" i="125"/>
  <c r="BV67" i="125"/>
  <c r="BU67" i="125"/>
  <c r="BQ67" i="125"/>
  <c r="BP67" i="125"/>
  <c r="BR67" i="125" s="1"/>
  <c r="BL67" i="125"/>
  <c r="BK67" i="125"/>
  <c r="BG67" i="125"/>
  <c r="BF67" i="125"/>
  <c r="AW67" i="125"/>
  <c r="AV67" i="125"/>
  <c r="AU67" i="125"/>
  <c r="AR67" i="125"/>
  <c r="AQ67" i="125"/>
  <c r="AP67" i="125"/>
  <c r="AM67" i="125"/>
  <c r="AL67" i="125"/>
  <c r="AH67" i="125"/>
  <c r="AI67" i="125" s="1"/>
  <c r="AG67" i="125"/>
  <c r="AC67" i="125"/>
  <c r="AB67" i="125"/>
  <c r="AD67" i="125" s="1"/>
  <c r="X67" i="125"/>
  <c r="W67" i="125"/>
  <c r="S67" i="125"/>
  <c r="R67" i="125"/>
  <c r="DJ66" i="125"/>
  <c r="DI66" i="125"/>
  <c r="DE66" i="125"/>
  <c r="DD66" i="125"/>
  <c r="CZ66" i="125"/>
  <c r="DA66" i="125" s="1"/>
  <c r="CY66" i="125"/>
  <c r="CU66" i="125"/>
  <c r="CT66" i="125"/>
  <c r="CP66" i="125"/>
  <c r="CQ66" i="125" s="1"/>
  <c r="CO66" i="125"/>
  <c r="CK66" i="125"/>
  <c r="CJ66" i="125"/>
  <c r="CF66" i="125"/>
  <c r="CE66" i="125"/>
  <c r="CA66" i="125"/>
  <c r="BZ66" i="125"/>
  <c r="BV66" i="125"/>
  <c r="BW66" i="125" s="1"/>
  <c r="BU66" i="125"/>
  <c r="BQ66" i="125"/>
  <c r="BP66" i="125"/>
  <c r="BL66" i="125"/>
  <c r="BK66" i="125"/>
  <c r="BG66" i="125"/>
  <c r="BF66" i="125"/>
  <c r="AW66" i="125"/>
  <c r="AV66" i="125"/>
  <c r="AU66" i="125"/>
  <c r="AR66" i="125"/>
  <c r="AQ66" i="125"/>
  <c r="AP66" i="125"/>
  <c r="AM66" i="125"/>
  <c r="AL66" i="125"/>
  <c r="AH66" i="125"/>
  <c r="AG66" i="125"/>
  <c r="AC66" i="125"/>
  <c r="AB66" i="125"/>
  <c r="X66" i="125"/>
  <c r="W66" i="125"/>
  <c r="S66" i="125"/>
  <c r="R66" i="125"/>
  <c r="DJ65" i="125"/>
  <c r="DK65" i="125" s="1"/>
  <c r="DI65" i="125"/>
  <c r="DE65" i="125"/>
  <c r="DD65" i="125"/>
  <c r="CZ65" i="125"/>
  <c r="CY65" i="125"/>
  <c r="CU65" i="125"/>
  <c r="CV65" i="125" s="1"/>
  <c r="CT65" i="125"/>
  <c r="CP65" i="125"/>
  <c r="CO65" i="125"/>
  <c r="CK65" i="125"/>
  <c r="CJ65" i="125"/>
  <c r="CF65" i="125"/>
  <c r="CG65" i="125" s="1"/>
  <c r="CE65" i="125"/>
  <c r="CA65" i="125"/>
  <c r="BZ65" i="125"/>
  <c r="BV65" i="125"/>
  <c r="BU65" i="125"/>
  <c r="BQ65" i="125"/>
  <c r="BP65" i="125"/>
  <c r="BL65" i="125"/>
  <c r="BK65" i="125"/>
  <c r="BG65" i="125"/>
  <c r="BF65" i="125"/>
  <c r="AW65" i="125"/>
  <c r="AX65" i="125" s="1"/>
  <c r="AV65" i="125"/>
  <c r="AU65" i="125"/>
  <c r="AR65" i="125"/>
  <c r="AQ65" i="125"/>
  <c r="AP65" i="125"/>
  <c r="AM65" i="125"/>
  <c r="AN65" i="125" s="1"/>
  <c r="AL65" i="125"/>
  <c r="AH65" i="125"/>
  <c r="AG65" i="125"/>
  <c r="AC65" i="125"/>
  <c r="AB65" i="125"/>
  <c r="X65" i="125"/>
  <c r="W65" i="125"/>
  <c r="R65" i="125"/>
  <c r="DJ64" i="125"/>
  <c r="DI64" i="125"/>
  <c r="DE64" i="125"/>
  <c r="DF64" i="125" s="1"/>
  <c r="DD64" i="125"/>
  <c r="CZ64" i="125"/>
  <c r="CY64" i="125"/>
  <c r="CU64" i="125"/>
  <c r="CT64" i="125"/>
  <c r="CP64" i="125"/>
  <c r="CO64" i="125"/>
  <c r="CK64" i="125"/>
  <c r="CJ64" i="125"/>
  <c r="CF64" i="125"/>
  <c r="CG64" i="125" s="1"/>
  <c r="CE64" i="125"/>
  <c r="CA64" i="125"/>
  <c r="CB64" i="125" s="1"/>
  <c r="BZ64" i="125"/>
  <c r="BV64" i="125"/>
  <c r="BU64" i="125"/>
  <c r="BQ64" i="125"/>
  <c r="BP64" i="125"/>
  <c r="BL64" i="125"/>
  <c r="BK64" i="125"/>
  <c r="BG64" i="125"/>
  <c r="BF64" i="125"/>
  <c r="AW64" i="125"/>
  <c r="AX64" i="125" s="1"/>
  <c r="AV64" i="125"/>
  <c r="AU64" i="125"/>
  <c r="AR64" i="125"/>
  <c r="AQ64" i="125"/>
  <c r="AP64" i="125"/>
  <c r="AM64" i="125"/>
  <c r="AN64" i="125" s="1"/>
  <c r="AL64" i="125"/>
  <c r="AH64" i="125"/>
  <c r="AG64" i="125"/>
  <c r="AC64" i="125"/>
  <c r="AB64" i="125"/>
  <c r="X64" i="125"/>
  <c r="W64" i="125"/>
  <c r="S64" i="125"/>
  <c r="R64" i="125"/>
  <c r="DJ63" i="125"/>
  <c r="DI63" i="125"/>
  <c r="DE63" i="125"/>
  <c r="DF63" i="125" s="1"/>
  <c r="DD63" i="125"/>
  <c r="CZ63" i="125"/>
  <c r="CY63" i="125"/>
  <c r="CU63" i="125"/>
  <c r="CT63" i="125"/>
  <c r="CP63" i="125"/>
  <c r="CO63" i="125"/>
  <c r="CK63" i="125"/>
  <c r="CL63" i="125" s="1"/>
  <c r="CJ63" i="125"/>
  <c r="CF63" i="125"/>
  <c r="CE63" i="125"/>
  <c r="CA63" i="125"/>
  <c r="BZ63" i="125"/>
  <c r="BV63" i="125"/>
  <c r="BW63" i="125" s="1"/>
  <c r="BU63" i="125"/>
  <c r="BQ63" i="125"/>
  <c r="BP63" i="125"/>
  <c r="BL63" i="125"/>
  <c r="BK63" i="125"/>
  <c r="BG63" i="125"/>
  <c r="BF63" i="125"/>
  <c r="AW63" i="125"/>
  <c r="AV63" i="125"/>
  <c r="AU63" i="125"/>
  <c r="AR63" i="125"/>
  <c r="AQ63" i="125"/>
  <c r="AP63" i="125"/>
  <c r="AM63" i="125"/>
  <c r="AL63" i="125"/>
  <c r="AH63" i="125"/>
  <c r="AG63" i="125"/>
  <c r="AC63" i="125"/>
  <c r="AB63" i="125"/>
  <c r="X63" i="125"/>
  <c r="Y63" i="125" s="1"/>
  <c r="W63" i="125"/>
  <c r="S63" i="125"/>
  <c r="R63" i="125"/>
  <c r="DJ62" i="125"/>
  <c r="DK62" i="125" s="1"/>
  <c r="DI62" i="125"/>
  <c r="DE62" i="125"/>
  <c r="DD62" i="125"/>
  <c r="CZ62" i="125"/>
  <c r="DA62" i="125" s="1"/>
  <c r="CY62" i="125"/>
  <c r="CU62" i="125"/>
  <c r="CT62" i="125"/>
  <c r="CP62" i="125"/>
  <c r="CO62" i="125"/>
  <c r="CK62" i="125"/>
  <c r="CL62" i="125" s="1"/>
  <c r="CJ62" i="125"/>
  <c r="CF62" i="125"/>
  <c r="CE62" i="125"/>
  <c r="CA62" i="125"/>
  <c r="BZ62" i="125"/>
  <c r="BV62" i="125"/>
  <c r="BW62" i="125" s="1"/>
  <c r="BU62" i="125"/>
  <c r="BQ62" i="125"/>
  <c r="BP62" i="125"/>
  <c r="BL62" i="125"/>
  <c r="BK62" i="125"/>
  <c r="BG62" i="125"/>
  <c r="BH62" i="125" s="1"/>
  <c r="BF62" i="125"/>
  <c r="AW62" i="125"/>
  <c r="AX62" i="125" s="1"/>
  <c r="AV62" i="125"/>
  <c r="AU62" i="125"/>
  <c r="AR62" i="125"/>
  <c r="AQ62" i="125"/>
  <c r="AP62" i="125"/>
  <c r="AM62" i="125"/>
  <c r="AN62" i="125" s="1"/>
  <c r="AL62" i="125"/>
  <c r="AH62" i="125"/>
  <c r="AG62" i="125"/>
  <c r="AC62" i="125"/>
  <c r="AB62" i="125"/>
  <c r="X62" i="125"/>
  <c r="W62" i="125"/>
  <c r="S62" i="125"/>
  <c r="R62" i="125"/>
  <c r="DJ61" i="125"/>
  <c r="DK61" i="125" s="1"/>
  <c r="DI61" i="125"/>
  <c r="DE61" i="125"/>
  <c r="DF61" i="125" s="1"/>
  <c r="DD61" i="125"/>
  <c r="CZ61" i="125"/>
  <c r="CY61" i="125"/>
  <c r="CU61" i="125"/>
  <c r="CT61" i="125"/>
  <c r="CP61" i="125"/>
  <c r="CO61" i="125"/>
  <c r="CK61" i="125"/>
  <c r="CJ61" i="125"/>
  <c r="CF61" i="125"/>
  <c r="CE61" i="125"/>
  <c r="CA61" i="125"/>
  <c r="BZ61" i="125"/>
  <c r="BV61" i="125"/>
  <c r="BU61" i="125"/>
  <c r="BQ61" i="125"/>
  <c r="BP61" i="125"/>
  <c r="BL61" i="125"/>
  <c r="BK61" i="125"/>
  <c r="BG61" i="125"/>
  <c r="BF61" i="125"/>
  <c r="AW61" i="125"/>
  <c r="AV61" i="125"/>
  <c r="AU61" i="125"/>
  <c r="AR61" i="125"/>
  <c r="AQ61" i="125"/>
  <c r="AP61" i="125"/>
  <c r="AM61" i="125"/>
  <c r="AL61" i="125"/>
  <c r="AH61" i="125"/>
  <c r="AI61" i="125" s="1"/>
  <c r="AG61" i="125"/>
  <c r="AC61" i="125"/>
  <c r="AB61" i="125"/>
  <c r="X61" i="125"/>
  <c r="W61" i="125"/>
  <c r="S61" i="125"/>
  <c r="R61" i="125"/>
  <c r="DJ60" i="125"/>
  <c r="DI60" i="125"/>
  <c r="DE60" i="125"/>
  <c r="DD60" i="125"/>
  <c r="CZ60" i="125"/>
  <c r="DA60" i="125" s="1"/>
  <c r="CY60" i="125"/>
  <c r="CU60" i="125"/>
  <c r="CT60" i="125"/>
  <c r="CP60" i="125"/>
  <c r="CQ60" i="125" s="1"/>
  <c r="CO60" i="125"/>
  <c r="CK60" i="125"/>
  <c r="CL60" i="125" s="1"/>
  <c r="CJ60" i="125"/>
  <c r="CF60" i="125"/>
  <c r="CE60" i="125"/>
  <c r="CA60" i="125"/>
  <c r="BZ60" i="125"/>
  <c r="BV60" i="125"/>
  <c r="BW60" i="125" s="1"/>
  <c r="BU60" i="125"/>
  <c r="BQ60" i="125"/>
  <c r="BP60" i="125"/>
  <c r="BL60" i="125"/>
  <c r="BK60" i="125"/>
  <c r="BG60" i="125"/>
  <c r="BH60" i="125" s="1"/>
  <c r="BF60" i="125"/>
  <c r="AW60" i="125"/>
  <c r="AV60" i="125"/>
  <c r="AU60" i="125"/>
  <c r="AR60" i="125"/>
  <c r="AQ60" i="125"/>
  <c r="AP60" i="125"/>
  <c r="AM60" i="125"/>
  <c r="AL60" i="125"/>
  <c r="AH60" i="125"/>
  <c r="AG60" i="125"/>
  <c r="AC60" i="125"/>
  <c r="AB60" i="125"/>
  <c r="X60" i="125"/>
  <c r="W60" i="125"/>
  <c r="S60" i="125"/>
  <c r="R60" i="125"/>
  <c r="DJ59" i="125"/>
  <c r="DK59" i="125" s="1"/>
  <c r="DI59" i="125"/>
  <c r="DE59" i="125"/>
  <c r="DD59" i="125"/>
  <c r="CZ59" i="125"/>
  <c r="CY59" i="125"/>
  <c r="CU59" i="125"/>
  <c r="CT59" i="125"/>
  <c r="CP59" i="125"/>
  <c r="CO59" i="125"/>
  <c r="CK59" i="125"/>
  <c r="CL59" i="125" s="1"/>
  <c r="CJ59" i="125"/>
  <c r="CF59" i="125"/>
  <c r="CG59" i="125" s="1"/>
  <c r="CE59" i="125"/>
  <c r="CA59" i="125"/>
  <c r="BZ59" i="125"/>
  <c r="BV59" i="125"/>
  <c r="BU59" i="125"/>
  <c r="BQ59" i="125"/>
  <c r="BP59" i="125"/>
  <c r="BL59" i="125"/>
  <c r="BK59" i="125"/>
  <c r="BG59" i="125"/>
  <c r="BF59" i="125"/>
  <c r="AW59" i="125"/>
  <c r="AX59" i="125" s="1"/>
  <c r="AV59" i="125"/>
  <c r="AU59" i="125"/>
  <c r="AR59" i="125"/>
  <c r="AQ59" i="125"/>
  <c r="AP59" i="125"/>
  <c r="AM59" i="125"/>
  <c r="AN59" i="125" s="1"/>
  <c r="AL59" i="125"/>
  <c r="AH59" i="125"/>
  <c r="AG59" i="125"/>
  <c r="AC59" i="125"/>
  <c r="AB59" i="125"/>
  <c r="X59" i="125"/>
  <c r="W59" i="125"/>
  <c r="S59" i="125"/>
  <c r="R59" i="125"/>
  <c r="DJ58" i="125"/>
  <c r="DK58" i="125" s="1"/>
  <c r="DI58" i="125"/>
  <c r="DE58" i="125"/>
  <c r="DD58" i="125"/>
  <c r="CZ58" i="125"/>
  <c r="CY58" i="125"/>
  <c r="DA58" i="125" s="1"/>
  <c r="CU58" i="125"/>
  <c r="CV58" i="125" s="1"/>
  <c r="CT58" i="125"/>
  <c r="CP58" i="125"/>
  <c r="CQ58" i="125" s="1"/>
  <c r="CO58" i="125"/>
  <c r="CK58" i="125"/>
  <c r="CJ58" i="125"/>
  <c r="CF58" i="125"/>
  <c r="CE58" i="125"/>
  <c r="CA58" i="125"/>
  <c r="BZ58" i="125"/>
  <c r="BV58" i="125"/>
  <c r="BU58" i="125"/>
  <c r="BQ58" i="125"/>
  <c r="BP58" i="125"/>
  <c r="BL58" i="125"/>
  <c r="BK58" i="125"/>
  <c r="BG58" i="125"/>
  <c r="BF58" i="125"/>
  <c r="AW58" i="125"/>
  <c r="AX58" i="125" s="1"/>
  <c r="AV58" i="125"/>
  <c r="AU58" i="125"/>
  <c r="AR58" i="125"/>
  <c r="AQ58" i="125"/>
  <c r="AP58" i="125"/>
  <c r="AM58" i="125"/>
  <c r="AL58" i="125"/>
  <c r="AH58" i="125"/>
  <c r="AI58" i="125" s="1"/>
  <c r="AG58" i="125"/>
  <c r="AC58" i="125"/>
  <c r="AB58" i="125"/>
  <c r="X58" i="125"/>
  <c r="W58" i="125"/>
  <c r="S58" i="125"/>
  <c r="R58" i="125"/>
  <c r="DJ57" i="125"/>
  <c r="DI57" i="125"/>
  <c r="DE57" i="125"/>
  <c r="DD57" i="125"/>
  <c r="CZ57" i="125"/>
  <c r="CY57" i="125"/>
  <c r="CU57" i="125"/>
  <c r="CT57" i="125"/>
  <c r="CP57" i="125"/>
  <c r="CO57" i="125"/>
  <c r="CK57" i="125"/>
  <c r="CL57" i="125" s="1"/>
  <c r="CJ57" i="125"/>
  <c r="CF57" i="125"/>
  <c r="CE57" i="125"/>
  <c r="CA57" i="125"/>
  <c r="CB57" i="125" s="1"/>
  <c r="BZ57" i="125"/>
  <c r="BV57" i="125"/>
  <c r="BU57" i="125"/>
  <c r="BQ57" i="125"/>
  <c r="BP57" i="125"/>
  <c r="BL57" i="125"/>
  <c r="BK57" i="125"/>
  <c r="BG57" i="125"/>
  <c r="BF57" i="125"/>
  <c r="AW57" i="125"/>
  <c r="AV57" i="125"/>
  <c r="AU57" i="125"/>
  <c r="AR57" i="125"/>
  <c r="AQ57" i="125"/>
  <c r="AP57" i="125"/>
  <c r="AM57" i="125"/>
  <c r="AL57" i="125"/>
  <c r="AH57" i="125"/>
  <c r="AI57" i="125" s="1"/>
  <c r="AG57" i="125"/>
  <c r="AC57" i="125"/>
  <c r="AB57" i="125"/>
  <c r="X57" i="125"/>
  <c r="W57" i="125"/>
  <c r="S57" i="125"/>
  <c r="R57" i="125"/>
  <c r="DJ56" i="125"/>
  <c r="DK56" i="125" s="1"/>
  <c r="DI56" i="125"/>
  <c r="DE56" i="125"/>
  <c r="DD56" i="125"/>
  <c r="CZ56" i="125"/>
  <c r="CY56" i="125"/>
  <c r="CU56" i="125"/>
  <c r="CV56" i="125" s="1"/>
  <c r="CT56" i="125"/>
  <c r="CP56" i="125"/>
  <c r="CO56" i="125"/>
  <c r="CK56" i="125"/>
  <c r="CJ56" i="125"/>
  <c r="CF56" i="125"/>
  <c r="CE56" i="125"/>
  <c r="CA56" i="125"/>
  <c r="BZ56" i="125"/>
  <c r="BV56" i="125"/>
  <c r="BW56" i="125" s="1"/>
  <c r="BU56" i="125"/>
  <c r="BQ56" i="125"/>
  <c r="BP56" i="125"/>
  <c r="BL56" i="125"/>
  <c r="BK56" i="125"/>
  <c r="BG56" i="125"/>
  <c r="BF56" i="125"/>
  <c r="AW56" i="125"/>
  <c r="AV56" i="125"/>
  <c r="AU56" i="125"/>
  <c r="AR56" i="125"/>
  <c r="AQ56" i="125"/>
  <c r="AP56" i="125"/>
  <c r="AM56" i="125"/>
  <c r="AL56" i="125"/>
  <c r="AH56" i="125"/>
  <c r="AG56" i="125"/>
  <c r="AC56" i="125"/>
  <c r="AB56" i="125"/>
  <c r="X56" i="125"/>
  <c r="W56" i="125"/>
  <c r="S56" i="125"/>
  <c r="R56" i="125"/>
  <c r="DJ55" i="125"/>
  <c r="DI55" i="125"/>
  <c r="DE55" i="125"/>
  <c r="DD55" i="125"/>
  <c r="CZ55" i="125"/>
  <c r="CY55" i="125"/>
  <c r="DA55" i="125" s="1"/>
  <c r="CX55" i="125"/>
  <c r="CU55" i="125"/>
  <c r="CT55" i="125"/>
  <c r="CV55" i="125" s="1"/>
  <c r="CP55" i="125"/>
  <c r="CO55" i="125"/>
  <c r="CK55" i="125"/>
  <c r="CJ55" i="125"/>
  <c r="CF55" i="125"/>
  <c r="CE55" i="125"/>
  <c r="CA55" i="125"/>
  <c r="BZ55" i="125"/>
  <c r="BV55" i="125"/>
  <c r="BU55" i="125"/>
  <c r="BQ55" i="125"/>
  <c r="BP55" i="125"/>
  <c r="BL55" i="125"/>
  <c r="BK55" i="125"/>
  <c r="BG55" i="125"/>
  <c r="BF55" i="125"/>
  <c r="AW55" i="125"/>
  <c r="AV55" i="125"/>
  <c r="AU55" i="125"/>
  <c r="AR55" i="125"/>
  <c r="AQ55" i="125"/>
  <c r="AP55" i="125"/>
  <c r="AM55" i="125"/>
  <c r="AL55" i="125"/>
  <c r="AN55" i="125" s="1"/>
  <c r="AH55" i="125"/>
  <c r="AG55" i="125"/>
  <c r="AC55" i="125"/>
  <c r="AB55" i="125"/>
  <c r="X55" i="125"/>
  <c r="W55" i="125"/>
  <c r="R55" i="125"/>
  <c r="BE53" i="125"/>
  <c r="S53" i="125"/>
  <c r="R53" i="125"/>
  <c r="DJ52" i="125"/>
  <c r="DI52" i="125"/>
  <c r="DE52" i="125"/>
  <c r="DD52" i="125"/>
  <c r="CZ52" i="125"/>
  <c r="CY52" i="125"/>
  <c r="CU52" i="125"/>
  <c r="CT52" i="125"/>
  <c r="CP52" i="125"/>
  <c r="CO52" i="125"/>
  <c r="CK52" i="125"/>
  <c r="CK50" i="125" s="1"/>
  <c r="CJ52" i="125"/>
  <c r="CF52" i="125"/>
  <c r="CE52" i="125"/>
  <c r="CG52" i="125" s="1"/>
  <c r="CA52" i="125"/>
  <c r="BZ52" i="125"/>
  <c r="BV52" i="125"/>
  <c r="BU52" i="125"/>
  <c r="BQ52" i="125"/>
  <c r="BP52" i="125"/>
  <c r="BL52" i="125"/>
  <c r="BK52" i="125"/>
  <c r="BG52" i="125"/>
  <c r="BF52" i="125"/>
  <c r="AW52" i="125"/>
  <c r="AV52" i="125"/>
  <c r="AR52" i="125"/>
  <c r="AQ52" i="125"/>
  <c r="AM52" i="125"/>
  <c r="AL52" i="125"/>
  <c r="AH52" i="125"/>
  <c r="AG52" i="125"/>
  <c r="AC52" i="125"/>
  <c r="AB52" i="125"/>
  <c r="X52" i="125"/>
  <c r="W52" i="125"/>
  <c r="S52" i="125"/>
  <c r="R52" i="125"/>
  <c r="DJ51" i="125"/>
  <c r="DI51" i="125"/>
  <c r="DE51" i="125"/>
  <c r="DD51" i="125"/>
  <c r="CZ51" i="125"/>
  <c r="CY51" i="125"/>
  <c r="CU51" i="125"/>
  <c r="CT51" i="125"/>
  <c r="CP51" i="125"/>
  <c r="CO51" i="125"/>
  <c r="CK51" i="125"/>
  <c r="CJ51" i="125"/>
  <c r="CL51" i="125" s="1"/>
  <c r="CF51" i="125"/>
  <c r="CE51" i="125"/>
  <c r="CA51" i="125"/>
  <c r="BZ51" i="125"/>
  <c r="BV51" i="125"/>
  <c r="BU51" i="125"/>
  <c r="BW51" i="125" s="1"/>
  <c r="BQ51" i="125"/>
  <c r="BP51" i="125"/>
  <c r="BL51" i="125"/>
  <c r="BL50" i="125" s="1"/>
  <c r="BK51" i="125"/>
  <c r="BG51" i="125"/>
  <c r="BF51" i="125"/>
  <c r="AW51" i="125"/>
  <c r="AV51" i="125"/>
  <c r="AR51" i="125"/>
  <c r="AQ51" i="125"/>
  <c r="AQ50" i="125" s="1"/>
  <c r="AM51" i="125"/>
  <c r="AL51" i="125"/>
  <c r="AH51" i="125"/>
  <c r="AG51" i="125"/>
  <c r="AC51" i="125"/>
  <c r="AB51" i="125"/>
  <c r="X51" i="125"/>
  <c r="W51" i="125"/>
  <c r="S51" i="125"/>
  <c r="R51" i="125"/>
  <c r="R50" i="125" s="1"/>
  <c r="BE49" i="125"/>
  <c r="DJ48" i="125"/>
  <c r="DK48" i="125" s="1"/>
  <c r="DI48" i="125"/>
  <c r="DE48" i="125"/>
  <c r="DF48" i="125" s="1"/>
  <c r="DD48" i="125"/>
  <c r="CZ48" i="125"/>
  <c r="CY48" i="125"/>
  <c r="DA48" i="125" s="1"/>
  <c r="CU48" i="125"/>
  <c r="CT48" i="125"/>
  <c r="CP48" i="125"/>
  <c r="CQ48" i="125" s="1"/>
  <c r="CO48" i="125"/>
  <c r="CK48" i="125"/>
  <c r="CJ48" i="125"/>
  <c r="CF48" i="125"/>
  <c r="CE48" i="125"/>
  <c r="CA48" i="125"/>
  <c r="CB48" i="125" s="1"/>
  <c r="BZ48" i="125"/>
  <c r="BV48" i="125"/>
  <c r="BU48" i="125"/>
  <c r="BQ48" i="125"/>
  <c r="BP48" i="125"/>
  <c r="BL48" i="125"/>
  <c r="BK48" i="125"/>
  <c r="BG48" i="125"/>
  <c r="BF48" i="125"/>
  <c r="AW48" i="125"/>
  <c r="AX48" i="125" s="1"/>
  <c r="AV48" i="125"/>
  <c r="AU48" i="125"/>
  <c r="AR48" i="125"/>
  <c r="AQ48" i="125"/>
  <c r="AP48" i="125"/>
  <c r="AM48" i="125"/>
  <c r="AN48" i="125" s="1"/>
  <c r="AL48" i="125"/>
  <c r="AH48" i="125"/>
  <c r="AG48" i="125"/>
  <c r="AC48" i="125"/>
  <c r="AB48" i="125"/>
  <c r="X48" i="125"/>
  <c r="W48" i="125"/>
  <c r="S48" i="125"/>
  <c r="R48" i="125"/>
  <c r="DJ47" i="125"/>
  <c r="DI47" i="125"/>
  <c r="DE47" i="125"/>
  <c r="DD47" i="125"/>
  <c r="CZ47" i="125"/>
  <c r="CY47" i="125"/>
  <c r="CU47" i="125"/>
  <c r="CT47" i="125"/>
  <c r="CP47" i="125"/>
  <c r="CQ47" i="125" s="1"/>
  <c r="CO47" i="125"/>
  <c r="CK47" i="125"/>
  <c r="CL47" i="125" s="1"/>
  <c r="CJ47" i="125"/>
  <c r="CF47" i="125"/>
  <c r="CE47" i="125"/>
  <c r="CA47" i="125"/>
  <c r="CB47" i="125" s="1"/>
  <c r="BZ47" i="125"/>
  <c r="BV47" i="125"/>
  <c r="BW47" i="125" s="1"/>
  <c r="BU47" i="125"/>
  <c r="BQ47" i="125"/>
  <c r="BP47" i="125"/>
  <c r="BL47" i="125"/>
  <c r="BK47" i="125"/>
  <c r="BG47" i="125"/>
  <c r="BF47" i="125"/>
  <c r="AW47" i="125"/>
  <c r="AV47" i="125"/>
  <c r="AU47" i="125"/>
  <c r="AR47" i="125"/>
  <c r="AQ47" i="125"/>
  <c r="AP47" i="125"/>
  <c r="AM47" i="125"/>
  <c r="AL47" i="125"/>
  <c r="AH47" i="125"/>
  <c r="AG47" i="125"/>
  <c r="AC47" i="125"/>
  <c r="AB47" i="125"/>
  <c r="X47" i="125"/>
  <c r="W47" i="125"/>
  <c r="S47" i="125"/>
  <c r="DJ46" i="125"/>
  <c r="DI46" i="125"/>
  <c r="DK46" i="125" s="1"/>
  <c r="DE46" i="125"/>
  <c r="DD46" i="125"/>
  <c r="CZ46" i="125"/>
  <c r="CY46" i="125"/>
  <c r="CU46" i="125"/>
  <c r="CT46" i="125"/>
  <c r="CP46" i="125"/>
  <c r="CO46" i="125"/>
  <c r="CK46" i="125"/>
  <c r="CJ46" i="125"/>
  <c r="CF46" i="125"/>
  <c r="CE46" i="125"/>
  <c r="CA46" i="125"/>
  <c r="BZ46" i="125"/>
  <c r="BV46" i="125"/>
  <c r="BU46" i="125"/>
  <c r="BQ46" i="125"/>
  <c r="BP46" i="125"/>
  <c r="BL46" i="125"/>
  <c r="BK46" i="125"/>
  <c r="BG46" i="125"/>
  <c r="BH46" i="125" s="1"/>
  <c r="BF46" i="125"/>
  <c r="AW46" i="125"/>
  <c r="AV46" i="125"/>
  <c r="AX46" i="125" s="1"/>
  <c r="AU46" i="125"/>
  <c r="AR46" i="125"/>
  <c r="AQ46" i="125"/>
  <c r="AP46" i="125"/>
  <c r="AM46" i="125"/>
  <c r="AL46" i="125"/>
  <c r="AH46" i="125"/>
  <c r="AG46" i="125"/>
  <c r="AC46" i="125"/>
  <c r="AB46" i="125"/>
  <c r="X46" i="125"/>
  <c r="W46" i="125"/>
  <c r="S46" i="125"/>
  <c r="DJ45" i="125"/>
  <c r="DI45" i="125"/>
  <c r="DE45" i="125"/>
  <c r="DD45" i="125"/>
  <c r="CZ45" i="125"/>
  <c r="CY45" i="125"/>
  <c r="CU45" i="125"/>
  <c r="CT45" i="125"/>
  <c r="CV45" i="125" s="1"/>
  <c r="CP45" i="125"/>
  <c r="CQ45" i="125" s="1"/>
  <c r="CO45" i="125"/>
  <c r="CK45" i="125"/>
  <c r="CJ45" i="125"/>
  <c r="CF45" i="125"/>
  <c r="CE45" i="125"/>
  <c r="CA45" i="125"/>
  <c r="BZ45" i="125"/>
  <c r="BV45" i="125"/>
  <c r="BU45" i="125"/>
  <c r="BQ45" i="125"/>
  <c r="BP45" i="125"/>
  <c r="BL45" i="125"/>
  <c r="BK45" i="125"/>
  <c r="BG45" i="125"/>
  <c r="BF45" i="125"/>
  <c r="AW45" i="125"/>
  <c r="AV45" i="125"/>
  <c r="AU45" i="125"/>
  <c r="AR45" i="125"/>
  <c r="AQ45" i="125"/>
  <c r="AP45" i="125"/>
  <c r="AM45" i="125"/>
  <c r="AL45" i="125"/>
  <c r="AH45" i="125"/>
  <c r="AG45" i="125"/>
  <c r="AC45" i="125"/>
  <c r="AD45" i="125" s="1"/>
  <c r="AB45" i="125"/>
  <c r="X45" i="125"/>
  <c r="W45" i="125"/>
  <c r="S45" i="125"/>
  <c r="R45" i="125"/>
  <c r="DJ44" i="125"/>
  <c r="DI44" i="125"/>
  <c r="DE44" i="125"/>
  <c r="DD44" i="125"/>
  <c r="CZ44" i="125"/>
  <c r="CY44" i="125"/>
  <c r="CU44" i="125"/>
  <c r="CT44" i="125"/>
  <c r="CP44" i="125"/>
  <c r="CO44" i="125"/>
  <c r="CK44" i="125"/>
  <c r="CJ44" i="125"/>
  <c r="CF44" i="125"/>
  <c r="CE44" i="125"/>
  <c r="CA44" i="125"/>
  <c r="BZ44" i="125"/>
  <c r="CB44" i="125" s="1"/>
  <c r="BV44" i="125"/>
  <c r="BW44" i="125" s="1"/>
  <c r="BU44" i="125"/>
  <c r="BQ44" i="125"/>
  <c r="BP44" i="125"/>
  <c r="BL44" i="125"/>
  <c r="BK44" i="125"/>
  <c r="BG44" i="125"/>
  <c r="BF44" i="125"/>
  <c r="AW44" i="125"/>
  <c r="AV44" i="125"/>
  <c r="AU44" i="125"/>
  <c r="AR44" i="125"/>
  <c r="AQ44" i="125"/>
  <c r="AP44" i="125"/>
  <c r="AM44" i="125"/>
  <c r="AL44" i="125"/>
  <c r="AH44" i="125"/>
  <c r="AG44" i="125"/>
  <c r="AC44" i="125"/>
  <c r="AD44" i="125" s="1"/>
  <c r="AB44" i="125"/>
  <c r="X44" i="125"/>
  <c r="W44" i="125"/>
  <c r="S44" i="125"/>
  <c r="R44" i="125"/>
  <c r="DJ43" i="125"/>
  <c r="DK43" i="125" s="1"/>
  <c r="DI43" i="125"/>
  <c r="DE43" i="125"/>
  <c r="DF43" i="125" s="1"/>
  <c r="DD43" i="125"/>
  <c r="CZ43" i="125"/>
  <c r="CY43" i="125"/>
  <c r="CU43" i="125"/>
  <c r="CT43" i="125"/>
  <c r="CP43" i="125"/>
  <c r="CQ43" i="125" s="1"/>
  <c r="CO43" i="125"/>
  <c r="CK43" i="125"/>
  <c r="CJ43" i="125"/>
  <c r="CF43" i="125"/>
  <c r="CG43" i="125" s="1"/>
  <c r="CE43" i="125"/>
  <c r="CA43" i="125"/>
  <c r="BZ43" i="125"/>
  <c r="BV43" i="125"/>
  <c r="BU43" i="125"/>
  <c r="BQ43" i="125"/>
  <c r="BP43" i="125"/>
  <c r="BL43" i="125"/>
  <c r="BK43" i="125"/>
  <c r="BG43" i="125"/>
  <c r="BF43" i="125"/>
  <c r="AW43" i="125"/>
  <c r="AX43" i="125" s="1"/>
  <c r="AV43" i="125"/>
  <c r="AU43" i="125"/>
  <c r="AR43" i="125"/>
  <c r="AQ43" i="125"/>
  <c r="AP43" i="125"/>
  <c r="AM43" i="125"/>
  <c r="AL43" i="125"/>
  <c r="AH43" i="125"/>
  <c r="AI43" i="125" s="1"/>
  <c r="AG43" i="125"/>
  <c r="AC43" i="125"/>
  <c r="AB43" i="125"/>
  <c r="X43" i="125"/>
  <c r="W43" i="125"/>
  <c r="S43" i="125"/>
  <c r="R43" i="125"/>
  <c r="DJ42" i="125"/>
  <c r="DI42" i="125"/>
  <c r="DE42" i="125"/>
  <c r="DE41" i="125" s="1"/>
  <c r="DD42" i="125"/>
  <c r="CZ42" i="125"/>
  <c r="DA42" i="125" s="1"/>
  <c r="CY42" i="125"/>
  <c r="CU42" i="125"/>
  <c r="CT42" i="125"/>
  <c r="CV42" i="125" s="1"/>
  <c r="CP42" i="125"/>
  <c r="CQ42" i="125" s="1"/>
  <c r="CO42" i="125"/>
  <c r="CK42" i="125"/>
  <c r="CJ42" i="125"/>
  <c r="CF42" i="125"/>
  <c r="CE42" i="125"/>
  <c r="CA42" i="125"/>
  <c r="CA41" i="125" s="1"/>
  <c r="BZ42" i="125"/>
  <c r="BV42" i="125"/>
  <c r="BW42" i="125" s="1"/>
  <c r="BU42" i="125"/>
  <c r="BQ42" i="125"/>
  <c r="BP42" i="125"/>
  <c r="BL42" i="125"/>
  <c r="BK42" i="125"/>
  <c r="BG42" i="125"/>
  <c r="BF42" i="125"/>
  <c r="AW42" i="125"/>
  <c r="AV42" i="125"/>
  <c r="AU42" i="125"/>
  <c r="AR42" i="125"/>
  <c r="AQ42" i="125"/>
  <c r="AS42" i="125" s="1"/>
  <c r="AP42" i="125"/>
  <c r="AM42" i="125"/>
  <c r="AL42" i="125"/>
  <c r="AN42" i="125" s="1"/>
  <c r="AH42" i="125"/>
  <c r="AH41" i="125" s="1"/>
  <c r="AG42" i="125"/>
  <c r="AC42" i="125"/>
  <c r="AB42" i="125"/>
  <c r="X42" i="125"/>
  <c r="W42" i="125"/>
  <c r="S42" i="125"/>
  <c r="R42" i="125"/>
  <c r="BE40" i="125"/>
  <c r="BE37" i="125"/>
  <c r="DJ36" i="125"/>
  <c r="DI36" i="125"/>
  <c r="DE36" i="125"/>
  <c r="DE35" i="125" s="1"/>
  <c r="DD36" i="125"/>
  <c r="CZ36" i="125"/>
  <c r="CZ35" i="125" s="1"/>
  <c r="CY36" i="125"/>
  <c r="CU36" i="125"/>
  <c r="CT36" i="125"/>
  <c r="CP36" i="125"/>
  <c r="CP35" i="125" s="1"/>
  <c r="CO36" i="125"/>
  <c r="CK36" i="125"/>
  <c r="CK35" i="125" s="1"/>
  <c r="CJ36" i="125"/>
  <c r="CF36" i="125"/>
  <c r="CE36" i="125"/>
  <c r="CG36" i="125" s="1"/>
  <c r="CA36" i="125"/>
  <c r="CA35" i="125" s="1"/>
  <c r="BZ36" i="125"/>
  <c r="BV36" i="125"/>
  <c r="BW36" i="125" s="1"/>
  <c r="BW35" i="125" s="1"/>
  <c r="BU36" i="125"/>
  <c r="BQ36" i="125"/>
  <c r="BQ35" i="125" s="1"/>
  <c r="BP36" i="125"/>
  <c r="BP35" i="125" s="1"/>
  <c r="BL36" i="125"/>
  <c r="BK36" i="125"/>
  <c r="BG36" i="125"/>
  <c r="BF36" i="125"/>
  <c r="AW36" i="125"/>
  <c r="AV36" i="125"/>
  <c r="AV35" i="125" s="1"/>
  <c r="AR36" i="125"/>
  <c r="AR35" i="125" s="1"/>
  <c r="AQ36" i="125"/>
  <c r="AH36" i="125"/>
  <c r="AG36" i="125"/>
  <c r="AG35" i="125" s="1"/>
  <c r="AC36" i="125"/>
  <c r="AD36" i="125" s="1"/>
  <c r="AD35" i="125" s="1"/>
  <c r="AB36" i="125"/>
  <c r="X36" i="125"/>
  <c r="W36" i="125"/>
  <c r="BE34" i="125"/>
  <c r="DJ33" i="125"/>
  <c r="DI33" i="125"/>
  <c r="DE33" i="125"/>
  <c r="DD33" i="125"/>
  <c r="DF33" i="125" s="1"/>
  <c r="CZ33" i="125"/>
  <c r="CY33" i="125"/>
  <c r="CU33" i="125"/>
  <c r="CT33" i="125"/>
  <c r="CP33" i="125"/>
  <c r="CO33" i="125"/>
  <c r="CK33" i="125"/>
  <c r="CJ33" i="125"/>
  <c r="CF33" i="125"/>
  <c r="CE33" i="125"/>
  <c r="CA33" i="125"/>
  <c r="BZ33" i="125"/>
  <c r="CB33" i="125" s="1"/>
  <c r="BV33" i="125"/>
  <c r="BU33" i="125"/>
  <c r="BQ33" i="125"/>
  <c r="BP33" i="125"/>
  <c r="BL33" i="125"/>
  <c r="BK33" i="125"/>
  <c r="BG33" i="125"/>
  <c r="BF33" i="125"/>
  <c r="AW33" i="125"/>
  <c r="AV33" i="125"/>
  <c r="AU33" i="125"/>
  <c r="AR33" i="125"/>
  <c r="AQ33" i="125"/>
  <c r="AP33" i="125"/>
  <c r="AM33" i="125"/>
  <c r="AL33" i="125"/>
  <c r="AH33" i="125"/>
  <c r="AG33" i="125"/>
  <c r="AC33" i="125"/>
  <c r="AB33" i="125"/>
  <c r="X33" i="125"/>
  <c r="W33" i="125"/>
  <c r="S33" i="125"/>
  <c r="R33" i="125"/>
  <c r="DJ32" i="125"/>
  <c r="DI32" i="125"/>
  <c r="DE32" i="125"/>
  <c r="DD32" i="125"/>
  <c r="CZ32" i="125"/>
  <c r="CY32" i="125"/>
  <c r="CU32" i="125"/>
  <c r="CT32" i="125"/>
  <c r="CP32" i="125"/>
  <c r="CO32" i="125"/>
  <c r="CK32" i="125"/>
  <c r="CJ32" i="125"/>
  <c r="CL32" i="125" s="1"/>
  <c r="CF32" i="125"/>
  <c r="CE32" i="125"/>
  <c r="CA32" i="125"/>
  <c r="BZ32" i="125"/>
  <c r="BV32" i="125"/>
  <c r="BU32" i="125"/>
  <c r="BQ32" i="125"/>
  <c r="BP32" i="125"/>
  <c r="BL32" i="125"/>
  <c r="BK32" i="125"/>
  <c r="BG32" i="125"/>
  <c r="BF32" i="125"/>
  <c r="BH32" i="125" s="1"/>
  <c r="AW32" i="125"/>
  <c r="AV32" i="125"/>
  <c r="AU32" i="125"/>
  <c r="AP32" i="125"/>
  <c r="AM32" i="125"/>
  <c r="AL32" i="125"/>
  <c r="AH32" i="125"/>
  <c r="AG32" i="125"/>
  <c r="AC32" i="125"/>
  <c r="AB32" i="125"/>
  <c r="AD32" i="125" s="1"/>
  <c r="S32" i="125"/>
  <c r="DJ31" i="125"/>
  <c r="DI31" i="125"/>
  <c r="DE31" i="125"/>
  <c r="DD31" i="125"/>
  <c r="CZ31" i="125"/>
  <c r="CY31" i="125"/>
  <c r="CU31" i="125"/>
  <c r="CT31" i="125"/>
  <c r="CV31" i="125" s="1"/>
  <c r="CP31" i="125"/>
  <c r="CO31" i="125"/>
  <c r="CK31" i="125"/>
  <c r="CJ31" i="125"/>
  <c r="CF31" i="125"/>
  <c r="CE31" i="125"/>
  <c r="CG31" i="125" s="1"/>
  <c r="CA31" i="125"/>
  <c r="BZ31" i="125"/>
  <c r="BV31" i="125"/>
  <c r="BW31" i="125" s="1"/>
  <c r="BU31" i="125"/>
  <c r="BQ31" i="125"/>
  <c r="BP31" i="125"/>
  <c r="BL31" i="125"/>
  <c r="BK31" i="125"/>
  <c r="BG31" i="125"/>
  <c r="BF31" i="125"/>
  <c r="AW31" i="125"/>
  <c r="AV31" i="125"/>
  <c r="AU31" i="125"/>
  <c r="AR31" i="125"/>
  <c r="AQ31" i="125"/>
  <c r="AP31" i="125"/>
  <c r="AM31" i="125"/>
  <c r="AL31" i="125"/>
  <c r="AH31" i="125"/>
  <c r="AG31" i="125"/>
  <c r="AC31" i="125"/>
  <c r="AB31" i="125"/>
  <c r="X31" i="125"/>
  <c r="W31" i="125"/>
  <c r="S31" i="125"/>
  <c r="R31" i="125"/>
  <c r="T31" i="125" s="1"/>
  <c r="DJ30" i="125"/>
  <c r="DK30" i="125" s="1"/>
  <c r="DI30" i="125"/>
  <c r="DE30" i="125"/>
  <c r="DD30" i="125"/>
  <c r="DF30" i="125" s="1"/>
  <c r="CZ30" i="125"/>
  <c r="CY30" i="125"/>
  <c r="CU30" i="125"/>
  <c r="CT30" i="125"/>
  <c r="CP30" i="125"/>
  <c r="CO30" i="125"/>
  <c r="CK30" i="125"/>
  <c r="CJ30" i="125"/>
  <c r="CF30" i="125"/>
  <c r="CE30" i="125"/>
  <c r="CA30" i="125"/>
  <c r="BZ30" i="125"/>
  <c r="CB30" i="125" s="1"/>
  <c r="BV30" i="125"/>
  <c r="BU30" i="125"/>
  <c r="BQ30" i="125"/>
  <c r="BP30" i="125"/>
  <c r="BL30" i="125"/>
  <c r="BK30" i="125"/>
  <c r="BG30" i="125"/>
  <c r="BF30" i="125"/>
  <c r="AW30" i="125"/>
  <c r="AV30" i="125"/>
  <c r="AU30" i="125"/>
  <c r="AR30" i="125"/>
  <c r="AQ30" i="125"/>
  <c r="AP30" i="125"/>
  <c r="AM30" i="125"/>
  <c r="AL30" i="125"/>
  <c r="AH30" i="125"/>
  <c r="AG30" i="125"/>
  <c r="AC30" i="125"/>
  <c r="AB30" i="125"/>
  <c r="X30" i="125"/>
  <c r="W30" i="125"/>
  <c r="S30" i="125"/>
  <c r="R30" i="125"/>
  <c r="DJ29" i="125"/>
  <c r="DI29" i="125"/>
  <c r="DE29" i="125"/>
  <c r="DD29" i="125"/>
  <c r="CZ29" i="125"/>
  <c r="CY29" i="125"/>
  <c r="CU29" i="125"/>
  <c r="CT29" i="125"/>
  <c r="CP29" i="125"/>
  <c r="CO29" i="125"/>
  <c r="CK29" i="125"/>
  <c r="CJ29" i="125"/>
  <c r="CL29" i="125" s="1"/>
  <c r="CF29" i="125"/>
  <c r="CE29" i="125"/>
  <c r="CA29" i="125"/>
  <c r="BZ29" i="125"/>
  <c r="BV29" i="125"/>
  <c r="BU29" i="125"/>
  <c r="BQ29" i="125"/>
  <c r="BP29" i="125"/>
  <c r="BR29" i="125" s="1"/>
  <c r="BL29" i="125"/>
  <c r="BK29" i="125"/>
  <c r="BG29" i="125"/>
  <c r="BF29" i="125"/>
  <c r="BH29" i="125" s="1"/>
  <c r="AW29" i="125"/>
  <c r="AV29" i="125"/>
  <c r="AU29" i="125"/>
  <c r="AR29" i="125"/>
  <c r="AP29" i="125"/>
  <c r="AM29" i="125"/>
  <c r="AL29" i="125"/>
  <c r="AH29" i="125"/>
  <c r="AG29" i="125"/>
  <c r="AC29" i="125"/>
  <c r="AB29" i="125"/>
  <c r="AD29" i="125" s="1"/>
  <c r="X29" i="125"/>
  <c r="W29" i="125"/>
  <c r="S29" i="125"/>
  <c r="R29" i="125"/>
  <c r="DJ28" i="125"/>
  <c r="DI28" i="125"/>
  <c r="DE28" i="125"/>
  <c r="DD28" i="125"/>
  <c r="CZ28" i="125"/>
  <c r="CY28" i="125"/>
  <c r="CX28" i="125"/>
  <c r="CU28" i="125"/>
  <c r="CT28" i="125"/>
  <c r="CP28" i="125"/>
  <c r="CO28" i="125"/>
  <c r="CK28" i="125"/>
  <c r="CL28" i="125" s="1"/>
  <c r="CJ28" i="125"/>
  <c r="CF28" i="125"/>
  <c r="CE28" i="125"/>
  <c r="CA28" i="125"/>
  <c r="BZ28" i="125"/>
  <c r="CB28" i="125" s="1"/>
  <c r="BV28" i="125"/>
  <c r="BW28" i="125" s="1"/>
  <c r="BU28" i="125"/>
  <c r="BQ28" i="125"/>
  <c r="BP28" i="125"/>
  <c r="BL28" i="125"/>
  <c r="BK28" i="125"/>
  <c r="BG28" i="125"/>
  <c r="AW28" i="125"/>
  <c r="AV28" i="125"/>
  <c r="AU28" i="125"/>
  <c r="AP28" i="125"/>
  <c r="AM28" i="125"/>
  <c r="AH28" i="125"/>
  <c r="AC28" i="125"/>
  <c r="DJ27" i="125"/>
  <c r="DI27" i="125"/>
  <c r="DE27" i="125"/>
  <c r="DD27" i="125"/>
  <c r="CZ27" i="125"/>
  <c r="CY27" i="125"/>
  <c r="CX27" i="125"/>
  <c r="CU27" i="125"/>
  <c r="CT27" i="125"/>
  <c r="CP27" i="125"/>
  <c r="CO27" i="125"/>
  <c r="CQ27" i="125" s="1"/>
  <c r="CK27" i="125"/>
  <c r="CJ27" i="125"/>
  <c r="CF27" i="125"/>
  <c r="CE27" i="125"/>
  <c r="CA27" i="125"/>
  <c r="BZ27" i="125"/>
  <c r="BV27" i="125"/>
  <c r="BU27" i="125"/>
  <c r="BQ27" i="125"/>
  <c r="BP27" i="125"/>
  <c r="BL27" i="125"/>
  <c r="BK27" i="125"/>
  <c r="BG27" i="125"/>
  <c r="BF27" i="125"/>
  <c r="AW27" i="125"/>
  <c r="AV27" i="125"/>
  <c r="AU27" i="125"/>
  <c r="AR27" i="125"/>
  <c r="AP27" i="125"/>
  <c r="AM27" i="125"/>
  <c r="AL27" i="125"/>
  <c r="AH27" i="125"/>
  <c r="AG27" i="125"/>
  <c r="AC27" i="125"/>
  <c r="X27" i="125"/>
  <c r="S27" i="125"/>
  <c r="R27" i="125"/>
  <c r="DJ26" i="125"/>
  <c r="DI26" i="125"/>
  <c r="DE26" i="125"/>
  <c r="DD26" i="125"/>
  <c r="DF26" i="125" s="1"/>
  <c r="CZ26" i="125"/>
  <c r="CY26" i="125"/>
  <c r="CU26" i="125"/>
  <c r="CT26" i="125"/>
  <c r="CP26" i="125"/>
  <c r="CO26" i="125"/>
  <c r="CK26" i="125"/>
  <c r="CJ26" i="125"/>
  <c r="CF26" i="125"/>
  <c r="CE26" i="125"/>
  <c r="CA26" i="125"/>
  <c r="BZ26" i="125"/>
  <c r="BV26" i="125"/>
  <c r="BU26" i="125"/>
  <c r="BW26" i="125" s="1"/>
  <c r="BQ26" i="125"/>
  <c r="BP26" i="125"/>
  <c r="BL26" i="125"/>
  <c r="BK26" i="125"/>
  <c r="BG26" i="125"/>
  <c r="BF26" i="125"/>
  <c r="AW26" i="125"/>
  <c r="AV26" i="125"/>
  <c r="AU26" i="125"/>
  <c r="AR26" i="125"/>
  <c r="AS26" i="125" s="1"/>
  <c r="AQ26" i="125"/>
  <c r="AP26" i="125"/>
  <c r="AM26" i="125"/>
  <c r="AL26" i="125"/>
  <c r="AH26" i="125"/>
  <c r="AG26" i="125"/>
  <c r="AC26" i="125"/>
  <c r="AB26" i="125"/>
  <c r="X26" i="125"/>
  <c r="W26" i="125"/>
  <c r="S26" i="125"/>
  <c r="R26" i="125"/>
  <c r="DJ25" i="125"/>
  <c r="DI25" i="125"/>
  <c r="DK25" i="125" s="1"/>
  <c r="DE25" i="125"/>
  <c r="DD25" i="125"/>
  <c r="CZ25" i="125"/>
  <c r="CY25" i="125"/>
  <c r="CU25" i="125"/>
  <c r="CT25" i="125"/>
  <c r="CP25" i="125"/>
  <c r="CO25" i="125"/>
  <c r="CK25" i="125"/>
  <c r="CJ25" i="125"/>
  <c r="CF25" i="125"/>
  <c r="CE25" i="125"/>
  <c r="CA25" i="125"/>
  <c r="BZ25" i="125"/>
  <c r="BV25" i="125"/>
  <c r="BU25" i="125"/>
  <c r="BQ25" i="125"/>
  <c r="BP25" i="125"/>
  <c r="BR25" i="125" s="1"/>
  <c r="BL25" i="125"/>
  <c r="BK25" i="125"/>
  <c r="BG25" i="125"/>
  <c r="BF25" i="125"/>
  <c r="AW25" i="125"/>
  <c r="AV25" i="125"/>
  <c r="AX25" i="125" s="1"/>
  <c r="AU25" i="125"/>
  <c r="AR25" i="125"/>
  <c r="AP25" i="125"/>
  <c r="AM25" i="125"/>
  <c r="AL25" i="125"/>
  <c r="AH25" i="125"/>
  <c r="AG25" i="125"/>
  <c r="AC25" i="125"/>
  <c r="AB25" i="125"/>
  <c r="X25" i="125"/>
  <c r="W25" i="125"/>
  <c r="S25" i="125"/>
  <c r="R25" i="125"/>
  <c r="DJ24" i="125"/>
  <c r="DI24" i="125"/>
  <c r="DE24" i="125"/>
  <c r="DD24" i="125"/>
  <c r="DF24" i="125" s="1"/>
  <c r="CZ24" i="125"/>
  <c r="CY24" i="125"/>
  <c r="CU24" i="125"/>
  <c r="CT24" i="125"/>
  <c r="CP24" i="125"/>
  <c r="CO24" i="125"/>
  <c r="CK24" i="125"/>
  <c r="CJ24" i="125"/>
  <c r="CF24" i="125"/>
  <c r="CE24" i="125"/>
  <c r="CA24" i="125"/>
  <c r="BZ24" i="125"/>
  <c r="CB24" i="125" s="1"/>
  <c r="BV24" i="125"/>
  <c r="BU24" i="125"/>
  <c r="BQ24" i="125"/>
  <c r="BP24" i="125"/>
  <c r="BL24" i="125"/>
  <c r="BK24" i="125"/>
  <c r="BG24" i="125"/>
  <c r="BF24" i="125"/>
  <c r="AW24" i="125"/>
  <c r="AV24" i="125"/>
  <c r="AU24" i="125"/>
  <c r="AR24" i="125"/>
  <c r="AQ24" i="125"/>
  <c r="AP24" i="125"/>
  <c r="AM24" i="125"/>
  <c r="AL24" i="125"/>
  <c r="AH24" i="125"/>
  <c r="AG24" i="125"/>
  <c r="AC24" i="125"/>
  <c r="AB24" i="125"/>
  <c r="X24" i="125"/>
  <c r="W24" i="125"/>
  <c r="S24" i="125"/>
  <c r="R24" i="125"/>
  <c r="DJ23" i="125"/>
  <c r="DI23" i="125"/>
  <c r="DE23" i="125"/>
  <c r="DD23" i="125"/>
  <c r="CZ23" i="125"/>
  <c r="CY23" i="125"/>
  <c r="CU23" i="125"/>
  <c r="CT23" i="125"/>
  <c r="CP23" i="125"/>
  <c r="CO23" i="125"/>
  <c r="CK23" i="125"/>
  <c r="CJ23" i="125"/>
  <c r="CL23" i="125" s="1"/>
  <c r="CF23" i="125"/>
  <c r="CE23" i="125"/>
  <c r="CA23" i="125"/>
  <c r="BZ23" i="125"/>
  <c r="BV23" i="125"/>
  <c r="BU23" i="125"/>
  <c r="BQ23" i="125"/>
  <c r="BP23" i="125"/>
  <c r="BL23" i="125"/>
  <c r="BK23" i="125"/>
  <c r="BG23" i="125"/>
  <c r="BF23" i="125"/>
  <c r="AW23" i="125"/>
  <c r="AV23" i="125"/>
  <c r="AU23" i="125"/>
  <c r="AR23" i="125"/>
  <c r="AQ23" i="125"/>
  <c r="AP23" i="125"/>
  <c r="AM23" i="125"/>
  <c r="AL23" i="125"/>
  <c r="AH23" i="125"/>
  <c r="AG23" i="125"/>
  <c r="AC23" i="125"/>
  <c r="AB23" i="125"/>
  <c r="X23" i="125"/>
  <c r="W23" i="125"/>
  <c r="S23" i="125"/>
  <c r="R23" i="125"/>
  <c r="DJ22" i="125"/>
  <c r="DI22" i="125"/>
  <c r="DE22" i="125"/>
  <c r="DD22" i="125"/>
  <c r="CZ22" i="125"/>
  <c r="CY22" i="125"/>
  <c r="CU22" i="125"/>
  <c r="CT22" i="125"/>
  <c r="CP22" i="125"/>
  <c r="CO22" i="125"/>
  <c r="CK22" i="125"/>
  <c r="CJ22" i="125"/>
  <c r="CF22" i="125"/>
  <c r="CE22" i="125"/>
  <c r="CG22" i="125" s="1"/>
  <c r="CA22" i="125"/>
  <c r="BZ22" i="125"/>
  <c r="BV22" i="125"/>
  <c r="BU22" i="125"/>
  <c r="BQ22" i="125"/>
  <c r="BP22" i="125"/>
  <c r="BL22" i="125"/>
  <c r="BK22" i="125"/>
  <c r="BG22" i="125"/>
  <c r="BF22" i="125"/>
  <c r="AW22" i="125"/>
  <c r="AV22" i="125"/>
  <c r="AU22" i="125"/>
  <c r="AR22" i="125"/>
  <c r="AQ22" i="125"/>
  <c r="AP22" i="125"/>
  <c r="AM22" i="125"/>
  <c r="AL22" i="125"/>
  <c r="AH22" i="125"/>
  <c r="AG22" i="125"/>
  <c r="AC22" i="125"/>
  <c r="AB22" i="125"/>
  <c r="X22" i="125"/>
  <c r="W22" i="125"/>
  <c r="S22" i="125"/>
  <c r="R22" i="125"/>
  <c r="DJ21" i="125"/>
  <c r="DI21" i="125"/>
  <c r="DE21" i="125"/>
  <c r="DD21" i="125"/>
  <c r="CZ21" i="125"/>
  <c r="CY21" i="125"/>
  <c r="CU21" i="125"/>
  <c r="CT21" i="125"/>
  <c r="CP21" i="125"/>
  <c r="CO21" i="125"/>
  <c r="CK21" i="125"/>
  <c r="CJ21" i="125"/>
  <c r="CF21" i="125"/>
  <c r="CE21" i="125"/>
  <c r="CA21" i="125"/>
  <c r="BZ21" i="125"/>
  <c r="BV21" i="125"/>
  <c r="BU21" i="125"/>
  <c r="BQ21" i="125"/>
  <c r="BP21" i="125"/>
  <c r="BL21" i="125"/>
  <c r="BK21" i="125"/>
  <c r="BG21" i="125"/>
  <c r="BF21" i="125"/>
  <c r="AW21" i="125"/>
  <c r="AV21" i="125"/>
  <c r="AU21" i="125"/>
  <c r="AR21" i="125"/>
  <c r="AQ21" i="125"/>
  <c r="AP21" i="125"/>
  <c r="AM21" i="125"/>
  <c r="AL21" i="125"/>
  <c r="AH21" i="125"/>
  <c r="AG21" i="125"/>
  <c r="AC21" i="125"/>
  <c r="AB21" i="125"/>
  <c r="X21" i="125"/>
  <c r="W21" i="125"/>
  <c r="S21" i="125"/>
  <c r="R21" i="125"/>
  <c r="DJ20" i="125"/>
  <c r="DI20" i="125"/>
  <c r="DE20" i="125"/>
  <c r="DD20" i="125"/>
  <c r="CZ20" i="125"/>
  <c r="CY20" i="125"/>
  <c r="CU20" i="125"/>
  <c r="CT20" i="125"/>
  <c r="CP20" i="125"/>
  <c r="CO20" i="125"/>
  <c r="CK20" i="125"/>
  <c r="CJ20" i="125"/>
  <c r="CL20" i="125" s="1"/>
  <c r="CF20" i="125"/>
  <c r="CE20" i="125"/>
  <c r="CA20" i="125"/>
  <c r="BZ20" i="125"/>
  <c r="BV20" i="125"/>
  <c r="BU20" i="125"/>
  <c r="BQ20" i="125"/>
  <c r="BP20" i="125"/>
  <c r="BL20" i="125"/>
  <c r="BK20" i="125"/>
  <c r="BG20" i="125"/>
  <c r="BF20" i="125"/>
  <c r="AW20" i="125"/>
  <c r="AV20" i="125"/>
  <c r="AU20" i="125"/>
  <c r="AR20" i="125"/>
  <c r="AS20" i="125" s="1"/>
  <c r="AQ20" i="125"/>
  <c r="AP20" i="125"/>
  <c r="AM20" i="125"/>
  <c r="AL20" i="125"/>
  <c r="AH20" i="125"/>
  <c r="AG20" i="125"/>
  <c r="AC20" i="125"/>
  <c r="AB20" i="125"/>
  <c r="X20" i="125"/>
  <c r="Y20" i="125" s="1"/>
  <c r="W20" i="125"/>
  <c r="S20" i="125"/>
  <c r="R20" i="125"/>
  <c r="DJ19" i="125"/>
  <c r="DI19" i="125"/>
  <c r="DE19" i="125"/>
  <c r="DD19" i="125"/>
  <c r="CZ19" i="125"/>
  <c r="CY19" i="125"/>
  <c r="CU19" i="125"/>
  <c r="CT19" i="125"/>
  <c r="CP19" i="125"/>
  <c r="CO19" i="125"/>
  <c r="CK19" i="125"/>
  <c r="CJ19" i="125"/>
  <c r="CF19" i="125"/>
  <c r="CE19" i="125"/>
  <c r="CA19" i="125"/>
  <c r="BZ19" i="125"/>
  <c r="BV19" i="125"/>
  <c r="BU19" i="125"/>
  <c r="BQ19" i="125"/>
  <c r="BP19" i="125"/>
  <c r="BL19" i="125"/>
  <c r="BK19" i="125"/>
  <c r="BG19" i="125"/>
  <c r="BF19" i="125"/>
  <c r="AW19" i="125"/>
  <c r="AV19" i="125"/>
  <c r="AX19" i="125" s="1"/>
  <c r="AU19" i="125"/>
  <c r="AR19" i="125"/>
  <c r="AQ19" i="125"/>
  <c r="AP19" i="125"/>
  <c r="AM19" i="125"/>
  <c r="AL19" i="125"/>
  <c r="AH19" i="125"/>
  <c r="AG19" i="125"/>
  <c r="AC19" i="125"/>
  <c r="AB19" i="125"/>
  <c r="X19" i="125"/>
  <c r="W19" i="125"/>
  <c r="S19" i="125"/>
  <c r="R19" i="125"/>
  <c r="DJ18" i="125"/>
  <c r="DI18" i="125"/>
  <c r="DE18" i="125"/>
  <c r="DD18" i="125"/>
  <c r="CZ18" i="125"/>
  <c r="CY18" i="125"/>
  <c r="CX18" i="125"/>
  <c r="CU18" i="125"/>
  <c r="CT18" i="125"/>
  <c r="CP18" i="125"/>
  <c r="CO18" i="125"/>
  <c r="CK18" i="125"/>
  <c r="CJ18" i="125"/>
  <c r="CF18" i="125"/>
  <c r="CE18" i="125"/>
  <c r="CA18" i="125"/>
  <c r="BZ18" i="125"/>
  <c r="BV18" i="125"/>
  <c r="BW18" i="125" s="1"/>
  <c r="BU18" i="125"/>
  <c r="BQ18" i="125"/>
  <c r="BP18" i="125"/>
  <c r="BL18" i="125"/>
  <c r="BK18" i="125"/>
  <c r="BG18" i="125"/>
  <c r="BF18" i="125"/>
  <c r="AW18" i="125"/>
  <c r="AV18" i="125"/>
  <c r="AR18" i="125"/>
  <c r="AQ18" i="125"/>
  <c r="AP18" i="125"/>
  <c r="AM18" i="125"/>
  <c r="AH18" i="125"/>
  <c r="AG18" i="125"/>
  <c r="AC18" i="125"/>
  <c r="X18" i="125"/>
  <c r="W18" i="125"/>
  <c r="S18" i="125"/>
  <c r="DJ17" i="125"/>
  <c r="DI17" i="125"/>
  <c r="DE17" i="125"/>
  <c r="DD17" i="125"/>
  <c r="CZ17" i="125"/>
  <c r="CY17" i="125"/>
  <c r="CU17" i="125"/>
  <c r="CT17" i="125"/>
  <c r="CP17" i="125"/>
  <c r="CO17" i="125"/>
  <c r="CK17" i="125"/>
  <c r="CJ17" i="125"/>
  <c r="CL17" i="125" s="1"/>
  <c r="CF17" i="125"/>
  <c r="CE17" i="125"/>
  <c r="CA17" i="125"/>
  <c r="BZ17" i="125"/>
  <c r="BV17" i="125"/>
  <c r="BU17" i="125"/>
  <c r="BQ17" i="125"/>
  <c r="BP17" i="125"/>
  <c r="BL17" i="125"/>
  <c r="BK17" i="125"/>
  <c r="BG17" i="125"/>
  <c r="BF17" i="125"/>
  <c r="AW17" i="125"/>
  <c r="AV17" i="125"/>
  <c r="AU17" i="125"/>
  <c r="AR17" i="125"/>
  <c r="AQ17" i="125"/>
  <c r="AP17" i="125"/>
  <c r="AM17" i="125"/>
  <c r="AL17" i="125"/>
  <c r="AH17" i="125"/>
  <c r="AG17" i="125"/>
  <c r="AC17" i="125"/>
  <c r="AB17" i="125"/>
  <c r="X17" i="125"/>
  <c r="W17" i="125"/>
  <c r="S17" i="125"/>
  <c r="R17" i="125"/>
  <c r="DJ16" i="125"/>
  <c r="DI16" i="125"/>
  <c r="DE16" i="125"/>
  <c r="DD16" i="125"/>
  <c r="CZ16" i="125"/>
  <c r="CY16" i="125"/>
  <c r="CU16" i="125"/>
  <c r="CT16" i="125"/>
  <c r="CP16" i="125"/>
  <c r="CO16" i="125"/>
  <c r="CK16" i="125"/>
  <c r="CJ16" i="125"/>
  <c r="CF16" i="125"/>
  <c r="CE16" i="125"/>
  <c r="CA16" i="125"/>
  <c r="BZ16" i="125"/>
  <c r="BV16" i="125"/>
  <c r="BU16" i="125"/>
  <c r="BQ16" i="125"/>
  <c r="BP16" i="125"/>
  <c r="BR16" i="125" s="1"/>
  <c r="BL16" i="125"/>
  <c r="BK16" i="125"/>
  <c r="BG16" i="125"/>
  <c r="BF16" i="125"/>
  <c r="BH16" i="125" s="1"/>
  <c r="AW16" i="125"/>
  <c r="AV16" i="125"/>
  <c r="AX16" i="125" s="1"/>
  <c r="AU16" i="125"/>
  <c r="AR16" i="125"/>
  <c r="AQ16" i="125"/>
  <c r="AP16" i="125"/>
  <c r="AM16" i="125"/>
  <c r="AL16" i="125"/>
  <c r="AH16" i="125"/>
  <c r="AG16" i="125"/>
  <c r="AC16" i="125"/>
  <c r="AB16" i="125"/>
  <c r="X16" i="125"/>
  <c r="W16" i="125"/>
  <c r="S16" i="125"/>
  <c r="R16" i="125"/>
  <c r="DJ15" i="125"/>
  <c r="DI15" i="125"/>
  <c r="DE15" i="125"/>
  <c r="DD15" i="125"/>
  <c r="CZ15" i="125"/>
  <c r="CY15" i="125"/>
  <c r="CU15" i="125"/>
  <c r="CT15" i="125"/>
  <c r="CP15" i="125"/>
  <c r="CO15" i="125"/>
  <c r="CK15" i="125"/>
  <c r="CJ15" i="125"/>
  <c r="CF15" i="125"/>
  <c r="CE15" i="125"/>
  <c r="CA15" i="125"/>
  <c r="BZ15" i="125"/>
  <c r="BV15" i="125"/>
  <c r="BU15" i="125"/>
  <c r="BQ15" i="125"/>
  <c r="BP15" i="125"/>
  <c r="BL15" i="125"/>
  <c r="BK15" i="125"/>
  <c r="BG15" i="125"/>
  <c r="BF15" i="125"/>
  <c r="AW15" i="125"/>
  <c r="AV15" i="125"/>
  <c r="AU15" i="125"/>
  <c r="AR15" i="125"/>
  <c r="AQ15" i="125"/>
  <c r="AP15" i="125"/>
  <c r="AM15" i="125"/>
  <c r="AL15" i="125"/>
  <c r="AH15" i="125"/>
  <c r="AG15" i="125"/>
  <c r="AC15" i="125"/>
  <c r="AB15" i="125"/>
  <c r="AD15" i="125" s="1"/>
  <c r="X15" i="125"/>
  <c r="W15" i="125"/>
  <c r="S15" i="125"/>
  <c r="R15" i="125"/>
  <c r="DJ14" i="125"/>
  <c r="DI14" i="125"/>
  <c r="DE14" i="125"/>
  <c r="DD14" i="125"/>
  <c r="CZ14" i="125"/>
  <c r="CY14" i="125"/>
  <c r="CU14" i="125"/>
  <c r="CT14" i="125"/>
  <c r="CP14" i="125"/>
  <c r="CO14" i="125"/>
  <c r="CK14" i="125"/>
  <c r="CJ14" i="125"/>
  <c r="CF14" i="125"/>
  <c r="CE14" i="125"/>
  <c r="CA14" i="125"/>
  <c r="BZ14" i="125"/>
  <c r="BV14" i="125"/>
  <c r="BU14" i="125"/>
  <c r="BQ14" i="125"/>
  <c r="BP14" i="125"/>
  <c r="BL14" i="125"/>
  <c r="BK14" i="125"/>
  <c r="BG14" i="125"/>
  <c r="BF14" i="125"/>
  <c r="AW14" i="125"/>
  <c r="AV14" i="125"/>
  <c r="AU14" i="125"/>
  <c r="AR14" i="125"/>
  <c r="AQ14" i="125"/>
  <c r="AS14" i="125" s="1"/>
  <c r="AP14" i="125"/>
  <c r="AM14" i="125"/>
  <c r="AL14" i="125"/>
  <c r="AH14" i="125"/>
  <c r="AG14" i="125"/>
  <c r="AC14" i="125"/>
  <c r="AB14" i="125"/>
  <c r="X14" i="125"/>
  <c r="W14" i="125"/>
  <c r="S14" i="125"/>
  <c r="R14" i="125"/>
  <c r="DJ13" i="125"/>
  <c r="DI13" i="125"/>
  <c r="DE13" i="125"/>
  <c r="DD13" i="125"/>
  <c r="CZ13" i="125"/>
  <c r="CY13" i="125"/>
  <c r="CU13" i="125"/>
  <c r="CT13" i="125"/>
  <c r="CP13" i="125"/>
  <c r="CO13" i="125"/>
  <c r="CK13" i="125"/>
  <c r="CJ13" i="125"/>
  <c r="CF13" i="125"/>
  <c r="CE13" i="125"/>
  <c r="CA13" i="125"/>
  <c r="BZ13" i="125"/>
  <c r="BV13" i="125"/>
  <c r="BU13" i="125"/>
  <c r="BQ13" i="125"/>
  <c r="BP13" i="125"/>
  <c r="BL13" i="125"/>
  <c r="BK13" i="125"/>
  <c r="BG13" i="125"/>
  <c r="BF13" i="125"/>
  <c r="AW13" i="125"/>
  <c r="AV13" i="125"/>
  <c r="AU13" i="125"/>
  <c r="AR13" i="125"/>
  <c r="AQ13" i="125"/>
  <c r="AP13" i="125"/>
  <c r="AM13" i="125"/>
  <c r="AL13" i="125"/>
  <c r="AH13" i="125"/>
  <c r="AG13" i="125"/>
  <c r="AC13" i="125"/>
  <c r="AB13" i="125"/>
  <c r="AD13" i="125" s="1"/>
  <c r="X13" i="125"/>
  <c r="W13" i="125"/>
  <c r="S13" i="125"/>
  <c r="R13" i="125"/>
  <c r="DJ12" i="125"/>
  <c r="DI12" i="125"/>
  <c r="DE12" i="125"/>
  <c r="DD12" i="125"/>
  <c r="CZ12" i="125"/>
  <c r="CY12" i="125"/>
  <c r="CU12" i="125"/>
  <c r="CT12" i="125"/>
  <c r="CP12" i="125"/>
  <c r="CO12" i="125"/>
  <c r="CK12" i="125"/>
  <c r="CJ12" i="125"/>
  <c r="CF12" i="125"/>
  <c r="CE12" i="125"/>
  <c r="CG12" i="125" s="1"/>
  <c r="CA12" i="125"/>
  <c r="BZ12" i="125"/>
  <c r="BV12" i="125"/>
  <c r="BU12" i="125"/>
  <c r="BQ12" i="125"/>
  <c r="BP12" i="125"/>
  <c r="BL12" i="125"/>
  <c r="BK12" i="125"/>
  <c r="BG12" i="125"/>
  <c r="BF12" i="125"/>
  <c r="BH12" i="125" s="1"/>
  <c r="AW12" i="125"/>
  <c r="AV12" i="125"/>
  <c r="AU12" i="125"/>
  <c r="AR12" i="125"/>
  <c r="AQ12" i="125"/>
  <c r="AP12" i="125"/>
  <c r="AM12" i="125"/>
  <c r="AL12" i="125"/>
  <c r="AH12" i="125"/>
  <c r="AG12" i="125"/>
  <c r="AC12" i="125"/>
  <c r="AB12" i="125"/>
  <c r="X12" i="125"/>
  <c r="W12" i="125"/>
  <c r="S12" i="125"/>
  <c r="R12" i="125"/>
  <c r="DJ11" i="125"/>
  <c r="DI11" i="125"/>
  <c r="DK11" i="125" s="1"/>
  <c r="DE11" i="125"/>
  <c r="DD11" i="125"/>
  <c r="CZ11" i="125"/>
  <c r="CY11" i="125"/>
  <c r="CU11" i="125"/>
  <c r="CT11" i="125"/>
  <c r="CP11" i="125"/>
  <c r="CO11" i="125"/>
  <c r="CK11" i="125"/>
  <c r="CJ11" i="125"/>
  <c r="CF11" i="125"/>
  <c r="CE11" i="125"/>
  <c r="CA11" i="125"/>
  <c r="BZ11" i="125"/>
  <c r="BV11" i="125"/>
  <c r="BU11" i="125"/>
  <c r="BQ11" i="125"/>
  <c r="BP11" i="125"/>
  <c r="BL11" i="125"/>
  <c r="BK11" i="125"/>
  <c r="BG11" i="125"/>
  <c r="BF11" i="125"/>
  <c r="AW11" i="125"/>
  <c r="AV11" i="125"/>
  <c r="AU11" i="125"/>
  <c r="AR11" i="125"/>
  <c r="AQ11" i="125"/>
  <c r="AP11" i="125"/>
  <c r="AM11" i="125"/>
  <c r="AL11" i="125"/>
  <c r="AH11" i="125"/>
  <c r="AG11" i="125"/>
  <c r="AC11" i="125"/>
  <c r="X11" i="125"/>
  <c r="W11" i="125"/>
  <c r="S11" i="125"/>
  <c r="R11" i="125"/>
  <c r="T11" i="125" s="1"/>
  <c r="DJ10" i="125"/>
  <c r="DI10" i="125"/>
  <c r="DE10" i="125"/>
  <c r="DD10" i="125"/>
  <c r="CZ10" i="125"/>
  <c r="CY10" i="125"/>
  <c r="CU10" i="125"/>
  <c r="CT10" i="125"/>
  <c r="CP10" i="125"/>
  <c r="CO10" i="125"/>
  <c r="CK10" i="125"/>
  <c r="CJ10" i="125"/>
  <c r="CL10" i="125" s="1"/>
  <c r="CF10" i="125"/>
  <c r="CE10" i="125"/>
  <c r="CA10" i="125"/>
  <c r="BZ10" i="125"/>
  <c r="BV10" i="125"/>
  <c r="BU10" i="125"/>
  <c r="BQ10" i="125"/>
  <c r="BP10" i="125"/>
  <c r="BL10" i="125"/>
  <c r="BK10" i="125"/>
  <c r="BG10" i="125"/>
  <c r="BF10" i="125"/>
  <c r="AW10" i="125"/>
  <c r="AV10" i="125"/>
  <c r="AU10" i="125"/>
  <c r="AR10" i="125"/>
  <c r="AS10" i="125" s="1"/>
  <c r="AQ10" i="125"/>
  <c r="AP10" i="125"/>
  <c r="AM10" i="125"/>
  <c r="AL10" i="125"/>
  <c r="AH10" i="125"/>
  <c r="AG10" i="125"/>
  <c r="AC10" i="125"/>
  <c r="X10" i="125"/>
  <c r="W10" i="125"/>
  <c r="S10" i="125"/>
  <c r="R10" i="125"/>
  <c r="DJ9" i="125"/>
  <c r="DI9" i="125"/>
  <c r="DE9" i="125"/>
  <c r="DD9" i="125"/>
  <c r="DF9" i="125" s="1"/>
  <c r="CZ9" i="125"/>
  <c r="CZ8" i="125" s="1"/>
  <c r="CY9" i="125"/>
  <c r="CX9" i="125"/>
  <c r="CU9" i="125"/>
  <c r="CT9" i="125"/>
  <c r="CP9" i="125"/>
  <c r="CO9" i="125"/>
  <c r="CK9" i="125"/>
  <c r="CJ9" i="125"/>
  <c r="CF9" i="125"/>
  <c r="CE9" i="125"/>
  <c r="CA9" i="125"/>
  <c r="BZ9" i="125"/>
  <c r="BV9" i="125"/>
  <c r="BW9" i="125" s="1"/>
  <c r="BU9" i="125"/>
  <c r="BQ9" i="125"/>
  <c r="BP9" i="125"/>
  <c r="BL9" i="125"/>
  <c r="BK9" i="125"/>
  <c r="BG9" i="125"/>
  <c r="BF9" i="125"/>
  <c r="AW9" i="125"/>
  <c r="AV9" i="125"/>
  <c r="AU9" i="125"/>
  <c r="AQ9" i="125"/>
  <c r="AP9" i="125"/>
  <c r="AM9" i="125"/>
  <c r="AL9" i="125"/>
  <c r="AG9" i="125"/>
  <c r="R9" i="125"/>
  <c r="DJ7" i="125"/>
  <c r="DI7" i="125"/>
  <c r="DE7" i="125"/>
  <c r="DD7" i="125"/>
  <c r="DC7" i="125"/>
  <c r="CZ7" i="125"/>
  <c r="CY7" i="125"/>
  <c r="CU7" i="125"/>
  <c r="CT7" i="125"/>
  <c r="CP7" i="125"/>
  <c r="CO7" i="125"/>
  <c r="CK7" i="125"/>
  <c r="CJ7" i="125"/>
  <c r="CF7" i="125"/>
  <c r="CE7" i="125"/>
  <c r="CA7" i="125"/>
  <c r="BZ7" i="125"/>
  <c r="BV7" i="125"/>
  <c r="BU7" i="125"/>
  <c r="BQ7" i="125"/>
  <c r="BR7" i="125" s="1"/>
  <c r="BP7" i="125"/>
  <c r="BL7" i="125"/>
  <c r="BK7" i="125"/>
  <c r="BG7" i="125"/>
  <c r="BF7" i="125"/>
  <c r="AW7" i="125"/>
  <c r="AW5" i="125" s="1"/>
  <c r="AV7" i="125"/>
  <c r="AU7" i="125"/>
  <c r="AR7" i="125"/>
  <c r="AQ7" i="125"/>
  <c r="AS7" i="125" s="1"/>
  <c r="AP7" i="125"/>
  <c r="AM7" i="125"/>
  <c r="AL7" i="125"/>
  <c r="AH7" i="125"/>
  <c r="AG7" i="125"/>
  <c r="AI7" i="125" s="1"/>
  <c r="AC7" i="125"/>
  <c r="AB7" i="125"/>
  <c r="S7" i="125"/>
  <c r="R7" i="125"/>
  <c r="DJ6" i="125"/>
  <c r="DI6" i="125"/>
  <c r="DI5" i="125" s="1"/>
  <c r="DE6" i="125"/>
  <c r="DE5" i="125" s="1"/>
  <c r="DD6" i="125"/>
  <c r="CZ6" i="125"/>
  <c r="CZ5" i="125" s="1"/>
  <c r="CY6" i="125"/>
  <c r="CY5" i="125" s="1"/>
  <c r="CU6" i="125"/>
  <c r="CU5" i="125" s="1"/>
  <c r="CT6" i="125"/>
  <c r="CP6" i="125"/>
  <c r="CP5" i="125" s="1"/>
  <c r="CO6" i="125"/>
  <c r="CO5" i="125" s="1"/>
  <c r="CK6" i="125"/>
  <c r="CJ6" i="125"/>
  <c r="CF6" i="125"/>
  <c r="CF5" i="125" s="1"/>
  <c r="CE6" i="125"/>
  <c r="CA6" i="125"/>
  <c r="CA5" i="125" s="1"/>
  <c r="BZ6" i="125"/>
  <c r="BV6" i="125"/>
  <c r="BU6" i="125"/>
  <c r="BU5" i="125" s="1"/>
  <c r="BQ6" i="125"/>
  <c r="BP6" i="125"/>
  <c r="BL6" i="125"/>
  <c r="BK5" i="125"/>
  <c r="BG6" i="125"/>
  <c r="BF6" i="125"/>
  <c r="AW6" i="125"/>
  <c r="AV6" i="125"/>
  <c r="AR6" i="125"/>
  <c r="AP6" i="125"/>
  <c r="AM6" i="125"/>
  <c r="AL6" i="125"/>
  <c r="X6" i="125"/>
  <c r="X5" i="125" s="1"/>
  <c r="W6" i="125"/>
  <c r="W5" i="125" s="1"/>
  <c r="S6" i="125"/>
  <c r="R6" i="125"/>
  <c r="O89" i="125"/>
  <c r="J89" i="125"/>
  <c r="AD85" i="125"/>
  <c r="Y85" i="125"/>
  <c r="T85" i="125"/>
  <c r="DK82" i="125"/>
  <c r="DF82" i="125"/>
  <c r="DA82" i="125"/>
  <c r="CV82" i="125"/>
  <c r="CQ82" i="125"/>
  <c r="CL82" i="125"/>
  <c r="CG82" i="125"/>
  <c r="CB82" i="125"/>
  <c r="BW82" i="125"/>
  <c r="BM82" i="125"/>
  <c r="BH82" i="125"/>
  <c r="AS82" i="125"/>
  <c r="AI82" i="125"/>
  <c r="AD82" i="125"/>
  <c r="Y82" i="125"/>
  <c r="T82" i="125"/>
  <c r="DK78" i="125"/>
  <c r="CZ77" i="125"/>
  <c r="CK77" i="125"/>
  <c r="BV77" i="125"/>
  <c r="Y78" i="125"/>
  <c r="T78" i="125"/>
  <c r="AR77" i="125"/>
  <c r="X77" i="125"/>
  <c r="S77" i="125"/>
  <c r="DF74" i="125"/>
  <c r="DF73" i="125" s="1"/>
  <c r="DE73" i="125"/>
  <c r="CU73" i="125"/>
  <c r="CQ74" i="125"/>
  <c r="CQ73" i="125" s="1"/>
  <c r="CK73" i="125"/>
  <c r="CB74" i="125"/>
  <c r="CB73" i="125" s="1"/>
  <c r="CA73" i="125"/>
  <c r="AL73" i="125"/>
  <c r="R74" i="125"/>
  <c r="T74" i="125" s="1"/>
  <c r="T73" i="125" s="1"/>
  <c r="DJ73" i="125"/>
  <c r="DI73" i="125"/>
  <c r="DD73" i="125"/>
  <c r="CP73" i="125"/>
  <c r="CO73" i="125"/>
  <c r="CF73" i="125"/>
  <c r="BZ73" i="125"/>
  <c r="BV73" i="125"/>
  <c r="BL73" i="125"/>
  <c r="BC73" i="125"/>
  <c r="AX73" i="125"/>
  <c r="AZ73" i="125" s="1"/>
  <c r="AV73" i="125"/>
  <c r="AM73" i="125"/>
  <c r="AC73" i="125"/>
  <c r="X73" i="125"/>
  <c r="S73" i="125"/>
  <c r="DF71" i="125"/>
  <c r="DA71" i="125"/>
  <c r="BW71" i="125"/>
  <c r="AI71" i="125"/>
  <c r="AD71" i="125"/>
  <c r="Y71" i="125"/>
  <c r="CQ70" i="125"/>
  <c r="BW70" i="125"/>
  <c r="BM70" i="125"/>
  <c r="AS70" i="125"/>
  <c r="Y70" i="125"/>
  <c r="CQ69" i="125"/>
  <c r="BB69" i="125"/>
  <c r="AD69" i="125"/>
  <c r="DA68" i="125"/>
  <c r="BW68" i="125"/>
  <c r="Y68" i="125"/>
  <c r="DK67" i="125"/>
  <c r="CL67" i="125"/>
  <c r="CG67" i="125"/>
  <c r="AX67" i="125"/>
  <c r="AS67" i="125"/>
  <c r="AN67" i="125"/>
  <c r="Y67" i="125"/>
  <c r="DK66" i="125"/>
  <c r="DF66" i="125"/>
  <c r="CB66" i="125"/>
  <c r="AX66" i="125"/>
  <c r="T66" i="125"/>
  <c r="DA65" i="125"/>
  <c r="CQ65" i="125"/>
  <c r="BH65" i="125"/>
  <c r="AD65" i="125"/>
  <c r="Y65" i="125"/>
  <c r="CQ64" i="125"/>
  <c r="BM64" i="125"/>
  <c r="BH64" i="125"/>
  <c r="AS64" i="125"/>
  <c r="AI64" i="125"/>
  <c r="Y64" i="125"/>
  <c r="DA63" i="125"/>
  <c r="CB63" i="125"/>
  <c r="AX63" i="125"/>
  <c r="AD63" i="125"/>
  <c r="CG62" i="125"/>
  <c r="CB62" i="125"/>
  <c r="BB62" i="125"/>
  <c r="Y62" i="125"/>
  <c r="CV61" i="125"/>
  <c r="CB61" i="125"/>
  <c r="AX61" i="125"/>
  <c r="AS61" i="125"/>
  <c r="AN61" i="125"/>
  <c r="Y61" i="125"/>
  <c r="T61" i="125"/>
  <c r="DF60" i="125"/>
  <c r="CV60" i="125"/>
  <c r="CB60" i="125"/>
  <c r="AS60" i="125"/>
  <c r="AN60" i="125"/>
  <c r="T60" i="125"/>
  <c r="DA59" i="125"/>
  <c r="Y59" i="125"/>
  <c r="T59" i="125"/>
  <c r="DF58" i="125"/>
  <c r="CB58" i="125"/>
  <c r="AS58" i="125"/>
  <c r="Y58" i="125"/>
  <c r="T58" i="125"/>
  <c r="DF57" i="125"/>
  <c r="BW57" i="125"/>
  <c r="AD57" i="125"/>
  <c r="T57" i="125"/>
  <c r="CQ56" i="125"/>
  <c r="CL56" i="125"/>
  <c r="AX56" i="125"/>
  <c r="AD56" i="125"/>
  <c r="T56" i="125"/>
  <c r="CU54" i="125"/>
  <c r="AI55" i="125"/>
  <c r="Y55" i="125"/>
  <c r="T55" i="125"/>
  <c r="CZ54" i="125"/>
  <c r="BV54" i="125"/>
  <c r="R54" i="125"/>
  <c r="DJ50" i="125"/>
  <c r="CU50" i="125"/>
  <c r="CF50" i="125"/>
  <c r="AW50" i="125"/>
  <c r="AS52" i="125"/>
  <c r="AH50" i="125"/>
  <c r="AD52" i="125"/>
  <c r="Y52" i="125"/>
  <c r="DK51" i="125"/>
  <c r="CV51" i="125"/>
  <c r="CG51" i="125"/>
  <c r="AX51" i="125"/>
  <c r="AI51" i="125"/>
  <c r="Y51" i="125"/>
  <c r="CE50" i="125"/>
  <c r="BV50" i="125"/>
  <c r="BF50" i="125"/>
  <c r="AB50" i="125"/>
  <c r="X50" i="125"/>
  <c r="W50" i="125"/>
  <c r="CV48" i="125"/>
  <c r="BW48" i="125"/>
  <c r="AS48" i="125"/>
  <c r="Y48" i="125"/>
  <c r="T48" i="125"/>
  <c r="DK47" i="125"/>
  <c r="DF47" i="125"/>
  <c r="BH47" i="125"/>
  <c r="AI47" i="125"/>
  <c r="Y47" i="125"/>
  <c r="DF46" i="125"/>
  <c r="CG46" i="125"/>
  <c r="CB46" i="125"/>
  <c r="AN46" i="125"/>
  <c r="AI46" i="125"/>
  <c r="Y46" i="125"/>
  <c r="DF45" i="125"/>
  <c r="BV41" i="125"/>
  <c r="AI45" i="125"/>
  <c r="T45" i="125"/>
  <c r="DA44" i="125"/>
  <c r="CL44" i="125"/>
  <c r="AX44" i="125"/>
  <c r="AI44" i="125"/>
  <c r="Y44" i="125"/>
  <c r="T44" i="125"/>
  <c r="CV43" i="125"/>
  <c r="BW43" i="125"/>
  <c r="AS43" i="125"/>
  <c r="Y43" i="125"/>
  <c r="T43" i="125"/>
  <c r="DF42" i="125"/>
  <c r="CB42" i="125"/>
  <c r="BH42" i="125"/>
  <c r="Y42" i="125"/>
  <c r="T42" i="125"/>
  <c r="CP41" i="125"/>
  <c r="BZ41" i="125"/>
  <c r="S41" i="125"/>
  <c r="R41" i="125"/>
  <c r="AW35" i="125"/>
  <c r="AX36" i="125"/>
  <c r="AH35" i="125"/>
  <c r="Y36" i="125"/>
  <c r="Y35" i="125" s="1"/>
  <c r="T36" i="125"/>
  <c r="DJ35" i="125"/>
  <c r="DI35" i="125"/>
  <c r="CY35" i="125"/>
  <c r="CU35" i="125"/>
  <c r="CJ35" i="125"/>
  <c r="CF35" i="125"/>
  <c r="CE35" i="125"/>
  <c r="AQ35" i="125"/>
  <c r="AB35" i="125"/>
  <c r="X35" i="125"/>
  <c r="T35" i="125"/>
  <c r="S35" i="125"/>
  <c r="R35" i="125"/>
  <c r="DA33" i="125"/>
  <c r="CQ33" i="125"/>
  <c r="CL33" i="125"/>
  <c r="BW33" i="125"/>
  <c r="BH33" i="125"/>
  <c r="Y33" i="125"/>
  <c r="T33" i="125"/>
  <c r="DK32" i="125"/>
  <c r="DA32" i="125"/>
  <c r="CV32" i="125"/>
  <c r="CG32" i="125"/>
  <c r="BW32" i="125"/>
  <c r="AX32" i="125"/>
  <c r="AN32" i="125"/>
  <c r="DF31" i="125"/>
  <c r="CQ31" i="125"/>
  <c r="CB31" i="125"/>
  <c r="AN31" i="125"/>
  <c r="AI31" i="125"/>
  <c r="Y31" i="125"/>
  <c r="DA30" i="125"/>
  <c r="CL30" i="125"/>
  <c r="CG30" i="125"/>
  <c r="BW30" i="125"/>
  <c r="AS30" i="125"/>
  <c r="AD30" i="125"/>
  <c r="Y30" i="125"/>
  <c r="DK29" i="125"/>
  <c r="CV29" i="125"/>
  <c r="CG29" i="125"/>
  <c r="BB29" i="125"/>
  <c r="AX29" i="125"/>
  <c r="AN29" i="125"/>
  <c r="Y29" i="125"/>
  <c r="T29" i="125"/>
  <c r="DK28" i="125"/>
  <c r="DF28" i="125"/>
  <c r="CG28" i="125"/>
  <c r="AX28" i="125"/>
  <c r="CB27" i="125"/>
  <c r="BW27" i="125"/>
  <c r="BM27" i="125"/>
  <c r="AI27" i="125"/>
  <c r="T27" i="125"/>
  <c r="DA26" i="125"/>
  <c r="CL26" i="125"/>
  <c r="CB26" i="125"/>
  <c r="BH26" i="125"/>
  <c r="BA26" i="125"/>
  <c r="AD26" i="125"/>
  <c r="Y26" i="125"/>
  <c r="CV25" i="125"/>
  <c r="CG25" i="125"/>
  <c r="BH25" i="125"/>
  <c r="AN25" i="125"/>
  <c r="Y25" i="125"/>
  <c r="T25" i="125"/>
  <c r="CV24" i="125"/>
  <c r="CQ24" i="125"/>
  <c r="BM24" i="125"/>
  <c r="AN24" i="125"/>
  <c r="AI24" i="125"/>
  <c r="Y24" i="125"/>
  <c r="DA23" i="125"/>
  <c r="BW23" i="125"/>
  <c r="DK22" i="125"/>
  <c r="AX22" i="125"/>
  <c r="DF21" i="125"/>
  <c r="CQ21" i="125"/>
  <c r="CB21" i="125"/>
  <c r="BM21" i="125"/>
  <c r="Y21" i="125"/>
  <c r="CV20" i="125"/>
  <c r="BH20" i="125"/>
  <c r="AD20" i="125"/>
  <c r="T20" i="125"/>
  <c r="DK19" i="125"/>
  <c r="CV19" i="125"/>
  <c r="CL19" i="125"/>
  <c r="CG19" i="125"/>
  <c r="DK18" i="125"/>
  <c r="CL18" i="125"/>
  <c r="AI18" i="125"/>
  <c r="Y18" i="125"/>
  <c r="DF17" i="125"/>
  <c r="CB17" i="125"/>
  <c r="BW17" i="125"/>
  <c r="BH17" i="125"/>
  <c r="AD17" i="125"/>
  <c r="Y17" i="125"/>
  <c r="CV16" i="125"/>
  <c r="CQ16" i="125"/>
  <c r="Y16" i="125"/>
  <c r="T16" i="125"/>
  <c r="CQ15" i="125"/>
  <c r="Y15" i="125"/>
  <c r="CL14" i="125"/>
  <c r="CG14" i="125"/>
  <c r="BH14" i="125"/>
  <c r="Y14" i="125"/>
  <c r="T14" i="125"/>
  <c r="DK13" i="125"/>
  <c r="CV13" i="125"/>
  <c r="CL13" i="125"/>
  <c r="BH13" i="125"/>
  <c r="AN13" i="125"/>
  <c r="CB12" i="125"/>
  <c r="AX12" i="125"/>
  <c r="Y12" i="125"/>
  <c r="T12" i="125"/>
  <c r="CL11" i="125"/>
  <c r="Y11" i="125"/>
  <c r="DK10" i="125"/>
  <c r="BR10" i="125"/>
  <c r="AN10" i="125"/>
  <c r="Y10" i="125"/>
  <c r="T10" i="125"/>
  <c r="DK9" i="125"/>
  <c r="CB9" i="125"/>
  <c r="AN9" i="125"/>
  <c r="CV7" i="125"/>
  <c r="CQ7" i="125"/>
  <c r="AN7" i="125"/>
  <c r="T7" i="125"/>
  <c r="DJ5" i="125"/>
  <c r="DK6" i="125"/>
  <c r="CV6" i="125"/>
  <c r="BV5" i="125"/>
  <c r="AX6" i="125"/>
  <c r="Y6" i="125"/>
  <c r="Y5" i="125" s="1"/>
  <c r="R5" i="125"/>
  <c r="CT5" i="125"/>
  <c r="CK5" i="125"/>
  <c r="CE5" i="125"/>
  <c r="AM5" i="125"/>
  <c r="S5" i="125"/>
  <c r="E92" i="100"/>
  <c r="AX89" i="100"/>
  <c r="AX91" i="100" s="1"/>
  <c r="DN85" i="100"/>
  <c r="DK85" i="100"/>
  <c r="DF85" i="100"/>
  <c r="DA85" i="100"/>
  <c r="CV85" i="100"/>
  <c r="CQ85" i="100"/>
  <c r="CL85" i="100"/>
  <c r="BH85" i="100"/>
  <c r="BA85" i="100"/>
  <c r="AS85" i="100"/>
  <c r="AN85" i="100"/>
  <c r="AI85" i="100"/>
  <c r="AD85" i="100"/>
  <c r="Y85" i="100"/>
  <c r="T85" i="100"/>
  <c r="O85" i="100"/>
  <c r="J85" i="100"/>
  <c r="DO82" i="100"/>
  <c r="DN82" i="100"/>
  <c r="DK82" i="100"/>
  <c r="DF82" i="100"/>
  <c r="DA82" i="100"/>
  <c r="CV82" i="100"/>
  <c r="CQ82" i="100"/>
  <c r="CL82" i="100"/>
  <c r="CG82" i="100"/>
  <c r="CB82" i="100"/>
  <c r="BW82" i="100"/>
  <c r="BR82" i="100"/>
  <c r="BM82" i="100"/>
  <c r="BH82" i="100"/>
  <c r="BB82" i="100"/>
  <c r="BA82" i="100"/>
  <c r="AS82" i="100"/>
  <c r="AN82" i="100"/>
  <c r="AI82" i="100"/>
  <c r="AD82" i="100"/>
  <c r="Y82" i="100"/>
  <c r="T82" i="100"/>
  <c r="O82" i="100"/>
  <c r="J82" i="100"/>
  <c r="DO79" i="100"/>
  <c r="DK79" i="100"/>
  <c r="DA79" i="100"/>
  <c r="CV79" i="100"/>
  <c r="CQ79" i="100"/>
  <c r="CQ77" i="100" s="1"/>
  <c r="BB79" i="100"/>
  <c r="M79" i="100"/>
  <c r="M77" i="100" s="1"/>
  <c r="DO78" i="100"/>
  <c r="DP78" i="100" s="1"/>
  <c r="DN78" i="100"/>
  <c r="DK78" i="100"/>
  <c r="DK77" i="100" s="1"/>
  <c r="DF78" i="100"/>
  <c r="DA78" i="100"/>
  <c r="CV78" i="100"/>
  <c r="CV77" i="100" s="1"/>
  <c r="CQ78" i="100"/>
  <c r="CL78" i="100"/>
  <c r="CG78" i="100"/>
  <c r="CB78" i="100"/>
  <c r="BW78" i="100"/>
  <c r="BR78" i="100"/>
  <c r="BM78" i="100"/>
  <c r="BH78" i="100"/>
  <c r="BB78" i="100"/>
  <c r="BB77" i="100" s="1"/>
  <c r="BA78" i="100"/>
  <c r="BC78" i="100" s="1"/>
  <c r="AS78" i="100"/>
  <c r="AN78" i="100"/>
  <c r="AI78" i="100"/>
  <c r="AD78" i="100"/>
  <c r="Y78" i="100"/>
  <c r="T78" i="100"/>
  <c r="O78" i="100"/>
  <c r="DO77" i="100"/>
  <c r="DJ77" i="100"/>
  <c r="DI77" i="100"/>
  <c r="DE77" i="100"/>
  <c r="DA77" i="100"/>
  <c r="CZ77" i="100"/>
  <c r="CY77" i="100"/>
  <c r="CU77" i="100"/>
  <c r="CT77" i="100"/>
  <c r="CP77" i="100"/>
  <c r="CO77" i="100"/>
  <c r="CK77" i="100"/>
  <c r="CF77" i="100"/>
  <c r="CA77" i="100"/>
  <c r="BV77" i="100"/>
  <c r="BQ77" i="100"/>
  <c r="BL77" i="100"/>
  <c r="BG77" i="100"/>
  <c r="AR77" i="100"/>
  <c r="AM77" i="100"/>
  <c r="AH77" i="100"/>
  <c r="AC77" i="100"/>
  <c r="X77" i="100"/>
  <c r="S77" i="100"/>
  <c r="N77" i="100"/>
  <c r="I77" i="100"/>
  <c r="H77" i="100"/>
  <c r="DO74" i="100"/>
  <c r="DO73" i="100" s="1"/>
  <c r="DN74" i="100"/>
  <c r="DP74" i="100" s="1"/>
  <c r="DP73" i="100" s="1"/>
  <c r="DK74" i="100"/>
  <c r="DF74" i="100"/>
  <c r="DF73" i="100" s="1"/>
  <c r="DA74" i="100"/>
  <c r="CV74" i="100"/>
  <c r="CQ74" i="100"/>
  <c r="CQ73" i="100" s="1"/>
  <c r="CL74" i="100"/>
  <c r="CL73" i="100" s="1"/>
  <c r="CG74" i="100"/>
  <c r="CB74" i="100"/>
  <c r="CB73" i="100" s="1"/>
  <c r="BW74" i="100"/>
  <c r="BW73" i="100" s="1"/>
  <c r="BR74" i="100"/>
  <c r="BM74" i="100"/>
  <c r="BH74" i="100"/>
  <c r="BH73" i="100" s="1"/>
  <c r="BB74" i="100"/>
  <c r="BA74" i="100"/>
  <c r="BC74" i="100" s="1"/>
  <c r="AS74" i="100"/>
  <c r="AN74" i="100"/>
  <c r="AI74" i="100"/>
  <c r="AD74" i="100"/>
  <c r="AD73" i="100" s="1"/>
  <c r="Y74" i="100"/>
  <c r="Y73" i="100" s="1"/>
  <c r="T74" i="100"/>
  <c r="DN73" i="100"/>
  <c r="DK73" i="100"/>
  <c r="DJ73" i="100"/>
  <c r="DI73" i="100"/>
  <c r="DE73" i="100"/>
  <c r="DD73" i="100"/>
  <c r="DA73" i="100"/>
  <c r="CZ73" i="100"/>
  <c r="CY73" i="100"/>
  <c r="CV73" i="100"/>
  <c r="CU73" i="100"/>
  <c r="CT73" i="100"/>
  <c r="CP73" i="100"/>
  <c r="CO73" i="100"/>
  <c r="CK73" i="100"/>
  <c r="CJ73" i="100"/>
  <c r="CG73" i="100"/>
  <c r="CF73" i="100"/>
  <c r="CE73" i="100"/>
  <c r="CA73" i="100"/>
  <c r="BZ73" i="100"/>
  <c r="BV73" i="100"/>
  <c r="BU73" i="100"/>
  <c r="BR73" i="100"/>
  <c r="BQ73" i="100"/>
  <c r="BP73" i="100"/>
  <c r="BM73" i="100"/>
  <c r="BL73" i="100"/>
  <c r="BK73" i="100"/>
  <c r="BG73" i="100"/>
  <c r="BF73" i="100"/>
  <c r="BB73" i="100"/>
  <c r="AS73" i="100"/>
  <c r="AR73" i="100"/>
  <c r="AQ73" i="100"/>
  <c r="AM73" i="100"/>
  <c r="AL73" i="100"/>
  <c r="AI73" i="100"/>
  <c r="AH73" i="100"/>
  <c r="AG73" i="100"/>
  <c r="AC73" i="100"/>
  <c r="AB73" i="100"/>
  <c r="X73" i="100"/>
  <c r="W73" i="100"/>
  <c r="T73" i="100"/>
  <c r="S73" i="100"/>
  <c r="R73" i="100"/>
  <c r="O73" i="100"/>
  <c r="N73" i="100"/>
  <c r="M73" i="100"/>
  <c r="J73" i="100"/>
  <c r="I73" i="100"/>
  <c r="H73" i="100"/>
  <c r="DO71" i="100"/>
  <c r="DN71" i="100"/>
  <c r="DP71" i="100" s="1"/>
  <c r="DK71" i="100"/>
  <c r="DF71" i="100"/>
  <c r="DA71" i="100"/>
  <c r="CV71" i="100"/>
  <c r="CQ71" i="100"/>
  <c r="CL71" i="100"/>
  <c r="CG71" i="100"/>
  <c r="CB71" i="100"/>
  <c r="BW71" i="100"/>
  <c r="BM71" i="100"/>
  <c r="BN71" i="100" s="1"/>
  <c r="BH71" i="100"/>
  <c r="BB71" i="100"/>
  <c r="BA71" i="100"/>
  <c r="AS71" i="100"/>
  <c r="AN71" i="100"/>
  <c r="AI71" i="100"/>
  <c r="AD71" i="100"/>
  <c r="Y71" i="100"/>
  <c r="T71" i="100"/>
  <c r="O71" i="100"/>
  <c r="J71" i="100"/>
  <c r="DO70" i="100"/>
  <c r="DN70" i="100"/>
  <c r="DP70" i="100" s="1"/>
  <c r="DK70" i="100"/>
  <c r="DF70" i="100"/>
  <c r="DA70" i="100"/>
  <c r="CV70" i="100"/>
  <c r="CQ70" i="100"/>
  <c r="CL70" i="100"/>
  <c r="CG70" i="100"/>
  <c r="CB70" i="100"/>
  <c r="BW70" i="100"/>
  <c r="BM70" i="100"/>
  <c r="BN70" i="100" s="1"/>
  <c r="BH70" i="100"/>
  <c r="BB70" i="100"/>
  <c r="BA70" i="100"/>
  <c r="AS70" i="100"/>
  <c r="AN70" i="100"/>
  <c r="AI70" i="100"/>
  <c r="AD70" i="100"/>
  <c r="Y70" i="100"/>
  <c r="T70" i="100"/>
  <c r="O70" i="100"/>
  <c r="J70" i="100"/>
  <c r="DO69" i="100"/>
  <c r="DN69" i="100"/>
  <c r="DK69" i="100"/>
  <c r="DF69" i="100"/>
  <c r="DA69" i="100"/>
  <c r="CV69" i="100"/>
  <c r="CQ69" i="100"/>
  <c r="CL69" i="100"/>
  <c r="CG69" i="100"/>
  <c r="CG54" i="100" s="1"/>
  <c r="CB69" i="100"/>
  <c r="BW69" i="100"/>
  <c r="BM69" i="100"/>
  <c r="BN69" i="100" s="1"/>
  <c r="BH69" i="100"/>
  <c r="BB69" i="100"/>
  <c r="BA69" i="100"/>
  <c r="AS69" i="100"/>
  <c r="AN69" i="100"/>
  <c r="AI69" i="100"/>
  <c r="AD69" i="100"/>
  <c r="AD54" i="100" s="1"/>
  <c r="Y69" i="100"/>
  <c r="T69" i="100"/>
  <c r="O69" i="100"/>
  <c r="J69" i="100"/>
  <c r="DN68" i="100"/>
  <c r="DK68" i="100"/>
  <c r="DF68" i="100"/>
  <c r="DA68" i="100"/>
  <c r="CV68" i="100"/>
  <c r="CQ68" i="100"/>
  <c r="CL68" i="100"/>
  <c r="CG68" i="100"/>
  <c r="CB68" i="100"/>
  <c r="BW68" i="100"/>
  <c r="BM68" i="100"/>
  <c r="BN68" i="100" s="1"/>
  <c r="BH68" i="100"/>
  <c r="DO68" i="100"/>
  <c r="BB68" i="100"/>
  <c r="BA68" i="100"/>
  <c r="AS68" i="100"/>
  <c r="AN68" i="100"/>
  <c r="AI68" i="100"/>
  <c r="AD68" i="100"/>
  <c r="Y68" i="100"/>
  <c r="T68" i="100"/>
  <c r="O68" i="100"/>
  <c r="J68" i="100"/>
  <c r="DO67" i="100"/>
  <c r="DN67" i="100"/>
  <c r="DP67" i="100" s="1"/>
  <c r="DK67" i="100"/>
  <c r="DF67" i="100"/>
  <c r="DA67" i="100"/>
  <c r="CV67" i="100"/>
  <c r="CQ67" i="100"/>
  <c r="CL67" i="100"/>
  <c r="CG67" i="100"/>
  <c r="CB67" i="100"/>
  <c r="BW67" i="100"/>
  <c r="BM67" i="100"/>
  <c r="BN67" i="100" s="1"/>
  <c r="BH67" i="100"/>
  <c r="BB67" i="100"/>
  <c r="BA67" i="100"/>
  <c r="AS67" i="100"/>
  <c r="AN67" i="100"/>
  <c r="AI67" i="100"/>
  <c r="AD67" i="100"/>
  <c r="Y67" i="100"/>
  <c r="T67" i="100"/>
  <c r="O67" i="100"/>
  <c r="J67" i="100"/>
  <c r="DO66" i="100"/>
  <c r="DN66" i="100"/>
  <c r="DP66" i="100" s="1"/>
  <c r="DK66" i="100"/>
  <c r="DF66" i="100"/>
  <c r="DA66" i="100"/>
  <c r="CV66" i="100"/>
  <c r="CQ66" i="100"/>
  <c r="CL66" i="100"/>
  <c r="CG66" i="100"/>
  <c r="CB66" i="100"/>
  <c r="BW66" i="100"/>
  <c r="BM66" i="100"/>
  <c r="BN66" i="100" s="1"/>
  <c r="BH66" i="100"/>
  <c r="BB66" i="100"/>
  <c r="BA66" i="100"/>
  <c r="AS66" i="100"/>
  <c r="AN66" i="100"/>
  <c r="AI66" i="100"/>
  <c r="AD66" i="100"/>
  <c r="Y66" i="100"/>
  <c r="T66" i="100"/>
  <c r="O66" i="100"/>
  <c r="J66" i="100"/>
  <c r="DO65" i="100"/>
  <c r="DN65" i="100"/>
  <c r="DP65" i="100" s="1"/>
  <c r="DK65" i="100"/>
  <c r="DF65" i="100"/>
  <c r="DA65" i="100"/>
  <c r="CV65" i="100"/>
  <c r="CQ65" i="100"/>
  <c r="CL65" i="100"/>
  <c r="CG65" i="100"/>
  <c r="CB65" i="100"/>
  <c r="BW65" i="100"/>
  <c r="BM65" i="100"/>
  <c r="BN65" i="100" s="1"/>
  <c r="BH65" i="100"/>
  <c r="BB65" i="100"/>
  <c r="BA65" i="100"/>
  <c r="AS65" i="100"/>
  <c r="AN65" i="100"/>
  <c r="AI65" i="100"/>
  <c r="AD65" i="100"/>
  <c r="Y65" i="100"/>
  <c r="T65" i="100"/>
  <c r="O65" i="100"/>
  <c r="J65" i="100"/>
  <c r="DO64" i="100"/>
  <c r="DN64" i="100"/>
  <c r="DP64" i="100" s="1"/>
  <c r="DK64" i="100"/>
  <c r="DF64" i="100"/>
  <c r="DA64" i="100"/>
  <c r="CV64" i="100"/>
  <c r="CQ64" i="100"/>
  <c r="CL64" i="100"/>
  <c r="CG64" i="100"/>
  <c r="CB64" i="100"/>
  <c r="BW64" i="100"/>
  <c r="BM64" i="100"/>
  <c r="BN64" i="100" s="1"/>
  <c r="BH64" i="100"/>
  <c r="BB64" i="100"/>
  <c r="BA64" i="100"/>
  <c r="AS64" i="100"/>
  <c r="AN64" i="100"/>
  <c r="AI64" i="100"/>
  <c r="AD64" i="100"/>
  <c r="Y64" i="100"/>
  <c r="T64" i="100"/>
  <c r="O64" i="100"/>
  <c r="J64" i="100"/>
  <c r="DO63" i="100"/>
  <c r="DN63" i="100"/>
  <c r="DP63" i="100" s="1"/>
  <c r="DK63" i="100"/>
  <c r="DF63" i="100"/>
  <c r="DA63" i="100"/>
  <c r="CV63" i="100"/>
  <c r="CQ63" i="100"/>
  <c r="CL63" i="100"/>
  <c r="CG63" i="100"/>
  <c r="CB63" i="100"/>
  <c r="BW63" i="100"/>
  <c r="BM63" i="100"/>
  <c r="BN63" i="100" s="1"/>
  <c r="BH63" i="100"/>
  <c r="BB63" i="100"/>
  <c r="BA63" i="100"/>
  <c r="AS63" i="100"/>
  <c r="AN63" i="100"/>
  <c r="AI63" i="100"/>
  <c r="AD63" i="100"/>
  <c r="Y63" i="100"/>
  <c r="T63" i="100"/>
  <c r="O63" i="100"/>
  <c r="J63" i="100"/>
  <c r="DO62" i="100"/>
  <c r="DN62" i="100"/>
  <c r="DP62" i="100" s="1"/>
  <c r="DK62" i="100"/>
  <c r="DF62" i="100"/>
  <c r="DA62" i="100"/>
  <c r="CV62" i="100"/>
  <c r="CQ62" i="100"/>
  <c r="CL62" i="100"/>
  <c r="CG62" i="100"/>
  <c r="CB62" i="100"/>
  <c r="BW62" i="100"/>
  <c r="BM62" i="100"/>
  <c r="BN62" i="100" s="1"/>
  <c r="BH62" i="100"/>
  <c r="BB62" i="100"/>
  <c r="BA62" i="100"/>
  <c r="AS62" i="100"/>
  <c r="AN62" i="100"/>
  <c r="AI62" i="100"/>
  <c r="AD62" i="100"/>
  <c r="Y62" i="100"/>
  <c r="T62" i="100"/>
  <c r="O62" i="100"/>
  <c r="J62" i="100"/>
  <c r="DO61" i="100"/>
  <c r="DN61" i="100"/>
  <c r="DP61" i="100" s="1"/>
  <c r="DK61" i="100"/>
  <c r="DF61" i="100"/>
  <c r="DA61" i="100"/>
  <c r="CV61" i="100"/>
  <c r="CQ61" i="100"/>
  <c r="CL61" i="100"/>
  <c r="CG61" i="100"/>
  <c r="CB61" i="100"/>
  <c r="BW61" i="100"/>
  <c r="BM61" i="100"/>
  <c r="BN61" i="100" s="1"/>
  <c r="BH61" i="100"/>
  <c r="BB61" i="100"/>
  <c r="BA61" i="100"/>
  <c r="AS61" i="100"/>
  <c r="AN61" i="100"/>
  <c r="AI61" i="100"/>
  <c r="AD61" i="100"/>
  <c r="Y61" i="100"/>
  <c r="T61" i="100"/>
  <c r="O61" i="100"/>
  <c r="J61" i="100"/>
  <c r="DO60" i="100"/>
  <c r="DN60" i="100"/>
  <c r="DP60" i="100" s="1"/>
  <c r="DK60" i="100"/>
  <c r="DF60" i="100"/>
  <c r="DA60" i="100"/>
  <c r="CV60" i="100"/>
  <c r="CQ60" i="100"/>
  <c r="CL60" i="100"/>
  <c r="CG60" i="100"/>
  <c r="CB60" i="100"/>
  <c r="BW60" i="100"/>
  <c r="BM60" i="100"/>
  <c r="BN60" i="100" s="1"/>
  <c r="BH60" i="100"/>
  <c r="BB60" i="100"/>
  <c r="BA60" i="100"/>
  <c r="AS60" i="100"/>
  <c r="AN60" i="100"/>
  <c r="AI60" i="100"/>
  <c r="AD60" i="100"/>
  <c r="Y60" i="100"/>
  <c r="T60" i="100"/>
  <c r="O60" i="100"/>
  <c r="J60" i="100"/>
  <c r="DO59" i="100"/>
  <c r="DN59" i="100"/>
  <c r="DP59" i="100" s="1"/>
  <c r="DK59" i="100"/>
  <c r="DF59" i="100"/>
  <c r="DA59" i="100"/>
  <c r="CV59" i="100"/>
  <c r="CQ59" i="100"/>
  <c r="CL59" i="100"/>
  <c r="CG59" i="100"/>
  <c r="CB59" i="100"/>
  <c r="BW59" i="100"/>
  <c r="BM59" i="100"/>
  <c r="BN59" i="100" s="1"/>
  <c r="BH59" i="100"/>
  <c r="BB59" i="100"/>
  <c r="BA59" i="100"/>
  <c r="AS59" i="100"/>
  <c r="AN59" i="100"/>
  <c r="AI59" i="100"/>
  <c r="AD59" i="100"/>
  <c r="Y59" i="100"/>
  <c r="T59" i="100"/>
  <c r="O59" i="100"/>
  <c r="J59" i="100"/>
  <c r="DO58" i="100"/>
  <c r="DN58" i="100"/>
  <c r="DP58" i="100" s="1"/>
  <c r="DK58" i="100"/>
  <c r="DF58" i="100"/>
  <c r="DA58" i="100"/>
  <c r="CV58" i="100"/>
  <c r="CQ58" i="100"/>
  <c r="CL58" i="100"/>
  <c r="CG58" i="100"/>
  <c r="CB58" i="100"/>
  <c r="BW58" i="100"/>
  <c r="BM58" i="100"/>
  <c r="BN58" i="100" s="1"/>
  <c r="BH58" i="100"/>
  <c r="BB58" i="100"/>
  <c r="BA58" i="100"/>
  <c r="AS58" i="100"/>
  <c r="AN58" i="100"/>
  <c r="AI58" i="100"/>
  <c r="AD58" i="100"/>
  <c r="Y58" i="100"/>
  <c r="T58" i="100"/>
  <c r="O58" i="100"/>
  <c r="J58" i="100"/>
  <c r="DO57" i="100"/>
  <c r="DN57" i="100"/>
  <c r="DP57" i="100" s="1"/>
  <c r="DK57" i="100"/>
  <c r="DF57" i="100"/>
  <c r="DA57" i="100"/>
  <c r="CV57" i="100"/>
  <c r="CQ57" i="100"/>
  <c r="CL57" i="100"/>
  <c r="CG57" i="100"/>
  <c r="CB57" i="100"/>
  <c r="BW57" i="100"/>
  <c r="BM57" i="100"/>
  <c r="BN57" i="100" s="1"/>
  <c r="BH57" i="100"/>
  <c r="BB57" i="100"/>
  <c r="BA57" i="100"/>
  <c r="AS57" i="100"/>
  <c r="AN57" i="100"/>
  <c r="AI57" i="100"/>
  <c r="AD57" i="100"/>
  <c r="Y57" i="100"/>
  <c r="T57" i="100"/>
  <c r="O57" i="100"/>
  <c r="J57" i="100"/>
  <c r="DO56" i="100"/>
  <c r="DN56" i="100"/>
  <c r="DP56" i="100" s="1"/>
  <c r="DK56" i="100"/>
  <c r="DF56" i="100"/>
  <c r="DA56" i="100"/>
  <c r="CV56" i="100"/>
  <c r="CQ56" i="100"/>
  <c r="CL56" i="100"/>
  <c r="CG56" i="100"/>
  <c r="CB56" i="100"/>
  <c r="BW56" i="100"/>
  <c r="BM56" i="100"/>
  <c r="BN56" i="100" s="1"/>
  <c r="BH56" i="100"/>
  <c r="BB56" i="100"/>
  <c r="BA56" i="100"/>
  <c r="AS56" i="100"/>
  <c r="AN56" i="100"/>
  <c r="AI56" i="100"/>
  <c r="AD56" i="100"/>
  <c r="Y56" i="100"/>
  <c r="T56" i="100"/>
  <c r="O56" i="100"/>
  <c r="J56" i="100"/>
  <c r="DO55" i="100"/>
  <c r="DN55" i="100"/>
  <c r="DP55" i="100" s="1"/>
  <c r="DK55" i="100"/>
  <c r="DK54" i="100" s="1"/>
  <c r="DF55" i="100"/>
  <c r="DA55" i="100"/>
  <c r="CV55" i="100"/>
  <c r="CV54" i="100" s="1"/>
  <c r="CQ55" i="100"/>
  <c r="CL55" i="100"/>
  <c r="CG55" i="100"/>
  <c r="CB55" i="100"/>
  <c r="CB54" i="100" s="1"/>
  <c r="BW55" i="100"/>
  <c r="BM55" i="100"/>
  <c r="BN55" i="100" s="1"/>
  <c r="BH55" i="100"/>
  <c r="BB55" i="100"/>
  <c r="BA55" i="100"/>
  <c r="BA54" i="100" s="1"/>
  <c r="AS55" i="100"/>
  <c r="AN55" i="100"/>
  <c r="AN54" i="100" s="1"/>
  <c r="AI55" i="100"/>
  <c r="AI54" i="100" s="1"/>
  <c r="AD55" i="100"/>
  <c r="Y55" i="100"/>
  <c r="Y54" i="100" s="1"/>
  <c r="T55" i="100"/>
  <c r="O55" i="100"/>
  <c r="J55" i="100"/>
  <c r="J54" i="100" s="1"/>
  <c r="DJ54" i="100"/>
  <c r="DI54" i="100"/>
  <c r="DE54" i="100"/>
  <c r="DD54" i="100"/>
  <c r="CZ54" i="100"/>
  <c r="CY54" i="100"/>
  <c r="CU54" i="100"/>
  <c r="CT54" i="100"/>
  <c r="CQ54" i="100"/>
  <c r="CP54" i="100"/>
  <c r="CO54" i="100"/>
  <c r="CL54" i="100"/>
  <c r="CK54" i="100"/>
  <c r="CJ54" i="100"/>
  <c r="CF54" i="100"/>
  <c r="CE54" i="100"/>
  <c r="CA54" i="100"/>
  <c r="BZ54" i="100"/>
  <c r="BV54" i="100"/>
  <c r="BU54" i="100"/>
  <c r="BL54" i="100"/>
  <c r="BK54" i="100"/>
  <c r="BG54" i="100"/>
  <c r="BF54" i="100"/>
  <c r="AS54" i="100"/>
  <c r="AR54" i="100"/>
  <c r="AQ54" i="100"/>
  <c r="AM54" i="100"/>
  <c r="AL54" i="100"/>
  <c r="AH54" i="100"/>
  <c r="AG54" i="100"/>
  <c r="AC54" i="100"/>
  <c r="AB54" i="100"/>
  <c r="X54" i="100"/>
  <c r="W54" i="100"/>
  <c r="S54" i="100"/>
  <c r="R54" i="100"/>
  <c r="O54" i="100"/>
  <c r="N54" i="100"/>
  <c r="M54" i="100"/>
  <c r="I54" i="100"/>
  <c r="H54" i="100"/>
  <c r="DO52" i="100"/>
  <c r="DN52" i="100"/>
  <c r="DK52" i="100"/>
  <c r="DF52" i="100"/>
  <c r="DA52" i="100"/>
  <c r="CV52" i="100"/>
  <c r="CQ52" i="100"/>
  <c r="CL52" i="100"/>
  <c r="CG52" i="100"/>
  <c r="CB52" i="100"/>
  <c r="BW52" i="100"/>
  <c r="BM52" i="100"/>
  <c r="BN52" i="100" s="1"/>
  <c r="BH52" i="100"/>
  <c r="BC52" i="100"/>
  <c r="BB52" i="100"/>
  <c r="BA52" i="100"/>
  <c r="AS52" i="100"/>
  <c r="AN52" i="100"/>
  <c r="AI52" i="100"/>
  <c r="AD52" i="100"/>
  <c r="Y52" i="100"/>
  <c r="T52" i="100"/>
  <c r="O52" i="100"/>
  <c r="J52" i="100"/>
  <c r="DO51" i="100"/>
  <c r="DN51" i="100"/>
  <c r="DK51" i="100"/>
  <c r="DF51" i="100"/>
  <c r="DF50" i="100" s="1"/>
  <c r="DA51" i="100"/>
  <c r="CV51" i="100"/>
  <c r="CQ51" i="100"/>
  <c r="CL51" i="100"/>
  <c r="CG51" i="100"/>
  <c r="CB51" i="100"/>
  <c r="CB50" i="100" s="1"/>
  <c r="BW51" i="100"/>
  <c r="BM51" i="100"/>
  <c r="BN51" i="100" s="1"/>
  <c r="BH51" i="100"/>
  <c r="BC51" i="100"/>
  <c r="BB51" i="100"/>
  <c r="BA51" i="100"/>
  <c r="AS51" i="100"/>
  <c r="AN51" i="100"/>
  <c r="AI51" i="100"/>
  <c r="AI50" i="100" s="1"/>
  <c r="AD51" i="100"/>
  <c r="Y51" i="100"/>
  <c r="T51" i="100"/>
  <c r="O51" i="100"/>
  <c r="J51" i="100"/>
  <c r="DJ50" i="100"/>
  <c r="DI50" i="100"/>
  <c r="DE50" i="100"/>
  <c r="DD50" i="100"/>
  <c r="CZ50" i="100"/>
  <c r="CY50" i="100"/>
  <c r="CU50" i="100"/>
  <c r="CT50" i="100"/>
  <c r="CQ50" i="100"/>
  <c r="CP50" i="100"/>
  <c r="CO50" i="100"/>
  <c r="CK50" i="100"/>
  <c r="CJ50" i="100"/>
  <c r="CF50" i="100"/>
  <c r="CE50" i="100"/>
  <c r="CA50" i="100"/>
  <c r="BZ50" i="100"/>
  <c r="BV50" i="100"/>
  <c r="BU50" i="100"/>
  <c r="BL50" i="100"/>
  <c r="BK50" i="100"/>
  <c r="BG50" i="100"/>
  <c r="BF50" i="100"/>
  <c r="BB50" i="100"/>
  <c r="BA50" i="100"/>
  <c r="AR50" i="100"/>
  <c r="AQ50" i="100"/>
  <c r="AM50" i="100"/>
  <c r="AL50" i="100"/>
  <c r="AH50" i="100"/>
  <c r="AG50" i="100"/>
  <c r="AC50" i="100"/>
  <c r="AB50" i="100"/>
  <c r="X50" i="100"/>
  <c r="W50" i="100"/>
  <c r="T50" i="100"/>
  <c r="S50" i="100"/>
  <c r="R50" i="100"/>
  <c r="N50" i="100"/>
  <c r="M50" i="100"/>
  <c r="I50" i="100"/>
  <c r="H50" i="100"/>
  <c r="DO48" i="100"/>
  <c r="DN48" i="100"/>
  <c r="DP48" i="100" s="1"/>
  <c r="DK48" i="100"/>
  <c r="DF48" i="100"/>
  <c r="DA48" i="100"/>
  <c r="CV48" i="100"/>
  <c r="CV41" i="100" s="1"/>
  <c r="CQ48" i="100"/>
  <c r="CL48" i="100"/>
  <c r="CG48" i="100"/>
  <c r="CB48" i="100"/>
  <c r="BW48" i="100"/>
  <c r="BM48" i="100"/>
  <c r="BN48" i="100" s="1"/>
  <c r="BH48" i="100"/>
  <c r="BB48" i="100"/>
  <c r="BA48" i="100"/>
  <c r="AS48" i="100"/>
  <c r="AN48" i="100"/>
  <c r="AI48" i="100"/>
  <c r="AD48" i="100"/>
  <c r="Y48" i="100"/>
  <c r="T48" i="100"/>
  <c r="O48" i="100"/>
  <c r="J48" i="100"/>
  <c r="DO47" i="100"/>
  <c r="DN47" i="100"/>
  <c r="DK47" i="100"/>
  <c r="DF47" i="100"/>
  <c r="DA47" i="100"/>
  <c r="CV47" i="100"/>
  <c r="CQ47" i="100"/>
  <c r="CL47" i="100"/>
  <c r="CG47" i="100"/>
  <c r="CB47" i="100"/>
  <c r="BW47" i="100"/>
  <c r="BM47" i="100"/>
  <c r="BN47" i="100" s="1"/>
  <c r="BH47" i="100"/>
  <c r="BB47" i="100"/>
  <c r="BA47" i="100"/>
  <c r="BC47" i="100" s="1"/>
  <c r="AS47" i="100"/>
  <c r="AN47" i="100"/>
  <c r="AI47" i="100"/>
  <c r="AD47" i="100"/>
  <c r="Y47" i="100"/>
  <c r="T47" i="100"/>
  <c r="O47" i="100"/>
  <c r="J47" i="100"/>
  <c r="DO46" i="100"/>
  <c r="DN46" i="100"/>
  <c r="DP46" i="100" s="1"/>
  <c r="DK46" i="100"/>
  <c r="DF46" i="100"/>
  <c r="DA46" i="100"/>
  <c r="CV46" i="100"/>
  <c r="CQ46" i="100"/>
  <c r="CL46" i="100"/>
  <c r="CG46" i="100"/>
  <c r="CB46" i="100"/>
  <c r="BW46" i="100"/>
  <c r="BN46" i="100"/>
  <c r="BM46" i="100"/>
  <c r="BH46" i="100"/>
  <c r="BB46" i="100"/>
  <c r="BA46" i="100"/>
  <c r="BC46" i="100" s="1"/>
  <c r="AS46" i="100"/>
  <c r="AN46" i="100"/>
  <c r="AI46" i="100"/>
  <c r="AD46" i="100"/>
  <c r="Y46" i="100"/>
  <c r="T46" i="100"/>
  <c r="O46" i="100"/>
  <c r="J46" i="100"/>
  <c r="DO45" i="100"/>
  <c r="DN45" i="100"/>
  <c r="DK45" i="100"/>
  <c r="DF45" i="100"/>
  <c r="DA45" i="100"/>
  <c r="CV45" i="100"/>
  <c r="CQ45" i="100"/>
  <c r="CL45" i="100"/>
  <c r="CG45" i="100"/>
  <c r="CB45" i="100"/>
  <c r="BW45" i="100"/>
  <c r="BM45" i="100"/>
  <c r="BH45" i="100"/>
  <c r="BB45" i="100"/>
  <c r="BA45" i="100"/>
  <c r="AS45" i="100"/>
  <c r="AN45" i="100"/>
  <c r="AI45" i="100"/>
  <c r="AD45" i="100"/>
  <c r="Y45" i="100"/>
  <c r="T45" i="100"/>
  <c r="O45" i="100"/>
  <c r="J45" i="100"/>
  <c r="DO44" i="100"/>
  <c r="DN44" i="100"/>
  <c r="DK44" i="100"/>
  <c r="DF44" i="100"/>
  <c r="DA44" i="100"/>
  <c r="CV44" i="100"/>
  <c r="CQ44" i="100"/>
  <c r="CL44" i="100"/>
  <c r="CG44" i="100"/>
  <c r="CB44" i="100"/>
  <c r="BW44" i="100"/>
  <c r="BM44" i="100"/>
  <c r="BN44" i="100" s="1"/>
  <c r="BH44" i="100"/>
  <c r="BB44" i="100"/>
  <c r="BA44" i="100"/>
  <c r="BC44" i="100" s="1"/>
  <c r="AS44" i="100"/>
  <c r="AN44" i="100"/>
  <c r="AI44" i="100"/>
  <c r="AD44" i="100"/>
  <c r="Y44" i="100"/>
  <c r="T44" i="100"/>
  <c r="O44" i="100"/>
  <c r="J44" i="100"/>
  <c r="DO43" i="100"/>
  <c r="DN43" i="100"/>
  <c r="DK43" i="100"/>
  <c r="DF43" i="100"/>
  <c r="DA43" i="100"/>
  <c r="CV43" i="100"/>
  <c r="CQ43" i="100"/>
  <c r="CL43" i="100"/>
  <c r="CG43" i="100"/>
  <c r="CB43" i="100"/>
  <c r="BW43" i="100"/>
  <c r="BM43" i="100"/>
  <c r="BN43" i="100" s="1"/>
  <c r="BH43" i="100"/>
  <c r="BB43" i="100"/>
  <c r="BA43" i="100"/>
  <c r="BC43" i="100" s="1"/>
  <c r="AS43" i="100"/>
  <c r="AN43" i="100"/>
  <c r="AI43" i="100"/>
  <c r="AD43" i="100"/>
  <c r="Y43" i="100"/>
  <c r="T43" i="100"/>
  <c r="O43" i="100"/>
  <c r="J43" i="100"/>
  <c r="DO42" i="100"/>
  <c r="DN42" i="100"/>
  <c r="DK42" i="100"/>
  <c r="DK41" i="100" s="1"/>
  <c r="DF42" i="100"/>
  <c r="DA42" i="100"/>
  <c r="CV42" i="100"/>
  <c r="CQ42" i="100"/>
  <c r="CL42" i="100"/>
  <c r="CG42" i="100"/>
  <c r="CB42" i="100"/>
  <c r="CB41" i="100" s="1"/>
  <c r="BW42" i="100"/>
  <c r="BM42" i="100"/>
  <c r="BN42" i="100" s="1"/>
  <c r="BH42" i="100"/>
  <c r="BB42" i="100"/>
  <c r="BA42" i="100"/>
  <c r="BC42" i="100" s="1"/>
  <c r="AS42" i="100"/>
  <c r="AN42" i="100"/>
  <c r="AN41" i="100" s="1"/>
  <c r="AI42" i="100"/>
  <c r="AD42" i="100"/>
  <c r="Y42" i="100"/>
  <c r="T42" i="100"/>
  <c r="O42" i="100"/>
  <c r="J42" i="100"/>
  <c r="J41" i="100" s="1"/>
  <c r="DO41" i="100"/>
  <c r="DJ41" i="100"/>
  <c r="DI41" i="100"/>
  <c r="DF41" i="100"/>
  <c r="DE41" i="100"/>
  <c r="DD41" i="100"/>
  <c r="CZ41" i="100"/>
  <c r="CY41" i="100"/>
  <c r="CU41" i="100"/>
  <c r="CT41" i="100"/>
  <c r="CP41" i="100"/>
  <c r="CO41" i="100"/>
  <c r="CK41" i="100"/>
  <c r="CJ41" i="100"/>
  <c r="CG41" i="100"/>
  <c r="CF41" i="100"/>
  <c r="CE41" i="100"/>
  <c r="CA41" i="100"/>
  <c r="BZ41" i="100"/>
  <c r="BV41" i="100"/>
  <c r="BU41" i="100"/>
  <c r="BL41" i="100"/>
  <c r="BK41" i="100"/>
  <c r="BG41" i="100"/>
  <c r="BF41" i="100"/>
  <c r="AR41" i="100"/>
  <c r="AQ41" i="100"/>
  <c r="AM41" i="100"/>
  <c r="AL41" i="100"/>
  <c r="AH41" i="100"/>
  <c r="AG41" i="100"/>
  <c r="AC41" i="100"/>
  <c r="AB41" i="100"/>
  <c r="X41" i="100"/>
  <c r="W41" i="100"/>
  <c r="S41" i="100"/>
  <c r="R41" i="100"/>
  <c r="N41" i="100"/>
  <c r="M41" i="100"/>
  <c r="I41" i="100"/>
  <c r="H41" i="100"/>
  <c r="BN40" i="100"/>
  <c r="DK36" i="100"/>
  <c r="DF36" i="100"/>
  <c r="DF35" i="100" s="1"/>
  <c r="DA36" i="100"/>
  <c r="CV36" i="100"/>
  <c r="CQ36" i="100"/>
  <c r="CQ35" i="100" s="1"/>
  <c r="CL36" i="100"/>
  <c r="CG36" i="100"/>
  <c r="CB36" i="100"/>
  <c r="CB35" i="100" s="1"/>
  <c r="BW36" i="100"/>
  <c r="BM36" i="100"/>
  <c r="BN36" i="100" s="1"/>
  <c r="BH36" i="100"/>
  <c r="BB36" i="100"/>
  <c r="BB35" i="100" s="1"/>
  <c r="BA36" i="100"/>
  <c r="AS36" i="100"/>
  <c r="AM36" i="100"/>
  <c r="AM36" i="125" s="1"/>
  <c r="AM35" i="125" s="1"/>
  <c r="AL36" i="100"/>
  <c r="AL35" i="100" s="1"/>
  <c r="AI36" i="100"/>
  <c r="AD36" i="100"/>
  <c r="AD35" i="100" s="1"/>
  <c r="Y36" i="100"/>
  <c r="T36" i="100"/>
  <c r="O36" i="100"/>
  <c r="J36" i="100"/>
  <c r="DK35" i="100"/>
  <c r="DJ35" i="100"/>
  <c r="DI35" i="100"/>
  <c r="DE35" i="100"/>
  <c r="DD35" i="100"/>
  <c r="CZ35" i="100"/>
  <c r="CY35" i="100"/>
  <c r="CV35" i="100"/>
  <c r="CU35" i="100"/>
  <c r="CT35" i="100"/>
  <c r="CP35" i="100"/>
  <c r="CO35" i="100"/>
  <c r="CK35" i="100"/>
  <c r="CJ35" i="100"/>
  <c r="CG35" i="100"/>
  <c r="CF35" i="100"/>
  <c r="CE35" i="100"/>
  <c r="CA35" i="100"/>
  <c r="BZ35" i="100"/>
  <c r="BV35" i="100"/>
  <c r="BU35" i="100"/>
  <c r="BM35" i="100"/>
  <c r="BN35" i="100" s="1"/>
  <c r="BL35" i="100"/>
  <c r="BK35" i="100"/>
  <c r="BG35" i="100"/>
  <c r="BF35" i="100"/>
  <c r="BA35" i="100"/>
  <c r="AS35" i="100"/>
  <c r="AR35" i="100"/>
  <c r="AQ35" i="100"/>
  <c r="AI35" i="100"/>
  <c r="AH35" i="100"/>
  <c r="AG35" i="100"/>
  <c r="AC35" i="100"/>
  <c r="AB35" i="100"/>
  <c r="Y35" i="100"/>
  <c r="X35" i="100"/>
  <c r="W35" i="100"/>
  <c r="S35" i="100"/>
  <c r="R35" i="100"/>
  <c r="O35" i="100"/>
  <c r="N35" i="100"/>
  <c r="M35" i="100"/>
  <c r="J35" i="100"/>
  <c r="I35" i="100"/>
  <c r="H35" i="100"/>
  <c r="DK33" i="100"/>
  <c r="DF33" i="100"/>
  <c r="DA33" i="100"/>
  <c r="CV33" i="100"/>
  <c r="CQ33" i="100"/>
  <c r="CL33" i="100"/>
  <c r="CG33" i="100"/>
  <c r="CB33" i="100"/>
  <c r="BW33" i="100"/>
  <c r="BM33" i="100"/>
  <c r="BN33" i="100" s="1"/>
  <c r="BH33" i="100"/>
  <c r="BB33" i="100"/>
  <c r="BA33" i="100"/>
  <c r="AS33" i="100"/>
  <c r="AN33" i="100"/>
  <c r="AI33" i="100"/>
  <c r="AD33" i="100"/>
  <c r="Y33" i="100"/>
  <c r="T33" i="100"/>
  <c r="O33" i="100"/>
  <c r="J33" i="100"/>
  <c r="DK32" i="100"/>
  <c r="DF32" i="100"/>
  <c r="DA32" i="100"/>
  <c r="CV32" i="100"/>
  <c r="CQ32" i="100"/>
  <c r="CL32" i="100"/>
  <c r="CG32" i="100"/>
  <c r="CB32" i="100"/>
  <c r="BW32" i="100"/>
  <c r="BM32" i="100"/>
  <c r="BN32" i="100" s="1"/>
  <c r="BH32" i="100"/>
  <c r="BB32" i="100"/>
  <c r="BA32" i="100"/>
  <c r="AR32" i="100"/>
  <c r="AQ32" i="100"/>
  <c r="AN32" i="100"/>
  <c r="AI32" i="100"/>
  <c r="AD32" i="100"/>
  <c r="Y32" i="100"/>
  <c r="T32" i="100"/>
  <c r="O32" i="100"/>
  <c r="J32" i="100"/>
  <c r="DP31" i="100"/>
  <c r="DK31" i="100"/>
  <c r="DF31" i="100"/>
  <c r="DA31" i="100"/>
  <c r="CV31" i="100"/>
  <c r="CQ31" i="100"/>
  <c r="CL31" i="100"/>
  <c r="CG31" i="100"/>
  <c r="CB31" i="100"/>
  <c r="BW31" i="100"/>
  <c r="BM31" i="100"/>
  <c r="BN31" i="100" s="1"/>
  <c r="BH31" i="100"/>
  <c r="BB31" i="100"/>
  <c r="BA31" i="100"/>
  <c r="AS31" i="100"/>
  <c r="AN31" i="100"/>
  <c r="AI31" i="100"/>
  <c r="AD31" i="100"/>
  <c r="Y31" i="100"/>
  <c r="T31" i="100"/>
  <c r="O31" i="100"/>
  <c r="J31" i="100"/>
  <c r="DP30" i="100"/>
  <c r="DK30" i="100"/>
  <c r="DF30" i="100"/>
  <c r="DA30" i="100"/>
  <c r="CV30" i="100"/>
  <c r="CQ30" i="100"/>
  <c r="CL30" i="100"/>
  <c r="CG30" i="100"/>
  <c r="CB30" i="100"/>
  <c r="BW30" i="100"/>
  <c r="BM30" i="100"/>
  <c r="BN30" i="100" s="1"/>
  <c r="BH30" i="100"/>
  <c r="BB30" i="100"/>
  <c r="BA30" i="100"/>
  <c r="AS30" i="100"/>
  <c r="AN30" i="100"/>
  <c r="AI30" i="100"/>
  <c r="AD30" i="100"/>
  <c r="Y30" i="100"/>
  <c r="T30" i="100"/>
  <c r="O30" i="100"/>
  <c r="J30" i="100"/>
  <c r="DK29" i="100"/>
  <c r="DF29" i="100"/>
  <c r="DA29" i="100"/>
  <c r="CV29" i="100"/>
  <c r="CQ29" i="100"/>
  <c r="CL29" i="100"/>
  <c r="CG29" i="100"/>
  <c r="CB29" i="100"/>
  <c r="BW29" i="100"/>
  <c r="BM29" i="100"/>
  <c r="BN29" i="100" s="1"/>
  <c r="BH29" i="100"/>
  <c r="BB29" i="100"/>
  <c r="BA29" i="100"/>
  <c r="AS29" i="100"/>
  <c r="AQ29" i="100"/>
  <c r="AN29" i="100"/>
  <c r="AI29" i="100"/>
  <c r="AD29" i="100"/>
  <c r="Y29" i="100"/>
  <c r="T29" i="100"/>
  <c r="O29" i="100"/>
  <c r="J29" i="100"/>
  <c r="DK28" i="100"/>
  <c r="DF28" i="100"/>
  <c r="DA28" i="100"/>
  <c r="CV28" i="100"/>
  <c r="CQ28" i="100"/>
  <c r="CL28" i="100"/>
  <c r="CG28" i="100"/>
  <c r="CB28" i="100"/>
  <c r="BW28" i="100"/>
  <c r="BM28" i="100"/>
  <c r="BN28" i="100" s="1"/>
  <c r="BF28" i="100"/>
  <c r="BB28" i="100"/>
  <c r="AR28" i="100"/>
  <c r="AQ28" i="100"/>
  <c r="AL28" i="100"/>
  <c r="AG28" i="100"/>
  <c r="AD28" i="100"/>
  <c r="X28" i="100"/>
  <c r="W28" i="100"/>
  <c r="R28" i="100"/>
  <c r="R8" i="100" s="1"/>
  <c r="N28" i="100"/>
  <c r="O28" i="100" s="1"/>
  <c r="J28" i="100"/>
  <c r="DK27" i="100"/>
  <c r="DF27" i="100"/>
  <c r="DA27" i="100"/>
  <c r="CV27" i="100"/>
  <c r="CQ27" i="100"/>
  <c r="CL27" i="100"/>
  <c r="CG27" i="100"/>
  <c r="CB27" i="100"/>
  <c r="BW27" i="100"/>
  <c r="BM27" i="100"/>
  <c r="BN27" i="100" s="1"/>
  <c r="BH27" i="100"/>
  <c r="BB27" i="100"/>
  <c r="BA27" i="100"/>
  <c r="AS27" i="100"/>
  <c r="AQ27" i="100"/>
  <c r="AQ8" i="100" s="1"/>
  <c r="AN27" i="100"/>
  <c r="AI27" i="100"/>
  <c r="AD27" i="100"/>
  <c r="Y27" i="100"/>
  <c r="T27" i="100"/>
  <c r="O27" i="100"/>
  <c r="J27" i="100"/>
  <c r="DK26" i="100"/>
  <c r="DF26" i="100"/>
  <c r="DA26" i="100"/>
  <c r="CV26" i="100"/>
  <c r="CQ26" i="100"/>
  <c r="CL26" i="100"/>
  <c r="CG26" i="100"/>
  <c r="CB26" i="100"/>
  <c r="BW26" i="100"/>
  <c r="BN26" i="100"/>
  <c r="BM26" i="100"/>
  <c r="BH26" i="100"/>
  <c r="BB26" i="100"/>
  <c r="BA26" i="100"/>
  <c r="AS26" i="100"/>
  <c r="AN26" i="100"/>
  <c r="AI26" i="100"/>
  <c r="AD26" i="100"/>
  <c r="Y26" i="100"/>
  <c r="T26" i="100"/>
  <c r="O26" i="100"/>
  <c r="J26" i="100"/>
  <c r="DK25" i="100"/>
  <c r="DF25" i="100"/>
  <c r="DA25" i="100"/>
  <c r="CV25" i="100"/>
  <c r="CQ25" i="100"/>
  <c r="CL25" i="100"/>
  <c r="CG25" i="100"/>
  <c r="CB25" i="100"/>
  <c r="BW25" i="100"/>
  <c r="BN25" i="100"/>
  <c r="BM25" i="100"/>
  <c r="BH25" i="100"/>
  <c r="BB25" i="100"/>
  <c r="BC25" i="100" s="1"/>
  <c r="BA25" i="100"/>
  <c r="AQ25" i="100"/>
  <c r="AS25" i="100" s="1"/>
  <c r="AN25" i="100"/>
  <c r="AI25" i="100"/>
  <c r="AD25" i="100"/>
  <c r="Y25" i="100"/>
  <c r="T25" i="100"/>
  <c r="O25" i="100"/>
  <c r="J25" i="100"/>
  <c r="DP24" i="100"/>
  <c r="DK24" i="100"/>
  <c r="DF24" i="100"/>
  <c r="DA24" i="100"/>
  <c r="CV24" i="100"/>
  <c r="CQ24" i="100"/>
  <c r="CL24" i="100"/>
  <c r="CG24" i="100"/>
  <c r="CB24" i="100"/>
  <c r="BW24" i="100"/>
  <c r="BM24" i="100"/>
  <c r="BN24" i="100" s="1"/>
  <c r="BH24" i="100"/>
  <c r="BB24" i="100"/>
  <c r="BA24" i="100"/>
  <c r="AS24" i="100"/>
  <c r="AN24" i="100"/>
  <c r="AI24" i="100"/>
  <c r="AD24" i="100"/>
  <c r="Y24" i="100"/>
  <c r="T24" i="100"/>
  <c r="O24" i="100"/>
  <c r="J24" i="100"/>
  <c r="DK23" i="100"/>
  <c r="DF23" i="100"/>
  <c r="DA23" i="100"/>
  <c r="CV23" i="100"/>
  <c r="CQ23" i="100"/>
  <c r="CL23" i="100"/>
  <c r="CG23" i="100"/>
  <c r="CB23" i="100"/>
  <c r="BW23" i="100"/>
  <c r="BM23" i="100"/>
  <c r="BN23" i="100" s="1"/>
  <c r="BB23" i="100"/>
  <c r="BA23" i="100"/>
  <c r="DK22" i="100"/>
  <c r="DF22" i="100"/>
  <c r="DA22" i="100"/>
  <c r="CV22" i="100"/>
  <c r="CQ22" i="100"/>
  <c r="CL22" i="100"/>
  <c r="CG22" i="100"/>
  <c r="CB22" i="100"/>
  <c r="BW22" i="100"/>
  <c r="BM22" i="100"/>
  <c r="BN22" i="100" s="1"/>
  <c r="BB22" i="100"/>
  <c r="BA22" i="100"/>
  <c r="DP21" i="100"/>
  <c r="DK21" i="100"/>
  <c r="DF21" i="100"/>
  <c r="DA21" i="100"/>
  <c r="CV21" i="100"/>
  <c r="CQ21" i="100"/>
  <c r="CL21" i="100"/>
  <c r="CG21" i="100"/>
  <c r="CB21" i="100"/>
  <c r="BW21" i="100"/>
  <c r="BM21" i="100"/>
  <c r="BN21" i="100" s="1"/>
  <c r="BH21" i="100"/>
  <c r="BB21" i="100"/>
  <c r="BA21" i="100"/>
  <c r="AS21" i="100"/>
  <c r="AN21" i="100"/>
  <c r="AI21" i="100"/>
  <c r="AD21" i="100"/>
  <c r="Y21" i="100"/>
  <c r="T21" i="100"/>
  <c r="O21" i="100"/>
  <c r="J21" i="100"/>
  <c r="DK20" i="100"/>
  <c r="DF20" i="100"/>
  <c r="DA20" i="100"/>
  <c r="CV20" i="100"/>
  <c r="CQ20" i="100"/>
  <c r="CL20" i="100"/>
  <c r="CG20" i="100"/>
  <c r="CB20" i="100"/>
  <c r="BW20" i="100"/>
  <c r="BM20" i="100"/>
  <c r="BN20" i="100" s="1"/>
  <c r="BH20" i="100"/>
  <c r="BB20" i="100"/>
  <c r="BA20" i="100"/>
  <c r="BC20" i="100" s="1"/>
  <c r="AS20" i="100"/>
  <c r="AN20" i="100"/>
  <c r="AI20" i="100"/>
  <c r="AD20" i="100"/>
  <c r="Y20" i="100"/>
  <c r="T20" i="100"/>
  <c r="O20" i="100"/>
  <c r="J20" i="100"/>
  <c r="DP19" i="100"/>
  <c r="DK19" i="100"/>
  <c r="DF19" i="100"/>
  <c r="DA19" i="100"/>
  <c r="CV19" i="100"/>
  <c r="CQ19" i="100"/>
  <c r="CL19" i="100"/>
  <c r="CG19" i="100"/>
  <c r="CB19" i="100"/>
  <c r="BW19" i="100"/>
  <c r="BM19" i="100"/>
  <c r="BN19" i="100" s="1"/>
  <c r="BH19" i="100"/>
  <c r="BB19" i="100"/>
  <c r="BA19" i="100"/>
  <c r="AS19" i="100"/>
  <c r="AN19" i="100"/>
  <c r="AI19" i="100"/>
  <c r="AD19" i="100"/>
  <c r="Y19" i="100"/>
  <c r="T19" i="100"/>
  <c r="O19" i="100"/>
  <c r="J19" i="100"/>
  <c r="DP18" i="100"/>
  <c r="DK18" i="100"/>
  <c r="DF18" i="100"/>
  <c r="DA18" i="100"/>
  <c r="CV18" i="100"/>
  <c r="CQ18" i="100"/>
  <c r="CL18" i="100"/>
  <c r="CG18" i="100"/>
  <c r="CB18" i="100"/>
  <c r="BW18" i="100"/>
  <c r="BM18" i="100"/>
  <c r="BN18" i="100" s="1"/>
  <c r="BH18" i="100"/>
  <c r="BB18" i="100"/>
  <c r="BA18" i="100"/>
  <c r="AS18" i="100"/>
  <c r="AN18" i="100"/>
  <c r="AI18" i="100"/>
  <c r="AD18" i="100"/>
  <c r="Y18" i="100"/>
  <c r="T18" i="100"/>
  <c r="N18" i="100"/>
  <c r="O18" i="100" s="1"/>
  <c r="H18" i="100"/>
  <c r="J18" i="100" s="1"/>
  <c r="DP17" i="100"/>
  <c r="DK17" i="100"/>
  <c r="DF17" i="100"/>
  <c r="DA17" i="100"/>
  <c r="CV17" i="100"/>
  <c r="CQ17" i="100"/>
  <c r="CL17" i="100"/>
  <c r="CG17" i="100"/>
  <c r="CB17" i="100"/>
  <c r="BW17" i="100"/>
  <c r="BM17" i="100"/>
  <c r="BN17" i="100" s="1"/>
  <c r="BH17" i="100"/>
  <c r="BB17" i="100"/>
  <c r="BA17" i="100"/>
  <c r="BC17" i="100" s="1"/>
  <c r="AS17" i="100"/>
  <c r="AN17" i="100"/>
  <c r="AI17" i="100"/>
  <c r="AD17" i="100"/>
  <c r="Y17" i="100"/>
  <c r="T17" i="100"/>
  <c r="O17" i="100"/>
  <c r="J17" i="100"/>
  <c r="DK16" i="100"/>
  <c r="DF16" i="100"/>
  <c r="DA16" i="100"/>
  <c r="CV16" i="100"/>
  <c r="CQ16" i="100"/>
  <c r="CL16" i="100"/>
  <c r="CG16" i="100"/>
  <c r="CB16" i="100"/>
  <c r="BW16" i="100"/>
  <c r="BM16" i="100"/>
  <c r="BN16" i="100" s="1"/>
  <c r="BH16" i="100"/>
  <c r="BB16" i="100"/>
  <c r="BA16" i="100"/>
  <c r="BC16" i="100" s="1"/>
  <c r="AS16" i="100"/>
  <c r="AN16" i="100"/>
  <c r="AI16" i="100"/>
  <c r="AD16" i="100"/>
  <c r="Y16" i="100"/>
  <c r="T16" i="100"/>
  <c r="O16" i="100"/>
  <c r="J16" i="100"/>
  <c r="DK15" i="100"/>
  <c r="DF15" i="100"/>
  <c r="DA15" i="100"/>
  <c r="CV15" i="100"/>
  <c r="CQ15" i="100"/>
  <c r="CL15" i="100"/>
  <c r="CG15" i="100"/>
  <c r="CB15" i="100"/>
  <c r="BW15" i="100"/>
  <c r="BM15" i="100"/>
  <c r="BN15" i="100" s="1"/>
  <c r="BH15" i="100"/>
  <c r="BB15" i="100"/>
  <c r="BA15" i="100"/>
  <c r="AS15" i="100"/>
  <c r="AN15" i="100"/>
  <c r="AI15" i="100"/>
  <c r="AD15" i="100"/>
  <c r="Y15" i="100"/>
  <c r="T15" i="100"/>
  <c r="O15" i="100"/>
  <c r="J15" i="100"/>
  <c r="DK14" i="100"/>
  <c r="DF14" i="100"/>
  <c r="DA14" i="100"/>
  <c r="CV14" i="100"/>
  <c r="CQ14" i="100"/>
  <c r="CL14" i="100"/>
  <c r="CG14" i="100"/>
  <c r="CB14" i="100"/>
  <c r="BW14" i="100"/>
  <c r="BM14" i="100"/>
  <c r="BN14" i="100" s="1"/>
  <c r="BH14" i="100"/>
  <c r="BB14" i="100"/>
  <c r="BA14" i="100"/>
  <c r="AS14" i="100"/>
  <c r="AN14" i="100"/>
  <c r="AI14" i="100"/>
  <c r="AD14" i="100"/>
  <c r="Y14" i="100"/>
  <c r="T14" i="100"/>
  <c r="O14" i="100"/>
  <c r="J14" i="100"/>
  <c r="DK13" i="100"/>
  <c r="DF13" i="100"/>
  <c r="DA13" i="100"/>
  <c r="CV13" i="100"/>
  <c r="CQ13" i="100"/>
  <c r="CL13" i="100"/>
  <c r="CG13" i="100"/>
  <c r="CB13" i="100"/>
  <c r="BW13" i="100"/>
  <c r="BM13" i="100"/>
  <c r="BN13" i="100" s="1"/>
  <c r="BH13" i="100"/>
  <c r="BB13" i="100"/>
  <c r="BA13" i="100"/>
  <c r="AS13" i="100"/>
  <c r="AN13" i="100"/>
  <c r="AI13" i="100"/>
  <c r="AD13" i="100"/>
  <c r="Y13" i="100"/>
  <c r="T13" i="100"/>
  <c r="O13" i="100"/>
  <c r="J13" i="100"/>
  <c r="DK12" i="100"/>
  <c r="DF12" i="100"/>
  <c r="DA12" i="100"/>
  <c r="CV12" i="100"/>
  <c r="CQ12" i="100"/>
  <c r="CL12" i="100"/>
  <c r="CG12" i="100"/>
  <c r="CB12" i="100"/>
  <c r="BW12" i="100"/>
  <c r="BM12" i="100"/>
  <c r="BN12" i="100" s="1"/>
  <c r="BH12" i="100"/>
  <c r="BB12" i="100"/>
  <c r="BA12" i="100"/>
  <c r="AS12" i="100"/>
  <c r="AN12" i="100"/>
  <c r="AI12" i="100"/>
  <c r="AD12" i="100"/>
  <c r="Y12" i="100"/>
  <c r="T12" i="100"/>
  <c r="O12" i="100"/>
  <c r="J12" i="100"/>
  <c r="DK11" i="100"/>
  <c r="DF11" i="100"/>
  <c r="DA11" i="100"/>
  <c r="DA8" i="100" s="1"/>
  <c r="CV11" i="100"/>
  <c r="CQ11" i="100"/>
  <c r="CL11" i="100"/>
  <c r="CG11" i="100"/>
  <c r="CB11" i="100"/>
  <c r="BW11" i="100"/>
  <c r="BM11" i="100"/>
  <c r="BN11" i="100" s="1"/>
  <c r="BH11" i="100"/>
  <c r="BB11" i="100"/>
  <c r="BA11" i="100"/>
  <c r="AS11" i="100"/>
  <c r="AN11" i="100"/>
  <c r="AI11" i="100"/>
  <c r="AB11" i="100"/>
  <c r="Y11" i="100"/>
  <c r="T11" i="100"/>
  <c r="M11" i="100"/>
  <c r="J11" i="100"/>
  <c r="DK10" i="100"/>
  <c r="DF10" i="100"/>
  <c r="DA10" i="100"/>
  <c r="CV10" i="100"/>
  <c r="CQ10" i="100"/>
  <c r="CL10" i="100"/>
  <c r="CG10" i="100"/>
  <c r="CB10" i="100"/>
  <c r="BW10" i="100"/>
  <c r="BM10" i="100"/>
  <c r="BN10" i="100" s="1"/>
  <c r="BH10" i="100"/>
  <c r="BB10" i="100"/>
  <c r="BA10" i="100"/>
  <c r="AS10" i="100"/>
  <c r="AN10" i="100"/>
  <c r="AI10" i="100"/>
  <c r="AB10" i="100"/>
  <c r="Y10" i="100"/>
  <c r="T10" i="100"/>
  <c r="M10" i="100"/>
  <c r="M10" i="106" s="1"/>
  <c r="O10" i="106" s="1"/>
  <c r="J10" i="100"/>
  <c r="DK9" i="100"/>
  <c r="DF9" i="100"/>
  <c r="DA9" i="100"/>
  <c r="CV9" i="100"/>
  <c r="CQ9" i="100"/>
  <c r="CL9" i="100"/>
  <c r="CL8" i="100" s="1"/>
  <c r="CG9" i="100"/>
  <c r="CG8" i="100" s="1"/>
  <c r="CB9" i="100"/>
  <c r="BW9" i="100"/>
  <c r="BW8" i="100" s="1"/>
  <c r="BM9" i="100"/>
  <c r="BN9" i="100" s="1"/>
  <c r="BH9" i="100"/>
  <c r="BB9" i="100"/>
  <c r="BA9" i="100"/>
  <c r="AS9" i="100"/>
  <c r="AN9" i="100"/>
  <c r="AI9" i="100"/>
  <c r="AC9" i="100"/>
  <c r="AB9" i="100"/>
  <c r="X9" i="100"/>
  <c r="W9" i="100"/>
  <c r="T9" i="100"/>
  <c r="N9" i="100"/>
  <c r="N8" i="100" s="1"/>
  <c r="M9" i="100"/>
  <c r="M8" i="100" s="1"/>
  <c r="I9" i="100"/>
  <c r="I8" i="100" s="1"/>
  <c r="DJ8" i="100"/>
  <c r="DI8" i="100"/>
  <c r="DE8" i="100"/>
  <c r="DD8" i="100"/>
  <c r="CZ8" i="100"/>
  <c r="CY8" i="100"/>
  <c r="CU8" i="100"/>
  <c r="CT8" i="100"/>
  <c r="CP8" i="100"/>
  <c r="CO8" i="100"/>
  <c r="CK8" i="100"/>
  <c r="CJ8" i="100"/>
  <c r="CF8" i="100"/>
  <c r="CE8" i="100"/>
  <c r="CA8" i="100"/>
  <c r="BZ8" i="100"/>
  <c r="BV8" i="100"/>
  <c r="BU8" i="100"/>
  <c r="BL8" i="100"/>
  <c r="BK8" i="100"/>
  <c r="BG8" i="100"/>
  <c r="AR8" i="100"/>
  <c r="AM8" i="100"/>
  <c r="AH8" i="100"/>
  <c r="AG8" i="100"/>
  <c r="S8" i="100"/>
  <c r="R79" i="100" s="1"/>
  <c r="DO7" i="100"/>
  <c r="DN7" i="100"/>
  <c r="DK7" i="100"/>
  <c r="DF7" i="100"/>
  <c r="DA7" i="100"/>
  <c r="DA5" i="100" s="1"/>
  <c r="CV7" i="100"/>
  <c r="CQ7" i="100"/>
  <c r="CL7" i="100"/>
  <c r="CG7" i="100"/>
  <c r="CG5" i="100" s="1"/>
  <c r="CB7" i="100"/>
  <c r="BW7" i="100"/>
  <c r="BM7" i="100"/>
  <c r="BM5" i="100" s="1"/>
  <c r="BH7" i="100"/>
  <c r="BC7" i="100"/>
  <c r="BB7" i="100"/>
  <c r="BA7" i="100"/>
  <c r="AS7" i="100"/>
  <c r="AN7" i="100"/>
  <c r="AI7" i="100"/>
  <c r="AD7" i="100"/>
  <c r="Y7" i="100"/>
  <c r="T7" i="100"/>
  <c r="M7" i="100"/>
  <c r="O7" i="100" s="1"/>
  <c r="J7" i="100"/>
  <c r="DK6" i="100"/>
  <c r="DF6" i="100"/>
  <c r="DA6" i="100"/>
  <c r="CV6" i="100"/>
  <c r="CV5" i="100" s="1"/>
  <c r="CQ6" i="100"/>
  <c r="CQ5" i="100" s="1"/>
  <c r="CL6" i="100"/>
  <c r="CL5" i="100" s="1"/>
  <c r="CG6" i="100"/>
  <c r="CB6" i="100"/>
  <c r="BW6" i="100"/>
  <c r="BM6" i="100"/>
  <c r="BH6" i="100"/>
  <c r="BA5" i="100"/>
  <c r="AQ6" i="100"/>
  <c r="AQ6" i="125" s="1"/>
  <c r="AN6" i="100"/>
  <c r="AG6" i="100"/>
  <c r="AC6" i="100"/>
  <c r="AB6" i="100"/>
  <c r="AB5" i="100" s="1"/>
  <c r="Y6" i="100"/>
  <c r="T6" i="100"/>
  <c r="T5" i="100" s="1"/>
  <c r="O6" i="100"/>
  <c r="J6" i="100"/>
  <c r="J5" i="100" s="1"/>
  <c r="DJ5" i="100"/>
  <c r="DI5" i="100"/>
  <c r="DE5" i="100"/>
  <c r="DD5" i="100"/>
  <c r="CZ5" i="100"/>
  <c r="CZ38" i="100" s="1"/>
  <c r="CY5" i="100"/>
  <c r="CY38" i="100" s="1"/>
  <c r="CU5" i="100"/>
  <c r="CU38" i="100" s="1"/>
  <c r="CT5" i="100"/>
  <c r="CP5" i="100"/>
  <c r="CO5" i="100"/>
  <c r="CO38" i="100" s="1"/>
  <c r="CK5" i="100"/>
  <c r="CK38" i="100" s="1"/>
  <c r="CJ5" i="100"/>
  <c r="CJ38" i="100" s="1"/>
  <c r="CF5" i="100"/>
  <c r="CF38" i="100" s="1"/>
  <c r="CE5" i="100"/>
  <c r="CE38" i="100" s="1"/>
  <c r="CA5" i="100"/>
  <c r="BZ5" i="100"/>
  <c r="BW5" i="100"/>
  <c r="BV5" i="100"/>
  <c r="BU5" i="100"/>
  <c r="BU38" i="100" s="1"/>
  <c r="BL5" i="100"/>
  <c r="BK5" i="100"/>
  <c r="BH5" i="100"/>
  <c r="BG5" i="100"/>
  <c r="BF5" i="100"/>
  <c r="AR5" i="100"/>
  <c r="AN5" i="100"/>
  <c r="AM5" i="100"/>
  <c r="AL5" i="100"/>
  <c r="AH5" i="100"/>
  <c r="AH38" i="100" s="1"/>
  <c r="Y5" i="100"/>
  <c r="X5" i="100"/>
  <c r="W5" i="100"/>
  <c r="S5" i="100"/>
  <c r="S38" i="100" s="1"/>
  <c r="R5" i="100"/>
  <c r="N5" i="100"/>
  <c r="I5" i="100"/>
  <c r="H5" i="100"/>
  <c r="AI89" i="121"/>
  <c r="AI91" i="121" s="1"/>
  <c r="CY85" i="121"/>
  <c r="CV85" i="121"/>
  <c r="CQ85" i="121"/>
  <c r="CL85" i="121"/>
  <c r="CG85" i="121"/>
  <c r="CB85" i="121"/>
  <c r="BW85" i="121"/>
  <c r="AS85" i="121"/>
  <c r="AL85" i="121"/>
  <c r="AD85" i="121"/>
  <c r="Y85" i="121"/>
  <c r="T85" i="121"/>
  <c r="O85" i="121"/>
  <c r="J85" i="121"/>
  <c r="E85" i="121"/>
  <c r="CZ82" i="121"/>
  <c r="CY82" i="121"/>
  <c r="DA82" i="121" s="1"/>
  <c r="CV82" i="121"/>
  <c r="CQ82" i="121"/>
  <c r="CL82" i="121"/>
  <c r="CG82" i="121"/>
  <c r="CB82" i="121"/>
  <c r="BW82" i="121"/>
  <c r="BR82" i="121"/>
  <c r="BM82" i="121"/>
  <c r="BH82" i="121"/>
  <c r="BC82" i="121"/>
  <c r="AX82" i="121"/>
  <c r="AS82" i="121"/>
  <c r="AM82" i="121"/>
  <c r="AL82" i="121"/>
  <c r="AD82" i="121"/>
  <c r="Y82" i="121"/>
  <c r="T82" i="121"/>
  <c r="O82" i="121"/>
  <c r="J82" i="121"/>
  <c r="E82" i="121"/>
  <c r="CZ79" i="121"/>
  <c r="CL79" i="121"/>
  <c r="CG79" i="121"/>
  <c r="CB79" i="121"/>
  <c r="BW79" i="121"/>
  <c r="BR79" i="121"/>
  <c r="BR77" i="121" s="1"/>
  <c r="BH79" i="121"/>
  <c r="BC79" i="121"/>
  <c r="AS79" i="121"/>
  <c r="AM79" i="121"/>
  <c r="CZ78" i="121"/>
  <c r="CZ77" i="121" s="1"/>
  <c r="CY78" i="121"/>
  <c r="CV78" i="121"/>
  <c r="CQ78" i="121"/>
  <c r="CL78" i="121"/>
  <c r="CL77" i="121" s="1"/>
  <c r="CG78" i="121"/>
  <c r="CB78" i="121"/>
  <c r="BW78" i="121"/>
  <c r="BR78" i="121"/>
  <c r="BM78" i="121"/>
  <c r="BH78" i="121"/>
  <c r="BH77" i="121" s="1"/>
  <c r="BC78" i="121"/>
  <c r="AX78" i="121"/>
  <c r="AS78" i="121"/>
  <c r="AM78" i="121"/>
  <c r="AL78" i="121"/>
  <c r="AD78" i="121"/>
  <c r="Y78" i="121"/>
  <c r="T78" i="121"/>
  <c r="O78" i="121"/>
  <c r="J78" i="121"/>
  <c r="E78" i="121"/>
  <c r="CU77" i="121"/>
  <c r="CP77" i="121"/>
  <c r="CK77" i="121"/>
  <c r="CJ77" i="121"/>
  <c r="CG77" i="121"/>
  <c r="CF77" i="121"/>
  <c r="CE77" i="121"/>
  <c r="CA77" i="121"/>
  <c r="BZ77" i="121"/>
  <c r="BV77" i="121"/>
  <c r="BU77" i="121"/>
  <c r="BQ77" i="121"/>
  <c r="BP77" i="121"/>
  <c r="BL77" i="121"/>
  <c r="BG77" i="121"/>
  <c r="BF77" i="121"/>
  <c r="BB77" i="121"/>
  <c r="BA77" i="121"/>
  <c r="AW77" i="121"/>
  <c r="AS77" i="121"/>
  <c r="AR77" i="121"/>
  <c r="AQ77" i="121"/>
  <c r="AM77" i="121"/>
  <c r="AC77" i="121"/>
  <c r="X77" i="121"/>
  <c r="S77" i="121"/>
  <c r="N77" i="121"/>
  <c r="I77" i="121"/>
  <c r="D77" i="121"/>
  <c r="CZ74" i="121"/>
  <c r="CY74" i="121"/>
  <c r="DA74" i="121" s="1"/>
  <c r="DA73" i="121" s="1"/>
  <c r="CV74" i="121"/>
  <c r="CV73" i="121" s="1"/>
  <c r="CQ74" i="121"/>
  <c r="CQ73" i="121" s="1"/>
  <c r="CL74" i="121"/>
  <c r="CG74" i="121"/>
  <c r="CB74" i="121"/>
  <c r="CB73" i="121" s="1"/>
  <c r="BW74" i="121"/>
  <c r="BW73" i="121" s="1"/>
  <c r="BR74" i="121"/>
  <c r="BR73" i="121" s="1"/>
  <c r="BM74" i="121"/>
  <c r="BM73" i="121" s="1"/>
  <c r="BH74" i="121"/>
  <c r="BC74" i="121"/>
  <c r="AX74" i="121"/>
  <c r="AS74" i="121"/>
  <c r="AS73" i="121" s="1"/>
  <c r="AM74" i="121"/>
  <c r="AN74" i="121" s="1"/>
  <c r="AN73" i="121" s="1"/>
  <c r="AL74" i="121"/>
  <c r="AD74" i="121"/>
  <c r="AD73" i="121" s="1"/>
  <c r="Y74" i="121"/>
  <c r="T74" i="121"/>
  <c r="T73" i="121" s="1"/>
  <c r="O74" i="121"/>
  <c r="J74" i="121"/>
  <c r="E74" i="121"/>
  <c r="E73" i="121" s="1"/>
  <c r="CZ73" i="121"/>
  <c r="CU73" i="121"/>
  <c r="CT73" i="121"/>
  <c r="CP73" i="121"/>
  <c r="CO73" i="121"/>
  <c r="CL73" i="121"/>
  <c r="CK73" i="121"/>
  <c r="CJ73" i="121"/>
  <c r="CG73" i="121"/>
  <c r="CF73" i="121"/>
  <c r="CE73" i="121"/>
  <c r="CA73" i="121"/>
  <c r="BZ73" i="121"/>
  <c r="BV73" i="121"/>
  <c r="BU73" i="121"/>
  <c r="BQ73" i="121"/>
  <c r="BP73" i="121"/>
  <c r="BL73" i="121"/>
  <c r="BK73" i="121"/>
  <c r="BH73" i="121"/>
  <c r="BG73" i="121"/>
  <c r="BF73" i="121"/>
  <c r="BC73" i="121"/>
  <c r="BB73" i="121"/>
  <c r="BA73" i="121"/>
  <c r="AX73" i="121"/>
  <c r="AW73" i="121"/>
  <c r="AV73" i="121"/>
  <c r="AR73" i="121"/>
  <c r="AQ73" i="121"/>
  <c r="AL73" i="121"/>
  <c r="AC73" i="121"/>
  <c r="AB73" i="121"/>
  <c r="Y73" i="121"/>
  <c r="X73" i="121"/>
  <c r="W73" i="121"/>
  <c r="S73" i="121"/>
  <c r="R73" i="121"/>
  <c r="O73" i="121"/>
  <c r="N73" i="121"/>
  <c r="M73" i="121"/>
  <c r="J73" i="121"/>
  <c r="I73" i="121"/>
  <c r="H73" i="121"/>
  <c r="D73" i="121"/>
  <c r="C73" i="121"/>
  <c r="CZ71" i="121"/>
  <c r="DA71" i="121" s="1"/>
  <c r="CY71" i="121"/>
  <c r="CV71" i="121"/>
  <c r="CQ71" i="121"/>
  <c r="CL71" i="121"/>
  <c r="CG71" i="121"/>
  <c r="CB71" i="121"/>
  <c r="BW71" i="121"/>
  <c r="BR71" i="121"/>
  <c r="BM71" i="121"/>
  <c r="BH71" i="121"/>
  <c r="BC71" i="121"/>
  <c r="AX71" i="121"/>
  <c r="AS71" i="121"/>
  <c r="AM71" i="121"/>
  <c r="AL71" i="121"/>
  <c r="AD71" i="121"/>
  <c r="Y71" i="121"/>
  <c r="T71" i="121"/>
  <c r="O71" i="121"/>
  <c r="J71" i="121"/>
  <c r="E71" i="121"/>
  <c r="CZ70" i="121"/>
  <c r="CY70" i="121"/>
  <c r="CV70" i="121"/>
  <c r="CQ70" i="121"/>
  <c r="CL70" i="121"/>
  <c r="CG70" i="121"/>
  <c r="CB70" i="121"/>
  <c r="BW70" i="121"/>
  <c r="BR70" i="121"/>
  <c r="BM70" i="121"/>
  <c r="BH70" i="121"/>
  <c r="BC70" i="121"/>
  <c r="AX70" i="121"/>
  <c r="AS70" i="121"/>
  <c r="AM70" i="121"/>
  <c r="AN70" i="121" s="1"/>
  <c r="AL70" i="121"/>
  <c r="AD70" i="121"/>
  <c r="Y70" i="121"/>
  <c r="T70" i="121"/>
  <c r="O70" i="121"/>
  <c r="J70" i="121"/>
  <c r="E70" i="121"/>
  <c r="CZ69" i="121"/>
  <c r="CY69" i="121"/>
  <c r="CV69" i="121"/>
  <c r="CQ69" i="121"/>
  <c r="CL69" i="121"/>
  <c r="CG69" i="121"/>
  <c r="CB69" i="121"/>
  <c r="BW69" i="121"/>
  <c r="BR69" i="121"/>
  <c r="BM69" i="121"/>
  <c r="BH69" i="121"/>
  <c r="BC69" i="121"/>
  <c r="AX69" i="121"/>
  <c r="AS69" i="121"/>
  <c r="AM69" i="121"/>
  <c r="AL69" i="121"/>
  <c r="AN69" i="121" s="1"/>
  <c r="AD69" i="121"/>
  <c r="Y69" i="121"/>
  <c r="T69" i="121"/>
  <c r="O69" i="121"/>
  <c r="J69" i="121"/>
  <c r="E69" i="121"/>
  <c r="CZ68" i="121"/>
  <c r="CY68" i="121"/>
  <c r="DA68" i="121" s="1"/>
  <c r="CV68" i="121"/>
  <c r="CQ68" i="121"/>
  <c r="CL68" i="121"/>
  <c r="CG68" i="121"/>
  <c r="CB68" i="121"/>
  <c r="BW68" i="121"/>
  <c r="BR68" i="121"/>
  <c r="BM68" i="121"/>
  <c r="BH68" i="121"/>
  <c r="BC68" i="121"/>
  <c r="AX68" i="121"/>
  <c r="AS68" i="121"/>
  <c r="AM68" i="121"/>
  <c r="AL68" i="121"/>
  <c r="AN68" i="121" s="1"/>
  <c r="AD68" i="121"/>
  <c r="Y68" i="121"/>
  <c r="T68" i="121"/>
  <c r="O68" i="121"/>
  <c r="J68" i="121"/>
  <c r="E68" i="121"/>
  <c r="CZ67" i="121"/>
  <c r="CY67" i="121"/>
  <c r="DA67" i="121" s="1"/>
  <c r="CV67" i="121"/>
  <c r="CQ67" i="121"/>
  <c r="CL67" i="121"/>
  <c r="CG67" i="121"/>
  <c r="CB67" i="121"/>
  <c r="BW67" i="121"/>
  <c r="BR67" i="121"/>
  <c r="BM67" i="121"/>
  <c r="BH67" i="121"/>
  <c r="BC67" i="121"/>
  <c r="AX67" i="121"/>
  <c r="AS67" i="121"/>
  <c r="AM67" i="121"/>
  <c r="AN67" i="121" s="1"/>
  <c r="AL67" i="121"/>
  <c r="AD67" i="121"/>
  <c r="Y67" i="121"/>
  <c r="T67" i="121"/>
  <c r="O67" i="121"/>
  <c r="J67" i="121"/>
  <c r="E67" i="121"/>
  <c r="CZ66" i="121"/>
  <c r="CY66" i="121"/>
  <c r="CV66" i="121"/>
  <c r="CQ66" i="121"/>
  <c r="CL66" i="121"/>
  <c r="CG66" i="121"/>
  <c r="CB66" i="121"/>
  <c r="BW66" i="121"/>
  <c r="BR66" i="121"/>
  <c r="BM66" i="121"/>
  <c r="BH66" i="121"/>
  <c r="BC66" i="121"/>
  <c r="AX66" i="121"/>
  <c r="AS66" i="121"/>
  <c r="AM66" i="121"/>
  <c r="AL66" i="121"/>
  <c r="AD66" i="121"/>
  <c r="Y66" i="121"/>
  <c r="T66" i="121"/>
  <c r="O66" i="121"/>
  <c r="J66" i="121"/>
  <c r="E66" i="121"/>
  <c r="DA65" i="121"/>
  <c r="CZ65" i="121"/>
  <c r="CY65" i="121"/>
  <c r="CV65" i="121"/>
  <c r="CQ65" i="121"/>
  <c r="CL65" i="121"/>
  <c r="CG65" i="121"/>
  <c r="CB65" i="121"/>
  <c r="BW65" i="121"/>
  <c r="BR65" i="121"/>
  <c r="BM65" i="121"/>
  <c r="BH65" i="121"/>
  <c r="BC65" i="121"/>
  <c r="AX65" i="121"/>
  <c r="AS65" i="121"/>
  <c r="AM65" i="121"/>
  <c r="AL65" i="121"/>
  <c r="AN65" i="121" s="1"/>
  <c r="AD65" i="121"/>
  <c r="Y65" i="121"/>
  <c r="T65" i="121"/>
  <c r="O65" i="121"/>
  <c r="J65" i="121"/>
  <c r="E65" i="121"/>
  <c r="CZ64" i="121"/>
  <c r="CY64" i="121"/>
  <c r="DA64" i="121" s="1"/>
  <c r="CV64" i="121"/>
  <c r="CQ64" i="121"/>
  <c r="CL64" i="121"/>
  <c r="CG64" i="121"/>
  <c r="CB64" i="121"/>
  <c r="BW64" i="121"/>
  <c r="BR64" i="121"/>
  <c r="BM64" i="121"/>
  <c r="BH64" i="121"/>
  <c r="BC64" i="121"/>
  <c r="AX64" i="121"/>
  <c r="AS64" i="121"/>
  <c r="AM64" i="121"/>
  <c r="AN64" i="121" s="1"/>
  <c r="AL64" i="121"/>
  <c r="AD64" i="121"/>
  <c r="Y64" i="121"/>
  <c r="T64" i="121"/>
  <c r="O64" i="121"/>
  <c r="J64" i="121"/>
  <c r="E64" i="121"/>
  <c r="DA63" i="121"/>
  <c r="CZ63" i="121"/>
  <c r="CY63" i="121"/>
  <c r="CV63" i="121"/>
  <c r="CQ63" i="121"/>
  <c r="CL63" i="121"/>
  <c r="CG63" i="121"/>
  <c r="CB63" i="121"/>
  <c r="BW63" i="121"/>
  <c r="BR63" i="121"/>
  <c r="BM63" i="121"/>
  <c r="BH63" i="121"/>
  <c r="BC63" i="121"/>
  <c r="AX63" i="121"/>
  <c r="AS63" i="121"/>
  <c r="AM63" i="121"/>
  <c r="AL63" i="121"/>
  <c r="AN63" i="121" s="1"/>
  <c r="AD63" i="121"/>
  <c r="Y63" i="121"/>
  <c r="T63" i="121"/>
  <c r="O63" i="121"/>
  <c r="J63" i="121"/>
  <c r="E63" i="121"/>
  <c r="CZ62" i="121"/>
  <c r="DA62" i="121" s="1"/>
  <c r="CY62" i="121"/>
  <c r="CV62" i="121"/>
  <c r="CQ62" i="121"/>
  <c r="CL62" i="121"/>
  <c r="CG62" i="121"/>
  <c r="CB62" i="121"/>
  <c r="BW62" i="121"/>
  <c r="BR62" i="121"/>
  <c r="BM62" i="121"/>
  <c r="BH62" i="121"/>
  <c r="BC62" i="121"/>
  <c r="AX62" i="121"/>
  <c r="AS62" i="121"/>
  <c r="AM62" i="121"/>
  <c r="AL62" i="121"/>
  <c r="AN62" i="121" s="1"/>
  <c r="AD62" i="121"/>
  <c r="Y62" i="121"/>
  <c r="T62" i="121"/>
  <c r="O62" i="121"/>
  <c r="J62" i="121"/>
  <c r="E62" i="121"/>
  <c r="CZ61" i="121"/>
  <c r="CY61" i="121"/>
  <c r="DA61" i="121" s="1"/>
  <c r="CV61" i="121"/>
  <c r="CQ61" i="121"/>
  <c r="CL61" i="121"/>
  <c r="CG61" i="121"/>
  <c r="CB61" i="121"/>
  <c r="BW61" i="121"/>
  <c r="BR61" i="121"/>
  <c r="BM61" i="121"/>
  <c r="BH61" i="121"/>
  <c r="BC61" i="121"/>
  <c r="AX61" i="121"/>
  <c r="AS61" i="121"/>
  <c r="AM61" i="121"/>
  <c r="AL61" i="121"/>
  <c r="AN61" i="121" s="1"/>
  <c r="AD61" i="121"/>
  <c r="Y61" i="121"/>
  <c r="T61" i="121"/>
  <c r="O61" i="121"/>
  <c r="J61" i="121"/>
  <c r="E61" i="121"/>
  <c r="CZ60" i="121"/>
  <c r="CY60" i="121"/>
  <c r="DA60" i="121" s="1"/>
  <c r="CV60" i="121"/>
  <c r="CQ60" i="121"/>
  <c r="CL60" i="121"/>
  <c r="CG60" i="121"/>
  <c r="CB60" i="121"/>
  <c r="BW60" i="121"/>
  <c r="BR60" i="121"/>
  <c r="BM60" i="121"/>
  <c r="BH60" i="121"/>
  <c r="BC60" i="121"/>
  <c r="AX60" i="121"/>
  <c r="AS60" i="121"/>
  <c r="AM60" i="121"/>
  <c r="AL60" i="121"/>
  <c r="AD60" i="121"/>
  <c r="Y60" i="121"/>
  <c r="T60" i="121"/>
  <c r="O60" i="121"/>
  <c r="J60" i="121"/>
  <c r="E60" i="121"/>
  <c r="DA59" i="121"/>
  <c r="CZ59" i="121"/>
  <c r="CY59" i="121"/>
  <c r="CV59" i="121"/>
  <c r="CQ59" i="121"/>
  <c r="CL59" i="121"/>
  <c r="CG59" i="121"/>
  <c r="CB59" i="121"/>
  <c r="BW59" i="121"/>
  <c r="BR59" i="121"/>
  <c r="BM59" i="121"/>
  <c r="BH59" i="121"/>
  <c r="BC59" i="121"/>
  <c r="AX59" i="121"/>
  <c r="AS59" i="121"/>
  <c r="AM59" i="121"/>
  <c r="AL59" i="121"/>
  <c r="AD59" i="121"/>
  <c r="Y59" i="121"/>
  <c r="T59" i="121"/>
  <c r="O59" i="121"/>
  <c r="J59" i="121"/>
  <c r="E59" i="121"/>
  <c r="CZ58" i="121"/>
  <c r="CY58" i="121"/>
  <c r="CV58" i="121"/>
  <c r="CQ58" i="121"/>
  <c r="CL58" i="121"/>
  <c r="CG58" i="121"/>
  <c r="CB58" i="121"/>
  <c r="BW58" i="121"/>
  <c r="BR58" i="121"/>
  <c r="BM58" i="121"/>
  <c r="BH58" i="121"/>
  <c r="BC58" i="121"/>
  <c r="AX58" i="121"/>
  <c r="AS58" i="121"/>
  <c r="AN58" i="121"/>
  <c r="AM58" i="121"/>
  <c r="AL58" i="121"/>
  <c r="AD58" i="121"/>
  <c r="Y58" i="121"/>
  <c r="T58" i="121"/>
  <c r="O58" i="121"/>
  <c r="J58" i="121"/>
  <c r="E58" i="121"/>
  <c r="CZ57" i="121"/>
  <c r="CZ54" i="121" s="1"/>
  <c r="CY57" i="121"/>
  <c r="CV57" i="121"/>
  <c r="CQ57" i="121"/>
  <c r="CL57" i="121"/>
  <c r="CG57" i="121"/>
  <c r="CB57" i="121"/>
  <c r="BW57" i="121"/>
  <c r="BR57" i="121"/>
  <c r="BM57" i="121"/>
  <c r="BH57" i="121"/>
  <c r="BC57" i="121"/>
  <c r="AX57" i="121"/>
  <c r="AS57" i="121"/>
  <c r="AM57" i="121"/>
  <c r="AL57" i="121"/>
  <c r="AD57" i="121"/>
  <c r="Y57" i="121"/>
  <c r="T57" i="121"/>
  <c r="O57" i="121"/>
  <c r="J57" i="121"/>
  <c r="E57" i="121"/>
  <c r="DA56" i="121"/>
  <c r="CZ56" i="121"/>
  <c r="CY56" i="121"/>
  <c r="CV56" i="121"/>
  <c r="CQ56" i="121"/>
  <c r="CL56" i="121"/>
  <c r="CG56" i="121"/>
  <c r="CB56" i="121"/>
  <c r="BW56" i="121"/>
  <c r="BR56" i="121"/>
  <c r="BM56" i="121"/>
  <c r="BH56" i="121"/>
  <c r="BC56" i="121"/>
  <c r="AX56" i="121"/>
  <c r="AS56" i="121"/>
  <c r="AM56" i="121"/>
  <c r="AL56" i="121"/>
  <c r="AN56" i="121" s="1"/>
  <c r="AD56" i="121"/>
  <c r="Y56" i="121"/>
  <c r="T56" i="121"/>
  <c r="O56" i="121"/>
  <c r="J56" i="121"/>
  <c r="J54" i="121" s="1"/>
  <c r="E56" i="121"/>
  <c r="DA55" i="121"/>
  <c r="CZ55" i="121"/>
  <c r="CY55" i="121"/>
  <c r="CY54" i="121" s="1"/>
  <c r="CV55" i="121"/>
  <c r="CQ55" i="121"/>
  <c r="CL55" i="121"/>
  <c r="CG55" i="121"/>
  <c r="CB55" i="121"/>
  <c r="BW55" i="121"/>
  <c r="BW54" i="121" s="1"/>
  <c r="BR55" i="121"/>
  <c r="BM55" i="121"/>
  <c r="BH55" i="121"/>
  <c r="BC55" i="121"/>
  <c r="AX55" i="121"/>
  <c r="AS55" i="121"/>
  <c r="AM55" i="121"/>
  <c r="AL55" i="121"/>
  <c r="AN55" i="121" s="1"/>
  <c r="AD55" i="121"/>
  <c r="Y55" i="121"/>
  <c r="Y54" i="121" s="1"/>
  <c r="T55" i="121"/>
  <c r="O55" i="121"/>
  <c r="J55" i="121"/>
  <c r="E55" i="121"/>
  <c r="CV54" i="121"/>
  <c r="CU54" i="121"/>
  <c r="CT54" i="121"/>
  <c r="CP54" i="121"/>
  <c r="CO54" i="121"/>
  <c r="CK54" i="121"/>
  <c r="CJ54" i="121"/>
  <c r="CF54" i="121"/>
  <c r="CE54" i="121"/>
  <c r="CA54" i="121"/>
  <c r="BZ54" i="121"/>
  <c r="BV54" i="121"/>
  <c r="BU54" i="121"/>
  <c r="BQ54" i="121"/>
  <c r="BP54" i="121"/>
  <c r="BL54" i="121"/>
  <c r="BK54" i="121"/>
  <c r="BG54" i="121"/>
  <c r="BF54" i="121"/>
  <c r="BB54" i="121"/>
  <c r="BA54" i="121"/>
  <c r="AW54" i="121"/>
  <c r="AV54" i="121"/>
  <c r="AS54" i="121"/>
  <c r="AR54" i="121"/>
  <c r="AQ54" i="121"/>
  <c r="AC54" i="121"/>
  <c r="AB54" i="121"/>
  <c r="X54" i="121"/>
  <c r="W54" i="121"/>
  <c r="S54" i="121"/>
  <c r="R54" i="121"/>
  <c r="N54" i="121"/>
  <c r="M54" i="121"/>
  <c r="I54" i="121"/>
  <c r="H54" i="121"/>
  <c r="D54" i="121"/>
  <c r="C54" i="121"/>
  <c r="CZ52" i="121"/>
  <c r="CY52" i="121"/>
  <c r="CV52" i="121"/>
  <c r="CQ52" i="121"/>
  <c r="CL52" i="121"/>
  <c r="CG52" i="121"/>
  <c r="CB52" i="121"/>
  <c r="BW52" i="121"/>
  <c r="BR52" i="121"/>
  <c r="BM52" i="121"/>
  <c r="BH52" i="121"/>
  <c r="BC52" i="121"/>
  <c r="AX52" i="121"/>
  <c r="AS52" i="121"/>
  <c r="AN52" i="121"/>
  <c r="AM52" i="121"/>
  <c r="AL52" i="121"/>
  <c r="AD52" i="121"/>
  <c r="Y52" i="121"/>
  <c r="T52" i="121"/>
  <c r="O52" i="121"/>
  <c r="J52" i="121"/>
  <c r="E52" i="121"/>
  <c r="CZ51" i="121"/>
  <c r="DA51" i="121" s="1"/>
  <c r="CY51" i="121"/>
  <c r="CV51" i="121"/>
  <c r="CQ51" i="121"/>
  <c r="CQ50" i="121" s="1"/>
  <c r="CL51" i="121"/>
  <c r="CG51" i="121"/>
  <c r="CB51" i="121"/>
  <c r="CB50" i="121" s="1"/>
  <c r="BW51" i="121"/>
  <c r="BR51" i="121"/>
  <c r="BR50" i="121" s="1"/>
  <c r="BM51" i="121"/>
  <c r="BM50" i="121" s="1"/>
  <c r="BH51" i="121"/>
  <c r="BC51" i="121"/>
  <c r="AX51" i="121"/>
  <c r="AX50" i="121" s="1"/>
  <c r="AS51" i="121"/>
  <c r="AM51" i="121"/>
  <c r="AM50" i="121" s="1"/>
  <c r="AL51" i="121"/>
  <c r="AD51" i="121"/>
  <c r="Y51" i="121"/>
  <c r="T51" i="121"/>
  <c r="O51" i="121"/>
  <c r="J51" i="121"/>
  <c r="E51" i="121"/>
  <c r="E50" i="121" s="1"/>
  <c r="CV50" i="121"/>
  <c r="CU50" i="121"/>
  <c r="CT50" i="121"/>
  <c r="CP50" i="121"/>
  <c r="CO50" i="121"/>
  <c r="CK50" i="121"/>
  <c r="CJ50" i="121"/>
  <c r="CF50" i="121"/>
  <c r="CE50" i="121"/>
  <c r="CA50" i="121"/>
  <c r="BZ50" i="121"/>
  <c r="BV50" i="121"/>
  <c r="BU50" i="121"/>
  <c r="BQ50" i="121"/>
  <c r="BP50" i="121"/>
  <c r="BL50" i="121"/>
  <c r="BK50" i="121"/>
  <c r="BG50" i="121"/>
  <c r="BF50" i="121"/>
  <c r="BB50" i="121"/>
  <c r="BA50" i="121"/>
  <c r="AW50" i="121"/>
  <c r="AV50" i="121"/>
  <c r="AR50" i="121"/>
  <c r="AQ50" i="121"/>
  <c r="AC50" i="121"/>
  <c r="AB50" i="121"/>
  <c r="X50" i="121"/>
  <c r="W50" i="121"/>
  <c r="T50" i="121"/>
  <c r="S50" i="121"/>
  <c r="R50" i="121"/>
  <c r="N50" i="121"/>
  <c r="M50" i="121"/>
  <c r="I50" i="121"/>
  <c r="H50" i="121"/>
  <c r="D50" i="121"/>
  <c r="C50" i="121"/>
  <c r="CZ48" i="121"/>
  <c r="DA48" i="121" s="1"/>
  <c r="CY48" i="121"/>
  <c r="CV48" i="121"/>
  <c r="CQ48" i="121"/>
  <c r="CL48" i="121"/>
  <c r="CG48" i="121"/>
  <c r="CB48" i="121"/>
  <c r="BW48" i="121"/>
  <c r="BR48" i="121"/>
  <c r="BM48" i="121"/>
  <c r="BH48" i="121"/>
  <c r="BC48" i="121"/>
  <c r="AX48" i="121"/>
  <c r="AS48" i="121"/>
  <c r="AM48" i="121"/>
  <c r="AL48" i="121"/>
  <c r="AD48" i="121"/>
  <c r="Y48" i="121"/>
  <c r="T48" i="121"/>
  <c r="O48" i="121"/>
  <c r="J48" i="121"/>
  <c r="E48" i="121"/>
  <c r="CZ47" i="121"/>
  <c r="DA47" i="121" s="1"/>
  <c r="CY47" i="121"/>
  <c r="CV47" i="121"/>
  <c r="CQ47" i="121"/>
  <c r="CL47" i="121"/>
  <c r="CG47" i="121"/>
  <c r="CB47" i="121"/>
  <c r="BW47" i="121"/>
  <c r="BR47" i="121"/>
  <c r="BM47" i="121"/>
  <c r="BH47" i="121"/>
  <c r="BC47" i="121"/>
  <c r="AX47" i="121"/>
  <c r="AS47" i="121"/>
  <c r="AM47" i="121"/>
  <c r="AL47" i="121"/>
  <c r="AN47" i="121" s="1"/>
  <c r="AD47" i="121"/>
  <c r="Y47" i="121"/>
  <c r="T47" i="121"/>
  <c r="O47" i="121"/>
  <c r="J47" i="121"/>
  <c r="E47" i="121"/>
  <c r="CZ46" i="121"/>
  <c r="CY46" i="121"/>
  <c r="CV46" i="121"/>
  <c r="CQ46" i="121"/>
  <c r="CL46" i="121"/>
  <c r="CG46" i="121"/>
  <c r="CB46" i="121"/>
  <c r="BW46" i="121"/>
  <c r="BR46" i="121"/>
  <c r="BM46" i="121"/>
  <c r="BH46" i="121"/>
  <c r="BC46" i="121"/>
  <c r="AX46" i="121"/>
  <c r="AS46" i="121"/>
  <c r="AM46" i="121"/>
  <c r="AN46" i="121" s="1"/>
  <c r="AL46" i="121"/>
  <c r="AD46" i="121"/>
  <c r="Y46" i="121"/>
  <c r="T46" i="121"/>
  <c r="O46" i="121"/>
  <c r="J46" i="121"/>
  <c r="E46" i="121"/>
  <c r="CZ45" i="121"/>
  <c r="CY45" i="121"/>
  <c r="CV45" i="121"/>
  <c r="CQ45" i="121"/>
  <c r="CL45" i="121"/>
  <c r="CG45" i="121"/>
  <c r="CB45" i="121"/>
  <c r="BW45" i="121"/>
  <c r="BR45" i="121"/>
  <c r="BM45" i="121"/>
  <c r="BH45" i="121"/>
  <c r="BC45" i="121"/>
  <c r="AX45" i="121"/>
  <c r="AS45" i="121"/>
  <c r="AM45" i="121"/>
  <c r="AN45" i="121" s="1"/>
  <c r="AL45" i="121"/>
  <c r="AD45" i="121"/>
  <c r="Y45" i="121"/>
  <c r="T45" i="121"/>
  <c r="O45" i="121"/>
  <c r="J45" i="121"/>
  <c r="E45" i="121"/>
  <c r="CZ44" i="121"/>
  <c r="DA44" i="121" s="1"/>
  <c r="CY44" i="121"/>
  <c r="CV44" i="121"/>
  <c r="CQ44" i="121"/>
  <c r="CL44" i="121"/>
  <c r="CG44" i="121"/>
  <c r="CB44" i="121"/>
  <c r="BW44" i="121"/>
  <c r="BR44" i="121"/>
  <c r="BM44" i="121"/>
  <c r="BH44" i="121"/>
  <c r="BC44" i="121"/>
  <c r="AX44" i="121"/>
  <c r="AS44" i="121"/>
  <c r="AM44" i="121"/>
  <c r="AL44" i="121"/>
  <c r="AD44" i="121"/>
  <c r="Y44" i="121"/>
  <c r="T44" i="121"/>
  <c r="O44" i="121"/>
  <c r="J44" i="121"/>
  <c r="E44" i="121"/>
  <c r="E41" i="121" s="1"/>
  <c r="CZ43" i="121"/>
  <c r="DA43" i="121" s="1"/>
  <c r="CY43" i="121"/>
  <c r="CV43" i="121"/>
  <c r="CQ43" i="121"/>
  <c r="CL43" i="121"/>
  <c r="CG43" i="121"/>
  <c r="CB43" i="121"/>
  <c r="BW43" i="121"/>
  <c r="BR43" i="121"/>
  <c r="BM43" i="121"/>
  <c r="BH43" i="121"/>
  <c r="BC43" i="121"/>
  <c r="AX43" i="121"/>
  <c r="AS43" i="121"/>
  <c r="AM43" i="121"/>
  <c r="AL43" i="121"/>
  <c r="AD43" i="121"/>
  <c r="Y43" i="121"/>
  <c r="T43" i="121"/>
  <c r="O43" i="121"/>
  <c r="J43" i="121"/>
  <c r="E43" i="121"/>
  <c r="CZ42" i="121"/>
  <c r="CY42" i="121"/>
  <c r="DA42" i="121" s="1"/>
  <c r="CV42" i="121"/>
  <c r="CQ42" i="121"/>
  <c r="CL42" i="121"/>
  <c r="CG42" i="121"/>
  <c r="CB42" i="121"/>
  <c r="BW42" i="121"/>
  <c r="BR42" i="121"/>
  <c r="BM42" i="121"/>
  <c r="BH42" i="121"/>
  <c r="BH41" i="121" s="1"/>
  <c r="BC42" i="121"/>
  <c r="AX42" i="121"/>
  <c r="AS42" i="121"/>
  <c r="AS41" i="121" s="1"/>
  <c r="AM42" i="121"/>
  <c r="AL42" i="121"/>
  <c r="AD42" i="121"/>
  <c r="Y42" i="121"/>
  <c r="T42" i="121"/>
  <c r="O42" i="121"/>
  <c r="J42" i="121"/>
  <c r="J41" i="121" s="1"/>
  <c r="E42" i="121"/>
  <c r="CU41" i="121"/>
  <c r="CT41" i="121"/>
  <c r="CP41" i="121"/>
  <c r="CO41" i="121"/>
  <c r="CL41" i="121"/>
  <c r="CK41" i="121"/>
  <c r="CJ41" i="121"/>
  <c r="CF41" i="121"/>
  <c r="CE41" i="121"/>
  <c r="CA41" i="121"/>
  <c r="BZ41" i="121"/>
  <c r="BW41" i="121"/>
  <c r="BV41" i="121"/>
  <c r="BU41" i="121"/>
  <c r="BQ41" i="121"/>
  <c r="BP41" i="121"/>
  <c r="BL41" i="121"/>
  <c r="BK41" i="121"/>
  <c r="BG41" i="121"/>
  <c r="BF41" i="121"/>
  <c r="BB41" i="121"/>
  <c r="BA41" i="121"/>
  <c r="AW41" i="121"/>
  <c r="AV41" i="121"/>
  <c r="AR41" i="121"/>
  <c r="AQ41" i="121"/>
  <c r="AC41" i="121"/>
  <c r="AB41" i="121"/>
  <c r="Y41" i="121"/>
  <c r="X41" i="121"/>
  <c r="W41" i="121"/>
  <c r="S41" i="121"/>
  <c r="R41" i="121"/>
  <c r="N41" i="121"/>
  <c r="M41" i="121"/>
  <c r="I41" i="121"/>
  <c r="H41" i="121"/>
  <c r="D41" i="121"/>
  <c r="C41" i="121"/>
  <c r="CZ36" i="121"/>
  <c r="CZ35" i="121" s="1"/>
  <c r="CY36" i="121"/>
  <c r="CV36" i="121"/>
  <c r="CV35" i="121" s="1"/>
  <c r="CQ36" i="121"/>
  <c r="CQ35" i="121" s="1"/>
  <c r="CL36" i="121"/>
  <c r="CG36" i="121"/>
  <c r="CG35" i="121" s="1"/>
  <c r="CB36" i="121"/>
  <c r="CB35" i="121" s="1"/>
  <c r="BW36" i="121"/>
  <c r="BR36" i="121"/>
  <c r="BR35" i="121" s="1"/>
  <c r="BM36" i="121"/>
  <c r="BM35" i="121" s="1"/>
  <c r="BH36" i="121"/>
  <c r="BC36" i="121"/>
  <c r="BC35" i="121" s="1"/>
  <c r="AX36" i="121"/>
  <c r="AX35" i="121" s="1"/>
  <c r="AS36" i="121"/>
  <c r="AM36" i="121"/>
  <c r="AL36" i="121"/>
  <c r="AD36" i="121"/>
  <c r="Y36" i="121"/>
  <c r="T36" i="121"/>
  <c r="O36" i="121"/>
  <c r="J36" i="121"/>
  <c r="E36" i="121"/>
  <c r="CU35" i="121"/>
  <c r="CT35" i="121"/>
  <c r="CP35" i="121"/>
  <c r="CO35" i="121"/>
  <c r="CK35" i="121"/>
  <c r="CJ35" i="121"/>
  <c r="CF35" i="121"/>
  <c r="CE35" i="121"/>
  <c r="CA35" i="121"/>
  <c r="BZ35" i="121"/>
  <c r="BV35" i="121"/>
  <c r="BU35" i="121"/>
  <c r="BQ35" i="121"/>
  <c r="BP35" i="121"/>
  <c r="BL35" i="121"/>
  <c r="BK35" i="121"/>
  <c r="BG35" i="121"/>
  <c r="BF35" i="121"/>
  <c r="BB35" i="121"/>
  <c r="BA35" i="121"/>
  <c r="AW35" i="121"/>
  <c r="AV35" i="121"/>
  <c r="AR35" i="121"/>
  <c r="AQ35" i="121"/>
  <c r="AM35" i="121"/>
  <c r="AC35" i="121"/>
  <c r="AB35" i="121"/>
  <c r="X35" i="121"/>
  <c r="W35" i="121"/>
  <c r="T35" i="121"/>
  <c r="S35" i="121"/>
  <c r="R35" i="121"/>
  <c r="N35" i="121"/>
  <c r="M35" i="121"/>
  <c r="I35" i="121"/>
  <c r="H35" i="121"/>
  <c r="D35" i="121"/>
  <c r="C35" i="121"/>
  <c r="CZ33" i="121"/>
  <c r="CY33" i="121"/>
  <c r="CV33" i="121"/>
  <c r="CQ33" i="121"/>
  <c r="CL33" i="121"/>
  <c r="CG33" i="121"/>
  <c r="CB33" i="121"/>
  <c r="BW33" i="121"/>
  <c r="BR33" i="121"/>
  <c r="BM33" i="121"/>
  <c r="BH33" i="121"/>
  <c r="BC33" i="121"/>
  <c r="AX33" i="121"/>
  <c r="AS33" i="121"/>
  <c r="AM33" i="121"/>
  <c r="AL33" i="121"/>
  <c r="AD33" i="121"/>
  <c r="Y33" i="121"/>
  <c r="T33" i="121"/>
  <c r="O33" i="121"/>
  <c r="J33" i="121"/>
  <c r="E33" i="121"/>
  <c r="CV32" i="121"/>
  <c r="CQ32" i="121"/>
  <c r="CL32" i="121"/>
  <c r="CG32" i="121"/>
  <c r="CB32" i="121"/>
  <c r="BW32" i="121"/>
  <c r="BR32" i="121"/>
  <c r="BM32" i="121"/>
  <c r="BH32" i="121"/>
  <c r="BC32" i="121"/>
  <c r="AX32" i="121"/>
  <c r="AS32" i="121"/>
  <c r="AM32" i="121"/>
  <c r="AL32" i="121"/>
  <c r="AD32" i="121"/>
  <c r="Y32" i="121"/>
  <c r="T32" i="121"/>
  <c r="O32" i="121"/>
  <c r="H32" i="121"/>
  <c r="C32" i="121"/>
  <c r="DA31" i="121"/>
  <c r="CV31" i="121"/>
  <c r="CQ31" i="121"/>
  <c r="CL31" i="121"/>
  <c r="CG31" i="121"/>
  <c r="CB31" i="121"/>
  <c r="BW31" i="121"/>
  <c r="BR31" i="121"/>
  <c r="BM31" i="121"/>
  <c r="BH31" i="121"/>
  <c r="BC31" i="121"/>
  <c r="AX31" i="121"/>
  <c r="AS31" i="121"/>
  <c r="AM31" i="121"/>
  <c r="AL31" i="121"/>
  <c r="AD31" i="121"/>
  <c r="Y31" i="121"/>
  <c r="T31" i="121"/>
  <c r="O31" i="121"/>
  <c r="J31" i="121"/>
  <c r="E31" i="121"/>
  <c r="DA30" i="121"/>
  <c r="CV30" i="121"/>
  <c r="CQ30" i="121"/>
  <c r="CL30" i="121"/>
  <c r="CG30" i="121"/>
  <c r="CB30" i="121"/>
  <c r="BW30" i="121"/>
  <c r="BR30" i="121"/>
  <c r="BM30" i="121"/>
  <c r="BH30" i="121"/>
  <c r="BC30" i="121"/>
  <c r="AX30" i="121"/>
  <c r="AS30" i="121"/>
  <c r="AM30" i="121"/>
  <c r="AL30" i="121"/>
  <c r="AN30" i="121" s="1"/>
  <c r="AD30" i="121"/>
  <c r="Y30" i="121"/>
  <c r="T30" i="121"/>
  <c r="O30" i="121"/>
  <c r="J30" i="121"/>
  <c r="E30" i="121"/>
  <c r="CV29" i="121"/>
  <c r="CQ29" i="121"/>
  <c r="CL29" i="121"/>
  <c r="CG29" i="121"/>
  <c r="CB29" i="121"/>
  <c r="BW29" i="121"/>
  <c r="BR29" i="121"/>
  <c r="BM29" i="121"/>
  <c r="BH29" i="121"/>
  <c r="BC29" i="121"/>
  <c r="AX29" i="121"/>
  <c r="AS29" i="121"/>
  <c r="AM29" i="121"/>
  <c r="AN29" i="121" s="1"/>
  <c r="AL29" i="121"/>
  <c r="AB29" i="121"/>
  <c r="CY29" i="121" s="1"/>
  <c r="Y29" i="121"/>
  <c r="T29" i="121"/>
  <c r="O29" i="121"/>
  <c r="J29" i="121"/>
  <c r="E29" i="121"/>
  <c r="CV28" i="121"/>
  <c r="CQ28" i="121"/>
  <c r="CL28" i="121"/>
  <c r="CG28" i="121"/>
  <c r="CB28" i="121"/>
  <c r="BW28" i="121"/>
  <c r="BR28" i="121"/>
  <c r="BM28" i="121"/>
  <c r="BH28" i="121"/>
  <c r="BC28" i="121"/>
  <c r="AX28" i="121"/>
  <c r="AS28" i="121"/>
  <c r="AM28" i="121"/>
  <c r="AL28" i="121"/>
  <c r="AN28" i="121" s="1"/>
  <c r="AB28" i="121"/>
  <c r="AD28" i="121" s="1"/>
  <c r="W28" i="121"/>
  <c r="T28" i="121"/>
  <c r="R28" i="121"/>
  <c r="M28" i="121"/>
  <c r="I28" i="121"/>
  <c r="CZ28" i="121" s="1"/>
  <c r="H28" i="121"/>
  <c r="E28" i="121"/>
  <c r="CV27" i="121"/>
  <c r="CQ27" i="121"/>
  <c r="CL27" i="121"/>
  <c r="CG27" i="121"/>
  <c r="CB27" i="121"/>
  <c r="BW27" i="121"/>
  <c r="BR27" i="121"/>
  <c r="BM27" i="121"/>
  <c r="BH27" i="121"/>
  <c r="BC27" i="121"/>
  <c r="AX27" i="121"/>
  <c r="AS27" i="121"/>
  <c r="AM27" i="121"/>
  <c r="AL27" i="121"/>
  <c r="AN27" i="121" s="1"/>
  <c r="AD27" i="121"/>
  <c r="Y27" i="121"/>
  <c r="T27" i="121"/>
  <c r="O27" i="121"/>
  <c r="M27" i="121"/>
  <c r="J27" i="121"/>
  <c r="E27" i="121"/>
  <c r="DA26" i="121"/>
  <c r="CV26" i="121"/>
  <c r="CQ26" i="121"/>
  <c r="CL26" i="121"/>
  <c r="CG26" i="121"/>
  <c r="CB26" i="121"/>
  <c r="BW26" i="121"/>
  <c r="BR26" i="121"/>
  <c r="BM26" i="121"/>
  <c r="BH26" i="121"/>
  <c r="BC26" i="121"/>
  <c r="AX26" i="121"/>
  <c r="AS26" i="121"/>
  <c r="AM26" i="121"/>
  <c r="AL26" i="121"/>
  <c r="AD26" i="121"/>
  <c r="Y26" i="121"/>
  <c r="T26" i="121"/>
  <c r="O26" i="121"/>
  <c r="J26" i="121"/>
  <c r="E26" i="121"/>
  <c r="CV25" i="121"/>
  <c r="CQ25" i="121"/>
  <c r="CL25" i="121"/>
  <c r="CG25" i="121"/>
  <c r="CB25" i="121"/>
  <c r="BW25" i="121"/>
  <c r="BR25" i="121"/>
  <c r="BM25" i="121"/>
  <c r="BH25" i="121"/>
  <c r="BC25" i="121"/>
  <c r="AX25" i="121"/>
  <c r="AS25" i="121"/>
  <c r="AM25" i="121"/>
  <c r="AL25" i="121"/>
  <c r="AB25" i="121"/>
  <c r="CY25" i="121" s="1"/>
  <c r="Y25" i="121"/>
  <c r="T25" i="121"/>
  <c r="O25" i="121"/>
  <c r="J25" i="121"/>
  <c r="E25" i="121"/>
  <c r="DA24" i="121"/>
  <c r="CV24" i="121"/>
  <c r="CQ24" i="121"/>
  <c r="CL24" i="121"/>
  <c r="CG24" i="121"/>
  <c r="CB24" i="121"/>
  <c r="BW24" i="121"/>
  <c r="BR24" i="121"/>
  <c r="BM24" i="121"/>
  <c r="BH24" i="121"/>
  <c r="BC24" i="121"/>
  <c r="AX24" i="121"/>
  <c r="AS24" i="121"/>
  <c r="AM24" i="121"/>
  <c r="AL24" i="121"/>
  <c r="AN24" i="121" s="1"/>
  <c r="AD24" i="121"/>
  <c r="Y24" i="121"/>
  <c r="T24" i="121"/>
  <c r="O24" i="121"/>
  <c r="J24" i="121"/>
  <c r="E24" i="121"/>
  <c r="DA23" i="121"/>
  <c r="CV23" i="121"/>
  <c r="CQ23" i="121"/>
  <c r="CL23" i="121"/>
  <c r="CG23" i="121"/>
  <c r="CB23" i="121"/>
  <c r="BW23" i="121"/>
  <c r="BR23" i="121"/>
  <c r="BM23" i="121"/>
  <c r="BH23" i="121"/>
  <c r="BC23" i="121"/>
  <c r="AX23" i="121"/>
  <c r="AM23" i="121"/>
  <c r="AL23" i="121"/>
  <c r="DA22" i="121"/>
  <c r="CV22" i="121"/>
  <c r="CQ22" i="121"/>
  <c r="CL22" i="121"/>
  <c r="CG22" i="121"/>
  <c r="CB22" i="121"/>
  <c r="BW22" i="121"/>
  <c r="BR22" i="121"/>
  <c r="BM22" i="121"/>
  <c r="BH22" i="121"/>
  <c r="BC22" i="121"/>
  <c r="AX22" i="121"/>
  <c r="AM22" i="121"/>
  <c r="AL22" i="121"/>
  <c r="DA21" i="121"/>
  <c r="CV21" i="121"/>
  <c r="CQ21" i="121"/>
  <c r="CL21" i="121"/>
  <c r="CG21" i="121"/>
  <c r="CB21" i="121"/>
  <c r="BW21" i="121"/>
  <c r="BR21" i="121"/>
  <c r="BM21" i="121"/>
  <c r="BH21" i="121"/>
  <c r="BC21" i="121"/>
  <c r="AX21" i="121"/>
  <c r="AS21" i="121"/>
  <c r="AM21" i="121"/>
  <c r="AN21" i="121" s="1"/>
  <c r="AL21" i="121"/>
  <c r="AD21" i="121"/>
  <c r="Y21" i="121"/>
  <c r="T21" i="121"/>
  <c r="O21" i="121"/>
  <c r="J21" i="121"/>
  <c r="E21" i="121"/>
  <c r="DA20" i="121"/>
  <c r="CV20" i="121"/>
  <c r="CQ20" i="121"/>
  <c r="CL20" i="121"/>
  <c r="CG20" i="121"/>
  <c r="CB20" i="121"/>
  <c r="BW20" i="121"/>
  <c r="BR20" i="121"/>
  <c r="BM20" i="121"/>
  <c r="BH20" i="121"/>
  <c r="BC20" i="121"/>
  <c r="AX20" i="121"/>
  <c r="AS20" i="121"/>
  <c r="AM20" i="121"/>
  <c r="AL20" i="121"/>
  <c r="AN20" i="121" s="1"/>
  <c r="AD20" i="121"/>
  <c r="Y20" i="121"/>
  <c r="T20" i="121"/>
  <c r="O20" i="121"/>
  <c r="J20" i="121"/>
  <c r="E20" i="121"/>
  <c r="DA19" i="121"/>
  <c r="CV19" i="121"/>
  <c r="CQ19" i="121"/>
  <c r="CL19" i="121"/>
  <c r="CG19" i="121"/>
  <c r="CB19" i="121"/>
  <c r="BW19" i="121"/>
  <c r="BR19" i="121"/>
  <c r="BM19" i="121"/>
  <c r="BH19" i="121"/>
  <c r="BC19" i="121"/>
  <c r="AX19" i="121"/>
  <c r="AS19" i="121"/>
  <c r="AN19" i="121"/>
  <c r="AM19" i="121"/>
  <c r="AL19" i="121"/>
  <c r="AD19" i="121"/>
  <c r="Y19" i="121"/>
  <c r="T19" i="121"/>
  <c r="O19" i="121"/>
  <c r="J19" i="121"/>
  <c r="E19" i="121"/>
  <c r="CV18" i="121"/>
  <c r="CQ18" i="121"/>
  <c r="CL18" i="121"/>
  <c r="CG18" i="121"/>
  <c r="CB18" i="121"/>
  <c r="BW18" i="121"/>
  <c r="BR18" i="121"/>
  <c r="BM18" i="121"/>
  <c r="BH18" i="121"/>
  <c r="BC18" i="121"/>
  <c r="AX18" i="121"/>
  <c r="AS18" i="121"/>
  <c r="AM18" i="121"/>
  <c r="AN18" i="121" s="1"/>
  <c r="AL18" i="121"/>
  <c r="AD18" i="121"/>
  <c r="W18" i="121"/>
  <c r="Y18" i="121" s="1"/>
  <c r="T18" i="121"/>
  <c r="M18" i="121"/>
  <c r="J18" i="121"/>
  <c r="E18" i="121"/>
  <c r="DA17" i="121"/>
  <c r="CV17" i="121"/>
  <c r="CQ17" i="121"/>
  <c r="CL17" i="121"/>
  <c r="CG17" i="121"/>
  <c r="CB17" i="121"/>
  <c r="BW17" i="121"/>
  <c r="BR17" i="121"/>
  <c r="BM17" i="121"/>
  <c r="BH17" i="121"/>
  <c r="BC17" i="121"/>
  <c r="AX17" i="121"/>
  <c r="AS17" i="121"/>
  <c r="AN17" i="121"/>
  <c r="AM17" i="121"/>
  <c r="AL17" i="121"/>
  <c r="AD17" i="121"/>
  <c r="Y17" i="121"/>
  <c r="T17" i="121"/>
  <c r="O17" i="121"/>
  <c r="J17" i="121"/>
  <c r="E17" i="121"/>
  <c r="DA16" i="121"/>
  <c r="CV16" i="121"/>
  <c r="CQ16" i="121"/>
  <c r="CL16" i="121"/>
  <c r="CG16" i="121"/>
  <c r="CB16" i="121"/>
  <c r="BW16" i="121"/>
  <c r="BR16" i="121"/>
  <c r="BM16" i="121"/>
  <c r="BH16" i="121"/>
  <c r="BC16" i="121"/>
  <c r="AX16" i="121"/>
  <c r="AS16" i="121"/>
  <c r="AM16" i="121"/>
  <c r="AL16" i="121"/>
  <c r="AD16" i="121"/>
  <c r="Y16" i="121"/>
  <c r="T16" i="121"/>
  <c r="O16" i="121"/>
  <c r="J16" i="121"/>
  <c r="E16" i="121"/>
  <c r="DA15" i="121"/>
  <c r="CV15" i="121"/>
  <c r="CQ15" i="121"/>
  <c r="CL15" i="121"/>
  <c r="CG15" i="121"/>
  <c r="CB15" i="121"/>
  <c r="BW15" i="121"/>
  <c r="BR15" i="121"/>
  <c r="BM15" i="121"/>
  <c r="BH15" i="121"/>
  <c r="BC15" i="121"/>
  <c r="AX15" i="121"/>
  <c r="AS15" i="121"/>
  <c r="AM15" i="121"/>
  <c r="AN15" i="121" s="1"/>
  <c r="AL15" i="121"/>
  <c r="AD15" i="121"/>
  <c r="Y15" i="121"/>
  <c r="T15" i="121"/>
  <c r="O15" i="121"/>
  <c r="J15" i="121"/>
  <c r="E15" i="121"/>
  <c r="DA14" i="121"/>
  <c r="CV14" i="121"/>
  <c r="CQ14" i="121"/>
  <c r="CL14" i="121"/>
  <c r="CG14" i="121"/>
  <c r="CB14" i="121"/>
  <c r="BW14" i="121"/>
  <c r="BR14" i="121"/>
  <c r="BM14" i="121"/>
  <c r="BH14" i="121"/>
  <c r="BC14" i="121"/>
  <c r="AX14" i="121"/>
  <c r="AS14" i="121"/>
  <c r="AM14" i="121"/>
  <c r="AL14" i="121"/>
  <c r="AD14" i="121"/>
  <c r="Y14" i="121"/>
  <c r="T14" i="121"/>
  <c r="O14" i="121"/>
  <c r="J14" i="121"/>
  <c r="E14" i="121"/>
  <c r="DA13" i="121"/>
  <c r="CV13" i="121"/>
  <c r="CQ13" i="121"/>
  <c r="CL13" i="121"/>
  <c r="CG13" i="121"/>
  <c r="CB13" i="121"/>
  <c r="BW13" i="121"/>
  <c r="BR13" i="121"/>
  <c r="BM13" i="121"/>
  <c r="BH13" i="121"/>
  <c r="BC13" i="121"/>
  <c r="AX13" i="121"/>
  <c r="AS13" i="121"/>
  <c r="AM13" i="121"/>
  <c r="AL13" i="121"/>
  <c r="AD13" i="121"/>
  <c r="Y13" i="121"/>
  <c r="T13" i="121"/>
  <c r="O13" i="121"/>
  <c r="J13" i="121"/>
  <c r="E13" i="121"/>
  <c r="DA12" i="121"/>
  <c r="CV12" i="121"/>
  <c r="CQ12" i="121"/>
  <c r="CL12" i="121"/>
  <c r="CG12" i="121"/>
  <c r="CB12" i="121"/>
  <c r="BW12" i="121"/>
  <c r="BR12" i="121"/>
  <c r="BM12" i="121"/>
  <c r="BH12" i="121"/>
  <c r="BC12" i="121"/>
  <c r="AX12" i="121"/>
  <c r="AS12" i="121"/>
  <c r="AM12" i="121"/>
  <c r="AN12" i="121" s="1"/>
  <c r="AL12" i="121"/>
  <c r="AD12" i="121"/>
  <c r="Y12" i="121"/>
  <c r="T12" i="121"/>
  <c r="O12" i="121"/>
  <c r="J12" i="121"/>
  <c r="E12" i="121"/>
  <c r="DA11" i="121"/>
  <c r="CV11" i="121"/>
  <c r="CQ11" i="121"/>
  <c r="CL11" i="121"/>
  <c r="CG11" i="121"/>
  <c r="CB11" i="121"/>
  <c r="BW11" i="121"/>
  <c r="BR11" i="121"/>
  <c r="BM11" i="121"/>
  <c r="BH11" i="121"/>
  <c r="BC11" i="121"/>
  <c r="AX11" i="121"/>
  <c r="AS11" i="121"/>
  <c r="AM11" i="121"/>
  <c r="AL11" i="121"/>
  <c r="AN11" i="121" s="1"/>
  <c r="AD11" i="121"/>
  <c r="Y11" i="121"/>
  <c r="T11" i="121"/>
  <c r="O11" i="121"/>
  <c r="J11" i="121"/>
  <c r="E11" i="121"/>
  <c r="DA10" i="121"/>
  <c r="CV10" i="121"/>
  <c r="CQ10" i="121"/>
  <c r="CL10" i="121"/>
  <c r="CG10" i="121"/>
  <c r="CB10" i="121"/>
  <c r="BW10" i="121"/>
  <c r="BR10" i="121"/>
  <c r="BM10" i="121"/>
  <c r="BH10" i="121"/>
  <c r="BC10" i="121"/>
  <c r="AX10" i="121"/>
  <c r="AS10" i="121"/>
  <c r="AM10" i="121"/>
  <c r="AN10" i="121" s="1"/>
  <c r="AL10" i="121"/>
  <c r="AD10" i="121"/>
  <c r="Y10" i="121"/>
  <c r="T10" i="121"/>
  <c r="O10" i="121"/>
  <c r="J10" i="121"/>
  <c r="E10" i="121"/>
  <c r="CV9" i="121"/>
  <c r="CQ9" i="121"/>
  <c r="CL9" i="121"/>
  <c r="CG9" i="121"/>
  <c r="CB9" i="121"/>
  <c r="BW9" i="121"/>
  <c r="BR9" i="121"/>
  <c r="BR8" i="121" s="1"/>
  <c r="BM9" i="121"/>
  <c r="BH9" i="121"/>
  <c r="BC9" i="121"/>
  <c r="AX9" i="121"/>
  <c r="AS9" i="121"/>
  <c r="AM9" i="121"/>
  <c r="AL9" i="121"/>
  <c r="AC9" i="121"/>
  <c r="Y9" i="121"/>
  <c r="S9" i="121"/>
  <c r="N9" i="121"/>
  <c r="O9" i="121" s="1"/>
  <c r="I9" i="121"/>
  <c r="H9" i="121"/>
  <c r="E9" i="121"/>
  <c r="D9" i="121"/>
  <c r="S9" i="125" s="1"/>
  <c r="CU8" i="121"/>
  <c r="CT8" i="121"/>
  <c r="CP8" i="121"/>
  <c r="CO8" i="121"/>
  <c r="CK8" i="121"/>
  <c r="CJ8" i="121"/>
  <c r="CF8" i="121"/>
  <c r="CE8" i="121"/>
  <c r="CA8" i="121"/>
  <c r="BZ8" i="121"/>
  <c r="BV8" i="121"/>
  <c r="BU8" i="121"/>
  <c r="BQ8" i="121"/>
  <c r="BP8" i="121"/>
  <c r="BL8" i="121"/>
  <c r="BK8" i="121"/>
  <c r="BG8" i="121"/>
  <c r="BF8" i="121"/>
  <c r="BB8" i="121"/>
  <c r="BA8" i="121"/>
  <c r="AW8" i="121"/>
  <c r="AV8" i="121"/>
  <c r="AR8" i="121"/>
  <c r="AQ8" i="121"/>
  <c r="AL8" i="121"/>
  <c r="X8" i="121"/>
  <c r="R8" i="121"/>
  <c r="N8" i="121"/>
  <c r="C8" i="121"/>
  <c r="CZ7" i="121"/>
  <c r="CY7" i="121"/>
  <c r="CV7" i="121"/>
  <c r="CQ7" i="121"/>
  <c r="CL7" i="121"/>
  <c r="CG7" i="121"/>
  <c r="CB7" i="121"/>
  <c r="BW7" i="121"/>
  <c r="BR7" i="121"/>
  <c r="BR5" i="121" s="1"/>
  <c r="BM7" i="121"/>
  <c r="BH7" i="121"/>
  <c r="BC7" i="121"/>
  <c r="AX7" i="121"/>
  <c r="AS7" i="121"/>
  <c r="AM7" i="121"/>
  <c r="AL7" i="121"/>
  <c r="AN7" i="121" s="1"/>
  <c r="AD7" i="121"/>
  <c r="Y7" i="121"/>
  <c r="T7" i="121"/>
  <c r="O7" i="121"/>
  <c r="J7" i="121"/>
  <c r="E7" i="121"/>
  <c r="CV6" i="121"/>
  <c r="CV5" i="121" s="1"/>
  <c r="CQ6" i="121"/>
  <c r="CQ5" i="121" s="1"/>
  <c r="CL6" i="121"/>
  <c r="CL5" i="121" s="1"/>
  <c r="CG6" i="121"/>
  <c r="CG5" i="121" s="1"/>
  <c r="CB6" i="121"/>
  <c r="BW6" i="121"/>
  <c r="BR6" i="121"/>
  <c r="BM6" i="121"/>
  <c r="BH6" i="121"/>
  <c r="BC6" i="121"/>
  <c r="BC5" i="121" s="1"/>
  <c r="AX6" i="121"/>
  <c r="AX5" i="121" s="1"/>
  <c r="AS6" i="121"/>
  <c r="AS5" i="121" s="1"/>
  <c r="AM6" i="121"/>
  <c r="AL6" i="121"/>
  <c r="AD6" i="121"/>
  <c r="AD5" i="121" s="1"/>
  <c r="Y6" i="121"/>
  <c r="Y5" i="121" s="1"/>
  <c r="S6" i="121"/>
  <c r="AH6" i="125" s="1"/>
  <c r="R6" i="121"/>
  <c r="T6" i="121" s="1"/>
  <c r="T5" i="121" s="1"/>
  <c r="M6" i="121"/>
  <c r="J6" i="121"/>
  <c r="J5" i="121" s="1"/>
  <c r="E6" i="121"/>
  <c r="CU5" i="121"/>
  <c r="CT5" i="121"/>
  <c r="CT38" i="121" s="1"/>
  <c r="CP5" i="121"/>
  <c r="CO5" i="121"/>
  <c r="CO38" i="121" s="1"/>
  <c r="CK5" i="121"/>
  <c r="CJ5" i="121"/>
  <c r="CF5" i="121"/>
  <c r="CE5" i="121"/>
  <c r="CB5" i="121"/>
  <c r="CA5" i="121"/>
  <c r="BZ5" i="121"/>
  <c r="BZ38" i="121" s="1"/>
  <c r="BV5" i="121"/>
  <c r="BV38" i="121" s="1"/>
  <c r="BU5" i="121"/>
  <c r="BU38" i="121" s="1"/>
  <c r="BQ5" i="121"/>
  <c r="BP5" i="121"/>
  <c r="BL5" i="121"/>
  <c r="BK5" i="121"/>
  <c r="BK38" i="121" s="1"/>
  <c r="BG5" i="121"/>
  <c r="BF5" i="121"/>
  <c r="BF38" i="121" s="1"/>
  <c r="BB5" i="121"/>
  <c r="BB38" i="121" s="1"/>
  <c r="BA5" i="121"/>
  <c r="BA38" i="121" s="1"/>
  <c r="AW5" i="121"/>
  <c r="AV5" i="121"/>
  <c r="AV38" i="121" s="1"/>
  <c r="AR5" i="121"/>
  <c r="AR38" i="121" s="1"/>
  <c r="AQ5" i="121"/>
  <c r="AQ38" i="121" s="1"/>
  <c r="AL5" i="121"/>
  <c r="AL38" i="121" s="1"/>
  <c r="AC5" i="121"/>
  <c r="AB5" i="121"/>
  <c r="X5" i="121"/>
  <c r="W5" i="121"/>
  <c r="S5" i="121"/>
  <c r="R5" i="121"/>
  <c r="N5" i="121"/>
  <c r="I5" i="121"/>
  <c r="H5" i="121"/>
  <c r="E5" i="121"/>
  <c r="D5" i="121"/>
  <c r="C5" i="121"/>
  <c r="AI89" i="122"/>
  <c r="AI91" i="122" s="1"/>
  <c r="CY85" i="122"/>
  <c r="CV85" i="122"/>
  <c r="CQ85" i="122"/>
  <c r="CL85" i="122"/>
  <c r="CG85" i="122"/>
  <c r="CB85" i="122"/>
  <c r="BW85" i="122"/>
  <c r="AS85" i="122"/>
  <c r="AL85" i="122"/>
  <c r="AD85" i="122"/>
  <c r="Y85" i="122"/>
  <c r="T85" i="122"/>
  <c r="O85" i="122"/>
  <c r="J85" i="122"/>
  <c r="E85" i="122"/>
  <c r="CZ82" i="122"/>
  <c r="CY82" i="122"/>
  <c r="CV82" i="122"/>
  <c r="CQ82" i="122"/>
  <c r="CL82" i="122"/>
  <c r="CG82" i="122"/>
  <c r="CB82" i="122"/>
  <c r="BW82" i="122"/>
  <c r="BR82" i="122"/>
  <c r="BM82" i="122"/>
  <c r="BH82" i="122"/>
  <c r="BC82" i="122"/>
  <c r="AX82" i="122"/>
  <c r="AS82" i="122"/>
  <c r="AM82" i="122"/>
  <c r="AL82" i="122"/>
  <c r="AN82" i="122" s="1"/>
  <c r="AD82" i="122"/>
  <c r="Y82" i="122"/>
  <c r="T82" i="122"/>
  <c r="O82" i="122"/>
  <c r="J82" i="122"/>
  <c r="E82" i="122"/>
  <c r="CZ79" i="122"/>
  <c r="CV79" i="122"/>
  <c r="CQ79" i="122"/>
  <c r="CL79" i="122"/>
  <c r="CL77" i="122" s="1"/>
  <c r="CG79" i="122"/>
  <c r="CB79" i="122"/>
  <c r="BW79" i="122"/>
  <c r="BR79" i="122"/>
  <c r="BM79" i="122"/>
  <c r="AM79" i="122"/>
  <c r="CZ78" i="122"/>
  <c r="CY78" i="122"/>
  <c r="DA78" i="122" s="1"/>
  <c r="CV78" i="122"/>
  <c r="CQ78" i="122"/>
  <c r="CL78" i="122"/>
  <c r="CG78" i="122"/>
  <c r="CB78" i="122"/>
  <c r="CB77" i="122" s="1"/>
  <c r="BW78" i="122"/>
  <c r="BW77" i="122" s="1"/>
  <c r="BR78" i="122"/>
  <c r="BR77" i="122" s="1"/>
  <c r="BM78" i="122"/>
  <c r="BH78" i="122"/>
  <c r="BC78" i="122"/>
  <c r="AX78" i="122"/>
  <c r="AS78" i="122"/>
  <c r="AM78" i="122"/>
  <c r="AM77" i="122" s="1"/>
  <c r="AL78" i="122"/>
  <c r="AN78" i="122" s="1"/>
  <c r="AD78" i="122"/>
  <c r="Y78" i="122"/>
  <c r="T78" i="122"/>
  <c r="O78" i="122"/>
  <c r="J78" i="122"/>
  <c r="E78" i="122"/>
  <c r="CU77" i="122"/>
  <c r="CT77" i="122"/>
  <c r="CQ77" i="122"/>
  <c r="CP77" i="122"/>
  <c r="CO77" i="122"/>
  <c r="CK77" i="122"/>
  <c r="CJ77" i="122"/>
  <c r="CG77" i="122"/>
  <c r="CF77" i="122"/>
  <c r="CE77" i="122"/>
  <c r="CA77" i="122"/>
  <c r="BZ77" i="122"/>
  <c r="BV77" i="122"/>
  <c r="BU77" i="122"/>
  <c r="BQ77" i="122"/>
  <c r="BP77" i="122"/>
  <c r="BM77" i="122"/>
  <c r="BL77" i="122"/>
  <c r="BK77" i="122"/>
  <c r="BG77" i="122"/>
  <c r="BB77" i="122"/>
  <c r="AW77" i="122"/>
  <c r="AR77" i="122"/>
  <c r="AC77" i="122"/>
  <c r="X77" i="122"/>
  <c r="S77" i="122"/>
  <c r="N77" i="122"/>
  <c r="I77" i="122"/>
  <c r="D77" i="122"/>
  <c r="CZ74" i="122"/>
  <c r="CZ73" i="122" s="1"/>
  <c r="CY74" i="122"/>
  <c r="CV74" i="122"/>
  <c r="CV73" i="122" s="1"/>
  <c r="CQ74" i="122"/>
  <c r="CQ73" i="122" s="1"/>
  <c r="CL74" i="122"/>
  <c r="CG74" i="122"/>
  <c r="CB74" i="122"/>
  <c r="CB73" i="122" s="1"/>
  <c r="BW74" i="122"/>
  <c r="BW73" i="122" s="1"/>
  <c r="BR74" i="122"/>
  <c r="BR73" i="122" s="1"/>
  <c r="BM74" i="122"/>
  <c r="BM73" i="122" s="1"/>
  <c r="BH74" i="122"/>
  <c r="BC74" i="122"/>
  <c r="AX74" i="122"/>
  <c r="AS74" i="122"/>
  <c r="AS73" i="122" s="1"/>
  <c r="AM74" i="122"/>
  <c r="AM73" i="122" s="1"/>
  <c r="AL74" i="122"/>
  <c r="AN74" i="122" s="1"/>
  <c r="AN73" i="122" s="1"/>
  <c r="AD74" i="122"/>
  <c r="AD73" i="122" s="1"/>
  <c r="Y74" i="122"/>
  <c r="Y73" i="122" s="1"/>
  <c r="T74" i="122"/>
  <c r="T73" i="122" s="1"/>
  <c r="O74" i="122"/>
  <c r="J74" i="122"/>
  <c r="E74" i="122"/>
  <c r="E73" i="122" s="1"/>
  <c r="CY73" i="122"/>
  <c r="CU73" i="122"/>
  <c r="CT73" i="122"/>
  <c r="CP73" i="122"/>
  <c r="CO73" i="122"/>
  <c r="CL73" i="122"/>
  <c r="CK73" i="122"/>
  <c r="CJ73" i="122"/>
  <c r="CG73" i="122"/>
  <c r="CF73" i="122"/>
  <c r="CE73" i="122"/>
  <c r="CA73" i="122"/>
  <c r="BZ73" i="122"/>
  <c r="BV73" i="122"/>
  <c r="BU73" i="122"/>
  <c r="BQ73" i="122"/>
  <c r="BP73" i="122"/>
  <c r="BL73" i="122"/>
  <c r="BK73" i="122"/>
  <c r="BH73" i="122"/>
  <c r="BG73" i="122"/>
  <c r="BF73" i="122"/>
  <c r="BC73" i="122"/>
  <c r="BB73" i="122"/>
  <c r="BA73" i="122"/>
  <c r="AX73" i="122"/>
  <c r="AW73" i="122"/>
  <c r="AV73" i="122"/>
  <c r="AR73" i="122"/>
  <c r="AQ73" i="122"/>
  <c r="AC73" i="122"/>
  <c r="AB73" i="122"/>
  <c r="X73" i="122"/>
  <c r="W73" i="122"/>
  <c r="S73" i="122"/>
  <c r="R73" i="122"/>
  <c r="O73" i="122"/>
  <c r="N73" i="122"/>
  <c r="M73" i="122"/>
  <c r="J73" i="122"/>
  <c r="I73" i="122"/>
  <c r="H73" i="122"/>
  <c r="D73" i="122"/>
  <c r="C73" i="122"/>
  <c r="CZ71" i="122"/>
  <c r="CY71" i="122"/>
  <c r="DA71" i="122" s="1"/>
  <c r="CV71" i="122"/>
  <c r="CQ71" i="122"/>
  <c r="CL71" i="122"/>
  <c r="CG71" i="122"/>
  <c r="CB71" i="122"/>
  <c r="BW71" i="122"/>
  <c r="BR71" i="122"/>
  <c r="BM71" i="122"/>
  <c r="BH71" i="122"/>
  <c r="BC71" i="122"/>
  <c r="AX71" i="122"/>
  <c r="AS71" i="122"/>
  <c r="AM71" i="122"/>
  <c r="AL71" i="122"/>
  <c r="AN71" i="122" s="1"/>
  <c r="AD71" i="122"/>
  <c r="Y71" i="122"/>
  <c r="T71" i="122"/>
  <c r="O71" i="122"/>
  <c r="J71" i="122"/>
  <c r="E71" i="122"/>
  <c r="CZ70" i="122"/>
  <c r="CY70" i="122"/>
  <c r="DA70" i="122" s="1"/>
  <c r="CV70" i="122"/>
  <c r="CQ70" i="122"/>
  <c r="CL70" i="122"/>
  <c r="CG70" i="122"/>
  <c r="CB70" i="122"/>
  <c r="BW70" i="122"/>
  <c r="BR70" i="122"/>
  <c r="BM70" i="122"/>
  <c r="BH70" i="122"/>
  <c r="BC70" i="122"/>
  <c r="AX70" i="122"/>
  <c r="AS70" i="122"/>
  <c r="AM70" i="122"/>
  <c r="AL70" i="122"/>
  <c r="AN70" i="122" s="1"/>
  <c r="AD70" i="122"/>
  <c r="Y70" i="122"/>
  <c r="T70" i="122"/>
  <c r="O70" i="122"/>
  <c r="J70" i="122"/>
  <c r="E70" i="122"/>
  <c r="CZ69" i="122"/>
  <c r="CY69" i="122"/>
  <c r="DA69" i="122" s="1"/>
  <c r="CV69" i="122"/>
  <c r="CQ69" i="122"/>
  <c r="CL69" i="122"/>
  <c r="CG69" i="122"/>
  <c r="CB69" i="122"/>
  <c r="BW69" i="122"/>
  <c r="BR69" i="122"/>
  <c r="BM69" i="122"/>
  <c r="BH69" i="122"/>
  <c r="BC69" i="122"/>
  <c r="AX69" i="122"/>
  <c r="AS69" i="122"/>
  <c r="AM69" i="122"/>
  <c r="AL69" i="122"/>
  <c r="AD69" i="122"/>
  <c r="Y69" i="122"/>
  <c r="T69" i="122"/>
  <c r="O69" i="122"/>
  <c r="J69" i="122"/>
  <c r="E69" i="122"/>
  <c r="DA68" i="122"/>
  <c r="CZ68" i="122"/>
  <c r="CY68" i="122"/>
  <c r="CV68" i="122"/>
  <c r="CQ68" i="122"/>
  <c r="CL68" i="122"/>
  <c r="CG68" i="122"/>
  <c r="CB68" i="122"/>
  <c r="BW68" i="122"/>
  <c r="BR68" i="122"/>
  <c r="BM68" i="122"/>
  <c r="BH68" i="122"/>
  <c r="BC68" i="122"/>
  <c r="AX68" i="122"/>
  <c r="AS68" i="122"/>
  <c r="AM68" i="122"/>
  <c r="AL68" i="122"/>
  <c r="AD68" i="122"/>
  <c r="Y68" i="122"/>
  <c r="T68" i="122"/>
  <c r="O68" i="122"/>
  <c r="J68" i="122"/>
  <c r="E68" i="122"/>
  <c r="CZ67" i="122"/>
  <c r="CY67" i="122"/>
  <c r="CV67" i="122"/>
  <c r="CQ67" i="122"/>
  <c r="CL67" i="122"/>
  <c r="CG67" i="122"/>
  <c r="CB67" i="122"/>
  <c r="BW67" i="122"/>
  <c r="BR67" i="122"/>
  <c r="BM67" i="122"/>
  <c r="BH67" i="122"/>
  <c r="BC67" i="122"/>
  <c r="AX67" i="122"/>
  <c r="AS67" i="122"/>
  <c r="AN67" i="122"/>
  <c r="AM67" i="122"/>
  <c r="AL67" i="122"/>
  <c r="AD67" i="122"/>
  <c r="Y67" i="122"/>
  <c r="T67" i="122"/>
  <c r="O67" i="122"/>
  <c r="J67" i="122"/>
  <c r="E67" i="122"/>
  <c r="CZ66" i="122"/>
  <c r="CY66" i="122"/>
  <c r="DA66" i="122" s="1"/>
  <c r="CV66" i="122"/>
  <c r="CQ66" i="122"/>
  <c r="CL66" i="122"/>
  <c r="CG66" i="122"/>
  <c r="CB66" i="122"/>
  <c r="BW66" i="122"/>
  <c r="BR66" i="122"/>
  <c r="BM66" i="122"/>
  <c r="BH66" i="122"/>
  <c r="BC66" i="122"/>
  <c r="AX66" i="122"/>
  <c r="AS66" i="122"/>
  <c r="AM66" i="122"/>
  <c r="AL66" i="122"/>
  <c r="AN66" i="122" s="1"/>
  <c r="AD66" i="122"/>
  <c r="Y66" i="122"/>
  <c r="T66" i="122"/>
  <c r="O66" i="122"/>
  <c r="J66" i="122"/>
  <c r="E66" i="122"/>
  <c r="CZ65" i="122"/>
  <c r="CY65" i="122"/>
  <c r="DA65" i="122" s="1"/>
  <c r="CV65" i="122"/>
  <c r="CQ65" i="122"/>
  <c r="CL65" i="122"/>
  <c r="CG65" i="122"/>
  <c r="CB65" i="122"/>
  <c r="BW65" i="122"/>
  <c r="BR65" i="122"/>
  <c r="BM65" i="122"/>
  <c r="BH65" i="122"/>
  <c r="BC65" i="122"/>
  <c r="AX65" i="122"/>
  <c r="AS65" i="122"/>
  <c r="AM65" i="122"/>
  <c r="AL65" i="122"/>
  <c r="AN65" i="122" s="1"/>
  <c r="AD65" i="122"/>
  <c r="Y65" i="122"/>
  <c r="T65" i="122"/>
  <c r="O65" i="122"/>
  <c r="J65" i="122"/>
  <c r="E65" i="122"/>
  <c r="CZ64" i="122"/>
  <c r="CY64" i="122"/>
  <c r="DA64" i="122" s="1"/>
  <c r="CV64" i="122"/>
  <c r="CQ64" i="122"/>
  <c r="CL64" i="122"/>
  <c r="CG64" i="122"/>
  <c r="CB64" i="122"/>
  <c r="BW64" i="122"/>
  <c r="BR64" i="122"/>
  <c r="BM64" i="122"/>
  <c r="BH64" i="122"/>
  <c r="BC64" i="122"/>
  <c r="AX64" i="122"/>
  <c r="AS64" i="122"/>
  <c r="AM64" i="122"/>
  <c r="AL64" i="122"/>
  <c r="AN64" i="122" s="1"/>
  <c r="AD64" i="122"/>
  <c r="Y64" i="122"/>
  <c r="T64" i="122"/>
  <c r="O64" i="122"/>
  <c r="J64" i="122"/>
  <c r="E64" i="122"/>
  <c r="CZ63" i="122"/>
  <c r="CY63" i="122"/>
  <c r="DA63" i="122" s="1"/>
  <c r="CV63" i="122"/>
  <c r="CQ63" i="122"/>
  <c r="CL63" i="122"/>
  <c r="CG63" i="122"/>
  <c r="CB63" i="122"/>
  <c r="BW63" i="122"/>
  <c r="BR63" i="122"/>
  <c r="BM63" i="122"/>
  <c r="BH63" i="122"/>
  <c r="BC63" i="122"/>
  <c r="AX63" i="122"/>
  <c r="AS63" i="122"/>
  <c r="AM63" i="122"/>
  <c r="AL63" i="122"/>
  <c r="AN63" i="122" s="1"/>
  <c r="AD63" i="122"/>
  <c r="Y63" i="122"/>
  <c r="T63" i="122"/>
  <c r="O63" i="122"/>
  <c r="J63" i="122"/>
  <c r="E63" i="122"/>
  <c r="CZ62" i="122"/>
  <c r="CY62" i="122"/>
  <c r="DA62" i="122" s="1"/>
  <c r="CV62" i="122"/>
  <c r="CQ62" i="122"/>
  <c r="CL62" i="122"/>
  <c r="CG62" i="122"/>
  <c r="CB62" i="122"/>
  <c r="BW62" i="122"/>
  <c r="BR62" i="122"/>
  <c r="BM62" i="122"/>
  <c r="BH62" i="122"/>
  <c r="BC62" i="122"/>
  <c r="AX62" i="122"/>
  <c r="AS62" i="122"/>
  <c r="AN62" i="122"/>
  <c r="AM62" i="122"/>
  <c r="AL62" i="122"/>
  <c r="AD62" i="122"/>
  <c r="Y62" i="122"/>
  <c r="T62" i="122"/>
  <c r="O62" i="122"/>
  <c r="J62" i="122"/>
  <c r="E62" i="122"/>
  <c r="CZ61" i="122"/>
  <c r="CY61" i="122"/>
  <c r="CV61" i="122"/>
  <c r="CQ61" i="122"/>
  <c r="CL61" i="122"/>
  <c r="CG61" i="122"/>
  <c r="CB61" i="122"/>
  <c r="BW61" i="122"/>
  <c r="BR61" i="122"/>
  <c r="BM61" i="122"/>
  <c r="BH61" i="122"/>
  <c r="BC61" i="122"/>
  <c r="AX61" i="122"/>
  <c r="AS61" i="122"/>
  <c r="AM61" i="122"/>
  <c r="AL61" i="122"/>
  <c r="AN61" i="122" s="1"/>
  <c r="AD61" i="122"/>
  <c r="Y61" i="122"/>
  <c r="T61" i="122"/>
  <c r="O61" i="122"/>
  <c r="J61" i="122"/>
  <c r="E61" i="122"/>
  <c r="CZ60" i="122"/>
  <c r="DA60" i="122" s="1"/>
  <c r="CY60" i="122"/>
  <c r="CV60" i="122"/>
  <c r="CQ60" i="122"/>
  <c r="CL60" i="122"/>
  <c r="CG60" i="122"/>
  <c r="CB60" i="122"/>
  <c r="BW60" i="122"/>
  <c r="BR60" i="122"/>
  <c r="BM60" i="122"/>
  <c r="BH60" i="122"/>
  <c r="BC60" i="122"/>
  <c r="AX60" i="122"/>
  <c r="AS60" i="122"/>
  <c r="AM60" i="122"/>
  <c r="AM54" i="122" s="1"/>
  <c r="AL60" i="122"/>
  <c r="AD60" i="122"/>
  <c r="Y60" i="122"/>
  <c r="T60" i="122"/>
  <c r="O60" i="122"/>
  <c r="J60" i="122"/>
  <c r="E60" i="122"/>
  <c r="CZ59" i="122"/>
  <c r="CY59" i="122"/>
  <c r="CV59" i="122"/>
  <c r="CQ59" i="122"/>
  <c r="CL59" i="122"/>
  <c r="CG59" i="122"/>
  <c r="CB59" i="122"/>
  <c r="BW59" i="122"/>
  <c r="BR59" i="122"/>
  <c r="BM59" i="122"/>
  <c r="BH59" i="122"/>
  <c r="BC59" i="122"/>
  <c r="AX59" i="122"/>
  <c r="AS59" i="122"/>
  <c r="AM59" i="122"/>
  <c r="AL59" i="122"/>
  <c r="AN59" i="122" s="1"/>
  <c r="AD59" i="122"/>
  <c r="Y59" i="122"/>
  <c r="T59" i="122"/>
  <c r="O59" i="122"/>
  <c r="J59" i="122"/>
  <c r="E59" i="122"/>
  <c r="CZ58" i="122"/>
  <c r="CY58" i="122"/>
  <c r="CV58" i="122"/>
  <c r="CQ58" i="122"/>
  <c r="CL58" i="122"/>
  <c r="CG58" i="122"/>
  <c r="CB58" i="122"/>
  <c r="BW58" i="122"/>
  <c r="BR58" i="122"/>
  <c r="BM58" i="122"/>
  <c r="BH58" i="122"/>
  <c r="BC58" i="122"/>
  <c r="AX58" i="122"/>
  <c r="AS58" i="122"/>
  <c r="AM58" i="122"/>
  <c r="AL58" i="122"/>
  <c r="AN58" i="122" s="1"/>
  <c r="AD58" i="122"/>
  <c r="Y58" i="122"/>
  <c r="T58" i="122"/>
  <c r="O58" i="122"/>
  <c r="J58" i="122"/>
  <c r="E58" i="122"/>
  <c r="CZ57" i="122"/>
  <c r="CY57" i="122"/>
  <c r="DA57" i="122" s="1"/>
  <c r="CV57" i="122"/>
  <c r="CQ57" i="122"/>
  <c r="CL57" i="122"/>
  <c r="CG57" i="122"/>
  <c r="CB57" i="122"/>
  <c r="BW57" i="122"/>
  <c r="BR57" i="122"/>
  <c r="BM57" i="122"/>
  <c r="BH57" i="122"/>
  <c r="BC57" i="122"/>
  <c r="AX57" i="122"/>
  <c r="AS57" i="122"/>
  <c r="AM57" i="122"/>
  <c r="AL57" i="122"/>
  <c r="AD57" i="122"/>
  <c r="Y57" i="122"/>
  <c r="T57" i="122"/>
  <c r="O57" i="122"/>
  <c r="J57" i="122"/>
  <c r="E57" i="122"/>
  <c r="CZ56" i="122"/>
  <c r="CY56" i="122"/>
  <c r="DA56" i="122" s="1"/>
  <c r="CV56" i="122"/>
  <c r="CQ56" i="122"/>
  <c r="CL56" i="122"/>
  <c r="CG56" i="122"/>
  <c r="CB56" i="122"/>
  <c r="BW56" i="122"/>
  <c r="BR56" i="122"/>
  <c r="BM56" i="122"/>
  <c r="BH56" i="122"/>
  <c r="BC56" i="122"/>
  <c r="AX56" i="122"/>
  <c r="AS56" i="122"/>
  <c r="AN56" i="122"/>
  <c r="AM56" i="122"/>
  <c r="AL56" i="122"/>
  <c r="AD56" i="122"/>
  <c r="Y56" i="122"/>
  <c r="Y54" i="122" s="1"/>
  <c r="T56" i="122"/>
  <c r="O56" i="122"/>
  <c r="J56" i="122"/>
  <c r="E56" i="122"/>
  <c r="CZ55" i="122"/>
  <c r="CY55" i="122"/>
  <c r="CV55" i="122"/>
  <c r="CQ55" i="122"/>
  <c r="CL55" i="122"/>
  <c r="CG55" i="122"/>
  <c r="CB55" i="122"/>
  <c r="BW55" i="122"/>
  <c r="BR55" i="122"/>
  <c r="BM55" i="122"/>
  <c r="BH55" i="122"/>
  <c r="BC55" i="122"/>
  <c r="AX55" i="122"/>
  <c r="AS55" i="122"/>
  <c r="AS54" i="122" s="1"/>
  <c r="AM55" i="122"/>
  <c r="AL55" i="122"/>
  <c r="AN55" i="122" s="1"/>
  <c r="AD55" i="122"/>
  <c r="Y55" i="122"/>
  <c r="T55" i="122"/>
  <c r="O55" i="122"/>
  <c r="J55" i="122"/>
  <c r="E55" i="122"/>
  <c r="CU54" i="122"/>
  <c r="CT54" i="122"/>
  <c r="CP54" i="122"/>
  <c r="CO54" i="122"/>
  <c r="CK54" i="122"/>
  <c r="CJ54" i="122"/>
  <c r="CF54" i="122"/>
  <c r="CE54" i="122"/>
  <c r="CA54" i="122"/>
  <c r="BZ54" i="122"/>
  <c r="BV54" i="122"/>
  <c r="BU54" i="122"/>
  <c r="BQ54" i="122"/>
  <c r="BP54" i="122"/>
  <c r="BL54" i="122"/>
  <c r="BK54" i="122"/>
  <c r="BG54" i="122"/>
  <c r="BF54" i="122"/>
  <c r="BB54" i="122"/>
  <c r="BA54" i="122"/>
  <c r="AW54" i="122"/>
  <c r="AV54" i="122"/>
  <c r="AR54" i="122"/>
  <c r="AQ54" i="122"/>
  <c r="AC54" i="122"/>
  <c r="AB54" i="122"/>
  <c r="X54" i="122"/>
  <c r="W54" i="122"/>
  <c r="S54" i="122"/>
  <c r="R54" i="122"/>
  <c r="N54" i="122"/>
  <c r="M54" i="122"/>
  <c r="I54" i="122"/>
  <c r="H54" i="122"/>
  <c r="D54" i="122"/>
  <c r="C54" i="122"/>
  <c r="CZ52" i="122"/>
  <c r="CZ50" i="122" s="1"/>
  <c r="CY52" i="122"/>
  <c r="CV52" i="122"/>
  <c r="CQ52" i="122"/>
  <c r="CL52" i="122"/>
  <c r="CG52" i="122"/>
  <c r="CB52" i="122"/>
  <c r="BW52" i="122"/>
  <c r="BR52" i="122"/>
  <c r="BR50" i="122" s="1"/>
  <c r="BM52" i="122"/>
  <c r="BH52" i="122"/>
  <c r="BH50" i="122" s="1"/>
  <c r="BC52" i="122"/>
  <c r="AX52" i="122"/>
  <c r="AX50" i="122" s="1"/>
  <c r="AS52" i="122"/>
  <c r="AM52" i="122"/>
  <c r="AL52" i="122"/>
  <c r="AN52" i="122" s="1"/>
  <c r="AD52" i="122"/>
  <c r="Y52" i="122"/>
  <c r="Y50" i="122" s="1"/>
  <c r="T52" i="122"/>
  <c r="O52" i="122"/>
  <c r="J52" i="122"/>
  <c r="E52" i="122"/>
  <c r="CZ51" i="122"/>
  <c r="CY51" i="122"/>
  <c r="CV51" i="122"/>
  <c r="CQ51" i="122"/>
  <c r="CQ50" i="122" s="1"/>
  <c r="CL51" i="122"/>
  <c r="CG51" i="122"/>
  <c r="CG50" i="122" s="1"/>
  <c r="CB51" i="122"/>
  <c r="BW51" i="122"/>
  <c r="BR51" i="122"/>
  <c r="BM51" i="122"/>
  <c r="BH51" i="122"/>
  <c r="BC51" i="122"/>
  <c r="AX51" i="122"/>
  <c r="AS51" i="122"/>
  <c r="AS50" i="122" s="1"/>
  <c r="AM51" i="122"/>
  <c r="AM50" i="122" s="1"/>
  <c r="AL51" i="122"/>
  <c r="AD51" i="122"/>
  <c r="Y51" i="122"/>
  <c r="T51" i="122"/>
  <c r="O51" i="122"/>
  <c r="O50" i="122" s="1"/>
  <c r="J51" i="122"/>
  <c r="E51" i="122"/>
  <c r="E50" i="122" s="1"/>
  <c r="CU50" i="122"/>
  <c r="CT50" i="122"/>
  <c r="CP50" i="122"/>
  <c r="CO50" i="122"/>
  <c r="CK50" i="122"/>
  <c r="CJ50" i="122"/>
  <c r="CF50" i="122"/>
  <c r="CE50" i="122"/>
  <c r="CB50" i="122"/>
  <c r="CA50" i="122"/>
  <c r="BZ50" i="122"/>
  <c r="BW50" i="122"/>
  <c r="BV50" i="122"/>
  <c r="BU50" i="122"/>
  <c r="BQ50" i="122"/>
  <c r="BP50" i="122"/>
  <c r="BM50" i="122"/>
  <c r="BL50" i="122"/>
  <c r="BK50" i="122"/>
  <c r="BG50" i="122"/>
  <c r="BF50" i="122"/>
  <c r="BB50" i="122"/>
  <c r="BA50" i="122"/>
  <c r="AW50" i="122"/>
  <c r="AV50" i="122"/>
  <c r="AR50" i="122"/>
  <c r="AQ50" i="122"/>
  <c r="AC50" i="122"/>
  <c r="AB50" i="122"/>
  <c r="X50" i="122"/>
  <c r="W50" i="122"/>
  <c r="T50" i="122"/>
  <c r="S50" i="122"/>
  <c r="R50" i="122"/>
  <c r="N50" i="122"/>
  <c r="M50" i="122"/>
  <c r="I50" i="122"/>
  <c r="H50" i="122"/>
  <c r="D50" i="122"/>
  <c r="C50" i="122"/>
  <c r="CZ48" i="122"/>
  <c r="CY48" i="122"/>
  <c r="DA48" i="122" s="1"/>
  <c r="CV48" i="122"/>
  <c r="CQ48" i="122"/>
  <c r="CL48" i="122"/>
  <c r="CG48" i="122"/>
  <c r="CB48" i="122"/>
  <c r="BW48" i="122"/>
  <c r="BR48" i="122"/>
  <c r="BM48" i="122"/>
  <c r="BH48" i="122"/>
  <c r="BC48" i="122"/>
  <c r="AX48" i="122"/>
  <c r="AS48" i="122"/>
  <c r="AM48" i="122"/>
  <c r="AL48" i="122"/>
  <c r="AD48" i="122"/>
  <c r="Y48" i="122"/>
  <c r="T48" i="122"/>
  <c r="O48" i="122"/>
  <c r="O41" i="122" s="1"/>
  <c r="J48" i="122"/>
  <c r="E48" i="122"/>
  <c r="CZ47" i="122"/>
  <c r="CY47" i="122"/>
  <c r="CV47" i="122"/>
  <c r="CQ47" i="122"/>
  <c r="CL47" i="122"/>
  <c r="CG47" i="122"/>
  <c r="CB47" i="122"/>
  <c r="BW47" i="122"/>
  <c r="BR47" i="122"/>
  <c r="BM47" i="122"/>
  <c r="BH47" i="122"/>
  <c r="BC47" i="122"/>
  <c r="AX47" i="122"/>
  <c r="AS47" i="122"/>
  <c r="AM47" i="122"/>
  <c r="AN47" i="122" s="1"/>
  <c r="AL47" i="122"/>
  <c r="AD47" i="122"/>
  <c r="Y47" i="122"/>
  <c r="T47" i="122"/>
  <c r="O47" i="122"/>
  <c r="J47" i="122"/>
  <c r="E47" i="122"/>
  <c r="CZ46" i="122"/>
  <c r="CY46" i="122"/>
  <c r="CV46" i="122"/>
  <c r="CQ46" i="122"/>
  <c r="CL46" i="122"/>
  <c r="CG46" i="122"/>
  <c r="CB46" i="122"/>
  <c r="BW46" i="122"/>
  <c r="BR46" i="122"/>
  <c r="BM46" i="122"/>
  <c r="BH46" i="122"/>
  <c r="BC46" i="122"/>
  <c r="AX46" i="122"/>
  <c r="AS46" i="122"/>
  <c r="AM46" i="122"/>
  <c r="AL46" i="122"/>
  <c r="AD46" i="122"/>
  <c r="Y46" i="122"/>
  <c r="T46" i="122"/>
  <c r="O46" i="122"/>
  <c r="J46" i="122"/>
  <c r="E46" i="122"/>
  <c r="DA45" i="122"/>
  <c r="CZ45" i="122"/>
  <c r="CY45" i="122"/>
  <c r="CV45" i="122"/>
  <c r="CQ45" i="122"/>
  <c r="CL45" i="122"/>
  <c r="CG45" i="122"/>
  <c r="CB45" i="122"/>
  <c r="CB41" i="122" s="1"/>
  <c r="BW45" i="122"/>
  <c r="BR45" i="122"/>
  <c r="BM45" i="122"/>
  <c r="BH45" i="122"/>
  <c r="BC45" i="122"/>
  <c r="AX45" i="122"/>
  <c r="AS45" i="122"/>
  <c r="AM45" i="122"/>
  <c r="AL45" i="122"/>
  <c r="AN45" i="122" s="1"/>
  <c r="AD45" i="122"/>
  <c r="Y45" i="122"/>
  <c r="T45" i="122"/>
  <c r="O45" i="122"/>
  <c r="J45" i="122"/>
  <c r="E45" i="122"/>
  <c r="CZ44" i="122"/>
  <c r="CY44" i="122"/>
  <c r="CV44" i="122"/>
  <c r="CQ44" i="122"/>
  <c r="CL44" i="122"/>
  <c r="CG44" i="122"/>
  <c r="CB44" i="122"/>
  <c r="BW44" i="122"/>
  <c r="BR44" i="122"/>
  <c r="BM44" i="122"/>
  <c r="BH44" i="122"/>
  <c r="BC44" i="122"/>
  <c r="AX44" i="122"/>
  <c r="AS44" i="122"/>
  <c r="AM44" i="122"/>
  <c r="AL44" i="122"/>
  <c r="AN44" i="122" s="1"/>
  <c r="AD44" i="122"/>
  <c r="Y44" i="122"/>
  <c r="T44" i="122"/>
  <c r="O44" i="122"/>
  <c r="J44" i="122"/>
  <c r="E44" i="122"/>
  <c r="CZ43" i="122"/>
  <c r="CZ41" i="122" s="1"/>
  <c r="CY43" i="122"/>
  <c r="DA43" i="122" s="1"/>
  <c r="CV43" i="122"/>
  <c r="CQ43" i="122"/>
  <c r="CL43" i="122"/>
  <c r="CL41" i="122" s="1"/>
  <c r="CG43" i="122"/>
  <c r="CB43" i="122"/>
  <c r="BW43" i="122"/>
  <c r="BR43" i="122"/>
  <c r="BM43" i="122"/>
  <c r="BH43" i="122"/>
  <c r="BH41" i="122" s="1"/>
  <c r="BC43" i="122"/>
  <c r="AX43" i="122"/>
  <c r="AS43" i="122"/>
  <c r="AM43" i="122"/>
  <c r="AL43" i="122"/>
  <c r="AD43" i="122"/>
  <c r="Y43" i="122"/>
  <c r="T43" i="122"/>
  <c r="O43" i="122"/>
  <c r="J43" i="122"/>
  <c r="E43" i="122"/>
  <c r="CZ42" i="122"/>
  <c r="CY42" i="122"/>
  <c r="DA42" i="122" s="1"/>
  <c r="CV42" i="122"/>
  <c r="CQ42" i="122"/>
  <c r="CQ41" i="122" s="1"/>
  <c r="CL42" i="122"/>
  <c r="CG42" i="122"/>
  <c r="CB42" i="122"/>
  <c r="BW42" i="122"/>
  <c r="BR42" i="122"/>
  <c r="BM42" i="122"/>
  <c r="BM41" i="122" s="1"/>
  <c r="BH42" i="122"/>
  <c r="BC42" i="122"/>
  <c r="AX42" i="122"/>
  <c r="AX41" i="122" s="1"/>
  <c r="AS42" i="122"/>
  <c r="AS41" i="122" s="1"/>
  <c r="AN42" i="122"/>
  <c r="AM42" i="122"/>
  <c r="AL42" i="122"/>
  <c r="AD42" i="122"/>
  <c r="Y42" i="122"/>
  <c r="Y41" i="122" s="1"/>
  <c r="T42" i="122"/>
  <c r="T41" i="122" s="1"/>
  <c r="O42" i="122"/>
  <c r="J42" i="122"/>
  <c r="E42" i="122"/>
  <c r="CU41" i="122"/>
  <c r="CT41" i="122"/>
  <c r="CP41" i="122"/>
  <c r="CO41" i="122"/>
  <c r="CK41" i="122"/>
  <c r="CJ41" i="122"/>
  <c r="CF41" i="122"/>
  <c r="CE41" i="122"/>
  <c r="CA41" i="122"/>
  <c r="BZ41" i="122"/>
  <c r="BV41" i="122"/>
  <c r="BU41" i="122"/>
  <c r="BQ41" i="122"/>
  <c r="BP41" i="122"/>
  <c r="BL41" i="122"/>
  <c r="BK41" i="122"/>
  <c r="BG41" i="122"/>
  <c r="BF41" i="122"/>
  <c r="BB41" i="122"/>
  <c r="BA41" i="122"/>
  <c r="AW41" i="122"/>
  <c r="AV41" i="122"/>
  <c r="AR41" i="122"/>
  <c r="AQ41" i="122"/>
  <c r="AC41" i="122"/>
  <c r="AB41" i="122"/>
  <c r="X41" i="122"/>
  <c r="W41" i="122"/>
  <c r="S41" i="122"/>
  <c r="R41" i="122"/>
  <c r="N41" i="122"/>
  <c r="M41" i="122"/>
  <c r="I41" i="122"/>
  <c r="H41" i="122"/>
  <c r="D41" i="122"/>
  <c r="C41" i="122"/>
  <c r="CZ36" i="122"/>
  <c r="CY36" i="122"/>
  <c r="CY35" i="122" s="1"/>
  <c r="CV36" i="122"/>
  <c r="CQ36" i="122"/>
  <c r="CQ35" i="122" s="1"/>
  <c r="CL36" i="122"/>
  <c r="CL35" i="122" s="1"/>
  <c r="CG36" i="122"/>
  <c r="CB36" i="122"/>
  <c r="CB35" i="122" s="1"/>
  <c r="BW36" i="122"/>
  <c r="BW35" i="122" s="1"/>
  <c r="BR36" i="122"/>
  <c r="BM36" i="122"/>
  <c r="BM35" i="122" s="1"/>
  <c r="BH36" i="122"/>
  <c r="BC36" i="122"/>
  <c r="AX36" i="122"/>
  <c r="AX35" i="122" s="1"/>
  <c r="AS36" i="122"/>
  <c r="AS35" i="122" s="1"/>
  <c r="AM36" i="122"/>
  <c r="AM35" i="122" s="1"/>
  <c r="AL36" i="122"/>
  <c r="AD36" i="122"/>
  <c r="Y36" i="122"/>
  <c r="T36" i="122"/>
  <c r="O36" i="122"/>
  <c r="J36" i="122"/>
  <c r="E36" i="122"/>
  <c r="E35" i="122" s="1"/>
  <c r="CZ35" i="122"/>
  <c r="CU35" i="122"/>
  <c r="CT35" i="122"/>
  <c r="CP35" i="122"/>
  <c r="CO35" i="122"/>
  <c r="CK35" i="122"/>
  <c r="CJ35" i="122"/>
  <c r="CG35" i="122"/>
  <c r="CF35" i="122"/>
  <c r="CE35" i="122"/>
  <c r="CA35" i="122"/>
  <c r="BZ35" i="122"/>
  <c r="BV35" i="122"/>
  <c r="BU35" i="122"/>
  <c r="BR35" i="122"/>
  <c r="BQ35" i="122"/>
  <c r="BP35" i="122"/>
  <c r="BL35" i="122"/>
  <c r="BK35" i="122"/>
  <c r="BH35" i="122"/>
  <c r="BG35" i="122"/>
  <c r="BF35" i="122"/>
  <c r="BB35" i="122"/>
  <c r="BA35" i="122"/>
  <c r="AW35" i="122"/>
  <c r="AV35" i="122"/>
  <c r="AR35" i="122"/>
  <c r="AQ35" i="122"/>
  <c r="AL35" i="122"/>
  <c r="AC35" i="122"/>
  <c r="AB35" i="122"/>
  <c r="X35" i="122"/>
  <c r="W35" i="122"/>
  <c r="T35" i="122"/>
  <c r="S35" i="122"/>
  <c r="R35" i="122"/>
  <c r="N35" i="122"/>
  <c r="M35" i="122"/>
  <c r="I35" i="122"/>
  <c r="H35" i="122"/>
  <c r="D35" i="122"/>
  <c r="C35" i="122"/>
  <c r="CZ33" i="122"/>
  <c r="CY33" i="122"/>
  <c r="DA33" i="122" s="1"/>
  <c r="CV33" i="122"/>
  <c r="CQ33" i="122"/>
  <c r="CL33" i="122"/>
  <c r="CG33" i="122"/>
  <c r="CB33" i="122"/>
  <c r="BW33" i="122"/>
  <c r="BR33" i="122"/>
  <c r="BM33" i="122"/>
  <c r="BH33" i="122"/>
  <c r="BC33" i="122"/>
  <c r="AX33" i="122"/>
  <c r="AS33" i="122"/>
  <c r="AM33" i="122"/>
  <c r="AN33" i="122" s="1"/>
  <c r="AL33" i="122"/>
  <c r="AD33" i="122"/>
  <c r="Y33" i="122"/>
  <c r="T33" i="122"/>
  <c r="O33" i="122"/>
  <c r="J33" i="122"/>
  <c r="E33" i="122"/>
  <c r="CV32" i="122"/>
  <c r="CQ32" i="122"/>
  <c r="CL32" i="122"/>
  <c r="CG32" i="122"/>
  <c r="CB32" i="122"/>
  <c r="BW32" i="122"/>
  <c r="BR32" i="122"/>
  <c r="BM32" i="122"/>
  <c r="BH32" i="122"/>
  <c r="BC32" i="122"/>
  <c r="AX32" i="122"/>
  <c r="AS32" i="122"/>
  <c r="AM32" i="122"/>
  <c r="AL32" i="122"/>
  <c r="AD32" i="122"/>
  <c r="Y32" i="122"/>
  <c r="T32" i="122"/>
  <c r="O32" i="122"/>
  <c r="I32" i="122"/>
  <c r="C32" i="122"/>
  <c r="CY32" i="122" s="1"/>
  <c r="DA31" i="122"/>
  <c r="CV31" i="122"/>
  <c r="CQ31" i="122"/>
  <c r="CL31" i="122"/>
  <c r="CG31" i="122"/>
  <c r="CB31" i="122"/>
  <c r="BW31" i="122"/>
  <c r="BR31" i="122"/>
  <c r="BM31" i="122"/>
  <c r="BH31" i="122"/>
  <c r="BC31" i="122"/>
  <c r="AX31" i="122"/>
  <c r="AS31" i="122"/>
  <c r="AM31" i="122"/>
  <c r="AL31" i="122"/>
  <c r="AD31" i="122"/>
  <c r="Y31" i="122"/>
  <c r="T31" i="122"/>
  <c r="O31" i="122"/>
  <c r="J31" i="122"/>
  <c r="E31" i="122"/>
  <c r="DA30" i="122"/>
  <c r="CV30" i="122"/>
  <c r="CQ30" i="122"/>
  <c r="CL30" i="122"/>
  <c r="CG30" i="122"/>
  <c r="CB30" i="122"/>
  <c r="BW30" i="122"/>
  <c r="BR30" i="122"/>
  <c r="BM30" i="122"/>
  <c r="BH30" i="122"/>
  <c r="BC30" i="122"/>
  <c r="AX30" i="122"/>
  <c r="AS30" i="122"/>
  <c r="AM30" i="122"/>
  <c r="AL30" i="122"/>
  <c r="AD30" i="122"/>
  <c r="Y30" i="122"/>
  <c r="T30" i="122"/>
  <c r="O30" i="122"/>
  <c r="J30" i="122"/>
  <c r="E30" i="122"/>
  <c r="CV29" i="122"/>
  <c r="CQ29" i="122"/>
  <c r="CL29" i="122"/>
  <c r="CG29" i="122"/>
  <c r="CB29" i="122"/>
  <c r="BW29" i="122"/>
  <c r="BR29" i="122"/>
  <c r="BM29" i="122"/>
  <c r="BH29" i="122"/>
  <c r="BC29" i="122"/>
  <c r="AX29" i="122"/>
  <c r="AS29" i="122"/>
  <c r="AM29" i="122"/>
  <c r="AL29" i="122"/>
  <c r="AN29" i="122" s="1"/>
  <c r="AB29" i="122"/>
  <c r="CY29" i="122" s="1"/>
  <c r="Y29" i="122"/>
  <c r="T29" i="122"/>
  <c r="O29" i="122"/>
  <c r="J29" i="122"/>
  <c r="E29" i="122"/>
  <c r="CV28" i="122"/>
  <c r="CQ28" i="122"/>
  <c r="CL28" i="122"/>
  <c r="CG28" i="122"/>
  <c r="CB28" i="122"/>
  <c r="BW28" i="122"/>
  <c r="BR28" i="122"/>
  <c r="BM28" i="122"/>
  <c r="BH28" i="122"/>
  <c r="BC28" i="122"/>
  <c r="AX28" i="122"/>
  <c r="AS28" i="122"/>
  <c r="AN28" i="122"/>
  <c r="AM28" i="122"/>
  <c r="AL28" i="122"/>
  <c r="AB28" i="122"/>
  <c r="AD28" i="122" s="1"/>
  <c r="W28" i="122"/>
  <c r="Y28" i="122" s="1"/>
  <c r="R28" i="122"/>
  <c r="T28" i="122" s="1"/>
  <c r="M28" i="122"/>
  <c r="O28" i="122" s="1"/>
  <c r="I28" i="122"/>
  <c r="CZ28" i="122" s="1"/>
  <c r="H28" i="122"/>
  <c r="E28" i="122"/>
  <c r="DA27" i="122"/>
  <c r="CV27" i="122"/>
  <c r="CQ27" i="122"/>
  <c r="CL27" i="122"/>
  <c r="CG27" i="122"/>
  <c r="CB27" i="122"/>
  <c r="BW27" i="122"/>
  <c r="BR27" i="122"/>
  <c r="BM27" i="122"/>
  <c r="BH27" i="122"/>
  <c r="BC27" i="122"/>
  <c r="AX27" i="122"/>
  <c r="AS27" i="122"/>
  <c r="AM27" i="122"/>
  <c r="AL27" i="122"/>
  <c r="AD27" i="122"/>
  <c r="Y27" i="122"/>
  <c r="T27" i="122"/>
  <c r="O27" i="122"/>
  <c r="J27" i="122"/>
  <c r="E27" i="122"/>
  <c r="DA26" i="122"/>
  <c r="CV26" i="122"/>
  <c r="CQ26" i="122"/>
  <c r="CL26" i="122"/>
  <c r="CG26" i="122"/>
  <c r="CB26" i="122"/>
  <c r="BW26" i="122"/>
  <c r="BR26" i="122"/>
  <c r="BM26" i="122"/>
  <c r="BH26" i="122"/>
  <c r="BC26" i="122"/>
  <c r="AX26" i="122"/>
  <c r="AS26" i="122"/>
  <c r="AM26" i="122"/>
  <c r="AL26" i="122"/>
  <c r="AD26" i="122"/>
  <c r="Y26" i="122"/>
  <c r="T26" i="122"/>
  <c r="O26" i="122"/>
  <c r="J26" i="122"/>
  <c r="E26" i="122"/>
  <c r="CV25" i="122"/>
  <c r="CQ25" i="122"/>
  <c r="CL25" i="122"/>
  <c r="CG25" i="122"/>
  <c r="CB25" i="122"/>
  <c r="BW25" i="122"/>
  <c r="BR25" i="122"/>
  <c r="BM25" i="122"/>
  <c r="BH25" i="122"/>
  <c r="BC25" i="122"/>
  <c r="AX25" i="122"/>
  <c r="AS25" i="122"/>
  <c r="AM25" i="122"/>
  <c r="AL25" i="122"/>
  <c r="AB25" i="122"/>
  <c r="CY25" i="122" s="1"/>
  <c r="DA25" i="122" s="1"/>
  <c r="Y25" i="122"/>
  <c r="T25" i="122"/>
  <c r="O25" i="122"/>
  <c r="J25" i="122"/>
  <c r="E25" i="122"/>
  <c r="DA24" i="122"/>
  <c r="CV24" i="122"/>
  <c r="CQ24" i="122"/>
  <c r="CL24" i="122"/>
  <c r="CG24" i="122"/>
  <c r="CB24" i="122"/>
  <c r="BW24" i="122"/>
  <c r="BR24" i="122"/>
  <c r="BM24" i="122"/>
  <c r="BH24" i="122"/>
  <c r="BC24" i="122"/>
  <c r="AX24" i="122"/>
  <c r="AS24" i="122"/>
  <c r="AM24" i="122"/>
  <c r="AN24" i="122" s="1"/>
  <c r="AL24" i="122"/>
  <c r="AD24" i="122"/>
  <c r="Y24" i="122"/>
  <c r="T24" i="122"/>
  <c r="O24" i="122"/>
  <c r="J24" i="122"/>
  <c r="E24" i="122"/>
  <c r="DA23" i="122"/>
  <c r="CV23" i="122"/>
  <c r="CQ23" i="122"/>
  <c r="CL23" i="122"/>
  <c r="CG23" i="122"/>
  <c r="CB23" i="122"/>
  <c r="BW23" i="122"/>
  <c r="BR23" i="122"/>
  <c r="BM23" i="122"/>
  <c r="BH23" i="122"/>
  <c r="BC23" i="122"/>
  <c r="AX23" i="122"/>
  <c r="AM23" i="122"/>
  <c r="AL23" i="122"/>
  <c r="DA22" i="122"/>
  <c r="CV22" i="122"/>
  <c r="CQ22" i="122"/>
  <c r="CL22" i="122"/>
  <c r="CG22" i="122"/>
  <c r="CB22" i="122"/>
  <c r="BW22" i="122"/>
  <c r="BR22" i="122"/>
  <c r="BM22" i="122"/>
  <c r="BH22" i="122"/>
  <c r="BC22" i="122"/>
  <c r="AX22" i="122"/>
  <c r="AM22" i="122"/>
  <c r="AL22" i="122"/>
  <c r="DA21" i="122"/>
  <c r="CV21" i="122"/>
  <c r="CQ21" i="122"/>
  <c r="CL21" i="122"/>
  <c r="CG21" i="122"/>
  <c r="CB21" i="122"/>
  <c r="BW21" i="122"/>
  <c r="BR21" i="122"/>
  <c r="BM21" i="122"/>
  <c r="BH21" i="122"/>
  <c r="BC21" i="122"/>
  <c r="AX21" i="122"/>
  <c r="AS21" i="122"/>
  <c r="AM21" i="122"/>
  <c r="AL21" i="122"/>
  <c r="AD21" i="122"/>
  <c r="Y21" i="122"/>
  <c r="T21" i="122"/>
  <c r="O21" i="122"/>
  <c r="J21" i="122"/>
  <c r="E21" i="122"/>
  <c r="DA20" i="122"/>
  <c r="CV20" i="122"/>
  <c r="CQ20" i="122"/>
  <c r="CL20" i="122"/>
  <c r="CG20" i="122"/>
  <c r="CB20" i="122"/>
  <c r="BW20" i="122"/>
  <c r="BR20" i="122"/>
  <c r="BM20" i="122"/>
  <c r="BH20" i="122"/>
  <c r="BC20" i="122"/>
  <c r="AX20" i="122"/>
  <c r="AS20" i="122"/>
  <c r="AM20" i="122"/>
  <c r="AN20" i="122" s="1"/>
  <c r="AL20" i="122"/>
  <c r="AD20" i="122"/>
  <c r="Y20" i="122"/>
  <c r="T20" i="122"/>
  <c r="O20" i="122"/>
  <c r="J20" i="122"/>
  <c r="E20" i="122"/>
  <c r="DA19" i="122"/>
  <c r="CV19" i="122"/>
  <c r="CQ19" i="122"/>
  <c r="CL19" i="122"/>
  <c r="CG19" i="122"/>
  <c r="CB19" i="122"/>
  <c r="BW19" i="122"/>
  <c r="BR19" i="122"/>
  <c r="BM19" i="122"/>
  <c r="BH19" i="122"/>
  <c r="BC19" i="122"/>
  <c r="AX19" i="122"/>
  <c r="AS19" i="122"/>
  <c r="AM19" i="122"/>
  <c r="AL19" i="122"/>
  <c r="AN19" i="122" s="1"/>
  <c r="AD19" i="122"/>
  <c r="Y19" i="122"/>
  <c r="T19" i="122"/>
  <c r="O19" i="122"/>
  <c r="J19" i="122"/>
  <c r="E19" i="122"/>
  <c r="CV18" i="122"/>
  <c r="CQ18" i="122"/>
  <c r="CL18" i="122"/>
  <c r="CG18" i="122"/>
  <c r="CB18" i="122"/>
  <c r="BW18" i="122"/>
  <c r="BR18" i="122"/>
  <c r="BM18" i="122"/>
  <c r="BH18" i="122"/>
  <c r="BC18" i="122"/>
  <c r="AX18" i="122"/>
  <c r="AS18" i="122"/>
  <c r="AM18" i="122"/>
  <c r="AL18" i="122"/>
  <c r="AD18" i="122"/>
  <c r="W18" i="122"/>
  <c r="Y18" i="122" s="1"/>
  <c r="T18" i="122"/>
  <c r="M18" i="122"/>
  <c r="O18" i="122" s="1"/>
  <c r="J18" i="122"/>
  <c r="E18" i="122"/>
  <c r="C18" i="122"/>
  <c r="DA17" i="122"/>
  <c r="CV17" i="122"/>
  <c r="CQ17" i="122"/>
  <c r="CL17" i="122"/>
  <c r="CG17" i="122"/>
  <c r="CB17" i="122"/>
  <c r="BW17" i="122"/>
  <c r="BR17" i="122"/>
  <c r="BM17" i="122"/>
  <c r="BH17" i="122"/>
  <c r="BC17" i="122"/>
  <c r="AX17" i="122"/>
  <c r="AS17" i="122"/>
  <c r="AM17" i="122"/>
  <c r="AL17" i="122"/>
  <c r="AD17" i="122"/>
  <c r="Y17" i="122"/>
  <c r="T17" i="122"/>
  <c r="O17" i="122"/>
  <c r="J17" i="122"/>
  <c r="E17" i="122"/>
  <c r="DA16" i="122"/>
  <c r="CV16" i="122"/>
  <c r="CQ16" i="122"/>
  <c r="CL16" i="122"/>
  <c r="CG16" i="122"/>
  <c r="CB16" i="122"/>
  <c r="BW16" i="122"/>
  <c r="BR16" i="122"/>
  <c r="BM16" i="122"/>
  <c r="BH16" i="122"/>
  <c r="BC16" i="122"/>
  <c r="AX16" i="122"/>
  <c r="AS16" i="122"/>
  <c r="AM16" i="122"/>
  <c r="AL16" i="122"/>
  <c r="AN16" i="122" s="1"/>
  <c r="AD16" i="122"/>
  <c r="Y16" i="122"/>
  <c r="T16" i="122"/>
  <c r="O16" i="122"/>
  <c r="J16" i="122"/>
  <c r="E16" i="122"/>
  <c r="DA15" i="122"/>
  <c r="CV15" i="122"/>
  <c r="CQ15" i="122"/>
  <c r="CL15" i="122"/>
  <c r="CG15" i="122"/>
  <c r="CB15" i="122"/>
  <c r="BW15" i="122"/>
  <c r="BR15" i="122"/>
  <c r="BM15" i="122"/>
  <c r="BH15" i="122"/>
  <c r="BC15" i="122"/>
  <c r="AX15" i="122"/>
  <c r="AS15" i="122"/>
  <c r="AM15" i="122"/>
  <c r="AL15" i="122"/>
  <c r="AN15" i="122" s="1"/>
  <c r="AD15" i="122"/>
  <c r="Y15" i="122"/>
  <c r="T15" i="122"/>
  <c r="O15" i="122"/>
  <c r="J15" i="122"/>
  <c r="E15" i="122"/>
  <c r="DA14" i="122"/>
  <c r="CV14" i="122"/>
  <c r="CQ14" i="122"/>
  <c r="CL14" i="122"/>
  <c r="CG14" i="122"/>
  <c r="CB14" i="122"/>
  <c r="BW14" i="122"/>
  <c r="BR14" i="122"/>
  <c r="BM14" i="122"/>
  <c r="BH14" i="122"/>
  <c r="BC14" i="122"/>
  <c r="AX14" i="122"/>
  <c r="AS14" i="122"/>
  <c r="AM14" i="122"/>
  <c r="AL14" i="122"/>
  <c r="AD14" i="122"/>
  <c r="Y14" i="122"/>
  <c r="T14" i="122"/>
  <c r="O14" i="122"/>
  <c r="J14" i="122"/>
  <c r="E14" i="122"/>
  <c r="DA13" i="122"/>
  <c r="CV13" i="122"/>
  <c r="CQ13" i="122"/>
  <c r="CL13" i="122"/>
  <c r="CG13" i="122"/>
  <c r="CB13" i="122"/>
  <c r="BW13" i="122"/>
  <c r="BR13" i="122"/>
  <c r="BM13" i="122"/>
  <c r="BH13" i="122"/>
  <c r="BC13" i="122"/>
  <c r="AX13" i="122"/>
  <c r="AS13" i="122"/>
  <c r="AM13" i="122"/>
  <c r="AL13" i="122"/>
  <c r="AD13" i="122"/>
  <c r="Y13" i="122"/>
  <c r="T13" i="122"/>
  <c r="O13" i="122"/>
  <c r="J13" i="122"/>
  <c r="E13" i="122"/>
  <c r="DA12" i="122"/>
  <c r="CV12" i="122"/>
  <c r="CQ12" i="122"/>
  <c r="CL12" i="122"/>
  <c r="CG12" i="122"/>
  <c r="CB12" i="122"/>
  <c r="BW12" i="122"/>
  <c r="BR12" i="122"/>
  <c r="BM12" i="122"/>
  <c r="BH12" i="122"/>
  <c r="BC12" i="122"/>
  <c r="AX12" i="122"/>
  <c r="AS12" i="122"/>
  <c r="AM12" i="122"/>
  <c r="AL12" i="122"/>
  <c r="AN12" i="122" s="1"/>
  <c r="AD12" i="122"/>
  <c r="Y12" i="122"/>
  <c r="T12" i="122"/>
  <c r="O12" i="122"/>
  <c r="J12" i="122"/>
  <c r="E12" i="122"/>
  <c r="DA11" i="122"/>
  <c r="CV11" i="122"/>
  <c r="CQ11" i="122"/>
  <c r="CL11" i="122"/>
  <c r="CG11" i="122"/>
  <c r="CB11" i="122"/>
  <c r="BW11" i="122"/>
  <c r="BR11" i="122"/>
  <c r="BM11" i="122"/>
  <c r="BH11" i="122"/>
  <c r="BC11" i="122"/>
  <c r="AX11" i="122"/>
  <c r="AS11" i="122"/>
  <c r="AM11" i="122"/>
  <c r="AL11" i="122"/>
  <c r="AN11" i="122" s="1"/>
  <c r="AD11" i="122"/>
  <c r="Y11" i="122"/>
  <c r="T11" i="122"/>
  <c r="O11" i="122"/>
  <c r="J11" i="122"/>
  <c r="E11" i="122"/>
  <c r="DA10" i="122"/>
  <c r="CV10" i="122"/>
  <c r="CQ10" i="122"/>
  <c r="CL10" i="122"/>
  <c r="CG10" i="122"/>
  <c r="CB10" i="122"/>
  <c r="BW10" i="122"/>
  <c r="BR10" i="122"/>
  <c r="BM10" i="122"/>
  <c r="BM8" i="122" s="1"/>
  <c r="BH10" i="122"/>
  <c r="BC10" i="122"/>
  <c r="AX10" i="122"/>
  <c r="AS10" i="122"/>
  <c r="AM10" i="122"/>
  <c r="AL10" i="122"/>
  <c r="AN10" i="122" s="1"/>
  <c r="AD10" i="122"/>
  <c r="Y10" i="122"/>
  <c r="T10" i="122"/>
  <c r="O10" i="122"/>
  <c r="J10" i="122"/>
  <c r="E10" i="122"/>
  <c r="CV9" i="122"/>
  <c r="CQ9" i="122"/>
  <c r="CL9" i="122"/>
  <c r="CG9" i="122"/>
  <c r="CB9" i="122"/>
  <c r="BW9" i="122"/>
  <c r="BR9" i="122"/>
  <c r="BM9" i="122"/>
  <c r="BH9" i="122"/>
  <c r="BC9" i="122"/>
  <c r="AX9" i="122"/>
  <c r="AS9" i="122"/>
  <c r="AM9" i="122"/>
  <c r="AL9" i="122"/>
  <c r="AC9" i="122"/>
  <c r="AC8" i="122" s="1"/>
  <c r="Y9" i="122"/>
  <c r="S9" i="122"/>
  <c r="O9" i="122"/>
  <c r="N9" i="122"/>
  <c r="I9" i="122"/>
  <c r="CZ9" i="122" s="1"/>
  <c r="H9" i="122"/>
  <c r="E9" i="122"/>
  <c r="CU8" i="122"/>
  <c r="CT8" i="122"/>
  <c r="CP8" i="122"/>
  <c r="CO8" i="122"/>
  <c r="CK8" i="122"/>
  <c r="CJ8" i="122"/>
  <c r="CF8" i="122"/>
  <c r="CE8" i="122"/>
  <c r="CA8" i="122"/>
  <c r="BZ8" i="122"/>
  <c r="BV8" i="122"/>
  <c r="BU8" i="122"/>
  <c r="BQ8" i="122"/>
  <c r="BP8" i="122"/>
  <c r="BL8" i="122"/>
  <c r="BK8" i="122"/>
  <c r="BG8" i="122"/>
  <c r="BF8" i="122"/>
  <c r="BB8" i="122"/>
  <c r="BA8" i="122"/>
  <c r="AW8" i="122"/>
  <c r="AV8" i="122"/>
  <c r="AR8" i="122"/>
  <c r="AQ8" i="122"/>
  <c r="X8" i="122"/>
  <c r="R8" i="122"/>
  <c r="N8" i="122"/>
  <c r="D8" i="122"/>
  <c r="C79" i="122" s="1"/>
  <c r="CZ7" i="122"/>
  <c r="CY7" i="122"/>
  <c r="DA7" i="122" s="1"/>
  <c r="CV7" i="122"/>
  <c r="CQ7" i="122"/>
  <c r="CL7" i="122"/>
  <c r="CL5" i="122" s="1"/>
  <c r="CG7" i="122"/>
  <c r="CB7" i="122"/>
  <c r="BW7" i="122"/>
  <c r="BR7" i="122"/>
  <c r="BM7" i="122"/>
  <c r="BH7" i="122"/>
  <c r="BH5" i="122" s="1"/>
  <c r="BC7" i="122"/>
  <c r="AX7" i="122"/>
  <c r="AS7" i="122"/>
  <c r="AM7" i="122"/>
  <c r="AN7" i="122" s="1"/>
  <c r="AL7" i="122"/>
  <c r="AD7" i="122"/>
  <c r="Y7" i="122"/>
  <c r="T7" i="122"/>
  <c r="O7" i="122"/>
  <c r="J7" i="122"/>
  <c r="E7" i="122"/>
  <c r="CZ6" i="122"/>
  <c r="CZ5" i="122" s="1"/>
  <c r="CV6" i="122"/>
  <c r="CQ6" i="122"/>
  <c r="CL6" i="122"/>
  <c r="CG6" i="122"/>
  <c r="CB6" i="122"/>
  <c r="CB5" i="122" s="1"/>
  <c r="BW6" i="122"/>
  <c r="BW5" i="122" s="1"/>
  <c r="BR6" i="122"/>
  <c r="BR5" i="122" s="1"/>
  <c r="BM6" i="122"/>
  <c r="BM5" i="122" s="1"/>
  <c r="BH6" i="122"/>
  <c r="BC6" i="122"/>
  <c r="AX6" i="122"/>
  <c r="AS6" i="122"/>
  <c r="AS5" i="122" s="1"/>
  <c r="AM6" i="122"/>
  <c r="AN6" i="122" s="1"/>
  <c r="AN5" i="122" s="1"/>
  <c r="AL6" i="122"/>
  <c r="AD6" i="122"/>
  <c r="AD5" i="122" s="1"/>
  <c r="Y6" i="122"/>
  <c r="Y5" i="122" s="1"/>
  <c r="S6" i="122"/>
  <c r="R6" i="122"/>
  <c r="T6" i="122" s="1"/>
  <c r="T5" i="122" s="1"/>
  <c r="M6" i="122"/>
  <c r="J6" i="122"/>
  <c r="J5" i="122" s="1"/>
  <c r="E6" i="122"/>
  <c r="CV5" i="122"/>
  <c r="CU5" i="122"/>
  <c r="CU38" i="122" s="1"/>
  <c r="CT5" i="122"/>
  <c r="CT38" i="122" s="1"/>
  <c r="CP5" i="122"/>
  <c r="CO5" i="122"/>
  <c r="CK5" i="122"/>
  <c r="CK38" i="122" s="1"/>
  <c r="CJ5" i="122"/>
  <c r="CF5" i="122"/>
  <c r="CF38" i="122" s="1"/>
  <c r="CF75" i="122" s="1"/>
  <c r="CE5" i="122"/>
  <c r="CE38" i="122" s="1"/>
  <c r="CA5" i="122"/>
  <c r="CA38" i="122" s="1"/>
  <c r="BZ5" i="122"/>
  <c r="BV5" i="122"/>
  <c r="BU5" i="122"/>
  <c r="BQ5" i="122"/>
  <c r="BQ38" i="122" s="1"/>
  <c r="BP5" i="122"/>
  <c r="BP38" i="122" s="1"/>
  <c r="BL5" i="122"/>
  <c r="BL38" i="122" s="1"/>
  <c r="BL75" i="122" s="1"/>
  <c r="BK5" i="122"/>
  <c r="BK38" i="122" s="1"/>
  <c r="BG5" i="122"/>
  <c r="BF5" i="122"/>
  <c r="BB5" i="122"/>
  <c r="BA5" i="122"/>
  <c r="BA38" i="122" s="1"/>
  <c r="BA75" i="122" s="1"/>
  <c r="AW5" i="122"/>
  <c r="AW38" i="122" s="1"/>
  <c r="AV5" i="122"/>
  <c r="AV38" i="122" s="1"/>
  <c r="AR5" i="122"/>
  <c r="AQ5" i="122"/>
  <c r="AL5" i="122"/>
  <c r="AC5" i="122"/>
  <c r="AB5" i="122"/>
  <c r="X5" i="122"/>
  <c r="X38" i="122" s="1"/>
  <c r="W5" i="122"/>
  <c r="S5" i="122"/>
  <c r="N5" i="122"/>
  <c r="I5" i="122"/>
  <c r="H5" i="122"/>
  <c r="E5" i="122"/>
  <c r="D5" i="122"/>
  <c r="D38" i="122" s="1"/>
  <c r="C5" i="122"/>
  <c r="AI89" i="123"/>
  <c r="AI91" i="123" s="1"/>
  <c r="CY85" i="123"/>
  <c r="CV85" i="123"/>
  <c r="CQ85" i="123"/>
  <c r="CL85" i="123"/>
  <c r="CG85" i="123"/>
  <c r="CB85" i="123"/>
  <c r="BW85" i="123"/>
  <c r="AS85" i="123"/>
  <c r="AL85" i="123"/>
  <c r="AD85" i="123"/>
  <c r="Y85" i="123"/>
  <c r="T85" i="123"/>
  <c r="O85" i="123"/>
  <c r="J85" i="123"/>
  <c r="E85" i="123"/>
  <c r="CZ82" i="123"/>
  <c r="CY82" i="123"/>
  <c r="CV82" i="123"/>
  <c r="CQ82" i="123"/>
  <c r="CL82" i="123"/>
  <c r="CG82" i="123"/>
  <c r="CB82" i="123"/>
  <c r="BW82" i="123"/>
  <c r="BR82" i="123"/>
  <c r="BM82" i="123"/>
  <c r="BH82" i="123"/>
  <c r="BC82" i="123"/>
  <c r="AX82" i="123"/>
  <c r="AS82" i="123"/>
  <c r="AM82" i="123"/>
  <c r="AL82" i="123"/>
  <c r="AD82" i="123"/>
  <c r="Y82" i="123"/>
  <c r="T82" i="123"/>
  <c r="O82" i="123"/>
  <c r="J82" i="123"/>
  <c r="E82" i="123"/>
  <c r="CZ79" i="123"/>
  <c r="CZ77" i="123" s="1"/>
  <c r="CV79" i="123"/>
  <c r="CQ79" i="123"/>
  <c r="CL79" i="123"/>
  <c r="CG79" i="123"/>
  <c r="CB79" i="123"/>
  <c r="BW79" i="123"/>
  <c r="BR79" i="123"/>
  <c r="BR77" i="123" s="1"/>
  <c r="BM79" i="123"/>
  <c r="BH79" i="123"/>
  <c r="BH77" i="123" s="1"/>
  <c r="AM79" i="123"/>
  <c r="CZ78" i="123"/>
  <c r="CY78" i="123"/>
  <c r="CV78" i="123"/>
  <c r="CQ78" i="123"/>
  <c r="CQ77" i="123" s="1"/>
  <c r="CL78" i="123"/>
  <c r="CL77" i="123" s="1"/>
  <c r="CG78" i="123"/>
  <c r="CB78" i="123"/>
  <c r="CB77" i="123" s="1"/>
  <c r="BW78" i="123"/>
  <c r="BR78" i="123"/>
  <c r="BM78" i="123"/>
  <c r="BH78" i="123"/>
  <c r="BC78" i="123"/>
  <c r="AX78" i="123"/>
  <c r="AS78" i="123"/>
  <c r="AM78" i="123"/>
  <c r="AM77" i="123" s="1"/>
  <c r="AL78" i="123"/>
  <c r="AD78" i="123"/>
  <c r="Y78" i="123"/>
  <c r="T78" i="123"/>
  <c r="O78" i="123"/>
  <c r="J78" i="123"/>
  <c r="E78" i="123"/>
  <c r="CV77" i="123"/>
  <c r="CU77" i="123"/>
  <c r="CT77" i="123"/>
  <c r="CP77" i="123"/>
  <c r="CO77" i="123"/>
  <c r="CK77" i="123"/>
  <c r="CJ77" i="123"/>
  <c r="CG77" i="123"/>
  <c r="CF77" i="123"/>
  <c r="CE77" i="123"/>
  <c r="CA77" i="123"/>
  <c r="BZ77" i="123"/>
  <c r="BW77" i="123"/>
  <c r="BV77" i="123"/>
  <c r="BU77" i="123"/>
  <c r="BQ77" i="123"/>
  <c r="BP77" i="123"/>
  <c r="BL77" i="123"/>
  <c r="BK77" i="123"/>
  <c r="BG77" i="123"/>
  <c r="BF77" i="123"/>
  <c r="BB77" i="123"/>
  <c r="AW77" i="123"/>
  <c r="AR77" i="123"/>
  <c r="AC77" i="123"/>
  <c r="X77" i="123"/>
  <c r="S77" i="123"/>
  <c r="N77" i="123"/>
  <c r="I77" i="123"/>
  <c r="D77" i="123"/>
  <c r="CZ74" i="123"/>
  <c r="CY74" i="123"/>
  <c r="CV74" i="123"/>
  <c r="CQ74" i="123"/>
  <c r="CQ73" i="123" s="1"/>
  <c r="CL74" i="123"/>
  <c r="CL73" i="123" s="1"/>
  <c r="CG74" i="123"/>
  <c r="CG73" i="123" s="1"/>
  <c r="CB74" i="123"/>
  <c r="CB73" i="123" s="1"/>
  <c r="BW74" i="123"/>
  <c r="BR74" i="123"/>
  <c r="BM74" i="123"/>
  <c r="BM73" i="123" s="1"/>
  <c r="BH74" i="123"/>
  <c r="BH73" i="123" s="1"/>
  <c r="BC74" i="123"/>
  <c r="AX74" i="123"/>
  <c r="AX73" i="123" s="1"/>
  <c r="AS74" i="123"/>
  <c r="AM74" i="123"/>
  <c r="AM73" i="123" s="1"/>
  <c r="AL74" i="123"/>
  <c r="AN74" i="123" s="1"/>
  <c r="AN73" i="123" s="1"/>
  <c r="AD74" i="123"/>
  <c r="AD73" i="123" s="1"/>
  <c r="Y74" i="123"/>
  <c r="T74" i="123"/>
  <c r="O74" i="123"/>
  <c r="J74" i="123"/>
  <c r="J73" i="123" s="1"/>
  <c r="E74" i="123"/>
  <c r="E73" i="123" s="1"/>
  <c r="CZ73" i="123"/>
  <c r="CY73" i="123"/>
  <c r="CV73" i="123"/>
  <c r="CU73" i="123"/>
  <c r="CT73" i="123"/>
  <c r="CP73" i="123"/>
  <c r="CO73" i="123"/>
  <c r="CK73" i="123"/>
  <c r="CJ73" i="123"/>
  <c r="CF73" i="123"/>
  <c r="CE73" i="123"/>
  <c r="CA73" i="123"/>
  <c r="BZ73" i="123"/>
  <c r="BW73" i="123"/>
  <c r="BV73" i="123"/>
  <c r="BU73" i="123"/>
  <c r="BR73" i="123"/>
  <c r="BQ73" i="123"/>
  <c r="BP73" i="123"/>
  <c r="BL73" i="123"/>
  <c r="BK73" i="123"/>
  <c r="BG73" i="123"/>
  <c r="BF73" i="123"/>
  <c r="BC73" i="123"/>
  <c r="BB73" i="123"/>
  <c r="BA73" i="123"/>
  <c r="AW73" i="123"/>
  <c r="AV73" i="123"/>
  <c r="AS73" i="123"/>
  <c r="AR73" i="123"/>
  <c r="AQ73" i="123"/>
  <c r="AC73" i="123"/>
  <c r="AB73" i="123"/>
  <c r="Y73" i="123"/>
  <c r="X73" i="123"/>
  <c r="W73" i="123"/>
  <c r="T73" i="123"/>
  <c r="S73" i="123"/>
  <c r="R73" i="123"/>
  <c r="O73" i="123"/>
  <c r="N73" i="123"/>
  <c r="M73" i="123"/>
  <c r="I73" i="123"/>
  <c r="H73" i="123"/>
  <c r="D73" i="123"/>
  <c r="C73" i="123"/>
  <c r="CZ71" i="123"/>
  <c r="CY71" i="123"/>
  <c r="DA71" i="123" s="1"/>
  <c r="CV71" i="123"/>
  <c r="CQ71" i="123"/>
  <c r="CL71" i="123"/>
  <c r="CG71" i="123"/>
  <c r="CB71" i="123"/>
  <c r="BW71" i="123"/>
  <c r="BR71" i="123"/>
  <c r="BM71" i="123"/>
  <c r="BH71" i="123"/>
  <c r="BC71" i="123"/>
  <c r="AX71" i="123"/>
  <c r="AS71" i="123"/>
  <c r="AM71" i="123"/>
  <c r="AL71" i="123"/>
  <c r="AD71" i="123"/>
  <c r="Y71" i="123"/>
  <c r="T71" i="123"/>
  <c r="O71" i="123"/>
  <c r="J71" i="123"/>
  <c r="E71" i="123"/>
  <c r="DA70" i="123"/>
  <c r="CZ70" i="123"/>
  <c r="CY70" i="123"/>
  <c r="CV70" i="123"/>
  <c r="CQ70" i="123"/>
  <c r="CL70" i="123"/>
  <c r="CG70" i="123"/>
  <c r="CB70" i="123"/>
  <c r="BW70" i="123"/>
  <c r="BR70" i="123"/>
  <c r="BM70" i="123"/>
  <c r="BH70" i="123"/>
  <c r="BC70" i="123"/>
  <c r="AX70" i="123"/>
  <c r="AS70" i="123"/>
  <c r="AM70" i="123"/>
  <c r="AL70" i="123"/>
  <c r="AD70" i="123"/>
  <c r="Y70" i="123"/>
  <c r="T70" i="123"/>
  <c r="O70" i="123"/>
  <c r="J70" i="123"/>
  <c r="E70" i="123"/>
  <c r="CZ69" i="123"/>
  <c r="CY69" i="123"/>
  <c r="CV69" i="123"/>
  <c r="CQ69" i="123"/>
  <c r="CL69" i="123"/>
  <c r="CG69" i="123"/>
  <c r="CB69" i="123"/>
  <c r="BW69" i="123"/>
  <c r="BR69" i="123"/>
  <c r="BM69" i="123"/>
  <c r="BH69" i="123"/>
  <c r="BC69" i="123"/>
  <c r="AX69" i="123"/>
  <c r="AS69" i="123"/>
  <c r="AN69" i="123"/>
  <c r="AM69" i="123"/>
  <c r="AL69" i="123"/>
  <c r="AD69" i="123"/>
  <c r="Y69" i="123"/>
  <c r="T69" i="123"/>
  <c r="O69" i="123"/>
  <c r="J69" i="123"/>
  <c r="E69" i="123"/>
  <c r="CZ68" i="123"/>
  <c r="CY68" i="123"/>
  <c r="DA68" i="123" s="1"/>
  <c r="CV68" i="123"/>
  <c r="CQ68" i="123"/>
  <c r="CL68" i="123"/>
  <c r="CG68" i="123"/>
  <c r="CB68" i="123"/>
  <c r="BW68" i="123"/>
  <c r="BR68" i="123"/>
  <c r="BM68" i="123"/>
  <c r="BH68" i="123"/>
  <c r="BC68" i="123"/>
  <c r="AX68" i="123"/>
  <c r="AS68" i="123"/>
  <c r="AM68" i="123"/>
  <c r="AL68" i="123"/>
  <c r="AN68" i="123" s="1"/>
  <c r="AD68" i="123"/>
  <c r="Y68" i="123"/>
  <c r="T68" i="123"/>
  <c r="O68" i="123"/>
  <c r="J68" i="123"/>
  <c r="E68" i="123"/>
  <c r="CZ67" i="123"/>
  <c r="CY67" i="123"/>
  <c r="DA67" i="123" s="1"/>
  <c r="CV67" i="123"/>
  <c r="CQ67" i="123"/>
  <c r="CL67" i="123"/>
  <c r="CG67" i="123"/>
  <c r="CB67" i="123"/>
  <c r="BW67" i="123"/>
  <c r="BR67" i="123"/>
  <c r="BM67" i="123"/>
  <c r="BH67" i="123"/>
  <c r="BC67" i="123"/>
  <c r="AX67" i="123"/>
  <c r="AS67" i="123"/>
  <c r="AM67" i="123"/>
  <c r="AL67" i="123"/>
  <c r="AN67" i="123" s="1"/>
  <c r="AD67" i="123"/>
  <c r="Y67" i="123"/>
  <c r="T67" i="123"/>
  <c r="O67" i="123"/>
  <c r="J67" i="123"/>
  <c r="E67" i="123"/>
  <c r="CZ66" i="123"/>
  <c r="CY66" i="123"/>
  <c r="DA66" i="123" s="1"/>
  <c r="CV66" i="123"/>
  <c r="CQ66" i="123"/>
  <c r="CL66" i="123"/>
  <c r="CG66" i="123"/>
  <c r="CB66" i="123"/>
  <c r="BW66" i="123"/>
  <c r="BR66" i="123"/>
  <c r="BM66" i="123"/>
  <c r="BH66" i="123"/>
  <c r="BC66" i="123"/>
  <c r="AX66" i="123"/>
  <c r="AS66" i="123"/>
  <c r="AM66" i="123"/>
  <c r="AL66" i="123"/>
  <c r="AN66" i="123" s="1"/>
  <c r="AD66" i="123"/>
  <c r="Y66" i="123"/>
  <c r="T66" i="123"/>
  <c r="O66" i="123"/>
  <c r="J66" i="123"/>
  <c r="E66" i="123"/>
  <c r="CY65" i="123"/>
  <c r="CV65" i="123"/>
  <c r="CQ65" i="123"/>
  <c r="CL65" i="123"/>
  <c r="CG65" i="123"/>
  <c r="CB65" i="123"/>
  <c r="BW65" i="123"/>
  <c r="BR65" i="123"/>
  <c r="BM65" i="123"/>
  <c r="BH65" i="123"/>
  <c r="BC65" i="123"/>
  <c r="AX65" i="123"/>
  <c r="AS65" i="123"/>
  <c r="AM65" i="123"/>
  <c r="AL65" i="123"/>
  <c r="AD65" i="123"/>
  <c r="Y65" i="123"/>
  <c r="T65" i="123"/>
  <c r="O65" i="123"/>
  <c r="J65" i="123"/>
  <c r="D65" i="123"/>
  <c r="DA64" i="123"/>
  <c r="CZ64" i="123"/>
  <c r="CY64" i="123"/>
  <c r="CV64" i="123"/>
  <c r="CQ64" i="123"/>
  <c r="CL64" i="123"/>
  <c r="CG64" i="123"/>
  <c r="CB64" i="123"/>
  <c r="BW64" i="123"/>
  <c r="BR64" i="123"/>
  <c r="BM64" i="123"/>
  <c r="BH64" i="123"/>
  <c r="BC64" i="123"/>
  <c r="AX64" i="123"/>
  <c r="AS64" i="123"/>
  <c r="AM64" i="123"/>
  <c r="AL64" i="123"/>
  <c r="AD64" i="123"/>
  <c r="Y64" i="123"/>
  <c r="T64" i="123"/>
  <c r="O64" i="123"/>
  <c r="J64" i="123"/>
  <c r="E64" i="123"/>
  <c r="CZ63" i="123"/>
  <c r="CY63" i="123"/>
  <c r="DA63" i="123" s="1"/>
  <c r="CV63" i="123"/>
  <c r="CQ63" i="123"/>
  <c r="CL63" i="123"/>
  <c r="CG63" i="123"/>
  <c r="CB63" i="123"/>
  <c r="BW63" i="123"/>
  <c r="BR63" i="123"/>
  <c r="BM63" i="123"/>
  <c r="BH63" i="123"/>
  <c r="BC63" i="123"/>
  <c r="AX63" i="123"/>
  <c r="AS63" i="123"/>
  <c r="AM63" i="123"/>
  <c r="AL63" i="123"/>
  <c r="AN63" i="123" s="1"/>
  <c r="AD63" i="123"/>
  <c r="Y63" i="123"/>
  <c r="T63" i="123"/>
  <c r="O63" i="123"/>
  <c r="J63" i="123"/>
  <c r="E63" i="123"/>
  <c r="CZ62" i="123"/>
  <c r="CY62" i="123"/>
  <c r="CV62" i="123"/>
  <c r="CQ62" i="123"/>
  <c r="CL62" i="123"/>
  <c r="CG62" i="123"/>
  <c r="CB62" i="123"/>
  <c r="BW62" i="123"/>
  <c r="BR62" i="123"/>
  <c r="BM62" i="123"/>
  <c r="BH62" i="123"/>
  <c r="BC62" i="123"/>
  <c r="AX62" i="123"/>
  <c r="AS62" i="123"/>
  <c r="AM62" i="123"/>
  <c r="AL62" i="123"/>
  <c r="AN62" i="123" s="1"/>
  <c r="AD62" i="123"/>
  <c r="Y62" i="123"/>
  <c r="T62" i="123"/>
  <c r="O62" i="123"/>
  <c r="J62" i="123"/>
  <c r="E62" i="123"/>
  <c r="CZ61" i="123"/>
  <c r="CY61" i="123"/>
  <c r="DA61" i="123" s="1"/>
  <c r="CV61" i="123"/>
  <c r="CQ61" i="123"/>
  <c r="CL61" i="123"/>
  <c r="CG61" i="123"/>
  <c r="CB61" i="123"/>
  <c r="BW61" i="123"/>
  <c r="BR61" i="123"/>
  <c r="BM61" i="123"/>
  <c r="BH61" i="123"/>
  <c r="BC61" i="123"/>
  <c r="AX61" i="123"/>
  <c r="AS61" i="123"/>
  <c r="AM61" i="123"/>
  <c r="AL61" i="123"/>
  <c r="AN61" i="123" s="1"/>
  <c r="AD61" i="123"/>
  <c r="Y61" i="123"/>
  <c r="T61" i="123"/>
  <c r="O61" i="123"/>
  <c r="J61" i="123"/>
  <c r="E61" i="123"/>
  <c r="CZ60" i="123"/>
  <c r="CY60" i="123"/>
  <c r="DA60" i="123" s="1"/>
  <c r="CV60" i="123"/>
  <c r="CQ60" i="123"/>
  <c r="CL60" i="123"/>
  <c r="CG60" i="123"/>
  <c r="CB60" i="123"/>
  <c r="BW60" i="123"/>
  <c r="BR60" i="123"/>
  <c r="BM60" i="123"/>
  <c r="BH60" i="123"/>
  <c r="BC60" i="123"/>
  <c r="AX60" i="123"/>
  <c r="AS60" i="123"/>
  <c r="AM60" i="123"/>
  <c r="AL60" i="123"/>
  <c r="AD60" i="123"/>
  <c r="Y60" i="123"/>
  <c r="T60" i="123"/>
  <c r="O60" i="123"/>
  <c r="J60" i="123"/>
  <c r="E60" i="123"/>
  <c r="CZ59" i="123"/>
  <c r="CY59" i="123"/>
  <c r="CV59" i="123"/>
  <c r="CQ59" i="123"/>
  <c r="CL59" i="123"/>
  <c r="CG59" i="123"/>
  <c r="CG54" i="123" s="1"/>
  <c r="CB59" i="123"/>
  <c r="BW59" i="123"/>
  <c r="BR59" i="123"/>
  <c r="BM59" i="123"/>
  <c r="BH59" i="123"/>
  <c r="BC59" i="123"/>
  <c r="AX59" i="123"/>
  <c r="AS59" i="123"/>
  <c r="AM59" i="123"/>
  <c r="AL59" i="123"/>
  <c r="AN59" i="123" s="1"/>
  <c r="AD59" i="123"/>
  <c r="Y59" i="123"/>
  <c r="T59" i="123"/>
  <c r="O59" i="123"/>
  <c r="J59" i="123"/>
  <c r="E59" i="123"/>
  <c r="CZ58" i="123"/>
  <c r="CY58" i="123"/>
  <c r="CV58" i="123"/>
  <c r="CQ58" i="123"/>
  <c r="CL58" i="123"/>
  <c r="CG58" i="123"/>
  <c r="CB58" i="123"/>
  <c r="BW58" i="123"/>
  <c r="BR58" i="123"/>
  <c r="BM58" i="123"/>
  <c r="BH58" i="123"/>
  <c r="BC58" i="123"/>
  <c r="AX58" i="123"/>
  <c r="AS58" i="123"/>
  <c r="AM58" i="123"/>
  <c r="AL58" i="123"/>
  <c r="AN58" i="123" s="1"/>
  <c r="AD58" i="123"/>
  <c r="Y58" i="123"/>
  <c r="T58" i="123"/>
  <c r="O58" i="123"/>
  <c r="J58" i="123"/>
  <c r="E58" i="123"/>
  <c r="CZ57" i="123"/>
  <c r="CY57" i="123"/>
  <c r="CV57" i="123"/>
  <c r="CQ57" i="123"/>
  <c r="CL57" i="123"/>
  <c r="CG57" i="123"/>
  <c r="CB57" i="123"/>
  <c r="BW57" i="123"/>
  <c r="BR57" i="123"/>
  <c r="BM57" i="123"/>
  <c r="BH57" i="123"/>
  <c r="BC57" i="123"/>
  <c r="AX57" i="123"/>
  <c r="AS57" i="123"/>
  <c r="AM57" i="123"/>
  <c r="AL57" i="123"/>
  <c r="AD57" i="123"/>
  <c r="Y57" i="123"/>
  <c r="T57" i="123"/>
  <c r="O57" i="123"/>
  <c r="J57" i="123"/>
  <c r="E57" i="123"/>
  <c r="CZ56" i="123"/>
  <c r="CY56" i="123"/>
  <c r="CV56" i="123"/>
  <c r="CQ56" i="123"/>
  <c r="CL56" i="123"/>
  <c r="CG56" i="123"/>
  <c r="CB56" i="123"/>
  <c r="BW56" i="123"/>
  <c r="BR56" i="123"/>
  <c r="BM56" i="123"/>
  <c r="BH56" i="123"/>
  <c r="BC56" i="123"/>
  <c r="AX56" i="123"/>
  <c r="AS56" i="123"/>
  <c r="AM56" i="123"/>
  <c r="AL56" i="123"/>
  <c r="AN56" i="123" s="1"/>
  <c r="AD56" i="123"/>
  <c r="Y56" i="123"/>
  <c r="T56" i="123"/>
  <c r="O56" i="123"/>
  <c r="J56" i="123"/>
  <c r="E56" i="123"/>
  <c r="CZ55" i="123"/>
  <c r="CY55" i="123"/>
  <c r="DA55" i="123" s="1"/>
  <c r="CV55" i="123"/>
  <c r="CV54" i="123" s="1"/>
  <c r="CQ55" i="123"/>
  <c r="CQ54" i="123" s="1"/>
  <c r="CL55" i="123"/>
  <c r="CG55" i="123"/>
  <c r="CB55" i="123"/>
  <c r="BW55" i="123"/>
  <c r="BR55" i="123"/>
  <c r="BM55" i="123"/>
  <c r="BM54" i="123" s="1"/>
  <c r="BH55" i="123"/>
  <c r="BC55" i="123"/>
  <c r="BC54" i="123" s="1"/>
  <c r="AX55" i="123"/>
  <c r="AS55" i="123"/>
  <c r="AM55" i="123"/>
  <c r="AL55" i="123"/>
  <c r="AN55" i="123" s="1"/>
  <c r="AD55" i="123"/>
  <c r="AD54" i="123" s="1"/>
  <c r="Y55" i="123"/>
  <c r="T55" i="123"/>
  <c r="O55" i="123"/>
  <c r="J55" i="123"/>
  <c r="E55" i="123"/>
  <c r="CU54" i="123"/>
  <c r="CT54" i="123"/>
  <c r="CP54" i="123"/>
  <c r="CO54" i="123"/>
  <c r="CK54" i="123"/>
  <c r="CJ54" i="123"/>
  <c r="CF54" i="123"/>
  <c r="CE54" i="123"/>
  <c r="CA54" i="123"/>
  <c r="BZ54" i="123"/>
  <c r="BV54" i="123"/>
  <c r="BU54" i="123"/>
  <c r="BQ54" i="123"/>
  <c r="BP54" i="123"/>
  <c r="BL54" i="123"/>
  <c r="BK54" i="123"/>
  <c r="BG54" i="123"/>
  <c r="BF54" i="123"/>
  <c r="BB54" i="123"/>
  <c r="BA54" i="123"/>
  <c r="AW54" i="123"/>
  <c r="AV54" i="123"/>
  <c r="AR54" i="123"/>
  <c r="AQ54" i="123"/>
  <c r="AC54" i="123"/>
  <c r="AB54" i="123"/>
  <c r="X54" i="123"/>
  <c r="W54" i="123"/>
  <c r="S54" i="123"/>
  <c r="R54" i="123"/>
  <c r="N54" i="123"/>
  <c r="M54" i="123"/>
  <c r="I54" i="123"/>
  <c r="H54" i="123"/>
  <c r="C54" i="123"/>
  <c r="DA52" i="123"/>
  <c r="CZ52" i="123"/>
  <c r="CY52" i="123"/>
  <c r="CY50" i="123" s="1"/>
  <c r="CV52" i="123"/>
  <c r="CQ52" i="123"/>
  <c r="CL52" i="123"/>
  <c r="CG52" i="123"/>
  <c r="CB52" i="123"/>
  <c r="BW52" i="123"/>
  <c r="BR52" i="123"/>
  <c r="BM52" i="123"/>
  <c r="BH52" i="123"/>
  <c r="BC52" i="123"/>
  <c r="AX52" i="123"/>
  <c r="AS52" i="123"/>
  <c r="AM52" i="123"/>
  <c r="AL52" i="123"/>
  <c r="AD52" i="123"/>
  <c r="Y52" i="123"/>
  <c r="T52" i="123"/>
  <c r="O52" i="123"/>
  <c r="J52" i="123"/>
  <c r="E52" i="123"/>
  <c r="CZ51" i="123"/>
  <c r="CY51" i="123"/>
  <c r="CV51" i="123"/>
  <c r="CQ51" i="123"/>
  <c r="CL51" i="123"/>
  <c r="CG51" i="123"/>
  <c r="CB51" i="123"/>
  <c r="BW51" i="123"/>
  <c r="BR51" i="123"/>
  <c r="BM51" i="123"/>
  <c r="BH51" i="123"/>
  <c r="BC51" i="123"/>
  <c r="AX51" i="123"/>
  <c r="AS51" i="123"/>
  <c r="AM51" i="123"/>
  <c r="AL51" i="123"/>
  <c r="AN51" i="123" s="1"/>
  <c r="AD51" i="123"/>
  <c r="Y51" i="123"/>
  <c r="T51" i="123"/>
  <c r="O51" i="123"/>
  <c r="J51" i="123"/>
  <c r="E51" i="123"/>
  <c r="CU50" i="123"/>
  <c r="CT50" i="123"/>
  <c r="CP50" i="123"/>
  <c r="CO50" i="123"/>
  <c r="CK50" i="123"/>
  <c r="CJ50" i="123"/>
  <c r="CF50" i="123"/>
  <c r="CE50" i="123"/>
  <c r="CA50" i="123"/>
  <c r="BZ50" i="123"/>
  <c r="BV50" i="123"/>
  <c r="BU50" i="123"/>
  <c r="BQ50" i="123"/>
  <c r="BP50" i="123"/>
  <c r="BL50" i="123"/>
  <c r="BK50" i="123"/>
  <c r="BG50" i="123"/>
  <c r="BF50" i="123"/>
  <c r="BB50" i="123"/>
  <c r="BA50" i="123"/>
  <c r="AW50" i="123"/>
  <c r="AV50" i="123"/>
  <c r="AR50" i="123"/>
  <c r="AQ50" i="123"/>
  <c r="AM50" i="123"/>
  <c r="AC50" i="123"/>
  <c r="AB50" i="123"/>
  <c r="X50" i="123"/>
  <c r="W50" i="123"/>
  <c r="S50" i="123"/>
  <c r="R50" i="123"/>
  <c r="N50" i="123"/>
  <c r="M50" i="123"/>
  <c r="I50" i="123"/>
  <c r="H50" i="123"/>
  <c r="D50" i="123"/>
  <c r="C50" i="123"/>
  <c r="CZ49" i="123"/>
  <c r="CY49" i="123"/>
  <c r="CZ48" i="123"/>
  <c r="CY48" i="123"/>
  <c r="DA48" i="123" s="1"/>
  <c r="CV48" i="123"/>
  <c r="CQ48" i="123"/>
  <c r="CL48" i="123"/>
  <c r="CG48" i="123"/>
  <c r="CB48" i="123"/>
  <c r="BW48" i="123"/>
  <c r="BR48" i="123"/>
  <c r="BM48" i="123"/>
  <c r="BH48" i="123"/>
  <c r="BC48" i="123"/>
  <c r="AX48" i="123"/>
  <c r="AS48" i="123"/>
  <c r="AM48" i="123"/>
  <c r="AL48" i="123"/>
  <c r="AN48" i="123" s="1"/>
  <c r="AD48" i="123"/>
  <c r="Y48" i="123"/>
  <c r="T48" i="123"/>
  <c r="O48" i="123"/>
  <c r="J48" i="123"/>
  <c r="E48" i="123"/>
  <c r="CZ47" i="123"/>
  <c r="CY47" i="123"/>
  <c r="CV47" i="123"/>
  <c r="CQ47" i="123"/>
  <c r="CL47" i="123"/>
  <c r="CG47" i="123"/>
  <c r="CB47" i="123"/>
  <c r="BW47" i="123"/>
  <c r="BR47" i="123"/>
  <c r="BM47" i="123"/>
  <c r="BH47" i="123"/>
  <c r="BC47" i="123"/>
  <c r="AX47" i="123"/>
  <c r="AS47" i="123"/>
  <c r="AM47" i="123"/>
  <c r="AL47" i="123"/>
  <c r="AD47" i="123"/>
  <c r="Y47" i="123"/>
  <c r="T47" i="123"/>
  <c r="O47" i="123"/>
  <c r="J47" i="123"/>
  <c r="E47" i="123"/>
  <c r="CZ46" i="123"/>
  <c r="CY46" i="123"/>
  <c r="DA46" i="123" s="1"/>
  <c r="CV46" i="123"/>
  <c r="CQ46" i="123"/>
  <c r="CL46" i="123"/>
  <c r="CG46" i="123"/>
  <c r="CB46" i="123"/>
  <c r="BW46" i="123"/>
  <c r="BR46" i="123"/>
  <c r="BM46" i="123"/>
  <c r="BH46" i="123"/>
  <c r="BC46" i="123"/>
  <c r="AX46" i="123"/>
  <c r="AS46" i="123"/>
  <c r="AM46" i="123"/>
  <c r="AL46" i="123"/>
  <c r="AD46" i="123"/>
  <c r="Y46" i="123"/>
  <c r="T46" i="123"/>
  <c r="O46" i="123"/>
  <c r="J46" i="123"/>
  <c r="E46" i="123"/>
  <c r="DA45" i="123"/>
  <c r="CZ45" i="123"/>
  <c r="CY45" i="123"/>
  <c r="CV45" i="123"/>
  <c r="CQ45" i="123"/>
  <c r="CL45" i="123"/>
  <c r="CG45" i="123"/>
  <c r="CB45" i="123"/>
  <c r="BW45" i="123"/>
  <c r="BR45" i="123"/>
  <c r="BM45" i="123"/>
  <c r="BH45" i="123"/>
  <c r="BC45" i="123"/>
  <c r="AX45" i="123"/>
  <c r="AS45" i="123"/>
  <c r="AM45" i="123"/>
  <c r="AL45" i="123"/>
  <c r="AD45" i="123"/>
  <c r="Y45" i="123"/>
  <c r="T45" i="123"/>
  <c r="O45" i="123"/>
  <c r="J45" i="123"/>
  <c r="J41" i="123" s="1"/>
  <c r="E45" i="123"/>
  <c r="CZ44" i="123"/>
  <c r="CY44" i="123"/>
  <c r="CV44" i="123"/>
  <c r="CQ44" i="123"/>
  <c r="CL44" i="123"/>
  <c r="CG44" i="123"/>
  <c r="CB44" i="123"/>
  <c r="BW44" i="123"/>
  <c r="BR44" i="123"/>
  <c r="BM44" i="123"/>
  <c r="BH44" i="123"/>
  <c r="BC44" i="123"/>
  <c r="AX44" i="123"/>
  <c r="AS44" i="123"/>
  <c r="AM44" i="123"/>
  <c r="AL44" i="123"/>
  <c r="AN44" i="123" s="1"/>
  <c r="AD44" i="123"/>
  <c r="Y44" i="123"/>
  <c r="T44" i="123"/>
  <c r="O44" i="123"/>
  <c r="J44" i="123"/>
  <c r="E44" i="123"/>
  <c r="CZ43" i="123"/>
  <c r="CY43" i="123"/>
  <c r="CV43" i="123"/>
  <c r="CQ43" i="123"/>
  <c r="CL43" i="123"/>
  <c r="CG43" i="123"/>
  <c r="CB43" i="123"/>
  <c r="BW43" i="123"/>
  <c r="BR43" i="123"/>
  <c r="BM43" i="123"/>
  <c r="BH43" i="123"/>
  <c r="BC43" i="123"/>
  <c r="AX43" i="123"/>
  <c r="AS43" i="123"/>
  <c r="AM43" i="123"/>
  <c r="AL43" i="123"/>
  <c r="AN43" i="123" s="1"/>
  <c r="AD43" i="123"/>
  <c r="Y43" i="123"/>
  <c r="T43" i="123"/>
  <c r="O43" i="123"/>
  <c r="J43" i="123"/>
  <c r="E43" i="123"/>
  <c r="CZ42" i="123"/>
  <c r="CY42" i="123"/>
  <c r="CV42" i="123"/>
  <c r="CV41" i="123" s="1"/>
  <c r="CQ42" i="123"/>
  <c r="CL42" i="123"/>
  <c r="CG42" i="123"/>
  <c r="CB42" i="123"/>
  <c r="BW42" i="123"/>
  <c r="BR42" i="123"/>
  <c r="BM42" i="123"/>
  <c r="BH42" i="123"/>
  <c r="BH41" i="123" s="1"/>
  <c r="BC42" i="123"/>
  <c r="BC41" i="123" s="1"/>
  <c r="AX42" i="123"/>
  <c r="AS42" i="123"/>
  <c r="AM42" i="123"/>
  <c r="AL42" i="123"/>
  <c r="AD42" i="123"/>
  <c r="AD41" i="123" s="1"/>
  <c r="Y42" i="123"/>
  <c r="T42" i="123"/>
  <c r="O42" i="123"/>
  <c r="J42" i="123"/>
  <c r="E42" i="123"/>
  <c r="CU41" i="123"/>
  <c r="CT41" i="123"/>
  <c r="CP41" i="123"/>
  <c r="CO41" i="123"/>
  <c r="CK41" i="123"/>
  <c r="CJ41" i="123"/>
  <c r="CF41" i="123"/>
  <c r="CE41" i="123"/>
  <c r="CA41" i="123"/>
  <c r="BZ41" i="123"/>
  <c r="BV41" i="123"/>
  <c r="BU41" i="123"/>
  <c r="BQ41" i="123"/>
  <c r="BP41" i="123"/>
  <c r="BL41" i="123"/>
  <c r="BK41" i="123"/>
  <c r="BG41" i="123"/>
  <c r="BF41" i="123"/>
  <c r="BB41" i="123"/>
  <c r="BA41" i="123"/>
  <c r="AW41" i="123"/>
  <c r="AV41" i="123"/>
  <c r="AR41" i="123"/>
  <c r="AQ41" i="123"/>
  <c r="AC41" i="123"/>
  <c r="AB41" i="123"/>
  <c r="X41" i="123"/>
  <c r="W41" i="123"/>
  <c r="S41" i="123"/>
  <c r="R41" i="123"/>
  <c r="N41" i="123"/>
  <c r="M41" i="123"/>
  <c r="I41" i="123"/>
  <c r="H41" i="123"/>
  <c r="D41" i="123"/>
  <c r="C41" i="123"/>
  <c r="BB38" i="123"/>
  <c r="DA36" i="123"/>
  <c r="DA35" i="123" s="1"/>
  <c r="CZ36" i="123"/>
  <c r="CZ35" i="123" s="1"/>
  <c r="CY36" i="123"/>
  <c r="CV36" i="123"/>
  <c r="CQ36" i="123"/>
  <c r="CQ35" i="123" s="1"/>
  <c r="CL36" i="123"/>
  <c r="CG36" i="123"/>
  <c r="CB36" i="123"/>
  <c r="CB35" i="123" s="1"/>
  <c r="BW36" i="123"/>
  <c r="BW35" i="123" s="1"/>
  <c r="BR36" i="123"/>
  <c r="BM36" i="123"/>
  <c r="BH36" i="123"/>
  <c r="BC36" i="123"/>
  <c r="BC35" i="123" s="1"/>
  <c r="AX36" i="123"/>
  <c r="AX35" i="123" s="1"/>
  <c r="AS36" i="123"/>
  <c r="AS35" i="123" s="1"/>
  <c r="AM36" i="123"/>
  <c r="AM35" i="123" s="1"/>
  <c r="AL36" i="123"/>
  <c r="AD36" i="123"/>
  <c r="Y36" i="123"/>
  <c r="Y35" i="123" s="1"/>
  <c r="T36" i="123"/>
  <c r="O36" i="123"/>
  <c r="J36" i="123"/>
  <c r="J35" i="123" s="1"/>
  <c r="E36" i="123"/>
  <c r="E35" i="123" s="1"/>
  <c r="CY35" i="123"/>
  <c r="CV35" i="123"/>
  <c r="CU35" i="123"/>
  <c r="CT35" i="123"/>
  <c r="CP35" i="123"/>
  <c r="CO35" i="123"/>
  <c r="CL35" i="123"/>
  <c r="CK35" i="123"/>
  <c r="CJ35" i="123"/>
  <c r="CF35" i="123"/>
  <c r="CE35" i="123"/>
  <c r="CA35" i="123"/>
  <c r="BZ35" i="123"/>
  <c r="BV35" i="123"/>
  <c r="BU35" i="123"/>
  <c r="BR35" i="123"/>
  <c r="BQ35" i="123"/>
  <c r="BP35" i="123"/>
  <c r="BM35" i="123"/>
  <c r="BL35" i="123"/>
  <c r="BK35" i="123"/>
  <c r="BH35" i="123"/>
  <c r="BG35" i="123"/>
  <c r="BF35" i="123"/>
  <c r="BB35" i="123"/>
  <c r="BA35" i="123"/>
  <c r="AW35" i="123"/>
  <c r="AV35" i="123"/>
  <c r="AR35" i="123"/>
  <c r="AQ35" i="123"/>
  <c r="AD35" i="123"/>
  <c r="AC35" i="123"/>
  <c r="AB35" i="123"/>
  <c r="X35" i="123"/>
  <c r="W35" i="123"/>
  <c r="S35" i="123"/>
  <c r="R35" i="123"/>
  <c r="O35" i="123"/>
  <c r="N35" i="123"/>
  <c r="M35" i="123"/>
  <c r="I35" i="123"/>
  <c r="H35" i="123"/>
  <c r="D35" i="123"/>
  <c r="C35" i="123"/>
  <c r="CZ33" i="123"/>
  <c r="CY33" i="123"/>
  <c r="CV33" i="123"/>
  <c r="CQ33" i="123"/>
  <c r="CL33" i="123"/>
  <c r="CG33" i="123"/>
  <c r="CB33" i="123"/>
  <c r="BW33" i="123"/>
  <c r="BR33" i="123"/>
  <c r="BM33" i="123"/>
  <c r="BH33" i="123"/>
  <c r="BC33" i="123"/>
  <c r="AX33" i="123"/>
  <c r="AS33" i="123"/>
  <c r="AM33" i="123"/>
  <c r="AL33" i="123"/>
  <c r="AN33" i="123" s="1"/>
  <c r="AD33" i="123"/>
  <c r="Y33" i="123"/>
  <c r="T33" i="123"/>
  <c r="O33" i="123"/>
  <c r="J33" i="123"/>
  <c r="E33" i="123"/>
  <c r="CZ32" i="123"/>
  <c r="CY32" i="123"/>
  <c r="DA32" i="123" s="1"/>
  <c r="CV32" i="123"/>
  <c r="CQ32" i="123"/>
  <c r="CL32" i="123"/>
  <c r="CG32" i="123"/>
  <c r="CB32" i="123"/>
  <c r="BW32" i="123"/>
  <c r="BR32" i="123"/>
  <c r="BM32" i="123"/>
  <c r="BH32" i="123"/>
  <c r="BC32" i="123"/>
  <c r="AX32" i="123"/>
  <c r="AS32" i="123"/>
  <c r="AM32" i="123"/>
  <c r="AL32" i="123"/>
  <c r="AN32" i="123" s="1"/>
  <c r="AD32" i="123"/>
  <c r="Y32" i="123"/>
  <c r="T32" i="123"/>
  <c r="O32" i="123"/>
  <c r="J32" i="123"/>
  <c r="H32" i="123"/>
  <c r="E32" i="123"/>
  <c r="DA31" i="123"/>
  <c r="CV31" i="123"/>
  <c r="CQ31" i="123"/>
  <c r="CL31" i="123"/>
  <c r="CG31" i="123"/>
  <c r="CB31" i="123"/>
  <c r="BW31" i="123"/>
  <c r="BR31" i="123"/>
  <c r="BM31" i="123"/>
  <c r="BH31" i="123"/>
  <c r="BC31" i="123"/>
  <c r="AX31" i="123"/>
  <c r="AS31" i="123"/>
  <c r="AM31" i="123"/>
  <c r="AL31" i="123"/>
  <c r="AD31" i="123"/>
  <c r="Y31" i="123"/>
  <c r="T31" i="123"/>
  <c r="O31" i="123"/>
  <c r="J31" i="123"/>
  <c r="E31" i="123"/>
  <c r="DA30" i="123"/>
  <c r="CV30" i="123"/>
  <c r="CQ30" i="123"/>
  <c r="CL30" i="123"/>
  <c r="CG30" i="123"/>
  <c r="CB30" i="123"/>
  <c r="BW30" i="123"/>
  <c r="BR30" i="123"/>
  <c r="BM30" i="123"/>
  <c r="BH30" i="123"/>
  <c r="BC30" i="123"/>
  <c r="AX30" i="123"/>
  <c r="AS30" i="123"/>
  <c r="AM30" i="123"/>
  <c r="AL30" i="123"/>
  <c r="AD30" i="123"/>
  <c r="Y30" i="123"/>
  <c r="T30" i="123"/>
  <c r="O30" i="123"/>
  <c r="J30" i="123"/>
  <c r="E30" i="123"/>
  <c r="CV29" i="123"/>
  <c r="CQ29" i="123"/>
  <c r="CL29" i="123"/>
  <c r="CG29" i="123"/>
  <c r="CB29" i="123"/>
  <c r="BW29" i="123"/>
  <c r="BR29" i="123"/>
  <c r="BM29" i="123"/>
  <c r="BH29" i="123"/>
  <c r="BC29" i="123"/>
  <c r="AX29" i="123"/>
  <c r="AS29" i="123"/>
  <c r="AM29" i="123"/>
  <c r="AL29" i="123"/>
  <c r="AB29" i="123"/>
  <c r="Y29" i="123"/>
  <c r="T29" i="123"/>
  <c r="O29" i="123"/>
  <c r="J29" i="123"/>
  <c r="E29" i="123"/>
  <c r="CV28" i="123"/>
  <c r="CQ28" i="123"/>
  <c r="CL28" i="123"/>
  <c r="CG28" i="123"/>
  <c r="CB28" i="123"/>
  <c r="BW28" i="123"/>
  <c r="BR28" i="123"/>
  <c r="BM28" i="123"/>
  <c r="BH28" i="123"/>
  <c r="BC28" i="123"/>
  <c r="AX28" i="123"/>
  <c r="AS28" i="123"/>
  <c r="AM28" i="123"/>
  <c r="AL28" i="123"/>
  <c r="AB28" i="123"/>
  <c r="AD28" i="123" s="1"/>
  <c r="W28" i="123"/>
  <c r="Y28" i="123" s="1"/>
  <c r="R28" i="123"/>
  <c r="R8" i="123" s="1"/>
  <c r="M28" i="123"/>
  <c r="O28" i="123" s="1"/>
  <c r="J28" i="123"/>
  <c r="I28" i="123"/>
  <c r="CZ28" i="123" s="1"/>
  <c r="H28" i="123"/>
  <c r="E28" i="123"/>
  <c r="DA27" i="123"/>
  <c r="CV27" i="123"/>
  <c r="CQ27" i="123"/>
  <c r="CL27" i="123"/>
  <c r="CG27" i="123"/>
  <c r="CB27" i="123"/>
  <c r="BW27" i="123"/>
  <c r="BR27" i="123"/>
  <c r="BM27" i="123"/>
  <c r="BH27" i="123"/>
  <c r="BC27" i="123"/>
  <c r="AX27" i="123"/>
  <c r="AS27" i="123"/>
  <c r="AN27" i="123"/>
  <c r="AM27" i="123"/>
  <c r="AL27" i="123"/>
  <c r="AD27" i="123"/>
  <c r="Y27" i="123"/>
  <c r="T27" i="123"/>
  <c r="O27" i="123"/>
  <c r="J27" i="123"/>
  <c r="E27" i="123"/>
  <c r="DA26" i="123"/>
  <c r="CV26" i="123"/>
  <c r="CQ26" i="123"/>
  <c r="CL26" i="123"/>
  <c r="CG26" i="123"/>
  <c r="CB26" i="123"/>
  <c r="BW26" i="123"/>
  <c r="BR26" i="123"/>
  <c r="BM26" i="123"/>
  <c r="BH26" i="123"/>
  <c r="BC26" i="123"/>
  <c r="AX26" i="123"/>
  <c r="AS26" i="123"/>
  <c r="AM26" i="123"/>
  <c r="AN26" i="123" s="1"/>
  <c r="AL26" i="123"/>
  <c r="AD26" i="123"/>
  <c r="Y26" i="123"/>
  <c r="T26" i="123"/>
  <c r="O26" i="123"/>
  <c r="J26" i="123"/>
  <c r="E26" i="123"/>
  <c r="DA25" i="123"/>
  <c r="CV25" i="123"/>
  <c r="CQ25" i="123"/>
  <c r="CL25" i="123"/>
  <c r="CG25" i="123"/>
  <c r="CB25" i="123"/>
  <c r="BW25" i="123"/>
  <c r="BR25" i="123"/>
  <c r="BM25" i="123"/>
  <c r="BH25" i="123"/>
  <c r="BC25" i="123"/>
  <c r="AX25" i="123"/>
  <c r="AS25" i="123"/>
  <c r="AM25" i="123"/>
  <c r="AL25" i="123"/>
  <c r="AN25" i="123" s="1"/>
  <c r="AD25" i="123"/>
  <c r="AB25" i="123"/>
  <c r="CY25" i="123" s="1"/>
  <c r="Y25" i="123"/>
  <c r="T25" i="123"/>
  <c r="O25" i="123"/>
  <c r="J25" i="123"/>
  <c r="E25" i="123"/>
  <c r="DA24" i="123"/>
  <c r="CV24" i="123"/>
  <c r="CQ24" i="123"/>
  <c r="CL24" i="123"/>
  <c r="CG24" i="123"/>
  <c r="CB24" i="123"/>
  <c r="BW24" i="123"/>
  <c r="BR24" i="123"/>
  <c r="BM24" i="123"/>
  <c r="BH24" i="123"/>
  <c r="BC24" i="123"/>
  <c r="AX24" i="123"/>
  <c r="AS24" i="123"/>
  <c r="AM24" i="123"/>
  <c r="AL24" i="123"/>
  <c r="AD24" i="123"/>
  <c r="Y24" i="123"/>
  <c r="T24" i="123"/>
  <c r="O24" i="123"/>
  <c r="J24" i="123"/>
  <c r="E24" i="123"/>
  <c r="DA23" i="123"/>
  <c r="CV23" i="123"/>
  <c r="CQ23" i="123"/>
  <c r="CL23" i="123"/>
  <c r="CG23" i="123"/>
  <c r="CB23" i="123"/>
  <c r="BW23" i="123"/>
  <c r="BR23" i="123"/>
  <c r="BM23" i="123"/>
  <c r="BH23" i="123"/>
  <c r="BC23" i="123"/>
  <c r="AX23" i="123"/>
  <c r="AS23" i="123"/>
  <c r="AM23" i="123"/>
  <c r="AL23" i="123"/>
  <c r="AD23" i="123"/>
  <c r="E23" i="123"/>
  <c r="DA22" i="123"/>
  <c r="CV22" i="123"/>
  <c r="CQ22" i="123"/>
  <c r="CL22" i="123"/>
  <c r="CG22" i="123"/>
  <c r="CB22" i="123"/>
  <c r="BW22" i="123"/>
  <c r="BR22" i="123"/>
  <c r="BM22" i="123"/>
  <c r="BH22" i="123"/>
  <c r="BC22" i="123"/>
  <c r="AX22" i="123"/>
  <c r="AS22" i="123"/>
  <c r="AM22" i="123"/>
  <c r="AL22" i="123"/>
  <c r="AD22" i="123"/>
  <c r="E22" i="123"/>
  <c r="DA21" i="123"/>
  <c r="CV21" i="123"/>
  <c r="CQ21" i="123"/>
  <c r="CL21" i="123"/>
  <c r="CG21" i="123"/>
  <c r="CB21" i="123"/>
  <c r="BW21" i="123"/>
  <c r="BR21" i="123"/>
  <c r="BM21" i="123"/>
  <c r="BH21" i="123"/>
  <c r="BC21" i="123"/>
  <c r="AX21" i="123"/>
  <c r="AS21" i="123"/>
  <c r="AM21" i="123"/>
  <c r="AL21" i="123"/>
  <c r="AN21" i="123" s="1"/>
  <c r="AD21" i="123"/>
  <c r="Y21" i="123"/>
  <c r="T21" i="123"/>
  <c r="O21" i="123"/>
  <c r="J21" i="123"/>
  <c r="E21" i="123"/>
  <c r="CV20" i="123"/>
  <c r="CQ20" i="123"/>
  <c r="CL20" i="123"/>
  <c r="CG20" i="123"/>
  <c r="CB20" i="123"/>
  <c r="BW20" i="123"/>
  <c r="BR20" i="123"/>
  <c r="BM20" i="123"/>
  <c r="BH20" i="123"/>
  <c r="BC20" i="123"/>
  <c r="AX20" i="123"/>
  <c r="AS20" i="123"/>
  <c r="AM20" i="123"/>
  <c r="AL20" i="123"/>
  <c r="AD20" i="123"/>
  <c r="Y20" i="123"/>
  <c r="T20" i="123"/>
  <c r="O20" i="123"/>
  <c r="J20" i="123"/>
  <c r="E20" i="123"/>
  <c r="DA19" i="123"/>
  <c r="CV19" i="123"/>
  <c r="CQ19" i="123"/>
  <c r="CL19" i="123"/>
  <c r="CG19" i="123"/>
  <c r="CB19" i="123"/>
  <c r="BW19" i="123"/>
  <c r="BR19" i="123"/>
  <c r="BM19" i="123"/>
  <c r="BH19" i="123"/>
  <c r="BC19" i="123"/>
  <c r="AX19" i="123"/>
  <c r="AS19" i="123"/>
  <c r="AM19" i="123"/>
  <c r="AL19" i="123"/>
  <c r="AN19" i="123" s="1"/>
  <c r="AD19" i="123"/>
  <c r="Y19" i="123"/>
  <c r="T19" i="123"/>
  <c r="O19" i="123"/>
  <c r="J19" i="123"/>
  <c r="E19" i="123"/>
  <c r="CV18" i="123"/>
  <c r="CQ18" i="123"/>
  <c r="CL18" i="123"/>
  <c r="CG18" i="123"/>
  <c r="CB18" i="123"/>
  <c r="BW18" i="123"/>
  <c r="BR18" i="123"/>
  <c r="BM18" i="123"/>
  <c r="BH18" i="123"/>
  <c r="BC18" i="123"/>
  <c r="AX18" i="123"/>
  <c r="AS18" i="123"/>
  <c r="AM18" i="123"/>
  <c r="AN18" i="123" s="1"/>
  <c r="AL18" i="123"/>
  <c r="AD18" i="123"/>
  <c r="W18" i="123"/>
  <c r="T18" i="123"/>
  <c r="M18" i="123"/>
  <c r="CY18" i="123" s="1"/>
  <c r="J18" i="123"/>
  <c r="E18" i="123"/>
  <c r="DA17" i="123"/>
  <c r="CV17" i="123"/>
  <c r="CQ17" i="123"/>
  <c r="CL17" i="123"/>
  <c r="CG17" i="123"/>
  <c r="CB17" i="123"/>
  <c r="BW17" i="123"/>
  <c r="BR17" i="123"/>
  <c r="BM17" i="123"/>
  <c r="BH17" i="123"/>
  <c r="BC17" i="123"/>
  <c r="AX17" i="123"/>
  <c r="AS17" i="123"/>
  <c r="AM17" i="123"/>
  <c r="AL17" i="123"/>
  <c r="AN17" i="123" s="1"/>
  <c r="AD17" i="123"/>
  <c r="Y17" i="123"/>
  <c r="T17" i="123"/>
  <c r="O17" i="123"/>
  <c r="J17" i="123"/>
  <c r="E17" i="123"/>
  <c r="DA16" i="123"/>
  <c r="CV16" i="123"/>
  <c r="CQ16" i="123"/>
  <c r="CL16" i="123"/>
  <c r="CG16" i="123"/>
  <c r="CB16" i="123"/>
  <c r="BW16" i="123"/>
  <c r="BR16" i="123"/>
  <c r="BM16" i="123"/>
  <c r="BH16" i="123"/>
  <c r="BC16" i="123"/>
  <c r="AX16" i="123"/>
  <c r="AS16" i="123"/>
  <c r="AM16" i="123"/>
  <c r="AL16" i="123"/>
  <c r="AD16" i="123"/>
  <c r="Y16" i="123"/>
  <c r="T16" i="123"/>
  <c r="O16" i="123"/>
  <c r="J16" i="123"/>
  <c r="E16" i="123"/>
  <c r="DA15" i="123"/>
  <c r="CV15" i="123"/>
  <c r="CQ15" i="123"/>
  <c r="CL15" i="123"/>
  <c r="CG15" i="123"/>
  <c r="CB15" i="123"/>
  <c r="BW15" i="123"/>
  <c r="BR15" i="123"/>
  <c r="BM15" i="123"/>
  <c r="BH15" i="123"/>
  <c r="BC15" i="123"/>
  <c r="AX15" i="123"/>
  <c r="AS15" i="123"/>
  <c r="AM15" i="123"/>
  <c r="AN15" i="123" s="1"/>
  <c r="AL15" i="123"/>
  <c r="AD15" i="123"/>
  <c r="Y15" i="123"/>
  <c r="T15" i="123"/>
  <c r="O15" i="123"/>
  <c r="J15" i="123"/>
  <c r="E15" i="123"/>
  <c r="DA14" i="123"/>
  <c r="CV14" i="123"/>
  <c r="CQ14" i="123"/>
  <c r="CL14" i="123"/>
  <c r="CG14" i="123"/>
  <c r="CB14" i="123"/>
  <c r="BW14" i="123"/>
  <c r="BR14" i="123"/>
  <c r="BM14" i="123"/>
  <c r="BH14" i="123"/>
  <c r="BC14" i="123"/>
  <c r="AX14" i="123"/>
  <c r="AS14" i="123"/>
  <c r="AM14" i="123"/>
  <c r="AL14" i="123"/>
  <c r="AN14" i="123" s="1"/>
  <c r="AD14" i="123"/>
  <c r="Y14" i="123"/>
  <c r="T14" i="123"/>
  <c r="O14" i="123"/>
  <c r="J14" i="123"/>
  <c r="E14" i="123"/>
  <c r="DA13" i="123"/>
  <c r="CV13" i="123"/>
  <c r="CQ13" i="123"/>
  <c r="CL13" i="123"/>
  <c r="CG13" i="123"/>
  <c r="CB13" i="123"/>
  <c r="BW13" i="123"/>
  <c r="BR13" i="123"/>
  <c r="BM13" i="123"/>
  <c r="BH13" i="123"/>
  <c r="BC13" i="123"/>
  <c r="AX13" i="123"/>
  <c r="AS13" i="123"/>
  <c r="AM13" i="123"/>
  <c r="AL13" i="123"/>
  <c r="AD13" i="123"/>
  <c r="Y13" i="123"/>
  <c r="T13" i="123"/>
  <c r="O13" i="123"/>
  <c r="J13" i="123"/>
  <c r="E13" i="123"/>
  <c r="DA12" i="123"/>
  <c r="CV12" i="123"/>
  <c r="CQ12" i="123"/>
  <c r="CL12" i="123"/>
  <c r="CG12" i="123"/>
  <c r="CB12" i="123"/>
  <c r="BW12" i="123"/>
  <c r="BR12" i="123"/>
  <c r="BM12" i="123"/>
  <c r="BH12" i="123"/>
  <c r="BC12" i="123"/>
  <c r="AX12" i="123"/>
  <c r="AS12" i="123"/>
  <c r="AM12" i="123"/>
  <c r="AN12" i="123" s="1"/>
  <c r="AL12" i="123"/>
  <c r="AD12" i="123"/>
  <c r="Y12" i="123"/>
  <c r="T12" i="123"/>
  <c r="O12" i="123"/>
  <c r="J12" i="123"/>
  <c r="E12" i="123"/>
  <c r="DA11" i="123"/>
  <c r="CV11" i="123"/>
  <c r="CQ11" i="123"/>
  <c r="CL11" i="123"/>
  <c r="CG11" i="123"/>
  <c r="CB11" i="123"/>
  <c r="BW11" i="123"/>
  <c r="BR11" i="123"/>
  <c r="BM11" i="123"/>
  <c r="BH11" i="123"/>
  <c r="BC11" i="123"/>
  <c r="AX11" i="123"/>
  <c r="AS11" i="123"/>
  <c r="AM11" i="123"/>
  <c r="AL11" i="123"/>
  <c r="AD11" i="123"/>
  <c r="Y11" i="123"/>
  <c r="T11" i="123"/>
  <c r="O11" i="123"/>
  <c r="J11" i="123"/>
  <c r="E11" i="123"/>
  <c r="DA10" i="123"/>
  <c r="CV10" i="123"/>
  <c r="CQ10" i="123"/>
  <c r="CL10" i="123"/>
  <c r="CG10" i="123"/>
  <c r="CB10" i="123"/>
  <c r="BW10" i="123"/>
  <c r="BR10" i="123"/>
  <c r="BM10" i="123"/>
  <c r="BH10" i="123"/>
  <c r="BC10" i="123"/>
  <c r="AX10" i="123"/>
  <c r="AX8" i="123" s="1"/>
  <c r="AS10" i="123"/>
  <c r="AM10" i="123"/>
  <c r="AL10" i="123"/>
  <c r="AD10" i="123"/>
  <c r="Y10" i="123"/>
  <c r="T10" i="123"/>
  <c r="O10" i="123"/>
  <c r="J10" i="123"/>
  <c r="E10" i="123"/>
  <c r="CY9" i="123"/>
  <c r="CV9" i="123"/>
  <c r="CQ9" i="123"/>
  <c r="CL9" i="123"/>
  <c r="CG9" i="123"/>
  <c r="CB9" i="123"/>
  <c r="BW9" i="123"/>
  <c r="BR9" i="123"/>
  <c r="BM9" i="123"/>
  <c r="BH9" i="123"/>
  <c r="BC9" i="123"/>
  <c r="AX9" i="123"/>
  <c r="AS9" i="123"/>
  <c r="AM9" i="123"/>
  <c r="AN9" i="123" s="1"/>
  <c r="AL9" i="123"/>
  <c r="AC9" i="123"/>
  <c r="AC8" i="123" s="1"/>
  <c r="Y9" i="123"/>
  <c r="S9" i="123"/>
  <c r="O9" i="123"/>
  <c r="J9" i="123"/>
  <c r="E9" i="123"/>
  <c r="CV8" i="123"/>
  <c r="CU8" i="123"/>
  <c r="CT8" i="123"/>
  <c r="CP8" i="123"/>
  <c r="CO8" i="123"/>
  <c r="CK8" i="123"/>
  <c r="CJ8" i="123"/>
  <c r="CF8" i="123"/>
  <c r="CE8" i="123"/>
  <c r="CA8" i="123"/>
  <c r="BZ8" i="123"/>
  <c r="BV8" i="123"/>
  <c r="BU8" i="123"/>
  <c r="BQ8" i="123"/>
  <c r="BP8" i="123"/>
  <c r="BL8" i="123"/>
  <c r="BK8" i="123"/>
  <c r="BG8" i="123"/>
  <c r="BF8" i="123"/>
  <c r="BB8" i="123"/>
  <c r="BA8" i="123"/>
  <c r="AW8" i="123"/>
  <c r="AV8" i="123"/>
  <c r="AR8" i="123"/>
  <c r="AQ8" i="123"/>
  <c r="X8" i="123"/>
  <c r="N8" i="123"/>
  <c r="I8" i="123"/>
  <c r="D8" i="123"/>
  <c r="C8" i="123"/>
  <c r="CZ7" i="123"/>
  <c r="CY7" i="123"/>
  <c r="CV7" i="123"/>
  <c r="CQ7" i="123"/>
  <c r="CL7" i="123"/>
  <c r="CL5" i="123" s="1"/>
  <c r="CG7" i="123"/>
  <c r="CB7" i="123"/>
  <c r="BW7" i="123"/>
  <c r="BR7" i="123"/>
  <c r="BM7" i="123"/>
  <c r="BH7" i="123"/>
  <c r="BC7" i="123"/>
  <c r="AX7" i="123"/>
  <c r="AS7" i="123"/>
  <c r="AM7" i="123"/>
  <c r="AN7" i="123" s="1"/>
  <c r="AL7" i="123"/>
  <c r="AD7" i="123"/>
  <c r="Y7" i="123"/>
  <c r="T7" i="123"/>
  <c r="O7" i="123"/>
  <c r="J7" i="123"/>
  <c r="E7" i="123"/>
  <c r="CZ6" i="123"/>
  <c r="CZ5" i="123" s="1"/>
  <c r="CV6" i="123"/>
  <c r="CV5" i="123" s="1"/>
  <c r="CQ6" i="123"/>
  <c r="CL6" i="123"/>
  <c r="CG6" i="123"/>
  <c r="CB6" i="123"/>
  <c r="CB5" i="123" s="1"/>
  <c r="BW6" i="123"/>
  <c r="BW5" i="123" s="1"/>
  <c r="BR6" i="123"/>
  <c r="BR5" i="123" s="1"/>
  <c r="BM6" i="123"/>
  <c r="BM5" i="123" s="1"/>
  <c r="BH6" i="123"/>
  <c r="BC6" i="123"/>
  <c r="AX6" i="123"/>
  <c r="AS6" i="123"/>
  <c r="AS5" i="123" s="1"/>
  <c r="AM6" i="123"/>
  <c r="AL6" i="123"/>
  <c r="AL5" i="123" s="1"/>
  <c r="AD6" i="123"/>
  <c r="AD5" i="123" s="1"/>
  <c r="Y6" i="123"/>
  <c r="Y5" i="123" s="1"/>
  <c r="T6" i="123"/>
  <c r="T5" i="123" s="1"/>
  <c r="M6" i="123"/>
  <c r="J6" i="123"/>
  <c r="J5" i="123" s="1"/>
  <c r="E6" i="123"/>
  <c r="CU5" i="123"/>
  <c r="CU38" i="123" s="1"/>
  <c r="CT5" i="123"/>
  <c r="CT38" i="123" s="1"/>
  <c r="CP5" i="123"/>
  <c r="CP38" i="123" s="1"/>
  <c r="CO5" i="123"/>
  <c r="CK5" i="123"/>
  <c r="CJ5" i="123"/>
  <c r="CF5" i="123"/>
  <c r="CE5" i="123"/>
  <c r="CA5" i="123"/>
  <c r="CA38" i="123" s="1"/>
  <c r="BZ5" i="123"/>
  <c r="BV5" i="123"/>
  <c r="BV38" i="123" s="1"/>
  <c r="BU5" i="123"/>
  <c r="BQ5" i="123"/>
  <c r="BP5" i="123"/>
  <c r="BL5" i="123"/>
  <c r="BK5" i="123"/>
  <c r="BH5" i="123"/>
  <c r="BG5" i="123"/>
  <c r="BG38" i="123" s="1"/>
  <c r="BF5" i="123"/>
  <c r="BF38" i="123" s="1"/>
  <c r="BB5" i="123"/>
  <c r="BA5" i="123"/>
  <c r="AX5" i="123"/>
  <c r="AW5" i="123"/>
  <c r="AV5" i="123"/>
  <c r="AR5" i="123"/>
  <c r="AQ5" i="123"/>
  <c r="AQ38" i="123" s="1"/>
  <c r="AC5" i="123"/>
  <c r="AC38" i="123" s="1"/>
  <c r="AB5" i="123"/>
  <c r="X5" i="123"/>
  <c r="X38" i="123" s="1"/>
  <c r="W5" i="123"/>
  <c r="S5" i="123"/>
  <c r="R5" i="123"/>
  <c r="N5" i="123"/>
  <c r="I5" i="123"/>
  <c r="H5" i="123"/>
  <c r="E5" i="123"/>
  <c r="D5" i="123"/>
  <c r="C5" i="123"/>
  <c r="AI89" i="124"/>
  <c r="AI91" i="124" s="1"/>
  <c r="CY85" i="124"/>
  <c r="CV85" i="124"/>
  <c r="CQ85" i="124"/>
  <c r="CL85" i="124"/>
  <c r="CG85" i="124"/>
  <c r="CB85" i="124"/>
  <c r="BW85" i="124"/>
  <c r="AS85" i="124"/>
  <c r="AL85" i="124"/>
  <c r="AD85" i="124"/>
  <c r="Y85" i="124"/>
  <c r="T85" i="124"/>
  <c r="O85" i="124"/>
  <c r="J85" i="124"/>
  <c r="E85" i="124"/>
  <c r="CZ82" i="124"/>
  <c r="CY82" i="124"/>
  <c r="CV82" i="124"/>
  <c r="CQ82" i="124"/>
  <c r="CL82" i="124"/>
  <c r="CG82" i="124"/>
  <c r="CB82" i="124"/>
  <c r="BW82" i="124"/>
  <c r="BR82" i="124"/>
  <c r="BM82" i="124"/>
  <c r="BH82" i="124"/>
  <c r="BC82" i="124"/>
  <c r="AX82" i="124"/>
  <c r="AS82" i="124"/>
  <c r="AM82" i="124"/>
  <c r="AL82" i="124"/>
  <c r="AD82" i="124"/>
  <c r="Y82" i="124"/>
  <c r="T82" i="124"/>
  <c r="O82" i="124"/>
  <c r="J82" i="124"/>
  <c r="E82" i="124"/>
  <c r="CZ79" i="124"/>
  <c r="CZ77" i="124" s="1"/>
  <c r="CV79" i="124"/>
  <c r="CQ79" i="124"/>
  <c r="CQ77" i="124" s="1"/>
  <c r="CL79" i="124"/>
  <c r="CL77" i="124" s="1"/>
  <c r="CG79" i="124"/>
  <c r="CB79" i="124"/>
  <c r="BW79" i="124"/>
  <c r="BM79" i="124"/>
  <c r="AM79" i="124"/>
  <c r="DA78" i="124"/>
  <c r="CZ78" i="124"/>
  <c r="CY78" i="124"/>
  <c r="CV78" i="124"/>
  <c r="CQ78" i="124"/>
  <c r="CL78" i="124"/>
  <c r="CG78" i="124"/>
  <c r="CB78" i="124"/>
  <c r="BW78" i="124"/>
  <c r="BW77" i="124" s="1"/>
  <c r="BR78" i="124"/>
  <c r="BM78" i="124"/>
  <c r="BH78" i="124"/>
  <c r="BC78" i="124"/>
  <c r="AX78" i="124"/>
  <c r="AS78" i="124"/>
  <c r="AN78" i="124"/>
  <c r="AM78" i="124"/>
  <c r="AL78" i="124"/>
  <c r="AD78" i="124"/>
  <c r="Y78" i="124"/>
  <c r="T78" i="124"/>
  <c r="O78" i="124"/>
  <c r="J78" i="124"/>
  <c r="E78" i="124"/>
  <c r="CU77" i="124"/>
  <c r="CT77" i="124"/>
  <c r="CP77" i="124"/>
  <c r="CO77" i="124"/>
  <c r="CK77" i="124"/>
  <c r="CJ77" i="124"/>
  <c r="CF77" i="124"/>
  <c r="CE77" i="124"/>
  <c r="CA77" i="124"/>
  <c r="BZ77" i="124"/>
  <c r="BV77" i="124"/>
  <c r="BU77" i="124"/>
  <c r="BQ77" i="124"/>
  <c r="BM77" i="124"/>
  <c r="BL77" i="124"/>
  <c r="BK77" i="124"/>
  <c r="BG77" i="124"/>
  <c r="BB77" i="124"/>
  <c r="AW77" i="124"/>
  <c r="AR77" i="124"/>
  <c r="AC77" i="124"/>
  <c r="X77" i="124"/>
  <c r="S77" i="124"/>
  <c r="N77" i="124"/>
  <c r="I77" i="124"/>
  <c r="D77" i="124"/>
  <c r="CZ74" i="124"/>
  <c r="CY74" i="124"/>
  <c r="DA74" i="124" s="1"/>
  <c r="DA73" i="124" s="1"/>
  <c r="CV74" i="124"/>
  <c r="CV73" i="124" s="1"/>
  <c r="CQ74" i="124"/>
  <c r="CQ73" i="124" s="1"/>
  <c r="CL74" i="124"/>
  <c r="CL73" i="124" s="1"/>
  <c r="CG74" i="124"/>
  <c r="CG73" i="124" s="1"/>
  <c r="CB74" i="124"/>
  <c r="BW74" i="124"/>
  <c r="BW73" i="124" s="1"/>
  <c r="BR74" i="124"/>
  <c r="BR73" i="124" s="1"/>
  <c r="BM74" i="124"/>
  <c r="BH74" i="124"/>
  <c r="BH73" i="124" s="1"/>
  <c r="BC74" i="124"/>
  <c r="BC73" i="124" s="1"/>
  <c r="AX74" i="124"/>
  <c r="AX73" i="124" s="1"/>
  <c r="AS74" i="124"/>
  <c r="AS73" i="124" s="1"/>
  <c r="AM74" i="124"/>
  <c r="AL74" i="124"/>
  <c r="AD74" i="124"/>
  <c r="Y74" i="124"/>
  <c r="T74" i="124"/>
  <c r="T73" i="124" s="1"/>
  <c r="O74" i="124"/>
  <c r="O73" i="124" s="1"/>
  <c r="J74" i="124"/>
  <c r="J73" i="124" s="1"/>
  <c r="E74" i="124"/>
  <c r="E73" i="124" s="1"/>
  <c r="CZ73" i="124"/>
  <c r="CU73" i="124"/>
  <c r="CT73" i="124"/>
  <c r="CP73" i="124"/>
  <c r="CO73" i="124"/>
  <c r="CK73" i="124"/>
  <c r="CJ73" i="124"/>
  <c r="CF73" i="124"/>
  <c r="CE73" i="124"/>
  <c r="CB73" i="124"/>
  <c r="CA73" i="124"/>
  <c r="BZ73" i="124"/>
  <c r="BV73" i="124"/>
  <c r="BU73" i="124"/>
  <c r="BQ73" i="124"/>
  <c r="BP73" i="124"/>
  <c r="BM73" i="124"/>
  <c r="BL73" i="124"/>
  <c r="BK73" i="124"/>
  <c r="BG73" i="124"/>
  <c r="BF73" i="124"/>
  <c r="BB73" i="124"/>
  <c r="BA73" i="124"/>
  <c r="AW73" i="124"/>
  <c r="AV73" i="124"/>
  <c r="AR73" i="124"/>
  <c r="AQ73" i="124"/>
  <c r="AM73" i="124"/>
  <c r="AL73" i="124"/>
  <c r="AD73" i="124"/>
  <c r="AC73" i="124"/>
  <c r="AB73" i="124"/>
  <c r="Y73" i="124"/>
  <c r="X73" i="124"/>
  <c r="W73" i="124"/>
  <c r="S73" i="124"/>
  <c r="R73" i="124"/>
  <c r="N73" i="124"/>
  <c r="M73" i="124"/>
  <c r="I73" i="124"/>
  <c r="H73" i="124"/>
  <c r="D73" i="124"/>
  <c r="C73" i="124"/>
  <c r="CZ71" i="124"/>
  <c r="CY71" i="124"/>
  <c r="CV71" i="124"/>
  <c r="CQ71" i="124"/>
  <c r="CL71" i="124"/>
  <c r="CG71" i="124"/>
  <c r="CB71" i="124"/>
  <c r="BW71" i="124"/>
  <c r="BR71" i="124"/>
  <c r="BM71" i="124"/>
  <c r="BH71" i="124"/>
  <c r="BC71" i="124"/>
  <c r="AX71" i="124"/>
  <c r="AS71" i="124"/>
  <c r="AM71" i="124"/>
  <c r="AL71" i="124"/>
  <c r="AN71" i="124" s="1"/>
  <c r="AD71" i="124"/>
  <c r="Y71" i="124"/>
  <c r="T71" i="124"/>
  <c r="O71" i="124"/>
  <c r="J71" i="124"/>
  <c r="E71" i="124"/>
  <c r="E54" i="124" s="1"/>
  <c r="CZ70" i="124"/>
  <c r="CY70" i="124"/>
  <c r="DA70" i="124" s="1"/>
  <c r="CV70" i="124"/>
  <c r="CQ70" i="124"/>
  <c r="CL70" i="124"/>
  <c r="CG70" i="124"/>
  <c r="CB70" i="124"/>
  <c r="BW70" i="124"/>
  <c r="BR70" i="124"/>
  <c r="BM70" i="124"/>
  <c r="BH70" i="124"/>
  <c r="BC70" i="124"/>
  <c r="AX70" i="124"/>
  <c r="AS70" i="124"/>
  <c r="AM70" i="124"/>
  <c r="AL70" i="124"/>
  <c r="AN70" i="124" s="1"/>
  <c r="AD70" i="124"/>
  <c r="Y70" i="124"/>
  <c r="T70" i="124"/>
  <c r="O70" i="124"/>
  <c r="J70" i="124"/>
  <c r="E70" i="124"/>
  <c r="CZ69" i="124"/>
  <c r="CY69" i="124"/>
  <c r="DA69" i="124" s="1"/>
  <c r="CV69" i="124"/>
  <c r="CQ69" i="124"/>
  <c r="CL69" i="124"/>
  <c r="CG69" i="124"/>
  <c r="CB69" i="124"/>
  <c r="BW69" i="124"/>
  <c r="BR69" i="124"/>
  <c r="BM69" i="124"/>
  <c r="BH69" i="124"/>
  <c r="BC69" i="124"/>
  <c r="AX69" i="124"/>
  <c r="AS69" i="124"/>
  <c r="AM69" i="124"/>
  <c r="AL69" i="124"/>
  <c r="AN69" i="124" s="1"/>
  <c r="AD69" i="124"/>
  <c r="Y69" i="124"/>
  <c r="T69" i="124"/>
  <c r="O69" i="124"/>
  <c r="J69" i="124"/>
  <c r="E69" i="124"/>
  <c r="CZ68" i="124"/>
  <c r="CY68" i="124"/>
  <c r="CV68" i="124"/>
  <c r="CQ68" i="124"/>
  <c r="CL68" i="124"/>
  <c r="CG68" i="124"/>
  <c r="CB68" i="124"/>
  <c r="BW68" i="124"/>
  <c r="BR68" i="124"/>
  <c r="BM68" i="124"/>
  <c r="BH68" i="124"/>
  <c r="BC68" i="124"/>
  <c r="AX68" i="124"/>
  <c r="AS68" i="124"/>
  <c r="AM68" i="124"/>
  <c r="AL68" i="124"/>
  <c r="AN68" i="124" s="1"/>
  <c r="AD68" i="124"/>
  <c r="Y68" i="124"/>
  <c r="T68" i="124"/>
  <c r="O68" i="124"/>
  <c r="J68" i="124"/>
  <c r="E68" i="124"/>
  <c r="CZ67" i="124"/>
  <c r="CY67" i="124"/>
  <c r="DA67" i="124" s="1"/>
  <c r="CV67" i="124"/>
  <c r="CQ67" i="124"/>
  <c r="CL67" i="124"/>
  <c r="CG67" i="124"/>
  <c r="CB67" i="124"/>
  <c r="BW67" i="124"/>
  <c r="BR67" i="124"/>
  <c r="BM67" i="124"/>
  <c r="BH67" i="124"/>
  <c r="BC67" i="124"/>
  <c r="AX67" i="124"/>
  <c r="AS67" i="124"/>
  <c r="AM67" i="124"/>
  <c r="AL67" i="124"/>
  <c r="AN67" i="124" s="1"/>
  <c r="AD67" i="124"/>
  <c r="Y67" i="124"/>
  <c r="T67" i="124"/>
  <c r="O67" i="124"/>
  <c r="J67" i="124"/>
  <c r="E67" i="124"/>
  <c r="CZ66" i="124"/>
  <c r="CY66" i="124"/>
  <c r="CV66" i="124"/>
  <c r="CQ66" i="124"/>
  <c r="CL66" i="124"/>
  <c r="CG66" i="124"/>
  <c r="CB66" i="124"/>
  <c r="BW66" i="124"/>
  <c r="BR66" i="124"/>
  <c r="BM66" i="124"/>
  <c r="BH66" i="124"/>
  <c r="BC66" i="124"/>
  <c r="AX66" i="124"/>
  <c r="AS66" i="124"/>
  <c r="AM66" i="124"/>
  <c r="AN66" i="124" s="1"/>
  <c r="AL66" i="124"/>
  <c r="AD66" i="124"/>
  <c r="Y66" i="124"/>
  <c r="T66" i="124"/>
  <c r="O66" i="124"/>
  <c r="J66" i="124"/>
  <c r="E66" i="124"/>
  <c r="CZ65" i="124"/>
  <c r="CY65" i="124"/>
  <c r="CV65" i="124"/>
  <c r="CQ65" i="124"/>
  <c r="CL65" i="124"/>
  <c r="CG65" i="124"/>
  <c r="CB65" i="124"/>
  <c r="BW65" i="124"/>
  <c r="BR65" i="124"/>
  <c r="BM65" i="124"/>
  <c r="BH65" i="124"/>
  <c r="BC65" i="124"/>
  <c r="AX65" i="124"/>
  <c r="AS65" i="124"/>
  <c r="AM65" i="124"/>
  <c r="AL65" i="124"/>
  <c r="AD65" i="124"/>
  <c r="Y65" i="124"/>
  <c r="T65" i="124"/>
  <c r="O65" i="124"/>
  <c r="J65" i="124"/>
  <c r="E65" i="124"/>
  <c r="CZ64" i="124"/>
  <c r="DA64" i="124" s="1"/>
  <c r="CY64" i="124"/>
  <c r="CV64" i="124"/>
  <c r="CQ64" i="124"/>
  <c r="CL64" i="124"/>
  <c r="CG64" i="124"/>
  <c r="CB64" i="124"/>
  <c r="BW64" i="124"/>
  <c r="BR64" i="124"/>
  <c r="BM64" i="124"/>
  <c r="BH64" i="124"/>
  <c r="BC64" i="124"/>
  <c r="AX64" i="124"/>
  <c r="AS64" i="124"/>
  <c r="AM64" i="124"/>
  <c r="AL64" i="124"/>
  <c r="AN64" i="124" s="1"/>
  <c r="AD64" i="124"/>
  <c r="Y64" i="124"/>
  <c r="T64" i="124"/>
  <c r="O64" i="124"/>
  <c r="J64" i="124"/>
  <c r="E64" i="124"/>
  <c r="CZ63" i="124"/>
  <c r="CY63" i="124"/>
  <c r="DA63" i="124" s="1"/>
  <c r="CV63" i="124"/>
  <c r="CQ63" i="124"/>
  <c r="CL63" i="124"/>
  <c r="CG63" i="124"/>
  <c r="CB63" i="124"/>
  <c r="BW63" i="124"/>
  <c r="BR63" i="124"/>
  <c r="BM63" i="124"/>
  <c r="BH63" i="124"/>
  <c r="BC63" i="124"/>
  <c r="AX63" i="124"/>
  <c r="AS63" i="124"/>
  <c r="AM63" i="124"/>
  <c r="AL63" i="124"/>
  <c r="AD63" i="124"/>
  <c r="Y63" i="124"/>
  <c r="T63" i="124"/>
  <c r="O63" i="124"/>
  <c r="J63" i="124"/>
  <c r="E63" i="124"/>
  <c r="CZ62" i="124"/>
  <c r="CY62" i="124"/>
  <c r="DA62" i="124" s="1"/>
  <c r="CV62" i="124"/>
  <c r="CQ62" i="124"/>
  <c r="CL62" i="124"/>
  <c r="CG62" i="124"/>
  <c r="CB62" i="124"/>
  <c r="BW62" i="124"/>
  <c r="BR62" i="124"/>
  <c r="BM62" i="124"/>
  <c r="BH62" i="124"/>
  <c r="BC62" i="124"/>
  <c r="AX62" i="124"/>
  <c r="AS62" i="124"/>
  <c r="AM62" i="124"/>
  <c r="AL62" i="124"/>
  <c r="AD62" i="124"/>
  <c r="Y62" i="124"/>
  <c r="T62" i="124"/>
  <c r="O62" i="124"/>
  <c r="J62" i="124"/>
  <c r="E62" i="124"/>
  <c r="CZ61" i="124"/>
  <c r="DA61" i="124" s="1"/>
  <c r="CY61" i="124"/>
  <c r="CV61" i="124"/>
  <c r="CQ61" i="124"/>
  <c r="CL61" i="124"/>
  <c r="CG61" i="124"/>
  <c r="CB61" i="124"/>
  <c r="BW61" i="124"/>
  <c r="BR61" i="124"/>
  <c r="BM61" i="124"/>
  <c r="BH61" i="124"/>
  <c r="BC61" i="124"/>
  <c r="AX61" i="124"/>
  <c r="AS61" i="124"/>
  <c r="AM61" i="124"/>
  <c r="AL61" i="124"/>
  <c r="AD61" i="124"/>
  <c r="Y61" i="124"/>
  <c r="T61" i="124"/>
  <c r="O61" i="124"/>
  <c r="J61" i="124"/>
  <c r="E61" i="124"/>
  <c r="CZ60" i="124"/>
  <c r="CY60" i="124"/>
  <c r="CV60" i="124"/>
  <c r="CQ60" i="124"/>
  <c r="CL60" i="124"/>
  <c r="CG60" i="124"/>
  <c r="CB60" i="124"/>
  <c r="BW60" i="124"/>
  <c r="BR60" i="124"/>
  <c r="BM60" i="124"/>
  <c r="BH60" i="124"/>
  <c r="BC60" i="124"/>
  <c r="AX60" i="124"/>
  <c r="AS60" i="124"/>
  <c r="AM60" i="124"/>
  <c r="AL60" i="124"/>
  <c r="AD60" i="124"/>
  <c r="Y60" i="124"/>
  <c r="T60" i="124"/>
  <c r="O60" i="124"/>
  <c r="J60" i="124"/>
  <c r="E60" i="124"/>
  <c r="CZ59" i="124"/>
  <c r="CY59" i="124"/>
  <c r="DA59" i="124" s="1"/>
  <c r="CV59" i="124"/>
  <c r="CQ59" i="124"/>
  <c r="CL59" i="124"/>
  <c r="CG59" i="124"/>
  <c r="CB59" i="124"/>
  <c r="BW59" i="124"/>
  <c r="BR59" i="124"/>
  <c r="BM59" i="124"/>
  <c r="BH59" i="124"/>
  <c r="BC59" i="124"/>
  <c r="AX59" i="124"/>
  <c r="AS59" i="124"/>
  <c r="AM59" i="124"/>
  <c r="AL59" i="124"/>
  <c r="AD59" i="124"/>
  <c r="Y59" i="124"/>
  <c r="T59" i="124"/>
  <c r="O59" i="124"/>
  <c r="J59" i="124"/>
  <c r="E59" i="124"/>
  <c r="CZ58" i="124"/>
  <c r="DA58" i="124" s="1"/>
  <c r="CY58" i="124"/>
  <c r="CV58" i="124"/>
  <c r="CQ58" i="124"/>
  <c r="CL58" i="124"/>
  <c r="CG58" i="124"/>
  <c r="CB58" i="124"/>
  <c r="BW58" i="124"/>
  <c r="BR58" i="124"/>
  <c r="BM58" i="124"/>
  <c r="BH58" i="124"/>
  <c r="BC58" i="124"/>
  <c r="AX58" i="124"/>
  <c r="AS58" i="124"/>
  <c r="AM58" i="124"/>
  <c r="AL58" i="124"/>
  <c r="AD58" i="124"/>
  <c r="Y58" i="124"/>
  <c r="T58" i="124"/>
  <c r="O58" i="124"/>
  <c r="J58" i="124"/>
  <c r="E58" i="124"/>
  <c r="CZ57" i="124"/>
  <c r="CY57" i="124"/>
  <c r="CV57" i="124"/>
  <c r="CQ57" i="124"/>
  <c r="CL57" i="124"/>
  <c r="CG57" i="124"/>
  <c r="CB57" i="124"/>
  <c r="BW57" i="124"/>
  <c r="BR57" i="124"/>
  <c r="BR54" i="124" s="1"/>
  <c r="BM57" i="124"/>
  <c r="BH57" i="124"/>
  <c r="BC57" i="124"/>
  <c r="AX57" i="124"/>
  <c r="AS57" i="124"/>
  <c r="AS54" i="124" s="1"/>
  <c r="AM57" i="124"/>
  <c r="AN57" i="124" s="1"/>
  <c r="AL57" i="124"/>
  <c r="AD57" i="124"/>
  <c r="Y57" i="124"/>
  <c r="T57" i="124"/>
  <c r="O57" i="124"/>
  <c r="J57" i="124"/>
  <c r="E57" i="124"/>
  <c r="CZ56" i="124"/>
  <c r="CY56" i="124"/>
  <c r="CV56" i="124"/>
  <c r="CQ56" i="124"/>
  <c r="CL56" i="124"/>
  <c r="CG56" i="124"/>
  <c r="CB56" i="124"/>
  <c r="BW56" i="124"/>
  <c r="BR56" i="124"/>
  <c r="BM56" i="124"/>
  <c r="BH56" i="124"/>
  <c r="BC56" i="124"/>
  <c r="AX56" i="124"/>
  <c r="AS56" i="124"/>
  <c r="AM56" i="124"/>
  <c r="AL56" i="124"/>
  <c r="AD56" i="124"/>
  <c r="Y56" i="124"/>
  <c r="T56" i="124"/>
  <c r="O56" i="124"/>
  <c r="J56" i="124"/>
  <c r="E56" i="124"/>
  <c r="CZ55" i="124"/>
  <c r="CY55" i="124"/>
  <c r="CV55" i="124"/>
  <c r="CQ55" i="124"/>
  <c r="CL55" i="124"/>
  <c r="CG55" i="124"/>
  <c r="CB55" i="124"/>
  <c r="BW55" i="124"/>
  <c r="BR55" i="124"/>
  <c r="BM55" i="124"/>
  <c r="BH55" i="124"/>
  <c r="BC55" i="124"/>
  <c r="AX55" i="124"/>
  <c r="AS55" i="124"/>
  <c r="AM55" i="124"/>
  <c r="AL55" i="124"/>
  <c r="AN55" i="124" s="1"/>
  <c r="AD55" i="124"/>
  <c r="Y55" i="124"/>
  <c r="T55" i="124"/>
  <c r="O55" i="124"/>
  <c r="J55" i="124"/>
  <c r="E55" i="124"/>
  <c r="CU54" i="124"/>
  <c r="CT54" i="124"/>
  <c r="CP54" i="124"/>
  <c r="CO54" i="124"/>
  <c r="CK54" i="124"/>
  <c r="CJ54" i="124"/>
  <c r="CF54" i="124"/>
  <c r="CE54" i="124"/>
  <c r="CA54" i="124"/>
  <c r="BZ54" i="124"/>
  <c r="BV54" i="124"/>
  <c r="BU54" i="124"/>
  <c r="BQ54" i="124"/>
  <c r="BP54" i="124"/>
  <c r="BL54" i="124"/>
  <c r="BK54" i="124"/>
  <c r="BG54" i="124"/>
  <c r="BF54" i="124"/>
  <c r="BB54" i="124"/>
  <c r="BA54" i="124"/>
  <c r="AW54" i="124"/>
  <c r="AV54" i="124"/>
  <c r="AR54" i="124"/>
  <c r="AQ54" i="124"/>
  <c r="AC54" i="124"/>
  <c r="AB54" i="124"/>
  <c r="X54" i="124"/>
  <c r="W54" i="124"/>
  <c r="S54" i="124"/>
  <c r="R54" i="124"/>
  <c r="N54" i="124"/>
  <c r="M54" i="124"/>
  <c r="I54" i="124"/>
  <c r="H54" i="124"/>
  <c r="D54" i="124"/>
  <c r="C54" i="124"/>
  <c r="CZ52" i="124"/>
  <c r="CY52" i="124"/>
  <c r="CV52" i="124"/>
  <c r="CQ52" i="124"/>
  <c r="CL52" i="124"/>
  <c r="CL50" i="124" s="1"/>
  <c r="CG52" i="124"/>
  <c r="CB52" i="124"/>
  <c r="BW52" i="124"/>
  <c r="BR52" i="124"/>
  <c r="BM52" i="124"/>
  <c r="BH52" i="124"/>
  <c r="BC52" i="124"/>
  <c r="AX52" i="124"/>
  <c r="AX50" i="124" s="1"/>
  <c r="AS52" i="124"/>
  <c r="AM52" i="124"/>
  <c r="AL52" i="124"/>
  <c r="AD52" i="124"/>
  <c r="Y52" i="124"/>
  <c r="T52" i="124"/>
  <c r="O52" i="124"/>
  <c r="J52" i="124"/>
  <c r="J50" i="124" s="1"/>
  <c r="E52" i="124"/>
  <c r="CZ51" i="124"/>
  <c r="CY51" i="124"/>
  <c r="CV51" i="124"/>
  <c r="CQ51" i="124"/>
  <c r="CL51" i="124"/>
  <c r="CG51" i="124"/>
  <c r="CB51" i="124"/>
  <c r="CB50" i="124" s="1"/>
  <c r="BW51" i="124"/>
  <c r="BR51" i="124"/>
  <c r="BM51" i="124"/>
  <c r="BM50" i="124" s="1"/>
  <c r="BH51" i="124"/>
  <c r="BC51" i="124"/>
  <c r="AX51" i="124"/>
  <c r="AS51" i="124"/>
  <c r="AM51" i="124"/>
  <c r="AL51" i="124"/>
  <c r="AD51" i="124"/>
  <c r="AD50" i="124" s="1"/>
  <c r="Y51" i="124"/>
  <c r="T51" i="124"/>
  <c r="O51" i="124"/>
  <c r="J51" i="124"/>
  <c r="E51" i="124"/>
  <c r="E50" i="124" s="1"/>
  <c r="CY50" i="124"/>
  <c r="CV50" i="124"/>
  <c r="CU50" i="124"/>
  <c r="CT50" i="124"/>
  <c r="CQ50" i="124"/>
  <c r="CP50" i="124"/>
  <c r="CO50" i="124"/>
  <c r="CK50" i="124"/>
  <c r="CJ50" i="124"/>
  <c r="CG50" i="124"/>
  <c r="CF50" i="124"/>
  <c r="CE50" i="124"/>
  <c r="CA50" i="124"/>
  <c r="BZ50" i="124"/>
  <c r="BW50" i="124"/>
  <c r="BV50" i="124"/>
  <c r="BU50" i="124"/>
  <c r="BR50" i="124"/>
  <c r="BQ50" i="124"/>
  <c r="BP50" i="124"/>
  <c r="BL50" i="124"/>
  <c r="BK50" i="124"/>
  <c r="BH50" i="124"/>
  <c r="BG50" i="124"/>
  <c r="BF50" i="124"/>
  <c r="BC50" i="124"/>
  <c r="BB50" i="124"/>
  <c r="BA50" i="124"/>
  <c r="AW50" i="124"/>
  <c r="AV50" i="124"/>
  <c r="AS50" i="124"/>
  <c r="AR50" i="124"/>
  <c r="AQ50" i="124"/>
  <c r="AC50" i="124"/>
  <c r="AB50" i="124"/>
  <c r="Y50" i="124"/>
  <c r="X50" i="124"/>
  <c r="W50" i="124"/>
  <c r="T50" i="124"/>
  <c r="S50" i="124"/>
  <c r="R50" i="124"/>
  <c r="O50" i="124"/>
  <c r="N50" i="124"/>
  <c r="M50" i="124"/>
  <c r="I50" i="124"/>
  <c r="H50" i="124"/>
  <c r="D50" i="124"/>
  <c r="C50" i="124"/>
  <c r="DA48" i="124"/>
  <c r="CZ48" i="124"/>
  <c r="CY48" i="124"/>
  <c r="CV48" i="124"/>
  <c r="CQ48" i="124"/>
  <c r="CL48" i="124"/>
  <c r="CG48" i="124"/>
  <c r="CB48" i="124"/>
  <c r="BW48" i="124"/>
  <c r="BR48" i="124"/>
  <c r="BM48" i="124"/>
  <c r="BH48" i="124"/>
  <c r="BC48" i="124"/>
  <c r="AX48" i="124"/>
  <c r="AS48" i="124"/>
  <c r="AM48" i="124"/>
  <c r="AL48" i="124"/>
  <c r="AN48" i="124" s="1"/>
  <c r="AD48" i="124"/>
  <c r="Y48" i="124"/>
  <c r="T48" i="124"/>
  <c r="O48" i="124"/>
  <c r="J48" i="124"/>
  <c r="E48" i="124"/>
  <c r="CZ47" i="124"/>
  <c r="CY47" i="124"/>
  <c r="CV47" i="124"/>
  <c r="CQ47" i="124"/>
  <c r="CL47" i="124"/>
  <c r="CG47" i="124"/>
  <c r="CB47" i="124"/>
  <c r="BW47" i="124"/>
  <c r="BR47" i="124"/>
  <c r="BM47" i="124"/>
  <c r="BH47" i="124"/>
  <c r="BC47" i="124"/>
  <c r="AX47" i="124"/>
  <c r="AS47" i="124"/>
  <c r="AM47" i="124"/>
  <c r="AL47" i="124"/>
  <c r="AN47" i="124" s="1"/>
  <c r="AD47" i="124"/>
  <c r="Y47" i="124"/>
  <c r="T47" i="124"/>
  <c r="O47" i="124"/>
  <c r="J47" i="124"/>
  <c r="E47" i="124"/>
  <c r="CZ46" i="124"/>
  <c r="CY46" i="124"/>
  <c r="DA46" i="124" s="1"/>
  <c r="CV46" i="124"/>
  <c r="CQ46" i="124"/>
  <c r="CL46" i="124"/>
  <c r="CG46" i="124"/>
  <c r="CB46" i="124"/>
  <c r="BW46" i="124"/>
  <c r="BR46" i="124"/>
  <c r="BM46" i="124"/>
  <c r="BH46" i="124"/>
  <c r="BC46" i="124"/>
  <c r="AX46" i="124"/>
  <c r="AS46" i="124"/>
  <c r="AN46" i="124"/>
  <c r="AM46" i="124"/>
  <c r="AL46" i="124"/>
  <c r="AD46" i="124"/>
  <c r="Y46" i="124"/>
  <c r="T46" i="124"/>
  <c r="O46" i="124"/>
  <c r="J46" i="124"/>
  <c r="E46" i="124"/>
  <c r="CZ45" i="124"/>
  <c r="CY45" i="124"/>
  <c r="DA45" i="124" s="1"/>
  <c r="CV45" i="124"/>
  <c r="CQ45" i="124"/>
  <c r="CL45" i="124"/>
  <c r="CG45" i="124"/>
  <c r="CB45" i="124"/>
  <c r="BW45" i="124"/>
  <c r="BR45" i="124"/>
  <c r="BM45" i="124"/>
  <c r="BH45" i="124"/>
  <c r="BC45" i="124"/>
  <c r="BC41" i="124" s="1"/>
  <c r="AX45" i="124"/>
  <c r="AS45" i="124"/>
  <c r="AM45" i="124"/>
  <c r="AL45" i="124"/>
  <c r="AD45" i="124"/>
  <c r="Y45" i="124"/>
  <c r="T45" i="124"/>
  <c r="O45" i="124"/>
  <c r="J45" i="124"/>
  <c r="E45" i="124"/>
  <c r="CZ44" i="124"/>
  <c r="CY44" i="124"/>
  <c r="CV44" i="124"/>
  <c r="CQ44" i="124"/>
  <c r="CL44" i="124"/>
  <c r="CG44" i="124"/>
  <c r="CB44" i="124"/>
  <c r="BW44" i="124"/>
  <c r="BR44" i="124"/>
  <c r="BM44" i="124"/>
  <c r="BH44" i="124"/>
  <c r="BC44" i="124"/>
  <c r="AX44" i="124"/>
  <c r="AS44" i="124"/>
  <c r="AN44" i="124"/>
  <c r="AM44" i="124"/>
  <c r="AL44" i="124"/>
  <c r="AD44" i="124"/>
  <c r="Y44" i="124"/>
  <c r="T44" i="124"/>
  <c r="O44" i="124"/>
  <c r="J44" i="124"/>
  <c r="E44" i="124"/>
  <c r="CZ43" i="124"/>
  <c r="CY43" i="124"/>
  <c r="CV43" i="124"/>
  <c r="CQ43" i="124"/>
  <c r="CL43" i="124"/>
  <c r="CG43" i="124"/>
  <c r="CB43" i="124"/>
  <c r="BW43" i="124"/>
  <c r="BR43" i="124"/>
  <c r="BM43" i="124"/>
  <c r="BH43" i="124"/>
  <c r="BC43" i="124"/>
  <c r="AX43" i="124"/>
  <c r="AS43" i="124"/>
  <c r="AN43" i="124"/>
  <c r="AM43" i="124"/>
  <c r="AL43" i="124"/>
  <c r="AD43" i="124"/>
  <c r="Y43" i="124"/>
  <c r="T43" i="124"/>
  <c r="O43" i="124"/>
  <c r="J43" i="124"/>
  <c r="E43" i="124"/>
  <c r="CZ42" i="124"/>
  <c r="CY42" i="124"/>
  <c r="CV42" i="124"/>
  <c r="CQ42" i="124"/>
  <c r="CL42" i="124"/>
  <c r="CG42" i="124"/>
  <c r="CB42" i="124"/>
  <c r="BW42" i="124"/>
  <c r="BR42" i="124"/>
  <c r="BM42" i="124"/>
  <c r="BH42" i="124"/>
  <c r="BC42" i="124"/>
  <c r="AX42" i="124"/>
  <c r="AS42" i="124"/>
  <c r="AM42" i="124"/>
  <c r="AL42" i="124"/>
  <c r="AD42" i="124"/>
  <c r="Y42" i="124"/>
  <c r="T42" i="124"/>
  <c r="O42" i="124"/>
  <c r="J42" i="124"/>
  <c r="E42" i="124"/>
  <c r="CU41" i="124"/>
  <c r="CT41" i="124"/>
  <c r="CP41" i="124"/>
  <c r="CO41" i="124"/>
  <c r="CK41" i="124"/>
  <c r="CJ41" i="124"/>
  <c r="CF41" i="124"/>
  <c r="CE41" i="124"/>
  <c r="CA41" i="124"/>
  <c r="BZ41" i="124"/>
  <c r="BV41" i="124"/>
  <c r="BU41" i="124"/>
  <c r="BQ41" i="124"/>
  <c r="BP41" i="124"/>
  <c r="BL41" i="124"/>
  <c r="BK41" i="124"/>
  <c r="BG41" i="124"/>
  <c r="BF41" i="124"/>
  <c r="BB41" i="124"/>
  <c r="BA41" i="124"/>
  <c r="AW41" i="124"/>
  <c r="AV41" i="124"/>
  <c r="AR41" i="124"/>
  <c r="AQ41" i="124"/>
  <c r="AM41" i="124"/>
  <c r="AC41" i="124"/>
  <c r="AB41" i="124"/>
  <c r="X41" i="124"/>
  <c r="W41" i="124"/>
  <c r="S41" i="124"/>
  <c r="R41" i="124"/>
  <c r="N41" i="124"/>
  <c r="M41" i="124"/>
  <c r="I41" i="124"/>
  <c r="H41" i="124"/>
  <c r="D41" i="124"/>
  <c r="C41" i="124"/>
  <c r="AQ38" i="124"/>
  <c r="CZ36" i="124"/>
  <c r="CZ35" i="124" s="1"/>
  <c r="CY36" i="124"/>
  <c r="CV36" i="124"/>
  <c r="CQ36" i="124"/>
  <c r="CL36" i="124"/>
  <c r="CL35" i="124" s="1"/>
  <c r="CG36" i="124"/>
  <c r="CB36" i="124"/>
  <c r="CB35" i="124" s="1"/>
  <c r="BW36" i="124"/>
  <c r="BW35" i="124" s="1"/>
  <c r="BR36" i="124"/>
  <c r="BM36" i="124"/>
  <c r="BM35" i="124" s="1"/>
  <c r="BH36" i="124"/>
  <c r="BC36" i="124"/>
  <c r="AX36" i="124"/>
  <c r="AX35" i="124" s="1"/>
  <c r="AS36" i="124"/>
  <c r="AS35" i="124" s="1"/>
  <c r="AM36" i="124"/>
  <c r="AM35" i="124" s="1"/>
  <c r="AL36" i="124"/>
  <c r="AL35" i="124" s="1"/>
  <c r="AD36" i="124"/>
  <c r="AD35" i="124" s="1"/>
  <c r="Y36" i="124"/>
  <c r="T36" i="124"/>
  <c r="O36" i="124"/>
  <c r="O35" i="124" s="1"/>
  <c r="J36" i="124"/>
  <c r="E36" i="124"/>
  <c r="E35" i="124" s="1"/>
  <c r="CY35" i="124"/>
  <c r="CV35" i="124"/>
  <c r="CU35" i="124"/>
  <c r="CT35" i="124"/>
  <c r="CQ35" i="124"/>
  <c r="CP35" i="124"/>
  <c r="CO35" i="124"/>
  <c r="CK35" i="124"/>
  <c r="CJ35" i="124"/>
  <c r="CG35" i="124"/>
  <c r="CF35" i="124"/>
  <c r="CE35" i="124"/>
  <c r="CA35" i="124"/>
  <c r="BZ35" i="124"/>
  <c r="BV35" i="124"/>
  <c r="BU35" i="124"/>
  <c r="BQ35" i="124"/>
  <c r="BP35" i="124"/>
  <c r="BL35" i="124"/>
  <c r="BK35" i="124"/>
  <c r="BH35" i="124"/>
  <c r="BG35" i="124"/>
  <c r="BF35" i="124"/>
  <c r="BB35" i="124"/>
  <c r="BA35" i="124"/>
  <c r="AW35" i="124"/>
  <c r="AV35" i="124"/>
  <c r="AR35" i="124"/>
  <c r="AQ35" i="124"/>
  <c r="AC35" i="124"/>
  <c r="AB35" i="124"/>
  <c r="X35" i="124"/>
  <c r="W35" i="124"/>
  <c r="T35" i="124"/>
  <c r="S35" i="124"/>
  <c r="R35" i="124"/>
  <c r="N35" i="124"/>
  <c r="M35" i="124"/>
  <c r="I35" i="124"/>
  <c r="H35" i="124"/>
  <c r="D35" i="124"/>
  <c r="C35" i="124"/>
  <c r="CZ33" i="124"/>
  <c r="CY33" i="124"/>
  <c r="DA33" i="124" s="1"/>
  <c r="CV33" i="124"/>
  <c r="CQ33" i="124"/>
  <c r="CL33" i="124"/>
  <c r="CG33" i="124"/>
  <c r="CB33" i="124"/>
  <c r="BW33" i="124"/>
  <c r="BR33" i="124"/>
  <c r="BM33" i="124"/>
  <c r="BH33" i="124"/>
  <c r="BC33" i="124"/>
  <c r="AX33" i="124"/>
  <c r="AS33" i="124"/>
  <c r="AM33" i="124"/>
  <c r="AL33" i="124"/>
  <c r="AD33" i="124"/>
  <c r="Y33" i="124"/>
  <c r="T33" i="124"/>
  <c r="O33" i="124"/>
  <c r="J33" i="124"/>
  <c r="E33" i="124"/>
  <c r="CV32" i="124"/>
  <c r="CQ32" i="124"/>
  <c r="CL32" i="124"/>
  <c r="CG32" i="124"/>
  <c r="CB32" i="124"/>
  <c r="BW32" i="124"/>
  <c r="BR32" i="124"/>
  <c r="BM32" i="124"/>
  <c r="BH32" i="124"/>
  <c r="BC32" i="124"/>
  <c r="AX32" i="124"/>
  <c r="AS32" i="124"/>
  <c r="AM32" i="124"/>
  <c r="AL32" i="124"/>
  <c r="AD32" i="124"/>
  <c r="Y32" i="124"/>
  <c r="T32" i="124"/>
  <c r="O32" i="124"/>
  <c r="I32" i="124"/>
  <c r="CZ32" i="124" s="1"/>
  <c r="H32" i="124"/>
  <c r="CY32" i="124" s="1"/>
  <c r="E32" i="124"/>
  <c r="DA31" i="124"/>
  <c r="CV31" i="124"/>
  <c r="CQ31" i="124"/>
  <c r="CL31" i="124"/>
  <c r="CG31" i="124"/>
  <c r="CB31" i="124"/>
  <c r="BW31" i="124"/>
  <c r="BR31" i="124"/>
  <c r="BM31" i="124"/>
  <c r="BH31" i="124"/>
  <c r="BC31" i="124"/>
  <c r="AX31" i="124"/>
  <c r="AS31" i="124"/>
  <c r="AM31" i="124"/>
  <c r="AL31" i="124"/>
  <c r="AN31" i="124" s="1"/>
  <c r="AD31" i="124"/>
  <c r="Y31" i="124"/>
  <c r="T31" i="124"/>
  <c r="O31" i="124"/>
  <c r="J31" i="124"/>
  <c r="E31" i="124"/>
  <c r="DA30" i="124"/>
  <c r="CV30" i="124"/>
  <c r="CQ30" i="124"/>
  <c r="CL30" i="124"/>
  <c r="CG30" i="124"/>
  <c r="CB30" i="124"/>
  <c r="BW30" i="124"/>
  <c r="BR30" i="124"/>
  <c r="BM30" i="124"/>
  <c r="BH30" i="124"/>
  <c r="BC30" i="124"/>
  <c r="AX30" i="124"/>
  <c r="AS30" i="124"/>
  <c r="AM30" i="124"/>
  <c r="AN30" i="124" s="1"/>
  <c r="AL30" i="124"/>
  <c r="AD30" i="124"/>
  <c r="Y30" i="124"/>
  <c r="T30" i="124"/>
  <c r="O30" i="124"/>
  <c r="J30" i="124"/>
  <c r="E30" i="124"/>
  <c r="CV29" i="124"/>
  <c r="CQ29" i="124"/>
  <c r="CL29" i="124"/>
  <c r="CG29" i="124"/>
  <c r="CB29" i="124"/>
  <c r="BW29" i="124"/>
  <c r="BR29" i="124"/>
  <c r="BM29" i="124"/>
  <c r="BH29" i="124"/>
  <c r="BC29" i="124"/>
  <c r="AX29" i="124"/>
  <c r="AS29" i="124"/>
  <c r="AM29" i="124"/>
  <c r="AL29" i="124"/>
  <c r="AD29" i="124"/>
  <c r="AB29" i="124"/>
  <c r="CY29" i="124" s="1"/>
  <c r="DA29" i="124" s="1"/>
  <c r="Y29" i="124"/>
  <c r="T29" i="124"/>
  <c r="O29" i="124"/>
  <c r="J29" i="124"/>
  <c r="E29" i="124"/>
  <c r="CV28" i="124"/>
  <c r="CQ28" i="124"/>
  <c r="CL28" i="124"/>
  <c r="CG28" i="124"/>
  <c r="CB28" i="124"/>
  <c r="BW28" i="124"/>
  <c r="BR28" i="124"/>
  <c r="BM28" i="124"/>
  <c r="BH28" i="124"/>
  <c r="BC28" i="124"/>
  <c r="AX28" i="124"/>
  <c r="AS28" i="124"/>
  <c r="AM28" i="124"/>
  <c r="AL28" i="124"/>
  <c r="AN28" i="124" s="1"/>
  <c r="AC28" i="124"/>
  <c r="AB28" i="124"/>
  <c r="AD28" i="124" s="1"/>
  <c r="Y28" i="124"/>
  <c r="W28" i="124"/>
  <c r="T28" i="124"/>
  <c r="R28" i="124"/>
  <c r="M28" i="124"/>
  <c r="O28" i="124" s="1"/>
  <c r="I28" i="124"/>
  <c r="I8" i="124" s="1"/>
  <c r="H28" i="124"/>
  <c r="D28" i="124"/>
  <c r="CV27" i="124"/>
  <c r="CQ27" i="124"/>
  <c r="CL27" i="124"/>
  <c r="CG27" i="124"/>
  <c r="CB27" i="124"/>
  <c r="BW27" i="124"/>
  <c r="BR27" i="124"/>
  <c r="BM27" i="124"/>
  <c r="BH27" i="124"/>
  <c r="BC27" i="124"/>
  <c r="AX27" i="124"/>
  <c r="AS27" i="124"/>
  <c r="AM27" i="124"/>
  <c r="AL27" i="124"/>
  <c r="AN27" i="124" s="1"/>
  <c r="AD27" i="124"/>
  <c r="Y27" i="124"/>
  <c r="T27" i="124"/>
  <c r="O27" i="124"/>
  <c r="H27" i="124"/>
  <c r="J27" i="124" s="1"/>
  <c r="E27" i="124"/>
  <c r="DA26" i="124"/>
  <c r="CV26" i="124"/>
  <c r="CQ26" i="124"/>
  <c r="CL26" i="124"/>
  <c r="CG26" i="124"/>
  <c r="CB26" i="124"/>
  <c r="BW26" i="124"/>
  <c r="BR26" i="124"/>
  <c r="BM26" i="124"/>
  <c r="BH26" i="124"/>
  <c r="BC26" i="124"/>
  <c r="AX26" i="124"/>
  <c r="AS26" i="124"/>
  <c r="AM26" i="124"/>
  <c r="AL26" i="124"/>
  <c r="AD26" i="124"/>
  <c r="Y26" i="124"/>
  <c r="T26" i="124"/>
  <c r="O26" i="124"/>
  <c r="J26" i="124"/>
  <c r="E26" i="124"/>
  <c r="CV25" i="124"/>
  <c r="CQ25" i="124"/>
  <c r="CL25" i="124"/>
  <c r="CG25" i="124"/>
  <c r="CB25" i="124"/>
  <c r="BW25" i="124"/>
  <c r="BR25" i="124"/>
  <c r="BM25" i="124"/>
  <c r="BH25" i="124"/>
  <c r="BC25" i="124"/>
  <c r="AX25" i="124"/>
  <c r="AS25" i="124"/>
  <c r="AM25" i="124"/>
  <c r="AL25" i="124"/>
  <c r="AB25" i="124"/>
  <c r="CY25" i="124" s="1"/>
  <c r="DA25" i="124" s="1"/>
  <c r="Y25" i="124"/>
  <c r="T25" i="124"/>
  <c r="O25" i="124"/>
  <c r="J25" i="124"/>
  <c r="E25" i="124"/>
  <c r="DA24" i="124"/>
  <c r="CV24" i="124"/>
  <c r="CQ24" i="124"/>
  <c r="CL24" i="124"/>
  <c r="CG24" i="124"/>
  <c r="CB24" i="124"/>
  <c r="BW24" i="124"/>
  <c r="BR24" i="124"/>
  <c r="BM24" i="124"/>
  <c r="BH24" i="124"/>
  <c r="BC24" i="124"/>
  <c r="AX24" i="124"/>
  <c r="AS24" i="124"/>
  <c r="AM24" i="124"/>
  <c r="AL24" i="124"/>
  <c r="AD24" i="124"/>
  <c r="Y24" i="124"/>
  <c r="T24" i="124"/>
  <c r="O24" i="124"/>
  <c r="J24" i="124"/>
  <c r="E24" i="124"/>
  <c r="CV23" i="124"/>
  <c r="CQ23" i="124"/>
  <c r="CL23" i="124"/>
  <c r="CG23" i="124"/>
  <c r="CB23" i="124"/>
  <c r="BW23" i="124"/>
  <c r="BR23" i="124"/>
  <c r="BM23" i="124"/>
  <c r="BH23" i="124"/>
  <c r="BC23" i="124"/>
  <c r="AX23" i="124"/>
  <c r="AM23" i="124"/>
  <c r="AL23" i="124"/>
  <c r="CV22" i="124"/>
  <c r="CQ22" i="124"/>
  <c r="CL22" i="124"/>
  <c r="CG22" i="124"/>
  <c r="CB22" i="124"/>
  <c r="BW22" i="124"/>
  <c r="BR22" i="124"/>
  <c r="BM22" i="124"/>
  <c r="BH22" i="124"/>
  <c r="BC22" i="124"/>
  <c r="AX22" i="124"/>
  <c r="AM22" i="124"/>
  <c r="AL22" i="124"/>
  <c r="CV21" i="124"/>
  <c r="CQ21" i="124"/>
  <c r="CL21" i="124"/>
  <c r="CG21" i="124"/>
  <c r="CB21" i="124"/>
  <c r="BW21" i="124"/>
  <c r="BR21" i="124"/>
  <c r="BM21" i="124"/>
  <c r="BH21" i="124"/>
  <c r="BC21" i="124"/>
  <c r="AX21" i="124"/>
  <c r="AS21" i="124"/>
  <c r="AM21" i="124"/>
  <c r="AL21" i="124"/>
  <c r="AD21" i="124"/>
  <c r="Y21" i="124"/>
  <c r="T21" i="124"/>
  <c r="O21" i="124"/>
  <c r="J21" i="124"/>
  <c r="E21" i="124"/>
  <c r="DA20" i="124"/>
  <c r="CV20" i="124"/>
  <c r="CQ20" i="124"/>
  <c r="CL20" i="124"/>
  <c r="CG20" i="124"/>
  <c r="CB20" i="124"/>
  <c r="BW20" i="124"/>
  <c r="BR20" i="124"/>
  <c r="BM20" i="124"/>
  <c r="BH20" i="124"/>
  <c r="BC20" i="124"/>
  <c r="AX20" i="124"/>
  <c r="AS20" i="124"/>
  <c r="AM20" i="124"/>
  <c r="AL20" i="124"/>
  <c r="AN20" i="124" s="1"/>
  <c r="AD20" i="124"/>
  <c r="Y20" i="124"/>
  <c r="T20" i="124"/>
  <c r="O20" i="124"/>
  <c r="J20" i="124"/>
  <c r="E20" i="124"/>
  <c r="DA19" i="124"/>
  <c r="CV19" i="124"/>
  <c r="CQ19" i="124"/>
  <c r="CL19" i="124"/>
  <c r="CG19" i="124"/>
  <c r="CB19" i="124"/>
  <c r="BW19" i="124"/>
  <c r="BR19" i="124"/>
  <c r="BM19" i="124"/>
  <c r="BH19" i="124"/>
  <c r="BC19" i="124"/>
  <c r="AX19" i="124"/>
  <c r="AS19" i="124"/>
  <c r="AM19" i="124"/>
  <c r="AL19" i="124"/>
  <c r="AD19" i="124"/>
  <c r="Y19" i="124"/>
  <c r="T19" i="124"/>
  <c r="O19" i="124"/>
  <c r="J19" i="124"/>
  <c r="E19" i="124"/>
  <c r="CV18" i="124"/>
  <c r="CQ18" i="124"/>
  <c r="CL18" i="124"/>
  <c r="CG18" i="124"/>
  <c r="CB18" i="124"/>
  <c r="BW18" i="124"/>
  <c r="BR18" i="124"/>
  <c r="BM18" i="124"/>
  <c r="BH18" i="124"/>
  <c r="BC18" i="124"/>
  <c r="AX18" i="124"/>
  <c r="AS18" i="124"/>
  <c r="AM18" i="124"/>
  <c r="AL18" i="124"/>
  <c r="AN18" i="124" s="1"/>
  <c r="AD18" i="124"/>
  <c r="W18" i="124"/>
  <c r="T18" i="124"/>
  <c r="M18" i="124"/>
  <c r="J18" i="124"/>
  <c r="E18" i="124"/>
  <c r="DA17" i="124"/>
  <c r="CV17" i="124"/>
  <c r="CQ17" i="124"/>
  <c r="CL17" i="124"/>
  <c r="CG17" i="124"/>
  <c r="CB17" i="124"/>
  <c r="BW17" i="124"/>
  <c r="BR17" i="124"/>
  <c r="BM17" i="124"/>
  <c r="BH17" i="124"/>
  <c r="BC17" i="124"/>
  <c r="AX17" i="124"/>
  <c r="AS17" i="124"/>
  <c r="AN17" i="124"/>
  <c r="AM17" i="124"/>
  <c r="AL17" i="124"/>
  <c r="AD17" i="124"/>
  <c r="Y17" i="124"/>
  <c r="T17" i="124"/>
  <c r="O17" i="124"/>
  <c r="J17" i="124"/>
  <c r="E17" i="124"/>
  <c r="DA16" i="124"/>
  <c r="CV16" i="124"/>
  <c r="CQ16" i="124"/>
  <c r="CL16" i="124"/>
  <c r="CG16" i="124"/>
  <c r="CB16" i="124"/>
  <c r="BW16" i="124"/>
  <c r="BR16" i="124"/>
  <c r="BM16" i="124"/>
  <c r="BH16" i="124"/>
  <c r="BC16" i="124"/>
  <c r="AX16" i="124"/>
  <c r="AS16" i="124"/>
  <c r="AN16" i="124"/>
  <c r="AM16" i="124"/>
  <c r="AL16" i="124"/>
  <c r="AD16" i="124"/>
  <c r="Y16" i="124"/>
  <c r="T16" i="124"/>
  <c r="O16" i="124"/>
  <c r="J16" i="124"/>
  <c r="E16" i="124"/>
  <c r="DA15" i="124"/>
  <c r="CV15" i="124"/>
  <c r="CQ15" i="124"/>
  <c r="CL15" i="124"/>
  <c r="CG15" i="124"/>
  <c r="CB15" i="124"/>
  <c r="BW15" i="124"/>
  <c r="BR15" i="124"/>
  <c r="BM15" i="124"/>
  <c r="BH15" i="124"/>
  <c r="BC15" i="124"/>
  <c r="AX15" i="124"/>
  <c r="AS15" i="124"/>
  <c r="AM15" i="124"/>
  <c r="AL15" i="124"/>
  <c r="AN15" i="124" s="1"/>
  <c r="AD15" i="124"/>
  <c r="Y15" i="124"/>
  <c r="T15" i="124"/>
  <c r="O15" i="124"/>
  <c r="J15" i="124"/>
  <c r="E15" i="124"/>
  <c r="DA14" i="124"/>
  <c r="CV14" i="124"/>
  <c r="CQ14" i="124"/>
  <c r="CL14" i="124"/>
  <c r="CG14" i="124"/>
  <c r="CB14" i="124"/>
  <c r="BW14" i="124"/>
  <c r="BR14" i="124"/>
  <c r="BM14" i="124"/>
  <c r="BH14" i="124"/>
  <c r="BC14" i="124"/>
  <c r="AX14" i="124"/>
  <c r="AS14" i="124"/>
  <c r="AM14" i="124"/>
  <c r="AL14" i="124"/>
  <c r="AN14" i="124" s="1"/>
  <c r="AD14" i="124"/>
  <c r="Y14" i="124"/>
  <c r="T14" i="124"/>
  <c r="O14" i="124"/>
  <c r="J14" i="124"/>
  <c r="E14" i="124"/>
  <c r="DA13" i="124"/>
  <c r="CV13" i="124"/>
  <c r="CQ13" i="124"/>
  <c r="CL13" i="124"/>
  <c r="CG13" i="124"/>
  <c r="CB13" i="124"/>
  <c r="BW13" i="124"/>
  <c r="BR13" i="124"/>
  <c r="BM13" i="124"/>
  <c r="BH13" i="124"/>
  <c r="BC13" i="124"/>
  <c r="AX13" i="124"/>
  <c r="AS13" i="124"/>
  <c r="AM13" i="124"/>
  <c r="AL13" i="124"/>
  <c r="AD13" i="124"/>
  <c r="Y13" i="124"/>
  <c r="T13" i="124"/>
  <c r="O13" i="124"/>
  <c r="J13" i="124"/>
  <c r="E13" i="124"/>
  <c r="DA12" i="124"/>
  <c r="CV12" i="124"/>
  <c r="CQ12" i="124"/>
  <c r="CL12" i="124"/>
  <c r="CG12" i="124"/>
  <c r="CB12" i="124"/>
  <c r="BW12" i="124"/>
  <c r="BR12" i="124"/>
  <c r="BM12" i="124"/>
  <c r="BH12" i="124"/>
  <c r="BC12" i="124"/>
  <c r="AX12" i="124"/>
  <c r="AS12" i="124"/>
  <c r="AM12" i="124"/>
  <c r="AL12" i="124"/>
  <c r="AN12" i="124" s="1"/>
  <c r="AD12" i="124"/>
  <c r="Y12" i="124"/>
  <c r="T12" i="124"/>
  <c r="O12" i="124"/>
  <c r="J12" i="124"/>
  <c r="E12" i="124"/>
  <c r="DA11" i="124"/>
  <c r="CV11" i="124"/>
  <c r="CQ11" i="124"/>
  <c r="CL11" i="124"/>
  <c r="CG11" i="124"/>
  <c r="CB11" i="124"/>
  <c r="BW11" i="124"/>
  <c r="BR11" i="124"/>
  <c r="BM11" i="124"/>
  <c r="BH11" i="124"/>
  <c r="BC11" i="124"/>
  <c r="AX11" i="124"/>
  <c r="AS11" i="124"/>
  <c r="AM11" i="124"/>
  <c r="AL11" i="124"/>
  <c r="AN11" i="124" s="1"/>
  <c r="AD11" i="124"/>
  <c r="Y11" i="124"/>
  <c r="T11" i="124"/>
  <c r="O11" i="124"/>
  <c r="J11" i="124"/>
  <c r="E11" i="124"/>
  <c r="DA10" i="124"/>
  <c r="CV10" i="124"/>
  <c r="CQ10" i="124"/>
  <c r="CL10" i="124"/>
  <c r="CG10" i="124"/>
  <c r="CB10" i="124"/>
  <c r="BW10" i="124"/>
  <c r="BR10" i="124"/>
  <c r="BM10" i="124"/>
  <c r="BH10" i="124"/>
  <c r="BC10" i="124"/>
  <c r="AX10" i="124"/>
  <c r="AS10" i="124"/>
  <c r="AM10" i="124"/>
  <c r="AM8" i="124" s="1"/>
  <c r="AL10" i="124"/>
  <c r="AN10" i="124" s="1"/>
  <c r="AD10" i="124"/>
  <c r="Y10" i="124"/>
  <c r="T10" i="124"/>
  <c r="O10" i="124"/>
  <c r="J10" i="124"/>
  <c r="E10" i="124"/>
  <c r="CY9" i="124"/>
  <c r="CV9" i="124"/>
  <c r="CQ9" i="124"/>
  <c r="CL9" i="124"/>
  <c r="CG9" i="124"/>
  <c r="CB9" i="124"/>
  <c r="BW9" i="124"/>
  <c r="BR9" i="124"/>
  <c r="BM9" i="124"/>
  <c r="BH9" i="124"/>
  <c r="BH8" i="124" s="1"/>
  <c r="BC9" i="124"/>
  <c r="AX9" i="124"/>
  <c r="AS9" i="124"/>
  <c r="AM9" i="124"/>
  <c r="AL9" i="124"/>
  <c r="AN9" i="124" s="1"/>
  <c r="AD9" i="124"/>
  <c r="Y9" i="124"/>
  <c r="T9" i="124"/>
  <c r="S9" i="124"/>
  <c r="S8" i="124" s="1"/>
  <c r="N9" i="124"/>
  <c r="O9" i="124" s="1"/>
  <c r="I9" i="124"/>
  <c r="J9" i="124" s="1"/>
  <c r="E9" i="124"/>
  <c r="CU8" i="124"/>
  <c r="CT8" i="124"/>
  <c r="CP8" i="124"/>
  <c r="CO8" i="124"/>
  <c r="CK8" i="124"/>
  <c r="CJ8" i="124"/>
  <c r="CF8" i="124"/>
  <c r="CE8" i="124"/>
  <c r="CA8" i="124"/>
  <c r="BZ8" i="124"/>
  <c r="BV8" i="124"/>
  <c r="BU8" i="124"/>
  <c r="BU38" i="124" s="1"/>
  <c r="BU75" i="124" s="1"/>
  <c r="BQ8" i="124"/>
  <c r="BP8" i="124"/>
  <c r="BL8" i="124"/>
  <c r="BK8" i="124"/>
  <c r="BG8" i="124"/>
  <c r="BF8" i="124"/>
  <c r="BB8" i="124"/>
  <c r="BA8" i="124"/>
  <c r="AW8" i="124"/>
  <c r="AV8" i="124"/>
  <c r="AR8" i="124"/>
  <c r="AQ8" i="124"/>
  <c r="AC8" i="124"/>
  <c r="AB8" i="124"/>
  <c r="X8" i="124"/>
  <c r="R8" i="124"/>
  <c r="C8" i="124"/>
  <c r="CZ7" i="124"/>
  <c r="CY7" i="124"/>
  <c r="CV7" i="124"/>
  <c r="CQ7" i="124"/>
  <c r="CL7" i="124"/>
  <c r="CL5" i="124" s="1"/>
  <c r="CG7" i="124"/>
  <c r="CB7" i="124"/>
  <c r="CB5" i="124" s="1"/>
  <c r="BW7" i="124"/>
  <c r="BR7" i="124"/>
  <c r="BR5" i="124" s="1"/>
  <c r="BM7" i="124"/>
  <c r="BH7" i="124"/>
  <c r="BC7" i="124"/>
  <c r="AX7" i="124"/>
  <c r="AS7" i="124"/>
  <c r="AM7" i="124"/>
  <c r="AL7" i="124"/>
  <c r="AN7" i="124" s="1"/>
  <c r="AD7" i="124"/>
  <c r="Y7" i="124"/>
  <c r="T7" i="124"/>
  <c r="O7" i="124"/>
  <c r="J7" i="124"/>
  <c r="E7" i="124"/>
  <c r="CZ6" i="124"/>
  <c r="CZ5" i="124" s="1"/>
  <c r="CV6" i="124"/>
  <c r="CV5" i="124" s="1"/>
  <c r="CQ6" i="124"/>
  <c r="CL6" i="124"/>
  <c r="CG6" i="124"/>
  <c r="CB6" i="124"/>
  <c r="BW6" i="124"/>
  <c r="BR6" i="124"/>
  <c r="BM6" i="124"/>
  <c r="BH6" i="124"/>
  <c r="BH5" i="124" s="1"/>
  <c r="BC6" i="124"/>
  <c r="BC5" i="124" s="1"/>
  <c r="AX6" i="124"/>
  <c r="AS6" i="124"/>
  <c r="AS5" i="124" s="1"/>
  <c r="AM6" i="124"/>
  <c r="AL6" i="124"/>
  <c r="AD6" i="124"/>
  <c r="AD5" i="124" s="1"/>
  <c r="Y6" i="124"/>
  <c r="Y5" i="124" s="1"/>
  <c r="T6" i="124"/>
  <c r="T5" i="124" s="1"/>
  <c r="M6" i="124"/>
  <c r="O6" i="124" s="1"/>
  <c r="O5" i="124" s="1"/>
  <c r="J6" i="124"/>
  <c r="J5" i="124" s="1"/>
  <c r="E6" i="124"/>
  <c r="CU5" i="124"/>
  <c r="CT5" i="124"/>
  <c r="CP5" i="124"/>
  <c r="CO5" i="124"/>
  <c r="CO38" i="124" s="1"/>
  <c r="CK5" i="124"/>
  <c r="CJ5" i="124"/>
  <c r="CJ38" i="124" s="1"/>
  <c r="CF5" i="124"/>
  <c r="CF38" i="124" s="1"/>
  <c r="CE5" i="124"/>
  <c r="CA5" i="124"/>
  <c r="CA38" i="124" s="1"/>
  <c r="BZ5" i="124"/>
  <c r="BZ38" i="124" s="1"/>
  <c r="BZ75" i="124" s="1"/>
  <c r="BV5" i="124"/>
  <c r="BU5" i="124"/>
  <c r="BQ5" i="124"/>
  <c r="BP5" i="124"/>
  <c r="BP38" i="124" s="1"/>
  <c r="BL5" i="124"/>
  <c r="BL38" i="124" s="1"/>
  <c r="BK5" i="124"/>
  <c r="BK38" i="124" s="1"/>
  <c r="BG5" i="124"/>
  <c r="BG38" i="124" s="1"/>
  <c r="BF5" i="124"/>
  <c r="BB5" i="124"/>
  <c r="BA5" i="124"/>
  <c r="AX5" i="124"/>
  <c r="AW5" i="124"/>
  <c r="AW38" i="124" s="1"/>
  <c r="AV5" i="124"/>
  <c r="AV38" i="124" s="1"/>
  <c r="AR5" i="124"/>
  <c r="AQ5" i="124"/>
  <c r="AC5" i="124"/>
  <c r="AB5" i="124"/>
  <c r="X5" i="124"/>
  <c r="X38" i="124" s="1"/>
  <c r="W5" i="124"/>
  <c r="S5" i="124"/>
  <c r="R5" i="124"/>
  <c r="N5" i="124"/>
  <c r="I5" i="124"/>
  <c r="H5" i="124"/>
  <c r="E5" i="124"/>
  <c r="D5" i="124"/>
  <c r="C5" i="124"/>
  <c r="AN36" i="124" l="1"/>
  <c r="S38" i="124"/>
  <c r="CU38" i="124"/>
  <c r="C38" i="124"/>
  <c r="BH41" i="124"/>
  <c r="CV41" i="124"/>
  <c r="DA43" i="124"/>
  <c r="AL50" i="124"/>
  <c r="DA56" i="124"/>
  <c r="AN61" i="124"/>
  <c r="AN65" i="124"/>
  <c r="AR38" i="123"/>
  <c r="BC8" i="123"/>
  <c r="CZ50" i="123"/>
  <c r="CZ28" i="124"/>
  <c r="S28" i="125"/>
  <c r="CT38" i="124"/>
  <c r="D8" i="124"/>
  <c r="C79" i="124" s="1"/>
  <c r="BW8" i="124"/>
  <c r="J28" i="124"/>
  <c r="CY28" i="124"/>
  <c r="D38" i="124"/>
  <c r="AM5" i="124"/>
  <c r="AM38" i="124" s="1"/>
  <c r="CY18" i="124"/>
  <c r="AN19" i="124"/>
  <c r="Y41" i="124"/>
  <c r="AM50" i="124"/>
  <c r="DA82" i="124"/>
  <c r="R38" i="123"/>
  <c r="BK38" i="123"/>
  <c r="M8" i="123"/>
  <c r="DA51" i="123"/>
  <c r="AN32" i="124"/>
  <c r="AN13" i="124"/>
  <c r="BR41" i="124"/>
  <c r="DA47" i="124"/>
  <c r="AN51" i="124"/>
  <c r="AW38" i="123"/>
  <c r="BL38" i="123"/>
  <c r="CE38" i="123"/>
  <c r="AM5" i="123"/>
  <c r="AN21" i="124"/>
  <c r="DA71" i="124"/>
  <c r="AM77" i="124"/>
  <c r="AX41" i="123"/>
  <c r="CG8" i="123"/>
  <c r="BG75" i="124"/>
  <c r="AN20" i="123"/>
  <c r="CY29" i="123"/>
  <c r="DA29" i="123" s="1"/>
  <c r="AB8" i="123"/>
  <c r="AN30" i="123"/>
  <c r="AD29" i="123"/>
  <c r="CP38" i="124"/>
  <c r="H8" i="124"/>
  <c r="H38" i="124" s="1"/>
  <c r="T28" i="123"/>
  <c r="DA47" i="123"/>
  <c r="AB38" i="124"/>
  <c r="AB75" i="124" s="1"/>
  <c r="BB38" i="124"/>
  <c r="CG5" i="124"/>
  <c r="AN26" i="124"/>
  <c r="BU38" i="123"/>
  <c r="CK38" i="123"/>
  <c r="DA7" i="123"/>
  <c r="W8" i="123"/>
  <c r="E8" i="123"/>
  <c r="AM41" i="123"/>
  <c r="BM77" i="123"/>
  <c r="DA78" i="123"/>
  <c r="N38" i="122"/>
  <c r="N75" i="122" s="1"/>
  <c r="BG38" i="122"/>
  <c r="CO38" i="122"/>
  <c r="BC5" i="122"/>
  <c r="CQ5" i="122"/>
  <c r="AN18" i="122"/>
  <c r="AN25" i="122"/>
  <c r="AL41" i="122"/>
  <c r="BW41" i="122"/>
  <c r="AD50" i="122"/>
  <c r="BH54" i="122"/>
  <c r="AL73" i="122"/>
  <c r="BQ38" i="121"/>
  <c r="CF38" i="121"/>
  <c r="AN13" i="121"/>
  <c r="BH8" i="121"/>
  <c r="AN26" i="121"/>
  <c r="CY27" i="121"/>
  <c r="DA27" i="121" s="1"/>
  <c r="AB27" i="125"/>
  <c r="CY41" i="121"/>
  <c r="CG41" i="121"/>
  <c r="DA45" i="121"/>
  <c r="DO6" i="100"/>
  <c r="AC6" i="125"/>
  <c r="DP7" i="100"/>
  <c r="DN9" i="100"/>
  <c r="W9" i="125"/>
  <c r="CV8" i="100"/>
  <c r="BC15" i="100"/>
  <c r="BC26" i="100"/>
  <c r="DO28" i="100"/>
  <c r="X28" i="125"/>
  <c r="BA28" i="100"/>
  <c r="BF28" i="125"/>
  <c r="DN32" i="100"/>
  <c r="AQ32" i="125"/>
  <c r="BW54" i="100"/>
  <c r="BH78" i="125"/>
  <c r="AC38" i="124"/>
  <c r="BF38" i="124"/>
  <c r="BV38" i="124"/>
  <c r="DA7" i="124"/>
  <c r="AD25" i="124"/>
  <c r="AN33" i="124"/>
  <c r="DA52" i="124"/>
  <c r="AN63" i="124"/>
  <c r="CY73" i="124"/>
  <c r="AN74" i="124"/>
  <c r="AN73" i="124" s="1"/>
  <c r="CB77" i="124"/>
  <c r="I38" i="123"/>
  <c r="BC5" i="123"/>
  <c r="CQ5" i="123"/>
  <c r="AN10" i="123"/>
  <c r="AN13" i="123"/>
  <c r="AN16" i="123"/>
  <c r="H8" i="123"/>
  <c r="H38" i="123" s="1"/>
  <c r="CY28" i="123"/>
  <c r="AN31" i="123"/>
  <c r="AN46" i="123"/>
  <c r="AN71" i="123"/>
  <c r="AL73" i="123"/>
  <c r="DA74" i="123"/>
  <c r="DA73" i="123" s="1"/>
  <c r="DA82" i="123"/>
  <c r="BZ38" i="122"/>
  <c r="CP38" i="122"/>
  <c r="AN9" i="122"/>
  <c r="CY18" i="122"/>
  <c r="DA18" i="122" s="1"/>
  <c r="R18" i="125"/>
  <c r="AN27" i="122"/>
  <c r="CY28" i="122"/>
  <c r="AN30" i="122"/>
  <c r="AM41" i="122"/>
  <c r="AL50" i="122"/>
  <c r="AN51" i="122"/>
  <c r="BR54" i="122"/>
  <c r="DA61" i="122"/>
  <c r="AN69" i="122"/>
  <c r="CJ38" i="121"/>
  <c r="AN6" i="121"/>
  <c r="AH9" i="125"/>
  <c r="CV8" i="121"/>
  <c r="T41" i="121"/>
  <c r="CB77" i="121"/>
  <c r="AI6" i="100"/>
  <c r="AI5" i="100" s="1"/>
  <c r="AG6" i="125"/>
  <c r="AI6" i="125" s="1"/>
  <c r="CB5" i="100"/>
  <c r="X8" i="100"/>
  <c r="X9" i="125"/>
  <c r="DN10" i="100"/>
  <c r="AB10" i="125"/>
  <c r="DA41" i="100"/>
  <c r="AN73" i="100"/>
  <c r="AN74" i="125"/>
  <c r="AN73" i="125" s="1"/>
  <c r="DA44" i="124"/>
  <c r="AN45" i="124"/>
  <c r="AN58" i="124"/>
  <c r="DA65" i="124"/>
  <c r="CV77" i="124"/>
  <c r="N38" i="123"/>
  <c r="N75" i="123" s="1"/>
  <c r="DA44" i="123"/>
  <c r="AN45" i="123"/>
  <c r="DA59" i="123"/>
  <c r="AN65" i="123"/>
  <c r="DA69" i="123"/>
  <c r="AN70" i="123"/>
  <c r="C8" i="122"/>
  <c r="C38" i="122" s="1"/>
  <c r="J9" i="122"/>
  <c r="AN14" i="122"/>
  <c r="AN17" i="122"/>
  <c r="E41" i="122"/>
  <c r="DA46" i="122"/>
  <c r="J50" i="122"/>
  <c r="DA67" i="122"/>
  <c r="AN68" i="122"/>
  <c r="CV77" i="122"/>
  <c r="AM5" i="121"/>
  <c r="AN32" i="121"/>
  <c r="BC41" i="121"/>
  <c r="AL54" i="121"/>
  <c r="T54" i="121"/>
  <c r="DA58" i="121"/>
  <c r="AN59" i="121"/>
  <c r="AN66" i="121"/>
  <c r="DA70" i="121"/>
  <c r="AN71" i="121"/>
  <c r="BC77" i="121"/>
  <c r="DJ38" i="100"/>
  <c r="AD9" i="100"/>
  <c r="AB9" i="125"/>
  <c r="BC24" i="100"/>
  <c r="AI28" i="100"/>
  <c r="AG28" i="125"/>
  <c r="AI28" i="125" s="1"/>
  <c r="DN29" i="100"/>
  <c r="DP29" i="100" s="1"/>
  <c r="AQ29" i="125"/>
  <c r="AS29" i="125" s="1"/>
  <c r="BC32" i="100"/>
  <c r="DP47" i="100"/>
  <c r="BM50" i="100"/>
  <c r="BN50" i="100" s="1"/>
  <c r="BM54" i="100"/>
  <c r="BN54" i="100" s="1"/>
  <c r="J41" i="122"/>
  <c r="AR9" i="125"/>
  <c r="CY32" i="121"/>
  <c r="R32" i="125"/>
  <c r="CZ50" i="121"/>
  <c r="AC9" i="125"/>
  <c r="M11" i="106"/>
  <c r="O11" i="106" s="1"/>
  <c r="O11" i="100"/>
  <c r="DK8" i="100"/>
  <c r="AN28" i="100"/>
  <c r="AN8" i="100" s="1"/>
  <c r="AN38" i="100" s="1"/>
  <c r="AL28" i="125"/>
  <c r="BC73" i="100"/>
  <c r="BE73" i="125" s="1"/>
  <c r="BE74" i="125"/>
  <c r="AI85" i="125"/>
  <c r="DA57" i="123"/>
  <c r="DA62" i="123"/>
  <c r="E65" i="123"/>
  <c r="S65" i="125"/>
  <c r="S54" i="125" s="1"/>
  <c r="CB8" i="122"/>
  <c r="O8" i="122"/>
  <c r="AN26" i="122"/>
  <c r="CL50" i="122"/>
  <c r="DA59" i="122"/>
  <c r="DA74" i="122"/>
  <c r="DA73" i="122" s="1"/>
  <c r="DA82" i="122"/>
  <c r="DA7" i="121"/>
  <c r="S8" i="125"/>
  <c r="S38" i="125" s="1"/>
  <c r="S39" i="125" s="1"/>
  <c r="AN14" i="121"/>
  <c r="E32" i="121"/>
  <c r="DA33" i="121"/>
  <c r="AN44" i="121"/>
  <c r="AN57" i="121"/>
  <c r="DA57" i="121"/>
  <c r="DA69" i="121"/>
  <c r="AM73" i="121"/>
  <c r="AS6" i="100"/>
  <c r="AS5" i="100" s="1"/>
  <c r="AC8" i="100"/>
  <c r="BC13" i="100"/>
  <c r="DN27" i="100"/>
  <c r="DP27" i="100" s="1"/>
  <c r="AQ27" i="125"/>
  <c r="AS27" i="125" s="1"/>
  <c r="AQ28" i="125"/>
  <c r="BC29" i="100"/>
  <c r="BC48" i="100"/>
  <c r="BA73" i="100"/>
  <c r="AN85" i="125"/>
  <c r="CY54" i="123"/>
  <c r="AX8" i="122"/>
  <c r="BA39" i="122"/>
  <c r="O18" i="121"/>
  <c r="O8" i="121" s="1"/>
  <c r="CY18" i="121"/>
  <c r="DA18" i="121" s="1"/>
  <c r="AB18" i="125"/>
  <c r="J28" i="121"/>
  <c r="CY28" i="121"/>
  <c r="J32" i="121"/>
  <c r="W32" i="125"/>
  <c r="O9" i="100"/>
  <c r="M9" i="106"/>
  <c r="AR28" i="125"/>
  <c r="DO28" i="125" s="1"/>
  <c r="AN36" i="100"/>
  <c r="AN35" i="100" s="1"/>
  <c r="AL36" i="125"/>
  <c r="AN36" i="125" s="1"/>
  <c r="AN35" i="125" s="1"/>
  <c r="AS85" i="125"/>
  <c r="BB38" i="122"/>
  <c r="CG5" i="122"/>
  <c r="AN13" i="122"/>
  <c r="CQ8" i="122"/>
  <c r="AD25" i="122"/>
  <c r="E32" i="122"/>
  <c r="CL54" i="122"/>
  <c r="CZ77" i="122"/>
  <c r="BL38" i="121"/>
  <c r="CU38" i="121"/>
  <c r="BH5" i="121"/>
  <c r="AN5" i="121"/>
  <c r="CG8" i="121"/>
  <c r="BW8" i="121"/>
  <c r="AM54" i="121"/>
  <c r="CB54" i="121"/>
  <c r="O10" i="100"/>
  <c r="DN11" i="100"/>
  <c r="DP11" i="100" s="1"/>
  <c r="AB11" i="125"/>
  <c r="AD11" i="125" s="1"/>
  <c r="DN28" i="100"/>
  <c r="R28" i="125"/>
  <c r="AS28" i="100"/>
  <c r="AS8" i="100" s="1"/>
  <c r="AS38" i="100" s="1"/>
  <c r="DN36" i="100"/>
  <c r="DN35" i="100" s="1"/>
  <c r="BH54" i="100"/>
  <c r="CY27" i="124"/>
  <c r="W27" i="125"/>
  <c r="Y27" i="125" s="1"/>
  <c r="DA55" i="124"/>
  <c r="AN60" i="124"/>
  <c r="CG77" i="124"/>
  <c r="BA38" i="123"/>
  <c r="CJ38" i="123"/>
  <c r="CG5" i="123"/>
  <c r="BR8" i="123"/>
  <c r="D54" i="123"/>
  <c r="C79" i="123" s="1"/>
  <c r="DA56" i="123"/>
  <c r="AM5" i="122"/>
  <c r="AX5" i="122"/>
  <c r="AB8" i="122"/>
  <c r="AB38" i="122" s="1"/>
  <c r="Y8" i="122"/>
  <c r="AN31" i="122"/>
  <c r="CZ32" i="122"/>
  <c r="X32" i="125"/>
  <c r="D38" i="121"/>
  <c r="CE38" i="121"/>
  <c r="BM5" i="121"/>
  <c r="CZ6" i="121"/>
  <c r="CZ5" i="121" s="1"/>
  <c r="D8" i="121"/>
  <c r="C79" i="121" s="1"/>
  <c r="AN16" i="121"/>
  <c r="AL18" i="125"/>
  <c r="AN18" i="125" s="1"/>
  <c r="O28" i="121"/>
  <c r="AB28" i="125"/>
  <c r="AD28" i="125" s="1"/>
  <c r="AN43" i="121"/>
  <c r="DA46" i="121"/>
  <c r="DA41" i="121" s="1"/>
  <c r="AQ5" i="100"/>
  <c r="DN6" i="100"/>
  <c r="DN5" i="100" s="1"/>
  <c r="AB6" i="125"/>
  <c r="DN6" i="125" s="1"/>
  <c r="DF5" i="100"/>
  <c r="AL8" i="100"/>
  <c r="AL38" i="100" s="1"/>
  <c r="DN25" i="100"/>
  <c r="AQ25" i="125"/>
  <c r="Y28" i="100"/>
  <c r="W28" i="125"/>
  <c r="Y28" i="125" s="1"/>
  <c r="BB41" i="100"/>
  <c r="DP69" i="100"/>
  <c r="BH85" i="125"/>
  <c r="BC54" i="121"/>
  <c r="AN60" i="121"/>
  <c r="DA66" i="121"/>
  <c r="AN78" i="121"/>
  <c r="BW77" i="121"/>
  <c r="AN82" i="121"/>
  <c r="DK5" i="100"/>
  <c r="BK79" i="100"/>
  <c r="BC14" i="100"/>
  <c r="BC18" i="100"/>
  <c r="AS32" i="100"/>
  <c r="DO32" i="100"/>
  <c r="BC55" i="100"/>
  <c r="BC57" i="100"/>
  <c r="BC58" i="100"/>
  <c r="BC59" i="100"/>
  <c r="BC60" i="100"/>
  <c r="DP82" i="100"/>
  <c r="BW6" i="125"/>
  <c r="BM7" i="125"/>
  <c r="R73" i="125"/>
  <c r="CB18" i="125"/>
  <c r="AX20" i="125"/>
  <c r="CQ22" i="125"/>
  <c r="AX23" i="125"/>
  <c r="DK23" i="125"/>
  <c r="AI25" i="125"/>
  <c r="CQ25" i="125"/>
  <c r="CQ28" i="125"/>
  <c r="DF29" i="125"/>
  <c r="BB30" i="125"/>
  <c r="BR32" i="125"/>
  <c r="BB33" i="125"/>
  <c r="CV36" i="125"/>
  <c r="DI41" i="125"/>
  <c r="AG41" i="125"/>
  <c r="CQ44" i="125"/>
  <c r="AX45" i="125"/>
  <c r="DK45" i="125"/>
  <c r="AN47" i="125"/>
  <c r="CB51" i="125"/>
  <c r="AM50" i="125"/>
  <c r="CZ50" i="125"/>
  <c r="CB56" i="125"/>
  <c r="AN57" i="125"/>
  <c r="CV57" i="125"/>
  <c r="BF54" i="125"/>
  <c r="CB59" i="125"/>
  <c r="AN63" i="125"/>
  <c r="CV63" i="125"/>
  <c r="AN66" i="125"/>
  <c r="CV66" i="125"/>
  <c r="BH67" i="125"/>
  <c r="AN69" i="125"/>
  <c r="CV69" i="125"/>
  <c r="CB71" i="125"/>
  <c r="DY19" i="82"/>
  <c r="DZ19" i="82" s="1"/>
  <c r="BA6" i="125"/>
  <c r="DN10" i="125"/>
  <c r="DN11" i="125"/>
  <c r="DN12" i="125"/>
  <c r="DN13" i="125"/>
  <c r="DN14" i="125"/>
  <c r="DN15" i="125"/>
  <c r="DN16" i="125"/>
  <c r="DN17" i="125"/>
  <c r="DN19" i="125"/>
  <c r="CV22" i="125"/>
  <c r="DN24" i="125"/>
  <c r="BW29" i="125"/>
  <c r="CQ30" i="125"/>
  <c r="AX31" i="125"/>
  <c r="DK31" i="125"/>
  <c r="AI33" i="125"/>
  <c r="AN51" i="125"/>
  <c r="DA51" i="125"/>
  <c r="CJ50" i="125"/>
  <c r="CG55" i="125"/>
  <c r="AX90" i="125"/>
  <c r="AI12" i="82"/>
  <c r="DX28" i="82"/>
  <c r="DZ28" i="82" s="1"/>
  <c r="BM32" i="82"/>
  <c r="BC44" i="82"/>
  <c r="BC41" i="82" s="1"/>
  <c r="DU41" i="82"/>
  <c r="R54" i="82"/>
  <c r="DZ59" i="82"/>
  <c r="BC62" i="82"/>
  <c r="DX62" i="82"/>
  <c r="DZ62" i="82" s="1"/>
  <c r="DZ66" i="82"/>
  <c r="AN74" i="82"/>
  <c r="DO10" i="125"/>
  <c r="CA8" i="125"/>
  <c r="DO11" i="125"/>
  <c r="DO12" i="125"/>
  <c r="DO13" i="125"/>
  <c r="DO14" i="125"/>
  <c r="DO15" i="125"/>
  <c r="DO16" i="125"/>
  <c r="DO17" i="125"/>
  <c r="DO18" i="125"/>
  <c r="DO19" i="125"/>
  <c r="DO24" i="125"/>
  <c r="W54" i="125"/>
  <c r="CG60" i="125"/>
  <c r="DA61" i="125"/>
  <c r="CG63" i="125"/>
  <c r="DA64" i="125"/>
  <c r="Y66" i="125"/>
  <c r="CG66" i="125"/>
  <c r="DA67" i="125"/>
  <c r="Y69" i="125"/>
  <c r="CG69" i="125"/>
  <c r="DA70" i="125"/>
  <c r="BW74" i="125"/>
  <c r="BW73" i="125" s="1"/>
  <c r="AS78" i="125"/>
  <c r="AH38" i="82"/>
  <c r="CY38" i="82"/>
  <c r="CY75" i="82" s="1"/>
  <c r="BM6" i="82"/>
  <c r="BC7" i="82"/>
  <c r="BC5" i="82" s="1"/>
  <c r="DY5" i="82"/>
  <c r="Y22" i="82"/>
  <c r="CG41" i="82"/>
  <c r="DZ47" i="82"/>
  <c r="BK50" i="82"/>
  <c r="DZ60" i="82"/>
  <c r="AS67" i="82"/>
  <c r="BC82" i="100"/>
  <c r="DO6" i="125"/>
  <c r="Y19" i="125"/>
  <c r="BH28" i="125"/>
  <c r="CV28" i="125"/>
  <c r="CB43" i="125"/>
  <c r="AN44" i="125"/>
  <c r="BH44" i="125"/>
  <c r="CB45" i="125"/>
  <c r="DA47" i="125"/>
  <c r="CG48" i="125"/>
  <c r="CG56" i="125"/>
  <c r="Y57" i="125"/>
  <c r="DA57" i="125"/>
  <c r="CG58" i="125"/>
  <c r="BP38" i="82"/>
  <c r="CF38" i="82"/>
  <c r="CZ38" i="82"/>
  <c r="DS38" i="82"/>
  <c r="BR5" i="82"/>
  <c r="CQ5" i="82"/>
  <c r="AX8" i="82"/>
  <c r="AI13" i="82"/>
  <c r="DZ17" i="82"/>
  <c r="BM20" i="82"/>
  <c r="DX26" i="82"/>
  <c r="AB8" i="82"/>
  <c r="BM28" i="82"/>
  <c r="EE28" i="82" s="1"/>
  <c r="BM30" i="82"/>
  <c r="Y47" i="82"/>
  <c r="Y41" i="82" s="1"/>
  <c r="BM47" i="82"/>
  <c r="AQ54" i="82"/>
  <c r="BM56" i="82"/>
  <c r="EE56" i="82" s="1"/>
  <c r="DX57" i="82"/>
  <c r="DZ57" i="82" s="1"/>
  <c r="BL54" i="82"/>
  <c r="AS63" i="82"/>
  <c r="DZ78" i="82"/>
  <c r="AS12" i="125"/>
  <c r="AS15" i="125"/>
  <c r="AS18" i="125"/>
  <c r="AS21" i="125"/>
  <c r="CG23" i="125"/>
  <c r="AS24" i="125"/>
  <c r="DA27" i="125"/>
  <c r="CB29" i="125"/>
  <c r="AN33" i="125"/>
  <c r="DA43" i="125"/>
  <c r="CG45" i="125"/>
  <c r="AQ41" i="125"/>
  <c r="AD48" i="125"/>
  <c r="BR48" i="125"/>
  <c r="CL48" i="125"/>
  <c r="AR50" i="125"/>
  <c r="BR51" i="125"/>
  <c r="DE50" i="125"/>
  <c r="AD55" i="125"/>
  <c r="AR54" i="125"/>
  <c r="DD54" i="125"/>
  <c r="AD58" i="125"/>
  <c r="DN58" i="125"/>
  <c r="CL58" i="125"/>
  <c r="AS59" i="125"/>
  <c r="BR59" i="125"/>
  <c r="DF59" i="125"/>
  <c r="AD61" i="125"/>
  <c r="CL61" i="125"/>
  <c r="DF62" i="125"/>
  <c r="AD64" i="125"/>
  <c r="CL64" i="125"/>
  <c r="DF65" i="125"/>
  <c r="AS68" i="125"/>
  <c r="CF77" i="125"/>
  <c r="CJ38" i="82"/>
  <c r="DD38" i="82"/>
  <c r="DT38" i="82"/>
  <c r="BW5" i="82"/>
  <c r="BM14" i="82"/>
  <c r="BM17" i="82"/>
  <c r="EE17" i="82" s="1"/>
  <c r="DX36" i="82"/>
  <c r="DX50" i="82"/>
  <c r="BM60" i="82"/>
  <c r="DD8" i="125"/>
  <c r="AS25" i="125"/>
  <c r="DO66" i="125"/>
  <c r="CL66" i="125"/>
  <c r="DF67" i="125"/>
  <c r="AD68" i="125"/>
  <c r="CL68" i="125"/>
  <c r="CL69" i="125"/>
  <c r="DF69" i="125"/>
  <c r="DF70" i="125"/>
  <c r="CL71" i="125"/>
  <c r="BQ77" i="125"/>
  <c r="DE77" i="125"/>
  <c r="ED38" i="82"/>
  <c r="DP5" i="82"/>
  <c r="J79" i="82"/>
  <c r="H79" i="82" s="1"/>
  <c r="H77" i="82" s="1"/>
  <c r="DX24" i="82"/>
  <c r="DZ24" i="82" s="1"/>
  <c r="BM31" i="82"/>
  <c r="BM46" i="82"/>
  <c r="EE46" i="82" s="1"/>
  <c r="BM57" i="82"/>
  <c r="BM61" i="82"/>
  <c r="EE61" i="82" s="1"/>
  <c r="DZ70" i="82"/>
  <c r="AR5" i="125"/>
  <c r="CQ9" i="125"/>
  <c r="BR13" i="125"/>
  <c r="BB15" i="125"/>
  <c r="BB17" i="125"/>
  <c r="CQ18" i="125"/>
  <c r="BR19" i="125"/>
  <c r="BB20" i="125"/>
  <c r="CL21" i="125"/>
  <c r="BB23" i="125"/>
  <c r="BR24" i="125"/>
  <c r="BB26" i="125"/>
  <c r="AS31" i="125"/>
  <c r="DK36" i="125"/>
  <c r="BR43" i="125"/>
  <c r="CL43" i="125"/>
  <c r="AR41" i="125"/>
  <c r="DD41" i="125"/>
  <c r="AX47" i="125"/>
  <c r="AC50" i="125"/>
  <c r="CP50" i="125"/>
  <c r="BW55" i="125"/>
  <c r="AI56" i="125"/>
  <c r="AX57" i="125"/>
  <c r="DI54" i="125"/>
  <c r="BW58" i="125"/>
  <c r="AI59" i="125"/>
  <c r="CQ59" i="125"/>
  <c r="AX60" i="125"/>
  <c r="DK60" i="125"/>
  <c r="BW61" i="125"/>
  <c r="AI62" i="125"/>
  <c r="CQ62" i="125"/>
  <c r="DK63" i="125"/>
  <c r="BW64" i="125"/>
  <c r="AI65" i="125"/>
  <c r="BW67" i="125"/>
  <c r="AI68" i="125"/>
  <c r="CQ68" i="125"/>
  <c r="AX69" i="125"/>
  <c r="DK69" i="125"/>
  <c r="CQ71" i="125"/>
  <c r="AW38" i="82"/>
  <c r="BM12" i="82"/>
  <c r="DX22" i="82"/>
  <c r="DZ22" i="82" s="1"/>
  <c r="DU50" i="82"/>
  <c r="EE74" i="82"/>
  <c r="EE73" i="82" s="1"/>
  <c r="AR32" i="125"/>
  <c r="CY50" i="125"/>
  <c r="BB82" i="125"/>
  <c r="W5" i="82"/>
  <c r="W38" i="82" s="1"/>
  <c r="BA5" i="82"/>
  <c r="BA38" i="82" s="1"/>
  <c r="BM18" i="82"/>
  <c r="EE18" i="82" s="1"/>
  <c r="DU35" i="82"/>
  <c r="DZ51" i="82"/>
  <c r="DX55" i="82"/>
  <c r="DZ55" i="82" s="1"/>
  <c r="BM70" i="82"/>
  <c r="DN39" i="106"/>
  <c r="BR86" i="106"/>
  <c r="BR87" i="106" s="1"/>
  <c r="BR64" i="125"/>
  <c r="BQ5" i="125"/>
  <c r="DP12" i="100"/>
  <c r="DP13" i="100"/>
  <c r="DP14" i="100"/>
  <c r="DP15" i="100"/>
  <c r="DP16" i="100"/>
  <c r="DP42" i="100"/>
  <c r="DP43" i="100"/>
  <c r="DP44" i="100"/>
  <c r="BC69" i="100"/>
  <c r="BC70" i="100"/>
  <c r="BC71" i="100"/>
  <c r="BC10" i="100"/>
  <c r="BC21" i="100"/>
  <c r="BC61" i="100"/>
  <c r="BC62" i="100"/>
  <c r="BC64" i="100"/>
  <c r="BC66" i="100"/>
  <c r="BC67" i="100"/>
  <c r="BR22" i="125"/>
  <c r="BC19" i="100"/>
  <c r="BC27" i="100"/>
  <c r="BC33" i="100"/>
  <c r="DP51" i="100"/>
  <c r="DO50" i="100"/>
  <c r="DP20" i="100"/>
  <c r="BC30" i="100"/>
  <c r="BC31" i="100"/>
  <c r="DP33" i="100"/>
  <c r="DN54" i="100"/>
  <c r="BQ50" i="125"/>
  <c r="BR6" i="125"/>
  <c r="BB13" i="125"/>
  <c r="BB12" i="125"/>
  <c r="DO21" i="125"/>
  <c r="BB21" i="125"/>
  <c r="DO31" i="125"/>
  <c r="BB31" i="125"/>
  <c r="BP41" i="125"/>
  <c r="DN43" i="125"/>
  <c r="BR45" i="125"/>
  <c r="BB52" i="125"/>
  <c r="BB55" i="125"/>
  <c r="BR60" i="125"/>
  <c r="BR63" i="125"/>
  <c r="BR66" i="125"/>
  <c r="BA68" i="125"/>
  <c r="BR69" i="125"/>
  <c r="BB74" i="125"/>
  <c r="BB73" i="125" s="1"/>
  <c r="BA82" i="125"/>
  <c r="BA85" i="125"/>
  <c r="BR58" i="125"/>
  <c r="BR61" i="125"/>
  <c r="BC82" i="125"/>
  <c r="BR28" i="125"/>
  <c r="BR31" i="125"/>
  <c r="BR46" i="125"/>
  <c r="BR52" i="125"/>
  <c r="BR50" i="125" s="1"/>
  <c r="BR55" i="125"/>
  <c r="BR56" i="125"/>
  <c r="BR62" i="125"/>
  <c r="BR65" i="125"/>
  <c r="BR68" i="125"/>
  <c r="BR71" i="125"/>
  <c r="BR74" i="125"/>
  <c r="BR73" i="125" s="1"/>
  <c r="BR70" i="125"/>
  <c r="AG5" i="125"/>
  <c r="DF44" i="125"/>
  <c r="CA50" i="125"/>
  <c r="AB54" i="125"/>
  <c r="DF56" i="125"/>
  <c r="BA63" i="125"/>
  <c r="DN67" i="125"/>
  <c r="BA67" i="125"/>
  <c r="BM71" i="125"/>
  <c r="AH5" i="125"/>
  <c r="CB7" i="125"/>
  <c r="CP8" i="125"/>
  <c r="CP38" i="125" s="1"/>
  <c r="CV10" i="125"/>
  <c r="CG13" i="125"/>
  <c r="BA17" i="125"/>
  <c r="DA17" i="125"/>
  <c r="AH8" i="125"/>
  <c r="BB10" i="125"/>
  <c r="BR36" i="125"/>
  <c r="BR35" i="125" s="1"/>
  <c r="CY41" i="125"/>
  <c r="AD43" i="125"/>
  <c r="BM44" i="125"/>
  <c r="AS51" i="125"/>
  <c r="CL52" i="125"/>
  <c r="AG54" i="125"/>
  <c r="CB68" i="125"/>
  <c r="CT35" i="125"/>
  <c r="AL54" i="125"/>
  <c r="BA65" i="125"/>
  <c r="DF7" i="125"/>
  <c r="BR9" i="125"/>
  <c r="AX18" i="125"/>
  <c r="CG18" i="125"/>
  <c r="AN28" i="125"/>
  <c r="DA29" i="125"/>
  <c r="AI30" i="125"/>
  <c r="AS45" i="125"/>
  <c r="BW45" i="125"/>
  <c r="CL45" i="125"/>
  <c r="CE41" i="125"/>
  <c r="CT41" i="125"/>
  <c r="AD47" i="125"/>
  <c r="AS47" i="125"/>
  <c r="AI48" i="125"/>
  <c r="AG50" i="125"/>
  <c r="AV50" i="125"/>
  <c r="CT50" i="125"/>
  <c r="DI50" i="125"/>
  <c r="AV54" i="125"/>
  <c r="AM54" i="125"/>
  <c r="AW54" i="125"/>
  <c r="AS57" i="125"/>
  <c r="CV59" i="125"/>
  <c r="AD66" i="125"/>
  <c r="AS66" i="125"/>
  <c r="BB66" i="125"/>
  <c r="DO69" i="125"/>
  <c r="AS69" i="125"/>
  <c r="BB51" i="125"/>
  <c r="BB19" i="125"/>
  <c r="DO22" i="125"/>
  <c r="BB22" i="125"/>
  <c r="BG50" i="125"/>
  <c r="BM59" i="125"/>
  <c r="BM62" i="125"/>
  <c r="BM65" i="125"/>
  <c r="AS6" i="125"/>
  <c r="CB6" i="125"/>
  <c r="DF6" i="125"/>
  <c r="AD7" i="125"/>
  <c r="BH7" i="125"/>
  <c r="BW7" i="125"/>
  <c r="CL7" i="125"/>
  <c r="DA7" i="125"/>
  <c r="AC8" i="125"/>
  <c r="AS9" i="125"/>
  <c r="BG8" i="125"/>
  <c r="BV8" i="125"/>
  <c r="CK8" i="125"/>
  <c r="DA9" i="125"/>
  <c r="AG8" i="125"/>
  <c r="CB10" i="125"/>
  <c r="CQ10" i="125"/>
  <c r="AN11" i="125"/>
  <c r="AX11" i="125"/>
  <c r="BR11" i="125"/>
  <c r="CG11" i="125"/>
  <c r="CV11" i="125"/>
  <c r="AD12" i="125"/>
  <c r="BW12" i="125"/>
  <c r="CL12" i="125"/>
  <c r="DA12" i="125"/>
  <c r="CB13" i="125"/>
  <c r="CQ13" i="125"/>
  <c r="DF13" i="125"/>
  <c r="AN14" i="125"/>
  <c r="AX14" i="125"/>
  <c r="BR14" i="125"/>
  <c r="CV14" i="125"/>
  <c r="DK14" i="125"/>
  <c r="BW15" i="125"/>
  <c r="CL15" i="125"/>
  <c r="DA15" i="125"/>
  <c r="AI16" i="125"/>
  <c r="CB16" i="125"/>
  <c r="DF16" i="125"/>
  <c r="AN17" i="125"/>
  <c r="AX17" i="125"/>
  <c r="BR17" i="125"/>
  <c r="CG17" i="125"/>
  <c r="CV17" i="125"/>
  <c r="DK17" i="125"/>
  <c r="AD18" i="125"/>
  <c r="DA18" i="125"/>
  <c r="CB19" i="125"/>
  <c r="CQ19" i="125"/>
  <c r="DF19" i="125"/>
  <c r="AN20" i="125"/>
  <c r="BR20" i="125"/>
  <c r="CG20" i="125"/>
  <c r="DK20" i="125"/>
  <c r="AD21" i="125"/>
  <c r="BH21" i="125"/>
  <c r="BW21" i="125"/>
  <c r="DA21" i="125"/>
  <c r="CB22" i="125"/>
  <c r="DF22" i="125"/>
  <c r="BR23" i="125"/>
  <c r="CV23" i="125"/>
  <c r="AD24" i="125"/>
  <c r="BH24" i="125"/>
  <c r="BW24" i="125"/>
  <c r="CL24" i="125"/>
  <c r="DA24" i="125"/>
  <c r="CB25" i="125"/>
  <c r="DF25" i="125"/>
  <c r="AN26" i="125"/>
  <c r="AX26" i="125"/>
  <c r="BR26" i="125"/>
  <c r="CG26" i="125"/>
  <c r="CV26" i="125"/>
  <c r="DK26" i="125"/>
  <c r="AD27" i="125"/>
  <c r="BH27" i="125"/>
  <c r="CL27" i="125"/>
  <c r="AS28" i="125"/>
  <c r="AI29" i="125"/>
  <c r="CQ29" i="125"/>
  <c r="AN30" i="125"/>
  <c r="AX30" i="125"/>
  <c r="BR30" i="125"/>
  <c r="CV30" i="125"/>
  <c r="BH31" i="125"/>
  <c r="CL31" i="125"/>
  <c r="DA31" i="125"/>
  <c r="AI32" i="125"/>
  <c r="DO32" i="125"/>
  <c r="CB32" i="125"/>
  <c r="CQ32" i="125"/>
  <c r="DF32" i="125"/>
  <c r="AX33" i="125"/>
  <c r="BR33" i="125"/>
  <c r="CG33" i="125"/>
  <c r="CV33" i="125"/>
  <c r="DK33" i="125"/>
  <c r="AS44" i="125"/>
  <c r="AD46" i="125"/>
  <c r="BF41" i="125"/>
  <c r="BU41" i="125"/>
  <c r="CL46" i="125"/>
  <c r="DA46" i="125"/>
  <c r="AD51" i="125"/>
  <c r="AN52" i="125"/>
  <c r="BH52" i="125"/>
  <c r="BW52" i="125"/>
  <c r="BH55" i="125"/>
  <c r="CL55" i="125"/>
  <c r="AS56" i="125"/>
  <c r="AS65" i="125"/>
  <c r="AS71" i="125"/>
  <c r="AS74" i="125"/>
  <c r="AS73" i="125" s="1"/>
  <c r="CL74" i="125"/>
  <c r="CL73" i="125" s="1"/>
  <c r="DA74" i="125"/>
  <c r="DA73" i="125" s="1"/>
  <c r="AB5" i="125"/>
  <c r="BM18" i="125"/>
  <c r="BM56" i="125"/>
  <c r="BM74" i="125"/>
  <c r="BM73" i="125" s="1"/>
  <c r="BG77" i="125"/>
  <c r="BC85" i="125"/>
  <c r="AX85" i="125" s="1"/>
  <c r="AR8" i="125"/>
  <c r="CL9" i="125"/>
  <c r="BZ5" i="125"/>
  <c r="AI10" i="125"/>
  <c r="BB11" i="125"/>
  <c r="BM15" i="125"/>
  <c r="DP82" i="125"/>
  <c r="AL5" i="125"/>
  <c r="DO7" i="125"/>
  <c r="BB7" i="125"/>
  <c r="AV8" i="125"/>
  <c r="CE8" i="125"/>
  <c r="CV9" i="125"/>
  <c r="DE8" i="125"/>
  <c r="DE38" i="125" s="1"/>
  <c r="CG10" i="125"/>
  <c r="AS11" i="125"/>
  <c r="BW11" i="125"/>
  <c r="DA11" i="125"/>
  <c r="AI12" i="125"/>
  <c r="AX13" i="125"/>
  <c r="AD14" i="125"/>
  <c r="BW14" i="125"/>
  <c r="DA14" i="125"/>
  <c r="CB15" i="125"/>
  <c r="DF15" i="125"/>
  <c r="AN16" i="125"/>
  <c r="CG16" i="125"/>
  <c r="DK16" i="125"/>
  <c r="AS17" i="125"/>
  <c r="BR18" i="125"/>
  <c r="CV18" i="125"/>
  <c r="AN19" i="125"/>
  <c r="BW20" i="125"/>
  <c r="DA20" i="125"/>
  <c r="AM77" i="125"/>
  <c r="CQ6" i="125"/>
  <c r="CQ5" i="125" s="1"/>
  <c r="CL6" i="125"/>
  <c r="AV5" i="125"/>
  <c r="BP5" i="125"/>
  <c r="CG7" i="125"/>
  <c r="AW8" i="125"/>
  <c r="CF8" i="125"/>
  <c r="CF38" i="125" s="1"/>
  <c r="CU8" i="125"/>
  <c r="BH10" i="125"/>
  <c r="BW10" i="125"/>
  <c r="DA10" i="125"/>
  <c r="AI11" i="125"/>
  <c r="BM11" i="125"/>
  <c r="CB11" i="125"/>
  <c r="CQ11" i="125"/>
  <c r="DF11" i="125"/>
  <c r="BR12" i="125"/>
  <c r="CT8" i="125"/>
  <c r="DK12" i="125"/>
  <c r="BA13" i="125"/>
  <c r="BW13" i="125"/>
  <c r="DA13" i="125"/>
  <c r="AI14" i="125"/>
  <c r="AN15" i="125"/>
  <c r="AX15" i="125"/>
  <c r="BR15" i="125"/>
  <c r="CG15" i="125"/>
  <c r="CV15" i="125"/>
  <c r="DK15" i="125"/>
  <c r="AD16" i="125"/>
  <c r="BW16" i="125"/>
  <c r="CL16" i="125"/>
  <c r="DA16" i="125"/>
  <c r="AI17" i="125"/>
  <c r="BM17" i="125"/>
  <c r="CQ17" i="125"/>
  <c r="AD19" i="125"/>
  <c r="BW19" i="125"/>
  <c r="DA19" i="125"/>
  <c r="AI20" i="125"/>
  <c r="AN21" i="125"/>
  <c r="AX21" i="125"/>
  <c r="BR21" i="125"/>
  <c r="CG21" i="125"/>
  <c r="CV21" i="125"/>
  <c r="DK21" i="125"/>
  <c r="BW22" i="125"/>
  <c r="CL22" i="125"/>
  <c r="DA22" i="125"/>
  <c r="BA23" i="125"/>
  <c r="CB23" i="125"/>
  <c r="CQ23" i="125"/>
  <c r="DF23" i="125"/>
  <c r="AX24" i="125"/>
  <c r="CG24" i="125"/>
  <c r="DK24" i="125"/>
  <c r="BW25" i="125"/>
  <c r="CL25" i="125"/>
  <c r="DA25" i="125"/>
  <c r="DN26" i="125"/>
  <c r="BM26" i="125"/>
  <c r="CQ26" i="125"/>
  <c r="AN27" i="125"/>
  <c r="AX27" i="125"/>
  <c r="BR27" i="125"/>
  <c r="CG27" i="125"/>
  <c r="CV27" i="125"/>
  <c r="BB27" i="125"/>
  <c r="BM30" i="125"/>
  <c r="BB36" i="125"/>
  <c r="BB35" i="125" s="1"/>
  <c r="AC41" i="125"/>
  <c r="BG41" i="125"/>
  <c r="CK41" i="125"/>
  <c r="BM43" i="125"/>
  <c r="AW41" i="125"/>
  <c r="BB44" i="125"/>
  <c r="BB48" i="125"/>
  <c r="BB58" i="125"/>
  <c r="BM61" i="125"/>
  <c r="BB64" i="125"/>
  <c r="BM67" i="125"/>
  <c r="BL77" i="125"/>
  <c r="AS13" i="125"/>
  <c r="BG5" i="125"/>
  <c r="CZ38" i="125"/>
  <c r="CZ39" i="125" s="1"/>
  <c r="DK7" i="125"/>
  <c r="AD9" i="125"/>
  <c r="BH9" i="125"/>
  <c r="AC5" i="125"/>
  <c r="BM10" i="125"/>
  <c r="BM13" i="125"/>
  <c r="BM19" i="125"/>
  <c r="DJ8" i="125"/>
  <c r="DJ38" i="125" s="1"/>
  <c r="DJ39" i="125" s="1"/>
  <c r="BM32" i="125"/>
  <c r="BL35" i="125"/>
  <c r="BL41" i="125"/>
  <c r="BM45" i="125"/>
  <c r="DJ54" i="125"/>
  <c r="AC54" i="125"/>
  <c r="BG54" i="125"/>
  <c r="CK54" i="125"/>
  <c r="CP54" i="125"/>
  <c r="AD59" i="125"/>
  <c r="BB59" i="125"/>
  <c r="AI60" i="125"/>
  <c r="BM60" i="125"/>
  <c r="AD62" i="125"/>
  <c r="AS62" i="125"/>
  <c r="AI63" i="125"/>
  <c r="BM63" i="125"/>
  <c r="CV64" i="125"/>
  <c r="DK64" i="125"/>
  <c r="BW65" i="125"/>
  <c r="CL65" i="125"/>
  <c r="AI66" i="125"/>
  <c r="BM66" i="125"/>
  <c r="CV78" i="125"/>
  <c r="DJ77" i="125"/>
  <c r="AX79" i="125"/>
  <c r="DO82" i="125"/>
  <c r="BK73" i="125"/>
  <c r="BM28" i="125"/>
  <c r="DO55" i="125"/>
  <c r="BM47" i="125"/>
  <c r="BB47" i="125"/>
  <c r="BA51" i="125"/>
  <c r="BC51" i="125" s="1"/>
  <c r="BM68" i="125"/>
  <c r="BM57" i="125"/>
  <c r="BK38" i="100"/>
  <c r="BC9" i="100"/>
  <c r="BC6" i="100"/>
  <c r="BC5" i="100" s="1"/>
  <c r="BM9" i="125"/>
  <c r="DO9" i="125"/>
  <c r="BH68" i="125"/>
  <c r="BI41" i="106"/>
  <c r="BI8" i="106"/>
  <c r="X8" i="125"/>
  <c r="DO76" i="106"/>
  <c r="DO81" i="106"/>
  <c r="DO83" i="106" s="1"/>
  <c r="DO84" i="106" s="1"/>
  <c r="DO86" i="106" s="1"/>
  <c r="DO87" i="106" s="1"/>
  <c r="AT8" i="106"/>
  <c r="BM81" i="106"/>
  <c r="BM83" i="106" s="1"/>
  <c r="BM84" i="106" s="1"/>
  <c r="BM86" i="106" s="1"/>
  <c r="BM87" i="106" s="1"/>
  <c r="BM76" i="106"/>
  <c r="BI54" i="106"/>
  <c r="AJ8" i="106"/>
  <c r="DN76" i="106"/>
  <c r="Y60" i="125"/>
  <c r="U8" i="106"/>
  <c r="Z72" i="106"/>
  <c r="AT71" i="106"/>
  <c r="AE71" i="106"/>
  <c r="BI70" i="106"/>
  <c r="AT70" i="106"/>
  <c r="AE70" i="106"/>
  <c r="BI69" i="106"/>
  <c r="AT69" i="106"/>
  <c r="AE69" i="106"/>
  <c r="AJ68" i="106"/>
  <c r="U68" i="106"/>
  <c r="BI72" i="106"/>
  <c r="U72" i="106"/>
  <c r="AT72" i="106"/>
  <c r="AO71" i="106"/>
  <c r="Z71" i="106"/>
  <c r="AO70" i="106"/>
  <c r="Z70" i="106"/>
  <c r="AO69" i="106"/>
  <c r="Z69" i="106"/>
  <c r="AT68" i="106"/>
  <c r="AE68" i="106"/>
  <c r="AJ67" i="106"/>
  <c r="U67" i="106"/>
  <c r="AJ66" i="106"/>
  <c r="U66" i="106"/>
  <c r="AO72" i="106"/>
  <c r="AJ72" i="106"/>
  <c r="AE72" i="106"/>
  <c r="BI49" i="106"/>
  <c r="U49" i="106"/>
  <c r="AJ55" i="106"/>
  <c r="U55" i="106"/>
  <c r="AO49" i="106"/>
  <c r="BI56" i="106"/>
  <c r="AT56" i="106"/>
  <c r="AE56" i="106"/>
  <c r="AE49" i="106"/>
  <c r="AT49" i="106"/>
  <c r="Z56" i="106"/>
  <c r="AJ49" i="106"/>
  <c r="AO43" i="106"/>
  <c r="Z43" i="106"/>
  <c r="AO42" i="106"/>
  <c r="Z42" i="106"/>
  <c r="AJ41" i="106"/>
  <c r="U41" i="106"/>
  <c r="BI50" i="106"/>
  <c r="Z49" i="106"/>
  <c r="AO56" i="106"/>
  <c r="AJ48" i="106"/>
  <c r="U48" i="106"/>
  <c r="AJ46" i="106"/>
  <c r="U46" i="106"/>
  <c r="AJ45" i="106"/>
  <c r="U45" i="106"/>
  <c r="AJ44" i="106"/>
  <c r="U44" i="106"/>
  <c r="AJ43" i="106"/>
  <c r="U43" i="106"/>
  <c r="AJ42" i="106"/>
  <c r="U42" i="106"/>
  <c r="U23" i="106"/>
  <c r="AE22" i="106"/>
  <c r="AE46" i="106"/>
  <c r="BI45" i="106"/>
  <c r="AT44" i="106"/>
  <c r="AE43" i="106"/>
  <c r="BI42" i="106"/>
  <c r="AE30" i="106"/>
  <c r="Z23" i="106"/>
  <c r="AT48" i="106"/>
  <c r="AE41" i="106"/>
  <c r="AO24" i="106"/>
  <c r="Z24" i="106"/>
  <c r="Z22" i="106"/>
  <c r="AT46" i="106"/>
  <c r="AE45" i="106"/>
  <c r="BI44" i="106"/>
  <c r="AT43" i="106"/>
  <c r="AE42" i="106"/>
  <c r="AO25" i="106"/>
  <c r="Z25" i="106"/>
  <c r="BI48" i="106"/>
  <c r="AO26" i="106"/>
  <c r="Z26" i="106"/>
  <c r="AE48" i="106"/>
  <c r="AJ33" i="106"/>
  <c r="AJ31" i="106"/>
  <c r="U30" i="106"/>
  <c r="AJ29" i="106"/>
  <c r="AJ26" i="106"/>
  <c r="U26" i="106"/>
  <c r="AT24" i="106"/>
  <c r="AE24" i="106"/>
  <c r="AE23" i="106"/>
  <c r="AJ22" i="106"/>
  <c r="AO21" i="106"/>
  <c r="BI46" i="106"/>
  <c r="AT45" i="106"/>
  <c r="U29" i="106"/>
  <c r="U25" i="106"/>
  <c r="AO20" i="106"/>
  <c r="Z17" i="106"/>
  <c r="AO16" i="106"/>
  <c r="BI43" i="106"/>
  <c r="AT42" i="106"/>
  <c r="AJ32" i="106"/>
  <c r="AT41" i="106"/>
  <c r="U33" i="106"/>
  <c r="AJ25" i="106"/>
  <c r="AO18" i="106"/>
  <c r="Z18" i="106"/>
  <c r="AE44" i="106"/>
  <c r="U31" i="106"/>
  <c r="Z21" i="106"/>
  <c r="Z20" i="106"/>
  <c r="AJ18" i="106"/>
  <c r="U18" i="106"/>
  <c r="Z16" i="106"/>
  <c r="AO15" i="106"/>
  <c r="Z15" i="106"/>
  <c r="AO14" i="106"/>
  <c r="Z14" i="106"/>
  <c r="AO13" i="106"/>
  <c r="Z13" i="106"/>
  <c r="U22" i="106"/>
  <c r="AO9" i="106"/>
  <c r="AJ17" i="106"/>
  <c r="AJ16" i="106"/>
  <c r="Z12" i="106"/>
  <c r="AO11" i="106"/>
  <c r="Z11" i="106"/>
  <c r="BI10" i="106"/>
  <c r="AJ9" i="106"/>
  <c r="AE11" i="106"/>
  <c r="AJ23" i="106"/>
  <c r="AT20" i="106"/>
  <c r="AO19" i="106"/>
  <c r="AT10" i="106"/>
  <c r="AE10" i="106"/>
  <c r="AE12" i="106"/>
  <c r="AT11" i="106"/>
  <c r="BI12" i="106"/>
  <c r="Z10" i="106"/>
  <c r="AT18" i="106"/>
  <c r="AO28" i="106"/>
  <c r="AJ15" i="106"/>
  <c r="U15" i="106"/>
  <c r="AO17" i="106"/>
  <c r="AT16" i="106"/>
  <c r="Z45" i="106"/>
  <c r="AO23" i="106"/>
  <c r="U27" i="106"/>
  <c r="AE31" i="106"/>
  <c r="U36" i="106"/>
  <c r="AJ21" i="106"/>
  <c r="AO29" i="106"/>
  <c r="BI17" i="106"/>
  <c r="BI26" i="106"/>
  <c r="AT17" i="106"/>
  <c r="U24" i="106"/>
  <c r="AE27" i="106"/>
  <c r="AO32" i="106"/>
  <c r="Z36" i="106"/>
  <c r="AJ36" i="106"/>
  <c r="Z47" i="106"/>
  <c r="AJ56" i="106"/>
  <c r="AO27" i="106"/>
  <c r="AO45" i="106"/>
  <c r="AT47" i="106"/>
  <c r="AE54" i="106"/>
  <c r="Z51" i="106"/>
  <c r="U54" i="106"/>
  <c r="Z52" i="106"/>
  <c r="AJ63" i="106"/>
  <c r="U61" i="106"/>
  <c r="Z61" i="106"/>
  <c r="AT58" i="106"/>
  <c r="AJ60" i="106"/>
  <c r="U58" i="106"/>
  <c r="Z63" i="106"/>
  <c r="Z58" i="106"/>
  <c r="U65" i="106"/>
  <c r="Z66" i="106"/>
  <c r="AE66" i="106"/>
  <c r="BI66" i="106"/>
  <c r="U70" i="106"/>
  <c r="BI23" i="106"/>
  <c r="U17" i="106"/>
  <c r="AE18" i="106"/>
  <c r="BI25" i="106"/>
  <c r="Z33" i="106"/>
  <c r="T93" i="106"/>
  <c r="U10" i="106"/>
  <c r="AE14" i="106"/>
  <c r="AE9" i="106"/>
  <c r="AO10" i="106"/>
  <c r="U12" i="106"/>
  <c r="U13" i="106"/>
  <c r="BI20" i="106"/>
  <c r="AE17" i="106"/>
  <c r="AJ30" i="106"/>
  <c r="AO46" i="106"/>
  <c r="AT33" i="106"/>
  <c r="AE29" i="106"/>
  <c r="BI36" i="106"/>
  <c r="Z48" i="106"/>
  <c r="AJ52" i="106"/>
  <c r="AJ20" i="106"/>
  <c r="AT51" i="106"/>
  <c r="AO52" i="106"/>
  <c r="U51" i="106"/>
  <c r="AT54" i="106"/>
  <c r="AE52" i="106"/>
  <c r="BI63" i="106"/>
  <c r="AJ58" i="106"/>
  <c r="AT67" i="106"/>
  <c r="AT63" i="106"/>
  <c r="BI65" i="106"/>
  <c r="BI60" i="106"/>
  <c r="AO65" i="106"/>
  <c r="AT65" i="106"/>
  <c r="AT60" i="106"/>
  <c r="AJ62" i="106"/>
  <c r="AT66" i="106"/>
  <c r="U71" i="106"/>
  <c r="BI67" i="106"/>
  <c r="U11" i="106"/>
  <c r="U16" i="106"/>
  <c r="AE16" i="106"/>
  <c r="BI19" i="106"/>
  <c r="AJ13" i="106"/>
  <c r="AT21" i="106"/>
  <c r="U19" i="106"/>
  <c r="AJ27" i="106"/>
  <c r="AJ24" i="106"/>
  <c r="AE32" i="106"/>
  <c r="BI22" i="106"/>
  <c r="AJ19" i="106"/>
  <c r="BI30" i="106"/>
  <c r="Z41" i="106"/>
  <c r="BI29" i="106"/>
  <c r="AT29" i="106"/>
  <c r="AE36" i="106"/>
  <c r="Z46" i="106"/>
  <c r="BI52" i="106"/>
  <c r="U21" i="106"/>
  <c r="AO36" i="106"/>
  <c r="U56" i="106"/>
  <c r="Z57" i="106"/>
  <c r="AJ47" i="106"/>
  <c r="U60" i="106"/>
  <c r="AT61" i="106"/>
  <c r="Z65" i="106"/>
  <c r="BI58" i="106"/>
  <c r="AO63" i="106"/>
  <c r="AE65" i="106"/>
  <c r="AO58" i="106"/>
  <c r="AE60" i="106"/>
  <c r="AJ57" i="106"/>
  <c r="Z62" i="106"/>
  <c r="AO60" i="106"/>
  <c r="AE62" i="106"/>
  <c r="U57" i="106"/>
  <c r="BI62" i="106"/>
  <c r="AJ70" i="106"/>
  <c r="AE13" i="106"/>
  <c r="AJ11" i="106"/>
  <c r="AO12" i="106"/>
  <c r="AT12" i="106"/>
  <c r="BI14" i="106"/>
  <c r="AE21" i="106"/>
  <c r="AE25" i="106"/>
  <c r="BI15" i="106"/>
  <c r="AT9" i="106"/>
  <c r="AJ10" i="106"/>
  <c r="Z9" i="106"/>
  <c r="BI28" i="106"/>
  <c r="AT13" i="106"/>
  <c r="AO22" i="106"/>
  <c r="AO33" i="106"/>
  <c r="AE20" i="106"/>
  <c r="AT26" i="106"/>
  <c r="AO57" i="106"/>
  <c r="BI31" i="106"/>
  <c r="AO31" i="106"/>
  <c r="BI16" i="106"/>
  <c r="U32" i="106"/>
  <c r="U20" i="106"/>
  <c r="BI33" i="106"/>
  <c r="AE33" i="106"/>
  <c r="AO51" i="106"/>
  <c r="Z44" i="106"/>
  <c r="AT57" i="106"/>
  <c r="AE51" i="106"/>
  <c r="AT55" i="106"/>
  <c r="AE58" i="106"/>
  <c r="Z59" i="106"/>
  <c r="AE59" i="106"/>
  <c r="BI64" i="106"/>
  <c r="AE57" i="106"/>
  <c r="BI59" i="106"/>
  <c r="AO64" i="106"/>
  <c r="U63" i="106"/>
  <c r="BI61" i="106"/>
  <c r="AO61" i="106"/>
  <c r="AE63" i="106"/>
  <c r="AO67" i="106"/>
  <c r="AO66" i="106"/>
  <c r="Z28" i="106"/>
  <c r="BI11" i="106"/>
  <c r="AT14" i="106"/>
  <c r="AJ12" i="106"/>
  <c r="U14" i="106"/>
  <c r="AT28" i="106"/>
  <c r="AT25" i="106"/>
  <c r="AO48" i="106"/>
  <c r="U47" i="106"/>
  <c r="AE55" i="106"/>
  <c r="Z68" i="106"/>
  <c r="BI24" i="106"/>
  <c r="AT36" i="106"/>
  <c r="AJ64" i="106"/>
  <c r="AE67" i="106"/>
  <c r="BI13" i="106"/>
  <c r="AT15" i="106"/>
  <c r="AE19" i="106"/>
  <c r="AT30" i="106"/>
  <c r="AE28" i="106"/>
  <c r="Z31" i="106"/>
  <c r="AO30" i="106"/>
  <c r="AT32" i="106"/>
  <c r="U62" i="106"/>
  <c r="AE61" i="106"/>
  <c r="BI21" i="106"/>
  <c r="BI27" i="106"/>
  <c r="Z19" i="106"/>
  <c r="AT23" i="106"/>
  <c r="AO44" i="106"/>
  <c r="AT52" i="106"/>
  <c r="U52" i="106"/>
  <c r="AE47" i="106"/>
  <c r="AO62" i="106"/>
  <c r="AT62" i="106"/>
  <c r="U64" i="106"/>
  <c r="AJ69" i="106"/>
  <c r="AJ71" i="106"/>
  <c r="AT64" i="106"/>
  <c r="AE15" i="106"/>
  <c r="AT19" i="106"/>
  <c r="AJ14" i="106"/>
  <c r="Z29" i="106"/>
  <c r="AE26" i="106"/>
  <c r="BI32" i="106"/>
  <c r="AJ51" i="106"/>
  <c r="AT59" i="106"/>
  <c r="AO68" i="106"/>
  <c r="AO8" i="106"/>
  <c r="AJ59" i="106"/>
  <c r="AO47" i="106"/>
  <c r="AT22" i="106"/>
  <c r="Z55" i="106"/>
  <c r="AO55" i="106"/>
  <c r="AE64" i="106"/>
  <c r="Z60" i="106"/>
  <c r="AO59" i="106"/>
  <c r="AJ61" i="106"/>
  <c r="BI71" i="106"/>
  <c r="BI51" i="106"/>
  <c r="U59" i="106"/>
  <c r="Z64" i="106"/>
  <c r="U69" i="106"/>
  <c r="Z67" i="106"/>
  <c r="BI57" i="106"/>
  <c r="BI9" i="106"/>
  <c r="Z54" i="106"/>
  <c r="BI18" i="106"/>
  <c r="U28" i="106"/>
  <c r="Z50" i="106"/>
  <c r="Z27" i="106"/>
  <c r="AJ65" i="106"/>
  <c r="BI55" i="106"/>
  <c r="AE8" i="106"/>
  <c r="AJ28" i="106"/>
  <c r="Z32" i="106"/>
  <c r="AO50" i="106"/>
  <c r="BI47" i="106"/>
  <c r="AE50" i="106"/>
  <c r="Z30" i="106"/>
  <c r="U50" i="106"/>
  <c r="AT50" i="106"/>
  <c r="AJ50" i="106"/>
  <c r="AT27" i="106"/>
  <c r="AO41" i="106"/>
  <c r="U9" i="106"/>
  <c r="AO54" i="106"/>
  <c r="AT31" i="106"/>
  <c r="AC81" i="106"/>
  <c r="AC83" i="106" s="1"/>
  <c r="AC84" i="106" s="1"/>
  <c r="AC86" i="106" s="1"/>
  <c r="AC87" i="106" s="1"/>
  <c r="AC76" i="106"/>
  <c r="X38" i="125"/>
  <c r="X39" i="125" s="1"/>
  <c r="DO23" i="125"/>
  <c r="DO33" i="125"/>
  <c r="DO64" i="125"/>
  <c r="DO70" i="125"/>
  <c r="S81" i="106"/>
  <c r="S83" i="106" s="1"/>
  <c r="S84" i="106" s="1"/>
  <c r="S86" i="106" s="1"/>
  <c r="S87" i="106" s="1"/>
  <c r="S76" i="106"/>
  <c r="J75" i="106"/>
  <c r="J39" i="106"/>
  <c r="BF76" i="106"/>
  <c r="BH76" i="106"/>
  <c r="BA76" i="106"/>
  <c r="BI68" i="106"/>
  <c r="DP75" i="106"/>
  <c r="DP39" i="106"/>
  <c r="AH81" i="106"/>
  <c r="AH83" i="106" s="1"/>
  <c r="AH84" i="106" s="1"/>
  <c r="AH86" i="106" s="1"/>
  <c r="AH87" i="106" s="1"/>
  <c r="AH76" i="106"/>
  <c r="DP85" i="106"/>
  <c r="BM89" i="106"/>
  <c r="BM91" i="106" s="1"/>
  <c r="T75" i="106"/>
  <c r="T39" i="106"/>
  <c r="Y75" i="106"/>
  <c r="Y39" i="106"/>
  <c r="BC75" i="106"/>
  <c r="BC39" i="106"/>
  <c r="AS75" i="106"/>
  <c r="AS39" i="106"/>
  <c r="AJ54" i="106"/>
  <c r="AI75" i="106"/>
  <c r="AI39" i="106"/>
  <c r="AD76" i="106"/>
  <c r="DF5" i="125"/>
  <c r="CB41" i="125"/>
  <c r="BF5" i="125"/>
  <c r="BA32" i="125"/>
  <c r="BG35" i="125"/>
  <c r="AM41" i="125"/>
  <c r="DN45" i="125"/>
  <c r="BP50" i="125"/>
  <c r="BH51" i="125"/>
  <c r="CV52" i="125"/>
  <c r="CV50" i="125" s="1"/>
  <c r="CE54" i="125"/>
  <c r="BH66" i="125"/>
  <c r="AI70" i="125"/>
  <c r="CE73" i="125"/>
  <c r="BM6" i="125"/>
  <c r="BM5" i="125" s="1"/>
  <c r="CG6" i="125"/>
  <c r="CG5" i="125" s="1"/>
  <c r="DA6" i="125"/>
  <c r="DA5" i="125" s="1"/>
  <c r="BZ8" i="125"/>
  <c r="BA9" i="125"/>
  <c r="AM8" i="125"/>
  <c r="BA24" i="125"/>
  <c r="DO27" i="125"/>
  <c r="DF27" i="125"/>
  <c r="AS33" i="125"/>
  <c r="AC35" i="125"/>
  <c r="CL36" i="125"/>
  <c r="CL35" i="125" s="1"/>
  <c r="CZ41" i="125"/>
  <c r="AI42" i="125"/>
  <c r="CF41" i="125"/>
  <c r="DJ41" i="125"/>
  <c r="BU50" i="125"/>
  <c r="DA52" i="125"/>
  <c r="CJ54" i="125"/>
  <c r="CF54" i="125"/>
  <c r="DF55" i="125"/>
  <c r="DF54" i="125" s="1"/>
  <c r="CQ57" i="125"/>
  <c r="BM58" i="125"/>
  <c r="DO68" i="125"/>
  <c r="CY73" i="125"/>
  <c r="BR76" i="129"/>
  <c r="J76" i="129"/>
  <c r="CB76" i="129"/>
  <c r="BW76" i="129"/>
  <c r="BW5" i="125"/>
  <c r="CV5" i="125"/>
  <c r="BK8" i="125"/>
  <c r="BK38" i="125" s="1"/>
  <c r="AX9" i="125"/>
  <c r="BA30" i="125"/>
  <c r="BC30" i="125" s="1"/>
  <c r="BE30" i="125" s="1"/>
  <c r="DO36" i="125"/>
  <c r="DO35" i="125" s="1"/>
  <c r="CV46" i="125"/>
  <c r="AL50" i="125"/>
  <c r="DE54" i="125"/>
  <c r="CE38" i="125"/>
  <c r="CE39" i="125" s="1"/>
  <c r="BL5" i="125"/>
  <c r="AS19" i="125"/>
  <c r="BA27" i="125"/>
  <c r="DK27" i="125"/>
  <c r="BB28" i="125"/>
  <c r="BH36" i="125"/>
  <c r="BH35" i="125" s="1"/>
  <c r="CL42" i="125"/>
  <c r="CL41" i="125" s="1"/>
  <c r="BW46" i="125"/>
  <c r="BL54" i="125"/>
  <c r="AN56" i="125"/>
  <c r="CJ73" i="125"/>
  <c r="BH74" i="125"/>
  <c r="BH73" i="125" s="1"/>
  <c r="CV74" i="125"/>
  <c r="CV73" i="125" s="1"/>
  <c r="BR78" i="125"/>
  <c r="DN22" i="125"/>
  <c r="AX76" i="129"/>
  <c r="CG76" i="129"/>
  <c r="BH6" i="125"/>
  <c r="BH5" i="125" s="1"/>
  <c r="AI26" i="125"/>
  <c r="BP73" i="125"/>
  <c r="BA74" i="125"/>
  <c r="BA73" i="125" s="1"/>
  <c r="AC86" i="129"/>
  <c r="AC87" i="129" s="1"/>
  <c r="CJ5" i="125"/>
  <c r="DD5" i="125"/>
  <c r="DD38" i="125" s="1"/>
  <c r="AR38" i="125"/>
  <c r="AR75" i="125" s="1"/>
  <c r="CO8" i="125"/>
  <c r="CG9" i="125"/>
  <c r="AD10" i="125"/>
  <c r="DF10" i="125"/>
  <c r="DA36" i="125"/>
  <c r="DA35" i="125" s="1"/>
  <c r="BB43" i="125"/>
  <c r="DK52" i="125"/>
  <c r="AH54" i="125"/>
  <c r="BP54" i="125"/>
  <c r="AQ73" i="125"/>
  <c r="AD75" i="129"/>
  <c r="AD39" i="129"/>
  <c r="CP84" i="129"/>
  <c r="CP86" i="129" s="1"/>
  <c r="CP87" i="129" s="1"/>
  <c r="D86" i="129"/>
  <c r="D87" i="129" s="1"/>
  <c r="E76" i="129"/>
  <c r="CQ75" i="129"/>
  <c r="CQ39" i="129"/>
  <c r="AW38" i="125"/>
  <c r="AW39" i="125" s="1"/>
  <c r="BV38" i="125"/>
  <c r="BV75" i="125" s="1"/>
  <c r="BV35" i="125"/>
  <c r="CA54" i="125"/>
  <c r="CP81" i="129"/>
  <c r="CP83" i="129" s="1"/>
  <c r="CP76" i="129"/>
  <c r="BM81" i="129"/>
  <c r="BM83" i="129" s="1"/>
  <c r="BM84" i="129" s="1"/>
  <c r="BM86" i="129" s="1"/>
  <c r="BM87" i="129" s="1"/>
  <c r="BM76" i="129"/>
  <c r="CO76" i="129"/>
  <c r="EE12" i="82"/>
  <c r="DN75" i="82"/>
  <c r="DN39" i="82"/>
  <c r="EE13" i="82"/>
  <c r="EE19" i="82"/>
  <c r="EE26" i="82"/>
  <c r="H75" i="82"/>
  <c r="H39" i="82"/>
  <c r="AC75" i="82"/>
  <c r="AC39" i="82"/>
  <c r="BL5" i="82"/>
  <c r="DD75" i="82"/>
  <c r="DD39" i="82"/>
  <c r="EE6" i="82"/>
  <c r="EE5" i="82" s="1"/>
  <c r="BM5" i="82"/>
  <c r="J8" i="82"/>
  <c r="DY12" i="82"/>
  <c r="DZ12" i="82" s="1"/>
  <c r="S8" i="82"/>
  <c r="S38" i="82" s="1"/>
  <c r="T12" i="82"/>
  <c r="EE15" i="82"/>
  <c r="EE32" i="82"/>
  <c r="BZ75" i="82"/>
  <c r="BZ39" i="82"/>
  <c r="I75" i="82"/>
  <c r="I39" i="82"/>
  <c r="AG5" i="82"/>
  <c r="AW75" i="82"/>
  <c r="AW39" i="82"/>
  <c r="BP75" i="82"/>
  <c r="BP39" i="82"/>
  <c r="CP75" i="82"/>
  <c r="CP39" i="82"/>
  <c r="DS75" i="82"/>
  <c r="DS39" i="82"/>
  <c r="J38" i="82"/>
  <c r="DX6" i="82"/>
  <c r="BW8" i="82"/>
  <c r="DA8" i="82"/>
  <c r="DA38" i="82" s="1"/>
  <c r="X75" i="82"/>
  <c r="X39" i="82"/>
  <c r="EE9" i="82"/>
  <c r="BM8" i="82"/>
  <c r="AH75" i="82"/>
  <c r="AH39" i="82"/>
  <c r="BA75" i="82"/>
  <c r="BA39" i="82"/>
  <c r="BQ75" i="82"/>
  <c r="BQ39" i="82"/>
  <c r="CT75" i="82"/>
  <c r="CT39" i="82"/>
  <c r="DT75" i="82"/>
  <c r="DT39" i="82"/>
  <c r="AX5" i="82"/>
  <c r="BW38" i="82"/>
  <c r="AN8" i="82"/>
  <c r="EE30" i="82"/>
  <c r="CZ75" i="82"/>
  <c r="CZ39" i="82"/>
  <c r="EE14" i="82"/>
  <c r="AM75" i="82"/>
  <c r="AM39" i="82"/>
  <c r="CF75" i="82"/>
  <c r="CF39" i="82"/>
  <c r="CU75" i="82"/>
  <c r="CU39" i="82"/>
  <c r="AD77" i="82"/>
  <c r="AB79" i="82"/>
  <c r="AB77" i="82" s="1"/>
  <c r="BB8" i="82"/>
  <c r="DZ9" i="82"/>
  <c r="EE10" i="82"/>
  <c r="DX25" i="82"/>
  <c r="DZ25" i="82" s="1"/>
  <c r="AI25" i="82"/>
  <c r="AG8" i="82"/>
  <c r="DZ26" i="82"/>
  <c r="D38" i="82"/>
  <c r="W75" i="82"/>
  <c r="W39" i="82"/>
  <c r="AQ5" i="82"/>
  <c r="BV75" i="82"/>
  <c r="BV39" i="82"/>
  <c r="CJ75" i="82"/>
  <c r="CJ39" i="82"/>
  <c r="DJ75" i="82"/>
  <c r="DJ39" i="82"/>
  <c r="AB5" i="82"/>
  <c r="AB38" i="82" s="1"/>
  <c r="AD6" i="82"/>
  <c r="AD5" i="82" s="1"/>
  <c r="CQ38" i="82"/>
  <c r="DU38" i="82"/>
  <c r="BL8" i="82"/>
  <c r="BK8" i="82"/>
  <c r="BK38" i="82" s="1"/>
  <c r="CL8" i="82"/>
  <c r="DP8" i="82"/>
  <c r="E8" i="82"/>
  <c r="DY16" i="82"/>
  <c r="DY8" i="82" s="1"/>
  <c r="DY38" i="82" s="1"/>
  <c r="T16" i="82"/>
  <c r="DX35" i="82"/>
  <c r="DZ36" i="82"/>
  <c r="DZ50" i="82"/>
  <c r="E54" i="82"/>
  <c r="EE60" i="82"/>
  <c r="E38" i="82"/>
  <c r="C8" i="82"/>
  <c r="C38" i="82" s="1"/>
  <c r="CB8" i="82"/>
  <c r="CQ8" i="82"/>
  <c r="DF8" i="82"/>
  <c r="DU8" i="82"/>
  <c r="EE21" i="82"/>
  <c r="EE25" i="82"/>
  <c r="CG35" i="82"/>
  <c r="AS35" i="82"/>
  <c r="AX41" i="82"/>
  <c r="AR38" i="82"/>
  <c r="CA38" i="82"/>
  <c r="CK38" i="82"/>
  <c r="DE38" i="82"/>
  <c r="DO38" i="82"/>
  <c r="BC8" i="82"/>
  <c r="DX8" i="82"/>
  <c r="DY18" i="82"/>
  <c r="DZ18" i="82" s="1"/>
  <c r="DY30" i="82"/>
  <c r="Y30" i="82"/>
  <c r="Y8" i="82" s="1"/>
  <c r="Y38" i="82" s="1"/>
  <c r="BU39" i="82"/>
  <c r="J41" i="82"/>
  <c r="BR41" i="82"/>
  <c r="CV41" i="82"/>
  <c r="DZ42" i="82"/>
  <c r="DX41" i="82"/>
  <c r="BW41" i="82"/>
  <c r="DA41" i="82"/>
  <c r="EE57" i="82"/>
  <c r="DF38" i="82"/>
  <c r="AI18" i="82"/>
  <c r="AI8" i="82" s="1"/>
  <c r="AI38" i="82" s="1"/>
  <c r="AD28" i="82"/>
  <c r="AI41" i="82"/>
  <c r="DF41" i="82"/>
  <c r="DZ30" i="82"/>
  <c r="EE31" i="82"/>
  <c r="CO75" i="82"/>
  <c r="CO39" i="82"/>
  <c r="E41" i="82"/>
  <c r="AN41" i="82"/>
  <c r="EE42" i="82"/>
  <c r="CQ41" i="82"/>
  <c r="R38" i="82"/>
  <c r="AL5" i="82"/>
  <c r="AL38" i="82" s="1"/>
  <c r="AV38" i="82"/>
  <c r="BU76" i="82"/>
  <c r="CE38" i="82"/>
  <c r="CY76" i="82"/>
  <c r="DI38" i="82"/>
  <c r="ED75" i="82"/>
  <c r="ED39" i="82"/>
  <c r="AQ8" i="82"/>
  <c r="BR8" i="82"/>
  <c r="CG8" i="82"/>
  <c r="CV8" i="82"/>
  <c r="DK8" i="82"/>
  <c r="AS22" i="82"/>
  <c r="AS8" i="82" s="1"/>
  <c r="CY39" i="82"/>
  <c r="T41" i="82"/>
  <c r="EE45" i="82"/>
  <c r="Y35" i="82"/>
  <c r="CB35" i="82"/>
  <c r="EE47" i="82"/>
  <c r="BC54" i="82"/>
  <c r="EE36" i="82"/>
  <c r="EE35" i="82" s="1"/>
  <c r="BM43" i="82"/>
  <c r="BM41" i="82" s="1"/>
  <c r="BL41" i="82"/>
  <c r="EE44" i="82"/>
  <c r="DF50" i="82"/>
  <c r="E35" i="82"/>
  <c r="AL35" i="82"/>
  <c r="AX35" i="82"/>
  <c r="BM35" i="82"/>
  <c r="CB41" i="82"/>
  <c r="CL41" i="82"/>
  <c r="DP41" i="82"/>
  <c r="DY44" i="82"/>
  <c r="DZ44" i="82" s="1"/>
  <c r="AS44" i="82"/>
  <c r="DZ45" i="82"/>
  <c r="BO51" i="82"/>
  <c r="BO52" i="82"/>
  <c r="Y54" i="82"/>
  <c r="AI54" i="82"/>
  <c r="CV54" i="82"/>
  <c r="CV98" i="82" s="1"/>
  <c r="J54" i="82"/>
  <c r="AS54" i="82"/>
  <c r="AN64" i="82"/>
  <c r="AL54" i="82"/>
  <c r="EE51" i="82"/>
  <c r="EE50" i="82" s="1"/>
  <c r="EE55" i="82"/>
  <c r="CQ54" i="82"/>
  <c r="CG54" i="82"/>
  <c r="AD54" i="82"/>
  <c r="BM59" i="82"/>
  <c r="BK54" i="82"/>
  <c r="BR54" i="82"/>
  <c r="DK54" i="82"/>
  <c r="DZ67" i="82"/>
  <c r="EE70" i="82"/>
  <c r="J77" i="82"/>
  <c r="AX54" i="82"/>
  <c r="EE58" i="82"/>
  <c r="CB54" i="82"/>
  <c r="DU54" i="82"/>
  <c r="EE62" i="82"/>
  <c r="DX64" i="82"/>
  <c r="DZ64" i="82" s="1"/>
  <c r="DZ54" i="82" s="1"/>
  <c r="DY67" i="82"/>
  <c r="DY54" i="82" s="1"/>
  <c r="EE78" i="82"/>
  <c r="EE67" i="82"/>
  <c r="EE68" i="82"/>
  <c r="AN73" i="82"/>
  <c r="BM71" i="82"/>
  <c r="DX74" i="82"/>
  <c r="BM82" i="82"/>
  <c r="E73" i="82"/>
  <c r="W8" i="125"/>
  <c r="DO57" i="125"/>
  <c r="DO60" i="125"/>
  <c r="R8" i="125"/>
  <c r="R38" i="125" s="1"/>
  <c r="T51" i="125"/>
  <c r="BC23" i="125"/>
  <c r="BE23" i="125" s="1"/>
  <c r="AS5" i="125"/>
  <c r="BR5" i="125"/>
  <c r="AI5" i="125"/>
  <c r="AR39" i="125"/>
  <c r="CL8" i="125"/>
  <c r="DK5" i="125"/>
  <c r="DP11" i="125"/>
  <c r="CB5" i="125"/>
  <c r="DP17" i="125"/>
  <c r="T17" i="125"/>
  <c r="DP24" i="125"/>
  <c r="T24" i="125"/>
  <c r="AC38" i="125"/>
  <c r="CU38" i="125"/>
  <c r="DN9" i="125"/>
  <c r="BB6" i="125"/>
  <c r="BB5" i="125" s="1"/>
  <c r="AB8" i="125"/>
  <c r="AB38" i="125" s="1"/>
  <c r="AQ8" i="125"/>
  <c r="BL8" i="125"/>
  <c r="BB9" i="125"/>
  <c r="BA11" i="125"/>
  <c r="DP14" i="125"/>
  <c r="BH18" i="125"/>
  <c r="BA18" i="125"/>
  <c r="BA21" i="125"/>
  <c r="BC21" i="125" s="1"/>
  <c r="BC26" i="125"/>
  <c r="BE26" i="125" s="1"/>
  <c r="W38" i="125"/>
  <c r="AG38" i="125"/>
  <c r="AQ5" i="125"/>
  <c r="CO38" i="125"/>
  <c r="AX7" i="125"/>
  <c r="AX5" i="125" s="1"/>
  <c r="DN7" i="125"/>
  <c r="BF8" i="125"/>
  <c r="BF38" i="125" s="1"/>
  <c r="BU8" i="125"/>
  <c r="BU38" i="125" s="1"/>
  <c r="CJ8" i="125"/>
  <c r="CJ38" i="125" s="1"/>
  <c r="CY8" i="125"/>
  <c r="CY38" i="125" s="1"/>
  <c r="T9" i="125"/>
  <c r="AI9" i="125"/>
  <c r="AX10" i="125"/>
  <c r="BH11" i="125"/>
  <c r="AN12" i="125"/>
  <c r="BM12" i="125"/>
  <c r="CV12" i="125"/>
  <c r="DF12" i="125"/>
  <c r="Y13" i="125"/>
  <c r="AI13" i="125"/>
  <c r="BA14" i="125"/>
  <c r="BM14" i="125"/>
  <c r="CQ14" i="125"/>
  <c r="AI15" i="125"/>
  <c r="BH15" i="125"/>
  <c r="AI19" i="125"/>
  <c r="BH19" i="125"/>
  <c r="CB20" i="125"/>
  <c r="DF20" i="125"/>
  <c r="DN21" i="125"/>
  <c r="DP21" i="125" s="1"/>
  <c r="T21" i="125"/>
  <c r="CA38" i="125"/>
  <c r="BA7" i="125"/>
  <c r="AL8" i="125"/>
  <c r="AL38" i="125" s="1"/>
  <c r="BB14" i="125"/>
  <c r="BA16" i="125"/>
  <c r="BM16" i="125"/>
  <c r="AM38" i="125"/>
  <c r="CK38" i="125"/>
  <c r="T6" i="125"/>
  <c r="T5" i="125" s="1"/>
  <c r="AD6" i="125"/>
  <c r="AN6" i="125"/>
  <c r="AN5" i="125" s="1"/>
  <c r="BP8" i="125"/>
  <c r="DI8" i="125"/>
  <c r="DI38" i="125" s="1"/>
  <c r="BA10" i="125"/>
  <c r="BA12" i="125"/>
  <c r="BC12" i="125" s="1"/>
  <c r="CQ12" i="125"/>
  <c r="DP13" i="125"/>
  <c r="T13" i="125"/>
  <c r="BA15" i="125"/>
  <c r="BC15" i="125" s="1"/>
  <c r="BE15" i="125" s="1"/>
  <c r="AS16" i="125"/>
  <c r="BB16" i="125"/>
  <c r="BB18" i="125"/>
  <c r="BA19" i="125"/>
  <c r="DN20" i="125"/>
  <c r="BA22" i="125"/>
  <c r="BB24" i="125"/>
  <c r="DN25" i="125"/>
  <c r="BG38" i="125"/>
  <c r="CT38" i="125"/>
  <c r="BQ8" i="125"/>
  <c r="BQ38" i="125" s="1"/>
  <c r="CB14" i="125"/>
  <c r="DF14" i="125"/>
  <c r="T15" i="125"/>
  <c r="BC17" i="125"/>
  <c r="BE17" i="125" s="1"/>
  <c r="DF18" i="125"/>
  <c r="DP19" i="125"/>
  <c r="T19" i="125"/>
  <c r="BA20" i="125"/>
  <c r="BC20" i="125" s="1"/>
  <c r="BE20" i="125" s="1"/>
  <c r="BM20" i="125"/>
  <c r="CQ20" i="125"/>
  <c r="AI21" i="125"/>
  <c r="DN23" i="125"/>
  <c r="DO25" i="125"/>
  <c r="AD25" i="125"/>
  <c r="BA25" i="125"/>
  <c r="BM25" i="125"/>
  <c r="DO26" i="125"/>
  <c r="BA33" i="125"/>
  <c r="BC33" i="125" s="1"/>
  <c r="BM33" i="125"/>
  <c r="DF36" i="125"/>
  <c r="DD35" i="125"/>
  <c r="AV41" i="125"/>
  <c r="AX42" i="125"/>
  <c r="BA46" i="125"/>
  <c r="BM46" i="125"/>
  <c r="BK41" i="125"/>
  <c r="CO50" i="125"/>
  <c r="CQ52" i="125"/>
  <c r="DN28" i="125"/>
  <c r="DP28" i="125" s="1"/>
  <c r="BA28" i="125"/>
  <c r="BH30" i="125"/>
  <c r="AD33" i="125"/>
  <c r="AB41" i="125"/>
  <c r="AD42" i="125"/>
  <c r="BB42" i="125"/>
  <c r="CG44" i="125"/>
  <c r="AN45" i="125"/>
  <c r="BH48" i="125"/>
  <c r="BA48" i="125"/>
  <c r="AQ54" i="125"/>
  <c r="AS55" i="125"/>
  <c r="DO20" i="125"/>
  <c r="T26" i="125"/>
  <c r="BA29" i="125"/>
  <c r="BC29" i="125" s="1"/>
  <c r="BM29" i="125"/>
  <c r="DO30" i="125"/>
  <c r="DN32" i="125"/>
  <c r="T32" i="125"/>
  <c r="CG35" i="125"/>
  <c r="CJ41" i="125"/>
  <c r="DN42" i="125"/>
  <c r="BR42" i="125"/>
  <c r="BW59" i="125"/>
  <c r="BW54" i="125" s="1"/>
  <c r="BU54" i="125"/>
  <c r="DN27" i="125"/>
  <c r="T28" i="125"/>
  <c r="DA28" i="125"/>
  <c r="DN31" i="125"/>
  <c r="DP31" i="125" s="1"/>
  <c r="AD31" i="125"/>
  <c r="BA31" i="125"/>
  <c r="BM31" i="125"/>
  <c r="AI36" i="125"/>
  <c r="BA36" i="125"/>
  <c r="BM36" i="125"/>
  <c r="BK35" i="125"/>
  <c r="CV35" i="125"/>
  <c r="DO42" i="125"/>
  <c r="BQ41" i="125"/>
  <c r="CG42" i="125"/>
  <c r="CV44" i="125"/>
  <c r="DO45" i="125"/>
  <c r="BB25" i="125"/>
  <c r="DN30" i="125"/>
  <c r="T30" i="125"/>
  <c r="AX35" i="125"/>
  <c r="CB36" i="125"/>
  <c r="BZ35" i="125"/>
  <c r="DK35" i="125"/>
  <c r="BW41" i="125"/>
  <c r="BH43" i="125"/>
  <c r="BA43" i="125"/>
  <c r="DO44" i="125"/>
  <c r="CQ46" i="125"/>
  <c r="CQ41" i="125" s="1"/>
  <c r="CO41" i="125"/>
  <c r="DN29" i="125"/>
  <c r="BB32" i="125"/>
  <c r="CQ36" i="125"/>
  <c r="CO35" i="125"/>
  <c r="DF41" i="125"/>
  <c r="AI41" i="125"/>
  <c r="CU41" i="125"/>
  <c r="DK42" i="125"/>
  <c r="X41" i="125"/>
  <c r="AN43" i="125"/>
  <c r="BR44" i="125"/>
  <c r="DK44" i="125"/>
  <c r="Y45" i="125"/>
  <c r="BH45" i="125"/>
  <c r="BA45" i="125"/>
  <c r="BB45" i="125"/>
  <c r="DO51" i="125"/>
  <c r="DA56" i="125"/>
  <c r="CY54" i="125"/>
  <c r="W41" i="125"/>
  <c r="AL41" i="125"/>
  <c r="DO43" i="125"/>
  <c r="AS46" i="125"/>
  <c r="AS41" i="125" s="1"/>
  <c r="BB46" i="125"/>
  <c r="BA47" i="125"/>
  <c r="BW50" i="125"/>
  <c r="DF51" i="125"/>
  <c r="DD50" i="125"/>
  <c r="DF52" i="125"/>
  <c r="DN56" i="125"/>
  <c r="DN33" i="125"/>
  <c r="DP33" i="125" s="1"/>
  <c r="DN36" i="125"/>
  <c r="DA45" i="125"/>
  <c r="DA41" i="125" s="1"/>
  <c r="BR47" i="125"/>
  <c r="CV47" i="125"/>
  <c r="Y50" i="125"/>
  <c r="S50" i="125"/>
  <c r="R79" i="125" s="1"/>
  <c r="DO52" i="125"/>
  <c r="BK54" i="125"/>
  <c r="BM55" i="125"/>
  <c r="CL54" i="125"/>
  <c r="DO29" i="125"/>
  <c r="AS36" i="125"/>
  <c r="BM42" i="125"/>
  <c r="DN44" i="125"/>
  <c r="T46" i="125"/>
  <c r="T41" i="125" s="1"/>
  <c r="DO46" i="125"/>
  <c r="DO47" i="125"/>
  <c r="AN50" i="125"/>
  <c r="CL50" i="125"/>
  <c r="BB50" i="125"/>
  <c r="CG50" i="125"/>
  <c r="BZ54" i="125"/>
  <c r="CB55" i="125"/>
  <c r="CV62" i="125"/>
  <c r="CT54" i="125"/>
  <c r="BF35" i="125"/>
  <c r="BU35" i="125"/>
  <c r="BA42" i="125"/>
  <c r="BA44" i="125"/>
  <c r="BC44" i="125" s="1"/>
  <c r="BE44" i="125" s="1"/>
  <c r="T47" i="125"/>
  <c r="BM48" i="125"/>
  <c r="AD50" i="125"/>
  <c r="BK50" i="125"/>
  <c r="BM52" i="125"/>
  <c r="DN55" i="125"/>
  <c r="CO54" i="125"/>
  <c r="CQ55" i="125"/>
  <c r="BB56" i="125"/>
  <c r="BH61" i="125"/>
  <c r="BA61" i="125"/>
  <c r="W35" i="125"/>
  <c r="AL35" i="125"/>
  <c r="DN46" i="125"/>
  <c r="CG47" i="125"/>
  <c r="DN48" i="125"/>
  <c r="DN51" i="125"/>
  <c r="AS50" i="125"/>
  <c r="BH50" i="125"/>
  <c r="CQ51" i="125"/>
  <c r="DA50" i="125"/>
  <c r="BZ50" i="125"/>
  <c r="CB52" i="125"/>
  <c r="CB50" i="125" s="1"/>
  <c r="DK50" i="125"/>
  <c r="BQ54" i="125"/>
  <c r="X54" i="125"/>
  <c r="DN59" i="125"/>
  <c r="DO48" i="125"/>
  <c r="BM51" i="125"/>
  <c r="T52" i="125"/>
  <c r="AI52" i="125"/>
  <c r="AX52" i="125"/>
  <c r="AX50" i="125" s="1"/>
  <c r="AX55" i="125"/>
  <c r="DK55" i="125"/>
  <c r="DO58" i="125"/>
  <c r="DP58" i="125" s="1"/>
  <c r="BB60" i="125"/>
  <c r="BB61" i="125"/>
  <c r="DO63" i="125"/>
  <c r="DN52" i="125"/>
  <c r="DO56" i="125"/>
  <c r="BH57" i="125"/>
  <c r="BA57" i="125"/>
  <c r="BR57" i="125"/>
  <c r="DK57" i="125"/>
  <c r="BH63" i="125"/>
  <c r="BB63" i="125"/>
  <c r="DN47" i="125"/>
  <c r="BA52" i="125"/>
  <c r="BA55" i="125"/>
  <c r="BB57" i="125"/>
  <c r="DO59" i="125"/>
  <c r="DN60" i="125"/>
  <c r="DP60" i="125" s="1"/>
  <c r="AD60" i="125"/>
  <c r="CG57" i="125"/>
  <c r="DN57" i="125"/>
  <c r="BH58" i="125"/>
  <c r="BA58" i="125"/>
  <c r="BC58" i="125" s="1"/>
  <c r="BE58" i="125" s="1"/>
  <c r="DO61" i="125"/>
  <c r="T62" i="125"/>
  <c r="DO62" i="125"/>
  <c r="DN63" i="125"/>
  <c r="T63" i="125"/>
  <c r="Y56" i="125"/>
  <c r="BH56" i="125"/>
  <c r="BA56" i="125"/>
  <c r="AN58" i="125"/>
  <c r="BH59" i="125"/>
  <c r="BA59" i="125"/>
  <c r="BC59" i="125" s="1"/>
  <c r="BM69" i="125"/>
  <c r="BA69" i="125"/>
  <c r="BC69" i="125" s="1"/>
  <c r="BE69" i="125" s="1"/>
  <c r="Y74" i="125"/>
  <c r="Y73" i="125" s="1"/>
  <c r="W73" i="125"/>
  <c r="DN61" i="125"/>
  <c r="CG61" i="125"/>
  <c r="CQ61" i="125"/>
  <c r="AS63" i="125"/>
  <c r="T64" i="125"/>
  <c r="CB65" i="125"/>
  <c r="CB67" i="125"/>
  <c r="BA62" i="125"/>
  <c r="BC62" i="125" s="1"/>
  <c r="DN65" i="125"/>
  <c r="BA60" i="125"/>
  <c r="BA64" i="125"/>
  <c r="BC64" i="125" s="1"/>
  <c r="DO65" i="125"/>
  <c r="BA66" i="125"/>
  <c r="DO67" i="125"/>
  <c r="DP67" i="125" s="1"/>
  <c r="BA71" i="125"/>
  <c r="DN62" i="125"/>
  <c r="CQ63" i="125"/>
  <c r="AD74" i="125"/>
  <c r="AD73" i="125" s="1"/>
  <c r="AB73" i="125"/>
  <c r="DN78" i="125"/>
  <c r="AD78" i="125"/>
  <c r="AX78" i="125"/>
  <c r="AX77" i="125" s="1"/>
  <c r="AW77" i="125"/>
  <c r="BB65" i="125"/>
  <c r="BC65" i="125" s="1"/>
  <c r="BB67" i="125"/>
  <c r="BB68" i="125"/>
  <c r="BC68" i="125" s="1"/>
  <c r="T71" i="125"/>
  <c r="DN71" i="125"/>
  <c r="BB71" i="125"/>
  <c r="CG78" i="125"/>
  <c r="DN64" i="125"/>
  <c r="T65" i="125"/>
  <c r="DN66" i="125"/>
  <c r="DP66" i="125" s="1"/>
  <c r="T67" i="125"/>
  <c r="BA70" i="125"/>
  <c r="DO71" i="125"/>
  <c r="DN74" i="125"/>
  <c r="AI74" i="125"/>
  <c r="AI73" i="125" s="1"/>
  <c r="AG73" i="125"/>
  <c r="DN68" i="125"/>
  <c r="DP68" i="125" s="1"/>
  <c r="T69" i="125"/>
  <c r="DN69" i="125"/>
  <c r="DP69" i="125" s="1"/>
  <c r="AH77" i="125"/>
  <c r="DO78" i="125"/>
  <c r="BB78" i="125"/>
  <c r="AX82" i="125"/>
  <c r="T68" i="125"/>
  <c r="DN70" i="125"/>
  <c r="T70" i="125"/>
  <c r="AD70" i="125"/>
  <c r="BH70" i="125"/>
  <c r="BB70" i="125"/>
  <c r="DO74" i="125"/>
  <c r="DO73" i="125" s="1"/>
  <c r="AN78" i="125"/>
  <c r="BA78" i="125"/>
  <c r="CU77" i="125"/>
  <c r="BB79" i="125"/>
  <c r="DO79" i="125"/>
  <c r="DP85" i="125"/>
  <c r="BW78" i="125"/>
  <c r="CL78" i="125"/>
  <c r="DA78" i="125"/>
  <c r="BM78" i="125"/>
  <c r="CB78" i="125"/>
  <c r="CQ78" i="125"/>
  <c r="DF78" i="125"/>
  <c r="DN85" i="125"/>
  <c r="BG73" i="125"/>
  <c r="AI78" i="125"/>
  <c r="DN82" i="125"/>
  <c r="CY75" i="100"/>
  <c r="CY39" i="100"/>
  <c r="BF38" i="100"/>
  <c r="CO75" i="100"/>
  <c r="CO39" i="100"/>
  <c r="AC5" i="100"/>
  <c r="AC38" i="100" s="1"/>
  <c r="CG38" i="100"/>
  <c r="DK38" i="100"/>
  <c r="CE75" i="100"/>
  <c r="CE39" i="100"/>
  <c r="O8" i="100"/>
  <c r="BU75" i="100"/>
  <c r="BU39" i="100"/>
  <c r="O5" i="100"/>
  <c r="DO9" i="100"/>
  <c r="DO8" i="100" s="1"/>
  <c r="AB8" i="100"/>
  <c r="AB38" i="100" s="1"/>
  <c r="DP10" i="100"/>
  <c r="AD10" i="100"/>
  <c r="BC11" i="100"/>
  <c r="BC12" i="100"/>
  <c r="BK75" i="100"/>
  <c r="BK39" i="100"/>
  <c r="CV38" i="100"/>
  <c r="R38" i="100"/>
  <c r="DI38" i="100"/>
  <c r="T41" i="100"/>
  <c r="J50" i="100"/>
  <c r="AN50" i="100"/>
  <c r="DP52" i="100"/>
  <c r="DP50" i="100" s="1"/>
  <c r="DN50" i="100"/>
  <c r="I38" i="100"/>
  <c r="S75" i="100"/>
  <c r="S39" i="100"/>
  <c r="AM38" i="100"/>
  <c r="BB5" i="100"/>
  <c r="BL38" i="100"/>
  <c r="BV38" i="100"/>
  <c r="CF75" i="100"/>
  <c r="CF39" i="100"/>
  <c r="CP38" i="100"/>
  <c r="CZ75" i="100"/>
  <c r="CZ39" i="100"/>
  <c r="DJ75" i="100"/>
  <c r="DJ39" i="100"/>
  <c r="AD6" i="100"/>
  <c r="AD5" i="100" s="1"/>
  <c r="T79" i="100"/>
  <c r="T77" i="100" s="1"/>
  <c r="R77" i="100"/>
  <c r="BB8" i="100"/>
  <c r="Y9" i="100"/>
  <c r="DP26" i="100"/>
  <c r="BM41" i="100"/>
  <c r="BN41" i="100" s="1"/>
  <c r="BN45" i="100"/>
  <c r="BW38" i="100"/>
  <c r="DA38" i="100"/>
  <c r="AI8" i="100"/>
  <c r="BH28" i="100"/>
  <c r="BW41" i="100"/>
  <c r="M5" i="100"/>
  <c r="M38" i="100" s="1"/>
  <c r="AG5" i="100"/>
  <c r="AG38" i="100" s="1"/>
  <c r="AQ38" i="100"/>
  <c r="BZ38" i="100"/>
  <c r="CJ75" i="100"/>
  <c r="CJ39" i="100"/>
  <c r="CT38" i="100"/>
  <c r="DD38" i="100"/>
  <c r="J9" i="100"/>
  <c r="AD11" i="100"/>
  <c r="N38" i="100"/>
  <c r="X38" i="100"/>
  <c r="AH75" i="100"/>
  <c r="AH39" i="100"/>
  <c r="AR38" i="100"/>
  <c r="BG38" i="100"/>
  <c r="BQ75" i="100"/>
  <c r="CA38" i="100"/>
  <c r="CK75" i="100"/>
  <c r="CK39" i="100"/>
  <c r="CU75" i="100"/>
  <c r="CU39" i="100"/>
  <c r="DE38" i="100"/>
  <c r="H8" i="100"/>
  <c r="H38" i="100" s="1"/>
  <c r="W8" i="100"/>
  <c r="W38" i="100" s="1"/>
  <c r="BF8" i="100"/>
  <c r="BM8" i="100"/>
  <c r="BM38" i="100" s="1"/>
  <c r="CB8" i="100"/>
  <c r="CB38" i="100" s="1"/>
  <c r="CQ8" i="100"/>
  <c r="DF8" i="100"/>
  <c r="DF38" i="100" s="1"/>
  <c r="AI41" i="100"/>
  <c r="CQ41" i="100"/>
  <c r="AD41" i="100"/>
  <c r="AD50" i="100"/>
  <c r="BC50" i="100"/>
  <c r="CG50" i="100"/>
  <c r="DK50" i="100"/>
  <c r="CL38" i="100"/>
  <c r="DP25" i="100"/>
  <c r="DO36" i="100"/>
  <c r="DO35" i="100" s="1"/>
  <c r="AM35" i="100"/>
  <c r="CL41" i="100"/>
  <c r="DP28" i="100"/>
  <c r="BH41" i="100"/>
  <c r="O41" i="100"/>
  <c r="DN41" i="100"/>
  <c r="BC56" i="100"/>
  <c r="BB54" i="100"/>
  <c r="T28" i="100"/>
  <c r="DP32" i="100"/>
  <c r="BC36" i="100"/>
  <c r="AS41" i="100"/>
  <c r="Y41" i="100"/>
  <c r="BC45" i="100"/>
  <c r="BA41" i="100"/>
  <c r="DP45" i="100"/>
  <c r="T35" i="100"/>
  <c r="BH50" i="100"/>
  <c r="CL50" i="100"/>
  <c r="DA54" i="100"/>
  <c r="O50" i="100"/>
  <c r="AS50" i="100"/>
  <c r="CV50" i="100"/>
  <c r="CV89" i="100" s="1"/>
  <c r="CV91" i="100" s="1"/>
  <c r="BH35" i="100"/>
  <c r="BW35" i="100"/>
  <c r="CL35" i="100"/>
  <c r="DA35" i="100"/>
  <c r="BW50" i="100"/>
  <c r="DA50" i="100"/>
  <c r="Y50" i="100"/>
  <c r="T54" i="100"/>
  <c r="DF54" i="100"/>
  <c r="DO54" i="100"/>
  <c r="DP68" i="100"/>
  <c r="BC65" i="100"/>
  <c r="BC68" i="100"/>
  <c r="BC63" i="100"/>
  <c r="BH38" i="121"/>
  <c r="S38" i="121"/>
  <c r="AL39" i="121"/>
  <c r="W38" i="121"/>
  <c r="CG38" i="121"/>
  <c r="CT75" i="121"/>
  <c r="CT39" i="121"/>
  <c r="CY6" i="121"/>
  <c r="M5" i="121"/>
  <c r="O6" i="121"/>
  <c r="O5" i="121" s="1"/>
  <c r="J9" i="121"/>
  <c r="H8" i="121"/>
  <c r="CY9" i="121"/>
  <c r="BU75" i="121"/>
  <c r="BU39" i="121"/>
  <c r="CF75" i="121"/>
  <c r="CF39" i="121"/>
  <c r="CU75" i="121"/>
  <c r="CU39" i="121"/>
  <c r="BC50" i="121"/>
  <c r="H38" i="121"/>
  <c r="BF75" i="121"/>
  <c r="BF39" i="121"/>
  <c r="E8" i="121"/>
  <c r="E38" i="121" s="1"/>
  <c r="AD9" i="121"/>
  <c r="AC8" i="121"/>
  <c r="AC38" i="121" s="1"/>
  <c r="Y28" i="121"/>
  <c r="Y8" i="121" s="1"/>
  <c r="W8" i="121"/>
  <c r="DA28" i="121"/>
  <c r="R38" i="121"/>
  <c r="BK75" i="121"/>
  <c r="BK39" i="121"/>
  <c r="BV75" i="121"/>
  <c r="BV39" i="121"/>
  <c r="CJ75" i="121"/>
  <c r="CJ39" i="121"/>
  <c r="AS8" i="121"/>
  <c r="AV75" i="121"/>
  <c r="AV39" i="121"/>
  <c r="BR38" i="121"/>
  <c r="CE75" i="121"/>
  <c r="CE39" i="121"/>
  <c r="T9" i="121"/>
  <c r="S8" i="121"/>
  <c r="BW35" i="121"/>
  <c r="AQ75" i="121"/>
  <c r="AQ39" i="121"/>
  <c r="BA75" i="121"/>
  <c r="BA39" i="121"/>
  <c r="BL75" i="121"/>
  <c r="BL39" i="121"/>
  <c r="BZ75" i="121"/>
  <c r="BZ39" i="121"/>
  <c r="CV38" i="121"/>
  <c r="CL8" i="121"/>
  <c r="CL38" i="121" s="1"/>
  <c r="CZ9" i="121"/>
  <c r="CZ8" i="121" s="1"/>
  <c r="CZ38" i="121" s="1"/>
  <c r="E35" i="121"/>
  <c r="AN36" i="121"/>
  <c r="AL35" i="121"/>
  <c r="BH35" i="121"/>
  <c r="AL50" i="121"/>
  <c r="AN51" i="121"/>
  <c r="BB75" i="121"/>
  <c r="BB39" i="121"/>
  <c r="BP38" i="121"/>
  <c r="I8" i="121"/>
  <c r="BC8" i="121"/>
  <c r="BC38" i="121" s="1"/>
  <c r="CZ41" i="121"/>
  <c r="CY35" i="121"/>
  <c r="DA36" i="121"/>
  <c r="C38" i="121"/>
  <c r="AR75" i="121"/>
  <c r="AR39" i="121"/>
  <c r="BQ75" i="121"/>
  <c r="BQ39" i="121"/>
  <c r="CO75" i="121"/>
  <c r="CO39" i="121"/>
  <c r="AS38" i="121"/>
  <c r="BW5" i="121"/>
  <c r="AM8" i="121"/>
  <c r="AM38" i="121" s="1"/>
  <c r="AN9" i="121"/>
  <c r="CG54" i="121"/>
  <c r="D75" i="121"/>
  <c r="D39" i="121"/>
  <c r="N38" i="121"/>
  <c r="X38" i="121"/>
  <c r="AW38" i="121"/>
  <c r="BG38" i="121"/>
  <c r="CA38" i="121"/>
  <c r="CK38" i="121"/>
  <c r="AX8" i="121"/>
  <c r="BM8" i="121"/>
  <c r="CB8" i="121"/>
  <c r="CB38" i="121" s="1"/>
  <c r="CQ8" i="121"/>
  <c r="AN31" i="121"/>
  <c r="DA32" i="121"/>
  <c r="AN33" i="121"/>
  <c r="AD35" i="121"/>
  <c r="BR41" i="121"/>
  <c r="AN48" i="121"/>
  <c r="AL41" i="121"/>
  <c r="AL75" i="121" s="1"/>
  <c r="BH50" i="121"/>
  <c r="AN54" i="121"/>
  <c r="DA25" i="121"/>
  <c r="AD25" i="121"/>
  <c r="O35" i="121"/>
  <c r="AM41" i="121"/>
  <c r="AN42" i="121"/>
  <c r="CL50" i="121"/>
  <c r="E54" i="121"/>
  <c r="BR54" i="121"/>
  <c r="CP38" i="121"/>
  <c r="E79" i="121"/>
  <c r="E77" i="121" s="1"/>
  <c r="C77" i="121"/>
  <c r="DA29" i="121"/>
  <c r="AD29" i="121"/>
  <c r="AS35" i="121"/>
  <c r="CL35" i="121"/>
  <c r="AS50" i="121"/>
  <c r="CG50" i="121"/>
  <c r="CG89" i="121" s="1"/>
  <c r="CG91" i="121" s="1"/>
  <c r="CL54" i="121"/>
  <c r="DA54" i="121"/>
  <c r="M8" i="121"/>
  <c r="AB8" i="121"/>
  <c r="AB38" i="121" s="1"/>
  <c r="AN25" i="121"/>
  <c r="CV41" i="121"/>
  <c r="J35" i="121"/>
  <c r="Y35" i="121"/>
  <c r="O41" i="121"/>
  <c r="AD41" i="121"/>
  <c r="AX41" i="121"/>
  <c r="BM41" i="121"/>
  <c r="CB41" i="121"/>
  <c r="CQ41" i="121"/>
  <c r="O50" i="121"/>
  <c r="CY50" i="121"/>
  <c r="DA52" i="121"/>
  <c r="AX54" i="121"/>
  <c r="CQ54" i="121"/>
  <c r="Y50" i="121"/>
  <c r="AD54" i="121"/>
  <c r="BW50" i="121"/>
  <c r="BW89" i="121" s="1"/>
  <c r="AD50" i="121"/>
  <c r="J50" i="121"/>
  <c r="BH54" i="121"/>
  <c r="O54" i="121"/>
  <c r="BM54" i="121"/>
  <c r="CY73" i="121"/>
  <c r="DA78" i="121"/>
  <c r="AX38" i="122"/>
  <c r="CB89" i="122"/>
  <c r="CB91" i="122" s="1"/>
  <c r="CU75" i="122"/>
  <c r="CU39" i="122"/>
  <c r="CB38" i="122"/>
  <c r="Y38" i="122"/>
  <c r="D75" i="122"/>
  <c r="D39" i="122"/>
  <c r="AW75" i="122"/>
  <c r="AW39" i="122"/>
  <c r="S8" i="122"/>
  <c r="T9" i="122"/>
  <c r="BR8" i="122"/>
  <c r="BR38" i="122" s="1"/>
  <c r="E8" i="122"/>
  <c r="E38" i="122" s="1"/>
  <c r="J35" i="122"/>
  <c r="CV35" i="122"/>
  <c r="N39" i="122"/>
  <c r="CL8" i="122"/>
  <c r="CL38" i="122" s="1"/>
  <c r="BC38" i="122"/>
  <c r="BC8" i="122"/>
  <c r="CV8" i="122"/>
  <c r="DA28" i="122"/>
  <c r="BP75" i="122"/>
  <c r="BP39" i="122"/>
  <c r="CA75" i="122"/>
  <c r="CA39" i="122"/>
  <c r="H8" i="122"/>
  <c r="H38" i="122" s="1"/>
  <c r="W8" i="122"/>
  <c r="AD9" i="122"/>
  <c r="BW8" i="122"/>
  <c r="BW38" i="122" s="1"/>
  <c r="AM8" i="122"/>
  <c r="AM38" i="122" s="1"/>
  <c r="AN21" i="122"/>
  <c r="BC35" i="122"/>
  <c r="CV41" i="122"/>
  <c r="N76" i="122"/>
  <c r="N81" i="122"/>
  <c r="N83" i="122" s="1"/>
  <c r="N84" i="122" s="1"/>
  <c r="N86" i="122" s="1"/>
  <c r="N87" i="122" s="1"/>
  <c r="BQ75" i="122"/>
  <c r="BQ39" i="122"/>
  <c r="CO75" i="122"/>
  <c r="CO39" i="122"/>
  <c r="BM38" i="122"/>
  <c r="CQ38" i="122"/>
  <c r="I8" i="122"/>
  <c r="CG8" i="122"/>
  <c r="AV75" i="122"/>
  <c r="AV39" i="122"/>
  <c r="BW54" i="122"/>
  <c r="AS8" i="122"/>
  <c r="AS38" i="122" s="1"/>
  <c r="X75" i="122"/>
  <c r="X39" i="122"/>
  <c r="CK75" i="122"/>
  <c r="CK39" i="122"/>
  <c r="CG38" i="122"/>
  <c r="AC38" i="122"/>
  <c r="BG75" i="122"/>
  <c r="BG39" i="122"/>
  <c r="CY6" i="122"/>
  <c r="M5" i="122"/>
  <c r="O6" i="122"/>
  <c r="O5" i="122" s="1"/>
  <c r="O38" i="122" s="1"/>
  <c r="BH8" i="122"/>
  <c r="BH38" i="122" s="1"/>
  <c r="CY9" i="122"/>
  <c r="J54" i="122"/>
  <c r="R5" i="122"/>
  <c r="R38" i="122" s="1"/>
  <c r="AQ38" i="122"/>
  <c r="BA76" i="122"/>
  <c r="BK75" i="122"/>
  <c r="BK39" i="122"/>
  <c r="BU38" i="122"/>
  <c r="CE75" i="122"/>
  <c r="CE39" i="122"/>
  <c r="AL8" i="122"/>
  <c r="J32" i="122"/>
  <c r="DA32" i="122"/>
  <c r="AN32" i="122"/>
  <c r="AN36" i="122"/>
  <c r="BL39" i="122"/>
  <c r="BC41" i="122"/>
  <c r="CB54" i="122"/>
  <c r="I38" i="122"/>
  <c r="AR38" i="122"/>
  <c r="BB75" i="122"/>
  <c r="BB39" i="122"/>
  <c r="BL76" i="122"/>
  <c r="BL81" i="122"/>
  <c r="BL83" i="122" s="1"/>
  <c r="BL84" i="122" s="1"/>
  <c r="BV38" i="122"/>
  <c r="CF76" i="122"/>
  <c r="CF81" i="122"/>
  <c r="CF83" i="122" s="1"/>
  <c r="CF84" i="122" s="1"/>
  <c r="CF86" i="122" s="1"/>
  <c r="CF87" i="122" s="1"/>
  <c r="CP75" i="122"/>
  <c r="CP39" i="122"/>
  <c r="E79" i="122"/>
  <c r="E77" i="122" s="1"/>
  <c r="C77" i="122"/>
  <c r="M8" i="122"/>
  <c r="Y35" i="122"/>
  <c r="DA44" i="122"/>
  <c r="CY41" i="122"/>
  <c r="E54" i="122"/>
  <c r="W38" i="122"/>
  <c r="AL38" i="122"/>
  <c r="BF38" i="122"/>
  <c r="BZ75" i="122"/>
  <c r="BZ39" i="122"/>
  <c r="CJ38" i="122"/>
  <c r="CT75" i="122"/>
  <c r="CT39" i="122"/>
  <c r="J28" i="122"/>
  <c r="DA29" i="122"/>
  <c r="AD29" i="122"/>
  <c r="CF39" i="122"/>
  <c r="BR41" i="122"/>
  <c r="AD41" i="122"/>
  <c r="DA36" i="122"/>
  <c r="CG41" i="122"/>
  <c r="CV50" i="122"/>
  <c r="AN60" i="122"/>
  <c r="AL54" i="122"/>
  <c r="O35" i="122"/>
  <c r="AD35" i="122"/>
  <c r="AN43" i="122"/>
  <c r="DA47" i="122"/>
  <c r="DA41" i="122" s="1"/>
  <c r="AN48" i="122"/>
  <c r="DA51" i="122"/>
  <c r="CY50" i="122"/>
  <c r="AD54" i="122"/>
  <c r="BC54" i="122"/>
  <c r="CV54" i="122"/>
  <c r="AN57" i="122"/>
  <c r="AN54" i="122" s="1"/>
  <c r="DA58" i="122"/>
  <c r="AN46" i="122"/>
  <c r="BC50" i="122"/>
  <c r="DA52" i="122"/>
  <c r="BM54" i="122"/>
  <c r="O54" i="122"/>
  <c r="CY54" i="122"/>
  <c r="DA55" i="122"/>
  <c r="CG54" i="122"/>
  <c r="T54" i="122"/>
  <c r="AN50" i="122"/>
  <c r="CZ54" i="122"/>
  <c r="AX54" i="122"/>
  <c r="CQ54" i="122"/>
  <c r="BA75" i="123"/>
  <c r="BA39" i="123"/>
  <c r="BR38" i="123"/>
  <c r="CV38" i="123"/>
  <c r="CA75" i="123"/>
  <c r="CA39" i="123"/>
  <c r="AQ75" i="123"/>
  <c r="AQ39" i="123"/>
  <c r="AS8" i="123"/>
  <c r="CL8" i="123"/>
  <c r="CL38" i="123" s="1"/>
  <c r="DA28" i="123"/>
  <c r="AC75" i="123"/>
  <c r="AC39" i="123"/>
  <c r="BK75" i="123"/>
  <c r="BK39" i="123"/>
  <c r="CY6" i="123"/>
  <c r="M5" i="123"/>
  <c r="M38" i="123" s="1"/>
  <c r="CZ9" i="123"/>
  <c r="CZ8" i="123" s="1"/>
  <c r="T9" i="123"/>
  <c r="BH8" i="123"/>
  <c r="CK75" i="123"/>
  <c r="CK39" i="123"/>
  <c r="AN6" i="123"/>
  <c r="AN5" i="123" s="1"/>
  <c r="AR75" i="123"/>
  <c r="AR39" i="123"/>
  <c r="CO38" i="123"/>
  <c r="AM8" i="123"/>
  <c r="AM38" i="123" s="1"/>
  <c r="AD9" i="123"/>
  <c r="J8" i="123"/>
  <c r="J38" i="123" s="1"/>
  <c r="CB8" i="123"/>
  <c r="AL35" i="123"/>
  <c r="AN36" i="123"/>
  <c r="R75" i="123"/>
  <c r="R39" i="123"/>
  <c r="AX38" i="123"/>
  <c r="CU75" i="123"/>
  <c r="CU39" i="123"/>
  <c r="DA9" i="123"/>
  <c r="BB75" i="123"/>
  <c r="BB39" i="123"/>
  <c r="S8" i="123"/>
  <c r="BW8" i="123"/>
  <c r="AN11" i="123"/>
  <c r="AL8" i="123"/>
  <c r="AL38" i="123" s="1"/>
  <c r="DA18" i="123"/>
  <c r="O18" i="123"/>
  <c r="O8" i="123" s="1"/>
  <c r="E38" i="123"/>
  <c r="O6" i="123"/>
  <c r="O5" i="123" s="1"/>
  <c r="CQ8" i="123"/>
  <c r="Y18" i="123"/>
  <c r="CE75" i="123"/>
  <c r="CE39" i="123"/>
  <c r="BC38" i="123"/>
  <c r="CG38" i="123"/>
  <c r="AB38" i="123"/>
  <c r="BH38" i="123"/>
  <c r="BU75" i="123"/>
  <c r="BU39" i="123"/>
  <c r="CT75" i="123"/>
  <c r="CT39" i="123"/>
  <c r="BM8" i="123"/>
  <c r="AN28" i="123"/>
  <c r="E41" i="123"/>
  <c r="C38" i="123"/>
  <c r="W38" i="123"/>
  <c r="AV38" i="123"/>
  <c r="BF75" i="123"/>
  <c r="BF39" i="123"/>
  <c r="BP38" i="123"/>
  <c r="BZ38" i="123"/>
  <c r="CJ75" i="123"/>
  <c r="CJ39" i="123"/>
  <c r="AN42" i="123"/>
  <c r="AL41" i="123"/>
  <c r="CG41" i="123"/>
  <c r="CB54" i="123"/>
  <c r="D38" i="123"/>
  <c r="N81" i="123"/>
  <c r="N83" i="123" s="1"/>
  <c r="N84" i="123" s="1"/>
  <c r="N86" i="123" s="1"/>
  <c r="N87" i="123" s="1"/>
  <c r="N76" i="123"/>
  <c r="X75" i="123"/>
  <c r="X39" i="123"/>
  <c r="AW75" i="123"/>
  <c r="AW39" i="123"/>
  <c r="BG75" i="123"/>
  <c r="BG39" i="123"/>
  <c r="BQ38" i="123"/>
  <c r="DA20" i="123"/>
  <c r="AN29" i="123"/>
  <c r="O41" i="123"/>
  <c r="CL41" i="123"/>
  <c r="Y54" i="123"/>
  <c r="AX54" i="123"/>
  <c r="I75" i="123"/>
  <c r="I39" i="123"/>
  <c r="S38" i="123"/>
  <c r="BV75" i="123"/>
  <c r="BV39" i="123"/>
  <c r="CF38" i="123"/>
  <c r="CP75" i="123"/>
  <c r="CP39" i="123"/>
  <c r="CZ38" i="123"/>
  <c r="N39" i="123"/>
  <c r="CB41" i="123"/>
  <c r="CZ41" i="123"/>
  <c r="DA42" i="123"/>
  <c r="T41" i="123"/>
  <c r="Y50" i="123"/>
  <c r="AX50" i="123"/>
  <c r="CB50" i="123"/>
  <c r="DA43" i="123"/>
  <c r="CY41" i="123"/>
  <c r="AN24" i="123"/>
  <c r="T35" i="123"/>
  <c r="AS41" i="123"/>
  <c r="BR41" i="123"/>
  <c r="E54" i="123"/>
  <c r="BC50" i="123"/>
  <c r="CG50" i="123"/>
  <c r="DA50" i="123"/>
  <c r="CG35" i="123"/>
  <c r="BH54" i="123"/>
  <c r="CQ41" i="123"/>
  <c r="AN47" i="123"/>
  <c r="Y41" i="123"/>
  <c r="BM41" i="123"/>
  <c r="BW41" i="123"/>
  <c r="T54" i="123"/>
  <c r="BR54" i="123"/>
  <c r="BR50" i="123"/>
  <c r="CV50" i="123"/>
  <c r="AS50" i="123"/>
  <c r="J54" i="123"/>
  <c r="AS54" i="123"/>
  <c r="T50" i="123"/>
  <c r="AN60" i="123"/>
  <c r="E50" i="123"/>
  <c r="AL50" i="123"/>
  <c r="AN52" i="123"/>
  <c r="O54" i="123"/>
  <c r="BW54" i="123"/>
  <c r="AN57" i="123"/>
  <c r="DA58" i="123"/>
  <c r="J50" i="123"/>
  <c r="BM50" i="123"/>
  <c r="CQ50" i="123"/>
  <c r="AL54" i="123"/>
  <c r="AM54" i="123"/>
  <c r="CL54" i="123"/>
  <c r="O50" i="123"/>
  <c r="AD50" i="123"/>
  <c r="BH50" i="123"/>
  <c r="BW50" i="123"/>
  <c r="CL50" i="123"/>
  <c r="AN64" i="123"/>
  <c r="AN78" i="123"/>
  <c r="AN82" i="123"/>
  <c r="CZ65" i="123"/>
  <c r="DA65" i="123" s="1"/>
  <c r="D75" i="124"/>
  <c r="D39" i="124"/>
  <c r="AM39" i="124"/>
  <c r="X75" i="124"/>
  <c r="X39" i="124"/>
  <c r="AV75" i="124"/>
  <c r="AV39" i="124"/>
  <c r="CF75" i="124"/>
  <c r="CF39" i="124"/>
  <c r="CA75" i="124"/>
  <c r="CA39" i="124"/>
  <c r="BH38" i="124"/>
  <c r="BG76" i="124"/>
  <c r="BG81" i="124"/>
  <c r="BG83" i="124" s="1"/>
  <c r="BG84" i="124" s="1"/>
  <c r="C75" i="124"/>
  <c r="C39" i="124"/>
  <c r="BB75" i="124"/>
  <c r="BB39" i="124"/>
  <c r="BP75" i="124"/>
  <c r="BP39" i="124"/>
  <c r="E79" i="124"/>
  <c r="E77" i="124" s="1"/>
  <c r="C77" i="124"/>
  <c r="N8" i="124"/>
  <c r="N38" i="124" s="1"/>
  <c r="AQ75" i="124"/>
  <c r="AQ39" i="124"/>
  <c r="AN42" i="124"/>
  <c r="AL41" i="124"/>
  <c r="AR38" i="124"/>
  <c r="BF75" i="124"/>
  <c r="BF39" i="124"/>
  <c r="BQ38" i="124"/>
  <c r="AN6" i="124"/>
  <c r="AN5" i="124" s="1"/>
  <c r="BM5" i="124"/>
  <c r="CQ5" i="124"/>
  <c r="AX8" i="124"/>
  <c r="BR8" i="124"/>
  <c r="CQ8" i="124"/>
  <c r="O18" i="124"/>
  <c r="M8" i="124"/>
  <c r="DA18" i="124"/>
  <c r="AC75" i="124"/>
  <c r="AC39" i="124"/>
  <c r="AD8" i="124"/>
  <c r="S75" i="124"/>
  <c r="S39" i="124"/>
  <c r="AL5" i="124"/>
  <c r="AL38" i="124" s="1"/>
  <c r="AW75" i="124"/>
  <c r="AW39" i="124"/>
  <c r="CT39" i="124"/>
  <c r="CT75" i="124"/>
  <c r="BW5" i="124"/>
  <c r="CY6" i="124"/>
  <c r="BC8" i="124"/>
  <c r="CB8" i="124"/>
  <c r="CV8" i="124"/>
  <c r="Y18" i="124"/>
  <c r="Y8" i="124" s="1"/>
  <c r="Y38" i="124" s="1"/>
  <c r="W8" i="124"/>
  <c r="W38" i="124" s="1"/>
  <c r="BZ39" i="124"/>
  <c r="CB41" i="124"/>
  <c r="CP75" i="124"/>
  <c r="CP39" i="124"/>
  <c r="DA42" i="124"/>
  <c r="CY41" i="124"/>
  <c r="I38" i="124"/>
  <c r="AX38" i="124"/>
  <c r="BV75" i="124"/>
  <c r="BV39" i="124"/>
  <c r="CJ75" i="124"/>
  <c r="CJ39" i="124"/>
  <c r="CU75" i="124"/>
  <c r="CU39" i="124"/>
  <c r="AS8" i="124"/>
  <c r="AS38" i="124" s="1"/>
  <c r="CL8" i="124"/>
  <c r="CL38" i="124" s="1"/>
  <c r="CY8" i="124"/>
  <c r="J32" i="124"/>
  <c r="J8" i="124" s="1"/>
  <c r="AN35" i="124"/>
  <c r="BR38" i="124"/>
  <c r="O8" i="124"/>
  <c r="BG39" i="124"/>
  <c r="O41" i="124"/>
  <c r="M5" i="124"/>
  <c r="BL75" i="124"/>
  <c r="BL39" i="124"/>
  <c r="BZ81" i="124"/>
  <c r="BZ83" i="124" s="1"/>
  <c r="BZ84" i="124" s="1"/>
  <c r="BZ86" i="124" s="1"/>
  <c r="BZ87" i="124" s="1"/>
  <c r="BZ76" i="124"/>
  <c r="CK38" i="124"/>
  <c r="CV38" i="124"/>
  <c r="BC38" i="124"/>
  <c r="CG38" i="124"/>
  <c r="AL8" i="124"/>
  <c r="CZ9" i="124"/>
  <c r="T8" i="124"/>
  <c r="BM8" i="124"/>
  <c r="CG8" i="124"/>
  <c r="BR35" i="124"/>
  <c r="AN24" i="124"/>
  <c r="AN25" i="124"/>
  <c r="AN8" i="124" s="1"/>
  <c r="DA27" i="124"/>
  <c r="AN29" i="124"/>
  <c r="Y35" i="124"/>
  <c r="AX41" i="124"/>
  <c r="CG41" i="124"/>
  <c r="CZ41" i="124"/>
  <c r="J41" i="124"/>
  <c r="DA51" i="124"/>
  <c r="CZ50" i="124"/>
  <c r="CQ54" i="124"/>
  <c r="O54" i="124"/>
  <c r="DA32" i="124"/>
  <c r="J35" i="124"/>
  <c r="BU81" i="124"/>
  <c r="BU83" i="124" s="1"/>
  <c r="BU84" i="124" s="1"/>
  <c r="BU86" i="124" s="1"/>
  <c r="BU87" i="124" s="1"/>
  <c r="BU76" i="124"/>
  <c r="CL41" i="124"/>
  <c r="AD41" i="124"/>
  <c r="BM41" i="124"/>
  <c r="DA28" i="124"/>
  <c r="E28" i="124"/>
  <c r="E8" i="124" s="1"/>
  <c r="CO75" i="124"/>
  <c r="CO39" i="124"/>
  <c r="AB39" i="124"/>
  <c r="E41" i="124"/>
  <c r="AS41" i="124"/>
  <c r="CQ41" i="124"/>
  <c r="T41" i="124"/>
  <c r="BU39" i="124"/>
  <c r="BW41" i="124"/>
  <c r="AM54" i="124"/>
  <c r="AM75" i="124" s="1"/>
  <c r="R38" i="124"/>
  <c r="AB76" i="124"/>
  <c r="BA38" i="124"/>
  <c r="BK75" i="124"/>
  <c r="BK39" i="124"/>
  <c r="CE38" i="124"/>
  <c r="DA21" i="124"/>
  <c r="BC35" i="124"/>
  <c r="BM54" i="124"/>
  <c r="J54" i="124"/>
  <c r="T54" i="124"/>
  <c r="DA36" i="124"/>
  <c r="CZ54" i="124"/>
  <c r="DA57" i="124"/>
  <c r="AN59" i="124"/>
  <c r="DA66" i="124"/>
  <c r="CV54" i="124"/>
  <c r="BH54" i="124"/>
  <c r="AN56" i="124"/>
  <c r="CB54" i="124"/>
  <c r="Y54" i="124"/>
  <c r="AN52" i="124"/>
  <c r="AN50" i="124" s="1"/>
  <c r="BC54" i="124"/>
  <c r="CG54" i="124"/>
  <c r="CY54" i="124"/>
  <c r="DA68" i="124"/>
  <c r="DA60" i="124"/>
  <c r="AN62" i="124"/>
  <c r="AX54" i="124"/>
  <c r="AD54" i="124"/>
  <c r="AL54" i="124"/>
  <c r="BW54" i="124"/>
  <c r="CL54" i="124"/>
  <c r="AN82" i="124"/>
  <c r="C75" i="122" l="1"/>
  <c r="C39" i="122"/>
  <c r="H75" i="124"/>
  <c r="H76" i="124" s="1"/>
  <c r="H39" i="124"/>
  <c r="AL75" i="100"/>
  <c r="AL39" i="100"/>
  <c r="C77" i="123"/>
  <c r="E79" i="123"/>
  <c r="E77" i="123" s="1"/>
  <c r="H75" i="123"/>
  <c r="H39" i="123"/>
  <c r="AB39" i="122"/>
  <c r="AB75" i="122"/>
  <c r="CG89" i="123"/>
  <c r="CG91" i="123" s="1"/>
  <c r="BE82" i="125"/>
  <c r="CZ54" i="123"/>
  <c r="AW75" i="125"/>
  <c r="BL75" i="123"/>
  <c r="BL39" i="123"/>
  <c r="AH38" i="125"/>
  <c r="AH39" i="125" s="1"/>
  <c r="DN18" i="125"/>
  <c r="T18" i="125"/>
  <c r="O38" i="123"/>
  <c r="AN8" i="122"/>
  <c r="BE59" i="125"/>
  <c r="BE29" i="125"/>
  <c r="BE51" i="125"/>
  <c r="AS32" i="125"/>
  <c r="O38" i="121"/>
  <c r="BE64" i="125"/>
  <c r="BC38" i="82"/>
  <c r="Y9" i="125"/>
  <c r="BE33" i="125"/>
  <c r="O9" i="106"/>
  <c r="O8" i="106" s="1"/>
  <c r="O38" i="106" s="1"/>
  <c r="M8" i="106"/>
  <c r="M38" i="106" s="1"/>
  <c r="BE21" i="125"/>
  <c r="DA89" i="100"/>
  <c r="DA91" i="100" s="1"/>
  <c r="BE62" i="125"/>
  <c r="DF98" i="82"/>
  <c r="BC13" i="125"/>
  <c r="BE13" i="125" s="1"/>
  <c r="Y32" i="125"/>
  <c r="Y8" i="125" s="1"/>
  <c r="Y38" i="125" s="1"/>
  <c r="BC10" i="125"/>
  <c r="BE10" i="125" s="1"/>
  <c r="BC24" i="125"/>
  <c r="BE24" i="125" s="1"/>
  <c r="BE65" i="125"/>
  <c r="BE12" i="125"/>
  <c r="DP10" i="125"/>
  <c r="BC45" i="125"/>
  <c r="BE45" i="125" s="1"/>
  <c r="BC31" i="125"/>
  <c r="BE31" i="125" s="1"/>
  <c r="BR8" i="125"/>
  <c r="DP43" i="125"/>
  <c r="BC22" i="125"/>
  <c r="BE22" i="125" s="1"/>
  <c r="DP64" i="125"/>
  <c r="BC67" i="125"/>
  <c r="BE67" i="125" s="1"/>
  <c r="BC66" i="125"/>
  <c r="BE66" i="125" s="1"/>
  <c r="BR54" i="125"/>
  <c r="DO50" i="125"/>
  <c r="BC19" i="125"/>
  <c r="BE19" i="125" s="1"/>
  <c r="BC47" i="125"/>
  <c r="BE47" i="125" s="1"/>
  <c r="DP27" i="125"/>
  <c r="DP15" i="125"/>
  <c r="BP38" i="125"/>
  <c r="DO5" i="125"/>
  <c r="CP75" i="125"/>
  <c r="CP39" i="125"/>
  <c r="BC63" i="125"/>
  <c r="BE63" i="125" s="1"/>
  <c r="CE75" i="125"/>
  <c r="BW8" i="125"/>
  <c r="BW38" i="125" s="1"/>
  <c r="DP32" i="125"/>
  <c r="AD5" i="125"/>
  <c r="AI54" i="125"/>
  <c r="AV38" i="125"/>
  <c r="DP26" i="125"/>
  <c r="DJ75" i="125"/>
  <c r="BZ38" i="125"/>
  <c r="CL5" i="125"/>
  <c r="CL38" i="125" s="1"/>
  <c r="CG8" i="125"/>
  <c r="CG38" i="125" s="1"/>
  <c r="CF39" i="125"/>
  <c r="CF75" i="125"/>
  <c r="DP57" i="125"/>
  <c r="CV54" i="125"/>
  <c r="DP45" i="125"/>
  <c r="BC7" i="125"/>
  <c r="BE7" i="125" s="1"/>
  <c r="CV8" i="125"/>
  <c r="CV38" i="125" s="1"/>
  <c r="CV39" i="125" s="1"/>
  <c r="DP47" i="125"/>
  <c r="BC43" i="125"/>
  <c r="BE43" i="125" s="1"/>
  <c r="DP71" i="125"/>
  <c r="BC48" i="125"/>
  <c r="BE48" i="125" s="1"/>
  <c r="BC11" i="125"/>
  <c r="BE11" i="125" s="1"/>
  <c r="BC71" i="125"/>
  <c r="DP30" i="125"/>
  <c r="BL38" i="125"/>
  <c r="DK8" i="125"/>
  <c r="DK38" i="125" s="1"/>
  <c r="CZ75" i="125"/>
  <c r="CZ76" i="125" s="1"/>
  <c r="DP7" i="125"/>
  <c r="BC27" i="125"/>
  <c r="BE27" i="125" s="1"/>
  <c r="BC28" i="125"/>
  <c r="BC9" i="125"/>
  <c r="BE9" i="125" s="1"/>
  <c r="BE68" i="125"/>
  <c r="R75" i="125"/>
  <c r="R39" i="125"/>
  <c r="DP70" i="125"/>
  <c r="T81" i="106"/>
  <c r="T83" i="106" s="1"/>
  <c r="T84" i="106" s="1"/>
  <c r="T86" i="106" s="1"/>
  <c r="T87" i="106" s="1"/>
  <c r="T76" i="106"/>
  <c r="BC76" i="106"/>
  <c r="Y54" i="125"/>
  <c r="AS76" i="106"/>
  <c r="J76" i="106"/>
  <c r="AI76" i="106"/>
  <c r="Y81" i="106"/>
  <c r="Y83" i="106" s="1"/>
  <c r="Y84" i="106" s="1"/>
  <c r="Y86" i="106" s="1"/>
  <c r="Y87" i="106" s="1"/>
  <c r="Y76" i="106"/>
  <c r="DP76" i="106"/>
  <c r="AN54" i="125"/>
  <c r="BV39" i="125"/>
  <c r="BC60" i="125"/>
  <c r="BE60" i="125" s="1"/>
  <c r="BC56" i="125"/>
  <c r="BE56" i="125" s="1"/>
  <c r="AD76" i="129"/>
  <c r="DP46" i="125"/>
  <c r="DP44" i="125"/>
  <c r="DP63" i="125"/>
  <c r="BC32" i="125"/>
  <c r="BE32" i="125" s="1"/>
  <c r="BH41" i="125"/>
  <c r="CQ76" i="129"/>
  <c r="AS38" i="82"/>
  <c r="AI75" i="82"/>
  <c r="AI39" i="82"/>
  <c r="Y75" i="82"/>
  <c r="Y39" i="82"/>
  <c r="BC75" i="82"/>
  <c r="BC39" i="82"/>
  <c r="DY75" i="82"/>
  <c r="DY39" i="82"/>
  <c r="CO76" i="82"/>
  <c r="AW76" i="82"/>
  <c r="AW81" i="82"/>
  <c r="AW83" i="82" s="1"/>
  <c r="AW84" i="82" s="1"/>
  <c r="AW86" i="82" s="1"/>
  <c r="AW87" i="82" s="1"/>
  <c r="DN81" i="82"/>
  <c r="DN83" i="82" s="1"/>
  <c r="DN84" i="82" s="1"/>
  <c r="DN86" i="82" s="1"/>
  <c r="DN87" i="82" s="1"/>
  <c r="DN76" i="82"/>
  <c r="AN54" i="82"/>
  <c r="DA98" i="82"/>
  <c r="EE43" i="82"/>
  <c r="ED76" i="82"/>
  <c r="ED81" i="82"/>
  <c r="ED83" i="82" s="1"/>
  <c r="ED84" i="82" s="1"/>
  <c r="ED86" i="82" s="1"/>
  <c r="DE75" i="82"/>
  <c r="DE39" i="82"/>
  <c r="E89" i="82"/>
  <c r="F8" i="82" s="1"/>
  <c r="CJ76" i="82"/>
  <c r="D75" i="82"/>
  <c r="D39" i="82"/>
  <c r="DZ16" i="82"/>
  <c r="DZ8" i="82" s="1"/>
  <c r="AM81" i="82"/>
  <c r="AM83" i="82" s="1"/>
  <c r="AM84" i="82" s="1"/>
  <c r="AM86" i="82" s="1"/>
  <c r="AM87" i="82" s="1"/>
  <c r="AM76" i="82"/>
  <c r="DA75" i="82"/>
  <c r="DA39" i="82"/>
  <c r="BQ81" i="82"/>
  <c r="BQ83" i="82" s="1"/>
  <c r="BQ84" i="82" s="1"/>
  <c r="BQ86" i="82" s="1"/>
  <c r="BQ87" i="82" s="1"/>
  <c r="BQ76" i="82"/>
  <c r="AG38" i="82"/>
  <c r="AN38" i="82"/>
  <c r="AC81" i="82"/>
  <c r="AC83" i="82" s="1"/>
  <c r="AC84" i="82" s="1"/>
  <c r="AC86" i="82" s="1"/>
  <c r="AC87" i="82" s="1"/>
  <c r="AC76" i="82"/>
  <c r="DY41" i="82"/>
  <c r="DI75" i="82"/>
  <c r="DI39" i="82"/>
  <c r="AV75" i="82"/>
  <c r="AV39" i="82"/>
  <c r="AS41" i="82"/>
  <c r="CK75" i="82"/>
  <c r="CK39" i="82"/>
  <c r="S75" i="82"/>
  <c r="S39" i="82"/>
  <c r="DZ6" i="82"/>
  <c r="DX5" i="82"/>
  <c r="CP81" i="82"/>
  <c r="CP83" i="82" s="1"/>
  <c r="CP84" i="82" s="1"/>
  <c r="CP86" i="82" s="1"/>
  <c r="CP87" i="82" s="1"/>
  <c r="CP76" i="82"/>
  <c r="DZ35" i="82"/>
  <c r="CQ75" i="82"/>
  <c r="CQ39" i="82"/>
  <c r="DS76" i="82"/>
  <c r="DZ74" i="82"/>
  <c r="DZ73" i="82" s="1"/>
  <c r="DX73" i="82"/>
  <c r="DX54" i="82"/>
  <c r="AL75" i="82"/>
  <c r="AL39" i="82"/>
  <c r="F41" i="82"/>
  <c r="DF75" i="82"/>
  <c r="DF39" i="82"/>
  <c r="DZ41" i="82"/>
  <c r="CA75" i="82"/>
  <c r="CA39" i="82"/>
  <c r="AB75" i="82"/>
  <c r="AB39" i="82"/>
  <c r="BV81" i="82"/>
  <c r="BV83" i="82" s="1"/>
  <c r="BV84" i="82" s="1"/>
  <c r="BV86" i="82" s="1"/>
  <c r="BV87" i="82" s="1"/>
  <c r="BV76" i="82"/>
  <c r="CU81" i="82"/>
  <c r="CU83" i="82" s="1"/>
  <c r="CU84" i="82" s="1"/>
  <c r="CU86" i="82" s="1"/>
  <c r="CU87" i="82" s="1"/>
  <c r="CU76" i="82"/>
  <c r="CZ81" i="82"/>
  <c r="CZ83" i="82" s="1"/>
  <c r="CZ84" i="82" s="1"/>
  <c r="CZ86" i="82" s="1"/>
  <c r="CZ87" i="82" s="1"/>
  <c r="CZ76" i="82"/>
  <c r="DK38" i="82"/>
  <c r="BW75" i="82"/>
  <c r="BW39" i="82"/>
  <c r="DT81" i="82"/>
  <c r="DT83" i="82" s="1"/>
  <c r="DT84" i="82" s="1"/>
  <c r="DT86" i="82" s="1"/>
  <c r="DT87" i="82" s="1"/>
  <c r="DT76" i="82"/>
  <c r="BA76" i="82"/>
  <c r="EE8" i="82"/>
  <c r="EE38" i="82" s="1"/>
  <c r="CV38" i="82"/>
  <c r="I76" i="82"/>
  <c r="I81" i="82"/>
  <c r="I83" i="82" s="1"/>
  <c r="I84" i="82" s="1"/>
  <c r="I86" i="82" s="1"/>
  <c r="I87" i="82" s="1"/>
  <c r="J89" i="82"/>
  <c r="K8" i="82" s="1"/>
  <c r="H76" i="82"/>
  <c r="H81" i="82"/>
  <c r="H83" i="82" s="1"/>
  <c r="H84" i="82" s="1"/>
  <c r="H86" i="82" s="1"/>
  <c r="H87" i="82" s="1"/>
  <c r="CL38" i="82"/>
  <c r="DO75" i="82"/>
  <c r="DO39" i="82"/>
  <c r="E75" i="82"/>
  <c r="F38" i="82"/>
  <c r="E39" i="82"/>
  <c r="F39" i="82" s="1"/>
  <c r="F73" i="82"/>
  <c r="EE59" i="82"/>
  <c r="BM54" i="82"/>
  <c r="R75" i="82"/>
  <c r="R39" i="82"/>
  <c r="K41" i="82"/>
  <c r="BB38" i="82"/>
  <c r="F54" i="82"/>
  <c r="DU75" i="82"/>
  <c r="DU39" i="82"/>
  <c r="AQ38" i="82"/>
  <c r="X81" i="82"/>
  <c r="X83" i="82" s="1"/>
  <c r="X84" i="82" s="1"/>
  <c r="X86" i="82" s="1"/>
  <c r="X87" i="82" s="1"/>
  <c r="X76" i="82"/>
  <c r="J75" i="82"/>
  <c r="J39" i="82"/>
  <c r="BP76" i="82"/>
  <c r="DD76" i="82"/>
  <c r="DP89" i="82"/>
  <c r="DP91" i="82" s="1"/>
  <c r="W76" i="82"/>
  <c r="EE54" i="82"/>
  <c r="CE75" i="82"/>
  <c r="CE39" i="82"/>
  <c r="EE41" i="82"/>
  <c r="CB38" i="82"/>
  <c r="AR75" i="82"/>
  <c r="AR39" i="82"/>
  <c r="C75" i="82"/>
  <c r="C39" i="82"/>
  <c r="BK75" i="82"/>
  <c r="BK39" i="82"/>
  <c r="DJ81" i="82"/>
  <c r="DJ83" i="82" s="1"/>
  <c r="DJ84" i="82" s="1"/>
  <c r="DJ86" i="82" s="1"/>
  <c r="DJ87" i="82" s="1"/>
  <c r="DJ76" i="82"/>
  <c r="AD8" i="82"/>
  <c r="AD38" i="82" s="1"/>
  <c r="T8" i="82"/>
  <c r="CF81" i="82"/>
  <c r="CF83" i="82" s="1"/>
  <c r="CF84" i="82" s="1"/>
  <c r="CF86" i="82" s="1"/>
  <c r="CF87" i="82" s="1"/>
  <c r="CF76" i="82"/>
  <c r="CG38" i="82"/>
  <c r="AX38" i="82"/>
  <c r="CT76" i="82"/>
  <c r="AH76" i="82"/>
  <c r="AH81" i="82"/>
  <c r="AH83" i="82" s="1"/>
  <c r="AH84" i="82" s="1"/>
  <c r="AH86" i="82" s="1"/>
  <c r="AH87" i="82" s="1"/>
  <c r="DP38" i="82"/>
  <c r="BR38" i="82"/>
  <c r="BZ76" i="82"/>
  <c r="BM38" i="82"/>
  <c r="BL38" i="82"/>
  <c r="DP51" i="125"/>
  <c r="DP18" i="125"/>
  <c r="DP12" i="125"/>
  <c r="BC70" i="125"/>
  <c r="BE70" i="125" s="1"/>
  <c r="DO8" i="125"/>
  <c r="DO38" i="125" s="1"/>
  <c r="DO39" i="125" s="1"/>
  <c r="BC16" i="125"/>
  <c r="BE16" i="125" s="1"/>
  <c r="BH8" i="125"/>
  <c r="BH38" i="125" s="1"/>
  <c r="DP56" i="125"/>
  <c r="DP52" i="125"/>
  <c r="DN50" i="125"/>
  <c r="CQ8" i="125"/>
  <c r="DN5" i="125"/>
  <c r="DP6" i="125"/>
  <c r="DP5" i="125" s="1"/>
  <c r="AM75" i="125"/>
  <c r="AM39" i="125"/>
  <c r="AB75" i="125"/>
  <c r="AB39" i="125"/>
  <c r="BC78" i="125"/>
  <c r="BE78" i="125" s="1"/>
  <c r="AD54" i="125"/>
  <c r="DO54" i="125"/>
  <c r="CV41" i="125"/>
  <c r="CG41" i="125"/>
  <c r="BQ75" i="125"/>
  <c r="BQ39" i="125"/>
  <c r="DF8" i="125"/>
  <c r="BF75" i="125"/>
  <c r="BF39" i="125"/>
  <c r="BA8" i="125"/>
  <c r="BC57" i="125"/>
  <c r="BE57" i="125" s="1"/>
  <c r="DK54" i="125"/>
  <c r="DA54" i="125"/>
  <c r="DD75" i="125"/>
  <c r="DD39" i="125"/>
  <c r="DN73" i="125"/>
  <c r="DP74" i="125"/>
  <c r="DP73" i="125" s="1"/>
  <c r="CG54" i="125"/>
  <c r="AX54" i="125"/>
  <c r="BB54" i="125"/>
  <c r="AL75" i="125"/>
  <c r="AL39" i="125"/>
  <c r="BM8" i="125"/>
  <c r="DE75" i="125"/>
  <c r="DE39" i="125"/>
  <c r="BB77" i="125"/>
  <c r="DP59" i="125"/>
  <c r="R77" i="125"/>
  <c r="T79" i="125"/>
  <c r="T77" i="125" s="1"/>
  <c r="DP36" i="125"/>
  <c r="DN35" i="125"/>
  <c r="DI75" i="125"/>
  <c r="DI39" i="125"/>
  <c r="CY75" i="125"/>
  <c r="CY39" i="125"/>
  <c r="AG75" i="125"/>
  <c r="AG39" i="125"/>
  <c r="BL75" i="125"/>
  <c r="BL39" i="125"/>
  <c r="DO77" i="125"/>
  <c r="BC52" i="125"/>
  <c r="BE52" i="125" s="1"/>
  <c r="BA50" i="125"/>
  <c r="AI50" i="125"/>
  <c r="T54" i="125"/>
  <c r="AS35" i="125"/>
  <c r="BB41" i="125"/>
  <c r="BP75" i="125"/>
  <c r="BP39" i="125"/>
  <c r="CG39" i="125"/>
  <c r="DP62" i="125"/>
  <c r="DP61" i="125"/>
  <c r="BC61" i="125"/>
  <c r="BE61" i="125" s="1"/>
  <c r="DP55" i="125"/>
  <c r="DN54" i="125"/>
  <c r="CB54" i="125"/>
  <c r="BM41" i="125"/>
  <c r="DF50" i="125"/>
  <c r="DP29" i="125"/>
  <c r="AS54" i="125"/>
  <c r="AD41" i="125"/>
  <c r="BC46" i="125"/>
  <c r="BE46" i="125" s="1"/>
  <c r="CT75" i="125"/>
  <c r="CT39" i="125"/>
  <c r="S75" i="125"/>
  <c r="BC14" i="125"/>
  <c r="BE14" i="125" s="1"/>
  <c r="AI8" i="125"/>
  <c r="AI38" i="125" s="1"/>
  <c r="CE76" i="125"/>
  <c r="W75" i="125"/>
  <c r="W39" i="125"/>
  <c r="BC18" i="125"/>
  <c r="BE18" i="125" s="1"/>
  <c r="CU75" i="125"/>
  <c r="CU39" i="125"/>
  <c r="AV75" i="125"/>
  <c r="AV39" i="125"/>
  <c r="CP81" i="125"/>
  <c r="CP83" i="125" s="1"/>
  <c r="CP84" i="125" s="1"/>
  <c r="CP86" i="125" s="1"/>
  <c r="CP87" i="125" s="1"/>
  <c r="CP76" i="125"/>
  <c r="BM35" i="125"/>
  <c r="CJ75" i="125"/>
  <c r="CJ39" i="125"/>
  <c r="T8" i="125"/>
  <c r="T38" i="125" s="1"/>
  <c r="BU75" i="125"/>
  <c r="BU39" i="125"/>
  <c r="BB8" i="125"/>
  <c r="BB38" i="125" s="1"/>
  <c r="BC6" i="125"/>
  <c r="BE6" i="125" s="1"/>
  <c r="AR81" i="125"/>
  <c r="AR83" i="125" s="1"/>
  <c r="AR84" i="125" s="1"/>
  <c r="AR86" i="125" s="1"/>
  <c r="AR87" i="125" s="1"/>
  <c r="AR76" i="125"/>
  <c r="BE71" i="125"/>
  <c r="DP65" i="125"/>
  <c r="T50" i="125"/>
  <c r="DO41" i="125"/>
  <c r="BC36" i="125"/>
  <c r="BE36" i="125" s="1"/>
  <c r="BA35" i="125"/>
  <c r="AX41" i="125"/>
  <c r="DF35" i="125"/>
  <c r="BC25" i="125"/>
  <c r="BE25" i="125" s="1"/>
  <c r="BZ75" i="125"/>
  <c r="BZ39" i="125"/>
  <c r="BG75" i="125"/>
  <c r="BG39" i="125"/>
  <c r="DP20" i="125"/>
  <c r="BK75" i="125"/>
  <c r="BK39" i="125"/>
  <c r="AC75" i="125"/>
  <c r="AC39" i="125"/>
  <c r="CZ81" i="125"/>
  <c r="CZ83" i="125" s="1"/>
  <c r="CZ84" i="125" s="1"/>
  <c r="CZ86" i="125" s="1"/>
  <c r="CZ87" i="125" s="1"/>
  <c r="DJ81" i="125"/>
  <c r="DJ83" i="125" s="1"/>
  <c r="DJ84" i="125" s="1"/>
  <c r="DJ86" i="125" s="1"/>
  <c r="DJ87" i="125" s="1"/>
  <c r="DJ76" i="125"/>
  <c r="CF81" i="125"/>
  <c r="CF83" i="125" s="1"/>
  <c r="CF84" i="125" s="1"/>
  <c r="CF76" i="125"/>
  <c r="AN8" i="125"/>
  <c r="AN38" i="125" s="1"/>
  <c r="DP78" i="125"/>
  <c r="BC55" i="125"/>
  <c r="BE55" i="125" s="1"/>
  <c r="BA54" i="125"/>
  <c r="BM50" i="125"/>
  <c r="CQ50" i="125"/>
  <c r="DP48" i="125"/>
  <c r="BA41" i="125"/>
  <c r="BC42" i="125"/>
  <c r="BE42" i="125" s="1"/>
  <c r="BM54" i="125"/>
  <c r="CQ35" i="125"/>
  <c r="AI35" i="125"/>
  <c r="BR41" i="125"/>
  <c r="BH54" i="125"/>
  <c r="BA5" i="125"/>
  <c r="AW81" i="125"/>
  <c r="AW83" i="125" s="1"/>
  <c r="AW84" i="125" s="1"/>
  <c r="AW86" i="125" s="1"/>
  <c r="AW87" i="125" s="1"/>
  <c r="AW76" i="125"/>
  <c r="CB8" i="125"/>
  <c r="CB38" i="125" s="1"/>
  <c r="X75" i="125"/>
  <c r="DA8" i="125"/>
  <c r="AS8" i="125"/>
  <c r="AS38" i="125" s="1"/>
  <c r="BV81" i="125"/>
  <c r="BV83" i="125" s="1"/>
  <c r="BV84" i="125" s="1"/>
  <c r="BV86" i="125" s="1"/>
  <c r="BV87" i="125" s="1"/>
  <c r="BV76" i="125"/>
  <c r="AD8" i="125"/>
  <c r="AD38" i="125" s="1"/>
  <c r="BR38" i="125"/>
  <c r="CQ54" i="125"/>
  <c r="DK41" i="125"/>
  <c r="Y41" i="125"/>
  <c r="CB35" i="125"/>
  <c r="DP42" i="125"/>
  <c r="DN41" i="125"/>
  <c r="AN41" i="125"/>
  <c r="DP25" i="125"/>
  <c r="CK75" i="125"/>
  <c r="CK39" i="125"/>
  <c r="CA75" i="125"/>
  <c r="CA39" i="125"/>
  <c r="CO75" i="125"/>
  <c r="CO39" i="125"/>
  <c r="AQ38" i="125"/>
  <c r="DP16" i="125"/>
  <c r="DP9" i="125"/>
  <c r="DN8" i="125"/>
  <c r="AX8" i="125"/>
  <c r="AX38" i="125" s="1"/>
  <c r="R81" i="125"/>
  <c r="R83" i="125" s="1"/>
  <c r="R84" i="125" s="1"/>
  <c r="R86" i="125" s="1"/>
  <c r="R87" i="125" s="1"/>
  <c r="R76" i="125"/>
  <c r="CA85" i="100"/>
  <c r="CB75" i="100"/>
  <c r="CB39" i="100"/>
  <c r="BM75" i="100"/>
  <c r="BN38" i="100"/>
  <c r="BM39" i="100"/>
  <c r="BN39" i="100" s="1"/>
  <c r="W75" i="100"/>
  <c r="W39" i="100"/>
  <c r="AB75" i="100"/>
  <c r="AB39" i="100"/>
  <c r="DF75" i="100"/>
  <c r="DF39" i="100"/>
  <c r="H75" i="100"/>
  <c r="H39" i="100"/>
  <c r="R75" i="100"/>
  <c r="R39" i="100"/>
  <c r="CE76" i="100"/>
  <c r="BF75" i="100"/>
  <c r="BF39" i="100"/>
  <c r="AR75" i="100"/>
  <c r="AR39" i="100"/>
  <c r="BP75" i="100"/>
  <c r="Y8" i="100"/>
  <c r="CF81" i="100"/>
  <c r="CF83" i="100" s="1"/>
  <c r="CF84" i="100" s="1"/>
  <c r="CF76" i="100"/>
  <c r="S81" i="100"/>
  <c r="S83" i="100" s="1"/>
  <c r="S84" i="100" s="1"/>
  <c r="S86" i="100" s="1"/>
  <c r="S87" i="100" s="1"/>
  <c r="S76" i="100"/>
  <c r="DK89" i="100"/>
  <c r="DK91" i="100" s="1"/>
  <c r="BG75" i="100"/>
  <c r="BG39" i="100"/>
  <c r="BZ75" i="100"/>
  <c r="BZ39" i="100"/>
  <c r="DP54" i="100"/>
  <c r="BC54" i="100"/>
  <c r="CK81" i="100"/>
  <c r="CK83" i="100" s="1"/>
  <c r="CK84" i="100" s="1"/>
  <c r="CK86" i="100" s="1"/>
  <c r="CK87" i="100" s="1"/>
  <c r="CK76" i="100"/>
  <c r="DD75" i="100"/>
  <c r="DD39" i="100"/>
  <c r="AQ75" i="100"/>
  <c r="AQ39" i="100"/>
  <c r="BC28" i="100"/>
  <c r="BA8" i="100"/>
  <c r="BA38" i="100" s="1"/>
  <c r="DA75" i="100"/>
  <c r="DA39" i="100"/>
  <c r="DJ81" i="100"/>
  <c r="DJ83" i="100" s="1"/>
  <c r="DJ84" i="100" s="1"/>
  <c r="DJ86" i="100" s="1"/>
  <c r="DJ87" i="100" s="1"/>
  <c r="DJ76" i="100"/>
  <c r="BV75" i="100"/>
  <c r="BV39" i="100"/>
  <c r="I75" i="100"/>
  <c r="I39" i="100"/>
  <c r="AS75" i="100"/>
  <c r="AS39" i="100"/>
  <c r="BR75" i="100"/>
  <c r="O38" i="100"/>
  <c r="DK75" i="100"/>
  <c r="DK39" i="100"/>
  <c r="AC75" i="100"/>
  <c r="AC39" i="100"/>
  <c r="AL76" i="100"/>
  <c r="CY81" i="100"/>
  <c r="CY83" i="100" s="1"/>
  <c r="CY84" i="100" s="1"/>
  <c r="CY86" i="100" s="1"/>
  <c r="CY87" i="100" s="1"/>
  <c r="CY76" i="100"/>
  <c r="CL75" i="100"/>
  <c r="CL39" i="100"/>
  <c r="BN8" i="100"/>
  <c r="CV75" i="100"/>
  <c r="CV39" i="100"/>
  <c r="CA75" i="100"/>
  <c r="CA39" i="100"/>
  <c r="AH81" i="100"/>
  <c r="AH83" i="100" s="1"/>
  <c r="AH84" i="100" s="1"/>
  <c r="AH86" i="100" s="1"/>
  <c r="AH87" i="100" s="1"/>
  <c r="AH76" i="100"/>
  <c r="CT75" i="100"/>
  <c r="CT39" i="100"/>
  <c r="AG75" i="100"/>
  <c r="AG39" i="100"/>
  <c r="BH8" i="100"/>
  <c r="AN75" i="100"/>
  <c r="AN39" i="100"/>
  <c r="BL75" i="100"/>
  <c r="BL39" i="100"/>
  <c r="AI38" i="100"/>
  <c r="DO5" i="100"/>
  <c r="DO38" i="100" s="1"/>
  <c r="DP6" i="100"/>
  <c r="DP5" i="100" s="1"/>
  <c r="J8" i="100"/>
  <c r="DP36" i="100"/>
  <c r="CQ89" i="100"/>
  <c r="CQ91" i="100" s="1"/>
  <c r="DE75" i="100"/>
  <c r="DE39" i="100"/>
  <c r="X75" i="100"/>
  <c r="X39" i="100"/>
  <c r="CQ38" i="100"/>
  <c r="BC41" i="100"/>
  <c r="CZ81" i="100"/>
  <c r="CZ83" i="100" s="1"/>
  <c r="CZ84" i="100" s="1"/>
  <c r="CZ86" i="100" s="1"/>
  <c r="CZ87" i="100" s="1"/>
  <c r="CZ76" i="100"/>
  <c r="BB38" i="100"/>
  <c r="DP9" i="100"/>
  <c r="DI75" i="100"/>
  <c r="DI39" i="100"/>
  <c r="BU76" i="100"/>
  <c r="CF85" i="100"/>
  <c r="CG75" i="100"/>
  <c r="CG39" i="100"/>
  <c r="CU81" i="100"/>
  <c r="CU83" i="100" s="1"/>
  <c r="CU84" i="100" s="1"/>
  <c r="CU86" i="100" s="1"/>
  <c r="CU87" i="100" s="1"/>
  <c r="CU76" i="100"/>
  <c r="DP41" i="100"/>
  <c r="BC35" i="100"/>
  <c r="T8" i="100"/>
  <c r="BQ81" i="100"/>
  <c r="BQ83" i="100" s="1"/>
  <c r="BQ84" i="100" s="1"/>
  <c r="BQ86" i="100" s="1"/>
  <c r="BQ87" i="100" s="1"/>
  <c r="BQ76" i="100"/>
  <c r="N75" i="100"/>
  <c r="N39" i="100"/>
  <c r="CJ76" i="100"/>
  <c r="M75" i="100"/>
  <c r="M39" i="100"/>
  <c r="BV85" i="100"/>
  <c r="BW75" i="100"/>
  <c r="BW39" i="100"/>
  <c r="CP75" i="100"/>
  <c r="CP39" i="100"/>
  <c r="AM75" i="100"/>
  <c r="AM39" i="100"/>
  <c r="DN8" i="100"/>
  <c r="DN38" i="100" s="1"/>
  <c r="BK76" i="100"/>
  <c r="AD8" i="100"/>
  <c r="AD38" i="100" s="1"/>
  <c r="CO81" i="100"/>
  <c r="CO83" i="100" s="1"/>
  <c r="CO84" i="100" s="1"/>
  <c r="CO86" i="100" s="1"/>
  <c r="CO87" i="100" s="1"/>
  <c r="CO76" i="100"/>
  <c r="CB75" i="121"/>
  <c r="CB39" i="121"/>
  <c r="AL76" i="121"/>
  <c r="CZ75" i="121"/>
  <c r="CZ39" i="121"/>
  <c r="AM75" i="121"/>
  <c r="AM39" i="121"/>
  <c r="BC75" i="121"/>
  <c r="BC39" i="121"/>
  <c r="E75" i="121"/>
  <c r="E39" i="121"/>
  <c r="CL75" i="121"/>
  <c r="CL39" i="121"/>
  <c r="Y38" i="121"/>
  <c r="BW91" i="121"/>
  <c r="BW38" i="121"/>
  <c r="BL81" i="121"/>
  <c r="BL83" i="121" s="1"/>
  <c r="BL84" i="121" s="1"/>
  <c r="BL76" i="121"/>
  <c r="CV75" i="121"/>
  <c r="CV39" i="121"/>
  <c r="AB75" i="121"/>
  <c r="AB39" i="121"/>
  <c r="BV81" i="121"/>
  <c r="BV83" i="121" s="1"/>
  <c r="BV84" i="121" s="1"/>
  <c r="BV86" i="121" s="1"/>
  <c r="BV87" i="121" s="1"/>
  <c r="BV76" i="121"/>
  <c r="CP75" i="121"/>
  <c r="CP39" i="121"/>
  <c r="X75" i="121"/>
  <c r="X39" i="121"/>
  <c r="AN8" i="121"/>
  <c r="BB81" i="121"/>
  <c r="BB83" i="121" s="1"/>
  <c r="BB84" i="121" s="1"/>
  <c r="BB86" i="121" s="1"/>
  <c r="BB87" i="121" s="1"/>
  <c r="BB76" i="121"/>
  <c r="BM38" i="121"/>
  <c r="CJ81" i="121"/>
  <c r="CJ83" i="121" s="1"/>
  <c r="CJ84" i="121" s="1"/>
  <c r="CJ86" i="121" s="1"/>
  <c r="CJ87" i="121" s="1"/>
  <c r="CJ76" i="121"/>
  <c r="H75" i="121"/>
  <c r="H39" i="121"/>
  <c r="CU76" i="121"/>
  <c r="CU81" i="121"/>
  <c r="CU83" i="121" s="1"/>
  <c r="CU84" i="121" s="1"/>
  <c r="CU86" i="121" s="1"/>
  <c r="CU87" i="121" s="1"/>
  <c r="CT76" i="121"/>
  <c r="N75" i="121"/>
  <c r="N39" i="121"/>
  <c r="AQ76" i="121"/>
  <c r="AQ81" i="121"/>
  <c r="AQ83" i="121" s="1"/>
  <c r="AQ84" i="121" s="1"/>
  <c r="AQ86" i="121" s="1"/>
  <c r="AQ87" i="121" s="1"/>
  <c r="C75" i="121"/>
  <c r="C39" i="121"/>
  <c r="AN35" i="121"/>
  <c r="CF81" i="121"/>
  <c r="CF83" i="121" s="1"/>
  <c r="CF84" i="121" s="1"/>
  <c r="CF86" i="121" s="1"/>
  <c r="CF87" i="121" s="1"/>
  <c r="CF76" i="121"/>
  <c r="O75" i="121"/>
  <c r="O39" i="121"/>
  <c r="CA75" i="121"/>
  <c r="CA39" i="121"/>
  <c r="D81" i="121"/>
  <c r="D83" i="121" s="1"/>
  <c r="D84" i="121" s="1"/>
  <c r="D86" i="121" s="1"/>
  <c r="D87" i="121" s="1"/>
  <c r="D76" i="121"/>
  <c r="BQ76" i="121"/>
  <c r="BQ81" i="121"/>
  <c r="BQ83" i="121" s="1"/>
  <c r="BQ84" i="121" s="1"/>
  <c r="CL89" i="121"/>
  <c r="CL91" i="121" s="1"/>
  <c r="BA76" i="121"/>
  <c r="BA81" i="121"/>
  <c r="BA83" i="121" s="1"/>
  <c r="BA84" i="121" s="1"/>
  <c r="BA86" i="121" s="1"/>
  <c r="BA87" i="121" s="1"/>
  <c r="CE76" i="121"/>
  <c r="CE81" i="121"/>
  <c r="CE83" i="121" s="1"/>
  <c r="CE84" i="121" s="1"/>
  <c r="CE86" i="121" s="1"/>
  <c r="CE87" i="121" s="1"/>
  <c r="AS89" i="121"/>
  <c r="AS91" i="121" s="1"/>
  <c r="AD8" i="121"/>
  <c r="M38" i="121"/>
  <c r="BR89" i="121"/>
  <c r="BR91" i="121" s="1"/>
  <c r="AC75" i="121"/>
  <c r="AC39" i="121"/>
  <c r="S75" i="121"/>
  <c r="S39" i="121"/>
  <c r="AS75" i="121"/>
  <c r="AS39" i="121"/>
  <c r="R75" i="121"/>
  <c r="R39" i="121"/>
  <c r="BG75" i="121"/>
  <c r="BG39" i="121"/>
  <c r="BP75" i="121"/>
  <c r="BP39" i="121"/>
  <c r="AN50" i="121"/>
  <c r="CQ38" i="121"/>
  <c r="I38" i="121"/>
  <c r="T8" i="121"/>
  <c r="BR75" i="121"/>
  <c r="BR39" i="121"/>
  <c r="BK76" i="121"/>
  <c r="BU76" i="121"/>
  <c r="BU81" i="121"/>
  <c r="BU83" i="121" s="1"/>
  <c r="BU84" i="121" s="1"/>
  <c r="BU86" i="121" s="1"/>
  <c r="BU87" i="121" s="1"/>
  <c r="BH89" i="121"/>
  <c r="BH91" i="121" s="1"/>
  <c r="CY5" i="121"/>
  <c r="DA6" i="121"/>
  <c r="DA5" i="121" s="1"/>
  <c r="CG75" i="121"/>
  <c r="CG39" i="121"/>
  <c r="BH75" i="121"/>
  <c r="BH39" i="121"/>
  <c r="AV76" i="121"/>
  <c r="J8" i="121"/>
  <c r="CK75" i="121"/>
  <c r="CK39" i="121"/>
  <c r="W75" i="121"/>
  <c r="W39" i="121"/>
  <c r="AN41" i="121"/>
  <c r="CB89" i="121"/>
  <c r="CB91" i="121" s="1"/>
  <c r="AW75" i="121"/>
  <c r="AW39" i="121"/>
  <c r="CO76" i="121"/>
  <c r="AR81" i="121"/>
  <c r="AR83" i="121" s="1"/>
  <c r="AR84" i="121" s="1"/>
  <c r="AR86" i="121" s="1"/>
  <c r="AR87" i="121" s="1"/>
  <c r="AR76" i="121"/>
  <c r="DA35" i="121"/>
  <c r="BC89" i="121"/>
  <c r="BC91" i="121" s="1"/>
  <c r="BZ81" i="121"/>
  <c r="BZ83" i="121" s="1"/>
  <c r="BZ84" i="121" s="1"/>
  <c r="BZ86" i="121" s="1"/>
  <c r="BZ87" i="121" s="1"/>
  <c r="BZ76" i="121"/>
  <c r="AX38" i="121"/>
  <c r="E89" i="121"/>
  <c r="AY41" i="121" s="1"/>
  <c r="BF81" i="121"/>
  <c r="BF83" i="121" s="1"/>
  <c r="BF84" i="121" s="1"/>
  <c r="BF86" i="121" s="1"/>
  <c r="BF87" i="121" s="1"/>
  <c r="BF76" i="121"/>
  <c r="DA50" i="121"/>
  <c r="DA9" i="121"/>
  <c r="CY8" i="121"/>
  <c r="CL75" i="122"/>
  <c r="CL39" i="122"/>
  <c r="AS75" i="122"/>
  <c r="AS39" i="122"/>
  <c r="AN38" i="122"/>
  <c r="BQ85" i="122"/>
  <c r="BR75" i="122"/>
  <c r="BR39" i="122"/>
  <c r="M38" i="122"/>
  <c r="CO81" i="122"/>
  <c r="CO83" i="122" s="1"/>
  <c r="CO84" i="122" s="1"/>
  <c r="CO86" i="122" s="1"/>
  <c r="CO87" i="122" s="1"/>
  <c r="CO76" i="122"/>
  <c r="CV89" i="122"/>
  <c r="CV91" i="122" s="1"/>
  <c r="AN41" i="122"/>
  <c r="BF75" i="122"/>
  <c r="BF39" i="122"/>
  <c r="AN35" i="122"/>
  <c r="AB76" i="122"/>
  <c r="C81" i="122"/>
  <c r="C83" i="122" s="1"/>
  <c r="C84" i="122" s="1"/>
  <c r="C86" i="122" s="1"/>
  <c r="C87" i="122" s="1"/>
  <c r="C76" i="122"/>
  <c r="CK76" i="122"/>
  <c r="CK81" i="122"/>
  <c r="CK83" i="122" s="1"/>
  <c r="CK84" i="122" s="1"/>
  <c r="CK86" i="122" s="1"/>
  <c r="CK87" i="122" s="1"/>
  <c r="BL85" i="122"/>
  <c r="BM75" i="122"/>
  <c r="BM39" i="122"/>
  <c r="BQ76" i="122"/>
  <c r="BQ81" i="122"/>
  <c r="BQ83" i="122" s="1"/>
  <c r="BQ84" i="122" s="1"/>
  <c r="BQ86" i="122" s="1"/>
  <c r="BQ87" i="122" s="1"/>
  <c r="CV38" i="122"/>
  <c r="AQ75" i="122"/>
  <c r="AQ39" i="122"/>
  <c r="AC75" i="122"/>
  <c r="AC39" i="122"/>
  <c r="CB75" i="122"/>
  <c r="CB39" i="122"/>
  <c r="BZ81" i="122"/>
  <c r="BZ83" i="122" s="1"/>
  <c r="BZ84" i="122" s="1"/>
  <c r="BZ86" i="122" s="1"/>
  <c r="BZ87" i="122" s="1"/>
  <c r="BZ76" i="122"/>
  <c r="J8" i="122"/>
  <c r="BW75" i="122"/>
  <c r="BW39" i="122"/>
  <c r="DA54" i="122"/>
  <c r="DA50" i="122"/>
  <c r="DA35" i="122"/>
  <c r="AL75" i="122"/>
  <c r="AL39" i="122"/>
  <c r="CP76" i="122"/>
  <c r="CP81" i="122"/>
  <c r="CP83" i="122" s="1"/>
  <c r="CP84" i="122" s="1"/>
  <c r="CP86" i="122" s="1"/>
  <c r="CP87" i="122" s="1"/>
  <c r="BK81" i="122"/>
  <c r="BK83" i="122" s="1"/>
  <c r="BK84" i="122" s="1"/>
  <c r="BK86" i="122" s="1"/>
  <c r="BK87" i="122" s="1"/>
  <c r="BK76" i="122"/>
  <c r="R75" i="122"/>
  <c r="R39" i="122"/>
  <c r="BW89" i="122"/>
  <c r="BW91" i="122" s="1"/>
  <c r="AW76" i="122"/>
  <c r="AW81" i="122"/>
  <c r="AW83" i="122" s="1"/>
  <c r="AW84" i="122" s="1"/>
  <c r="AW86" i="122" s="1"/>
  <c r="AW87" i="122" s="1"/>
  <c r="E75" i="122"/>
  <c r="E39" i="122"/>
  <c r="CZ8" i="122"/>
  <c r="CZ38" i="122" s="1"/>
  <c r="CU76" i="122"/>
  <c r="CU81" i="122"/>
  <c r="CU83" i="122" s="1"/>
  <c r="CU84" i="122" s="1"/>
  <c r="CU86" i="122" s="1"/>
  <c r="CU87" i="122" s="1"/>
  <c r="CQ89" i="122"/>
  <c r="CQ91" i="122" s="1"/>
  <c r="I75" i="122"/>
  <c r="I39" i="122"/>
  <c r="DA9" i="122"/>
  <c r="CY8" i="122"/>
  <c r="CQ75" i="122"/>
  <c r="CQ39" i="122"/>
  <c r="CL89" i="122"/>
  <c r="CL91" i="122" s="1"/>
  <c r="BH75" i="122"/>
  <c r="BG85" i="122"/>
  <c r="BH39" i="122"/>
  <c r="AM75" i="122"/>
  <c r="AM39" i="122"/>
  <c r="CY5" i="122"/>
  <c r="DA6" i="122"/>
  <c r="DA5" i="122" s="1"/>
  <c r="AV76" i="122"/>
  <c r="BP81" i="122"/>
  <c r="BP83" i="122" s="1"/>
  <c r="BP84" i="122" s="1"/>
  <c r="BP86" i="122" s="1"/>
  <c r="BP87" i="122" s="1"/>
  <c r="BP76" i="122"/>
  <c r="BR89" i="122"/>
  <c r="BR91" i="122" s="1"/>
  <c r="CT81" i="122"/>
  <c r="CT83" i="122" s="1"/>
  <c r="CT84" i="122" s="1"/>
  <c r="CT86" i="122" s="1"/>
  <c r="CT87" i="122" s="1"/>
  <c r="CT76" i="122"/>
  <c r="W75" i="122"/>
  <c r="W39" i="122"/>
  <c r="BB76" i="122"/>
  <c r="BB81" i="122"/>
  <c r="BB83" i="122" s="1"/>
  <c r="BB84" i="122" s="1"/>
  <c r="BB86" i="122" s="1"/>
  <c r="BB87" i="122" s="1"/>
  <c r="H75" i="122"/>
  <c r="H39" i="122"/>
  <c r="X76" i="122"/>
  <c r="X81" i="122"/>
  <c r="X83" i="122" s="1"/>
  <c r="X84" i="122" s="1"/>
  <c r="X86" i="122" s="1"/>
  <c r="X87" i="122" s="1"/>
  <c r="T8" i="122"/>
  <c r="Y75" i="122"/>
  <c r="Y39" i="122"/>
  <c r="AX75" i="122"/>
  <c r="AX39" i="122"/>
  <c r="BV75" i="122"/>
  <c r="BV39" i="122"/>
  <c r="CE81" i="122"/>
  <c r="CE83" i="122" s="1"/>
  <c r="CE84" i="122" s="1"/>
  <c r="CE86" i="122" s="1"/>
  <c r="CE87" i="122" s="1"/>
  <c r="CE76" i="122"/>
  <c r="BC75" i="122"/>
  <c r="BC39" i="122"/>
  <c r="BL86" i="122"/>
  <c r="BL87" i="122" s="1"/>
  <c r="BU75" i="122"/>
  <c r="BU39" i="122"/>
  <c r="CJ75" i="122"/>
  <c r="CJ39" i="122"/>
  <c r="AR75" i="122"/>
  <c r="AR39" i="122"/>
  <c r="O75" i="122"/>
  <c r="O39" i="122"/>
  <c r="BG76" i="122"/>
  <c r="BG81" i="122"/>
  <c r="BG83" i="122" s="1"/>
  <c r="BG84" i="122" s="1"/>
  <c r="BG86" i="122" s="1"/>
  <c r="BG87" i="122" s="1"/>
  <c r="CG75" i="122"/>
  <c r="CG39" i="122"/>
  <c r="CG89" i="122"/>
  <c r="CG91" i="122" s="1"/>
  <c r="AD8" i="122"/>
  <c r="CA76" i="122"/>
  <c r="CA81" i="122"/>
  <c r="CA83" i="122" s="1"/>
  <c r="CA84" i="122" s="1"/>
  <c r="CA86" i="122" s="1"/>
  <c r="CA87" i="122" s="1"/>
  <c r="BM89" i="122"/>
  <c r="BM91" i="122" s="1"/>
  <c r="E89" i="122"/>
  <c r="AY54" i="122" s="1"/>
  <c r="S38" i="122"/>
  <c r="D76" i="122"/>
  <c r="D81" i="122"/>
  <c r="D83" i="122" s="1"/>
  <c r="D84" i="122" s="1"/>
  <c r="D86" i="122" s="1"/>
  <c r="D87" i="122" s="1"/>
  <c r="J75" i="123"/>
  <c r="J39" i="123"/>
  <c r="AM75" i="123"/>
  <c r="AM39" i="123"/>
  <c r="AL75" i="123"/>
  <c r="AL39" i="123"/>
  <c r="CV89" i="123"/>
  <c r="CV91" i="123" s="1"/>
  <c r="CL75" i="123"/>
  <c r="CL39" i="123"/>
  <c r="BQ75" i="123"/>
  <c r="BQ39" i="123"/>
  <c r="X76" i="123"/>
  <c r="X81" i="123"/>
  <c r="X83" i="123" s="1"/>
  <c r="X84" i="123" s="1"/>
  <c r="X86" i="123" s="1"/>
  <c r="X87" i="123" s="1"/>
  <c r="AN41" i="123"/>
  <c r="C75" i="123"/>
  <c r="C39" i="123"/>
  <c r="CE76" i="123"/>
  <c r="CE81" i="123"/>
  <c r="CE83" i="123" s="1"/>
  <c r="CE84" i="123" s="1"/>
  <c r="CE86" i="123" s="1"/>
  <c r="CE87" i="123" s="1"/>
  <c r="CQ89" i="123"/>
  <c r="CQ91" i="123" s="1"/>
  <c r="R76" i="123"/>
  <c r="CB89" i="123"/>
  <c r="CB91" i="123" s="1"/>
  <c r="DA6" i="123"/>
  <c r="DA5" i="123" s="1"/>
  <c r="CY5" i="123"/>
  <c r="AQ76" i="123"/>
  <c r="I81" i="123"/>
  <c r="I83" i="123" s="1"/>
  <c r="I84" i="123" s="1"/>
  <c r="I86" i="123" s="1"/>
  <c r="I87" i="123" s="1"/>
  <c r="I76" i="123"/>
  <c r="BP75" i="123"/>
  <c r="BP39" i="123"/>
  <c r="BU76" i="123"/>
  <c r="BU81" i="123"/>
  <c r="BU83" i="123" s="1"/>
  <c r="BU84" i="123" s="1"/>
  <c r="BU86" i="123" s="1"/>
  <c r="BU87" i="123" s="1"/>
  <c r="BC75" i="123"/>
  <c r="BC39" i="123"/>
  <c r="O75" i="123"/>
  <c r="O39" i="123"/>
  <c r="BB76" i="123"/>
  <c r="BB81" i="123"/>
  <c r="BB83" i="123" s="1"/>
  <c r="BB84" i="123" s="1"/>
  <c r="BB86" i="123" s="1"/>
  <c r="BB87" i="123" s="1"/>
  <c r="AR81" i="123"/>
  <c r="AR83" i="123" s="1"/>
  <c r="AR84" i="123" s="1"/>
  <c r="AR86" i="123" s="1"/>
  <c r="AR87" i="123" s="1"/>
  <c r="AR76" i="123"/>
  <c r="BH89" i="123"/>
  <c r="BH91" i="123" s="1"/>
  <c r="AS38" i="123"/>
  <c r="BR75" i="123"/>
  <c r="BR39" i="123"/>
  <c r="E89" i="123"/>
  <c r="AY38" i="123" s="1"/>
  <c r="BZ75" i="123"/>
  <c r="BZ39" i="123"/>
  <c r="E75" i="123"/>
  <c r="E39" i="123"/>
  <c r="CU81" i="123"/>
  <c r="CU83" i="123" s="1"/>
  <c r="CU84" i="123" s="1"/>
  <c r="CU86" i="123" s="1"/>
  <c r="CU87" i="123" s="1"/>
  <c r="CU76" i="123"/>
  <c r="H76" i="123"/>
  <c r="CZ75" i="123"/>
  <c r="CZ39" i="123"/>
  <c r="D75" i="123"/>
  <c r="D39" i="123"/>
  <c r="BF81" i="123"/>
  <c r="BF83" i="123" s="1"/>
  <c r="BF84" i="123" s="1"/>
  <c r="BF86" i="123" s="1"/>
  <c r="BF87" i="123" s="1"/>
  <c r="BF76" i="123"/>
  <c r="CY8" i="123"/>
  <c r="AX75" i="123"/>
  <c r="AX39" i="123"/>
  <c r="AN35" i="123"/>
  <c r="CO75" i="123"/>
  <c r="CO39" i="123"/>
  <c r="CK76" i="123"/>
  <c r="CK81" i="123"/>
  <c r="CK83" i="123" s="1"/>
  <c r="CK84" i="123" s="1"/>
  <c r="CK86" i="123" s="1"/>
  <c r="CK87" i="123" s="1"/>
  <c r="T8" i="123"/>
  <c r="CQ38" i="123"/>
  <c r="CF75" i="123"/>
  <c r="CF39" i="123"/>
  <c r="BV81" i="123"/>
  <c r="BV83" i="123" s="1"/>
  <c r="BV84" i="123" s="1"/>
  <c r="BV86" i="123" s="1"/>
  <c r="BV87" i="123" s="1"/>
  <c r="BV76" i="123"/>
  <c r="BG85" i="123"/>
  <c r="BH75" i="123"/>
  <c r="BH39" i="123"/>
  <c r="BW89" i="123"/>
  <c r="BW91" i="123" s="1"/>
  <c r="DA54" i="123"/>
  <c r="AN50" i="123"/>
  <c r="AW81" i="123"/>
  <c r="AW83" i="123" s="1"/>
  <c r="AW84" i="123" s="1"/>
  <c r="AW86" i="123" s="1"/>
  <c r="AW87" i="123" s="1"/>
  <c r="AW76" i="123"/>
  <c r="AV75" i="123"/>
  <c r="AV39" i="123"/>
  <c r="AB75" i="123"/>
  <c r="AB39" i="123"/>
  <c r="DA8" i="123"/>
  <c r="AD8" i="123"/>
  <c r="CB38" i="123"/>
  <c r="AC76" i="123"/>
  <c r="AC81" i="123"/>
  <c r="AC83" i="123" s="1"/>
  <c r="AC84" i="123" s="1"/>
  <c r="AC86" i="123" s="1"/>
  <c r="AC87" i="123" s="1"/>
  <c r="CL89" i="123"/>
  <c r="CL91" i="123" s="1"/>
  <c r="CA81" i="123"/>
  <c r="CA83" i="123" s="1"/>
  <c r="CA84" i="123" s="1"/>
  <c r="CA86" i="123" s="1"/>
  <c r="CA87" i="123" s="1"/>
  <c r="CA76" i="123"/>
  <c r="AN8" i="123"/>
  <c r="AN38" i="123" s="1"/>
  <c r="BG76" i="123"/>
  <c r="BG81" i="123"/>
  <c r="BG83" i="123" s="1"/>
  <c r="BG84" i="123" s="1"/>
  <c r="BG86" i="123" s="1"/>
  <c r="BG87" i="123" s="1"/>
  <c r="BK76" i="123"/>
  <c r="BK81" i="123"/>
  <c r="BK83" i="123" s="1"/>
  <c r="BK84" i="123" s="1"/>
  <c r="BK86" i="123" s="1"/>
  <c r="BK87" i="123" s="1"/>
  <c r="BA76" i="123"/>
  <c r="AN54" i="123"/>
  <c r="DA41" i="123"/>
  <c r="CP76" i="123"/>
  <c r="CP81" i="123"/>
  <c r="CP83" i="123" s="1"/>
  <c r="CP84" i="123" s="1"/>
  <c r="CP86" i="123" s="1"/>
  <c r="CP87" i="123" s="1"/>
  <c r="S75" i="123"/>
  <c r="S39" i="123"/>
  <c r="CJ81" i="123"/>
  <c r="CJ83" i="123" s="1"/>
  <c r="CJ84" i="123" s="1"/>
  <c r="CJ86" i="123" s="1"/>
  <c r="CJ87" i="123" s="1"/>
  <c r="CJ76" i="123"/>
  <c r="W75" i="123"/>
  <c r="W39" i="123"/>
  <c r="BM89" i="123"/>
  <c r="BM91" i="123" s="1"/>
  <c r="CT81" i="123"/>
  <c r="CT83" i="123" s="1"/>
  <c r="CT84" i="123" s="1"/>
  <c r="CT86" i="123" s="1"/>
  <c r="CT87" i="123" s="1"/>
  <c r="CT76" i="123"/>
  <c r="CG75" i="123"/>
  <c r="CG39" i="123"/>
  <c r="BM38" i="123"/>
  <c r="Y8" i="123"/>
  <c r="M75" i="123"/>
  <c r="M39" i="123"/>
  <c r="BW38" i="123"/>
  <c r="CV75" i="123"/>
  <c r="CV39" i="123"/>
  <c r="BR89" i="123"/>
  <c r="BR91" i="123" s="1"/>
  <c r="W75" i="124"/>
  <c r="W39" i="124"/>
  <c r="BC75" i="124"/>
  <c r="BC39" i="124"/>
  <c r="AS75" i="124"/>
  <c r="AS39" i="124"/>
  <c r="BA75" i="124"/>
  <c r="BA39" i="124"/>
  <c r="AM76" i="124"/>
  <c r="AM81" i="124"/>
  <c r="AM83" i="124" s="1"/>
  <c r="AM84" i="124" s="1"/>
  <c r="BV76" i="124"/>
  <c r="BV81" i="124"/>
  <c r="BV83" i="124" s="1"/>
  <c r="BV84" i="124" s="1"/>
  <c r="BV86" i="124" s="1"/>
  <c r="BV87" i="124" s="1"/>
  <c r="CL75" i="124"/>
  <c r="CL39" i="124"/>
  <c r="J38" i="124"/>
  <c r="DA54" i="124"/>
  <c r="E89" i="124"/>
  <c r="F41" i="124" s="1"/>
  <c r="E38" i="124"/>
  <c r="CO81" i="124"/>
  <c r="CO83" i="124" s="1"/>
  <c r="CO84" i="124" s="1"/>
  <c r="CO86" i="124" s="1"/>
  <c r="CO87" i="124" s="1"/>
  <c r="CO76" i="124"/>
  <c r="BM89" i="124"/>
  <c r="O38" i="124"/>
  <c r="AL75" i="124"/>
  <c r="AL39" i="124"/>
  <c r="CQ38" i="124"/>
  <c r="DA9" i="124"/>
  <c r="CZ8" i="124"/>
  <c r="CZ38" i="124" s="1"/>
  <c r="Y75" i="124"/>
  <c r="Y39" i="124"/>
  <c r="BW89" i="124"/>
  <c r="CG75" i="124"/>
  <c r="CG39" i="124"/>
  <c r="CK75" i="124"/>
  <c r="CK39" i="124"/>
  <c r="CJ81" i="124"/>
  <c r="CJ83" i="124" s="1"/>
  <c r="CJ84" i="124" s="1"/>
  <c r="CJ86" i="124" s="1"/>
  <c r="CJ87" i="124" s="1"/>
  <c r="CJ76" i="124"/>
  <c r="I75" i="124"/>
  <c r="I39" i="124"/>
  <c r="CB89" i="124"/>
  <c r="CB91" i="124" s="1"/>
  <c r="CY5" i="124"/>
  <c r="CY38" i="124" s="1"/>
  <c r="DA6" i="124"/>
  <c r="DA5" i="124" s="1"/>
  <c r="AC76" i="124"/>
  <c r="AC81" i="124"/>
  <c r="AC83" i="124" s="1"/>
  <c r="AC84" i="124" s="1"/>
  <c r="AC86" i="124" s="1"/>
  <c r="AC87" i="124" s="1"/>
  <c r="C76" i="124"/>
  <c r="C81" i="124"/>
  <c r="C83" i="124" s="1"/>
  <c r="C84" i="124" s="1"/>
  <c r="C86" i="124" s="1"/>
  <c r="C87" i="124" s="1"/>
  <c r="BG85" i="124"/>
  <c r="BG86" i="124" s="1"/>
  <c r="BG87" i="124" s="1"/>
  <c r="BH75" i="124"/>
  <c r="BH39" i="124"/>
  <c r="D76" i="124"/>
  <c r="D81" i="124"/>
  <c r="D83" i="124" s="1"/>
  <c r="D84" i="124" s="1"/>
  <c r="D86" i="124" s="1"/>
  <c r="D87" i="124" s="1"/>
  <c r="CP76" i="124"/>
  <c r="CP81" i="124"/>
  <c r="CP83" i="124" s="1"/>
  <c r="CP84" i="124" s="1"/>
  <c r="CP86" i="124" s="1"/>
  <c r="CP87" i="124" s="1"/>
  <c r="BW91" i="124"/>
  <c r="BW38" i="124"/>
  <c r="AW76" i="124"/>
  <c r="AW81" i="124"/>
  <c r="AW83" i="124" s="1"/>
  <c r="AW84" i="124" s="1"/>
  <c r="AW86" i="124" s="1"/>
  <c r="AW87" i="124" s="1"/>
  <c r="BQ75" i="124"/>
  <c r="BQ39" i="124"/>
  <c r="BB76" i="124"/>
  <c r="BB81" i="124"/>
  <c r="BB83" i="124" s="1"/>
  <c r="BB84" i="124" s="1"/>
  <c r="BB86" i="124" s="1"/>
  <c r="BB87" i="124" s="1"/>
  <c r="AV76" i="124"/>
  <c r="CE75" i="124"/>
  <c r="CE39" i="124"/>
  <c r="BR75" i="124"/>
  <c r="BR39" i="124"/>
  <c r="DA41" i="124"/>
  <c r="BM91" i="124"/>
  <c r="BM38" i="124"/>
  <c r="BQ85" i="124" s="1"/>
  <c r="BF76" i="124"/>
  <c r="AN41" i="124"/>
  <c r="X76" i="124"/>
  <c r="X81" i="124"/>
  <c r="X83" i="124" s="1"/>
  <c r="X84" i="124" s="1"/>
  <c r="X86" i="124" s="1"/>
  <c r="X87" i="124" s="1"/>
  <c r="DA50" i="124"/>
  <c r="CG89" i="124"/>
  <c r="CG91" i="124" s="1"/>
  <c r="CV75" i="124"/>
  <c r="CV39" i="124"/>
  <c r="BL76" i="124"/>
  <c r="BL81" i="124"/>
  <c r="BL83" i="124" s="1"/>
  <c r="BL84" i="124" s="1"/>
  <c r="CU76" i="124"/>
  <c r="CU81" i="124"/>
  <c r="CU83" i="124" s="1"/>
  <c r="CU84" i="124" s="1"/>
  <c r="CU86" i="124" s="1"/>
  <c r="CU87" i="124" s="1"/>
  <c r="CV89" i="124"/>
  <c r="CV91" i="124" s="1"/>
  <c r="CT76" i="124"/>
  <c r="CT81" i="124"/>
  <c r="CT83" i="124" s="1"/>
  <c r="CT84" i="124" s="1"/>
  <c r="CT86" i="124" s="1"/>
  <c r="CT87" i="124" s="1"/>
  <c r="S76" i="124"/>
  <c r="S81" i="124"/>
  <c r="S83" i="124" s="1"/>
  <c r="S84" i="124" s="1"/>
  <c r="S86" i="124" s="1"/>
  <c r="S87" i="124" s="1"/>
  <c r="CQ89" i="124"/>
  <c r="CQ91" i="124" s="1"/>
  <c r="AN38" i="124"/>
  <c r="AR75" i="124"/>
  <c r="AR39" i="124"/>
  <c r="N75" i="124"/>
  <c r="N39" i="124"/>
  <c r="R75" i="124"/>
  <c r="R39" i="124"/>
  <c r="AX75" i="124"/>
  <c r="AX39" i="124"/>
  <c r="CA76" i="124"/>
  <c r="CA81" i="124"/>
  <c r="CA83" i="124" s="1"/>
  <c r="CA84" i="124" s="1"/>
  <c r="CA86" i="124" s="1"/>
  <c r="CA87" i="124" s="1"/>
  <c r="AN54" i="124"/>
  <c r="DA35" i="124"/>
  <c r="BK81" i="124"/>
  <c r="BK83" i="124" s="1"/>
  <c r="BK84" i="124" s="1"/>
  <c r="BK86" i="124" s="1"/>
  <c r="BK87" i="124" s="1"/>
  <c r="BK76" i="124"/>
  <c r="M38" i="124"/>
  <c r="CL89" i="124"/>
  <c r="CL91" i="124" s="1"/>
  <c r="CB38" i="124"/>
  <c r="AQ76" i="124"/>
  <c r="AD38" i="124"/>
  <c r="BP76" i="124"/>
  <c r="CF76" i="124"/>
  <c r="CF81" i="124"/>
  <c r="CF83" i="124" s="1"/>
  <c r="CF84" i="124" s="1"/>
  <c r="CF86" i="124" s="1"/>
  <c r="CF87" i="124" s="1"/>
  <c r="T38" i="124"/>
  <c r="BQ85" i="125"/>
  <c r="AH75" i="125" l="1"/>
  <c r="M75" i="106"/>
  <c r="M39" i="106"/>
  <c r="O75" i="106"/>
  <c r="O76" i="106" s="1"/>
  <c r="O39" i="106"/>
  <c r="BL76" i="123"/>
  <c r="BL81" i="123"/>
  <c r="BL83" i="123" s="1"/>
  <c r="BL84" i="123" s="1"/>
  <c r="BV85" i="125"/>
  <c r="CY38" i="122"/>
  <c r="BE28" i="125"/>
  <c r="CL75" i="125"/>
  <c r="CL39" i="125"/>
  <c r="BC50" i="125"/>
  <c r="BE50" i="125" s="1"/>
  <c r="DP50" i="125"/>
  <c r="BC8" i="100"/>
  <c r="BC38" i="100" s="1"/>
  <c r="AY41" i="124"/>
  <c r="AY38" i="124"/>
  <c r="AY39" i="124"/>
  <c r="AY54" i="124"/>
  <c r="F8" i="122"/>
  <c r="AY54" i="123"/>
  <c r="AY50" i="123"/>
  <c r="AY38" i="122"/>
  <c r="BA38" i="125"/>
  <c r="BA75" i="125" s="1"/>
  <c r="AD75" i="82"/>
  <c r="AD39" i="82"/>
  <c r="EE75" i="82"/>
  <c r="EE39" i="82"/>
  <c r="AR76" i="82"/>
  <c r="AR81" i="82"/>
  <c r="AR83" i="82" s="1"/>
  <c r="AR84" i="82" s="1"/>
  <c r="AR86" i="82" s="1"/>
  <c r="AR87" i="82" s="1"/>
  <c r="CL75" i="82"/>
  <c r="CL39" i="82"/>
  <c r="DX38" i="82"/>
  <c r="DZ5" i="82"/>
  <c r="DZ38" i="82" s="1"/>
  <c r="F72" i="82"/>
  <c r="BX71" i="82"/>
  <c r="F71" i="82"/>
  <c r="BX65" i="82"/>
  <c r="BX63" i="82"/>
  <c r="BX62" i="82"/>
  <c r="BX66" i="82"/>
  <c r="F65" i="82"/>
  <c r="F66" i="82"/>
  <c r="F69" i="82"/>
  <c r="F64" i="82"/>
  <c r="BX57" i="82"/>
  <c r="BX56" i="82"/>
  <c r="BX55" i="82"/>
  <c r="F68" i="82"/>
  <c r="BX58" i="82"/>
  <c r="BX60" i="82"/>
  <c r="F53" i="82"/>
  <c r="F63" i="82"/>
  <c r="F62" i="82"/>
  <c r="BX59" i="82"/>
  <c r="BX50" i="82"/>
  <c r="F47" i="82"/>
  <c r="F49" i="82"/>
  <c r="F43" i="82"/>
  <c r="F37" i="82"/>
  <c r="F32" i="82"/>
  <c r="BX28" i="82"/>
  <c r="BX27" i="82"/>
  <c r="F25" i="82"/>
  <c r="F45" i="82"/>
  <c r="BX36" i="82"/>
  <c r="F33" i="82"/>
  <c r="F21" i="82"/>
  <c r="BX43" i="82"/>
  <c r="BX24" i="82"/>
  <c r="BX45" i="82"/>
  <c r="F40" i="82"/>
  <c r="BX35" i="82"/>
  <c r="F56" i="82"/>
  <c r="F17" i="82"/>
  <c r="BX47" i="82"/>
  <c r="F34" i="82"/>
  <c r="BX32" i="82"/>
  <c r="BX31" i="82"/>
  <c r="BX15" i="82"/>
  <c r="BX9" i="82"/>
  <c r="BX11" i="82"/>
  <c r="BX30" i="82"/>
  <c r="BX14" i="82"/>
  <c r="F14" i="82"/>
  <c r="BX17" i="82"/>
  <c r="BX21" i="82"/>
  <c r="BX29" i="82"/>
  <c r="F20" i="82"/>
  <c r="F44" i="82"/>
  <c r="BX52" i="82"/>
  <c r="F58" i="82"/>
  <c r="BX61" i="82"/>
  <c r="BX33" i="82"/>
  <c r="BX12" i="82"/>
  <c r="F11" i="82"/>
  <c r="F36" i="82"/>
  <c r="F19" i="82"/>
  <c r="F42" i="82"/>
  <c r="BX19" i="82"/>
  <c r="BX42" i="82"/>
  <c r="BX54" i="82"/>
  <c r="F59" i="82"/>
  <c r="F60" i="82"/>
  <c r="BX51" i="82"/>
  <c r="BX70" i="82"/>
  <c r="BX13" i="82"/>
  <c r="F27" i="82"/>
  <c r="F13" i="82"/>
  <c r="F24" i="82"/>
  <c r="F55" i="82"/>
  <c r="F26" i="82"/>
  <c r="BX26" i="82"/>
  <c r="F50" i="82"/>
  <c r="BX46" i="82"/>
  <c r="BX68" i="82"/>
  <c r="F70" i="82"/>
  <c r="BX64" i="82"/>
  <c r="F31" i="82"/>
  <c r="F51" i="82"/>
  <c r="BX10" i="82"/>
  <c r="BX18" i="82"/>
  <c r="F16" i="82"/>
  <c r="F12" i="82"/>
  <c r="BX16" i="82"/>
  <c r="F29" i="82"/>
  <c r="BX48" i="82"/>
  <c r="F46" i="82"/>
  <c r="F57" i="82"/>
  <c r="BX25" i="82"/>
  <c r="F9" i="82"/>
  <c r="BX20" i="82"/>
  <c r="F30" i="82"/>
  <c r="F10" i="82"/>
  <c r="BX22" i="82"/>
  <c r="F15" i="82"/>
  <c r="BX23" i="82"/>
  <c r="F28" i="82"/>
  <c r="F48" i="82"/>
  <c r="F52" i="82"/>
  <c r="F61" i="82"/>
  <c r="F67" i="82"/>
  <c r="F74" i="82"/>
  <c r="F18" i="82"/>
  <c r="BX44" i="82"/>
  <c r="BX67" i="82"/>
  <c r="BX69" i="82"/>
  <c r="BM75" i="82"/>
  <c r="BM39" i="82"/>
  <c r="CG75" i="82"/>
  <c r="CG39" i="82"/>
  <c r="AB76" i="82"/>
  <c r="AB81" i="82"/>
  <c r="AB83" i="82" s="1"/>
  <c r="AB84" i="82" s="1"/>
  <c r="AB86" i="82" s="1"/>
  <c r="AB87" i="82" s="1"/>
  <c r="DI76" i="82"/>
  <c r="Y76" i="82"/>
  <c r="BK76" i="82"/>
  <c r="AQ75" i="82"/>
  <c r="AQ39" i="82"/>
  <c r="BW76" i="82"/>
  <c r="AN75" i="82"/>
  <c r="AN39" i="82"/>
  <c r="T38" i="82"/>
  <c r="CE76" i="82"/>
  <c r="E81" i="82"/>
  <c r="E83" i="82" s="1"/>
  <c r="E84" i="82" s="1"/>
  <c r="E86" i="82" s="1"/>
  <c r="E87" i="82" s="1"/>
  <c r="E76" i="82"/>
  <c r="DK75" i="82"/>
  <c r="DK39" i="82"/>
  <c r="AL76" i="82"/>
  <c r="CK81" i="82"/>
  <c r="CK83" i="82" s="1"/>
  <c r="CK84" i="82" s="1"/>
  <c r="CK86" i="82" s="1"/>
  <c r="CK87" i="82" s="1"/>
  <c r="CK76" i="82"/>
  <c r="AG75" i="82"/>
  <c r="AG39" i="82"/>
  <c r="D81" i="82"/>
  <c r="D83" i="82" s="1"/>
  <c r="D84" i="82" s="1"/>
  <c r="D86" i="82" s="1"/>
  <c r="D87" i="82" s="1"/>
  <c r="D76" i="82"/>
  <c r="ED87" i="82"/>
  <c r="ED96" i="82"/>
  <c r="EE96" i="82" s="1"/>
  <c r="BC76" i="82"/>
  <c r="BR75" i="82"/>
  <c r="BR39" i="82"/>
  <c r="AX75" i="82"/>
  <c r="AX39" i="82"/>
  <c r="AD89" i="82"/>
  <c r="DG39" i="82" s="1"/>
  <c r="C76" i="82"/>
  <c r="C81" i="82"/>
  <c r="C83" i="82" s="1"/>
  <c r="C84" i="82" s="1"/>
  <c r="C86" i="82" s="1"/>
  <c r="C87" i="82" s="1"/>
  <c r="CB75" i="82"/>
  <c r="CB39" i="82"/>
  <c r="BB75" i="82"/>
  <c r="BB39" i="82"/>
  <c r="R76" i="82"/>
  <c r="CV75" i="82"/>
  <c r="CV39" i="82"/>
  <c r="AV76" i="82"/>
  <c r="F35" i="82"/>
  <c r="AI76" i="82"/>
  <c r="S81" i="82"/>
  <c r="S83" i="82" s="1"/>
  <c r="S84" i="82" s="1"/>
  <c r="S86" i="82" s="1"/>
  <c r="S87" i="82" s="1"/>
  <c r="S76" i="82"/>
  <c r="DY81" i="82"/>
  <c r="DY83" i="82" s="1"/>
  <c r="DY84" i="82" s="1"/>
  <c r="DY86" i="82" s="1"/>
  <c r="DY87" i="82" s="1"/>
  <c r="DY76" i="82"/>
  <c r="BL75" i="82"/>
  <c r="BL39" i="82"/>
  <c r="DP75" i="82"/>
  <c r="DP39" i="82"/>
  <c r="J81" i="82"/>
  <c r="J83" i="82" s="1"/>
  <c r="J84" i="82" s="1"/>
  <c r="J86" i="82" s="1"/>
  <c r="J87" i="82" s="1"/>
  <c r="J76" i="82"/>
  <c r="DU76" i="82"/>
  <c r="DO81" i="82"/>
  <c r="DO83" i="82" s="1"/>
  <c r="DO84" i="82" s="1"/>
  <c r="DO86" i="82" s="1"/>
  <c r="DO87" i="82" s="1"/>
  <c r="DO76" i="82"/>
  <c r="Z72" i="82"/>
  <c r="K72" i="82"/>
  <c r="EA72" i="82"/>
  <c r="K65" i="82"/>
  <c r="K69" i="82"/>
  <c r="K68" i="82"/>
  <c r="K66" i="82"/>
  <c r="K64" i="82"/>
  <c r="K63" i="82"/>
  <c r="AE72" i="82"/>
  <c r="Z49" i="82"/>
  <c r="K60" i="82"/>
  <c r="K58" i="82"/>
  <c r="K57" i="82"/>
  <c r="K56" i="82"/>
  <c r="K55" i="82"/>
  <c r="K62" i="82"/>
  <c r="K71" i="82"/>
  <c r="K47" i="82"/>
  <c r="AE49" i="82"/>
  <c r="K49" i="82"/>
  <c r="K45" i="82"/>
  <c r="K30" i="82"/>
  <c r="K24" i="82"/>
  <c r="K32" i="82"/>
  <c r="K43" i="82"/>
  <c r="K25" i="82"/>
  <c r="K19" i="82"/>
  <c r="K9" i="82"/>
  <c r="K15" i="82"/>
  <c r="K14" i="82"/>
  <c r="K13" i="82"/>
  <c r="K11" i="82"/>
  <c r="K26" i="82"/>
  <c r="K16" i="82"/>
  <c r="K42" i="82"/>
  <c r="K12" i="82"/>
  <c r="K10" i="82"/>
  <c r="K17" i="82"/>
  <c r="K28" i="82"/>
  <c r="K29" i="82"/>
  <c r="K48" i="82"/>
  <c r="K18" i="82"/>
  <c r="K21" i="82"/>
  <c r="K36" i="82"/>
  <c r="K46" i="82"/>
  <c r="K44" i="82"/>
  <c r="K51" i="82"/>
  <c r="K31" i="82"/>
  <c r="K52" i="82"/>
  <c r="K61" i="82"/>
  <c r="K20" i="82"/>
  <c r="K33" i="82"/>
  <c r="K27" i="82"/>
  <c r="K59" i="82"/>
  <c r="K67" i="82"/>
  <c r="K70" i="82"/>
  <c r="CA81" i="82"/>
  <c r="CA83" i="82" s="1"/>
  <c r="CA84" i="82" s="1"/>
  <c r="CA86" i="82" s="1"/>
  <c r="CA87" i="82" s="1"/>
  <c r="CA76" i="82"/>
  <c r="DF76" i="82"/>
  <c r="CQ76" i="82"/>
  <c r="K54" i="82"/>
  <c r="DA76" i="82"/>
  <c r="DE81" i="82"/>
  <c r="DE83" i="82" s="1"/>
  <c r="DE84" i="82" s="1"/>
  <c r="DE86" i="82" s="1"/>
  <c r="DE87" i="82" s="1"/>
  <c r="DE76" i="82"/>
  <c r="AS75" i="82"/>
  <c r="AS39" i="82"/>
  <c r="DO75" i="125"/>
  <c r="DO81" i="125" s="1"/>
  <c r="DO83" i="125" s="1"/>
  <c r="DO84" i="125" s="1"/>
  <c r="DO86" i="125" s="1"/>
  <c r="DO87" i="125" s="1"/>
  <c r="AY8" i="124"/>
  <c r="F28" i="124"/>
  <c r="F8" i="121"/>
  <c r="CG75" i="125"/>
  <c r="CG76" i="125" s="1"/>
  <c r="F8" i="124"/>
  <c r="BC8" i="125"/>
  <c r="AY8" i="121"/>
  <c r="BB75" i="125"/>
  <c r="BB39" i="125"/>
  <c r="AX75" i="125"/>
  <c r="AX39" i="125"/>
  <c r="AD75" i="125"/>
  <c r="AD39" i="125"/>
  <c r="CB75" i="125"/>
  <c r="CB39" i="125"/>
  <c r="AN75" i="125"/>
  <c r="AN39" i="125"/>
  <c r="DK75" i="125"/>
  <c r="DK39" i="125"/>
  <c r="CK81" i="125"/>
  <c r="CK83" i="125" s="1"/>
  <c r="CK84" i="125" s="1"/>
  <c r="CK86" i="125" s="1"/>
  <c r="CK87" i="125" s="1"/>
  <c r="CK76" i="125"/>
  <c r="BR75" i="125"/>
  <c r="BR39" i="125"/>
  <c r="BC35" i="125"/>
  <c r="BE35" i="125" s="1"/>
  <c r="BU76" i="125"/>
  <c r="CU81" i="125"/>
  <c r="CU83" i="125" s="1"/>
  <c r="CU84" i="125" s="1"/>
  <c r="CU86" i="125" s="1"/>
  <c r="CU87" i="125" s="1"/>
  <c r="CU76" i="125"/>
  <c r="DE81" i="125"/>
  <c r="DE83" i="125" s="1"/>
  <c r="DE84" i="125" s="1"/>
  <c r="DE86" i="125" s="1"/>
  <c r="DE87" i="125" s="1"/>
  <c r="DE76" i="125"/>
  <c r="AL76" i="125"/>
  <c r="DF38" i="125"/>
  <c r="AB76" i="125"/>
  <c r="DP8" i="125"/>
  <c r="DP38" i="125" s="1"/>
  <c r="AQ75" i="125"/>
  <c r="AQ39" i="125"/>
  <c r="DA38" i="125"/>
  <c r="BG81" i="125"/>
  <c r="BG83" i="125" s="1"/>
  <c r="BG84" i="125" s="1"/>
  <c r="BG86" i="125" s="1"/>
  <c r="BG87" i="125" s="1"/>
  <c r="BG76" i="125"/>
  <c r="BC5" i="125"/>
  <c r="T89" i="125"/>
  <c r="AV81" i="125"/>
  <c r="AV83" i="125" s="1"/>
  <c r="AV84" i="125" s="1"/>
  <c r="AV86" i="125" s="1"/>
  <c r="AV87" i="125" s="1"/>
  <c r="AV76" i="125"/>
  <c r="DP54" i="125"/>
  <c r="CY76" i="125"/>
  <c r="DP35" i="125"/>
  <c r="Y75" i="125"/>
  <c r="Y39" i="125"/>
  <c r="AM81" i="125"/>
  <c r="AM83" i="125" s="1"/>
  <c r="AM84" i="125" s="1"/>
  <c r="AM86" i="125" s="1"/>
  <c r="AM87" i="125" s="1"/>
  <c r="AM76" i="125"/>
  <c r="X81" i="125"/>
  <c r="X83" i="125" s="1"/>
  <c r="X84" i="125" s="1"/>
  <c r="X86" i="125" s="1"/>
  <c r="X87" i="125" s="1"/>
  <c r="X76" i="125"/>
  <c r="AI75" i="125"/>
  <c r="AI39" i="125"/>
  <c r="AC81" i="125"/>
  <c r="AC83" i="125" s="1"/>
  <c r="AC84" i="125" s="1"/>
  <c r="AC86" i="125" s="1"/>
  <c r="AC87" i="125" s="1"/>
  <c r="AC76" i="125"/>
  <c r="T75" i="125"/>
  <c r="T39" i="125"/>
  <c r="BH75" i="125"/>
  <c r="BH39" i="125"/>
  <c r="BP76" i="125"/>
  <c r="DD76" i="125"/>
  <c r="BF76" i="125"/>
  <c r="DP41" i="125"/>
  <c r="S81" i="125"/>
  <c r="S83" i="125" s="1"/>
  <c r="S84" i="125" s="1"/>
  <c r="S86" i="125" s="1"/>
  <c r="S87" i="125" s="1"/>
  <c r="S76" i="125"/>
  <c r="AX89" i="125"/>
  <c r="AX93" i="125" s="1"/>
  <c r="CO76" i="125"/>
  <c r="CA81" i="125"/>
  <c r="CA83" i="125" s="1"/>
  <c r="CA84" i="125" s="1"/>
  <c r="CA76" i="125"/>
  <c r="BW75" i="125"/>
  <c r="BW39" i="125"/>
  <c r="BC54" i="125"/>
  <c r="BE54" i="125" s="1"/>
  <c r="BZ76" i="125"/>
  <c r="W76" i="125"/>
  <c r="BL81" i="125"/>
  <c r="BL83" i="125" s="1"/>
  <c r="BL84" i="125" s="1"/>
  <c r="BL86" i="125" s="1"/>
  <c r="BL87" i="125" s="1"/>
  <c r="BL76" i="125"/>
  <c r="BM38" i="125"/>
  <c r="BQ81" i="125"/>
  <c r="BQ83" i="125" s="1"/>
  <c r="BQ84" i="125" s="1"/>
  <c r="BQ86" i="125" s="1"/>
  <c r="BQ87" i="125" s="1"/>
  <c r="BQ76" i="125"/>
  <c r="DN38" i="125"/>
  <c r="CT76" i="125"/>
  <c r="AG76" i="125"/>
  <c r="AS75" i="125"/>
  <c r="AS39" i="125"/>
  <c r="BC41" i="125"/>
  <c r="BK76" i="125"/>
  <c r="CJ76" i="125"/>
  <c r="CL76" i="125"/>
  <c r="DI76" i="125"/>
  <c r="CV75" i="125"/>
  <c r="CQ38" i="125"/>
  <c r="T89" i="100"/>
  <c r="U8" i="100" s="1"/>
  <c r="T38" i="100"/>
  <c r="DD76" i="100"/>
  <c r="CP81" i="100"/>
  <c r="CP83" i="100" s="1"/>
  <c r="CP84" i="100" s="1"/>
  <c r="CP86" i="100" s="1"/>
  <c r="CP87" i="100" s="1"/>
  <c r="CP76" i="100"/>
  <c r="BB75" i="100"/>
  <c r="BB39" i="100"/>
  <c r="X81" i="100"/>
  <c r="X83" i="100" s="1"/>
  <c r="X84" i="100" s="1"/>
  <c r="X86" i="100" s="1"/>
  <c r="X87" i="100" s="1"/>
  <c r="X76" i="100"/>
  <c r="DK81" i="100"/>
  <c r="DK83" i="100" s="1"/>
  <c r="DK84" i="100" s="1"/>
  <c r="DK86" i="100" s="1"/>
  <c r="DK87" i="100" s="1"/>
  <c r="DK76" i="100"/>
  <c r="BR76" i="100"/>
  <c r="DA81" i="100"/>
  <c r="DA83" i="100" s="1"/>
  <c r="DA84" i="100" s="1"/>
  <c r="DA86" i="100" s="1"/>
  <c r="DA87" i="100" s="1"/>
  <c r="DA76" i="100"/>
  <c r="DF76" i="100"/>
  <c r="O75" i="100"/>
  <c r="O39" i="100"/>
  <c r="BM76" i="100"/>
  <c r="M76" i="100"/>
  <c r="M81" i="100"/>
  <c r="M83" i="100" s="1"/>
  <c r="M84" i="100" s="1"/>
  <c r="M86" i="100" s="1"/>
  <c r="M87" i="100" s="1"/>
  <c r="DE81" i="100"/>
  <c r="DE83" i="100" s="1"/>
  <c r="DE84" i="100" s="1"/>
  <c r="DE86" i="100" s="1"/>
  <c r="DE87" i="100" s="1"/>
  <c r="DE76" i="100"/>
  <c r="AD75" i="100"/>
  <c r="AD39" i="100"/>
  <c r="DO75" i="100"/>
  <c r="DO39" i="100"/>
  <c r="CF86" i="100"/>
  <c r="CF87" i="100" s="1"/>
  <c r="BP76" i="100"/>
  <c r="AB76" i="100"/>
  <c r="DN75" i="100"/>
  <c r="DN39" i="100"/>
  <c r="DP35" i="100"/>
  <c r="CA81" i="100"/>
  <c r="CA83" i="100" s="1"/>
  <c r="CA84" i="100" s="1"/>
  <c r="CA86" i="100" s="1"/>
  <c r="CA87" i="100" s="1"/>
  <c r="CA76" i="100"/>
  <c r="BA75" i="100"/>
  <c r="BA39" i="100"/>
  <c r="BG81" i="100"/>
  <c r="BG83" i="100" s="1"/>
  <c r="BG84" i="100" s="1"/>
  <c r="BG86" i="100" s="1"/>
  <c r="BG87" i="100" s="1"/>
  <c r="BG76" i="100"/>
  <c r="CG76" i="100"/>
  <c r="AI75" i="100"/>
  <c r="AI39" i="100"/>
  <c r="AN76" i="100"/>
  <c r="CT81" i="100"/>
  <c r="CT83" i="100" s="1"/>
  <c r="CT84" i="100" s="1"/>
  <c r="CT86" i="100" s="1"/>
  <c r="CT87" i="100" s="1"/>
  <c r="CT76" i="100"/>
  <c r="CV81" i="100"/>
  <c r="CV83" i="100" s="1"/>
  <c r="CV84" i="100" s="1"/>
  <c r="CV86" i="100" s="1"/>
  <c r="CV87" i="100" s="1"/>
  <c r="CV76" i="100"/>
  <c r="CL76" i="100"/>
  <c r="AC81" i="100"/>
  <c r="AC83" i="100" s="1"/>
  <c r="AC84" i="100" s="1"/>
  <c r="AC86" i="100" s="1"/>
  <c r="AC87" i="100" s="1"/>
  <c r="AC76" i="100"/>
  <c r="AS76" i="100"/>
  <c r="Y38" i="100"/>
  <c r="H81" i="100"/>
  <c r="H83" i="100" s="1"/>
  <c r="H84" i="100" s="1"/>
  <c r="H86" i="100" s="1"/>
  <c r="H87" i="100" s="1"/>
  <c r="H76" i="100"/>
  <c r="AM81" i="100"/>
  <c r="AM83" i="100" s="1"/>
  <c r="AM84" i="100" s="1"/>
  <c r="AM86" i="100" s="1"/>
  <c r="AM87" i="100" s="1"/>
  <c r="AM76" i="100"/>
  <c r="BW76" i="100"/>
  <c r="DI81" i="100"/>
  <c r="DI83" i="100" s="1"/>
  <c r="DI84" i="100" s="1"/>
  <c r="DI86" i="100" s="1"/>
  <c r="DI87" i="100" s="1"/>
  <c r="DI76" i="100"/>
  <c r="CQ75" i="100"/>
  <c r="CQ39" i="100"/>
  <c r="J38" i="100"/>
  <c r="BH38" i="100"/>
  <c r="AR81" i="100"/>
  <c r="AR83" i="100" s="1"/>
  <c r="AR84" i="100" s="1"/>
  <c r="AR86" i="100" s="1"/>
  <c r="AR87" i="100" s="1"/>
  <c r="AR76" i="100"/>
  <c r="W76" i="100"/>
  <c r="CB76" i="100"/>
  <c r="N81" i="100"/>
  <c r="N83" i="100" s="1"/>
  <c r="N84" i="100" s="1"/>
  <c r="N86" i="100" s="1"/>
  <c r="N87" i="100" s="1"/>
  <c r="N76" i="100"/>
  <c r="AG76" i="100"/>
  <c r="BV81" i="100"/>
  <c r="BV83" i="100" s="1"/>
  <c r="BV84" i="100" s="1"/>
  <c r="BV86" i="100" s="1"/>
  <c r="BV87" i="100" s="1"/>
  <c r="BV76" i="100"/>
  <c r="BF76" i="100"/>
  <c r="DO85" i="100"/>
  <c r="DP85" i="100" s="1"/>
  <c r="BB85" i="100"/>
  <c r="BC85" i="100" s="1"/>
  <c r="DP8" i="100"/>
  <c r="BL81" i="100"/>
  <c r="BL83" i="100" s="1"/>
  <c r="BL84" i="100" s="1"/>
  <c r="BL86" i="100" s="1"/>
  <c r="BL87" i="100" s="1"/>
  <c r="BL76" i="100"/>
  <c r="I81" i="100"/>
  <c r="I83" i="100" s="1"/>
  <c r="I84" i="100" s="1"/>
  <c r="I86" i="100" s="1"/>
  <c r="I87" i="100" s="1"/>
  <c r="I76" i="100"/>
  <c r="AQ76" i="100"/>
  <c r="BZ76" i="100"/>
  <c r="R81" i="100"/>
  <c r="R83" i="100" s="1"/>
  <c r="R84" i="100" s="1"/>
  <c r="R86" i="100" s="1"/>
  <c r="R87" i="100" s="1"/>
  <c r="R76" i="100"/>
  <c r="BL85" i="121"/>
  <c r="BL86" i="121" s="1"/>
  <c r="BL87" i="121" s="1"/>
  <c r="BM75" i="121"/>
  <c r="BM39" i="121"/>
  <c r="CV76" i="121"/>
  <c r="E81" i="121"/>
  <c r="E83" i="121" s="1"/>
  <c r="E84" i="121" s="1"/>
  <c r="E86" i="121" s="1"/>
  <c r="E87" i="121" s="1"/>
  <c r="E76" i="121"/>
  <c r="F54" i="121"/>
  <c r="BR76" i="121"/>
  <c r="BR81" i="121"/>
  <c r="BR83" i="121" s="1"/>
  <c r="BR84" i="121" s="1"/>
  <c r="BR86" i="121" s="1"/>
  <c r="BR87" i="121" s="1"/>
  <c r="F35" i="121"/>
  <c r="BG76" i="121"/>
  <c r="BG81" i="121"/>
  <c r="BG83" i="121" s="1"/>
  <c r="BG84" i="121" s="1"/>
  <c r="BG86" i="121" s="1"/>
  <c r="BG87" i="121" s="1"/>
  <c r="S81" i="121"/>
  <c r="S83" i="121" s="1"/>
  <c r="S84" i="121" s="1"/>
  <c r="S86" i="121" s="1"/>
  <c r="S87" i="121" s="1"/>
  <c r="S76" i="121"/>
  <c r="M75" i="121"/>
  <c r="M39" i="121"/>
  <c r="O76" i="121"/>
  <c r="X76" i="121"/>
  <c r="X81" i="121"/>
  <c r="X83" i="121" s="1"/>
  <c r="X84" i="121" s="1"/>
  <c r="X86" i="121" s="1"/>
  <c r="X87" i="121" s="1"/>
  <c r="BW75" i="121"/>
  <c r="BW39" i="121"/>
  <c r="CK76" i="121"/>
  <c r="CK81" i="121"/>
  <c r="CK83" i="121" s="1"/>
  <c r="CK84" i="121" s="1"/>
  <c r="CK86" i="121" s="1"/>
  <c r="CK87" i="121" s="1"/>
  <c r="CG81" i="121"/>
  <c r="CG83" i="121" s="1"/>
  <c r="CG84" i="121" s="1"/>
  <c r="CG86" i="121" s="1"/>
  <c r="CG87" i="121" s="1"/>
  <c r="CG76" i="121"/>
  <c r="T38" i="121"/>
  <c r="AC81" i="121"/>
  <c r="AC83" i="121" s="1"/>
  <c r="AC84" i="121" s="1"/>
  <c r="AC86" i="121" s="1"/>
  <c r="AC87" i="121" s="1"/>
  <c r="AC76" i="121"/>
  <c r="CA76" i="121"/>
  <c r="CA81" i="121"/>
  <c r="CA83" i="121" s="1"/>
  <c r="CA84" i="121" s="1"/>
  <c r="CA86" i="121" s="1"/>
  <c r="CA87" i="121" s="1"/>
  <c r="N81" i="121"/>
  <c r="N83" i="121" s="1"/>
  <c r="N84" i="121" s="1"/>
  <c r="N86" i="121" s="1"/>
  <c r="N87" i="121" s="1"/>
  <c r="N76" i="121"/>
  <c r="H76" i="121"/>
  <c r="AB76" i="121"/>
  <c r="BC81" i="121"/>
  <c r="BC83" i="121" s="1"/>
  <c r="BC84" i="121" s="1"/>
  <c r="BC86" i="121" s="1"/>
  <c r="BC87" i="121" s="1"/>
  <c r="BC76" i="121"/>
  <c r="AW76" i="121"/>
  <c r="AW81" i="121"/>
  <c r="AW83" i="121" s="1"/>
  <c r="AW84" i="121" s="1"/>
  <c r="AW86" i="121" s="1"/>
  <c r="AW87" i="121" s="1"/>
  <c r="BQ85" i="121"/>
  <c r="CF85" i="125" s="1"/>
  <c r="CF86" i="125" s="1"/>
  <c r="CF87" i="125" s="1"/>
  <c r="AS81" i="121"/>
  <c r="AS83" i="121" s="1"/>
  <c r="AS84" i="121" s="1"/>
  <c r="AS86" i="121" s="1"/>
  <c r="AS87" i="121" s="1"/>
  <c r="AS76" i="121"/>
  <c r="AY69" i="121"/>
  <c r="F69" i="121"/>
  <c r="AY66" i="121"/>
  <c r="F66" i="121"/>
  <c r="AY64" i="121"/>
  <c r="F64" i="121"/>
  <c r="AY61" i="121"/>
  <c r="F61" i="121"/>
  <c r="AY58" i="121"/>
  <c r="F70" i="121"/>
  <c r="AY70" i="121"/>
  <c r="AY56" i="121"/>
  <c r="F56" i="121"/>
  <c r="AY52" i="121"/>
  <c r="F52" i="121"/>
  <c r="F67" i="121"/>
  <c r="AY67" i="121"/>
  <c r="AY46" i="121"/>
  <c r="AY45" i="121"/>
  <c r="F43" i="121"/>
  <c r="F42" i="121"/>
  <c r="AY26" i="121"/>
  <c r="F22" i="121"/>
  <c r="AY35" i="121"/>
  <c r="F33" i="121"/>
  <c r="F46" i="121"/>
  <c r="F45" i="121"/>
  <c r="AY55" i="121"/>
  <c r="AY43" i="121"/>
  <c r="AY42" i="121"/>
  <c r="AY40" i="121"/>
  <c r="AY31" i="121"/>
  <c r="AY29" i="121"/>
  <c r="F31" i="121"/>
  <c r="AY15" i="121"/>
  <c r="F13" i="121"/>
  <c r="F12" i="121"/>
  <c r="F26" i="121"/>
  <c r="AY50" i="121"/>
  <c r="F23" i="121"/>
  <c r="F16" i="121"/>
  <c r="F15" i="121"/>
  <c r="AY10" i="121"/>
  <c r="AY9" i="121"/>
  <c r="F27" i="121"/>
  <c r="F10" i="121"/>
  <c r="AY33" i="121"/>
  <c r="AY36" i="121"/>
  <c r="AY13" i="121"/>
  <c r="AY30" i="121"/>
  <c r="AY27" i="121"/>
  <c r="AY12" i="121"/>
  <c r="AY17" i="121"/>
  <c r="AY11" i="121"/>
  <c r="AY25" i="121"/>
  <c r="AY23" i="121"/>
  <c r="F19" i="121"/>
  <c r="F29" i="121"/>
  <c r="AY28" i="121"/>
  <c r="AY47" i="121"/>
  <c r="AY48" i="121"/>
  <c r="F44" i="121"/>
  <c r="AY60" i="121"/>
  <c r="AY20" i="121"/>
  <c r="F9" i="121"/>
  <c r="F20" i="121"/>
  <c r="F30" i="121"/>
  <c r="AY16" i="121"/>
  <c r="F41" i="121"/>
  <c r="AY24" i="121"/>
  <c r="F11" i="121"/>
  <c r="AY22" i="121"/>
  <c r="F55" i="121"/>
  <c r="F59" i="121"/>
  <c r="F50" i="121"/>
  <c r="F48" i="121"/>
  <c r="F57" i="121"/>
  <c r="F65" i="121"/>
  <c r="F62" i="121"/>
  <c r="AY14" i="121"/>
  <c r="F18" i="121"/>
  <c r="AY21" i="121"/>
  <c r="F36" i="121"/>
  <c r="AY44" i="121"/>
  <c r="F28" i="121"/>
  <c r="F47" i="121"/>
  <c r="AY18" i="121"/>
  <c r="F17" i="121"/>
  <c r="F58" i="121"/>
  <c r="AY57" i="121"/>
  <c r="AY68" i="121"/>
  <c r="AY65" i="121"/>
  <c r="F63" i="121"/>
  <c r="F25" i="121"/>
  <c r="F51" i="121"/>
  <c r="AY19" i="121"/>
  <c r="F60" i="121"/>
  <c r="F68" i="121"/>
  <c r="AY71" i="121"/>
  <c r="F14" i="121"/>
  <c r="AY32" i="121"/>
  <c r="AY59" i="121"/>
  <c r="F32" i="121"/>
  <c r="F24" i="121"/>
  <c r="F21" i="121"/>
  <c r="AY63" i="121"/>
  <c r="AY51" i="121"/>
  <c r="F71" i="121"/>
  <c r="AY62" i="121"/>
  <c r="AD38" i="121"/>
  <c r="BQ86" i="121"/>
  <c r="BQ87" i="121" s="1"/>
  <c r="CL76" i="121"/>
  <c r="CL81" i="121"/>
  <c r="CL83" i="121" s="1"/>
  <c r="CL84" i="121" s="1"/>
  <c r="CL86" i="121" s="1"/>
  <c r="CL87" i="121" s="1"/>
  <c r="CZ81" i="121"/>
  <c r="CZ83" i="121" s="1"/>
  <c r="CZ84" i="121" s="1"/>
  <c r="CZ76" i="121"/>
  <c r="CB76" i="121"/>
  <c r="CB81" i="121"/>
  <c r="CB83" i="121" s="1"/>
  <c r="CB84" i="121" s="1"/>
  <c r="CB86" i="121" s="1"/>
  <c r="CB87" i="121" s="1"/>
  <c r="AX75" i="121"/>
  <c r="AX39" i="121"/>
  <c r="AY39" i="121" s="1"/>
  <c r="AY38" i="121"/>
  <c r="CQ75" i="121"/>
  <c r="CQ39" i="121"/>
  <c r="J38" i="121"/>
  <c r="C76" i="121"/>
  <c r="C81" i="121"/>
  <c r="C83" i="121" s="1"/>
  <c r="C84" i="121" s="1"/>
  <c r="C86" i="121" s="1"/>
  <c r="C87" i="121" s="1"/>
  <c r="CP81" i="121"/>
  <c r="CP83" i="121" s="1"/>
  <c r="CP84" i="121" s="1"/>
  <c r="CP86" i="121" s="1"/>
  <c r="CP87" i="121" s="1"/>
  <c r="CP76" i="121"/>
  <c r="AM76" i="121"/>
  <c r="AM81" i="121"/>
  <c r="AM83" i="121" s="1"/>
  <c r="AM84" i="121" s="1"/>
  <c r="DA8" i="121"/>
  <c r="DA38" i="121" s="1"/>
  <c r="AY54" i="121"/>
  <c r="W76" i="121"/>
  <c r="BH76" i="121"/>
  <c r="BH81" i="121"/>
  <c r="BH83" i="121" s="1"/>
  <c r="BH84" i="121" s="1"/>
  <c r="BH86" i="121" s="1"/>
  <c r="BH87" i="121" s="1"/>
  <c r="CY38" i="121"/>
  <c r="I75" i="121"/>
  <c r="I39" i="121"/>
  <c r="BP81" i="121"/>
  <c r="BP83" i="121" s="1"/>
  <c r="BP84" i="121" s="1"/>
  <c r="BP86" i="121" s="1"/>
  <c r="BP87" i="121" s="1"/>
  <c r="BP76" i="121"/>
  <c r="R76" i="121"/>
  <c r="AN38" i="121"/>
  <c r="Y75" i="121"/>
  <c r="Y39" i="121"/>
  <c r="T38" i="122"/>
  <c r="I76" i="122"/>
  <c r="I81" i="122"/>
  <c r="I83" i="122" s="1"/>
  <c r="I84" i="122" s="1"/>
  <c r="I86" i="122" s="1"/>
  <c r="I87" i="122" s="1"/>
  <c r="AQ76" i="122"/>
  <c r="AM85" i="122"/>
  <c r="AN85" i="122" s="1"/>
  <c r="CZ85" i="122"/>
  <c r="DA85" i="122" s="1"/>
  <c r="CQ81" i="122"/>
  <c r="CQ83" i="122" s="1"/>
  <c r="CQ84" i="122" s="1"/>
  <c r="CQ86" i="122" s="1"/>
  <c r="CQ87" i="122" s="1"/>
  <c r="CQ76" i="122"/>
  <c r="E81" i="122"/>
  <c r="E83" i="122" s="1"/>
  <c r="E84" i="122" s="1"/>
  <c r="E86" i="122" s="1"/>
  <c r="E87" i="122" s="1"/>
  <c r="E76" i="122"/>
  <c r="CB76" i="122"/>
  <c r="CB81" i="122"/>
  <c r="CB83" i="122" s="1"/>
  <c r="CB84" i="122" s="1"/>
  <c r="CB86" i="122" s="1"/>
  <c r="CB87" i="122" s="1"/>
  <c r="BM81" i="122"/>
  <c r="BM83" i="122" s="1"/>
  <c r="BM84" i="122" s="1"/>
  <c r="BM86" i="122" s="1"/>
  <c r="BM87" i="122" s="1"/>
  <c r="BM76" i="122"/>
  <c r="AS76" i="122"/>
  <c r="AR76" i="122"/>
  <c r="AR81" i="122"/>
  <c r="AR83" i="122" s="1"/>
  <c r="AR84" i="122" s="1"/>
  <c r="AR86" i="122" s="1"/>
  <c r="AR87" i="122" s="1"/>
  <c r="J38" i="122"/>
  <c r="M75" i="122"/>
  <c r="M39" i="122"/>
  <c r="O76" i="122"/>
  <c r="CJ81" i="122"/>
  <c r="CJ83" i="122" s="1"/>
  <c r="CJ84" i="122" s="1"/>
  <c r="CJ86" i="122" s="1"/>
  <c r="CJ87" i="122" s="1"/>
  <c r="CJ76" i="122"/>
  <c r="BV76" i="122"/>
  <c r="BV81" i="122"/>
  <c r="BV83" i="122" s="1"/>
  <c r="BV84" i="122" s="1"/>
  <c r="BV86" i="122" s="1"/>
  <c r="BV87" i="122" s="1"/>
  <c r="BH76" i="122"/>
  <c r="BF76" i="122"/>
  <c r="AN75" i="122"/>
  <c r="AN39" i="122"/>
  <c r="AD38" i="122"/>
  <c r="H76" i="122"/>
  <c r="CZ75" i="122"/>
  <c r="CZ39" i="122"/>
  <c r="BW81" i="122"/>
  <c r="BW83" i="122" s="1"/>
  <c r="BW84" i="122" s="1"/>
  <c r="BW86" i="122" s="1"/>
  <c r="BW87" i="122" s="1"/>
  <c r="BW76" i="122"/>
  <c r="AX76" i="122"/>
  <c r="CY75" i="122"/>
  <c r="CY39" i="122"/>
  <c r="BR81" i="122"/>
  <c r="BR83" i="122" s="1"/>
  <c r="BR84" i="122" s="1"/>
  <c r="BR86" i="122" s="1"/>
  <c r="BR87" i="122" s="1"/>
  <c r="BR76" i="122"/>
  <c r="S75" i="122"/>
  <c r="S39" i="122"/>
  <c r="CG81" i="122"/>
  <c r="CG83" i="122" s="1"/>
  <c r="CG84" i="122" s="1"/>
  <c r="CG86" i="122" s="1"/>
  <c r="CG87" i="122" s="1"/>
  <c r="CG76" i="122"/>
  <c r="Y76" i="122"/>
  <c r="DA8" i="122"/>
  <c r="R76" i="122"/>
  <c r="AL76" i="122"/>
  <c r="AC76" i="122"/>
  <c r="AC81" i="122"/>
  <c r="AC83" i="122" s="1"/>
  <c r="AC84" i="122" s="1"/>
  <c r="AC86" i="122" s="1"/>
  <c r="AC87" i="122" s="1"/>
  <c r="CV75" i="122"/>
  <c r="CV39" i="122"/>
  <c r="AY70" i="122"/>
  <c r="F70" i="122"/>
  <c r="AY67" i="122"/>
  <c r="F67" i="122"/>
  <c r="F64" i="122"/>
  <c r="AY61" i="122"/>
  <c r="F61" i="122"/>
  <c r="AY58" i="122"/>
  <c r="F58" i="122"/>
  <c r="AY55" i="122"/>
  <c r="F55" i="122"/>
  <c r="AY62" i="122"/>
  <c r="F62" i="122"/>
  <c r="AY59" i="122"/>
  <c r="F59" i="122"/>
  <c r="AY56" i="122"/>
  <c r="F56" i="122"/>
  <c r="AY52" i="122"/>
  <c r="F52" i="122"/>
  <c r="AY47" i="122"/>
  <c r="F47" i="122"/>
  <c r="AY44" i="122"/>
  <c r="AY60" i="122"/>
  <c r="F45" i="122"/>
  <c r="F63" i="122"/>
  <c r="AY51" i="122"/>
  <c r="AY46" i="122"/>
  <c r="F44" i="122"/>
  <c r="AY33" i="122"/>
  <c r="F33" i="122"/>
  <c r="AY31" i="122"/>
  <c r="F46" i="122"/>
  <c r="AY36" i="122"/>
  <c r="F36" i="122"/>
  <c r="F9" i="122"/>
  <c r="F51" i="122"/>
  <c r="AY50" i="122"/>
  <c r="AY48" i="122"/>
  <c r="AY43" i="122"/>
  <c r="AY40" i="122"/>
  <c r="F29" i="122"/>
  <c r="AY24" i="122"/>
  <c r="F24" i="122"/>
  <c r="AY57" i="122"/>
  <c r="F23" i="122"/>
  <c r="F22" i="122"/>
  <c r="F32" i="122"/>
  <c r="AY13" i="122"/>
  <c r="F13" i="122"/>
  <c r="AY10" i="122"/>
  <c r="F10" i="122"/>
  <c r="F31" i="122"/>
  <c r="AY32" i="122"/>
  <c r="AY16" i="122"/>
  <c r="F16" i="122"/>
  <c r="AY21" i="122"/>
  <c r="AY25" i="122"/>
  <c r="AY22" i="122"/>
  <c r="AY8" i="122"/>
  <c r="AY18" i="122"/>
  <c r="AY15" i="122"/>
  <c r="AY35" i="122"/>
  <c r="F57" i="122"/>
  <c r="F60" i="122"/>
  <c r="F69" i="122"/>
  <c r="AY66" i="122"/>
  <c r="AY65" i="122"/>
  <c r="F30" i="122"/>
  <c r="F41" i="122"/>
  <c r="F43" i="122"/>
  <c r="F11" i="122"/>
  <c r="AY9" i="122"/>
  <c r="F27" i="122"/>
  <c r="F25" i="122"/>
  <c r="F26" i="122"/>
  <c r="AY45" i="122"/>
  <c r="F50" i="122"/>
  <c r="AY63" i="122"/>
  <c r="F48" i="122"/>
  <c r="F18" i="122"/>
  <c r="F15" i="122"/>
  <c r="AY64" i="122"/>
  <c r="AY68" i="122"/>
  <c r="AY11" i="122"/>
  <c r="AY23" i="122"/>
  <c r="F17" i="122"/>
  <c r="AY29" i="122"/>
  <c r="AY27" i="122"/>
  <c r="AY20" i="122"/>
  <c r="AY26" i="122"/>
  <c r="AY30" i="122"/>
  <c r="F28" i="122"/>
  <c r="F66" i="122"/>
  <c r="AY14" i="122"/>
  <c r="AY12" i="122"/>
  <c r="AY42" i="122"/>
  <c r="AY69" i="122"/>
  <c r="F20" i="122"/>
  <c r="F19" i="122"/>
  <c r="F35" i="122"/>
  <c r="F68" i="122"/>
  <c r="F21" i="122"/>
  <c r="AY17" i="122"/>
  <c r="AY19" i="122"/>
  <c r="F14" i="122"/>
  <c r="F12" i="122"/>
  <c r="AY41" i="122"/>
  <c r="AY28" i="122"/>
  <c r="AY71" i="122"/>
  <c r="F71" i="122"/>
  <c r="F42" i="122"/>
  <c r="F65" i="122"/>
  <c r="F54" i="122"/>
  <c r="BU81" i="122"/>
  <c r="BU83" i="122" s="1"/>
  <c r="BU84" i="122" s="1"/>
  <c r="BU86" i="122" s="1"/>
  <c r="BU87" i="122" s="1"/>
  <c r="BU76" i="122"/>
  <c r="BC76" i="122"/>
  <c r="AY39" i="122"/>
  <c r="W76" i="122"/>
  <c r="AM76" i="122"/>
  <c r="AM81" i="122"/>
  <c r="AM83" i="122" s="1"/>
  <c r="AM84" i="122" s="1"/>
  <c r="AM86" i="122" s="1"/>
  <c r="AM87" i="122" s="1"/>
  <c r="CL81" i="122"/>
  <c r="CL83" i="122" s="1"/>
  <c r="CL84" i="122" s="1"/>
  <c r="CL86" i="122" s="1"/>
  <c r="CL87" i="122" s="1"/>
  <c r="CL76" i="122"/>
  <c r="AN75" i="123"/>
  <c r="AN39" i="123"/>
  <c r="Y38" i="123"/>
  <c r="CG81" i="123"/>
  <c r="CG83" i="123" s="1"/>
  <c r="CG84" i="123" s="1"/>
  <c r="CG86" i="123" s="1"/>
  <c r="CG87" i="123" s="1"/>
  <c r="CG76" i="123"/>
  <c r="CQ75" i="123"/>
  <c r="CQ39" i="123"/>
  <c r="CO76" i="123"/>
  <c r="CO81" i="123"/>
  <c r="CO83" i="123" s="1"/>
  <c r="CO84" i="123" s="1"/>
  <c r="CO86" i="123" s="1"/>
  <c r="CO87" i="123" s="1"/>
  <c r="AS75" i="123"/>
  <c r="AS39" i="123"/>
  <c r="O76" i="123"/>
  <c r="C81" i="123"/>
  <c r="C83" i="123" s="1"/>
  <c r="C84" i="123" s="1"/>
  <c r="C86" i="123" s="1"/>
  <c r="C87" i="123" s="1"/>
  <c r="C76" i="123"/>
  <c r="BQ81" i="123"/>
  <c r="BQ83" i="123" s="1"/>
  <c r="BQ84" i="123" s="1"/>
  <c r="BQ76" i="123"/>
  <c r="AD38" i="123"/>
  <c r="CY38" i="123"/>
  <c r="BW75" i="123"/>
  <c r="BW39" i="123"/>
  <c r="AB76" i="123"/>
  <c r="AY39" i="123"/>
  <c r="CZ81" i="123"/>
  <c r="CZ83" i="123" s="1"/>
  <c r="CZ84" i="123" s="1"/>
  <c r="CZ76" i="123"/>
  <c r="E76" i="123"/>
  <c r="E81" i="123"/>
  <c r="E83" i="123" s="1"/>
  <c r="E84" i="123" s="1"/>
  <c r="E86" i="123" s="1"/>
  <c r="E87" i="123" s="1"/>
  <c r="BP81" i="123"/>
  <c r="BP83" i="123" s="1"/>
  <c r="BP84" i="123" s="1"/>
  <c r="BP86" i="123" s="1"/>
  <c r="BP87" i="123" s="1"/>
  <c r="BP76" i="123"/>
  <c r="DA38" i="123"/>
  <c r="W76" i="123"/>
  <c r="CB75" i="123"/>
  <c r="CB39" i="123"/>
  <c r="BL85" i="123"/>
  <c r="BL86" i="123" s="1"/>
  <c r="BL87" i="123" s="1"/>
  <c r="BM75" i="123"/>
  <c r="BM39" i="123"/>
  <c r="T38" i="123"/>
  <c r="F54" i="123"/>
  <c r="CF76" i="123"/>
  <c r="CF81" i="123"/>
  <c r="CF83" i="123" s="1"/>
  <c r="CF84" i="123" s="1"/>
  <c r="CF86" i="123" s="1"/>
  <c r="CF87" i="123" s="1"/>
  <c r="BZ81" i="123"/>
  <c r="BZ83" i="123" s="1"/>
  <c r="BZ84" i="123" s="1"/>
  <c r="BZ86" i="123" s="1"/>
  <c r="BZ87" i="123" s="1"/>
  <c r="BZ76" i="123"/>
  <c r="BR76" i="123"/>
  <c r="BR81" i="123"/>
  <c r="BR83" i="123" s="1"/>
  <c r="BR84" i="123" s="1"/>
  <c r="BR86" i="123" s="1"/>
  <c r="BR87" i="123" s="1"/>
  <c r="BC76" i="123"/>
  <c r="J76" i="123"/>
  <c r="F71" i="123"/>
  <c r="F63" i="123"/>
  <c r="AY66" i="123"/>
  <c r="F66" i="123"/>
  <c r="F69" i="123"/>
  <c r="AY57" i="123"/>
  <c r="F57" i="123"/>
  <c r="AY69" i="123"/>
  <c r="AY64" i="123"/>
  <c r="AY60" i="123"/>
  <c r="F60" i="123"/>
  <c r="AY46" i="123"/>
  <c r="F46" i="123"/>
  <c r="AY40" i="123"/>
  <c r="F32" i="123"/>
  <c r="AY44" i="123"/>
  <c r="F44" i="123"/>
  <c r="AY24" i="123"/>
  <c r="F30" i="123"/>
  <c r="AY20" i="123"/>
  <c r="F20" i="123"/>
  <c r="AY47" i="123"/>
  <c r="F36" i="123"/>
  <c r="AY30" i="123"/>
  <c r="F47" i="123"/>
  <c r="AY36" i="123"/>
  <c r="AY29" i="123"/>
  <c r="AY28" i="123"/>
  <c r="F28" i="123"/>
  <c r="F25" i="123"/>
  <c r="F24" i="123"/>
  <c r="F22" i="123"/>
  <c r="F18" i="123"/>
  <c r="AY15" i="123"/>
  <c r="F15" i="123"/>
  <c r="AY12" i="123"/>
  <c r="F12" i="123"/>
  <c r="AY9" i="123"/>
  <c r="AY19" i="123"/>
  <c r="F19" i="123"/>
  <c r="AY33" i="123"/>
  <c r="AY18" i="123"/>
  <c r="AY16" i="123"/>
  <c r="F16" i="123"/>
  <c r="AY13" i="123"/>
  <c r="F13" i="123"/>
  <c r="AY10" i="123"/>
  <c r="F10" i="123"/>
  <c r="F14" i="123"/>
  <c r="F23" i="123"/>
  <c r="AY23" i="123"/>
  <c r="AY51" i="123"/>
  <c r="F68" i="123"/>
  <c r="AY58" i="123"/>
  <c r="AY11" i="123"/>
  <c r="F31" i="123"/>
  <c r="F35" i="123"/>
  <c r="F62" i="123"/>
  <c r="AY26" i="123"/>
  <c r="F9" i="123"/>
  <c r="AY14" i="123"/>
  <c r="AY25" i="123"/>
  <c r="AY55" i="123"/>
  <c r="AY22" i="123"/>
  <c r="F27" i="123"/>
  <c r="AY41" i="123"/>
  <c r="AY35" i="123"/>
  <c r="F65" i="123"/>
  <c r="AY48" i="123"/>
  <c r="AY52" i="123"/>
  <c r="F51" i="123"/>
  <c r="F56" i="123"/>
  <c r="F59" i="123"/>
  <c r="F70" i="123"/>
  <c r="AY63" i="123"/>
  <c r="AY8" i="123"/>
  <c r="F48" i="123"/>
  <c r="AY65" i="123"/>
  <c r="F45" i="123"/>
  <c r="F43" i="123"/>
  <c r="F42" i="123"/>
  <c r="AY67" i="123"/>
  <c r="AY62" i="123"/>
  <c r="F61" i="123"/>
  <c r="F11" i="123"/>
  <c r="AY31" i="123"/>
  <c r="AY27" i="123"/>
  <c r="F67" i="123"/>
  <c r="AY61" i="123"/>
  <c r="F64" i="123"/>
  <c r="AY71" i="123"/>
  <c r="F21" i="123"/>
  <c r="AY68" i="123"/>
  <c r="AY59" i="123"/>
  <c r="F26" i="123"/>
  <c r="F29" i="123"/>
  <c r="F17" i="123"/>
  <c r="F33" i="123"/>
  <c r="AY21" i="123"/>
  <c r="AY45" i="123"/>
  <c r="AY43" i="123"/>
  <c r="AY42" i="123"/>
  <c r="AY56" i="123"/>
  <c r="F8" i="123"/>
  <c r="AY17" i="123"/>
  <c r="AY32" i="123"/>
  <c r="F55" i="123"/>
  <c r="AY70" i="123"/>
  <c r="F52" i="123"/>
  <c r="F58" i="123"/>
  <c r="F41" i="123"/>
  <c r="CL76" i="123"/>
  <c r="CL81" i="123"/>
  <c r="CL83" i="123" s="1"/>
  <c r="CL84" i="123" s="1"/>
  <c r="CL86" i="123" s="1"/>
  <c r="CL87" i="123" s="1"/>
  <c r="CV76" i="123"/>
  <c r="CV81" i="123"/>
  <c r="CV83" i="123" s="1"/>
  <c r="CV84" i="123" s="1"/>
  <c r="CV86" i="123" s="1"/>
  <c r="CV87" i="123" s="1"/>
  <c r="BH76" i="123"/>
  <c r="BH81" i="123"/>
  <c r="BH83" i="123" s="1"/>
  <c r="BH84" i="123" s="1"/>
  <c r="BH86" i="123" s="1"/>
  <c r="BH87" i="123" s="1"/>
  <c r="F50" i="123"/>
  <c r="M76" i="123"/>
  <c r="S76" i="123"/>
  <c r="S81" i="123"/>
  <c r="S83" i="123" s="1"/>
  <c r="S84" i="123" s="1"/>
  <c r="S86" i="123" s="1"/>
  <c r="S87" i="123" s="1"/>
  <c r="AV76" i="123"/>
  <c r="AX76" i="123"/>
  <c r="D81" i="123"/>
  <c r="D83" i="123" s="1"/>
  <c r="D84" i="123" s="1"/>
  <c r="D86" i="123" s="1"/>
  <c r="D87" i="123" s="1"/>
  <c r="D76" i="123"/>
  <c r="BQ85" i="123"/>
  <c r="CZ85" i="123" s="1"/>
  <c r="DA85" i="123" s="1"/>
  <c r="AL76" i="123"/>
  <c r="AM81" i="123"/>
  <c r="AM83" i="123" s="1"/>
  <c r="AM84" i="123" s="1"/>
  <c r="AM76" i="123"/>
  <c r="AX76" i="124"/>
  <c r="BQ76" i="124"/>
  <c r="BQ81" i="124"/>
  <c r="BQ83" i="124" s="1"/>
  <c r="BQ84" i="124" s="1"/>
  <c r="BQ86" i="124" s="1"/>
  <c r="BQ87" i="124" s="1"/>
  <c r="BW75" i="124"/>
  <c r="BW39" i="124"/>
  <c r="CY75" i="124"/>
  <c r="CY39" i="124"/>
  <c r="CG81" i="124"/>
  <c r="CG83" i="124" s="1"/>
  <c r="CG84" i="124" s="1"/>
  <c r="CG86" i="124" s="1"/>
  <c r="CG87" i="124" s="1"/>
  <c r="CG76" i="124"/>
  <c r="DA8" i="124"/>
  <c r="DA38" i="124" s="1"/>
  <c r="CQ75" i="124"/>
  <c r="CQ39" i="124"/>
  <c r="CB75" i="124"/>
  <c r="CB39" i="124"/>
  <c r="N76" i="124"/>
  <c r="N81" i="124"/>
  <c r="N83" i="124" s="1"/>
  <c r="N84" i="124" s="1"/>
  <c r="N86" i="124" s="1"/>
  <c r="N87" i="124" s="1"/>
  <c r="E75" i="124"/>
  <c r="E39" i="124"/>
  <c r="CL81" i="124"/>
  <c r="CL83" i="124" s="1"/>
  <c r="CL84" i="124" s="1"/>
  <c r="CL86" i="124" s="1"/>
  <c r="CL87" i="124" s="1"/>
  <c r="CL76" i="124"/>
  <c r="J75" i="124"/>
  <c r="J39" i="124"/>
  <c r="BC76" i="124"/>
  <c r="M75" i="124"/>
  <c r="M39" i="124"/>
  <c r="AR76" i="124"/>
  <c r="AR81" i="124"/>
  <c r="AR83" i="124" s="1"/>
  <c r="AR84" i="124" s="1"/>
  <c r="AR86" i="124" s="1"/>
  <c r="AR87" i="124" s="1"/>
  <c r="BH76" i="124"/>
  <c r="CK76" i="124"/>
  <c r="CK81" i="124"/>
  <c r="CK83" i="124" s="1"/>
  <c r="CK84" i="124" s="1"/>
  <c r="CK86" i="124" s="1"/>
  <c r="CK87" i="124" s="1"/>
  <c r="AY67" i="124"/>
  <c r="AY63" i="124"/>
  <c r="AY62" i="124"/>
  <c r="F60" i="124"/>
  <c r="F59" i="124"/>
  <c r="AY52" i="124"/>
  <c r="F52" i="124"/>
  <c r="AY40" i="124"/>
  <c r="AY65" i="124"/>
  <c r="F62" i="124"/>
  <c r="F29" i="124"/>
  <c r="AY27" i="124"/>
  <c r="F25" i="124"/>
  <c r="AY22" i="124"/>
  <c r="AY21" i="124"/>
  <c r="F21" i="124"/>
  <c r="F23" i="124"/>
  <c r="AY66" i="124"/>
  <c r="F66" i="124"/>
  <c r="AY59" i="124"/>
  <c r="F63" i="124"/>
  <c r="F57" i="124"/>
  <c r="F56" i="124"/>
  <c r="AY57" i="124"/>
  <c r="F42" i="124"/>
  <c r="AY56" i="124"/>
  <c r="AY35" i="124"/>
  <c r="AY32" i="124"/>
  <c r="F35" i="124"/>
  <c r="AY60" i="124"/>
  <c r="F46" i="124"/>
  <c r="F36" i="124"/>
  <c r="AY30" i="124"/>
  <c r="AY26" i="124"/>
  <c r="F22" i="124"/>
  <c r="AY18" i="124"/>
  <c r="AY13" i="124"/>
  <c r="F30" i="124"/>
  <c r="AY29" i="124"/>
  <c r="AY25" i="124"/>
  <c r="F24" i="124"/>
  <c r="F9" i="124"/>
  <c r="F32" i="124"/>
  <c r="AY9" i="124"/>
  <c r="AY28" i="124"/>
  <c r="F65" i="124"/>
  <c r="AY36" i="124"/>
  <c r="AY16" i="124"/>
  <c r="AY15" i="124"/>
  <c r="F26" i="124"/>
  <c r="AY11" i="124"/>
  <c r="F44" i="124"/>
  <c r="F16" i="124"/>
  <c r="AY17" i="124"/>
  <c r="F31" i="124"/>
  <c r="F55" i="124"/>
  <c r="AY47" i="124"/>
  <c r="AY71" i="124"/>
  <c r="F70" i="124"/>
  <c r="F12" i="124"/>
  <c r="F10" i="124"/>
  <c r="F50" i="124"/>
  <c r="AY23" i="124"/>
  <c r="F17" i="124"/>
  <c r="AY43" i="124"/>
  <c r="F13" i="124"/>
  <c r="AY31" i="124"/>
  <c r="F20" i="124"/>
  <c r="F19" i="124"/>
  <c r="F27" i="124"/>
  <c r="AY45" i="124"/>
  <c r="F48" i="124"/>
  <c r="AY48" i="124"/>
  <c r="AY69" i="124"/>
  <c r="F68" i="124"/>
  <c r="AY33" i="124"/>
  <c r="F43" i="124"/>
  <c r="F64" i="124"/>
  <c r="AY20" i="124"/>
  <c r="F15" i="124"/>
  <c r="F18" i="124"/>
  <c r="F14" i="124"/>
  <c r="AY46" i="124"/>
  <c r="F51" i="124"/>
  <c r="AY50" i="124"/>
  <c r="F67" i="124"/>
  <c r="AY70" i="124"/>
  <c r="AY61" i="124"/>
  <c r="F71" i="124"/>
  <c r="F11" i="124"/>
  <c r="AY14" i="124"/>
  <c r="AY42" i="124"/>
  <c r="AY10" i="124"/>
  <c r="AY12" i="124"/>
  <c r="AY24" i="124"/>
  <c r="F61" i="124"/>
  <c r="F58" i="124"/>
  <c r="AY68" i="124"/>
  <c r="F45" i="124"/>
  <c r="F69" i="124"/>
  <c r="AY19" i="124"/>
  <c r="F47" i="124"/>
  <c r="AY55" i="124"/>
  <c r="AY64" i="124"/>
  <c r="AY51" i="124"/>
  <c r="AY44" i="124"/>
  <c r="AY58" i="124"/>
  <c r="F33" i="124"/>
  <c r="F54" i="124"/>
  <c r="CE76" i="124"/>
  <c r="CE81" i="124"/>
  <c r="CE83" i="124" s="1"/>
  <c r="CE84" i="124" s="1"/>
  <c r="CE86" i="124" s="1"/>
  <c r="CE87" i="124" s="1"/>
  <c r="I76" i="124"/>
  <c r="I81" i="124"/>
  <c r="I83" i="124" s="1"/>
  <c r="I84" i="124" s="1"/>
  <c r="I86" i="124" s="1"/>
  <c r="I87" i="124" s="1"/>
  <c r="Y76" i="124"/>
  <c r="AL76" i="124"/>
  <c r="CV81" i="124"/>
  <c r="CV83" i="124" s="1"/>
  <c r="CV84" i="124" s="1"/>
  <c r="CV86" i="124" s="1"/>
  <c r="CV87" i="124" s="1"/>
  <c r="CV76" i="124"/>
  <c r="AD75" i="124"/>
  <c r="AD39" i="124"/>
  <c r="R76" i="124"/>
  <c r="AN75" i="124"/>
  <c r="AN39" i="124"/>
  <c r="T75" i="124"/>
  <c r="T39" i="124"/>
  <c r="BL85" i="124"/>
  <c r="CZ85" i="124" s="1"/>
  <c r="DA85" i="124" s="1"/>
  <c r="BM75" i="124"/>
  <c r="BM39" i="124"/>
  <c r="BR76" i="124"/>
  <c r="CZ75" i="124"/>
  <c r="CZ39" i="124"/>
  <c r="O75" i="124"/>
  <c r="O39" i="124"/>
  <c r="BA76" i="124"/>
  <c r="AS76" i="124"/>
  <c r="W76" i="124"/>
  <c r="M81" i="106" l="1"/>
  <c r="M83" i="106" s="1"/>
  <c r="M84" i="106" s="1"/>
  <c r="M86" i="106" s="1"/>
  <c r="M87" i="106" s="1"/>
  <c r="M76" i="106"/>
  <c r="AH81" i="125"/>
  <c r="AH83" i="125" s="1"/>
  <c r="AH84" i="125" s="1"/>
  <c r="AH86" i="125" s="1"/>
  <c r="AH87" i="125" s="1"/>
  <c r="AH76" i="125"/>
  <c r="CA85" i="125"/>
  <c r="DO85" i="125" s="1"/>
  <c r="DP38" i="100"/>
  <c r="BE8" i="125"/>
  <c r="Z8" i="100"/>
  <c r="BD41" i="100"/>
  <c r="BD35" i="100"/>
  <c r="DO76" i="125"/>
  <c r="CW38" i="82"/>
  <c r="DB39" i="82"/>
  <c r="BD8" i="100"/>
  <c r="BD28" i="100"/>
  <c r="U8" i="125"/>
  <c r="U54" i="125"/>
  <c r="BA39" i="125"/>
  <c r="CW39" i="82"/>
  <c r="CC39" i="82"/>
  <c r="DQ38" i="82"/>
  <c r="DQ39" i="82"/>
  <c r="DL38" i="82"/>
  <c r="DV39" i="82"/>
  <c r="AE8" i="82"/>
  <c r="CH38" i="82"/>
  <c r="T75" i="82"/>
  <c r="T39" i="82"/>
  <c r="CL76" i="82"/>
  <c r="AS76" i="82"/>
  <c r="DP81" i="82"/>
  <c r="DP83" i="82" s="1"/>
  <c r="DP84" i="82" s="1"/>
  <c r="DP86" i="82" s="1"/>
  <c r="DP87" i="82" s="1"/>
  <c r="DP76" i="82"/>
  <c r="AX76" i="82"/>
  <c r="CH39" i="82"/>
  <c r="EE76" i="82"/>
  <c r="CB76" i="82"/>
  <c r="AQ76" i="82"/>
  <c r="AG76" i="82"/>
  <c r="CG76" i="82"/>
  <c r="BL81" i="82"/>
  <c r="BL83" i="82" s="1"/>
  <c r="BL84" i="82" s="1"/>
  <c r="BL86" i="82" s="1"/>
  <c r="BL87" i="82" s="1"/>
  <c r="BL76" i="82"/>
  <c r="BB81" i="82"/>
  <c r="BB83" i="82" s="1"/>
  <c r="BB84" i="82" s="1"/>
  <c r="BB86" i="82" s="1"/>
  <c r="BB87" i="82" s="1"/>
  <c r="BB76" i="82"/>
  <c r="AN76" i="82"/>
  <c r="DZ75" i="82"/>
  <c r="DZ39" i="82"/>
  <c r="DV71" i="82"/>
  <c r="DG71" i="82"/>
  <c r="CR71" i="82"/>
  <c r="CC71" i="82"/>
  <c r="DL71" i="82"/>
  <c r="CW70" i="82"/>
  <c r="DV66" i="82"/>
  <c r="DG66" i="82"/>
  <c r="CR66" i="82"/>
  <c r="CC66" i="82"/>
  <c r="DQ65" i="82"/>
  <c r="DB65" i="82"/>
  <c r="CM65" i="82"/>
  <c r="AE65" i="82"/>
  <c r="CM71" i="82"/>
  <c r="DL64" i="82"/>
  <c r="CW64" i="82"/>
  <c r="CH64" i="82"/>
  <c r="DQ63" i="82"/>
  <c r="DB63" i="82"/>
  <c r="CM63" i="82"/>
  <c r="DQ62" i="82"/>
  <c r="DB62" i="82"/>
  <c r="CM62" i="82"/>
  <c r="DB71" i="82"/>
  <c r="DL70" i="82"/>
  <c r="AE69" i="82"/>
  <c r="AE68" i="82"/>
  <c r="AE67" i="82"/>
  <c r="DQ66" i="82"/>
  <c r="DB66" i="82"/>
  <c r="CM66" i="82"/>
  <c r="AE66" i="82"/>
  <c r="DL65" i="82"/>
  <c r="CW65" i="82"/>
  <c r="CH65" i="82"/>
  <c r="AE64" i="82"/>
  <c r="AE63" i="82"/>
  <c r="DQ71" i="82"/>
  <c r="CH71" i="82"/>
  <c r="AE71" i="82"/>
  <c r="CR61" i="82"/>
  <c r="DL66" i="82"/>
  <c r="CR65" i="82"/>
  <c r="DL59" i="82"/>
  <c r="CW59" i="82"/>
  <c r="CH59" i="82"/>
  <c r="DQ57" i="82"/>
  <c r="DB57" i="82"/>
  <c r="CM57" i="82"/>
  <c r="DQ56" i="82"/>
  <c r="DB56" i="82"/>
  <c r="CM56" i="82"/>
  <c r="DQ55" i="82"/>
  <c r="DB55" i="82"/>
  <c r="CM55" i="82"/>
  <c r="CW71" i="82"/>
  <c r="DG61" i="82"/>
  <c r="DB60" i="82"/>
  <c r="CH60" i="82"/>
  <c r="AE60" i="82"/>
  <c r="DQ58" i="82"/>
  <c r="DB58" i="82"/>
  <c r="CM58" i="82"/>
  <c r="AE58" i="82"/>
  <c r="AE57" i="82"/>
  <c r="AE56" i="82"/>
  <c r="AE55" i="82"/>
  <c r="DL52" i="82"/>
  <c r="CW52" i="82"/>
  <c r="CH52" i="82"/>
  <c r="DL51" i="82"/>
  <c r="CW51" i="82"/>
  <c r="CH51" i="82"/>
  <c r="CH66" i="82"/>
  <c r="DG65" i="82"/>
  <c r="DV60" i="82"/>
  <c r="DV59" i="82"/>
  <c r="DG59" i="82"/>
  <c r="CR59" i="82"/>
  <c r="CC59" i="82"/>
  <c r="DV61" i="82"/>
  <c r="CC61" i="82"/>
  <c r="DQ60" i="82"/>
  <c r="CR56" i="82"/>
  <c r="DB59" i="82"/>
  <c r="CR57" i="82"/>
  <c r="DG55" i="82"/>
  <c r="DQ49" i="82"/>
  <c r="DB49" i="82"/>
  <c r="CM49" i="82"/>
  <c r="DL47" i="82"/>
  <c r="CW47" i="82"/>
  <c r="CH47" i="82"/>
  <c r="CC65" i="82"/>
  <c r="DG56" i="82"/>
  <c r="CH49" i="82"/>
  <c r="DQ59" i="82"/>
  <c r="DG57" i="82"/>
  <c r="DV55" i="82"/>
  <c r="CC55" i="82"/>
  <c r="DL49" i="82"/>
  <c r="CW49" i="82"/>
  <c r="CC49" i="82"/>
  <c r="DV47" i="82"/>
  <c r="DG47" i="82"/>
  <c r="CR47" i="82"/>
  <c r="CC47" i="82"/>
  <c r="DV45" i="82"/>
  <c r="DG45" i="82"/>
  <c r="CR45" i="82"/>
  <c r="CC45" i="82"/>
  <c r="DV43" i="82"/>
  <c r="DG43" i="82"/>
  <c r="CR43" i="82"/>
  <c r="CC43" i="82"/>
  <c r="CW66" i="82"/>
  <c r="DV65" i="82"/>
  <c r="DV56" i="82"/>
  <c r="CC56" i="82"/>
  <c r="CR49" i="82"/>
  <c r="CM45" i="82"/>
  <c r="DQ43" i="82"/>
  <c r="CH43" i="82"/>
  <c r="DV57" i="82"/>
  <c r="CM47" i="82"/>
  <c r="DB45" i="82"/>
  <c r="CW43" i="82"/>
  <c r="DL32" i="82"/>
  <c r="CW32" i="82"/>
  <c r="CH32" i="82"/>
  <c r="DL30" i="82"/>
  <c r="CW30" i="82"/>
  <c r="CH30" i="82"/>
  <c r="DQ28" i="82"/>
  <c r="DB28" i="82"/>
  <c r="CM28" i="82"/>
  <c r="DQ27" i="82"/>
  <c r="DB27" i="82"/>
  <c r="CM27" i="82"/>
  <c r="AE27" i="82"/>
  <c r="DV26" i="82"/>
  <c r="DG26" i="82"/>
  <c r="CR26" i="82"/>
  <c r="CC26" i="82"/>
  <c r="AE26" i="82"/>
  <c r="DV25" i="82"/>
  <c r="DG25" i="82"/>
  <c r="CR25" i="82"/>
  <c r="CC25" i="82"/>
  <c r="DL24" i="82"/>
  <c r="CW24" i="82"/>
  <c r="CH24" i="82"/>
  <c r="CM59" i="82"/>
  <c r="DQ54" i="82"/>
  <c r="DG49" i="82"/>
  <c r="DQ45" i="82"/>
  <c r="CH45" i="82"/>
  <c r="DL43" i="82"/>
  <c r="DQ36" i="82"/>
  <c r="DB36" i="82"/>
  <c r="CM36" i="82"/>
  <c r="DL33" i="82"/>
  <c r="CW33" i="82"/>
  <c r="CH33" i="82"/>
  <c r="DV31" i="82"/>
  <c r="DG31" i="82"/>
  <c r="CR31" i="82"/>
  <c r="CC31" i="82"/>
  <c r="DL29" i="82"/>
  <c r="CW29" i="82"/>
  <c r="CH29" i="82"/>
  <c r="DL23" i="82"/>
  <c r="CW23" i="82"/>
  <c r="CH23" i="82"/>
  <c r="DV22" i="82"/>
  <c r="DG22" i="82"/>
  <c r="CR22" i="82"/>
  <c r="CC22" i="82"/>
  <c r="DL21" i="82"/>
  <c r="CW21" i="82"/>
  <c r="CH21" i="82"/>
  <c r="DV20" i="82"/>
  <c r="DG20" i="82"/>
  <c r="CR20" i="82"/>
  <c r="CC20" i="82"/>
  <c r="CR55" i="82"/>
  <c r="DB47" i="82"/>
  <c r="CW45" i="82"/>
  <c r="DL45" i="82"/>
  <c r="DB43" i="82"/>
  <c r="CM35" i="82"/>
  <c r="CR28" i="82"/>
  <c r="DV27" i="82"/>
  <c r="CC27" i="82"/>
  <c r="CW26" i="82"/>
  <c r="AE25" i="82"/>
  <c r="DQ24" i="82"/>
  <c r="DG19" i="82"/>
  <c r="DV18" i="82"/>
  <c r="DG18" i="82"/>
  <c r="CR18" i="82"/>
  <c r="CC18" i="82"/>
  <c r="CC57" i="82"/>
  <c r="DV33" i="82"/>
  <c r="CC33" i="82"/>
  <c r="DB32" i="82"/>
  <c r="DB31" i="82"/>
  <c r="DB30" i="82"/>
  <c r="DG29" i="82"/>
  <c r="CH25" i="82"/>
  <c r="AE18" i="82"/>
  <c r="DV15" i="82"/>
  <c r="DQ47" i="82"/>
  <c r="CM32" i="82"/>
  <c r="CM30" i="82"/>
  <c r="DL25" i="82"/>
  <c r="AE23" i="82"/>
  <c r="DV19" i="82"/>
  <c r="AE20" i="82"/>
  <c r="CW19" i="82"/>
  <c r="CW17" i="82"/>
  <c r="CH17" i="82"/>
  <c r="DQ35" i="82"/>
  <c r="DG28" i="82"/>
  <c r="CR27" i="82"/>
  <c r="DL26" i="82"/>
  <c r="CM24" i="82"/>
  <c r="CH19" i="82"/>
  <c r="DL17" i="82"/>
  <c r="DG15" i="82"/>
  <c r="CR15" i="82"/>
  <c r="CC15" i="82"/>
  <c r="CM43" i="82"/>
  <c r="DB35" i="82"/>
  <c r="DV28" i="82"/>
  <c r="CC28" i="82"/>
  <c r="DG27" i="82"/>
  <c r="CH26" i="82"/>
  <c r="DB24" i="82"/>
  <c r="DL19" i="82"/>
  <c r="CC19" i="82"/>
  <c r="DV49" i="82"/>
  <c r="CR33" i="82"/>
  <c r="DQ32" i="82"/>
  <c r="AE32" i="82"/>
  <c r="CR17" i="82"/>
  <c r="AE15" i="82"/>
  <c r="AE14" i="82"/>
  <c r="AE13" i="82"/>
  <c r="AE12" i="82"/>
  <c r="DQ11" i="82"/>
  <c r="DL9" i="82"/>
  <c r="DQ30" i="82"/>
  <c r="DV29" i="82"/>
  <c r="DQ15" i="82"/>
  <c r="CC11" i="82"/>
  <c r="DQ31" i="82"/>
  <c r="DG17" i="82"/>
  <c r="CR11" i="82"/>
  <c r="CM9" i="82"/>
  <c r="DB15" i="82"/>
  <c r="DB11" i="82"/>
  <c r="CR19" i="82"/>
  <c r="CM15" i="82"/>
  <c r="DG11" i="82"/>
  <c r="DB9" i="82"/>
  <c r="AE9" i="82"/>
  <c r="CW25" i="82"/>
  <c r="DV17" i="82"/>
  <c r="CC17" i="82"/>
  <c r="DV11" i="82"/>
  <c r="CM11" i="82"/>
  <c r="DQ9" i="82"/>
  <c r="CH9" i="82"/>
  <c r="CC29" i="82"/>
  <c r="AE11" i="82"/>
  <c r="CW9" i="82"/>
  <c r="CC16" i="82"/>
  <c r="CM22" i="82"/>
  <c r="CW10" i="82"/>
  <c r="DQ12" i="82"/>
  <c r="DV14" i="82"/>
  <c r="DL16" i="82"/>
  <c r="AE21" i="82"/>
  <c r="CW13" i="82"/>
  <c r="CR10" i="82"/>
  <c r="DG9" i="82"/>
  <c r="AE79" i="82"/>
  <c r="CC23" i="82"/>
  <c r="DQ10" i="82"/>
  <c r="CC12" i="82"/>
  <c r="DQ33" i="82"/>
  <c r="DB54" i="82"/>
  <c r="DB21" i="82"/>
  <c r="CW42" i="82"/>
  <c r="DQ46" i="82"/>
  <c r="CW27" i="82"/>
  <c r="CM26" i="82"/>
  <c r="CH28" i="82"/>
  <c r="DV50" i="82"/>
  <c r="DQ25" i="82"/>
  <c r="AE33" i="82"/>
  <c r="DG44" i="82"/>
  <c r="DV46" i="82"/>
  <c r="CH44" i="82"/>
  <c r="DG51" i="82"/>
  <c r="DG58" i="82"/>
  <c r="CM42" i="82"/>
  <c r="DV44" i="82"/>
  <c r="DQ50" i="82"/>
  <c r="CM54" i="82"/>
  <c r="CM51" i="82"/>
  <c r="AE59" i="82"/>
  <c r="CR67" i="82"/>
  <c r="CH70" i="82"/>
  <c r="CR62" i="82"/>
  <c r="CW67" i="82"/>
  <c r="DB67" i="82"/>
  <c r="DB69" i="82"/>
  <c r="CC67" i="82"/>
  <c r="CC69" i="82"/>
  <c r="DL67" i="82"/>
  <c r="CR63" i="82"/>
  <c r="DQ67" i="82"/>
  <c r="AE73" i="82"/>
  <c r="AE22" i="82"/>
  <c r="CM12" i="82"/>
  <c r="CH16" i="82"/>
  <c r="DV23" i="82"/>
  <c r="DL36" i="82"/>
  <c r="CM31" i="82"/>
  <c r="AE19" i="82"/>
  <c r="AE10" i="82"/>
  <c r="DV21" i="82"/>
  <c r="CM46" i="82"/>
  <c r="AE24" i="82"/>
  <c r="DL28" i="82"/>
  <c r="DQ22" i="82"/>
  <c r="CC21" i="82"/>
  <c r="CM16" i="82"/>
  <c r="CH12" i="82"/>
  <c r="DG16" i="82"/>
  <c r="DL11" i="82"/>
  <c r="DB14" i="82"/>
  <c r="CR16" i="82"/>
  <c r="CM18" i="82"/>
  <c r="DB26" i="82"/>
  <c r="CH10" i="82"/>
  <c r="CM20" i="82"/>
  <c r="DG23" i="82"/>
  <c r="CC9" i="82"/>
  <c r="DG12" i="82"/>
  <c r="DQ17" i="82"/>
  <c r="CH41" i="82"/>
  <c r="DQ21" i="82"/>
  <c r="DB25" i="82"/>
  <c r="DV41" i="82"/>
  <c r="CM25" i="82"/>
  <c r="DB44" i="82"/>
  <c r="CR24" i="82"/>
  <c r="DQ29" i="82"/>
  <c r="DV35" i="82"/>
  <c r="CC48" i="82"/>
  <c r="CH31" i="82"/>
  <c r="CW44" i="82"/>
  <c r="CC52" i="82"/>
  <c r="DL44" i="82"/>
  <c r="CH50" i="82"/>
  <c r="CR48" i="82"/>
  <c r="DQ42" i="82"/>
  <c r="CR52" i="82"/>
  <c r="CW55" i="82"/>
  <c r="CH58" i="82"/>
  <c r="CR68" i="82"/>
  <c r="CR60" i="82"/>
  <c r="DQ52" i="82"/>
  <c r="DL56" i="82"/>
  <c r="DV67" i="82"/>
  <c r="DB52" i="82"/>
  <c r="CW57" i="82"/>
  <c r="CC60" i="82"/>
  <c r="DV62" i="82"/>
  <c r="CM70" i="82"/>
  <c r="CW62" i="82"/>
  <c r="CR64" i="82"/>
  <c r="CM61" i="82"/>
  <c r="DG67" i="82"/>
  <c r="DG69" i="82"/>
  <c r="DL61" i="82"/>
  <c r="CH68" i="82"/>
  <c r="DQ61" i="82"/>
  <c r="DV63" i="82"/>
  <c r="CM68" i="82"/>
  <c r="CC70" i="82"/>
  <c r="CW28" i="82"/>
  <c r="CW15" i="82"/>
  <c r="CW50" i="82"/>
  <c r="CH57" i="82"/>
  <c r="CR13" i="82"/>
  <c r="DB17" i="82"/>
  <c r="DG21" i="82"/>
  <c r="DG33" i="82"/>
  <c r="CR12" i="82"/>
  <c r="DQ16" i="82"/>
  <c r="DV24" i="82"/>
  <c r="DL12" i="82"/>
  <c r="DV16" i="82"/>
  <c r="DQ18" i="82"/>
  <c r="CR9" i="82"/>
  <c r="DL10" i="82"/>
  <c r="DB12" i="82"/>
  <c r="CC14" i="82"/>
  <c r="DQ20" i="82"/>
  <c r="CW36" i="82"/>
  <c r="CH11" i="82"/>
  <c r="CH14" i="82"/>
  <c r="CR35" i="82"/>
  <c r="DL41" i="82"/>
  <c r="CC32" i="82"/>
  <c r="CH22" i="82"/>
  <c r="DG30" i="82"/>
  <c r="CM19" i="82"/>
  <c r="AE30" i="82"/>
  <c r="DG48" i="82"/>
  <c r="CM29" i="82"/>
  <c r="DB33" i="82"/>
  <c r="CR42" i="82"/>
  <c r="CH46" i="82"/>
  <c r="DL22" i="82"/>
  <c r="CR30" i="82"/>
  <c r="DB42" i="82"/>
  <c r="DG52" i="82"/>
  <c r="CC42" i="82"/>
  <c r="DG54" i="82"/>
  <c r="CH42" i="82"/>
  <c r="DV48" i="82"/>
  <c r="DV52" i="82"/>
  <c r="DL58" i="82"/>
  <c r="CM60" i="82"/>
  <c r="DV68" i="82"/>
  <c r="CR51" i="82"/>
  <c r="CW63" i="82"/>
  <c r="CR69" i="82"/>
  <c r="CW60" i="82"/>
  <c r="CW69" i="82"/>
  <c r="DV64" i="82"/>
  <c r="CH63" i="82"/>
  <c r="DL68" i="82"/>
  <c r="DQ68" i="82"/>
  <c r="DG70" i="82"/>
  <c r="CR70" i="82"/>
  <c r="DQ14" i="82"/>
  <c r="CW12" i="82"/>
  <c r="CM17" i="82"/>
  <c r="DG13" i="82"/>
  <c r="DL13" i="82"/>
  <c r="AE17" i="82"/>
  <c r="CW20" i="82"/>
  <c r="DQ23" i="82"/>
  <c r="DG32" i="82"/>
  <c r="CM50" i="82"/>
  <c r="CR50" i="82"/>
  <c r="CC58" i="82"/>
  <c r="DG46" i="82"/>
  <c r="DL57" i="82"/>
  <c r="DV51" i="82"/>
  <c r="DV13" i="82"/>
  <c r="CW35" i="82"/>
  <c r="DV12" i="82"/>
  <c r="CW14" i="82"/>
  <c r="CH27" i="82"/>
  <c r="CM13" i="82"/>
  <c r="CC10" i="82"/>
  <c r="DB13" i="82"/>
  <c r="DG14" i="82"/>
  <c r="CW16" i="82"/>
  <c r="DL14" i="82"/>
  <c r="CC24" i="82"/>
  <c r="DB29" i="82"/>
  <c r="DL35" i="82"/>
  <c r="CW22" i="82"/>
  <c r="CC30" i="82"/>
  <c r="DV32" i="82"/>
  <c r="DB19" i="82"/>
  <c r="DQ26" i="82"/>
  <c r="DL27" i="82"/>
  <c r="DG35" i="82"/>
  <c r="DL46" i="82"/>
  <c r="DL20" i="82"/>
  <c r="CC36" i="82"/>
  <c r="CH48" i="82"/>
  <c r="DG42" i="82"/>
  <c r="CM48" i="82"/>
  <c r="DL42" i="82"/>
  <c r="DB46" i="82"/>
  <c r="AE62" i="82"/>
  <c r="CM52" i="82"/>
  <c r="DB50" i="82"/>
  <c r="DQ51" i="82"/>
  <c r="CR58" i="82"/>
  <c r="CW58" i="82"/>
  <c r="CC51" i="82"/>
  <c r="DV69" i="82"/>
  <c r="CM64" i="82"/>
  <c r="DB68" i="82"/>
  <c r="DL63" i="82"/>
  <c r="CC68" i="82"/>
  <c r="DG60" i="82"/>
  <c r="DB64" i="82"/>
  <c r="CH69" i="82"/>
  <c r="CH62" i="82"/>
  <c r="CC64" i="82"/>
  <c r="CM69" i="82"/>
  <c r="DV70" i="82"/>
  <c r="DV9" i="82"/>
  <c r="DB10" i="82"/>
  <c r="DL18" i="82"/>
  <c r="CH15" i="82"/>
  <c r="CH20" i="82"/>
  <c r="CC44" i="82"/>
  <c r="DQ44" i="82"/>
  <c r="CR44" i="82"/>
  <c r="CW61" i="82"/>
  <c r="DQ13" i="82"/>
  <c r="AE16" i="82"/>
  <c r="CR23" i="82"/>
  <c r="AE31" i="82"/>
  <c r="CH36" i="82"/>
  <c r="CH18" i="82"/>
  <c r="CM14" i="82"/>
  <c r="DB18" i="82"/>
  <c r="DG10" i="82"/>
  <c r="CR29" i="82"/>
  <c r="DV10" i="82"/>
  <c r="CC13" i="82"/>
  <c r="CR21" i="82"/>
  <c r="CM10" i="82"/>
  <c r="CH13" i="82"/>
  <c r="DB16" i="82"/>
  <c r="CW18" i="82"/>
  <c r="CM23" i="82"/>
  <c r="DV30" i="82"/>
  <c r="DG36" i="82"/>
  <c r="DQ19" i="82"/>
  <c r="AE29" i="82"/>
  <c r="CR36" i="82"/>
  <c r="DB48" i="82"/>
  <c r="DL31" i="82"/>
  <c r="DG24" i="82"/>
  <c r="DV42" i="82"/>
  <c r="CM21" i="82"/>
  <c r="DB23" i="82"/>
  <c r="DV36" i="82"/>
  <c r="DL48" i="82"/>
  <c r="DQ48" i="82"/>
  <c r="CM44" i="82"/>
  <c r="CC50" i="82"/>
  <c r="CC46" i="82"/>
  <c r="CW48" i="82"/>
  <c r="CH56" i="82"/>
  <c r="DL50" i="82"/>
  <c r="DV58" i="82"/>
  <c r="DB51" i="82"/>
  <c r="DL55" i="82"/>
  <c r="DB61" i="82"/>
  <c r="DQ64" i="82"/>
  <c r="CW68" i="82"/>
  <c r="AE70" i="82"/>
  <c r="CC63" i="82"/>
  <c r="DG68" i="82"/>
  <c r="CC62" i="82"/>
  <c r="DL69" i="82"/>
  <c r="DL60" i="82"/>
  <c r="DL62" i="82"/>
  <c r="DG64" i="82"/>
  <c r="DQ69" i="82"/>
  <c r="DQ70" i="82"/>
  <c r="DB70" i="82"/>
  <c r="CR14" i="82"/>
  <c r="DB20" i="82"/>
  <c r="DL15" i="82"/>
  <c r="DB22" i="82"/>
  <c r="CW11" i="82"/>
  <c r="CW31" i="82"/>
  <c r="CW56" i="82"/>
  <c r="CM33" i="82"/>
  <c r="CR32" i="82"/>
  <c r="CR46" i="82"/>
  <c r="CW46" i="82"/>
  <c r="CH55" i="82"/>
  <c r="CH61" i="82"/>
  <c r="DG62" i="82"/>
  <c r="DG63" i="82"/>
  <c r="CM67" i="82"/>
  <c r="CH67" i="82"/>
  <c r="AE61" i="82"/>
  <c r="DQ41" i="82"/>
  <c r="DL8" i="82"/>
  <c r="DB8" i="82"/>
  <c r="CC35" i="82"/>
  <c r="DG8" i="82"/>
  <c r="DG50" i="82"/>
  <c r="CM41" i="82"/>
  <c r="CM8" i="82"/>
  <c r="CR38" i="82"/>
  <c r="CH8" i="82"/>
  <c r="DG38" i="82"/>
  <c r="DV38" i="82"/>
  <c r="CH35" i="82"/>
  <c r="AE54" i="82"/>
  <c r="DB38" i="82"/>
  <c r="AD93" i="82"/>
  <c r="CC54" i="82"/>
  <c r="DV8" i="82"/>
  <c r="CR41" i="82"/>
  <c r="CR54" i="82"/>
  <c r="DB41" i="82"/>
  <c r="CC8" i="82"/>
  <c r="DQ8" i="82"/>
  <c r="CH54" i="82"/>
  <c r="CC41" i="82"/>
  <c r="AE28" i="82"/>
  <c r="DL54" i="82"/>
  <c r="CW8" i="82"/>
  <c r="DG41" i="82"/>
  <c r="CW54" i="82"/>
  <c r="CR8" i="82"/>
  <c r="DV54" i="82"/>
  <c r="CW41" i="82"/>
  <c r="BR76" i="82"/>
  <c r="DL39" i="82"/>
  <c r="DX75" i="82"/>
  <c r="DX39" i="82"/>
  <c r="CM38" i="82"/>
  <c r="CV76" i="82"/>
  <c r="CC38" i="82"/>
  <c r="CR39" i="82"/>
  <c r="DK76" i="82"/>
  <c r="BM76" i="82"/>
  <c r="CM39" i="82"/>
  <c r="AD81" i="82"/>
  <c r="AD83" i="82" s="1"/>
  <c r="AD84" i="82" s="1"/>
  <c r="AD86" i="82" s="1"/>
  <c r="AD76" i="82"/>
  <c r="Z41" i="125"/>
  <c r="BE41" i="125"/>
  <c r="BD54" i="100"/>
  <c r="Z62" i="125"/>
  <c r="Z68" i="125"/>
  <c r="Z66" i="125"/>
  <c r="Z64" i="125"/>
  <c r="U36" i="125"/>
  <c r="U22" i="125"/>
  <c r="U33" i="125"/>
  <c r="U23" i="125"/>
  <c r="U55" i="125"/>
  <c r="Z52" i="125"/>
  <c r="Z22" i="125"/>
  <c r="U31" i="125"/>
  <c r="Z17" i="125"/>
  <c r="U16" i="125"/>
  <c r="U14" i="125"/>
  <c r="U25" i="125"/>
  <c r="Z23" i="125"/>
  <c r="U20" i="125"/>
  <c r="U18" i="125"/>
  <c r="Z21" i="125"/>
  <c r="Z12" i="125"/>
  <c r="Z20" i="125"/>
  <c r="Z26" i="125"/>
  <c r="Z44" i="125"/>
  <c r="Z35" i="125"/>
  <c r="U42" i="125"/>
  <c r="U44" i="125"/>
  <c r="U51" i="125"/>
  <c r="Z48" i="125"/>
  <c r="Z10" i="125"/>
  <c r="Z19" i="125"/>
  <c r="Z9" i="125"/>
  <c r="Z28" i="125"/>
  <c r="Z25" i="125"/>
  <c r="Z27" i="125"/>
  <c r="Z47" i="125"/>
  <c r="U43" i="125"/>
  <c r="Z43" i="125"/>
  <c r="Z58" i="125"/>
  <c r="U11" i="125"/>
  <c r="U27" i="125"/>
  <c r="Z18" i="125"/>
  <c r="Z14" i="125"/>
  <c r="Z32" i="125"/>
  <c r="Z46" i="125"/>
  <c r="Z55" i="125"/>
  <c r="U48" i="125"/>
  <c r="U57" i="125"/>
  <c r="Z57" i="125"/>
  <c r="U66" i="125"/>
  <c r="Z71" i="125"/>
  <c r="U10" i="125"/>
  <c r="U12" i="125"/>
  <c r="Z16" i="125"/>
  <c r="Z33" i="125"/>
  <c r="Z30" i="125"/>
  <c r="Z51" i="125"/>
  <c r="Z11" i="125"/>
  <c r="U29" i="125"/>
  <c r="Z24" i="125"/>
  <c r="Z29" i="125"/>
  <c r="U35" i="125"/>
  <c r="Z59" i="125"/>
  <c r="U60" i="125"/>
  <c r="Z60" i="125"/>
  <c r="Z70" i="125"/>
  <c r="Z63" i="125"/>
  <c r="Z15" i="125"/>
  <c r="U45" i="125"/>
  <c r="Z42" i="125"/>
  <c r="Z61" i="125"/>
  <c r="U58" i="125"/>
  <c r="U59" i="125"/>
  <c r="Z67" i="125"/>
  <c r="Z36" i="125"/>
  <c r="Z69" i="125"/>
  <c r="U61" i="125"/>
  <c r="Z31" i="125"/>
  <c r="U56" i="125"/>
  <c r="Z65" i="125"/>
  <c r="U17" i="125"/>
  <c r="U19" i="125"/>
  <c r="U68" i="125"/>
  <c r="U24" i="125"/>
  <c r="U46" i="125"/>
  <c r="Z45" i="125"/>
  <c r="U21" i="125"/>
  <c r="U30" i="125"/>
  <c r="U41" i="125"/>
  <c r="Z8" i="125"/>
  <c r="U69" i="125"/>
  <c r="U47" i="125"/>
  <c r="U32" i="125"/>
  <c r="U9" i="125"/>
  <c r="U52" i="125"/>
  <c r="U26" i="125"/>
  <c r="U67" i="125"/>
  <c r="U62" i="125"/>
  <c r="Z54" i="125"/>
  <c r="U64" i="125"/>
  <c r="U28" i="125"/>
  <c r="U15" i="125"/>
  <c r="U70" i="125"/>
  <c r="Z13" i="125"/>
  <c r="U71" i="125"/>
  <c r="Z50" i="125"/>
  <c r="U65" i="125"/>
  <c r="Z56" i="125"/>
  <c r="U13" i="125"/>
  <c r="U63" i="125"/>
  <c r="DK76" i="125"/>
  <c r="CB76" i="125"/>
  <c r="AX81" i="125"/>
  <c r="AX83" i="125" s="1"/>
  <c r="AX84" i="125" s="1"/>
  <c r="AX86" i="125" s="1"/>
  <c r="AX87" i="125" s="1"/>
  <c r="AX76" i="125"/>
  <c r="AZ76" i="125" s="1"/>
  <c r="CQ75" i="125"/>
  <c r="CQ39" i="125"/>
  <c r="BW76" i="125"/>
  <c r="DP75" i="125"/>
  <c r="DP39" i="125"/>
  <c r="BH76" i="125"/>
  <c r="Y76" i="125"/>
  <c r="DN75" i="125"/>
  <c r="DN39" i="125"/>
  <c r="BM75" i="125"/>
  <c r="BM39" i="125"/>
  <c r="AX91" i="125"/>
  <c r="AI76" i="125"/>
  <c r="BC38" i="125"/>
  <c r="BE38" i="125" s="1"/>
  <c r="DF75" i="125"/>
  <c r="DF39" i="125"/>
  <c r="BA76" i="125"/>
  <c r="AS76" i="125"/>
  <c r="T81" i="125"/>
  <c r="T83" i="125" s="1"/>
  <c r="T84" i="125" s="1"/>
  <c r="T86" i="125" s="1"/>
  <c r="T87" i="125" s="1"/>
  <c r="T76" i="125"/>
  <c r="U50" i="125"/>
  <c r="AQ76" i="125"/>
  <c r="AN76" i="125"/>
  <c r="AD76" i="125"/>
  <c r="CV76" i="125"/>
  <c r="DA75" i="125"/>
  <c r="DA39" i="125"/>
  <c r="BR76" i="125"/>
  <c r="BB81" i="125"/>
  <c r="BB83" i="125" s="1"/>
  <c r="BB84" i="125" s="1"/>
  <c r="BB86" i="125" s="1"/>
  <c r="BB87" i="125" s="1"/>
  <c r="BB76" i="125"/>
  <c r="J75" i="100"/>
  <c r="J39" i="100"/>
  <c r="O76" i="100"/>
  <c r="DP75" i="100"/>
  <c r="DP39" i="100"/>
  <c r="AI76" i="100"/>
  <c r="DO81" i="100"/>
  <c r="DO83" i="100" s="1"/>
  <c r="DO84" i="100" s="1"/>
  <c r="DO86" i="100" s="1"/>
  <c r="DO87" i="100" s="1"/>
  <c r="DO76" i="100"/>
  <c r="BH75" i="100"/>
  <c r="BH39" i="100"/>
  <c r="BB81" i="100"/>
  <c r="BB83" i="100" s="1"/>
  <c r="BB84" i="100" s="1"/>
  <c r="BB86" i="100" s="1"/>
  <c r="BB87" i="100" s="1"/>
  <c r="BB76" i="100"/>
  <c r="T75" i="100"/>
  <c r="T39" i="100"/>
  <c r="Y75" i="100"/>
  <c r="Y39" i="100"/>
  <c r="BA76" i="100"/>
  <c r="DN76" i="100"/>
  <c r="AD76" i="100"/>
  <c r="CQ81" i="100"/>
  <c r="CQ83" i="100" s="1"/>
  <c r="CQ84" i="100" s="1"/>
  <c r="CQ86" i="100" s="1"/>
  <c r="CQ87" i="100" s="1"/>
  <c r="CQ76" i="100"/>
  <c r="BC75" i="100"/>
  <c r="BD38" i="100"/>
  <c r="BC39" i="100"/>
  <c r="BD39" i="100" s="1"/>
  <c r="Z71" i="100"/>
  <c r="Z70" i="100"/>
  <c r="Z69" i="100"/>
  <c r="U64" i="100"/>
  <c r="U62" i="100"/>
  <c r="U63" i="100"/>
  <c r="U68" i="100"/>
  <c r="U61" i="100"/>
  <c r="U67" i="100"/>
  <c r="Z60" i="100"/>
  <c r="Z58" i="100"/>
  <c r="Z57" i="100"/>
  <c r="Z56" i="100"/>
  <c r="Z55" i="100"/>
  <c r="U66" i="100"/>
  <c r="U57" i="100"/>
  <c r="U56" i="100"/>
  <c r="U55" i="100"/>
  <c r="U59" i="100"/>
  <c r="U58" i="100"/>
  <c r="U60" i="100"/>
  <c r="U65" i="100"/>
  <c r="Z44" i="100"/>
  <c r="Z42" i="100"/>
  <c r="Z23" i="100"/>
  <c r="BD40" i="100"/>
  <c r="Z35" i="100"/>
  <c r="U30" i="100"/>
  <c r="U23" i="100"/>
  <c r="U44" i="100"/>
  <c r="U42" i="100"/>
  <c r="BD32" i="100"/>
  <c r="U32" i="100"/>
  <c r="U50" i="100"/>
  <c r="Z33" i="100"/>
  <c r="U31" i="100"/>
  <c r="Z22" i="100"/>
  <c r="Z36" i="100"/>
  <c r="BD23" i="100"/>
  <c r="Z20" i="100"/>
  <c r="U11" i="100"/>
  <c r="Z10" i="100"/>
  <c r="Z21" i="100"/>
  <c r="BD42" i="100"/>
  <c r="Z29" i="100"/>
  <c r="Z43" i="100"/>
  <c r="U27" i="100"/>
  <c r="U22" i="100"/>
  <c r="Z16" i="100"/>
  <c r="Z15" i="100"/>
  <c r="Z14" i="100"/>
  <c r="Z13" i="100"/>
  <c r="Z12" i="100"/>
  <c r="BD22" i="100"/>
  <c r="U43" i="100"/>
  <c r="Z19" i="100"/>
  <c r="BD18" i="100"/>
  <c r="U17" i="100"/>
  <c r="U16" i="100"/>
  <c r="U15" i="100"/>
  <c r="U14" i="100"/>
  <c r="U13" i="100"/>
  <c r="U26" i="100"/>
  <c r="U12" i="100"/>
  <c r="BD10" i="100"/>
  <c r="BD13" i="100"/>
  <c r="Z28" i="100"/>
  <c r="BD21" i="100"/>
  <c r="BD9" i="100"/>
  <c r="Z11" i="100"/>
  <c r="BD15" i="100"/>
  <c r="U9" i="100"/>
  <c r="Z27" i="100"/>
  <c r="U25" i="100"/>
  <c r="Z32" i="100"/>
  <c r="U33" i="100"/>
  <c r="BD52" i="100"/>
  <c r="Z48" i="100"/>
  <c r="BD60" i="100"/>
  <c r="Z65" i="100"/>
  <c r="BD71" i="100"/>
  <c r="BD67" i="100"/>
  <c r="Z17" i="100"/>
  <c r="T92" i="100"/>
  <c r="Z52" i="100"/>
  <c r="U45" i="100"/>
  <c r="Z18" i="100"/>
  <c r="BD44" i="100"/>
  <c r="U10" i="100"/>
  <c r="BD17" i="100"/>
  <c r="BD29" i="100"/>
  <c r="BD46" i="100"/>
  <c r="Z54" i="100"/>
  <c r="BD26" i="100"/>
  <c r="BD33" i="100"/>
  <c r="BD58" i="100"/>
  <c r="Z30" i="100"/>
  <c r="Z59" i="100"/>
  <c r="U52" i="100"/>
  <c r="BD59" i="100"/>
  <c r="Z66" i="100"/>
  <c r="U46" i="100"/>
  <c r="U19" i="100"/>
  <c r="BD51" i="100"/>
  <c r="BD61" i="100"/>
  <c r="BD70" i="100"/>
  <c r="Z67" i="100"/>
  <c r="BD19" i="100"/>
  <c r="BD30" i="100"/>
  <c r="BD43" i="100"/>
  <c r="BD25" i="100"/>
  <c r="U24" i="100"/>
  <c r="Z31" i="100"/>
  <c r="U48" i="100"/>
  <c r="U51" i="100"/>
  <c r="BD55" i="100"/>
  <c r="BD66" i="100"/>
  <c r="Z63" i="100"/>
  <c r="U69" i="100"/>
  <c r="Z64" i="100"/>
  <c r="BD14" i="100"/>
  <c r="BD20" i="100"/>
  <c r="BD16" i="100"/>
  <c r="Z25" i="100"/>
  <c r="U29" i="100"/>
  <c r="U20" i="100"/>
  <c r="U36" i="100"/>
  <c r="Z24" i="100"/>
  <c r="U18" i="100"/>
  <c r="BD24" i="100"/>
  <c r="BD27" i="100"/>
  <c r="BD31" i="100"/>
  <c r="Z45" i="100"/>
  <c r="BD48" i="100"/>
  <c r="U70" i="100"/>
  <c r="BD62" i="100"/>
  <c r="BD69" i="100"/>
  <c r="U21" i="100"/>
  <c r="Z46" i="100"/>
  <c r="Z47" i="100"/>
  <c r="BD57" i="100"/>
  <c r="BD64" i="100"/>
  <c r="U71" i="100"/>
  <c r="Z68" i="100"/>
  <c r="Z26" i="100"/>
  <c r="U47" i="100"/>
  <c r="BD47" i="100"/>
  <c r="Z62" i="100"/>
  <c r="Z51" i="100"/>
  <c r="Z61" i="100"/>
  <c r="Z50" i="100"/>
  <c r="U54" i="100"/>
  <c r="Z9" i="100"/>
  <c r="BD63" i="100"/>
  <c r="BD12" i="100"/>
  <c r="U35" i="100"/>
  <c r="BD68" i="100"/>
  <c r="BD36" i="100"/>
  <c r="Z41" i="100"/>
  <c r="BD45" i="100"/>
  <c r="BD11" i="100"/>
  <c r="U28" i="100"/>
  <c r="U41" i="100"/>
  <c r="BD56" i="100"/>
  <c r="BD65" i="100"/>
  <c r="BD50" i="100"/>
  <c r="BM76" i="121"/>
  <c r="CY75" i="121"/>
  <c r="CY39" i="121"/>
  <c r="T75" i="121"/>
  <c r="T39" i="121"/>
  <c r="AN75" i="121"/>
  <c r="AN39" i="121"/>
  <c r="CQ76" i="121"/>
  <c r="I81" i="121"/>
  <c r="I83" i="121" s="1"/>
  <c r="I84" i="121" s="1"/>
  <c r="I86" i="121" s="1"/>
  <c r="I87" i="121" s="1"/>
  <c r="I76" i="121"/>
  <c r="J75" i="121"/>
  <c r="J39" i="121"/>
  <c r="DA75" i="121"/>
  <c r="DA39" i="121"/>
  <c r="CZ85" i="121"/>
  <c r="DA85" i="121" s="1"/>
  <c r="AM85" i="121"/>
  <c r="AN85" i="121" s="1"/>
  <c r="AX76" i="121"/>
  <c r="AD75" i="121"/>
  <c r="AD39" i="121"/>
  <c r="CZ86" i="121"/>
  <c r="CZ87" i="121" s="1"/>
  <c r="BW81" i="121"/>
  <c r="BW83" i="121" s="1"/>
  <c r="BW84" i="121" s="1"/>
  <c r="BW86" i="121" s="1"/>
  <c r="BW87" i="121" s="1"/>
  <c r="BW76" i="121"/>
  <c r="M76" i="121"/>
  <c r="Y76" i="121"/>
  <c r="AD75" i="122"/>
  <c r="AD39" i="122"/>
  <c r="AN76" i="122"/>
  <c r="S76" i="122"/>
  <c r="S81" i="122"/>
  <c r="S83" i="122" s="1"/>
  <c r="S84" i="122" s="1"/>
  <c r="S86" i="122" s="1"/>
  <c r="S87" i="122" s="1"/>
  <c r="CY76" i="122"/>
  <c r="M76" i="122"/>
  <c r="DA38" i="122"/>
  <c r="CZ76" i="122"/>
  <c r="CZ81" i="122"/>
  <c r="CZ83" i="122" s="1"/>
  <c r="CZ84" i="122" s="1"/>
  <c r="CZ86" i="122" s="1"/>
  <c r="CZ87" i="122" s="1"/>
  <c r="J75" i="122"/>
  <c r="J39" i="122"/>
  <c r="T75" i="122"/>
  <c r="T39" i="122"/>
  <c r="CV76" i="122"/>
  <c r="CV81" i="122"/>
  <c r="CV83" i="122" s="1"/>
  <c r="CV84" i="122" s="1"/>
  <c r="CV86" i="122" s="1"/>
  <c r="CV87" i="122" s="1"/>
  <c r="CY75" i="123"/>
  <c r="CY39" i="123"/>
  <c r="AS76" i="123"/>
  <c r="CQ81" i="123"/>
  <c r="CQ83" i="123" s="1"/>
  <c r="CQ84" i="123" s="1"/>
  <c r="CQ86" i="123" s="1"/>
  <c r="CQ87" i="123" s="1"/>
  <c r="CQ76" i="123"/>
  <c r="Y75" i="123"/>
  <c r="Y39" i="123"/>
  <c r="BQ86" i="123"/>
  <c r="BQ87" i="123" s="1"/>
  <c r="BW81" i="123"/>
  <c r="BW83" i="123" s="1"/>
  <c r="BW84" i="123" s="1"/>
  <c r="BW86" i="123" s="1"/>
  <c r="BW87" i="123" s="1"/>
  <c r="BW76" i="123"/>
  <c r="DA75" i="123"/>
  <c r="DA39" i="123"/>
  <c r="T75" i="123"/>
  <c r="T39" i="123"/>
  <c r="BM81" i="123"/>
  <c r="BM83" i="123" s="1"/>
  <c r="BM84" i="123" s="1"/>
  <c r="BM86" i="123" s="1"/>
  <c r="BM87" i="123" s="1"/>
  <c r="BM76" i="123"/>
  <c r="CB76" i="123"/>
  <c r="CB81" i="123"/>
  <c r="CB83" i="123" s="1"/>
  <c r="CB84" i="123" s="1"/>
  <c r="CB86" i="123" s="1"/>
  <c r="CB87" i="123" s="1"/>
  <c r="AM85" i="123"/>
  <c r="AN85" i="123" s="1"/>
  <c r="AM86" i="123"/>
  <c r="AM87" i="123" s="1"/>
  <c r="AD75" i="123"/>
  <c r="AD39" i="123"/>
  <c r="CZ86" i="123"/>
  <c r="CZ87" i="123" s="1"/>
  <c r="AN76" i="123"/>
  <c r="CZ76" i="124"/>
  <c r="CZ81" i="124"/>
  <c r="CZ83" i="124" s="1"/>
  <c r="CZ84" i="124" s="1"/>
  <c r="CZ86" i="124" s="1"/>
  <c r="CZ87" i="124" s="1"/>
  <c r="BL86" i="124"/>
  <c r="BL87" i="124" s="1"/>
  <c r="BW81" i="124"/>
  <c r="BW83" i="124" s="1"/>
  <c r="BW84" i="124" s="1"/>
  <c r="BW86" i="124" s="1"/>
  <c r="BW87" i="124" s="1"/>
  <c r="BW76" i="124"/>
  <c r="T76" i="124"/>
  <c r="DA75" i="124"/>
  <c r="DA39" i="124"/>
  <c r="BM81" i="124"/>
  <c r="BM83" i="124" s="1"/>
  <c r="BM84" i="124" s="1"/>
  <c r="BM86" i="124" s="1"/>
  <c r="BM87" i="124" s="1"/>
  <c r="BM76" i="124"/>
  <c r="J76" i="124"/>
  <c r="E81" i="124"/>
  <c r="E83" i="124" s="1"/>
  <c r="E84" i="124" s="1"/>
  <c r="E86" i="124" s="1"/>
  <c r="E87" i="124" s="1"/>
  <c r="E76" i="124"/>
  <c r="AD76" i="124"/>
  <c r="M76" i="124"/>
  <c r="AN76" i="124"/>
  <c r="AM85" i="124"/>
  <c r="CQ81" i="124"/>
  <c r="CQ83" i="124" s="1"/>
  <c r="CQ84" i="124" s="1"/>
  <c r="CQ86" i="124" s="1"/>
  <c r="CQ87" i="124" s="1"/>
  <c r="CQ76" i="124"/>
  <c r="CY76" i="124"/>
  <c r="O76" i="124"/>
  <c r="CB81" i="124"/>
  <c r="CB83" i="124" s="1"/>
  <c r="CB84" i="124" s="1"/>
  <c r="CB86" i="124" s="1"/>
  <c r="CB87" i="124" s="1"/>
  <c r="CB76" i="124"/>
  <c r="CA86" i="125" l="1"/>
  <c r="CA87" i="125" s="1"/>
  <c r="BB85" i="125"/>
  <c r="AD87" i="82"/>
  <c r="DX76" i="82"/>
  <c r="DZ76" i="82"/>
  <c r="T76" i="82"/>
  <c r="BM76" i="125"/>
  <c r="DN76" i="125"/>
  <c r="DF76" i="125"/>
  <c r="CQ76" i="125"/>
  <c r="DA76" i="125"/>
  <c r="BC75" i="125"/>
  <c r="BE75" i="125" s="1"/>
  <c r="BC39" i="125"/>
  <c r="BE39" i="125" s="1"/>
  <c r="DP76" i="125"/>
  <c r="Y76" i="100"/>
  <c r="BH76" i="100"/>
  <c r="BC76" i="100"/>
  <c r="T81" i="100"/>
  <c r="T83" i="100" s="1"/>
  <c r="T84" i="100" s="1"/>
  <c r="T86" i="100" s="1"/>
  <c r="T87" i="100" s="1"/>
  <c r="T76" i="100"/>
  <c r="DP76" i="100"/>
  <c r="J76" i="100"/>
  <c r="AD76" i="121"/>
  <c r="DA76" i="121"/>
  <c r="AM86" i="121"/>
  <c r="AM87" i="121" s="1"/>
  <c r="T76" i="121"/>
  <c r="CY76" i="121"/>
  <c r="AN76" i="121"/>
  <c r="J76" i="121"/>
  <c r="J76" i="122"/>
  <c r="AD76" i="122"/>
  <c r="DA75" i="122"/>
  <c r="DA39" i="122"/>
  <c r="T76" i="122"/>
  <c r="T76" i="123"/>
  <c r="DA76" i="123"/>
  <c r="Y76" i="123"/>
  <c r="CY76" i="123"/>
  <c r="AD76" i="123"/>
  <c r="AN85" i="124"/>
  <c r="BE85" i="125" s="1"/>
  <c r="AM86" i="124"/>
  <c r="AM87" i="124" s="1"/>
  <c r="DA76" i="124"/>
  <c r="BC76" i="125" l="1"/>
  <c r="BE76" i="125" s="1"/>
  <c r="DA76" i="122"/>
  <c r="W85" i="142" l="1"/>
  <c r="V85" i="142"/>
  <c r="W82" i="142"/>
  <c r="V82" i="142"/>
  <c r="W79" i="142"/>
  <c r="V79" i="142"/>
  <c r="W78" i="142"/>
  <c r="V78" i="142"/>
  <c r="W74" i="142"/>
  <c r="V74" i="142"/>
  <c r="W71" i="142"/>
  <c r="V71" i="142"/>
  <c r="W70" i="142"/>
  <c r="V70" i="142"/>
  <c r="W69" i="142"/>
  <c r="V69" i="142"/>
  <c r="W68" i="142"/>
  <c r="V68" i="142"/>
  <c r="W67" i="142"/>
  <c r="V67" i="142"/>
  <c r="W66" i="142"/>
  <c r="V66" i="142"/>
  <c r="W65" i="142"/>
  <c r="V65" i="142"/>
  <c r="W64" i="142"/>
  <c r="V64" i="142"/>
  <c r="W63" i="142"/>
  <c r="V63" i="142"/>
  <c r="W62" i="142"/>
  <c r="V62" i="142"/>
  <c r="W61" i="142"/>
  <c r="V61" i="142"/>
  <c r="W60" i="142"/>
  <c r="V60" i="142"/>
  <c r="W59" i="142"/>
  <c r="V59" i="142"/>
  <c r="W58" i="142"/>
  <c r="V58" i="142"/>
  <c r="W57" i="142"/>
  <c r="V57" i="142"/>
  <c r="W56" i="142"/>
  <c r="V56" i="142"/>
  <c r="W55" i="142"/>
  <c r="V55" i="142"/>
  <c r="W52" i="142"/>
  <c r="V52" i="142"/>
  <c r="W51" i="142"/>
  <c r="V51" i="142"/>
  <c r="W48" i="142"/>
  <c r="V48" i="142"/>
  <c r="W47" i="142"/>
  <c r="V47" i="142"/>
  <c r="W46" i="142"/>
  <c r="V46" i="142"/>
  <c r="W45" i="142"/>
  <c r="V45" i="142"/>
  <c r="W44" i="142"/>
  <c r="V44" i="142"/>
  <c r="W43" i="142"/>
  <c r="V43" i="142"/>
  <c r="W42" i="142"/>
  <c r="V42" i="142"/>
  <c r="W36" i="142"/>
  <c r="V36" i="142"/>
  <c r="W33" i="142"/>
  <c r="V33" i="142"/>
  <c r="W32" i="142"/>
  <c r="V32" i="142"/>
  <c r="W31" i="142"/>
  <c r="V31" i="142"/>
  <c r="W30" i="142"/>
  <c r="V30" i="142"/>
  <c r="W29" i="142"/>
  <c r="V29" i="142"/>
  <c r="W28" i="142"/>
  <c r="V28" i="142"/>
  <c r="W27" i="142"/>
  <c r="V27" i="142"/>
  <c r="W26" i="142"/>
  <c r="V26" i="142"/>
  <c r="W25" i="142"/>
  <c r="V25" i="142"/>
  <c r="W24" i="142"/>
  <c r="V24" i="142"/>
  <c r="W23" i="142"/>
  <c r="V23" i="142"/>
  <c r="W22" i="142"/>
  <c r="V22" i="142"/>
  <c r="W21" i="142"/>
  <c r="V21" i="142"/>
  <c r="W20" i="142"/>
  <c r="V20" i="142"/>
  <c r="W19" i="142"/>
  <c r="V19" i="142"/>
  <c r="W18" i="142"/>
  <c r="W17" i="142"/>
  <c r="V17" i="142"/>
  <c r="W16" i="142"/>
  <c r="V16" i="142"/>
  <c r="W15" i="142"/>
  <c r="V15" i="142"/>
  <c r="W14" i="142"/>
  <c r="V14" i="142"/>
  <c r="W13" i="142"/>
  <c r="V13" i="142"/>
  <c r="W12" i="142"/>
  <c r="V12" i="142"/>
  <c r="W11" i="142"/>
  <c r="V11" i="142"/>
  <c r="W10" i="142"/>
  <c r="V10" i="142"/>
  <c r="W9" i="142"/>
  <c r="V9" i="142"/>
  <c r="W7" i="142"/>
  <c r="V7" i="142"/>
  <c r="W6" i="142"/>
  <c r="V6" i="142"/>
  <c r="M23" i="101"/>
  <c r="I22" i="101"/>
  <c r="E22" i="101"/>
  <c r="S85" i="142"/>
  <c r="S82" i="142"/>
  <c r="S78" i="142"/>
  <c r="T78" i="142" s="1"/>
  <c r="R77" i="142"/>
  <c r="Q77" i="142"/>
  <c r="S74" i="142"/>
  <c r="S73" i="142" s="1"/>
  <c r="R73" i="142"/>
  <c r="Q73" i="142"/>
  <c r="S71" i="142"/>
  <c r="S70" i="142"/>
  <c r="S69" i="142"/>
  <c r="S68" i="142"/>
  <c r="S67" i="142"/>
  <c r="S66" i="142"/>
  <c r="S65" i="142"/>
  <c r="S64" i="142"/>
  <c r="S63" i="142"/>
  <c r="S62" i="142"/>
  <c r="S61" i="142"/>
  <c r="S60" i="142"/>
  <c r="S59" i="142"/>
  <c r="S58" i="142"/>
  <c r="S57" i="142"/>
  <c r="S56" i="142"/>
  <c r="S55" i="142"/>
  <c r="S54" i="142" s="1"/>
  <c r="R54" i="142"/>
  <c r="Q54" i="142"/>
  <c r="S52" i="142"/>
  <c r="S51" i="142"/>
  <c r="R50" i="142"/>
  <c r="Q50" i="142"/>
  <c r="S48" i="142"/>
  <c r="S47" i="142"/>
  <c r="S46" i="142"/>
  <c r="S45" i="142"/>
  <c r="S44" i="142"/>
  <c r="S43" i="142"/>
  <c r="S42" i="142"/>
  <c r="R41" i="142"/>
  <c r="Q41" i="142"/>
  <c r="T37" i="142"/>
  <c r="S36" i="142"/>
  <c r="S35" i="142" s="1"/>
  <c r="S33" i="142"/>
  <c r="S32" i="142"/>
  <c r="S31" i="142"/>
  <c r="S30" i="142"/>
  <c r="S29" i="142"/>
  <c r="S28" i="142"/>
  <c r="S27" i="142"/>
  <c r="S26" i="142"/>
  <c r="S25" i="142"/>
  <c r="S24" i="142"/>
  <c r="S23" i="142"/>
  <c r="S22" i="142"/>
  <c r="S21" i="142"/>
  <c r="S20" i="142"/>
  <c r="S19" i="142"/>
  <c r="S18" i="142"/>
  <c r="S17" i="142"/>
  <c r="S16" i="142"/>
  <c r="S15" i="142"/>
  <c r="S14" i="142"/>
  <c r="S13" i="142"/>
  <c r="S12" i="142"/>
  <c r="S11" i="142"/>
  <c r="S10" i="142"/>
  <c r="S9" i="142"/>
  <c r="S8" i="142" s="1"/>
  <c r="R8" i="142"/>
  <c r="Q8" i="142"/>
  <c r="S7" i="142"/>
  <c r="S6" i="142"/>
  <c r="S5" i="142"/>
  <c r="R5" i="142"/>
  <c r="R38" i="142" s="1"/>
  <c r="Q5" i="142"/>
  <c r="Q38" i="142" s="1"/>
  <c r="Q39" i="142" l="1"/>
  <c r="Q75" i="142"/>
  <c r="Q81" i="142" s="1"/>
  <c r="Q83" i="142" s="1"/>
  <c r="Q84" i="142" s="1"/>
  <c r="Q86" i="142" s="1"/>
  <c r="Q87" i="142" s="1"/>
  <c r="BZ79" i="166"/>
  <c r="AQ79" i="166"/>
  <c r="BU79" i="166"/>
  <c r="AL79" i="166"/>
  <c r="BP79" i="166"/>
  <c r="AG79" i="166"/>
  <c r="AV79" i="166"/>
  <c r="BF79" i="166"/>
  <c r="AB79" i="166"/>
  <c r="BA79" i="166"/>
  <c r="M79" i="166"/>
  <c r="CE79" i="166"/>
  <c r="H79" i="166"/>
  <c r="DS79" i="82"/>
  <c r="S38" i="142"/>
  <c r="R75" i="142"/>
  <c r="R39" i="142"/>
  <c r="Q76" i="142"/>
  <c r="S41" i="142"/>
  <c r="S50" i="142"/>
  <c r="DU79" i="82" l="1"/>
  <c r="DS77" i="82"/>
  <c r="DS81" i="82"/>
  <c r="DS83" i="82" s="1"/>
  <c r="DS84" i="82" s="1"/>
  <c r="DS86" i="82" s="1"/>
  <c r="DS87" i="82" s="1"/>
  <c r="AD79" i="166"/>
  <c r="AB77" i="166"/>
  <c r="W79" i="166"/>
  <c r="AB81" i="166"/>
  <c r="AB83" i="166" s="1"/>
  <c r="AB84" i="166" s="1"/>
  <c r="BW79" i="166"/>
  <c r="BU77" i="166"/>
  <c r="BU81" i="166"/>
  <c r="BU83" i="166" s="1"/>
  <c r="BU84" i="166" s="1"/>
  <c r="BU86" i="166" s="1"/>
  <c r="BU87" i="166" s="1"/>
  <c r="AQ77" i="166"/>
  <c r="AS79" i="166"/>
  <c r="AQ81" i="166"/>
  <c r="AQ83" i="166" s="1"/>
  <c r="AQ84" i="166" s="1"/>
  <c r="AQ86" i="166" s="1"/>
  <c r="AQ87" i="166" s="1"/>
  <c r="BH79" i="166"/>
  <c r="BF77" i="166"/>
  <c r="BF81" i="166"/>
  <c r="BF83" i="166" s="1"/>
  <c r="BF84" i="166" s="1"/>
  <c r="BF86" i="166" s="1"/>
  <c r="BF87" i="166" s="1"/>
  <c r="AV77" i="166"/>
  <c r="AX79" i="166"/>
  <c r="AV81" i="166"/>
  <c r="AV83" i="166" s="1"/>
  <c r="AV84" i="166" s="1"/>
  <c r="AV86" i="166" s="1"/>
  <c r="AV87" i="166" s="1"/>
  <c r="CB79" i="166"/>
  <c r="BZ77" i="166"/>
  <c r="BZ81" i="166"/>
  <c r="BZ83" i="166" s="1"/>
  <c r="BZ84" i="166" s="1"/>
  <c r="BZ86" i="166" s="1"/>
  <c r="BZ87" i="166" s="1"/>
  <c r="AL77" i="166"/>
  <c r="AN79" i="166"/>
  <c r="AL81" i="166"/>
  <c r="AL83" i="166" s="1"/>
  <c r="AL84" i="166" s="1"/>
  <c r="AL86" i="166" s="1"/>
  <c r="AL87" i="166" s="1"/>
  <c r="J79" i="166"/>
  <c r="H77" i="166"/>
  <c r="H81" i="166"/>
  <c r="H83" i="166" s="1"/>
  <c r="H84" i="166" s="1"/>
  <c r="H86" i="166" s="1"/>
  <c r="H87" i="166" s="1"/>
  <c r="AG77" i="166"/>
  <c r="AI79" i="166"/>
  <c r="AG81" i="166"/>
  <c r="AG83" i="166" s="1"/>
  <c r="AG84" i="166" s="1"/>
  <c r="AG86" i="166" s="1"/>
  <c r="AG87" i="166" s="1"/>
  <c r="CG79" i="166"/>
  <c r="CE77" i="166"/>
  <c r="CE81" i="166"/>
  <c r="CE83" i="166" s="1"/>
  <c r="CE84" i="166" s="1"/>
  <c r="CE86" i="166" s="1"/>
  <c r="CE87" i="166" s="1"/>
  <c r="O79" i="166"/>
  <c r="M77" i="166"/>
  <c r="M81" i="166"/>
  <c r="M83" i="166" s="1"/>
  <c r="M84" i="166" s="1"/>
  <c r="M86" i="166" s="1"/>
  <c r="M87" i="166" s="1"/>
  <c r="BR79" i="166"/>
  <c r="BP77" i="166"/>
  <c r="BP81" i="166"/>
  <c r="BP83" i="166" s="1"/>
  <c r="BP84" i="166" s="1"/>
  <c r="BP86" i="166" s="1"/>
  <c r="BP87" i="166" s="1"/>
  <c r="BA77" i="166"/>
  <c r="BC79" i="166"/>
  <c r="BA81" i="166"/>
  <c r="BA83" i="166" s="1"/>
  <c r="BA84" i="166" s="1"/>
  <c r="BA86" i="166" s="1"/>
  <c r="BA87" i="166" s="1"/>
  <c r="R76" i="142"/>
  <c r="R81" i="142"/>
  <c r="R83" i="142" s="1"/>
  <c r="R84" i="142" s="1"/>
  <c r="R86" i="142" s="1"/>
  <c r="R87" i="142" s="1"/>
  <c r="S39" i="142"/>
  <c r="S75" i="142"/>
  <c r="CB77" i="166" l="1"/>
  <c r="CB89" i="166"/>
  <c r="CB81" i="166"/>
  <c r="CB83" i="166" s="1"/>
  <c r="CB84" i="166" s="1"/>
  <c r="CB86" i="166" s="1"/>
  <c r="CB87" i="166" s="1"/>
  <c r="AX77" i="166"/>
  <c r="AX89" i="166"/>
  <c r="AX81" i="166"/>
  <c r="AX83" i="166" s="1"/>
  <c r="AX84" i="166" s="1"/>
  <c r="AX86" i="166" s="1"/>
  <c r="AX87" i="166" s="1"/>
  <c r="W77" i="166"/>
  <c r="Y79" i="166"/>
  <c r="W81" i="166"/>
  <c r="W83" i="166" s="1"/>
  <c r="CG77" i="166"/>
  <c r="CG89" i="166"/>
  <c r="CG81" i="166"/>
  <c r="CG83" i="166" s="1"/>
  <c r="CG84" i="166" s="1"/>
  <c r="CG86" i="166" s="1"/>
  <c r="CG87" i="166" s="1"/>
  <c r="BW77" i="166"/>
  <c r="BW89" i="166"/>
  <c r="BW81" i="166"/>
  <c r="BW83" i="166" s="1"/>
  <c r="BW84" i="166" s="1"/>
  <c r="BW86" i="166" s="1"/>
  <c r="BW87" i="166" s="1"/>
  <c r="AB86" i="166"/>
  <c r="AB87" i="166" s="1"/>
  <c r="W84" i="166"/>
  <c r="W86" i="166" s="1"/>
  <c r="J77" i="166"/>
  <c r="J89" i="166"/>
  <c r="J81" i="166"/>
  <c r="J83" i="166" s="1"/>
  <c r="J84" i="166" s="1"/>
  <c r="J86" i="166" s="1"/>
  <c r="J87" i="166" s="1"/>
  <c r="AD77" i="166"/>
  <c r="AD89" i="166"/>
  <c r="AD81" i="166"/>
  <c r="AD83" i="166" s="1"/>
  <c r="AD84" i="166" s="1"/>
  <c r="AD86" i="166" s="1"/>
  <c r="AD87" i="166" s="1"/>
  <c r="BC77" i="166"/>
  <c r="BC89" i="166"/>
  <c r="BC81" i="166"/>
  <c r="BC83" i="166" s="1"/>
  <c r="BC84" i="166" s="1"/>
  <c r="BC86" i="166" s="1"/>
  <c r="BC87" i="166" s="1"/>
  <c r="DU77" i="82"/>
  <c r="DU89" i="82"/>
  <c r="DU91" i="82" s="1"/>
  <c r="DU81" i="82"/>
  <c r="DU83" i="82" s="1"/>
  <c r="DU84" i="82" s="1"/>
  <c r="DU86" i="82" s="1"/>
  <c r="DU87" i="82" s="1"/>
  <c r="BR89" i="166"/>
  <c r="BR77" i="166"/>
  <c r="BR81" i="166"/>
  <c r="BR83" i="166" s="1"/>
  <c r="BR84" i="166" s="1"/>
  <c r="BR86" i="166" s="1"/>
  <c r="BR87" i="166" s="1"/>
  <c r="AS77" i="166"/>
  <c r="AS89" i="166"/>
  <c r="AS81" i="166"/>
  <c r="AS83" i="166" s="1"/>
  <c r="AS84" i="166" s="1"/>
  <c r="AS86" i="166" s="1"/>
  <c r="AS87" i="166" s="1"/>
  <c r="AN77" i="166"/>
  <c r="AN89" i="166"/>
  <c r="AN81" i="166"/>
  <c r="AN83" i="166" s="1"/>
  <c r="AN84" i="166" s="1"/>
  <c r="AN86" i="166" s="1"/>
  <c r="AN87" i="166" s="1"/>
  <c r="O89" i="166"/>
  <c r="O77" i="166"/>
  <c r="O81" i="166"/>
  <c r="O83" i="166" s="1"/>
  <c r="O84" i="166" s="1"/>
  <c r="O86" i="166" s="1"/>
  <c r="O87" i="166" s="1"/>
  <c r="AI77" i="166"/>
  <c r="AI89" i="166"/>
  <c r="AI81" i="166"/>
  <c r="AI83" i="166" s="1"/>
  <c r="AI84" i="166" s="1"/>
  <c r="AI86" i="166" s="1"/>
  <c r="AI87" i="166" s="1"/>
  <c r="BH77" i="166"/>
  <c r="BH89" i="166"/>
  <c r="BH81" i="166"/>
  <c r="BH83" i="166" s="1"/>
  <c r="BH84" i="166" s="1"/>
  <c r="BH86" i="166" s="1"/>
  <c r="BH87" i="166" s="1"/>
  <c r="S76" i="142"/>
  <c r="BX64" i="166" l="1"/>
  <c r="BX58" i="166"/>
  <c r="BX68" i="166"/>
  <c r="BX48" i="166"/>
  <c r="BX18" i="166"/>
  <c r="BX24" i="166"/>
  <c r="BX46" i="166"/>
  <c r="BX69" i="166"/>
  <c r="BX36" i="166"/>
  <c r="BX63" i="166"/>
  <c r="BX57" i="166"/>
  <c r="BX67" i="166"/>
  <c r="BX49" i="166"/>
  <c r="BX22" i="166"/>
  <c r="BX9" i="166"/>
  <c r="BX31" i="166"/>
  <c r="BX15" i="166"/>
  <c r="BX10" i="166"/>
  <c r="BX62" i="166"/>
  <c r="BX56" i="166"/>
  <c r="BX66" i="166"/>
  <c r="BX44" i="166"/>
  <c r="BX52" i="166"/>
  <c r="BX11" i="166"/>
  <c r="BX30" i="166"/>
  <c r="BX14" i="166"/>
  <c r="BX29" i="166"/>
  <c r="BX60" i="166"/>
  <c r="BX53" i="166"/>
  <c r="BX42" i="166"/>
  <c r="BX26" i="166"/>
  <c r="BX13" i="166"/>
  <c r="BX32" i="166"/>
  <c r="BX71" i="166"/>
  <c r="BX43" i="166"/>
  <c r="BX33" i="166"/>
  <c r="BX65" i="166"/>
  <c r="BX21" i="166"/>
  <c r="BX23" i="166"/>
  <c r="BX61" i="166"/>
  <c r="BX19" i="166"/>
  <c r="BX47" i="166"/>
  <c r="BX59" i="166"/>
  <c r="BX20" i="166"/>
  <c r="BX70" i="166"/>
  <c r="BX55" i="166"/>
  <c r="BX16" i="166"/>
  <c r="BX17" i="166"/>
  <c r="BX45" i="166"/>
  <c r="BX25" i="166"/>
  <c r="BX28" i="166"/>
  <c r="BX51" i="166"/>
  <c r="BX27" i="166"/>
  <c r="BX12" i="166"/>
  <c r="BI12" i="166"/>
  <c r="BI14" i="166"/>
  <c r="BI23" i="166"/>
  <c r="BI70" i="166"/>
  <c r="BI30" i="166"/>
  <c r="BI48" i="166"/>
  <c r="BI66" i="166"/>
  <c r="BI71" i="166"/>
  <c r="BI17" i="166"/>
  <c r="BI15" i="166"/>
  <c r="BI25" i="166"/>
  <c r="BI36" i="166"/>
  <c r="BI27" i="166"/>
  <c r="BI44" i="166"/>
  <c r="BI32" i="166"/>
  <c r="BI67" i="166"/>
  <c r="BI47" i="166"/>
  <c r="BI33" i="166"/>
  <c r="BI18" i="166"/>
  <c r="BI24" i="166"/>
  <c r="BI42" i="166"/>
  <c r="BI68" i="166"/>
  <c r="BI69" i="166"/>
  <c r="BI13" i="166"/>
  <c r="BI28" i="166"/>
  <c r="BI16" i="166"/>
  <c r="BI31" i="166"/>
  <c r="BI63" i="166"/>
  <c r="BI57" i="166"/>
  <c r="BI49" i="166"/>
  <c r="BI45" i="166"/>
  <c r="BI62" i="166"/>
  <c r="BI56" i="166"/>
  <c r="BI52" i="166"/>
  <c r="BI26" i="166"/>
  <c r="BI64" i="166"/>
  <c r="BI61" i="166"/>
  <c r="BI55" i="166"/>
  <c r="BI43" i="166"/>
  <c r="BI11" i="166"/>
  <c r="BI58" i="166"/>
  <c r="BI60" i="166"/>
  <c r="BI51" i="166"/>
  <c r="BI21" i="166"/>
  <c r="BI10" i="166"/>
  <c r="BI9" i="166"/>
  <c r="BI29" i="166"/>
  <c r="BI53" i="166"/>
  <c r="BI65" i="166"/>
  <c r="BI59" i="166"/>
  <c r="BI46" i="166"/>
  <c r="BI19" i="166"/>
  <c r="BI22" i="166"/>
  <c r="BI20" i="166"/>
  <c r="AE69" i="166"/>
  <c r="AE63" i="166"/>
  <c r="AE57" i="166"/>
  <c r="AE52" i="166"/>
  <c r="AE16" i="166"/>
  <c r="AE20" i="166"/>
  <c r="AE9" i="166"/>
  <c r="AE32" i="166"/>
  <c r="AE27" i="166"/>
  <c r="AE68" i="166"/>
  <c r="AE62" i="166"/>
  <c r="AE56" i="166"/>
  <c r="AE51" i="166"/>
  <c r="AE67" i="166"/>
  <c r="AE61" i="166"/>
  <c r="AE55" i="166"/>
  <c r="AE47" i="166"/>
  <c r="AE14" i="166"/>
  <c r="AE53" i="166"/>
  <c r="AE29" i="166"/>
  <c r="AE25" i="166"/>
  <c r="AE66" i="166"/>
  <c r="AE60" i="166"/>
  <c r="AE49" i="166"/>
  <c r="AE19" i="166"/>
  <c r="AE13" i="166"/>
  <c r="AE10" i="166"/>
  <c r="AE33" i="166"/>
  <c r="AE30" i="166"/>
  <c r="AE70" i="166"/>
  <c r="AE65" i="166"/>
  <c r="AE59" i="166"/>
  <c r="AE48" i="166"/>
  <c r="AE18" i="166"/>
  <c r="AE26" i="166"/>
  <c r="AE11" i="166"/>
  <c r="AE24" i="166"/>
  <c r="AE36" i="166"/>
  <c r="AE23" i="166"/>
  <c r="AE22" i="166"/>
  <c r="AE43" i="166"/>
  <c r="AE64" i="166"/>
  <c r="AE45" i="166"/>
  <c r="AE71" i="166"/>
  <c r="AE58" i="166"/>
  <c r="AE12" i="166"/>
  <c r="AE44" i="166"/>
  <c r="AE42" i="166"/>
  <c r="AE21" i="166"/>
  <c r="AE31" i="166"/>
  <c r="AE46" i="166"/>
  <c r="AE17" i="166"/>
  <c r="AE28" i="166"/>
  <c r="AE15" i="166"/>
  <c r="CH67" i="166"/>
  <c r="CH31" i="166"/>
  <c r="CH18" i="166"/>
  <c r="CH26" i="166"/>
  <c r="CH11" i="166"/>
  <c r="CH62" i="166"/>
  <c r="CH64" i="166"/>
  <c r="CH61" i="166"/>
  <c r="CH56" i="166"/>
  <c r="CH66" i="166"/>
  <c r="CH30" i="166"/>
  <c r="CH17" i="166"/>
  <c r="CH22" i="166"/>
  <c r="CH12" i="166"/>
  <c r="CH25" i="166"/>
  <c r="CH46" i="166"/>
  <c r="CH57" i="166"/>
  <c r="CH60" i="166"/>
  <c r="CH71" i="166"/>
  <c r="CH49" i="166"/>
  <c r="CH29" i="166"/>
  <c r="CH16" i="166"/>
  <c r="CH20" i="166"/>
  <c r="CH45" i="166"/>
  <c r="CH47" i="166"/>
  <c r="CH44" i="166"/>
  <c r="CH24" i="166"/>
  <c r="CH69" i="166"/>
  <c r="CH33" i="166"/>
  <c r="CH27" i="166"/>
  <c r="CH14" i="166"/>
  <c r="CH21" i="166"/>
  <c r="CH51" i="166"/>
  <c r="CH59" i="166"/>
  <c r="CH65" i="166"/>
  <c r="CH23" i="166"/>
  <c r="CH32" i="166"/>
  <c r="CH9" i="166"/>
  <c r="CH63" i="166"/>
  <c r="CH28" i="166"/>
  <c r="CH58" i="166"/>
  <c r="CH36" i="166"/>
  <c r="CH19" i="166"/>
  <c r="CH43" i="166"/>
  <c r="CH48" i="166"/>
  <c r="CH70" i="166"/>
  <c r="CH15" i="166"/>
  <c r="CH55" i="166"/>
  <c r="CH68" i="166"/>
  <c r="CH13" i="166"/>
  <c r="CH42" i="166"/>
  <c r="CH52" i="166"/>
  <c r="CH53" i="166"/>
  <c r="CH10" i="166"/>
  <c r="AY24" i="166"/>
  <c r="AY46" i="166"/>
  <c r="AY55" i="166"/>
  <c r="AY29" i="166"/>
  <c r="AY10" i="166"/>
  <c r="AY15" i="166"/>
  <c r="AY56" i="166"/>
  <c r="AY22" i="166"/>
  <c r="AY21" i="166"/>
  <c r="AY23" i="166"/>
  <c r="AY51" i="166"/>
  <c r="AY66" i="166"/>
  <c r="AY20" i="166"/>
  <c r="AY28" i="166"/>
  <c r="AY12" i="166"/>
  <c r="AY58" i="166"/>
  <c r="AY45" i="166"/>
  <c r="AY17" i="166"/>
  <c r="AY49" i="166"/>
  <c r="AY52" i="166"/>
  <c r="AY11" i="166"/>
  <c r="AY65" i="166"/>
  <c r="AY26" i="166"/>
  <c r="AY33" i="166"/>
  <c r="AY64" i="166"/>
  <c r="AY71" i="166"/>
  <c r="AY16" i="166"/>
  <c r="AY43" i="166"/>
  <c r="AY53" i="166"/>
  <c r="AY47" i="166"/>
  <c r="AY68" i="166"/>
  <c r="AY14" i="166"/>
  <c r="AY32" i="166"/>
  <c r="AY9" i="166"/>
  <c r="AY70" i="166"/>
  <c r="AY61" i="166"/>
  <c r="AY36" i="166"/>
  <c r="AY42" i="166"/>
  <c r="AY13" i="166"/>
  <c r="AY31" i="166"/>
  <c r="AY69" i="166"/>
  <c r="AY60" i="166"/>
  <c r="AY18" i="166"/>
  <c r="AY44" i="166"/>
  <c r="AY57" i="166"/>
  <c r="AY19" i="166"/>
  <c r="AY59" i="166"/>
  <c r="AY27" i="166"/>
  <c r="AY48" i="166"/>
  <c r="AY67" i="166"/>
  <c r="AY62" i="166"/>
  <c r="AY63" i="166"/>
  <c r="AY25" i="166"/>
  <c r="AY30" i="166"/>
  <c r="AO69" i="166"/>
  <c r="AO29" i="166"/>
  <c r="AO49" i="166"/>
  <c r="AO18" i="166"/>
  <c r="AO62" i="166"/>
  <c r="AO60" i="166"/>
  <c r="AO63" i="166"/>
  <c r="AO12" i="166"/>
  <c r="AO36" i="166"/>
  <c r="AO53" i="166"/>
  <c r="AO28" i="166"/>
  <c r="AO21" i="166"/>
  <c r="AO19" i="166"/>
  <c r="AO64" i="166"/>
  <c r="AO52" i="166"/>
  <c r="AO56" i="166"/>
  <c r="AO13" i="166"/>
  <c r="AO47" i="166"/>
  <c r="AO33" i="166"/>
  <c r="AO27" i="166"/>
  <c r="AO22" i="166"/>
  <c r="AO15" i="166"/>
  <c r="AO17" i="166"/>
  <c r="AO46" i="166"/>
  <c r="AO14" i="166"/>
  <c r="AO24" i="166"/>
  <c r="AO23" i="166"/>
  <c r="AO71" i="166"/>
  <c r="AO31" i="166"/>
  <c r="AO67" i="166"/>
  <c r="AO20" i="166"/>
  <c r="AO11" i="166"/>
  <c r="AO58" i="166"/>
  <c r="AO61" i="166"/>
  <c r="AO57" i="166"/>
  <c r="AO43" i="166"/>
  <c r="AO66" i="166"/>
  <c r="AO51" i="166"/>
  <c r="AO65" i="166"/>
  <c r="AO26" i="166"/>
  <c r="AO59" i="166"/>
  <c r="AO9" i="166"/>
  <c r="AO70" i="166"/>
  <c r="AO16" i="166"/>
  <c r="AO45" i="166"/>
  <c r="AO32" i="166"/>
  <c r="AO10" i="166"/>
  <c r="AO55" i="166"/>
  <c r="AO30" i="166"/>
  <c r="AO42" i="166"/>
  <c r="AO25" i="166"/>
  <c r="AO44" i="166"/>
  <c r="AO48" i="166"/>
  <c r="AO68" i="166"/>
  <c r="AT62" i="166"/>
  <c r="AT56" i="166"/>
  <c r="AT46" i="166"/>
  <c r="AT52" i="166"/>
  <c r="AT23" i="166"/>
  <c r="AT36" i="166"/>
  <c r="AT69" i="166"/>
  <c r="AT18" i="166"/>
  <c r="AT43" i="166"/>
  <c r="AT61" i="166"/>
  <c r="AT55" i="166"/>
  <c r="AT19" i="166"/>
  <c r="AT44" i="166"/>
  <c r="AT31" i="166"/>
  <c r="AT68" i="166"/>
  <c r="AT29" i="166"/>
  <c r="AT25" i="166"/>
  <c r="AT11" i="166"/>
  <c r="AT60" i="166"/>
  <c r="AT53" i="166"/>
  <c r="AT26" i="166"/>
  <c r="AT27" i="166"/>
  <c r="AT67" i="166"/>
  <c r="AT48" i="166"/>
  <c r="AT66" i="166"/>
  <c r="AT15" i="166"/>
  <c r="AT28" i="166"/>
  <c r="AT64" i="166"/>
  <c r="AT58" i="166"/>
  <c r="AT51" i="166"/>
  <c r="AT20" i="166"/>
  <c r="AT32" i="166"/>
  <c r="AT71" i="166"/>
  <c r="AT24" i="166"/>
  <c r="AT42" i="166"/>
  <c r="AT10" i="166"/>
  <c r="AT47" i="166"/>
  <c r="AT30" i="166"/>
  <c r="AT16" i="166"/>
  <c r="AT49" i="166"/>
  <c r="AT70" i="166"/>
  <c r="AT9" i="166"/>
  <c r="AT65" i="166"/>
  <c r="AT22" i="166"/>
  <c r="AT12" i="166"/>
  <c r="AT63" i="166"/>
  <c r="AT21" i="166"/>
  <c r="AT45" i="166"/>
  <c r="AT59" i="166"/>
  <c r="AT14" i="166"/>
  <c r="AT33" i="166"/>
  <c r="AT57" i="166"/>
  <c r="AT17" i="166"/>
  <c r="AT13" i="166"/>
  <c r="K79" i="166"/>
  <c r="K46" i="166"/>
  <c r="K85" i="166"/>
  <c r="K11" i="166"/>
  <c r="K66" i="166"/>
  <c r="K27" i="166"/>
  <c r="K56" i="166"/>
  <c r="K12" i="166"/>
  <c r="K57" i="166"/>
  <c r="K10" i="166"/>
  <c r="K70" i="166"/>
  <c r="K36" i="166"/>
  <c r="K45" i="166"/>
  <c r="K20" i="166"/>
  <c r="K19" i="166"/>
  <c r="K31" i="166"/>
  <c r="K9" i="166"/>
  <c r="K26" i="166"/>
  <c r="K65" i="166"/>
  <c r="K28" i="166"/>
  <c r="K71" i="166"/>
  <c r="K25" i="166"/>
  <c r="K52" i="166"/>
  <c r="K63" i="166"/>
  <c r="K48" i="166"/>
  <c r="K78" i="166"/>
  <c r="K22" i="166"/>
  <c r="K64" i="166"/>
  <c r="K67" i="166"/>
  <c r="K30" i="166"/>
  <c r="K24" i="166"/>
  <c r="K51" i="166"/>
  <c r="K42" i="166"/>
  <c r="K17" i="166"/>
  <c r="K59" i="166"/>
  <c r="K15" i="166"/>
  <c r="K33" i="166"/>
  <c r="K58" i="166"/>
  <c r="K61" i="166"/>
  <c r="K23" i="166"/>
  <c r="K43" i="166"/>
  <c r="K62" i="166"/>
  <c r="K60" i="166"/>
  <c r="K69" i="166"/>
  <c r="K29" i="166"/>
  <c r="K32" i="166"/>
  <c r="K47" i="166"/>
  <c r="K44" i="166"/>
  <c r="K18" i="166"/>
  <c r="K21" i="166"/>
  <c r="K68" i="166"/>
  <c r="K74" i="166"/>
  <c r="K55" i="166"/>
  <c r="K16" i="166"/>
  <c r="K14" i="166"/>
  <c r="K72" i="166"/>
  <c r="K82" i="166"/>
  <c r="K13" i="166"/>
  <c r="Y77" i="166"/>
  <c r="Y89" i="166"/>
  <c r="Y81" i="166"/>
  <c r="Y83" i="166" s="1"/>
  <c r="Y84" i="166" s="1"/>
  <c r="Y86" i="166" s="1"/>
  <c r="P79" i="166"/>
  <c r="P72" i="166"/>
  <c r="P32" i="166"/>
  <c r="P82" i="166"/>
  <c r="P45" i="166"/>
  <c r="P19" i="166"/>
  <c r="P55" i="166"/>
  <c r="P47" i="166"/>
  <c r="P51" i="166"/>
  <c r="P17" i="166"/>
  <c r="P23" i="166"/>
  <c r="P69" i="166"/>
  <c r="P31" i="166"/>
  <c r="P26" i="166"/>
  <c r="P58" i="166"/>
  <c r="P74" i="166"/>
  <c r="P57" i="166"/>
  <c r="P14" i="166"/>
  <c r="P61" i="166"/>
  <c r="P66" i="166"/>
  <c r="P33" i="166"/>
  <c r="P25" i="166"/>
  <c r="P42" i="166"/>
  <c r="P13" i="166"/>
  <c r="P68" i="166"/>
  <c r="P30" i="166"/>
  <c r="P22" i="166"/>
  <c r="P43" i="166"/>
  <c r="P10" i="166"/>
  <c r="P59" i="166"/>
  <c r="P12" i="166"/>
  <c r="P63" i="166"/>
  <c r="P48" i="166"/>
  <c r="P78" i="166"/>
  <c r="P67" i="166"/>
  <c r="P29" i="166"/>
  <c r="P21" i="166"/>
  <c r="P52" i="166"/>
  <c r="P46" i="166"/>
  <c r="P11" i="166"/>
  <c r="P9" i="166"/>
  <c r="P65" i="166"/>
  <c r="P64" i="166"/>
  <c r="P27" i="166"/>
  <c r="P44" i="166"/>
  <c r="P56" i="166"/>
  <c r="P71" i="166"/>
  <c r="P53" i="166"/>
  <c r="P28" i="166"/>
  <c r="P20" i="166"/>
  <c r="P60" i="166"/>
  <c r="P15" i="166"/>
  <c r="P36" i="166"/>
  <c r="P24" i="166"/>
  <c r="P85" i="166"/>
  <c r="P18" i="166"/>
  <c r="P70" i="166"/>
  <c r="P62" i="166"/>
  <c r="P16" i="166"/>
  <c r="BS10" i="166"/>
  <c r="BS46" i="166"/>
  <c r="BS55" i="166"/>
  <c r="BS57" i="166"/>
  <c r="BS71" i="166"/>
  <c r="BS32" i="166"/>
  <c r="BS26" i="166"/>
  <c r="BS19" i="166"/>
  <c r="BS21" i="166"/>
  <c r="BS59" i="166"/>
  <c r="BS64" i="166"/>
  <c r="BS56" i="166"/>
  <c r="BS36" i="166"/>
  <c r="BS70" i="166"/>
  <c r="BS31" i="166"/>
  <c r="BS22" i="166"/>
  <c r="BS18" i="166"/>
  <c r="BS13" i="166"/>
  <c r="BS45" i="166"/>
  <c r="BS44" i="166"/>
  <c r="BS9" i="166"/>
  <c r="BS66" i="166"/>
  <c r="BS69" i="166"/>
  <c r="BS30" i="166"/>
  <c r="BS20" i="166"/>
  <c r="BS17" i="166"/>
  <c r="BS24" i="166"/>
  <c r="BS58" i="166"/>
  <c r="BS12" i="166"/>
  <c r="BS23" i="166"/>
  <c r="BS25" i="166"/>
  <c r="BS14" i="166"/>
  <c r="BS43" i="166"/>
  <c r="BS53" i="166"/>
  <c r="BS29" i="166"/>
  <c r="BS67" i="166"/>
  <c r="BS16" i="166"/>
  <c r="BS65" i="166"/>
  <c r="BS60" i="166"/>
  <c r="BS51" i="166"/>
  <c r="BS52" i="166"/>
  <c r="BS48" i="166"/>
  <c r="BS33" i="166"/>
  <c r="BS47" i="166"/>
  <c r="BS63" i="166"/>
  <c r="BS49" i="166"/>
  <c r="BS28" i="166"/>
  <c r="BS68" i="166"/>
  <c r="BS15" i="166"/>
  <c r="BS11" i="166"/>
  <c r="BS42" i="166"/>
  <c r="BS61" i="166"/>
  <c r="BS27" i="166"/>
  <c r="BS62" i="166"/>
  <c r="BD68" i="166"/>
  <c r="BD31" i="166"/>
  <c r="BD26" i="166"/>
  <c r="BD16" i="166"/>
  <c r="BD65" i="166"/>
  <c r="BD11" i="166"/>
  <c r="BD62" i="166"/>
  <c r="BD51" i="166"/>
  <c r="BD52" i="166"/>
  <c r="BD67" i="166"/>
  <c r="BD30" i="166"/>
  <c r="BD22" i="166"/>
  <c r="BD12" i="166"/>
  <c r="BD44" i="166"/>
  <c r="BD14" i="166"/>
  <c r="BD42" i="166"/>
  <c r="BD23" i="166"/>
  <c r="BD48" i="166"/>
  <c r="BD71" i="166"/>
  <c r="BD66" i="166"/>
  <c r="BD29" i="166"/>
  <c r="BD20" i="166"/>
  <c r="BD19" i="166"/>
  <c r="BD25" i="166"/>
  <c r="BD36" i="166"/>
  <c r="BD56" i="166"/>
  <c r="BD45" i="166"/>
  <c r="BD70" i="166"/>
  <c r="BD53" i="166"/>
  <c r="BD28" i="166"/>
  <c r="BD18" i="166"/>
  <c r="BD17" i="166"/>
  <c r="BD43" i="166"/>
  <c r="BD55" i="166"/>
  <c r="BD46" i="166"/>
  <c r="BD59" i="166"/>
  <c r="BD69" i="166"/>
  <c r="BD33" i="166"/>
  <c r="BD27" i="166"/>
  <c r="BD15" i="166"/>
  <c r="BD9" i="166"/>
  <c r="BD63" i="166"/>
  <c r="BD57" i="166"/>
  <c r="BD58" i="166"/>
  <c r="BD61" i="166"/>
  <c r="BD49" i="166"/>
  <c r="BD24" i="166"/>
  <c r="BD32" i="166"/>
  <c r="BD47" i="166"/>
  <c r="BD21" i="166"/>
  <c r="BD13" i="166"/>
  <c r="BD10" i="166"/>
  <c r="BD64" i="166"/>
  <c r="BD60" i="166"/>
  <c r="CC12" i="166"/>
  <c r="CC33" i="166"/>
  <c r="CC43" i="166"/>
  <c r="CC64" i="166"/>
  <c r="CC66" i="166"/>
  <c r="CC18" i="166"/>
  <c r="CC60" i="166"/>
  <c r="CC62" i="166"/>
  <c r="CC17" i="166"/>
  <c r="CC31" i="166"/>
  <c r="CC48" i="166"/>
  <c r="CC63" i="166"/>
  <c r="CC65" i="166"/>
  <c r="CC26" i="166"/>
  <c r="CC32" i="166"/>
  <c r="CC47" i="166"/>
  <c r="CC44" i="166"/>
  <c r="CC14" i="166"/>
  <c r="CC10" i="166"/>
  <c r="CC52" i="166"/>
  <c r="CC55" i="166"/>
  <c r="CC28" i="166"/>
  <c r="CC36" i="166"/>
  <c r="CC46" i="166"/>
  <c r="CC19" i="166"/>
  <c r="CC29" i="166"/>
  <c r="CC69" i="166"/>
  <c r="CC16" i="166"/>
  <c r="CC68" i="166"/>
  <c r="CC53" i="166"/>
  <c r="CC11" i="166"/>
  <c r="CC9" i="166"/>
  <c r="CC25" i="166"/>
  <c r="CC51" i="166"/>
  <c r="CC59" i="166"/>
  <c r="CC13" i="166"/>
  <c r="CC27" i="166"/>
  <c r="CC42" i="166"/>
  <c r="CC15" i="166"/>
  <c r="CC71" i="166"/>
  <c r="CC56" i="166"/>
  <c r="CC22" i="166"/>
  <c r="CC24" i="166"/>
  <c r="CC67" i="166"/>
  <c r="CC57" i="166"/>
  <c r="CC58" i="166"/>
  <c r="CC49" i="166"/>
  <c r="CC23" i="166"/>
  <c r="CC45" i="166"/>
  <c r="CC20" i="166"/>
  <c r="CC21" i="166"/>
  <c r="CC70" i="166"/>
  <c r="CC30" i="166"/>
  <c r="CC61" i="166"/>
  <c r="AJ52" i="166"/>
  <c r="AJ51" i="166"/>
  <c r="AJ32" i="166"/>
  <c r="AJ69" i="166"/>
  <c r="AJ71" i="166"/>
  <c r="AJ56" i="166"/>
  <c r="AJ63" i="166"/>
  <c r="AJ12" i="166"/>
  <c r="AJ60" i="166"/>
  <c r="AJ44" i="166"/>
  <c r="AJ43" i="166"/>
  <c r="AJ59" i="166"/>
  <c r="AJ30" i="166"/>
  <c r="AJ11" i="166"/>
  <c r="AJ62" i="166"/>
  <c r="AJ10" i="166"/>
  <c r="AJ67" i="166"/>
  <c r="AJ29" i="166"/>
  <c r="AJ36" i="166"/>
  <c r="AJ49" i="166"/>
  <c r="AJ65" i="166"/>
  <c r="AJ16" i="166"/>
  <c r="AJ58" i="166"/>
  <c r="AJ20" i="166"/>
  <c r="AJ31" i="166"/>
  <c r="AJ45" i="166"/>
  <c r="AJ33" i="166"/>
  <c r="AJ25" i="166"/>
  <c r="AJ47" i="166"/>
  <c r="AJ27" i="166"/>
  <c r="AJ42" i="166"/>
  <c r="AJ14" i="166"/>
  <c r="AJ46" i="166"/>
  <c r="AJ19" i="166"/>
  <c r="AJ64" i="166"/>
  <c r="AJ18" i="166"/>
  <c r="AJ24" i="166"/>
  <c r="AJ21" i="166"/>
  <c r="AJ48" i="166"/>
  <c r="AJ61" i="166"/>
  <c r="AJ15" i="166"/>
  <c r="AJ17" i="166"/>
  <c r="AJ26" i="166"/>
  <c r="AJ28" i="166"/>
  <c r="AJ68" i="166"/>
  <c r="AJ23" i="166"/>
  <c r="AJ57" i="166"/>
  <c r="AJ13" i="166"/>
  <c r="AJ9" i="166"/>
  <c r="AJ22" i="166"/>
  <c r="AJ66" i="166"/>
  <c r="AJ70" i="166"/>
  <c r="AJ53" i="166"/>
  <c r="AJ55" i="166"/>
  <c r="C36" i="101" l="1"/>
  <c r="C96" i="101" l="1"/>
  <c r="C78" i="101"/>
  <c r="C75" i="101" s="1"/>
  <c r="C91" i="101"/>
  <c r="I23" i="101" l="1"/>
  <c r="E23" i="101"/>
  <c r="S79" i="142" l="1"/>
  <c r="CJ79" i="129"/>
  <c r="CE79" i="129"/>
  <c r="DD79" i="100"/>
  <c r="CT79" i="121"/>
  <c r="CO79" i="121"/>
  <c r="CV79" i="121" l="1"/>
  <c r="CT77" i="121"/>
  <c r="CT81" i="121"/>
  <c r="CT83" i="121" s="1"/>
  <c r="CT84" i="121" s="1"/>
  <c r="CT86" i="121" s="1"/>
  <c r="CT87" i="121" s="1"/>
  <c r="CO77" i="121"/>
  <c r="CQ79" i="121"/>
  <c r="CO81" i="121"/>
  <c r="CO83" i="121" s="1"/>
  <c r="CO84" i="121" s="1"/>
  <c r="CO86" i="121" s="1"/>
  <c r="CO87" i="121" s="1"/>
  <c r="S77" i="142"/>
  <c r="S89" i="142"/>
  <c r="S81" i="142"/>
  <c r="S83" i="142" s="1"/>
  <c r="S84" i="142" s="1"/>
  <c r="S86" i="142" s="1"/>
  <c r="S87" i="142" s="1"/>
  <c r="DF79" i="100"/>
  <c r="DD77" i="100"/>
  <c r="DD81" i="100"/>
  <c r="DD83" i="100" s="1"/>
  <c r="DD84" i="100" s="1"/>
  <c r="DD86" i="100" s="1"/>
  <c r="DD87" i="100" s="1"/>
  <c r="CG79" i="129"/>
  <c r="CE77" i="129"/>
  <c r="DD79" i="125"/>
  <c r="CE81" i="129"/>
  <c r="CE83" i="129" s="1"/>
  <c r="CE84" i="129" s="1"/>
  <c r="CE86" i="129" s="1"/>
  <c r="CE87" i="129" s="1"/>
  <c r="CJ77" i="129"/>
  <c r="CL79" i="129"/>
  <c r="CJ81" i="129"/>
  <c r="CJ83" i="129" s="1"/>
  <c r="CJ84" i="129" s="1"/>
  <c r="CJ86" i="129" s="1"/>
  <c r="CJ87" i="129" s="1"/>
  <c r="DI79" i="125"/>
  <c r="BF79" i="106"/>
  <c r="BF79" i="100"/>
  <c r="DI77" i="125" l="1"/>
  <c r="DK79" i="125"/>
  <c r="DI81" i="125"/>
  <c r="DI83" i="125" s="1"/>
  <c r="DI84" i="125" s="1"/>
  <c r="DI86" i="125" s="1"/>
  <c r="DI87" i="125" s="1"/>
  <c r="CQ77" i="121"/>
  <c r="CQ89" i="121"/>
  <c r="CQ91" i="121" s="1"/>
  <c r="CQ81" i="121"/>
  <c r="CQ83" i="121" s="1"/>
  <c r="CQ84" i="121" s="1"/>
  <c r="CQ86" i="121" s="1"/>
  <c r="CQ87" i="121" s="1"/>
  <c r="DF79" i="125"/>
  <c r="DD77" i="125"/>
  <c r="DD81" i="125"/>
  <c r="DD83" i="125" s="1"/>
  <c r="DD84" i="125" s="1"/>
  <c r="DD86" i="125" s="1"/>
  <c r="DD87" i="125" s="1"/>
  <c r="CG77" i="129"/>
  <c r="CG89" i="129"/>
  <c r="CG91" i="129" s="1"/>
  <c r="CG81" i="129"/>
  <c r="CG83" i="129" s="1"/>
  <c r="CG84" i="129" s="1"/>
  <c r="CG86" i="129" s="1"/>
  <c r="CG87" i="129" s="1"/>
  <c r="BG91" i="106"/>
  <c r="BF77" i="106"/>
  <c r="BH79" i="106"/>
  <c r="BA79" i="106"/>
  <c r="BF81" i="106"/>
  <c r="BF83" i="106" s="1"/>
  <c r="BF84" i="106" s="1"/>
  <c r="BF86" i="106" s="1"/>
  <c r="BF87" i="106" s="1"/>
  <c r="CL77" i="129"/>
  <c r="CL89" i="129"/>
  <c r="CL91" i="129" s="1"/>
  <c r="CL81" i="129"/>
  <c r="CL83" i="129" s="1"/>
  <c r="CL84" i="129" s="1"/>
  <c r="CL86" i="129" s="1"/>
  <c r="CL87" i="129" s="1"/>
  <c r="DF77" i="100"/>
  <c r="DF89" i="100"/>
  <c r="DF91" i="100" s="1"/>
  <c r="DF81" i="100"/>
  <c r="DF83" i="100" s="1"/>
  <c r="DF84" i="100" s="1"/>
  <c r="DF86" i="100" s="1"/>
  <c r="DF87" i="100" s="1"/>
  <c r="T20" i="142"/>
  <c r="T62" i="142"/>
  <c r="T24" i="142"/>
  <c r="T14" i="142"/>
  <c r="T43" i="142"/>
  <c r="T54" i="142"/>
  <c r="T22" i="142"/>
  <c r="T55" i="142"/>
  <c r="T25" i="142"/>
  <c r="T41" i="142"/>
  <c r="T17" i="142"/>
  <c r="T10" i="142"/>
  <c r="T42" i="142"/>
  <c r="T26" i="142"/>
  <c r="T59" i="142"/>
  <c r="T32" i="142"/>
  <c r="T11" i="142"/>
  <c r="T67" i="142"/>
  <c r="T73" i="142"/>
  <c r="T66" i="142"/>
  <c r="T18" i="142"/>
  <c r="T28" i="142"/>
  <c r="T64" i="142"/>
  <c r="T60" i="142"/>
  <c r="T70" i="142"/>
  <c r="T74" i="142"/>
  <c r="T56" i="142"/>
  <c r="T21" i="142"/>
  <c r="T33" i="142"/>
  <c r="T51" i="142"/>
  <c r="T52" i="142"/>
  <c r="T12" i="142"/>
  <c r="T69" i="142"/>
  <c r="T8" i="142"/>
  <c r="T61" i="142"/>
  <c r="T71" i="142"/>
  <c r="T29" i="142"/>
  <c r="T27" i="142"/>
  <c r="T46" i="142"/>
  <c r="T13" i="142"/>
  <c r="T19" i="142"/>
  <c r="T48" i="142"/>
  <c r="T16" i="142"/>
  <c r="T31" i="142"/>
  <c r="T63" i="142"/>
  <c r="T30" i="142"/>
  <c r="T45" i="142"/>
  <c r="T47" i="142"/>
  <c r="T68" i="142"/>
  <c r="T44" i="142"/>
  <c r="T23" i="142"/>
  <c r="T36" i="142"/>
  <c r="T57" i="142"/>
  <c r="T35" i="142"/>
  <c r="T58" i="142"/>
  <c r="T9" i="142"/>
  <c r="T65" i="142"/>
  <c r="T15" i="142"/>
  <c r="T50" i="142"/>
  <c r="BH79" i="100"/>
  <c r="BF77" i="100"/>
  <c r="BF81" i="100"/>
  <c r="BF83" i="100" s="1"/>
  <c r="BF84" i="100" s="1"/>
  <c r="BF86" i="100" s="1"/>
  <c r="BF87" i="100" s="1"/>
  <c r="T79" i="142"/>
  <c r="AG77" i="129"/>
  <c r="AI79" i="129"/>
  <c r="AG81" i="129"/>
  <c r="AG83" i="129" s="1"/>
  <c r="AG84" i="129" s="1"/>
  <c r="AG86" i="129" s="1"/>
  <c r="AG87" i="129" s="1"/>
  <c r="T77" i="142"/>
  <c r="CV77" i="121"/>
  <c r="CV89" i="121"/>
  <c r="CV91" i="121" s="1"/>
  <c r="CV81" i="121"/>
  <c r="CV83" i="121" s="1"/>
  <c r="CV84" i="121" s="1"/>
  <c r="CV86" i="121" s="1"/>
  <c r="CV87" i="121" s="1"/>
  <c r="BH89" i="106" l="1"/>
  <c r="BH81" i="106"/>
  <c r="BH83" i="106" s="1"/>
  <c r="BH84" i="106" s="1"/>
  <c r="BH86" i="106" s="1"/>
  <c r="DK77" i="125"/>
  <c r="DK89" i="125"/>
  <c r="DK91" i="125" s="1"/>
  <c r="DK81" i="125"/>
  <c r="DK83" i="125" s="1"/>
  <c r="DK84" i="125" s="1"/>
  <c r="DK86" i="125" s="1"/>
  <c r="DK87" i="125" s="1"/>
  <c r="AI77" i="129"/>
  <c r="AI89" i="129"/>
  <c r="AI81" i="129"/>
  <c r="AI83" i="129" s="1"/>
  <c r="AI84" i="129" s="1"/>
  <c r="AI86" i="129" s="1"/>
  <c r="AI87" i="129" s="1"/>
  <c r="BH77" i="100"/>
  <c r="BH89" i="100"/>
  <c r="BH81" i="100"/>
  <c r="BH83" i="100" s="1"/>
  <c r="BH84" i="100" s="1"/>
  <c r="BH86" i="100" s="1"/>
  <c r="BH87" i="100" s="1"/>
  <c r="BA77" i="106"/>
  <c r="BA81" i="106"/>
  <c r="BA83" i="106" s="1"/>
  <c r="BA84" i="106" s="1"/>
  <c r="BA86" i="106" s="1"/>
  <c r="BA87" i="106" s="1"/>
  <c r="BC79" i="106"/>
  <c r="BH77" i="106"/>
  <c r="DF77" i="125"/>
  <c r="DF89" i="125"/>
  <c r="DF91" i="125" s="1"/>
  <c r="DF81" i="125"/>
  <c r="DF83" i="125" s="1"/>
  <c r="DF84" i="125" s="1"/>
  <c r="DF86" i="125" s="1"/>
  <c r="DF87" i="125" s="1"/>
  <c r="BC81" i="106" l="1"/>
  <c r="BC83" i="106" s="1"/>
  <c r="BC89" i="106"/>
  <c r="BC93" i="106" s="1"/>
  <c r="BH93" i="106"/>
  <c r="BH87" i="106"/>
  <c r="BC77" i="106"/>
  <c r="AI91" i="129"/>
  <c r="BC90" i="106" l="1"/>
  <c r="BC84" i="106"/>
  <c r="BC86" i="106" s="1"/>
  <c r="BC87" i="106" s="1"/>
  <c r="BH94" i="106"/>
  <c r="BC91" i="106"/>
  <c r="N85" i="142" l="1"/>
  <c r="N82" i="142"/>
  <c r="O78" i="142"/>
  <c r="N78" i="142"/>
  <c r="M77" i="142"/>
  <c r="L77" i="142"/>
  <c r="N74" i="142"/>
  <c r="N73" i="142"/>
  <c r="M73" i="142"/>
  <c r="L73" i="142"/>
  <c r="N71" i="142"/>
  <c r="N70" i="142"/>
  <c r="N69" i="142"/>
  <c r="N68" i="142"/>
  <c r="N67" i="142"/>
  <c r="N66" i="142"/>
  <c r="N65" i="142"/>
  <c r="N64" i="142"/>
  <c r="N63" i="142"/>
  <c r="N62" i="142"/>
  <c r="N61" i="142"/>
  <c r="N60" i="142"/>
  <c r="N59" i="142"/>
  <c r="N58" i="142"/>
  <c r="N57" i="142"/>
  <c r="N56" i="142"/>
  <c r="N55" i="142"/>
  <c r="M54" i="142"/>
  <c r="L54" i="142"/>
  <c r="N52" i="142"/>
  <c r="N51" i="142"/>
  <c r="M50" i="142"/>
  <c r="L50" i="142"/>
  <c r="N48" i="142"/>
  <c r="N47" i="142"/>
  <c r="N46" i="142"/>
  <c r="N45" i="142"/>
  <c r="N44" i="142"/>
  <c r="N43" i="142"/>
  <c r="N42" i="142"/>
  <c r="M41" i="142"/>
  <c r="L41" i="142"/>
  <c r="N36" i="142"/>
  <c r="N35" i="142" s="1"/>
  <c r="N33" i="142"/>
  <c r="N32" i="142"/>
  <c r="N31" i="142"/>
  <c r="N30" i="142"/>
  <c r="N29" i="142"/>
  <c r="N28" i="142"/>
  <c r="N27" i="142"/>
  <c r="N26" i="142"/>
  <c r="N25" i="142"/>
  <c r="N24" i="142"/>
  <c r="N23" i="142"/>
  <c r="N22" i="142"/>
  <c r="N21" i="142"/>
  <c r="N20" i="142"/>
  <c r="N19" i="142"/>
  <c r="N18" i="142"/>
  <c r="N17" i="142"/>
  <c r="N16" i="142"/>
  <c r="N15" i="142"/>
  <c r="N14" i="142"/>
  <c r="N13" i="142"/>
  <c r="N12" i="142"/>
  <c r="N11" i="142"/>
  <c r="N10" i="142"/>
  <c r="N9" i="142"/>
  <c r="M8" i="142"/>
  <c r="L8" i="142"/>
  <c r="N7" i="142"/>
  <c r="N6" i="142"/>
  <c r="M5" i="142"/>
  <c r="L5" i="142"/>
  <c r="N79" i="142" l="1"/>
  <c r="N41" i="142"/>
  <c r="N54" i="142"/>
  <c r="N5" i="142"/>
  <c r="L38" i="142"/>
  <c r="L39" i="142" s="1"/>
  <c r="N77" i="142"/>
  <c r="L75" i="142"/>
  <c r="M38" i="142"/>
  <c r="N8" i="142"/>
  <c r="N50" i="142"/>
  <c r="BV85" i="114"/>
  <c r="BU85" i="114"/>
  <c r="BV82" i="114"/>
  <c r="BU82" i="114"/>
  <c r="BV79" i="114"/>
  <c r="BU79" i="114"/>
  <c r="BV78" i="114"/>
  <c r="BU78" i="114"/>
  <c r="BV74" i="114"/>
  <c r="BU74" i="114"/>
  <c r="BV71" i="114"/>
  <c r="BU71" i="114"/>
  <c r="BV70" i="114"/>
  <c r="BU70" i="114"/>
  <c r="BV69" i="114"/>
  <c r="BU69" i="114"/>
  <c r="BV68" i="114"/>
  <c r="BU68" i="114"/>
  <c r="BV67" i="114"/>
  <c r="BU67" i="114"/>
  <c r="BV66" i="114"/>
  <c r="BU66" i="114"/>
  <c r="BV65" i="114"/>
  <c r="BU65" i="114"/>
  <c r="BV64" i="114"/>
  <c r="BU64" i="114"/>
  <c r="BV63" i="114"/>
  <c r="BU63" i="114"/>
  <c r="BV62" i="114"/>
  <c r="BU62" i="114"/>
  <c r="BV61" i="114"/>
  <c r="BU61" i="114"/>
  <c r="BV60" i="114"/>
  <c r="BU60" i="114"/>
  <c r="BV59" i="114"/>
  <c r="BU59" i="114"/>
  <c r="BV58" i="114"/>
  <c r="BU58" i="114"/>
  <c r="BV57" i="114"/>
  <c r="BU57" i="114"/>
  <c r="BV56" i="114"/>
  <c r="BU56" i="114"/>
  <c r="BV55" i="114"/>
  <c r="BU55" i="114"/>
  <c r="BV52" i="114"/>
  <c r="BU52" i="114"/>
  <c r="BV51" i="114"/>
  <c r="BU51" i="114"/>
  <c r="BV48" i="114"/>
  <c r="BU48" i="114"/>
  <c r="BV47" i="114"/>
  <c r="BU47" i="114"/>
  <c r="BV46" i="114"/>
  <c r="BU46" i="114"/>
  <c r="BV45" i="114"/>
  <c r="BV44" i="114"/>
  <c r="BU44" i="114"/>
  <c r="BV43" i="114"/>
  <c r="BU43" i="114"/>
  <c r="BV42" i="114"/>
  <c r="BU42" i="114"/>
  <c r="BV36" i="114"/>
  <c r="BU36" i="114"/>
  <c r="BV33" i="114"/>
  <c r="BU33" i="114"/>
  <c r="BV32" i="114"/>
  <c r="BU32" i="114"/>
  <c r="BV31" i="114"/>
  <c r="BU31" i="114"/>
  <c r="BV30" i="114"/>
  <c r="BU30" i="114"/>
  <c r="BV29" i="114"/>
  <c r="BU29" i="114"/>
  <c r="BV28" i="114"/>
  <c r="BU28" i="114"/>
  <c r="BV27" i="114"/>
  <c r="BU27" i="114"/>
  <c r="BV26" i="114"/>
  <c r="BV25" i="114"/>
  <c r="BV24" i="114"/>
  <c r="BU24" i="114"/>
  <c r="BV23" i="114"/>
  <c r="BU23" i="114"/>
  <c r="BV22" i="114"/>
  <c r="BV21" i="114"/>
  <c r="BU21" i="114"/>
  <c r="BV20" i="114"/>
  <c r="BU20" i="114"/>
  <c r="BV19" i="114"/>
  <c r="BU19" i="114"/>
  <c r="BV18" i="114"/>
  <c r="BU18" i="114"/>
  <c r="BV17" i="114"/>
  <c r="BU17" i="114"/>
  <c r="BU16" i="114"/>
  <c r="BV15" i="114"/>
  <c r="BU15" i="114"/>
  <c r="BV14" i="114"/>
  <c r="BU14" i="114"/>
  <c r="BV13" i="114"/>
  <c r="BU13" i="114"/>
  <c r="BV12" i="114"/>
  <c r="BU12" i="114"/>
  <c r="BV11" i="114"/>
  <c r="BU11" i="114"/>
  <c r="BV10" i="114"/>
  <c r="BU10" i="114"/>
  <c r="BV9" i="114"/>
  <c r="BU9" i="114"/>
  <c r="BV7" i="114"/>
  <c r="BU7" i="114"/>
  <c r="BV6" i="114"/>
  <c r="BR85" i="114"/>
  <c r="BR82" i="114"/>
  <c r="BR78" i="114"/>
  <c r="BQ77" i="114"/>
  <c r="BP77" i="114"/>
  <c r="BR74" i="114"/>
  <c r="BQ73" i="114"/>
  <c r="BP73" i="114"/>
  <c r="BR71" i="114"/>
  <c r="BR70" i="114"/>
  <c r="BR69" i="114"/>
  <c r="BR68" i="114"/>
  <c r="BR67" i="114"/>
  <c r="BR66" i="114"/>
  <c r="BR65" i="114"/>
  <c r="BR64" i="114"/>
  <c r="BR63" i="114"/>
  <c r="BR62" i="114"/>
  <c r="BR61" i="114"/>
  <c r="BR60" i="114"/>
  <c r="BR59" i="114"/>
  <c r="BR58" i="114"/>
  <c r="BR57" i="114"/>
  <c r="BR56" i="114"/>
  <c r="BR55" i="114"/>
  <c r="BQ54" i="114"/>
  <c r="BP54" i="114"/>
  <c r="BR52" i="114"/>
  <c r="BR51" i="114"/>
  <c r="BR50" i="114" s="1"/>
  <c r="BQ50" i="114"/>
  <c r="BP50" i="114"/>
  <c r="BR48" i="114"/>
  <c r="BR47" i="114"/>
  <c r="BR46" i="114"/>
  <c r="BR45" i="114"/>
  <c r="BR44" i="114"/>
  <c r="BR43" i="114"/>
  <c r="BR42" i="114"/>
  <c r="BR41" i="114" s="1"/>
  <c r="BQ41" i="114"/>
  <c r="BP41" i="114"/>
  <c r="BR36" i="114"/>
  <c r="BR35" i="114" s="1"/>
  <c r="BR33" i="114"/>
  <c r="BR32" i="114"/>
  <c r="BR31" i="114"/>
  <c r="BR30" i="114"/>
  <c r="BR29" i="114"/>
  <c r="BR28" i="114"/>
  <c r="BR27" i="114"/>
  <c r="BR26" i="114"/>
  <c r="BR25" i="114"/>
  <c r="BR24" i="114"/>
  <c r="BR23" i="114"/>
  <c r="BR22" i="114"/>
  <c r="BR21" i="114"/>
  <c r="BR20" i="114"/>
  <c r="BR19" i="114"/>
  <c r="BR18" i="114"/>
  <c r="BR17" i="114"/>
  <c r="BR16" i="114"/>
  <c r="BR15" i="114"/>
  <c r="BR14" i="114"/>
  <c r="BR13" i="114"/>
  <c r="BR12" i="114"/>
  <c r="BR11" i="114"/>
  <c r="BR10" i="114"/>
  <c r="BR9" i="114"/>
  <c r="BR8" i="114"/>
  <c r="BP8" i="114"/>
  <c r="BP38" i="114" s="1"/>
  <c r="BR7" i="114"/>
  <c r="BR6" i="114"/>
  <c r="BR5" i="114" s="1"/>
  <c r="BQ5" i="114"/>
  <c r="BP5" i="114"/>
  <c r="L81" i="142" l="1"/>
  <c r="L83" i="142" s="1"/>
  <c r="L84" i="142" s="1"/>
  <c r="L86" i="142" s="1"/>
  <c r="L87" i="142" s="1"/>
  <c r="L76" i="142"/>
  <c r="N89" i="142"/>
  <c r="N38" i="142"/>
  <c r="M75" i="142"/>
  <c r="M39" i="142"/>
  <c r="BR38" i="114"/>
  <c r="BR39" i="114"/>
  <c r="BR54" i="114"/>
  <c r="BR75" i="114" s="1"/>
  <c r="BR73" i="114"/>
  <c r="BP75" i="114"/>
  <c r="BP39" i="114"/>
  <c r="BQ8" i="114"/>
  <c r="BR79" i="114" s="1"/>
  <c r="BR89" i="114" l="1"/>
  <c r="BS50" i="114" s="1"/>
  <c r="O8" i="142"/>
  <c r="O77" i="142"/>
  <c r="M81" i="142"/>
  <c r="M83" i="142" s="1"/>
  <c r="M84" i="142" s="1"/>
  <c r="M86" i="142" s="1"/>
  <c r="M87" i="142" s="1"/>
  <c r="M76" i="142"/>
  <c r="O27" i="142"/>
  <c r="O33" i="142"/>
  <c r="O21" i="142"/>
  <c r="O74" i="142"/>
  <c r="O71" i="142"/>
  <c r="O68" i="142"/>
  <c r="O65" i="142"/>
  <c r="O62" i="142"/>
  <c r="O59" i="142"/>
  <c r="O56" i="142"/>
  <c r="O30" i="142"/>
  <c r="O24" i="142"/>
  <c r="O79" i="142"/>
  <c r="O47" i="142"/>
  <c r="O10" i="142"/>
  <c r="O46" i="142"/>
  <c r="O70" i="142"/>
  <c r="O28" i="142"/>
  <c r="O23" i="142"/>
  <c r="O18" i="142"/>
  <c r="O67" i="142"/>
  <c r="O13" i="142"/>
  <c r="O41" i="142"/>
  <c r="O64" i="142"/>
  <c r="O9" i="142"/>
  <c r="O35" i="142"/>
  <c r="O29" i="142"/>
  <c r="O45" i="142"/>
  <c r="O43" i="142"/>
  <c r="O58" i="142"/>
  <c r="O19" i="142"/>
  <c r="O44" i="142"/>
  <c r="O14" i="142"/>
  <c r="O25" i="142"/>
  <c r="O61" i="142"/>
  <c r="O22" i="142"/>
  <c r="O48" i="142"/>
  <c r="O54" i="142"/>
  <c r="O36" i="142"/>
  <c r="O51" i="142"/>
  <c r="O55" i="142"/>
  <c r="O20" i="142"/>
  <c r="O60" i="142"/>
  <c r="O57" i="142"/>
  <c r="O26" i="142"/>
  <c r="O15" i="142"/>
  <c r="O31" i="142"/>
  <c r="O66" i="142"/>
  <c r="O11" i="142"/>
  <c r="O73" i="142"/>
  <c r="O63" i="142"/>
  <c r="O32" i="142"/>
  <c r="O42" i="142"/>
  <c r="O52" i="142"/>
  <c r="O16" i="142"/>
  <c r="O17" i="142"/>
  <c r="O12" i="142"/>
  <c r="O69" i="142"/>
  <c r="N39" i="142"/>
  <c r="N75" i="142"/>
  <c r="O50" i="142"/>
  <c r="BP76" i="114"/>
  <c r="BP81" i="114"/>
  <c r="BP83" i="114" s="1"/>
  <c r="BP84" i="114" s="1"/>
  <c r="BP86" i="114" s="1"/>
  <c r="BP87" i="114" s="1"/>
  <c r="BR77" i="114"/>
  <c r="BR76" i="114"/>
  <c r="BR81" i="114"/>
  <c r="BR83" i="114" s="1"/>
  <c r="BR84" i="114" s="1"/>
  <c r="BR86" i="114" s="1"/>
  <c r="BR87" i="114" s="1"/>
  <c r="BQ38" i="114"/>
  <c r="BS52" i="114" l="1"/>
  <c r="BS44" i="114"/>
  <c r="BS70" i="114"/>
  <c r="BS25" i="114"/>
  <c r="BS9" i="114"/>
  <c r="BS16" i="114"/>
  <c r="BS41" i="114"/>
  <c r="BS73" i="114"/>
  <c r="BS54" i="114"/>
  <c r="BS13" i="114"/>
  <c r="BS32" i="114"/>
  <c r="BS42" i="114"/>
  <c r="BS20" i="114"/>
  <c r="BS43" i="114"/>
  <c r="BS15" i="114"/>
  <c r="BS12" i="114"/>
  <c r="BS47" i="114"/>
  <c r="BS18" i="114"/>
  <c r="BS74" i="114"/>
  <c r="BS8" i="114"/>
  <c r="BS59" i="114"/>
  <c r="BS57" i="114"/>
  <c r="BS67" i="114"/>
  <c r="BS63" i="114"/>
  <c r="BS36" i="114"/>
  <c r="BS30" i="114"/>
  <c r="BS45" i="114"/>
  <c r="BS17" i="114"/>
  <c r="BS22" i="114"/>
  <c r="BS26" i="114"/>
  <c r="BS31" i="114"/>
  <c r="BS48" i="114"/>
  <c r="BS61" i="114"/>
  <c r="BS11" i="114"/>
  <c r="BS21" i="114"/>
  <c r="BS68" i="114"/>
  <c r="BS77" i="114"/>
  <c r="BS33" i="114"/>
  <c r="BS19" i="114"/>
  <c r="BS55" i="114"/>
  <c r="BS51" i="114"/>
  <c r="BS14" i="114"/>
  <c r="BS65" i="114"/>
  <c r="BS23" i="114"/>
  <c r="BS71" i="114"/>
  <c r="BS24" i="114"/>
  <c r="BS27" i="114"/>
  <c r="BS10" i="114"/>
  <c r="BS28" i="114"/>
  <c r="BS64" i="114"/>
  <c r="BS29" i="114"/>
  <c r="BS56" i="114"/>
  <c r="BS60" i="114"/>
  <c r="BS62" i="114"/>
  <c r="BS66" i="114"/>
  <c r="BS69" i="114"/>
  <c r="BS79" i="114"/>
  <c r="BS58" i="114"/>
  <c r="BS35" i="114"/>
  <c r="BS46" i="114"/>
  <c r="N76" i="142"/>
  <c r="N81" i="142"/>
  <c r="N83" i="142" s="1"/>
  <c r="N84" i="142" s="1"/>
  <c r="N86" i="142" s="1"/>
  <c r="N87" i="142" s="1"/>
  <c r="BQ75" i="114"/>
  <c r="BQ39" i="114"/>
  <c r="Z61" i="101"/>
  <c r="Z60" i="101" s="1"/>
  <c r="O63" i="101"/>
  <c r="C63" i="101" s="1"/>
  <c r="E36" i="101" s="1"/>
  <c r="G34" i="101"/>
  <c r="C62" i="101"/>
  <c r="C53" i="101"/>
  <c r="U61" i="101"/>
  <c r="AC60" i="101"/>
  <c r="Z55" i="101"/>
  <c r="AC43" i="101"/>
  <c r="AC52" i="101"/>
  <c r="AC55" i="101"/>
  <c r="Z57" i="101"/>
  <c r="C57" i="101" s="1"/>
  <c r="Z52" i="101"/>
  <c r="Z43" i="101"/>
  <c r="AC42" i="101" l="1"/>
  <c r="BQ81" i="114"/>
  <c r="BQ83" i="114" s="1"/>
  <c r="BQ84" i="114" s="1"/>
  <c r="BQ86" i="114" s="1"/>
  <c r="BQ87" i="114" s="1"/>
  <c r="BQ76" i="114"/>
  <c r="Z42" i="101"/>
  <c r="G36" i="101" l="1"/>
  <c r="G33" i="101" s="1"/>
  <c r="Y61" i="101" l="1"/>
  <c r="Y60" i="101" s="1"/>
  <c r="Y58" i="101"/>
  <c r="Y55" i="101" s="1"/>
  <c r="Y43" i="101"/>
  <c r="Y52" i="101"/>
  <c r="K21" i="101"/>
  <c r="M21" i="101" s="1"/>
  <c r="E21" i="101"/>
  <c r="I21" i="101"/>
  <c r="BZ79" i="129" s="1"/>
  <c r="CB79" i="129" l="1"/>
  <c r="BZ77" i="129"/>
  <c r="BZ81" i="129"/>
  <c r="BZ83" i="129" s="1"/>
  <c r="BZ84" i="129" s="1"/>
  <c r="BZ86" i="129" s="1"/>
  <c r="BZ87" i="129" s="1"/>
  <c r="CY79" i="125"/>
  <c r="C79" i="166"/>
  <c r="DI79" i="82"/>
  <c r="Y42" i="101"/>
  <c r="C2" i="101"/>
  <c r="CY77" i="125" l="1"/>
  <c r="DA79" i="125"/>
  <c r="CY81" i="125"/>
  <c r="CY83" i="125" s="1"/>
  <c r="CY84" i="125" s="1"/>
  <c r="CY86" i="125" s="1"/>
  <c r="CY87" i="125" s="1"/>
  <c r="DI77" i="82"/>
  <c r="DK79" i="82"/>
  <c r="DI81" i="82"/>
  <c r="DI83" i="82" s="1"/>
  <c r="DI84" i="82" s="1"/>
  <c r="DI86" i="82" s="1"/>
  <c r="DI87" i="82" s="1"/>
  <c r="E79" i="166"/>
  <c r="C77" i="166"/>
  <c r="C81" i="166"/>
  <c r="C83" i="166" s="1"/>
  <c r="C84" i="166" s="1"/>
  <c r="R79" i="166"/>
  <c r="CJ79" i="166"/>
  <c r="CB77" i="129"/>
  <c r="CB89" i="129"/>
  <c r="CB91" i="129" s="1"/>
  <c r="CB81" i="129"/>
  <c r="CB83" i="129" s="1"/>
  <c r="CB84" i="129" s="1"/>
  <c r="CB86" i="129" s="1"/>
  <c r="CB87" i="129" s="1"/>
  <c r="DK77" i="82" l="1"/>
  <c r="DK89" i="82"/>
  <c r="DK91" i="82" s="1"/>
  <c r="DK81" i="82"/>
  <c r="DK83" i="82" s="1"/>
  <c r="DK84" i="82" s="1"/>
  <c r="DK86" i="82" s="1"/>
  <c r="CJ77" i="166"/>
  <c r="CL79" i="166"/>
  <c r="CJ81" i="166"/>
  <c r="CJ83" i="166" s="1"/>
  <c r="T79" i="166"/>
  <c r="R77" i="166"/>
  <c r="R81" i="166"/>
  <c r="R83" i="166" s="1"/>
  <c r="R84" i="166" s="1"/>
  <c r="R86" i="166" s="1"/>
  <c r="C86" i="166"/>
  <c r="C87" i="166" s="1"/>
  <c r="CJ84" i="166"/>
  <c r="CJ86" i="166" s="1"/>
  <c r="CJ87" i="166" s="1"/>
  <c r="E77" i="166"/>
  <c r="E89" i="166"/>
  <c r="E81" i="166"/>
  <c r="E83" i="166" s="1"/>
  <c r="E84" i="166" s="1"/>
  <c r="E86" i="166" s="1"/>
  <c r="E87" i="166" s="1"/>
  <c r="DA77" i="125"/>
  <c r="DA89" i="125"/>
  <c r="DA91" i="125" s="1"/>
  <c r="DA81" i="125"/>
  <c r="DA83" i="125" s="1"/>
  <c r="DA84" i="125" s="1"/>
  <c r="DA86" i="125" s="1"/>
  <c r="DA87" i="125" s="1"/>
  <c r="DK87" i="82" l="1"/>
  <c r="F41" i="166"/>
  <c r="F8" i="166"/>
  <c r="K8" i="166"/>
  <c r="F62" i="166"/>
  <c r="F56" i="166"/>
  <c r="F68" i="166"/>
  <c r="F43" i="166"/>
  <c r="F16" i="166"/>
  <c r="F12" i="166"/>
  <c r="F46" i="166"/>
  <c r="F23" i="166"/>
  <c r="K41" i="166"/>
  <c r="F71" i="166"/>
  <c r="F61" i="166"/>
  <c r="F55" i="166"/>
  <c r="F67" i="166"/>
  <c r="F26" i="166"/>
  <c r="F15" i="166"/>
  <c r="F9" i="166"/>
  <c r="F45" i="166"/>
  <c r="F25" i="166"/>
  <c r="P41" i="166"/>
  <c r="F30" i="166"/>
  <c r="F66" i="166"/>
  <c r="F60" i="166"/>
  <c r="F53" i="166"/>
  <c r="K53" i="166"/>
  <c r="F22" i="166"/>
  <c r="F47" i="166"/>
  <c r="F10" i="166"/>
  <c r="F42" i="166"/>
  <c r="F28" i="166"/>
  <c r="F50" i="166"/>
  <c r="F65" i="166"/>
  <c r="F59" i="166"/>
  <c r="F44" i="166"/>
  <c r="P50" i="166"/>
  <c r="F19" i="166"/>
  <c r="F14" i="166"/>
  <c r="F52" i="166"/>
  <c r="F24" i="166"/>
  <c r="F32" i="166"/>
  <c r="F70" i="166"/>
  <c r="F64" i="166"/>
  <c r="F58" i="166"/>
  <c r="F51" i="166"/>
  <c r="F20" i="166"/>
  <c r="F18" i="166"/>
  <c r="K50" i="166"/>
  <c r="F27" i="166"/>
  <c r="F33" i="166"/>
  <c r="F36" i="166"/>
  <c r="P54" i="166"/>
  <c r="F69" i="166"/>
  <c r="F48" i="166"/>
  <c r="F21" i="166"/>
  <c r="F11" i="166"/>
  <c r="F17" i="166"/>
  <c r="F13" i="166"/>
  <c r="F63" i="166"/>
  <c r="F29" i="166"/>
  <c r="P8" i="166"/>
  <c r="F57" i="166"/>
  <c r="F31" i="166"/>
  <c r="K54" i="166"/>
  <c r="F54" i="166"/>
  <c r="T77" i="166"/>
  <c r="T89" i="166"/>
  <c r="T90" i="166" s="1"/>
  <c r="T81" i="166"/>
  <c r="T83" i="166" s="1"/>
  <c r="T84" i="166" s="1"/>
  <c r="T86" i="166" s="1"/>
  <c r="CL77" i="166"/>
  <c r="CL89" i="166"/>
  <c r="CL81" i="166"/>
  <c r="CL83" i="166" s="1"/>
  <c r="CL84" i="166" s="1"/>
  <c r="CL86" i="166" s="1"/>
  <c r="CL87" i="166" s="1"/>
  <c r="CM52" i="166" l="1"/>
  <c r="CM57" i="166"/>
  <c r="CM71" i="166"/>
  <c r="CM12" i="166"/>
  <c r="CM59" i="166"/>
  <c r="CM24" i="166"/>
  <c r="CM48" i="166"/>
  <c r="CM23" i="166"/>
  <c r="CM42" i="166"/>
  <c r="CM68" i="166"/>
  <c r="CM10" i="166"/>
  <c r="CM67" i="166"/>
  <c r="CM60" i="166"/>
  <c r="CM70" i="166"/>
  <c r="CM65" i="166"/>
  <c r="CM30" i="166"/>
  <c r="CM15" i="166"/>
  <c r="CM43" i="166"/>
  <c r="CM13" i="166"/>
  <c r="CM58" i="166"/>
  <c r="CM41" i="166"/>
  <c r="CM55" i="166"/>
  <c r="CM18" i="166"/>
  <c r="CM72" i="166"/>
  <c r="CM19" i="166"/>
  <c r="CM20" i="166"/>
  <c r="CM16" i="166"/>
  <c r="CM46" i="166"/>
  <c r="CM45" i="166"/>
  <c r="CM17" i="166"/>
  <c r="CM51" i="166"/>
  <c r="CM64" i="166"/>
  <c r="CM11" i="166"/>
  <c r="CM21" i="166"/>
  <c r="CM54" i="166"/>
  <c r="CM49" i="166"/>
  <c r="CM26" i="166"/>
  <c r="CM33" i="166"/>
  <c r="CM31" i="166"/>
  <c r="CM66" i="166"/>
  <c r="CM62" i="166"/>
  <c r="CM25" i="166"/>
  <c r="CM9" i="166"/>
  <c r="CM44" i="166"/>
  <c r="CM69" i="166"/>
  <c r="CM28" i="166"/>
  <c r="CM63" i="166"/>
  <c r="CM27" i="166"/>
  <c r="CM22" i="166"/>
  <c r="CM32" i="166"/>
  <c r="CM29" i="166"/>
  <c r="CM14" i="166"/>
  <c r="CM36" i="166"/>
  <c r="CM47" i="166"/>
  <c r="CM61" i="166"/>
  <c r="CM56" i="166"/>
  <c r="CL90" i="166"/>
  <c r="G18" i="142" l="1"/>
  <c r="V18" i="142" s="1"/>
  <c r="BL16" i="114" l="1"/>
  <c r="AH79" i="134" l="1"/>
  <c r="AC79" i="134"/>
  <c r="S79" i="134"/>
  <c r="X79" i="134"/>
  <c r="X85" i="142" l="1"/>
  <c r="I85" i="142"/>
  <c r="E85" i="142"/>
  <c r="X82" i="142"/>
  <c r="I82" i="142"/>
  <c r="E82" i="142"/>
  <c r="V77" i="142"/>
  <c r="E79" i="142"/>
  <c r="X78" i="142"/>
  <c r="I78" i="142"/>
  <c r="J78" i="142" s="1"/>
  <c r="E78" i="142"/>
  <c r="E77" i="142" s="1"/>
  <c r="W77" i="142"/>
  <c r="H77" i="142"/>
  <c r="G77" i="142"/>
  <c r="D77" i="142"/>
  <c r="C77" i="142"/>
  <c r="X74" i="142"/>
  <c r="I74" i="142"/>
  <c r="I73" i="142" s="1"/>
  <c r="E74" i="142"/>
  <c r="E73" i="142" s="1"/>
  <c r="W73" i="142"/>
  <c r="V73" i="142"/>
  <c r="H73" i="142"/>
  <c r="G73" i="142"/>
  <c r="D73" i="142"/>
  <c r="C73" i="142"/>
  <c r="X71" i="142"/>
  <c r="I71" i="142"/>
  <c r="E71" i="142"/>
  <c r="X70" i="142"/>
  <c r="I70" i="142"/>
  <c r="E70" i="142"/>
  <c r="I69" i="142"/>
  <c r="E69" i="142"/>
  <c r="X68" i="142"/>
  <c r="I68" i="142"/>
  <c r="E68" i="142"/>
  <c r="I67" i="142"/>
  <c r="E67" i="142"/>
  <c r="I66" i="142"/>
  <c r="E66" i="142"/>
  <c r="X65" i="142"/>
  <c r="I65" i="142"/>
  <c r="E65" i="142"/>
  <c r="X64" i="142"/>
  <c r="I64" i="142"/>
  <c r="E64" i="142"/>
  <c r="I63" i="142"/>
  <c r="E63" i="142"/>
  <c r="X62" i="142"/>
  <c r="I62" i="142"/>
  <c r="E62" i="142"/>
  <c r="I61" i="142"/>
  <c r="E61" i="142"/>
  <c r="I60" i="142"/>
  <c r="E60" i="142"/>
  <c r="X59" i="142"/>
  <c r="I59" i="142"/>
  <c r="E59" i="142"/>
  <c r="I58" i="142"/>
  <c r="E58" i="142"/>
  <c r="I57" i="142"/>
  <c r="E57" i="142"/>
  <c r="I56" i="142"/>
  <c r="E56" i="142"/>
  <c r="I55" i="142"/>
  <c r="E55" i="142"/>
  <c r="H54" i="142"/>
  <c r="G54" i="142"/>
  <c r="D54" i="142"/>
  <c r="C54" i="142"/>
  <c r="W50" i="142"/>
  <c r="I52" i="142"/>
  <c r="E52" i="142"/>
  <c r="I51" i="142"/>
  <c r="E51" i="142"/>
  <c r="E50" i="142" s="1"/>
  <c r="H50" i="142"/>
  <c r="G50" i="142"/>
  <c r="D50" i="142"/>
  <c r="C50" i="142"/>
  <c r="I48" i="142"/>
  <c r="E48" i="142"/>
  <c r="X47" i="142"/>
  <c r="I47" i="142"/>
  <c r="E47" i="142"/>
  <c r="X46" i="142"/>
  <c r="I46" i="142"/>
  <c r="E46" i="142"/>
  <c r="I45" i="142"/>
  <c r="E45" i="142"/>
  <c r="I44" i="142"/>
  <c r="E44" i="142"/>
  <c r="I43" i="142"/>
  <c r="E43" i="142"/>
  <c r="I42" i="142"/>
  <c r="E42" i="142"/>
  <c r="H41" i="142"/>
  <c r="G41" i="142"/>
  <c r="D41" i="142"/>
  <c r="C41" i="142"/>
  <c r="J37" i="142"/>
  <c r="W35" i="142"/>
  <c r="I36" i="142"/>
  <c r="E36" i="142"/>
  <c r="E35" i="142" s="1"/>
  <c r="V35" i="142"/>
  <c r="D35" i="142"/>
  <c r="C35" i="142"/>
  <c r="I33" i="142"/>
  <c r="E33" i="142"/>
  <c r="I32" i="142"/>
  <c r="E32" i="142"/>
  <c r="I31" i="142"/>
  <c r="E31" i="142"/>
  <c r="I30" i="142"/>
  <c r="E30" i="142"/>
  <c r="X29" i="142"/>
  <c r="I29" i="142"/>
  <c r="E29" i="142"/>
  <c r="I28" i="142"/>
  <c r="E28" i="142"/>
  <c r="I27" i="142"/>
  <c r="E27" i="142"/>
  <c r="X26" i="142"/>
  <c r="I26" i="142"/>
  <c r="E26" i="142"/>
  <c r="I25" i="142"/>
  <c r="E25" i="142"/>
  <c r="I24" i="142"/>
  <c r="E24" i="142"/>
  <c r="X23" i="142"/>
  <c r="I23" i="142"/>
  <c r="E23" i="142"/>
  <c r="I22" i="142"/>
  <c r="E22" i="142"/>
  <c r="I21" i="142"/>
  <c r="E21" i="142"/>
  <c r="X20" i="142"/>
  <c r="I20" i="142"/>
  <c r="E20" i="142"/>
  <c r="I19" i="142"/>
  <c r="E19" i="142"/>
  <c r="I18" i="142"/>
  <c r="E18" i="142"/>
  <c r="I17" i="142"/>
  <c r="E17" i="142"/>
  <c r="I16" i="142"/>
  <c r="E16" i="142"/>
  <c r="I15" i="142"/>
  <c r="E15" i="142"/>
  <c r="X14" i="142"/>
  <c r="I14" i="142"/>
  <c r="E14" i="142"/>
  <c r="I13" i="142"/>
  <c r="E13" i="142"/>
  <c r="I12" i="142"/>
  <c r="E12" i="142"/>
  <c r="E8" i="142" s="1"/>
  <c r="X11" i="142"/>
  <c r="I11" i="142"/>
  <c r="E11" i="142"/>
  <c r="I10" i="142"/>
  <c r="E10" i="142"/>
  <c r="V8" i="142"/>
  <c r="I9" i="142"/>
  <c r="E9" i="142"/>
  <c r="H8" i="142"/>
  <c r="G8" i="142"/>
  <c r="D8" i="142"/>
  <c r="C8" i="142"/>
  <c r="X7" i="142"/>
  <c r="I7" i="142"/>
  <c r="E7" i="142"/>
  <c r="I6" i="142"/>
  <c r="E6" i="142"/>
  <c r="E5" i="142" s="1"/>
  <c r="H5" i="142"/>
  <c r="G5" i="142"/>
  <c r="D5" i="142"/>
  <c r="C5" i="142"/>
  <c r="E41" i="142" l="1"/>
  <c r="C38" i="142"/>
  <c r="E38" i="142"/>
  <c r="E39" i="142" s="1"/>
  <c r="I5" i="142"/>
  <c r="I79" i="142"/>
  <c r="X79" i="142" s="1"/>
  <c r="E54" i="142"/>
  <c r="D38" i="142"/>
  <c r="W41" i="142"/>
  <c r="X51" i="142"/>
  <c r="X58" i="142"/>
  <c r="V41" i="142"/>
  <c r="W54" i="142"/>
  <c r="X57" i="142"/>
  <c r="X10" i="142"/>
  <c r="X13" i="142"/>
  <c r="X19" i="142"/>
  <c r="X22" i="142"/>
  <c r="X25" i="142"/>
  <c r="X28" i="142"/>
  <c r="X31" i="142"/>
  <c r="X42" i="142"/>
  <c r="X48" i="142"/>
  <c r="X63" i="142"/>
  <c r="X69" i="142"/>
  <c r="X52" i="142"/>
  <c r="X56" i="142"/>
  <c r="X12" i="142"/>
  <c r="X15" i="142"/>
  <c r="X21" i="142"/>
  <c r="X24" i="142"/>
  <c r="X27" i="142"/>
  <c r="X30" i="142"/>
  <c r="X33" i="142"/>
  <c r="I41" i="142"/>
  <c r="V54" i="142"/>
  <c r="X61" i="142"/>
  <c r="X17" i="142"/>
  <c r="X32" i="142"/>
  <c r="X43" i="142"/>
  <c r="V5" i="142"/>
  <c r="V38" i="142" s="1"/>
  <c r="X45" i="142"/>
  <c r="X60" i="142"/>
  <c r="X67" i="142"/>
  <c r="X16" i="142"/>
  <c r="I54" i="142"/>
  <c r="I8" i="142"/>
  <c r="X44" i="142"/>
  <c r="X55" i="142"/>
  <c r="X66" i="142"/>
  <c r="G38" i="142"/>
  <c r="G39" i="142" s="1"/>
  <c r="X18" i="142"/>
  <c r="AB18" i="142" s="1"/>
  <c r="C75" i="142"/>
  <c r="C39" i="142"/>
  <c r="H38" i="142"/>
  <c r="X6" i="142"/>
  <c r="X5" i="142" s="1"/>
  <c r="AB5" i="142" s="1"/>
  <c r="W5" i="142"/>
  <c r="D75" i="142"/>
  <c r="D39" i="142"/>
  <c r="X73" i="142"/>
  <c r="W8" i="142"/>
  <c r="X9" i="142"/>
  <c r="X36" i="142"/>
  <c r="E89" i="142"/>
  <c r="F63" i="142" s="1"/>
  <c r="I35" i="142"/>
  <c r="I50" i="142"/>
  <c r="V50" i="142"/>
  <c r="F55" i="142" l="1"/>
  <c r="F45" i="142"/>
  <c r="F71" i="142"/>
  <c r="G75" i="142"/>
  <c r="V39" i="142"/>
  <c r="V75" i="142"/>
  <c r="V76" i="142" s="1"/>
  <c r="I89" i="142"/>
  <c r="J67" i="142" s="1"/>
  <c r="F42" i="142"/>
  <c r="X41" i="142"/>
  <c r="E75" i="142"/>
  <c r="F68" i="142"/>
  <c r="I38" i="142"/>
  <c r="I39" i="142" s="1"/>
  <c r="X50" i="142"/>
  <c r="X54" i="142"/>
  <c r="F52" i="142"/>
  <c r="F33" i="142"/>
  <c r="F30" i="142"/>
  <c r="F27" i="142"/>
  <c r="F24" i="142"/>
  <c r="F18" i="142"/>
  <c r="F15" i="142"/>
  <c r="F9" i="142"/>
  <c r="F32" i="142"/>
  <c r="F36" i="142"/>
  <c r="F12" i="142"/>
  <c r="F72" i="142"/>
  <c r="F21" i="142"/>
  <c r="F29" i="142"/>
  <c r="F23" i="142"/>
  <c r="F17" i="142"/>
  <c r="F11" i="142"/>
  <c r="F26" i="142"/>
  <c r="F20" i="142"/>
  <c r="F14" i="142"/>
  <c r="F85" i="142"/>
  <c r="F41" i="142"/>
  <c r="F44" i="142"/>
  <c r="J44" i="142"/>
  <c r="J52" i="142"/>
  <c r="F35" i="142"/>
  <c r="F22" i="142"/>
  <c r="F10" i="142"/>
  <c r="F54" i="142"/>
  <c r="F70" i="142"/>
  <c r="F59" i="142"/>
  <c r="F25" i="142"/>
  <c r="F13" i="142"/>
  <c r="F51" i="142"/>
  <c r="F73" i="142"/>
  <c r="F60" i="142"/>
  <c r="X35" i="142"/>
  <c r="F8" i="142"/>
  <c r="F64" i="142"/>
  <c r="J51" i="142"/>
  <c r="F61" i="142"/>
  <c r="F50" i="142"/>
  <c r="W38" i="142"/>
  <c r="W75" i="142" s="1"/>
  <c r="F47" i="142"/>
  <c r="J14" i="142"/>
  <c r="J8" i="142"/>
  <c r="J31" i="142"/>
  <c r="J28" i="142"/>
  <c r="J22" i="142"/>
  <c r="J16" i="142"/>
  <c r="J25" i="142"/>
  <c r="C81" i="142"/>
  <c r="C83" i="142" s="1"/>
  <c r="C84" i="142" s="1"/>
  <c r="C86" i="142" s="1"/>
  <c r="C87" i="142" s="1"/>
  <c r="C76" i="142"/>
  <c r="F57" i="142"/>
  <c r="F79" i="142"/>
  <c r="J71" i="142"/>
  <c r="F58" i="142"/>
  <c r="X8" i="142"/>
  <c r="D81" i="142"/>
  <c r="D83" i="142" s="1"/>
  <c r="D84" i="142" s="1"/>
  <c r="D86" i="142" s="1"/>
  <c r="D87" i="142" s="1"/>
  <c r="D76" i="142"/>
  <c r="J61" i="142"/>
  <c r="F62" i="142"/>
  <c r="J58" i="142"/>
  <c r="F43" i="142"/>
  <c r="H39" i="142"/>
  <c r="H75" i="142"/>
  <c r="J64" i="142"/>
  <c r="J66" i="142"/>
  <c r="J45" i="142"/>
  <c r="F65" i="142"/>
  <c r="J36" i="142"/>
  <c r="J12" i="142"/>
  <c r="F66" i="142"/>
  <c r="E81" i="142"/>
  <c r="E83" i="142" s="1"/>
  <c r="E84" i="142" s="1"/>
  <c r="E86" i="142" s="1"/>
  <c r="E87" i="142" s="1"/>
  <c r="E76" i="142"/>
  <c r="J68" i="142"/>
  <c r="J65" i="142"/>
  <c r="F67" i="142"/>
  <c r="F56" i="142"/>
  <c r="I75" i="142"/>
  <c r="F69" i="142"/>
  <c r="F82" i="142"/>
  <c r="J46" i="142"/>
  <c r="J69" i="142"/>
  <c r="F46" i="142"/>
  <c r="F28" i="142"/>
  <c r="F16" i="142"/>
  <c r="G76" i="142"/>
  <c r="G81" i="142"/>
  <c r="G83" i="142" s="1"/>
  <c r="G84" i="142" s="1"/>
  <c r="G86" i="142" s="1"/>
  <c r="G87" i="142" s="1"/>
  <c r="J79" i="142"/>
  <c r="I77" i="142"/>
  <c r="X77" i="142"/>
  <c r="F48" i="142"/>
  <c r="F31" i="142"/>
  <c r="F19" i="142"/>
  <c r="AL85" i="134"/>
  <c r="AK85" i="134"/>
  <c r="AM85" i="134" s="1"/>
  <c r="AH85" i="134"/>
  <c r="AC85" i="134"/>
  <c r="X85" i="134"/>
  <c r="S85" i="134"/>
  <c r="N85" i="134"/>
  <c r="I85" i="134"/>
  <c r="E85" i="134"/>
  <c r="AL82" i="134"/>
  <c r="AK82" i="134"/>
  <c r="AM82" i="134" s="1"/>
  <c r="AH82" i="134"/>
  <c r="AC82" i="134"/>
  <c r="X82" i="134"/>
  <c r="S82" i="134"/>
  <c r="N82" i="134"/>
  <c r="I82" i="134"/>
  <c r="E82" i="134"/>
  <c r="AL79" i="134"/>
  <c r="AL77" i="134" s="1"/>
  <c r="AK79" i="134"/>
  <c r="E79" i="134"/>
  <c r="AL78" i="134"/>
  <c r="AK78" i="134"/>
  <c r="AM78" i="134" s="1"/>
  <c r="AH78" i="134"/>
  <c r="AI78" i="134" s="1"/>
  <c r="AC78" i="134"/>
  <c r="X78" i="134"/>
  <c r="S78" i="134"/>
  <c r="T78" i="134" s="1"/>
  <c r="N78" i="134"/>
  <c r="N77" i="134" s="1"/>
  <c r="I78" i="134"/>
  <c r="E78" i="134"/>
  <c r="AG77" i="134"/>
  <c r="AF77" i="134"/>
  <c r="AB77" i="134"/>
  <c r="AA77" i="134"/>
  <c r="W77" i="134"/>
  <c r="V77" i="134"/>
  <c r="R77" i="134"/>
  <c r="Q77" i="134"/>
  <c r="M77" i="134"/>
  <c r="L77" i="134"/>
  <c r="H77" i="134"/>
  <c r="G77" i="134"/>
  <c r="D77" i="134"/>
  <c r="C77" i="134"/>
  <c r="AL74" i="134"/>
  <c r="AL73" i="134" s="1"/>
  <c r="AK74" i="134"/>
  <c r="AH74" i="134"/>
  <c r="AH73" i="134" s="1"/>
  <c r="AC74" i="134"/>
  <c r="X74" i="134"/>
  <c r="X73" i="134" s="1"/>
  <c r="S74" i="134"/>
  <c r="S73" i="134" s="1"/>
  <c r="N74" i="134"/>
  <c r="I74" i="134"/>
  <c r="E74" i="134"/>
  <c r="AK73" i="134"/>
  <c r="AG73" i="134"/>
  <c r="AF73" i="134"/>
  <c r="AC73" i="134"/>
  <c r="AB73" i="134"/>
  <c r="AA73" i="134"/>
  <c r="W73" i="134"/>
  <c r="V73" i="134"/>
  <c r="R73" i="134"/>
  <c r="Q73" i="134"/>
  <c r="N73" i="134"/>
  <c r="M73" i="134"/>
  <c r="L73" i="134"/>
  <c r="H73" i="134"/>
  <c r="G73" i="134"/>
  <c r="E73" i="134"/>
  <c r="D73" i="134"/>
  <c r="C73" i="134"/>
  <c r="AL71" i="134"/>
  <c r="AK71" i="134"/>
  <c r="AH71" i="134"/>
  <c r="AC71" i="134"/>
  <c r="X71" i="134"/>
  <c r="S71" i="134"/>
  <c r="N71" i="134"/>
  <c r="I71" i="134"/>
  <c r="E71" i="134"/>
  <c r="AL70" i="134"/>
  <c r="AK70" i="134"/>
  <c r="AH70" i="134"/>
  <c r="AC70" i="134"/>
  <c r="X70" i="134"/>
  <c r="S70" i="134"/>
  <c r="N70" i="134"/>
  <c r="I70" i="134"/>
  <c r="E70" i="134"/>
  <c r="AL69" i="134"/>
  <c r="AK69" i="134"/>
  <c r="AM69" i="134" s="1"/>
  <c r="AH69" i="134"/>
  <c r="AC69" i="134"/>
  <c r="X69" i="134"/>
  <c r="S69" i="134"/>
  <c r="N69" i="134"/>
  <c r="I69" i="134"/>
  <c r="E69" i="134"/>
  <c r="AL68" i="134"/>
  <c r="AK68" i="134"/>
  <c r="AH68" i="134"/>
  <c r="AC68" i="134"/>
  <c r="X68" i="134"/>
  <c r="S68" i="134"/>
  <c r="N68" i="134"/>
  <c r="I68" i="134"/>
  <c r="E68" i="134"/>
  <c r="AL67" i="134"/>
  <c r="AK67" i="134"/>
  <c r="AM67" i="134" s="1"/>
  <c r="AH67" i="134"/>
  <c r="AC67" i="134"/>
  <c r="X67" i="134"/>
  <c r="S67" i="134"/>
  <c r="N67" i="134"/>
  <c r="I67" i="134"/>
  <c r="E67" i="134"/>
  <c r="AL66" i="134"/>
  <c r="AK66" i="134"/>
  <c r="AM66" i="134" s="1"/>
  <c r="AH66" i="134"/>
  <c r="AC66" i="134"/>
  <c r="X66" i="134"/>
  <c r="S66" i="134"/>
  <c r="N66" i="134"/>
  <c r="I66" i="134"/>
  <c r="E66" i="134"/>
  <c r="AL65" i="134"/>
  <c r="AK65" i="134"/>
  <c r="AM65" i="134" s="1"/>
  <c r="AH65" i="134"/>
  <c r="AC65" i="134"/>
  <c r="X65" i="134"/>
  <c r="S65" i="134"/>
  <c r="N65" i="134"/>
  <c r="I65" i="134"/>
  <c r="E65" i="134"/>
  <c r="AL64" i="134"/>
  <c r="AK64" i="134"/>
  <c r="AH64" i="134"/>
  <c r="AC64" i="134"/>
  <c r="X64" i="134"/>
  <c r="S64" i="134"/>
  <c r="N64" i="134"/>
  <c r="I64" i="134"/>
  <c r="E64" i="134"/>
  <c r="AL63" i="134"/>
  <c r="AK63" i="134"/>
  <c r="AH63" i="134"/>
  <c r="AC63" i="134"/>
  <c r="X63" i="134"/>
  <c r="S63" i="134"/>
  <c r="N63" i="134"/>
  <c r="I63" i="134"/>
  <c r="E63" i="134"/>
  <c r="AL62" i="134"/>
  <c r="AK62" i="134"/>
  <c r="AH62" i="134"/>
  <c r="AC62" i="134"/>
  <c r="X62" i="134"/>
  <c r="S62" i="134"/>
  <c r="N62" i="134"/>
  <c r="I62" i="134"/>
  <c r="E62" i="134"/>
  <c r="AL61" i="134"/>
  <c r="AK61" i="134"/>
  <c r="AM61" i="134" s="1"/>
  <c r="AH61" i="134"/>
  <c r="AC61" i="134"/>
  <c r="X61" i="134"/>
  <c r="S61" i="134"/>
  <c r="N61" i="134"/>
  <c r="I61" i="134"/>
  <c r="E61" i="134"/>
  <c r="AL60" i="134"/>
  <c r="AK60" i="134"/>
  <c r="AH60" i="134"/>
  <c r="AC60" i="134"/>
  <c r="X60" i="134"/>
  <c r="S60" i="134"/>
  <c r="N60" i="134"/>
  <c r="I60" i="134"/>
  <c r="E60" i="134"/>
  <c r="AL59" i="134"/>
  <c r="AK59" i="134"/>
  <c r="AM59" i="134" s="1"/>
  <c r="AH59" i="134"/>
  <c r="AC59" i="134"/>
  <c r="X59" i="134"/>
  <c r="S59" i="134"/>
  <c r="N59" i="134"/>
  <c r="I59" i="134"/>
  <c r="E59" i="134"/>
  <c r="AL58" i="134"/>
  <c r="AK58" i="134"/>
  <c r="AH58" i="134"/>
  <c r="AC58" i="134"/>
  <c r="X58" i="134"/>
  <c r="S58" i="134"/>
  <c r="N58" i="134"/>
  <c r="I58" i="134"/>
  <c r="E58" i="134"/>
  <c r="AL57" i="134"/>
  <c r="AK57" i="134"/>
  <c r="AH57" i="134"/>
  <c r="AC57" i="134"/>
  <c r="X57" i="134"/>
  <c r="S57" i="134"/>
  <c r="N57" i="134"/>
  <c r="I57" i="134"/>
  <c r="E57" i="134"/>
  <c r="AL56" i="134"/>
  <c r="AK56" i="134"/>
  <c r="AH56" i="134"/>
  <c r="AC56" i="134"/>
  <c r="X56" i="134"/>
  <c r="S56" i="134"/>
  <c r="N56" i="134"/>
  <c r="I56" i="134"/>
  <c r="E56" i="134"/>
  <c r="AL55" i="134"/>
  <c r="AL54" i="134" s="1"/>
  <c r="AK55" i="134"/>
  <c r="AH55" i="134"/>
  <c r="AC55" i="134"/>
  <c r="AC54" i="134" s="1"/>
  <c r="X55" i="134"/>
  <c r="S55" i="134"/>
  <c r="N55" i="134"/>
  <c r="N54" i="134" s="1"/>
  <c r="I55" i="134"/>
  <c r="E55" i="134"/>
  <c r="AG54" i="134"/>
  <c r="AF54" i="134"/>
  <c r="AB54" i="134"/>
  <c r="AA54" i="134"/>
  <c r="W54" i="134"/>
  <c r="V54" i="134"/>
  <c r="R54" i="134"/>
  <c r="Q54" i="134"/>
  <c r="M54" i="134"/>
  <c r="L54" i="134"/>
  <c r="H54" i="134"/>
  <c r="G54" i="134"/>
  <c r="D54" i="134"/>
  <c r="C54" i="134"/>
  <c r="AL52" i="134"/>
  <c r="AK52" i="134"/>
  <c r="AH52" i="134"/>
  <c r="AC52" i="134"/>
  <c r="X52" i="134"/>
  <c r="S52" i="134"/>
  <c r="N52" i="134"/>
  <c r="I52" i="134"/>
  <c r="E52" i="134"/>
  <c r="AL51" i="134"/>
  <c r="AM51" i="134" s="1"/>
  <c r="AK51" i="134"/>
  <c r="AH51" i="134"/>
  <c r="AC51" i="134"/>
  <c r="X51" i="134"/>
  <c r="X50" i="134" s="1"/>
  <c r="S51" i="134"/>
  <c r="N51" i="134"/>
  <c r="I51" i="134"/>
  <c r="E51" i="134"/>
  <c r="AK50" i="134"/>
  <c r="AG50" i="134"/>
  <c r="AF50" i="134"/>
  <c r="AC50" i="134"/>
  <c r="AB50" i="134"/>
  <c r="AA50" i="134"/>
  <c r="W50" i="134"/>
  <c r="V50" i="134"/>
  <c r="R50" i="134"/>
  <c r="Q50" i="134"/>
  <c r="N50" i="134"/>
  <c r="M50" i="134"/>
  <c r="L50" i="134"/>
  <c r="I50" i="134"/>
  <c r="H50" i="134"/>
  <c r="G50" i="134"/>
  <c r="D50" i="134"/>
  <c r="C50" i="134"/>
  <c r="AL48" i="134"/>
  <c r="AK48" i="134"/>
  <c r="AM48" i="134" s="1"/>
  <c r="AH48" i="134"/>
  <c r="AC48" i="134"/>
  <c r="X48" i="134"/>
  <c r="S48" i="134"/>
  <c r="N48" i="134"/>
  <c r="I48" i="134"/>
  <c r="E48" i="134"/>
  <c r="AL47" i="134"/>
  <c r="AK47" i="134"/>
  <c r="AH47" i="134"/>
  <c r="AC47" i="134"/>
  <c r="X47" i="134"/>
  <c r="S47" i="134"/>
  <c r="N47" i="134"/>
  <c r="I47" i="134"/>
  <c r="E47" i="134"/>
  <c r="AL46" i="134"/>
  <c r="AK46" i="134"/>
  <c r="AH46" i="134"/>
  <c r="AC46" i="134"/>
  <c r="X46" i="134"/>
  <c r="S46" i="134"/>
  <c r="N46" i="134"/>
  <c r="I46" i="134"/>
  <c r="E46" i="134"/>
  <c r="AL45" i="134"/>
  <c r="AK45" i="134"/>
  <c r="AM45" i="134" s="1"/>
  <c r="AH45" i="134"/>
  <c r="AC45" i="134"/>
  <c r="X45" i="134"/>
  <c r="S45" i="134"/>
  <c r="N45" i="134"/>
  <c r="N41" i="134" s="1"/>
  <c r="I45" i="134"/>
  <c r="E45" i="134"/>
  <c r="AL44" i="134"/>
  <c r="AK44" i="134"/>
  <c r="AH44" i="134"/>
  <c r="AC44" i="134"/>
  <c r="X44" i="134"/>
  <c r="S44" i="134"/>
  <c r="N44" i="134"/>
  <c r="I44" i="134"/>
  <c r="E44" i="134"/>
  <c r="AL43" i="134"/>
  <c r="AK43" i="134"/>
  <c r="AM43" i="134" s="1"/>
  <c r="AH43" i="134"/>
  <c r="AC43" i="134"/>
  <c r="X43" i="134"/>
  <c r="S43" i="134"/>
  <c r="N43" i="134"/>
  <c r="I43" i="134"/>
  <c r="E43" i="134"/>
  <c r="AL42" i="134"/>
  <c r="AK42" i="134"/>
  <c r="AH42" i="134"/>
  <c r="AC42" i="134"/>
  <c r="AC41" i="134" s="1"/>
  <c r="X42" i="134"/>
  <c r="S42" i="134"/>
  <c r="N42" i="134"/>
  <c r="I42" i="134"/>
  <c r="E42" i="134"/>
  <c r="E41" i="134" s="1"/>
  <c r="AL41" i="134"/>
  <c r="AK41" i="134"/>
  <c r="AH41" i="134"/>
  <c r="AG41" i="134"/>
  <c r="AF41" i="134"/>
  <c r="AB41" i="134"/>
  <c r="AA41" i="134"/>
  <c r="W41" i="134"/>
  <c r="V41" i="134"/>
  <c r="S41" i="134"/>
  <c r="R41" i="134"/>
  <c r="Q41" i="134"/>
  <c r="M41" i="134"/>
  <c r="L41" i="134"/>
  <c r="I41" i="134"/>
  <c r="H41" i="134"/>
  <c r="G41" i="134"/>
  <c r="D41" i="134"/>
  <c r="C41" i="134"/>
  <c r="AI37" i="134"/>
  <c r="AL36" i="134"/>
  <c r="AK36" i="134"/>
  <c r="AM36" i="134" s="1"/>
  <c r="AM35" i="134" s="1"/>
  <c r="AH36" i="134"/>
  <c r="AC36" i="134"/>
  <c r="AC35" i="134" s="1"/>
  <c r="X36" i="134"/>
  <c r="S36" i="134"/>
  <c r="N36" i="134"/>
  <c r="I36" i="134"/>
  <c r="E36" i="134"/>
  <c r="AL35" i="134"/>
  <c r="AH35" i="134"/>
  <c r="X35" i="134"/>
  <c r="S35" i="134"/>
  <c r="N35" i="134"/>
  <c r="I35" i="134"/>
  <c r="E35" i="134"/>
  <c r="D35" i="134"/>
  <c r="C35" i="134"/>
  <c r="AL33" i="134"/>
  <c r="AK33" i="134"/>
  <c r="AM33" i="134" s="1"/>
  <c r="AH33" i="134"/>
  <c r="AC33" i="134"/>
  <c r="X33" i="134"/>
  <c r="S33" i="134"/>
  <c r="N33" i="134"/>
  <c r="I33" i="134"/>
  <c r="E33" i="134"/>
  <c r="AL32" i="134"/>
  <c r="AK32" i="134"/>
  <c r="AM32" i="134" s="1"/>
  <c r="AH32" i="134"/>
  <c r="AC32" i="134"/>
  <c r="X32" i="134"/>
  <c r="S32" i="134"/>
  <c r="N32" i="134"/>
  <c r="I32" i="134"/>
  <c r="E32" i="134"/>
  <c r="AL31" i="134"/>
  <c r="AM31" i="134" s="1"/>
  <c r="AK31" i="134"/>
  <c r="AH31" i="134"/>
  <c r="AC31" i="134"/>
  <c r="X31" i="134"/>
  <c r="S31" i="134"/>
  <c r="N31" i="134"/>
  <c r="I31" i="134"/>
  <c r="E31" i="134"/>
  <c r="AL30" i="134"/>
  <c r="AM30" i="134" s="1"/>
  <c r="AK30" i="134"/>
  <c r="AH30" i="134"/>
  <c r="AC30" i="134"/>
  <c r="X30" i="134"/>
  <c r="S30" i="134"/>
  <c r="N30" i="134"/>
  <c r="I30" i="134"/>
  <c r="E30" i="134"/>
  <c r="AL29" i="134"/>
  <c r="AM29" i="134" s="1"/>
  <c r="AK29" i="134"/>
  <c r="AH29" i="134"/>
  <c r="AC29" i="134"/>
  <c r="X29" i="134"/>
  <c r="S29" i="134"/>
  <c r="N29" i="134"/>
  <c r="I29" i="134"/>
  <c r="E29" i="134"/>
  <c r="AL28" i="134"/>
  <c r="AK28" i="134"/>
  <c r="AM28" i="134" s="1"/>
  <c r="AH28" i="134"/>
  <c r="AC28" i="134"/>
  <c r="X28" i="134"/>
  <c r="S28" i="134"/>
  <c r="N28" i="134"/>
  <c r="I28" i="134"/>
  <c r="E28" i="134"/>
  <c r="AL27" i="134"/>
  <c r="AK27" i="134"/>
  <c r="AM27" i="134" s="1"/>
  <c r="AH27" i="134"/>
  <c r="AC27" i="134"/>
  <c r="X27" i="134"/>
  <c r="S27" i="134"/>
  <c r="N27" i="134"/>
  <c r="I27" i="134"/>
  <c r="E27" i="134"/>
  <c r="AM26" i="134"/>
  <c r="AL26" i="134"/>
  <c r="AK26" i="134"/>
  <c r="AH26" i="134"/>
  <c r="AC26" i="134"/>
  <c r="X26" i="134"/>
  <c r="S26" i="134"/>
  <c r="N26" i="134"/>
  <c r="I26" i="134"/>
  <c r="E26" i="134"/>
  <c r="AL25" i="134"/>
  <c r="AK25" i="134"/>
  <c r="AH25" i="134"/>
  <c r="AC25" i="134"/>
  <c r="X25" i="134"/>
  <c r="S25" i="134"/>
  <c r="N25" i="134"/>
  <c r="I25" i="134"/>
  <c r="E25" i="134"/>
  <c r="AL24" i="134"/>
  <c r="AM24" i="134" s="1"/>
  <c r="AK24" i="134"/>
  <c r="AH24" i="134"/>
  <c r="AC24" i="134"/>
  <c r="X24" i="134"/>
  <c r="S24" i="134"/>
  <c r="N24" i="134"/>
  <c r="I24" i="134"/>
  <c r="E24" i="134"/>
  <c r="AL23" i="134"/>
  <c r="AK23" i="134"/>
  <c r="AM23" i="134" s="1"/>
  <c r="AH23" i="134"/>
  <c r="AC23" i="134"/>
  <c r="X23" i="134"/>
  <c r="S23" i="134"/>
  <c r="N23" i="134"/>
  <c r="I23" i="134"/>
  <c r="E23" i="134"/>
  <c r="AL22" i="134"/>
  <c r="AM22" i="134" s="1"/>
  <c r="AK22" i="134"/>
  <c r="AH22" i="134"/>
  <c r="AC22" i="134"/>
  <c r="X22" i="134"/>
  <c r="S22" i="134"/>
  <c r="N22" i="134"/>
  <c r="I22" i="134"/>
  <c r="E22" i="134"/>
  <c r="AL21" i="134"/>
  <c r="AM21" i="134" s="1"/>
  <c r="AK21" i="134"/>
  <c r="AH21" i="134"/>
  <c r="AC21" i="134"/>
  <c r="X21" i="134"/>
  <c r="S21" i="134"/>
  <c r="N21" i="134"/>
  <c r="I21" i="134"/>
  <c r="E21" i="134"/>
  <c r="AL20" i="134"/>
  <c r="AK20" i="134"/>
  <c r="AM20" i="134" s="1"/>
  <c r="AH20" i="134"/>
  <c r="AC20" i="134"/>
  <c r="X20" i="134"/>
  <c r="S20" i="134"/>
  <c r="N20" i="134"/>
  <c r="I20" i="134"/>
  <c r="E20" i="134"/>
  <c r="AL19" i="134"/>
  <c r="AK19" i="134"/>
  <c r="AM19" i="134" s="1"/>
  <c r="AH19" i="134"/>
  <c r="AC19" i="134"/>
  <c r="X19" i="134"/>
  <c r="S19" i="134"/>
  <c r="N19" i="134"/>
  <c r="I19" i="134"/>
  <c r="E19" i="134"/>
  <c r="AL18" i="134"/>
  <c r="AK18" i="134"/>
  <c r="AH18" i="134"/>
  <c r="AC18" i="134"/>
  <c r="X18" i="134"/>
  <c r="Q18" i="134"/>
  <c r="S18" i="134" s="1"/>
  <c r="N18" i="134"/>
  <c r="I18" i="134"/>
  <c r="E18" i="134"/>
  <c r="AL17" i="134"/>
  <c r="AM17" i="134" s="1"/>
  <c r="AK17" i="134"/>
  <c r="AH17" i="134"/>
  <c r="AC17" i="134"/>
  <c r="X17" i="134"/>
  <c r="S17" i="134"/>
  <c r="N17" i="134"/>
  <c r="I17" i="134"/>
  <c r="E17" i="134"/>
  <c r="AL16" i="134"/>
  <c r="AK16" i="134"/>
  <c r="AM16" i="134" s="1"/>
  <c r="AH16" i="134"/>
  <c r="AC16" i="134"/>
  <c r="X16" i="134"/>
  <c r="S16" i="134"/>
  <c r="N16" i="134"/>
  <c r="I16" i="134"/>
  <c r="E16" i="134"/>
  <c r="AL15" i="134"/>
  <c r="AK15" i="134"/>
  <c r="AM15" i="134" s="1"/>
  <c r="AH15" i="134"/>
  <c r="AC15" i="134"/>
  <c r="X15" i="134"/>
  <c r="S15" i="134"/>
  <c r="N15" i="134"/>
  <c r="I15" i="134"/>
  <c r="E15" i="134"/>
  <c r="AM14" i="134"/>
  <c r="AL14" i="134"/>
  <c r="AK14" i="134"/>
  <c r="AH14" i="134"/>
  <c r="AC14" i="134"/>
  <c r="X14" i="134"/>
  <c r="S14" i="134"/>
  <c r="N14" i="134"/>
  <c r="I14" i="134"/>
  <c r="E14" i="134"/>
  <c r="AL13" i="134"/>
  <c r="AM13" i="134" s="1"/>
  <c r="AK13" i="134"/>
  <c r="AH13" i="134"/>
  <c r="AC13" i="134"/>
  <c r="X13" i="134"/>
  <c r="S13" i="134"/>
  <c r="N13" i="134"/>
  <c r="I13" i="134"/>
  <c r="E13" i="134"/>
  <c r="AL12" i="134"/>
  <c r="AK12" i="134"/>
  <c r="AM12" i="134" s="1"/>
  <c r="AH12" i="134"/>
  <c r="AC12" i="134"/>
  <c r="X12" i="134"/>
  <c r="S12" i="134"/>
  <c r="N12" i="134"/>
  <c r="I12" i="134"/>
  <c r="E12" i="134"/>
  <c r="AL11" i="134"/>
  <c r="AK11" i="134"/>
  <c r="AM11" i="134" s="1"/>
  <c r="AH11" i="134"/>
  <c r="AC11" i="134"/>
  <c r="X11" i="134"/>
  <c r="S11" i="134"/>
  <c r="N11" i="134"/>
  <c r="I11" i="134"/>
  <c r="E11" i="134"/>
  <c r="AM10" i="134"/>
  <c r="AL10" i="134"/>
  <c r="AK10" i="134"/>
  <c r="AH10" i="134"/>
  <c r="AC10" i="134"/>
  <c r="X10" i="134"/>
  <c r="S10" i="134"/>
  <c r="N10" i="134"/>
  <c r="I10" i="134"/>
  <c r="E10" i="134"/>
  <c r="AL9" i="134"/>
  <c r="AM9" i="134" s="1"/>
  <c r="AK9" i="134"/>
  <c r="AH9" i="134"/>
  <c r="AC9" i="134"/>
  <c r="X9" i="134"/>
  <c r="S9" i="134"/>
  <c r="N9" i="134"/>
  <c r="I9" i="134"/>
  <c r="I8" i="134" s="1"/>
  <c r="E9" i="134"/>
  <c r="AG8" i="134"/>
  <c r="AF8" i="134"/>
  <c r="AB8" i="134"/>
  <c r="AA8" i="134"/>
  <c r="X8" i="134"/>
  <c r="W8" i="134"/>
  <c r="V8" i="134"/>
  <c r="R8" i="134"/>
  <c r="Q8" i="134"/>
  <c r="M8" i="134"/>
  <c r="L8" i="134"/>
  <c r="H8" i="134"/>
  <c r="G8" i="134"/>
  <c r="D8" i="134"/>
  <c r="C8" i="134"/>
  <c r="AL7" i="134"/>
  <c r="AK7" i="134"/>
  <c r="AM7" i="134" s="1"/>
  <c r="AH7" i="134"/>
  <c r="AC7" i="134"/>
  <c r="X7" i="134"/>
  <c r="S7" i="134"/>
  <c r="N7" i="134"/>
  <c r="I7" i="134"/>
  <c r="E7" i="134"/>
  <c r="AL6" i="134"/>
  <c r="AH6" i="134"/>
  <c r="AA6" i="134"/>
  <c r="X6" i="134"/>
  <c r="X5" i="134" s="1"/>
  <c r="Q6" i="134"/>
  <c r="S6" i="134" s="1"/>
  <c r="S5" i="134" s="1"/>
  <c r="N6" i="134"/>
  <c r="N5" i="134" s="1"/>
  <c r="I6" i="134"/>
  <c r="E6" i="134"/>
  <c r="E5" i="134" s="1"/>
  <c r="AL5" i="134"/>
  <c r="AH5" i="134"/>
  <c r="AG5" i="134"/>
  <c r="AG38" i="134" s="1"/>
  <c r="AF5" i="134"/>
  <c r="AB5" i="134"/>
  <c r="W5" i="134"/>
  <c r="V5" i="134"/>
  <c r="R5" i="134"/>
  <c r="M5" i="134"/>
  <c r="L5" i="134"/>
  <c r="L38" i="134" s="1"/>
  <c r="I5" i="134"/>
  <c r="H5" i="134"/>
  <c r="G5" i="134"/>
  <c r="D5" i="134"/>
  <c r="C5" i="134"/>
  <c r="E8" i="134" l="1"/>
  <c r="AM44" i="134"/>
  <c r="AM60" i="134"/>
  <c r="AM68" i="134"/>
  <c r="AM74" i="134"/>
  <c r="AM73" i="134" s="1"/>
  <c r="Q5" i="134"/>
  <c r="Q38" i="134" s="1"/>
  <c r="R38" i="134"/>
  <c r="AM46" i="134"/>
  <c r="AM62" i="134"/>
  <c r="AM70" i="134"/>
  <c r="D38" i="134"/>
  <c r="G38" i="134"/>
  <c r="G75" i="134" s="1"/>
  <c r="V38" i="134"/>
  <c r="AM25" i="134"/>
  <c r="X41" i="134"/>
  <c r="AM47" i="134"/>
  <c r="AM55" i="134"/>
  <c r="AM63" i="134"/>
  <c r="AM71" i="134"/>
  <c r="J23" i="142"/>
  <c r="J74" i="142"/>
  <c r="AM56" i="134"/>
  <c r="AM64" i="134"/>
  <c r="AK35" i="134"/>
  <c r="AM42" i="134"/>
  <c r="AM58" i="134"/>
  <c r="AL8" i="134"/>
  <c r="J42" i="142"/>
  <c r="J9" i="142"/>
  <c r="J43" i="142"/>
  <c r="J11" i="142"/>
  <c r="J33" i="142"/>
  <c r="J73" i="142"/>
  <c r="J54" i="142"/>
  <c r="J57" i="142"/>
  <c r="J27" i="142"/>
  <c r="J21" i="142"/>
  <c r="J30" i="142"/>
  <c r="J13" i="142"/>
  <c r="J26" i="142"/>
  <c r="J32" i="142"/>
  <c r="J35" i="142"/>
  <c r="J70" i="142"/>
  <c r="J24" i="142"/>
  <c r="J59" i="142"/>
  <c r="J48" i="142"/>
  <c r="J18" i="142"/>
  <c r="J19" i="142"/>
  <c r="J17" i="142"/>
  <c r="J62" i="142"/>
  <c r="J63" i="142"/>
  <c r="J77" i="142"/>
  <c r="J50" i="142"/>
  <c r="J60" i="142"/>
  <c r="J55" i="142"/>
  <c r="J56" i="142"/>
  <c r="J47" i="142"/>
  <c r="J41" i="142"/>
  <c r="J10" i="142"/>
  <c r="J29" i="142"/>
  <c r="J20" i="142"/>
  <c r="J15" i="142"/>
  <c r="V81" i="142"/>
  <c r="V83" i="142" s="1"/>
  <c r="V84" i="142" s="1"/>
  <c r="V86" i="142" s="1"/>
  <c r="V87" i="142" s="1"/>
  <c r="H76" i="142"/>
  <c r="H81" i="142"/>
  <c r="H83" i="142" s="1"/>
  <c r="H84" i="142" s="1"/>
  <c r="H86" i="142" s="1"/>
  <c r="H87" i="142" s="1"/>
  <c r="I81" i="142"/>
  <c r="I83" i="142" s="1"/>
  <c r="I84" i="142" s="1"/>
  <c r="I86" i="142" s="1"/>
  <c r="I87" i="142" s="1"/>
  <c r="I76" i="142"/>
  <c r="W39" i="142"/>
  <c r="X89" i="142"/>
  <c r="X38" i="142"/>
  <c r="Q75" i="134"/>
  <c r="Q39" i="134"/>
  <c r="L75" i="134"/>
  <c r="L39" i="134"/>
  <c r="V75" i="134"/>
  <c r="V39" i="134"/>
  <c r="S8" i="134"/>
  <c r="C38" i="134"/>
  <c r="X38" i="134"/>
  <c r="AC6" i="134"/>
  <c r="AC5" i="134" s="1"/>
  <c r="AA5" i="134"/>
  <c r="AA38" i="134" s="1"/>
  <c r="G81" i="134"/>
  <c r="G83" i="134" s="1"/>
  <c r="G84" i="134" s="1"/>
  <c r="G86" i="134" s="1"/>
  <c r="G87" i="134" s="1"/>
  <c r="G76" i="134"/>
  <c r="G39" i="134"/>
  <c r="AF38" i="134"/>
  <c r="X77" i="134"/>
  <c r="N8" i="134"/>
  <c r="AH8" i="134"/>
  <c r="AH38" i="134" s="1"/>
  <c r="AC8" i="134"/>
  <c r="E38" i="134"/>
  <c r="I38" i="134"/>
  <c r="AM18" i="134"/>
  <c r="AK8" i="134"/>
  <c r="AK6" i="134"/>
  <c r="H38" i="134"/>
  <c r="R75" i="134"/>
  <c r="R39" i="134"/>
  <c r="AB38" i="134"/>
  <c r="AL38" i="134"/>
  <c r="AM52" i="134"/>
  <c r="AM50" i="134" s="1"/>
  <c r="AL50" i="134"/>
  <c r="X54" i="134"/>
  <c r="X89" i="134" s="1"/>
  <c r="Y67" i="134" s="1"/>
  <c r="D75" i="134"/>
  <c r="D39" i="134"/>
  <c r="W38" i="134"/>
  <c r="AM79" i="134"/>
  <c r="AM77" i="134" s="1"/>
  <c r="AH77" i="134"/>
  <c r="I77" i="134"/>
  <c r="M38" i="134"/>
  <c r="AG75" i="134"/>
  <c r="AG39" i="134"/>
  <c r="N38" i="134"/>
  <c r="AM41" i="134"/>
  <c r="I54" i="134"/>
  <c r="AM57" i="134"/>
  <c r="AK54" i="134"/>
  <c r="E54" i="134"/>
  <c r="S54" i="134"/>
  <c r="AH54" i="134"/>
  <c r="E77" i="134"/>
  <c r="E50" i="134"/>
  <c r="S50" i="134"/>
  <c r="AH50" i="134"/>
  <c r="AC77" i="134"/>
  <c r="I73" i="134"/>
  <c r="S77" i="134"/>
  <c r="AK77" i="134"/>
  <c r="E89" i="134" l="1"/>
  <c r="Y8" i="142"/>
  <c r="X90" i="142"/>
  <c r="W81" i="142"/>
  <c r="W83" i="142" s="1"/>
  <c r="W84" i="142" s="1"/>
  <c r="W86" i="142" s="1"/>
  <c r="W87" i="142" s="1"/>
  <c r="W76" i="142"/>
  <c r="X39" i="142"/>
  <c r="X75" i="142"/>
  <c r="Y72" i="142"/>
  <c r="Y49" i="142"/>
  <c r="Y29" i="142"/>
  <c r="Y11" i="142"/>
  <c r="Y17" i="142"/>
  <c r="Y23" i="142"/>
  <c r="Y14" i="142"/>
  <c r="Y64" i="142"/>
  <c r="Y31" i="142"/>
  <c r="Y56" i="142"/>
  <c r="Y59" i="142"/>
  <c r="Y30" i="142"/>
  <c r="Y33" i="142"/>
  <c r="Y60" i="142"/>
  <c r="Y52" i="142"/>
  <c r="Y74" i="142"/>
  <c r="Y63" i="142"/>
  <c r="Y12" i="142"/>
  <c r="Y61" i="142"/>
  <c r="Y55" i="142"/>
  <c r="Y18" i="142"/>
  <c r="Y62" i="142"/>
  <c r="Y26" i="142"/>
  <c r="Y28" i="142"/>
  <c r="Y24" i="142"/>
  <c r="Y20" i="142"/>
  <c r="Y32" i="142"/>
  <c r="Y65" i="142"/>
  <c r="Y47" i="142"/>
  <c r="Y67" i="142"/>
  <c r="Y70" i="142"/>
  <c r="Y21" i="142"/>
  <c r="Y25" i="142"/>
  <c r="Y45" i="142"/>
  <c r="Y10" i="142"/>
  <c r="Y22" i="142"/>
  <c r="Y42" i="142"/>
  <c r="Y57" i="142"/>
  <c r="Y46" i="142"/>
  <c r="Y19" i="142"/>
  <c r="Y68" i="142"/>
  <c r="Y15" i="142"/>
  <c r="Y71" i="142"/>
  <c r="Y27" i="142"/>
  <c r="Y51" i="142"/>
  <c r="Y43" i="142"/>
  <c r="Y66" i="142"/>
  <c r="Y69" i="142"/>
  <c r="Y48" i="142"/>
  <c r="Y16" i="142"/>
  <c r="Y13" i="142"/>
  <c r="Y44" i="142"/>
  <c r="Y58" i="142"/>
  <c r="Y41" i="142"/>
  <c r="Y36" i="142"/>
  <c r="Y35" i="142" s="1"/>
  <c r="Y9" i="142"/>
  <c r="Y54" i="142"/>
  <c r="F73" i="134"/>
  <c r="F72" i="134"/>
  <c r="F56" i="134"/>
  <c r="F18" i="134"/>
  <c r="F17" i="134"/>
  <c r="F16" i="134"/>
  <c r="F15" i="134"/>
  <c r="F14" i="134"/>
  <c r="F13" i="134"/>
  <c r="F11" i="134"/>
  <c r="F82" i="134"/>
  <c r="F55" i="134"/>
  <c r="F12" i="134"/>
  <c r="F10" i="134"/>
  <c r="F9" i="134"/>
  <c r="F41" i="134"/>
  <c r="F47" i="134"/>
  <c r="F44" i="134"/>
  <c r="F45" i="134"/>
  <c r="F42" i="134"/>
  <c r="F46" i="134"/>
  <c r="F43" i="134"/>
  <c r="F33" i="134"/>
  <c r="F28" i="134"/>
  <c r="F85" i="134"/>
  <c r="F32" i="134"/>
  <c r="F69" i="134"/>
  <c r="F68" i="134"/>
  <c r="F51" i="134"/>
  <c r="F67" i="134"/>
  <c r="F61" i="134"/>
  <c r="F20" i="134"/>
  <c r="F25" i="134"/>
  <c r="F23" i="134"/>
  <c r="F62" i="134"/>
  <c r="F24" i="134"/>
  <c r="F8" i="134"/>
  <c r="F19" i="134"/>
  <c r="F30" i="134"/>
  <c r="F27" i="134"/>
  <c r="F35" i="134"/>
  <c r="F31" i="134"/>
  <c r="F29" i="134"/>
  <c r="F52" i="134"/>
  <c r="F58" i="134"/>
  <c r="F22" i="134"/>
  <c r="F26" i="134"/>
  <c r="F48" i="134"/>
  <c r="F36" i="134"/>
  <c r="F59" i="134"/>
  <c r="F63" i="134"/>
  <c r="F60" i="134"/>
  <c r="F64" i="134"/>
  <c r="F79" i="134"/>
  <c r="F57" i="134"/>
  <c r="F65" i="134"/>
  <c r="F66" i="134"/>
  <c r="F21" i="134"/>
  <c r="F71" i="134"/>
  <c r="F70" i="134"/>
  <c r="I89" i="134"/>
  <c r="J54" i="134" s="1"/>
  <c r="Y71" i="134"/>
  <c r="Y70" i="134"/>
  <c r="Y69" i="134"/>
  <c r="Y68" i="134"/>
  <c r="Y50" i="134"/>
  <c r="Y51" i="134"/>
  <c r="Y52" i="134"/>
  <c r="Y18" i="134"/>
  <c r="Y26" i="134"/>
  <c r="Y28" i="134"/>
  <c r="Y17" i="134"/>
  <c r="Y16" i="134"/>
  <c r="Y15" i="134"/>
  <c r="Y14" i="134"/>
  <c r="Y13" i="134"/>
  <c r="Y12" i="134"/>
  <c r="Y11" i="134"/>
  <c r="Y10" i="134"/>
  <c r="Y9" i="134"/>
  <c r="Y19" i="134"/>
  <c r="Y22" i="134"/>
  <c r="Y21" i="134"/>
  <c r="Y79" i="134"/>
  <c r="Y48" i="134"/>
  <c r="Y8" i="134"/>
  <c r="Y44" i="134"/>
  <c r="Y31" i="134"/>
  <c r="Y42" i="134"/>
  <c r="Y59" i="134"/>
  <c r="Y63" i="134"/>
  <c r="Y33" i="134"/>
  <c r="Y58" i="134"/>
  <c r="Y66" i="134"/>
  <c r="Y56" i="134"/>
  <c r="Y24" i="134"/>
  <c r="Y23" i="134"/>
  <c r="Y35" i="134"/>
  <c r="Y29" i="134"/>
  <c r="Y45" i="134"/>
  <c r="Y62" i="134"/>
  <c r="Y64" i="134"/>
  <c r="Y20" i="134"/>
  <c r="Y27" i="134"/>
  <c r="Y47" i="134"/>
  <c r="Y30" i="134"/>
  <c r="Y57" i="134"/>
  <c r="Y61" i="134"/>
  <c r="Y65" i="134"/>
  <c r="Y25" i="134"/>
  <c r="Y41" i="134"/>
  <c r="Y36" i="134"/>
  <c r="Y32" i="134"/>
  <c r="Y43" i="134"/>
  <c r="Y55" i="134"/>
  <c r="Y73" i="134"/>
  <c r="Y74" i="134"/>
  <c r="Y46" i="134"/>
  <c r="Y60" i="134"/>
  <c r="N75" i="134"/>
  <c r="N39" i="134"/>
  <c r="AM54" i="134"/>
  <c r="M75" i="134"/>
  <c r="M39" i="134"/>
  <c r="R81" i="134"/>
  <c r="R83" i="134" s="1"/>
  <c r="R84" i="134" s="1"/>
  <c r="R86" i="134" s="1"/>
  <c r="R87" i="134" s="1"/>
  <c r="R76" i="134"/>
  <c r="AC89" i="134"/>
  <c r="AD8" i="134" s="1"/>
  <c r="AF75" i="134"/>
  <c r="AF39" i="134"/>
  <c r="C75" i="134"/>
  <c r="C39" i="134"/>
  <c r="V81" i="134"/>
  <c r="V83" i="134" s="1"/>
  <c r="V84" i="134" s="1"/>
  <c r="V86" i="134" s="1"/>
  <c r="V87" i="134" s="1"/>
  <c r="V76" i="134"/>
  <c r="F54" i="134"/>
  <c r="AH75" i="134"/>
  <c r="AH39" i="134"/>
  <c r="W75" i="134"/>
  <c r="W39" i="134"/>
  <c r="AK5" i="134"/>
  <c r="AK38" i="134" s="1"/>
  <c r="AM6" i="134"/>
  <c r="N89" i="134"/>
  <c r="O8" i="134" s="1"/>
  <c r="S89" i="134"/>
  <c r="T8" i="134" s="1"/>
  <c r="I75" i="134"/>
  <c r="I39" i="134"/>
  <c r="AL75" i="134"/>
  <c r="AL39" i="134"/>
  <c r="L81" i="134"/>
  <c r="L83" i="134" s="1"/>
  <c r="L84" i="134" s="1"/>
  <c r="L86" i="134" s="1"/>
  <c r="L87" i="134" s="1"/>
  <c r="L76" i="134"/>
  <c r="Q81" i="134"/>
  <c r="Q83" i="134" s="1"/>
  <c r="Q84" i="134" s="1"/>
  <c r="Q86" i="134" s="1"/>
  <c r="Q87" i="134" s="1"/>
  <c r="Q76" i="134"/>
  <c r="S38" i="134"/>
  <c r="AB75" i="134"/>
  <c r="AB39" i="134"/>
  <c r="AM8" i="134"/>
  <c r="E75" i="134"/>
  <c r="E39" i="134"/>
  <c r="AH89" i="134"/>
  <c r="AI54" i="134" s="1"/>
  <c r="AA75" i="134"/>
  <c r="AA39" i="134"/>
  <c r="Y54" i="134"/>
  <c r="H75" i="134"/>
  <c r="H39" i="134"/>
  <c r="F50" i="134"/>
  <c r="D76" i="134"/>
  <c r="D81" i="134"/>
  <c r="D83" i="134" s="1"/>
  <c r="D84" i="134" s="1"/>
  <c r="D86" i="134" s="1"/>
  <c r="D87" i="134" s="1"/>
  <c r="AG76" i="134"/>
  <c r="AG81" i="134"/>
  <c r="AG83" i="134" s="1"/>
  <c r="AG84" i="134" s="1"/>
  <c r="AG86" i="134" s="1"/>
  <c r="AG87" i="134" s="1"/>
  <c r="AC38" i="134"/>
  <c r="X75" i="134"/>
  <c r="X39" i="134"/>
  <c r="AI8" i="134" l="1"/>
  <c r="T50" i="134"/>
  <c r="AI77" i="134"/>
  <c r="X81" i="142"/>
  <c r="X83" i="142" s="1"/>
  <c r="X84" i="142" s="1"/>
  <c r="X86" i="142" s="1"/>
  <c r="X93" i="142" s="1"/>
  <c r="X97" i="142" s="1"/>
  <c r="X76" i="142"/>
  <c r="I81" i="134"/>
  <c r="I83" i="134" s="1"/>
  <c r="I84" i="134" s="1"/>
  <c r="I86" i="134" s="1"/>
  <c r="I87" i="134" s="1"/>
  <c r="I76" i="134"/>
  <c r="X76" i="134"/>
  <c r="X81" i="134"/>
  <c r="X83" i="134" s="1"/>
  <c r="X84" i="134" s="1"/>
  <c r="X86" i="134" s="1"/>
  <c r="X87" i="134" s="1"/>
  <c r="AI56" i="134"/>
  <c r="AI17" i="134"/>
  <c r="AI16" i="134"/>
  <c r="AI15" i="134"/>
  <c r="AI14" i="134"/>
  <c r="AI12" i="134"/>
  <c r="AI11" i="134"/>
  <c r="AI47" i="134"/>
  <c r="AI46" i="134"/>
  <c r="AI45" i="134"/>
  <c r="AI44" i="134"/>
  <c r="AI43" i="134"/>
  <c r="AI42" i="134"/>
  <c r="AI41" i="134"/>
  <c r="AI13" i="134"/>
  <c r="AI10" i="134"/>
  <c r="AI9" i="134"/>
  <c r="AI20" i="134"/>
  <c r="AI27" i="134"/>
  <c r="AI79" i="134"/>
  <c r="AI52" i="134"/>
  <c r="AI59" i="134"/>
  <c r="AI63" i="134"/>
  <c r="AI60" i="134"/>
  <c r="AI64" i="134"/>
  <c r="AI74" i="134"/>
  <c r="AI55" i="134"/>
  <c r="AI48" i="134"/>
  <c r="AI25" i="134"/>
  <c r="AI33" i="134"/>
  <c r="AI35" i="134"/>
  <c r="AI32" i="134"/>
  <c r="AI69" i="134"/>
  <c r="AI68" i="134"/>
  <c r="AI18" i="134"/>
  <c r="AI29" i="134"/>
  <c r="AI26" i="134"/>
  <c r="AI23" i="134"/>
  <c r="AI36" i="134"/>
  <c r="AI19" i="134"/>
  <c r="AI24" i="134"/>
  <c r="AI22" i="134"/>
  <c r="AI30" i="134"/>
  <c r="AI57" i="134"/>
  <c r="AI61" i="134"/>
  <c r="AI65" i="134"/>
  <c r="AI62" i="134"/>
  <c r="AI66" i="134"/>
  <c r="AI67" i="134"/>
  <c r="AI21" i="134"/>
  <c r="AI28" i="134"/>
  <c r="AI31" i="134"/>
  <c r="AI51" i="134"/>
  <c r="AI71" i="134"/>
  <c r="AI70" i="134"/>
  <c r="AI73" i="134"/>
  <c r="AI58" i="134"/>
  <c r="AB81" i="134"/>
  <c r="AB83" i="134" s="1"/>
  <c r="AB84" i="134" s="1"/>
  <c r="AB86" i="134" s="1"/>
  <c r="AB87" i="134" s="1"/>
  <c r="AB76" i="134"/>
  <c r="AF81" i="134"/>
  <c r="AF83" i="134" s="1"/>
  <c r="AF84" i="134" s="1"/>
  <c r="AF86" i="134" s="1"/>
  <c r="AF87" i="134" s="1"/>
  <c r="AF76" i="134"/>
  <c r="M76" i="134"/>
  <c r="M81" i="134"/>
  <c r="M83" i="134" s="1"/>
  <c r="M84" i="134" s="1"/>
  <c r="M86" i="134" s="1"/>
  <c r="M87" i="134" s="1"/>
  <c r="T59" i="134"/>
  <c r="T56" i="134"/>
  <c r="T55" i="134"/>
  <c r="T47" i="134"/>
  <c r="T46" i="134"/>
  <c r="T45" i="134"/>
  <c r="T44" i="134"/>
  <c r="T43" i="134"/>
  <c r="T42" i="134"/>
  <c r="T17" i="134"/>
  <c r="T16" i="134"/>
  <c r="T15" i="134"/>
  <c r="T14" i="134"/>
  <c r="T13" i="134"/>
  <c r="T12" i="134"/>
  <c r="T10" i="134"/>
  <c r="T9" i="134"/>
  <c r="T41" i="134"/>
  <c r="T11" i="134"/>
  <c r="T20" i="134"/>
  <c r="T19" i="134"/>
  <c r="T24" i="134"/>
  <c r="T22" i="134"/>
  <c r="T52" i="134"/>
  <c r="T73" i="134"/>
  <c r="T26" i="134"/>
  <c r="T67" i="134"/>
  <c r="T71" i="134"/>
  <c r="T27" i="134"/>
  <c r="T30" i="134"/>
  <c r="T60" i="134"/>
  <c r="T64" i="134"/>
  <c r="T61" i="134"/>
  <c r="T65" i="134"/>
  <c r="T57" i="134"/>
  <c r="T25" i="134"/>
  <c r="T23" i="134"/>
  <c r="T29" i="134"/>
  <c r="T28" i="134"/>
  <c r="T51" i="134"/>
  <c r="T62" i="134"/>
  <c r="T21" i="134"/>
  <c r="T35" i="134"/>
  <c r="T58" i="134"/>
  <c r="T18" i="134"/>
  <c r="T36" i="134"/>
  <c r="T31" i="134"/>
  <c r="T70" i="134"/>
  <c r="T69" i="134"/>
  <c r="T32" i="134"/>
  <c r="T33" i="134"/>
  <c r="T68" i="134"/>
  <c r="T74" i="134"/>
  <c r="T48" i="134"/>
  <c r="T79" i="134"/>
  <c r="T66" i="134"/>
  <c r="T63" i="134"/>
  <c r="W76" i="134"/>
  <c r="W81" i="134"/>
  <c r="W83" i="134" s="1"/>
  <c r="W84" i="134" s="1"/>
  <c r="W86" i="134" s="1"/>
  <c r="W87" i="134" s="1"/>
  <c r="T77" i="134"/>
  <c r="E76" i="134"/>
  <c r="E81" i="134"/>
  <c r="E83" i="134" s="1"/>
  <c r="E84" i="134" s="1"/>
  <c r="E86" i="134" s="1"/>
  <c r="E87" i="134" s="1"/>
  <c r="AD71" i="134"/>
  <c r="AD70" i="134"/>
  <c r="AD69" i="134"/>
  <c r="AD68" i="134"/>
  <c r="AD67" i="134"/>
  <c r="AD74" i="134"/>
  <c r="AD73" i="134"/>
  <c r="AD48" i="134"/>
  <c r="AD36" i="134"/>
  <c r="AD35" i="134"/>
  <c r="AD19" i="134"/>
  <c r="AD13" i="134"/>
  <c r="AD57" i="134"/>
  <c r="AD63" i="134"/>
  <c r="AD54" i="134"/>
  <c r="AD62" i="134"/>
  <c r="AD55" i="134"/>
  <c r="AD11" i="134"/>
  <c r="AD24" i="134"/>
  <c r="AD18" i="134"/>
  <c r="AD33" i="134"/>
  <c r="AD56" i="134"/>
  <c r="AD65" i="134"/>
  <c r="AD50" i="134"/>
  <c r="AD43" i="134"/>
  <c r="AD25" i="134"/>
  <c r="AD12" i="134"/>
  <c r="AD28" i="134"/>
  <c r="AD44" i="134"/>
  <c r="AD23" i="134"/>
  <c r="AD29" i="134"/>
  <c r="AD46" i="134"/>
  <c r="AD15" i="134"/>
  <c r="AD42" i="134"/>
  <c r="AD20" i="134"/>
  <c r="AD47" i="134"/>
  <c r="AD30" i="134"/>
  <c r="AD52" i="134"/>
  <c r="AD32" i="134"/>
  <c r="AD31" i="134"/>
  <c r="AD41" i="134"/>
  <c r="AD58" i="134"/>
  <c r="AD64" i="134"/>
  <c r="AD14" i="134"/>
  <c r="AD22" i="134"/>
  <c r="AD16" i="134"/>
  <c r="AD45" i="134"/>
  <c r="AD9" i="134"/>
  <c r="AD10" i="134"/>
  <c r="AD17" i="134"/>
  <c r="AD21" i="134"/>
  <c r="AD27" i="134"/>
  <c r="AD26" i="134"/>
  <c r="AD51" i="134"/>
  <c r="AD79" i="134"/>
  <c r="AD60" i="134"/>
  <c r="AD66" i="134"/>
  <c r="AD59" i="134"/>
  <c r="AD61" i="134"/>
  <c r="AM89" i="134"/>
  <c r="AN8" i="134" s="1"/>
  <c r="S75" i="134"/>
  <c r="S39" i="134"/>
  <c r="AL81" i="134"/>
  <c r="AL83" i="134" s="1"/>
  <c r="AL84" i="134" s="1"/>
  <c r="AL86" i="134" s="1"/>
  <c r="AL87" i="134" s="1"/>
  <c r="AL76" i="134"/>
  <c r="O71" i="134"/>
  <c r="O70" i="134"/>
  <c r="O69" i="134"/>
  <c r="O68" i="134"/>
  <c r="O67" i="134"/>
  <c r="O79" i="134"/>
  <c r="O74" i="134"/>
  <c r="O48" i="134"/>
  <c r="O36" i="134"/>
  <c r="O35" i="134"/>
  <c r="O73" i="134"/>
  <c r="O27" i="134"/>
  <c r="O12" i="134"/>
  <c r="O18" i="134"/>
  <c r="O22" i="134"/>
  <c r="O28" i="134"/>
  <c r="O23" i="134"/>
  <c r="O54" i="134"/>
  <c r="O42" i="134"/>
  <c r="O41" i="134"/>
  <c r="O32" i="134"/>
  <c r="O52" i="134"/>
  <c r="O61" i="134"/>
  <c r="O55" i="134"/>
  <c r="O50" i="134"/>
  <c r="O58" i="134"/>
  <c r="O63" i="134"/>
  <c r="O59" i="134"/>
  <c r="O13" i="134"/>
  <c r="O43" i="134"/>
  <c r="O64" i="134"/>
  <c r="O29" i="134"/>
  <c r="O57" i="134"/>
  <c r="O9" i="134"/>
  <c r="O14" i="134"/>
  <c r="O65" i="134"/>
  <c r="O24" i="134"/>
  <c r="O26" i="134"/>
  <c r="O15" i="134"/>
  <c r="O19" i="134"/>
  <c r="O33" i="134"/>
  <c r="O45" i="134"/>
  <c r="O60" i="134"/>
  <c r="O66" i="134"/>
  <c r="O10" i="134"/>
  <c r="O16" i="134"/>
  <c r="O25" i="134"/>
  <c r="O21" i="134"/>
  <c r="O11" i="134"/>
  <c r="O17" i="134"/>
  <c r="O51" i="134"/>
  <c r="O30" i="134"/>
  <c r="O47" i="134"/>
  <c r="O56" i="134"/>
  <c r="O62" i="134"/>
  <c r="O44" i="134"/>
  <c r="O20" i="134"/>
  <c r="O31" i="134"/>
  <c r="O46" i="134"/>
  <c r="AH76" i="134"/>
  <c r="AH81" i="134"/>
  <c r="AH83" i="134" s="1"/>
  <c r="AH84" i="134" s="1"/>
  <c r="AH86" i="134" s="1"/>
  <c r="AH87" i="134" s="1"/>
  <c r="AI50" i="134"/>
  <c r="H81" i="134"/>
  <c r="H83" i="134" s="1"/>
  <c r="H84" i="134" s="1"/>
  <c r="H86" i="134" s="1"/>
  <c r="H87" i="134" s="1"/>
  <c r="H76" i="134"/>
  <c r="AK39" i="134"/>
  <c r="AK75" i="134"/>
  <c r="AC75" i="134"/>
  <c r="AC39" i="134"/>
  <c r="T54" i="134"/>
  <c r="AA81" i="134"/>
  <c r="AA83" i="134" s="1"/>
  <c r="AA84" i="134" s="1"/>
  <c r="AA86" i="134" s="1"/>
  <c r="AA87" i="134" s="1"/>
  <c r="AA76" i="134"/>
  <c r="AM5" i="134"/>
  <c r="AM38" i="134" s="1"/>
  <c r="C81" i="134"/>
  <c r="C83" i="134" s="1"/>
  <c r="C84" i="134" s="1"/>
  <c r="C86" i="134" s="1"/>
  <c r="C87" i="134" s="1"/>
  <c r="C76" i="134"/>
  <c r="N76" i="134"/>
  <c r="N81" i="134"/>
  <c r="N83" i="134" s="1"/>
  <c r="N84" i="134" s="1"/>
  <c r="N86" i="134" s="1"/>
  <c r="N87" i="134" s="1"/>
  <c r="J71" i="134"/>
  <c r="J70" i="134"/>
  <c r="J79" i="134"/>
  <c r="J34" i="134"/>
  <c r="J50" i="134"/>
  <c r="J37" i="134"/>
  <c r="J51" i="134"/>
  <c r="J27" i="134"/>
  <c r="J52" i="134"/>
  <c r="J18" i="134"/>
  <c r="J17" i="134"/>
  <c r="J12" i="134"/>
  <c r="J10" i="134"/>
  <c r="J16" i="134"/>
  <c r="J14" i="134"/>
  <c r="J9" i="134"/>
  <c r="J15" i="134"/>
  <c r="J13" i="134"/>
  <c r="J11" i="134"/>
  <c r="J48" i="134"/>
  <c r="J29" i="134"/>
  <c r="J67" i="134"/>
  <c r="J55" i="134"/>
  <c r="J60" i="134"/>
  <c r="J64" i="134"/>
  <c r="J74" i="134"/>
  <c r="J47" i="134"/>
  <c r="J25" i="134"/>
  <c r="J43" i="134"/>
  <c r="J56" i="134"/>
  <c r="J19" i="134"/>
  <c r="J30" i="134"/>
  <c r="J33" i="134"/>
  <c r="J63" i="134"/>
  <c r="J28" i="134"/>
  <c r="J24" i="134"/>
  <c r="J45" i="134"/>
  <c r="J42" i="134"/>
  <c r="J57" i="134"/>
  <c r="J20" i="134"/>
  <c r="J44" i="134"/>
  <c r="J35" i="134"/>
  <c r="J8" i="134"/>
  <c r="J26" i="134"/>
  <c r="J23" i="134"/>
  <c r="J22" i="134"/>
  <c r="J21" i="134"/>
  <c r="J36" i="134"/>
  <c r="J78" i="134"/>
  <c r="J61" i="134"/>
  <c r="J65" i="134"/>
  <c r="J68" i="134"/>
  <c r="J41" i="134"/>
  <c r="J59" i="134"/>
  <c r="J69" i="134"/>
  <c r="J31" i="134"/>
  <c r="J32" i="134"/>
  <c r="J46" i="134"/>
  <c r="J58" i="134"/>
  <c r="J62" i="134"/>
  <c r="J66" i="134"/>
  <c r="X87" i="142" l="1"/>
  <c r="AM75" i="134"/>
  <c r="AM39" i="134"/>
  <c r="AC81" i="134"/>
  <c r="AC83" i="134" s="1"/>
  <c r="AC84" i="134" s="1"/>
  <c r="AC86" i="134" s="1"/>
  <c r="AC87" i="134" s="1"/>
  <c r="AC76" i="134"/>
  <c r="AN72" i="134"/>
  <c r="AN74" i="134"/>
  <c r="AN49" i="134"/>
  <c r="AN48" i="134"/>
  <c r="AN36" i="134"/>
  <c r="AN35" i="134" s="1"/>
  <c r="AN9" i="134"/>
  <c r="AN15" i="134"/>
  <c r="AN27" i="134"/>
  <c r="AN23" i="134"/>
  <c r="AN32" i="134"/>
  <c r="AN33" i="134"/>
  <c r="AN44" i="134"/>
  <c r="AN61" i="134"/>
  <c r="AN65" i="134"/>
  <c r="AN68" i="134"/>
  <c r="AN45" i="134"/>
  <c r="AN55" i="134"/>
  <c r="AN67" i="134"/>
  <c r="AN70" i="134"/>
  <c r="AN29" i="134"/>
  <c r="AN30" i="134"/>
  <c r="AN60" i="134"/>
  <c r="AN10" i="134"/>
  <c r="AN16" i="134"/>
  <c r="AN28" i="134"/>
  <c r="AN24" i="134"/>
  <c r="AN22" i="134"/>
  <c r="AN31" i="134"/>
  <c r="AN11" i="134"/>
  <c r="AN17" i="134"/>
  <c r="AN25" i="134"/>
  <c r="AN26" i="134"/>
  <c r="AN51" i="134"/>
  <c r="AN56" i="134"/>
  <c r="AN12" i="134"/>
  <c r="AN21" i="134"/>
  <c r="AN42" i="134"/>
  <c r="AN47" i="134"/>
  <c r="AN59" i="134"/>
  <c r="AN63" i="134"/>
  <c r="AN69" i="134"/>
  <c r="AN13" i="134"/>
  <c r="AN14" i="134"/>
  <c r="AN19" i="134"/>
  <c r="AN43" i="134"/>
  <c r="AN58" i="134"/>
  <c r="AN62" i="134"/>
  <c r="AN66" i="134"/>
  <c r="AN46" i="134"/>
  <c r="AN64" i="134"/>
  <c r="AN20" i="134"/>
  <c r="AN71" i="134"/>
  <c r="AN18" i="134"/>
  <c r="AN52" i="134"/>
  <c r="AN57" i="134"/>
  <c r="AN41" i="134"/>
  <c r="S81" i="134"/>
  <c r="S83" i="134" s="1"/>
  <c r="S84" i="134" s="1"/>
  <c r="S86" i="134" s="1"/>
  <c r="S87" i="134" s="1"/>
  <c r="S76" i="134"/>
  <c r="AM90" i="134"/>
  <c r="AK81" i="134"/>
  <c r="AK83" i="134" s="1"/>
  <c r="AK84" i="134" s="1"/>
  <c r="AK86" i="134" s="1"/>
  <c r="AK87" i="134" s="1"/>
  <c r="AK76" i="134"/>
  <c r="AN54" i="134"/>
  <c r="AM81" i="134" l="1"/>
  <c r="AM83" i="134" s="1"/>
  <c r="AM84" i="134" s="1"/>
  <c r="AM86" i="134" s="1"/>
  <c r="AM87" i="134" s="1"/>
  <c r="AM76" i="134"/>
  <c r="BM85" i="114" l="1"/>
  <c r="BM82" i="114"/>
  <c r="BM78" i="114"/>
  <c r="BL77" i="114"/>
  <c r="BK77" i="114"/>
  <c r="BM74" i="114"/>
  <c r="BL73" i="114"/>
  <c r="BK73" i="114"/>
  <c r="BM71" i="114"/>
  <c r="BM70" i="114"/>
  <c r="BM69" i="114"/>
  <c r="BM68" i="114"/>
  <c r="BM67" i="114"/>
  <c r="BM66" i="114"/>
  <c r="BM65" i="114"/>
  <c r="BM64" i="114"/>
  <c r="BM63" i="114"/>
  <c r="BM62" i="114"/>
  <c r="BM61" i="114"/>
  <c r="BM60" i="114"/>
  <c r="BM59" i="114"/>
  <c r="BM58" i="114"/>
  <c r="BM57" i="114"/>
  <c r="BM56" i="114"/>
  <c r="BM55" i="114"/>
  <c r="BL54" i="114"/>
  <c r="BK54" i="114"/>
  <c r="BM52" i="114"/>
  <c r="BM51" i="114"/>
  <c r="BM50" i="114" s="1"/>
  <c r="BL50" i="114"/>
  <c r="BK50" i="114"/>
  <c r="BM48" i="114"/>
  <c r="BM47" i="114"/>
  <c r="BM46" i="114"/>
  <c r="BM45" i="114"/>
  <c r="BM44" i="114"/>
  <c r="BM43" i="114"/>
  <c r="BM42" i="114"/>
  <c r="BM41" i="114" s="1"/>
  <c r="BL41" i="114"/>
  <c r="BK41" i="114"/>
  <c r="BM36" i="114"/>
  <c r="BM33" i="114"/>
  <c r="BM32" i="114"/>
  <c r="BM31" i="114"/>
  <c r="BM30" i="114"/>
  <c r="BM29" i="114"/>
  <c r="BM28" i="114"/>
  <c r="BM27" i="114"/>
  <c r="BM26" i="114"/>
  <c r="BM25" i="114"/>
  <c r="BM24" i="114"/>
  <c r="BM23" i="114"/>
  <c r="BM22" i="114"/>
  <c r="BM21" i="114"/>
  <c r="BM20" i="114"/>
  <c r="BM19" i="114"/>
  <c r="BM18" i="114"/>
  <c r="BM17" i="114"/>
  <c r="BM16" i="114"/>
  <c r="BM15" i="114"/>
  <c r="BM14" i="114"/>
  <c r="BM13" i="114"/>
  <c r="BM12" i="114"/>
  <c r="BM11" i="114"/>
  <c r="BM10" i="114"/>
  <c r="BM9" i="114"/>
  <c r="BL8" i="114"/>
  <c r="BM79" i="114" s="1"/>
  <c r="BM7" i="114"/>
  <c r="BM6" i="114"/>
  <c r="BM5" i="114" s="1"/>
  <c r="BL5" i="114"/>
  <c r="BK5" i="114"/>
  <c r="CG26" i="126"/>
  <c r="CQ103" i="126"/>
  <c r="CE26" i="126"/>
  <c r="BZ26" i="126"/>
  <c r="CP85" i="126"/>
  <c r="CO85" i="126"/>
  <c r="CQ85" i="126" s="1"/>
  <c r="CP82" i="126"/>
  <c r="CO82" i="126"/>
  <c r="CP79" i="126"/>
  <c r="CO79" i="126"/>
  <c r="CP78" i="126"/>
  <c r="CO78" i="126"/>
  <c r="CP74" i="126"/>
  <c r="CP73" i="126" s="1"/>
  <c r="CO74" i="126"/>
  <c r="CO73" i="126" s="1"/>
  <c r="CP71" i="126"/>
  <c r="CO71" i="126"/>
  <c r="CP70" i="126"/>
  <c r="CO70" i="126"/>
  <c r="CQ70" i="126" s="1"/>
  <c r="CP69" i="126"/>
  <c r="CO69" i="126"/>
  <c r="CP68" i="126"/>
  <c r="CO68" i="126"/>
  <c r="CP67" i="126"/>
  <c r="CO67" i="126"/>
  <c r="CP66" i="126"/>
  <c r="CO66" i="126"/>
  <c r="CP64" i="126"/>
  <c r="CO64" i="126"/>
  <c r="CP63" i="126"/>
  <c r="CP62" i="126"/>
  <c r="CO62" i="126"/>
  <c r="CO61" i="126"/>
  <c r="CP60" i="126"/>
  <c r="CO60" i="126"/>
  <c r="CP59" i="126"/>
  <c r="CQ59" i="126" s="1"/>
  <c r="CO59" i="126"/>
  <c r="CO58" i="126"/>
  <c r="CP57" i="126"/>
  <c r="CO57" i="126"/>
  <c r="CP56" i="126"/>
  <c r="CO56" i="126"/>
  <c r="CQ56" i="126" s="1"/>
  <c r="CP55" i="126"/>
  <c r="CO55" i="126"/>
  <c r="CP52" i="126"/>
  <c r="CO52" i="126"/>
  <c r="CP51" i="126"/>
  <c r="CO51" i="126"/>
  <c r="CQ51" i="126" s="1"/>
  <c r="CP48" i="126"/>
  <c r="CP47" i="126"/>
  <c r="CP46" i="126"/>
  <c r="CO46" i="126"/>
  <c r="CP45" i="126"/>
  <c r="CP44" i="126"/>
  <c r="CO44" i="126"/>
  <c r="CP43" i="126"/>
  <c r="CP42" i="126"/>
  <c r="CO42" i="126"/>
  <c r="CP36" i="126"/>
  <c r="CP35" i="126" s="1"/>
  <c r="CO33" i="126"/>
  <c r="CP32" i="126"/>
  <c r="CO32" i="126"/>
  <c r="CQ32" i="126" s="1"/>
  <c r="CO31" i="126"/>
  <c r="CO30" i="126"/>
  <c r="CP27" i="126"/>
  <c r="CP26" i="126"/>
  <c r="CP24" i="126"/>
  <c r="CP23" i="126"/>
  <c r="CQ23" i="126" s="1"/>
  <c r="CO23" i="126"/>
  <c r="CP22" i="126"/>
  <c r="CP21" i="126"/>
  <c r="CP20" i="126"/>
  <c r="CP19" i="126"/>
  <c r="CP18" i="126"/>
  <c r="CP17" i="126"/>
  <c r="CO17" i="126"/>
  <c r="CO16" i="126"/>
  <c r="CP15" i="126"/>
  <c r="CO15" i="126"/>
  <c r="CP14" i="126"/>
  <c r="CO14" i="126"/>
  <c r="CP13" i="126"/>
  <c r="CO13" i="126"/>
  <c r="CP11" i="126"/>
  <c r="CP10" i="126"/>
  <c r="CP9" i="126"/>
  <c r="CP6" i="126"/>
  <c r="CE18" i="126"/>
  <c r="CE8" i="126" s="1"/>
  <c r="BZ18" i="126"/>
  <c r="CB18" i="126" s="1"/>
  <c r="CG85" i="126"/>
  <c r="CG82" i="126"/>
  <c r="CG78" i="126"/>
  <c r="CF77" i="126"/>
  <c r="CE77" i="126"/>
  <c r="CG74" i="126"/>
  <c r="CF73" i="126"/>
  <c r="CE73" i="126"/>
  <c r="CF58" i="126"/>
  <c r="CF54" i="126" s="1"/>
  <c r="CG57" i="126"/>
  <c r="CG56" i="126"/>
  <c r="CG55" i="126"/>
  <c r="CE54" i="126"/>
  <c r="CG52" i="126"/>
  <c r="CG51" i="126"/>
  <c r="CF50" i="126"/>
  <c r="CE50" i="126"/>
  <c r="CG48" i="126"/>
  <c r="CG47" i="126"/>
  <c r="CG46" i="126"/>
  <c r="CG45" i="126"/>
  <c r="CG44" i="126"/>
  <c r="CG43" i="126"/>
  <c r="CG42" i="126"/>
  <c r="CF41" i="126"/>
  <c r="CG36" i="126"/>
  <c r="CG33" i="126"/>
  <c r="CG32" i="126"/>
  <c r="CG31" i="126"/>
  <c r="CG30" i="126"/>
  <c r="CG29" i="126"/>
  <c r="CG28" i="126"/>
  <c r="CG27" i="126"/>
  <c r="CG24" i="126"/>
  <c r="CG23" i="126"/>
  <c r="CG22" i="126"/>
  <c r="CG21" i="126"/>
  <c r="CG20" i="126"/>
  <c r="CG19" i="126"/>
  <c r="CG17" i="126"/>
  <c r="CG16" i="126"/>
  <c r="CG15" i="126"/>
  <c r="CG14" i="126"/>
  <c r="CG13" i="126"/>
  <c r="CG12" i="126"/>
  <c r="CG11" i="126"/>
  <c r="CG10" i="126"/>
  <c r="CG9" i="126"/>
  <c r="CF8" i="126"/>
  <c r="CG7" i="126"/>
  <c r="CG6" i="126"/>
  <c r="CF5" i="126"/>
  <c r="CE5" i="126"/>
  <c r="CL85" i="126"/>
  <c r="CB85" i="126"/>
  <c r="BW85" i="126"/>
  <c r="BR85" i="126"/>
  <c r="BM85" i="126"/>
  <c r="BH85" i="126"/>
  <c r="BC85" i="126"/>
  <c r="AX85" i="126"/>
  <c r="AS85" i="126"/>
  <c r="AN85" i="126"/>
  <c r="AI85" i="126"/>
  <c r="AD85" i="126"/>
  <c r="Y85" i="126"/>
  <c r="T85" i="126"/>
  <c r="O85" i="126"/>
  <c r="I85" i="126"/>
  <c r="E85" i="126"/>
  <c r="CL82" i="126"/>
  <c r="CB82" i="126"/>
  <c r="BW82" i="126"/>
  <c r="BR82" i="126"/>
  <c r="BM82" i="126"/>
  <c r="BH82" i="126"/>
  <c r="BC82" i="126"/>
  <c r="AX82" i="126"/>
  <c r="AS82" i="126"/>
  <c r="AN82" i="126"/>
  <c r="AI82" i="126"/>
  <c r="AD82" i="126"/>
  <c r="Y82" i="126"/>
  <c r="T82" i="126"/>
  <c r="O82" i="126"/>
  <c r="I82" i="126"/>
  <c r="E82" i="126"/>
  <c r="CP80" i="126"/>
  <c r="CO80" i="126"/>
  <c r="CP77" i="126"/>
  <c r="BW79" i="126"/>
  <c r="BR79" i="126"/>
  <c r="BM79" i="126"/>
  <c r="BH79" i="126"/>
  <c r="BC79" i="126"/>
  <c r="AS79" i="126"/>
  <c r="AN79" i="126"/>
  <c r="AI79" i="126"/>
  <c r="AD79" i="126"/>
  <c r="Y79" i="126"/>
  <c r="E79" i="126"/>
  <c r="CL78" i="126"/>
  <c r="CB78" i="126"/>
  <c r="BW78" i="126"/>
  <c r="BR78" i="126"/>
  <c r="BM78" i="126"/>
  <c r="BM77" i="126" s="1"/>
  <c r="BH78" i="126"/>
  <c r="BC78" i="126"/>
  <c r="AX78" i="126"/>
  <c r="AS78" i="126"/>
  <c r="AN78" i="126"/>
  <c r="AI78" i="126"/>
  <c r="AD78" i="126"/>
  <c r="Y78" i="126"/>
  <c r="T78" i="126"/>
  <c r="O78" i="126"/>
  <c r="O77" i="126" s="1"/>
  <c r="I78" i="126"/>
  <c r="I77" i="126" s="1"/>
  <c r="E78" i="126"/>
  <c r="E77" i="126" s="1"/>
  <c r="CK77" i="126"/>
  <c r="CJ77" i="126"/>
  <c r="CB77" i="126"/>
  <c r="CA77" i="126"/>
  <c r="BZ77" i="126"/>
  <c r="BV77" i="126"/>
  <c r="BU77" i="126"/>
  <c r="BQ77" i="126"/>
  <c r="BP77" i="126"/>
  <c r="BL77" i="126"/>
  <c r="BK77" i="126"/>
  <c r="BG77" i="126"/>
  <c r="BF77" i="126"/>
  <c r="BB77" i="126"/>
  <c r="BA77" i="126"/>
  <c r="AX77" i="126"/>
  <c r="AW77" i="126"/>
  <c r="AV77" i="126"/>
  <c r="AR77" i="126"/>
  <c r="AQ77" i="126"/>
  <c r="AM77" i="126"/>
  <c r="AL77" i="126"/>
  <c r="AH77" i="126"/>
  <c r="AG77" i="126"/>
  <c r="AC77" i="126"/>
  <c r="AB77" i="126"/>
  <c r="X77" i="126"/>
  <c r="W77" i="126"/>
  <c r="T77" i="126"/>
  <c r="S77" i="126"/>
  <c r="R77" i="126"/>
  <c r="N77" i="126"/>
  <c r="M77" i="126"/>
  <c r="H77" i="126"/>
  <c r="G77" i="126"/>
  <c r="D77" i="126"/>
  <c r="C77" i="126"/>
  <c r="X75" i="126"/>
  <c r="X81" i="126" s="1"/>
  <c r="X83" i="126" s="1"/>
  <c r="W75" i="126"/>
  <c r="W81" i="126" s="1"/>
  <c r="W83" i="126" s="1"/>
  <c r="S75" i="126"/>
  <c r="S81" i="126" s="1"/>
  <c r="R75" i="126"/>
  <c r="N75" i="126"/>
  <c r="N81" i="126" s="1"/>
  <c r="N83" i="126" s="1"/>
  <c r="M75" i="126"/>
  <c r="M81" i="126" s="1"/>
  <c r="M83" i="126" s="1"/>
  <c r="CL74" i="126"/>
  <c r="CL73" i="126" s="1"/>
  <c r="CB74" i="126"/>
  <c r="CB73" i="126" s="1"/>
  <c r="BW74" i="126"/>
  <c r="BR74" i="126"/>
  <c r="BR73" i="126" s="1"/>
  <c r="BM74" i="126"/>
  <c r="BH74" i="126"/>
  <c r="BH73" i="126" s="1"/>
  <c r="BC74" i="126"/>
  <c r="AX74" i="126"/>
  <c r="AX73" i="126" s="1"/>
  <c r="AS74" i="126"/>
  <c r="AS73" i="126" s="1"/>
  <c r="AN74" i="126"/>
  <c r="AN73" i="126" s="1"/>
  <c r="AI74" i="126"/>
  <c r="AD74" i="126"/>
  <c r="AD73" i="126" s="1"/>
  <c r="Y74" i="126"/>
  <c r="Y73" i="126" s="1"/>
  <c r="T74" i="126"/>
  <c r="T73" i="126" s="1"/>
  <c r="O74" i="126"/>
  <c r="I74" i="126"/>
  <c r="E74" i="126"/>
  <c r="CK73" i="126"/>
  <c r="CJ73" i="126"/>
  <c r="CA73" i="126"/>
  <c r="BZ73" i="126"/>
  <c r="BW73" i="126"/>
  <c r="BV73" i="126"/>
  <c r="BU73" i="126"/>
  <c r="BQ73" i="126"/>
  <c r="BP73" i="126"/>
  <c r="BM73" i="126"/>
  <c r="BL73" i="126"/>
  <c r="BK73" i="126"/>
  <c r="BG73" i="126"/>
  <c r="BF73" i="126"/>
  <c r="BC73" i="126"/>
  <c r="BB73" i="126"/>
  <c r="BA73" i="126"/>
  <c r="AW73" i="126"/>
  <c r="AV73" i="126"/>
  <c r="AR73" i="126"/>
  <c r="AQ73" i="126"/>
  <c r="AM73" i="126"/>
  <c r="AL73" i="126"/>
  <c r="AH73" i="126"/>
  <c r="AG73" i="126"/>
  <c r="AC73" i="126"/>
  <c r="AB73" i="126"/>
  <c r="X73" i="126"/>
  <c r="W73" i="126"/>
  <c r="S73" i="126"/>
  <c r="R73" i="126"/>
  <c r="N73" i="126"/>
  <c r="M73" i="126"/>
  <c r="H73" i="126"/>
  <c r="G73" i="126"/>
  <c r="E73" i="126"/>
  <c r="D73" i="126"/>
  <c r="C73" i="126"/>
  <c r="BW71" i="126"/>
  <c r="BR71" i="126"/>
  <c r="BM71" i="126"/>
  <c r="BH71" i="126"/>
  <c r="BC71" i="126"/>
  <c r="AX71" i="126"/>
  <c r="AS71" i="126"/>
  <c r="AN71" i="126"/>
  <c r="AI71" i="126"/>
  <c r="AD71" i="126"/>
  <c r="Y71" i="126"/>
  <c r="T71" i="126"/>
  <c r="O71" i="126"/>
  <c r="I71" i="126"/>
  <c r="E71" i="126"/>
  <c r="BW70" i="126"/>
  <c r="BR70" i="126"/>
  <c r="BM70" i="126"/>
  <c r="BH70" i="126"/>
  <c r="BC70" i="126"/>
  <c r="AX70" i="126"/>
  <c r="AS70" i="126"/>
  <c r="AN70" i="126"/>
  <c r="AI70" i="126"/>
  <c r="AD70" i="126"/>
  <c r="Y70" i="126"/>
  <c r="T70" i="126"/>
  <c r="O70" i="126"/>
  <c r="I70" i="126"/>
  <c r="E70" i="126"/>
  <c r="BW69" i="126"/>
  <c r="BR69" i="126"/>
  <c r="BM69" i="126"/>
  <c r="BH69" i="126"/>
  <c r="BC69" i="126"/>
  <c r="AX69" i="126"/>
  <c r="AS69" i="126"/>
  <c r="AN69" i="126"/>
  <c r="AI69" i="126"/>
  <c r="AD69" i="126"/>
  <c r="Y69" i="126"/>
  <c r="T69" i="126"/>
  <c r="O69" i="126"/>
  <c r="I69" i="126"/>
  <c r="E69" i="126"/>
  <c r="CQ68" i="126"/>
  <c r="BW68" i="126"/>
  <c r="BR68" i="126"/>
  <c r="BM68" i="126"/>
  <c r="BH68" i="126"/>
  <c r="BC68" i="126"/>
  <c r="AX68" i="126"/>
  <c r="AS68" i="126"/>
  <c r="AN68" i="126"/>
  <c r="AI68" i="126"/>
  <c r="AD68" i="126"/>
  <c r="Y68" i="126"/>
  <c r="T68" i="126"/>
  <c r="O68" i="126"/>
  <c r="I68" i="126"/>
  <c r="E68" i="126"/>
  <c r="BW67" i="126"/>
  <c r="BR67" i="126"/>
  <c r="BM67" i="126"/>
  <c r="BH67" i="126"/>
  <c r="BC67" i="126"/>
  <c r="AX67" i="126"/>
  <c r="AS67" i="126"/>
  <c r="AN67" i="126"/>
  <c r="AI67" i="126"/>
  <c r="AD67" i="126"/>
  <c r="Y67" i="126"/>
  <c r="T67" i="126"/>
  <c r="O67" i="126"/>
  <c r="I67" i="126"/>
  <c r="E67" i="126"/>
  <c r="BW66" i="126"/>
  <c r="BR66" i="126"/>
  <c r="BM66" i="126"/>
  <c r="BH66" i="126"/>
  <c r="BC66" i="126"/>
  <c r="AX66" i="126"/>
  <c r="AS66" i="126"/>
  <c r="AN66" i="126"/>
  <c r="AI66" i="126"/>
  <c r="AD66" i="126"/>
  <c r="Y66" i="126"/>
  <c r="T66" i="126"/>
  <c r="O66" i="126"/>
  <c r="I66" i="126"/>
  <c r="E66" i="126"/>
  <c r="BW65" i="126"/>
  <c r="BP65" i="126"/>
  <c r="BR65" i="126" s="1"/>
  <c r="BL65" i="126"/>
  <c r="BM65" i="126" s="1"/>
  <c r="BF65" i="126"/>
  <c r="BA65" i="126"/>
  <c r="AV65" i="126"/>
  <c r="AX65" i="126" s="1"/>
  <c r="AQ65" i="126"/>
  <c r="AS65" i="126" s="1"/>
  <c r="AL65" i="126"/>
  <c r="AN65" i="126" s="1"/>
  <c r="AG65" i="126"/>
  <c r="AI65" i="126" s="1"/>
  <c r="AD65" i="126"/>
  <c r="Y65" i="126"/>
  <c r="R65" i="126"/>
  <c r="T65" i="126" s="1"/>
  <c r="M65" i="126"/>
  <c r="I65" i="126"/>
  <c r="E65" i="126"/>
  <c r="BW64" i="126"/>
  <c r="BR64" i="126"/>
  <c r="BM64" i="126"/>
  <c r="BH64" i="126"/>
  <c r="BC64" i="126"/>
  <c r="AX64" i="126"/>
  <c r="AS64" i="126"/>
  <c r="AN64" i="126"/>
  <c r="AI64" i="126"/>
  <c r="AD64" i="126"/>
  <c r="Y64" i="126"/>
  <c r="T64" i="126"/>
  <c r="O64" i="126"/>
  <c r="I64" i="126"/>
  <c r="E64" i="126"/>
  <c r="BW63" i="126"/>
  <c r="BR63" i="126"/>
  <c r="BM63" i="126"/>
  <c r="BH63" i="126"/>
  <c r="BA63" i="126"/>
  <c r="BC63" i="126" s="1"/>
  <c r="AX63" i="126"/>
  <c r="AS63" i="126"/>
  <c r="AL63" i="126"/>
  <c r="AN63" i="126" s="1"/>
  <c r="AG63" i="126"/>
  <c r="AD63" i="126"/>
  <c r="Y63" i="126"/>
  <c r="T63" i="126"/>
  <c r="O63" i="126"/>
  <c r="I63" i="126"/>
  <c r="E63" i="126"/>
  <c r="BW62" i="126"/>
  <c r="BR62" i="126"/>
  <c r="BM62" i="126"/>
  <c r="BH62" i="126"/>
  <c r="BC62" i="126"/>
  <c r="AX62" i="126"/>
  <c r="AS62" i="126"/>
  <c r="AN62" i="126"/>
  <c r="AI62" i="126"/>
  <c r="AD62" i="126"/>
  <c r="Y62" i="126"/>
  <c r="T62" i="126"/>
  <c r="O62" i="126"/>
  <c r="I62" i="126"/>
  <c r="E62" i="126"/>
  <c r="BV61" i="126"/>
  <c r="BQ61" i="126"/>
  <c r="BR61" i="126" s="1"/>
  <c r="BM61" i="126"/>
  <c r="BH61" i="126"/>
  <c r="BC61" i="126"/>
  <c r="AX61" i="126"/>
  <c r="AS61" i="126"/>
  <c r="AN61" i="126"/>
  <c r="AI61" i="126"/>
  <c r="AD61" i="126"/>
  <c r="Y61" i="126"/>
  <c r="T61" i="126"/>
  <c r="O61" i="126"/>
  <c r="I61" i="126"/>
  <c r="E61" i="126"/>
  <c r="BW60" i="126"/>
  <c r="BR60" i="126"/>
  <c r="BM60" i="126"/>
  <c r="BH60" i="126"/>
  <c r="BC60" i="126"/>
  <c r="AX60" i="126"/>
  <c r="AS60" i="126"/>
  <c r="AN60" i="126"/>
  <c r="AI60" i="126"/>
  <c r="AD60" i="126"/>
  <c r="Y60" i="126"/>
  <c r="T60" i="126"/>
  <c r="O60" i="126"/>
  <c r="I60" i="126"/>
  <c r="E60" i="126"/>
  <c r="BW59" i="126"/>
  <c r="BR59" i="126"/>
  <c r="BM59" i="126"/>
  <c r="BH59" i="126"/>
  <c r="BC59" i="126"/>
  <c r="AX59" i="126"/>
  <c r="AS59" i="126"/>
  <c r="AN59" i="126"/>
  <c r="AI59" i="126"/>
  <c r="AD59" i="126"/>
  <c r="Y59" i="126"/>
  <c r="T59" i="126"/>
  <c r="O59" i="126"/>
  <c r="I59" i="126"/>
  <c r="E59" i="126"/>
  <c r="CK58" i="126"/>
  <c r="CK54" i="126" s="1"/>
  <c r="CA58" i="126"/>
  <c r="BV58" i="126"/>
  <c r="BW58" i="126" s="1"/>
  <c r="BR58" i="126"/>
  <c r="BM58" i="126"/>
  <c r="BH58" i="126"/>
  <c r="BC58" i="126"/>
  <c r="AX58" i="126"/>
  <c r="AR58" i="126"/>
  <c r="CP58" i="126" s="1"/>
  <c r="AN58" i="126"/>
  <c r="AI58" i="126"/>
  <c r="AD58" i="126"/>
  <c r="Y58" i="126"/>
  <c r="T58" i="126"/>
  <c r="O58" i="126"/>
  <c r="I58" i="126"/>
  <c r="E58" i="126"/>
  <c r="CL57" i="126"/>
  <c r="CB57" i="126"/>
  <c r="BW57" i="126"/>
  <c r="BR57" i="126"/>
  <c r="BM57" i="126"/>
  <c r="BH57" i="126"/>
  <c r="BC57" i="126"/>
  <c r="AX57" i="126"/>
  <c r="AS57" i="126"/>
  <c r="AN57" i="126"/>
  <c r="AI57" i="126"/>
  <c r="AD57" i="126"/>
  <c r="Y57" i="126"/>
  <c r="T57" i="126"/>
  <c r="O57" i="126"/>
  <c r="I57" i="126"/>
  <c r="E57" i="126"/>
  <c r="CL56" i="126"/>
  <c r="CB56" i="126"/>
  <c r="BW56" i="126"/>
  <c r="BR56" i="126"/>
  <c r="BM56" i="126"/>
  <c r="BH56" i="126"/>
  <c r="BC56" i="126"/>
  <c r="AX56" i="126"/>
  <c r="AS56" i="126"/>
  <c r="AN56" i="126"/>
  <c r="AI56" i="126"/>
  <c r="AD56" i="126"/>
  <c r="Y56" i="126"/>
  <c r="T56" i="126"/>
  <c r="O56" i="126"/>
  <c r="I56" i="126"/>
  <c r="E56" i="126"/>
  <c r="CL55" i="126"/>
  <c r="CB55" i="126"/>
  <c r="BW55" i="126"/>
  <c r="BR55" i="126"/>
  <c r="BM55" i="126"/>
  <c r="BH55" i="126"/>
  <c r="BC55" i="126"/>
  <c r="AX55" i="126"/>
  <c r="AS55" i="126"/>
  <c r="AN55" i="126"/>
  <c r="AI55" i="126"/>
  <c r="AD55" i="126"/>
  <c r="Y55" i="126"/>
  <c r="T55" i="126"/>
  <c r="O55" i="126"/>
  <c r="I55" i="126"/>
  <c r="E55" i="126"/>
  <c r="CJ54" i="126"/>
  <c r="BZ54" i="126"/>
  <c r="BU54" i="126"/>
  <c r="BL54" i="126"/>
  <c r="BK54" i="126"/>
  <c r="BG54" i="126"/>
  <c r="BB54" i="126"/>
  <c r="AW54" i="126"/>
  <c r="AV54" i="126"/>
  <c r="AQ54" i="126"/>
  <c r="AM54" i="126"/>
  <c r="AH54" i="126"/>
  <c r="AG54" i="126"/>
  <c r="AC54" i="126"/>
  <c r="AB54" i="126"/>
  <c r="H54" i="126"/>
  <c r="G54" i="126"/>
  <c r="D54" i="126"/>
  <c r="C54" i="126"/>
  <c r="CP53" i="126"/>
  <c r="CO53" i="126"/>
  <c r="CL52" i="126"/>
  <c r="CB52" i="126"/>
  <c r="BW52" i="126"/>
  <c r="BR52" i="126"/>
  <c r="BM52" i="126"/>
  <c r="BH52" i="126"/>
  <c r="BC52" i="126"/>
  <c r="AX52" i="126"/>
  <c r="AS52" i="126"/>
  <c r="AN52" i="126"/>
  <c r="AI52" i="126"/>
  <c r="AD52" i="126"/>
  <c r="Y52" i="126"/>
  <c r="T52" i="126"/>
  <c r="O52" i="126"/>
  <c r="I52" i="126"/>
  <c r="E52" i="126"/>
  <c r="CL51" i="126"/>
  <c r="CL50" i="126" s="1"/>
  <c r="CB51" i="126"/>
  <c r="CB50" i="126" s="1"/>
  <c r="BW51" i="126"/>
  <c r="BR51" i="126"/>
  <c r="BM51" i="126"/>
  <c r="BH51" i="126"/>
  <c r="BH50" i="126" s="1"/>
  <c r="BC51" i="126"/>
  <c r="BC50" i="126" s="1"/>
  <c r="AX51" i="126"/>
  <c r="AS51" i="126"/>
  <c r="AN51" i="126"/>
  <c r="AN50" i="126" s="1"/>
  <c r="AI51" i="126"/>
  <c r="AI50" i="126" s="1"/>
  <c r="AD51" i="126"/>
  <c r="Y51" i="126"/>
  <c r="T51" i="126"/>
  <c r="T50" i="126" s="1"/>
  <c r="O51" i="126"/>
  <c r="O50" i="126" s="1"/>
  <c r="I51" i="126"/>
  <c r="E51" i="126"/>
  <c r="E50" i="126" s="1"/>
  <c r="CK50" i="126"/>
  <c r="CJ50" i="126"/>
  <c r="CA50" i="126"/>
  <c r="BZ50" i="126"/>
  <c r="BV50" i="126"/>
  <c r="BU50" i="126"/>
  <c r="BQ50" i="126"/>
  <c r="BP50" i="126"/>
  <c r="BL50" i="126"/>
  <c r="BK50" i="126"/>
  <c r="BG50" i="126"/>
  <c r="BF50" i="126"/>
  <c r="BB50" i="126"/>
  <c r="BA50" i="126"/>
  <c r="AW50" i="126"/>
  <c r="AV50" i="126"/>
  <c r="AR50" i="126"/>
  <c r="AQ50" i="126"/>
  <c r="AM50" i="126"/>
  <c r="AL50" i="126"/>
  <c r="AH50" i="126"/>
  <c r="AG50" i="126"/>
  <c r="H50" i="126"/>
  <c r="G50" i="126"/>
  <c r="D50" i="126"/>
  <c r="C50" i="126"/>
  <c r="CP49" i="126"/>
  <c r="CO49" i="126"/>
  <c r="CL48" i="126"/>
  <c r="CB48" i="126"/>
  <c r="BW48" i="126"/>
  <c r="BR48" i="126"/>
  <c r="BK48" i="126"/>
  <c r="BM48" i="126" s="1"/>
  <c r="BF48" i="126"/>
  <c r="BH48" i="126" s="1"/>
  <c r="BC48" i="126"/>
  <c r="AV48" i="126"/>
  <c r="AQ48" i="126"/>
  <c r="AS48" i="126" s="1"/>
  <c r="AN48" i="126"/>
  <c r="AI48" i="126"/>
  <c r="AD48" i="126"/>
  <c r="Y48" i="126"/>
  <c r="T48" i="126"/>
  <c r="O48" i="126"/>
  <c r="I48" i="126"/>
  <c r="E48" i="126"/>
  <c r="CL47" i="126"/>
  <c r="CB47" i="126"/>
  <c r="BU47" i="126"/>
  <c r="BP47" i="126"/>
  <c r="BM47" i="126"/>
  <c r="BH47" i="126"/>
  <c r="BA47" i="126"/>
  <c r="BC47" i="126" s="1"/>
  <c r="AX47" i="126"/>
  <c r="AS47" i="126"/>
  <c r="AN47" i="126"/>
  <c r="AI47" i="126"/>
  <c r="AD47" i="126"/>
  <c r="Y47" i="126"/>
  <c r="R47" i="126"/>
  <c r="O47" i="126"/>
  <c r="I47" i="126"/>
  <c r="E47" i="126"/>
  <c r="CL46" i="126"/>
  <c r="CB46" i="126"/>
  <c r="BW46" i="126"/>
  <c r="BR46" i="126"/>
  <c r="BM46" i="126"/>
  <c r="BH46" i="126"/>
  <c r="BC46" i="126"/>
  <c r="AX46" i="126"/>
  <c r="AS46" i="126"/>
  <c r="AN46" i="126"/>
  <c r="AI46" i="126"/>
  <c r="AD46" i="126"/>
  <c r="Y46" i="126"/>
  <c r="T46" i="126"/>
  <c r="O46" i="126"/>
  <c r="I46" i="126"/>
  <c r="E46" i="126"/>
  <c r="CL45" i="126"/>
  <c r="CB45" i="126"/>
  <c r="BW45" i="126"/>
  <c r="BR45" i="126"/>
  <c r="BK45" i="126"/>
  <c r="BF45" i="126"/>
  <c r="BA45" i="126"/>
  <c r="BC45" i="126" s="1"/>
  <c r="AV45" i="126"/>
  <c r="AX45" i="126" s="1"/>
  <c r="AQ45" i="126"/>
  <c r="AL45" i="126"/>
  <c r="AG45" i="126"/>
  <c r="AI45" i="126" s="1"/>
  <c r="AD45" i="126"/>
  <c r="Y45" i="126"/>
  <c r="T45" i="126"/>
  <c r="M45" i="126"/>
  <c r="I45" i="126"/>
  <c r="E45" i="126"/>
  <c r="CL44" i="126"/>
  <c r="CB44" i="126"/>
  <c r="BW44" i="126"/>
  <c r="BR44" i="126"/>
  <c r="BM44" i="126"/>
  <c r="BH44" i="126"/>
  <c r="BC44" i="126"/>
  <c r="AX44" i="126"/>
  <c r="AS44" i="126"/>
  <c r="AN44" i="126"/>
  <c r="AI44" i="126"/>
  <c r="AD44" i="126"/>
  <c r="Y44" i="126"/>
  <c r="T44" i="126"/>
  <c r="O44" i="126"/>
  <c r="I44" i="126"/>
  <c r="E44" i="126"/>
  <c r="CL43" i="126"/>
  <c r="BZ43" i="126"/>
  <c r="BZ41" i="126" s="1"/>
  <c r="BW43" i="126"/>
  <c r="BR43" i="126"/>
  <c r="BK43" i="126"/>
  <c r="BM43" i="126" s="1"/>
  <c r="BF43" i="126"/>
  <c r="BH43" i="126" s="1"/>
  <c r="BA43" i="126"/>
  <c r="BC43" i="126" s="1"/>
  <c r="AX43" i="126"/>
  <c r="AS43" i="126"/>
  <c r="AN43" i="126"/>
  <c r="AG43" i="126"/>
  <c r="AD43" i="126"/>
  <c r="Y43" i="126"/>
  <c r="T43" i="126"/>
  <c r="O43" i="126"/>
  <c r="I43" i="126"/>
  <c r="E43" i="126"/>
  <c r="CL42" i="126"/>
  <c r="CB42" i="126"/>
  <c r="BW42" i="126"/>
  <c r="BR42" i="126"/>
  <c r="BM42" i="126"/>
  <c r="BH42" i="126"/>
  <c r="BC42" i="126"/>
  <c r="AX42" i="126"/>
  <c r="AS42" i="126"/>
  <c r="AN42" i="126"/>
  <c r="AI42" i="126"/>
  <c r="AD42" i="126"/>
  <c r="Y42" i="126"/>
  <c r="T42" i="126"/>
  <c r="O42" i="126"/>
  <c r="I42" i="126"/>
  <c r="E42" i="126"/>
  <c r="CK41" i="126"/>
  <c r="CJ41" i="126"/>
  <c r="CA41" i="126"/>
  <c r="BV41" i="126"/>
  <c r="BQ41" i="126"/>
  <c r="BL41" i="126"/>
  <c r="BG41" i="126"/>
  <c r="BB41" i="126"/>
  <c r="AW41" i="126"/>
  <c r="AR41" i="126"/>
  <c r="AM41" i="126"/>
  <c r="AH41" i="126"/>
  <c r="AC41" i="126"/>
  <c r="AB41" i="126"/>
  <c r="H41" i="126"/>
  <c r="G41" i="126"/>
  <c r="D41" i="126"/>
  <c r="C41" i="126"/>
  <c r="CL36" i="126"/>
  <c r="CL35" i="126" s="1"/>
  <c r="CB36" i="126"/>
  <c r="BW36" i="126"/>
  <c r="BR36" i="126"/>
  <c r="BM36" i="126"/>
  <c r="BM35" i="126" s="1"/>
  <c r="BH36" i="126"/>
  <c r="BC36" i="126"/>
  <c r="BC35" i="126" s="1"/>
  <c r="AX36" i="126"/>
  <c r="AX35" i="126" s="1"/>
  <c r="AQ36" i="126"/>
  <c r="AS36" i="126" s="1"/>
  <c r="AS35" i="126" s="1"/>
  <c r="AN36" i="126"/>
  <c r="AN35" i="126" s="1"/>
  <c r="AI36" i="126"/>
  <c r="AD36" i="126"/>
  <c r="Y36" i="126"/>
  <c r="Y35" i="126" s="1"/>
  <c r="R36" i="126"/>
  <c r="T36" i="126" s="1"/>
  <c r="T35" i="126" s="1"/>
  <c r="O36" i="126"/>
  <c r="I36" i="126"/>
  <c r="I35" i="126" s="1"/>
  <c r="E36" i="126"/>
  <c r="CB35" i="126"/>
  <c r="BR35" i="126"/>
  <c r="BJ35" i="126"/>
  <c r="BG35" i="126"/>
  <c r="BF35" i="126"/>
  <c r="BE35" i="126"/>
  <c r="BB35" i="126"/>
  <c r="BA35" i="126"/>
  <c r="AZ35" i="126"/>
  <c r="AW35" i="126"/>
  <c r="AV35" i="126"/>
  <c r="AR35" i="126"/>
  <c r="AP35" i="126"/>
  <c r="AO35" i="126"/>
  <c r="AM35" i="126"/>
  <c r="AL35" i="126"/>
  <c r="AK35" i="126"/>
  <c r="AI35" i="126"/>
  <c r="AH35" i="126"/>
  <c r="AG35" i="126"/>
  <c r="AC35" i="126"/>
  <c r="AB35" i="126"/>
  <c r="N35" i="126"/>
  <c r="M35" i="126"/>
  <c r="H35" i="126"/>
  <c r="G35" i="126"/>
  <c r="D35" i="126"/>
  <c r="C35" i="126"/>
  <c r="CL33" i="126"/>
  <c r="CB33" i="126"/>
  <c r="BW33" i="126"/>
  <c r="BR33" i="126"/>
  <c r="BL33" i="126"/>
  <c r="BM33" i="126" s="1"/>
  <c r="BH33" i="126"/>
  <c r="BB33" i="126"/>
  <c r="BC33" i="126" s="1"/>
  <c r="AX33" i="126"/>
  <c r="AS33" i="126"/>
  <c r="AN33" i="126"/>
  <c r="AH33" i="126"/>
  <c r="AI33" i="126" s="1"/>
  <c r="AD33" i="126"/>
  <c r="Y33" i="126"/>
  <c r="T33" i="126"/>
  <c r="O33" i="126"/>
  <c r="I33" i="126"/>
  <c r="E33" i="126"/>
  <c r="CL32" i="126"/>
  <c r="CB32" i="126"/>
  <c r="BW32" i="126"/>
  <c r="BR32" i="126"/>
  <c r="BM32" i="126"/>
  <c r="BH32" i="126"/>
  <c r="BC32" i="126"/>
  <c r="AX32" i="126"/>
  <c r="AS32" i="126"/>
  <c r="AN32" i="126"/>
  <c r="AI32" i="126"/>
  <c r="AD32" i="126"/>
  <c r="Y32" i="126"/>
  <c r="T32" i="126"/>
  <c r="O32" i="126"/>
  <c r="I32" i="126"/>
  <c r="E32" i="126"/>
  <c r="CL31" i="126"/>
  <c r="CB31" i="126"/>
  <c r="BW31" i="126"/>
  <c r="BR31" i="126"/>
  <c r="BM31" i="126"/>
  <c r="BH31" i="126"/>
  <c r="BB31" i="126"/>
  <c r="BC31" i="126" s="1"/>
  <c r="AX31" i="126"/>
  <c r="AS31" i="126"/>
  <c r="AN31" i="126"/>
  <c r="AI31" i="126"/>
  <c r="AD31" i="126"/>
  <c r="Y31" i="126"/>
  <c r="T31" i="126"/>
  <c r="O31" i="126"/>
  <c r="I31" i="126"/>
  <c r="E31" i="126"/>
  <c r="CL30" i="126"/>
  <c r="CB30" i="126"/>
  <c r="BW30" i="126"/>
  <c r="BR30" i="126"/>
  <c r="BQ30" i="126"/>
  <c r="BM30" i="126"/>
  <c r="BG30" i="126"/>
  <c r="BH30" i="126" s="1"/>
  <c r="BB30" i="126"/>
  <c r="BC30" i="126" s="1"/>
  <c r="AW30" i="126"/>
  <c r="AR30" i="126"/>
  <c r="AS30" i="126" s="1"/>
  <c r="AM30" i="126"/>
  <c r="AN30" i="126" s="1"/>
  <c r="AH30" i="126"/>
  <c r="AD30" i="126"/>
  <c r="Y30" i="126"/>
  <c r="T30" i="126"/>
  <c r="O30" i="126"/>
  <c r="H30" i="126"/>
  <c r="I30" i="126" s="1"/>
  <c r="E30" i="126"/>
  <c r="CL29" i="126"/>
  <c r="CB29" i="126"/>
  <c r="BW29" i="126"/>
  <c r="BR29" i="126"/>
  <c r="BM29" i="126"/>
  <c r="BF29" i="126"/>
  <c r="BH29" i="126" s="1"/>
  <c r="BA29" i="126"/>
  <c r="BC29" i="126" s="1"/>
  <c r="AV29" i="126"/>
  <c r="AX29" i="126" s="1"/>
  <c r="AS29" i="126"/>
  <c r="AL29" i="126"/>
  <c r="AN29" i="126" s="1"/>
  <c r="AH29" i="126"/>
  <c r="CP29" i="126" s="1"/>
  <c r="AD29" i="126"/>
  <c r="Y29" i="126"/>
  <c r="T29" i="126"/>
  <c r="O29" i="126"/>
  <c r="I29" i="126"/>
  <c r="E29" i="126"/>
  <c r="CL28" i="126"/>
  <c r="CB28" i="126"/>
  <c r="BU28" i="126"/>
  <c r="BW28" i="126" s="1"/>
  <c r="BP28" i="126"/>
  <c r="BR28" i="126" s="1"/>
  <c r="BK28" i="126"/>
  <c r="BM28" i="126" s="1"/>
  <c r="BF28" i="126"/>
  <c r="BH28" i="126" s="1"/>
  <c r="AV28" i="126"/>
  <c r="AX28" i="126" s="1"/>
  <c r="AQ28" i="126"/>
  <c r="AS28" i="126" s="1"/>
  <c r="AL28" i="126"/>
  <c r="AN28" i="126" s="1"/>
  <c r="AH28" i="126"/>
  <c r="CP28" i="126" s="1"/>
  <c r="AG28" i="126"/>
  <c r="AI28" i="126" s="1"/>
  <c r="AB28" i="126"/>
  <c r="AD28" i="126" s="1"/>
  <c r="W28" i="126"/>
  <c r="Y28" i="126" s="1"/>
  <c r="R28" i="126"/>
  <c r="T28" i="126" s="1"/>
  <c r="M28" i="126"/>
  <c r="O28" i="126" s="1"/>
  <c r="I28" i="126"/>
  <c r="E28" i="126"/>
  <c r="CL27" i="126"/>
  <c r="CB27" i="126"/>
  <c r="BW27" i="126"/>
  <c r="BP27" i="126"/>
  <c r="BR27" i="126" s="1"/>
  <c r="BK27" i="126"/>
  <c r="BM27" i="126" s="1"/>
  <c r="BF27" i="126"/>
  <c r="BH27" i="126" s="1"/>
  <c r="BA27" i="126"/>
  <c r="AX27" i="126"/>
  <c r="AS27" i="126"/>
  <c r="AN27" i="126"/>
  <c r="AI27" i="126"/>
  <c r="AD27" i="126"/>
  <c r="W27" i="126"/>
  <c r="T27" i="126"/>
  <c r="O27" i="126"/>
  <c r="I27" i="126"/>
  <c r="E27" i="126"/>
  <c r="CJ26" i="126"/>
  <c r="CL26" i="126" s="1"/>
  <c r="CB26" i="126"/>
  <c r="BW26" i="126"/>
  <c r="BP26" i="126"/>
  <c r="BR26" i="126" s="1"/>
  <c r="BK26" i="126"/>
  <c r="BM26" i="126" s="1"/>
  <c r="BF26" i="126"/>
  <c r="BH26" i="126" s="1"/>
  <c r="BA26" i="126"/>
  <c r="BC26" i="126" s="1"/>
  <c r="AV26" i="126"/>
  <c r="AX26" i="126" s="1"/>
  <c r="AQ26" i="126"/>
  <c r="AS26" i="126" s="1"/>
  <c r="AL26" i="126"/>
  <c r="AN26" i="126" s="1"/>
  <c r="AG26" i="126"/>
  <c r="AI26" i="126" s="1"/>
  <c r="AB26" i="126"/>
  <c r="AD26" i="126" s="1"/>
  <c r="W26" i="126"/>
  <c r="Y26" i="126" s="1"/>
  <c r="R26" i="126"/>
  <c r="O26" i="126"/>
  <c r="G26" i="126"/>
  <c r="I26" i="126" s="1"/>
  <c r="E26" i="126"/>
  <c r="CL25" i="126"/>
  <c r="BZ25" i="126"/>
  <c r="BW25" i="126"/>
  <c r="BP25" i="126"/>
  <c r="BR25" i="126" s="1"/>
  <c r="BK25" i="126"/>
  <c r="BM25" i="126" s="1"/>
  <c r="BF25" i="126"/>
  <c r="BH25" i="126" s="1"/>
  <c r="BA25" i="126"/>
  <c r="BC25" i="126" s="1"/>
  <c r="AV25" i="126"/>
  <c r="AX25" i="126" s="1"/>
  <c r="AQ25" i="126"/>
  <c r="AS25" i="126" s="1"/>
  <c r="AL25" i="126"/>
  <c r="AN25" i="126" s="1"/>
  <c r="AH25" i="126"/>
  <c r="CP25" i="126" s="1"/>
  <c r="AG25" i="126"/>
  <c r="AI25" i="126" s="1"/>
  <c r="AD25" i="126"/>
  <c r="Y25" i="126"/>
  <c r="R25" i="126"/>
  <c r="T25" i="126" s="1"/>
  <c r="O25" i="126"/>
  <c r="I25" i="126"/>
  <c r="E25" i="126"/>
  <c r="CL24" i="126"/>
  <c r="CB24" i="126"/>
  <c r="BU24" i="126"/>
  <c r="BW24" i="126" s="1"/>
  <c r="BP24" i="126"/>
  <c r="BK24" i="126"/>
  <c r="BM24" i="126" s="1"/>
  <c r="BF24" i="126"/>
  <c r="BH24" i="126" s="1"/>
  <c r="BA24" i="126"/>
  <c r="BC24" i="126" s="1"/>
  <c r="AV24" i="126"/>
  <c r="AQ24" i="126"/>
  <c r="AS24" i="126" s="1"/>
  <c r="AL24" i="126"/>
  <c r="AN24" i="126" s="1"/>
  <c r="AG24" i="126"/>
  <c r="AI24" i="126" s="1"/>
  <c r="AB24" i="126"/>
  <c r="AD24" i="126" s="1"/>
  <c r="Y24" i="126"/>
  <c r="R24" i="126"/>
  <c r="M24" i="126"/>
  <c r="O24" i="126" s="1"/>
  <c r="I24" i="126"/>
  <c r="E24" i="126"/>
  <c r="CL23" i="126"/>
  <c r="CB23" i="126"/>
  <c r="BW23" i="126"/>
  <c r="BR23" i="126"/>
  <c r="BM23" i="126"/>
  <c r="BH23" i="126"/>
  <c r="BC23" i="126"/>
  <c r="AX23" i="126"/>
  <c r="AS23" i="126"/>
  <c r="AN23" i="126"/>
  <c r="AI23" i="126"/>
  <c r="AD23" i="126"/>
  <c r="Y23" i="126"/>
  <c r="T23" i="126"/>
  <c r="O23" i="126"/>
  <c r="I23" i="126"/>
  <c r="E23" i="126"/>
  <c r="CL22" i="126"/>
  <c r="CB22" i="126"/>
  <c r="BW22" i="126"/>
  <c r="BP22" i="126"/>
  <c r="BR22" i="126" s="1"/>
  <c r="BK22" i="126"/>
  <c r="BM22" i="126" s="1"/>
  <c r="BF22" i="126"/>
  <c r="BH22" i="126" s="1"/>
  <c r="BA22" i="126"/>
  <c r="BC22" i="126" s="1"/>
  <c r="AV22" i="126"/>
  <c r="AX22" i="126" s="1"/>
  <c r="AQ22" i="126"/>
  <c r="AS22" i="126" s="1"/>
  <c r="AL22" i="126"/>
  <c r="AN22" i="126" s="1"/>
  <c r="AG22" i="126"/>
  <c r="AI22" i="126" s="1"/>
  <c r="AB22" i="126"/>
  <c r="AD22" i="126" s="1"/>
  <c r="W22" i="126"/>
  <c r="Y22" i="126" s="1"/>
  <c r="R22" i="126"/>
  <c r="T22" i="126" s="1"/>
  <c r="M22" i="126"/>
  <c r="O22" i="126" s="1"/>
  <c r="I22" i="126"/>
  <c r="E22" i="126"/>
  <c r="CL21" i="126"/>
  <c r="CB21" i="126"/>
  <c r="BW21" i="126"/>
  <c r="BR21" i="126"/>
  <c r="BM21" i="126"/>
  <c r="BH21" i="126"/>
  <c r="BC21" i="126"/>
  <c r="AX21" i="126"/>
  <c r="AS21" i="126"/>
  <c r="AL21" i="126"/>
  <c r="CO21" i="126" s="1"/>
  <c r="AI21" i="126"/>
  <c r="AD21" i="126"/>
  <c r="Y21" i="126"/>
  <c r="T21" i="126"/>
  <c r="O21" i="126"/>
  <c r="I21" i="126"/>
  <c r="E21" i="126"/>
  <c r="CL20" i="126"/>
  <c r="CB20" i="126"/>
  <c r="BW20" i="126"/>
  <c r="BP20" i="126"/>
  <c r="BR20" i="126" s="1"/>
  <c r="BM20" i="126"/>
  <c r="BF20" i="126"/>
  <c r="BH20" i="126" s="1"/>
  <c r="BC20" i="126"/>
  <c r="AX20" i="126"/>
  <c r="AV20" i="126"/>
  <c r="AS20" i="126"/>
  <c r="AN20" i="126"/>
  <c r="AI20" i="126"/>
  <c r="AD20" i="126"/>
  <c r="Y20" i="126"/>
  <c r="T20" i="126"/>
  <c r="O20" i="126"/>
  <c r="I20" i="126"/>
  <c r="E20" i="126"/>
  <c r="CL19" i="126"/>
  <c r="CB19" i="126"/>
  <c r="BW19" i="126"/>
  <c r="BR19" i="126"/>
  <c r="BK19" i="126"/>
  <c r="BM19" i="126" s="1"/>
  <c r="BH19" i="126"/>
  <c r="BC19" i="126"/>
  <c r="AX19" i="126"/>
  <c r="AS19" i="126"/>
  <c r="AN19" i="126"/>
  <c r="AG19" i="126"/>
  <c r="AI19" i="126" s="1"/>
  <c r="AB19" i="126"/>
  <c r="AD19" i="126" s="1"/>
  <c r="W19" i="126"/>
  <c r="Y19" i="126" s="1"/>
  <c r="T19" i="126"/>
  <c r="M19" i="126"/>
  <c r="I19" i="126"/>
  <c r="E19" i="126"/>
  <c r="CL18" i="126"/>
  <c r="BU18" i="126"/>
  <c r="BW18" i="126" s="1"/>
  <c r="BP18" i="126"/>
  <c r="BR18" i="126" s="1"/>
  <c r="BK18" i="126"/>
  <c r="BF18" i="126"/>
  <c r="BH18" i="126" s="1"/>
  <c r="BA18" i="126"/>
  <c r="BC18" i="126" s="1"/>
  <c r="AV18" i="126"/>
  <c r="AX18" i="126" s="1"/>
  <c r="AQ18" i="126"/>
  <c r="AS18" i="126" s="1"/>
  <c r="AL18" i="126"/>
  <c r="AN18" i="126" s="1"/>
  <c r="AG18" i="126"/>
  <c r="AI18" i="126" s="1"/>
  <c r="AB18" i="126"/>
  <c r="AD18" i="126" s="1"/>
  <c r="W18" i="126"/>
  <c r="Y18" i="126" s="1"/>
  <c r="R18" i="126"/>
  <c r="O18" i="126"/>
  <c r="G18" i="126"/>
  <c r="I18" i="126" s="1"/>
  <c r="E18" i="126"/>
  <c r="CL17" i="126"/>
  <c r="CB17" i="126"/>
  <c r="BW17" i="126"/>
  <c r="BR17" i="126"/>
  <c r="BM17" i="126"/>
  <c r="BH17" i="126"/>
  <c r="BC17" i="126"/>
  <c r="AX17" i="126"/>
  <c r="AS17" i="126"/>
  <c r="AN17" i="126"/>
  <c r="AI17" i="126"/>
  <c r="AD17" i="126"/>
  <c r="Y17" i="126"/>
  <c r="T17" i="126"/>
  <c r="O17" i="126"/>
  <c r="I17" i="126"/>
  <c r="E17" i="126"/>
  <c r="CL16" i="126"/>
  <c r="CB16" i="126"/>
  <c r="BW16" i="126"/>
  <c r="BQ16" i="126"/>
  <c r="BR16" i="126" s="1"/>
  <c r="BL16" i="126"/>
  <c r="BL8" i="126" s="1"/>
  <c r="BG16" i="126"/>
  <c r="BH16" i="126" s="1"/>
  <c r="BB16" i="126"/>
  <c r="BC16" i="126" s="1"/>
  <c r="AW16" i="126"/>
  <c r="AX16" i="126" s="1"/>
  <c r="AR16" i="126"/>
  <c r="AS16" i="126" s="1"/>
  <c r="AM16" i="126"/>
  <c r="AN16" i="126" s="1"/>
  <c r="AH16" i="126"/>
  <c r="AD16" i="126"/>
  <c r="Y16" i="126"/>
  <c r="T16" i="126"/>
  <c r="O16" i="126"/>
  <c r="I16" i="126"/>
  <c r="E16" i="126"/>
  <c r="CL15" i="126"/>
  <c r="CB15" i="126"/>
  <c r="BW15" i="126"/>
  <c r="BR15" i="126"/>
  <c r="BM15" i="126"/>
  <c r="BH15" i="126"/>
  <c r="BC15" i="126"/>
  <c r="AX15" i="126"/>
  <c r="AS15" i="126"/>
  <c r="AN15" i="126"/>
  <c r="AI15" i="126"/>
  <c r="AD15" i="126"/>
  <c r="Y15" i="126"/>
  <c r="T15" i="126"/>
  <c r="O15" i="126"/>
  <c r="H15" i="126"/>
  <c r="I15" i="126" s="1"/>
  <c r="E15" i="126"/>
  <c r="CL14" i="126"/>
  <c r="CB14" i="126"/>
  <c r="BW14" i="126"/>
  <c r="BR14" i="126"/>
  <c r="BM14" i="126"/>
  <c r="BH14" i="126"/>
  <c r="BC14" i="126"/>
  <c r="AX14" i="126"/>
  <c r="AS14" i="126"/>
  <c r="AN14" i="126"/>
  <c r="AI14" i="126"/>
  <c r="AD14" i="126"/>
  <c r="Y14" i="126"/>
  <c r="T14" i="126"/>
  <c r="O14" i="126"/>
  <c r="I14" i="126"/>
  <c r="E14" i="126"/>
  <c r="CL13" i="126"/>
  <c r="CB13" i="126"/>
  <c r="BW13" i="126"/>
  <c r="BR13" i="126"/>
  <c r="BM13" i="126"/>
  <c r="BH13" i="126"/>
  <c r="BC13" i="126"/>
  <c r="AX13" i="126"/>
  <c r="AS13" i="126"/>
  <c r="AN13" i="126"/>
  <c r="AI13" i="126"/>
  <c r="AD13" i="126"/>
  <c r="Y13" i="126"/>
  <c r="T13" i="126"/>
  <c r="O13" i="126"/>
  <c r="I13" i="126"/>
  <c r="E13" i="126"/>
  <c r="CL12" i="126"/>
  <c r="CB12" i="126"/>
  <c r="BW12" i="126"/>
  <c r="BR12" i="126"/>
  <c r="BM12" i="126"/>
  <c r="BH12" i="126"/>
  <c r="BA12" i="126"/>
  <c r="CO12" i="126" s="1"/>
  <c r="AX12" i="126"/>
  <c r="AR12" i="126"/>
  <c r="CP12" i="126" s="1"/>
  <c r="AN12" i="126"/>
  <c r="AI12" i="126"/>
  <c r="AD12" i="126"/>
  <c r="Y12" i="126"/>
  <c r="T12" i="126"/>
  <c r="O12" i="126"/>
  <c r="I12" i="126"/>
  <c r="E12" i="126"/>
  <c r="CL11" i="126"/>
  <c r="CB11" i="126"/>
  <c r="BW11" i="126"/>
  <c r="BR11" i="126"/>
  <c r="BM11" i="126"/>
  <c r="BH11" i="126"/>
  <c r="BA11" i="126"/>
  <c r="BC11" i="126" s="1"/>
  <c r="AX11" i="126"/>
  <c r="AS11" i="126"/>
  <c r="AN11" i="126"/>
  <c r="AI11" i="126"/>
  <c r="AD11" i="126"/>
  <c r="Y11" i="126"/>
  <c r="T11" i="126"/>
  <c r="O11" i="126"/>
  <c r="I11" i="126"/>
  <c r="E11" i="126"/>
  <c r="CL10" i="126"/>
  <c r="CB10" i="126"/>
  <c r="BW10" i="126"/>
  <c r="BR10" i="126"/>
  <c r="BM10" i="126"/>
  <c r="BH10" i="126"/>
  <c r="BA10" i="126"/>
  <c r="CO10" i="126" s="1"/>
  <c r="AX10" i="126"/>
  <c r="AS10" i="126"/>
  <c r="AN10" i="126"/>
  <c r="AI10" i="126"/>
  <c r="AD10" i="126"/>
  <c r="Y10" i="126"/>
  <c r="T10" i="126"/>
  <c r="O10" i="126"/>
  <c r="I10" i="126"/>
  <c r="E10" i="126"/>
  <c r="CL9" i="126"/>
  <c r="CB9" i="126"/>
  <c r="BW9" i="126"/>
  <c r="BR9" i="126"/>
  <c r="BM9" i="126"/>
  <c r="BH9" i="126"/>
  <c r="BA9" i="126"/>
  <c r="BC9" i="126" s="1"/>
  <c r="AX9" i="126"/>
  <c r="AS9" i="126"/>
  <c r="AL9" i="126"/>
  <c r="CO9" i="126" s="1"/>
  <c r="AI9" i="126"/>
  <c r="AD9" i="126"/>
  <c r="Y9" i="126"/>
  <c r="T9" i="126"/>
  <c r="O9" i="126"/>
  <c r="I9" i="126"/>
  <c r="E9" i="126"/>
  <c r="CK8" i="126"/>
  <c r="CJ8" i="126"/>
  <c r="CA8" i="126"/>
  <c r="BV8" i="126"/>
  <c r="BQ8" i="126"/>
  <c r="AC8" i="126"/>
  <c r="X8" i="126"/>
  <c r="S8" i="126"/>
  <c r="N8" i="126"/>
  <c r="D8" i="126"/>
  <c r="C8" i="126"/>
  <c r="CJ7" i="126"/>
  <c r="CL7" i="126" s="1"/>
  <c r="CB7" i="126"/>
  <c r="BU7" i="126"/>
  <c r="BW7" i="126" s="1"/>
  <c r="BQ7" i="126"/>
  <c r="BR7" i="126" s="1"/>
  <c r="BM7" i="126"/>
  <c r="BH7" i="126"/>
  <c r="BC7" i="126"/>
  <c r="AX7" i="126"/>
  <c r="AS7" i="126"/>
  <c r="AN7" i="126"/>
  <c r="AI7" i="126"/>
  <c r="AD7" i="126"/>
  <c r="Y7" i="126"/>
  <c r="S7" i="126"/>
  <c r="O7" i="126"/>
  <c r="O5" i="126" s="1"/>
  <c r="I7" i="126"/>
  <c r="E7" i="126"/>
  <c r="CL6" i="126"/>
  <c r="CB6" i="126"/>
  <c r="BW6" i="126"/>
  <c r="BP6" i="126"/>
  <c r="BR6" i="126" s="1"/>
  <c r="BK6" i="126"/>
  <c r="BM6" i="126" s="1"/>
  <c r="BF6" i="126"/>
  <c r="BH6" i="126" s="1"/>
  <c r="BA6" i="126"/>
  <c r="BC6" i="126" s="1"/>
  <c r="AV6" i="126"/>
  <c r="AX6" i="126" s="1"/>
  <c r="AS6" i="126"/>
  <c r="AL6" i="126"/>
  <c r="AN6" i="126" s="1"/>
  <c r="AG6" i="126"/>
  <c r="AD6" i="126"/>
  <c r="Y6" i="126"/>
  <c r="T6" i="126"/>
  <c r="O6" i="126"/>
  <c r="G6" i="126"/>
  <c r="I6" i="126" s="1"/>
  <c r="E6" i="126"/>
  <c r="E5" i="126" s="1"/>
  <c r="CK5" i="126"/>
  <c r="CA5" i="126"/>
  <c r="BZ5" i="126"/>
  <c r="BV5" i="126"/>
  <c r="BU5" i="126"/>
  <c r="BQ5" i="126"/>
  <c r="BL5" i="126"/>
  <c r="BG5" i="126"/>
  <c r="BB5" i="126"/>
  <c r="AW5" i="126"/>
  <c r="AR5" i="126"/>
  <c r="AQ5" i="126"/>
  <c r="AM5" i="126"/>
  <c r="AH5" i="126"/>
  <c r="AC5" i="126"/>
  <c r="AB5" i="126"/>
  <c r="X5" i="126"/>
  <c r="W5" i="126"/>
  <c r="S5" i="126"/>
  <c r="R5" i="126"/>
  <c r="N5" i="126"/>
  <c r="N76" i="126" s="1"/>
  <c r="M5" i="126"/>
  <c r="H5" i="126"/>
  <c r="D5" i="126"/>
  <c r="C5" i="126"/>
  <c r="CQ15" i="126" l="1"/>
  <c r="CL5" i="126"/>
  <c r="AM8" i="126"/>
  <c r="CQ79" i="126"/>
  <c r="BP5" i="126"/>
  <c r="BM50" i="126"/>
  <c r="BC5" i="126"/>
  <c r="BR50" i="126"/>
  <c r="AX50" i="126"/>
  <c r="CQ57" i="126"/>
  <c r="BL38" i="114"/>
  <c r="BL75" i="114" s="1"/>
  <c r="BM54" i="114"/>
  <c r="BM8" i="114"/>
  <c r="BL39" i="114"/>
  <c r="BK8" i="114"/>
  <c r="BK38" i="114" s="1"/>
  <c r="BM73" i="114"/>
  <c r="BM77" i="114"/>
  <c r="BM35" i="114"/>
  <c r="CP61" i="126"/>
  <c r="CO6" i="126"/>
  <c r="BR5" i="126"/>
  <c r="CL58" i="126"/>
  <c r="BW5" i="126"/>
  <c r="BC41" i="126"/>
  <c r="W84" i="126"/>
  <c r="W86" i="126" s="1"/>
  <c r="BL38" i="126"/>
  <c r="CA38" i="126"/>
  <c r="CO20" i="126"/>
  <c r="CQ20" i="126" s="1"/>
  <c r="AL54" i="126"/>
  <c r="CG50" i="126"/>
  <c r="CG58" i="126"/>
  <c r="I5" i="126"/>
  <c r="AN5" i="126"/>
  <c r="G8" i="126"/>
  <c r="BK8" i="126"/>
  <c r="CO19" i="126"/>
  <c r="CQ19" i="126" s="1"/>
  <c r="AQ35" i="126"/>
  <c r="AB75" i="126"/>
  <c r="AB81" i="126" s="1"/>
  <c r="AB83" i="126" s="1"/>
  <c r="AB84" i="126" s="1"/>
  <c r="AB86" i="126" s="1"/>
  <c r="AB87" i="126" s="1"/>
  <c r="CO63" i="126"/>
  <c r="BR77" i="126"/>
  <c r="CQ66" i="126"/>
  <c r="CQ82" i="126"/>
  <c r="M8" i="126"/>
  <c r="CO18" i="126"/>
  <c r="CO43" i="126"/>
  <c r="CQ43" i="126" s="1"/>
  <c r="CO47" i="126"/>
  <c r="AX5" i="126"/>
  <c r="CB5" i="126"/>
  <c r="BQ54" i="126"/>
  <c r="CO65" i="126"/>
  <c r="X84" i="126"/>
  <c r="X86" i="126" s="1"/>
  <c r="CO11" i="126"/>
  <c r="CO27" i="126"/>
  <c r="CP30" i="126"/>
  <c r="BC77" i="126"/>
  <c r="CE38" i="126"/>
  <c r="CQ60" i="126"/>
  <c r="CQ64" i="126"/>
  <c r="D38" i="126"/>
  <c r="D75" i="126" s="1"/>
  <c r="CQ21" i="126"/>
  <c r="CO22" i="126"/>
  <c r="CQ22" i="126" s="1"/>
  <c r="BP8" i="126"/>
  <c r="BA54" i="126"/>
  <c r="N84" i="126"/>
  <c r="N86" i="126" s="1"/>
  <c r="CP31" i="126"/>
  <c r="CO26" i="126"/>
  <c r="CQ26" i="126" s="1"/>
  <c r="G5" i="126"/>
  <c r="CO48" i="126"/>
  <c r="CQ48" i="126" s="1"/>
  <c r="T18" i="126"/>
  <c r="BC65" i="126"/>
  <c r="CP7" i="126"/>
  <c r="BF5" i="126"/>
  <c r="BC10" i="126"/>
  <c r="O19" i="126"/>
  <c r="O8" i="126" s="1"/>
  <c r="O38" i="126" s="1"/>
  <c r="AN21" i="126"/>
  <c r="AG41" i="126"/>
  <c r="Y50" i="126"/>
  <c r="BV54" i="126"/>
  <c r="AX54" i="126"/>
  <c r="AI63" i="126"/>
  <c r="Y77" i="126"/>
  <c r="CP33" i="126"/>
  <c r="CP65" i="126"/>
  <c r="CP54" i="126" s="1"/>
  <c r="CP16" i="126"/>
  <c r="CP8" i="126" s="1"/>
  <c r="AG5" i="126"/>
  <c r="T26" i="126"/>
  <c r="AI43" i="126"/>
  <c r="I50" i="126"/>
  <c r="BP54" i="126"/>
  <c r="CO7" i="126"/>
  <c r="C38" i="126"/>
  <c r="C39" i="126" s="1"/>
  <c r="BV38" i="126"/>
  <c r="AD5" i="126"/>
  <c r="AD38" i="126" s="1"/>
  <c r="Y27" i="126"/>
  <c r="BA28" i="126"/>
  <c r="BC28" i="126" s="1"/>
  <c r="T47" i="126"/>
  <c r="T41" i="126" s="1"/>
  <c r="CQ61" i="126"/>
  <c r="BH77" i="126"/>
  <c r="CQ80" i="126"/>
  <c r="CG5" i="126"/>
  <c r="CO25" i="126"/>
  <c r="CQ25" i="126" s="1"/>
  <c r="CO36" i="126"/>
  <c r="CQ36" i="126" s="1"/>
  <c r="AV8" i="126"/>
  <c r="BH5" i="126"/>
  <c r="AI6" i="126"/>
  <c r="AI5" i="126" s="1"/>
  <c r="CB43" i="126"/>
  <c r="CB41" i="126" s="1"/>
  <c r="E54" i="126"/>
  <c r="CG54" i="126"/>
  <c r="CO29" i="126"/>
  <c r="CQ29" i="126" s="1"/>
  <c r="CO45" i="126"/>
  <c r="CQ45" i="126" s="1"/>
  <c r="BQ38" i="126"/>
  <c r="BM5" i="126"/>
  <c r="W8" i="126"/>
  <c r="AL5" i="126"/>
  <c r="CJ5" i="126"/>
  <c r="CJ38" i="126" s="1"/>
  <c r="CJ39" i="126" s="1"/>
  <c r="BC12" i="126"/>
  <c r="CQ63" i="126"/>
  <c r="O65" i="126"/>
  <c r="CO24" i="126"/>
  <c r="CF38" i="126"/>
  <c r="CF39" i="126" s="1"/>
  <c r="CE39" i="126"/>
  <c r="CG41" i="126"/>
  <c r="CE41" i="126"/>
  <c r="CE75" i="126" s="1"/>
  <c r="CG35" i="126"/>
  <c r="CG73" i="126"/>
  <c r="CG77" i="126"/>
  <c r="CG18" i="126"/>
  <c r="CG8" i="126" s="1"/>
  <c r="CQ67" i="126"/>
  <c r="CQ10" i="126"/>
  <c r="CQ71" i="126"/>
  <c r="CQ13" i="126"/>
  <c r="CQ14" i="126"/>
  <c r="CQ44" i="126"/>
  <c r="CP50" i="126"/>
  <c r="AD8" i="126"/>
  <c r="BL75" i="126"/>
  <c r="BL39" i="126"/>
  <c r="BH8" i="126"/>
  <c r="CQ58" i="126"/>
  <c r="T24" i="126"/>
  <c r="R8" i="126"/>
  <c r="H8" i="126"/>
  <c r="H38" i="126" s="1"/>
  <c r="BW8" i="126"/>
  <c r="BR24" i="126"/>
  <c r="CK38" i="126"/>
  <c r="BA5" i="126"/>
  <c r="AB8" i="126"/>
  <c r="BB8" i="126"/>
  <c r="BB38" i="126" s="1"/>
  <c r="E35" i="126"/>
  <c r="BP38" i="126"/>
  <c r="Y5" i="126"/>
  <c r="AS5" i="126"/>
  <c r="E8" i="126"/>
  <c r="AQ8" i="126"/>
  <c r="AQ38" i="126" s="1"/>
  <c r="BF8" i="126"/>
  <c r="BU8" i="126"/>
  <c r="BU38" i="126" s="1"/>
  <c r="I8" i="126"/>
  <c r="CQ12" i="126"/>
  <c r="CQ17" i="126"/>
  <c r="AX24" i="126"/>
  <c r="CQ42" i="126"/>
  <c r="CP41" i="126"/>
  <c r="I41" i="126"/>
  <c r="BR54" i="126"/>
  <c r="N87" i="126"/>
  <c r="AN9" i="126"/>
  <c r="AG8" i="126"/>
  <c r="BF41" i="126"/>
  <c r="BH45" i="126"/>
  <c r="O54" i="126"/>
  <c r="Y54" i="126"/>
  <c r="AI73" i="126"/>
  <c r="I38" i="126"/>
  <c r="BQ39" i="126"/>
  <c r="AW8" i="126"/>
  <c r="AW38" i="126" s="1"/>
  <c r="AX30" i="126"/>
  <c r="CL41" i="126"/>
  <c r="BW50" i="126"/>
  <c r="CB58" i="126"/>
  <c r="CB54" i="126" s="1"/>
  <c r="CA54" i="126"/>
  <c r="CA75" i="126" s="1"/>
  <c r="AV5" i="126"/>
  <c r="CQ24" i="126"/>
  <c r="AI29" i="126"/>
  <c r="T7" i="126"/>
  <c r="T5" i="126" s="1"/>
  <c r="AH8" i="126"/>
  <c r="AH38" i="126" s="1"/>
  <c r="BM18" i="126"/>
  <c r="CB25" i="126"/>
  <c r="BZ8" i="126"/>
  <c r="BZ38" i="126" s="1"/>
  <c r="CQ27" i="126"/>
  <c r="BC27" i="126"/>
  <c r="AI30" i="126"/>
  <c r="BW35" i="126"/>
  <c r="BK41" i="126"/>
  <c r="BM45" i="126"/>
  <c r="BM41" i="126" s="1"/>
  <c r="BU41" i="126"/>
  <c r="BW47" i="126"/>
  <c r="BW41" i="126" s="1"/>
  <c r="AX48" i="126"/>
  <c r="AX41" i="126" s="1"/>
  <c r="AV41" i="126"/>
  <c r="AD50" i="126"/>
  <c r="AD54" i="126"/>
  <c r="I73" i="126"/>
  <c r="AD77" i="126"/>
  <c r="CL77" i="126"/>
  <c r="D81" i="126"/>
  <c r="D83" i="126" s="1"/>
  <c r="D84" i="126" s="1"/>
  <c r="D86" i="126" s="1"/>
  <c r="D87" i="126" s="1"/>
  <c r="D76" i="126"/>
  <c r="AM38" i="126"/>
  <c r="BK5" i="126"/>
  <c r="BK38" i="126" s="1"/>
  <c r="CP5" i="126"/>
  <c r="AL8" i="126"/>
  <c r="BA8" i="126"/>
  <c r="Y8" i="126"/>
  <c r="CL8" i="126"/>
  <c r="CL38" i="126" s="1"/>
  <c r="CQ11" i="126"/>
  <c r="AS12" i="126"/>
  <c r="AR8" i="126"/>
  <c r="AR38" i="126" s="1"/>
  <c r="AI16" i="126"/>
  <c r="BM16" i="126"/>
  <c r="CQ18" i="126"/>
  <c r="AD35" i="126"/>
  <c r="AC75" i="126"/>
  <c r="Y41" i="126"/>
  <c r="O45" i="126"/>
  <c r="O41" i="126" s="1"/>
  <c r="AN45" i="126"/>
  <c r="AN41" i="126" s="1"/>
  <c r="AL41" i="126"/>
  <c r="T54" i="126"/>
  <c r="BW61" i="126"/>
  <c r="M76" i="126"/>
  <c r="AI77" i="126"/>
  <c r="W87" i="126"/>
  <c r="AS50" i="126"/>
  <c r="S83" i="126"/>
  <c r="S84" i="126" s="1"/>
  <c r="S86" i="126" s="1"/>
  <c r="S87" i="126" s="1"/>
  <c r="BG8" i="126"/>
  <c r="BG38" i="126" s="1"/>
  <c r="BR47" i="126"/>
  <c r="BR41" i="126" s="1"/>
  <c r="BP41" i="126"/>
  <c r="CQ62" i="126"/>
  <c r="BH65" i="126"/>
  <c r="BF54" i="126"/>
  <c r="X87" i="126"/>
  <c r="AQ41" i="126"/>
  <c r="AS45" i="126"/>
  <c r="AS41" i="126" s="1"/>
  <c r="CQ78" i="126"/>
  <c r="CO77" i="126"/>
  <c r="BH35" i="126"/>
  <c r="CA39" i="126"/>
  <c r="CQ31" i="126"/>
  <c r="CQ33" i="126"/>
  <c r="O35" i="126"/>
  <c r="CQ47" i="126"/>
  <c r="CO50" i="126"/>
  <c r="CQ55" i="126"/>
  <c r="AS58" i="126"/>
  <c r="AR54" i="126"/>
  <c r="M84" i="126"/>
  <c r="M86" i="126" s="1"/>
  <c r="M87" i="126" s="1"/>
  <c r="BA41" i="126"/>
  <c r="AN54" i="126"/>
  <c r="BM54" i="126"/>
  <c r="CL54" i="126"/>
  <c r="W76" i="126"/>
  <c r="BW77" i="126"/>
  <c r="AB76" i="126"/>
  <c r="E41" i="126"/>
  <c r="AI41" i="126"/>
  <c r="AD41" i="126"/>
  <c r="CQ46" i="126"/>
  <c r="CQ52" i="126"/>
  <c r="I54" i="126"/>
  <c r="AI54" i="126"/>
  <c r="BC54" i="126"/>
  <c r="CQ69" i="126"/>
  <c r="O73" i="126"/>
  <c r="R76" i="126"/>
  <c r="R81" i="126"/>
  <c r="R83" i="126" s="1"/>
  <c r="R84" i="126" s="1"/>
  <c r="R86" i="126" s="1"/>
  <c r="R87" i="126" s="1"/>
  <c r="S76" i="126"/>
  <c r="AS77" i="126"/>
  <c r="X76" i="126"/>
  <c r="CQ74" i="126"/>
  <c r="AN77" i="126"/>
  <c r="AG38" i="126" l="1"/>
  <c r="BL76" i="114"/>
  <c r="BL81" i="114"/>
  <c r="BL83" i="114" s="1"/>
  <c r="BL84" i="114" s="1"/>
  <c r="BL86" i="114" s="1"/>
  <c r="BL87" i="114" s="1"/>
  <c r="BM89" i="114"/>
  <c r="BN8" i="114" s="1"/>
  <c r="BM38" i="114"/>
  <c r="BK75" i="114"/>
  <c r="BK39" i="114"/>
  <c r="CO35" i="126"/>
  <c r="BF38" i="126"/>
  <c r="CF75" i="126"/>
  <c r="CF81" i="126" s="1"/>
  <c r="CF83" i="126" s="1"/>
  <c r="CF84" i="126" s="1"/>
  <c r="CF86" i="126" s="1"/>
  <c r="CF87" i="126" s="1"/>
  <c r="CQ16" i="126"/>
  <c r="CG38" i="126"/>
  <c r="CG39" i="126" s="1"/>
  <c r="AL38" i="126"/>
  <c r="AL75" i="126" s="1"/>
  <c r="BV75" i="126"/>
  <c r="BV39" i="126"/>
  <c r="BC8" i="126"/>
  <c r="BC38" i="126" s="1"/>
  <c r="G38" i="126"/>
  <c r="BQ75" i="126"/>
  <c r="CQ7" i="126"/>
  <c r="D39" i="126"/>
  <c r="BH38" i="126"/>
  <c r="AV38" i="126"/>
  <c r="CJ75" i="126"/>
  <c r="C75" i="126"/>
  <c r="C76" i="126" s="1"/>
  <c r="Y38" i="126"/>
  <c r="Y39" i="126" s="1"/>
  <c r="CO28" i="126"/>
  <c r="CQ28" i="126" s="1"/>
  <c r="CF76" i="126"/>
  <c r="CE81" i="126"/>
  <c r="CE83" i="126" s="1"/>
  <c r="CE84" i="126" s="1"/>
  <c r="CE86" i="126" s="1"/>
  <c r="CE87" i="126" s="1"/>
  <c r="CE76" i="126"/>
  <c r="CG89" i="126"/>
  <c r="CH8" i="126" s="1"/>
  <c r="AR39" i="126"/>
  <c r="AR75" i="126"/>
  <c r="AM75" i="126"/>
  <c r="AM39" i="126"/>
  <c r="AS54" i="126"/>
  <c r="O75" i="126"/>
  <c r="O39" i="126"/>
  <c r="H75" i="126"/>
  <c r="H39" i="126"/>
  <c r="CA76" i="126"/>
  <c r="CA81" i="126"/>
  <c r="CA83" i="126" s="1"/>
  <c r="CA84" i="126" s="1"/>
  <c r="CA86" i="126" s="1"/>
  <c r="CA87" i="126" s="1"/>
  <c r="BR8" i="126"/>
  <c r="CP38" i="126"/>
  <c r="BW54" i="126"/>
  <c r="BW89" i="126" s="1"/>
  <c r="BU75" i="126"/>
  <c r="BU39" i="126"/>
  <c r="CQ65" i="126"/>
  <c r="CO54" i="126"/>
  <c r="CQ50" i="126"/>
  <c r="CQ30" i="126"/>
  <c r="BK75" i="126"/>
  <c r="BK39" i="126"/>
  <c r="BZ75" i="126"/>
  <c r="BZ39" i="126"/>
  <c r="BF75" i="126"/>
  <c r="BF39" i="126"/>
  <c r="CQ73" i="126"/>
  <c r="AS8" i="126"/>
  <c r="AN8" i="126"/>
  <c r="G39" i="126"/>
  <c r="G75" i="126"/>
  <c r="AD39" i="126"/>
  <c r="AD75" i="126"/>
  <c r="BH41" i="126"/>
  <c r="BG75" i="126"/>
  <c r="BG39" i="126"/>
  <c r="CB8" i="126"/>
  <c r="AH75" i="126"/>
  <c r="AH39" i="126"/>
  <c r="AW75" i="126"/>
  <c r="AW39" i="126"/>
  <c r="CQ9" i="126"/>
  <c r="BB75" i="126"/>
  <c r="BB39" i="126"/>
  <c r="BC39" i="126"/>
  <c r="BC75" i="126"/>
  <c r="BH54" i="126"/>
  <c r="I75" i="126"/>
  <c r="I39" i="126"/>
  <c r="CJ76" i="126"/>
  <c r="CJ81" i="126"/>
  <c r="CJ83" i="126" s="1"/>
  <c r="CJ84" i="126" s="1"/>
  <c r="CJ86" i="126" s="1"/>
  <c r="CJ87" i="126" s="1"/>
  <c r="CQ41" i="126"/>
  <c r="I89" i="126"/>
  <c r="J54" i="126" s="1"/>
  <c r="CK75" i="126"/>
  <c r="CK39" i="126"/>
  <c r="AC76" i="126"/>
  <c r="AC81" i="126"/>
  <c r="AC83" i="126" s="1"/>
  <c r="AC84" i="126" s="1"/>
  <c r="AC86" i="126" s="1"/>
  <c r="AC87" i="126" s="1"/>
  <c r="AI8" i="126"/>
  <c r="BC89" i="126"/>
  <c r="BD54" i="126" s="1"/>
  <c r="BV81" i="126"/>
  <c r="BV83" i="126" s="1"/>
  <c r="BV84" i="126" s="1"/>
  <c r="BV86" i="126" s="1"/>
  <c r="BV87" i="126" s="1"/>
  <c r="BV76" i="126"/>
  <c r="CQ77" i="126"/>
  <c r="CO41" i="126"/>
  <c r="AG75" i="126"/>
  <c r="AG39" i="126"/>
  <c r="CQ35" i="126"/>
  <c r="AQ75" i="126"/>
  <c r="AQ39" i="126"/>
  <c r="BW38" i="126"/>
  <c r="CL39" i="126"/>
  <c r="CL75" i="126"/>
  <c r="AV75" i="126"/>
  <c r="AV39" i="126"/>
  <c r="BQ76" i="126"/>
  <c r="BQ81" i="126"/>
  <c r="BQ83" i="126" s="1"/>
  <c r="BQ84" i="126" s="1"/>
  <c r="BQ86" i="126" s="1"/>
  <c r="BQ87" i="126" s="1"/>
  <c r="E89" i="126"/>
  <c r="F8" i="126" s="1"/>
  <c r="O89" i="126"/>
  <c r="BH39" i="126"/>
  <c r="Y89" i="126"/>
  <c r="BP75" i="126"/>
  <c r="BP39" i="126"/>
  <c r="BA38" i="126"/>
  <c r="BM8" i="126"/>
  <c r="CL89" i="126"/>
  <c r="CM54" i="126" s="1"/>
  <c r="CQ6" i="126"/>
  <c r="CO5" i="126"/>
  <c r="AX8" i="126"/>
  <c r="T8" i="126"/>
  <c r="T38" i="126" s="1"/>
  <c r="BL81" i="126"/>
  <c r="BL83" i="126" s="1"/>
  <c r="BL84" i="126" s="1"/>
  <c r="BL86" i="126" s="1"/>
  <c r="BL87" i="126" s="1"/>
  <c r="BL76" i="126"/>
  <c r="E38" i="126"/>
  <c r="AD89" i="126"/>
  <c r="CO8" i="126" l="1"/>
  <c r="J41" i="126"/>
  <c r="BN73" i="114"/>
  <c r="BN77" i="114"/>
  <c r="BN35" i="114"/>
  <c r="BN28" i="114"/>
  <c r="BN33" i="114"/>
  <c r="BN30" i="114"/>
  <c r="BN27" i="114"/>
  <c r="BN31" i="114"/>
  <c r="BN26" i="114"/>
  <c r="BN12" i="114"/>
  <c r="BN62" i="114"/>
  <c r="BN46" i="114"/>
  <c r="BN58" i="114"/>
  <c r="BN59" i="114"/>
  <c r="BN10" i="114"/>
  <c r="BN60" i="114"/>
  <c r="BN23" i="114"/>
  <c r="BN41" i="114"/>
  <c r="BN63" i="114"/>
  <c r="BN21" i="114"/>
  <c r="BN64" i="114"/>
  <c r="BN36" i="114"/>
  <c r="BN18" i="114"/>
  <c r="BN68" i="114"/>
  <c r="BN51" i="114"/>
  <c r="BN9" i="114"/>
  <c r="BN65" i="114"/>
  <c r="BN16" i="114"/>
  <c r="BN66" i="114"/>
  <c r="BN29" i="114"/>
  <c r="BN13" i="114"/>
  <c r="BN70" i="114"/>
  <c r="BN32" i="114"/>
  <c r="BN24" i="114"/>
  <c r="BN74" i="114"/>
  <c r="BN57" i="114"/>
  <c r="BN15" i="114"/>
  <c r="BN71" i="114"/>
  <c r="BN22" i="114"/>
  <c r="BN20" i="114"/>
  <c r="BN44" i="114"/>
  <c r="BN45" i="114"/>
  <c r="BN54" i="114"/>
  <c r="BN47" i="114"/>
  <c r="BN50" i="114"/>
  <c r="BN19" i="114"/>
  <c r="BN69" i="114"/>
  <c r="BN42" i="114"/>
  <c r="BN43" i="114"/>
  <c r="BN11" i="114"/>
  <c r="BN61" i="114"/>
  <c r="BN55" i="114"/>
  <c r="BN52" i="114"/>
  <c r="BN56" i="114"/>
  <c r="BN25" i="114"/>
  <c r="BN14" i="114"/>
  <c r="BN48" i="114"/>
  <c r="BN79" i="114"/>
  <c r="BN17" i="114"/>
  <c r="BN67" i="114"/>
  <c r="BK76" i="114"/>
  <c r="BK81" i="114"/>
  <c r="BK83" i="114" s="1"/>
  <c r="BK84" i="114" s="1"/>
  <c r="BK86" i="114" s="1"/>
  <c r="BK87" i="114" s="1"/>
  <c r="BM39" i="114"/>
  <c r="BM75" i="114"/>
  <c r="CG75" i="126"/>
  <c r="AL39" i="126"/>
  <c r="CM77" i="126"/>
  <c r="BD8" i="126"/>
  <c r="BD27" i="126"/>
  <c r="BX77" i="126"/>
  <c r="BX8" i="126"/>
  <c r="CM8" i="126"/>
  <c r="J8" i="126"/>
  <c r="Y75" i="126"/>
  <c r="C81" i="126"/>
  <c r="C83" i="126" s="1"/>
  <c r="C84" i="126" s="1"/>
  <c r="C86" i="126" s="1"/>
  <c r="C87" i="126" s="1"/>
  <c r="CO38" i="126"/>
  <c r="CH79" i="126"/>
  <c r="CH66" i="126"/>
  <c r="CH60" i="126"/>
  <c r="CH42" i="126"/>
  <c r="CH16" i="126"/>
  <c r="CH13" i="126"/>
  <c r="CH10" i="126"/>
  <c r="CH33" i="126"/>
  <c r="CH71" i="126"/>
  <c r="CH65" i="126"/>
  <c r="CH59" i="126"/>
  <c r="CH27" i="126"/>
  <c r="CH19" i="126"/>
  <c r="CH70" i="126"/>
  <c r="CH64" i="126"/>
  <c r="CH22" i="126"/>
  <c r="CH69" i="126"/>
  <c r="CH63" i="126"/>
  <c r="CH55" i="126"/>
  <c r="CH52" i="126"/>
  <c r="CH46" i="126"/>
  <c r="CH31" i="126"/>
  <c r="CH28" i="126"/>
  <c r="CH23" i="126"/>
  <c r="CH20" i="126"/>
  <c r="CH68" i="126"/>
  <c r="CH62" i="126"/>
  <c r="CH67" i="126"/>
  <c r="CH61" i="126"/>
  <c r="CH57" i="126"/>
  <c r="CH51" i="126"/>
  <c r="CH48" i="126"/>
  <c r="CH45" i="126"/>
  <c r="CH30" i="126"/>
  <c r="CH29" i="126"/>
  <c r="CH36" i="126"/>
  <c r="CH47" i="126"/>
  <c r="CH32" i="126"/>
  <c r="CH17" i="126"/>
  <c r="CH50" i="126"/>
  <c r="CH9" i="126"/>
  <c r="CH43" i="126"/>
  <c r="CH44" i="126"/>
  <c r="CH24" i="126"/>
  <c r="CH12" i="126"/>
  <c r="CH54" i="126"/>
  <c r="CH15" i="126"/>
  <c r="CH56" i="126"/>
  <c r="CH74" i="126"/>
  <c r="CH21" i="126"/>
  <c r="CH11" i="126"/>
  <c r="CH14" i="126"/>
  <c r="CH58" i="126"/>
  <c r="CH18" i="126"/>
  <c r="CH73" i="126"/>
  <c r="CH35" i="126"/>
  <c r="CH41" i="126"/>
  <c r="CG76" i="126"/>
  <c r="CG81" i="126"/>
  <c r="CG83" i="126" s="1"/>
  <c r="CG84" i="126" s="1"/>
  <c r="CG86" i="126" s="1"/>
  <c r="CG87" i="126" s="1"/>
  <c r="CH77" i="126"/>
  <c r="CK81" i="126"/>
  <c r="CK83" i="126" s="1"/>
  <c r="CK84" i="126" s="1"/>
  <c r="CK86" i="126" s="1"/>
  <c r="CK87" i="126" s="1"/>
  <c r="CK76" i="126"/>
  <c r="BB81" i="126"/>
  <c r="BB83" i="126" s="1"/>
  <c r="BB84" i="126" s="1"/>
  <c r="BB86" i="126" s="1"/>
  <c r="BB87" i="126" s="1"/>
  <c r="BB76" i="126"/>
  <c r="AS89" i="126"/>
  <c r="AJ8" i="126" s="1"/>
  <c r="O81" i="126"/>
  <c r="O83" i="126" s="1"/>
  <c r="O84" i="126" s="1"/>
  <c r="O86" i="126" s="1"/>
  <c r="O87" i="126" s="1"/>
  <c r="O76" i="126"/>
  <c r="AM76" i="126"/>
  <c r="AM81" i="126"/>
  <c r="AM83" i="126" s="1"/>
  <c r="AM84" i="126" s="1"/>
  <c r="AM86" i="126" s="1"/>
  <c r="AM87" i="126" s="1"/>
  <c r="AX89" i="126"/>
  <c r="AX38" i="126"/>
  <c r="CL81" i="126"/>
  <c r="CL83" i="126" s="1"/>
  <c r="CL84" i="126" s="1"/>
  <c r="CL86" i="126" s="1"/>
  <c r="CL87" i="126" s="1"/>
  <c r="CL76" i="126"/>
  <c r="AG76" i="126"/>
  <c r="AG81" i="126"/>
  <c r="AG83" i="126" s="1"/>
  <c r="AG84" i="126" s="1"/>
  <c r="AG86" i="126" s="1"/>
  <c r="AG87" i="126" s="1"/>
  <c r="AS38" i="126"/>
  <c r="BX54" i="126"/>
  <c r="BX41" i="126"/>
  <c r="BR89" i="126"/>
  <c r="BS8" i="126" s="1"/>
  <c r="BR38" i="126"/>
  <c r="E75" i="126"/>
  <c r="E39" i="126"/>
  <c r="BP76" i="126"/>
  <c r="BP81" i="126"/>
  <c r="BP83" i="126" s="1"/>
  <c r="BP84" i="126" s="1"/>
  <c r="BP86" i="126" s="1"/>
  <c r="BP87" i="126" s="1"/>
  <c r="BH89" i="126"/>
  <c r="F72" i="126"/>
  <c r="F67" i="126"/>
  <c r="F79" i="126"/>
  <c r="F64" i="126"/>
  <c r="F68" i="126"/>
  <c r="F71" i="126"/>
  <c r="F51" i="126"/>
  <c r="F63" i="126"/>
  <c r="F61" i="126"/>
  <c r="F65" i="126"/>
  <c r="F52" i="126"/>
  <c r="F59" i="126"/>
  <c r="F55" i="126"/>
  <c r="F46" i="126"/>
  <c r="F26" i="126"/>
  <c r="F17" i="126"/>
  <c r="F11" i="126"/>
  <c r="F45" i="126"/>
  <c r="F43" i="126"/>
  <c r="F42" i="126"/>
  <c r="F30" i="126"/>
  <c r="F70" i="126"/>
  <c r="F20" i="126"/>
  <c r="F47" i="126"/>
  <c r="F14" i="126"/>
  <c r="F12" i="126"/>
  <c r="F21" i="126"/>
  <c r="F25" i="126"/>
  <c r="F36" i="126"/>
  <c r="F19" i="126"/>
  <c r="F29" i="126"/>
  <c r="F24" i="126"/>
  <c r="F48" i="126"/>
  <c r="F32" i="126"/>
  <c r="F22" i="126"/>
  <c r="F9" i="126"/>
  <c r="F54" i="126"/>
  <c r="F27" i="126"/>
  <c r="F69" i="126"/>
  <c r="F50" i="126"/>
  <c r="F31" i="126"/>
  <c r="F66" i="126"/>
  <c r="F73" i="126"/>
  <c r="F28" i="126"/>
  <c r="F16" i="126"/>
  <c r="F13" i="126"/>
  <c r="F15" i="126"/>
  <c r="F33" i="126"/>
  <c r="F18" i="126"/>
  <c r="F23" i="126"/>
  <c r="F58" i="126"/>
  <c r="F62" i="126"/>
  <c r="F57" i="126"/>
  <c r="F60" i="126"/>
  <c r="F85" i="126"/>
  <c r="F82" i="126"/>
  <c r="F10" i="126"/>
  <c r="F56" i="126"/>
  <c r="F44" i="126"/>
  <c r="AQ76" i="126"/>
  <c r="AQ81" i="126"/>
  <c r="AQ83" i="126" s="1"/>
  <c r="AQ84" i="126" s="1"/>
  <c r="AQ86" i="126" s="1"/>
  <c r="AQ87" i="126" s="1"/>
  <c r="T75" i="126"/>
  <c r="T39" i="126"/>
  <c r="F41" i="126"/>
  <c r="AI89" i="126"/>
  <c r="AI38" i="126"/>
  <c r="BX61" i="126"/>
  <c r="CM66" i="126"/>
  <c r="CM63" i="126"/>
  <c r="CM69" i="126"/>
  <c r="CM71" i="126"/>
  <c r="CM62" i="126"/>
  <c r="CM59" i="126"/>
  <c r="CM55" i="126"/>
  <c r="CM79" i="126"/>
  <c r="CM68" i="126"/>
  <c r="CM67" i="126"/>
  <c r="CM64" i="126"/>
  <c r="CM60" i="126"/>
  <c r="CM51" i="126"/>
  <c r="CM36" i="126"/>
  <c r="CM31" i="126"/>
  <c r="CM74" i="126"/>
  <c r="CM70" i="126"/>
  <c r="CM61" i="126"/>
  <c r="CM42" i="126"/>
  <c r="CM52" i="126"/>
  <c r="CM65" i="126"/>
  <c r="CM18" i="126"/>
  <c r="CM9" i="126"/>
  <c r="CM22" i="126"/>
  <c r="CM15" i="126"/>
  <c r="CM19" i="126"/>
  <c r="CM28" i="126"/>
  <c r="CM32" i="126"/>
  <c r="CM47" i="126"/>
  <c r="CM13" i="126"/>
  <c r="CM43" i="126"/>
  <c r="CM25" i="126"/>
  <c r="CM35" i="126"/>
  <c r="CM30" i="126"/>
  <c r="CM24" i="126"/>
  <c r="CM11" i="126"/>
  <c r="CM27" i="126"/>
  <c r="CM46" i="126"/>
  <c r="CM14" i="126"/>
  <c r="CM29" i="126"/>
  <c r="CM73" i="126"/>
  <c r="CM50" i="126"/>
  <c r="CM12" i="126"/>
  <c r="CM10" i="126"/>
  <c r="CM20" i="126"/>
  <c r="CM48" i="126"/>
  <c r="CM16" i="126"/>
  <c r="CM58" i="126"/>
  <c r="CM23" i="126"/>
  <c r="CM33" i="126"/>
  <c r="CM57" i="126"/>
  <c r="CM56" i="126"/>
  <c r="CM45" i="126"/>
  <c r="CM44" i="126"/>
  <c r="CM21" i="126"/>
  <c r="CM17" i="126"/>
  <c r="CM26" i="126"/>
  <c r="BX47" i="126"/>
  <c r="BH75" i="126"/>
  <c r="BW39" i="126"/>
  <c r="BW75" i="126"/>
  <c r="AL76" i="126"/>
  <c r="AL81" i="126"/>
  <c r="AL83" i="126" s="1"/>
  <c r="AL84" i="126" s="1"/>
  <c r="AL86" i="126" s="1"/>
  <c r="AL87" i="126" s="1"/>
  <c r="J79" i="126"/>
  <c r="J67" i="126"/>
  <c r="J70" i="126"/>
  <c r="J55" i="126"/>
  <c r="J47" i="126"/>
  <c r="J68" i="126"/>
  <c r="J64" i="126"/>
  <c r="J50" i="126"/>
  <c r="J48" i="126"/>
  <c r="J43" i="126"/>
  <c r="J29" i="126"/>
  <c r="J42" i="126"/>
  <c r="J63" i="126"/>
  <c r="J61" i="126"/>
  <c r="J65" i="126"/>
  <c r="J52" i="126"/>
  <c r="J30" i="126"/>
  <c r="J22" i="126"/>
  <c r="J21" i="126"/>
  <c r="J25" i="126"/>
  <c r="J20" i="126"/>
  <c r="J44" i="126"/>
  <c r="J59" i="126"/>
  <c r="J51" i="126"/>
  <c r="J19" i="126"/>
  <c r="J12" i="126"/>
  <c r="J10" i="126"/>
  <c r="J15" i="126"/>
  <c r="J46" i="126"/>
  <c r="J36" i="126"/>
  <c r="J33" i="126"/>
  <c r="J27" i="126"/>
  <c r="J13" i="126"/>
  <c r="J23" i="126"/>
  <c r="J71" i="126"/>
  <c r="J18" i="126"/>
  <c r="J11" i="126"/>
  <c r="J17" i="126"/>
  <c r="J16" i="126"/>
  <c r="J32" i="126"/>
  <c r="J66" i="126"/>
  <c r="J56" i="126"/>
  <c r="J26" i="126"/>
  <c r="J31" i="126"/>
  <c r="J58" i="126"/>
  <c r="J9" i="126"/>
  <c r="J28" i="126"/>
  <c r="J60" i="126"/>
  <c r="J45" i="126"/>
  <c r="J77" i="126"/>
  <c r="J57" i="126"/>
  <c r="J24" i="126"/>
  <c r="J35" i="126"/>
  <c r="J62" i="126"/>
  <c r="J69" i="126"/>
  <c r="J14" i="126"/>
  <c r="AW76" i="126"/>
  <c r="AW81" i="126"/>
  <c r="AW83" i="126" s="1"/>
  <c r="AW84" i="126" s="1"/>
  <c r="AW86" i="126" s="1"/>
  <c r="AW87" i="126" s="1"/>
  <c r="BG76" i="126"/>
  <c r="BG81" i="126"/>
  <c r="BG83" i="126" s="1"/>
  <c r="BG84" i="126" s="1"/>
  <c r="BG86" i="126" s="1"/>
  <c r="BG87" i="126" s="1"/>
  <c r="CQ54" i="126"/>
  <c r="AD81" i="126"/>
  <c r="AD83" i="126" s="1"/>
  <c r="AD84" i="126" s="1"/>
  <c r="AD86" i="126" s="1"/>
  <c r="AD87" i="126" s="1"/>
  <c r="AD76" i="126"/>
  <c r="AN89" i="126"/>
  <c r="AO8" i="126" s="1"/>
  <c r="AN38" i="126"/>
  <c r="BX35" i="126"/>
  <c r="H76" i="126"/>
  <c r="H81" i="126"/>
  <c r="H83" i="126" s="1"/>
  <c r="H84" i="126" s="1"/>
  <c r="H86" i="126" s="1"/>
  <c r="H87" i="126" s="1"/>
  <c r="BM89" i="126"/>
  <c r="BM38" i="126"/>
  <c r="I81" i="126"/>
  <c r="I83" i="126" s="1"/>
  <c r="I84" i="126" s="1"/>
  <c r="I86" i="126" s="1"/>
  <c r="I87" i="126" s="1"/>
  <c r="I76" i="126"/>
  <c r="T89" i="126"/>
  <c r="CO75" i="126"/>
  <c r="CO39" i="126"/>
  <c r="BX74" i="126"/>
  <c r="BX79" i="126"/>
  <c r="BX71" i="126"/>
  <c r="BX70" i="126"/>
  <c r="BX65" i="126"/>
  <c r="BX59" i="126"/>
  <c r="BX30" i="126"/>
  <c r="BX68" i="126"/>
  <c r="BX48" i="126"/>
  <c r="BX45" i="126"/>
  <c r="BX46" i="126"/>
  <c r="BX43" i="126"/>
  <c r="BX14" i="126"/>
  <c r="BX31" i="126"/>
  <c r="BX17" i="126"/>
  <c r="BX42" i="126"/>
  <c r="BX66" i="126"/>
  <c r="BX52" i="126"/>
  <c r="BX22" i="126"/>
  <c r="BX33" i="126"/>
  <c r="BX26" i="126"/>
  <c r="BX25" i="126"/>
  <c r="BX12" i="126"/>
  <c r="BX51" i="126"/>
  <c r="BX24" i="126"/>
  <c r="BX16" i="126"/>
  <c r="BX13" i="126"/>
  <c r="BX15" i="126"/>
  <c r="BX27" i="126"/>
  <c r="BX23" i="126"/>
  <c r="BX56" i="126"/>
  <c r="BX19" i="126"/>
  <c r="BX32" i="126"/>
  <c r="BX62" i="126"/>
  <c r="BX55" i="126"/>
  <c r="BX58" i="126"/>
  <c r="BX20" i="126"/>
  <c r="BX21" i="126"/>
  <c r="BX57" i="126"/>
  <c r="BX60" i="126"/>
  <c r="BX67" i="126"/>
  <c r="BX63" i="126"/>
  <c r="BX29" i="126"/>
  <c r="BX11" i="126"/>
  <c r="BX73" i="126"/>
  <c r="BX69" i="126"/>
  <c r="BX44" i="126"/>
  <c r="BX18" i="126"/>
  <c r="BX36" i="126"/>
  <c r="BX64" i="126"/>
  <c r="BX10" i="126"/>
  <c r="BX28" i="126"/>
  <c r="BX9" i="126"/>
  <c r="AH81" i="126"/>
  <c r="AH83" i="126" s="1"/>
  <c r="AH84" i="126" s="1"/>
  <c r="AH86" i="126" s="1"/>
  <c r="AH87" i="126" s="1"/>
  <c r="AH76" i="126"/>
  <c r="G76" i="126"/>
  <c r="G81" i="126"/>
  <c r="G83" i="126" s="1"/>
  <c r="G84" i="126" s="1"/>
  <c r="G86" i="126" s="1"/>
  <c r="G87" i="126" s="1"/>
  <c r="BZ76" i="126"/>
  <c r="BZ81" i="126"/>
  <c r="BZ83" i="126" s="1"/>
  <c r="BZ84" i="126" s="1"/>
  <c r="BZ86" i="126" s="1"/>
  <c r="BZ87" i="126" s="1"/>
  <c r="BU76" i="126"/>
  <c r="BU81" i="126"/>
  <c r="BU83" i="126" s="1"/>
  <c r="BU84" i="126" s="1"/>
  <c r="BU86" i="126" s="1"/>
  <c r="BU87" i="126" s="1"/>
  <c r="AR81" i="126"/>
  <c r="AR83" i="126" s="1"/>
  <c r="AR84" i="126" s="1"/>
  <c r="AR86" i="126" s="1"/>
  <c r="AR87" i="126" s="1"/>
  <c r="AR76" i="126"/>
  <c r="CQ5" i="126"/>
  <c r="BA75" i="126"/>
  <c r="BA39" i="126"/>
  <c r="AV76" i="126"/>
  <c r="AV81" i="126"/>
  <c r="AV83" i="126" s="1"/>
  <c r="AV84" i="126" s="1"/>
  <c r="AV86" i="126" s="1"/>
  <c r="AV87" i="126" s="1"/>
  <c r="F35" i="126"/>
  <c r="BD79" i="126"/>
  <c r="BI74" i="126"/>
  <c r="BD67" i="126"/>
  <c r="BD70" i="126"/>
  <c r="BD55" i="126"/>
  <c r="BD68" i="126"/>
  <c r="BD48" i="126"/>
  <c r="BD64" i="126"/>
  <c r="BD42" i="126"/>
  <c r="BD61" i="126"/>
  <c r="BD73" i="126"/>
  <c r="BD52" i="126"/>
  <c r="BD78" i="126"/>
  <c r="BD51" i="126"/>
  <c r="BD21" i="126"/>
  <c r="BD59" i="126"/>
  <c r="BD25" i="126"/>
  <c r="BD20" i="126"/>
  <c r="BD15" i="126"/>
  <c r="BD74" i="126"/>
  <c r="BD16" i="126"/>
  <c r="BD30" i="126"/>
  <c r="BD23" i="126"/>
  <c r="BD29" i="126"/>
  <c r="BD9" i="126"/>
  <c r="BD12" i="126"/>
  <c r="BD19" i="126"/>
  <c r="BD10" i="126"/>
  <c r="J74" i="126"/>
  <c r="BD14" i="126"/>
  <c r="BD33" i="126"/>
  <c r="BD69" i="126"/>
  <c r="BD11" i="126"/>
  <c r="BD18" i="126"/>
  <c r="BD31" i="126"/>
  <c r="BD77" i="126"/>
  <c r="BD41" i="126"/>
  <c r="BD58" i="126"/>
  <c r="BD17" i="126"/>
  <c r="BD24" i="126"/>
  <c r="BD26" i="126"/>
  <c r="BD28" i="126"/>
  <c r="BD65" i="126"/>
  <c r="BD71" i="126"/>
  <c r="BD46" i="126"/>
  <c r="BD22" i="126"/>
  <c r="BD57" i="126"/>
  <c r="BD60" i="126"/>
  <c r="BD62" i="126"/>
  <c r="BD13" i="126"/>
  <c r="BD50" i="126"/>
  <c r="BD56" i="126"/>
  <c r="BD43" i="126"/>
  <c r="BD44" i="126"/>
  <c r="BI78" i="126"/>
  <c r="BD63" i="126"/>
  <c r="BI77" i="126"/>
  <c r="BD45" i="126"/>
  <c r="BD32" i="126"/>
  <c r="BI73" i="126"/>
  <c r="BD66" i="126"/>
  <c r="J78" i="126"/>
  <c r="CM41" i="126"/>
  <c r="Y81" i="126"/>
  <c r="Y83" i="126" s="1"/>
  <c r="Y84" i="126" s="1"/>
  <c r="Y86" i="126" s="1"/>
  <c r="Y87" i="126" s="1"/>
  <c r="Y76" i="126"/>
  <c r="BC81" i="126"/>
  <c r="BC83" i="126" s="1"/>
  <c r="BC84" i="126" s="1"/>
  <c r="BC86" i="126" s="1"/>
  <c r="BC87" i="126" s="1"/>
  <c r="BC76" i="126"/>
  <c r="CQ8" i="126"/>
  <c r="CQ89" i="126" s="1"/>
  <c r="CB89" i="126"/>
  <c r="CC8" i="126" s="1"/>
  <c r="CB38" i="126"/>
  <c r="BF76" i="126"/>
  <c r="BF81" i="126"/>
  <c r="BF83" i="126" s="1"/>
  <c r="BF84" i="126" s="1"/>
  <c r="BF86" i="126" s="1"/>
  <c r="BF87" i="126" s="1"/>
  <c r="BX50" i="126"/>
  <c r="BK76" i="126"/>
  <c r="BK81" i="126"/>
  <c r="BK83" i="126" s="1"/>
  <c r="BK84" i="126" s="1"/>
  <c r="BK86" i="126" s="1"/>
  <c r="BK87" i="126" s="1"/>
  <c r="J73" i="126"/>
  <c r="CP75" i="126"/>
  <c r="CP39" i="126"/>
  <c r="AT54" i="126"/>
  <c r="BM76" i="114" l="1"/>
  <c r="BM81" i="114"/>
  <c r="BM83" i="114" s="1"/>
  <c r="BM84" i="114" s="1"/>
  <c r="BM86" i="114" s="1"/>
  <c r="BM87" i="114" s="1"/>
  <c r="CH37" i="126"/>
  <c r="CH78" i="126"/>
  <c r="BN8" i="126"/>
  <c r="CQ38" i="126"/>
  <c r="BI79" i="126"/>
  <c r="BI71" i="126"/>
  <c r="BI70" i="126"/>
  <c r="BI58" i="126"/>
  <c r="BI59" i="126"/>
  <c r="BI47" i="126"/>
  <c r="BI63" i="126"/>
  <c r="BI68" i="126"/>
  <c r="BI46" i="126"/>
  <c r="BI52" i="126"/>
  <c r="BI31" i="126"/>
  <c r="BI19" i="126"/>
  <c r="BI42" i="126"/>
  <c r="BI28" i="126"/>
  <c r="BI20" i="126"/>
  <c r="BI61" i="126"/>
  <c r="BI22" i="126"/>
  <c r="BI14" i="126"/>
  <c r="BI17" i="126"/>
  <c r="BI12" i="126"/>
  <c r="BI25" i="126"/>
  <c r="BI55" i="126"/>
  <c r="BI62" i="126"/>
  <c r="BI18" i="126"/>
  <c r="BI29" i="126"/>
  <c r="BI48" i="126"/>
  <c r="BI15" i="126"/>
  <c r="BI33" i="126"/>
  <c r="BI24" i="126"/>
  <c r="BI27" i="126"/>
  <c r="BI50" i="126"/>
  <c r="BI16" i="126"/>
  <c r="BI67" i="126"/>
  <c r="BI44" i="126"/>
  <c r="BI21" i="126"/>
  <c r="BI30" i="126"/>
  <c r="BI64" i="126"/>
  <c r="BI51" i="126"/>
  <c r="BI26" i="126"/>
  <c r="BI13" i="126"/>
  <c r="BI11" i="126"/>
  <c r="BI36" i="126"/>
  <c r="BI43" i="126"/>
  <c r="BI69" i="126"/>
  <c r="BI56" i="126"/>
  <c r="BI9" i="126"/>
  <c r="BI10" i="126"/>
  <c r="BI57" i="126"/>
  <c r="BI23" i="126"/>
  <c r="BI60" i="126"/>
  <c r="BI32" i="126"/>
  <c r="BI66" i="126"/>
  <c r="BI65" i="126"/>
  <c r="BI45" i="126"/>
  <c r="BI35" i="126"/>
  <c r="BI8" i="126"/>
  <c r="AY67" i="126"/>
  <c r="AY74" i="126"/>
  <c r="AY64" i="126"/>
  <c r="AY68" i="126"/>
  <c r="AY79" i="126"/>
  <c r="AY71" i="126"/>
  <c r="AY51" i="126"/>
  <c r="AY36" i="126"/>
  <c r="AY35" i="126" s="1"/>
  <c r="AY61" i="126"/>
  <c r="AY65" i="126"/>
  <c r="AY52" i="126"/>
  <c r="AY59" i="126"/>
  <c r="AY58" i="126"/>
  <c r="AY55" i="126"/>
  <c r="AY45" i="126"/>
  <c r="AY46" i="126"/>
  <c r="AY33" i="126"/>
  <c r="AY19" i="126"/>
  <c r="AY70" i="126"/>
  <c r="AY50" i="126"/>
  <c r="AY17" i="126"/>
  <c r="AY11" i="126"/>
  <c r="AY9" i="126"/>
  <c r="AY42" i="126"/>
  <c r="BD36" i="126"/>
  <c r="BD35" i="126" s="1"/>
  <c r="AY15" i="126"/>
  <c r="AY14" i="126"/>
  <c r="AY22" i="126"/>
  <c r="AY32" i="126"/>
  <c r="AY31" i="126"/>
  <c r="AY13" i="126"/>
  <c r="AY26" i="126"/>
  <c r="AY63" i="126"/>
  <c r="AY12" i="126"/>
  <c r="AY20" i="126"/>
  <c r="AY54" i="126"/>
  <c r="AY21" i="126"/>
  <c r="AY27" i="126"/>
  <c r="AY69" i="126"/>
  <c r="AY44" i="126"/>
  <c r="AY62" i="126"/>
  <c r="AY29" i="126"/>
  <c r="AY16" i="126"/>
  <c r="AY57" i="126"/>
  <c r="AY25" i="126"/>
  <c r="AY10" i="126"/>
  <c r="AY18" i="126"/>
  <c r="AY43" i="126"/>
  <c r="AY23" i="126"/>
  <c r="AY66" i="126"/>
  <c r="AY60" i="126"/>
  <c r="AY47" i="126"/>
  <c r="AY28" i="126"/>
  <c r="AY56" i="126"/>
  <c r="AY41" i="126"/>
  <c r="AY24" i="126"/>
  <c r="AY30" i="126"/>
  <c r="AY48" i="126"/>
  <c r="AO72" i="126"/>
  <c r="AO67" i="126"/>
  <c r="AO70" i="126"/>
  <c r="AO55" i="126"/>
  <c r="AO49" i="126"/>
  <c r="AO68" i="126"/>
  <c r="AO51" i="126"/>
  <c r="AO48" i="126"/>
  <c r="AO33" i="126"/>
  <c r="AO42" i="126"/>
  <c r="AO69" i="126"/>
  <c r="AO64" i="126"/>
  <c r="AO63" i="126"/>
  <c r="AO61" i="126"/>
  <c r="AO65" i="126"/>
  <c r="AO52" i="126"/>
  <c r="AO59" i="126"/>
  <c r="AO12" i="126"/>
  <c r="AO22" i="126"/>
  <c r="AO20" i="126"/>
  <c r="AO15" i="126"/>
  <c r="AO10" i="126"/>
  <c r="AO28" i="126"/>
  <c r="AO18" i="126"/>
  <c r="AO27" i="126"/>
  <c r="AO44" i="126"/>
  <c r="AO32" i="126"/>
  <c r="AO43" i="126"/>
  <c r="AO50" i="126"/>
  <c r="AO62" i="126"/>
  <c r="AO17" i="126"/>
  <c r="AO14" i="126"/>
  <c r="AO57" i="126"/>
  <c r="AO30" i="126"/>
  <c r="AO11" i="126"/>
  <c r="AO58" i="126"/>
  <c r="AO79" i="126"/>
  <c r="AO23" i="126"/>
  <c r="AO19" i="126"/>
  <c r="AO71" i="126"/>
  <c r="AO21" i="126"/>
  <c r="AO25" i="126"/>
  <c r="AO26" i="126"/>
  <c r="AO13" i="126"/>
  <c r="AO46" i="126"/>
  <c r="AO16" i="126"/>
  <c r="AO66" i="126"/>
  <c r="AO47" i="126"/>
  <c r="AO31" i="126"/>
  <c r="AO24" i="126"/>
  <c r="AO60" i="126"/>
  <c r="AO29" i="126"/>
  <c r="AO56" i="126"/>
  <c r="AO54" i="126"/>
  <c r="AO41" i="126"/>
  <c r="AO9" i="126"/>
  <c r="AO45" i="126"/>
  <c r="BW81" i="126"/>
  <c r="BW83" i="126" s="1"/>
  <c r="BW84" i="126" s="1"/>
  <c r="BW86" i="126" s="1"/>
  <c r="BW87" i="126" s="1"/>
  <c r="BW76" i="126"/>
  <c r="BS79" i="126"/>
  <c r="BS67" i="126"/>
  <c r="BS70" i="126"/>
  <c r="BS65" i="126"/>
  <c r="BS55" i="126"/>
  <c r="BS73" i="126"/>
  <c r="BS68" i="126"/>
  <c r="BS31" i="126"/>
  <c r="BS63" i="126"/>
  <c r="BS43" i="126"/>
  <c r="BS42" i="126"/>
  <c r="BS51" i="126"/>
  <c r="BS36" i="126"/>
  <c r="BS74" i="126"/>
  <c r="BS52" i="126"/>
  <c r="BS15" i="126"/>
  <c r="BS69" i="126"/>
  <c r="BS64" i="126"/>
  <c r="BS9" i="126"/>
  <c r="BS59" i="126"/>
  <c r="BS21" i="126"/>
  <c r="BS11" i="126"/>
  <c r="BS71" i="126"/>
  <c r="BS12" i="126"/>
  <c r="BS14" i="126"/>
  <c r="BS25" i="126"/>
  <c r="BS26" i="126"/>
  <c r="BS18" i="126"/>
  <c r="BS10" i="126"/>
  <c r="BS16" i="126"/>
  <c r="BS35" i="126"/>
  <c r="BS48" i="126"/>
  <c r="BS13" i="126"/>
  <c r="BS22" i="126"/>
  <c r="BS17" i="126"/>
  <c r="BS27" i="126"/>
  <c r="BS28" i="126"/>
  <c r="BS50" i="126"/>
  <c r="BS19" i="126"/>
  <c r="BS20" i="126"/>
  <c r="BS23" i="126"/>
  <c r="BS56" i="126"/>
  <c r="BS33" i="126"/>
  <c r="BS58" i="126"/>
  <c r="BS29" i="126"/>
  <c r="BS32" i="126"/>
  <c r="BS46" i="126"/>
  <c r="BS62" i="126"/>
  <c r="BS66" i="126"/>
  <c r="BS30" i="126"/>
  <c r="BS60" i="126"/>
  <c r="BS77" i="126"/>
  <c r="BS57" i="126"/>
  <c r="BS44" i="126"/>
  <c r="BS45" i="126"/>
  <c r="BS61" i="126"/>
  <c r="BS41" i="126"/>
  <c r="BS47" i="126"/>
  <c r="BS54" i="126"/>
  <c r="BS24" i="126"/>
  <c r="CB75" i="126"/>
  <c r="CB39" i="126"/>
  <c r="CR54" i="126"/>
  <c r="U79" i="126"/>
  <c r="AT74" i="126"/>
  <c r="AJ67" i="126"/>
  <c r="U67" i="126"/>
  <c r="Z67" i="126"/>
  <c r="AJ64" i="126"/>
  <c r="U64" i="126"/>
  <c r="AT71" i="126"/>
  <c r="AE71" i="126"/>
  <c r="P71" i="126"/>
  <c r="Z70" i="126"/>
  <c r="AJ68" i="126"/>
  <c r="U68" i="126"/>
  <c r="Z55" i="126"/>
  <c r="Z45" i="126"/>
  <c r="P79" i="126"/>
  <c r="AJ71" i="126"/>
  <c r="U71" i="126"/>
  <c r="AT70" i="126"/>
  <c r="AE70" i="126"/>
  <c r="P70" i="126"/>
  <c r="Z68" i="126"/>
  <c r="AT65" i="126"/>
  <c r="AJ51" i="126"/>
  <c r="U51" i="126"/>
  <c r="P47" i="126"/>
  <c r="AE45" i="126"/>
  <c r="AJ36" i="126"/>
  <c r="AE73" i="126"/>
  <c r="AJ70" i="126"/>
  <c r="U63" i="126"/>
  <c r="AJ61" i="126"/>
  <c r="U61" i="126"/>
  <c r="AT59" i="126"/>
  <c r="AE59" i="126"/>
  <c r="P59" i="126"/>
  <c r="AJ56" i="126"/>
  <c r="U55" i="126"/>
  <c r="Z48" i="126"/>
  <c r="Z43" i="126"/>
  <c r="Z29" i="126"/>
  <c r="AE68" i="126"/>
  <c r="AE66" i="126"/>
  <c r="U65" i="126"/>
  <c r="AJ52" i="126"/>
  <c r="U52" i="126"/>
  <c r="Z42" i="126"/>
  <c r="U70" i="126"/>
  <c r="Z63" i="126"/>
  <c r="Z61" i="126"/>
  <c r="AJ59" i="126"/>
  <c r="U59" i="126"/>
  <c r="U56" i="126"/>
  <c r="Z51" i="126"/>
  <c r="AE48" i="126"/>
  <c r="P48" i="126"/>
  <c r="AE43" i="126"/>
  <c r="P43" i="126"/>
  <c r="Z36" i="126"/>
  <c r="AE29" i="126"/>
  <c r="P29" i="126"/>
  <c r="P68" i="126"/>
  <c r="Z65" i="126"/>
  <c r="AJ60" i="126"/>
  <c r="Z52" i="126"/>
  <c r="AT46" i="126"/>
  <c r="AE46" i="126"/>
  <c r="P46" i="126"/>
  <c r="P63" i="126"/>
  <c r="P52" i="126"/>
  <c r="AE42" i="126"/>
  <c r="AJ33" i="126"/>
  <c r="P33" i="126"/>
  <c r="AJ20" i="126"/>
  <c r="AT17" i="126"/>
  <c r="AJ15" i="126"/>
  <c r="U14" i="126"/>
  <c r="Z12" i="126"/>
  <c r="AT11" i="126"/>
  <c r="Z10" i="126"/>
  <c r="Z64" i="126"/>
  <c r="AE61" i="126"/>
  <c r="U60" i="126"/>
  <c r="AT42" i="126"/>
  <c r="AE27" i="126"/>
  <c r="Z21" i="126"/>
  <c r="AT48" i="126"/>
  <c r="U46" i="126"/>
  <c r="AE33" i="126"/>
  <c r="P14" i="126"/>
  <c r="U12" i="126"/>
  <c r="AE65" i="126"/>
  <c r="AT61" i="126"/>
  <c r="AT33" i="126"/>
  <c r="Z28" i="126"/>
  <c r="AT27" i="126"/>
  <c r="P22" i="126"/>
  <c r="U21" i="126"/>
  <c r="Z20" i="126"/>
  <c r="AJ17" i="126"/>
  <c r="Z15" i="126"/>
  <c r="AE14" i="126"/>
  <c r="AJ12" i="126"/>
  <c r="AJ11" i="126"/>
  <c r="P10" i="126"/>
  <c r="AT68" i="126"/>
  <c r="AE63" i="126"/>
  <c r="AE52" i="126"/>
  <c r="Z59" i="126"/>
  <c r="AT52" i="126"/>
  <c r="Z50" i="126"/>
  <c r="AE47" i="126"/>
  <c r="AJ46" i="126"/>
  <c r="U43" i="126"/>
  <c r="AJ42" i="126"/>
  <c r="AJ21" i="126"/>
  <c r="P17" i="126"/>
  <c r="AT14" i="126"/>
  <c r="P11" i="126"/>
  <c r="AE10" i="126"/>
  <c r="Z69" i="126"/>
  <c r="P61" i="126"/>
  <c r="P42" i="126"/>
  <c r="AJ22" i="126"/>
  <c r="U20" i="126"/>
  <c r="AT19" i="126"/>
  <c r="Z19" i="126"/>
  <c r="AE17" i="126"/>
  <c r="U15" i="126"/>
  <c r="AE11" i="126"/>
  <c r="AT10" i="126"/>
  <c r="AJ14" i="126"/>
  <c r="U17" i="126"/>
  <c r="U11" i="126"/>
  <c r="AJ55" i="126"/>
  <c r="U42" i="126"/>
  <c r="AT16" i="126"/>
  <c r="AE31" i="126"/>
  <c r="P13" i="126"/>
  <c r="U32" i="126"/>
  <c r="AE15" i="126"/>
  <c r="P15" i="126"/>
  <c r="P20" i="126"/>
  <c r="Z14" i="126"/>
  <c r="AT23" i="126"/>
  <c r="AT30" i="126"/>
  <c r="AT60" i="126"/>
  <c r="AE79" i="126"/>
  <c r="Z16" i="126"/>
  <c r="AT20" i="126"/>
  <c r="U26" i="126"/>
  <c r="AE16" i="126"/>
  <c r="Z24" i="126"/>
  <c r="AE25" i="126"/>
  <c r="AT47" i="126"/>
  <c r="AJ58" i="126"/>
  <c r="AJ79" i="126"/>
  <c r="AE21" i="126"/>
  <c r="P9" i="126"/>
  <c r="AE9" i="126"/>
  <c r="P24" i="126"/>
  <c r="Z17" i="126"/>
  <c r="AE26" i="126"/>
  <c r="U25" i="126"/>
  <c r="AT31" i="126"/>
  <c r="Z56" i="126"/>
  <c r="P18" i="126"/>
  <c r="U35" i="126"/>
  <c r="U23" i="126"/>
  <c r="Z44" i="126"/>
  <c r="AT62" i="126"/>
  <c r="AE44" i="126"/>
  <c r="AT57" i="126"/>
  <c r="AT25" i="126"/>
  <c r="AE22" i="126"/>
  <c r="AE24" i="126"/>
  <c r="AJ18" i="126"/>
  <c r="U29" i="126"/>
  <c r="U16" i="126"/>
  <c r="Z23" i="126"/>
  <c r="AJ28" i="126"/>
  <c r="Z30" i="126"/>
  <c r="Z71" i="126"/>
  <c r="U10" i="126"/>
  <c r="Z18" i="126"/>
  <c r="U27" i="126"/>
  <c r="U45" i="126"/>
  <c r="AE19" i="126"/>
  <c r="AJ24" i="126"/>
  <c r="U30" i="126"/>
  <c r="AE58" i="126"/>
  <c r="AT15" i="126"/>
  <c r="AJ23" i="126"/>
  <c r="Z32" i="126"/>
  <c r="AJ25" i="126"/>
  <c r="Z22" i="126"/>
  <c r="AT13" i="126"/>
  <c r="AE12" i="126"/>
  <c r="P12" i="126"/>
  <c r="AE62" i="126"/>
  <c r="AJ74" i="126"/>
  <c r="AE23" i="126"/>
  <c r="AT67" i="126"/>
  <c r="P28" i="126"/>
  <c r="AJ45" i="126"/>
  <c r="AE56" i="126"/>
  <c r="P65" i="126"/>
  <c r="P16" i="126"/>
  <c r="P25" i="126"/>
  <c r="U57" i="126"/>
  <c r="U47" i="126"/>
  <c r="Z31" i="126"/>
  <c r="Z47" i="126"/>
  <c r="Z62" i="126"/>
  <c r="U36" i="126"/>
  <c r="AJ50" i="126"/>
  <c r="Z74" i="126"/>
  <c r="U44" i="126"/>
  <c r="Z57" i="126"/>
  <c r="P74" i="126"/>
  <c r="Z66" i="126"/>
  <c r="U73" i="126"/>
  <c r="AT32" i="126"/>
  <c r="U69" i="126"/>
  <c r="P51" i="126"/>
  <c r="AE60" i="126"/>
  <c r="AT35" i="126"/>
  <c r="AJ19" i="126"/>
  <c r="U28" i="126"/>
  <c r="AT63" i="126"/>
  <c r="P55" i="126"/>
  <c r="Z35" i="126"/>
  <c r="U9" i="126"/>
  <c r="Z26" i="126"/>
  <c r="AE28" i="126"/>
  <c r="AE32" i="126"/>
  <c r="P57" i="126"/>
  <c r="P64" i="126"/>
  <c r="AT56" i="126"/>
  <c r="P44" i="126"/>
  <c r="U48" i="126"/>
  <c r="AE13" i="126"/>
  <c r="AJ35" i="126"/>
  <c r="Z27" i="126"/>
  <c r="P67" i="126"/>
  <c r="AE20" i="126"/>
  <c r="U19" i="126"/>
  <c r="AJ13" i="126"/>
  <c r="P21" i="126"/>
  <c r="AJ9" i="126"/>
  <c r="AT18" i="126"/>
  <c r="AT36" i="126"/>
  <c r="AT28" i="126"/>
  <c r="AT21" i="126"/>
  <c r="P27" i="126"/>
  <c r="AJ43" i="126"/>
  <c r="AT44" i="126"/>
  <c r="AT22" i="126"/>
  <c r="P26" i="126"/>
  <c r="U31" i="126"/>
  <c r="U13" i="126"/>
  <c r="AJ27" i="126"/>
  <c r="U62" i="126"/>
  <c r="AT66" i="126"/>
  <c r="AJ65" i="126"/>
  <c r="Z33" i="126"/>
  <c r="AT79" i="126"/>
  <c r="AJ47" i="126"/>
  <c r="U58" i="126"/>
  <c r="U74" i="126"/>
  <c r="AT26" i="126"/>
  <c r="AE18" i="126"/>
  <c r="U18" i="126"/>
  <c r="AE51" i="126"/>
  <c r="Z60" i="126"/>
  <c r="P30" i="126"/>
  <c r="Z73" i="126"/>
  <c r="U22" i="126"/>
  <c r="AJ26" i="126"/>
  <c r="Z9" i="126"/>
  <c r="AE67" i="126"/>
  <c r="AE69" i="126"/>
  <c r="P31" i="126"/>
  <c r="AT9" i="126"/>
  <c r="AJ32" i="126"/>
  <c r="AJ57" i="126"/>
  <c r="AJ63" i="126"/>
  <c r="AJ66" i="126"/>
  <c r="AT43" i="126"/>
  <c r="AT69" i="126"/>
  <c r="AT55" i="126"/>
  <c r="AJ69" i="126"/>
  <c r="AJ62" i="126"/>
  <c r="Z46" i="126"/>
  <c r="P50" i="126"/>
  <c r="P36" i="126"/>
  <c r="P62" i="126"/>
  <c r="AE64" i="126"/>
  <c r="Z25" i="126"/>
  <c r="P19" i="126"/>
  <c r="AJ48" i="126"/>
  <c r="Z13" i="126"/>
  <c r="P23" i="126"/>
  <c r="P60" i="126"/>
  <c r="AE55" i="126"/>
  <c r="AJ31" i="126"/>
  <c r="P32" i="126"/>
  <c r="P58" i="126"/>
  <c r="AT64" i="126"/>
  <c r="AT73" i="126"/>
  <c r="AE74" i="126"/>
  <c r="P69" i="126"/>
  <c r="Z79" i="126"/>
  <c r="Z11" i="126"/>
  <c r="U33" i="126"/>
  <c r="AJ10" i="126"/>
  <c r="AT24" i="126"/>
  <c r="AE36" i="126"/>
  <c r="Z58" i="126"/>
  <c r="U66" i="126"/>
  <c r="P66" i="126"/>
  <c r="AE30" i="126"/>
  <c r="P56" i="126"/>
  <c r="AJ44" i="126"/>
  <c r="AT29" i="126"/>
  <c r="AT51" i="126"/>
  <c r="U50" i="126"/>
  <c r="AE57" i="126"/>
  <c r="AT12" i="126"/>
  <c r="U24" i="126"/>
  <c r="AE8" i="126"/>
  <c r="AJ41" i="126"/>
  <c r="AJ73" i="126"/>
  <c r="Z8" i="126"/>
  <c r="AT41" i="126"/>
  <c r="U41" i="126"/>
  <c r="AJ54" i="126"/>
  <c r="AJ16" i="126"/>
  <c r="P41" i="126"/>
  <c r="AE41" i="126"/>
  <c r="P73" i="126"/>
  <c r="AT50" i="126"/>
  <c r="P35" i="126"/>
  <c r="Z54" i="126"/>
  <c r="U54" i="126"/>
  <c r="P45" i="126"/>
  <c r="AJ30" i="126"/>
  <c r="P54" i="126"/>
  <c r="AT58" i="126"/>
  <c r="Z41" i="126"/>
  <c r="AE35" i="126"/>
  <c r="AE50" i="126"/>
  <c r="AT45" i="126"/>
  <c r="P8" i="126"/>
  <c r="AE54" i="126"/>
  <c r="AJ29" i="126"/>
  <c r="CP76" i="126"/>
  <c r="CP81" i="126"/>
  <c r="CP83" i="126" s="1"/>
  <c r="CP84" i="126" s="1"/>
  <c r="CP86" i="126" s="1"/>
  <c r="CP87" i="126" s="1"/>
  <c r="BA76" i="126"/>
  <c r="BA81" i="126"/>
  <c r="BA83" i="126" s="1"/>
  <c r="BA84" i="126" s="1"/>
  <c r="BA86" i="126" s="1"/>
  <c r="BA87" i="126" s="1"/>
  <c r="BM39" i="126"/>
  <c r="BM75" i="126"/>
  <c r="BH81" i="126"/>
  <c r="BH83" i="126" s="1"/>
  <c r="BH84" i="126" s="1"/>
  <c r="BH86" i="126" s="1"/>
  <c r="BH87" i="126" s="1"/>
  <c r="BH76" i="126"/>
  <c r="CO81" i="126"/>
  <c r="CO83" i="126" s="1"/>
  <c r="CO84" i="126" s="1"/>
  <c r="CO86" i="126" s="1"/>
  <c r="CO76" i="126"/>
  <c r="T81" i="126"/>
  <c r="T83" i="126" s="1"/>
  <c r="T84" i="126" s="1"/>
  <c r="T86" i="126" s="1"/>
  <c r="T87" i="126" s="1"/>
  <c r="T76" i="126"/>
  <c r="E76" i="126"/>
  <c r="E81" i="126"/>
  <c r="E83" i="126" s="1"/>
  <c r="E84" i="126" s="1"/>
  <c r="E86" i="126" s="1"/>
  <c r="E87" i="126" s="1"/>
  <c r="AS39" i="126"/>
  <c r="AS75" i="126"/>
  <c r="AX75" i="126"/>
  <c r="AX39" i="126"/>
  <c r="CC68" i="126"/>
  <c r="CC67" i="126"/>
  <c r="CC64" i="126"/>
  <c r="CC79" i="126"/>
  <c r="CC71" i="126"/>
  <c r="CC70" i="126"/>
  <c r="CC61" i="126"/>
  <c r="CC74" i="126"/>
  <c r="CC59" i="126"/>
  <c r="CC66" i="126"/>
  <c r="CC60" i="126"/>
  <c r="CC48" i="126"/>
  <c r="CC62" i="126"/>
  <c r="CC51" i="126"/>
  <c r="CC36" i="126"/>
  <c r="CC69" i="126"/>
  <c r="CC56" i="126"/>
  <c r="CC52" i="126"/>
  <c r="CC65" i="126"/>
  <c r="CC30" i="126"/>
  <c r="CC27" i="126"/>
  <c r="CC63" i="126"/>
  <c r="CC17" i="126"/>
  <c r="CC12" i="126"/>
  <c r="CC42" i="126"/>
  <c r="CC29" i="126"/>
  <c r="CC33" i="126"/>
  <c r="CC20" i="126"/>
  <c r="CC15" i="126"/>
  <c r="CC46" i="126"/>
  <c r="CC14" i="126"/>
  <c r="CC55" i="126"/>
  <c r="CC31" i="126"/>
  <c r="CC19" i="126"/>
  <c r="CC24" i="126"/>
  <c r="CC28" i="126"/>
  <c r="CC32" i="126"/>
  <c r="CC44" i="126"/>
  <c r="CC10" i="126"/>
  <c r="CC22" i="126"/>
  <c r="CC16" i="126"/>
  <c r="CC35" i="126"/>
  <c r="CC57" i="126"/>
  <c r="CC26" i="126"/>
  <c r="CC11" i="126"/>
  <c r="CC13" i="126"/>
  <c r="CC43" i="126"/>
  <c r="CC18" i="126"/>
  <c r="CC77" i="126"/>
  <c r="CC9" i="126"/>
  <c r="CC47" i="126"/>
  <c r="CC50" i="126"/>
  <c r="CC73" i="126"/>
  <c r="CC23" i="126"/>
  <c r="CC21" i="126"/>
  <c r="CC45" i="126"/>
  <c r="CC41" i="126"/>
  <c r="CC58" i="126"/>
  <c r="CC25" i="126"/>
  <c r="CC54" i="126"/>
  <c r="U8" i="126"/>
  <c r="BN67" i="126"/>
  <c r="CC37" i="126"/>
  <c r="BN74" i="126"/>
  <c r="BN64" i="126"/>
  <c r="BN79" i="126"/>
  <c r="BN68" i="126"/>
  <c r="BN71" i="126"/>
  <c r="BN51" i="126"/>
  <c r="BN37" i="126"/>
  <c r="BN36" i="126"/>
  <c r="BN61" i="126"/>
  <c r="BN58" i="126"/>
  <c r="BN55" i="126"/>
  <c r="CM37" i="126"/>
  <c r="BX37" i="126"/>
  <c r="BN52" i="126"/>
  <c r="BN70" i="126"/>
  <c r="BN59" i="126"/>
  <c r="BN56" i="126"/>
  <c r="BN42" i="126"/>
  <c r="BS37" i="126"/>
  <c r="BN46" i="126"/>
  <c r="BN33" i="126"/>
  <c r="BN14" i="126"/>
  <c r="BN60" i="126"/>
  <c r="BN19" i="126"/>
  <c r="BN31" i="126"/>
  <c r="BN28" i="126"/>
  <c r="BN17" i="126"/>
  <c r="BN12" i="126"/>
  <c r="BN20" i="126"/>
  <c r="BN15" i="126"/>
  <c r="BN43" i="126"/>
  <c r="BN25" i="126"/>
  <c r="BN30" i="126"/>
  <c r="BN13" i="126"/>
  <c r="BN27" i="126"/>
  <c r="BN73" i="126"/>
  <c r="BN48" i="126"/>
  <c r="BN24" i="126"/>
  <c r="BN47" i="126"/>
  <c r="BN57" i="126"/>
  <c r="BN29" i="126"/>
  <c r="BN65" i="126"/>
  <c r="BN26" i="126"/>
  <c r="BN21" i="126"/>
  <c r="BN69" i="126"/>
  <c r="BN77" i="126"/>
  <c r="BN22" i="126"/>
  <c r="BN9" i="126"/>
  <c r="BN63" i="126"/>
  <c r="BN35" i="126"/>
  <c r="BN23" i="126"/>
  <c r="BN50" i="126"/>
  <c r="BN78" i="126"/>
  <c r="BN44" i="126"/>
  <c r="CC78" i="126"/>
  <c r="BN10" i="126"/>
  <c r="BN32" i="126"/>
  <c r="CM78" i="126"/>
  <c r="BN66" i="126"/>
  <c r="BX78" i="126"/>
  <c r="BN11" i="126"/>
  <c r="BN62" i="126"/>
  <c r="BS78" i="126"/>
  <c r="BN16" i="126"/>
  <c r="BN18" i="126"/>
  <c r="BN54" i="126"/>
  <c r="BN45" i="126"/>
  <c r="BN41" i="126"/>
  <c r="AN75" i="126"/>
  <c r="AN39" i="126"/>
  <c r="AI39" i="126"/>
  <c r="AI75" i="126"/>
  <c r="BR75" i="126"/>
  <c r="BR39" i="126"/>
  <c r="BI41" i="126"/>
  <c r="AY8" i="126"/>
  <c r="AT8" i="126"/>
  <c r="BI54" i="126"/>
  <c r="CR8" i="126" l="1"/>
  <c r="BM81" i="126"/>
  <c r="BM83" i="126" s="1"/>
  <c r="BM84" i="126" s="1"/>
  <c r="BM86" i="126" s="1"/>
  <c r="BM87" i="126" s="1"/>
  <c r="BM76" i="126"/>
  <c r="CR72" i="126"/>
  <c r="CR49" i="126"/>
  <c r="CR67" i="126"/>
  <c r="CR59" i="126"/>
  <c r="CR51" i="126"/>
  <c r="CR64" i="126"/>
  <c r="CR15" i="126"/>
  <c r="CR61" i="126"/>
  <c r="CR20" i="126"/>
  <c r="CR25" i="126"/>
  <c r="CR21" i="126"/>
  <c r="CR14" i="126"/>
  <c r="CR10" i="126"/>
  <c r="CR60" i="126"/>
  <c r="CR26" i="126"/>
  <c r="CR71" i="126"/>
  <c r="CR70" i="126"/>
  <c r="CR23" i="126"/>
  <c r="CR66" i="126"/>
  <c r="CR44" i="126"/>
  <c r="CR57" i="126"/>
  <c r="CR63" i="126"/>
  <c r="CR68" i="126"/>
  <c r="CR13" i="126"/>
  <c r="CR32" i="126"/>
  <c r="CR43" i="126"/>
  <c r="CR56" i="126"/>
  <c r="CR22" i="126"/>
  <c r="CR29" i="126"/>
  <c r="CR24" i="126"/>
  <c r="CR58" i="126"/>
  <c r="CR52" i="126"/>
  <c r="CR46" i="126"/>
  <c r="CR11" i="126"/>
  <c r="CR18" i="126"/>
  <c r="CR62" i="126"/>
  <c r="CR28" i="126"/>
  <c r="CR16" i="126"/>
  <c r="CR17" i="126"/>
  <c r="CR12" i="126"/>
  <c r="CR36" i="126"/>
  <c r="CR35" i="126" s="1"/>
  <c r="CR48" i="126"/>
  <c r="CR33" i="126"/>
  <c r="CR55" i="126"/>
  <c r="CR19" i="126"/>
  <c r="CR42" i="126"/>
  <c r="CR27" i="126"/>
  <c r="CR47" i="126"/>
  <c r="CR45" i="126"/>
  <c r="CR31" i="126"/>
  <c r="CR69" i="126"/>
  <c r="CR74" i="126"/>
  <c r="CR65" i="126"/>
  <c r="CR30" i="126"/>
  <c r="CR9" i="126"/>
  <c r="CR41" i="126"/>
  <c r="AN81" i="126"/>
  <c r="AN83" i="126" s="1"/>
  <c r="AN84" i="126" s="1"/>
  <c r="AN86" i="126" s="1"/>
  <c r="AN87" i="126" s="1"/>
  <c r="AN76" i="126"/>
  <c r="CB81" i="126"/>
  <c r="CB83" i="126" s="1"/>
  <c r="CB84" i="126" s="1"/>
  <c r="CB86" i="126" s="1"/>
  <c r="CB87" i="126" s="1"/>
  <c r="CB76" i="126"/>
  <c r="AI76" i="126"/>
  <c r="AI81" i="126"/>
  <c r="AI83" i="126" s="1"/>
  <c r="AI84" i="126" s="1"/>
  <c r="AI86" i="126" s="1"/>
  <c r="AI87" i="126" s="1"/>
  <c r="AX81" i="126"/>
  <c r="AX83" i="126" s="1"/>
  <c r="AX84" i="126" s="1"/>
  <c r="AX86" i="126" s="1"/>
  <c r="AX87" i="126" s="1"/>
  <c r="AX76" i="126"/>
  <c r="BR81" i="126"/>
  <c r="BR83" i="126" s="1"/>
  <c r="BR84" i="126" s="1"/>
  <c r="BR86" i="126" s="1"/>
  <c r="BR87" i="126" s="1"/>
  <c r="BR76" i="126"/>
  <c r="AS81" i="126"/>
  <c r="AS83" i="126" s="1"/>
  <c r="AS84" i="126" s="1"/>
  <c r="AS86" i="126" s="1"/>
  <c r="AS87" i="126" s="1"/>
  <c r="AS76" i="126"/>
  <c r="CQ39" i="126"/>
  <c r="CQ75" i="126"/>
  <c r="CQ81" i="126" l="1"/>
  <c r="CQ83" i="126" s="1"/>
  <c r="CQ84" i="126" s="1"/>
  <c r="CQ86" i="126" s="1"/>
  <c r="CQ87" i="126" s="1"/>
  <c r="CQ76" i="126"/>
  <c r="E79" i="138" l="1"/>
  <c r="X46" i="101" l="1"/>
  <c r="X52" i="101" l="1"/>
  <c r="X61" i="101"/>
  <c r="X60" i="101" s="1"/>
  <c r="X58" i="101"/>
  <c r="X55" i="101" s="1"/>
  <c r="X43" i="101"/>
  <c r="X42" i="101" l="1"/>
  <c r="R85" i="138" l="1"/>
  <c r="Q85" i="138"/>
  <c r="R82" i="138"/>
  <c r="Q82" i="138"/>
  <c r="R79" i="138"/>
  <c r="Q79" i="138"/>
  <c r="R78" i="138"/>
  <c r="Q78" i="138"/>
  <c r="R74" i="138"/>
  <c r="Q74" i="138"/>
  <c r="R71" i="138"/>
  <c r="Q71" i="138"/>
  <c r="R70" i="138"/>
  <c r="Q70" i="138"/>
  <c r="R69" i="138"/>
  <c r="Q69" i="138"/>
  <c r="R68" i="138"/>
  <c r="Q68" i="138"/>
  <c r="R67" i="138"/>
  <c r="Q67" i="138"/>
  <c r="R66" i="138"/>
  <c r="Q66" i="138"/>
  <c r="R65" i="138"/>
  <c r="Q65" i="138"/>
  <c r="R64" i="138"/>
  <c r="Q64" i="138"/>
  <c r="R63" i="138"/>
  <c r="Q63" i="138"/>
  <c r="R62" i="138"/>
  <c r="Q62" i="138"/>
  <c r="R61" i="138"/>
  <c r="Q61" i="138"/>
  <c r="R60" i="138"/>
  <c r="Q60" i="138"/>
  <c r="R59" i="138"/>
  <c r="Q59" i="138"/>
  <c r="R58" i="138"/>
  <c r="Q58" i="138"/>
  <c r="R57" i="138"/>
  <c r="Q57" i="138"/>
  <c r="R56" i="138"/>
  <c r="Q56" i="138"/>
  <c r="R55" i="138"/>
  <c r="Q55" i="138"/>
  <c r="R52" i="138"/>
  <c r="Q52" i="138"/>
  <c r="R51" i="138"/>
  <c r="Q51" i="138"/>
  <c r="R48" i="138"/>
  <c r="Q48" i="138"/>
  <c r="R47" i="138"/>
  <c r="Q47" i="138"/>
  <c r="R46" i="138"/>
  <c r="Q46" i="138"/>
  <c r="R45" i="138"/>
  <c r="Q45" i="138"/>
  <c r="R44" i="138"/>
  <c r="Q44" i="138"/>
  <c r="R43" i="138"/>
  <c r="Q43" i="138"/>
  <c r="R42" i="138"/>
  <c r="Q42" i="138"/>
  <c r="R36" i="138"/>
  <c r="Q36" i="138"/>
  <c r="R33" i="138"/>
  <c r="Q33" i="138"/>
  <c r="R32" i="138"/>
  <c r="Q32" i="138"/>
  <c r="R31" i="138"/>
  <c r="Q31" i="138"/>
  <c r="R30" i="138"/>
  <c r="Q30" i="138"/>
  <c r="R29" i="138"/>
  <c r="Q29" i="138"/>
  <c r="R28" i="138"/>
  <c r="Q28" i="138"/>
  <c r="R27" i="138"/>
  <c r="Q27" i="138"/>
  <c r="R26" i="138"/>
  <c r="Q26" i="138"/>
  <c r="R25" i="138"/>
  <c r="Q25" i="138"/>
  <c r="R24" i="138"/>
  <c r="Q24" i="138"/>
  <c r="R23" i="138"/>
  <c r="Q23" i="138"/>
  <c r="R22" i="138"/>
  <c r="Q22" i="138"/>
  <c r="R21" i="138"/>
  <c r="Q21" i="138"/>
  <c r="R20" i="138"/>
  <c r="Q20" i="138"/>
  <c r="R19" i="138"/>
  <c r="Q19" i="138"/>
  <c r="R18" i="138"/>
  <c r="Q18" i="138"/>
  <c r="R17" i="138"/>
  <c r="Q17" i="138"/>
  <c r="Q16" i="138"/>
  <c r="R15" i="138"/>
  <c r="Q15" i="138"/>
  <c r="R14" i="138"/>
  <c r="Q14" i="138"/>
  <c r="R13" i="138"/>
  <c r="Q13" i="138"/>
  <c r="R12" i="138"/>
  <c r="Q12" i="138"/>
  <c r="R11" i="138"/>
  <c r="Q11" i="138"/>
  <c r="R10" i="138"/>
  <c r="Q10" i="138"/>
  <c r="R9" i="138"/>
  <c r="Q9" i="138"/>
  <c r="Q7" i="138"/>
  <c r="R7" i="138"/>
  <c r="R6" i="138"/>
  <c r="Q6" i="138"/>
  <c r="M20" i="101" l="1"/>
  <c r="DD79" i="82" s="1"/>
  <c r="I20" i="101"/>
  <c r="E20" i="101"/>
  <c r="DF79" i="82" l="1"/>
  <c r="DD77" i="82"/>
  <c r="DD81" i="82"/>
  <c r="DD83" i="82" s="1"/>
  <c r="DD84" i="82" s="1"/>
  <c r="DD86" i="82" s="1"/>
  <c r="DD87" i="82" s="1"/>
  <c r="U45" i="101"/>
  <c r="C45" i="101" s="1"/>
  <c r="DF77" i="82" l="1"/>
  <c r="DF89" i="82"/>
  <c r="DF91" i="82" s="1"/>
  <c r="DF81" i="82"/>
  <c r="DF83" i="82" s="1"/>
  <c r="DF84" i="82" s="1"/>
  <c r="DF86" i="82" s="1"/>
  <c r="DF87" i="82" l="1"/>
  <c r="BF26" i="114" l="1"/>
  <c r="BH85" i="114"/>
  <c r="BH82" i="114"/>
  <c r="BH78" i="114"/>
  <c r="BG77" i="114"/>
  <c r="BF77" i="114"/>
  <c r="BH74" i="114"/>
  <c r="BG73" i="114"/>
  <c r="BF73" i="114"/>
  <c r="BH71" i="114"/>
  <c r="BH70" i="114"/>
  <c r="BH69" i="114"/>
  <c r="BH68" i="114"/>
  <c r="BH67" i="114"/>
  <c r="BH66" i="114"/>
  <c r="BH65" i="114"/>
  <c r="BH64" i="114"/>
  <c r="BH63" i="114"/>
  <c r="BH62" i="114"/>
  <c r="BH61" i="114"/>
  <c r="BH60" i="114"/>
  <c r="BH59" i="114"/>
  <c r="BH58" i="114"/>
  <c r="BH57" i="114"/>
  <c r="BH56" i="114"/>
  <c r="BH55" i="114"/>
  <c r="BG54" i="114"/>
  <c r="BF54" i="114"/>
  <c r="BH52" i="114"/>
  <c r="BH51" i="114"/>
  <c r="BH50" i="114" s="1"/>
  <c r="BG50" i="114"/>
  <c r="BF50" i="114"/>
  <c r="BH48" i="114"/>
  <c r="BH47" i="114"/>
  <c r="BH46" i="114"/>
  <c r="BH41" i="114" s="1"/>
  <c r="BH45" i="114"/>
  <c r="BH44" i="114"/>
  <c r="BH43" i="114"/>
  <c r="BH42" i="114"/>
  <c r="BG41" i="114"/>
  <c r="BF41" i="114"/>
  <c r="BH36" i="114"/>
  <c r="BH35" i="114" s="1"/>
  <c r="BH33" i="114"/>
  <c r="BH32" i="114"/>
  <c r="BH31" i="114"/>
  <c r="BH30" i="114"/>
  <c r="BH29" i="114"/>
  <c r="BH28" i="114"/>
  <c r="BH27" i="114"/>
  <c r="BH26" i="114"/>
  <c r="BH25" i="114"/>
  <c r="BH24" i="114"/>
  <c r="BH23" i="114"/>
  <c r="BH22" i="114"/>
  <c r="BH21" i="114"/>
  <c r="BH20" i="114"/>
  <c r="BH19" i="114"/>
  <c r="BH18" i="114"/>
  <c r="BH17" i="114"/>
  <c r="BH16" i="114"/>
  <c r="BH15" i="114"/>
  <c r="BH14" i="114"/>
  <c r="BH13" i="114"/>
  <c r="BH12" i="114"/>
  <c r="BH11" i="114"/>
  <c r="BH10" i="114"/>
  <c r="BH9" i="114"/>
  <c r="BG8" i="114"/>
  <c r="BH79" i="114" s="1"/>
  <c r="BF8" i="114"/>
  <c r="BH7" i="114"/>
  <c r="BH6" i="114"/>
  <c r="BH5" i="114" s="1"/>
  <c r="BG5" i="114"/>
  <c r="BF5" i="114"/>
  <c r="N85" i="138"/>
  <c r="N82" i="138"/>
  <c r="N78" i="138"/>
  <c r="O78" i="138" s="1"/>
  <c r="M77" i="138"/>
  <c r="L77" i="138"/>
  <c r="N74" i="138"/>
  <c r="N73" i="138" s="1"/>
  <c r="M73" i="138"/>
  <c r="L73" i="138"/>
  <c r="N71" i="138"/>
  <c r="N70" i="138"/>
  <c r="N69" i="138"/>
  <c r="N68" i="138"/>
  <c r="N67" i="138"/>
  <c r="N66" i="138"/>
  <c r="N65" i="138"/>
  <c r="N64" i="138"/>
  <c r="N63" i="138"/>
  <c r="N62" i="138"/>
  <c r="N61" i="138"/>
  <c r="N60" i="138"/>
  <c r="N59" i="138"/>
  <c r="N58" i="138"/>
  <c r="N57" i="138"/>
  <c r="N56" i="138"/>
  <c r="N55" i="138"/>
  <c r="M54" i="138"/>
  <c r="L54" i="138"/>
  <c r="N52" i="138"/>
  <c r="N51" i="138"/>
  <c r="M50" i="138"/>
  <c r="L50" i="138"/>
  <c r="N48" i="138"/>
  <c r="N47" i="138"/>
  <c r="N46" i="138"/>
  <c r="N45" i="138"/>
  <c r="N44" i="138"/>
  <c r="N43" i="138"/>
  <c r="N42" i="138"/>
  <c r="M41" i="138"/>
  <c r="L41" i="138"/>
  <c r="O37" i="138"/>
  <c r="N36" i="138"/>
  <c r="N35" i="138" s="1"/>
  <c r="N33" i="138"/>
  <c r="N32" i="138"/>
  <c r="N31" i="138"/>
  <c r="N30" i="138"/>
  <c r="N29" i="138"/>
  <c r="N28" i="138"/>
  <c r="N27" i="138"/>
  <c r="N26" i="138"/>
  <c r="N25" i="138"/>
  <c r="N24" i="138"/>
  <c r="N23" i="138"/>
  <c r="N22" i="138"/>
  <c r="N21" i="138"/>
  <c r="N20" i="138"/>
  <c r="N19" i="138"/>
  <c r="N18" i="138"/>
  <c r="N17" i="138"/>
  <c r="N16" i="138"/>
  <c r="N15" i="138"/>
  <c r="N14" i="138"/>
  <c r="N13" i="138"/>
  <c r="N12" i="138"/>
  <c r="N11" i="138"/>
  <c r="N10" i="138"/>
  <c r="N9" i="138"/>
  <c r="M8" i="138"/>
  <c r="S79" i="138" s="1"/>
  <c r="W79" i="138" s="1"/>
  <c r="L8" i="138"/>
  <c r="L38" i="138" s="1"/>
  <c r="L75" i="138" s="1"/>
  <c r="N7" i="138"/>
  <c r="N6" i="138"/>
  <c r="N5" i="138" s="1"/>
  <c r="M5" i="138"/>
  <c r="L5" i="138"/>
  <c r="BH8" i="114" l="1"/>
  <c r="BH38" i="114" s="1"/>
  <c r="N54" i="138"/>
  <c r="N50" i="138"/>
  <c r="M38" i="138"/>
  <c r="N41" i="138"/>
  <c r="BF38" i="114"/>
  <c r="BF75" i="114"/>
  <c r="BF39" i="114"/>
  <c r="BH77" i="114"/>
  <c r="BG38" i="114"/>
  <c r="BH39" i="114"/>
  <c r="BH54" i="114"/>
  <c r="BH73" i="114"/>
  <c r="N77" i="138"/>
  <c r="N8" i="138"/>
  <c r="L76" i="138"/>
  <c r="L81" i="138"/>
  <c r="L83" i="138" s="1"/>
  <c r="L84" i="138" s="1"/>
  <c r="L86" i="138" s="1"/>
  <c r="L87" i="138" s="1"/>
  <c r="L39" i="138"/>
  <c r="M39" i="138" l="1"/>
  <c r="M75" i="138"/>
  <c r="BF76" i="114"/>
  <c r="BF81" i="114"/>
  <c r="BF83" i="114" s="1"/>
  <c r="BF84" i="114" s="1"/>
  <c r="BF86" i="114" s="1"/>
  <c r="BF87" i="114" s="1"/>
  <c r="BH89" i="114"/>
  <c r="BG75" i="114"/>
  <c r="BG39" i="114"/>
  <c r="BH75" i="114"/>
  <c r="N89" i="138"/>
  <c r="O79" i="138" s="1"/>
  <c r="N38" i="138"/>
  <c r="M76" i="138" l="1"/>
  <c r="M81" i="138"/>
  <c r="M83" i="138" s="1"/>
  <c r="M84" i="138" s="1"/>
  <c r="M86" i="138" s="1"/>
  <c r="M87" i="138" s="1"/>
  <c r="BG81" i="114"/>
  <c r="BG83" i="114" s="1"/>
  <c r="BG84" i="114" s="1"/>
  <c r="BG86" i="114" s="1"/>
  <c r="BG87" i="114" s="1"/>
  <c r="BG76" i="114"/>
  <c r="BI31" i="114"/>
  <c r="BI22" i="114"/>
  <c r="BI13" i="114"/>
  <c r="BI25" i="114"/>
  <c r="BI16" i="114"/>
  <c r="BI35" i="114"/>
  <c r="BI28" i="114"/>
  <c r="BI19" i="114"/>
  <c r="BI10" i="114"/>
  <c r="BI69" i="114"/>
  <c r="BI52" i="114"/>
  <c r="BI20" i="114"/>
  <c r="BI71" i="114"/>
  <c r="BI12" i="114"/>
  <c r="BI17" i="114"/>
  <c r="BI61" i="114"/>
  <c r="BI27" i="114"/>
  <c r="BI68" i="114"/>
  <c r="BI33" i="114"/>
  <c r="BI51" i="114"/>
  <c r="BI15" i="114"/>
  <c r="BI58" i="114"/>
  <c r="BI29" i="114"/>
  <c r="BI46" i="114"/>
  <c r="BI21" i="114"/>
  <c r="BI26" i="114"/>
  <c r="BI67" i="114"/>
  <c r="BI45" i="114"/>
  <c r="BI64" i="114"/>
  <c r="BI42" i="114"/>
  <c r="BI63" i="114"/>
  <c r="BI30" i="114"/>
  <c r="BI14" i="114"/>
  <c r="BI50" i="114"/>
  <c r="BI74" i="114"/>
  <c r="BI48" i="114"/>
  <c r="BI43" i="114"/>
  <c r="BI57" i="114"/>
  <c r="BI8" i="114"/>
  <c r="BI24" i="114"/>
  <c r="BI23" i="114"/>
  <c r="BI41" i="114"/>
  <c r="BI32" i="114"/>
  <c r="BI59" i="114"/>
  <c r="BI60" i="114"/>
  <c r="BI44" i="114"/>
  <c r="BI9" i="114"/>
  <c r="BI56" i="114"/>
  <c r="BI36" i="114"/>
  <c r="BI47" i="114"/>
  <c r="BI11" i="114"/>
  <c r="BI65" i="114"/>
  <c r="BI79" i="114"/>
  <c r="BI66" i="114"/>
  <c r="BI55" i="114"/>
  <c r="BI18" i="114"/>
  <c r="BI62" i="114"/>
  <c r="BI70" i="114"/>
  <c r="BI73" i="114"/>
  <c r="BI77" i="114"/>
  <c r="BH76" i="114"/>
  <c r="BH81" i="114"/>
  <c r="BH83" i="114" s="1"/>
  <c r="BH84" i="114" s="1"/>
  <c r="BH86" i="114" s="1"/>
  <c r="BH87" i="114" s="1"/>
  <c r="BI54" i="114"/>
  <c r="O69" i="138"/>
  <c r="O66" i="138"/>
  <c r="O60" i="138"/>
  <c r="O51" i="138"/>
  <c r="O42" i="138"/>
  <c r="O63" i="138"/>
  <c r="O54" i="138"/>
  <c r="O45" i="138"/>
  <c r="O57" i="138"/>
  <c r="O48" i="138"/>
  <c r="O26" i="138"/>
  <c r="O9" i="138"/>
  <c r="O62" i="138"/>
  <c r="O35" i="138"/>
  <c r="O17" i="138"/>
  <c r="O12" i="138"/>
  <c r="O70" i="138"/>
  <c r="O52" i="138"/>
  <c r="O32" i="138"/>
  <c r="O15" i="138"/>
  <c r="O67" i="138"/>
  <c r="O58" i="138"/>
  <c r="O23" i="138"/>
  <c r="O18" i="138"/>
  <c r="O13" i="138"/>
  <c r="O47" i="138"/>
  <c r="O55" i="138"/>
  <c r="O41" i="138"/>
  <c r="O21" i="138"/>
  <c r="O10" i="138"/>
  <c r="O68" i="138"/>
  <c r="O29" i="138"/>
  <c r="O24" i="138"/>
  <c r="O19" i="138"/>
  <c r="O56" i="138"/>
  <c r="O50" i="138"/>
  <c r="O27" i="138"/>
  <c r="O16" i="138"/>
  <c r="O73" i="138"/>
  <c r="O36" i="138"/>
  <c r="O30" i="138"/>
  <c r="O25" i="138"/>
  <c r="O65" i="138"/>
  <c r="O14" i="138"/>
  <c r="O61" i="138"/>
  <c r="O33" i="138"/>
  <c r="O22" i="138"/>
  <c r="O59" i="138"/>
  <c r="O46" i="138"/>
  <c r="O31" i="138"/>
  <c r="O71" i="138"/>
  <c r="O20" i="138"/>
  <c r="O44" i="138"/>
  <c r="O28" i="138"/>
  <c r="O11" i="138"/>
  <c r="O74" i="138"/>
  <c r="O64" i="138"/>
  <c r="O43" i="138"/>
  <c r="O77" i="138"/>
  <c r="N75" i="138"/>
  <c r="N39" i="138"/>
  <c r="O8" i="138"/>
  <c r="N76" i="138" l="1"/>
  <c r="N81" i="138"/>
  <c r="N83" i="138" s="1"/>
  <c r="N84" i="138" s="1"/>
  <c r="N86" i="138" s="1"/>
  <c r="N87" i="138" s="1"/>
  <c r="W46" i="101" l="1"/>
  <c r="M19" i="101"/>
  <c r="CY79" i="82" s="1"/>
  <c r="I19" i="101"/>
  <c r="E19" i="101"/>
  <c r="BU79" i="129" l="1"/>
  <c r="BP79" i="129"/>
  <c r="DA79" i="82"/>
  <c r="CY81" i="82"/>
  <c r="CY83" i="82" s="1"/>
  <c r="CY84" i="82" s="1"/>
  <c r="CY86" i="82" s="1"/>
  <c r="CY87" i="82" s="1"/>
  <c r="CY77" i="82"/>
  <c r="BP77" i="129" l="1"/>
  <c r="BR79" i="129"/>
  <c r="BP81" i="129"/>
  <c r="BP83" i="129" s="1"/>
  <c r="BP84" i="129" s="1"/>
  <c r="BP86" i="129" s="1"/>
  <c r="BP87" i="129" s="1"/>
  <c r="CO79" i="125"/>
  <c r="DA77" i="82"/>
  <c r="DA89" i="82"/>
  <c r="DA91" i="82" s="1"/>
  <c r="DA81" i="82"/>
  <c r="DA83" i="82" s="1"/>
  <c r="DA84" i="82" s="1"/>
  <c r="DA86" i="82" s="1"/>
  <c r="DA87" i="82" s="1"/>
  <c r="BW79" i="129"/>
  <c r="BU77" i="129"/>
  <c r="BU81" i="129"/>
  <c r="BU83" i="129" s="1"/>
  <c r="BU84" i="129" s="1"/>
  <c r="BU86" i="129" s="1"/>
  <c r="BU87" i="129" s="1"/>
  <c r="CT79" i="125"/>
  <c r="CT77" i="125" l="1"/>
  <c r="CV79" i="125"/>
  <c r="CT81" i="125"/>
  <c r="CT83" i="125" s="1"/>
  <c r="CT84" i="125" s="1"/>
  <c r="CT86" i="125" s="1"/>
  <c r="CT87" i="125" s="1"/>
  <c r="CO77" i="125"/>
  <c r="CQ79" i="125"/>
  <c r="CO81" i="125"/>
  <c r="CO83" i="125" s="1"/>
  <c r="CO84" i="125" s="1"/>
  <c r="CO86" i="125" s="1"/>
  <c r="CO87" i="125" s="1"/>
  <c r="BR77" i="129"/>
  <c r="BR89" i="129"/>
  <c r="BR91" i="129" s="1"/>
  <c r="BR81" i="129"/>
  <c r="BR83" i="129" s="1"/>
  <c r="BR84" i="129" s="1"/>
  <c r="BR86" i="129" s="1"/>
  <c r="BR87" i="129" s="1"/>
  <c r="BW77" i="129"/>
  <c r="BW89" i="129"/>
  <c r="BW91" i="129" s="1"/>
  <c r="BW81" i="129"/>
  <c r="BW83" i="129" s="1"/>
  <c r="BW84" i="129" s="1"/>
  <c r="BW86" i="129" s="1"/>
  <c r="BW87" i="129" s="1"/>
  <c r="CQ77" i="125" l="1"/>
  <c r="CQ89" i="125"/>
  <c r="CQ91" i="125" s="1"/>
  <c r="CQ81" i="125"/>
  <c r="CQ83" i="125" s="1"/>
  <c r="CQ84" i="125" s="1"/>
  <c r="CQ86" i="125" s="1"/>
  <c r="CQ87" i="125" s="1"/>
  <c r="CV77" i="125"/>
  <c r="CV89" i="125"/>
  <c r="CV91" i="125" s="1"/>
  <c r="CV81" i="125"/>
  <c r="CV83" i="125" s="1"/>
  <c r="CV84" i="125" s="1"/>
  <c r="CV86" i="125" s="1"/>
  <c r="CV87" i="125" s="1"/>
  <c r="H16" i="138" l="1"/>
  <c r="S85" i="138"/>
  <c r="I85" i="138"/>
  <c r="E85" i="138"/>
  <c r="S82" i="138"/>
  <c r="I82" i="138"/>
  <c r="E82" i="138"/>
  <c r="I78" i="138"/>
  <c r="E78" i="138"/>
  <c r="E77" i="138" s="1"/>
  <c r="R77" i="138"/>
  <c r="H77" i="138"/>
  <c r="G77" i="138"/>
  <c r="D77" i="138"/>
  <c r="C77" i="138"/>
  <c r="S74" i="138"/>
  <c r="I74" i="138"/>
  <c r="E74" i="138"/>
  <c r="E73" i="138" s="1"/>
  <c r="R73" i="138"/>
  <c r="Q73" i="138"/>
  <c r="I73" i="138"/>
  <c r="H73" i="138"/>
  <c r="G73" i="138"/>
  <c r="D73" i="138"/>
  <c r="C73" i="138"/>
  <c r="S71" i="138"/>
  <c r="I71" i="138"/>
  <c r="E71" i="138"/>
  <c r="I70" i="138"/>
  <c r="E70" i="138"/>
  <c r="S69" i="138"/>
  <c r="I69" i="138"/>
  <c r="E69" i="138"/>
  <c r="I68" i="138"/>
  <c r="E68" i="138"/>
  <c r="S67" i="138"/>
  <c r="I67" i="138"/>
  <c r="E67" i="138"/>
  <c r="S66" i="138"/>
  <c r="I66" i="138"/>
  <c r="E66" i="138"/>
  <c r="I65" i="138"/>
  <c r="E65" i="138"/>
  <c r="I64" i="138"/>
  <c r="E64" i="138"/>
  <c r="S63" i="138"/>
  <c r="I63" i="138"/>
  <c r="E63" i="138"/>
  <c r="S62" i="138"/>
  <c r="I62" i="138"/>
  <c r="E62" i="138"/>
  <c r="I61" i="138"/>
  <c r="E61" i="138"/>
  <c r="S60" i="138"/>
  <c r="I60" i="138"/>
  <c r="E60" i="138"/>
  <c r="I59" i="138"/>
  <c r="E59" i="138"/>
  <c r="S58" i="138"/>
  <c r="I58" i="138"/>
  <c r="E58" i="138"/>
  <c r="S57" i="138"/>
  <c r="I57" i="138"/>
  <c r="E57" i="138"/>
  <c r="I56" i="138"/>
  <c r="E56" i="138"/>
  <c r="I55" i="138"/>
  <c r="E55" i="138"/>
  <c r="H54" i="138"/>
  <c r="G54" i="138"/>
  <c r="D54" i="138"/>
  <c r="C54" i="138"/>
  <c r="S52" i="138"/>
  <c r="I52" i="138"/>
  <c r="E52" i="138"/>
  <c r="R50" i="138"/>
  <c r="I51" i="138"/>
  <c r="I50" i="138" s="1"/>
  <c r="E51" i="138"/>
  <c r="E50" i="138" s="1"/>
  <c r="H50" i="138"/>
  <c r="G50" i="138"/>
  <c r="D50" i="138"/>
  <c r="C50" i="138"/>
  <c r="S48" i="138"/>
  <c r="I48" i="138"/>
  <c r="E48" i="138"/>
  <c r="S47" i="138"/>
  <c r="I47" i="138"/>
  <c r="E47" i="138"/>
  <c r="I46" i="138"/>
  <c r="E46" i="138"/>
  <c r="S45" i="138"/>
  <c r="I45" i="138"/>
  <c r="E45" i="138"/>
  <c r="S44" i="138"/>
  <c r="I44" i="138"/>
  <c r="E44" i="138"/>
  <c r="I43" i="138"/>
  <c r="E43" i="138"/>
  <c r="I42" i="138"/>
  <c r="E42" i="138"/>
  <c r="H41" i="138"/>
  <c r="G41" i="138"/>
  <c r="D41" i="138"/>
  <c r="C41" i="138"/>
  <c r="S36" i="138"/>
  <c r="S35" i="138" s="1"/>
  <c r="I36" i="138"/>
  <c r="I35" i="138" s="1"/>
  <c r="E36" i="138"/>
  <c r="E35" i="138" s="1"/>
  <c r="R35" i="138"/>
  <c r="Q35" i="138"/>
  <c r="D35" i="138"/>
  <c r="C35" i="138"/>
  <c r="S33" i="138"/>
  <c r="I33" i="138"/>
  <c r="E33" i="138"/>
  <c r="S32" i="138"/>
  <c r="I32" i="138"/>
  <c r="E32" i="138"/>
  <c r="S31" i="138"/>
  <c r="I31" i="138"/>
  <c r="E31" i="138"/>
  <c r="E30" i="138"/>
  <c r="I29" i="138"/>
  <c r="E29" i="138"/>
  <c r="I28" i="138"/>
  <c r="E28" i="138"/>
  <c r="I27" i="138"/>
  <c r="E27" i="138"/>
  <c r="S26" i="138"/>
  <c r="I26" i="138"/>
  <c r="E26" i="138"/>
  <c r="S25" i="138"/>
  <c r="I25" i="138"/>
  <c r="E25" i="138"/>
  <c r="S24" i="138"/>
  <c r="I24" i="138"/>
  <c r="E24" i="138"/>
  <c r="I23" i="138"/>
  <c r="E23" i="138"/>
  <c r="I22" i="138"/>
  <c r="E22" i="138"/>
  <c r="I21" i="138"/>
  <c r="E21" i="138"/>
  <c r="S20" i="138"/>
  <c r="I20" i="138"/>
  <c r="E20" i="138"/>
  <c r="I19" i="138"/>
  <c r="E19" i="138"/>
  <c r="I18" i="138"/>
  <c r="C8" i="138"/>
  <c r="S17" i="138"/>
  <c r="I17" i="138"/>
  <c r="E17" i="138"/>
  <c r="E16" i="138"/>
  <c r="S15" i="138"/>
  <c r="I15" i="138"/>
  <c r="E15" i="138"/>
  <c r="S14" i="138"/>
  <c r="I14" i="138"/>
  <c r="E14" i="138"/>
  <c r="S13" i="138"/>
  <c r="I13" i="138"/>
  <c r="E13" i="138"/>
  <c r="S12" i="138"/>
  <c r="I12" i="138"/>
  <c r="E12" i="138"/>
  <c r="I11" i="138"/>
  <c r="E11" i="138"/>
  <c r="I10" i="138"/>
  <c r="E10" i="138"/>
  <c r="S9" i="138"/>
  <c r="I9" i="138"/>
  <c r="E9" i="138"/>
  <c r="G8" i="138"/>
  <c r="D8" i="138"/>
  <c r="S7" i="138"/>
  <c r="I7" i="138"/>
  <c r="E7" i="138"/>
  <c r="S6" i="138"/>
  <c r="I6" i="138"/>
  <c r="I5" i="138" s="1"/>
  <c r="E6" i="138"/>
  <c r="E5" i="138" s="1"/>
  <c r="R5" i="138"/>
  <c r="H5" i="138"/>
  <c r="G5" i="138"/>
  <c r="D5" i="138"/>
  <c r="D38" i="138" s="1"/>
  <c r="C5" i="138"/>
  <c r="AW16" i="114"/>
  <c r="I54" i="138" l="1"/>
  <c r="R16" i="138"/>
  <c r="R8" i="138" s="1"/>
  <c r="R38" i="138" s="1"/>
  <c r="S5" i="138"/>
  <c r="R41" i="138"/>
  <c r="S18" i="138"/>
  <c r="S21" i="138"/>
  <c r="S27" i="138"/>
  <c r="Q50" i="138"/>
  <c r="S61" i="138"/>
  <c r="S68" i="138"/>
  <c r="S19" i="138"/>
  <c r="S22" i="138"/>
  <c r="S28" i="138"/>
  <c r="S46" i="138"/>
  <c r="S51" i="138"/>
  <c r="S50" i="138" s="1"/>
  <c r="S59" i="138"/>
  <c r="S70" i="138"/>
  <c r="I41" i="138"/>
  <c r="I16" i="138"/>
  <c r="G38" i="138"/>
  <c r="G75" i="138" s="1"/>
  <c r="S16" i="138"/>
  <c r="S29" i="138"/>
  <c r="S23" i="138"/>
  <c r="H8" i="138"/>
  <c r="I30" i="138"/>
  <c r="D75" i="138"/>
  <c r="D39" i="138"/>
  <c r="S30" i="138"/>
  <c r="Q41" i="138"/>
  <c r="S42" i="138"/>
  <c r="S43" i="138"/>
  <c r="Q54" i="138"/>
  <c r="S55" i="138"/>
  <c r="S56" i="138"/>
  <c r="C38" i="138"/>
  <c r="R54" i="138"/>
  <c r="Q5" i="138"/>
  <c r="S78" i="138"/>
  <c r="Q77" i="138"/>
  <c r="E18" i="138"/>
  <c r="S10" i="138"/>
  <c r="Q8" i="138"/>
  <c r="S11" i="138"/>
  <c r="E41" i="138"/>
  <c r="E54" i="138"/>
  <c r="S64" i="138"/>
  <c r="S65" i="138"/>
  <c r="S73" i="138"/>
  <c r="G39" i="138" l="1"/>
  <c r="Q38" i="138"/>
  <c r="Q39" i="138" s="1"/>
  <c r="H38" i="138"/>
  <c r="H39" i="138" s="1"/>
  <c r="S8" i="138"/>
  <c r="S41" i="138"/>
  <c r="S54" i="138"/>
  <c r="E8" i="138"/>
  <c r="I8" i="138"/>
  <c r="C39" i="138"/>
  <c r="C75" i="138"/>
  <c r="R75" i="138"/>
  <c r="R39" i="138"/>
  <c r="G81" i="138"/>
  <c r="G83" i="138" s="1"/>
  <c r="G84" i="138" s="1"/>
  <c r="G86" i="138" s="1"/>
  <c r="G87" i="138" s="1"/>
  <c r="G76" i="138"/>
  <c r="D81" i="138"/>
  <c r="D83" i="138" s="1"/>
  <c r="D84" i="138" s="1"/>
  <c r="D86" i="138" s="1"/>
  <c r="D87" i="138" s="1"/>
  <c r="D76" i="138"/>
  <c r="H75" i="138" l="1"/>
  <c r="Q75" i="138"/>
  <c r="Q81" i="138" s="1"/>
  <c r="Q83" i="138" s="1"/>
  <c r="Q84" i="138" s="1"/>
  <c r="Q86" i="138" s="1"/>
  <c r="Q87" i="138" s="1"/>
  <c r="I38" i="138"/>
  <c r="R76" i="138"/>
  <c r="R81" i="138"/>
  <c r="R83" i="138" s="1"/>
  <c r="R84" i="138" s="1"/>
  <c r="R86" i="138" s="1"/>
  <c r="R87" i="138" s="1"/>
  <c r="E89" i="138"/>
  <c r="E38" i="138"/>
  <c r="C81" i="138"/>
  <c r="C83" i="138" s="1"/>
  <c r="C84" i="138" s="1"/>
  <c r="C86" i="138" s="1"/>
  <c r="C87" i="138" s="1"/>
  <c r="C76" i="138"/>
  <c r="H81" i="138"/>
  <c r="H83" i="138" s="1"/>
  <c r="H84" i="138" s="1"/>
  <c r="H86" i="138" s="1"/>
  <c r="H87" i="138" s="1"/>
  <c r="H76" i="138"/>
  <c r="S38" i="138"/>
  <c r="F8" i="138" l="1"/>
  <c r="F79" i="138"/>
  <c r="Q76" i="138"/>
  <c r="E75" i="138"/>
  <c r="E39" i="138"/>
  <c r="I39" i="138"/>
  <c r="I75" i="138"/>
  <c r="S75" i="138"/>
  <c r="S39" i="138"/>
  <c r="F85" i="138"/>
  <c r="F82" i="138"/>
  <c r="F70" i="138"/>
  <c r="F16" i="138"/>
  <c r="F52" i="138"/>
  <c r="F15" i="138"/>
  <c r="F10" i="138"/>
  <c r="F58" i="138"/>
  <c r="F67" i="138"/>
  <c r="F20" i="138"/>
  <c r="F13" i="138"/>
  <c r="F69" i="138"/>
  <c r="F64" i="138"/>
  <c r="F23" i="138"/>
  <c r="F45" i="138"/>
  <c r="F60" i="138"/>
  <c r="F55" i="138"/>
  <c r="F47" i="138"/>
  <c r="F42" i="138"/>
  <c r="F36" i="138"/>
  <c r="F72" i="138"/>
  <c r="F61" i="138"/>
  <c r="F48" i="138"/>
  <c r="F26" i="138"/>
  <c r="F29" i="138"/>
  <c r="F31" i="138"/>
  <c r="F46" i="138"/>
  <c r="F73" i="138"/>
  <c r="F19" i="138"/>
  <c r="F71" i="138"/>
  <c r="F62" i="138"/>
  <c r="F50" i="138"/>
  <c r="F57" i="138"/>
  <c r="F59" i="138"/>
  <c r="F32" i="138"/>
  <c r="F14" i="138"/>
  <c r="F35" i="138"/>
  <c r="F9" i="138"/>
  <c r="F66" i="138"/>
  <c r="F11" i="138"/>
  <c r="F51" i="138"/>
  <c r="F21" i="138"/>
  <c r="F68" i="138"/>
  <c r="F17" i="138"/>
  <c r="F44" i="138"/>
  <c r="F22" i="138"/>
  <c r="F25" i="138"/>
  <c r="F43" i="138"/>
  <c r="F12" i="138"/>
  <c r="F33" i="138"/>
  <c r="F63" i="138"/>
  <c r="F28" i="138"/>
  <c r="F24" i="138"/>
  <c r="F65" i="138"/>
  <c r="F27" i="138"/>
  <c r="F56" i="138"/>
  <c r="F30" i="138"/>
  <c r="F41" i="138"/>
  <c r="F18" i="138"/>
  <c r="F54" i="138"/>
  <c r="E81" i="138" l="1"/>
  <c r="E83" i="138" s="1"/>
  <c r="E84" i="138" s="1"/>
  <c r="E86" i="138" s="1"/>
  <c r="E87" i="138" s="1"/>
  <c r="E76" i="138"/>
  <c r="S76" i="138"/>
  <c r="I76" i="138"/>
  <c r="CQ97" i="126" l="1"/>
  <c r="AS93" i="126" l="1"/>
  <c r="CQ93" i="126" l="1"/>
  <c r="CQ100" i="126" l="1"/>
  <c r="CR100" i="126" s="1"/>
  <c r="BC85" i="114" l="1"/>
  <c r="BC82" i="114"/>
  <c r="BC78" i="114"/>
  <c r="BB77" i="114"/>
  <c r="BA77" i="114"/>
  <c r="BC74" i="114"/>
  <c r="BC73" i="114" s="1"/>
  <c r="BB73" i="114"/>
  <c r="BA73" i="114"/>
  <c r="BC71" i="114"/>
  <c r="BC70" i="114"/>
  <c r="BC69" i="114"/>
  <c r="BC68" i="114"/>
  <c r="BC67" i="114"/>
  <c r="BC66" i="114"/>
  <c r="BC65" i="114"/>
  <c r="BC64" i="114"/>
  <c r="BC63" i="114"/>
  <c r="BC62" i="114"/>
  <c r="BC61" i="114"/>
  <c r="BC60" i="114"/>
  <c r="BC59" i="114"/>
  <c r="BC58" i="114"/>
  <c r="BC57" i="114"/>
  <c r="BC56" i="114"/>
  <c r="BC55" i="114"/>
  <c r="BB54" i="114"/>
  <c r="BA54" i="114"/>
  <c r="BC52" i="114"/>
  <c r="BC51" i="114"/>
  <c r="BB50" i="114"/>
  <c r="BA50" i="114"/>
  <c r="BC48" i="114"/>
  <c r="BC47" i="114"/>
  <c r="BC46" i="114"/>
  <c r="BC45" i="114"/>
  <c r="BC44" i="114"/>
  <c r="BC43" i="114"/>
  <c r="BC42" i="114"/>
  <c r="BB41" i="114"/>
  <c r="BA41" i="114"/>
  <c r="BC36" i="114"/>
  <c r="BC33" i="114"/>
  <c r="BC32" i="114"/>
  <c r="BC31" i="114"/>
  <c r="BC30" i="114"/>
  <c r="BC29" i="114"/>
  <c r="BC28" i="114"/>
  <c r="BC27" i="114"/>
  <c r="BC26" i="114"/>
  <c r="BC25" i="114"/>
  <c r="BC24" i="114"/>
  <c r="BC23" i="114"/>
  <c r="BC22" i="114"/>
  <c r="BC21" i="114"/>
  <c r="BC20" i="114"/>
  <c r="BC19" i="114"/>
  <c r="BC18" i="114"/>
  <c r="BC17" i="114"/>
  <c r="BC16" i="114"/>
  <c r="BC15" i="114"/>
  <c r="BC14" i="114"/>
  <c r="BC13" i="114"/>
  <c r="BC12" i="114"/>
  <c r="BC11" i="114"/>
  <c r="BC10" i="114"/>
  <c r="BC9" i="114"/>
  <c r="BB8" i="114"/>
  <c r="BA8" i="114"/>
  <c r="BC7" i="114"/>
  <c r="BC6" i="114"/>
  <c r="BB5" i="114"/>
  <c r="BA5" i="114"/>
  <c r="AL66" i="116"/>
  <c r="AK66" i="116"/>
  <c r="BC5" i="114" l="1"/>
  <c r="BC54" i="114"/>
  <c r="BA38" i="114"/>
  <c r="BA39" i="114" s="1"/>
  <c r="BB38" i="114"/>
  <c r="BB75" i="114" s="1"/>
  <c r="BA75" i="114"/>
  <c r="BC8" i="114"/>
  <c r="BC38" i="114" s="1"/>
  <c r="BC35" i="114"/>
  <c r="BC41" i="114"/>
  <c r="BC50" i="114"/>
  <c r="M59" i="101"/>
  <c r="BB39" i="114" l="1"/>
  <c r="BB76" i="114"/>
  <c r="BB81" i="114"/>
  <c r="BB83" i="114" s="1"/>
  <c r="BB84" i="114" s="1"/>
  <c r="BB86" i="114" s="1"/>
  <c r="BB87" i="114" s="1"/>
  <c r="BA76" i="114"/>
  <c r="BA81" i="114"/>
  <c r="BA83" i="114" s="1"/>
  <c r="BA84" i="114" s="1"/>
  <c r="BA86" i="114" s="1"/>
  <c r="BA87" i="114" s="1"/>
  <c r="BC39" i="114"/>
  <c r="BC75" i="114"/>
  <c r="BC76" i="114" l="1"/>
  <c r="O67" i="101" l="1"/>
  <c r="P67" i="101"/>
  <c r="S67" i="101"/>
  <c r="T67" i="101"/>
  <c r="U67" i="101"/>
  <c r="U71" i="101" s="1"/>
  <c r="P68" i="101"/>
  <c r="S68" i="101"/>
  <c r="T68" i="101"/>
  <c r="U68" i="101"/>
  <c r="C69" i="101"/>
  <c r="S70" i="101"/>
  <c r="T70" i="101"/>
  <c r="S71" i="101" l="1"/>
  <c r="T71" i="101"/>
  <c r="C67" i="101"/>
  <c r="C68" i="101"/>
  <c r="C70" i="101"/>
  <c r="V47" i="101"/>
  <c r="V56" i="101"/>
  <c r="C56" i="101" s="1"/>
  <c r="V61" i="101"/>
  <c r="R55" i="101"/>
  <c r="U55" i="101"/>
  <c r="W55" i="101"/>
  <c r="Q55" i="101"/>
  <c r="T58" i="101"/>
  <c r="T55" i="101" s="1"/>
  <c r="V43" i="101" l="1"/>
  <c r="C47" i="101"/>
  <c r="V55" i="101"/>
  <c r="X93" i="114" l="1"/>
  <c r="AC92" i="114"/>
  <c r="AC94" i="114" s="1"/>
  <c r="X92" i="114"/>
  <c r="X94" i="114" s="1"/>
  <c r="BW85" i="114"/>
  <c r="AX85" i="114"/>
  <c r="AS85" i="114"/>
  <c r="AN85" i="114"/>
  <c r="AI85" i="114"/>
  <c r="AD85" i="114"/>
  <c r="Y85" i="114"/>
  <c r="T85" i="114"/>
  <c r="N85" i="114"/>
  <c r="E85" i="114"/>
  <c r="AX82" i="114"/>
  <c r="AS82" i="114"/>
  <c r="AN82" i="114"/>
  <c r="AI82" i="114"/>
  <c r="AD82" i="114"/>
  <c r="Y82" i="114"/>
  <c r="T82" i="114"/>
  <c r="E82" i="114"/>
  <c r="BV77" i="114"/>
  <c r="BU77" i="114"/>
  <c r="I79" i="114"/>
  <c r="E79" i="114"/>
  <c r="BW78" i="114"/>
  <c r="AX78" i="114"/>
  <c r="AS78" i="114"/>
  <c r="AN78" i="114"/>
  <c r="AI78" i="114"/>
  <c r="AD78" i="114"/>
  <c r="Y78" i="114"/>
  <c r="T78" i="114"/>
  <c r="E78" i="114"/>
  <c r="E77" i="114" s="1"/>
  <c r="AW77" i="114"/>
  <c r="AV77" i="114"/>
  <c r="AR77" i="114"/>
  <c r="AQ77" i="114"/>
  <c r="AM77" i="114"/>
  <c r="AL77" i="114"/>
  <c r="AH77" i="114"/>
  <c r="AG77" i="114"/>
  <c r="AC77" i="114"/>
  <c r="AB77" i="114"/>
  <c r="X77" i="114"/>
  <c r="W77" i="114"/>
  <c r="S77" i="114"/>
  <c r="R77" i="114"/>
  <c r="N77" i="114"/>
  <c r="M77" i="114"/>
  <c r="L77" i="114"/>
  <c r="D77" i="114"/>
  <c r="C77" i="114"/>
  <c r="BW74" i="114"/>
  <c r="BW73" i="114" s="1"/>
  <c r="AX74" i="114"/>
  <c r="AS74" i="114"/>
  <c r="AN74" i="114"/>
  <c r="AI74" i="114"/>
  <c r="AD74" i="114"/>
  <c r="AD73" i="114" s="1"/>
  <c r="Y74" i="114"/>
  <c r="Y73" i="114" s="1"/>
  <c r="T74" i="114"/>
  <c r="T73" i="114" s="1"/>
  <c r="N74" i="114"/>
  <c r="E74" i="114"/>
  <c r="BU73" i="114"/>
  <c r="AX73" i="114"/>
  <c r="AW73" i="114"/>
  <c r="AV73" i="114"/>
  <c r="AS73" i="114"/>
  <c r="AR73" i="114"/>
  <c r="AQ73" i="114"/>
  <c r="AN73" i="114"/>
  <c r="AM73" i="114"/>
  <c r="AL73" i="114"/>
  <c r="AI73" i="114"/>
  <c r="AH73" i="114"/>
  <c r="AG73" i="114"/>
  <c r="AC73" i="114"/>
  <c r="AB73" i="114"/>
  <c r="X73" i="114"/>
  <c r="W73" i="114"/>
  <c r="S73" i="114"/>
  <c r="R73" i="114"/>
  <c r="M73" i="114"/>
  <c r="L73" i="114"/>
  <c r="E73" i="114"/>
  <c r="D73" i="114"/>
  <c r="C73" i="114"/>
  <c r="AX71" i="114"/>
  <c r="AS71" i="114"/>
  <c r="AN71" i="114"/>
  <c r="AI71" i="114"/>
  <c r="AD71" i="114"/>
  <c r="Y71" i="114"/>
  <c r="T71" i="114"/>
  <c r="N71" i="114"/>
  <c r="E71" i="114"/>
  <c r="BW70" i="114"/>
  <c r="AX70" i="114"/>
  <c r="AS70" i="114"/>
  <c r="AN70" i="114"/>
  <c r="AI70" i="114"/>
  <c r="AD70" i="114"/>
  <c r="Y70" i="114"/>
  <c r="T70" i="114"/>
  <c r="N70" i="114"/>
  <c r="E70" i="114"/>
  <c r="AX69" i="114"/>
  <c r="AS69" i="114"/>
  <c r="AN69" i="114"/>
  <c r="AI69" i="114"/>
  <c r="AD69" i="114"/>
  <c r="Y69" i="114"/>
  <c r="T69" i="114"/>
  <c r="N69" i="114"/>
  <c r="E69" i="114"/>
  <c r="AX68" i="114"/>
  <c r="AS68" i="114"/>
  <c r="AN68" i="114"/>
  <c r="AI68" i="114"/>
  <c r="AD68" i="114"/>
  <c r="Y68" i="114"/>
  <c r="T68" i="114"/>
  <c r="N68" i="114"/>
  <c r="E68" i="114"/>
  <c r="BW67" i="114"/>
  <c r="AX67" i="114"/>
  <c r="AS67" i="114"/>
  <c r="AN67" i="114"/>
  <c r="AI67" i="114"/>
  <c r="AD67" i="114"/>
  <c r="Y67" i="114"/>
  <c r="T67" i="114"/>
  <c r="N67" i="114"/>
  <c r="E67" i="114"/>
  <c r="BW66" i="114"/>
  <c r="AX66" i="114"/>
  <c r="AS66" i="114"/>
  <c r="AN66" i="114"/>
  <c r="AI66" i="114"/>
  <c r="AD66" i="114"/>
  <c r="Y66" i="114"/>
  <c r="T66" i="114"/>
  <c r="N66" i="114"/>
  <c r="E66" i="114"/>
  <c r="AX65" i="114"/>
  <c r="AS65" i="114"/>
  <c r="AN65" i="114"/>
  <c r="AI65" i="114"/>
  <c r="AD65" i="114"/>
  <c r="Y65" i="114"/>
  <c r="T65" i="114"/>
  <c r="N65" i="114"/>
  <c r="E65" i="114"/>
  <c r="AX64" i="114"/>
  <c r="AS64" i="114"/>
  <c r="AN64" i="114"/>
  <c r="AI64" i="114"/>
  <c r="AD64" i="114"/>
  <c r="Y64" i="114"/>
  <c r="T64" i="114"/>
  <c r="N64" i="114"/>
  <c r="E64" i="114"/>
  <c r="AX63" i="114"/>
  <c r="AS63" i="114"/>
  <c r="AN63" i="114"/>
  <c r="AI63" i="114"/>
  <c r="AD63" i="114"/>
  <c r="Y63" i="114"/>
  <c r="T63" i="114"/>
  <c r="N63" i="114"/>
  <c r="E63" i="114"/>
  <c r="AX62" i="114"/>
  <c r="AS62" i="114"/>
  <c r="AN62" i="114"/>
  <c r="AI62" i="114"/>
  <c r="AD62" i="114"/>
  <c r="Y62" i="114"/>
  <c r="T62" i="114"/>
  <c r="N62" i="114"/>
  <c r="E62" i="114"/>
  <c r="AX61" i="114"/>
  <c r="AS61" i="114"/>
  <c r="AN61" i="114"/>
  <c r="AI61" i="114"/>
  <c r="AD61" i="114"/>
  <c r="Y61" i="114"/>
  <c r="T61" i="114"/>
  <c r="N61" i="114"/>
  <c r="E61" i="114"/>
  <c r="AX60" i="114"/>
  <c r="AS60" i="114"/>
  <c r="AN60" i="114"/>
  <c r="AI60" i="114"/>
  <c r="AD60" i="114"/>
  <c r="Y60" i="114"/>
  <c r="T60" i="114"/>
  <c r="N60" i="114"/>
  <c r="E60" i="114"/>
  <c r="AX59" i="114"/>
  <c r="AS59" i="114"/>
  <c r="AN59" i="114"/>
  <c r="AI59" i="114"/>
  <c r="AD59" i="114"/>
  <c r="Y59" i="114"/>
  <c r="T59" i="114"/>
  <c r="N59" i="114"/>
  <c r="E59" i="114"/>
  <c r="AX58" i="114"/>
  <c r="AS58" i="114"/>
  <c r="AN58" i="114"/>
  <c r="AI58" i="114"/>
  <c r="AD58" i="114"/>
  <c r="Y58" i="114"/>
  <c r="T58" i="114"/>
  <c r="N58" i="114"/>
  <c r="E58" i="114"/>
  <c r="AX57" i="114"/>
  <c r="AS57" i="114"/>
  <c r="AN57" i="114"/>
  <c r="AI57" i="114"/>
  <c r="AI54" i="114" s="1"/>
  <c r="AD57" i="114"/>
  <c r="Y57" i="114"/>
  <c r="T57" i="114"/>
  <c r="N57" i="114"/>
  <c r="E57" i="114"/>
  <c r="AX56" i="114"/>
  <c r="AX54" i="114" s="1"/>
  <c r="AS56" i="114"/>
  <c r="AN56" i="114"/>
  <c r="AI56" i="114"/>
  <c r="AD56" i="114"/>
  <c r="Y56" i="114"/>
  <c r="T56" i="114"/>
  <c r="N56" i="114"/>
  <c r="N54" i="114" s="1"/>
  <c r="E56" i="114"/>
  <c r="AX55" i="114"/>
  <c r="AS55" i="114"/>
  <c r="AN55" i="114"/>
  <c r="AI55" i="114"/>
  <c r="AD55" i="114"/>
  <c r="Y55" i="114"/>
  <c r="Y54" i="114" s="1"/>
  <c r="T55" i="114"/>
  <c r="N55" i="114"/>
  <c r="E55" i="114"/>
  <c r="AW54" i="114"/>
  <c r="AV54" i="114"/>
  <c r="AR54" i="114"/>
  <c r="AQ54" i="114"/>
  <c r="AM54" i="114"/>
  <c r="AL54" i="114"/>
  <c r="AH54" i="114"/>
  <c r="AG54" i="114"/>
  <c r="AC54" i="114"/>
  <c r="AB54" i="114"/>
  <c r="X54" i="114"/>
  <c r="W54" i="114"/>
  <c r="T54" i="114"/>
  <c r="S54" i="114"/>
  <c r="R54" i="114"/>
  <c r="M54" i="114"/>
  <c r="L54" i="114"/>
  <c r="I54" i="114"/>
  <c r="H54" i="114"/>
  <c r="G54" i="114"/>
  <c r="E54" i="114"/>
  <c r="D54" i="114"/>
  <c r="C54" i="114"/>
  <c r="BV50" i="114"/>
  <c r="BW52" i="114"/>
  <c r="AX52" i="114"/>
  <c r="AS52" i="114"/>
  <c r="AN52" i="114"/>
  <c r="AI52" i="114"/>
  <c r="AD52" i="114"/>
  <c r="Y52" i="114"/>
  <c r="T52" i="114"/>
  <c r="N52" i="114"/>
  <c r="E52" i="114"/>
  <c r="BW51" i="114"/>
  <c r="AX51" i="114"/>
  <c r="AS51" i="114"/>
  <c r="AN51" i="114"/>
  <c r="AI51" i="114"/>
  <c r="AD51" i="114"/>
  <c r="Y51" i="114"/>
  <c r="T51" i="114"/>
  <c r="N51" i="114"/>
  <c r="E51" i="114"/>
  <c r="AW50" i="114"/>
  <c r="AV50" i="114"/>
  <c r="AR50" i="114"/>
  <c r="AQ50" i="114"/>
  <c r="AM50" i="114"/>
  <c r="AL50" i="114"/>
  <c r="AH50" i="114"/>
  <c r="AG50" i="114"/>
  <c r="AD50" i="114"/>
  <c r="AC50" i="114"/>
  <c r="AB50" i="114"/>
  <c r="X50" i="114"/>
  <c r="W50" i="114"/>
  <c r="S50" i="114"/>
  <c r="R50" i="114"/>
  <c r="M50" i="114"/>
  <c r="L50" i="114"/>
  <c r="BW48" i="114"/>
  <c r="AX48" i="114"/>
  <c r="AS48" i="114"/>
  <c r="AN48" i="114"/>
  <c r="AI48" i="114"/>
  <c r="AD48" i="114"/>
  <c r="Y48" i="114"/>
  <c r="T48" i="114"/>
  <c r="N48" i="114"/>
  <c r="E48" i="114"/>
  <c r="AX47" i="114"/>
  <c r="AS47" i="114"/>
  <c r="AN47" i="114"/>
  <c r="AI47" i="114"/>
  <c r="AD47" i="114"/>
  <c r="Y47" i="114"/>
  <c r="T47" i="114"/>
  <c r="N47" i="114"/>
  <c r="E47" i="114"/>
  <c r="AX46" i="114"/>
  <c r="AS46" i="114"/>
  <c r="AN46" i="114"/>
  <c r="AI46" i="114"/>
  <c r="AD46" i="114"/>
  <c r="Y46" i="114"/>
  <c r="T46" i="114"/>
  <c r="N46" i="114"/>
  <c r="E46" i="114"/>
  <c r="AX45" i="114"/>
  <c r="AS45" i="114"/>
  <c r="AN45" i="114"/>
  <c r="AI45" i="114"/>
  <c r="AB45" i="114"/>
  <c r="BU45" i="114" s="1"/>
  <c r="Y45" i="114"/>
  <c r="T45" i="114"/>
  <c r="N45" i="114"/>
  <c r="E45" i="114"/>
  <c r="BW44" i="114"/>
  <c r="AX44" i="114"/>
  <c r="AS44" i="114"/>
  <c r="AN44" i="114"/>
  <c r="AI44" i="114"/>
  <c r="AD44" i="114"/>
  <c r="Y44" i="114"/>
  <c r="T44" i="114"/>
  <c r="N44" i="114"/>
  <c r="E44" i="114"/>
  <c r="AX43" i="114"/>
  <c r="AS43" i="114"/>
  <c r="AN43" i="114"/>
  <c r="AI43" i="114"/>
  <c r="AD43" i="114"/>
  <c r="Y43" i="114"/>
  <c r="T43" i="114"/>
  <c r="N43" i="114"/>
  <c r="E43" i="114"/>
  <c r="AX42" i="114"/>
  <c r="AX41" i="114" s="1"/>
  <c r="AS42" i="114"/>
  <c r="AN42" i="114"/>
  <c r="AI42" i="114"/>
  <c r="AI41" i="114" s="1"/>
  <c r="AD42" i="114"/>
  <c r="Y42" i="114"/>
  <c r="T42" i="114"/>
  <c r="N42" i="114"/>
  <c r="E42" i="114"/>
  <c r="E41" i="114" s="1"/>
  <c r="AW41" i="114"/>
  <c r="AV41" i="114"/>
  <c r="AR41" i="114"/>
  <c r="AQ41" i="114"/>
  <c r="AM41" i="114"/>
  <c r="AL41" i="114"/>
  <c r="AH41" i="114"/>
  <c r="AG41" i="114"/>
  <c r="AC41" i="114"/>
  <c r="AB41" i="114"/>
  <c r="Y41" i="114"/>
  <c r="X41" i="114"/>
  <c r="W41" i="114"/>
  <c r="S41" i="114"/>
  <c r="R41" i="114"/>
  <c r="M41" i="114"/>
  <c r="L41" i="114"/>
  <c r="I41" i="114"/>
  <c r="H41" i="114"/>
  <c r="G41" i="114"/>
  <c r="D41" i="114"/>
  <c r="C41" i="114"/>
  <c r="AX36" i="114"/>
  <c r="AS36" i="114"/>
  <c r="AS35" i="114" s="1"/>
  <c r="AN36" i="114"/>
  <c r="AN35" i="114" s="1"/>
  <c r="AI36" i="114"/>
  <c r="AD36" i="114"/>
  <c r="AD35" i="114" s="1"/>
  <c r="Y36" i="114"/>
  <c r="T36" i="114"/>
  <c r="T35" i="114" s="1"/>
  <c r="N36" i="114"/>
  <c r="N35" i="114" s="1"/>
  <c r="E36" i="114"/>
  <c r="BU35" i="114"/>
  <c r="AX35" i="114"/>
  <c r="AI35" i="114"/>
  <c r="Y35" i="114"/>
  <c r="S35" i="114"/>
  <c r="R35" i="114"/>
  <c r="E35" i="114"/>
  <c r="D35" i="114"/>
  <c r="C35" i="114"/>
  <c r="BW33" i="114"/>
  <c r="AX33" i="114"/>
  <c r="AS33" i="114"/>
  <c r="AN33" i="114"/>
  <c r="AI33" i="114"/>
  <c r="AD33" i="114"/>
  <c r="Y33" i="114"/>
  <c r="T33" i="114"/>
  <c r="N33" i="114"/>
  <c r="I33" i="114"/>
  <c r="E33" i="114"/>
  <c r="BW32" i="114"/>
  <c r="AX32" i="114"/>
  <c r="AS32" i="114"/>
  <c r="AN32" i="114"/>
  <c r="AI32" i="114"/>
  <c r="AD32" i="114"/>
  <c r="Y32" i="114"/>
  <c r="T32" i="114"/>
  <c r="N32" i="114"/>
  <c r="I32" i="114"/>
  <c r="E32" i="114"/>
  <c r="BW31" i="114"/>
  <c r="AX31" i="114"/>
  <c r="AS31" i="114"/>
  <c r="AN31" i="114"/>
  <c r="AI31" i="114"/>
  <c r="AD31" i="114"/>
  <c r="Y31" i="114"/>
  <c r="T31" i="114"/>
  <c r="N31" i="114"/>
  <c r="I31" i="114"/>
  <c r="E31" i="114"/>
  <c r="BW30" i="114"/>
  <c r="AX30" i="114"/>
  <c r="AS30" i="114"/>
  <c r="AN30" i="114"/>
  <c r="AI30" i="114"/>
  <c r="AD30" i="114"/>
  <c r="Y30" i="114"/>
  <c r="T30" i="114"/>
  <c r="N30" i="114"/>
  <c r="I30" i="114"/>
  <c r="E30" i="114"/>
  <c r="BW29" i="114"/>
  <c r="AX29" i="114"/>
  <c r="AS29" i="114"/>
  <c r="AN29" i="114"/>
  <c r="AI29" i="114"/>
  <c r="AD29" i="114"/>
  <c r="Y29" i="114"/>
  <c r="T29" i="114"/>
  <c r="N29" i="114"/>
  <c r="I29" i="114"/>
  <c r="D29" i="114"/>
  <c r="E29" i="114" s="1"/>
  <c r="BW28" i="114"/>
  <c r="AX28" i="114"/>
  <c r="AS28" i="114"/>
  <c r="AN28" i="114"/>
  <c r="AI28" i="114"/>
  <c r="AD28" i="114"/>
  <c r="Y28" i="114"/>
  <c r="T28" i="114"/>
  <c r="N28" i="114"/>
  <c r="I28" i="114"/>
  <c r="E28" i="114"/>
  <c r="AX27" i="114"/>
  <c r="AS27" i="114"/>
  <c r="AN27" i="114"/>
  <c r="AI27" i="114"/>
  <c r="AD27" i="114"/>
  <c r="Y27" i="114"/>
  <c r="T27" i="114"/>
  <c r="N27" i="114"/>
  <c r="I27" i="114"/>
  <c r="E27" i="114"/>
  <c r="AV26" i="114"/>
  <c r="AX26" i="114" s="1"/>
  <c r="AS26" i="114"/>
  <c r="AL26" i="114"/>
  <c r="AN26" i="114" s="1"/>
  <c r="AI26" i="114"/>
  <c r="AB26" i="114"/>
  <c r="AD26" i="114" s="1"/>
  <c r="W26" i="114"/>
  <c r="T26" i="114"/>
  <c r="N26" i="114"/>
  <c r="I26" i="114"/>
  <c r="E26" i="114"/>
  <c r="AX25" i="114"/>
  <c r="AV25" i="114"/>
  <c r="AS25" i="114"/>
  <c r="AL25" i="114"/>
  <c r="AN25" i="114" s="1"/>
  <c r="AI25" i="114"/>
  <c r="AB25" i="114"/>
  <c r="AD25" i="114" s="1"/>
  <c r="Y25" i="114"/>
  <c r="T25" i="114"/>
  <c r="N25" i="114"/>
  <c r="G25" i="114"/>
  <c r="BU25" i="114" s="1"/>
  <c r="E25" i="114"/>
  <c r="AX24" i="114"/>
  <c r="AS24" i="114"/>
  <c r="AN24" i="114"/>
  <c r="AI24" i="114"/>
  <c r="AD24" i="114"/>
  <c r="Y24" i="114"/>
  <c r="T24" i="114"/>
  <c r="N24" i="114"/>
  <c r="I24" i="114"/>
  <c r="E24" i="114"/>
  <c r="AX23" i="114"/>
  <c r="AS23" i="114"/>
  <c r="AN23" i="114"/>
  <c r="AI23" i="114"/>
  <c r="AD23" i="114"/>
  <c r="Y23" i="114"/>
  <c r="T23" i="114"/>
  <c r="N23" i="114"/>
  <c r="E23" i="114"/>
  <c r="AX22" i="114"/>
  <c r="AS22" i="114"/>
  <c r="AN22" i="114"/>
  <c r="AI22" i="114"/>
  <c r="AD22" i="114"/>
  <c r="Y22" i="114"/>
  <c r="T22" i="114"/>
  <c r="L22" i="114"/>
  <c r="N22" i="114" s="1"/>
  <c r="G22" i="114"/>
  <c r="BU22" i="114" s="1"/>
  <c r="BW22" i="114" s="1"/>
  <c r="E22" i="114"/>
  <c r="BW21" i="114"/>
  <c r="CA21" i="114" s="1"/>
  <c r="AX21" i="114"/>
  <c r="AS21" i="114"/>
  <c r="AN21" i="114"/>
  <c r="AI21" i="114"/>
  <c r="AD21" i="114"/>
  <c r="Y21" i="114"/>
  <c r="T21" i="114"/>
  <c r="N21" i="114"/>
  <c r="I21" i="114"/>
  <c r="E21" i="114"/>
  <c r="BW20" i="114"/>
  <c r="AX20" i="114"/>
  <c r="AS20" i="114"/>
  <c r="AN20" i="114"/>
  <c r="AI20" i="114"/>
  <c r="AD20" i="114"/>
  <c r="Y20" i="114"/>
  <c r="T20" i="114"/>
  <c r="N20" i="114"/>
  <c r="I20" i="114"/>
  <c r="E20" i="114"/>
  <c r="BW19" i="114"/>
  <c r="AX19" i="114"/>
  <c r="AS19" i="114"/>
  <c r="AN19" i="114"/>
  <c r="AI19" i="114"/>
  <c r="AD19" i="114"/>
  <c r="Y19" i="114"/>
  <c r="T19" i="114"/>
  <c r="N19" i="114"/>
  <c r="I19" i="114"/>
  <c r="E19" i="114"/>
  <c r="BW18" i="114"/>
  <c r="CA18" i="114" s="1"/>
  <c r="AX18" i="114"/>
  <c r="AS18" i="114"/>
  <c r="AN18" i="114"/>
  <c r="AI18" i="114"/>
  <c r="AD18" i="114"/>
  <c r="AE18" i="114" s="1"/>
  <c r="Y18" i="114"/>
  <c r="T18" i="114"/>
  <c r="N18" i="114"/>
  <c r="I18" i="114"/>
  <c r="E18" i="114"/>
  <c r="BW17" i="114"/>
  <c r="AX17" i="114"/>
  <c r="AS17" i="114"/>
  <c r="AN17" i="114"/>
  <c r="AI17" i="114"/>
  <c r="AD17" i="114"/>
  <c r="Y17" i="114"/>
  <c r="T17" i="114"/>
  <c r="N17" i="114"/>
  <c r="I17" i="114"/>
  <c r="E17" i="114"/>
  <c r="AX16" i="114"/>
  <c r="AS16" i="114"/>
  <c r="AN16" i="114"/>
  <c r="AI16" i="114"/>
  <c r="AC16" i="114"/>
  <c r="AD16" i="114" s="1"/>
  <c r="Y16" i="114"/>
  <c r="T16" i="114"/>
  <c r="N16" i="114"/>
  <c r="M16" i="114"/>
  <c r="BV16" i="114" s="1"/>
  <c r="I16" i="114"/>
  <c r="E16" i="114"/>
  <c r="AX15" i="114"/>
  <c r="AS15" i="114"/>
  <c r="AN15" i="114"/>
  <c r="AI15" i="114"/>
  <c r="AD15" i="114"/>
  <c r="Y15" i="114"/>
  <c r="T15" i="114"/>
  <c r="N15" i="114"/>
  <c r="I15" i="114"/>
  <c r="E15" i="114"/>
  <c r="BW14" i="114"/>
  <c r="AX14" i="114"/>
  <c r="AS14" i="114"/>
  <c r="AN14" i="114"/>
  <c r="AI14" i="114"/>
  <c r="AD14" i="114"/>
  <c r="Y14" i="114"/>
  <c r="T14" i="114"/>
  <c r="N14" i="114"/>
  <c r="I14" i="114"/>
  <c r="E14" i="114"/>
  <c r="AX13" i="114"/>
  <c r="AS13" i="114"/>
  <c r="AN13" i="114"/>
  <c r="AI13" i="114"/>
  <c r="AD13" i="114"/>
  <c r="Y13" i="114"/>
  <c r="T13" i="114"/>
  <c r="N13" i="114"/>
  <c r="I13" i="114"/>
  <c r="E13" i="114"/>
  <c r="BW12" i="114"/>
  <c r="AX12" i="114"/>
  <c r="AS12" i="114"/>
  <c r="AN12" i="114"/>
  <c r="AI12" i="114"/>
  <c r="AD12" i="114"/>
  <c r="Y12" i="114"/>
  <c r="T12" i="114"/>
  <c r="N12" i="114"/>
  <c r="I12" i="114"/>
  <c r="E12" i="114"/>
  <c r="BW11" i="114"/>
  <c r="AX11" i="114"/>
  <c r="AS11" i="114"/>
  <c r="AN11" i="114"/>
  <c r="AI11" i="114"/>
  <c r="AD11" i="114"/>
  <c r="Y11" i="114"/>
  <c r="T11" i="114"/>
  <c r="N11" i="114"/>
  <c r="I11" i="114"/>
  <c r="E11" i="114"/>
  <c r="BW10" i="114"/>
  <c r="AX10" i="114"/>
  <c r="AS10" i="114"/>
  <c r="AN10" i="114"/>
  <c r="AI10" i="114"/>
  <c r="AD10" i="114"/>
  <c r="Y10" i="114"/>
  <c r="T10" i="114"/>
  <c r="N10" i="114"/>
  <c r="I10" i="114"/>
  <c r="E10" i="114"/>
  <c r="AX9" i="114"/>
  <c r="AS9" i="114"/>
  <c r="AN9" i="114"/>
  <c r="AI9" i="114"/>
  <c r="AD9" i="114"/>
  <c r="Y9" i="114"/>
  <c r="T9" i="114"/>
  <c r="N9" i="114"/>
  <c r="I9" i="114"/>
  <c r="E9" i="114"/>
  <c r="AW8" i="114"/>
  <c r="AV8" i="114"/>
  <c r="AR8" i="114"/>
  <c r="AQ8" i="114"/>
  <c r="AN8" i="114"/>
  <c r="AM8" i="114"/>
  <c r="AH8" i="114"/>
  <c r="AG8" i="114"/>
  <c r="AC8" i="114"/>
  <c r="AB8" i="114"/>
  <c r="X8" i="114"/>
  <c r="W8" i="114"/>
  <c r="S8" i="114"/>
  <c r="R8" i="114"/>
  <c r="L8" i="114"/>
  <c r="H8" i="114"/>
  <c r="D8" i="114"/>
  <c r="C8" i="114"/>
  <c r="BW7" i="114"/>
  <c r="AX7" i="114"/>
  <c r="AS7" i="114"/>
  <c r="AN7" i="114"/>
  <c r="AN5" i="114" s="1"/>
  <c r="AI7" i="114"/>
  <c r="AD7" i="114"/>
  <c r="Y7" i="114"/>
  <c r="T7" i="114"/>
  <c r="N7" i="114"/>
  <c r="E7" i="114"/>
  <c r="BV5" i="114"/>
  <c r="AV6" i="114"/>
  <c r="AV5" i="114" s="1"/>
  <c r="AV38" i="114" s="1"/>
  <c r="AS6" i="114"/>
  <c r="AS5" i="114" s="1"/>
  <c r="AN6" i="114"/>
  <c r="AI6" i="114"/>
  <c r="AB6" i="114"/>
  <c r="AD6" i="114" s="1"/>
  <c r="AD5" i="114" s="1"/>
  <c r="W6" i="114"/>
  <c r="BU6" i="114" s="1"/>
  <c r="T6" i="114"/>
  <c r="N6" i="114"/>
  <c r="E6" i="114"/>
  <c r="E5" i="114" s="1"/>
  <c r="AW5" i="114"/>
  <c r="AW38" i="114" s="1"/>
  <c r="AR5" i="114"/>
  <c r="AR38" i="114" s="1"/>
  <c r="AQ5" i="114"/>
  <c r="AQ38" i="114" s="1"/>
  <c r="AM5" i="114"/>
  <c r="AM38" i="114" s="1"/>
  <c r="AL5" i="114"/>
  <c r="AH5" i="114"/>
  <c r="AG5" i="114"/>
  <c r="AG38" i="114" s="1"/>
  <c r="AC5" i="114"/>
  <c r="AC38" i="114" s="1"/>
  <c r="X5" i="114"/>
  <c r="X38" i="114" s="1"/>
  <c r="T5" i="114"/>
  <c r="S5" i="114"/>
  <c r="R5" i="114"/>
  <c r="M5" i="114"/>
  <c r="L5" i="114"/>
  <c r="I5" i="114"/>
  <c r="H5" i="114"/>
  <c r="H38" i="114" s="1"/>
  <c r="G5" i="114"/>
  <c r="D5" i="114"/>
  <c r="D38" i="114" s="1"/>
  <c r="D75" i="114" s="1"/>
  <c r="C5" i="114"/>
  <c r="AB5" i="114" l="1"/>
  <c r="AB38" i="114" s="1"/>
  <c r="AN54" i="114"/>
  <c r="N5" i="114"/>
  <c r="M8" i="114"/>
  <c r="M38" i="114" s="1"/>
  <c r="C38" i="114"/>
  <c r="C75" i="114" s="1"/>
  <c r="S38" i="114"/>
  <c r="AH38" i="114"/>
  <c r="AL8" i="114"/>
  <c r="AD45" i="114"/>
  <c r="AS54" i="114"/>
  <c r="BU26" i="114"/>
  <c r="W5" i="114"/>
  <c r="W38" i="114" s="1"/>
  <c r="I25" i="114"/>
  <c r="AD8" i="114"/>
  <c r="AD54" i="114"/>
  <c r="BV41" i="114"/>
  <c r="BW62" i="114"/>
  <c r="BW27" i="114"/>
  <c r="BW56" i="114"/>
  <c r="H75" i="114"/>
  <c r="H81" i="114" s="1"/>
  <c r="H83" i="114" s="1"/>
  <c r="H84" i="114" s="1"/>
  <c r="H86" i="114" s="1"/>
  <c r="BU50" i="114"/>
  <c r="BW23" i="114"/>
  <c r="BW68" i="114"/>
  <c r="BW15" i="114"/>
  <c r="BW47" i="114"/>
  <c r="BW59" i="114"/>
  <c r="BW65" i="114"/>
  <c r="BW71" i="114"/>
  <c r="BW24" i="114"/>
  <c r="L38" i="114"/>
  <c r="BW13" i="114"/>
  <c r="BW43" i="114"/>
  <c r="BW45" i="114"/>
  <c r="BW46" i="114"/>
  <c r="BW69" i="114"/>
  <c r="AM75" i="114"/>
  <c r="AM39" i="114"/>
  <c r="AC75" i="114"/>
  <c r="AC39" i="114"/>
  <c r="BW42" i="114"/>
  <c r="BU41" i="114"/>
  <c r="W75" i="114"/>
  <c r="W39" i="114"/>
  <c r="C76" i="114"/>
  <c r="C81" i="114"/>
  <c r="C83" i="114" s="1"/>
  <c r="C84" i="114" s="1"/>
  <c r="C86" i="114" s="1"/>
  <c r="C87" i="114" s="1"/>
  <c r="BV35" i="114"/>
  <c r="BW36" i="114"/>
  <c r="AD41" i="114"/>
  <c r="L39" i="114"/>
  <c r="L75" i="114"/>
  <c r="AI5" i="114"/>
  <c r="AN38" i="114"/>
  <c r="N8" i="114"/>
  <c r="N38" i="114" s="1"/>
  <c r="C39" i="114"/>
  <c r="BW9" i="114"/>
  <c r="S75" i="114"/>
  <c r="S39" i="114"/>
  <c r="Y6" i="114"/>
  <c r="Y5" i="114" s="1"/>
  <c r="AV75" i="114"/>
  <c r="AV39" i="114"/>
  <c r="E8" i="114"/>
  <c r="AQ39" i="114"/>
  <c r="AQ75" i="114"/>
  <c r="AG39" i="114"/>
  <c r="AG75" i="114"/>
  <c r="AW75" i="114"/>
  <c r="AW39" i="114"/>
  <c r="AS8" i="114"/>
  <c r="I8" i="114"/>
  <c r="I89" i="114" s="1"/>
  <c r="I22" i="114"/>
  <c r="G8" i="114"/>
  <c r="G38" i="114" s="1"/>
  <c r="G75" i="114" s="1"/>
  <c r="G81" i="114" s="1"/>
  <c r="G83" i="114" s="1"/>
  <c r="G84" i="114" s="1"/>
  <c r="G86" i="114" s="1"/>
  <c r="AB75" i="114"/>
  <c r="AB39" i="114"/>
  <c r="AD38" i="114"/>
  <c r="D39" i="114"/>
  <c r="T41" i="114"/>
  <c r="AS50" i="114"/>
  <c r="D76" i="114"/>
  <c r="D81" i="114"/>
  <c r="D83" i="114" s="1"/>
  <c r="D84" i="114" s="1"/>
  <c r="D86" i="114" s="1"/>
  <c r="D87" i="114" s="1"/>
  <c r="X75" i="114"/>
  <c r="X39" i="114"/>
  <c r="AH75" i="114"/>
  <c r="AH39" i="114"/>
  <c r="AR75" i="114"/>
  <c r="AR39" i="114"/>
  <c r="BW26" i="114"/>
  <c r="Y50" i="114"/>
  <c r="AX6" i="114"/>
  <c r="AX5" i="114" s="1"/>
  <c r="T8" i="114"/>
  <c r="AI8" i="114"/>
  <c r="AX8" i="114"/>
  <c r="BW16" i="114"/>
  <c r="Y26" i="114"/>
  <c r="Y8" i="114" s="1"/>
  <c r="R38" i="114"/>
  <c r="AL38" i="114"/>
  <c r="AN41" i="114"/>
  <c r="AS41" i="114"/>
  <c r="N50" i="114"/>
  <c r="N41" i="114"/>
  <c r="BW50" i="114"/>
  <c r="E50" i="114"/>
  <c r="AI50" i="114"/>
  <c r="BV54" i="114"/>
  <c r="AX50" i="114"/>
  <c r="BW55" i="114"/>
  <c r="BW57" i="114"/>
  <c r="BW82" i="114"/>
  <c r="AN50" i="114"/>
  <c r="BW58" i="114"/>
  <c r="BW60" i="114"/>
  <c r="BW64" i="114"/>
  <c r="N73" i="114"/>
  <c r="T50" i="114"/>
  <c r="BW61" i="114"/>
  <c r="BW63" i="114"/>
  <c r="BU54" i="114"/>
  <c r="BV73" i="114"/>
  <c r="M75" i="114" l="1"/>
  <c r="M39" i="114"/>
  <c r="L81" i="114"/>
  <c r="L83" i="114" s="1"/>
  <c r="L84" i="114" s="1"/>
  <c r="L86" i="114" s="1"/>
  <c r="L87" i="114" s="1"/>
  <c r="L76" i="114"/>
  <c r="W81" i="114"/>
  <c r="W83" i="114" s="1"/>
  <c r="W84" i="114" s="1"/>
  <c r="W86" i="114" s="1"/>
  <c r="W87" i="114" s="1"/>
  <c r="W76" i="114"/>
  <c r="AV81" i="114"/>
  <c r="AV83" i="114" s="1"/>
  <c r="AV84" i="114" s="1"/>
  <c r="AV86" i="114" s="1"/>
  <c r="AV87" i="114" s="1"/>
  <c r="AV76" i="114"/>
  <c r="AD75" i="114"/>
  <c r="AD39" i="114"/>
  <c r="AB81" i="114"/>
  <c r="AB83" i="114" s="1"/>
  <c r="AB84" i="114" s="1"/>
  <c r="AB86" i="114" s="1"/>
  <c r="AB87" i="114" s="1"/>
  <c r="AB76" i="114"/>
  <c r="AQ81" i="114"/>
  <c r="AQ83" i="114" s="1"/>
  <c r="AQ84" i="114" s="1"/>
  <c r="AQ86" i="114" s="1"/>
  <c r="AQ87" i="114" s="1"/>
  <c r="AQ76" i="114"/>
  <c r="Y38" i="114"/>
  <c r="N89" i="114"/>
  <c r="O41" i="114" s="1"/>
  <c r="AR76" i="114"/>
  <c r="AR81" i="114"/>
  <c r="AR83" i="114" s="1"/>
  <c r="AR84" i="114" s="1"/>
  <c r="AR86" i="114" s="1"/>
  <c r="AR87" i="114" s="1"/>
  <c r="I38" i="114"/>
  <c r="I75" i="114" s="1"/>
  <c r="I81" i="114" s="1"/>
  <c r="I83" i="114" s="1"/>
  <c r="I84" i="114" s="1"/>
  <c r="I86" i="114" s="1"/>
  <c r="AL75" i="114"/>
  <c r="AL39" i="114"/>
  <c r="AH76" i="114"/>
  <c r="AH81" i="114"/>
  <c r="AH83" i="114" s="1"/>
  <c r="AH84" i="114" s="1"/>
  <c r="AH86" i="114" s="1"/>
  <c r="AH87" i="114" s="1"/>
  <c r="T38" i="114"/>
  <c r="BW6" i="114"/>
  <c r="BW5" i="114" s="1"/>
  <c r="CA6" i="114"/>
  <c r="BW97" i="114" s="1"/>
  <c r="BU5" i="114"/>
  <c r="BV8" i="114"/>
  <c r="BV38" i="114" s="1"/>
  <c r="AN75" i="114"/>
  <c r="AN39" i="114"/>
  <c r="AC81" i="114"/>
  <c r="AC83" i="114" s="1"/>
  <c r="AC84" i="114" s="1"/>
  <c r="AC86" i="114" s="1"/>
  <c r="AC87" i="114" s="1"/>
  <c r="AC76" i="114"/>
  <c r="M76" i="114"/>
  <c r="M81" i="114"/>
  <c r="M83" i="114" s="1"/>
  <c r="M84" i="114" s="1"/>
  <c r="M86" i="114" s="1"/>
  <c r="M87" i="114" s="1"/>
  <c r="R75" i="114"/>
  <c r="R39" i="114"/>
  <c r="CA16" i="114"/>
  <c r="AX38" i="114"/>
  <c r="AW81" i="114"/>
  <c r="AW83" i="114" s="1"/>
  <c r="AW84" i="114" s="1"/>
  <c r="AW86" i="114" s="1"/>
  <c r="AW87" i="114" s="1"/>
  <c r="AW76" i="114"/>
  <c r="E89" i="114"/>
  <c r="F50" i="114" s="1"/>
  <c r="F8" i="114"/>
  <c r="AI38" i="114"/>
  <c r="AS38" i="114"/>
  <c r="BW54" i="114"/>
  <c r="N39" i="114"/>
  <c r="N75" i="114"/>
  <c r="CA26" i="114"/>
  <c r="BW98" i="114" s="1"/>
  <c r="X76" i="114"/>
  <c r="X81" i="114"/>
  <c r="X83" i="114" s="1"/>
  <c r="X84" i="114" s="1"/>
  <c r="X86" i="114" s="1"/>
  <c r="X87" i="114" s="1"/>
  <c r="BW25" i="114"/>
  <c r="BW8" i="114" s="1"/>
  <c r="BU8" i="114"/>
  <c r="AG81" i="114"/>
  <c r="AG83" i="114" s="1"/>
  <c r="AG84" i="114" s="1"/>
  <c r="AG86" i="114" s="1"/>
  <c r="AG87" i="114" s="1"/>
  <c r="AG76" i="114"/>
  <c r="S81" i="114"/>
  <c r="S83" i="114" s="1"/>
  <c r="S84" i="114" s="1"/>
  <c r="S86" i="114" s="1"/>
  <c r="S87" i="114" s="1"/>
  <c r="S76" i="114"/>
  <c r="E38" i="114"/>
  <c r="BW35" i="114"/>
  <c r="BW41" i="114"/>
  <c r="AM81" i="114"/>
  <c r="AM83" i="114" s="1"/>
  <c r="AM84" i="114" s="1"/>
  <c r="AM86" i="114" s="1"/>
  <c r="AM87" i="114" s="1"/>
  <c r="AM76" i="114"/>
  <c r="O50" i="114" l="1"/>
  <c r="O73" i="114"/>
  <c r="O8" i="114"/>
  <c r="N81" i="114"/>
  <c r="N83" i="114" s="1"/>
  <c r="N84" i="114" s="1"/>
  <c r="N86" i="114" s="1"/>
  <c r="N87" i="114" s="1"/>
  <c r="N76" i="114"/>
  <c r="AL81" i="114"/>
  <c r="AL83" i="114" s="1"/>
  <c r="AL84" i="114" s="1"/>
  <c r="AL86" i="114" s="1"/>
  <c r="AL87" i="114" s="1"/>
  <c r="AL76" i="114"/>
  <c r="E75" i="114"/>
  <c r="E39" i="114"/>
  <c r="F71" i="114"/>
  <c r="F68" i="114"/>
  <c r="F65" i="114"/>
  <c r="F62" i="114"/>
  <c r="F72" i="114"/>
  <c r="F60" i="114"/>
  <c r="F58" i="114"/>
  <c r="F56" i="114"/>
  <c r="F48" i="114"/>
  <c r="F69" i="114"/>
  <c r="F67" i="114"/>
  <c r="F61" i="114"/>
  <c r="F57" i="114"/>
  <c r="F28" i="114"/>
  <c r="F73" i="114"/>
  <c r="F70" i="114"/>
  <c r="F63" i="114"/>
  <c r="F64" i="114"/>
  <c r="F47" i="114"/>
  <c r="F46" i="114"/>
  <c r="F59" i="114"/>
  <c r="F55" i="114"/>
  <c r="F33" i="114"/>
  <c r="F35" i="114"/>
  <c r="F21" i="114"/>
  <c r="F16" i="114"/>
  <c r="F14" i="114"/>
  <c r="F12" i="114"/>
  <c r="F20" i="114"/>
  <c r="F66" i="114"/>
  <c r="F26" i="114"/>
  <c r="F42" i="114"/>
  <c r="F9" i="114"/>
  <c r="F29" i="114"/>
  <c r="F41" i="114"/>
  <c r="F36" i="114"/>
  <c r="F31" i="114"/>
  <c r="F18" i="114"/>
  <c r="F11" i="114"/>
  <c r="F79" i="114"/>
  <c r="F82" i="114"/>
  <c r="F27" i="114"/>
  <c r="F45" i="114"/>
  <c r="F13" i="114"/>
  <c r="F19" i="114"/>
  <c r="F30" i="114"/>
  <c r="F43" i="114"/>
  <c r="F24" i="114"/>
  <c r="F51" i="114"/>
  <c r="F44" i="114"/>
  <c r="F15" i="114"/>
  <c r="F85" i="114"/>
  <c r="F32" i="114"/>
  <c r="F52" i="114"/>
  <c r="F17" i="114"/>
  <c r="F54" i="114"/>
  <c r="F25" i="114"/>
  <c r="F10" i="114"/>
  <c r="BW38" i="114"/>
  <c r="Y75" i="114"/>
  <c r="Y39" i="114"/>
  <c r="AD76" i="114"/>
  <c r="AS75" i="114"/>
  <c r="AS39" i="114"/>
  <c r="AI75" i="114"/>
  <c r="AI39" i="114"/>
  <c r="R81" i="114"/>
  <c r="R83" i="114" s="1"/>
  <c r="R84" i="114" s="1"/>
  <c r="R86" i="114" s="1"/>
  <c r="R87" i="114" s="1"/>
  <c r="R76" i="114"/>
  <c r="AN76" i="114"/>
  <c r="T75" i="114"/>
  <c r="T39" i="114"/>
  <c r="BV75" i="114"/>
  <c r="BV39" i="114"/>
  <c r="AX75" i="114"/>
  <c r="AX39" i="114"/>
  <c r="BU38" i="114"/>
  <c r="O78" i="114"/>
  <c r="O69" i="114"/>
  <c r="O66" i="114"/>
  <c r="O63" i="114"/>
  <c r="O79" i="114"/>
  <c r="O45" i="114"/>
  <c r="O42" i="114"/>
  <c r="O33" i="114"/>
  <c r="O64" i="114"/>
  <c r="O62" i="114"/>
  <c r="O61" i="114"/>
  <c r="O59" i="114"/>
  <c r="O57" i="114"/>
  <c r="O55" i="114"/>
  <c r="O71" i="114"/>
  <c r="O60" i="114"/>
  <c r="O58" i="114"/>
  <c r="O56" i="114"/>
  <c r="O65" i="114"/>
  <c r="O43" i="114"/>
  <c r="O26" i="114"/>
  <c r="O67" i="114"/>
  <c r="O70" i="114"/>
  <c r="O68" i="114"/>
  <c r="O20" i="114"/>
  <c r="O47" i="114"/>
  <c r="O36" i="114"/>
  <c r="O16" i="114"/>
  <c r="O15" i="114"/>
  <c r="O19" i="114"/>
  <c r="O48" i="114"/>
  <c r="O28" i="114"/>
  <c r="O24" i="114"/>
  <c r="O9" i="114"/>
  <c r="O11" i="114"/>
  <c r="O30" i="114"/>
  <c r="O77" i="114"/>
  <c r="O32" i="114"/>
  <c r="O35" i="114"/>
  <c r="O14" i="114"/>
  <c r="O12" i="114"/>
  <c r="O18" i="114"/>
  <c r="O27" i="114"/>
  <c r="O44" i="114"/>
  <c r="O54" i="114"/>
  <c r="O23" i="114"/>
  <c r="O74" i="114"/>
  <c r="O52" i="114"/>
  <c r="O10" i="114"/>
  <c r="O22" i="114"/>
  <c r="O51" i="114"/>
  <c r="O21" i="114"/>
  <c r="O13" i="114"/>
  <c r="O29" i="114"/>
  <c r="O17" i="114"/>
  <c r="O25" i="114"/>
  <c r="O31" i="114"/>
  <c r="O46" i="114"/>
  <c r="BU75" i="114" l="1"/>
  <c r="BU39" i="114"/>
  <c r="T76" i="114"/>
  <c r="AI76" i="114"/>
  <c r="E76" i="114"/>
  <c r="E81" i="114"/>
  <c r="E83" i="114" s="1"/>
  <c r="E84" i="114" s="1"/>
  <c r="E86" i="114" s="1"/>
  <c r="E87" i="114" s="1"/>
  <c r="AX76" i="114"/>
  <c r="Y76" i="114"/>
  <c r="BV76" i="114"/>
  <c r="BV81" i="114"/>
  <c r="BV83" i="114" s="1"/>
  <c r="BV84" i="114" s="1"/>
  <c r="BV86" i="114" s="1"/>
  <c r="BV87" i="114" s="1"/>
  <c r="AS76" i="114"/>
  <c r="BW75" i="114"/>
  <c r="BW39" i="114"/>
  <c r="BW76" i="114" l="1"/>
  <c r="BU81" i="114"/>
  <c r="BU83" i="114" s="1"/>
  <c r="BU84" i="114" s="1"/>
  <c r="BU86" i="114" s="1"/>
  <c r="BU87" i="114" s="1"/>
  <c r="BU76" i="114"/>
  <c r="AH100" i="136" l="1"/>
  <c r="AH98" i="136"/>
  <c r="AH96" i="136"/>
  <c r="AG85" i="136"/>
  <c r="AF85" i="136"/>
  <c r="AH85" i="136" s="1"/>
  <c r="AC85" i="136"/>
  <c r="X85" i="136"/>
  <c r="S85" i="136"/>
  <c r="N85" i="136"/>
  <c r="I85" i="136"/>
  <c r="E85" i="136"/>
  <c r="AG82" i="136"/>
  <c r="AF82" i="136"/>
  <c r="AH82" i="136" s="1"/>
  <c r="AC82" i="136"/>
  <c r="X82" i="136"/>
  <c r="S82" i="136"/>
  <c r="N82" i="136"/>
  <c r="I82" i="136"/>
  <c r="E82" i="136"/>
  <c r="AG79" i="136"/>
  <c r="AG77" i="136" s="1"/>
  <c r="AF79" i="136"/>
  <c r="N79" i="136"/>
  <c r="E79" i="136"/>
  <c r="AH78" i="136"/>
  <c r="AG78" i="136"/>
  <c r="AF78" i="136"/>
  <c r="AC78" i="136"/>
  <c r="AC77" i="136" s="1"/>
  <c r="X78" i="136"/>
  <c r="Y78" i="136" s="1"/>
  <c r="S78" i="136"/>
  <c r="T78" i="136" s="1"/>
  <c r="N78" i="136"/>
  <c r="I78" i="136"/>
  <c r="E78" i="136"/>
  <c r="E77" i="136" s="1"/>
  <c r="AB77" i="136"/>
  <c r="AA77" i="136"/>
  <c r="X77" i="136"/>
  <c r="W77" i="136"/>
  <c r="V77" i="136"/>
  <c r="R77" i="136"/>
  <c r="Q77" i="136"/>
  <c r="N77" i="136"/>
  <c r="M77" i="136"/>
  <c r="L77" i="136"/>
  <c r="H77" i="136"/>
  <c r="G77" i="136"/>
  <c r="D77" i="136"/>
  <c r="C77" i="136"/>
  <c r="AG74" i="136"/>
  <c r="AG73" i="136" s="1"/>
  <c r="AF74" i="136"/>
  <c r="AH74" i="136" s="1"/>
  <c r="AH73" i="136" s="1"/>
  <c r="AC74" i="136"/>
  <c r="X74" i="136"/>
  <c r="S74" i="136"/>
  <c r="N74" i="136"/>
  <c r="I74" i="136"/>
  <c r="I73" i="136" s="1"/>
  <c r="E74" i="136"/>
  <c r="E73" i="136" s="1"/>
  <c r="AC73" i="136"/>
  <c r="AB73" i="136"/>
  <c r="AA73" i="136"/>
  <c r="X73" i="136"/>
  <c r="W73" i="136"/>
  <c r="V73" i="136"/>
  <c r="S73" i="136"/>
  <c r="R73" i="136"/>
  <c r="Q73" i="136"/>
  <c r="N73" i="136"/>
  <c r="M73" i="136"/>
  <c r="L73" i="136"/>
  <c r="H73" i="136"/>
  <c r="G73" i="136"/>
  <c r="D73" i="136"/>
  <c r="C73" i="136"/>
  <c r="AD72" i="136"/>
  <c r="Y72" i="136"/>
  <c r="AG71" i="136"/>
  <c r="AF71" i="136"/>
  <c r="AH71" i="136" s="1"/>
  <c r="AC71" i="136"/>
  <c r="X71" i="136"/>
  <c r="S71" i="136"/>
  <c r="N71" i="136"/>
  <c r="I71" i="136"/>
  <c r="E71" i="136"/>
  <c r="AG70" i="136"/>
  <c r="AF70" i="136"/>
  <c r="AC70" i="136"/>
  <c r="X70" i="136"/>
  <c r="S70" i="136"/>
  <c r="N70" i="136"/>
  <c r="I70" i="136"/>
  <c r="E70" i="136"/>
  <c r="AG69" i="136"/>
  <c r="AF69" i="136"/>
  <c r="AC69" i="136"/>
  <c r="X69" i="136"/>
  <c r="S69" i="136"/>
  <c r="N69" i="136"/>
  <c r="I69" i="136"/>
  <c r="E69" i="136"/>
  <c r="AH68" i="136"/>
  <c r="AG68" i="136"/>
  <c r="AF68" i="136"/>
  <c r="AC68" i="136"/>
  <c r="X68" i="136"/>
  <c r="S68" i="136"/>
  <c r="N68" i="136"/>
  <c r="I68" i="136"/>
  <c r="E68" i="136"/>
  <c r="AG67" i="136"/>
  <c r="AF67" i="136"/>
  <c r="AH67" i="136" s="1"/>
  <c r="AC67" i="136"/>
  <c r="X67" i="136"/>
  <c r="S67" i="136"/>
  <c r="N67" i="136"/>
  <c r="I67" i="136"/>
  <c r="E67" i="136"/>
  <c r="AG66" i="136"/>
  <c r="AF66" i="136"/>
  <c r="AH66" i="136" s="1"/>
  <c r="AC66" i="136"/>
  <c r="X66" i="136"/>
  <c r="S66" i="136"/>
  <c r="N66" i="136"/>
  <c r="I66" i="136"/>
  <c r="E66" i="136"/>
  <c r="AG65" i="136"/>
  <c r="AF65" i="136"/>
  <c r="AH65" i="136" s="1"/>
  <c r="AC65" i="136"/>
  <c r="X65" i="136"/>
  <c r="S65" i="136"/>
  <c r="N65" i="136"/>
  <c r="I65" i="136"/>
  <c r="E65" i="136"/>
  <c r="AG64" i="136"/>
  <c r="AF64" i="136"/>
  <c r="AC64" i="136"/>
  <c r="X64" i="136"/>
  <c r="S64" i="136"/>
  <c r="N64" i="136"/>
  <c r="I64" i="136"/>
  <c r="E64" i="136"/>
  <c r="AG63" i="136"/>
  <c r="AF63" i="136"/>
  <c r="AC63" i="136"/>
  <c r="X63" i="136"/>
  <c r="S63" i="136"/>
  <c r="N63" i="136"/>
  <c r="I63" i="136"/>
  <c r="E63" i="136"/>
  <c r="AG62" i="136"/>
  <c r="AH62" i="136" s="1"/>
  <c r="AF62" i="136"/>
  <c r="AC62" i="136"/>
  <c r="X62" i="136"/>
  <c r="S62" i="136"/>
  <c r="N62" i="136"/>
  <c r="I62" i="136"/>
  <c r="E62" i="136"/>
  <c r="AH61" i="136"/>
  <c r="AG61" i="136"/>
  <c r="AF61" i="136"/>
  <c r="AC61" i="136"/>
  <c r="X61" i="136"/>
  <c r="S61" i="136"/>
  <c r="N61" i="136"/>
  <c r="I61" i="136"/>
  <c r="E61" i="136"/>
  <c r="AG60" i="136"/>
  <c r="AF60" i="136"/>
  <c r="AH60" i="136" s="1"/>
  <c r="AC60" i="136"/>
  <c r="X60" i="136"/>
  <c r="S60" i="136"/>
  <c r="N60" i="136"/>
  <c r="I60" i="136"/>
  <c r="E60" i="136"/>
  <c r="AG59" i="136"/>
  <c r="AH59" i="136" s="1"/>
  <c r="AF59" i="136"/>
  <c r="AC59" i="136"/>
  <c r="X59" i="136"/>
  <c r="S59" i="136"/>
  <c r="N59" i="136"/>
  <c r="I59" i="136"/>
  <c r="E59" i="136"/>
  <c r="AG58" i="136"/>
  <c r="AF58" i="136"/>
  <c r="AH58" i="136" s="1"/>
  <c r="AC58" i="136"/>
  <c r="X58" i="136"/>
  <c r="S58" i="136"/>
  <c r="N58" i="136"/>
  <c r="I58" i="136"/>
  <c r="E58" i="136"/>
  <c r="AG57" i="136"/>
  <c r="AF57" i="136"/>
  <c r="AC57" i="136"/>
  <c r="X57" i="136"/>
  <c r="S57" i="136"/>
  <c r="N57" i="136"/>
  <c r="I57" i="136"/>
  <c r="E57" i="136"/>
  <c r="AG56" i="136"/>
  <c r="AG54" i="136" s="1"/>
  <c r="AF56" i="136"/>
  <c r="AH56" i="136" s="1"/>
  <c r="AC56" i="136"/>
  <c r="X56" i="136"/>
  <c r="S56" i="136"/>
  <c r="N56" i="136"/>
  <c r="I56" i="136"/>
  <c r="E56" i="136"/>
  <c r="AH55" i="136"/>
  <c r="AG55" i="136"/>
  <c r="AF55" i="136"/>
  <c r="AC55" i="136"/>
  <c r="X55" i="136"/>
  <c r="S55" i="136"/>
  <c r="N55" i="136"/>
  <c r="I55" i="136"/>
  <c r="E55" i="136"/>
  <c r="E54" i="136" s="1"/>
  <c r="AB54" i="136"/>
  <c r="AA54" i="136"/>
  <c r="X54" i="136"/>
  <c r="W54" i="136"/>
  <c r="V54" i="136"/>
  <c r="R54" i="136"/>
  <c r="Q54" i="136"/>
  <c r="N54" i="136"/>
  <c r="M54" i="136"/>
  <c r="L54" i="136"/>
  <c r="H54" i="136"/>
  <c r="G54" i="136"/>
  <c r="D54" i="136"/>
  <c r="C54" i="136"/>
  <c r="AG52" i="136"/>
  <c r="AG50" i="136" s="1"/>
  <c r="AF52" i="136"/>
  <c r="AC52" i="136"/>
  <c r="AD52" i="136" s="1"/>
  <c r="X52" i="136"/>
  <c r="Y52" i="136" s="1"/>
  <c r="S52" i="136"/>
  <c r="N52" i="136"/>
  <c r="I52" i="136"/>
  <c r="E52" i="136"/>
  <c r="AG51" i="136"/>
  <c r="AF51" i="136"/>
  <c r="AH51" i="136" s="1"/>
  <c r="AC51" i="136"/>
  <c r="X51" i="136"/>
  <c r="Y51" i="136" s="1"/>
  <c r="S51" i="136"/>
  <c r="N51" i="136"/>
  <c r="I51" i="136"/>
  <c r="E51" i="136"/>
  <c r="AB50" i="136"/>
  <c r="AA50" i="136"/>
  <c r="W50" i="136"/>
  <c r="V50" i="136"/>
  <c r="R50" i="136"/>
  <c r="Q50" i="136"/>
  <c r="M50" i="136"/>
  <c r="L50" i="136"/>
  <c r="I50" i="136"/>
  <c r="H50" i="136"/>
  <c r="G50" i="136"/>
  <c r="D50" i="136"/>
  <c r="C50" i="136"/>
  <c r="AD49" i="136"/>
  <c r="Y49" i="136"/>
  <c r="AG48" i="136"/>
  <c r="AF48" i="136"/>
  <c r="AH48" i="136" s="1"/>
  <c r="AC48" i="136"/>
  <c r="X48" i="136"/>
  <c r="S48" i="136"/>
  <c r="N48" i="136"/>
  <c r="I48" i="136"/>
  <c r="E48" i="136"/>
  <c r="AG47" i="136"/>
  <c r="AF47" i="136"/>
  <c r="AC47" i="136"/>
  <c r="X47" i="136"/>
  <c r="S47" i="136"/>
  <c r="N47" i="136"/>
  <c r="I47" i="136"/>
  <c r="E47" i="136"/>
  <c r="AG46" i="136"/>
  <c r="AF46" i="136"/>
  <c r="AH46" i="136" s="1"/>
  <c r="AC46" i="136"/>
  <c r="X46" i="136"/>
  <c r="S46" i="136"/>
  <c r="N46" i="136"/>
  <c r="I46" i="136"/>
  <c r="E46" i="136"/>
  <c r="AG45" i="136"/>
  <c r="AF45" i="136"/>
  <c r="AC45" i="136"/>
  <c r="X45" i="136"/>
  <c r="S45" i="136"/>
  <c r="N45" i="136"/>
  <c r="I45" i="136"/>
  <c r="E45" i="136"/>
  <c r="AG44" i="136"/>
  <c r="AF44" i="136"/>
  <c r="AC44" i="136"/>
  <c r="X44" i="136"/>
  <c r="S44" i="136"/>
  <c r="N44" i="136"/>
  <c r="I44" i="136"/>
  <c r="E44" i="136"/>
  <c r="AH43" i="136"/>
  <c r="AG43" i="136"/>
  <c r="AF43" i="136"/>
  <c r="AC43" i="136"/>
  <c r="X43" i="136"/>
  <c r="S43" i="136"/>
  <c r="N43" i="136"/>
  <c r="I43" i="136"/>
  <c r="E43" i="136"/>
  <c r="AG42" i="136"/>
  <c r="AF42" i="136"/>
  <c r="AC42" i="136"/>
  <c r="X42" i="136"/>
  <c r="S42" i="136"/>
  <c r="N42" i="136"/>
  <c r="I42" i="136"/>
  <c r="E42" i="136"/>
  <c r="AB41" i="136"/>
  <c r="AA41" i="136"/>
  <c r="W41" i="136"/>
  <c r="V41" i="136"/>
  <c r="R41" i="136"/>
  <c r="Q41" i="136"/>
  <c r="M41" i="136"/>
  <c r="L41" i="136"/>
  <c r="H41" i="136"/>
  <c r="G41" i="136"/>
  <c r="D41" i="136"/>
  <c r="C41" i="136"/>
  <c r="AD37" i="136"/>
  <c r="Y37" i="136"/>
  <c r="AH36" i="136"/>
  <c r="AG36" i="136"/>
  <c r="AG35" i="136" s="1"/>
  <c r="AF36" i="136"/>
  <c r="AC36" i="136"/>
  <c r="X36" i="136"/>
  <c r="S36" i="136"/>
  <c r="S35" i="136" s="1"/>
  <c r="N36" i="136"/>
  <c r="I36" i="136"/>
  <c r="E36" i="136"/>
  <c r="E35" i="136" s="1"/>
  <c r="AF35" i="136"/>
  <c r="AD35" i="136"/>
  <c r="AC35" i="136"/>
  <c r="N35" i="136"/>
  <c r="D35" i="136"/>
  <c r="C35" i="136"/>
  <c r="AD34" i="136"/>
  <c r="Y34" i="136"/>
  <c r="AG33" i="136"/>
  <c r="AF33" i="136"/>
  <c r="AH33" i="136" s="1"/>
  <c r="AC33" i="136"/>
  <c r="X33" i="136"/>
  <c r="S33" i="136"/>
  <c r="N33" i="136"/>
  <c r="I33" i="136"/>
  <c r="E33" i="136"/>
  <c r="AG32" i="136"/>
  <c r="AF32" i="136"/>
  <c r="AC32" i="136"/>
  <c r="X32" i="136"/>
  <c r="S32" i="136"/>
  <c r="N32" i="136"/>
  <c r="I32" i="136"/>
  <c r="E32" i="136"/>
  <c r="AG31" i="136"/>
  <c r="AF31" i="136"/>
  <c r="AH31" i="136" s="1"/>
  <c r="AC31" i="136"/>
  <c r="X31" i="136"/>
  <c r="S31" i="136"/>
  <c r="N31" i="136"/>
  <c r="I31" i="136"/>
  <c r="E31" i="136"/>
  <c r="AG30" i="136"/>
  <c r="AF30" i="136"/>
  <c r="AH30" i="136" s="1"/>
  <c r="AC30" i="136"/>
  <c r="X30" i="136"/>
  <c r="S30" i="136"/>
  <c r="N30" i="136"/>
  <c r="I30" i="136"/>
  <c r="E30" i="136"/>
  <c r="AG29" i="136"/>
  <c r="AF29" i="136"/>
  <c r="AC29" i="136"/>
  <c r="X29" i="136"/>
  <c r="S29" i="136"/>
  <c r="N29" i="136"/>
  <c r="I29" i="136"/>
  <c r="E29" i="136"/>
  <c r="AG28" i="136"/>
  <c r="AF28" i="136"/>
  <c r="AH28" i="136" s="1"/>
  <c r="AC28" i="136"/>
  <c r="X28" i="136"/>
  <c r="S28" i="136"/>
  <c r="N28" i="136"/>
  <c r="I28" i="136"/>
  <c r="C28" i="136"/>
  <c r="E28" i="136" s="1"/>
  <c r="AG27" i="136"/>
  <c r="AF27" i="136"/>
  <c r="AC27" i="136"/>
  <c r="X27" i="136"/>
  <c r="S27" i="136"/>
  <c r="N27" i="136"/>
  <c r="I27" i="136"/>
  <c r="E27" i="136"/>
  <c r="AG26" i="136"/>
  <c r="AC26" i="136"/>
  <c r="X26" i="136"/>
  <c r="S26" i="136"/>
  <c r="L26" i="136"/>
  <c r="N26" i="136" s="1"/>
  <c r="I26" i="136"/>
  <c r="E26" i="136"/>
  <c r="AG25" i="136"/>
  <c r="AC25" i="136"/>
  <c r="X25" i="136"/>
  <c r="S25" i="136"/>
  <c r="L25" i="136"/>
  <c r="N25" i="136" s="1"/>
  <c r="I25" i="136"/>
  <c r="E25" i="136"/>
  <c r="AG24" i="136"/>
  <c r="AF24" i="136"/>
  <c r="AH24" i="136" s="1"/>
  <c r="AC24" i="136"/>
  <c r="X24" i="136"/>
  <c r="S24" i="136"/>
  <c r="N24" i="136"/>
  <c r="I24" i="136"/>
  <c r="E24" i="136"/>
  <c r="AG23" i="136"/>
  <c r="AF23" i="136"/>
  <c r="AH23" i="136" s="1"/>
  <c r="AC23" i="136"/>
  <c r="X23" i="136"/>
  <c r="S23" i="136"/>
  <c r="N23" i="136"/>
  <c r="I23" i="136"/>
  <c r="E23" i="136"/>
  <c r="AG22" i="136"/>
  <c r="AF22" i="136"/>
  <c r="AH22" i="136" s="1"/>
  <c r="AC22" i="136"/>
  <c r="X22" i="136"/>
  <c r="S22" i="136"/>
  <c r="N22" i="136"/>
  <c r="I22" i="136"/>
  <c r="E22" i="136"/>
  <c r="AG21" i="136"/>
  <c r="AF21" i="136"/>
  <c r="AH21" i="136" s="1"/>
  <c r="AC21" i="136"/>
  <c r="X21" i="136"/>
  <c r="S21" i="136"/>
  <c r="N21" i="136"/>
  <c r="I21" i="136"/>
  <c r="E21" i="136"/>
  <c r="AG20" i="136"/>
  <c r="AF20" i="136"/>
  <c r="AC20" i="136"/>
  <c r="X20" i="136"/>
  <c r="S20" i="136"/>
  <c r="N20" i="136"/>
  <c r="I20" i="136"/>
  <c r="E20" i="136"/>
  <c r="AG19" i="136"/>
  <c r="AF19" i="136"/>
  <c r="AC19" i="136"/>
  <c r="X19" i="136"/>
  <c r="S19" i="136"/>
  <c r="N19" i="136"/>
  <c r="I19" i="136"/>
  <c r="E19" i="136"/>
  <c r="AH18" i="136"/>
  <c r="AG18" i="136"/>
  <c r="AF18" i="136"/>
  <c r="AC18" i="136"/>
  <c r="X18" i="136"/>
  <c r="S18" i="136"/>
  <c r="N18" i="136"/>
  <c r="I18" i="136"/>
  <c r="E18" i="136"/>
  <c r="AG17" i="136"/>
  <c r="AF17" i="136"/>
  <c r="AC17" i="136"/>
  <c r="X17" i="136"/>
  <c r="S17" i="136"/>
  <c r="N17" i="136"/>
  <c r="I17" i="136"/>
  <c r="E17" i="136"/>
  <c r="AG16" i="136"/>
  <c r="AF16" i="136"/>
  <c r="AC16" i="136"/>
  <c r="X16" i="136"/>
  <c r="S16" i="136"/>
  <c r="N16" i="136"/>
  <c r="M16" i="136"/>
  <c r="I16" i="136"/>
  <c r="E16" i="136"/>
  <c r="AG15" i="136"/>
  <c r="AF15" i="136"/>
  <c r="AH15" i="136" s="1"/>
  <c r="AC15" i="136"/>
  <c r="X15" i="136"/>
  <c r="S15" i="136"/>
  <c r="N15" i="136"/>
  <c r="I15" i="136"/>
  <c r="E15" i="136"/>
  <c r="AG14" i="136"/>
  <c r="AF14" i="136"/>
  <c r="AH14" i="136" s="1"/>
  <c r="AC14" i="136"/>
  <c r="X14" i="136"/>
  <c r="S14" i="136"/>
  <c r="N14" i="136"/>
  <c r="I14" i="136"/>
  <c r="E14" i="136"/>
  <c r="AG13" i="136"/>
  <c r="AF13" i="136"/>
  <c r="AC13" i="136"/>
  <c r="X13" i="136"/>
  <c r="S13" i="136"/>
  <c r="N13" i="136"/>
  <c r="I13" i="136"/>
  <c r="E13" i="136"/>
  <c r="AG12" i="136"/>
  <c r="AF12" i="136"/>
  <c r="AH12" i="136" s="1"/>
  <c r="AC12" i="136"/>
  <c r="X12" i="136"/>
  <c r="S12" i="136"/>
  <c r="N12" i="136"/>
  <c r="I12" i="136"/>
  <c r="E12" i="136"/>
  <c r="AG11" i="136"/>
  <c r="AF11" i="136"/>
  <c r="AH11" i="136" s="1"/>
  <c r="AC11" i="136"/>
  <c r="X11" i="136"/>
  <c r="S11" i="136"/>
  <c r="N11" i="136"/>
  <c r="I11" i="136"/>
  <c r="E11" i="136"/>
  <c r="AG10" i="136"/>
  <c r="AH10" i="136" s="1"/>
  <c r="AF10" i="136"/>
  <c r="AC10" i="136"/>
  <c r="X10" i="136"/>
  <c r="S10" i="136"/>
  <c r="N10" i="136"/>
  <c r="I10" i="136"/>
  <c r="E10" i="136"/>
  <c r="AG9" i="136"/>
  <c r="AG8" i="136" s="1"/>
  <c r="AF9" i="136"/>
  <c r="AC9" i="136"/>
  <c r="X9" i="136"/>
  <c r="S9" i="136"/>
  <c r="S8" i="136" s="1"/>
  <c r="N9" i="136"/>
  <c r="N8" i="136" s="1"/>
  <c r="I9" i="136"/>
  <c r="E9" i="136"/>
  <c r="E8" i="136" s="1"/>
  <c r="AB8" i="136"/>
  <c r="AA8" i="136"/>
  <c r="W8" i="136"/>
  <c r="V8" i="136"/>
  <c r="R8" i="136"/>
  <c r="Q8" i="136"/>
  <c r="M8" i="136"/>
  <c r="H8" i="136"/>
  <c r="G8" i="136"/>
  <c r="D8" i="136"/>
  <c r="C8" i="136"/>
  <c r="AH7" i="136"/>
  <c r="AG7" i="136"/>
  <c r="AF7" i="136"/>
  <c r="AC7" i="136"/>
  <c r="X7" i="136"/>
  <c r="S7" i="136"/>
  <c r="N7" i="136"/>
  <c r="I7" i="136"/>
  <c r="E7" i="136"/>
  <c r="AG6" i="136"/>
  <c r="AG5" i="136" s="1"/>
  <c r="AC6" i="136"/>
  <c r="AC5" i="136" s="1"/>
  <c r="X6" i="136"/>
  <c r="X5" i="136" s="1"/>
  <c r="S6" i="136"/>
  <c r="S5" i="136" s="1"/>
  <c r="S38" i="136" s="1"/>
  <c r="L6" i="136"/>
  <c r="N6" i="136" s="1"/>
  <c r="I6" i="136"/>
  <c r="E6" i="136"/>
  <c r="AB5" i="136"/>
  <c r="AA5" i="136"/>
  <c r="AA38" i="136" s="1"/>
  <c r="W5" i="136"/>
  <c r="V5" i="136"/>
  <c r="R5" i="136"/>
  <c r="R38" i="136" s="1"/>
  <c r="Q5" i="136"/>
  <c r="Q38" i="136" s="1"/>
  <c r="M5" i="136"/>
  <c r="M38" i="136" s="1"/>
  <c r="M75" i="136" s="1"/>
  <c r="L5" i="136"/>
  <c r="H5" i="136"/>
  <c r="H38" i="136" s="1"/>
  <c r="G5" i="136"/>
  <c r="D5" i="136"/>
  <c r="D38" i="136" s="1"/>
  <c r="C5" i="136"/>
  <c r="C38" i="136" s="1"/>
  <c r="AB38" i="136" l="1"/>
  <c r="E5" i="136"/>
  <c r="E38" i="136" s="1"/>
  <c r="I5" i="136"/>
  <c r="X8" i="136"/>
  <c r="W38" i="136"/>
  <c r="AF77" i="136"/>
  <c r="AH45" i="136"/>
  <c r="AH64" i="136"/>
  <c r="AG41" i="136"/>
  <c r="I8" i="136"/>
  <c r="AH17" i="136"/>
  <c r="AF73" i="136"/>
  <c r="AH20" i="136"/>
  <c r="AH27" i="136"/>
  <c r="AH69" i="136"/>
  <c r="AH70" i="136"/>
  <c r="AC54" i="136"/>
  <c r="S39" i="136"/>
  <c r="AB75" i="136"/>
  <c r="AB39" i="136"/>
  <c r="AM12" i="136"/>
  <c r="AM14" i="136"/>
  <c r="X38" i="136"/>
  <c r="Q39" i="136"/>
  <c r="Q75" i="136"/>
  <c r="D75" i="136"/>
  <c r="D39" i="136"/>
  <c r="AG38" i="136"/>
  <c r="AC8" i="136"/>
  <c r="R75" i="136"/>
  <c r="R39" i="136"/>
  <c r="AA75" i="136"/>
  <c r="AA39" i="136"/>
  <c r="E39" i="136"/>
  <c r="G38" i="136"/>
  <c r="H75" i="136"/>
  <c r="H39" i="136"/>
  <c r="N5" i="136"/>
  <c r="N38" i="136" s="1"/>
  <c r="I38" i="136"/>
  <c r="W75" i="136"/>
  <c r="W39" i="136"/>
  <c r="AH9" i="136"/>
  <c r="C75" i="136"/>
  <c r="C39" i="136"/>
  <c r="V38" i="136"/>
  <c r="AH52" i="136"/>
  <c r="AH50" i="136" s="1"/>
  <c r="AF50" i="136"/>
  <c r="AH13" i="136"/>
  <c r="AH16" i="136"/>
  <c r="AF25" i="136"/>
  <c r="AH25" i="136" s="1"/>
  <c r="I35" i="136"/>
  <c r="AH29" i="136"/>
  <c r="E41" i="136"/>
  <c r="I41" i="136"/>
  <c r="AH44" i="136"/>
  <c r="X50" i="136"/>
  <c r="Y50" i="136" s="1"/>
  <c r="I54" i="136"/>
  <c r="M76" i="136"/>
  <c r="M81" i="136"/>
  <c r="M83" i="136" s="1"/>
  <c r="M84" i="136" s="1"/>
  <c r="M86" i="136" s="1"/>
  <c r="M87" i="136" s="1"/>
  <c r="AH57" i="136"/>
  <c r="AH54" i="136" s="1"/>
  <c r="AF54" i="136"/>
  <c r="AF6" i="136"/>
  <c r="AH19" i="136"/>
  <c r="AH32" i="136"/>
  <c r="AH35" i="136"/>
  <c r="M39" i="136"/>
  <c r="N41" i="136"/>
  <c r="N89" i="136" s="1"/>
  <c r="AH42" i="136"/>
  <c r="AF41" i="136"/>
  <c r="AH47" i="136"/>
  <c r="X35" i="136"/>
  <c r="Y35" i="136" s="1"/>
  <c r="L8" i="136"/>
  <c r="L38" i="136" s="1"/>
  <c r="AF26" i="136"/>
  <c r="AH26" i="136" s="1"/>
  <c r="AC41" i="136"/>
  <c r="S41" i="136"/>
  <c r="X41" i="136"/>
  <c r="X89" i="136" s="1"/>
  <c r="S54" i="136"/>
  <c r="E50" i="136"/>
  <c r="AC50" i="136"/>
  <c r="AD50" i="136" s="1"/>
  <c r="AD51" i="136"/>
  <c r="N50" i="136"/>
  <c r="S50" i="136"/>
  <c r="AH63" i="136"/>
  <c r="O26" i="136" l="1"/>
  <c r="O61" i="136"/>
  <c r="O66" i="136"/>
  <c r="O51" i="136"/>
  <c r="O16" i="136"/>
  <c r="O19" i="136"/>
  <c r="O64" i="136"/>
  <c r="L75" i="136"/>
  <c r="L39" i="136"/>
  <c r="Y79" i="136"/>
  <c r="Y47" i="136"/>
  <c r="Y44" i="136"/>
  <c r="Y32" i="136"/>
  <c r="Y74" i="136"/>
  <c r="Y64" i="136"/>
  <c r="Y58" i="136"/>
  <c r="Y27" i="136"/>
  <c r="Y22" i="136"/>
  <c r="Y33" i="136"/>
  <c r="Y25" i="136"/>
  <c r="Y17" i="136"/>
  <c r="Y16" i="136"/>
  <c r="Y45" i="136"/>
  <c r="Y30" i="136"/>
  <c r="Y26" i="136"/>
  <c r="Y13" i="136"/>
  <c r="Y42" i="136"/>
  <c r="Y20" i="136"/>
  <c r="Y19" i="136"/>
  <c r="AD36" i="136"/>
  <c r="Y23" i="136"/>
  <c r="Y11" i="136"/>
  <c r="Y12" i="136"/>
  <c r="Y9" i="136"/>
  <c r="Y10" i="136"/>
  <c r="Y55" i="136"/>
  <c r="Y68" i="136"/>
  <c r="Y57" i="136"/>
  <c r="Y69" i="136"/>
  <c r="Y48" i="136"/>
  <c r="Y24" i="136"/>
  <c r="Y63" i="136"/>
  <c r="Y36" i="136"/>
  <c r="Y18" i="136"/>
  <c r="Y31" i="136"/>
  <c r="Y59" i="136"/>
  <c r="Y70" i="136"/>
  <c r="Y29" i="136"/>
  <c r="Y61" i="136"/>
  <c r="Y46" i="136"/>
  <c r="Y54" i="136"/>
  <c r="Y14" i="136"/>
  <c r="Y60" i="136"/>
  <c r="Y62" i="136"/>
  <c r="Y65" i="136"/>
  <c r="Y15" i="136"/>
  <c r="Y8" i="136"/>
  <c r="Y21" i="136"/>
  <c r="Y71" i="136"/>
  <c r="Y43" i="136"/>
  <c r="Y66" i="136"/>
  <c r="Y56" i="136"/>
  <c r="Y67" i="136"/>
  <c r="Y28" i="136"/>
  <c r="I39" i="136"/>
  <c r="I75" i="136"/>
  <c r="N75" i="136"/>
  <c r="N39" i="136"/>
  <c r="AB76" i="136"/>
  <c r="AB81" i="136"/>
  <c r="AB83" i="136" s="1"/>
  <c r="AB84" i="136" s="1"/>
  <c r="AB86" i="136" s="1"/>
  <c r="AB87" i="136" s="1"/>
  <c r="O67" i="136"/>
  <c r="O69" i="136"/>
  <c r="O47" i="136"/>
  <c r="O41" i="136"/>
  <c r="O44" i="136"/>
  <c r="V75" i="136"/>
  <c r="V39" i="136"/>
  <c r="W76" i="136"/>
  <c r="W81" i="136"/>
  <c r="W83" i="136" s="1"/>
  <c r="W84" i="136" s="1"/>
  <c r="W86" i="136" s="1"/>
  <c r="W87" i="136" s="1"/>
  <c r="D76" i="136"/>
  <c r="D81" i="136"/>
  <c r="D83" i="136" s="1"/>
  <c r="D84" i="136" s="1"/>
  <c r="D86" i="136" s="1"/>
  <c r="D87" i="136" s="1"/>
  <c r="Q76" i="136"/>
  <c r="Q81" i="136"/>
  <c r="Q83" i="136" s="1"/>
  <c r="Q84" i="136" s="1"/>
  <c r="Q86" i="136" s="1"/>
  <c r="Q87" i="136" s="1"/>
  <c r="AM25" i="136"/>
  <c r="O74" i="136"/>
  <c r="O45" i="136"/>
  <c r="O42" i="136"/>
  <c r="O33" i="136"/>
  <c r="O30" i="136"/>
  <c r="O62" i="136"/>
  <c r="O56" i="136"/>
  <c r="O35" i="136"/>
  <c r="O23" i="136"/>
  <c r="O79" i="136"/>
  <c r="O46" i="136"/>
  <c r="O31" i="136"/>
  <c r="O21" i="136"/>
  <c r="O15" i="136"/>
  <c r="O20" i="136"/>
  <c r="O10" i="136"/>
  <c r="O43" i="136"/>
  <c r="O28" i="136"/>
  <c r="O36" i="136"/>
  <c r="O24" i="136"/>
  <c r="O17" i="136"/>
  <c r="O12" i="136"/>
  <c r="O9" i="136"/>
  <c r="O18" i="136"/>
  <c r="O11" i="136"/>
  <c r="O14" i="136"/>
  <c r="O50" i="136"/>
  <c r="C81" i="136"/>
  <c r="C83" i="136" s="1"/>
  <c r="C84" i="136" s="1"/>
  <c r="C86" i="136" s="1"/>
  <c r="C87" i="136" s="1"/>
  <c r="C76" i="136"/>
  <c r="O27" i="136"/>
  <c r="O32" i="136"/>
  <c r="AF8" i="136"/>
  <c r="AM13" i="136"/>
  <c r="O13" i="136"/>
  <c r="R76" i="136"/>
  <c r="R81" i="136"/>
  <c r="R83" i="136" s="1"/>
  <c r="R84" i="136" s="1"/>
  <c r="R86" i="136" s="1"/>
  <c r="R87" i="136" s="1"/>
  <c r="O29" i="136"/>
  <c r="O71" i="136"/>
  <c r="X75" i="136"/>
  <c r="X39" i="136"/>
  <c r="O70" i="136"/>
  <c r="O48" i="136"/>
  <c r="O52" i="136"/>
  <c r="O59" i="136"/>
  <c r="AH6" i="136"/>
  <c r="AH5" i="136" s="1"/>
  <c r="AF5" i="136"/>
  <c r="AF38" i="136" s="1"/>
  <c r="O54" i="136"/>
  <c r="O25" i="136"/>
  <c r="AH8" i="136"/>
  <c r="H76" i="136"/>
  <c r="H81" i="136"/>
  <c r="H83" i="136" s="1"/>
  <c r="H84" i="136" s="1"/>
  <c r="H86" i="136" s="1"/>
  <c r="H87" i="136" s="1"/>
  <c r="AC89" i="136"/>
  <c r="AD8" i="136" s="1"/>
  <c r="AG75" i="136"/>
  <c r="AG39" i="136"/>
  <c r="S75" i="136"/>
  <c r="Y41" i="136"/>
  <c r="E89" i="136"/>
  <c r="O63" i="136"/>
  <c r="O65" i="136"/>
  <c r="E75" i="136"/>
  <c r="O68" i="136"/>
  <c r="O60" i="136"/>
  <c r="AM26" i="136"/>
  <c r="O58" i="136"/>
  <c r="O55" i="136"/>
  <c r="O57" i="136"/>
  <c r="O22" i="136"/>
  <c r="AH41" i="136"/>
  <c r="G39" i="136"/>
  <c r="G75" i="136"/>
  <c r="AA76" i="136"/>
  <c r="AA81" i="136"/>
  <c r="AA83" i="136" s="1"/>
  <c r="AA84" i="136" s="1"/>
  <c r="AA86" i="136" s="1"/>
  <c r="AA87" i="136" s="1"/>
  <c r="AC38" i="136"/>
  <c r="O8" i="136"/>
  <c r="F85" i="136" l="1"/>
  <c r="F79" i="136"/>
  <c r="F46" i="136"/>
  <c r="F43" i="136"/>
  <c r="F31" i="136"/>
  <c r="F16" i="136"/>
  <c r="F82" i="136"/>
  <c r="F72" i="136"/>
  <c r="F66" i="136"/>
  <c r="F60" i="136"/>
  <c r="F36" i="136"/>
  <c r="F24" i="136"/>
  <c r="F25" i="136"/>
  <c r="F18" i="136"/>
  <c r="F11" i="136"/>
  <c r="F27" i="136"/>
  <c r="F22" i="136"/>
  <c r="F47" i="136"/>
  <c r="F32" i="136"/>
  <c r="F21" i="136"/>
  <c r="F15" i="136"/>
  <c r="F13" i="136"/>
  <c r="F44" i="136"/>
  <c r="F29" i="136"/>
  <c r="F19" i="136"/>
  <c r="F10" i="136"/>
  <c r="F26" i="136"/>
  <c r="F12" i="136"/>
  <c r="F9" i="136"/>
  <c r="F28" i="136"/>
  <c r="F48" i="136"/>
  <c r="F65" i="136"/>
  <c r="F70" i="136"/>
  <c r="F69" i="136"/>
  <c r="F61" i="136"/>
  <c r="F42" i="136"/>
  <c r="F55" i="136"/>
  <c r="F63" i="136"/>
  <c r="F56" i="136"/>
  <c r="F20" i="136"/>
  <c r="F57" i="136"/>
  <c r="F68" i="136"/>
  <c r="F58" i="136"/>
  <c r="F62" i="136"/>
  <c r="F17" i="136"/>
  <c r="F30" i="136"/>
  <c r="F14" i="136"/>
  <c r="F23" i="136"/>
  <c r="F35" i="136"/>
  <c r="F45" i="136"/>
  <c r="F59" i="136"/>
  <c r="F51" i="136"/>
  <c r="F8" i="136"/>
  <c r="F33" i="136"/>
  <c r="F52" i="136"/>
  <c r="F73" i="136"/>
  <c r="F54" i="136"/>
  <c r="F64" i="136"/>
  <c r="F67" i="136"/>
  <c r="F71" i="136"/>
  <c r="AG76" i="136"/>
  <c r="AG81" i="136"/>
  <c r="AG83" i="136" s="1"/>
  <c r="AG84" i="136" s="1"/>
  <c r="AG86" i="136" s="1"/>
  <c r="AG87" i="136" s="1"/>
  <c r="AD41" i="136"/>
  <c r="X81" i="136"/>
  <c r="X83" i="136" s="1"/>
  <c r="X84" i="136" s="1"/>
  <c r="X86" i="136" s="1"/>
  <c r="X87" i="136" s="1"/>
  <c r="X76" i="136"/>
  <c r="N81" i="136"/>
  <c r="N83" i="136" s="1"/>
  <c r="N84" i="136" s="1"/>
  <c r="N86" i="136" s="1"/>
  <c r="N87" i="136" s="1"/>
  <c r="N76" i="136"/>
  <c r="AC75" i="136"/>
  <c r="AC39" i="136"/>
  <c r="I76" i="136"/>
  <c r="AD79" i="136"/>
  <c r="AD74" i="136"/>
  <c r="AD62" i="136"/>
  <c r="AD73" i="136"/>
  <c r="AD45" i="136"/>
  <c r="AD42" i="136"/>
  <c r="AD33" i="136"/>
  <c r="AD30" i="136"/>
  <c r="AD26" i="136"/>
  <c r="AD25" i="136"/>
  <c r="AD15" i="136"/>
  <c r="AD23" i="136"/>
  <c r="AD21" i="136"/>
  <c r="AD56" i="136"/>
  <c r="AD46" i="136"/>
  <c r="AD31" i="136"/>
  <c r="AD20" i="136"/>
  <c r="AD65" i="136"/>
  <c r="AD59" i="136"/>
  <c r="AD43" i="136"/>
  <c r="AD28" i="136"/>
  <c r="AD18" i="136"/>
  <c r="AD14" i="136"/>
  <c r="AD24" i="136"/>
  <c r="AD17" i="136"/>
  <c r="AD12" i="136"/>
  <c r="AD9" i="136"/>
  <c r="AD10" i="136"/>
  <c r="AD11" i="136"/>
  <c r="AD19" i="136"/>
  <c r="AD47" i="136"/>
  <c r="AD58" i="136"/>
  <c r="AD77" i="136"/>
  <c r="AD67" i="136"/>
  <c r="AD78" i="136"/>
  <c r="AD48" i="136"/>
  <c r="AD66" i="136"/>
  <c r="AD27" i="136"/>
  <c r="AD60" i="136"/>
  <c r="AD68" i="136"/>
  <c r="AD29" i="136"/>
  <c r="AD32" i="136"/>
  <c r="AD22" i="136"/>
  <c r="AD70" i="136"/>
  <c r="AD61" i="136"/>
  <c r="AD16" i="136"/>
  <c r="AD55" i="136"/>
  <c r="AD71" i="136"/>
  <c r="AD63" i="136"/>
  <c r="AD13" i="136"/>
  <c r="AD44" i="136"/>
  <c r="AD54" i="136"/>
  <c r="AD64" i="136"/>
  <c r="AD57" i="136"/>
  <c r="AD69" i="136"/>
  <c r="E81" i="136"/>
  <c r="E83" i="136" s="1"/>
  <c r="E84" i="136" s="1"/>
  <c r="E86" i="136" s="1"/>
  <c r="E87" i="136" s="1"/>
  <c r="E76" i="136"/>
  <c r="AF75" i="136"/>
  <c r="AF39" i="136"/>
  <c r="F41" i="136"/>
  <c r="AH38" i="136"/>
  <c r="AM5" i="136"/>
  <c r="L81" i="136"/>
  <c r="L83" i="136" s="1"/>
  <c r="L84" i="136" s="1"/>
  <c r="L86" i="136" s="1"/>
  <c r="L87" i="136" s="1"/>
  <c r="L76" i="136"/>
  <c r="G76" i="136"/>
  <c r="G81" i="136"/>
  <c r="G83" i="136" s="1"/>
  <c r="G84" i="136" s="1"/>
  <c r="G86" i="136" s="1"/>
  <c r="G87" i="136" s="1"/>
  <c r="S76" i="136"/>
  <c r="V81" i="136"/>
  <c r="V83" i="136" s="1"/>
  <c r="V84" i="136" s="1"/>
  <c r="V86" i="136" s="1"/>
  <c r="V87" i="136" s="1"/>
  <c r="V76" i="136"/>
  <c r="F50" i="136"/>
  <c r="AC81" i="136" l="1"/>
  <c r="AC83" i="136" s="1"/>
  <c r="AC84" i="136" s="1"/>
  <c r="AC86" i="136" s="1"/>
  <c r="AC87" i="136" s="1"/>
  <c r="AC76" i="136"/>
  <c r="AF81" i="136"/>
  <c r="AF83" i="136" s="1"/>
  <c r="AF84" i="136" s="1"/>
  <c r="AF86" i="136" s="1"/>
  <c r="AF87" i="136" s="1"/>
  <c r="AF76" i="136"/>
  <c r="AH75" i="136"/>
  <c r="AH39" i="136"/>
  <c r="AH76" i="136" l="1"/>
  <c r="W60" i="101" l="1"/>
  <c r="V60" i="101"/>
  <c r="R60" i="101"/>
  <c r="Q60" i="101"/>
  <c r="P60" i="101"/>
  <c r="O60" i="101"/>
  <c r="N60" i="101"/>
  <c r="M60" i="101"/>
  <c r="L60" i="101"/>
  <c r="K60" i="101"/>
  <c r="J60" i="101"/>
  <c r="I60" i="101"/>
  <c r="H60" i="101"/>
  <c r="G60" i="101"/>
  <c r="F60" i="101"/>
  <c r="E60" i="101"/>
  <c r="D60" i="101"/>
  <c r="E35" i="101"/>
  <c r="U60" i="101"/>
  <c r="T60" i="101"/>
  <c r="S61" i="101"/>
  <c r="C61" i="101" s="1"/>
  <c r="P55" i="101"/>
  <c r="O55" i="101"/>
  <c r="N55" i="101"/>
  <c r="M55" i="101"/>
  <c r="L55" i="101"/>
  <c r="K55" i="101"/>
  <c r="J55" i="101"/>
  <c r="I55" i="101"/>
  <c r="H55" i="101"/>
  <c r="G55" i="101"/>
  <c r="F55" i="101"/>
  <c r="E55" i="101"/>
  <c r="D55" i="101"/>
  <c r="D52" i="101"/>
  <c r="E52" i="101"/>
  <c r="F52" i="101"/>
  <c r="G52" i="101"/>
  <c r="H52" i="101"/>
  <c r="I52" i="101"/>
  <c r="J52" i="101"/>
  <c r="K52" i="101"/>
  <c r="L52" i="101"/>
  <c r="M52" i="101"/>
  <c r="N52" i="101"/>
  <c r="P52" i="101"/>
  <c r="Q52" i="101"/>
  <c r="R52" i="101"/>
  <c r="S52" i="101"/>
  <c r="T52" i="101"/>
  <c r="U52" i="101"/>
  <c r="V52" i="101"/>
  <c r="W52" i="101"/>
  <c r="F43" i="101"/>
  <c r="G43" i="101"/>
  <c r="H43" i="101"/>
  <c r="J43" i="101"/>
  <c r="K43" i="101"/>
  <c r="L43" i="101"/>
  <c r="M43" i="101"/>
  <c r="N43" i="101"/>
  <c r="O43" i="101"/>
  <c r="P43" i="101"/>
  <c r="Q43" i="101"/>
  <c r="R43" i="101"/>
  <c r="S43" i="101"/>
  <c r="T43" i="101"/>
  <c r="W43" i="101"/>
  <c r="S60" i="101" l="1"/>
  <c r="R42" i="101"/>
  <c r="L42" i="101"/>
  <c r="F42" i="101"/>
  <c r="K42" i="101"/>
  <c r="N42" i="101"/>
  <c r="M42" i="101"/>
  <c r="Q42" i="101"/>
  <c r="H42" i="101"/>
  <c r="W42" i="101"/>
  <c r="G42" i="101"/>
  <c r="V42" i="101"/>
  <c r="J42" i="101"/>
  <c r="P42" i="101"/>
  <c r="U43" i="101"/>
  <c r="U42" i="101" s="1"/>
  <c r="T42" i="101"/>
  <c r="S58" i="101"/>
  <c r="O54" i="101"/>
  <c r="C54" i="101" s="1"/>
  <c r="C52" i="101" s="1"/>
  <c r="D35" i="101" s="1"/>
  <c r="C58" i="101" l="1"/>
  <c r="C55" i="101" s="1"/>
  <c r="D36" i="101" s="1"/>
  <c r="S55" i="101"/>
  <c r="C60" i="101"/>
  <c r="E34" i="101"/>
  <c r="O52" i="101"/>
  <c r="O42" i="101" s="1"/>
  <c r="E33" i="101" l="1"/>
  <c r="S42" i="101"/>
  <c r="AL6" i="116" l="1"/>
  <c r="AK6" i="116"/>
  <c r="S85" i="116"/>
  <c r="S82" i="116"/>
  <c r="S78" i="116"/>
  <c r="T78" i="116" s="1"/>
  <c r="R77" i="116"/>
  <c r="Q77" i="116"/>
  <c r="S74" i="116"/>
  <c r="S73" i="116"/>
  <c r="R73" i="116"/>
  <c r="Q73" i="116"/>
  <c r="S71" i="116"/>
  <c r="S70" i="116"/>
  <c r="S69" i="116"/>
  <c r="S68" i="116"/>
  <c r="S67" i="116"/>
  <c r="S66" i="116"/>
  <c r="S65" i="116"/>
  <c r="S64" i="116"/>
  <c r="S63" i="116"/>
  <c r="S62" i="116"/>
  <c r="S61" i="116"/>
  <c r="S60" i="116"/>
  <c r="S59" i="116"/>
  <c r="S58" i="116"/>
  <c r="S57" i="116"/>
  <c r="S56" i="116"/>
  <c r="S55" i="116"/>
  <c r="S54" i="116" s="1"/>
  <c r="R54" i="116"/>
  <c r="Q54" i="116"/>
  <c r="S52" i="116"/>
  <c r="S50" i="116" s="1"/>
  <c r="S51" i="116"/>
  <c r="R50" i="116"/>
  <c r="Q50" i="116"/>
  <c r="S48" i="116"/>
  <c r="S47" i="116"/>
  <c r="S46" i="116"/>
  <c r="S45" i="116"/>
  <c r="S44" i="116"/>
  <c r="S43" i="116"/>
  <c r="S42" i="116"/>
  <c r="R41" i="116"/>
  <c r="Q41" i="116"/>
  <c r="S36" i="116"/>
  <c r="S35" i="116"/>
  <c r="S33" i="116"/>
  <c r="S32" i="116"/>
  <c r="S31" i="116"/>
  <c r="S30" i="116"/>
  <c r="S29" i="116"/>
  <c r="S28" i="116"/>
  <c r="S27" i="116"/>
  <c r="S26" i="116"/>
  <c r="S25" i="116"/>
  <c r="S24" i="116"/>
  <c r="S23" i="116"/>
  <c r="S22" i="116"/>
  <c r="S21" i="116"/>
  <c r="S20" i="116"/>
  <c r="S19" i="116"/>
  <c r="S18" i="116"/>
  <c r="S17" i="116"/>
  <c r="S16" i="116"/>
  <c r="S15" i="116"/>
  <c r="S14" i="116"/>
  <c r="S13" i="116"/>
  <c r="S12" i="116"/>
  <c r="S11" i="116"/>
  <c r="S10" i="116"/>
  <c r="S9" i="116"/>
  <c r="R8" i="116"/>
  <c r="Q8" i="116"/>
  <c r="S7" i="116"/>
  <c r="S6" i="116"/>
  <c r="S5" i="116" s="1"/>
  <c r="R5" i="116"/>
  <c r="R38" i="116" s="1"/>
  <c r="Q5" i="116"/>
  <c r="Q38" i="116" s="1"/>
  <c r="Q75" i="116" s="1"/>
  <c r="S41" i="116" l="1"/>
  <c r="S8" i="116"/>
  <c r="Q76" i="116"/>
  <c r="Q81" i="116"/>
  <c r="Q83" i="116" s="1"/>
  <c r="Q84" i="116" s="1"/>
  <c r="Q86" i="116" s="1"/>
  <c r="Q87" i="116" s="1"/>
  <c r="R75" i="116"/>
  <c r="R39" i="116"/>
  <c r="S38" i="116"/>
  <c r="Q39" i="116"/>
  <c r="S39" i="116" l="1"/>
  <c r="S75" i="116"/>
  <c r="R76" i="116"/>
  <c r="R81" i="116"/>
  <c r="R83" i="116" s="1"/>
  <c r="R84" i="116" s="1"/>
  <c r="R86" i="116" s="1"/>
  <c r="R87" i="116" s="1"/>
  <c r="S76" i="116" l="1"/>
  <c r="AM96" i="134" l="1"/>
  <c r="AL85" i="116"/>
  <c r="AK85" i="116"/>
  <c r="AH85" i="116"/>
  <c r="AC85" i="116"/>
  <c r="X85" i="116"/>
  <c r="N85" i="116"/>
  <c r="I85" i="116"/>
  <c r="E85" i="116"/>
  <c r="AL82" i="116"/>
  <c r="AK82" i="116"/>
  <c r="AH82" i="116"/>
  <c r="AC82" i="116"/>
  <c r="X82" i="116"/>
  <c r="N82" i="116"/>
  <c r="I82" i="116"/>
  <c r="E82" i="116"/>
  <c r="AL79" i="116"/>
  <c r="AK79" i="116"/>
  <c r="E79" i="116"/>
  <c r="AL78" i="116"/>
  <c r="AK78" i="116"/>
  <c r="AH78" i="116"/>
  <c r="AC78" i="116"/>
  <c r="X78" i="116"/>
  <c r="N78" i="116"/>
  <c r="I78" i="116"/>
  <c r="E78" i="116"/>
  <c r="AG77" i="116"/>
  <c r="AF77" i="116"/>
  <c r="AB77" i="116"/>
  <c r="AA77" i="116"/>
  <c r="W77" i="116"/>
  <c r="V77" i="116"/>
  <c r="M77" i="116"/>
  <c r="L77" i="116"/>
  <c r="H77" i="116"/>
  <c r="G77" i="116"/>
  <c r="E77" i="116"/>
  <c r="D77" i="116"/>
  <c r="C77" i="116"/>
  <c r="AL74" i="116"/>
  <c r="AL73" i="116" s="1"/>
  <c r="AK74" i="116"/>
  <c r="AH74" i="116"/>
  <c r="AH73" i="116" s="1"/>
  <c r="AC74" i="116"/>
  <c r="X74" i="116"/>
  <c r="X73" i="116" s="1"/>
  <c r="N74" i="116"/>
  <c r="N73" i="116" s="1"/>
  <c r="I74" i="116"/>
  <c r="C74" i="116"/>
  <c r="AG73" i="116"/>
  <c r="AF73" i="116"/>
  <c r="AC73" i="116"/>
  <c r="AB73" i="116"/>
  <c r="AA73" i="116"/>
  <c r="W73" i="116"/>
  <c r="V73" i="116"/>
  <c r="M73" i="116"/>
  <c r="L73" i="116"/>
  <c r="I73" i="116"/>
  <c r="H73" i="116"/>
  <c r="G73" i="116"/>
  <c r="D73" i="116"/>
  <c r="AL71" i="116"/>
  <c r="AK71" i="116"/>
  <c r="AH71" i="116"/>
  <c r="AC71" i="116"/>
  <c r="X71" i="116"/>
  <c r="N71" i="116"/>
  <c r="I71" i="116"/>
  <c r="E71" i="116"/>
  <c r="AL70" i="116"/>
  <c r="AK70" i="116"/>
  <c r="AH70" i="116"/>
  <c r="AC70" i="116"/>
  <c r="X70" i="116"/>
  <c r="N70" i="116"/>
  <c r="I70" i="116"/>
  <c r="E70" i="116"/>
  <c r="AL69" i="116"/>
  <c r="AK69" i="116"/>
  <c r="AH69" i="116"/>
  <c r="AC69" i="116"/>
  <c r="X69" i="116"/>
  <c r="N69" i="116"/>
  <c r="I69" i="116"/>
  <c r="E69" i="116"/>
  <c r="AL68" i="116"/>
  <c r="AK68" i="116"/>
  <c r="AH68" i="116"/>
  <c r="AC68" i="116"/>
  <c r="X68" i="116"/>
  <c r="N68" i="116"/>
  <c r="I68" i="116"/>
  <c r="E68" i="116"/>
  <c r="AL67" i="116"/>
  <c r="AK67" i="116"/>
  <c r="AH67" i="116"/>
  <c r="AC67" i="116"/>
  <c r="X67" i="116"/>
  <c r="N67" i="116"/>
  <c r="I67" i="116"/>
  <c r="E67" i="116"/>
  <c r="AH66" i="116"/>
  <c r="AC66" i="116"/>
  <c r="X66" i="116"/>
  <c r="N66" i="116"/>
  <c r="I66" i="116"/>
  <c r="E66" i="116"/>
  <c r="AL65" i="116"/>
  <c r="AK65" i="116"/>
  <c r="AH65" i="116"/>
  <c r="AC65" i="116"/>
  <c r="X65" i="116"/>
  <c r="N65" i="116"/>
  <c r="I65" i="116"/>
  <c r="E65" i="116"/>
  <c r="AL64" i="116"/>
  <c r="AM64" i="116" s="1"/>
  <c r="AK64" i="116"/>
  <c r="AH64" i="116"/>
  <c r="AC64" i="116"/>
  <c r="X64" i="116"/>
  <c r="N64" i="116"/>
  <c r="I64" i="116"/>
  <c r="E64" i="116"/>
  <c r="AL63" i="116"/>
  <c r="AK63" i="116"/>
  <c r="AH63" i="116"/>
  <c r="AC63" i="116"/>
  <c r="X63" i="116"/>
  <c r="N63" i="116"/>
  <c r="I63" i="116"/>
  <c r="E63" i="116"/>
  <c r="AL62" i="116"/>
  <c r="AK62" i="116"/>
  <c r="AH62" i="116"/>
  <c r="AC62" i="116"/>
  <c r="X62" i="116"/>
  <c r="N62" i="116"/>
  <c r="I62" i="116"/>
  <c r="E62" i="116"/>
  <c r="AL61" i="116"/>
  <c r="AK61" i="116"/>
  <c r="AH61" i="116"/>
  <c r="AC61" i="116"/>
  <c r="X61" i="116"/>
  <c r="N61" i="116"/>
  <c r="I61" i="116"/>
  <c r="E61" i="116"/>
  <c r="AL60" i="116"/>
  <c r="AK60" i="116"/>
  <c r="AH60" i="116"/>
  <c r="AC60" i="116"/>
  <c r="X60" i="116"/>
  <c r="N60" i="116"/>
  <c r="I60" i="116"/>
  <c r="E60" i="116"/>
  <c r="AL59" i="116"/>
  <c r="AK59" i="116"/>
  <c r="AH59" i="116"/>
  <c r="AC59" i="116"/>
  <c r="X59" i="116"/>
  <c r="N59" i="116"/>
  <c r="I59" i="116"/>
  <c r="E59" i="116"/>
  <c r="AL58" i="116"/>
  <c r="AK58" i="116"/>
  <c r="AH58" i="116"/>
  <c r="AC58" i="116"/>
  <c r="X58" i="116"/>
  <c r="N58" i="116"/>
  <c r="I58" i="116"/>
  <c r="E58" i="116"/>
  <c r="AL57" i="116"/>
  <c r="AK57" i="116"/>
  <c r="AH57" i="116"/>
  <c r="AC57" i="116"/>
  <c r="X57" i="116"/>
  <c r="N57" i="116"/>
  <c r="I57" i="116"/>
  <c r="E57" i="116"/>
  <c r="AL56" i="116"/>
  <c r="AK56" i="116"/>
  <c r="AH56" i="116"/>
  <c r="AC56" i="116"/>
  <c r="X56" i="116"/>
  <c r="N56" i="116"/>
  <c r="I56" i="116"/>
  <c r="E56" i="116"/>
  <c r="AL55" i="116"/>
  <c r="AK55" i="116"/>
  <c r="AM55" i="116" s="1"/>
  <c r="AH55" i="116"/>
  <c r="AC55" i="116"/>
  <c r="X55" i="116"/>
  <c r="N55" i="116"/>
  <c r="I55" i="116"/>
  <c r="E55" i="116"/>
  <c r="AG54" i="116"/>
  <c r="AF54" i="116"/>
  <c r="AB54" i="116"/>
  <c r="AA54" i="116"/>
  <c r="W54" i="116"/>
  <c r="V54" i="116"/>
  <c r="M54" i="116"/>
  <c r="L54" i="116"/>
  <c r="H54" i="116"/>
  <c r="G54" i="116"/>
  <c r="E54" i="116"/>
  <c r="D54" i="116"/>
  <c r="C54" i="116"/>
  <c r="AL52" i="116"/>
  <c r="AK52" i="116"/>
  <c r="AH52" i="116"/>
  <c r="AC52" i="116"/>
  <c r="X52" i="116"/>
  <c r="N52" i="116"/>
  <c r="I52" i="116"/>
  <c r="E52" i="116"/>
  <c r="AL51" i="116"/>
  <c r="AK51" i="116"/>
  <c r="AH51" i="116"/>
  <c r="AC51" i="116"/>
  <c r="X51" i="116"/>
  <c r="N51" i="116"/>
  <c r="I51" i="116"/>
  <c r="I50" i="116" s="1"/>
  <c r="E51" i="116"/>
  <c r="E50" i="116" s="1"/>
  <c r="AH50" i="116"/>
  <c r="AG50" i="116"/>
  <c r="AF50" i="116"/>
  <c r="AC50" i="116"/>
  <c r="AB50" i="116"/>
  <c r="AA50" i="116"/>
  <c r="W50" i="116"/>
  <c r="V50" i="116"/>
  <c r="N50" i="116"/>
  <c r="M50" i="116"/>
  <c r="L50" i="116"/>
  <c r="H50" i="116"/>
  <c r="G50" i="116"/>
  <c r="AL48" i="116"/>
  <c r="AK48" i="116"/>
  <c r="AH48" i="116"/>
  <c r="AC48" i="116"/>
  <c r="X48" i="116"/>
  <c r="N48" i="116"/>
  <c r="I48" i="116"/>
  <c r="E48" i="116"/>
  <c r="AL47" i="116"/>
  <c r="AK47" i="116"/>
  <c r="AM47" i="116" s="1"/>
  <c r="AH47" i="116"/>
  <c r="AC47" i="116"/>
  <c r="X47" i="116"/>
  <c r="N47" i="116"/>
  <c r="I47" i="116"/>
  <c r="E47" i="116"/>
  <c r="AL46" i="116"/>
  <c r="AK46" i="116"/>
  <c r="AM46" i="116" s="1"/>
  <c r="AH46" i="116"/>
  <c r="AC46" i="116"/>
  <c r="X46" i="116"/>
  <c r="N46" i="116"/>
  <c r="I46" i="116"/>
  <c r="E46" i="116"/>
  <c r="AL45" i="116"/>
  <c r="AK45" i="116"/>
  <c r="AH45" i="116"/>
  <c r="AC45" i="116"/>
  <c r="X45" i="116"/>
  <c r="N45" i="116"/>
  <c r="I45" i="116"/>
  <c r="E45" i="116"/>
  <c r="AL44" i="116"/>
  <c r="AK44" i="116"/>
  <c r="AH44" i="116"/>
  <c r="AC44" i="116"/>
  <c r="X44" i="116"/>
  <c r="N44" i="116"/>
  <c r="I44" i="116"/>
  <c r="E44" i="116"/>
  <c r="AL43" i="116"/>
  <c r="AK43" i="116"/>
  <c r="AM43" i="116" s="1"/>
  <c r="AH43" i="116"/>
  <c r="AC43" i="116"/>
  <c r="X43" i="116"/>
  <c r="N43" i="116"/>
  <c r="I43" i="116"/>
  <c r="E43" i="116"/>
  <c r="AL42" i="116"/>
  <c r="AK42" i="116"/>
  <c r="AH42" i="116"/>
  <c r="AC42" i="116"/>
  <c r="X42" i="116"/>
  <c r="N42" i="116"/>
  <c r="I42" i="116"/>
  <c r="E42" i="116"/>
  <c r="AL41" i="116"/>
  <c r="AG41" i="116"/>
  <c r="AF41" i="116"/>
  <c r="AB41" i="116"/>
  <c r="AA41" i="116"/>
  <c r="W41" i="116"/>
  <c r="V41" i="116"/>
  <c r="M41" i="116"/>
  <c r="L41" i="116"/>
  <c r="H41" i="116"/>
  <c r="G41" i="116"/>
  <c r="D41" i="116"/>
  <c r="C41" i="116"/>
  <c r="AL36" i="116"/>
  <c r="AL35" i="116" s="1"/>
  <c r="AK36" i="116"/>
  <c r="AK35" i="116" s="1"/>
  <c r="AH36" i="116"/>
  <c r="AC36" i="116"/>
  <c r="AC35" i="116" s="1"/>
  <c r="X36" i="116"/>
  <c r="X35" i="116" s="1"/>
  <c r="N36" i="116"/>
  <c r="N35" i="116" s="1"/>
  <c r="I36" i="116"/>
  <c r="I35" i="116" s="1"/>
  <c r="E36" i="116"/>
  <c r="E35" i="116" s="1"/>
  <c r="AG35" i="116"/>
  <c r="AF35" i="116"/>
  <c r="AB35" i="116"/>
  <c r="AA35" i="116"/>
  <c r="W35" i="116"/>
  <c r="V35" i="116"/>
  <c r="M35" i="116"/>
  <c r="L35" i="116"/>
  <c r="H35" i="116"/>
  <c r="G35" i="116"/>
  <c r="D35" i="116"/>
  <c r="C35" i="116"/>
  <c r="AL33" i="116"/>
  <c r="AK33" i="116"/>
  <c r="AH33" i="116"/>
  <c r="AC33" i="116"/>
  <c r="X33" i="116"/>
  <c r="N33" i="116"/>
  <c r="I33" i="116"/>
  <c r="E33" i="116"/>
  <c r="AL32" i="116"/>
  <c r="AK32" i="116"/>
  <c r="AH32" i="116"/>
  <c r="AC32" i="116"/>
  <c r="X32" i="116"/>
  <c r="N32" i="116"/>
  <c r="I32" i="116"/>
  <c r="E32" i="116"/>
  <c r="AL31" i="116"/>
  <c r="AK31" i="116"/>
  <c r="AH31" i="116"/>
  <c r="AC31" i="116"/>
  <c r="X31" i="116"/>
  <c r="N31" i="116"/>
  <c r="I31" i="116"/>
  <c r="E31" i="116"/>
  <c r="AL30" i="116"/>
  <c r="AK30" i="116"/>
  <c r="AH30" i="116"/>
  <c r="AC30" i="116"/>
  <c r="X30" i="116"/>
  <c r="N30" i="116"/>
  <c r="I30" i="116"/>
  <c r="E30" i="116"/>
  <c r="AL29" i="116"/>
  <c r="AK29" i="116"/>
  <c r="AH29" i="116"/>
  <c r="AC29" i="116"/>
  <c r="X29" i="116"/>
  <c r="N29" i="116"/>
  <c r="I29" i="116"/>
  <c r="E29" i="116"/>
  <c r="AL28" i="116"/>
  <c r="AK28" i="116"/>
  <c r="AH28" i="116"/>
  <c r="AC28" i="116"/>
  <c r="X28" i="116"/>
  <c r="N28" i="116"/>
  <c r="I28" i="116"/>
  <c r="E28" i="116"/>
  <c r="AL27" i="116"/>
  <c r="AK27" i="116"/>
  <c r="AH27" i="116"/>
  <c r="AC27" i="116"/>
  <c r="X27" i="116"/>
  <c r="N27" i="116"/>
  <c r="I27" i="116"/>
  <c r="E27" i="116"/>
  <c r="AL26" i="116"/>
  <c r="AK26" i="116"/>
  <c r="AH26" i="116"/>
  <c r="AC26" i="116"/>
  <c r="X26" i="116"/>
  <c r="N26" i="116"/>
  <c r="I26" i="116"/>
  <c r="E26" i="116"/>
  <c r="AL25" i="116"/>
  <c r="AM25" i="116" s="1"/>
  <c r="AK25" i="116"/>
  <c r="AH25" i="116"/>
  <c r="AC25" i="116"/>
  <c r="X25" i="116"/>
  <c r="N25" i="116"/>
  <c r="I25" i="116"/>
  <c r="E25" i="116"/>
  <c r="AL24" i="116"/>
  <c r="AK24" i="116"/>
  <c r="AH24" i="116"/>
  <c r="AC24" i="116"/>
  <c r="X24" i="116"/>
  <c r="N24" i="116"/>
  <c r="I24" i="116"/>
  <c r="E24" i="116"/>
  <c r="AL23" i="116"/>
  <c r="AK23" i="116"/>
  <c r="AH23" i="116"/>
  <c r="AC23" i="116"/>
  <c r="X23" i="116"/>
  <c r="N23" i="116"/>
  <c r="I23" i="116"/>
  <c r="AL22" i="116"/>
  <c r="AK22" i="116"/>
  <c r="AH22" i="116"/>
  <c r="AC22" i="116"/>
  <c r="X22" i="116"/>
  <c r="N22" i="116"/>
  <c r="I22" i="116"/>
  <c r="AL21" i="116"/>
  <c r="AK21" i="116"/>
  <c r="AH21" i="116"/>
  <c r="AC21" i="116"/>
  <c r="X21" i="116"/>
  <c r="N21" i="116"/>
  <c r="I21" i="116"/>
  <c r="E21" i="116"/>
  <c r="AL20" i="116"/>
  <c r="AK20" i="116"/>
  <c r="AH20" i="116"/>
  <c r="AC20" i="116"/>
  <c r="X20" i="116"/>
  <c r="N20" i="116"/>
  <c r="I20" i="116"/>
  <c r="E20" i="116"/>
  <c r="AL19" i="116"/>
  <c r="AM19" i="116" s="1"/>
  <c r="AK19" i="116"/>
  <c r="AH19" i="116"/>
  <c r="AC19" i="116"/>
  <c r="X19" i="116"/>
  <c r="N19" i="116"/>
  <c r="I19" i="116"/>
  <c r="E19" i="116"/>
  <c r="AL18" i="116"/>
  <c r="AH18" i="116"/>
  <c r="AC18" i="116"/>
  <c r="X18" i="116"/>
  <c r="N18" i="116"/>
  <c r="G18" i="116"/>
  <c r="G8" i="116" s="1"/>
  <c r="E18" i="116"/>
  <c r="AL17" i="116"/>
  <c r="AK17" i="116"/>
  <c r="AH17" i="116"/>
  <c r="AC17" i="116"/>
  <c r="X17" i="116"/>
  <c r="N17" i="116"/>
  <c r="I17" i="116"/>
  <c r="E17" i="116"/>
  <c r="AL16" i="116"/>
  <c r="AK16" i="116"/>
  <c r="AM16" i="116" s="1"/>
  <c r="AH16" i="116"/>
  <c r="AC16" i="116"/>
  <c r="X16" i="116"/>
  <c r="N16" i="116"/>
  <c r="I16" i="116"/>
  <c r="E16" i="116"/>
  <c r="AL15" i="116"/>
  <c r="AK15" i="116"/>
  <c r="AH15" i="116"/>
  <c r="AC15" i="116"/>
  <c r="X15" i="116"/>
  <c r="N15" i="116"/>
  <c r="I15" i="116"/>
  <c r="E15" i="116"/>
  <c r="AL14" i="116"/>
  <c r="AK14" i="116"/>
  <c r="AH14" i="116"/>
  <c r="AC14" i="116"/>
  <c r="X14" i="116"/>
  <c r="N14" i="116"/>
  <c r="I14" i="116"/>
  <c r="E14" i="116"/>
  <c r="AL13" i="116"/>
  <c r="AK13" i="116"/>
  <c r="AH13" i="116"/>
  <c r="AC13" i="116"/>
  <c r="X13" i="116"/>
  <c r="N13" i="116"/>
  <c r="I13" i="116"/>
  <c r="E13" i="116"/>
  <c r="AL12" i="116"/>
  <c r="AK12" i="116"/>
  <c r="AM12" i="116" s="1"/>
  <c r="AH12" i="116"/>
  <c r="AC12" i="116"/>
  <c r="X12" i="116"/>
  <c r="N12" i="116"/>
  <c r="I12" i="116"/>
  <c r="E12" i="116"/>
  <c r="AL11" i="116"/>
  <c r="AK11" i="116"/>
  <c r="AM11" i="116" s="1"/>
  <c r="AH11" i="116"/>
  <c r="AC11" i="116"/>
  <c r="X11" i="116"/>
  <c r="N11" i="116"/>
  <c r="I11" i="116"/>
  <c r="E11" i="116"/>
  <c r="AL10" i="116"/>
  <c r="AK10" i="116"/>
  <c r="AH10" i="116"/>
  <c r="AC10" i="116"/>
  <c r="X10" i="116"/>
  <c r="N10" i="116"/>
  <c r="I10" i="116"/>
  <c r="E10" i="116"/>
  <c r="AL9" i="116"/>
  <c r="AK9" i="116"/>
  <c r="AM9" i="116" s="1"/>
  <c r="AH9" i="116"/>
  <c r="AC9" i="116"/>
  <c r="X9" i="116"/>
  <c r="N9" i="116"/>
  <c r="I9" i="116"/>
  <c r="E9" i="116"/>
  <c r="AG8" i="116"/>
  <c r="AF8" i="116"/>
  <c r="AB8" i="116"/>
  <c r="AC79" i="116" s="1"/>
  <c r="AA8" i="116"/>
  <c r="W8" i="116"/>
  <c r="V8" i="116"/>
  <c r="M8" i="116"/>
  <c r="L8" i="116"/>
  <c r="H8" i="116"/>
  <c r="D8" i="116"/>
  <c r="C8" i="116"/>
  <c r="AL7" i="116"/>
  <c r="AK7" i="116"/>
  <c r="AH7" i="116"/>
  <c r="AC7" i="116"/>
  <c r="X7" i="116"/>
  <c r="N7" i="116"/>
  <c r="I7" i="116"/>
  <c r="E7" i="116"/>
  <c r="AL5" i="116"/>
  <c r="AK5" i="116"/>
  <c r="AH6" i="116"/>
  <c r="AH5" i="116" s="1"/>
  <c r="AC6" i="116"/>
  <c r="X6" i="116"/>
  <c r="X5" i="116" s="1"/>
  <c r="N6" i="116"/>
  <c r="I6" i="116"/>
  <c r="I5" i="116" s="1"/>
  <c r="E6" i="116"/>
  <c r="E5" i="116" s="1"/>
  <c r="AG5" i="116"/>
  <c r="AF5" i="116"/>
  <c r="AC5" i="116"/>
  <c r="AB5" i="116"/>
  <c r="AB38" i="116" s="1"/>
  <c r="AA5" i="116"/>
  <c r="W5" i="116"/>
  <c r="V5" i="116"/>
  <c r="N5" i="116"/>
  <c r="M5" i="116"/>
  <c r="L5" i="116"/>
  <c r="H5" i="116"/>
  <c r="H38" i="116" s="1"/>
  <c r="G5" i="116"/>
  <c r="D5" i="116"/>
  <c r="C5" i="116"/>
  <c r="AM21" i="116" l="1"/>
  <c r="AH54" i="116"/>
  <c r="AK54" i="116"/>
  <c r="W38" i="116"/>
  <c r="N41" i="116"/>
  <c r="AM74" i="116"/>
  <c r="AM73" i="116" s="1"/>
  <c r="AC41" i="116"/>
  <c r="AM28" i="116"/>
  <c r="AM32" i="116"/>
  <c r="AM33" i="116"/>
  <c r="AH41" i="116"/>
  <c r="X54" i="116"/>
  <c r="AM15" i="116"/>
  <c r="AM82" i="116"/>
  <c r="AM20" i="116"/>
  <c r="AM23" i="116"/>
  <c r="AM52" i="116"/>
  <c r="AM56" i="116"/>
  <c r="AM59" i="116"/>
  <c r="AM68" i="116"/>
  <c r="AM60" i="116"/>
  <c r="AK77" i="116"/>
  <c r="AC8" i="116"/>
  <c r="AC38" i="116" s="1"/>
  <c r="AL50" i="116"/>
  <c r="E41" i="116"/>
  <c r="I54" i="116"/>
  <c r="AM57" i="116"/>
  <c r="AM61" i="116"/>
  <c r="AM65" i="116"/>
  <c r="AM69" i="116"/>
  <c r="G38" i="116"/>
  <c r="G75" i="116" s="1"/>
  <c r="AM42" i="116"/>
  <c r="AK41" i="116"/>
  <c r="AH77" i="116"/>
  <c r="X41" i="116"/>
  <c r="D38" i="116"/>
  <c r="M38" i="116"/>
  <c r="M39" i="116" s="1"/>
  <c r="AM27" i="116"/>
  <c r="AM31" i="116"/>
  <c r="AM7" i="116"/>
  <c r="X8" i="116"/>
  <c r="X38" i="116" s="1"/>
  <c r="AM13" i="116"/>
  <c r="AM17" i="116"/>
  <c r="AM24" i="116"/>
  <c r="AM29" i="116"/>
  <c r="I41" i="116"/>
  <c r="AM44" i="116"/>
  <c r="AM48" i="116"/>
  <c r="AM58" i="116"/>
  <c r="AM62" i="116"/>
  <c r="AM66" i="116"/>
  <c r="AM70" i="116"/>
  <c r="AA38" i="116"/>
  <c r="AG38" i="116"/>
  <c r="AG75" i="116" s="1"/>
  <c r="AM10" i="116"/>
  <c r="AM14" i="116"/>
  <c r="AM26" i="116"/>
  <c r="AM30" i="116"/>
  <c r="AM36" i="116"/>
  <c r="AM35" i="116" s="1"/>
  <c r="AM45" i="116"/>
  <c r="AM51" i="116"/>
  <c r="AM63" i="116"/>
  <c r="AM67" i="116"/>
  <c r="AM71" i="116"/>
  <c r="AM85" i="116"/>
  <c r="AG39" i="116"/>
  <c r="N38" i="116"/>
  <c r="D75" i="116"/>
  <c r="D39" i="116"/>
  <c r="AB75" i="116"/>
  <c r="AB39" i="116"/>
  <c r="N8" i="116"/>
  <c r="AH8" i="116"/>
  <c r="G81" i="116"/>
  <c r="G83" i="116" s="1"/>
  <c r="G84" i="116" s="1"/>
  <c r="G86" i="116" s="1"/>
  <c r="G87" i="116" s="1"/>
  <c r="G76" i="116"/>
  <c r="H75" i="116"/>
  <c r="H39" i="116"/>
  <c r="W75" i="116"/>
  <c r="W39" i="116"/>
  <c r="E8" i="116"/>
  <c r="AA75" i="116"/>
  <c r="AA39" i="116"/>
  <c r="G39" i="116"/>
  <c r="AM6" i="116"/>
  <c r="AM5" i="116" s="1"/>
  <c r="C38" i="116"/>
  <c r="L38" i="116"/>
  <c r="V38" i="116"/>
  <c r="AF38" i="116"/>
  <c r="N54" i="116"/>
  <c r="AM50" i="116"/>
  <c r="AM22" i="116"/>
  <c r="E74" i="116"/>
  <c r="E73" i="116" s="1"/>
  <c r="C73" i="116"/>
  <c r="AK18" i="116"/>
  <c r="AM18" i="116" s="1"/>
  <c r="I18" i="116"/>
  <c r="I8" i="116" s="1"/>
  <c r="I38" i="116" s="1"/>
  <c r="AL8" i="116"/>
  <c r="AL38" i="116" s="1"/>
  <c r="AC54" i="116"/>
  <c r="AH35" i="116"/>
  <c r="X50" i="116"/>
  <c r="AL54" i="116"/>
  <c r="AK50" i="116"/>
  <c r="AL77" i="116"/>
  <c r="AM78" i="116"/>
  <c r="AK73" i="116"/>
  <c r="M75" i="116" l="1"/>
  <c r="AM41" i="116"/>
  <c r="AM54" i="116"/>
  <c r="AL75" i="116"/>
  <c r="AL39" i="116"/>
  <c r="I75" i="116"/>
  <c r="I39" i="116"/>
  <c r="AB76" i="116"/>
  <c r="AB81" i="116"/>
  <c r="AB83" i="116" s="1"/>
  <c r="AB84" i="116" s="1"/>
  <c r="AB86" i="116" s="1"/>
  <c r="AB87" i="116" s="1"/>
  <c r="AF75" i="116"/>
  <c r="AF39" i="116"/>
  <c r="W81" i="116"/>
  <c r="W83" i="116" s="1"/>
  <c r="W84" i="116" s="1"/>
  <c r="W86" i="116" s="1"/>
  <c r="W87" i="116" s="1"/>
  <c r="W76" i="116"/>
  <c r="N39" i="116"/>
  <c r="N75" i="116"/>
  <c r="X75" i="116"/>
  <c r="X39" i="116"/>
  <c r="M81" i="116"/>
  <c r="M83" i="116" s="1"/>
  <c r="M84" i="116" s="1"/>
  <c r="M86" i="116" s="1"/>
  <c r="M87" i="116" s="1"/>
  <c r="M76" i="116"/>
  <c r="AH89" i="116"/>
  <c r="AI35" i="116" s="1"/>
  <c r="D81" i="116"/>
  <c r="D83" i="116" s="1"/>
  <c r="D84" i="116" s="1"/>
  <c r="D86" i="116" s="1"/>
  <c r="D87" i="116" s="1"/>
  <c r="D76" i="116"/>
  <c r="L75" i="116"/>
  <c r="L39" i="116"/>
  <c r="E89" i="116"/>
  <c r="F73" i="116" s="1"/>
  <c r="F8" i="116"/>
  <c r="AA81" i="116"/>
  <c r="AA83" i="116" s="1"/>
  <c r="AA84" i="116" s="1"/>
  <c r="AA86" i="116" s="1"/>
  <c r="AA87" i="116" s="1"/>
  <c r="AA76" i="116"/>
  <c r="C75" i="116"/>
  <c r="C39" i="116"/>
  <c r="H76" i="116"/>
  <c r="H81" i="116"/>
  <c r="H83" i="116" s="1"/>
  <c r="H84" i="116" s="1"/>
  <c r="H86" i="116" s="1"/>
  <c r="H87" i="116" s="1"/>
  <c r="AH38" i="116"/>
  <c r="AG81" i="116"/>
  <c r="AG83" i="116" s="1"/>
  <c r="AG84" i="116" s="1"/>
  <c r="AG86" i="116" s="1"/>
  <c r="AG87" i="116" s="1"/>
  <c r="AG76" i="116"/>
  <c r="V75" i="116"/>
  <c r="V39" i="116"/>
  <c r="AM8" i="116"/>
  <c r="AM38" i="116" s="1"/>
  <c r="AC75" i="116"/>
  <c r="AC39" i="116"/>
  <c r="AK8" i="116"/>
  <c r="AK38" i="116" s="1"/>
  <c r="E38" i="116"/>
  <c r="AI8" i="116" l="1"/>
  <c r="AM75" i="116"/>
  <c r="AM39" i="116"/>
  <c r="E75" i="116"/>
  <c r="E39" i="116"/>
  <c r="C76" i="116"/>
  <c r="C81" i="116"/>
  <c r="C83" i="116" s="1"/>
  <c r="C84" i="116" s="1"/>
  <c r="C86" i="116" s="1"/>
  <c r="C87" i="116" s="1"/>
  <c r="X76" i="116"/>
  <c r="AC76" i="116"/>
  <c r="AI73" i="116"/>
  <c r="AI71" i="116"/>
  <c r="AI70" i="116"/>
  <c r="AI69" i="116"/>
  <c r="AI68" i="116"/>
  <c r="AI67" i="116"/>
  <c r="AI66" i="116"/>
  <c r="AI65" i="116"/>
  <c r="AI64" i="116"/>
  <c r="AI63" i="116"/>
  <c r="AI62" i="116"/>
  <c r="AI61" i="116"/>
  <c r="AI60" i="116"/>
  <c r="AI59" i="116"/>
  <c r="AI58" i="116"/>
  <c r="AI57" i="116"/>
  <c r="AI56" i="116"/>
  <c r="AI55" i="116"/>
  <c r="AI74" i="116"/>
  <c r="AI19" i="116"/>
  <c r="AI17" i="116"/>
  <c r="AI15" i="116"/>
  <c r="AI13" i="116"/>
  <c r="AI11" i="116"/>
  <c r="AI52" i="116"/>
  <c r="AI51" i="116"/>
  <c r="AI48" i="116"/>
  <c r="AI47" i="116"/>
  <c r="AI46" i="116"/>
  <c r="AI45" i="116"/>
  <c r="AI44" i="116"/>
  <c r="AI43" i="116"/>
  <c r="AI42" i="116"/>
  <c r="AI41" i="116"/>
  <c r="AI18" i="116"/>
  <c r="AI12" i="116"/>
  <c r="AI16" i="116"/>
  <c r="AI14" i="116"/>
  <c r="AI10" i="116"/>
  <c r="AI79" i="116"/>
  <c r="AI28" i="116"/>
  <c r="AI22" i="116"/>
  <c r="AI23" i="116"/>
  <c r="AI29" i="116"/>
  <c r="AI36" i="116"/>
  <c r="AI32" i="116"/>
  <c r="AI27" i="116"/>
  <c r="AI50" i="116"/>
  <c r="AI20" i="116"/>
  <c r="AI24" i="116"/>
  <c r="AI25" i="116"/>
  <c r="AI30" i="116"/>
  <c r="AI31" i="116"/>
  <c r="AI54" i="116"/>
  <c r="AI26" i="116"/>
  <c r="AI21" i="116"/>
  <c r="AI33" i="116"/>
  <c r="AI9" i="116"/>
  <c r="I76" i="116"/>
  <c r="L76" i="116"/>
  <c r="L81" i="116"/>
  <c r="L83" i="116" s="1"/>
  <c r="L84" i="116" s="1"/>
  <c r="L86" i="116" s="1"/>
  <c r="L87" i="116" s="1"/>
  <c r="AK75" i="116"/>
  <c r="AK39" i="116"/>
  <c r="F72" i="116"/>
  <c r="F71" i="116"/>
  <c r="F70" i="116"/>
  <c r="F69" i="116"/>
  <c r="F68" i="116"/>
  <c r="F67" i="116"/>
  <c r="F66" i="116"/>
  <c r="F65" i="116"/>
  <c r="F64" i="116"/>
  <c r="F63" i="116"/>
  <c r="F62" i="116"/>
  <c r="F61" i="116"/>
  <c r="F60" i="116"/>
  <c r="F59" i="116"/>
  <c r="F58" i="116"/>
  <c r="F57" i="116"/>
  <c r="F56" i="116"/>
  <c r="F85" i="116"/>
  <c r="F35" i="116"/>
  <c r="F20" i="116"/>
  <c r="F9" i="116"/>
  <c r="F52" i="116"/>
  <c r="F51" i="116"/>
  <c r="F27" i="116"/>
  <c r="F12" i="116"/>
  <c r="F36" i="116"/>
  <c r="F29" i="116"/>
  <c r="F25" i="116"/>
  <c r="F50" i="116"/>
  <c r="F82" i="116"/>
  <c r="F42" i="116"/>
  <c r="F30" i="116"/>
  <c r="F54" i="116"/>
  <c r="F55" i="116"/>
  <c r="F44" i="116"/>
  <c r="F15" i="116"/>
  <c r="F46" i="116"/>
  <c r="F10" i="116"/>
  <c r="F33" i="116"/>
  <c r="F18" i="116"/>
  <c r="F48" i="116"/>
  <c r="F28" i="116"/>
  <c r="F32" i="116"/>
  <c r="F79" i="116"/>
  <c r="F45" i="116"/>
  <c r="F11" i="116"/>
  <c r="F24" i="116"/>
  <c r="F19" i="116"/>
  <c r="F31" i="116"/>
  <c r="F14" i="116"/>
  <c r="F13" i="116"/>
  <c r="F26" i="116"/>
  <c r="F47" i="116"/>
  <c r="F21" i="116"/>
  <c r="F17" i="116"/>
  <c r="F16" i="116"/>
  <c r="F41" i="116"/>
  <c r="F43" i="116"/>
  <c r="N76" i="116"/>
  <c r="AF76" i="116"/>
  <c r="AF81" i="116"/>
  <c r="AF83" i="116" s="1"/>
  <c r="AF84" i="116" s="1"/>
  <c r="AF86" i="116" s="1"/>
  <c r="AF87" i="116" s="1"/>
  <c r="V76" i="116"/>
  <c r="V81" i="116"/>
  <c r="V83" i="116" s="1"/>
  <c r="V84" i="116" s="1"/>
  <c r="V86" i="116" s="1"/>
  <c r="V87" i="116" s="1"/>
  <c r="AH75" i="116"/>
  <c r="AH39" i="116"/>
  <c r="AL76" i="116"/>
  <c r="AL81" i="116"/>
  <c r="AL83" i="116" s="1"/>
  <c r="AL84" i="116" s="1"/>
  <c r="AL86" i="116" s="1"/>
  <c r="AL87" i="116" s="1"/>
  <c r="AH81" i="116" l="1"/>
  <c r="AH83" i="116" s="1"/>
  <c r="AH84" i="116" s="1"/>
  <c r="AH86" i="116" s="1"/>
  <c r="AH87" i="116" s="1"/>
  <c r="AH76" i="116"/>
  <c r="E81" i="116"/>
  <c r="E83" i="116" s="1"/>
  <c r="E84" i="116" s="1"/>
  <c r="E86" i="116" s="1"/>
  <c r="E87" i="116" s="1"/>
  <c r="E76" i="116"/>
  <c r="AK81" i="116"/>
  <c r="AK83" i="116" s="1"/>
  <c r="AK84" i="116" s="1"/>
  <c r="AK86" i="116" s="1"/>
  <c r="AK87" i="116" s="1"/>
  <c r="AK76" i="116"/>
  <c r="AM76" i="116"/>
  <c r="M15" i="101" l="1"/>
  <c r="CG79" i="82" s="1"/>
  <c r="M16" i="101"/>
  <c r="CJ79" i="82" s="1"/>
  <c r="M17" i="101"/>
  <c r="CO79" i="82" s="1"/>
  <c r="I15" i="101"/>
  <c r="I16" i="101"/>
  <c r="I17" i="101"/>
  <c r="E15" i="101"/>
  <c r="E16" i="101"/>
  <c r="E17" i="101"/>
  <c r="CQ79" i="82" l="1"/>
  <c r="CO77" i="82"/>
  <c r="CO81" i="82"/>
  <c r="CO83" i="82" s="1"/>
  <c r="CO84" i="82" s="1"/>
  <c r="CO86" i="82" s="1"/>
  <c r="CO87" i="82" s="1"/>
  <c r="CL79" i="82"/>
  <c r="CJ77" i="82"/>
  <c r="CJ81" i="82"/>
  <c r="CJ83" i="82" s="1"/>
  <c r="CJ84" i="82" s="1"/>
  <c r="CJ86" i="82" s="1"/>
  <c r="CJ87" i="82" s="1"/>
  <c r="BP79" i="124"/>
  <c r="CE79" i="100"/>
  <c r="BA79" i="129"/>
  <c r="AV79" i="129"/>
  <c r="BK79" i="121"/>
  <c r="BF79" i="124"/>
  <c r="BZ79" i="100"/>
  <c r="BF79" i="122"/>
  <c r="BU79" i="100"/>
  <c r="CE79" i="82"/>
  <c r="CG77" i="82"/>
  <c r="CG89" i="82"/>
  <c r="CG91" i="82" s="1"/>
  <c r="CG81" i="82"/>
  <c r="CG83" i="82" s="1"/>
  <c r="CG84" i="82" s="1"/>
  <c r="CG86" i="82" s="1"/>
  <c r="X79" i="116"/>
  <c r="AN79" i="114"/>
  <c r="AS79" i="114"/>
  <c r="S79" i="136"/>
  <c r="S79" i="116"/>
  <c r="AI79" i="114"/>
  <c r="I79" i="136"/>
  <c r="N79" i="116"/>
  <c r="I79" i="116"/>
  <c r="CG93" i="82" l="1"/>
  <c r="BM79" i="121"/>
  <c r="BK77" i="121"/>
  <c r="BK81" i="121"/>
  <c r="BK83" i="121" s="1"/>
  <c r="BK84" i="121" s="1"/>
  <c r="BK86" i="121" s="1"/>
  <c r="BK87" i="121" s="1"/>
  <c r="CE77" i="82"/>
  <c r="CE81" i="82"/>
  <c r="CE83" i="82" s="1"/>
  <c r="CE84" i="82" s="1"/>
  <c r="CE86" i="82" s="1"/>
  <c r="CE87" i="82" s="1"/>
  <c r="AX79" i="129"/>
  <c r="AV77" i="129"/>
  <c r="AV81" i="129"/>
  <c r="AV83" i="129" s="1"/>
  <c r="AV84" i="129" s="1"/>
  <c r="AV86" i="129" s="1"/>
  <c r="AV87" i="129" s="1"/>
  <c r="BU79" i="125"/>
  <c r="AB79" i="129"/>
  <c r="CL77" i="82"/>
  <c r="CL89" i="82"/>
  <c r="CL91" i="82" s="1"/>
  <c r="CL81" i="82"/>
  <c r="CL83" i="82" s="1"/>
  <c r="CL84" i="82" s="1"/>
  <c r="CL86" i="82" s="1"/>
  <c r="CL87" i="82" s="1"/>
  <c r="BH79" i="124"/>
  <c r="BF77" i="124"/>
  <c r="BF81" i="124"/>
  <c r="BF83" i="124" s="1"/>
  <c r="BF84" i="124" s="1"/>
  <c r="BF86" i="124" s="1"/>
  <c r="BF87" i="124" s="1"/>
  <c r="BW79" i="100"/>
  <c r="BU77" i="100"/>
  <c r="BU81" i="100"/>
  <c r="BU83" i="100" s="1"/>
  <c r="BU84" i="100" s="1"/>
  <c r="BU86" i="100" s="1"/>
  <c r="BU87" i="100" s="1"/>
  <c r="BC79" i="129"/>
  <c r="BA77" i="129"/>
  <c r="BA81" i="129"/>
  <c r="BA83" i="129" s="1"/>
  <c r="BA84" i="129" s="1"/>
  <c r="BA86" i="129" s="1"/>
  <c r="BA87" i="129" s="1"/>
  <c r="BZ79" i="125"/>
  <c r="BH79" i="122"/>
  <c r="BF77" i="122"/>
  <c r="BF81" i="122"/>
  <c r="BF83" i="122" s="1"/>
  <c r="BF84" i="122" s="1"/>
  <c r="BF86" i="122" s="1"/>
  <c r="BF87" i="122" s="1"/>
  <c r="CE79" i="125"/>
  <c r="CG79" i="100"/>
  <c r="CE77" i="100"/>
  <c r="CE81" i="100"/>
  <c r="CE83" i="100" s="1"/>
  <c r="CE84" i="100" s="1"/>
  <c r="CE86" i="100" s="1"/>
  <c r="CE87" i="100" s="1"/>
  <c r="CG87" i="82"/>
  <c r="CB79" i="100"/>
  <c r="BZ77" i="100"/>
  <c r="BZ81" i="100"/>
  <c r="BZ83" i="100" s="1"/>
  <c r="BZ84" i="100" s="1"/>
  <c r="BZ86" i="100" s="1"/>
  <c r="BZ87" i="100" s="1"/>
  <c r="BP77" i="124"/>
  <c r="BR79" i="124"/>
  <c r="BP81" i="124"/>
  <c r="BP83" i="124" s="1"/>
  <c r="BP84" i="124" s="1"/>
  <c r="BP86" i="124" s="1"/>
  <c r="BP87" i="124" s="1"/>
  <c r="CQ77" i="82"/>
  <c r="CQ89" i="82"/>
  <c r="CQ91" i="82" s="1"/>
  <c r="CQ81" i="82"/>
  <c r="CQ83" i="82" s="1"/>
  <c r="CQ84" i="82" s="1"/>
  <c r="CQ86" i="82" s="1"/>
  <c r="CQ87" i="82" s="1"/>
  <c r="S77" i="136"/>
  <c r="S89" i="136"/>
  <c r="T79" i="136" s="1"/>
  <c r="S81" i="136"/>
  <c r="S83" i="136" s="1"/>
  <c r="S84" i="136" s="1"/>
  <c r="S86" i="136" s="1"/>
  <c r="S87" i="136" s="1"/>
  <c r="AS89" i="114"/>
  <c r="AS77" i="114"/>
  <c r="AS81" i="114"/>
  <c r="AS83" i="114" s="1"/>
  <c r="AS84" i="114" s="1"/>
  <c r="AS86" i="114" s="1"/>
  <c r="AS87" i="114" s="1"/>
  <c r="AN89" i="114"/>
  <c r="AN77" i="114"/>
  <c r="AN81" i="114"/>
  <c r="AN83" i="114" s="1"/>
  <c r="AN84" i="114" s="1"/>
  <c r="AN86" i="114" s="1"/>
  <c r="AN87" i="114" s="1"/>
  <c r="X77" i="116"/>
  <c r="X89" i="116"/>
  <c r="X81" i="116"/>
  <c r="X83" i="116" s="1"/>
  <c r="X84" i="116" s="1"/>
  <c r="X86" i="116" s="1"/>
  <c r="X87" i="116" s="1"/>
  <c r="AI77" i="114"/>
  <c r="AI89" i="114"/>
  <c r="AI81" i="114"/>
  <c r="AI83" i="114" s="1"/>
  <c r="AI84" i="114" s="1"/>
  <c r="AI86" i="114" s="1"/>
  <c r="AI87" i="114" s="1"/>
  <c r="AH79" i="136"/>
  <c r="I77" i="136"/>
  <c r="I89" i="136"/>
  <c r="J79" i="136" s="1"/>
  <c r="I81" i="136"/>
  <c r="I83" i="136" s="1"/>
  <c r="I84" i="136" s="1"/>
  <c r="I86" i="136" s="1"/>
  <c r="I87" i="136" s="1"/>
  <c r="S89" i="116"/>
  <c r="S77" i="116"/>
  <c r="S81" i="116"/>
  <c r="S83" i="116" s="1"/>
  <c r="S84" i="116" s="1"/>
  <c r="S86" i="116" s="1"/>
  <c r="S87" i="116" s="1"/>
  <c r="N77" i="116"/>
  <c r="N89" i="116"/>
  <c r="O79" i="116" s="1"/>
  <c r="N81" i="116"/>
  <c r="N83" i="116" s="1"/>
  <c r="N84" i="116" s="1"/>
  <c r="N86" i="116" s="1"/>
  <c r="N87" i="116" s="1"/>
  <c r="I77" i="116"/>
  <c r="I89" i="116"/>
  <c r="I81" i="116"/>
  <c r="I83" i="116" s="1"/>
  <c r="I84" i="116" s="1"/>
  <c r="I86" i="116" s="1"/>
  <c r="I87" i="116" s="1"/>
  <c r="BH77" i="122" l="1"/>
  <c r="BH89" i="122"/>
  <c r="BH91" i="122" s="1"/>
  <c r="BH81" i="122"/>
  <c r="BH83" i="122" s="1"/>
  <c r="BH84" i="122" s="1"/>
  <c r="BH86" i="122" s="1"/>
  <c r="BH87" i="122" s="1"/>
  <c r="AX77" i="129"/>
  <c r="AX89" i="129"/>
  <c r="AX81" i="129"/>
  <c r="AX83" i="129" s="1"/>
  <c r="AX84" i="129" s="1"/>
  <c r="AX86" i="129" s="1"/>
  <c r="AX87" i="129" s="1"/>
  <c r="BW77" i="100"/>
  <c r="BW89" i="100"/>
  <c r="BW91" i="100" s="1"/>
  <c r="BW81" i="100"/>
  <c r="BW83" i="100" s="1"/>
  <c r="BW84" i="100" s="1"/>
  <c r="BW86" i="100" s="1"/>
  <c r="BW87" i="100" s="1"/>
  <c r="CG77" i="100"/>
  <c r="CG89" i="100"/>
  <c r="CG91" i="100" s="1"/>
  <c r="CG81" i="100"/>
  <c r="CG83" i="100" s="1"/>
  <c r="CG84" i="100" s="1"/>
  <c r="CG86" i="100" s="1"/>
  <c r="CG87" i="100" s="1"/>
  <c r="AD79" i="129"/>
  <c r="AB77" i="129"/>
  <c r="AB81" i="129"/>
  <c r="AB83" i="129" s="1"/>
  <c r="AB84" i="129" s="1"/>
  <c r="AB86" i="129" s="1"/>
  <c r="AB87" i="129" s="1"/>
  <c r="CB79" i="125"/>
  <c r="BZ77" i="125"/>
  <c r="BZ81" i="125"/>
  <c r="BZ83" i="125" s="1"/>
  <c r="BZ84" i="125" s="1"/>
  <c r="BZ86" i="125" s="1"/>
  <c r="BZ87" i="125" s="1"/>
  <c r="CB77" i="100"/>
  <c r="CB89" i="100"/>
  <c r="CB91" i="100" s="1"/>
  <c r="CB81" i="100"/>
  <c r="CB83" i="100" s="1"/>
  <c r="CB84" i="100" s="1"/>
  <c r="CB86" i="100" s="1"/>
  <c r="CB87" i="100" s="1"/>
  <c r="CG79" i="125"/>
  <c r="CE77" i="125"/>
  <c r="CE81" i="125"/>
  <c r="CE83" i="125" s="1"/>
  <c r="CE84" i="125" s="1"/>
  <c r="CE86" i="125" s="1"/>
  <c r="CE87" i="125" s="1"/>
  <c r="BU77" i="125"/>
  <c r="BW79" i="125"/>
  <c r="BU81" i="125"/>
  <c r="BU83" i="125" s="1"/>
  <c r="BU84" i="125" s="1"/>
  <c r="BU86" i="125" s="1"/>
  <c r="BU87" i="125" s="1"/>
  <c r="BC77" i="129"/>
  <c r="BC89" i="129"/>
  <c r="BC91" i="129" s="1"/>
  <c r="BC81" i="129"/>
  <c r="BC83" i="129" s="1"/>
  <c r="BC84" i="129" s="1"/>
  <c r="BC86" i="129" s="1"/>
  <c r="BC87" i="129" s="1"/>
  <c r="BH77" i="124"/>
  <c r="BH89" i="124"/>
  <c r="BH91" i="124" s="1"/>
  <c r="BH81" i="124"/>
  <c r="BH83" i="124" s="1"/>
  <c r="BH84" i="124" s="1"/>
  <c r="BH86" i="124" s="1"/>
  <c r="BH87" i="124" s="1"/>
  <c r="BR77" i="124"/>
  <c r="BR89" i="124"/>
  <c r="BR91" i="124" s="1"/>
  <c r="BR81" i="124"/>
  <c r="BR83" i="124" s="1"/>
  <c r="BR84" i="124" s="1"/>
  <c r="BR86" i="124" s="1"/>
  <c r="BR87" i="124" s="1"/>
  <c r="BM77" i="121"/>
  <c r="BM89" i="121"/>
  <c r="BM91" i="121" s="1"/>
  <c r="BM81" i="121"/>
  <c r="BM83" i="121" s="1"/>
  <c r="BM84" i="121" s="1"/>
  <c r="BM86" i="121" s="1"/>
  <c r="BM87" i="121" s="1"/>
  <c r="BS37" i="114"/>
  <c r="BS78" i="114"/>
  <c r="BN37" i="114"/>
  <c r="BN78" i="114"/>
  <c r="BD78" i="114"/>
  <c r="BI37" i="114"/>
  <c r="BI78" i="114"/>
  <c r="Y79" i="116"/>
  <c r="X93" i="116"/>
  <c r="T77" i="136"/>
  <c r="AT77" i="114"/>
  <c r="AJ50" i="114"/>
  <c r="AJ8" i="114"/>
  <c r="AJ64" i="114"/>
  <c r="AJ66" i="114"/>
  <c r="AJ78" i="114"/>
  <c r="AJ69" i="114"/>
  <c r="AJ48" i="114"/>
  <c r="AJ17" i="114"/>
  <c r="AJ28" i="114"/>
  <c r="AJ19" i="114"/>
  <c r="AJ22" i="114"/>
  <c r="AJ33" i="114"/>
  <c r="AJ62" i="114"/>
  <c r="AJ68" i="114"/>
  <c r="AJ56" i="114"/>
  <c r="AJ41" i="114"/>
  <c r="AJ60" i="114"/>
  <c r="AJ9" i="114"/>
  <c r="AJ29" i="114"/>
  <c r="AJ23" i="114"/>
  <c r="AJ18" i="114"/>
  <c r="AJ70" i="114"/>
  <c r="AJ36" i="114"/>
  <c r="AJ58" i="114"/>
  <c r="AJ46" i="114"/>
  <c r="AJ13" i="114"/>
  <c r="AJ16" i="114"/>
  <c r="AJ20" i="114"/>
  <c r="AJ44" i="114"/>
  <c r="AJ73" i="114"/>
  <c r="AJ25" i="114"/>
  <c r="AJ74" i="114"/>
  <c r="AJ71" i="114"/>
  <c r="AJ11" i="114"/>
  <c r="AJ31" i="114"/>
  <c r="AJ14" i="114"/>
  <c r="AJ65" i="114"/>
  <c r="AJ57" i="114"/>
  <c r="AJ30" i="114"/>
  <c r="AJ10" i="114"/>
  <c r="AJ52" i="114"/>
  <c r="AJ47" i="114"/>
  <c r="AJ45" i="114"/>
  <c r="AJ24" i="114"/>
  <c r="AJ21" i="114"/>
  <c r="AJ67" i="114"/>
  <c r="AJ54" i="114"/>
  <c r="AJ35" i="114"/>
  <c r="AJ61" i="114"/>
  <c r="AJ32" i="114"/>
  <c r="AJ43" i="114"/>
  <c r="AJ63" i="114"/>
  <c r="AJ26" i="114"/>
  <c r="AJ51" i="114"/>
  <c r="AJ27" i="114"/>
  <c r="AJ12" i="114"/>
  <c r="AJ59" i="114"/>
  <c r="AJ15" i="114"/>
  <c r="AJ55" i="114"/>
  <c r="AJ42" i="114"/>
  <c r="AH77" i="136"/>
  <c r="AH89" i="136"/>
  <c r="AH81" i="136"/>
  <c r="AH83" i="136" s="1"/>
  <c r="AH84" i="136" s="1"/>
  <c r="AH86" i="136" s="1"/>
  <c r="AJ77" i="114"/>
  <c r="AO77" i="114"/>
  <c r="T74" i="136"/>
  <c r="T24" i="136"/>
  <c r="T48" i="136"/>
  <c r="T15" i="136"/>
  <c r="T29" i="136"/>
  <c r="T25" i="136"/>
  <c r="T73" i="136"/>
  <c r="T62" i="136"/>
  <c r="T68" i="136"/>
  <c r="T50" i="136"/>
  <c r="T43" i="136"/>
  <c r="T19" i="136"/>
  <c r="T60" i="136"/>
  <c r="T63" i="136"/>
  <c r="T9" i="136"/>
  <c r="T70" i="136"/>
  <c r="T56" i="136"/>
  <c r="T55" i="136"/>
  <c r="T64" i="136"/>
  <c r="T54" i="136"/>
  <c r="T31" i="136"/>
  <c r="T27" i="136"/>
  <c r="T16" i="136"/>
  <c r="T45" i="136"/>
  <c r="T23" i="136"/>
  <c r="T46" i="136"/>
  <c r="T57" i="136"/>
  <c r="T44" i="136"/>
  <c r="T13" i="136"/>
  <c r="T12" i="136"/>
  <c r="T66" i="136"/>
  <c r="T42" i="136"/>
  <c r="T17" i="136"/>
  <c r="T65" i="136"/>
  <c r="T52" i="136"/>
  <c r="T67" i="136"/>
  <c r="T18" i="136"/>
  <c r="T47" i="136"/>
  <c r="T26" i="136"/>
  <c r="T28" i="136"/>
  <c r="T14" i="136"/>
  <c r="T22" i="136"/>
  <c r="T32" i="136"/>
  <c r="T8" i="136"/>
  <c r="T35" i="136"/>
  <c r="T33" i="136"/>
  <c r="T58" i="136"/>
  <c r="T20" i="136"/>
  <c r="T36" i="136"/>
  <c r="T11" i="136"/>
  <c r="T21" i="136"/>
  <c r="T10" i="136"/>
  <c r="T30" i="136"/>
  <c r="T51" i="136"/>
  <c r="T71" i="136"/>
  <c r="T59" i="136"/>
  <c r="T61" i="136"/>
  <c r="T69" i="136"/>
  <c r="T41" i="136"/>
  <c r="AO79" i="114"/>
  <c r="AO26" i="114"/>
  <c r="AO74" i="114"/>
  <c r="AO69" i="114"/>
  <c r="AO70" i="114"/>
  <c r="AO46" i="114"/>
  <c r="AO16" i="114"/>
  <c r="AO9" i="114"/>
  <c r="AO42" i="114"/>
  <c r="AO12" i="114"/>
  <c r="AO20" i="114"/>
  <c r="AO52" i="114"/>
  <c r="AO43" i="114"/>
  <c r="AO71" i="114"/>
  <c r="AO67" i="114"/>
  <c r="AO48" i="114"/>
  <c r="AO78" i="114"/>
  <c r="AO57" i="114"/>
  <c r="AO25" i="114"/>
  <c r="AO28" i="114"/>
  <c r="AO19" i="114"/>
  <c r="AO23" i="114"/>
  <c r="AO50" i="114"/>
  <c r="AO18" i="114"/>
  <c r="AO65" i="114"/>
  <c r="AO58" i="114"/>
  <c r="AO61" i="114"/>
  <c r="AO55" i="114"/>
  <c r="AO17" i="114"/>
  <c r="AO32" i="114"/>
  <c r="AO73" i="114"/>
  <c r="AO35" i="114"/>
  <c r="AO15" i="114"/>
  <c r="AO22" i="114"/>
  <c r="AO62" i="114"/>
  <c r="AO56" i="114"/>
  <c r="AO54" i="114"/>
  <c r="AO24" i="114"/>
  <c r="AO66" i="114"/>
  <c r="AO45" i="114"/>
  <c r="AO41" i="114"/>
  <c r="AO33" i="114"/>
  <c r="AO11" i="114"/>
  <c r="AO10" i="114"/>
  <c r="AO8" i="114"/>
  <c r="AO21" i="114"/>
  <c r="AO44" i="114"/>
  <c r="AO36" i="114"/>
  <c r="AO63" i="114"/>
  <c r="AO13" i="114"/>
  <c r="AT78" i="114"/>
  <c r="AO47" i="114"/>
  <c r="AO31" i="114"/>
  <c r="AO68" i="114"/>
  <c r="AO59" i="114"/>
  <c r="AO29" i="114"/>
  <c r="AO14" i="114"/>
  <c r="AY78" i="114"/>
  <c r="AO64" i="114"/>
  <c r="AO27" i="114"/>
  <c r="AO30" i="114"/>
  <c r="AO60" i="114"/>
  <c r="AO51" i="114"/>
  <c r="Y59" i="116"/>
  <c r="Y70" i="116"/>
  <c r="Y56" i="116"/>
  <c r="Y33" i="116"/>
  <c r="Y8" i="116"/>
  <c r="Y20" i="116"/>
  <c r="Y45" i="116"/>
  <c r="Y13" i="116"/>
  <c r="Y18" i="116"/>
  <c r="Y46" i="116"/>
  <c r="Y74" i="116"/>
  <c r="Y67" i="116"/>
  <c r="Y30" i="116"/>
  <c r="Y17" i="116"/>
  <c r="Y25" i="116"/>
  <c r="Y50" i="116"/>
  <c r="Y68" i="116"/>
  <c r="Y62" i="116"/>
  <c r="Y48" i="116"/>
  <c r="Y63" i="116"/>
  <c r="Y60" i="116"/>
  <c r="Y29" i="116"/>
  <c r="Y42" i="116"/>
  <c r="Y10" i="116"/>
  <c r="Y47" i="116"/>
  <c r="Y69" i="116"/>
  <c r="Y71" i="116"/>
  <c r="Y64" i="116"/>
  <c r="Y31" i="116"/>
  <c r="Y27" i="116"/>
  <c r="Y41" i="116"/>
  <c r="Y43" i="116"/>
  <c r="Y44" i="116"/>
  <c r="Y15" i="116"/>
  <c r="Y36" i="116"/>
  <c r="Y14" i="116"/>
  <c r="Y61" i="116"/>
  <c r="Y73" i="116"/>
  <c r="Y58" i="116"/>
  <c r="Y26" i="116"/>
  <c r="Y24" i="116"/>
  <c r="Y16" i="116"/>
  <c r="Y52" i="116"/>
  <c r="Y23" i="116"/>
  <c r="Y19" i="116"/>
  <c r="Y22" i="116"/>
  <c r="Y57" i="116"/>
  <c r="Y54" i="116"/>
  <c r="Y21" i="116"/>
  <c r="Y11" i="116"/>
  <c r="Y35" i="116"/>
  <c r="Y66" i="116"/>
  <c r="Y32" i="116"/>
  <c r="Y55" i="116"/>
  <c r="Y12" i="116"/>
  <c r="Y65" i="116"/>
  <c r="Y28" i="116"/>
  <c r="Y51" i="116"/>
  <c r="Y9" i="116"/>
  <c r="AT79" i="114"/>
  <c r="AT63" i="114"/>
  <c r="AT55" i="114"/>
  <c r="AT56" i="114"/>
  <c r="AT54" i="114"/>
  <c r="AT68" i="114"/>
  <c r="AT18" i="114"/>
  <c r="AT46" i="114"/>
  <c r="AT36" i="114"/>
  <c r="AT10" i="114"/>
  <c r="AT50" i="114"/>
  <c r="AT8" i="114"/>
  <c r="AT33" i="114"/>
  <c r="AT65" i="114"/>
  <c r="AT45" i="114"/>
  <c r="AT61" i="114"/>
  <c r="AT19" i="114"/>
  <c r="AT52" i="114"/>
  <c r="AT12" i="114"/>
  <c r="AT17" i="114"/>
  <c r="AT25" i="114"/>
  <c r="AT69" i="114"/>
  <c r="AT59" i="114"/>
  <c r="AT60" i="114"/>
  <c r="AT64" i="114"/>
  <c r="AT30" i="114"/>
  <c r="AT9" i="114"/>
  <c r="AT35" i="114"/>
  <c r="AT24" i="114"/>
  <c r="AT73" i="114"/>
  <c r="AT31" i="114"/>
  <c r="AT42" i="114"/>
  <c r="AT48" i="114"/>
  <c r="AT51" i="114"/>
  <c r="AT28" i="114"/>
  <c r="AT13" i="114"/>
  <c r="AT41" i="114"/>
  <c r="AT57" i="114"/>
  <c r="AT47" i="114"/>
  <c r="AT16" i="114"/>
  <c r="AT26" i="114"/>
  <c r="AT32" i="114"/>
  <c r="AT74" i="114"/>
  <c r="AT22" i="114"/>
  <c r="AT15" i="114"/>
  <c r="AT14" i="114"/>
  <c r="AT67" i="114"/>
  <c r="AT11" i="114"/>
  <c r="AT58" i="114"/>
  <c r="AT44" i="114"/>
  <c r="AT62" i="114"/>
  <c r="AT21" i="114"/>
  <c r="AT20" i="114"/>
  <c r="AT23" i="114"/>
  <c r="AT71" i="114"/>
  <c r="AT29" i="114"/>
  <c r="AT70" i="114"/>
  <c r="AT43" i="114"/>
  <c r="AT66" i="114"/>
  <c r="AT27" i="114"/>
  <c r="J37" i="136"/>
  <c r="J22" i="136"/>
  <c r="J12" i="136"/>
  <c r="J51" i="136"/>
  <c r="J16" i="136"/>
  <c r="J63" i="136"/>
  <c r="J56" i="136"/>
  <c r="J8" i="136"/>
  <c r="J66" i="136"/>
  <c r="J15" i="136"/>
  <c r="J14" i="136"/>
  <c r="J43" i="136"/>
  <c r="J35" i="136"/>
  <c r="J45" i="136"/>
  <c r="J33" i="136"/>
  <c r="J24" i="136"/>
  <c r="J46" i="136"/>
  <c r="J57" i="136"/>
  <c r="J78" i="136"/>
  <c r="J55" i="136"/>
  <c r="J70" i="136"/>
  <c r="J32" i="136"/>
  <c r="J67" i="136"/>
  <c r="J9" i="136"/>
  <c r="J48" i="136"/>
  <c r="J18" i="136"/>
  <c r="J69" i="136"/>
  <c r="J59" i="136"/>
  <c r="J64" i="136"/>
  <c r="J34" i="136"/>
  <c r="J42" i="136"/>
  <c r="J60" i="136"/>
  <c r="J61" i="136"/>
  <c r="J30" i="136"/>
  <c r="J11" i="136"/>
  <c r="J36" i="136"/>
  <c r="J41" i="136"/>
  <c r="J47" i="136"/>
  <c r="J26" i="136"/>
  <c r="J17" i="136"/>
  <c r="J20" i="136"/>
  <c r="J10" i="136"/>
  <c r="J21" i="136"/>
  <c r="J52" i="136"/>
  <c r="J29" i="136"/>
  <c r="J13" i="136"/>
  <c r="J31" i="136"/>
  <c r="J44" i="136"/>
  <c r="J25" i="136"/>
  <c r="J50" i="136"/>
  <c r="J74" i="136"/>
  <c r="J19" i="136"/>
  <c r="J68" i="136"/>
  <c r="J58" i="136"/>
  <c r="J62" i="136"/>
  <c r="J28" i="136"/>
  <c r="J54" i="136"/>
  <c r="J27" i="136"/>
  <c r="J23" i="136"/>
  <c r="J71" i="136"/>
  <c r="J65" i="136"/>
  <c r="T77" i="116"/>
  <c r="T25" i="116"/>
  <c r="T30" i="116"/>
  <c r="T20" i="116"/>
  <c r="T59" i="116"/>
  <c r="T35" i="116"/>
  <c r="T23" i="116"/>
  <c r="T73" i="116"/>
  <c r="T67" i="116"/>
  <c r="T47" i="116"/>
  <c r="T54" i="116"/>
  <c r="T29" i="116"/>
  <c r="T43" i="116"/>
  <c r="T44" i="116"/>
  <c r="T33" i="116"/>
  <c r="T61" i="116"/>
  <c r="T36" i="116"/>
  <c r="T52" i="116"/>
  <c r="T57" i="116"/>
  <c r="T16" i="116"/>
  <c r="T63" i="116"/>
  <c r="T22" i="116"/>
  <c r="T56" i="116"/>
  <c r="T55" i="116"/>
  <c r="T8" i="116"/>
  <c r="T71" i="116"/>
  <c r="T32" i="116"/>
  <c r="T28" i="116"/>
  <c r="T11" i="116"/>
  <c r="T68" i="116"/>
  <c r="T26" i="116"/>
  <c r="T13" i="116"/>
  <c r="T51" i="116"/>
  <c r="T19" i="116"/>
  <c r="T60" i="116"/>
  <c r="T65" i="116"/>
  <c r="T9" i="116"/>
  <c r="T18" i="116"/>
  <c r="T45" i="116"/>
  <c r="T15" i="116"/>
  <c r="T58" i="116"/>
  <c r="T69" i="116"/>
  <c r="T62" i="116"/>
  <c r="T70" i="116"/>
  <c r="T12" i="116"/>
  <c r="T46" i="116"/>
  <c r="T42" i="116"/>
  <c r="T24" i="116"/>
  <c r="T17" i="116"/>
  <c r="T27" i="116"/>
  <c r="T66" i="116"/>
  <c r="T50" i="116"/>
  <c r="T74" i="116"/>
  <c r="T14" i="116"/>
  <c r="T48" i="116"/>
  <c r="T41" i="116"/>
  <c r="T64" i="116"/>
  <c r="T21" i="116"/>
  <c r="T10" i="116"/>
  <c r="T31" i="116"/>
  <c r="T79" i="116"/>
  <c r="O54" i="116"/>
  <c r="O74" i="116"/>
  <c r="O65" i="116"/>
  <c r="O15" i="116"/>
  <c r="O16" i="116"/>
  <c r="O20" i="116"/>
  <c r="O24" i="116"/>
  <c r="O59" i="116"/>
  <c r="O36" i="116"/>
  <c r="O43" i="116"/>
  <c r="O27" i="116"/>
  <c r="O60" i="116"/>
  <c r="O63" i="116"/>
  <c r="O50" i="116"/>
  <c r="O35" i="116"/>
  <c r="O23" i="116"/>
  <c r="O73" i="116"/>
  <c r="O70" i="116"/>
  <c r="O13" i="116"/>
  <c r="O14" i="116"/>
  <c r="O9" i="116"/>
  <c r="O42" i="116"/>
  <c r="O61" i="116"/>
  <c r="O46" i="116"/>
  <c r="O64" i="116"/>
  <c r="O52" i="116"/>
  <c r="O33" i="116"/>
  <c r="O41" i="116"/>
  <c r="O30" i="116"/>
  <c r="O19" i="116"/>
  <c r="O67" i="116"/>
  <c r="O12" i="116"/>
  <c r="O48" i="116"/>
  <c r="O22" i="116"/>
  <c r="O29" i="116"/>
  <c r="O51" i="116"/>
  <c r="O25" i="116"/>
  <c r="O17" i="116"/>
  <c r="O31" i="116"/>
  <c r="O62" i="116"/>
  <c r="O10" i="116"/>
  <c r="O66" i="116"/>
  <c r="O45" i="116"/>
  <c r="O26" i="116"/>
  <c r="O21" i="116"/>
  <c r="O55" i="116"/>
  <c r="O28" i="116"/>
  <c r="O57" i="116"/>
  <c r="O8" i="116"/>
  <c r="O69" i="116"/>
  <c r="O47" i="116"/>
  <c r="O58" i="116"/>
  <c r="O71" i="116"/>
  <c r="O18" i="116"/>
  <c r="O44" i="116"/>
  <c r="O68" i="116"/>
  <c r="O56" i="116"/>
  <c r="O32" i="116"/>
  <c r="O11" i="116"/>
  <c r="J8" i="116"/>
  <c r="J63" i="116"/>
  <c r="J71" i="116"/>
  <c r="J70" i="116"/>
  <c r="J49" i="116"/>
  <c r="J23" i="116"/>
  <c r="J21" i="116"/>
  <c r="J47" i="116"/>
  <c r="J33" i="116"/>
  <c r="J51" i="116"/>
  <c r="J42" i="116"/>
  <c r="J17" i="116"/>
  <c r="J55" i="116"/>
  <c r="J11" i="116"/>
  <c r="J18" i="116"/>
  <c r="J72" i="116"/>
  <c r="J61" i="116"/>
  <c r="J68" i="116"/>
  <c r="J62" i="116"/>
  <c r="J64" i="116"/>
  <c r="J19" i="116"/>
  <c r="J36" i="116"/>
  <c r="J41" i="116"/>
  <c r="J22" i="116"/>
  <c r="J10" i="116"/>
  <c r="J45" i="116"/>
  <c r="J24" i="116"/>
  <c r="J46" i="116"/>
  <c r="J31" i="116"/>
  <c r="J66" i="116"/>
  <c r="J56" i="116"/>
  <c r="J67" i="116"/>
  <c r="J43" i="116"/>
  <c r="J20" i="116"/>
  <c r="J28" i="116"/>
  <c r="J48" i="116"/>
  <c r="J59" i="116"/>
  <c r="J30" i="116"/>
  <c r="J13" i="116"/>
  <c r="J29" i="116"/>
  <c r="J54" i="116"/>
  <c r="J25" i="116"/>
  <c r="J52" i="116"/>
  <c r="J69" i="116"/>
  <c r="J14" i="116"/>
  <c r="J15" i="116"/>
  <c r="J58" i="116"/>
  <c r="J16" i="116"/>
  <c r="J32" i="116"/>
  <c r="J57" i="116"/>
  <c r="J9" i="116"/>
  <c r="J44" i="116"/>
  <c r="J27" i="116"/>
  <c r="J65" i="116"/>
  <c r="J60" i="116"/>
  <c r="J26" i="116"/>
  <c r="J12" i="116"/>
  <c r="AX91" i="129" l="1"/>
  <c r="BW94" i="125"/>
  <c r="CG77" i="125"/>
  <c r="CG89" i="125"/>
  <c r="CG91" i="125" s="1"/>
  <c r="CG81" i="125"/>
  <c r="CG83" i="125" s="1"/>
  <c r="CG84" i="125" s="1"/>
  <c r="CG86" i="125" s="1"/>
  <c r="CG87" i="125" s="1"/>
  <c r="CB77" i="125"/>
  <c r="CB89" i="125"/>
  <c r="CB91" i="125" s="1"/>
  <c r="CB81" i="125"/>
  <c r="CB83" i="125" s="1"/>
  <c r="CB84" i="125" s="1"/>
  <c r="CB86" i="125" s="1"/>
  <c r="CB87" i="125" s="1"/>
  <c r="BW77" i="125"/>
  <c r="BW89" i="125"/>
  <c r="BW81" i="125"/>
  <c r="BW83" i="125" s="1"/>
  <c r="BW84" i="125" s="1"/>
  <c r="BW86" i="125" s="1"/>
  <c r="BW87" i="125" s="1"/>
  <c r="AD77" i="129"/>
  <c r="AD89" i="129"/>
  <c r="AD81" i="129"/>
  <c r="AD83" i="129" s="1"/>
  <c r="AD84" i="129" s="1"/>
  <c r="AD86" i="129" s="1"/>
  <c r="AD87" i="129" s="1"/>
  <c r="AM93" i="134"/>
  <c r="AM99" i="134" s="1"/>
  <c r="AH93" i="136"/>
  <c r="AH87" i="136"/>
  <c r="AH102" i="136"/>
  <c r="AI8" i="136"/>
  <c r="AI41" i="136"/>
  <c r="AI30" i="136"/>
  <c r="AI64" i="136"/>
  <c r="AI58" i="136"/>
  <c r="AI69" i="136"/>
  <c r="AI71" i="136"/>
  <c r="AI48" i="136"/>
  <c r="AI65" i="136"/>
  <c r="AI57" i="136"/>
  <c r="AI29" i="136"/>
  <c r="AI15" i="136"/>
  <c r="AI66" i="136"/>
  <c r="AI59" i="136"/>
  <c r="AI36" i="136"/>
  <c r="AI35" i="136" s="1"/>
  <c r="AI10" i="136"/>
  <c r="AI67" i="136"/>
  <c r="AI42" i="136"/>
  <c r="AI49" i="136"/>
  <c r="AI33" i="136"/>
  <c r="AI14" i="136"/>
  <c r="AI18" i="136"/>
  <c r="AI27" i="136"/>
  <c r="AI31" i="136"/>
  <c r="AI11" i="136"/>
  <c r="AI25" i="136"/>
  <c r="AI16" i="136"/>
  <c r="AI45" i="136"/>
  <c r="AI55" i="136"/>
  <c r="AI61" i="136"/>
  <c r="AI62" i="136"/>
  <c r="AI32" i="136"/>
  <c r="AI74" i="136"/>
  <c r="AI9" i="136"/>
  <c r="AI72" i="136"/>
  <c r="AI17" i="136"/>
  <c r="AI23" i="136"/>
  <c r="AI44" i="136"/>
  <c r="AI51" i="136"/>
  <c r="AI46" i="136"/>
  <c r="AI56" i="136"/>
  <c r="AI60" i="136"/>
  <c r="AI70" i="136"/>
  <c r="AI24" i="136"/>
  <c r="AI43" i="136"/>
  <c r="AI47" i="136"/>
  <c r="AI54" i="136"/>
  <c r="AI52" i="136"/>
  <c r="AI21" i="136"/>
  <c r="AI28" i="136"/>
  <c r="AI20" i="136"/>
  <c r="AI63" i="136"/>
  <c r="AI12" i="136"/>
  <c r="AI19" i="136"/>
  <c r="AI13" i="136"/>
  <c r="AI68" i="136"/>
  <c r="AI22" i="136"/>
  <c r="AI26" i="136"/>
  <c r="AH90" i="136"/>
  <c r="BW91" i="125" l="1"/>
  <c r="AD91" i="129"/>
  <c r="AD94" i="129" s="1"/>
  <c r="BJ100" i="115" l="1"/>
  <c r="BL100" i="115" s="1"/>
  <c r="BL96" i="115"/>
  <c r="BK85" i="115"/>
  <c r="BJ85" i="115"/>
  <c r="BL85" i="115" s="1"/>
  <c r="BG85" i="115"/>
  <c r="BB85" i="115"/>
  <c r="AW85" i="115"/>
  <c r="AR85" i="115"/>
  <c r="AM85" i="115"/>
  <c r="AH85" i="115"/>
  <c r="AC85" i="115"/>
  <c r="X85" i="115"/>
  <c r="S85" i="115"/>
  <c r="I85" i="115"/>
  <c r="E85" i="115"/>
  <c r="BL82" i="115"/>
  <c r="BK82" i="115"/>
  <c r="BJ82" i="115"/>
  <c r="BG82" i="115"/>
  <c r="BB82" i="115"/>
  <c r="AW82" i="115"/>
  <c r="AR82" i="115"/>
  <c r="AM82" i="115"/>
  <c r="AH82" i="115"/>
  <c r="AC82" i="115"/>
  <c r="X82" i="115"/>
  <c r="S82" i="115"/>
  <c r="I82" i="115"/>
  <c r="BO82" i="115" s="1"/>
  <c r="E82" i="115"/>
  <c r="BK79" i="115"/>
  <c r="BK77" i="115" s="1"/>
  <c r="BJ79" i="115"/>
  <c r="X79" i="115"/>
  <c r="BL79" i="115" s="1"/>
  <c r="E79" i="115"/>
  <c r="BK78" i="115"/>
  <c r="BJ78" i="115"/>
  <c r="BL78" i="115" s="1"/>
  <c r="BL77" i="115" s="1"/>
  <c r="BG78" i="115"/>
  <c r="BB78" i="115"/>
  <c r="AW78" i="115"/>
  <c r="AR78" i="115"/>
  <c r="AR77" i="115" s="1"/>
  <c r="AM78" i="115"/>
  <c r="AM77" i="115" s="1"/>
  <c r="AH78" i="115"/>
  <c r="AH77" i="115" s="1"/>
  <c r="AC78" i="115"/>
  <c r="X78" i="115"/>
  <c r="S78" i="115"/>
  <c r="S77" i="115" s="1"/>
  <c r="I78" i="115"/>
  <c r="E78" i="115"/>
  <c r="BG77" i="115"/>
  <c r="BF77" i="115"/>
  <c r="BE77" i="115"/>
  <c r="BB77" i="115"/>
  <c r="BA77" i="115"/>
  <c r="AZ77" i="115"/>
  <c r="AW77" i="115"/>
  <c r="AV77" i="115"/>
  <c r="AU77" i="115"/>
  <c r="AQ77" i="115"/>
  <c r="AP77" i="115"/>
  <c r="AL77" i="115"/>
  <c r="AK77" i="115"/>
  <c r="AG77" i="115"/>
  <c r="AF77" i="115"/>
  <c r="AC77" i="115"/>
  <c r="AB77" i="115"/>
  <c r="AA77" i="115"/>
  <c r="X77" i="115"/>
  <c r="W77" i="115"/>
  <c r="V77" i="115"/>
  <c r="R77" i="115"/>
  <c r="Q77" i="115"/>
  <c r="H77" i="115"/>
  <c r="G77" i="115"/>
  <c r="E77" i="115"/>
  <c r="D77" i="115"/>
  <c r="C77" i="115"/>
  <c r="BK74" i="115"/>
  <c r="BK73" i="115" s="1"/>
  <c r="BJ74" i="115"/>
  <c r="BG74" i="115"/>
  <c r="BB74" i="115"/>
  <c r="BB73" i="115" s="1"/>
  <c r="AW74" i="115"/>
  <c r="AR74" i="115"/>
  <c r="AR73" i="115" s="1"/>
  <c r="AM74" i="115"/>
  <c r="AM73" i="115" s="1"/>
  <c r="AH74" i="115"/>
  <c r="AH73" i="115" s="1"/>
  <c r="AC74" i="115"/>
  <c r="AC73" i="115" s="1"/>
  <c r="X74" i="115"/>
  <c r="S74" i="115"/>
  <c r="I74" i="115"/>
  <c r="C74" i="115"/>
  <c r="C73" i="115" s="1"/>
  <c r="BG73" i="115"/>
  <c r="BF73" i="115"/>
  <c r="BE73" i="115"/>
  <c r="BA73" i="115"/>
  <c r="AZ73" i="115"/>
  <c r="AW73" i="115"/>
  <c r="AV73" i="115"/>
  <c r="AU73" i="115"/>
  <c r="AQ73" i="115"/>
  <c r="AP73" i="115"/>
  <c r="AL73" i="115"/>
  <c r="AK73" i="115"/>
  <c r="AG73" i="115"/>
  <c r="AF73" i="115"/>
  <c r="AB73" i="115"/>
  <c r="AA73" i="115"/>
  <c r="X73" i="115"/>
  <c r="W73" i="115"/>
  <c r="V73" i="115"/>
  <c r="S73" i="115"/>
  <c r="R73" i="115"/>
  <c r="Q73" i="115"/>
  <c r="I73" i="115"/>
  <c r="H73" i="115"/>
  <c r="G73" i="115"/>
  <c r="D73" i="115"/>
  <c r="BO72" i="115"/>
  <c r="BK71" i="115"/>
  <c r="BJ71" i="115"/>
  <c r="BG71" i="115"/>
  <c r="BB71" i="115"/>
  <c r="AW71" i="115"/>
  <c r="AR71" i="115"/>
  <c r="AM71" i="115"/>
  <c r="AH71" i="115"/>
  <c r="AC71" i="115"/>
  <c r="X71" i="115"/>
  <c r="S71" i="115"/>
  <c r="N71" i="115"/>
  <c r="I71" i="115"/>
  <c r="E71" i="115"/>
  <c r="BK70" i="115"/>
  <c r="BJ70" i="115"/>
  <c r="BL70" i="115" s="1"/>
  <c r="BG70" i="115"/>
  <c r="BB70" i="115"/>
  <c r="AW70" i="115"/>
  <c r="AR70" i="115"/>
  <c r="AM70" i="115"/>
  <c r="AH70" i="115"/>
  <c r="AC70" i="115"/>
  <c r="X70" i="115"/>
  <c r="S70" i="115"/>
  <c r="N70" i="115"/>
  <c r="I70" i="115"/>
  <c r="E70" i="115"/>
  <c r="BK69" i="115"/>
  <c r="BJ69" i="115"/>
  <c r="BG69" i="115"/>
  <c r="BB69" i="115"/>
  <c r="AW69" i="115"/>
  <c r="AR69" i="115"/>
  <c r="AM69" i="115"/>
  <c r="AH69" i="115"/>
  <c r="AC69" i="115"/>
  <c r="X69" i="115"/>
  <c r="S69" i="115"/>
  <c r="N69" i="115"/>
  <c r="I69" i="115"/>
  <c r="E69" i="115"/>
  <c r="BK68" i="115"/>
  <c r="BJ68" i="115"/>
  <c r="BG68" i="115"/>
  <c r="BB68" i="115"/>
  <c r="AW68" i="115"/>
  <c r="AR68" i="115"/>
  <c r="AM68" i="115"/>
  <c r="AH68" i="115"/>
  <c r="AC68" i="115"/>
  <c r="X68" i="115"/>
  <c r="S68" i="115"/>
  <c r="N68" i="115"/>
  <c r="I68" i="115"/>
  <c r="E68" i="115"/>
  <c r="BK67" i="115"/>
  <c r="BJ67" i="115"/>
  <c r="BL67" i="115" s="1"/>
  <c r="BG67" i="115"/>
  <c r="BB67" i="115"/>
  <c r="AW67" i="115"/>
  <c r="AR67" i="115"/>
  <c r="AM67" i="115"/>
  <c r="AH67" i="115"/>
  <c r="AC67" i="115"/>
  <c r="X67" i="115"/>
  <c r="S67" i="115"/>
  <c r="N67" i="115"/>
  <c r="I67" i="115"/>
  <c r="E67" i="115"/>
  <c r="BK66" i="115"/>
  <c r="BJ66" i="115"/>
  <c r="BG66" i="115"/>
  <c r="BB66" i="115"/>
  <c r="AW66" i="115"/>
  <c r="AR66" i="115"/>
  <c r="AM66" i="115"/>
  <c r="AH66" i="115"/>
  <c r="AC66" i="115"/>
  <c r="X66" i="115"/>
  <c r="S66" i="115"/>
  <c r="N66" i="115"/>
  <c r="I66" i="115"/>
  <c r="E66" i="115"/>
  <c r="BK65" i="115"/>
  <c r="BG65" i="115"/>
  <c r="BB65" i="115"/>
  <c r="AW65" i="115"/>
  <c r="AR65" i="115"/>
  <c r="AM65" i="115"/>
  <c r="AH65" i="115"/>
  <c r="AC65" i="115"/>
  <c r="X65" i="115"/>
  <c r="Q65" i="115"/>
  <c r="Q54" i="115" s="1"/>
  <c r="N65" i="115"/>
  <c r="I65" i="115"/>
  <c r="E65" i="115"/>
  <c r="BK64" i="115"/>
  <c r="BJ64" i="115"/>
  <c r="BG64" i="115"/>
  <c r="BB64" i="115"/>
  <c r="AW64" i="115"/>
  <c r="AR64" i="115"/>
  <c r="AM64" i="115"/>
  <c r="AH64" i="115"/>
  <c r="AC64" i="115"/>
  <c r="X64" i="115"/>
  <c r="S64" i="115"/>
  <c r="N64" i="115"/>
  <c r="I64" i="115"/>
  <c r="E64" i="115"/>
  <c r="BK63" i="115"/>
  <c r="BJ63" i="115"/>
  <c r="BL63" i="115" s="1"/>
  <c r="BR63" i="115" s="1"/>
  <c r="BG63" i="115"/>
  <c r="BB63" i="115"/>
  <c r="AW63" i="115"/>
  <c r="AR63" i="115"/>
  <c r="AM63" i="115"/>
  <c r="AH63" i="115"/>
  <c r="AC63" i="115"/>
  <c r="X63" i="115"/>
  <c r="S63" i="115"/>
  <c r="N63" i="115"/>
  <c r="I63" i="115"/>
  <c r="E63" i="115"/>
  <c r="BK62" i="115"/>
  <c r="BJ62" i="115"/>
  <c r="BG62" i="115"/>
  <c r="BB62" i="115"/>
  <c r="AW62" i="115"/>
  <c r="AR62" i="115"/>
  <c r="AM62" i="115"/>
  <c r="AH62" i="115"/>
  <c r="AC62" i="115"/>
  <c r="X62" i="115"/>
  <c r="S62" i="115"/>
  <c r="N62" i="115"/>
  <c r="I62" i="115"/>
  <c r="E62" i="115"/>
  <c r="BK61" i="115"/>
  <c r="BJ61" i="115"/>
  <c r="BG61" i="115"/>
  <c r="BB61" i="115"/>
  <c r="AW61" i="115"/>
  <c r="AR61" i="115"/>
  <c r="AM61" i="115"/>
  <c r="AH61" i="115"/>
  <c r="AC61" i="115"/>
  <c r="X61" i="115"/>
  <c r="S61" i="115"/>
  <c r="N61" i="115"/>
  <c r="I61" i="115"/>
  <c r="E61" i="115"/>
  <c r="BK60" i="115"/>
  <c r="BJ60" i="115"/>
  <c r="BG60" i="115"/>
  <c r="BB60" i="115"/>
  <c r="AW60" i="115"/>
  <c r="AR60" i="115"/>
  <c r="AM60" i="115"/>
  <c r="AH60" i="115"/>
  <c r="AC60" i="115"/>
  <c r="X60" i="115"/>
  <c r="S60" i="115"/>
  <c r="N60" i="115"/>
  <c r="I60" i="115"/>
  <c r="E60" i="115"/>
  <c r="BK59" i="115"/>
  <c r="BJ59" i="115"/>
  <c r="BL59" i="115" s="1"/>
  <c r="BR59" i="115" s="1"/>
  <c r="BG59" i="115"/>
  <c r="BB59" i="115"/>
  <c r="AW59" i="115"/>
  <c r="AR59" i="115"/>
  <c r="AM59" i="115"/>
  <c r="AH59" i="115"/>
  <c r="AC59" i="115"/>
  <c r="X59" i="115"/>
  <c r="S59" i="115"/>
  <c r="N59" i="115"/>
  <c r="I59" i="115"/>
  <c r="E59" i="115"/>
  <c r="BK58" i="115"/>
  <c r="BL58" i="115" s="1"/>
  <c r="BJ58" i="115"/>
  <c r="BG58" i="115"/>
  <c r="BB58" i="115"/>
  <c r="AW58" i="115"/>
  <c r="AR58" i="115"/>
  <c r="AM58" i="115"/>
  <c r="AH58" i="115"/>
  <c r="AC58" i="115"/>
  <c r="X58" i="115"/>
  <c r="S58" i="115"/>
  <c r="N58" i="115"/>
  <c r="I58" i="115"/>
  <c r="E58" i="115"/>
  <c r="BK57" i="115"/>
  <c r="BJ57" i="115"/>
  <c r="BL57" i="115" s="1"/>
  <c r="BG57" i="115"/>
  <c r="BB57" i="115"/>
  <c r="AW57" i="115"/>
  <c r="AR57" i="115"/>
  <c r="AM57" i="115"/>
  <c r="AH57" i="115"/>
  <c r="AC57" i="115"/>
  <c r="X57" i="115"/>
  <c r="S57" i="115"/>
  <c r="N57" i="115"/>
  <c r="I57" i="115"/>
  <c r="E57" i="115"/>
  <c r="BK56" i="115"/>
  <c r="BJ56" i="115"/>
  <c r="BG56" i="115"/>
  <c r="BB56" i="115"/>
  <c r="AW56" i="115"/>
  <c r="AR56" i="115"/>
  <c r="AM56" i="115"/>
  <c r="AH56" i="115"/>
  <c r="AC56" i="115"/>
  <c r="X56" i="115"/>
  <c r="S56" i="115"/>
  <c r="N56" i="115"/>
  <c r="I56" i="115"/>
  <c r="E56" i="115"/>
  <c r="BK55" i="115"/>
  <c r="BJ55" i="115"/>
  <c r="BG55" i="115"/>
  <c r="BB55" i="115"/>
  <c r="AW55" i="115"/>
  <c r="AR55" i="115"/>
  <c r="AM55" i="115"/>
  <c r="AH55" i="115"/>
  <c r="AC55" i="115"/>
  <c r="X55" i="115"/>
  <c r="S55" i="115"/>
  <c r="N55" i="115"/>
  <c r="I55" i="115"/>
  <c r="I54" i="115" s="1"/>
  <c r="E55" i="115"/>
  <c r="BF54" i="115"/>
  <c r="BE54" i="115"/>
  <c r="BA54" i="115"/>
  <c r="AZ54" i="115"/>
  <c r="AV54" i="115"/>
  <c r="AU54" i="115"/>
  <c r="AQ54" i="115"/>
  <c r="AP54" i="115"/>
  <c r="AL54" i="115"/>
  <c r="AK54" i="115"/>
  <c r="AG54" i="115"/>
  <c r="AF54" i="115"/>
  <c r="AB54" i="115"/>
  <c r="AA54" i="115"/>
  <c r="W54" i="115"/>
  <c r="V54" i="115"/>
  <c r="R54" i="115"/>
  <c r="H54" i="115"/>
  <c r="G54" i="115"/>
  <c r="D54" i="115"/>
  <c r="C54" i="115"/>
  <c r="BK52" i="115"/>
  <c r="BJ52" i="115"/>
  <c r="BL52" i="115" s="1"/>
  <c r="BR52" i="115" s="1"/>
  <c r="BG52" i="115"/>
  <c r="BB52" i="115"/>
  <c r="AW52" i="115"/>
  <c r="AR52" i="115"/>
  <c r="AM52" i="115"/>
  <c r="AM50" i="115" s="1"/>
  <c r="AH52" i="115"/>
  <c r="AC52" i="115"/>
  <c r="X52" i="115"/>
  <c r="S52" i="115"/>
  <c r="N52" i="115"/>
  <c r="I52" i="115"/>
  <c r="E52" i="115"/>
  <c r="BK51" i="115"/>
  <c r="BK50" i="115" s="1"/>
  <c r="BJ51" i="115"/>
  <c r="BJ50" i="115" s="1"/>
  <c r="BG51" i="115"/>
  <c r="BB51" i="115"/>
  <c r="AW51" i="115"/>
  <c r="AR51" i="115"/>
  <c r="AM51" i="115"/>
  <c r="AH51" i="115"/>
  <c r="AC51" i="115"/>
  <c r="X51" i="115"/>
  <c r="S51" i="115"/>
  <c r="N51" i="115"/>
  <c r="I51" i="115"/>
  <c r="E51" i="115"/>
  <c r="E50" i="115" s="1"/>
  <c r="BF50" i="115"/>
  <c r="BE50" i="115"/>
  <c r="BA50" i="115"/>
  <c r="AZ50" i="115"/>
  <c r="AV50" i="115"/>
  <c r="AU50" i="115"/>
  <c r="AQ50" i="115"/>
  <c r="AP50" i="115"/>
  <c r="AL50" i="115"/>
  <c r="AK50" i="115"/>
  <c r="AG50" i="115"/>
  <c r="AF50" i="115"/>
  <c r="AB50" i="115"/>
  <c r="AA50" i="115"/>
  <c r="W50" i="115"/>
  <c r="V50" i="115"/>
  <c r="R50" i="115"/>
  <c r="Q50" i="115"/>
  <c r="H50" i="115"/>
  <c r="G50" i="115"/>
  <c r="BO49" i="115"/>
  <c r="BK49" i="115"/>
  <c r="BJ49" i="115"/>
  <c r="BK48" i="115"/>
  <c r="BG48" i="115"/>
  <c r="BB48" i="115"/>
  <c r="AW48" i="115"/>
  <c r="AR48" i="115"/>
  <c r="AM48" i="115"/>
  <c r="AH48" i="115"/>
  <c r="AC48" i="115"/>
  <c r="X48" i="115"/>
  <c r="S48" i="115"/>
  <c r="L48" i="115"/>
  <c r="I48" i="115"/>
  <c r="E48" i="115"/>
  <c r="BK47" i="115"/>
  <c r="BG47" i="115"/>
  <c r="BB47" i="115"/>
  <c r="AW47" i="115"/>
  <c r="AR47" i="115"/>
  <c r="AM47" i="115"/>
  <c r="AH47" i="115"/>
  <c r="AC47" i="115"/>
  <c r="V47" i="115"/>
  <c r="BJ47" i="115" s="1"/>
  <c r="BL47" i="115" s="1"/>
  <c r="S47" i="115"/>
  <c r="L47" i="115"/>
  <c r="N47" i="115" s="1"/>
  <c r="I47" i="115"/>
  <c r="E47" i="115"/>
  <c r="BK46" i="115"/>
  <c r="BJ46" i="115"/>
  <c r="BG46" i="115"/>
  <c r="BB46" i="115"/>
  <c r="AW46" i="115"/>
  <c r="AR46" i="115"/>
  <c r="AM46" i="115"/>
  <c r="AH46" i="115"/>
  <c r="AC46" i="115"/>
  <c r="X46" i="115"/>
  <c r="S46" i="115"/>
  <c r="N46" i="115"/>
  <c r="I46" i="115"/>
  <c r="E46" i="115"/>
  <c r="BK45" i="115"/>
  <c r="BJ45" i="115"/>
  <c r="BL45" i="115" s="1"/>
  <c r="BG45" i="115"/>
  <c r="BB45" i="115"/>
  <c r="AW45" i="115"/>
  <c r="AR45" i="115"/>
  <c r="AM45" i="115"/>
  <c r="AH45" i="115"/>
  <c r="AC45" i="115"/>
  <c r="X45" i="115"/>
  <c r="S45" i="115"/>
  <c r="N45" i="115"/>
  <c r="I45" i="115"/>
  <c r="E45" i="115"/>
  <c r="BK44" i="115"/>
  <c r="BJ44" i="115"/>
  <c r="BG44" i="115"/>
  <c r="BB44" i="115"/>
  <c r="AW44" i="115"/>
  <c r="AR44" i="115"/>
  <c r="AM44" i="115"/>
  <c r="AH44" i="115"/>
  <c r="AC44" i="115"/>
  <c r="X44" i="115"/>
  <c r="S44" i="115"/>
  <c r="N44" i="115"/>
  <c r="I44" i="115"/>
  <c r="E44" i="115"/>
  <c r="BK43" i="115"/>
  <c r="BJ43" i="115"/>
  <c r="BL43" i="115" s="1"/>
  <c r="BG43" i="115"/>
  <c r="BB43" i="115"/>
  <c r="AW43" i="115"/>
  <c r="AR43" i="115"/>
  <c r="AM43" i="115"/>
  <c r="AH43" i="115"/>
  <c r="AC43" i="115"/>
  <c r="X43" i="115"/>
  <c r="S43" i="115"/>
  <c r="N43" i="115"/>
  <c r="I43" i="115"/>
  <c r="E43" i="115"/>
  <c r="BK42" i="115"/>
  <c r="BJ42" i="115"/>
  <c r="BG42" i="115"/>
  <c r="BG41" i="115" s="1"/>
  <c r="BB42" i="115"/>
  <c r="AW42" i="115"/>
  <c r="AR42" i="115"/>
  <c r="AM42" i="115"/>
  <c r="AH42" i="115"/>
  <c r="AC42" i="115"/>
  <c r="X42" i="115"/>
  <c r="S42" i="115"/>
  <c r="N42" i="115"/>
  <c r="I42" i="115"/>
  <c r="E42" i="115"/>
  <c r="BF41" i="115"/>
  <c r="BE41" i="115"/>
  <c r="BA41" i="115"/>
  <c r="AZ41" i="115"/>
  <c r="AV41" i="115"/>
  <c r="AU41" i="115"/>
  <c r="AQ41" i="115"/>
  <c r="AP41" i="115"/>
  <c r="AL41" i="115"/>
  <c r="AK41" i="115"/>
  <c r="AG41" i="115"/>
  <c r="AF41" i="115"/>
  <c r="AB41" i="115"/>
  <c r="AA41" i="115"/>
  <c r="W41" i="115"/>
  <c r="R41" i="115"/>
  <c r="Q41" i="115"/>
  <c r="H41" i="115"/>
  <c r="G41" i="115"/>
  <c r="D41" i="115"/>
  <c r="C41" i="115"/>
  <c r="BK40" i="115"/>
  <c r="BJ40" i="115"/>
  <c r="BK36" i="115"/>
  <c r="BJ36" i="115"/>
  <c r="BG36" i="115"/>
  <c r="BB36" i="115"/>
  <c r="BB35" i="115" s="1"/>
  <c r="AW36" i="115"/>
  <c r="AR36" i="115"/>
  <c r="AM36" i="115"/>
  <c r="AM35" i="115" s="1"/>
  <c r="AH36" i="115"/>
  <c r="AC36" i="115"/>
  <c r="X36" i="115"/>
  <c r="X35" i="115" s="1"/>
  <c r="S36" i="115"/>
  <c r="N36" i="115"/>
  <c r="I36" i="115"/>
  <c r="E36" i="115"/>
  <c r="E35" i="115" s="1"/>
  <c r="BK35" i="115"/>
  <c r="BF35" i="115"/>
  <c r="BE35" i="115"/>
  <c r="BA35" i="115"/>
  <c r="AZ35" i="115"/>
  <c r="AV35" i="115"/>
  <c r="AU35" i="115"/>
  <c r="AQ35" i="115"/>
  <c r="AP35" i="115"/>
  <c r="AL35" i="115"/>
  <c r="AK35" i="115"/>
  <c r="AG35" i="115"/>
  <c r="AF35" i="115"/>
  <c r="AB35" i="115"/>
  <c r="AA35" i="115"/>
  <c r="W35" i="115"/>
  <c r="V35" i="115"/>
  <c r="R35" i="115"/>
  <c r="Q35" i="115"/>
  <c r="I35" i="115"/>
  <c r="H35" i="115"/>
  <c r="G35" i="115"/>
  <c r="D35" i="115"/>
  <c r="C35" i="115"/>
  <c r="BK33" i="115"/>
  <c r="BJ33" i="115"/>
  <c r="BL33" i="115" s="1"/>
  <c r="BG33" i="115"/>
  <c r="BB33" i="115"/>
  <c r="AW33" i="115"/>
  <c r="AR33" i="115"/>
  <c r="AM33" i="115"/>
  <c r="AH33" i="115"/>
  <c r="AC33" i="115"/>
  <c r="X33" i="115"/>
  <c r="S33" i="115"/>
  <c r="N33" i="115"/>
  <c r="I33" i="115"/>
  <c r="E33" i="115"/>
  <c r="BK32" i="115"/>
  <c r="BJ32" i="115"/>
  <c r="BG32" i="115"/>
  <c r="BB32" i="115"/>
  <c r="AW32" i="115"/>
  <c r="AR32" i="115"/>
  <c r="AM32" i="115"/>
  <c r="AH32" i="115"/>
  <c r="AC32" i="115"/>
  <c r="X32" i="115"/>
  <c r="S32" i="115"/>
  <c r="N32" i="115"/>
  <c r="I32" i="115"/>
  <c r="E32" i="115"/>
  <c r="BJ31" i="115"/>
  <c r="BG31" i="115"/>
  <c r="BB31" i="115"/>
  <c r="AW31" i="115"/>
  <c r="AR31" i="115"/>
  <c r="AM31" i="115"/>
  <c r="AH31" i="115"/>
  <c r="AC31" i="115"/>
  <c r="X31" i="115"/>
  <c r="S31" i="115"/>
  <c r="M31" i="115"/>
  <c r="N31" i="115" s="1"/>
  <c r="G31" i="115"/>
  <c r="I31" i="115" s="1"/>
  <c r="E31" i="115"/>
  <c r="BG30" i="115"/>
  <c r="BB30" i="115"/>
  <c r="AW30" i="115"/>
  <c r="AR30" i="115"/>
  <c r="AM30" i="115"/>
  <c r="AH30" i="115"/>
  <c r="AC30" i="115"/>
  <c r="W30" i="115"/>
  <c r="V30" i="115"/>
  <c r="BJ30" i="115" s="1"/>
  <c r="R30" i="115"/>
  <c r="S30" i="115" s="1"/>
  <c r="N30" i="115"/>
  <c r="I30" i="115"/>
  <c r="E30" i="115"/>
  <c r="BK29" i="115"/>
  <c r="BG29" i="115"/>
  <c r="BB29" i="115"/>
  <c r="AW29" i="115"/>
  <c r="AR29" i="115"/>
  <c r="AM29" i="115"/>
  <c r="AH29" i="115"/>
  <c r="AC29" i="115"/>
  <c r="X29" i="115"/>
  <c r="Q29" i="115"/>
  <c r="BJ29" i="115" s="1"/>
  <c r="BL29" i="115" s="1"/>
  <c r="N29" i="115"/>
  <c r="H29" i="115"/>
  <c r="I29" i="115" s="1"/>
  <c r="E29" i="115"/>
  <c r="BJ28" i="115"/>
  <c r="BG28" i="115"/>
  <c r="BB28" i="115"/>
  <c r="AW28" i="115"/>
  <c r="AR28" i="115"/>
  <c r="AM28" i="115"/>
  <c r="AH28" i="115"/>
  <c r="AC28" i="115"/>
  <c r="X28" i="115"/>
  <c r="R28" i="115"/>
  <c r="N28" i="115"/>
  <c r="I28" i="115"/>
  <c r="E28" i="115"/>
  <c r="BK27" i="115"/>
  <c r="BJ27" i="115"/>
  <c r="BL27" i="115" s="1"/>
  <c r="BG27" i="115"/>
  <c r="BB27" i="115"/>
  <c r="AW27" i="115"/>
  <c r="AR27" i="115"/>
  <c r="AM27" i="115"/>
  <c r="AH27" i="115"/>
  <c r="AC27" i="115"/>
  <c r="X27" i="115"/>
  <c r="S27" i="115"/>
  <c r="N27" i="115"/>
  <c r="I27" i="115"/>
  <c r="E27" i="115"/>
  <c r="BK26" i="115"/>
  <c r="BE26" i="115"/>
  <c r="BG26" i="115" s="1"/>
  <c r="BB26" i="115"/>
  <c r="AW26" i="115"/>
  <c r="AP26" i="115"/>
  <c r="AP8" i="115" s="1"/>
  <c r="AM26" i="115"/>
  <c r="AH26" i="115"/>
  <c r="AC26" i="115"/>
  <c r="V26" i="115"/>
  <c r="X26" i="115" s="1"/>
  <c r="Q26" i="115"/>
  <c r="BJ26" i="115" s="1"/>
  <c r="BL26" i="115" s="1"/>
  <c r="BR26" i="115" s="1"/>
  <c r="N26" i="115"/>
  <c r="I26" i="115"/>
  <c r="E26" i="115"/>
  <c r="BE25" i="115"/>
  <c r="BG25" i="115" s="1"/>
  <c r="BB25" i="115"/>
  <c r="AW25" i="115"/>
  <c r="AR25" i="115"/>
  <c r="AM25" i="115"/>
  <c r="AH25" i="115"/>
  <c r="AC25" i="115"/>
  <c r="X25" i="115"/>
  <c r="R25" i="115"/>
  <c r="BK25" i="115" s="1"/>
  <c r="Q25" i="115"/>
  <c r="BJ25" i="115" s="1"/>
  <c r="N25" i="115"/>
  <c r="I25" i="115"/>
  <c r="E25" i="115"/>
  <c r="BK24" i="115"/>
  <c r="BG24" i="115"/>
  <c r="BB24" i="115"/>
  <c r="AW24" i="115"/>
  <c r="AR24" i="115"/>
  <c r="AM24" i="115"/>
  <c r="AH24" i="115"/>
  <c r="AC24" i="115"/>
  <c r="V24" i="115"/>
  <c r="X24" i="115" s="1"/>
  <c r="Q24" i="115"/>
  <c r="BJ24" i="115" s="1"/>
  <c r="BL24" i="115" s="1"/>
  <c r="BR24" i="115" s="1"/>
  <c r="N24" i="115"/>
  <c r="I24" i="115"/>
  <c r="E24" i="115"/>
  <c r="BK23" i="115"/>
  <c r="BJ23" i="115"/>
  <c r="BG23" i="115"/>
  <c r="BB23" i="115"/>
  <c r="AW23" i="115"/>
  <c r="AR23" i="115"/>
  <c r="AM23" i="115"/>
  <c r="AH23" i="115"/>
  <c r="AC23" i="115"/>
  <c r="X23" i="115"/>
  <c r="S23" i="115"/>
  <c r="N23" i="115"/>
  <c r="I23" i="115"/>
  <c r="BK22" i="115"/>
  <c r="BG22" i="115"/>
  <c r="BB22" i="115"/>
  <c r="AW22" i="115"/>
  <c r="AR22" i="115"/>
  <c r="AM22" i="115"/>
  <c r="AH22" i="115"/>
  <c r="AC22" i="115"/>
  <c r="V22" i="115"/>
  <c r="X22" i="115" s="1"/>
  <c r="Q22" i="115"/>
  <c r="BJ22" i="115" s="1"/>
  <c r="BL22" i="115" s="1"/>
  <c r="N22" i="115"/>
  <c r="I22" i="115"/>
  <c r="BK21" i="115"/>
  <c r="BG21" i="115"/>
  <c r="BB21" i="115"/>
  <c r="AW21" i="115"/>
  <c r="AR21" i="115"/>
  <c r="AM21" i="115"/>
  <c r="AH21" i="115"/>
  <c r="AC21" i="115"/>
  <c r="X21" i="115"/>
  <c r="Q21" i="115"/>
  <c r="N21" i="115"/>
  <c r="I21" i="115"/>
  <c r="E21" i="115"/>
  <c r="BK20" i="115"/>
  <c r="BG20" i="115"/>
  <c r="BB20" i="115"/>
  <c r="AW20" i="115"/>
  <c r="AR20" i="115"/>
  <c r="AM20" i="115"/>
  <c r="AH20" i="115"/>
  <c r="AC20" i="115"/>
  <c r="V20" i="115"/>
  <c r="X20" i="115" s="1"/>
  <c r="Q20" i="115"/>
  <c r="N20" i="115"/>
  <c r="I20" i="115"/>
  <c r="E20" i="115"/>
  <c r="BK19" i="115"/>
  <c r="BJ19" i="115"/>
  <c r="BL19" i="115" s="1"/>
  <c r="BR19" i="115" s="1"/>
  <c r="BG19" i="115"/>
  <c r="BB19" i="115"/>
  <c r="AW19" i="115"/>
  <c r="AR19" i="115"/>
  <c r="AM19" i="115"/>
  <c r="AH19" i="115"/>
  <c r="AC19" i="115"/>
  <c r="X19" i="115"/>
  <c r="S19" i="115"/>
  <c r="N19" i="115"/>
  <c r="I19" i="115"/>
  <c r="E19" i="115"/>
  <c r="BK18" i="115"/>
  <c r="BG18" i="115"/>
  <c r="BB18" i="115"/>
  <c r="AW18" i="115"/>
  <c r="AR18" i="115"/>
  <c r="AK18" i="115"/>
  <c r="AM18" i="115" s="1"/>
  <c r="AH18" i="115"/>
  <c r="AC18" i="115"/>
  <c r="X18" i="115"/>
  <c r="Q18" i="115"/>
  <c r="BJ18" i="115" s="1"/>
  <c r="BL18" i="115" s="1"/>
  <c r="BR18" i="115" s="1"/>
  <c r="N18" i="115"/>
  <c r="I18" i="115"/>
  <c r="E18" i="115"/>
  <c r="BK17" i="115"/>
  <c r="BJ17" i="115"/>
  <c r="BL17" i="115" s="1"/>
  <c r="BO17" i="115" s="1"/>
  <c r="BG17" i="115"/>
  <c r="BB17" i="115"/>
  <c r="AW17" i="115"/>
  <c r="AR17" i="115"/>
  <c r="AM17" i="115"/>
  <c r="AH17" i="115"/>
  <c r="AC17" i="115"/>
  <c r="X17" i="115"/>
  <c r="S17" i="115"/>
  <c r="N17" i="115"/>
  <c r="I17" i="115"/>
  <c r="E17" i="115"/>
  <c r="BJ16" i="115"/>
  <c r="BF16" i="115"/>
  <c r="BG16" i="115" s="1"/>
  <c r="BB16" i="115"/>
  <c r="AV16" i="115"/>
  <c r="AW16" i="115" s="1"/>
  <c r="AQ16" i="115"/>
  <c r="AR16" i="115" s="1"/>
  <c r="AM16" i="115"/>
  <c r="AH16" i="115"/>
  <c r="AC16" i="115"/>
  <c r="W16" i="115"/>
  <c r="W8" i="115" s="1"/>
  <c r="S16" i="115"/>
  <c r="N16" i="115"/>
  <c r="I16" i="115"/>
  <c r="E16" i="115"/>
  <c r="BK15" i="115"/>
  <c r="BJ15" i="115"/>
  <c r="BG15" i="115"/>
  <c r="BB15" i="115"/>
  <c r="AW15" i="115"/>
  <c r="AR15" i="115"/>
  <c r="AM15" i="115"/>
  <c r="AH15" i="115"/>
  <c r="AC15" i="115"/>
  <c r="X15" i="115"/>
  <c r="S15" i="115"/>
  <c r="N15" i="115"/>
  <c r="I15" i="115"/>
  <c r="E15" i="115"/>
  <c r="BK14" i="115"/>
  <c r="BG14" i="115"/>
  <c r="BB14" i="115"/>
  <c r="AW14" i="115"/>
  <c r="AR14" i="115"/>
  <c r="AM14" i="115"/>
  <c r="AH14" i="115"/>
  <c r="AC14" i="115"/>
  <c r="X14" i="115"/>
  <c r="S14" i="115"/>
  <c r="L14" i="115"/>
  <c r="BJ14" i="115" s="1"/>
  <c r="BL14" i="115" s="1"/>
  <c r="I14" i="115"/>
  <c r="E14" i="115"/>
  <c r="BK13" i="115"/>
  <c r="BJ13" i="115"/>
  <c r="BG13" i="115"/>
  <c r="BB13" i="115"/>
  <c r="AW13" i="115"/>
  <c r="AR13" i="115"/>
  <c r="AM13" i="115"/>
  <c r="AH13" i="115"/>
  <c r="AC13" i="115"/>
  <c r="X13" i="115"/>
  <c r="S13" i="115"/>
  <c r="N13" i="115"/>
  <c r="I13" i="115"/>
  <c r="E13" i="115"/>
  <c r="BJ12" i="115"/>
  <c r="BG12" i="115"/>
  <c r="BB12" i="115"/>
  <c r="AW12" i="115"/>
  <c r="AR12" i="115"/>
  <c r="AM12" i="115"/>
  <c r="AH12" i="115"/>
  <c r="AC12" i="115"/>
  <c r="X12" i="115"/>
  <c r="R12" i="115"/>
  <c r="BK12" i="115" s="1"/>
  <c r="N12" i="115"/>
  <c r="I12" i="115"/>
  <c r="E12" i="115"/>
  <c r="BK11" i="115"/>
  <c r="BJ11" i="115"/>
  <c r="BG11" i="115"/>
  <c r="BB11" i="115"/>
  <c r="AW11" i="115"/>
  <c r="AR11" i="115"/>
  <c r="AM11" i="115"/>
  <c r="AH11" i="115"/>
  <c r="AC11" i="115"/>
  <c r="X11" i="115"/>
  <c r="S11" i="115"/>
  <c r="N11" i="115"/>
  <c r="I11" i="115"/>
  <c r="E11" i="115"/>
  <c r="BK10" i="115"/>
  <c r="BJ10" i="115"/>
  <c r="BL10" i="115" s="1"/>
  <c r="BR10" i="115" s="1"/>
  <c r="BG10" i="115"/>
  <c r="BB10" i="115"/>
  <c r="AW10" i="115"/>
  <c r="AR10" i="115"/>
  <c r="AM10" i="115"/>
  <c r="AH10" i="115"/>
  <c r="AC10" i="115"/>
  <c r="X10" i="115"/>
  <c r="S10" i="115"/>
  <c r="N10" i="115"/>
  <c r="I10" i="115"/>
  <c r="BO10" i="115" s="1"/>
  <c r="E10" i="115"/>
  <c r="E8" i="115" s="1"/>
  <c r="BK9" i="115"/>
  <c r="BL9" i="115" s="1"/>
  <c r="BR9" i="115" s="1"/>
  <c r="BJ9" i="115"/>
  <c r="BG9" i="115"/>
  <c r="BB9" i="115"/>
  <c r="AW9" i="115"/>
  <c r="AR9" i="115"/>
  <c r="AM9" i="115"/>
  <c r="AH9" i="115"/>
  <c r="AC9" i="115"/>
  <c r="X9" i="115"/>
  <c r="S9" i="115"/>
  <c r="N9" i="115"/>
  <c r="I9" i="115"/>
  <c r="E9" i="115"/>
  <c r="BE8" i="115"/>
  <c r="BA8" i="115"/>
  <c r="AZ8" i="115"/>
  <c r="AV8" i="115"/>
  <c r="AU8" i="115"/>
  <c r="AQ8" i="115"/>
  <c r="AL8" i="115"/>
  <c r="AK8" i="115"/>
  <c r="AG8" i="115"/>
  <c r="AF8" i="115"/>
  <c r="AB8" i="115"/>
  <c r="AA8" i="115"/>
  <c r="V8" i="115"/>
  <c r="H8" i="115"/>
  <c r="D8" i="115"/>
  <c r="C8" i="115"/>
  <c r="BK7" i="115"/>
  <c r="BL7" i="115" s="1"/>
  <c r="BR7" i="115" s="1"/>
  <c r="BJ7" i="115"/>
  <c r="BG7" i="115"/>
  <c r="BB7" i="115"/>
  <c r="AW7" i="115"/>
  <c r="AR7" i="115"/>
  <c r="AM7" i="115"/>
  <c r="AH7" i="115"/>
  <c r="AC7" i="115"/>
  <c r="X7" i="115"/>
  <c r="S7" i="115"/>
  <c r="N7" i="115"/>
  <c r="I7" i="115"/>
  <c r="E7" i="115"/>
  <c r="BK6" i="115"/>
  <c r="BG6" i="115"/>
  <c r="BG5" i="115" s="1"/>
  <c r="BB6" i="115"/>
  <c r="BB5" i="115" s="1"/>
  <c r="AW6" i="115"/>
  <c r="AW5" i="115" s="1"/>
  <c r="AR6" i="115"/>
  <c r="AR5" i="115" s="1"/>
  <c r="AM6" i="115"/>
  <c r="AM5" i="115" s="1"/>
  <c r="AH6" i="115"/>
  <c r="AC6" i="115"/>
  <c r="V6" i="115"/>
  <c r="BJ6" i="115" s="1"/>
  <c r="S6" i="115"/>
  <c r="S5" i="115" s="1"/>
  <c r="N6" i="115"/>
  <c r="E6" i="115"/>
  <c r="E5" i="115" s="1"/>
  <c r="BF5" i="115"/>
  <c r="BE5" i="115"/>
  <c r="BA5" i="115"/>
  <c r="AZ5" i="115"/>
  <c r="AV5" i="115"/>
  <c r="AV38" i="115" s="1"/>
  <c r="AU5" i="115"/>
  <c r="AU38" i="115" s="1"/>
  <c r="AQ5" i="115"/>
  <c r="AP5" i="115"/>
  <c r="AL5" i="115"/>
  <c r="AK5" i="115"/>
  <c r="AH5" i="115"/>
  <c r="AG5" i="115"/>
  <c r="AG38" i="115" s="1"/>
  <c r="AF5" i="115"/>
  <c r="AC5" i="115"/>
  <c r="AB5" i="115"/>
  <c r="AA5" i="115"/>
  <c r="W5" i="115"/>
  <c r="R5" i="115"/>
  <c r="Q5" i="115"/>
  <c r="I5" i="115"/>
  <c r="H5" i="115"/>
  <c r="G5" i="115"/>
  <c r="D5" i="115"/>
  <c r="C5" i="115"/>
  <c r="D38" i="115" l="1"/>
  <c r="R8" i="115"/>
  <c r="BB50" i="115"/>
  <c r="BL62" i="115"/>
  <c r="AB38" i="115"/>
  <c r="BR17" i="115"/>
  <c r="BL23" i="115"/>
  <c r="BL32" i="115"/>
  <c r="BO32" i="115" s="1"/>
  <c r="BG50" i="115"/>
  <c r="BL69" i="115"/>
  <c r="BR69" i="115" s="1"/>
  <c r="BJ20" i="115"/>
  <c r="BL20" i="115" s="1"/>
  <c r="BO20" i="115" s="1"/>
  <c r="BL25" i="115"/>
  <c r="BR25" i="115" s="1"/>
  <c r="AM8" i="115"/>
  <c r="AC41" i="115"/>
  <c r="AH8" i="115"/>
  <c r="BL15" i="115"/>
  <c r="BK31" i="115"/>
  <c r="BL60" i="115"/>
  <c r="BR60" i="115" s="1"/>
  <c r="BO19" i="115"/>
  <c r="BO26" i="115"/>
  <c r="AZ38" i="115"/>
  <c r="C38" i="115"/>
  <c r="V5" i="115"/>
  <c r="V38" i="115" s="1"/>
  <c r="BL11" i="115"/>
  <c r="BO11" i="115" s="1"/>
  <c r="AH41" i="115"/>
  <c r="E38" i="115"/>
  <c r="E39" i="115" s="1"/>
  <c r="W38" i="115"/>
  <c r="W75" i="115" s="1"/>
  <c r="AK38" i="115"/>
  <c r="BA38" i="115"/>
  <c r="BB8" i="115"/>
  <c r="BB38" i="115" s="1"/>
  <c r="N14" i="115"/>
  <c r="X16" i="115"/>
  <c r="S25" i="115"/>
  <c r="S29" i="115"/>
  <c r="BL55" i="115"/>
  <c r="BO55" i="115" s="1"/>
  <c r="BO67" i="115"/>
  <c r="E74" i="115"/>
  <c r="E73" i="115" s="1"/>
  <c r="AF38" i="115"/>
  <c r="AF75" i="115" s="1"/>
  <c r="AL38" i="115"/>
  <c r="AL39" i="115" s="1"/>
  <c r="X6" i="115"/>
  <c r="X5" i="115" s="1"/>
  <c r="BK5" i="115"/>
  <c r="BF8" i="115"/>
  <c r="BR11" i="115"/>
  <c r="BO15" i="115"/>
  <c r="AR26" i="115"/>
  <c r="BK30" i="115"/>
  <c r="BL30" i="115" s="1"/>
  <c r="X47" i="115"/>
  <c r="BO59" i="115"/>
  <c r="BL66" i="115"/>
  <c r="BJ77" i="115"/>
  <c r="BF38" i="115"/>
  <c r="BF39" i="115" s="1"/>
  <c r="BO9" i="115"/>
  <c r="G8" i="115"/>
  <c r="G38" i="115" s="1"/>
  <c r="BO25" i="115"/>
  <c r="BO43" i="115"/>
  <c r="AC54" i="115"/>
  <c r="R38" i="115"/>
  <c r="R75" i="115" s="1"/>
  <c r="Q8" i="115"/>
  <c r="Q38" i="115" s="1"/>
  <c r="AR8" i="115"/>
  <c r="AR38" i="115" s="1"/>
  <c r="AC8" i="115"/>
  <c r="BO14" i="115"/>
  <c r="X30" i="115"/>
  <c r="X8" i="115" s="1"/>
  <c r="BL31" i="115"/>
  <c r="BR31" i="115" s="1"/>
  <c r="V41" i="115"/>
  <c r="AW41" i="115"/>
  <c r="BL46" i="115"/>
  <c r="BO46" i="115" s="1"/>
  <c r="S50" i="115"/>
  <c r="BK54" i="115"/>
  <c r="BL61" i="115"/>
  <c r="BO61" i="115" s="1"/>
  <c r="BL64" i="115"/>
  <c r="BO64" i="115" s="1"/>
  <c r="BO66" i="115"/>
  <c r="BL68" i="115"/>
  <c r="BO68" i="115" s="1"/>
  <c r="BL71" i="115"/>
  <c r="BO78" i="115"/>
  <c r="BO22" i="115"/>
  <c r="BR22" i="115"/>
  <c r="AM38" i="115"/>
  <c r="AW8" i="115"/>
  <c r="AW38" i="115" s="1"/>
  <c r="BJ5" i="115"/>
  <c r="BL6" i="115"/>
  <c r="AV75" i="115"/>
  <c r="AV39" i="115"/>
  <c r="BR27" i="115"/>
  <c r="BR47" i="115"/>
  <c r="C75" i="115"/>
  <c r="C39" i="115"/>
  <c r="AA38" i="115"/>
  <c r="AK75" i="115"/>
  <c r="AK39" i="115"/>
  <c r="AU75" i="115"/>
  <c r="AU39" i="115"/>
  <c r="BE38" i="115"/>
  <c r="S12" i="115"/>
  <c r="BL12" i="115"/>
  <c r="BK16" i="115"/>
  <c r="BL16" i="115" s="1"/>
  <c r="S18" i="115"/>
  <c r="S20" i="115"/>
  <c r="BR20" i="115"/>
  <c r="BO24" i="115"/>
  <c r="S26" i="115"/>
  <c r="S28" i="115"/>
  <c r="BK28" i="115"/>
  <c r="BL28" i="115" s="1"/>
  <c r="BO28" i="115" s="1"/>
  <c r="AC38" i="115"/>
  <c r="BO23" i="115"/>
  <c r="BO27" i="115"/>
  <c r="I50" i="115"/>
  <c r="BO52" i="115"/>
  <c r="AB75" i="115"/>
  <c r="AB39" i="115"/>
  <c r="V75" i="115"/>
  <c r="V39" i="115"/>
  <c r="AP38" i="115"/>
  <c r="AZ75" i="115"/>
  <c r="AZ39" i="115"/>
  <c r="I8" i="115"/>
  <c r="I38" i="115" s="1"/>
  <c r="BG8" i="115"/>
  <c r="BL13" i="115"/>
  <c r="BO13" i="115" s="1"/>
  <c r="S22" i="115"/>
  <c r="E54" i="115"/>
  <c r="AW54" i="115"/>
  <c r="AL75" i="115"/>
  <c r="H38" i="115"/>
  <c r="W39" i="115"/>
  <c r="AG75" i="115"/>
  <c r="AG39" i="115"/>
  <c r="AQ38" i="115"/>
  <c r="BA75" i="115"/>
  <c r="BA39" i="115"/>
  <c r="BR14" i="115"/>
  <c r="BO18" i="115"/>
  <c r="S35" i="115"/>
  <c r="AW35" i="115"/>
  <c r="D75" i="115"/>
  <c r="D39" i="115"/>
  <c r="AH38" i="115"/>
  <c r="BR15" i="115"/>
  <c r="BJ21" i="115"/>
  <c r="S21" i="115"/>
  <c r="AR41" i="115"/>
  <c r="BO45" i="115"/>
  <c r="BG54" i="115"/>
  <c r="BR29" i="115"/>
  <c r="AH35" i="115"/>
  <c r="BJ35" i="115"/>
  <c r="BL36" i="115"/>
  <c r="X41" i="115"/>
  <c r="AR54" i="115"/>
  <c r="S24" i="115"/>
  <c r="BO33" i="115"/>
  <c r="BR43" i="115"/>
  <c r="BK41" i="115"/>
  <c r="BL44" i="115"/>
  <c r="BO47" i="115"/>
  <c r="AH54" i="115"/>
  <c r="BO29" i="115"/>
  <c r="BO31" i="115"/>
  <c r="X54" i="115"/>
  <c r="S41" i="115"/>
  <c r="AH50" i="115"/>
  <c r="AH89" i="115" s="1"/>
  <c r="BR62" i="115"/>
  <c r="AC35" i="115"/>
  <c r="BG35" i="115"/>
  <c r="BO60" i="115"/>
  <c r="I41" i="115"/>
  <c r="BL42" i="115"/>
  <c r="AR50" i="115"/>
  <c r="X50" i="115"/>
  <c r="BL51" i="115"/>
  <c r="BO57" i="115"/>
  <c r="BO58" i="115"/>
  <c r="BO63" i="115"/>
  <c r="BB41" i="115"/>
  <c r="BJ48" i="115"/>
  <c r="BL48" i="115" s="1"/>
  <c r="N48" i="115"/>
  <c r="AC50" i="115"/>
  <c r="AC89" i="115" s="1"/>
  <c r="AD42" i="115" s="1"/>
  <c r="BL56" i="115"/>
  <c r="BB54" i="115"/>
  <c r="BR58" i="115"/>
  <c r="AR35" i="115"/>
  <c r="E41" i="115"/>
  <c r="AM41" i="115"/>
  <c r="AW50" i="115"/>
  <c r="AM54" i="115"/>
  <c r="BO62" i="115"/>
  <c r="BJ65" i="115"/>
  <c r="BL65" i="115" s="1"/>
  <c r="S65" i="115"/>
  <c r="BO70" i="115"/>
  <c r="BR68" i="115"/>
  <c r="BO69" i="115"/>
  <c r="BO71" i="115"/>
  <c r="BL74" i="115"/>
  <c r="BO74" i="115" s="1"/>
  <c r="BR79" i="115"/>
  <c r="BO79" i="115"/>
  <c r="BR70" i="115"/>
  <c r="BJ73" i="115"/>
  <c r="I77" i="115"/>
  <c r="AD62" i="115" l="1"/>
  <c r="BB89" i="115"/>
  <c r="BB93" i="115" s="1"/>
  <c r="AR89" i="115"/>
  <c r="AR93" i="115" s="1"/>
  <c r="AD63" i="115"/>
  <c r="AS26" i="115"/>
  <c r="AI26" i="115"/>
  <c r="AS45" i="115"/>
  <c r="AI59" i="115"/>
  <c r="AX68" i="115"/>
  <c r="BC55" i="115"/>
  <c r="AS63" i="115"/>
  <c r="AS47" i="115"/>
  <c r="AX22" i="115"/>
  <c r="AN12" i="115"/>
  <c r="BC32" i="115"/>
  <c r="AX65" i="115"/>
  <c r="BC48" i="115"/>
  <c r="BC42" i="115"/>
  <c r="BC13" i="115"/>
  <c r="AX26" i="115"/>
  <c r="AI41" i="115"/>
  <c r="AN33" i="115"/>
  <c r="AX42" i="115"/>
  <c r="Q75" i="115"/>
  <c r="Q81" i="115" s="1"/>
  <c r="Q83" i="115" s="1"/>
  <c r="Q84" i="115" s="1"/>
  <c r="Q86" i="115" s="1"/>
  <c r="Q87" i="115" s="1"/>
  <c r="Q39" i="115"/>
  <c r="BJ41" i="115"/>
  <c r="AM89" i="115"/>
  <c r="AM93" i="115" s="1"/>
  <c r="BF75" i="115"/>
  <c r="BF76" i="115" s="1"/>
  <c r="AF39" i="115"/>
  <c r="R39" i="115"/>
  <c r="E75" i="115"/>
  <c r="E76" i="115" s="1"/>
  <c r="AD48" i="115"/>
  <c r="AD46" i="115"/>
  <c r="BR30" i="115"/>
  <c r="BO30" i="115"/>
  <c r="AK81" i="115"/>
  <c r="AK83" i="115" s="1"/>
  <c r="AK84" i="115" s="1"/>
  <c r="AK86" i="115" s="1"/>
  <c r="AK87" i="115" s="1"/>
  <c r="AK76" i="115"/>
  <c r="AG81" i="115"/>
  <c r="AG83" i="115" s="1"/>
  <c r="AG84" i="115" s="1"/>
  <c r="AG86" i="115" s="1"/>
  <c r="AG87" i="115" s="1"/>
  <c r="AG76" i="115"/>
  <c r="E81" i="115"/>
  <c r="E83" i="115" s="1"/>
  <c r="E84" i="115" s="1"/>
  <c r="E86" i="115" s="1"/>
  <c r="E87" i="115" s="1"/>
  <c r="BR16" i="115"/>
  <c r="BL99" i="115" s="1"/>
  <c r="BO16" i="115"/>
  <c r="AS70" i="115"/>
  <c r="BC68" i="115"/>
  <c r="AN68" i="115"/>
  <c r="AX67" i="115"/>
  <c r="AI67" i="115"/>
  <c r="BC66" i="115"/>
  <c r="AN66" i="115"/>
  <c r="AN64" i="115"/>
  <c r="AX62" i="115"/>
  <c r="AI71" i="115"/>
  <c r="AS69" i="115"/>
  <c r="BC64" i="115"/>
  <c r="AS61" i="115"/>
  <c r="BC58" i="115"/>
  <c r="AN58" i="115"/>
  <c r="AX57" i="115"/>
  <c r="AI57" i="115"/>
  <c r="AS49" i="115"/>
  <c r="AN49" i="115"/>
  <c r="AI62" i="115"/>
  <c r="AX49" i="115"/>
  <c r="AS66" i="115"/>
  <c r="AN60" i="115"/>
  <c r="AS59" i="115"/>
  <c r="AI58" i="115"/>
  <c r="AI55" i="115"/>
  <c r="AX51" i="115"/>
  <c r="AI49" i="115"/>
  <c r="AI48" i="115"/>
  <c r="AX46" i="115"/>
  <c r="BC45" i="115"/>
  <c r="AS44" i="115"/>
  <c r="AI43" i="115"/>
  <c r="AI42" i="115"/>
  <c r="AX31" i="115"/>
  <c r="AI31" i="115"/>
  <c r="AX71" i="115"/>
  <c r="AX58" i="115"/>
  <c r="AN56" i="115"/>
  <c r="AX55" i="115"/>
  <c r="AN52" i="115"/>
  <c r="AI47" i="115"/>
  <c r="AX30" i="115"/>
  <c r="AI30" i="115"/>
  <c r="BC29" i="115"/>
  <c r="AN29" i="115"/>
  <c r="BC60" i="115"/>
  <c r="AS57" i="115"/>
  <c r="BC56" i="115"/>
  <c r="AX48" i="115"/>
  <c r="AS46" i="115"/>
  <c r="AS65" i="115"/>
  <c r="BC63" i="115"/>
  <c r="BC52" i="115"/>
  <c r="AX47" i="115"/>
  <c r="AN43" i="115"/>
  <c r="AS28" i="115"/>
  <c r="AN57" i="115"/>
  <c r="AI51" i="115"/>
  <c r="BC49" i="115"/>
  <c r="AI44" i="115"/>
  <c r="AN31" i="115"/>
  <c r="AX56" i="115"/>
  <c r="AN24" i="115"/>
  <c r="BC23" i="115"/>
  <c r="AS22" i="115"/>
  <c r="BC21" i="115"/>
  <c r="AS19" i="115"/>
  <c r="BC18" i="115"/>
  <c r="AS17" i="115"/>
  <c r="AI14" i="115"/>
  <c r="AX13" i="115"/>
  <c r="AS11" i="115"/>
  <c r="AN10" i="115"/>
  <c r="AX44" i="115"/>
  <c r="AI28" i="115"/>
  <c r="AI27" i="115"/>
  <c r="AI23" i="115"/>
  <c r="AI16" i="115"/>
  <c r="BC10" i="115"/>
  <c r="AN9" i="115"/>
  <c r="AI24" i="115"/>
  <c r="AX23" i="115"/>
  <c r="AS13" i="115"/>
  <c r="AX28" i="115"/>
  <c r="AX27" i="115"/>
  <c r="AX24" i="115"/>
  <c r="AS14" i="115"/>
  <c r="AN20" i="115"/>
  <c r="AS10" i="115"/>
  <c r="AN21" i="115"/>
  <c r="BC20" i="115"/>
  <c r="BC31" i="115"/>
  <c r="AX25" i="115"/>
  <c r="AS12" i="115"/>
  <c r="AN18" i="115"/>
  <c r="AI25" i="115"/>
  <c r="AS23" i="115"/>
  <c r="AN46" i="115"/>
  <c r="AN14" i="115"/>
  <c r="AI17" i="115"/>
  <c r="AI10" i="115"/>
  <c r="AN19" i="115"/>
  <c r="BC11" i="115"/>
  <c r="BC14" i="115"/>
  <c r="AX29" i="115"/>
  <c r="AX41" i="115"/>
  <c r="AN27" i="115"/>
  <c r="AS32" i="115"/>
  <c r="AS48" i="115"/>
  <c r="AN71" i="115"/>
  <c r="AS30" i="115"/>
  <c r="AS36" i="115"/>
  <c r="AI66" i="115"/>
  <c r="AS51" i="115"/>
  <c r="AX64" i="115"/>
  <c r="AN48" i="115"/>
  <c r="AS67" i="115"/>
  <c r="AX66" i="115"/>
  <c r="BC71" i="115"/>
  <c r="AI64" i="115"/>
  <c r="AX63" i="115"/>
  <c r="AS71" i="115"/>
  <c r="AS18" i="115"/>
  <c r="AS20" i="115"/>
  <c r="AI15" i="115"/>
  <c r="AX19" i="115"/>
  <c r="AS27" i="115"/>
  <c r="AN15" i="115"/>
  <c r="BC27" i="115"/>
  <c r="BC17" i="115"/>
  <c r="AI12" i="115"/>
  <c r="AX20" i="115"/>
  <c r="AI20" i="115"/>
  <c r="AS25" i="115"/>
  <c r="AN50" i="115"/>
  <c r="AN28" i="115"/>
  <c r="AS31" i="115"/>
  <c r="AI56" i="115"/>
  <c r="AI33" i="115"/>
  <c r="BC26" i="115"/>
  <c r="AI60" i="115"/>
  <c r="AX69" i="115"/>
  <c r="BC50" i="115"/>
  <c r="AS56" i="115"/>
  <c r="AI65" i="115"/>
  <c r="AN42" i="115"/>
  <c r="BC51" i="115"/>
  <c r="AN55" i="115"/>
  <c r="BC57" i="115"/>
  <c r="AS64" i="115"/>
  <c r="BC69" i="115"/>
  <c r="AS21" i="115"/>
  <c r="AN23" i="115"/>
  <c r="AN13" i="115"/>
  <c r="AX11" i="115"/>
  <c r="AS24" i="115"/>
  <c r="AX10" i="115"/>
  <c r="AI19" i="115"/>
  <c r="AN11" i="115"/>
  <c r="AN17" i="115"/>
  <c r="AX21" i="115"/>
  <c r="BC28" i="115"/>
  <c r="AX60" i="115"/>
  <c r="BC30" i="115"/>
  <c r="AN32" i="115"/>
  <c r="AX43" i="115"/>
  <c r="AS58" i="115"/>
  <c r="BC43" i="115"/>
  <c r="AI36" i="115"/>
  <c r="AN30" i="115"/>
  <c r="AI46" i="115"/>
  <c r="AN51" i="115"/>
  <c r="AN61" i="115"/>
  <c r="AI45" i="115"/>
  <c r="AX61" i="115"/>
  <c r="AX59" i="115"/>
  <c r="AI61" i="115"/>
  <c r="AI69" i="115"/>
  <c r="AN62" i="115"/>
  <c r="BC67" i="115"/>
  <c r="BC65" i="115"/>
  <c r="BC70" i="115"/>
  <c r="AN65" i="115"/>
  <c r="BC24" i="115"/>
  <c r="BC22" i="115"/>
  <c r="AS9" i="115"/>
  <c r="AI13" i="115"/>
  <c r="BC15" i="115"/>
  <c r="AI11" i="115"/>
  <c r="BC25" i="115"/>
  <c r="AI18" i="115"/>
  <c r="AI21" i="115"/>
  <c r="AH93" i="115"/>
  <c r="AI32" i="115"/>
  <c r="BC33" i="115"/>
  <c r="AN45" i="115"/>
  <c r="AS55" i="115"/>
  <c r="AX32" i="115"/>
  <c r="AN69" i="115"/>
  <c r="AS29" i="115"/>
  <c r="AX45" i="115"/>
  <c r="BC36" i="115"/>
  <c r="AN63" i="115"/>
  <c r="AN47" i="115"/>
  <c r="BC46" i="115"/>
  <c r="AI68" i="115"/>
  <c r="AN67" i="115"/>
  <c r="AI70" i="115"/>
  <c r="AX14" i="115"/>
  <c r="AX15" i="115"/>
  <c r="BC19" i="115"/>
  <c r="AX17" i="115"/>
  <c r="AI22" i="115"/>
  <c r="BC9" i="115"/>
  <c r="BC12" i="115"/>
  <c r="AX18" i="115"/>
  <c r="AN22" i="115"/>
  <c r="AS15" i="115"/>
  <c r="AN25" i="115"/>
  <c r="AX9" i="115"/>
  <c r="AN16" i="115"/>
  <c r="AN26" i="115"/>
  <c r="AS33" i="115"/>
  <c r="AX33" i="115"/>
  <c r="BC44" i="115"/>
  <c r="BC59" i="115"/>
  <c r="AI29" i="115"/>
  <c r="AN44" i="115"/>
  <c r="AN36" i="115"/>
  <c r="AS43" i="115"/>
  <c r="AI52" i="115"/>
  <c r="BC47" i="115"/>
  <c r="AN59" i="115"/>
  <c r="AI63" i="115"/>
  <c r="AS52" i="115"/>
  <c r="AS68" i="115"/>
  <c r="AX52" i="115"/>
  <c r="AS60" i="115"/>
  <c r="BC62" i="115"/>
  <c r="AN70" i="115"/>
  <c r="AX70" i="115"/>
  <c r="AS62" i="115"/>
  <c r="BC61" i="115"/>
  <c r="AC75" i="115"/>
  <c r="AC39" i="115"/>
  <c r="AD70" i="115"/>
  <c r="AD71" i="115"/>
  <c r="AD69" i="115"/>
  <c r="AD66" i="115"/>
  <c r="AD49" i="115"/>
  <c r="AD44" i="115"/>
  <c r="AD57" i="115"/>
  <c r="AD58" i="115"/>
  <c r="AD55" i="115"/>
  <c r="AD59" i="115"/>
  <c r="AD13" i="115"/>
  <c r="AD14" i="115"/>
  <c r="AD17" i="115"/>
  <c r="AD11" i="115"/>
  <c r="AD9" i="115"/>
  <c r="AD22" i="115"/>
  <c r="AD19" i="115"/>
  <c r="AX16" i="115"/>
  <c r="AD27" i="115"/>
  <c r="AD47" i="115"/>
  <c r="AN8" i="115"/>
  <c r="AD24" i="115"/>
  <c r="AD15" i="115"/>
  <c r="AD10" i="115"/>
  <c r="AD23" i="115"/>
  <c r="AD61" i="115"/>
  <c r="AD60" i="115"/>
  <c r="AD68" i="115"/>
  <c r="AD43" i="115"/>
  <c r="AS8" i="115"/>
  <c r="AD20" i="115"/>
  <c r="AD18" i="115"/>
  <c r="BC8" i="115"/>
  <c r="AD25" i="115"/>
  <c r="AD28" i="115"/>
  <c r="AD29" i="115"/>
  <c r="AD52" i="115"/>
  <c r="AD31" i="115"/>
  <c r="AD51" i="115"/>
  <c r="AD21" i="115"/>
  <c r="AD45" i="115"/>
  <c r="AD32" i="115"/>
  <c r="AD54" i="115"/>
  <c r="AD64" i="115"/>
  <c r="AD12" i="115"/>
  <c r="AD26" i="115"/>
  <c r="AD8" i="115"/>
  <c r="AC93" i="115"/>
  <c r="AI8" i="115"/>
  <c r="AD16" i="115"/>
  <c r="AD30" i="115"/>
  <c r="AD33" i="115"/>
  <c r="AD65" i="115"/>
  <c r="AD56" i="115"/>
  <c r="AD67" i="115"/>
  <c r="AS42" i="115"/>
  <c r="AX12" i="115"/>
  <c r="AP75" i="115"/>
  <c r="AP39" i="115"/>
  <c r="AD41" i="115"/>
  <c r="AX36" i="115"/>
  <c r="BC16" i="115"/>
  <c r="AI9" i="115"/>
  <c r="BC54" i="115"/>
  <c r="BR48" i="115"/>
  <c r="BO48" i="115"/>
  <c r="BL50" i="115"/>
  <c r="BO51" i="115"/>
  <c r="BL35" i="115"/>
  <c r="BO36" i="115"/>
  <c r="AH75" i="115"/>
  <c r="AH39" i="115"/>
  <c r="AL76" i="115"/>
  <c r="AL81" i="115"/>
  <c r="AL83" i="115" s="1"/>
  <c r="AL84" i="115" s="1"/>
  <c r="AL86" i="115" s="1"/>
  <c r="AL87" i="115" s="1"/>
  <c r="BO12" i="115"/>
  <c r="BR12" i="115"/>
  <c r="AA75" i="115"/>
  <c r="AA39" i="115"/>
  <c r="AX50" i="115"/>
  <c r="AI50" i="115"/>
  <c r="AI54" i="115"/>
  <c r="BR44" i="115"/>
  <c r="BO44" i="115"/>
  <c r="W81" i="115"/>
  <c r="W83" i="115" s="1"/>
  <c r="W84" i="115" s="1"/>
  <c r="W86" i="115" s="1"/>
  <c r="W87" i="115" s="1"/>
  <c r="W76" i="115"/>
  <c r="AX54" i="115"/>
  <c r="BG89" i="115"/>
  <c r="BH8" i="115" s="1"/>
  <c r="AF76" i="115"/>
  <c r="AF81" i="115"/>
  <c r="AF83" i="115" s="1"/>
  <c r="AF84" i="115" s="1"/>
  <c r="AF86" i="115" s="1"/>
  <c r="AF87" i="115" s="1"/>
  <c r="BG38" i="115"/>
  <c r="BR28" i="115"/>
  <c r="S8" i="115"/>
  <c r="BE75" i="115"/>
  <c r="BE39" i="115"/>
  <c r="BR65" i="115"/>
  <c r="BO65" i="115"/>
  <c r="BO56" i="115"/>
  <c r="AN41" i="115"/>
  <c r="BJ54" i="115"/>
  <c r="BL21" i="115"/>
  <c r="BJ8" i="115"/>
  <c r="BJ38" i="115" s="1"/>
  <c r="X89" i="115"/>
  <c r="Y8" i="115" s="1"/>
  <c r="X38" i="115"/>
  <c r="BF81" i="115"/>
  <c r="BF83" i="115" s="1"/>
  <c r="BF84" i="115" s="1"/>
  <c r="BF86" i="115" s="1"/>
  <c r="BF87" i="115" s="1"/>
  <c r="BA81" i="115"/>
  <c r="BA83" i="115" s="1"/>
  <c r="BA84" i="115" s="1"/>
  <c r="BA86" i="115" s="1"/>
  <c r="BA87" i="115" s="1"/>
  <c r="BA76" i="115"/>
  <c r="H75" i="115"/>
  <c r="H39" i="115"/>
  <c r="I89" i="115"/>
  <c r="BK8" i="115"/>
  <c r="BK38" i="115" s="1"/>
  <c r="Q76" i="115"/>
  <c r="BL73" i="115"/>
  <c r="E89" i="115"/>
  <c r="I75" i="115"/>
  <c r="I39" i="115"/>
  <c r="AQ75" i="115"/>
  <c r="AQ39" i="115"/>
  <c r="S54" i="115"/>
  <c r="V76" i="115"/>
  <c r="V81" i="115"/>
  <c r="V83" i="115" s="1"/>
  <c r="V84" i="115" s="1"/>
  <c r="V86" i="115" s="1"/>
  <c r="V87" i="115" s="1"/>
  <c r="AW75" i="115"/>
  <c r="AW39" i="115"/>
  <c r="AU81" i="115"/>
  <c r="AU83" i="115" s="1"/>
  <c r="AU84" i="115" s="1"/>
  <c r="AU86" i="115" s="1"/>
  <c r="AU87" i="115" s="1"/>
  <c r="AU76" i="115"/>
  <c r="AW89" i="115"/>
  <c r="AW93" i="115" s="1"/>
  <c r="AX8" i="115"/>
  <c r="R76" i="115"/>
  <c r="R81" i="115"/>
  <c r="R83" i="115" s="1"/>
  <c r="R84" i="115" s="1"/>
  <c r="R86" i="115" s="1"/>
  <c r="R87" i="115" s="1"/>
  <c r="AN54" i="115"/>
  <c r="BL54" i="115"/>
  <c r="F41" i="115"/>
  <c r="BC41" i="115"/>
  <c r="AS50" i="115"/>
  <c r="BO42" i="115"/>
  <c r="BL41" i="115"/>
  <c r="AS54" i="115"/>
  <c r="AS41" i="115"/>
  <c r="BB75" i="115"/>
  <c r="BB39" i="115"/>
  <c r="D76" i="115"/>
  <c r="D81" i="115"/>
  <c r="D83" i="115" s="1"/>
  <c r="D84" i="115" s="1"/>
  <c r="D86" i="115" s="1"/>
  <c r="D87" i="115" s="1"/>
  <c r="BR13" i="115"/>
  <c r="AZ76" i="115"/>
  <c r="AZ81" i="115"/>
  <c r="AZ83" i="115" s="1"/>
  <c r="AZ84" i="115" s="1"/>
  <c r="AZ86" i="115" s="1"/>
  <c r="AZ87" i="115" s="1"/>
  <c r="G75" i="115"/>
  <c r="G39" i="115"/>
  <c r="AB76" i="115"/>
  <c r="AB81" i="115"/>
  <c r="AB83" i="115" s="1"/>
  <c r="AB84" i="115" s="1"/>
  <c r="AB86" i="115" s="1"/>
  <c r="AB87" i="115" s="1"/>
  <c r="C81" i="115"/>
  <c r="C83" i="115" s="1"/>
  <c r="C84" i="115" s="1"/>
  <c r="C86" i="115" s="1"/>
  <c r="C87" i="115" s="1"/>
  <c r="C76" i="115"/>
  <c r="AV76" i="115"/>
  <c r="AV81" i="115"/>
  <c r="AV83" i="115" s="1"/>
  <c r="AV84" i="115" s="1"/>
  <c r="AV86" i="115" s="1"/>
  <c r="AV87" i="115" s="1"/>
  <c r="BL5" i="115"/>
  <c r="BR6" i="115"/>
  <c r="BO6" i="115"/>
  <c r="AR75" i="115"/>
  <c r="AR39" i="115"/>
  <c r="AM75" i="115"/>
  <c r="AM39" i="115"/>
  <c r="AM81" i="115" l="1"/>
  <c r="AM83" i="115" s="1"/>
  <c r="AM84" i="115" s="1"/>
  <c r="AM86" i="115" s="1"/>
  <c r="AM87" i="115" s="1"/>
  <c r="AM76" i="115"/>
  <c r="F85" i="115"/>
  <c r="F72" i="115"/>
  <c r="F63" i="115"/>
  <c r="F82" i="115"/>
  <c r="F32" i="115"/>
  <c r="F31" i="115"/>
  <c r="F57" i="115"/>
  <c r="F48" i="115"/>
  <c r="F42" i="115"/>
  <c r="F28" i="115"/>
  <c r="F59" i="115"/>
  <c r="F43" i="115"/>
  <c r="F29" i="115"/>
  <c r="F45" i="115"/>
  <c r="F25" i="115"/>
  <c r="F9" i="115"/>
  <c r="F14" i="115"/>
  <c r="F16" i="115"/>
  <c r="F15" i="115"/>
  <c r="F10" i="115"/>
  <c r="F19" i="115"/>
  <c r="F27" i="115"/>
  <c r="F55" i="115"/>
  <c r="F36" i="115"/>
  <c r="F33" i="115"/>
  <c r="F58" i="115"/>
  <c r="F60" i="115"/>
  <c r="F68" i="115"/>
  <c r="F56" i="115"/>
  <c r="F71" i="115"/>
  <c r="F69" i="115"/>
  <c r="F11" i="115"/>
  <c r="F18" i="115"/>
  <c r="F30" i="115"/>
  <c r="F51" i="115"/>
  <c r="F50" i="115"/>
  <c r="F65" i="115"/>
  <c r="F61" i="115"/>
  <c r="F52" i="115"/>
  <c r="F79" i="115"/>
  <c r="F70" i="115"/>
  <c r="F17" i="115"/>
  <c r="F20" i="115"/>
  <c r="F62" i="115"/>
  <c r="F67" i="115"/>
  <c r="F66" i="115"/>
  <c r="F8" i="115"/>
  <c r="F44" i="115"/>
  <c r="F12" i="115"/>
  <c r="F26" i="115"/>
  <c r="F21" i="115"/>
  <c r="F35" i="115"/>
  <c r="F46" i="115"/>
  <c r="F47" i="115"/>
  <c r="F73" i="115"/>
  <c r="F24" i="115"/>
  <c r="F13" i="115"/>
  <c r="F64" i="115"/>
  <c r="Y29" i="115"/>
  <c r="Y31" i="115"/>
  <c r="Y9" i="115"/>
  <c r="Y23" i="115"/>
  <c r="Y10" i="115"/>
  <c r="Y21" i="115"/>
  <c r="AS16" i="115"/>
  <c r="Y20" i="115"/>
  <c r="Y26" i="115"/>
  <c r="Y13" i="115"/>
  <c r="Y16" i="115"/>
  <c r="Y19" i="115"/>
  <c r="Y15" i="115"/>
  <c r="Y30" i="115"/>
  <c r="Y27" i="115"/>
  <c r="Y14" i="115"/>
  <c r="Y33" i="115"/>
  <c r="Y28" i="115"/>
  <c r="Y18" i="115"/>
  <c r="Y24" i="115"/>
  <c r="Y25" i="115"/>
  <c r="Y11" i="115"/>
  <c r="Y22" i="115"/>
  <c r="Y32" i="115"/>
  <c r="Y17" i="115"/>
  <c r="Y12" i="115"/>
  <c r="BE81" i="115"/>
  <c r="BE83" i="115" s="1"/>
  <c r="BE84" i="115" s="1"/>
  <c r="BE86" i="115" s="1"/>
  <c r="BE87" i="115" s="1"/>
  <c r="BE76" i="115"/>
  <c r="F54" i="115"/>
  <c r="H81" i="115"/>
  <c r="H83" i="115" s="1"/>
  <c r="H84" i="115" s="1"/>
  <c r="H86" i="115" s="1"/>
  <c r="H87" i="115" s="1"/>
  <c r="H76" i="115"/>
  <c r="G76" i="115"/>
  <c r="G81" i="115"/>
  <c r="G83" i="115" s="1"/>
  <c r="G84" i="115" s="1"/>
  <c r="G86" i="115" s="1"/>
  <c r="G87" i="115" s="1"/>
  <c r="S89" i="115"/>
  <c r="T54" i="115" s="1"/>
  <c r="T8" i="115"/>
  <c r="S38" i="115"/>
  <c r="AA81" i="115"/>
  <c r="AA83" i="115" s="1"/>
  <c r="AA84" i="115" s="1"/>
  <c r="AA86" i="115" s="1"/>
  <c r="AA87" i="115" s="1"/>
  <c r="AA76" i="115"/>
  <c r="BJ75" i="115"/>
  <c r="BJ39" i="115"/>
  <c r="AR81" i="115"/>
  <c r="AR83" i="115" s="1"/>
  <c r="AR84" i="115" s="1"/>
  <c r="AR86" i="115" s="1"/>
  <c r="AR87" i="115" s="1"/>
  <c r="AR76" i="115"/>
  <c r="BR21" i="115"/>
  <c r="BO21" i="115"/>
  <c r="BL8" i="115"/>
  <c r="BL38" i="115"/>
  <c r="I81" i="115"/>
  <c r="I83" i="115" s="1"/>
  <c r="I84" i="115" s="1"/>
  <c r="I86" i="115" s="1"/>
  <c r="I87" i="115" s="1"/>
  <c r="I76" i="115"/>
  <c r="BG75" i="115"/>
  <c r="BG39" i="115"/>
  <c r="AP76" i="115"/>
  <c r="AP81" i="115"/>
  <c r="AP83" i="115" s="1"/>
  <c r="AP84" i="115" s="1"/>
  <c r="AP86" i="115" s="1"/>
  <c r="AP87" i="115" s="1"/>
  <c r="BB81" i="115"/>
  <c r="BB83" i="115" s="1"/>
  <c r="BB84" i="115" s="1"/>
  <c r="BB86" i="115" s="1"/>
  <c r="BB87" i="115" s="1"/>
  <c r="BB76" i="115"/>
  <c r="AQ81" i="115"/>
  <c r="AQ83" i="115" s="1"/>
  <c r="AQ84" i="115" s="1"/>
  <c r="AQ86" i="115" s="1"/>
  <c r="AQ87" i="115" s="1"/>
  <c r="AQ76" i="115"/>
  <c r="BH79" i="115"/>
  <c r="BH70" i="115"/>
  <c r="BH63" i="115"/>
  <c r="BH66" i="115"/>
  <c r="BH49" i="115"/>
  <c r="BH69" i="115"/>
  <c r="BH44" i="115"/>
  <c r="BH59" i="115"/>
  <c r="BH61" i="115"/>
  <c r="BH57" i="115"/>
  <c r="BH58" i="115"/>
  <c r="BH42" i="115"/>
  <c r="BH28" i="115"/>
  <c r="BH45" i="115"/>
  <c r="BH12" i="115"/>
  <c r="BH55" i="115"/>
  <c r="BH13" i="115"/>
  <c r="BH21" i="115"/>
  <c r="BH18" i="115"/>
  <c r="BH14" i="115"/>
  <c r="BH17" i="115"/>
  <c r="BH23" i="115"/>
  <c r="BH27" i="115"/>
  <c r="BH24" i="115"/>
  <c r="BH36" i="115"/>
  <c r="BH41" i="115"/>
  <c r="BH46" i="115"/>
  <c r="BH60" i="115"/>
  <c r="BH48" i="115"/>
  <c r="BH31" i="115"/>
  <c r="BH52" i="115"/>
  <c r="BH56" i="115"/>
  <c r="BH25" i="115"/>
  <c r="BG93" i="115"/>
  <c r="BH15" i="115"/>
  <c r="BH51" i="115"/>
  <c r="BH68" i="115"/>
  <c r="BH65" i="115"/>
  <c r="BH9" i="115"/>
  <c r="BH20" i="115"/>
  <c r="BH11" i="115"/>
  <c r="BH64" i="115"/>
  <c r="BH29" i="115"/>
  <c r="BH43" i="115"/>
  <c r="BH47" i="115"/>
  <c r="BH71" i="115"/>
  <c r="BH78" i="115"/>
  <c r="BH26" i="115"/>
  <c r="BH22" i="115"/>
  <c r="BH19" i="115"/>
  <c r="BH50" i="115"/>
  <c r="BH32" i="115"/>
  <c r="BH62" i="115"/>
  <c r="BH16" i="115"/>
  <c r="BH30" i="115"/>
  <c r="BH67" i="115"/>
  <c r="BH10" i="115"/>
  <c r="BH33" i="115"/>
  <c r="AH81" i="115"/>
  <c r="AH83" i="115" s="1"/>
  <c r="AH84" i="115" s="1"/>
  <c r="AH86" i="115" s="1"/>
  <c r="AH87" i="115" s="1"/>
  <c r="AH76" i="115"/>
  <c r="BK75" i="115"/>
  <c r="BK39" i="115"/>
  <c r="AW81" i="115"/>
  <c r="AW83" i="115" s="1"/>
  <c r="AW84" i="115" s="1"/>
  <c r="AW86" i="115" s="1"/>
  <c r="AW87" i="115" s="1"/>
  <c r="AW76" i="115"/>
  <c r="X75" i="115"/>
  <c r="X39" i="115"/>
  <c r="BH54" i="115"/>
  <c r="AC81" i="115"/>
  <c r="AC83" i="115" s="1"/>
  <c r="AC84" i="115" s="1"/>
  <c r="AC86" i="115" s="1"/>
  <c r="AC87" i="115" s="1"/>
  <c r="AC76" i="115"/>
  <c r="BJ76" i="115" l="1"/>
  <c r="BJ81" i="115"/>
  <c r="BJ83" i="115" s="1"/>
  <c r="BJ84" i="115" s="1"/>
  <c r="BJ86" i="115" s="1"/>
  <c r="BJ87" i="115" s="1"/>
  <c r="X81" i="115"/>
  <c r="X83" i="115" s="1"/>
  <c r="X84" i="115" s="1"/>
  <c r="X86" i="115" s="1"/>
  <c r="X87" i="115" s="1"/>
  <c r="X76" i="115"/>
  <c r="BG81" i="115"/>
  <c r="BG83" i="115" s="1"/>
  <c r="BG84" i="115" s="1"/>
  <c r="BG86" i="115" s="1"/>
  <c r="BG87" i="115" s="1"/>
  <c r="BG76" i="115"/>
  <c r="S75" i="115"/>
  <c r="S39" i="115"/>
  <c r="BL75" i="115"/>
  <c r="BL39" i="115"/>
  <c r="BK81" i="115"/>
  <c r="BK83" i="115" s="1"/>
  <c r="BK84" i="115" s="1"/>
  <c r="BK86" i="115" s="1"/>
  <c r="BK87" i="115" s="1"/>
  <c r="BK76" i="115"/>
  <c r="BL89" i="115"/>
  <c r="BM8" i="115" s="1"/>
  <c r="Y72" i="115"/>
  <c r="J72" i="115"/>
  <c r="J69" i="115"/>
  <c r="Y68" i="115"/>
  <c r="J70" i="115"/>
  <c r="Y66" i="115"/>
  <c r="T71" i="115"/>
  <c r="J68" i="115"/>
  <c r="T62" i="115"/>
  <c r="J59" i="115"/>
  <c r="Y58" i="115"/>
  <c r="J49" i="115"/>
  <c r="T72" i="115"/>
  <c r="Y64" i="115"/>
  <c r="T58" i="115"/>
  <c r="T55" i="115"/>
  <c r="Y52" i="115"/>
  <c r="J51" i="115"/>
  <c r="Y56" i="115"/>
  <c r="J36" i="115"/>
  <c r="J33" i="115"/>
  <c r="T31" i="115"/>
  <c r="Y49" i="115"/>
  <c r="J46" i="115"/>
  <c r="J30" i="115"/>
  <c r="T67" i="115"/>
  <c r="J58" i="115"/>
  <c r="T56" i="115"/>
  <c r="J55" i="115"/>
  <c r="T51" i="115"/>
  <c r="T49" i="115"/>
  <c r="J42" i="115"/>
  <c r="Y45" i="115"/>
  <c r="J27" i="115"/>
  <c r="T44" i="115"/>
  <c r="T48" i="115"/>
  <c r="T46" i="115"/>
  <c r="Y60" i="115"/>
  <c r="J32" i="115"/>
  <c r="T25" i="115"/>
  <c r="T23" i="115"/>
  <c r="T16" i="115"/>
  <c r="T15" i="115"/>
  <c r="J31" i="115"/>
  <c r="J21" i="115"/>
  <c r="J19" i="115"/>
  <c r="J17" i="115"/>
  <c r="J11" i="115"/>
  <c r="T13" i="115"/>
  <c r="J24" i="115"/>
  <c r="T27" i="115"/>
  <c r="J10" i="115"/>
  <c r="J23" i="115"/>
  <c r="Y47" i="115"/>
  <c r="J13" i="115"/>
  <c r="J43" i="115"/>
  <c r="J60" i="115"/>
  <c r="Y59" i="115"/>
  <c r="T61" i="115"/>
  <c r="T69" i="115"/>
  <c r="Y69" i="115"/>
  <c r="J66" i="115"/>
  <c r="J20" i="115"/>
  <c r="T17" i="115"/>
  <c r="Y43" i="115"/>
  <c r="T42" i="115"/>
  <c r="Y42" i="115"/>
  <c r="T30" i="115"/>
  <c r="Y44" i="115"/>
  <c r="Y48" i="115"/>
  <c r="J44" i="115"/>
  <c r="T45" i="115"/>
  <c r="T60" i="115"/>
  <c r="J61" i="115"/>
  <c r="Y67" i="115"/>
  <c r="Y70" i="115"/>
  <c r="T64" i="115"/>
  <c r="J62" i="115"/>
  <c r="T9" i="115"/>
  <c r="T32" i="115"/>
  <c r="Y63" i="115"/>
  <c r="J45" i="115"/>
  <c r="Y36" i="115"/>
  <c r="J63" i="115"/>
  <c r="T47" i="115"/>
  <c r="J67" i="115"/>
  <c r="J25" i="115"/>
  <c r="J16" i="115"/>
  <c r="J12" i="115"/>
  <c r="J18" i="115"/>
  <c r="T36" i="115"/>
  <c r="T33" i="115"/>
  <c r="J29" i="115"/>
  <c r="J28" i="115"/>
  <c r="Y62" i="115"/>
  <c r="Y51" i="115"/>
  <c r="J57" i="115"/>
  <c r="J56" i="115"/>
  <c r="T70" i="115"/>
  <c r="Y61" i="115"/>
  <c r="T43" i="115"/>
  <c r="T14" i="115"/>
  <c r="J9" i="115"/>
  <c r="J22" i="115"/>
  <c r="J52" i="115"/>
  <c r="T10" i="115"/>
  <c r="J14" i="115"/>
  <c r="Y55" i="115"/>
  <c r="J48" i="115"/>
  <c r="T66" i="115"/>
  <c r="T68" i="115"/>
  <c r="J71" i="115"/>
  <c r="T63" i="115"/>
  <c r="Y46" i="115"/>
  <c r="Y71" i="115"/>
  <c r="AD36" i="115"/>
  <c r="J15" i="115"/>
  <c r="Y57" i="115"/>
  <c r="Y65" i="115"/>
  <c r="T59" i="115"/>
  <c r="T57" i="115"/>
  <c r="J26" i="115"/>
  <c r="T19" i="115"/>
  <c r="J47" i="115"/>
  <c r="J64" i="115"/>
  <c r="J54" i="115"/>
  <c r="T11" i="115"/>
  <c r="T52" i="115"/>
  <c r="J65" i="115"/>
  <c r="T29" i="115"/>
  <c r="T26" i="115"/>
  <c r="T65" i="115"/>
  <c r="T22" i="115"/>
  <c r="T41" i="115"/>
  <c r="J41" i="115"/>
  <c r="Y41" i="115"/>
  <c r="Y54" i="115"/>
  <c r="T21" i="115"/>
  <c r="T12" i="115"/>
  <c r="J8" i="115"/>
  <c r="T28" i="115"/>
  <c r="T20" i="115"/>
  <c r="T24" i="115"/>
  <c r="T18" i="115"/>
  <c r="BL81" i="115" l="1"/>
  <c r="BL83" i="115" s="1"/>
  <c r="BL84" i="115" s="1"/>
  <c r="BL76" i="115"/>
  <c r="BM72" i="115"/>
  <c r="BM49" i="115"/>
  <c r="BM64" i="115"/>
  <c r="BM60" i="115"/>
  <c r="BM11" i="115"/>
  <c r="BM19" i="115"/>
  <c r="BM29" i="115"/>
  <c r="BM63" i="115"/>
  <c r="BM22" i="115"/>
  <c r="BM46" i="115"/>
  <c r="BM14" i="115"/>
  <c r="BM10" i="115"/>
  <c r="BM32" i="115"/>
  <c r="BM43" i="115"/>
  <c r="BM67" i="115"/>
  <c r="BM61" i="115"/>
  <c r="BM24" i="115"/>
  <c r="BM17" i="115"/>
  <c r="BM20" i="115"/>
  <c r="BM25" i="115"/>
  <c r="BM55" i="115"/>
  <c r="BM69" i="115"/>
  <c r="BM23" i="115"/>
  <c r="BM27" i="115"/>
  <c r="BM15" i="115"/>
  <c r="BM26" i="115"/>
  <c r="BM31" i="115"/>
  <c r="BM33" i="115"/>
  <c r="BM62" i="115"/>
  <c r="BM58" i="115"/>
  <c r="BM59" i="115"/>
  <c r="BM47" i="115"/>
  <c r="BM45" i="115"/>
  <c r="BM18" i="115"/>
  <c r="BM57" i="115"/>
  <c r="BM52" i="115"/>
  <c r="BM66" i="115"/>
  <c r="BM68" i="115"/>
  <c r="BM70" i="115"/>
  <c r="BM9" i="115"/>
  <c r="BM71" i="115"/>
  <c r="BM16" i="115"/>
  <c r="BM44" i="115"/>
  <c r="BM28" i="115"/>
  <c r="BM65" i="115"/>
  <c r="BM12" i="115"/>
  <c r="BM30" i="115"/>
  <c r="BM42" i="115"/>
  <c r="BM13" i="115"/>
  <c r="BM48" i="115"/>
  <c r="BM56" i="115"/>
  <c r="BM74" i="115"/>
  <c r="BM51" i="115"/>
  <c r="BM36" i="115"/>
  <c r="BM35" i="115" s="1"/>
  <c r="BM41" i="115"/>
  <c r="BM54" i="115"/>
  <c r="BM21" i="115"/>
  <c r="S81" i="115"/>
  <c r="S83" i="115" s="1"/>
  <c r="S84" i="115" s="1"/>
  <c r="S86" i="115" s="1"/>
  <c r="S87" i="115" s="1"/>
  <c r="S76" i="115"/>
  <c r="BO84" i="115" l="1"/>
  <c r="BL86" i="115"/>
  <c r="BL87" i="115" s="1"/>
  <c r="BL98" i="115"/>
  <c r="BL101" i="115" s="1"/>
  <c r="G14" i="101" l="1"/>
  <c r="G2" i="101" s="1"/>
  <c r="BU85" i="98" l="1"/>
  <c r="BT85" i="98"/>
  <c r="BV85" i="98" s="1"/>
  <c r="BQ85" i="98"/>
  <c r="BL85" i="98"/>
  <c r="BG85" i="98"/>
  <c r="BU82" i="98"/>
  <c r="BT82" i="98"/>
  <c r="BQ82" i="98"/>
  <c r="BL82" i="98"/>
  <c r="BG82" i="98"/>
  <c r="BV79" i="98"/>
  <c r="BU79" i="98"/>
  <c r="BT79" i="98"/>
  <c r="BU78" i="98"/>
  <c r="BT78" i="98"/>
  <c r="BQ78" i="98"/>
  <c r="BQ77" i="98" s="1"/>
  <c r="BL78" i="98"/>
  <c r="BL77" i="98" s="1"/>
  <c r="BG78" i="98"/>
  <c r="BT77" i="98"/>
  <c r="BP77" i="98"/>
  <c r="BO77" i="98"/>
  <c r="BK77" i="98"/>
  <c r="BJ77" i="98"/>
  <c r="BF77" i="98"/>
  <c r="BE77" i="98"/>
  <c r="BU74" i="98"/>
  <c r="BU73" i="98" s="1"/>
  <c r="BT74" i="98"/>
  <c r="BT73" i="98" s="1"/>
  <c r="BQ74" i="98"/>
  <c r="BQ73" i="98" s="1"/>
  <c r="BL74" i="98"/>
  <c r="BL73" i="98" s="1"/>
  <c r="BG74" i="98"/>
  <c r="BG73" i="98" s="1"/>
  <c r="BP73" i="98"/>
  <c r="BO73" i="98"/>
  <c r="BK73" i="98"/>
  <c r="BJ73" i="98"/>
  <c r="BF73" i="98"/>
  <c r="BE73" i="98"/>
  <c r="BU71" i="98"/>
  <c r="BT71" i="98"/>
  <c r="BQ71" i="98"/>
  <c r="BL71" i="98"/>
  <c r="BG71" i="98"/>
  <c r="BU70" i="98"/>
  <c r="BT70" i="98"/>
  <c r="BQ70" i="98"/>
  <c r="BL70" i="98"/>
  <c r="BG70" i="98"/>
  <c r="BU69" i="98"/>
  <c r="BT69" i="98"/>
  <c r="BV69" i="98" s="1"/>
  <c r="BQ69" i="98"/>
  <c r="BL69" i="98"/>
  <c r="BG69" i="98"/>
  <c r="BU68" i="98"/>
  <c r="BT68" i="98"/>
  <c r="BV68" i="98" s="1"/>
  <c r="BQ68" i="98"/>
  <c r="BL68" i="98"/>
  <c r="BG68" i="98"/>
  <c r="BU67" i="98"/>
  <c r="BT67" i="98"/>
  <c r="BQ67" i="98"/>
  <c r="BL67" i="98"/>
  <c r="BG67" i="98"/>
  <c r="BU66" i="98"/>
  <c r="BT66" i="98"/>
  <c r="BV66" i="98" s="1"/>
  <c r="BQ66" i="98"/>
  <c r="BL66" i="98"/>
  <c r="BG66" i="98"/>
  <c r="BU65" i="98"/>
  <c r="BQ65" i="98"/>
  <c r="BL65" i="98"/>
  <c r="BG65" i="98"/>
  <c r="BU64" i="98"/>
  <c r="BT64" i="98"/>
  <c r="BQ64" i="98"/>
  <c r="BL64" i="98"/>
  <c r="BG64" i="98"/>
  <c r="BU63" i="98"/>
  <c r="BQ63" i="98"/>
  <c r="BL63" i="98"/>
  <c r="BG63" i="98"/>
  <c r="BU62" i="98"/>
  <c r="BT62" i="98"/>
  <c r="BQ62" i="98"/>
  <c r="BL62" i="98"/>
  <c r="BG62" i="98"/>
  <c r="BU61" i="98"/>
  <c r="BT61" i="98"/>
  <c r="BQ61" i="98"/>
  <c r="BL61" i="98"/>
  <c r="BG61" i="98"/>
  <c r="BU60" i="98"/>
  <c r="BT60" i="98"/>
  <c r="BQ60" i="98"/>
  <c r="BL60" i="98"/>
  <c r="BG60" i="98"/>
  <c r="BU59" i="98"/>
  <c r="BT59" i="98"/>
  <c r="BV59" i="98" s="1"/>
  <c r="BQ59" i="98"/>
  <c r="BL59" i="98"/>
  <c r="BG59" i="98"/>
  <c r="BU58" i="98"/>
  <c r="BT58" i="98"/>
  <c r="BQ58" i="98"/>
  <c r="BL58" i="98"/>
  <c r="BG58" i="98"/>
  <c r="BU57" i="98"/>
  <c r="BT57" i="98"/>
  <c r="BQ57" i="98"/>
  <c r="BL57" i="98"/>
  <c r="BG57" i="98"/>
  <c r="BU56" i="98"/>
  <c r="BT56" i="98"/>
  <c r="BV56" i="98" s="1"/>
  <c r="BQ56" i="98"/>
  <c r="BL56" i="98"/>
  <c r="BG56" i="98"/>
  <c r="BU55" i="98"/>
  <c r="BU54" i="98" s="1"/>
  <c r="BT55" i="98"/>
  <c r="BQ55" i="98"/>
  <c r="BL55" i="98"/>
  <c r="BG55" i="98"/>
  <c r="BP54" i="98"/>
  <c r="BO54" i="98"/>
  <c r="BK54" i="98"/>
  <c r="BJ54" i="98"/>
  <c r="BF54" i="98"/>
  <c r="BE54" i="98"/>
  <c r="BU52" i="98"/>
  <c r="BT52" i="98"/>
  <c r="BQ52" i="98"/>
  <c r="BL52" i="98"/>
  <c r="BG52" i="98"/>
  <c r="BU51" i="98"/>
  <c r="BT51" i="98"/>
  <c r="BQ51" i="98"/>
  <c r="BL51" i="98"/>
  <c r="BG51" i="98"/>
  <c r="BP50" i="98"/>
  <c r="BO50" i="98"/>
  <c r="BK50" i="98"/>
  <c r="BJ50" i="98"/>
  <c r="BF50" i="98"/>
  <c r="BE50" i="98"/>
  <c r="BU48" i="98"/>
  <c r="BQ48" i="98"/>
  <c r="BL48" i="98"/>
  <c r="BG48" i="98"/>
  <c r="BU47" i="98"/>
  <c r="BQ47" i="98"/>
  <c r="BL47" i="98"/>
  <c r="BG47" i="98"/>
  <c r="BU46" i="98"/>
  <c r="BV46" i="98" s="1"/>
  <c r="BT46" i="98"/>
  <c r="BQ46" i="98"/>
  <c r="BL46" i="98"/>
  <c r="BG46" i="98"/>
  <c r="BU45" i="98"/>
  <c r="BT45" i="98"/>
  <c r="BV45" i="98" s="1"/>
  <c r="BQ45" i="98"/>
  <c r="BL45" i="98"/>
  <c r="BG45" i="98"/>
  <c r="BU44" i="98"/>
  <c r="BT44" i="98"/>
  <c r="BV44" i="98" s="1"/>
  <c r="BQ44" i="98"/>
  <c r="BL44" i="98"/>
  <c r="BG44" i="98"/>
  <c r="BU43" i="98"/>
  <c r="BT43" i="98"/>
  <c r="BQ43" i="98"/>
  <c r="BL43" i="98"/>
  <c r="BG43" i="98"/>
  <c r="BU42" i="98"/>
  <c r="BT42" i="98"/>
  <c r="BQ42" i="98"/>
  <c r="BL42" i="98"/>
  <c r="BG42" i="98"/>
  <c r="BP41" i="98"/>
  <c r="BO41" i="98"/>
  <c r="BK41" i="98"/>
  <c r="BJ41" i="98"/>
  <c r="BF41" i="98"/>
  <c r="BE41" i="98"/>
  <c r="BU36" i="98"/>
  <c r="BU35" i="98" s="1"/>
  <c r="BT36" i="98"/>
  <c r="BT35" i="98" s="1"/>
  <c r="BQ36" i="98"/>
  <c r="BQ35" i="98" s="1"/>
  <c r="BL36" i="98"/>
  <c r="BG36" i="98"/>
  <c r="BP35" i="98"/>
  <c r="BO35" i="98"/>
  <c r="BK35" i="98"/>
  <c r="BJ35" i="98"/>
  <c r="BF35" i="98"/>
  <c r="BE35" i="98"/>
  <c r="BU33" i="98"/>
  <c r="BT33" i="98"/>
  <c r="BQ33" i="98"/>
  <c r="BL33" i="98"/>
  <c r="BG33" i="98"/>
  <c r="BU32" i="98"/>
  <c r="BV32" i="98" s="1"/>
  <c r="BT32" i="98"/>
  <c r="BQ32" i="98"/>
  <c r="BL32" i="98"/>
  <c r="BG32" i="98"/>
  <c r="BU31" i="98"/>
  <c r="BT31" i="98"/>
  <c r="BV31" i="98" s="1"/>
  <c r="BQ31" i="98"/>
  <c r="BL31" i="98"/>
  <c r="BG31" i="98"/>
  <c r="BT30" i="98"/>
  <c r="BQ30" i="98"/>
  <c r="BL30" i="98"/>
  <c r="BG30" i="98"/>
  <c r="BU29" i="98"/>
  <c r="BQ29" i="98"/>
  <c r="BL29" i="98"/>
  <c r="BG29" i="98"/>
  <c r="BQ28" i="98"/>
  <c r="BL28" i="98"/>
  <c r="BG28" i="98"/>
  <c r="BU27" i="98"/>
  <c r="BT27" i="98"/>
  <c r="BQ27" i="98"/>
  <c r="BL27" i="98"/>
  <c r="BG27" i="98"/>
  <c r="BU26" i="98"/>
  <c r="BQ26" i="98"/>
  <c r="BL26" i="98"/>
  <c r="BG26" i="98"/>
  <c r="BU25" i="98"/>
  <c r="BQ25" i="98"/>
  <c r="BL25" i="98"/>
  <c r="BG25" i="98"/>
  <c r="BU24" i="98"/>
  <c r="BQ24" i="98"/>
  <c r="BL24" i="98"/>
  <c r="BG24" i="98"/>
  <c r="BU23" i="98"/>
  <c r="BQ23" i="98"/>
  <c r="BL23" i="98"/>
  <c r="BG23" i="98"/>
  <c r="BU22" i="98"/>
  <c r="BQ22" i="98"/>
  <c r="BL22" i="98"/>
  <c r="BG22" i="98"/>
  <c r="BU21" i="98"/>
  <c r="BQ21" i="98"/>
  <c r="BL21" i="98"/>
  <c r="BG21" i="98"/>
  <c r="BU20" i="98"/>
  <c r="BV20" i="98" s="1"/>
  <c r="BT20" i="98"/>
  <c r="BQ20" i="98"/>
  <c r="BL20" i="98"/>
  <c r="BG20" i="98"/>
  <c r="BU19" i="98"/>
  <c r="BT19" i="98"/>
  <c r="BV19" i="98" s="1"/>
  <c r="BQ19" i="98"/>
  <c r="BL19" i="98"/>
  <c r="BG19" i="98"/>
  <c r="BU18" i="98"/>
  <c r="BQ18" i="98"/>
  <c r="BL18" i="98"/>
  <c r="BG18" i="98"/>
  <c r="BU17" i="98"/>
  <c r="BV17" i="98" s="1"/>
  <c r="BT17" i="98"/>
  <c r="BQ17" i="98"/>
  <c r="BL17" i="98"/>
  <c r="BG17" i="98"/>
  <c r="BT16" i="98"/>
  <c r="BQ16" i="98"/>
  <c r="BL16" i="98"/>
  <c r="BG16" i="98"/>
  <c r="BU15" i="98"/>
  <c r="BT15" i="98"/>
  <c r="BQ15" i="98"/>
  <c r="BL15" i="98"/>
  <c r="BG15" i="98"/>
  <c r="BU14" i="98"/>
  <c r="BT14" i="98"/>
  <c r="BQ14" i="98"/>
  <c r="BL14" i="98"/>
  <c r="BG14" i="98"/>
  <c r="BU13" i="98"/>
  <c r="BT13" i="98"/>
  <c r="BQ13" i="98"/>
  <c r="BL13" i="98"/>
  <c r="BG13" i="98"/>
  <c r="BQ12" i="98"/>
  <c r="BL12" i="98"/>
  <c r="BG12" i="98"/>
  <c r="BU11" i="98"/>
  <c r="BT11" i="98"/>
  <c r="BQ11" i="98"/>
  <c r="BL11" i="98"/>
  <c r="BG11" i="98"/>
  <c r="BU10" i="98"/>
  <c r="BT10" i="98"/>
  <c r="BQ10" i="98"/>
  <c r="BL10" i="98"/>
  <c r="BG10" i="98"/>
  <c r="BU9" i="98"/>
  <c r="BT9" i="98"/>
  <c r="BQ9" i="98"/>
  <c r="BL9" i="98"/>
  <c r="BG9" i="98"/>
  <c r="BG8" i="98" s="1"/>
  <c r="BP8" i="98"/>
  <c r="BO8" i="98"/>
  <c r="BK8" i="98"/>
  <c r="BJ8" i="98"/>
  <c r="BF8" i="98"/>
  <c r="BE8" i="98"/>
  <c r="BU7" i="98"/>
  <c r="BT7" i="98"/>
  <c r="BV7" i="98" s="1"/>
  <c r="BQ7" i="98"/>
  <c r="BL7" i="98"/>
  <c r="BG7" i="98"/>
  <c r="BU6" i="98"/>
  <c r="BQ6" i="98"/>
  <c r="BQ5" i="98" s="1"/>
  <c r="BL6" i="98"/>
  <c r="BG6" i="98"/>
  <c r="BU5" i="98"/>
  <c r="BP5" i="98"/>
  <c r="BP38" i="98" s="1"/>
  <c r="BO5" i="98"/>
  <c r="BO38" i="98" s="1"/>
  <c r="BK5" i="98"/>
  <c r="BK38" i="98" s="1"/>
  <c r="BJ5" i="98"/>
  <c r="BJ38" i="98" s="1"/>
  <c r="BG5" i="98"/>
  <c r="BF5" i="98"/>
  <c r="BF38" i="98" s="1"/>
  <c r="BF75" i="98" s="1"/>
  <c r="BE5" i="98"/>
  <c r="BE38" i="98" s="1"/>
  <c r="BF39" i="98" l="1"/>
  <c r="BV43" i="98"/>
  <c r="BQ50" i="98"/>
  <c r="BV9" i="98"/>
  <c r="BU77" i="98"/>
  <c r="BV33" i="98"/>
  <c r="BQ41" i="98"/>
  <c r="BV62" i="98"/>
  <c r="BL8" i="98"/>
  <c r="BV52" i="98"/>
  <c r="BV71" i="98"/>
  <c r="BV78" i="98"/>
  <c r="BV77" i="98" s="1"/>
  <c r="BV82" i="98"/>
  <c r="BQ8" i="98"/>
  <c r="BQ38" i="98" s="1"/>
  <c r="BV11" i="98"/>
  <c r="BV15" i="98"/>
  <c r="BV27" i="98"/>
  <c r="BV36" i="98"/>
  <c r="BV35" i="98" s="1"/>
  <c r="BV57" i="98"/>
  <c r="BV60" i="98"/>
  <c r="BV14" i="98"/>
  <c r="BV13" i="98"/>
  <c r="BU41" i="98"/>
  <c r="BU50" i="98"/>
  <c r="BV58" i="98"/>
  <c r="BV61" i="98"/>
  <c r="BV64" i="98"/>
  <c r="BV67" i="98"/>
  <c r="BV70" i="98"/>
  <c r="BV74" i="98"/>
  <c r="BV73" i="98" s="1"/>
  <c r="BQ39" i="98"/>
  <c r="BK75" i="98"/>
  <c r="BK39" i="98"/>
  <c r="BO39" i="98"/>
  <c r="BO75" i="98"/>
  <c r="BL5" i="98"/>
  <c r="BP75" i="98"/>
  <c r="BP39" i="98"/>
  <c r="BJ75" i="98"/>
  <c r="BJ39" i="98"/>
  <c r="BG41" i="98"/>
  <c r="BL41" i="98"/>
  <c r="BV51" i="98"/>
  <c r="BT50" i="98"/>
  <c r="BV55" i="98"/>
  <c r="BE75" i="98"/>
  <c r="BE39" i="98"/>
  <c r="BF81" i="98"/>
  <c r="BF83" i="98" s="1"/>
  <c r="BF84" i="98" s="1"/>
  <c r="BF86" i="98" s="1"/>
  <c r="BF87" i="98" s="1"/>
  <c r="BF76" i="98"/>
  <c r="BL35" i="98"/>
  <c r="BQ54" i="98"/>
  <c r="BQ75" i="98" s="1"/>
  <c r="BV42" i="98"/>
  <c r="BG50" i="98"/>
  <c r="BL50" i="98"/>
  <c r="BG54" i="98"/>
  <c r="BL54" i="98"/>
  <c r="BV10" i="98"/>
  <c r="BG35" i="98"/>
  <c r="BG38" i="98"/>
  <c r="BL89" i="98" l="1"/>
  <c r="BQ89" i="98"/>
  <c r="BM79" i="98"/>
  <c r="BM49" i="98"/>
  <c r="BR72" i="98"/>
  <c r="BR32" i="98"/>
  <c r="BM31" i="98"/>
  <c r="BR29" i="98"/>
  <c r="BM28" i="98"/>
  <c r="BR26" i="98"/>
  <c r="BM25" i="98"/>
  <c r="BR23" i="98"/>
  <c r="BM22" i="98"/>
  <c r="BR20" i="98"/>
  <c r="BM19" i="98"/>
  <c r="BR17" i="98"/>
  <c r="BM16" i="98"/>
  <c r="BR14" i="98"/>
  <c r="BM13" i="98"/>
  <c r="BR11" i="98"/>
  <c r="BM10" i="98"/>
  <c r="BM72" i="98"/>
  <c r="BR79" i="98"/>
  <c r="BR33" i="98"/>
  <c r="BM32" i="98"/>
  <c r="BR30" i="98"/>
  <c r="BM29" i="98"/>
  <c r="BR27" i="98"/>
  <c r="BM26" i="98"/>
  <c r="BR24" i="98"/>
  <c r="BM23" i="98"/>
  <c r="BR21" i="98"/>
  <c r="BM20" i="98"/>
  <c r="BR18" i="98"/>
  <c r="BM17" i="98"/>
  <c r="BR15" i="98"/>
  <c r="BM14" i="98"/>
  <c r="BR12" i="98"/>
  <c r="BM11" i="98"/>
  <c r="BR9" i="98"/>
  <c r="BM30" i="98"/>
  <c r="BR25" i="98"/>
  <c r="BM12" i="98"/>
  <c r="BM27" i="98"/>
  <c r="BR22" i="98"/>
  <c r="BM9" i="98"/>
  <c r="BM8" i="98"/>
  <c r="BR49" i="98"/>
  <c r="BM24" i="98"/>
  <c r="BR19" i="98"/>
  <c r="BM21" i="98"/>
  <c r="BR16" i="98"/>
  <c r="BR31" i="98"/>
  <c r="BM18" i="98"/>
  <c r="BR13" i="98"/>
  <c r="BM33" i="98"/>
  <c r="BR28" i="98"/>
  <c r="BM15" i="98"/>
  <c r="BR10" i="98"/>
  <c r="BR41" i="98"/>
  <c r="BM51" i="98"/>
  <c r="BM45" i="98"/>
  <c r="BR45" i="98"/>
  <c r="BR61" i="98"/>
  <c r="BR70" i="98"/>
  <c r="BR42" i="98"/>
  <c r="BM65" i="98"/>
  <c r="BR48" i="98"/>
  <c r="BR55" i="98"/>
  <c r="BM60" i="98"/>
  <c r="BR69" i="98"/>
  <c r="BR52" i="98"/>
  <c r="BR46" i="98"/>
  <c r="BM52" i="98"/>
  <c r="BM57" i="98"/>
  <c r="BM66" i="98"/>
  <c r="BR64" i="98"/>
  <c r="BM44" i="98"/>
  <c r="BM55" i="98"/>
  <c r="BM64" i="98"/>
  <c r="BR47" i="98"/>
  <c r="BM61" i="98"/>
  <c r="BM70" i="98"/>
  <c r="BR8" i="98"/>
  <c r="BR58" i="98"/>
  <c r="BR67" i="98"/>
  <c r="BM46" i="98"/>
  <c r="BR56" i="98"/>
  <c r="BR65" i="98"/>
  <c r="BM62" i="98"/>
  <c r="BM71" i="98"/>
  <c r="BM43" i="98"/>
  <c r="BR62" i="98"/>
  <c r="BR71" i="98"/>
  <c r="BM42" i="98"/>
  <c r="BM58" i="98"/>
  <c r="BM67" i="98"/>
  <c r="BM47" i="98"/>
  <c r="BR57" i="98"/>
  <c r="BR66" i="98"/>
  <c r="BR51" i="98"/>
  <c r="BM63" i="98"/>
  <c r="BR63" i="98"/>
  <c r="BR43" i="98"/>
  <c r="BM59" i="98"/>
  <c r="BM68" i="98"/>
  <c r="BR50" i="98"/>
  <c r="BR59" i="98"/>
  <c r="BR68" i="98"/>
  <c r="BM48" i="98"/>
  <c r="BR44" i="98"/>
  <c r="BM69" i="98"/>
  <c r="BR60" i="98"/>
  <c r="BM56" i="98"/>
  <c r="BQ81" i="98"/>
  <c r="BQ83" i="98" s="1"/>
  <c r="BQ84" i="98" s="1"/>
  <c r="BQ86" i="98" s="1"/>
  <c r="BQ87" i="98" s="1"/>
  <c r="BQ76" i="98"/>
  <c r="BE76" i="98"/>
  <c r="BE81" i="98"/>
  <c r="BE83" i="98" s="1"/>
  <c r="BE84" i="98" s="1"/>
  <c r="BE86" i="98" s="1"/>
  <c r="BE87" i="98" s="1"/>
  <c r="BM41" i="98"/>
  <c r="BP81" i="98"/>
  <c r="BP83" i="98" s="1"/>
  <c r="BP84" i="98" s="1"/>
  <c r="BP86" i="98" s="1"/>
  <c r="BP87" i="98" s="1"/>
  <c r="BP76" i="98"/>
  <c r="BL92" i="98"/>
  <c r="BL38" i="98"/>
  <c r="BK81" i="98"/>
  <c r="BK83" i="98" s="1"/>
  <c r="BK84" i="98" s="1"/>
  <c r="BK86" i="98" s="1"/>
  <c r="BK87" i="98" s="1"/>
  <c r="BK76" i="98"/>
  <c r="BG39" i="98"/>
  <c r="BG75" i="98"/>
  <c r="BM50" i="98"/>
  <c r="BV50" i="98"/>
  <c r="BO81" i="98"/>
  <c r="BO83" i="98" s="1"/>
  <c r="BO84" i="98" s="1"/>
  <c r="BO86" i="98" s="1"/>
  <c r="BO87" i="98" s="1"/>
  <c r="BO76" i="98"/>
  <c r="BJ81" i="98"/>
  <c r="BJ83" i="98" s="1"/>
  <c r="BJ84" i="98" s="1"/>
  <c r="BJ86" i="98" s="1"/>
  <c r="BJ87" i="98" s="1"/>
  <c r="BJ76" i="98"/>
  <c r="BM54" i="98"/>
  <c r="BR54" i="98"/>
  <c r="BL75" i="98" l="1"/>
  <c r="BL39" i="98"/>
  <c r="BG76" i="98"/>
  <c r="BL81" i="98" l="1"/>
  <c r="BL83" i="98" s="1"/>
  <c r="BL84" i="98" s="1"/>
  <c r="BL86" i="98" s="1"/>
  <c r="BL87" i="98" s="1"/>
  <c r="BL76" i="98"/>
  <c r="AW79" i="109" l="1"/>
  <c r="AU6" i="109" l="1"/>
  <c r="BK85" i="99"/>
  <c r="BJ85" i="99"/>
  <c r="BK82" i="99"/>
  <c r="BJ82" i="99"/>
  <c r="BK79" i="99"/>
  <c r="BJ79" i="99"/>
  <c r="BK78" i="99"/>
  <c r="BJ78" i="99"/>
  <c r="BK74" i="99"/>
  <c r="BJ74" i="99"/>
  <c r="BK71" i="99"/>
  <c r="BJ71" i="99"/>
  <c r="BK70" i="99"/>
  <c r="BJ70" i="99"/>
  <c r="BK69" i="99"/>
  <c r="BJ69" i="99"/>
  <c r="BK68" i="99"/>
  <c r="BJ68" i="99"/>
  <c r="BK67" i="99"/>
  <c r="BJ67" i="99"/>
  <c r="BK66" i="99"/>
  <c r="BJ66" i="99"/>
  <c r="BK65" i="99"/>
  <c r="BJ65" i="99"/>
  <c r="BK64" i="99"/>
  <c r="BJ64" i="99"/>
  <c r="BK63" i="99"/>
  <c r="BK62" i="99"/>
  <c r="BJ62" i="99"/>
  <c r="BK61" i="99"/>
  <c r="BJ61" i="99"/>
  <c r="BK60" i="99"/>
  <c r="BK59" i="99"/>
  <c r="BK57" i="99"/>
  <c r="BJ57" i="99"/>
  <c r="BK56" i="99"/>
  <c r="BJ56" i="99"/>
  <c r="BK55" i="99"/>
  <c r="BJ55" i="99"/>
  <c r="BK52" i="99"/>
  <c r="BJ52" i="99"/>
  <c r="BK51" i="99"/>
  <c r="BJ51" i="99"/>
  <c r="BK48" i="99"/>
  <c r="BJ48" i="99"/>
  <c r="BK47" i="99"/>
  <c r="BJ47" i="99"/>
  <c r="BK46" i="99"/>
  <c r="BJ46" i="99"/>
  <c r="BK45" i="99"/>
  <c r="BJ45" i="99"/>
  <c r="BK44" i="99"/>
  <c r="BJ44" i="99"/>
  <c r="BK43" i="99"/>
  <c r="BJ43" i="99"/>
  <c r="BK42" i="99"/>
  <c r="BJ42" i="99"/>
  <c r="BK36" i="99"/>
  <c r="BJ36" i="99"/>
  <c r="BK33" i="99"/>
  <c r="BJ33" i="99"/>
  <c r="BK32" i="99"/>
  <c r="BJ32" i="99"/>
  <c r="BK31" i="99"/>
  <c r="BJ31" i="99"/>
  <c r="BJ30" i="99"/>
  <c r="BK28" i="99"/>
  <c r="BK27" i="99"/>
  <c r="BJ27" i="99"/>
  <c r="BK26" i="99"/>
  <c r="BK25" i="99"/>
  <c r="BK24" i="99"/>
  <c r="BK23" i="99"/>
  <c r="BJ23" i="99"/>
  <c r="BK22" i="99"/>
  <c r="BK21" i="99"/>
  <c r="BK20" i="99"/>
  <c r="BK19" i="99"/>
  <c r="BJ19" i="99"/>
  <c r="BK18" i="99"/>
  <c r="BK17" i="99"/>
  <c r="BJ17" i="99"/>
  <c r="BK16" i="99"/>
  <c r="BJ16" i="99"/>
  <c r="BK15" i="99"/>
  <c r="BJ15" i="99"/>
  <c r="BK14" i="99"/>
  <c r="BJ14" i="99"/>
  <c r="BK13" i="99"/>
  <c r="BJ13" i="99"/>
  <c r="BK12" i="99"/>
  <c r="BJ12" i="99"/>
  <c r="BK11" i="99"/>
  <c r="BK10" i="99"/>
  <c r="BK9" i="99"/>
  <c r="BJ7" i="99"/>
  <c r="BK7" i="99"/>
  <c r="BK6" i="99"/>
  <c r="BA85" i="86"/>
  <c r="AZ85" i="86"/>
  <c r="BA79" i="86"/>
  <c r="AZ79" i="86"/>
  <c r="BA78" i="86"/>
  <c r="AZ78" i="86"/>
  <c r="BA74" i="86"/>
  <c r="AZ74" i="86"/>
  <c r="BA71" i="86"/>
  <c r="AZ71" i="86"/>
  <c r="BA70" i="86"/>
  <c r="AZ70" i="86"/>
  <c r="BA69" i="86"/>
  <c r="AZ69" i="86"/>
  <c r="BA68" i="86"/>
  <c r="AZ68" i="86"/>
  <c r="BA67" i="86"/>
  <c r="AZ67" i="86"/>
  <c r="BA66" i="86"/>
  <c r="AZ66" i="86"/>
  <c r="BA65" i="86"/>
  <c r="AZ65" i="86"/>
  <c r="BA64" i="86"/>
  <c r="AZ64" i="86"/>
  <c r="BA63" i="86"/>
  <c r="AZ63" i="86"/>
  <c r="BA62" i="86"/>
  <c r="AZ62" i="86"/>
  <c r="BA61" i="86"/>
  <c r="AZ61" i="86"/>
  <c r="BA60" i="86"/>
  <c r="AZ60" i="86"/>
  <c r="BA59" i="86"/>
  <c r="AZ59" i="86"/>
  <c r="BA58" i="86"/>
  <c r="AZ58" i="86"/>
  <c r="BA57" i="86"/>
  <c r="AZ57" i="86"/>
  <c r="BA56" i="86"/>
  <c r="AZ56" i="86"/>
  <c r="BA55" i="86"/>
  <c r="AZ55" i="86"/>
  <c r="BA52" i="86"/>
  <c r="AZ52" i="86"/>
  <c r="BA51" i="86"/>
  <c r="AZ51" i="86"/>
  <c r="BA48" i="86"/>
  <c r="AZ48" i="86"/>
  <c r="BA47" i="86"/>
  <c r="AZ47" i="86"/>
  <c r="BA46" i="86"/>
  <c r="AZ46" i="86"/>
  <c r="BA45" i="86"/>
  <c r="AZ45" i="86"/>
  <c r="BA44" i="86"/>
  <c r="AZ44" i="86"/>
  <c r="BA43" i="86"/>
  <c r="AZ43" i="86"/>
  <c r="BA42" i="86"/>
  <c r="AZ42" i="86"/>
  <c r="BA36" i="86"/>
  <c r="AZ36" i="86"/>
  <c r="BA33" i="86"/>
  <c r="AZ33" i="86"/>
  <c r="BA32" i="86"/>
  <c r="AZ32" i="86"/>
  <c r="BA31" i="86"/>
  <c r="BA30" i="86"/>
  <c r="AZ30" i="86"/>
  <c r="BA29" i="86"/>
  <c r="AZ29" i="86"/>
  <c r="BA28" i="86"/>
  <c r="AZ28" i="86"/>
  <c r="BA27" i="86"/>
  <c r="AZ27" i="86"/>
  <c r="BA26" i="86"/>
  <c r="BA25" i="86"/>
  <c r="BA24" i="86"/>
  <c r="BA23" i="86"/>
  <c r="AZ23" i="86"/>
  <c r="BA22" i="86"/>
  <c r="AZ22" i="86"/>
  <c r="BA21" i="86"/>
  <c r="BA20" i="86"/>
  <c r="AZ20" i="86"/>
  <c r="BA19" i="86"/>
  <c r="AZ19" i="86"/>
  <c r="BA18" i="86"/>
  <c r="BA17" i="86"/>
  <c r="AZ17" i="86"/>
  <c r="AZ16" i="86"/>
  <c r="BA15" i="86"/>
  <c r="AZ15" i="86"/>
  <c r="BA14" i="86"/>
  <c r="AZ14" i="86"/>
  <c r="BA13" i="86"/>
  <c r="AZ13" i="86"/>
  <c r="BA12" i="86"/>
  <c r="AZ12" i="86"/>
  <c r="BA11" i="86"/>
  <c r="AZ11" i="86"/>
  <c r="BA10" i="86"/>
  <c r="AZ10" i="86"/>
  <c r="BA9" i="86"/>
  <c r="AZ9" i="86"/>
  <c r="AZ7" i="86"/>
  <c r="BA7" i="86"/>
  <c r="BA6" i="86"/>
  <c r="E79" i="108"/>
  <c r="AQ85" i="108" l="1"/>
  <c r="AP85" i="108"/>
  <c r="AR85" i="108" s="1"/>
  <c r="AR82" i="108"/>
  <c r="AQ82" i="108"/>
  <c r="AP82" i="108"/>
  <c r="AQ79" i="108"/>
  <c r="AP79" i="108"/>
  <c r="AQ78" i="108"/>
  <c r="AP78" i="108"/>
  <c r="AQ74" i="108"/>
  <c r="AQ73" i="108" s="1"/>
  <c r="AQ72" i="108"/>
  <c r="AP72" i="108"/>
  <c r="AQ71" i="108"/>
  <c r="AP71" i="108"/>
  <c r="AR71" i="108" s="1"/>
  <c r="AQ70" i="108"/>
  <c r="AP70" i="108"/>
  <c r="AR70" i="108" s="1"/>
  <c r="AQ69" i="108"/>
  <c r="AP69" i="108"/>
  <c r="AQ68" i="108"/>
  <c r="AP68" i="108"/>
  <c r="AQ67" i="108"/>
  <c r="AP67" i="108"/>
  <c r="AR67" i="108" s="1"/>
  <c r="AQ66" i="108"/>
  <c r="AP66" i="108"/>
  <c r="AR66" i="108" s="1"/>
  <c r="AQ65" i="108"/>
  <c r="AP65" i="108"/>
  <c r="AQ64" i="108"/>
  <c r="AR64" i="108" s="1"/>
  <c r="AP64" i="108"/>
  <c r="AQ63" i="108"/>
  <c r="AP63" i="108"/>
  <c r="AR63" i="108" s="1"/>
  <c r="AQ62" i="108"/>
  <c r="AP62" i="108"/>
  <c r="AQ61" i="108"/>
  <c r="AP61" i="108"/>
  <c r="AR61" i="108" s="1"/>
  <c r="AQ60" i="108"/>
  <c r="AP60" i="108"/>
  <c r="AQ59" i="108"/>
  <c r="AP59" i="108"/>
  <c r="AR59" i="108" s="1"/>
  <c r="AQ58" i="108"/>
  <c r="AP58" i="108"/>
  <c r="AR58" i="108" s="1"/>
  <c r="AQ57" i="108"/>
  <c r="AP57" i="108"/>
  <c r="AQ56" i="108"/>
  <c r="AP56" i="108"/>
  <c r="AR56" i="108" s="1"/>
  <c r="AQ55" i="108"/>
  <c r="AP55" i="108"/>
  <c r="AR55" i="108" s="1"/>
  <c r="AQ53" i="108"/>
  <c r="AP53" i="108"/>
  <c r="AQ52" i="108"/>
  <c r="AP52" i="108"/>
  <c r="AQ51" i="108"/>
  <c r="AP51" i="108"/>
  <c r="AR51" i="108" s="1"/>
  <c r="AQ49" i="108"/>
  <c r="AP49" i="108"/>
  <c r="AQ48" i="108"/>
  <c r="AP48" i="108"/>
  <c r="AR48" i="108" s="1"/>
  <c r="AQ47" i="108"/>
  <c r="AP47" i="108"/>
  <c r="AQ46" i="108"/>
  <c r="AP46" i="108"/>
  <c r="AR46" i="108" s="1"/>
  <c r="AQ45" i="108"/>
  <c r="AP45" i="108"/>
  <c r="AR45" i="108" s="1"/>
  <c r="AQ44" i="108"/>
  <c r="AP44" i="108"/>
  <c r="AQ43" i="108"/>
  <c r="AP43" i="108"/>
  <c r="AQ42" i="108"/>
  <c r="AP42" i="108"/>
  <c r="AR42" i="108" s="1"/>
  <c r="AQ36" i="108"/>
  <c r="AQ35" i="108" s="1"/>
  <c r="AP36" i="108"/>
  <c r="AP35" i="108" s="1"/>
  <c r="AQ33" i="108"/>
  <c r="AP33" i="108"/>
  <c r="AR33" i="108" s="1"/>
  <c r="AQ32" i="108"/>
  <c r="AP32" i="108"/>
  <c r="AQ31" i="108"/>
  <c r="AP31" i="108"/>
  <c r="AR31" i="108" s="1"/>
  <c r="AQ30" i="108"/>
  <c r="AP30" i="108"/>
  <c r="AQ29" i="108"/>
  <c r="AP29" i="108"/>
  <c r="AR29" i="108" s="1"/>
  <c r="AQ28" i="108"/>
  <c r="AP28" i="108"/>
  <c r="AR28" i="108" s="1"/>
  <c r="AQ27" i="108"/>
  <c r="AP27" i="108"/>
  <c r="AQ26" i="108"/>
  <c r="AQ25" i="108"/>
  <c r="AQ24" i="108"/>
  <c r="AP24" i="108"/>
  <c r="AR24" i="108" s="1"/>
  <c r="AQ23" i="108"/>
  <c r="AP23" i="108"/>
  <c r="AR23" i="108" s="1"/>
  <c r="AQ22" i="108"/>
  <c r="AP22" i="108"/>
  <c r="AQ21" i="108"/>
  <c r="AP21" i="108"/>
  <c r="AR21" i="108" s="1"/>
  <c r="AQ20" i="108"/>
  <c r="AP20" i="108"/>
  <c r="AR20" i="108" s="1"/>
  <c r="AQ19" i="108"/>
  <c r="AP19" i="108"/>
  <c r="AR19" i="108" s="1"/>
  <c r="AQ18" i="108"/>
  <c r="AQ17" i="108"/>
  <c r="AR17" i="108" s="1"/>
  <c r="AP17" i="108"/>
  <c r="AP16" i="108"/>
  <c r="AQ15" i="108"/>
  <c r="AP15" i="108"/>
  <c r="AQ14" i="108"/>
  <c r="AQ13" i="108"/>
  <c r="AQ12" i="108"/>
  <c r="AP12" i="108"/>
  <c r="AR12" i="108" s="1"/>
  <c r="AQ11" i="108"/>
  <c r="AP11" i="108"/>
  <c r="AR11" i="108" s="1"/>
  <c r="AQ10" i="108"/>
  <c r="AP10" i="108"/>
  <c r="AQ9" i="108"/>
  <c r="AP9" i="108"/>
  <c r="AR9" i="108" s="1"/>
  <c r="AQ7" i="108"/>
  <c r="AP7" i="108"/>
  <c r="AQ6" i="108"/>
  <c r="AQ5" i="108" s="1"/>
  <c r="AM85" i="108"/>
  <c r="AM82" i="108"/>
  <c r="AM78" i="108"/>
  <c r="AM77" i="108" s="1"/>
  <c r="AL77" i="108"/>
  <c r="AK77" i="108"/>
  <c r="AM74" i="108"/>
  <c r="AM73" i="108" s="1"/>
  <c r="AL73" i="108"/>
  <c r="AK73" i="108"/>
  <c r="AM71" i="108"/>
  <c r="AM70" i="108"/>
  <c r="AM69" i="108"/>
  <c r="AM68" i="108"/>
  <c r="AM67" i="108"/>
  <c r="AM66" i="108"/>
  <c r="AM65" i="108"/>
  <c r="AM64" i="108"/>
  <c r="AM63" i="108"/>
  <c r="AM62" i="108"/>
  <c r="AM61" i="108"/>
  <c r="AM60" i="108"/>
  <c r="AM59" i="108"/>
  <c r="AM58" i="108"/>
  <c r="AM57" i="108"/>
  <c r="AM56" i="108"/>
  <c r="AM55" i="108"/>
  <c r="AM54" i="108" s="1"/>
  <c r="AL54" i="108"/>
  <c r="AK54" i="108"/>
  <c r="AM52" i="108"/>
  <c r="AM51" i="108"/>
  <c r="AM50" i="108" s="1"/>
  <c r="AL50" i="108"/>
  <c r="AK50" i="108"/>
  <c r="AM48" i="108"/>
  <c r="AM47" i="108"/>
  <c r="AM46" i="108"/>
  <c r="AM45" i="108"/>
  <c r="AM44" i="108"/>
  <c r="AM41" i="108" s="1"/>
  <c r="AM43" i="108"/>
  <c r="AM42" i="108"/>
  <c r="AL41" i="108"/>
  <c r="AK41" i="108"/>
  <c r="AM36" i="108"/>
  <c r="AL35" i="108"/>
  <c r="AK35" i="108"/>
  <c r="AM33" i="108"/>
  <c r="AM32" i="108"/>
  <c r="AM31" i="108"/>
  <c r="AM30" i="108"/>
  <c r="AM29" i="108"/>
  <c r="AM28" i="108"/>
  <c r="AM27" i="108"/>
  <c r="AM26" i="108"/>
  <c r="AK25" i="108"/>
  <c r="AM25" i="108" s="1"/>
  <c r="AM24" i="108"/>
  <c r="AM22" i="108"/>
  <c r="AM21" i="108"/>
  <c r="AM20" i="108"/>
  <c r="AM19" i="108"/>
  <c r="AM18" i="108"/>
  <c r="AM17" i="108"/>
  <c r="AM16" i="108"/>
  <c r="AM15" i="108"/>
  <c r="AM14" i="108"/>
  <c r="AM13" i="108"/>
  <c r="AM12" i="108"/>
  <c r="AM11" i="108"/>
  <c r="AM10" i="108"/>
  <c r="AM9" i="108"/>
  <c r="AL8" i="108"/>
  <c r="AK8" i="108"/>
  <c r="AM7" i="108"/>
  <c r="AM5" i="108" s="1"/>
  <c r="AM6" i="108"/>
  <c r="AL5" i="108"/>
  <c r="AK5" i="108"/>
  <c r="BB85" i="98"/>
  <c r="AW85" i="98"/>
  <c r="BB82" i="98"/>
  <c r="AW82" i="98"/>
  <c r="BB78" i="98"/>
  <c r="BB77" i="98" s="1"/>
  <c r="AW78" i="98"/>
  <c r="BA77" i="98"/>
  <c r="AZ77" i="98"/>
  <c r="AW77" i="98"/>
  <c r="AV77" i="98"/>
  <c r="AU77" i="98"/>
  <c r="BB74" i="98"/>
  <c r="BB73" i="98" s="1"/>
  <c r="AW74" i="98"/>
  <c r="AW73" i="98" s="1"/>
  <c r="BA73" i="98"/>
  <c r="AZ73" i="98"/>
  <c r="AV73" i="98"/>
  <c r="AU73" i="98"/>
  <c r="BB71" i="98"/>
  <c r="AW71" i="98"/>
  <c r="BB70" i="98"/>
  <c r="AW70" i="98"/>
  <c r="BB69" i="98"/>
  <c r="AW69" i="98"/>
  <c r="BB68" i="98"/>
  <c r="AW68" i="98"/>
  <c r="BB67" i="98"/>
  <c r="AW67" i="98"/>
  <c r="BB66" i="98"/>
  <c r="AW66" i="98"/>
  <c r="BB65" i="98"/>
  <c r="AW65" i="98"/>
  <c r="BB64" i="98"/>
  <c r="AW64" i="98"/>
  <c r="BB63" i="98"/>
  <c r="AW63" i="98"/>
  <c r="BB62" i="98"/>
  <c r="AW62" i="98"/>
  <c r="BB61" i="98"/>
  <c r="AW61" i="98"/>
  <c r="BB60" i="98"/>
  <c r="AW60" i="98"/>
  <c r="BB59" i="98"/>
  <c r="AW59" i="98"/>
  <c r="BB58" i="98"/>
  <c r="AW58" i="98"/>
  <c r="BB57" i="98"/>
  <c r="AW57" i="98"/>
  <c r="BB56" i="98"/>
  <c r="AW56" i="98"/>
  <c r="BB55" i="98"/>
  <c r="BB54" i="98" s="1"/>
  <c r="AW55" i="98"/>
  <c r="BA54" i="98"/>
  <c r="AZ54" i="98"/>
  <c r="AV54" i="98"/>
  <c r="AU54" i="98"/>
  <c r="BB52" i="98"/>
  <c r="AW52" i="98"/>
  <c r="AW50" i="98" s="1"/>
  <c r="BB51" i="98"/>
  <c r="AW51" i="98"/>
  <c r="BA50" i="98"/>
  <c r="AZ50" i="98"/>
  <c r="AV50" i="98"/>
  <c r="AU50" i="98"/>
  <c r="BB48" i="98"/>
  <c r="AU48" i="98"/>
  <c r="BB47" i="98"/>
  <c r="AW47" i="98"/>
  <c r="BB46" i="98"/>
  <c r="AW46" i="98"/>
  <c r="BB45" i="98"/>
  <c r="AW45" i="98"/>
  <c r="BB44" i="98"/>
  <c r="AW44" i="98"/>
  <c r="BB43" i="98"/>
  <c r="AW43" i="98"/>
  <c r="BB42" i="98"/>
  <c r="AW42" i="98"/>
  <c r="BA41" i="98"/>
  <c r="AZ41" i="98"/>
  <c r="AV41" i="98"/>
  <c r="AU41" i="98"/>
  <c r="BB36" i="98"/>
  <c r="BB35" i="98" s="1"/>
  <c r="AW36" i="98"/>
  <c r="AW35" i="98" s="1"/>
  <c r="BA35" i="98"/>
  <c r="AZ35" i="98"/>
  <c r="AV35" i="98"/>
  <c r="AU35" i="98"/>
  <c r="BB33" i="98"/>
  <c r="AW33" i="98"/>
  <c r="BB32" i="98"/>
  <c r="AW32" i="98"/>
  <c r="BB31" i="98"/>
  <c r="AW31" i="98"/>
  <c r="BB30" i="98"/>
  <c r="AW30" i="98"/>
  <c r="BB29" i="98"/>
  <c r="AW29" i="98"/>
  <c r="BB28" i="98"/>
  <c r="AW28" i="98"/>
  <c r="BB27" i="98"/>
  <c r="AW27" i="98"/>
  <c r="BB26" i="98"/>
  <c r="AU26" i="98"/>
  <c r="AW26" i="98" s="1"/>
  <c r="BB25" i="98"/>
  <c r="AU25" i="98"/>
  <c r="AW25" i="98" s="1"/>
  <c r="BB24" i="98"/>
  <c r="AW24" i="98"/>
  <c r="BB23" i="98"/>
  <c r="AW23" i="98"/>
  <c r="BB22" i="98"/>
  <c r="AW22" i="98"/>
  <c r="BB21" i="98"/>
  <c r="AW21" i="98"/>
  <c r="BB20" i="98"/>
  <c r="AW20" i="98"/>
  <c r="BB19" i="98"/>
  <c r="AW19" i="98"/>
  <c r="BB18" i="98"/>
  <c r="AU18" i="98"/>
  <c r="AW18" i="98" s="1"/>
  <c r="BB17" i="98"/>
  <c r="AW17" i="98"/>
  <c r="BB16" i="98"/>
  <c r="AW16" i="98"/>
  <c r="BB15" i="98"/>
  <c r="AW15" i="98"/>
  <c r="BB14" i="98"/>
  <c r="AW14" i="98"/>
  <c r="BB13" i="98"/>
  <c r="AW13" i="98"/>
  <c r="BB12" i="98"/>
  <c r="AW12" i="98"/>
  <c r="BB11" i="98"/>
  <c r="AW11" i="98"/>
  <c r="BB10" i="98"/>
  <c r="AW10" i="98"/>
  <c r="BB9" i="98"/>
  <c r="AW9" i="98"/>
  <c r="BA8" i="98"/>
  <c r="AZ8" i="98"/>
  <c r="AV8" i="98"/>
  <c r="BB7" i="98"/>
  <c r="BB5" i="98" s="1"/>
  <c r="AW7" i="98"/>
  <c r="BB6" i="98"/>
  <c r="AW6" i="98"/>
  <c r="BA5" i="98"/>
  <c r="BA38" i="98" s="1"/>
  <c r="AZ5" i="98"/>
  <c r="AZ38" i="98" s="1"/>
  <c r="AV5" i="98"/>
  <c r="AV38" i="98" s="1"/>
  <c r="AU5" i="98"/>
  <c r="BA85" i="127"/>
  <c r="AZ85" i="127"/>
  <c r="BA82" i="127"/>
  <c r="AZ82" i="127"/>
  <c r="BA79" i="127"/>
  <c r="AZ79" i="127"/>
  <c r="BA78" i="127"/>
  <c r="AZ78" i="127"/>
  <c r="BA74" i="127"/>
  <c r="AZ74" i="127"/>
  <c r="BA71" i="127"/>
  <c r="AZ71" i="127"/>
  <c r="BA70" i="127"/>
  <c r="AZ70" i="127"/>
  <c r="BA69" i="127"/>
  <c r="AZ69" i="127"/>
  <c r="BA68" i="127"/>
  <c r="AZ68" i="127"/>
  <c r="BA67" i="127"/>
  <c r="AZ67" i="127"/>
  <c r="BA66" i="127"/>
  <c r="AZ66" i="127"/>
  <c r="AZ65" i="127"/>
  <c r="BA64" i="127"/>
  <c r="AZ64" i="127"/>
  <c r="BA63" i="127"/>
  <c r="AZ63" i="127"/>
  <c r="BA62" i="127"/>
  <c r="AZ62" i="127"/>
  <c r="BA61" i="127"/>
  <c r="AZ61" i="127"/>
  <c r="BA60" i="127"/>
  <c r="AZ60" i="127"/>
  <c r="BA59" i="127"/>
  <c r="AZ59" i="127"/>
  <c r="BA58" i="127"/>
  <c r="AZ58" i="127"/>
  <c r="BA57" i="127"/>
  <c r="AZ57" i="127"/>
  <c r="BA56" i="127"/>
  <c r="AZ56" i="127"/>
  <c r="BA55" i="127"/>
  <c r="AZ55" i="127"/>
  <c r="BA52" i="127"/>
  <c r="AZ52" i="127"/>
  <c r="BA51" i="127"/>
  <c r="AZ51" i="127"/>
  <c r="BA48" i="127"/>
  <c r="AZ48" i="127"/>
  <c r="BA47" i="127"/>
  <c r="AZ47" i="127"/>
  <c r="BA46" i="127"/>
  <c r="AZ46" i="127"/>
  <c r="BA45" i="127"/>
  <c r="AZ45" i="127"/>
  <c r="BA44" i="127"/>
  <c r="AZ44" i="127"/>
  <c r="BA43" i="127"/>
  <c r="AZ43" i="127"/>
  <c r="BA42" i="127"/>
  <c r="AZ42" i="127"/>
  <c r="BA36" i="127"/>
  <c r="AZ36" i="127"/>
  <c r="BA33" i="127"/>
  <c r="AZ33" i="127"/>
  <c r="BA32" i="127"/>
  <c r="AZ32" i="127"/>
  <c r="AZ31" i="127"/>
  <c r="AZ30" i="127"/>
  <c r="BA29" i="127"/>
  <c r="BA28" i="127"/>
  <c r="AZ28" i="127"/>
  <c r="BA27" i="127"/>
  <c r="AZ27" i="127"/>
  <c r="BA26" i="127"/>
  <c r="BA25" i="127"/>
  <c r="AZ25" i="127"/>
  <c r="BA24" i="127"/>
  <c r="BA23" i="127"/>
  <c r="AZ23" i="127"/>
  <c r="BA22" i="127"/>
  <c r="AZ22" i="127"/>
  <c r="BA21" i="127"/>
  <c r="AZ21" i="127"/>
  <c r="BA20" i="127"/>
  <c r="AZ20" i="127"/>
  <c r="BA19" i="127"/>
  <c r="AZ19" i="127"/>
  <c r="BA18" i="127"/>
  <c r="AZ18" i="127"/>
  <c r="BA17" i="127"/>
  <c r="AZ17" i="127"/>
  <c r="BA16" i="127"/>
  <c r="AZ16" i="127"/>
  <c r="BA15" i="127"/>
  <c r="AZ15" i="127"/>
  <c r="BA14" i="127"/>
  <c r="AZ14" i="127"/>
  <c r="BA13" i="127"/>
  <c r="AZ13" i="127"/>
  <c r="BA12" i="127"/>
  <c r="AZ12" i="127"/>
  <c r="BA11" i="127"/>
  <c r="AZ11" i="127"/>
  <c r="BA10" i="127"/>
  <c r="AZ10" i="127"/>
  <c r="BA9" i="127"/>
  <c r="AZ9" i="127"/>
  <c r="AZ7" i="127"/>
  <c r="BA7" i="127"/>
  <c r="BA6" i="127"/>
  <c r="AZ6" i="127"/>
  <c r="AK38" i="108" l="1"/>
  <c r="AQ50" i="108"/>
  <c r="AR68" i="108"/>
  <c r="AL38" i="108"/>
  <c r="AR53" i="108"/>
  <c r="AR30" i="108"/>
  <c r="AR44" i="108"/>
  <c r="AQ54" i="108"/>
  <c r="AP54" i="108"/>
  <c r="AM8" i="108"/>
  <c r="AM38" i="108"/>
  <c r="AQ41" i="108"/>
  <c r="AW5" i="98"/>
  <c r="AP25" i="108"/>
  <c r="AR25" i="108" s="1"/>
  <c r="AR60" i="108"/>
  <c r="AR65" i="108"/>
  <c r="AR72" i="108"/>
  <c r="AP77" i="108"/>
  <c r="AP41" i="108"/>
  <c r="AW48" i="98"/>
  <c r="AW41" i="98" s="1"/>
  <c r="BT48" i="98"/>
  <c r="BV48" i="98" s="1"/>
  <c r="AR7" i="108"/>
  <c r="AR10" i="108"/>
  <c r="AR15" i="108"/>
  <c r="AR22" i="108"/>
  <c r="AR27" i="108"/>
  <c r="AR32" i="108"/>
  <c r="AR47" i="108"/>
  <c r="AP50" i="108"/>
  <c r="AR57" i="108"/>
  <c r="AR62" i="108"/>
  <c r="AR69" i="108"/>
  <c r="AQ77" i="108"/>
  <c r="AR52" i="108"/>
  <c r="AR36" i="108"/>
  <c r="AR43" i="108"/>
  <c r="AR78" i="108"/>
  <c r="AK75" i="108"/>
  <c r="AK39" i="108"/>
  <c r="AL75" i="108"/>
  <c r="AL39" i="108"/>
  <c r="AM89" i="108"/>
  <c r="AN26" i="108" s="1"/>
  <c r="AM75" i="108"/>
  <c r="AM39" i="108"/>
  <c r="AM35" i="108"/>
  <c r="AW8" i="98"/>
  <c r="AV39" i="98"/>
  <c r="AV75" i="98"/>
  <c r="AZ39" i="98"/>
  <c r="AZ75" i="98"/>
  <c r="BA75" i="98"/>
  <c r="BA39" i="98"/>
  <c r="BB50" i="98"/>
  <c r="AW54" i="98"/>
  <c r="AU8" i="98"/>
  <c r="AU38" i="98" s="1"/>
  <c r="BB8" i="98"/>
  <c r="BB38" i="98" s="1"/>
  <c r="BB41" i="98"/>
  <c r="AN46" i="108" l="1"/>
  <c r="AN36" i="108"/>
  <c r="AN35" i="108"/>
  <c r="AR54" i="108"/>
  <c r="AN18" i="108"/>
  <c r="AN10" i="108"/>
  <c r="AR35" i="108"/>
  <c r="AR41" i="108"/>
  <c r="AR50" i="108"/>
  <c r="AN40" i="108"/>
  <c r="AN34" i="108"/>
  <c r="AN79" i="108"/>
  <c r="AN71" i="108"/>
  <c r="AN70" i="108"/>
  <c r="AN69" i="108"/>
  <c r="AN68" i="108"/>
  <c r="AN67" i="108"/>
  <c r="AN66" i="108"/>
  <c r="AN65" i="108"/>
  <c r="AN64" i="108"/>
  <c r="AN63" i="108"/>
  <c r="AN62" i="108"/>
  <c r="AN61" i="108"/>
  <c r="AN60" i="108"/>
  <c r="AN59" i="108"/>
  <c r="AN58" i="108"/>
  <c r="AN57" i="108"/>
  <c r="AN56" i="108"/>
  <c r="AN55" i="108"/>
  <c r="AN54" i="108"/>
  <c r="AN52" i="108"/>
  <c r="AN51" i="108"/>
  <c r="AN49" i="108"/>
  <c r="AN37" i="108"/>
  <c r="AN24" i="108"/>
  <c r="AN72" i="108"/>
  <c r="AN53" i="108"/>
  <c r="AN23" i="108"/>
  <c r="AN25" i="108"/>
  <c r="AN15" i="108"/>
  <c r="AN43" i="108"/>
  <c r="AN33" i="108"/>
  <c r="AL76" i="108"/>
  <c r="AL81" i="108"/>
  <c r="AL83" i="108" s="1"/>
  <c r="AL84" i="108" s="1"/>
  <c r="AL86" i="108" s="1"/>
  <c r="AL87" i="108" s="1"/>
  <c r="AN12" i="108"/>
  <c r="AN22" i="108"/>
  <c r="AN39" i="108"/>
  <c r="AN50" i="108"/>
  <c r="AN31" i="108"/>
  <c r="AN20" i="108"/>
  <c r="AN78" i="108"/>
  <c r="AN48" i="108"/>
  <c r="AN9" i="108"/>
  <c r="AN32" i="108"/>
  <c r="AN19" i="108"/>
  <c r="AN38" i="108"/>
  <c r="AN47" i="108"/>
  <c r="AN29" i="108"/>
  <c r="AN17" i="108"/>
  <c r="AN45" i="108"/>
  <c r="AN30" i="108"/>
  <c r="AN16" i="108"/>
  <c r="AM81" i="108"/>
  <c r="AM83" i="108" s="1"/>
  <c r="AM84" i="108" s="1"/>
  <c r="AM86" i="108" s="1"/>
  <c r="AM87" i="108" s="1"/>
  <c r="AM76" i="108"/>
  <c r="AN44" i="108"/>
  <c r="AN27" i="108"/>
  <c r="AN14" i="108"/>
  <c r="AN42" i="108"/>
  <c r="AN21" i="108"/>
  <c r="AN28" i="108"/>
  <c r="AN13" i="108"/>
  <c r="AN41" i="108"/>
  <c r="AN8" i="108"/>
  <c r="AN11" i="108"/>
  <c r="AK76" i="108"/>
  <c r="AK81" i="108"/>
  <c r="AK83" i="108" s="1"/>
  <c r="AK84" i="108" s="1"/>
  <c r="AK86" i="108" s="1"/>
  <c r="AK87" i="108" s="1"/>
  <c r="AU39" i="98"/>
  <c r="AU75" i="98"/>
  <c r="AV81" i="98"/>
  <c r="AV83" i="98" s="1"/>
  <c r="AV84" i="98" s="1"/>
  <c r="AV86" i="98" s="1"/>
  <c r="AV87" i="98" s="1"/>
  <c r="AV76" i="98"/>
  <c r="BB75" i="98"/>
  <c r="BB39" i="98"/>
  <c r="BA76" i="98"/>
  <c r="BA81" i="98"/>
  <c r="BA83" i="98" s="1"/>
  <c r="BA84" i="98" s="1"/>
  <c r="BA86" i="98" s="1"/>
  <c r="BA87" i="98" s="1"/>
  <c r="AW89" i="98"/>
  <c r="AW38" i="98"/>
  <c r="BB89" i="98"/>
  <c r="BC50" i="98" s="1"/>
  <c r="AZ76" i="98"/>
  <c r="AZ81" i="98"/>
  <c r="AZ83" i="98" s="1"/>
  <c r="AZ84" i="98" s="1"/>
  <c r="AZ86" i="98" s="1"/>
  <c r="AZ87" i="98" s="1"/>
  <c r="BB85" i="91"/>
  <c r="BB82" i="91"/>
  <c r="BB78" i="91"/>
  <c r="BA77" i="91"/>
  <c r="AZ77" i="91"/>
  <c r="BB74" i="91"/>
  <c r="BB73" i="91" s="1"/>
  <c r="BA73" i="91"/>
  <c r="AZ73" i="91"/>
  <c r="BB71" i="91"/>
  <c r="BB70" i="91"/>
  <c r="BB69" i="91"/>
  <c r="BB68" i="91"/>
  <c r="BB67" i="91"/>
  <c r="BB66" i="91"/>
  <c r="BB65" i="91"/>
  <c r="BB64" i="91"/>
  <c r="BB63" i="91"/>
  <c r="BB62" i="91"/>
  <c r="BB61" i="91"/>
  <c r="BB60" i="91"/>
  <c r="BB59" i="91"/>
  <c r="BB58" i="91"/>
  <c r="BB57" i="91"/>
  <c r="BB56" i="91"/>
  <c r="BB55" i="91"/>
  <c r="BA54" i="91"/>
  <c r="AZ54" i="91"/>
  <c r="BB52" i="91"/>
  <c r="BB51" i="91"/>
  <c r="BA50" i="91"/>
  <c r="AZ50" i="91"/>
  <c r="BB48" i="91"/>
  <c r="BB47" i="91"/>
  <c r="BB46" i="91"/>
  <c r="BB45" i="91"/>
  <c r="BB44" i="91"/>
  <c r="BB43" i="91"/>
  <c r="BB42" i="91"/>
  <c r="BA41" i="91"/>
  <c r="AZ41" i="91"/>
  <c r="BB36" i="91"/>
  <c r="BB35" i="91" s="1"/>
  <c r="BA35" i="91"/>
  <c r="AZ35" i="91"/>
  <c r="BB33" i="91"/>
  <c r="BB32" i="91"/>
  <c r="BB31" i="91"/>
  <c r="BB30" i="91"/>
  <c r="BB29" i="91"/>
  <c r="BB28" i="91"/>
  <c r="BB27" i="91"/>
  <c r="AZ26" i="91"/>
  <c r="BB26" i="91" s="1"/>
  <c r="BB25" i="91"/>
  <c r="BB24" i="91"/>
  <c r="BB23" i="91"/>
  <c r="BB22" i="91"/>
  <c r="BB21" i="91"/>
  <c r="BB20" i="91"/>
  <c r="BB19" i="91"/>
  <c r="BB18" i="91"/>
  <c r="BB17" i="91"/>
  <c r="BB16" i="91"/>
  <c r="BB15" i="91"/>
  <c r="BB14" i="91"/>
  <c r="BB13" i="91"/>
  <c r="BB12" i="91"/>
  <c r="BB11" i="91"/>
  <c r="BB10" i="91"/>
  <c r="BB9" i="91"/>
  <c r="BA8" i="91"/>
  <c r="AZ8" i="91"/>
  <c r="BB7" i="91"/>
  <c r="BB6" i="91"/>
  <c r="BB5" i="91" s="1"/>
  <c r="BA5" i="91"/>
  <c r="BA38" i="91" s="1"/>
  <c r="BA75" i="91" s="1"/>
  <c r="AZ5" i="91"/>
  <c r="AZ38" i="91" s="1"/>
  <c r="AR85" i="109"/>
  <c r="AR82" i="109"/>
  <c r="AR78" i="109"/>
  <c r="AQ77" i="109"/>
  <c r="AP77" i="109"/>
  <c r="AR74" i="109"/>
  <c r="AR73" i="109" s="1"/>
  <c r="AQ73" i="109"/>
  <c r="AP73" i="109"/>
  <c r="AR71" i="109"/>
  <c r="AR70" i="109"/>
  <c r="AR69" i="109"/>
  <c r="AR68" i="109"/>
  <c r="AR67" i="109"/>
  <c r="AR66" i="109"/>
  <c r="AR65" i="109"/>
  <c r="AR64" i="109"/>
  <c r="AR63" i="109"/>
  <c r="AR62" i="109"/>
  <c r="AR61" i="109"/>
  <c r="AR60" i="109"/>
  <c r="AR59" i="109"/>
  <c r="AR58" i="109"/>
  <c r="AR57" i="109"/>
  <c r="AR56" i="109"/>
  <c r="AR55" i="109"/>
  <c r="AQ54" i="109"/>
  <c r="AP54" i="109"/>
  <c r="AR52" i="109"/>
  <c r="AR51" i="109"/>
  <c r="AR50" i="109" s="1"/>
  <c r="AQ50" i="109"/>
  <c r="AP50" i="109"/>
  <c r="AR48" i="109"/>
  <c r="AR47" i="109"/>
  <c r="AR46" i="109"/>
  <c r="AR45" i="109"/>
  <c r="AR44" i="109"/>
  <c r="AR43" i="109"/>
  <c r="AR42" i="109"/>
  <c r="AR41" i="109" s="1"/>
  <c r="AQ41" i="109"/>
  <c r="AP41" i="109"/>
  <c r="AR36" i="109"/>
  <c r="AR35" i="109" s="1"/>
  <c r="AQ35" i="109"/>
  <c r="AP35" i="109"/>
  <c r="AR33" i="109"/>
  <c r="AR32" i="109"/>
  <c r="AR31" i="109"/>
  <c r="AR30" i="109"/>
  <c r="AR29" i="109"/>
  <c r="AR28" i="109"/>
  <c r="AR27" i="109"/>
  <c r="AP26" i="109"/>
  <c r="AR26" i="109" s="1"/>
  <c r="AR25" i="109"/>
  <c r="AR24" i="109"/>
  <c r="AR22" i="109"/>
  <c r="AR21" i="109"/>
  <c r="AR20" i="109"/>
  <c r="AR19" i="109"/>
  <c r="AR18" i="109"/>
  <c r="AR17" i="109"/>
  <c r="AR16" i="109"/>
  <c r="AR15" i="109"/>
  <c r="AR14" i="109"/>
  <c r="AR13" i="109"/>
  <c r="AR12" i="109"/>
  <c r="AR11" i="109"/>
  <c r="AR10" i="109"/>
  <c r="AR9" i="109"/>
  <c r="AQ8" i="109"/>
  <c r="AR7" i="109"/>
  <c r="AR6" i="109"/>
  <c r="AQ5" i="109"/>
  <c r="AP5" i="109"/>
  <c r="BG85" i="99"/>
  <c r="BG82" i="99"/>
  <c r="BG78" i="99"/>
  <c r="BG77" i="99" s="1"/>
  <c r="BF77" i="99"/>
  <c r="BE77" i="99"/>
  <c r="BG74" i="99"/>
  <c r="BG73" i="99" s="1"/>
  <c r="BF73" i="99"/>
  <c r="BE73" i="99"/>
  <c r="BH71" i="99"/>
  <c r="BG71" i="99"/>
  <c r="BH70" i="99"/>
  <c r="BG70" i="99"/>
  <c r="BH69" i="99"/>
  <c r="BG69" i="99"/>
  <c r="BH68" i="99"/>
  <c r="BG68" i="99"/>
  <c r="BH67" i="99"/>
  <c r="BG67" i="99"/>
  <c r="BH66" i="99"/>
  <c r="BG66" i="99"/>
  <c r="BH65" i="99"/>
  <c r="BG65" i="99"/>
  <c r="BH64" i="99"/>
  <c r="BG64" i="99"/>
  <c r="BH63" i="99"/>
  <c r="BG63" i="99"/>
  <c r="BH62" i="99"/>
  <c r="BG62" i="99"/>
  <c r="BH61" i="99"/>
  <c r="BG61" i="99"/>
  <c r="BH60" i="99"/>
  <c r="BG60" i="99"/>
  <c r="BH59" i="99"/>
  <c r="BG59" i="99"/>
  <c r="BH58" i="99"/>
  <c r="BG58" i="99"/>
  <c r="BH57" i="99"/>
  <c r="BG57" i="99"/>
  <c r="BH56" i="99"/>
  <c r="BG56" i="99"/>
  <c r="BH55" i="99"/>
  <c r="BG55" i="99"/>
  <c r="BH54" i="99"/>
  <c r="BF54" i="99"/>
  <c r="BE54" i="99"/>
  <c r="BH53" i="99"/>
  <c r="BH52" i="99"/>
  <c r="BG52" i="99"/>
  <c r="BH51" i="99"/>
  <c r="BG51" i="99"/>
  <c r="BH50" i="99"/>
  <c r="BF50" i="99"/>
  <c r="BE50" i="99"/>
  <c r="BH49" i="99"/>
  <c r="BH48" i="99"/>
  <c r="BG48" i="99"/>
  <c r="BH47" i="99"/>
  <c r="BG47" i="99"/>
  <c r="BH46" i="99"/>
  <c r="BG46" i="99"/>
  <c r="BH45" i="99"/>
  <c r="BG45" i="99"/>
  <c r="BH44" i="99"/>
  <c r="BG44" i="99"/>
  <c r="BH43" i="99"/>
  <c r="BG43" i="99"/>
  <c r="BH42" i="99"/>
  <c r="BG42" i="99"/>
  <c r="BH41" i="99"/>
  <c r="BF41" i="99"/>
  <c r="BE41" i="99"/>
  <c r="BH40" i="99"/>
  <c r="BH39" i="99"/>
  <c r="BH38" i="99"/>
  <c r="BH37" i="99"/>
  <c r="BH36" i="99"/>
  <c r="BG36" i="99"/>
  <c r="BG35" i="99" s="1"/>
  <c r="BH35" i="99"/>
  <c r="BF35" i="99"/>
  <c r="BE35" i="99"/>
  <c r="BH34" i="99"/>
  <c r="BH33" i="99"/>
  <c r="BG33" i="99"/>
  <c r="BH32" i="99"/>
  <c r="BG32" i="99"/>
  <c r="BH31" i="99"/>
  <c r="BG31" i="99"/>
  <c r="BH30" i="99"/>
  <c r="BG30" i="99"/>
  <c r="BH29" i="99"/>
  <c r="BG29" i="99"/>
  <c r="BH28" i="99"/>
  <c r="BG28" i="99"/>
  <c r="BH27" i="99"/>
  <c r="BG27" i="99"/>
  <c r="BH26" i="99"/>
  <c r="BG26" i="99"/>
  <c r="BH25" i="99"/>
  <c r="BE25" i="99"/>
  <c r="BG25" i="99" s="1"/>
  <c r="BH24" i="99"/>
  <c r="BG24" i="99"/>
  <c r="BH23" i="99"/>
  <c r="BG23" i="99"/>
  <c r="BH22" i="99"/>
  <c r="BG22" i="99"/>
  <c r="BH21" i="99"/>
  <c r="BG21" i="99"/>
  <c r="BH20" i="99"/>
  <c r="BG20" i="99"/>
  <c r="BH19" i="99"/>
  <c r="BG19" i="99"/>
  <c r="BH18" i="99"/>
  <c r="BG18" i="99"/>
  <c r="BH17" i="99"/>
  <c r="BG17" i="99"/>
  <c r="BH16" i="99"/>
  <c r="BG16" i="99"/>
  <c r="BH15" i="99"/>
  <c r="BG15" i="99"/>
  <c r="BH14" i="99"/>
  <c r="BG14" i="99"/>
  <c r="BH13" i="99"/>
  <c r="BG13" i="99"/>
  <c r="BH12" i="99"/>
  <c r="BG12" i="99"/>
  <c r="BH11" i="99"/>
  <c r="BG11" i="99"/>
  <c r="BH10" i="99"/>
  <c r="BG10" i="99"/>
  <c r="BH9" i="99"/>
  <c r="BG9" i="99"/>
  <c r="BF8" i="99"/>
  <c r="BE8" i="99"/>
  <c r="BG7" i="99"/>
  <c r="BG6" i="99"/>
  <c r="BG5" i="99" s="1"/>
  <c r="BF5" i="99"/>
  <c r="BE5" i="99"/>
  <c r="AW85" i="86"/>
  <c r="AW82" i="86"/>
  <c r="AW78" i="86"/>
  <c r="AW77" i="86" s="1"/>
  <c r="AV77" i="86"/>
  <c r="AU77" i="86"/>
  <c r="AW74" i="86"/>
  <c r="AW73" i="86" s="1"/>
  <c r="AV73" i="86"/>
  <c r="AU73" i="86"/>
  <c r="AW71" i="86"/>
  <c r="AW70" i="86"/>
  <c r="AW69" i="86"/>
  <c r="AW68" i="86"/>
  <c r="AW67" i="86"/>
  <c r="AW66" i="86"/>
  <c r="AW65" i="86"/>
  <c r="AW64" i="86"/>
  <c r="AW63" i="86"/>
  <c r="AW62" i="86"/>
  <c r="AW61" i="86"/>
  <c r="AW60" i="86"/>
  <c r="AW59" i="86"/>
  <c r="AW58" i="86"/>
  <c r="AW57" i="86"/>
  <c r="AW56" i="86"/>
  <c r="AW55" i="86"/>
  <c r="AV54" i="86"/>
  <c r="AU54" i="86"/>
  <c r="AW52" i="86"/>
  <c r="AW51" i="86"/>
  <c r="AV50" i="86"/>
  <c r="AU50" i="86"/>
  <c r="AW48" i="86"/>
  <c r="AW47" i="86"/>
  <c r="AW46" i="86"/>
  <c r="AW45" i="86"/>
  <c r="AW44" i="86"/>
  <c r="AW43" i="86"/>
  <c r="AW42" i="86"/>
  <c r="AV41" i="86"/>
  <c r="AU41" i="86"/>
  <c r="AW36" i="86"/>
  <c r="AW35" i="86" s="1"/>
  <c r="AV35" i="86"/>
  <c r="AU35" i="86"/>
  <c r="AW33" i="86"/>
  <c r="AW32" i="86"/>
  <c r="AW31" i="86"/>
  <c r="AW30" i="86"/>
  <c r="AW29" i="86"/>
  <c r="AW28" i="86"/>
  <c r="AW27" i="86"/>
  <c r="AW26" i="86"/>
  <c r="AU25" i="86"/>
  <c r="AU8" i="86" s="1"/>
  <c r="AU38" i="86" s="1"/>
  <c r="AW24" i="86"/>
  <c r="AW21" i="86"/>
  <c r="AW20" i="86"/>
  <c r="AW19" i="86"/>
  <c r="AW18" i="86"/>
  <c r="AW17" i="86"/>
  <c r="AW16" i="86"/>
  <c r="AW15" i="86"/>
  <c r="AW14" i="86"/>
  <c r="AW13" i="86"/>
  <c r="AW12" i="86"/>
  <c r="AW11" i="86"/>
  <c r="AW10" i="86"/>
  <c r="AW9" i="86"/>
  <c r="AV8" i="86"/>
  <c r="AW7" i="86"/>
  <c r="AW6" i="86"/>
  <c r="AW5" i="86" s="1"/>
  <c r="AV5" i="86"/>
  <c r="AU5" i="86"/>
  <c r="AW85" i="103"/>
  <c r="AW82" i="103"/>
  <c r="AW78" i="103"/>
  <c r="AW77" i="103" s="1"/>
  <c r="AV77" i="103"/>
  <c r="AU77" i="103"/>
  <c r="AW74" i="103"/>
  <c r="AW73" i="103" s="1"/>
  <c r="AV73" i="103"/>
  <c r="AU73" i="103"/>
  <c r="AW71" i="103"/>
  <c r="AW70" i="103"/>
  <c r="AW69" i="103"/>
  <c r="AW68" i="103"/>
  <c r="AW67" i="103"/>
  <c r="AW66" i="103"/>
  <c r="AW65" i="103"/>
  <c r="AW64" i="103"/>
  <c r="AW63" i="103"/>
  <c r="AW62" i="103"/>
  <c r="AW61" i="103"/>
  <c r="AW60" i="103"/>
  <c r="AW59" i="103"/>
  <c r="AW58" i="103"/>
  <c r="AW57" i="103"/>
  <c r="AW56" i="103"/>
  <c r="AW55" i="103"/>
  <c r="AV54" i="103"/>
  <c r="AU54" i="103"/>
  <c r="AW52" i="103"/>
  <c r="AW50" i="103" s="1"/>
  <c r="AW51" i="103"/>
  <c r="AV50" i="103"/>
  <c r="AU50" i="103"/>
  <c r="AW48" i="103"/>
  <c r="AW47" i="103"/>
  <c r="AW46" i="103"/>
  <c r="AW45" i="103"/>
  <c r="AW44" i="103"/>
  <c r="AW43" i="103"/>
  <c r="AW42" i="103"/>
  <c r="AV41" i="103"/>
  <c r="AU41" i="103"/>
  <c r="AW36" i="103"/>
  <c r="AW35" i="103" s="1"/>
  <c r="AV35" i="103"/>
  <c r="AU35" i="103"/>
  <c r="AW33" i="103"/>
  <c r="AW32" i="103"/>
  <c r="AW31" i="103"/>
  <c r="AW30" i="103"/>
  <c r="AW29" i="103"/>
  <c r="AW28" i="103"/>
  <c r="AW27" i="103"/>
  <c r="AU26" i="103"/>
  <c r="AW26" i="103" s="1"/>
  <c r="AW25" i="103"/>
  <c r="AW24" i="103"/>
  <c r="AW22" i="103"/>
  <c r="AW21" i="103"/>
  <c r="AW20" i="103"/>
  <c r="AW19" i="103"/>
  <c r="AW18" i="103"/>
  <c r="AW17" i="103"/>
  <c r="AW16" i="103"/>
  <c r="AW15" i="103"/>
  <c r="AW14" i="103"/>
  <c r="AW13" i="103"/>
  <c r="AW12" i="103"/>
  <c r="AW11" i="103"/>
  <c r="AW10" i="103"/>
  <c r="AW9" i="103"/>
  <c r="AV8" i="103"/>
  <c r="AW7" i="103"/>
  <c r="AW6" i="103"/>
  <c r="AV5" i="103"/>
  <c r="AU5" i="103"/>
  <c r="AC85" i="127"/>
  <c r="X85" i="127"/>
  <c r="S85" i="127"/>
  <c r="N85" i="127"/>
  <c r="AC82" i="127"/>
  <c r="X82" i="127"/>
  <c r="S82" i="127"/>
  <c r="N82" i="127"/>
  <c r="AC78" i="127"/>
  <c r="X78" i="127"/>
  <c r="S78" i="127"/>
  <c r="N78" i="127"/>
  <c r="AB77" i="127"/>
  <c r="AA77" i="127"/>
  <c r="W77" i="127"/>
  <c r="V77" i="127"/>
  <c r="R77" i="127"/>
  <c r="Q77" i="127"/>
  <c r="M77" i="127"/>
  <c r="L77" i="127"/>
  <c r="AC74" i="127"/>
  <c r="X74" i="127"/>
  <c r="S74" i="127"/>
  <c r="S73" i="127" s="1"/>
  <c r="N74" i="127"/>
  <c r="AB73" i="127"/>
  <c r="AA73" i="127"/>
  <c r="X73" i="127"/>
  <c r="W73" i="127"/>
  <c r="V73" i="127"/>
  <c r="R73" i="127"/>
  <c r="Q73" i="127"/>
  <c r="M73" i="127"/>
  <c r="L73" i="127"/>
  <c r="AC71" i="127"/>
  <c r="X71" i="127"/>
  <c r="S71" i="127"/>
  <c r="N71" i="127"/>
  <c r="AC70" i="127"/>
  <c r="X70" i="127"/>
  <c r="S70" i="127"/>
  <c r="N70" i="127"/>
  <c r="AC69" i="127"/>
  <c r="X69" i="127"/>
  <c r="S69" i="127"/>
  <c r="N69" i="127"/>
  <c r="AC68" i="127"/>
  <c r="X68" i="127"/>
  <c r="S68" i="127"/>
  <c r="N68" i="127"/>
  <c r="AC67" i="127"/>
  <c r="X67" i="127"/>
  <c r="S67" i="127"/>
  <c r="N67" i="127"/>
  <c r="AC66" i="127"/>
  <c r="X66" i="127"/>
  <c r="S66" i="127"/>
  <c r="N66" i="127"/>
  <c r="AC65" i="127"/>
  <c r="X65" i="127"/>
  <c r="S65" i="127"/>
  <c r="M65" i="127"/>
  <c r="BA65" i="127" s="1"/>
  <c r="AC64" i="127"/>
  <c r="X64" i="127"/>
  <c r="S64" i="127"/>
  <c r="N64" i="127"/>
  <c r="AC63" i="127"/>
  <c r="X63" i="127"/>
  <c r="S63" i="127"/>
  <c r="N63" i="127"/>
  <c r="AC62" i="127"/>
  <c r="X62" i="127"/>
  <c r="S62" i="127"/>
  <c r="N62" i="127"/>
  <c r="AC61" i="127"/>
  <c r="X61" i="127"/>
  <c r="S61" i="127"/>
  <c r="N61" i="127"/>
  <c r="AC60" i="127"/>
  <c r="X60" i="127"/>
  <c r="S60" i="127"/>
  <c r="N60" i="127"/>
  <c r="AC59" i="127"/>
  <c r="X59" i="127"/>
  <c r="S59" i="127"/>
  <c r="N59" i="127"/>
  <c r="AC58" i="127"/>
  <c r="X58" i="127"/>
  <c r="S58" i="127"/>
  <c r="N58" i="127"/>
  <c r="AC57" i="127"/>
  <c r="X57" i="127"/>
  <c r="S57" i="127"/>
  <c r="N57" i="127"/>
  <c r="AC56" i="127"/>
  <c r="X56" i="127"/>
  <c r="S56" i="127"/>
  <c r="N56" i="127"/>
  <c r="AC55" i="127"/>
  <c r="X55" i="127"/>
  <c r="X54" i="127" s="1"/>
  <c r="S55" i="127"/>
  <c r="N55" i="127"/>
  <c r="AB54" i="127"/>
  <c r="AA54" i="127"/>
  <c r="W54" i="127"/>
  <c r="V54" i="127"/>
  <c r="R54" i="127"/>
  <c r="Q54" i="127"/>
  <c r="M54" i="127"/>
  <c r="L54" i="127"/>
  <c r="AC52" i="127"/>
  <c r="X52" i="127"/>
  <c r="S52" i="127"/>
  <c r="N52" i="127"/>
  <c r="AC51" i="127"/>
  <c r="AC50" i="127" s="1"/>
  <c r="X51" i="127"/>
  <c r="X50" i="127" s="1"/>
  <c r="S51" i="127"/>
  <c r="N51" i="127"/>
  <c r="AB50" i="127"/>
  <c r="AA50" i="127"/>
  <c r="W50" i="127"/>
  <c r="V50" i="127"/>
  <c r="S50" i="127"/>
  <c r="R50" i="127"/>
  <c r="Q50" i="127"/>
  <c r="N50" i="127"/>
  <c r="M50" i="127"/>
  <c r="L50" i="127"/>
  <c r="AC48" i="127"/>
  <c r="X48" i="127"/>
  <c r="S48" i="127"/>
  <c r="N48" i="127"/>
  <c r="AC47" i="127"/>
  <c r="N47" i="127"/>
  <c r="AC46" i="127"/>
  <c r="X46" i="127"/>
  <c r="S46" i="127"/>
  <c r="N46" i="127"/>
  <c r="AC45" i="127"/>
  <c r="X45" i="127"/>
  <c r="S45" i="127"/>
  <c r="N45" i="127"/>
  <c r="AC44" i="127"/>
  <c r="X44" i="127"/>
  <c r="S44" i="127"/>
  <c r="N44" i="127"/>
  <c r="AC43" i="127"/>
  <c r="X43" i="127"/>
  <c r="S43" i="127"/>
  <c r="N43" i="127"/>
  <c r="AC42" i="127"/>
  <c r="X42" i="127"/>
  <c r="S42" i="127"/>
  <c r="N42" i="127"/>
  <c r="AB41" i="127"/>
  <c r="AA41" i="127"/>
  <c r="W41" i="127"/>
  <c r="V41" i="127"/>
  <c r="R41" i="127"/>
  <c r="Q41" i="127"/>
  <c r="M41" i="127"/>
  <c r="L41" i="127"/>
  <c r="AC36" i="127"/>
  <c r="AC35" i="127" s="1"/>
  <c r="X36" i="127"/>
  <c r="X35" i="127" s="1"/>
  <c r="S36" i="127"/>
  <c r="S35" i="127" s="1"/>
  <c r="N36" i="127"/>
  <c r="T35" i="127"/>
  <c r="N35" i="127"/>
  <c r="M35" i="127"/>
  <c r="L35" i="127"/>
  <c r="AC33" i="127"/>
  <c r="X33" i="127"/>
  <c r="S33" i="127"/>
  <c r="N33" i="127"/>
  <c r="AC32" i="127"/>
  <c r="X32" i="127"/>
  <c r="S32" i="127"/>
  <c r="N32" i="127"/>
  <c r="AC31" i="127"/>
  <c r="X31" i="127"/>
  <c r="S31" i="127"/>
  <c r="M31" i="127"/>
  <c r="AB30" i="127"/>
  <c r="AC30" i="127" s="1"/>
  <c r="X30" i="127"/>
  <c r="S30" i="127"/>
  <c r="M30" i="127"/>
  <c r="AC29" i="127"/>
  <c r="V29" i="127"/>
  <c r="V8" i="127" s="1"/>
  <c r="Q29" i="127"/>
  <c r="N29" i="127"/>
  <c r="AC28" i="127"/>
  <c r="X28" i="127"/>
  <c r="S28" i="127"/>
  <c r="N28" i="127"/>
  <c r="AC27" i="127"/>
  <c r="X27" i="127"/>
  <c r="S27" i="127"/>
  <c r="N27" i="127"/>
  <c r="AA26" i="127"/>
  <c r="AZ26" i="127" s="1"/>
  <c r="X26" i="127"/>
  <c r="S26" i="127"/>
  <c r="N26" i="127"/>
  <c r="AC25" i="127"/>
  <c r="AA24" i="127"/>
  <c r="AZ24" i="127" s="1"/>
  <c r="AC23" i="127"/>
  <c r="AC22" i="127"/>
  <c r="AC21" i="127"/>
  <c r="AC20" i="127"/>
  <c r="AC19" i="127"/>
  <c r="AC18" i="127"/>
  <c r="AC17" i="127"/>
  <c r="AC16" i="127"/>
  <c r="AC15" i="127"/>
  <c r="AC14" i="127"/>
  <c r="AC13" i="127"/>
  <c r="AC12" i="127"/>
  <c r="AC11" i="127"/>
  <c r="AC10" i="127"/>
  <c r="AC9" i="127"/>
  <c r="AB8" i="127"/>
  <c r="W8" i="127"/>
  <c r="R8" i="127"/>
  <c r="L8" i="127"/>
  <c r="AC7" i="127"/>
  <c r="X7" i="127"/>
  <c r="S7" i="127"/>
  <c r="N7" i="127"/>
  <c r="AC6" i="127"/>
  <c r="AC5" i="127" s="1"/>
  <c r="X6" i="127"/>
  <c r="S6" i="127"/>
  <c r="S5" i="127" s="1"/>
  <c r="N6" i="127"/>
  <c r="N5" i="127" s="1"/>
  <c r="AB5" i="127"/>
  <c r="AA5" i="127"/>
  <c r="X5" i="127"/>
  <c r="W5" i="127"/>
  <c r="W38" i="127" s="1"/>
  <c r="V5" i="127"/>
  <c r="R5" i="127"/>
  <c r="R38" i="127" s="1"/>
  <c r="R75" i="127" s="1"/>
  <c r="Q5" i="127"/>
  <c r="M5" i="127"/>
  <c r="L5" i="127"/>
  <c r="L38" i="127" l="1"/>
  <c r="L39" i="127" s="1"/>
  <c r="BF38" i="99"/>
  <c r="BB50" i="91"/>
  <c r="V38" i="127"/>
  <c r="V75" i="127" s="1"/>
  <c r="S54" i="127"/>
  <c r="BG41" i="99"/>
  <c r="AW54" i="86"/>
  <c r="AB38" i="127"/>
  <c r="AB75" i="127" s="1"/>
  <c r="AW54" i="103"/>
  <c r="BE38" i="99"/>
  <c r="AA8" i="127"/>
  <c r="AC26" i="127"/>
  <c r="AW41" i="86"/>
  <c r="AX54" i="98"/>
  <c r="BR38" i="98"/>
  <c r="BH38" i="98"/>
  <c r="BR39" i="98"/>
  <c r="BM38" i="98"/>
  <c r="BH39" i="98"/>
  <c r="BM39" i="98"/>
  <c r="AA38" i="127"/>
  <c r="AA75" i="127" s="1"/>
  <c r="AW8" i="103"/>
  <c r="AV38" i="86"/>
  <c r="AV39" i="86" s="1"/>
  <c r="BG50" i="99"/>
  <c r="BG54" i="99"/>
  <c r="AQ38" i="109"/>
  <c r="AR54" i="109"/>
  <c r="BB8" i="91"/>
  <c r="BB38" i="91" s="1"/>
  <c r="N31" i="127"/>
  <c r="BA31" i="127"/>
  <c r="M8" i="127"/>
  <c r="M38" i="127" s="1"/>
  <c r="X29" i="127"/>
  <c r="X8" i="127" s="1"/>
  <c r="X38" i="127" s="1"/>
  <c r="AV38" i="103"/>
  <c r="AW50" i="86"/>
  <c r="BB54" i="91"/>
  <c r="AC24" i="127"/>
  <c r="AC8" i="127" s="1"/>
  <c r="S29" i="127"/>
  <c r="AZ29" i="127"/>
  <c r="N30" i="127"/>
  <c r="BA30" i="127"/>
  <c r="N65" i="127"/>
  <c r="AW5" i="103"/>
  <c r="AW41" i="103"/>
  <c r="AW89" i="103" s="1"/>
  <c r="BG38" i="99"/>
  <c r="BG39" i="99" s="1"/>
  <c r="BG8" i="99"/>
  <c r="AR5" i="109"/>
  <c r="BB41" i="91"/>
  <c r="BC8" i="98"/>
  <c r="BC49" i="98"/>
  <c r="BC47" i="98"/>
  <c r="BC44" i="98"/>
  <c r="BC36" i="98"/>
  <c r="BC33" i="98"/>
  <c r="BC30" i="98"/>
  <c r="BC27" i="98"/>
  <c r="BC23" i="98"/>
  <c r="BC20" i="98"/>
  <c r="BC79" i="98"/>
  <c r="BC72" i="98"/>
  <c r="BC45" i="98"/>
  <c r="BC42" i="98"/>
  <c r="BC31" i="98"/>
  <c r="BC28" i="98"/>
  <c r="BC24" i="98"/>
  <c r="BC21" i="98"/>
  <c r="BC18" i="98"/>
  <c r="BC71" i="98"/>
  <c r="BC25" i="98"/>
  <c r="BC15" i="98"/>
  <c r="BC12" i="98"/>
  <c r="BC9" i="98"/>
  <c r="BC43" i="98"/>
  <c r="BC63" i="98"/>
  <c r="BC29" i="98"/>
  <c r="BC58" i="98"/>
  <c r="BC19" i="98"/>
  <c r="BC48" i="98"/>
  <c r="BC68" i="98"/>
  <c r="BC46" i="98"/>
  <c r="BC66" i="98"/>
  <c r="BC32" i="98"/>
  <c r="BC61" i="98"/>
  <c r="BC22" i="98"/>
  <c r="BB92" i="98"/>
  <c r="BC11" i="98"/>
  <c r="BC69" i="98"/>
  <c r="BC64" i="98"/>
  <c r="BC56" i="98"/>
  <c r="BC14" i="98"/>
  <c r="BC54" i="98"/>
  <c r="BC52" i="98"/>
  <c r="BC67" i="98"/>
  <c r="BC10" i="98"/>
  <c r="BC59" i="98"/>
  <c r="BC51" i="98"/>
  <c r="BC17" i="98"/>
  <c r="BC57" i="98"/>
  <c r="BC70" i="98"/>
  <c r="BC13" i="98"/>
  <c r="BC62" i="98"/>
  <c r="BC60" i="98"/>
  <c r="BC26" i="98"/>
  <c r="BC55" i="98"/>
  <c r="BC16" i="98"/>
  <c r="BC65" i="98"/>
  <c r="BC41" i="98"/>
  <c r="AW39" i="98"/>
  <c r="AX39" i="98" s="1"/>
  <c r="AW75" i="98"/>
  <c r="AX38" i="98"/>
  <c r="BC38" i="98"/>
  <c r="AX49" i="98"/>
  <c r="AX46" i="98"/>
  <c r="AX43" i="98"/>
  <c r="AX32" i="98"/>
  <c r="AX29" i="98"/>
  <c r="AX22" i="98"/>
  <c r="AX19" i="98"/>
  <c r="AX79" i="98"/>
  <c r="AX72" i="98"/>
  <c r="AX47" i="98"/>
  <c r="AX44" i="98"/>
  <c r="AX36" i="98"/>
  <c r="AX35" i="98"/>
  <c r="AX33" i="98"/>
  <c r="AX30" i="98"/>
  <c r="AX27" i="98"/>
  <c r="AX23" i="98"/>
  <c r="AX20" i="98"/>
  <c r="AX70" i="98"/>
  <c r="AX17" i="98"/>
  <c r="AX14" i="98"/>
  <c r="AX11" i="98"/>
  <c r="AW92" i="98"/>
  <c r="AX15" i="98"/>
  <c r="AX61" i="98"/>
  <c r="AX48" i="98"/>
  <c r="AX71" i="98"/>
  <c r="AX63" i="98"/>
  <c r="AX64" i="98"/>
  <c r="AX10" i="98"/>
  <c r="AX56" i="98"/>
  <c r="AX51" i="98"/>
  <c r="AX66" i="98"/>
  <c r="AX52" i="98"/>
  <c r="AX18" i="98"/>
  <c r="AX50" i="98"/>
  <c r="AX67" i="98"/>
  <c r="AX13" i="98"/>
  <c r="AX59" i="98"/>
  <c r="AX25" i="98"/>
  <c r="AX41" i="98"/>
  <c r="AX69" i="98"/>
  <c r="AX21" i="98"/>
  <c r="AX16" i="98"/>
  <c r="AX62" i="98"/>
  <c r="AX28" i="98"/>
  <c r="AX9" i="98"/>
  <c r="AX24" i="98"/>
  <c r="AX55" i="98"/>
  <c r="AX42" i="98"/>
  <c r="AX65" i="98"/>
  <c r="AX31" i="98"/>
  <c r="AX57" i="98"/>
  <c r="AX26" i="98"/>
  <c r="AX12" i="98"/>
  <c r="AX58" i="98"/>
  <c r="AX45" i="98"/>
  <c r="AX68" i="98"/>
  <c r="BC35" i="98"/>
  <c r="AX60" i="98"/>
  <c r="BC39" i="98"/>
  <c r="AU81" i="98"/>
  <c r="AU83" i="98" s="1"/>
  <c r="AU84" i="98" s="1"/>
  <c r="AU86" i="98" s="1"/>
  <c r="AU87" i="98" s="1"/>
  <c r="AU76" i="98"/>
  <c r="AX8" i="98"/>
  <c r="BB76" i="98"/>
  <c r="BB81" i="98"/>
  <c r="BB83" i="98" s="1"/>
  <c r="BB84" i="98" s="1"/>
  <c r="BB86" i="98" s="1"/>
  <c r="BB87" i="98" s="1"/>
  <c r="AZ75" i="91"/>
  <c r="AZ39" i="91"/>
  <c r="BB89" i="91"/>
  <c r="BC45" i="91" s="1"/>
  <c r="BA81" i="91"/>
  <c r="BA83" i="91" s="1"/>
  <c r="BA84" i="91" s="1"/>
  <c r="BA86" i="91" s="1"/>
  <c r="BA87" i="91" s="1"/>
  <c r="BA76" i="91"/>
  <c r="BB77" i="91"/>
  <c r="BC61" i="91"/>
  <c r="BC67" i="91"/>
  <c r="BA39" i="91"/>
  <c r="AQ75" i="109"/>
  <c r="AQ39" i="109"/>
  <c r="AP8" i="109"/>
  <c r="AP38" i="109" s="1"/>
  <c r="AR77" i="109"/>
  <c r="AR8" i="109"/>
  <c r="BE39" i="99"/>
  <c r="BE75" i="99"/>
  <c r="BF39" i="99"/>
  <c r="BF75" i="99"/>
  <c r="AV75" i="86"/>
  <c r="AU75" i="86"/>
  <c r="AU39" i="86"/>
  <c r="AW25" i="86"/>
  <c r="AV39" i="103"/>
  <c r="AV75" i="103"/>
  <c r="AW38" i="103"/>
  <c r="AU8" i="103"/>
  <c r="AU38" i="103" s="1"/>
  <c r="N8" i="127"/>
  <c r="N38" i="127" s="1"/>
  <c r="V81" i="127"/>
  <c r="V83" i="127" s="1"/>
  <c r="V84" i="127" s="1"/>
  <c r="V86" i="127" s="1"/>
  <c r="V87" i="127" s="1"/>
  <c r="V76" i="127"/>
  <c r="N41" i="127"/>
  <c r="S8" i="127"/>
  <c r="S38" i="127" s="1"/>
  <c r="R39" i="127"/>
  <c r="AB76" i="127"/>
  <c r="AB81" i="127"/>
  <c r="AB83" i="127" s="1"/>
  <c r="AB84" i="127" s="1"/>
  <c r="AB86" i="127" s="1"/>
  <c r="AB87" i="127" s="1"/>
  <c r="W75" i="127"/>
  <c r="W39" i="127"/>
  <c r="AB39" i="127"/>
  <c r="R76" i="127"/>
  <c r="R81" i="127"/>
  <c r="R83" i="127" s="1"/>
  <c r="R84" i="127" s="1"/>
  <c r="R86" i="127" s="1"/>
  <c r="R87" i="127" s="1"/>
  <c r="X41" i="127"/>
  <c r="AC41" i="127"/>
  <c r="S41" i="127"/>
  <c r="V39" i="127"/>
  <c r="L75" i="127"/>
  <c r="Q8" i="127"/>
  <c r="Q38" i="127" s="1"/>
  <c r="N54" i="127"/>
  <c r="AC54" i="127"/>
  <c r="AC73" i="127"/>
  <c r="N73" i="127"/>
  <c r="BB75" i="91" l="1"/>
  <c r="BB39" i="91"/>
  <c r="BC39" i="91" s="1"/>
  <c r="BC60" i="91"/>
  <c r="BC22" i="91"/>
  <c r="BC41" i="91"/>
  <c r="BC24" i="91"/>
  <c r="BC56" i="91"/>
  <c r="BC18" i="91"/>
  <c r="BC71" i="91"/>
  <c r="BC35" i="91"/>
  <c r="BC65" i="91"/>
  <c r="BC62" i="91"/>
  <c r="BC25" i="91"/>
  <c r="BC66" i="91"/>
  <c r="AX42" i="103"/>
  <c r="AX66" i="103"/>
  <c r="AX58" i="103"/>
  <c r="BG75" i="99"/>
  <c r="BG76" i="99" s="1"/>
  <c r="BC16" i="91"/>
  <c r="AA39" i="127"/>
  <c r="BC42" i="91"/>
  <c r="BC55" i="91"/>
  <c r="BC19" i="91"/>
  <c r="BC48" i="91"/>
  <c r="BC12" i="91"/>
  <c r="BC59" i="91"/>
  <c r="BC70" i="91"/>
  <c r="BC69" i="91"/>
  <c r="BC9" i="91"/>
  <c r="BC43" i="91"/>
  <c r="BC13" i="91"/>
  <c r="BC77" i="91"/>
  <c r="BC47" i="91"/>
  <c r="BC64" i="91"/>
  <c r="BG89" i="99"/>
  <c r="BH8" i="99" s="1"/>
  <c r="BC44" i="91"/>
  <c r="BC10" i="91"/>
  <c r="BC8" i="91"/>
  <c r="BC36" i="91"/>
  <c r="BC28" i="91"/>
  <c r="BC58" i="91"/>
  <c r="BC50" i="91"/>
  <c r="BC38" i="91"/>
  <c r="BC52" i="91"/>
  <c r="AW76" i="98"/>
  <c r="AW81" i="98"/>
  <c r="AW83" i="98" s="1"/>
  <c r="AW84" i="98" s="1"/>
  <c r="AW86" i="98" s="1"/>
  <c r="AW87" i="98" s="1"/>
  <c r="AX57" i="103"/>
  <c r="AX54" i="103"/>
  <c r="AX68" i="103"/>
  <c r="AX61" i="103"/>
  <c r="AX71" i="103"/>
  <c r="AX11" i="103"/>
  <c r="BB81" i="91"/>
  <c r="BB83" i="91" s="1"/>
  <c r="BB84" i="91" s="1"/>
  <c r="BB86" i="91" s="1"/>
  <c r="BB87" i="91" s="1"/>
  <c r="BB76" i="91"/>
  <c r="BC80" i="91"/>
  <c r="BC53" i="91"/>
  <c r="BC23" i="91"/>
  <c r="BC20" i="91"/>
  <c r="BC17" i="91"/>
  <c r="BC14" i="91"/>
  <c r="BC11" i="91"/>
  <c r="BC78" i="91"/>
  <c r="BC72" i="91"/>
  <c r="BC49" i="91"/>
  <c r="BC33" i="91"/>
  <c r="BC30" i="91"/>
  <c r="BC37" i="91"/>
  <c r="BC34" i="91"/>
  <c r="BC74" i="91"/>
  <c r="BC51" i="91"/>
  <c r="BC27" i="91"/>
  <c r="BC40" i="91"/>
  <c r="BC32" i="91"/>
  <c r="BC29" i="91"/>
  <c r="BC26" i="91"/>
  <c r="BC54" i="91"/>
  <c r="AZ81" i="91"/>
  <c r="AZ83" i="91" s="1"/>
  <c r="AZ84" i="91" s="1"/>
  <c r="AZ86" i="91" s="1"/>
  <c r="AZ87" i="91" s="1"/>
  <c r="AZ76" i="91"/>
  <c r="BC63" i="91"/>
  <c r="BC21" i="91"/>
  <c r="BC73" i="91"/>
  <c r="BC31" i="91"/>
  <c r="BC46" i="91"/>
  <c r="BC57" i="91"/>
  <c r="BC15" i="91"/>
  <c r="BC68" i="91"/>
  <c r="BC79" i="91"/>
  <c r="AP75" i="109"/>
  <c r="AP39" i="109"/>
  <c r="AR89" i="109"/>
  <c r="AS8" i="109" s="1"/>
  <c r="AR38" i="109"/>
  <c r="AQ76" i="109"/>
  <c r="AQ81" i="109"/>
  <c r="AQ83" i="109" s="1"/>
  <c r="AQ84" i="109" s="1"/>
  <c r="AQ86" i="109" s="1"/>
  <c r="AQ87" i="109" s="1"/>
  <c r="BF76" i="99"/>
  <c r="BF81" i="99"/>
  <c r="BF83" i="99" s="1"/>
  <c r="BF84" i="99" s="1"/>
  <c r="BF86" i="99" s="1"/>
  <c r="BF87" i="99" s="1"/>
  <c r="BE76" i="99"/>
  <c r="BE81" i="99"/>
  <c r="BE83" i="99" s="1"/>
  <c r="BE84" i="99" s="1"/>
  <c r="BE86" i="99" s="1"/>
  <c r="BE87" i="99" s="1"/>
  <c r="BG81" i="99"/>
  <c r="BG83" i="99" s="1"/>
  <c r="BG84" i="99" s="1"/>
  <c r="BG86" i="99" s="1"/>
  <c r="BG87" i="99" s="1"/>
  <c r="AU81" i="86"/>
  <c r="AU83" i="86" s="1"/>
  <c r="AU84" i="86" s="1"/>
  <c r="AU86" i="86" s="1"/>
  <c r="AU87" i="86" s="1"/>
  <c r="AU76" i="86"/>
  <c r="AV76" i="86"/>
  <c r="AV81" i="86"/>
  <c r="AV83" i="86" s="1"/>
  <c r="AV84" i="86" s="1"/>
  <c r="AV86" i="86" s="1"/>
  <c r="AV87" i="86" s="1"/>
  <c r="AW8" i="86"/>
  <c r="AU75" i="103"/>
  <c r="AU39" i="103"/>
  <c r="AX8" i="103"/>
  <c r="AX46" i="103"/>
  <c r="AX14" i="103"/>
  <c r="AX26" i="103"/>
  <c r="AX41" i="103"/>
  <c r="AX79" i="103"/>
  <c r="AX16" i="103"/>
  <c r="AX77" i="103"/>
  <c r="AX28" i="103"/>
  <c r="AX22" i="103"/>
  <c r="AX13" i="103"/>
  <c r="AX23" i="103"/>
  <c r="AX31" i="103"/>
  <c r="AX19" i="103"/>
  <c r="AX10" i="103"/>
  <c r="AX33" i="103"/>
  <c r="AX30" i="103"/>
  <c r="AX27" i="103"/>
  <c r="AX21" i="103"/>
  <c r="AX18" i="103"/>
  <c r="AX15" i="103"/>
  <c r="AX12" i="103"/>
  <c r="AX9" i="103"/>
  <c r="AX70" i="103"/>
  <c r="AX69" i="103"/>
  <c r="AW39" i="103"/>
  <c r="AW75" i="103"/>
  <c r="AX25" i="103"/>
  <c r="AX24" i="103"/>
  <c r="AX60" i="103"/>
  <c r="AX64" i="103"/>
  <c r="AX63" i="103"/>
  <c r="AX78" i="103"/>
  <c r="AX67" i="103"/>
  <c r="AX17" i="103"/>
  <c r="AX43" i="103"/>
  <c r="AX47" i="103"/>
  <c r="AX65" i="103"/>
  <c r="AX45" i="103"/>
  <c r="AX44" i="103"/>
  <c r="AX62" i="103"/>
  <c r="AX55" i="103"/>
  <c r="AV81" i="103"/>
  <c r="AV83" i="103" s="1"/>
  <c r="AV84" i="103" s="1"/>
  <c r="AV86" i="103" s="1"/>
  <c r="AV87" i="103" s="1"/>
  <c r="AV76" i="103"/>
  <c r="AX29" i="103"/>
  <c r="AX59" i="103"/>
  <c r="AX20" i="103"/>
  <c r="AX32" i="103"/>
  <c r="AX56" i="103"/>
  <c r="AX48" i="103"/>
  <c r="S75" i="127"/>
  <c r="S39" i="127"/>
  <c r="X75" i="127"/>
  <c r="X39" i="127"/>
  <c r="Q75" i="127"/>
  <c r="Q39" i="127"/>
  <c r="N75" i="127"/>
  <c r="N39" i="127"/>
  <c r="AA76" i="127"/>
  <c r="AA81" i="127"/>
  <c r="AA83" i="127" s="1"/>
  <c r="AA84" i="127" s="1"/>
  <c r="AA86" i="127" s="1"/>
  <c r="AA87" i="127" s="1"/>
  <c r="M75" i="127"/>
  <c r="M39" i="127"/>
  <c r="W81" i="127"/>
  <c r="W83" i="127" s="1"/>
  <c r="W84" i="127" s="1"/>
  <c r="W86" i="127" s="1"/>
  <c r="W87" i="127" s="1"/>
  <c r="W76" i="127"/>
  <c r="L81" i="127"/>
  <c r="L83" i="127" s="1"/>
  <c r="L84" i="127" s="1"/>
  <c r="L86" i="127" s="1"/>
  <c r="L87" i="127" s="1"/>
  <c r="L76" i="127"/>
  <c r="AC38" i="127"/>
  <c r="AR39" i="109" l="1"/>
  <c r="AR75" i="109"/>
  <c r="AS80" i="109"/>
  <c r="AS32" i="109"/>
  <c r="AS29" i="109"/>
  <c r="AS20" i="109"/>
  <c r="AS17" i="109"/>
  <c r="AS14" i="109"/>
  <c r="AS11" i="109"/>
  <c r="AS23" i="109"/>
  <c r="AS31" i="109"/>
  <c r="AS28" i="109"/>
  <c r="AS22" i="109"/>
  <c r="AS19" i="109"/>
  <c r="AS16" i="109"/>
  <c r="AS13" i="109"/>
  <c r="AS10" i="109"/>
  <c r="AS9" i="109"/>
  <c r="AS69" i="109"/>
  <c r="AS65" i="109"/>
  <c r="AS41" i="109"/>
  <c r="AS42" i="109"/>
  <c r="AS27" i="109"/>
  <c r="AS15" i="109"/>
  <c r="AS71" i="109"/>
  <c r="AS47" i="109"/>
  <c r="AS48" i="109"/>
  <c r="AS33" i="109"/>
  <c r="AS21" i="109"/>
  <c r="AS45" i="109"/>
  <c r="AS24" i="109"/>
  <c r="AS60" i="109"/>
  <c r="AS54" i="109"/>
  <c r="AS43" i="109"/>
  <c r="AS44" i="109"/>
  <c r="AS58" i="109"/>
  <c r="AS30" i="109"/>
  <c r="AS12" i="109"/>
  <c r="AS66" i="109"/>
  <c r="AS61" i="109"/>
  <c r="AS56" i="109"/>
  <c r="AS55" i="109"/>
  <c r="AS57" i="109"/>
  <c r="AS64" i="109"/>
  <c r="AS46" i="109"/>
  <c r="AS18" i="109"/>
  <c r="AS78" i="109"/>
  <c r="AS67" i="109"/>
  <c r="AS62" i="109"/>
  <c r="AS63" i="109"/>
  <c r="AS70" i="109"/>
  <c r="AS59" i="109"/>
  <c r="AS25" i="109"/>
  <c r="AS26" i="109"/>
  <c r="AS79" i="109"/>
  <c r="AS68" i="109"/>
  <c r="AP76" i="109"/>
  <c r="AP81" i="109"/>
  <c r="AP83" i="109" s="1"/>
  <c r="AP84" i="109" s="1"/>
  <c r="AP86" i="109" s="1"/>
  <c r="AP87" i="109" s="1"/>
  <c r="AW89" i="86"/>
  <c r="AW93" i="86" s="1"/>
  <c r="AW38" i="86"/>
  <c r="AW76" i="103"/>
  <c r="AW81" i="103"/>
  <c r="AU76" i="103"/>
  <c r="AU81" i="103"/>
  <c r="AU83" i="103" s="1"/>
  <c r="AU84" i="103" s="1"/>
  <c r="AU86" i="103" s="1"/>
  <c r="AU87" i="103" s="1"/>
  <c r="N76" i="127"/>
  <c r="M81" i="127"/>
  <c r="M83" i="127" s="1"/>
  <c r="M84" i="127" s="1"/>
  <c r="M86" i="127" s="1"/>
  <c r="M87" i="127" s="1"/>
  <c r="M76" i="127"/>
  <c r="Q76" i="127"/>
  <c r="Q81" i="127"/>
  <c r="Q83" i="127" s="1"/>
  <c r="Q84" i="127" s="1"/>
  <c r="Q86" i="127" s="1"/>
  <c r="Q87" i="127" s="1"/>
  <c r="X76" i="127"/>
  <c r="AC75" i="127"/>
  <c r="AC39" i="127"/>
  <c r="S76" i="127"/>
  <c r="AR76" i="109" l="1"/>
  <c r="AR81" i="109"/>
  <c r="AR83" i="109" s="1"/>
  <c r="AR84" i="109" s="1"/>
  <c r="AR86" i="109" s="1"/>
  <c r="AR87" i="109" s="1"/>
  <c r="AW75" i="86"/>
  <c r="AW39" i="86"/>
  <c r="AW83" i="103"/>
  <c r="AC76" i="127"/>
  <c r="AW76" i="86" l="1"/>
  <c r="AW81" i="86"/>
  <c r="AW83" i="86" s="1"/>
  <c r="AW84" i="86" s="1"/>
  <c r="AW86" i="86" s="1"/>
  <c r="AW87" i="86" s="1"/>
  <c r="AW84" i="103"/>
  <c r="AW86" i="103" l="1"/>
  <c r="AW87" i="103" s="1"/>
  <c r="AR85" i="103" l="1"/>
  <c r="AM85" i="103"/>
  <c r="AH85" i="103"/>
  <c r="AR82" i="103"/>
  <c r="AM82" i="103"/>
  <c r="AH82" i="103"/>
  <c r="AR78" i="103"/>
  <c r="AM78" i="103"/>
  <c r="AH78" i="103"/>
  <c r="AH77" i="103" s="1"/>
  <c r="AQ77" i="103"/>
  <c r="AP77" i="103"/>
  <c r="AL77" i="103"/>
  <c r="AK77" i="103"/>
  <c r="AG77" i="103"/>
  <c r="AF77" i="103"/>
  <c r="AR74" i="103"/>
  <c r="AR73" i="103" s="1"/>
  <c r="AM74" i="103"/>
  <c r="AH74" i="103"/>
  <c r="AQ73" i="103"/>
  <c r="AP73" i="103"/>
  <c r="AM73" i="103"/>
  <c r="AL73" i="103"/>
  <c r="AK73" i="103"/>
  <c r="AH73" i="103"/>
  <c r="AG73" i="103"/>
  <c r="AF73" i="103"/>
  <c r="AR71" i="103"/>
  <c r="AM71" i="103"/>
  <c r="AH71" i="103"/>
  <c r="AR70" i="103"/>
  <c r="AM70" i="103"/>
  <c r="AH70" i="103"/>
  <c r="AR69" i="103"/>
  <c r="AM69" i="103"/>
  <c r="AH69" i="103"/>
  <c r="AR68" i="103"/>
  <c r="AM68" i="103"/>
  <c r="AH68" i="103"/>
  <c r="AR67" i="103"/>
  <c r="AM67" i="103"/>
  <c r="AH67" i="103"/>
  <c r="AR66" i="103"/>
  <c r="AM66" i="103"/>
  <c r="AH66" i="103"/>
  <c r="AR65" i="103"/>
  <c r="AM65" i="103"/>
  <c r="AH65" i="103"/>
  <c r="AR64" i="103"/>
  <c r="AM64" i="103"/>
  <c r="AH64" i="103"/>
  <c r="AR63" i="103"/>
  <c r="AM63" i="103"/>
  <c r="AH63" i="103"/>
  <c r="AR62" i="103"/>
  <c r="AM62" i="103"/>
  <c r="AH62" i="103"/>
  <c r="AR61" i="103"/>
  <c r="AM61" i="103"/>
  <c r="AH61" i="103"/>
  <c r="AR60" i="103"/>
  <c r="AM60" i="103"/>
  <c r="AH60" i="103"/>
  <c r="AR59" i="103"/>
  <c r="AM59" i="103"/>
  <c r="AH59" i="103"/>
  <c r="AR58" i="103"/>
  <c r="AM58" i="103"/>
  <c r="AH58" i="103"/>
  <c r="AR57" i="103"/>
  <c r="AM57" i="103"/>
  <c r="AH57" i="103"/>
  <c r="AR56" i="103"/>
  <c r="AM56" i="103"/>
  <c r="AH56" i="103"/>
  <c r="AR55" i="103"/>
  <c r="AM55" i="103"/>
  <c r="AH55" i="103"/>
  <c r="AQ54" i="103"/>
  <c r="AP54" i="103"/>
  <c r="AL54" i="103"/>
  <c r="AK54" i="103"/>
  <c r="AG54" i="103"/>
  <c r="AF54" i="103"/>
  <c r="AR52" i="103"/>
  <c r="AM52" i="103"/>
  <c r="AH52" i="103"/>
  <c r="AR51" i="103"/>
  <c r="AM51" i="103"/>
  <c r="AH51" i="103"/>
  <c r="AQ50" i="103"/>
  <c r="AP50" i="103"/>
  <c r="AL50" i="103"/>
  <c r="AK50" i="103"/>
  <c r="AH50" i="103"/>
  <c r="AG50" i="103"/>
  <c r="AF50" i="103"/>
  <c r="AR48" i="103"/>
  <c r="AM48" i="103"/>
  <c r="AH48" i="103"/>
  <c r="AR47" i="103"/>
  <c r="AM47" i="103"/>
  <c r="AH47" i="103"/>
  <c r="AR46" i="103"/>
  <c r="AM46" i="103"/>
  <c r="AH46" i="103"/>
  <c r="AR45" i="103"/>
  <c r="AM45" i="103"/>
  <c r="AH45" i="103"/>
  <c r="AR44" i="103"/>
  <c r="AM44" i="103"/>
  <c r="AH44" i="103"/>
  <c r="AR43" i="103"/>
  <c r="AM43" i="103"/>
  <c r="AH43" i="103"/>
  <c r="AR42" i="103"/>
  <c r="AR41" i="103" s="1"/>
  <c r="AM42" i="103"/>
  <c r="AH42" i="103"/>
  <c r="AH41" i="103" s="1"/>
  <c r="AQ41" i="103"/>
  <c r="AP41" i="103"/>
  <c r="AL41" i="103"/>
  <c r="AK41" i="103"/>
  <c r="AG41" i="103"/>
  <c r="AF41" i="103"/>
  <c r="AR36" i="103"/>
  <c r="AR35" i="103" s="1"/>
  <c r="AM36" i="103"/>
  <c r="AM35" i="103" s="1"/>
  <c r="AH36" i="103"/>
  <c r="AQ35" i="103"/>
  <c r="AP35" i="103"/>
  <c r="AL35" i="103"/>
  <c r="AK35" i="103"/>
  <c r="AH35" i="103"/>
  <c r="AG35" i="103"/>
  <c r="AF35" i="103"/>
  <c r="AR33" i="103"/>
  <c r="AM33" i="103"/>
  <c r="AH33" i="103"/>
  <c r="AR32" i="103"/>
  <c r="AM32" i="103"/>
  <c r="AH32" i="103"/>
  <c r="AR31" i="103"/>
  <c r="AM31" i="103"/>
  <c r="AH31" i="103"/>
  <c r="AR30" i="103"/>
  <c r="AM30" i="103"/>
  <c r="AH30" i="103"/>
  <c r="AR29" i="103"/>
  <c r="AM29" i="103"/>
  <c r="AH29" i="103"/>
  <c r="AR28" i="103"/>
  <c r="AM28" i="103"/>
  <c r="AH28" i="103"/>
  <c r="AR27" i="103"/>
  <c r="AM27" i="103"/>
  <c r="AH27" i="103"/>
  <c r="AR26" i="103"/>
  <c r="AL26" i="103"/>
  <c r="AK26" i="103"/>
  <c r="AM26" i="103" s="1"/>
  <c r="AH26" i="103"/>
  <c r="AR25" i="103"/>
  <c r="AM25" i="103"/>
  <c r="AH25" i="103"/>
  <c r="AP24" i="103"/>
  <c r="AR24" i="103" s="1"/>
  <c r="AK24" i="103"/>
  <c r="AM24" i="103" s="1"/>
  <c r="AF24" i="103"/>
  <c r="AH24" i="103" s="1"/>
  <c r="AR22" i="103"/>
  <c r="AM22" i="103"/>
  <c r="AH22" i="103"/>
  <c r="AR21" i="103"/>
  <c r="AM21" i="103"/>
  <c r="AH21" i="103"/>
  <c r="AR20" i="103"/>
  <c r="AM20" i="103"/>
  <c r="AH20" i="103"/>
  <c r="AR19" i="103"/>
  <c r="AM19" i="103"/>
  <c r="AH19" i="103"/>
  <c r="AP18" i="103"/>
  <c r="AR18" i="103" s="1"/>
  <c r="AM18" i="103"/>
  <c r="AR17" i="103"/>
  <c r="AM17" i="103"/>
  <c r="AH17" i="103"/>
  <c r="AR16" i="103"/>
  <c r="AM16" i="103"/>
  <c r="AH16" i="103"/>
  <c r="AR15" i="103"/>
  <c r="AM15" i="103"/>
  <c r="AH15" i="103"/>
  <c r="AR14" i="103"/>
  <c r="AM14" i="103"/>
  <c r="AH14" i="103"/>
  <c r="AR13" i="103"/>
  <c r="AM13" i="103"/>
  <c r="AH13" i="103"/>
  <c r="AR12" i="103"/>
  <c r="AM12" i="103"/>
  <c r="AH12" i="103"/>
  <c r="AR11" i="103"/>
  <c r="AM11" i="103"/>
  <c r="AH11" i="103"/>
  <c r="AR10" i="103"/>
  <c r="AM10" i="103"/>
  <c r="AH10" i="103"/>
  <c r="AR9" i="103"/>
  <c r="AM9" i="103"/>
  <c r="AH9" i="103"/>
  <c r="AQ8" i="103"/>
  <c r="AL8" i="103"/>
  <c r="AG8" i="103"/>
  <c r="AF8" i="103"/>
  <c r="AR7" i="103"/>
  <c r="AM7" i="103"/>
  <c r="AH7" i="103"/>
  <c r="AR6" i="103"/>
  <c r="AM6" i="103"/>
  <c r="AM5" i="103" s="1"/>
  <c r="AH6" i="103"/>
  <c r="AH5" i="103" s="1"/>
  <c r="AQ5" i="103"/>
  <c r="AQ38" i="103" s="1"/>
  <c r="AP5" i="103"/>
  <c r="AL5" i="103"/>
  <c r="AK5" i="103"/>
  <c r="AG5" i="103"/>
  <c r="AF5" i="103"/>
  <c r="AR85" i="98"/>
  <c r="AM85" i="98"/>
  <c r="AH85" i="98"/>
  <c r="AR82" i="98"/>
  <c r="AM82" i="98"/>
  <c r="AH82" i="98"/>
  <c r="AR78" i="98"/>
  <c r="AM78" i="98"/>
  <c r="AH78" i="98"/>
  <c r="AQ77" i="98"/>
  <c r="AP77" i="98"/>
  <c r="AL77" i="98"/>
  <c r="AK77" i="98"/>
  <c r="AG77" i="98"/>
  <c r="AF77" i="98"/>
  <c r="AR74" i="98"/>
  <c r="AM74" i="98"/>
  <c r="AM73" i="98" s="1"/>
  <c r="AH74" i="98"/>
  <c r="AH73" i="98" s="1"/>
  <c r="AR73" i="98"/>
  <c r="AQ73" i="98"/>
  <c r="AP73" i="98"/>
  <c r="AL73" i="98"/>
  <c r="AK73" i="98"/>
  <c r="AG73" i="98"/>
  <c r="AF73" i="98"/>
  <c r="AR71" i="98"/>
  <c r="AM71" i="98"/>
  <c r="AH71" i="98"/>
  <c r="AR70" i="98"/>
  <c r="AM70" i="98"/>
  <c r="AH70" i="98"/>
  <c r="AR69" i="98"/>
  <c r="AM69" i="98"/>
  <c r="AH69" i="98"/>
  <c r="AR68" i="98"/>
  <c r="AM68" i="98"/>
  <c r="AH68" i="98"/>
  <c r="AR67" i="98"/>
  <c r="AM67" i="98"/>
  <c r="AH67" i="98"/>
  <c r="AR66" i="98"/>
  <c r="AM66" i="98"/>
  <c r="AH66" i="98"/>
  <c r="AR65" i="98"/>
  <c r="AM65" i="98"/>
  <c r="AH65" i="98"/>
  <c r="AR64" i="98"/>
  <c r="AM64" i="98"/>
  <c r="AH64" i="98"/>
  <c r="AR63" i="98"/>
  <c r="AM63" i="98"/>
  <c r="AH63" i="98"/>
  <c r="AR62" i="98"/>
  <c r="AM62" i="98"/>
  <c r="AH62" i="98"/>
  <c r="AR61" i="98"/>
  <c r="AM61" i="98"/>
  <c r="AH61" i="98"/>
  <c r="AR60" i="98"/>
  <c r="AM60" i="98"/>
  <c r="AH60" i="98"/>
  <c r="AR59" i="98"/>
  <c r="AM59" i="98"/>
  <c r="AH59" i="98"/>
  <c r="AR58" i="98"/>
  <c r="AM58" i="98"/>
  <c r="AH58" i="98"/>
  <c r="AR57" i="98"/>
  <c r="AM57" i="98"/>
  <c r="AH57" i="98"/>
  <c r="AR56" i="98"/>
  <c r="AM56" i="98"/>
  <c r="AH56" i="98"/>
  <c r="AR55" i="98"/>
  <c r="AM55" i="98"/>
  <c r="AH55" i="98"/>
  <c r="AQ54" i="98"/>
  <c r="AP54" i="98"/>
  <c r="AL54" i="98"/>
  <c r="AK54" i="98"/>
  <c r="AG54" i="98"/>
  <c r="AF54" i="98"/>
  <c r="AR52" i="98"/>
  <c r="AM52" i="98"/>
  <c r="AM50" i="98" s="1"/>
  <c r="AH52" i="98"/>
  <c r="AR51" i="98"/>
  <c r="AM51" i="98"/>
  <c r="AH51" i="98"/>
  <c r="AQ50" i="98"/>
  <c r="AP50" i="98"/>
  <c r="AL50" i="98"/>
  <c r="AK50" i="98"/>
  <c r="AG50" i="98"/>
  <c r="AF50" i="98"/>
  <c r="AR48" i="98"/>
  <c r="AM48" i="98"/>
  <c r="AH48" i="98"/>
  <c r="AR47" i="98"/>
  <c r="AM47" i="98"/>
  <c r="AH47" i="98"/>
  <c r="AR46" i="98"/>
  <c r="AM46" i="98"/>
  <c r="AH46" i="98"/>
  <c r="AR45" i="98"/>
  <c r="AM45" i="98"/>
  <c r="AH45" i="98"/>
  <c r="AR44" i="98"/>
  <c r="AM44" i="98"/>
  <c r="AH44" i="98"/>
  <c r="AR43" i="98"/>
  <c r="AM43" i="98"/>
  <c r="AH43" i="98"/>
  <c r="AR42" i="98"/>
  <c r="AM42" i="98"/>
  <c r="AH42" i="98"/>
  <c r="AQ41" i="98"/>
  <c r="AP41" i="98"/>
  <c r="AL41" i="98"/>
  <c r="AK41" i="98"/>
  <c r="AG41" i="98"/>
  <c r="AF41" i="98"/>
  <c r="AR36" i="98"/>
  <c r="AR35" i="98" s="1"/>
  <c r="AM36" i="98"/>
  <c r="AM35" i="98" s="1"/>
  <c r="AH36" i="98"/>
  <c r="AH35" i="98" s="1"/>
  <c r="AQ35" i="98"/>
  <c r="AP35" i="98"/>
  <c r="AL35" i="98"/>
  <c r="AK35" i="98"/>
  <c r="AG35" i="98"/>
  <c r="AF35" i="98"/>
  <c r="AR33" i="98"/>
  <c r="AM33" i="98"/>
  <c r="AH33" i="98"/>
  <c r="AR32" i="98"/>
  <c r="AM32" i="98"/>
  <c r="AH32" i="98"/>
  <c r="AR31" i="98"/>
  <c r="AM31" i="98"/>
  <c r="AH31" i="98"/>
  <c r="AR30" i="98"/>
  <c r="AM30" i="98"/>
  <c r="AH30" i="98"/>
  <c r="AR29" i="98"/>
  <c r="AM29" i="98"/>
  <c r="AH29" i="98"/>
  <c r="AR28" i="98"/>
  <c r="AM28" i="98"/>
  <c r="AH28" i="98"/>
  <c r="AR27" i="98"/>
  <c r="AM27" i="98"/>
  <c r="AH27" i="98"/>
  <c r="AR26" i="98"/>
  <c r="AM26" i="98"/>
  <c r="AH26" i="98"/>
  <c r="AR25" i="98"/>
  <c r="AM25" i="98"/>
  <c r="AH25" i="98"/>
  <c r="AR24" i="98"/>
  <c r="AM24" i="98"/>
  <c r="AH24" i="98"/>
  <c r="AR23" i="98"/>
  <c r="AM23" i="98"/>
  <c r="AF23" i="98"/>
  <c r="AH23" i="98" s="1"/>
  <c r="AR22" i="98"/>
  <c r="AM22" i="98"/>
  <c r="AH22" i="98"/>
  <c r="AR21" i="98"/>
  <c r="AM21" i="98"/>
  <c r="AH21" i="98"/>
  <c r="AR20" i="98"/>
  <c r="AM20" i="98"/>
  <c r="AH20" i="98"/>
  <c r="AR19" i="98"/>
  <c r="AM19" i="98"/>
  <c r="AH19" i="98"/>
  <c r="AR18" i="98"/>
  <c r="AM18" i="98"/>
  <c r="AH18" i="98"/>
  <c r="AR17" i="98"/>
  <c r="AM17" i="98"/>
  <c r="AH17" i="98"/>
  <c r="AR16" i="98"/>
  <c r="AM16" i="98"/>
  <c r="AH16" i="98"/>
  <c r="AR15" i="98"/>
  <c r="AM15" i="98"/>
  <c r="AH15" i="98"/>
  <c r="AR14" i="98"/>
  <c r="AM14" i="98"/>
  <c r="AH14" i="98"/>
  <c r="AR13" i="98"/>
  <c r="AM13" i="98"/>
  <c r="AH13" i="98"/>
  <c r="AR12" i="98"/>
  <c r="AM12" i="98"/>
  <c r="AH12" i="98"/>
  <c r="AR11" i="98"/>
  <c r="AM11" i="98"/>
  <c r="AH11" i="98"/>
  <c r="AR10" i="98"/>
  <c r="AM10" i="98"/>
  <c r="AH10" i="98"/>
  <c r="AR9" i="98"/>
  <c r="AM9" i="98"/>
  <c r="AH9" i="98"/>
  <c r="AH8" i="98" s="1"/>
  <c r="AQ8" i="98"/>
  <c r="AP8" i="98"/>
  <c r="AL8" i="98"/>
  <c r="AM77" i="98" s="1"/>
  <c r="AK8" i="98"/>
  <c r="AG8" i="98"/>
  <c r="AF8" i="98"/>
  <c r="AR7" i="98"/>
  <c r="AM7" i="98"/>
  <c r="AH7" i="98"/>
  <c r="AR6" i="98"/>
  <c r="AM6" i="98"/>
  <c r="AM5" i="98" s="1"/>
  <c r="AF6" i="98"/>
  <c r="AH6" i="98" s="1"/>
  <c r="AH5" i="98" s="1"/>
  <c r="AQ5" i="98"/>
  <c r="AP5" i="98"/>
  <c r="AL5" i="98"/>
  <c r="AK5" i="98"/>
  <c r="AK38" i="98" s="1"/>
  <c r="AG5" i="98"/>
  <c r="AV85" i="109"/>
  <c r="AW85" i="109" s="1"/>
  <c r="AU85" i="109"/>
  <c r="AM85" i="109"/>
  <c r="AH85" i="109"/>
  <c r="AC85" i="109"/>
  <c r="X85" i="109"/>
  <c r="S85" i="109"/>
  <c r="N85" i="109"/>
  <c r="E85" i="109"/>
  <c r="AV82" i="109"/>
  <c r="AU82" i="109"/>
  <c r="AM82" i="109"/>
  <c r="AH82" i="109"/>
  <c r="AC82" i="109"/>
  <c r="X82" i="109"/>
  <c r="S82" i="109"/>
  <c r="N82" i="109"/>
  <c r="E82" i="109"/>
  <c r="AV80" i="109"/>
  <c r="AU80" i="109"/>
  <c r="AV79" i="109"/>
  <c r="AU79" i="109"/>
  <c r="E79" i="109"/>
  <c r="AV78" i="109"/>
  <c r="AU78" i="109"/>
  <c r="AM78" i="109"/>
  <c r="AH78" i="109"/>
  <c r="AC78" i="109"/>
  <c r="X78" i="109"/>
  <c r="S78" i="109"/>
  <c r="N78" i="109"/>
  <c r="E78" i="109"/>
  <c r="E77" i="109" s="1"/>
  <c r="AL77" i="109"/>
  <c r="AK77" i="109"/>
  <c r="AG77" i="109"/>
  <c r="AF77" i="109"/>
  <c r="AB77" i="109"/>
  <c r="AA77" i="109"/>
  <c r="W77" i="109"/>
  <c r="V77" i="109"/>
  <c r="R77" i="109"/>
  <c r="Q77" i="109"/>
  <c r="M77" i="109"/>
  <c r="L77" i="109"/>
  <c r="D77" i="109"/>
  <c r="C77" i="109"/>
  <c r="AV74" i="109"/>
  <c r="AV73" i="109" s="1"/>
  <c r="AU74" i="109"/>
  <c r="AU73" i="109" s="1"/>
  <c r="AM74" i="109"/>
  <c r="AM73" i="109" s="1"/>
  <c r="AH74" i="109"/>
  <c r="AH73" i="109" s="1"/>
  <c r="AC74" i="109"/>
  <c r="AC73" i="109" s="1"/>
  <c r="X74" i="109"/>
  <c r="X73" i="109" s="1"/>
  <c r="S74" i="109"/>
  <c r="S73" i="109" s="1"/>
  <c r="N74" i="109"/>
  <c r="N73" i="109" s="1"/>
  <c r="E74" i="109"/>
  <c r="E73" i="109" s="1"/>
  <c r="AL73" i="109"/>
  <c r="AK73" i="109"/>
  <c r="AG73" i="109"/>
  <c r="AF73" i="109"/>
  <c r="AB73" i="109"/>
  <c r="AA73" i="109"/>
  <c r="W73" i="109"/>
  <c r="V73" i="109"/>
  <c r="R73" i="109"/>
  <c r="Q73" i="109"/>
  <c r="M73" i="109"/>
  <c r="L73" i="109"/>
  <c r="D73" i="109"/>
  <c r="C73" i="109"/>
  <c r="AV72" i="109"/>
  <c r="AU72" i="109"/>
  <c r="E72" i="109"/>
  <c r="AV71" i="109"/>
  <c r="AU71" i="109"/>
  <c r="AM71" i="109"/>
  <c r="AH71" i="109"/>
  <c r="AC71" i="109"/>
  <c r="X71" i="109"/>
  <c r="S71" i="109"/>
  <c r="N71" i="109"/>
  <c r="E71" i="109"/>
  <c r="AV70" i="109"/>
  <c r="AU70" i="109"/>
  <c r="AM70" i="109"/>
  <c r="AH70" i="109"/>
  <c r="AC70" i="109"/>
  <c r="X70" i="109"/>
  <c r="S70" i="109"/>
  <c r="N70" i="109"/>
  <c r="E70" i="109"/>
  <c r="AV69" i="109"/>
  <c r="AU69" i="109"/>
  <c r="AM69" i="109"/>
  <c r="AH69" i="109"/>
  <c r="AC69" i="109"/>
  <c r="X69" i="109"/>
  <c r="S69" i="109"/>
  <c r="N69" i="109"/>
  <c r="E69" i="109"/>
  <c r="AV68" i="109"/>
  <c r="AU68" i="109"/>
  <c r="AM68" i="109"/>
  <c r="AH68" i="109"/>
  <c r="AC68" i="109"/>
  <c r="X68" i="109"/>
  <c r="S68" i="109"/>
  <c r="N68" i="109"/>
  <c r="E68" i="109"/>
  <c r="AV67" i="109"/>
  <c r="AU67" i="109"/>
  <c r="AW67" i="109" s="1"/>
  <c r="AM67" i="109"/>
  <c r="AH67" i="109"/>
  <c r="AC67" i="109"/>
  <c r="X67" i="109"/>
  <c r="S67" i="109"/>
  <c r="N67" i="109"/>
  <c r="E67" i="109"/>
  <c r="AV66" i="109"/>
  <c r="AU66" i="109"/>
  <c r="AM66" i="109"/>
  <c r="AH66" i="109"/>
  <c r="AC66" i="109"/>
  <c r="X66" i="109"/>
  <c r="S66" i="109"/>
  <c r="N66" i="109"/>
  <c r="E66" i="109"/>
  <c r="AV65" i="109"/>
  <c r="AU65" i="109"/>
  <c r="AM65" i="109"/>
  <c r="AH65" i="109"/>
  <c r="AC65" i="109"/>
  <c r="X65" i="109"/>
  <c r="S65" i="109"/>
  <c r="N65" i="109"/>
  <c r="E65" i="109"/>
  <c r="AV64" i="109"/>
  <c r="AU64" i="109"/>
  <c r="AM64" i="109"/>
  <c r="AH64" i="109"/>
  <c r="AC64" i="109"/>
  <c r="X64" i="109"/>
  <c r="S64" i="109"/>
  <c r="N64" i="109"/>
  <c r="E64" i="109"/>
  <c r="AV63" i="109"/>
  <c r="AU63" i="109"/>
  <c r="AM63" i="109"/>
  <c r="AH63" i="109"/>
  <c r="AC63" i="109"/>
  <c r="X63" i="109"/>
  <c r="S63" i="109"/>
  <c r="N63" i="109"/>
  <c r="E63" i="109"/>
  <c r="AV62" i="109"/>
  <c r="AU62" i="109"/>
  <c r="AM62" i="109"/>
  <c r="AH62" i="109"/>
  <c r="AC62" i="109"/>
  <c r="X62" i="109"/>
  <c r="S62" i="109"/>
  <c r="N62" i="109"/>
  <c r="E62" i="109"/>
  <c r="AV61" i="109"/>
  <c r="AU61" i="109"/>
  <c r="AW61" i="109" s="1"/>
  <c r="AM61" i="109"/>
  <c r="AH61" i="109"/>
  <c r="AC61" i="109"/>
  <c r="X61" i="109"/>
  <c r="S61" i="109"/>
  <c r="N61" i="109"/>
  <c r="E61" i="109"/>
  <c r="AV60" i="109"/>
  <c r="AU60" i="109"/>
  <c r="AM60" i="109"/>
  <c r="AH60" i="109"/>
  <c r="AC60" i="109"/>
  <c r="X60" i="109"/>
  <c r="S60" i="109"/>
  <c r="N60" i="109"/>
  <c r="E60" i="109"/>
  <c r="AV59" i="109"/>
  <c r="AU59" i="109"/>
  <c r="AM59" i="109"/>
  <c r="AH59" i="109"/>
  <c r="AC59" i="109"/>
  <c r="X59" i="109"/>
  <c r="S59" i="109"/>
  <c r="N59" i="109"/>
  <c r="E59" i="109"/>
  <c r="AV58" i="109"/>
  <c r="AU58" i="109"/>
  <c r="AM58" i="109"/>
  <c r="AH58" i="109"/>
  <c r="AC58" i="109"/>
  <c r="X58" i="109"/>
  <c r="S58" i="109"/>
  <c r="N58" i="109"/>
  <c r="E58" i="109"/>
  <c r="AV57" i="109"/>
  <c r="AU57" i="109"/>
  <c r="AM57" i="109"/>
  <c r="AH57" i="109"/>
  <c r="AC57" i="109"/>
  <c r="X57" i="109"/>
  <c r="S57" i="109"/>
  <c r="N57" i="109"/>
  <c r="E57" i="109"/>
  <c r="AV56" i="109"/>
  <c r="AU56" i="109"/>
  <c r="AM56" i="109"/>
  <c r="AH56" i="109"/>
  <c r="AC56" i="109"/>
  <c r="X56" i="109"/>
  <c r="S56" i="109"/>
  <c r="N56" i="109"/>
  <c r="E56" i="109"/>
  <c r="AV55" i="109"/>
  <c r="AU55" i="109"/>
  <c r="AM55" i="109"/>
  <c r="AH55" i="109"/>
  <c r="AC55" i="109"/>
  <c r="X55" i="109"/>
  <c r="S55" i="109"/>
  <c r="N55" i="109"/>
  <c r="E55" i="109"/>
  <c r="AV54" i="109"/>
  <c r="AL54" i="109"/>
  <c r="AK54" i="109"/>
  <c r="AG54" i="109"/>
  <c r="AF54" i="109"/>
  <c r="AB54" i="109"/>
  <c r="AA54" i="109"/>
  <c r="W54" i="109"/>
  <c r="V54" i="109"/>
  <c r="R54" i="109"/>
  <c r="Q54" i="109"/>
  <c r="M54" i="109"/>
  <c r="L54" i="109"/>
  <c r="D54" i="109"/>
  <c r="C54" i="109"/>
  <c r="AV53" i="109"/>
  <c r="AU53" i="109"/>
  <c r="AV52" i="109"/>
  <c r="AU52" i="109"/>
  <c r="AM52" i="109"/>
  <c r="AH52" i="109"/>
  <c r="AC52" i="109"/>
  <c r="X52" i="109"/>
  <c r="S52" i="109"/>
  <c r="N52" i="109"/>
  <c r="E52" i="109"/>
  <c r="AV51" i="109"/>
  <c r="AV50" i="109" s="1"/>
  <c r="AU51" i="109"/>
  <c r="AM51" i="109"/>
  <c r="AH51" i="109"/>
  <c r="AC51" i="109"/>
  <c r="X51" i="109"/>
  <c r="S51" i="109"/>
  <c r="N51" i="109"/>
  <c r="E51" i="109"/>
  <c r="AL50" i="109"/>
  <c r="AK50" i="109"/>
  <c r="AG50" i="109"/>
  <c r="AF50" i="109"/>
  <c r="AB50" i="109"/>
  <c r="AA50" i="109"/>
  <c r="W50" i="109"/>
  <c r="V50" i="109"/>
  <c r="R50" i="109"/>
  <c r="Q50" i="109"/>
  <c r="N50" i="109"/>
  <c r="M50" i="109"/>
  <c r="L50" i="109"/>
  <c r="D50" i="109"/>
  <c r="C50" i="109"/>
  <c r="AV49" i="109"/>
  <c r="AU49" i="109"/>
  <c r="E49" i="109"/>
  <c r="AV48" i="109"/>
  <c r="AU48" i="109"/>
  <c r="AM48" i="109"/>
  <c r="AH48" i="109"/>
  <c r="AC48" i="109"/>
  <c r="X48" i="109"/>
  <c r="S48" i="109"/>
  <c r="N48" i="109"/>
  <c r="E48" i="109"/>
  <c r="AV47" i="109"/>
  <c r="AU47" i="109"/>
  <c r="AM47" i="109"/>
  <c r="AH47" i="109"/>
  <c r="AC47" i="109"/>
  <c r="X47" i="109"/>
  <c r="S47" i="109"/>
  <c r="N47" i="109"/>
  <c r="E47" i="109"/>
  <c r="AV46" i="109"/>
  <c r="AU46" i="109"/>
  <c r="AM46" i="109"/>
  <c r="AH46" i="109"/>
  <c r="AC46" i="109"/>
  <c r="X46" i="109"/>
  <c r="S46" i="109"/>
  <c r="N46" i="109"/>
  <c r="E46" i="109"/>
  <c r="AV45" i="109"/>
  <c r="AU45" i="109"/>
  <c r="AM45" i="109"/>
  <c r="AH45" i="109"/>
  <c r="AC45" i="109"/>
  <c r="X45" i="109"/>
  <c r="S45" i="109"/>
  <c r="N45" i="109"/>
  <c r="E45" i="109"/>
  <c r="AV44" i="109"/>
  <c r="AU44" i="109"/>
  <c r="AM44" i="109"/>
  <c r="AH44" i="109"/>
  <c r="AC44" i="109"/>
  <c r="X44" i="109"/>
  <c r="S44" i="109"/>
  <c r="N44" i="109"/>
  <c r="E44" i="109"/>
  <c r="AV43" i="109"/>
  <c r="AU43" i="109"/>
  <c r="AM43" i="109"/>
  <c r="AH43" i="109"/>
  <c r="AC43" i="109"/>
  <c r="X43" i="109"/>
  <c r="S43" i="109"/>
  <c r="N43" i="109"/>
  <c r="E43" i="109"/>
  <c r="AV42" i="109"/>
  <c r="AU42" i="109"/>
  <c r="AM42" i="109"/>
  <c r="AH42" i="109"/>
  <c r="AC42" i="109"/>
  <c r="AC41" i="109" s="1"/>
  <c r="X42" i="109"/>
  <c r="S42" i="109"/>
  <c r="S41" i="109" s="1"/>
  <c r="N42" i="109"/>
  <c r="E42" i="109"/>
  <c r="AL41" i="109"/>
  <c r="AK41" i="109"/>
  <c r="AG41" i="109"/>
  <c r="AF41" i="109"/>
  <c r="AB41" i="109"/>
  <c r="AA41" i="109"/>
  <c r="W41" i="109"/>
  <c r="V41" i="109"/>
  <c r="R41" i="109"/>
  <c r="Q41" i="109"/>
  <c r="M41" i="109"/>
  <c r="L41" i="109"/>
  <c r="D41" i="109"/>
  <c r="C41" i="109"/>
  <c r="AV37" i="109"/>
  <c r="AU37" i="109"/>
  <c r="AV36" i="109"/>
  <c r="AV35" i="109" s="1"/>
  <c r="AU36" i="109"/>
  <c r="AM36" i="109"/>
  <c r="AM35" i="109" s="1"/>
  <c r="AH36" i="109"/>
  <c r="AC36" i="109"/>
  <c r="X36" i="109"/>
  <c r="S36" i="109"/>
  <c r="N36" i="109"/>
  <c r="E36" i="109"/>
  <c r="E35" i="109" s="1"/>
  <c r="AU35" i="109"/>
  <c r="AL35" i="109"/>
  <c r="AK35" i="109"/>
  <c r="AG35" i="109"/>
  <c r="AF35" i="109"/>
  <c r="AB35" i="109"/>
  <c r="AA35" i="109"/>
  <c r="W35" i="109"/>
  <c r="V35" i="109"/>
  <c r="S35" i="109"/>
  <c r="R35" i="109"/>
  <c r="Q35" i="109"/>
  <c r="M35" i="109"/>
  <c r="L35" i="109"/>
  <c r="D35" i="109"/>
  <c r="C35" i="109"/>
  <c r="AV33" i="109"/>
  <c r="AU33" i="109"/>
  <c r="AM33" i="109"/>
  <c r="AH33" i="109"/>
  <c r="AC33" i="109"/>
  <c r="X33" i="109"/>
  <c r="S33" i="109"/>
  <c r="N33" i="109"/>
  <c r="E33" i="109"/>
  <c r="AV32" i="109"/>
  <c r="AU32" i="109"/>
  <c r="AM32" i="109"/>
  <c r="AH32" i="109"/>
  <c r="AC32" i="109"/>
  <c r="X32" i="109"/>
  <c r="S32" i="109"/>
  <c r="N32" i="109"/>
  <c r="E32" i="109"/>
  <c r="AV31" i="109"/>
  <c r="AU31" i="109"/>
  <c r="AM31" i="109"/>
  <c r="AH31" i="109"/>
  <c r="AC31" i="109"/>
  <c r="X31" i="109"/>
  <c r="S31" i="109"/>
  <c r="N31" i="109"/>
  <c r="E31" i="109"/>
  <c r="AV30" i="109"/>
  <c r="AU30" i="109"/>
  <c r="AM30" i="109"/>
  <c r="AH30" i="109"/>
  <c r="AC30" i="109"/>
  <c r="X30" i="109"/>
  <c r="S30" i="109"/>
  <c r="N30" i="109"/>
  <c r="E30" i="109"/>
  <c r="AV29" i="109"/>
  <c r="AU29" i="109"/>
  <c r="AW29" i="109" s="1"/>
  <c r="AM29" i="109"/>
  <c r="AH29" i="109"/>
  <c r="AC29" i="109"/>
  <c r="X29" i="109"/>
  <c r="S29" i="109"/>
  <c r="N29" i="109"/>
  <c r="E29" i="109"/>
  <c r="AV28" i="109"/>
  <c r="AU28" i="109"/>
  <c r="AM28" i="109"/>
  <c r="AH28" i="109"/>
  <c r="AC28" i="109"/>
  <c r="X28" i="109"/>
  <c r="S28" i="109"/>
  <c r="N28" i="109"/>
  <c r="E28" i="109"/>
  <c r="AV27" i="109"/>
  <c r="AU27" i="109"/>
  <c r="AM27" i="109"/>
  <c r="AH27" i="109"/>
  <c r="AC27" i="109"/>
  <c r="X27" i="109"/>
  <c r="S27" i="109"/>
  <c r="N27" i="109"/>
  <c r="E27" i="109"/>
  <c r="AV26" i="109"/>
  <c r="AM26" i="109"/>
  <c r="AH26" i="109"/>
  <c r="AC26" i="109"/>
  <c r="V26" i="109"/>
  <c r="AU26" i="109" s="1"/>
  <c r="S26" i="109"/>
  <c r="N26" i="109"/>
  <c r="E26" i="109"/>
  <c r="AV25" i="109"/>
  <c r="AM25" i="109"/>
  <c r="AH25" i="109"/>
  <c r="AC25" i="109"/>
  <c r="X25" i="109"/>
  <c r="S25" i="109"/>
  <c r="L25" i="109"/>
  <c r="AU25" i="109" s="1"/>
  <c r="E25" i="109"/>
  <c r="AV24" i="109"/>
  <c r="AU24" i="109"/>
  <c r="AM24" i="109"/>
  <c r="AH24" i="109"/>
  <c r="AC24" i="109"/>
  <c r="X24" i="109"/>
  <c r="S24" i="109"/>
  <c r="N24" i="109"/>
  <c r="E24" i="109"/>
  <c r="AV23" i="109"/>
  <c r="AU23" i="109"/>
  <c r="E23" i="109"/>
  <c r="AV22" i="109"/>
  <c r="AW22" i="109" s="1"/>
  <c r="AU22" i="109"/>
  <c r="AM22" i="109"/>
  <c r="AH22" i="109"/>
  <c r="AC22" i="109"/>
  <c r="X22" i="109"/>
  <c r="S22" i="109"/>
  <c r="N22" i="109"/>
  <c r="E22" i="109"/>
  <c r="AV21" i="109"/>
  <c r="AU21" i="109"/>
  <c r="AM21" i="109"/>
  <c r="AH21" i="109"/>
  <c r="AC21" i="109"/>
  <c r="X21" i="109"/>
  <c r="S21" i="109"/>
  <c r="N21" i="109"/>
  <c r="E21" i="109"/>
  <c r="AV20" i="109"/>
  <c r="AU20" i="109"/>
  <c r="AM20" i="109"/>
  <c r="AH20" i="109"/>
  <c r="AC20" i="109"/>
  <c r="X20" i="109"/>
  <c r="S20" i="109"/>
  <c r="N20" i="109"/>
  <c r="E20" i="109"/>
  <c r="AV19" i="109"/>
  <c r="AU19" i="109"/>
  <c r="AM19" i="109"/>
  <c r="AH19" i="109"/>
  <c r="AC19" i="109"/>
  <c r="X19" i="109"/>
  <c r="S19" i="109"/>
  <c r="N19" i="109"/>
  <c r="E19" i="109"/>
  <c r="AV18" i="109"/>
  <c r="AU18" i="109"/>
  <c r="AM18" i="109"/>
  <c r="AH18" i="109"/>
  <c r="AC18" i="109"/>
  <c r="X18" i="109"/>
  <c r="S18" i="109"/>
  <c r="N18" i="109"/>
  <c r="E18" i="109"/>
  <c r="AV17" i="109"/>
  <c r="AU17" i="109"/>
  <c r="AM17" i="109"/>
  <c r="AH17" i="109"/>
  <c r="AC17" i="109"/>
  <c r="X17" i="109"/>
  <c r="S17" i="109"/>
  <c r="N17" i="109"/>
  <c r="E17" i="109"/>
  <c r="AV16" i="109"/>
  <c r="AU16" i="109"/>
  <c r="AM16" i="109"/>
  <c r="AH16" i="109"/>
  <c r="AC16" i="109"/>
  <c r="X16" i="109"/>
  <c r="S16" i="109"/>
  <c r="N16" i="109"/>
  <c r="E16" i="109"/>
  <c r="AV15" i="109"/>
  <c r="AU15" i="109"/>
  <c r="AM15" i="109"/>
  <c r="AH15" i="109"/>
  <c r="AC15" i="109"/>
  <c r="X15" i="109"/>
  <c r="S15" i="109"/>
  <c r="N15" i="109"/>
  <c r="E15" i="109"/>
  <c r="AV14" i="109"/>
  <c r="AU14" i="109"/>
  <c r="AM14" i="109"/>
  <c r="AH14" i="109"/>
  <c r="AC14" i="109"/>
  <c r="X14" i="109"/>
  <c r="S14" i="109"/>
  <c r="N14" i="109"/>
  <c r="E14" i="109"/>
  <c r="AV13" i="109"/>
  <c r="AU13" i="109"/>
  <c r="AM13" i="109"/>
  <c r="AH13" i="109"/>
  <c r="AC13" i="109"/>
  <c r="X13" i="109"/>
  <c r="S13" i="109"/>
  <c r="N13" i="109"/>
  <c r="E13" i="109"/>
  <c r="AV12" i="109"/>
  <c r="AU12" i="109"/>
  <c r="AW12" i="109" s="1"/>
  <c r="AM12" i="109"/>
  <c r="AH12" i="109"/>
  <c r="AC12" i="109"/>
  <c r="X12" i="109"/>
  <c r="S12" i="109"/>
  <c r="N12" i="109"/>
  <c r="E12" i="109"/>
  <c r="AV11" i="109"/>
  <c r="AU11" i="109"/>
  <c r="AM11" i="109"/>
  <c r="AH11" i="109"/>
  <c r="AC11" i="109"/>
  <c r="X11" i="109"/>
  <c r="S11" i="109"/>
  <c r="N11" i="109"/>
  <c r="E11" i="109"/>
  <c r="AV10" i="109"/>
  <c r="AU10" i="109"/>
  <c r="AM10" i="109"/>
  <c r="AH10" i="109"/>
  <c r="AC10" i="109"/>
  <c r="X10" i="109"/>
  <c r="S10" i="109"/>
  <c r="N10" i="109"/>
  <c r="E10" i="109"/>
  <c r="AV9" i="109"/>
  <c r="AU9" i="109"/>
  <c r="AM9" i="109"/>
  <c r="AH9" i="109"/>
  <c r="AC9" i="109"/>
  <c r="X9" i="109"/>
  <c r="S9" i="109"/>
  <c r="N9" i="109"/>
  <c r="E9" i="109"/>
  <c r="AL8" i="109"/>
  <c r="AK8" i="109"/>
  <c r="AG8" i="109"/>
  <c r="AF8" i="109"/>
  <c r="AB8" i="109"/>
  <c r="AA8" i="109"/>
  <c r="W8" i="109"/>
  <c r="R8" i="109"/>
  <c r="S77" i="109" s="1"/>
  <c r="Q8" i="109"/>
  <c r="M8" i="109"/>
  <c r="L8" i="109"/>
  <c r="D8" i="109"/>
  <c r="C8" i="109"/>
  <c r="AV7" i="109"/>
  <c r="AU7" i="109"/>
  <c r="AU5" i="109" s="1"/>
  <c r="AM7" i="109"/>
  <c r="AH7" i="109"/>
  <c r="AC7" i="109"/>
  <c r="X7" i="109"/>
  <c r="S7" i="109"/>
  <c r="N7" i="109"/>
  <c r="E7" i="109"/>
  <c r="AV6" i="109"/>
  <c r="AW6" i="109" s="1"/>
  <c r="AM6" i="109"/>
  <c r="AM5" i="109" s="1"/>
  <c r="AH6" i="109"/>
  <c r="AH5" i="109" s="1"/>
  <c r="AC6" i="109"/>
  <c r="AC5" i="109" s="1"/>
  <c r="X6" i="109"/>
  <c r="S6" i="109"/>
  <c r="S5" i="109" s="1"/>
  <c r="N6" i="109"/>
  <c r="N5" i="109" s="1"/>
  <c r="E6" i="109"/>
  <c r="E5" i="109" s="1"/>
  <c r="AL5" i="109"/>
  <c r="AK5" i="109"/>
  <c r="AK38" i="109" s="1"/>
  <c r="AG5" i="109"/>
  <c r="AF5" i="109"/>
  <c r="AB5" i="109"/>
  <c r="AA5" i="109"/>
  <c r="AA38" i="109" s="1"/>
  <c r="W5" i="109"/>
  <c r="V5" i="109"/>
  <c r="R5" i="109"/>
  <c r="Q5" i="109"/>
  <c r="M5" i="109"/>
  <c r="M38" i="109" s="1"/>
  <c r="M75" i="109" s="1"/>
  <c r="L5" i="109"/>
  <c r="D5" i="109"/>
  <c r="D38" i="109" s="1"/>
  <c r="C5" i="109"/>
  <c r="C38" i="109" s="1"/>
  <c r="AB38" i="109" l="1"/>
  <c r="E41" i="109"/>
  <c r="AU41" i="109"/>
  <c r="AM41" i="109"/>
  <c r="AW60" i="109"/>
  <c r="AV77" i="109"/>
  <c r="AP38" i="98"/>
  <c r="AP39" i="98" s="1"/>
  <c r="AM41" i="98"/>
  <c r="AR5" i="103"/>
  <c r="AM50" i="103"/>
  <c r="AV5" i="109"/>
  <c r="AW26" i="109"/>
  <c r="AG38" i="103"/>
  <c r="AR50" i="103"/>
  <c r="AW45" i="109"/>
  <c r="AM54" i="98"/>
  <c r="AM54" i="103"/>
  <c r="AW17" i="109"/>
  <c r="AW33" i="109"/>
  <c r="AW63" i="109"/>
  <c r="AW56" i="109"/>
  <c r="AW64" i="109"/>
  <c r="AW57" i="109"/>
  <c r="AW65" i="109"/>
  <c r="AR54" i="103"/>
  <c r="AH54" i="103"/>
  <c r="AW28" i="109"/>
  <c r="X54" i="109"/>
  <c r="AW59" i="109"/>
  <c r="AL38" i="98"/>
  <c r="AW47" i="109"/>
  <c r="AH41" i="98"/>
  <c r="AP8" i="103"/>
  <c r="X26" i="109"/>
  <c r="E50" i="109"/>
  <c r="AW68" i="109"/>
  <c r="AW69" i="109"/>
  <c r="AP75" i="98"/>
  <c r="AR5" i="98"/>
  <c r="AL38" i="103"/>
  <c r="AL75" i="103" s="1"/>
  <c r="AW32" i="109"/>
  <c r="AF5" i="98"/>
  <c r="AF38" i="98" s="1"/>
  <c r="AG38" i="109"/>
  <c r="AG75" i="109" s="1"/>
  <c r="V8" i="109"/>
  <c r="V38" i="109" s="1"/>
  <c r="AF38" i="109"/>
  <c r="AW10" i="109"/>
  <c r="AW23" i="109"/>
  <c r="N25" i="109"/>
  <c r="AW36" i="109"/>
  <c r="AW42" i="109"/>
  <c r="AW46" i="109"/>
  <c r="AW53" i="109"/>
  <c r="AW58" i="109"/>
  <c r="AW62" i="109"/>
  <c r="AQ38" i="98"/>
  <c r="AQ75" i="98" s="1"/>
  <c r="AR41" i="98"/>
  <c r="AF38" i="103"/>
  <c r="AK8" i="103"/>
  <c r="AK38" i="103" s="1"/>
  <c r="AK39" i="103" s="1"/>
  <c r="AW25" i="109"/>
  <c r="AW27" i="109"/>
  <c r="AW66" i="109"/>
  <c r="AV8" i="109"/>
  <c r="AW31" i="109"/>
  <c r="AW70" i="109"/>
  <c r="AW72" i="109"/>
  <c r="AW7" i="109"/>
  <c r="AW5" i="109" s="1"/>
  <c r="AW51" i="109"/>
  <c r="AW14" i="109"/>
  <c r="AW16" i="109"/>
  <c r="AW18" i="109"/>
  <c r="AW20" i="109"/>
  <c r="AW24" i="109"/>
  <c r="AW44" i="109"/>
  <c r="AW30" i="109"/>
  <c r="AW71" i="109"/>
  <c r="AF39" i="103"/>
  <c r="AF75" i="103"/>
  <c r="AG75" i="103"/>
  <c r="AG39" i="103"/>
  <c r="AM8" i="103"/>
  <c r="AP38" i="103"/>
  <c r="AH8" i="103"/>
  <c r="AM41" i="103"/>
  <c r="AL39" i="103"/>
  <c r="AQ75" i="103"/>
  <c r="AQ39" i="103"/>
  <c r="AR8" i="103"/>
  <c r="AR38" i="103" s="1"/>
  <c r="AK75" i="98"/>
  <c r="AK39" i="98"/>
  <c r="AF75" i="98"/>
  <c r="AF39" i="98"/>
  <c r="AL75" i="98"/>
  <c r="AL39" i="98"/>
  <c r="AG38" i="98"/>
  <c r="AR77" i="98"/>
  <c r="AH38" i="98"/>
  <c r="AP81" i="98"/>
  <c r="AP83" i="98" s="1"/>
  <c r="AP84" i="98" s="1"/>
  <c r="AP86" i="98" s="1"/>
  <c r="AP87" i="98" s="1"/>
  <c r="AP76" i="98"/>
  <c r="AM8" i="98"/>
  <c r="AM38" i="98" s="1"/>
  <c r="AR8" i="98"/>
  <c r="AH50" i="98"/>
  <c r="AR54" i="98"/>
  <c r="AR50" i="98"/>
  <c r="AH54" i="98"/>
  <c r="AH89" i="98" s="1"/>
  <c r="AK75" i="109"/>
  <c r="AK39" i="109"/>
  <c r="C75" i="109"/>
  <c r="C39" i="109"/>
  <c r="D75" i="109"/>
  <c r="D39" i="109"/>
  <c r="X77" i="109"/>
  <c r="X8" i="109"/>
  <c r="N35" i="109"/>
  <c r="AA75" i="109"/>
  <c r="AA39" i="109"/>
  <c r="Q38" i="109"/>
  <c r="W38" i="109"/>
  <c r="AF75" i="109"/>
  <c r="AF39" i="109"/>
  <c r="AM77" i="109"/>
  <c r="E8" i="109"/>
  <c r="E38" i="109" s="1"/>
  <c r="S8" i="109"/>
  <c r="AC8" i="109"/>
  <c r="AM8" i="109"/>
  <c r="AM38" i="109" s="1"/>
  <c r="AW9" i="109"/>
  <c r="AW13" i="109"/>
  <c r="AW21" i="109"/>
  <c r="N8" i="109"/>
  <c r="AU8" i="109"/>
  <c r="AU38" i="109" s="1"/>
  <c r="X35" i="109"/>
  <c r="AW35" i="109"/>
  <c r="M39" i="109"/>
  <c r="M76" i="109"/>
  <c r="M81" i="109"/>
  <c r="M83" i="109" s="1"/>
  <c r="M84" i="109" s="1"/>
  <c r="M86" i="109" s="1"/>
  <c r="M87" i="109" s="1"/>
  <c r="X41" i="109"/>
  <c r="AV38" i="109"/>
  <c r="AB75" i="109"/>
  <c r="AB39" i="109"/>
  <c r="X5" i="109"/>
  <c r="AW11" i="109"/>
  <c r="AW15" i="109"/>
  <c r="AW19" i="109"/>
  <c r="AH8" i="109"/>
  <c r="AH38" i="109" s="1"/>
  <c r="AC35" i="109"/>
  <c r="AV41" i="109"/>
  <c r="AH54" i="109"/>
  <c r="AW78" i="109"/>
  <c r="AW77" i="109" s="1"/>
  <c r="AU77" i="109"/>
  <c r="L38" i="109"/>
  <c r="R38" i="109"/>
  <c r="AL38" i="109"/>
  <c r="AW43" i="109"/>
  <c r="AW48" i="109"/>
  <c r="AC50" i="109"/>
  <c r="AW50" i="109"/>
  <c r="E54" i="109"/>
  <c r="AC54" i="109"/>
  <c r="AW55" i="109"/>
  <c r="AU54" i="109"/>
  <c r="AH35" i="109"/>
  <c r="N41" i="109"/>
  <c r="O41" i="109" s="1"/>
  <c r="AH41" i="109"/>
  <c r="N54" i="109"/>
  <c r="S50" i="109"/>
  <c r="AM50" i="109"/>
  <c r="AW52" i="109"/>
  <c r="AU50" i="109"/>
  <c r="S54" i="109"/>
  <c r="AM54" i="109"/>
  <c r="X50" i="109"/>
  <c r="AH50" i="109"/>
  <c r="N77" i="109"/>
  <c r="AC77" i="109"/>
  <c r="AW74" i="109"/>
  <c r="AW73" i="109" s="1"/>
  <c r="AH77" i="109"/>
  <c r="AW82" i="109"/>
  <c r="V75" i="109" l="1"/>
  <c r="V39" i="109"/>
  <c r="X38" i="109"/>
  <c r="X75" i="109" s="1"/>
  <c r="AG39" i="109"/>
  <c r="AK75" i="103"/>
  <c r="AK76" i="103" s="1"/>
  <c r="AR38" i="98"/>
  <c r="AR39" i="98" s="1"/>
  <c r="AQ39" i="98"/>
  <c r="AI23" i="98"/>
  <c r="AI51" i="98"/>
  <c r="AI64" i="98"/>
  <c r="AI60" i="98"/>
  <c r="AI68" i="98"/>
  <c r="AI56" i="98"/>
  <c r="AH77" i="98"/>
  <c r="AK81" i="103"/>
  <c r="AK83" i="103" s="1"/>
  <c r="AK84" i="103" s="1"/>
  <c r="AK86" i="103" s="1"/>
  <c r="AK87" i="103" s="1"/>
  <c r="AH89" i="103"/>
  <c r="AI8" i="103" s="1"/>
  <c r="AM38" i="103"/>
  <c r="AL76" i="103"/>
  <c r="AL81" i="103"/>
  <c r="AL83" i="103" s="1"/>
  <c r="AL84" i="103" s="1"/>
  <c r="AL86" i="103" s="1"/>
  <c r="AL87" i="103" s="1"/>
  <c r="AG76" i="103"/>
  <c r="AG81" i="103"/>
  <c r="AG83" i="103" s="1"/>
  <c r="AG84" i="103" s="1"/>
  <c r="AG86" i="103" s="1"/>
  <c r="AG87" i="103" s="1"/>
  <c r="AH38" i="103"/>
  <c r="AQ76" i="103"/>
  <c r="AQ81" i="103"/>
  <c r="AQ83" i="103" s="1"/>
  <c r="AQ84" i="103" s="1"/>
  <c r="AQ86" i="103" s="1"/>
  <c r="AQ87" i="103" s="1"/>
  <c r="AR75" i="103"/>
  <c r="AR39" i="103"/>
  <c r="AP39" i="103"/>
  <c r="AP75" i="103"/>
  <c r="AF81" i="103"/>
  <c r="AF83" i="103" s="1"/>
  <c r="AF84" i="103" s="1"/>
  <c r="AF86" i="103" s="1"/>
  <c r="AF87" i="103" s="1"/>
  <c r="AF76" i="103"/>
  <c r="AR75" i="98"/>
  <c r="AM75" i="98"/>
  <c r="AM39" i="98"/>
  <c r="AI71" i="98"/>
  <c r="AI67" i="98"/>
  <c r="AI63" i="98"/>
  <c r="AI59" i="98"/>
  <c r="AI55" i="98"/>
  <c r="AI32" i="98"/>
  <c r="AI28" i="98"/>
  <c r="AI24" i="98"/>
  <c r="AG75" i="98"/>
  <c r="AG39" i="98"/>
  <c r="AL76" i="98"/>
  <c r="AL81" i="98"/>
  <c r="AL83" i="98" s="1"/>
  <c r="AL84" i="98" s="1"/>
  <c r="AL86" i="98" s="1"/>
  <c r="AL87" i="98" s="1"/>
  <c r="AQ81" i="98"/>
  <c r="AQ83" i="98" s="1"/>
  <c r="AQ84" i="98" s="1"/>
  <c r="AQ86" i="98" s="1"/>
  <c r="AQ87" i="98" s="1"/>
  <c r="AQ76" i="98"/>
  <c r="AI25" i="98"/>
  <c r="AI70" i="98"/>
  <c r="AI66" i="98"/>
  <c r="AI62" i="98"/>
  <c r="AI58" i="98"/>
  <c r="AR89" i="98"/>
  <c r="AS54" i="98" s="1"/>
  <c r="AH92" i="98"/>
  <c r="AI31" i="98"/>
  <c r="AI27" i="98"/>
  <c r="AI48" i="98"/>
  <c r="AI47" i="98"/>
  <c r="AI46" i="98"/>
  <c r="AI45" i="98"/>
  <c r="AI44" i="98"/>
  <c r="AI43" i="98"/>
  <c r="AI49" i="98"/>
  <c r="AI42" i="98"/>
  <c r="AI72" i="98"/>
  <c r="AI8" i="98"/>
  <c r="AI22" i="98"/>
  <c r="AI21" i="98"/>
  <c r="AI20" i="98"/>
  <c r="AI19" i="98"/>
  <c r="AI18" i="98"/>
  <c r="AI17" i="98"/>
  <c r="AI16" i="98"/>
  <c r="AI15" i="98"/>
  <c r="AI14" i="98"/>
  <c r="AI13" i="98"/>
  <c r="AI12" i="98"/>
  <c r="AI11" i="98"/>
  <c r="AI10" i="98"/>
  <c r="AI9" i="98"/>
  <c r="AI36" i="98"/>
  <c r="AI29" i="98"/>
  <c r="AI69" i="98"/>
  <c r="AI65" i="98"/>
  <c r="AI61" i="98"/>
  <c r="AI57" i="98"/>
  <c r="AI33" i="98"/>
  <c r="AI52" i="98"/>
  <c r="AM89" i="98"/>
  <c r="AN8" i="98" s="1"/>
  <c r="AH75" i="98"/>
  <c r="AH39" i="98"/>
  <c r="AI30" i="98"/>
  <c r="AI26" i="98"/>
  <c r="AF81" i="98"/>
  <c r="AF83" i="98" s="1"/>
  <c r="AF84" i="98" s="1"/>
  <c r="AF86" i="98" s="1"/>
  <c r="AF87" i="98" s="1"/>
  <c r="AF76" i="98"/>
  <c r="AK81" i="98"/>
  <c r="AK83" i="98" s="1"/>
  <c r="AK84" i="98" s="1"/>
  <c r="AK86" i="98" s="1"/>
  <c r="AK87" i="98" s="1"/>
  <c r="AK76" i="98"/>
  <c r="AH75" i="109"/>
  <c r="AH39" i="109"/>
  <c r="AM89" i="109"/>
  <c r="AN8" i="109" s="1"/>
  <c r="AA76" i="109"/>
  <c r="AA81" i="109"/>
  <c r="AA83" i="109" s="1"/>
  <c r="AA84" i="109" s="1"/>
  <c r="AA86" i="109" s="1"/>
  <c r="AA87" i="109" s="1"/>
  <c r="AU75" i="109"/>
  <c r="AU39" i="109"/>
  <c r="AW54" i="109"/>
  <c r="AL75" i="109"/>
  <c r="AL39" i="109"/>
  <c r="AB76" i="109"/>
  <c r="AB81" i="109"/>
  <c r="AB83" i="109" s="1"/>
  <c r="AB84" i="109" s="1"/>
  <c r="AB86" i="109" s="1"/>
  <c r="AB87" i="109" s="1"/>
  <c r="AC89" i="109"/>
  <c r="AI50" i="109" s="1"/>
  <c r="Q75" i="109"/>
  <c r="Q39" i="109"/>
  <c r="AC38" i="109"/>
  <c r="C76" i="109"/>
  <c r="C81" i="109"/>
  <c r="C83" i="109" s="1"/>
  <c r="C84" i="109" s="1"/>
  <c r="C86" i="109" s="1"/>
  <c r="C87" i="109" s="1"/>
  <c r="AG76" i="109"/>
  <c r="AG81" i="109"/>
  <c r="AG83" i="109" s="1"/>
  <c r="AG84" i="109" s="1"/>
  <c r="AG86" i="109" s="1"/>
  <c r="AG87" i="109" s="1"/>
  <c r="AM75" i="109"/>
  <c r="AM39" i="109"/>
  <c r="W75" i="109"/>
  <c r="W39" i="109"/>
  <c r="AN54" i="109"/>
  <c r="AW41" i="109"/>
  <c r="R75" i="109"/>
  <c r="R39" i="109"/>
  <c r="AH89" i="109"/>
  <c r="AI8" i="109" s="1"/>
  <c r="AV75" i="109"/>
  <c r="AV39" i="109"/>
  <c r="S89" i="109"/>
  <c r="E75" i="109"/>
  <c r="E39" i="109"/>
  <c r="X89" i="109"/>
  <c r="Y50" i="109" s="1"/>
  <c r="L75" i="109"/>
  <c r="L39" i="109"/>
  <c r="N89" i="109"/>
  <c r="O54" i="109" s="1"/>
  <c r="AW8" i="109"/>
  <c r="E89" i="109"/>
  <c r="F54" i="109" s="1"/>
  <c r="AF81" i="109"/>
  <c r="AF83" i="109" s="1"/>
  <c r="AF84" i="109" s="1"/>
  <c r="AF86" i="109" s="1"/>
  <c r="AF87" i="109" s="1"/>
  <c r="AF76" i="109"/>
  <c r="D76" i="109"/>
  <c r="D81" i="109"/>
  <c r="D83" i="109" s="1"/>
  <c r="D84" i="109" s="1"/>
  <c r="D86" i="109" s="1"/>
  <c r="D87" i="109" s="1"/>
  <c r="S38" i="109"/>
  <c r="V76" i="109"/>
  <c r="V81" i="109"/>
  <c r="V83" i="109" s="1"/>
  <c r="V84" i="109" s="1"/>
  <c r="V86" i="109" s="1"/>
  <c r="V87" i="109" s="1"/>
  <c r="AK81" i="109"/>
  <c r="AK83" i="109" s="1"/>
  <c r="AK84" i="109" s="1"/>
  <c r="AK86" i="109" s="1"/>
  <c r="AK87" i="109" s="1"/>
  <c r="AK76" i="109"/>
  <c r="N38" i="109"/>
  <c r="AW89" i="109" l="1"/>
  <c r="AW90" i="109" s="1"/>
  <c r="AX80" i="103"/>
  <c r="AX82" i="103"/>
  <c r="AX85" i="103"/>
  <c r="AX81" i="103"/>
  <c r="AX83" i="103"/>
  <c r="AX84" i="103"/>
  <c r="X39" i="109"/>
  <c r="T8" i="109"/>
  <c r="AS72" i="109"/>
  <c r="AS53" i="109"/>
  <c r="AS49" i="109"/>
  <c r="AS37" i="109"/>
  <c r="AS34" i="109"/>
  <c r="AS51" i="109"/>
  <c r="AS40" i="109"/>
  <c r="AS36" i="109"/>
  <c r="AS35" i="109"/>
  <c r="AS50" i="109"/>
  <c r="AS52" i="109"/>
  <c r="AS38" i="109"/>
  <c r="AS39" i="109"/>
  <c r="Y35" i="109"/>
  <c r="T54" i="109"/>
  <c r="AM75" i="103"/>
  <c r="AM39" i="103"/>
  <c r="AI80" i="103"/>
  <c r="AS78" i="103"/>
  <c r="AI78" i="103"/>
  <c r="AI53" i="103"/>
  <c r="AI49" i="103"/>
  <c r="AI79" i="103"/>
  <c r="AS80" i="103"/>
  <c r="AS85" i="103"/>
  <c r="AI47" i="103"/>
  <c r="AI45" i="103"/>
  <c r="AI43" i="103"/>
  <c r="AI82" i="103"/>
  <c r="AI52" i="103"/>
  <c r="AI32" i="103"/>
  <c r="AI30" i="103"/>
  <c r="AI29" i="103"/>
  <c r="AI28" i="103"/>
  <c r="AS82" i="103"/>
  <c r="AI48" i="103"/>
  <c r="AI46" i="103"/>
  <c r="AI44" i="103"/>
  <c r="AI42" i="103"/>
  <c r="AI85" i="103"/>
  <c r="AI33" i="103"/>
  <c r="AN80" i="103"/>
  <c r="AI31" i="103"/>
  <c r="AI25" i="103"/>
  <c r="AI23" i="103"/>
  <c r="AI51" i="103"/>
  <c r="AI18" i="103"/>
  <c r="AI26" i="103"/>
  <c r="AH94" i="103"/>
  <c r="AI12" i="103"/>
  <c r="AI16" i="103"/>
  <c r="AI58" i="103"/>
  <c r="AI62" i="103"/>
  <c r="AI66" i="103"/>
  <c r="AI70" i="103"/>
  <c r="AI22" i="103"/>
  <c r="AI24" i="103"/>
  <c r="AI9" i="103"/>
  <c r="AI13" i="103"/>
  <c r="AI17" i="103"/>
  <c r="AI55" i="103"/>
  <c r="AI59" i="103"/>
  <c r="AI63" i="103"/>
  <c r="AI67" i="103"/>
  <c r="AI71" i="103"/>
  <c r="AI19" i="103"/>
  <c r="AI27" i="103"/>
  <c r="AN78" i="103"/>
  <c r="AI57" i="103"/>
  <c r="AI61" i="103"/>
  <c r="AI69" i="103"/>
  <c r="AI21" i="103"/>
  <c r="AN85" i="103"/>
  <c r="AI10" i="103"/>
  <c r="AI14" i="103"/>
  <c r="AI56" i="103"/>
  <c r="AI60" i="103"/>
  <c r="AI64" i="103"/>
  <c r="AI68" i="103"/>
  <c r="AI20" i="103"/>
  <c r="AI50" i="103"/>
  <c r="AI77" i="103"/>
  <c r="AI54" i="103"/>
  <c r="AI11" i="103"/>
  <c r="AI15" i="103"/>
  <c r="AI65" i="103"/>
  <c r="AI41" i="103"/>
  <c r="AN82" i="103"/>
  <c r="AP81" i="103"/>
  <c r="AP83" i="103" s="1"/>
  <c r="AP84" i="103" s="1"/>
  <c r="AP86" i="103" s="1"/>
  <c r="AP87" i="103" s="1"/>
  <c r="AP76" i="103"/>
  <c r="AR76" i="103"/>
  <c r="AH39" i="103"/>
  <c r="AH75" i="103"/>
  <c r="AS8" i="98"/>
  <c r="AG81" i="98"/>
  <c r="AG83" i="98" s="1"/>
  <c r="AG84" i="98" s="1"/>
  <c r="AG86" i="98" s="1"/>
  <c r="AG87" i="98" s="1"/>
  <c r="AG76" i="98"/>
  <c r="AM81" i="98"/>
  <c r="AM83" i="98" s="1"/>
  <c r="AM84" i="98" s="1"/>
  <c r="AM86" i="98" s="1"/>
  <c r="AM87" i="98" s="1"/>
  <c r="AM76" i="98"/>
  <c r="AH81" i="98"/>
  <c r="AH83" i="98" s="1"/>
  <c r="AH84" i="98" s="1"/>
  <c r="AH86" i="98" s="1"/>
  <c r="AH87" i="98" s="1"/>
  <c r="AH76" i="98"/>
  <c r="AN49" i="98"/>
  <c r="AN72" i="98"/>
  <c r="AN47" i="98"/>
  <c r="AN45" i="98"/>
  <c r="AN43" i="98"/>
  <c r="AN41" i="98"/>
  <c r="AN36" i="98"/>
  <c r="AN48" i="98"/>
  <c r="AN46" i="98"/>
  <c r="AN44" i="98"/>
  <c r="AN42" i="98"/>
  <c r="AN9" i="98"/>
  <c r="AN11" i="98"/>
  <c r="AN22" i="98"/>
  <c r="AN21" i="98"/>
  <c r="AN20" i="98"/>
  <c r="AN19" i="98"/>
  <c r="AN18" i="98"/>
  <c r="AN17" i="98"/>
  <c r="AN16" i="98"/>
  <c r="AN15" i="98"/>
  <c r="AN14" i="98"/>
  <c r="AN13" i="98"/>
  <c r="AN12" i="98"/>
  <c r="AN10" i="98"/>
  <c r="AM92" i="98"/>
  <c r="AN24" i="98"/>
  <c r="AN28" i="98"/>
  <c r="AN32" i="98"/>
  <c r="AN58" i="98"/>
  <c r="AN62" i="98"/>
  <c r="AN66" i="98"/>
  <c r="AN70" i="98"/>
  <c r="AN27" i="98"/>
  <c r="AN57" i="98"/>
  <c r="AN65" i="98"/>
  <c r="AN33" i="98"/>
  <c r="AN25" i="98"/>
  <c r="AN29" i="98"/>
  <c r="AN54" i="98"/>
  <c r="AN51" i="98"/>
  <c r="AN50" i="98"/>
  <c r="AN55" i="98"/>
  <c r="AN59" i="98"/>
  <c r="AN63" i="98"/>
  <c r="AN67" i="98"/>
  <c r="AN71" i="98"/>
  <c r="AN61" i="98"/>
  <c r="AN26" i="98"/>
  <c r="AN30" i="98"/>
  <c r="AN52" i="98"/>
  <c r="AN56" i="98"/>
  <c r="AN60" i="98"/>
  <c r="AN64" i="98"/>
  <c r="AN68" i="98"/>
  <c r="AN23" i="98"/>
  <c r="AN31" i="98"/>
  <c r="AN69" i="98"/>
  <c r="AS49" i="98"/>
  <c r="AS72" i="98"/>
  <c r="AS48" i="98"/>
  <c r="AS47" i="98"/>
  <c r="AS46" i="98"/>
  <c r="AS45" i="98"/>
  <c r="AS44" i="98"/>
  <c r="AS43" i="98"/>
  <c r="AS42" i="98"/>
  <c r="AS36" i="98"/>
  <c r="AS22" i="98"/>
  <c r="AS21" i="98"/>
  <c r="AS20" i="98"/>
  <c r="AS19" i="98"/>
  <c r="AS18" i="98"/>
  <c r="AS17" i="98"/>
  <c r="AS16" i="98"/>
  <c r="AS15" i="98"/>
  <c r="AS14" i="98"/>
  <c r="AS13" i="98"/>
  <c r="AS12" i="98"/>
  <c r="AS11" i="98"/>
  <c r="AS10" i="98"/>
  <c r="AS9" i="98"/>
  <c r="AS24" i="98"/>
  <c r="AS28" i="98"/>
  <c r="AS32" i="98"/>
  <c r="AS56" i="98"/>
  <c r="AS60" i="98"/>
  <c r="AS64" i="98"/>
  <c r="AS68" i="98"/>
  <c r="AS52" i="98"/>
  <c r="AS41" i="98"/>
  <c r="AS63" i="98"/>
  <c r="AS71" i="98"/>
  <c r="AS51" i="98"/>
  <c r="AS25" i="98"/>
  <c r="AS29" i="98"/>
  <c r="AS57" i="98"/>
  <c r="AS61" i="98"/>
  <c r="AS65" i="98"/>
  <c r="AS69" i="98"/>
  <c r="AS26" i="98"/>
  <c r="AS30" i="98"/>
  <c r="AS23" i="98"/>
  <c r="AS58" i="98"/>
  <c r="AS62" i="98"/>
  <c r="AS66" i="98"/>
  <c r="AS70" i="98"/>
  <c r="AR92" i="98"/>
  <c r="AS27" i="98"/>
  <c r="AS31" i="98"/>
  <c r="AS33" i="98"/>
  <c r="AS55" i="98"/>
  <c r="AS59" i="98"/>
  <c r="AS67" i="98"/>
  <c r="AS50" i="98"/>
  <c r="AR76" i="98"/>
  <c r="AR81" i="98"/>
  <c r="AR83" i="98" s="1"/>
  <c r="AR84" i="98" s="1"/>
  <c r="AR86" i="98" s="1"/>
  <c r="AR87" i="98" s="1"/>
  <c r="E81" i="109"/>
  <c r="E83" i="109" s="1"/>
  <c r="E84" i="109" s="1"/>
  <c r="E86" i="109" s="1"/>
  <c r="E87" i="109" s="1"/>
  <c r="E76" i="109"/>
  <c r="R81" i="109"/>
  <c r="R83" i="109" s="1"/>
  <c r="R84" i="109" s="1"/>
  <c r="R86" i="109" s="1"/>
  <c r="R87" i="109" s="1"/>
  <c r="R76" i="109"/>
  <c r="AC75" i="109"/>
  <c r="AC39" i="109"/>
  <c r="AD39" i="109" s="1"/>
  <c r="AD38" i="109"/>
  <c r="AD71" i="109"/>
  <c r="AI53" i="109"/>
  <c r="AD49" i="109"/>
  <c r="AD40" i="109"/>
  <c r="AD53" i="109"/>
  <c r="AI37" i="109"/>
  <c r="AN49" i="109"/>
  <c r="AD46" i="109"/>
  <c r="AN53" i="109"/>
  <c r="AD47" i="109"/>
  <c r="AD43" i="109"/>
  <c r="AN34" i="109"/>
  <c r="AD70" i="109"/>
  <c r="AI49" i="109"/>
  <c r="AD44" i="109"/>
  <c r="AI34" i="109"/>
  <c r="AD23" i="109"/>
  <c r="AD48" i="109"/>
  <c r="AD45" i="109"/>
  <c r="AN40" i="109"/>
  <c r="AD37" i="109"/>
  <c r="AD30" i="109"/>
  <c r="AD26" i="109"/>
  <c r="AD15" i="109"/>
  <c r="AD42" i="109"/>
  <c r="AI40" i="109"/>
  <c r="AN36" i="109"/>
  <c r="AD34" i="109"/>
  <c r="AD32" i="109"/>
  <c r="AD28" i="109"/>
  <c r="AD22" i="109"/>
  <c r="AD13" i="109"/>
  <c r="AD9" i="109"/>
  <c r="AN37" i="109"/>
  <c r="AD19" i="109"/>
  <c r="AD11" i="109"/>
  <c r="AN35" i="109"/>
  <c r="AD33" i="109"/>
  <c r="AD25" i="109"/>
  <c r="AD27" i="109"/>
  <c r="AD10" i="109"/>
  <c r="AD16" i="109"/>
  <c r="AD18" i="109"/>
  <c r="AD79" i="109"/>
  <c r="AD41" i="109"/>
  <c r="AD61" i="109"/>
  <c r="AD52" i="109"/>
  <c r="AD58" i="109"/>
  <c r="AD62" i="109"/>
  <c r="AD66" i="109"/>
  <c r="AD57" i="109"/>
  <c r="AD60" i="109"/>
  <c r="AD68" i="109"/>
  <c r="AD29" i="109"/>
  <c r="AD14" i="109"/>
  <c r="AI52" i="109"/>
  <c r="AD51" i="109"/>
  <c r="AN52" i="109"/>
  <c r="AD55" i="109"/>
  <c r="AI36" i="109"/>
  <c r="AD59" i="109"/>
  <c r="AD63" i="109"/>
  <c r="AD67" i="109"/>
  <c r="AD69" i="109"/>
  <c r="AD17" i="109"/>
  <c r="AD56" i="109"/>
  <c r="AD64" i="109"/>
  <c r="AD31" i="109"/>
  <c r="AD21" i="109"/>
  <c r="AD24" i="109"/>
  <c r="AD36" i="109"/>
  <c r="AI51" i="109"/>
  <c r="AN51" i="109"/>
  <c r="AD12" i="109"/>
  <c r="AD20" i="109"/>
  <c r="AD65" i="109"/>
  <c r="N75" i="109"/>
  <c r="N39" i="109"/>
  <c r="AI54" i="109"/>
  <c r="AD50" i="109"/>
  <c r="Y8" i="109"/>
  <c r="AN38" i="109"/>
  <c r="Y39" i="109"/>
  <c r="AU76" i="109"/>
  <c r="AU81" i="109"/>
  <c r="AU83" i="109" s="1"/>
  <c r="AU84" i="109" s="1"/>
  <c r="AU86" i="109" s="1"/>
  <c r="AU87" i="109" s="1"/>
  <c r="AN71" i="109"/>
  <c r="AN69" i="109"/>
  <c r="AN48" i="109"/>
  <c r="AN46" i="109"/>
  <c r="AN42" i="109"/>
  <c r="AN47" i="109"/>
  <c r="AN43" i="109"/>
  <c r="AN44" i="109"/>
  <c r="AN23" i="109"/>
  <c r="AN19" i="109"/>
  <c r="AN11" i="109"/>
  <c r="AN45" i="109"/>
  <c r="AN31" i="109"/>
  <c r="AN27" i="109"/>
  <c r="AN13" i="109"/>
  <c r="AN9" i="109"/>
  <c r="AN29" i="109"/>
  <c r="AN15" i="109"/>
  <c r="AN32" i="109"/>
  <c r="AN25" i="109"/>
  <c r="AN30" i="109"/>
  <c r="AN20" i="109"/>
  <c r="AN22" i="109"/>
  <c r="AN60" i="109"/>
  <c r="AN58" i="109"/>
  <c r="AN62" i="109"/>
  <c r="AN66" i="109"/>
  <c r="AN61" i="109"/>
  <c r="AN68" i="109"/>
  <c r="AN21" i="109"/>
  <c r="AN12" i="109"/>
  <c r="AN16" i="109"/>
  <c r="AN24" i="109"/>
  <c r="AN64" i="109"/>
  <c r="AN56" i="109"/>
  <c r="AN70" i="109"/>
  <c r="AN28" i="109"/>
  <c r="AN17" i="109"/>
  <c r="AN26" i="109"/>
  <c r="AN18" i="109"/>
  <c r="AN41" i="109"/>
  <c r="AN55" i="109"/>
  <c r="AN59" i="109"/>
  <c r="AN63" i="109"/>
  <c r="AN67" i="109"/>
  <c r="AN10" i="109"/>
  <c r="AN14" i="109"/>
  <c r="AN57" i="109"/>
  <c r="AN65" i="109"/>
  <c r="AI38" i="109"/>
  <c r="O72" i="109"/>
  <c r="O66" i="109"/>
  <c r="O62" i="109"/>
  <c r="O58" i="109"/>
  <c r="O55" i="109"/>
  <c r="O67" i="109"/>
  <c r="O63" i="109"/>
  <c r="O59" i="109"/>
  <c r="O68" i="109"/>
  <c r="O64" i="109"/>
  <c r="O60" i="109"/>
  <c r="O56" i="109"/>
  <c r="O65" i="109"/>
  <c r="O61" i="109"/>
  <c r="O57" i="109"/>
  <c r="O49" i="109"/>
  <c r="O23" i="109"/>
  <c r="O18" i="109"/>
  <c r="O14" i="109"/>
  <c r="O10" i="109"/>
  <c r="O13" i="109"/>
  <c r="O26" i="109"/>
  <c r="O19" i="109"/>
  <c r="O15" i="109"/>
  <c r="O11" i="109"/>
  <c r="O17" i="109"/>
  <c r="O9" i="109"/>
  <c r="O20" i="109"/>
  <c r="O16" i="109"/>
  <c r="O12" i="109"/>
  <c r="O21" i="109"/>
  <c r="O25" i="109"/>
  <c r="O28" i="109"/>
  <c r="O32" i="109"/>
  <c r="O27" i="109"/>
  <c r="O31" i="109"/>
  <c r="O52" i="109"/>
  <c r="O43" i="109"/>
  <c r="O71" i="109"/>
  <c r="O70" i="109"/>
  <c r="O24" i="109"/>
  <c r="O36" i="109"/>
  <c r="O29" i="109"/>
  <c r="O44" i="109"/>
  <c r="O47" i="109"/>
  <c r="O42" i="109"/>
  <c r="O51" i="109"/>
  <c r="O45" i="109"/>
  <c r="O33" i="109"/>
  <c r="O30" i="109"/>
  <c r="O46" i="109"/>
  <c r="O69" i="109"/>
  <c r="O48" i="109"/>
  <c r="O22" i="109"/>
  <c r="S75" i="109"/>
  <c r="S39" i="109"/>
  <c r="T39" i="109" s="1"/>
  <c r="T38" i="109"/>
  <c r="AX41" i="109"/>
  <c r="AW38" i="109"/>
  <c r="AD54" i="109"/>
  <c r="Y78" i="109"/>
  <c r="Y65" i="109"/>
  <c r="Y61" i="109"/>
  <c r="Y57" i="109"/>
  <c r="Y55" i="109"/>
  <c r="Y66" i="109"/>
  <c r="Y62" i="109"/>
  <c r="Y58" i="109"/>
  <c r="Y48" i="109"/>
  <c r="AI78" i="109"/>
  <c r="Y67" i="109"/>
  <c r="Y63" i="109"/>
  <c r="Y59" i="109"/>
  <c r="Y56" i="109"/>
  <c r="Y68" i="109"/>
  <c r="Y54" i="109"/>
  <c r="Y64" i="109"/>
  <c r="Y60" i="109"/>
  <c r="Y18" i="109"/>
  <c r="Y14" i="109"/>
  <c r="Y10" i="109"/>
  <c r="Y21" i="109"/>
  <c r="Y19" i="109"/>
  <c r="Y15" i="109"/>
  <c r="Y11" i="109"/>
  <c r="Y13" i="109"/>
  <c r="Y23" i="109"/>
  <c r="Y20" i="109"/>
  <c r="Y16" i="109"/>
  <c r="Y12" i="109"/>
  <c r="Y17" i="109"/>
  <c r="Y9" i="109"/>
  <c r="Y22" i="109"/>
  <c r="Y28" i="109"/>
  <c r="Y32" i="109"/>
  <c r="Y43" i="109"/>
  <c r="Y47" i="109"/>
  <c r="Y46" i="109"/>
  <c r="AN78" i="109"/>
  <c r="Y70" i="109"/>
  <c r="Y25" i="109"/>
  <c r="Y44" i="109"/>
  <c r="Y29" i="109"/>
  <c r="Y33" i="109"/>
  <c r="Y45" i="109"/>
  <c r="Y27" i="109"/>
  <c r="Y30" i="109"/>
  <c r="Y42" i="109"/>
  <c r="Y24" i="109"/>
  <c r="Y79" i="109"/>
  <c r="Y51" i="109"/>
  <c r="Y69" i="109"/>
  <c r="Y31" i="109"/>
  <c r="Y52" i="109"/>
  <c r="Y71" i="109"/>
  <c r="AD78" i="109"/>
  <c r="Y72" i="109"/>
  <c r="AN72" i="109"/>
  <c r="T72" i="109"/>
  <c r="AI72" i="109"/>
  <c r="AD72" i="109"/>
  <c r="Y49" i="109"/>
  <c r="Y40" i="109"/>
  <c r="T71" i="109"/>
  <c r="Y53" i="109"/>
  <c r="T49" i="109"/>
  <c r="T47" i="109"/>
  <c r="T44" i="109"/>
  <c r="T40" i="109"/>
  <c r="Y37" i="109"/>
  <c r="T36" i="109"/>
  <c r="T35" i="109"/>
  <c r="T34" i="109"/>
  <c r="T53" i="109"/>
  <c r="T48" i="109"/>
  <c r="T45" i="109"/>
  <c r="T37" i="109"/>
  <c r="T46" i="109"/>
  <c r="T42" i="109"/>
  <c r="T32" i="109"/>
  <c r="T19" i="109"/>
  <c r="T11" i="109"/>
  <c r="T33" i="109"/>
  <c r="T29" i="109"/>
  <c r="T13" i="109"/>
  <c r="T9" i="109"/>
  <c r="T27" i="109"/>
  <c r="T26" i="109"/>
  <c r="T15" i="109"/>
  <c r="Y34" i="109"/>
  <c r="T25" i="109"/>
  <c r="T43" i="109"/>
  <c r="T31" i="109"/>
  <c r="T23" i="109"/>
  <c r="T21" i="109"/>
  <c r="T12" i="109"/>
  <c r="T16" i="109"/>
  <c r="T52" i="109"/>
  <c r="T51" i="109"/>
  <c r="T55" i="109"/>
  <c r="T57" i="109"/>
  <c r="T61" i="109"/>
  <c r="T65" i="109"/>
  <c r="T69" i="109"/>
  <c r="T17" i="109"/>
  <c r="T18" i="109"/>
  <c r="T41" i="109"/>
  <c r="T66" i="109"/>
  <c r="T70" i="109"/>
  <c r="T59" i="109"/>
  <c r="T63" i="109"/>
  <c r="T67" i="109"/>
  <c r="T28" i="109"/>
  <c r="T10" i="109"/>
  <c r="T14" i="109"/>
  <c r="T24" i="109"/>
  <c r="T62" i="109"/>
  <c r="T56" i="109"/>
  <c r="T60" i="109"/>
  <c r="T64" i="109"/>
  <c r="T68" i="109"/>
  <c r="T30" i="109"/>
  <c r="T20" i="109"/>
  <c r="T22" i="109"/>
  <c r="Y26" i="109"/>
  <c r="Y36" i="109"/>
  <c r="T58" i="109"/>
  <c r="AI64" i="109"/>
  <c r="AI60" i="109"/>
  <c r="AI56" i="109"/>
  <c r="AI55" i="109"/>
  <c r="AI65" i="109"/>
  <c r="AI61" i="109"/>
  <c r="AI57" i="109"/>
  <c r="AI48" i="109"/>
  <c r="AI66" i="109"/>
  <c r="AI62" i="109"/>
  <c r="AI58" i="109"/>
  <c r="AI59" i="109"/>
  <c r="AI67" i="109"/>
  <c r="AI63" i="109"/>
  <c r="AI18" i="109"/>
  <c r="AI14" i="109"/>
  <c r="AI10" i="109"/>
  <c r="AI17" i="109"/>
  <c r="AI9" i="109"/>
  <c r="AI23" i="109"/>
  <c r="AI19" i="109"/>
  <c r="AI15" i="109"/>
  <c r="AI11" i="109"/>
  <c r="AI24" i="109"/>
  <c r="AI21" i="109"/>
  <c r="AI20" i="109"/>
  <c r="AI16" i="109"/>
  <c r="AI12" i="109"/>
  <c r="AN33" i="109"/>
  <c r="AI13" i="109"/>
  <c r="AI27" i="109"/>
  <c r="AI22" i="109"/>
  <c r="AI28" i="109"/>
  <c r="AI32" i="109"/>
  <c r="AI44" i="109"/>
  <c r="AI68" i="109"/>
  <c r="AI25" i="109"/>
  <c r="AI79" i="109"/>
  <c r="AI43" i="109"/>
  <c r="AI47" i="109"/>
  <c r="AI31" i="109"/>
  <c r="AI71" i="109"/>
  <c r="AI26" i="109"/>
  <c r="AI30" i="109"/>
  <c r="AI29" i="109"/>
  <c r="AI33" i="109"/>
  <c r="AI70" i="109"/>
  <c r="AI69" i="109"/>
  <c r="AI42" i="109"/>
  <c r="AI46" i="109"/>
  <c r="AI45" i="109"/>
  <c r="AN39" i="109"/>
  <c r="Q81" i="109"/>
  <c r="Q83" i="109" s="1"/>
  <c r="Q84" i="109" s="1"/>
  <c r="Q86" i="109" s="1"/>
  <c r="Q87" i="109" s="1"/>
  <c r="Q76" i="109"/>
  <c r="Y41" i="109"/>
  <c r="Y38" i="109"/>
  <c r="AL81" i="109"/>
  <c r="AL83" i="109" s="1"/>
  <c r="AL84" i="109" s="1"/>
  <c r="AL86" i="109" s="1"/>
  <c r="AL87" i="109" s="1"/>
  <c r="AL76" i="109"/>
  <c r="AX54" i="109"/>
  <c r="AI39" i="109"/>
  <c r="F82" i="109"/>
  <c r="F79" i="109"/>
  <c r="F72" i="109"/>
  <c r="F48" i="109"/>
  <c r="F45" i="109"/>
  <c r="F46" i="109"/>
  <c r="F42" i="109"/>
  <c r="F47" i="109"/>
  <c r="F43" i="109"/>
  <c r="F36" i="109"/>
  <c r="F35" i="109"/>
  <c r="F33" i="109"/>
  <c r="F32" i="109"/>
  <c r="F26" i="109"/>
  <c r="F15" i="109"/>
  <c r="F30" i="109"/>
  <c r="F13" i="109"/>
  <c r="F19" i="109"/>
  <c r="F11" i="109"/>
  <c r="F44" i="109"/>
  <c r="F28" i="109"/>
  <c r="F29" i="109"/>
  <c r="F14" i="109"/>
  <c r="F24" i="109"/>
  <c r="F59" i="109"/>
  <c r="F69" i="109"/>
  <c r="F85" i="109"/>
  <c r="F73" i="109"/>
  <c r="F55" i="109"/>
  <c r="F52" i="109"/>
  <c r="F65" i="109"/>
  <c r="F31" i="109"/>
  <c r="F21" i="109"/>
  <c r="F50" i="109"/>
  <c r="F58" i="109"/>
  <c r="F62" i="109"/>
  <c r="F66" i="109"/>
  <c r="F51" i="109"/>
  <c r="F61" i="109"/>
  <c r="F12" i="109"/>
  <c r="F20" i="109"/>
  <c r="F17" i="109"/>
  <c r="F25" i="109"/>
  <c r="F41" i="109"/>
  <c r="F67" i="109"/>
  <c r="F71" i="109"/>
  <c r="F56" i="109"/>
  <c r="F60" i="109"/>
  <c r="F64" i="109"/>
  <c r="F68" i="109"/>
  <c r="F70" i="109"/>
  <c r="F27" i="109"/>
  <c r="F10" i="109"/>
  <c r="F16" i="109"/>
  <c r="F18" i="109"/>
  <c r="F9" i="109"/>
  <c r="F63" i="109"/>
  <c r="F57" i="109"/>
  <c r="W81" i="109"/>
  <c r="W83" i="109" s="1"/>
  <c r="W84" i="109" s="1"/>
  <c r="W86" i="109" s="1"/>
  <c r="W87" i="109" s="1"/>
  <c r="W76" i="109"/>
  <c r="F8" i="109"/>
  <c r="O8" i="109"/>
  <c r="L81" i="109"/>
  <c r="L83" i="109" s="1"/>
  <c r="L84" i="109" s="1"/>
  <c r="L86" i="109" s="1"/>
  <c r="L87" i="109" s="1"/>
  <c r="L76" i="109"/>
  <c r="AI41" i="109"/>
  <c r="AV76" i="109"/>
  <c r="AV81" i="109"/>
  <c r="AV83" i="109" s="1"/>
  <c r="AV84" i="109" s="1"/>
  <c r="AV86" i="109" s="1"/>
  <c r="AV87" i="109" s="1"/>
  <c r="AN50" i="109"/>
  <c r="AM76" i="109"/>
  <c r="AM81" i="109"/>
  <c r="AM83" i="109" s="1"/>
  <c r="AM84" i="109" s="1"/>
  <c r="AM86" i="109" s="1"/>
  <c r="AM87" i="109" s="1"/>
  <c r="AD35" i="109"/>
  <c r="AD8" i="109"/>
  <c r="X81" i="109"/>
  <c r="X83" i="109" s="1"/>
  <c r="X84" i="109" s="1"/>
  <c r="X86" i="109" s="1"/>
  <c r="X87" i="109" s="1"/>
  <c r="X76" i="109"/>
  <c r="AI35" i="109"/>
  <c r="T50" i="109"/>
  <c r="AH76" i="109"/>
  <c r="AH81" i="109"/>
  <c r="AH83" i="109" s="1"/>
  <c r="AH84" i="109" s="1"/>
  <c r="AH86" i="109" s="1"/>
  <c r="AH87" i="109" s="1"/>
  <c r="AX8" i="109" l="1"/>
  <c r="AH81" i="103"/>
  <c r="AH76" i="103"/>
  <c r="AM76" i="103"/>
  <c r="S76" i="109"/>
  <c r="S81" i="109"/>
  <c r="S83" i="109" s="1"/>
  <c r="S84" i="109" s="1"/>
  <c r="S86" i="109" s="1"/>
  <c r="S87" i="109" s="1"/>
  <c r="AW75" i="109"/>
  <c r="AW39" i="109"/>
  <c r="AX66" i="109"/>
  <c r="AX62" i="109"/>
  <c r="AX58" i="109"/>
  <c r="AX49" i="109"/>
  <c r="AX65" i="109"/>
  <c r="AX61" i="109"/>
  <c r="AX57" i="109"/>
  <c r="AX20" i="109"/>
  <c r="AX16" i="109"/>
  <c r="AX12" i="109"/>
  <c r="AX25" i="109"/>
  <c r="AX17" i="109"/>
  <c r="AX44" i="109"/>
  <c r="AX70" i="109"/>
  <c r="AX64" i="109"/>
  <c r="AX69" i="109"/>
  <c r="AX72" i="109"/>
  <c r="AX27" i="109"/>
  <c r="AX10" i="109"/>
  <c r="AX18" i="109"/>
  <c r="AX26" i="109"/>
  <c r="AX33" i="109"/>
  <c r="AX36" i="109"/>
  <c r="AX45" i="109"/>
  <c r="AX29" i="109"/>
  <c r="AX47" i="109"/>
  <c r="AX71" i="109"/>
  <c r="AX60" i="109"/>
  <c r="AX63" i="109"/>
  <c r="AX30" i="109"/>
  <c r="AX46" i="109"/>
  <c r="AX32" i="109"/>
  <c r="AX14" i="109"/>
  <c r="AX28" i="109"/>
  <c r="AX56" i="109"/>
  <c r="AX67" i="109"/>
  <c r="AX51" i="109"/>
  <c r="AX42" i="109"/>
  <c r="AX59" i="109"/>
  <c r="AX31" i="109"/>
  <c r="AX24" i="109"/>
  <c r="AX68" i="109"/>
  <c r="AX48" i="109"/>
  <c r="AX13" i="109"/>
  <c r="AX19" i="109"/>
  <c r="AX43" i="109"/>
  <c r="AX52" i="109"/>
  <c r="AX55" i="109"/>
  <c r="AX21" i="109"/>
  <c r="AX9" i="109"/>
  <c r="AX15" i="109"/>
  <c r="AX11" i="109"/>
  <c r="N76" i="109"/>
  <c r="N81" i="109"/>
  <c r="N83" i="109" s="1"/>
  <c r="N84" i="109" s="1"/>
  <c r="N86" i="109" s="1"/>
  <c r="N87" i="109" s="1"/>
  <c r="AC81" i="109"/>
  <c r="AC83" i="109" s="1"/>
  <c r="AC84" i="109" s="1"/>
  <c r="AC86" i="109" s="1"/>
  <c r="AC87" i="109" s="1"/>
  <c r="AC76" i="109"/>
  <c r="AI81" i="103" l="1"/>
  <c r="AH83" i="103"/>
  <c r="AW81" i="109"/>
  <c r="AW83" i="109" s="1"/>
  <c r="AW84" i="109" s="1"/>
  <c r="AW86" i="109" s="1"/>
  <c r="AW76" i="109"/>
  <c r="AW87" i="109" l="1"/>
  <c r="AW94" i="109"/>
  <c r="AI83" i="103"/>
  <c r="AH84" i="103"/>
  <c r="AI84" i="103" l="1"/>
  <c r="AH86" i="103"/>
  <c r="AH87" i="103" s="1"/>
  <c r="AC85" i="98" l="1"/>
  <c r="X85" i="98"/>
  <c r="S85" i="98"/>
  <c r="N85" i="98"/>
  <c r="E85" i="98"/>
  <c r="AC82" i="98"/>
  <c r="X82" i="98"/>
  <c r="S82" i="98"/>
  <c r="N82" i="98"/>
  <c r="E82" i="98"/>
  <c r="E79" i="98"/>
  <c r="AC78" i="98"/>
  <c r="AC77" i="98" s="1"/>
  <c r="X78" i="98"/>
  <c r="X77" i="98" s="1"/>
  <c r="S78" i="98"/>
  <c r="S77" i="98" s="1"/>
  <c r="N78" i="98"/>
  <c r="N77" i="98" s="1"/>
  <c r="E78" i="98"/>
  <c r="E77" i="98" s="1"/>
  <c r="AB77" i="98"/>
  <c r="AA77" i="98"/>
  <c r="W77" i="98"/>
  <c r="V77" i="98"/>
  <c r="R77" i="98"/>
  <c r="Q77" i="98"/>
  <c r="M77" i="98"/>
  <c r="L77" i="98"/>
  <c r="D77" i="98"/>
  <c r="C77" i="98"/>
  <c r="AC74" i="98"/>
  <c r="AC73" i="98" s="1"/>
  <c r="X74" i="98"/>
  <c r="X73" i="98" s="1"/>
  <c r="C74" i="98"/>
  <c r="E74" i="98" s="1"/>
  <c r="AB73" i="98"/>
  <c r="AA73" i="98"/>
  <c r="W73" i="98"/>
  <c r="V73" i="98"/>
  <c r="S73" i="98"/>
  <c r="R73" i="98"/>
  <c r="Q73" i="98"/>
  <c r="N73" i="98"/>
  <c r="M73" i="98"/>
  <c r="L73" i="98"/>
  <c r="E73" i="98"/>
  <c r="D73" i="98"/>
  <c r="AC71" i="98"/>
  <c r="X71" i="98"/>
  <c r="S71" i="98"/>
  <c r="N71" i="98"/>
  <c r="E71" i="98"/>
  <c r="AC70" i="98"/>
  <c r="X70" i="98"/>
  <c r="S70" i="98"/>
  <c r="N70" i="98"/>
  <c r="E70" i="98"/>
  <c r="AC69" i="98"/>
  <c r="X69" i="98"/>
  <c r="S69" i="98"/>
  <c r="N69" i="98"/>
  <c r="C69" i="98"/>
  <c r="E69" i="98" s="1"/>
  <c r="AC68" i="98"/>
  <c r="X68" i="98"/>
  <c r="S68" i="98"/>
  <c r="N68" i="98"/>
  <c r="E68" i="98"/>
  <c r="AC67" i="98"/>
  <c r="X67" i="98"/>
  <c r="S67" i="98"/>
  <c r="N67" i="98"/>
  <c r="E67" i="98"/>
  <c r="AC66" i="98"/>
  <c r="X66" i="98"/>
  <c r="S66" i="98"/>
  <c r="N66" i="98"/>
  <c r="E66" i="98"/>
  <c r="AC65" i="98"/>
  <c r="X65" i="98"/>
  <c r="Q65" i="98"/>
  <c r="S65" i="98" s="1"/>
  <c r="L65" i="98"/>
  <c r="E65" i="98"/>
  <c r="AC64" i="98"/>
  <c r="X64" i="98"/>
  <c r="S64" i="98"/>
  <c r="N64" i="98"/>
  <c r="E64" i="98"/>
  <c r="AC63" i="98"/>
  <c r="X63" i="98"/>
  <c r="Q63" i="98"/>
  <c r="S63" i="98" s="1"/>
  <c r="L63" i="98"/>
  <c r="BT63" i="98" s="1"/>
  <c r="E63" i="98"/>
  <c r="AC62" i="98"/>
  <c r="X62" i="98"/>
  <c r="S62" i="98"/>
  <c r="N62" i="98"/>
  <c r="E62" i="98"/>
  <c r="AC61" i="98"/>
  <c r="X61" i="98"/>
  <c r="S61" i="98"/>
  <c r="N61" i="98"/>
  <c r="E61" i="98"/>
  <c r="AC60" i="98"/>
  <c r="X60" i="98"/>
  <c r="S60" i="98"/>
  <c r="N60" i="98"/>
  <c r="E60" i="98"/>
  <c r="AC59" i="98"/>
  <c r="X59" i="98"/>
  <c r="S59" i="98"/>
  <c r="N59" i="98"/>
  <c r="E59" i="98"/>
  <c r="AC58" i="98"/>
  <c r="X58" i="98"/>
  <c r="S58" i="98"/>
  <c r="N58" i="98"/>
  <c r="E58" i="98"/>
  <c r="AC57" i="98"/>
  <c r="X57" i="98"/>
  <c r="S57" i="98"/>
  <c r="N57" i="98"/>
  <c r="E57" i="98"/>
  <c r="AC56" i="98"/>
  <c r="X56" i="98"/>
  <c r="S56" i="98"/>
  <c r="N56" i="98"/>
  <c r="E56" i="98"/>
  <c r="AC55" i="98"/>
  <c r="X55" i="98"/>
  <c r="S55" i="98"/>
  <c r="N55" i="98"/>
  <c r="E55" i="98"/>
  <c r="AB54" i="98"/>
  <c r="AA54" i="98"/>
  <c r="W54" i="98"/>
  <c r="V54" i="98"/>
  <c r="R54" i="98"/>
  <c r="M54" i="98"/>
  <c r="D54" i="98"/>
  <c r="C54" i="98"/>
  <c r="AC52" i="98"/>
  <c r="X52" i="98"/>
  <c r="S52" i="98"/>
  <c r="N52" i="98"/>
  <c r="E52" i="98"/>
  <c r="AC51" i="98"/>
  <c r="X51" i="98"/>
  <c r="S51" i="98"/>
  <c r="N51" i="98"/>
  <c r="E51" i="98"/>
  <c r="AB50" i="98"/>
  <c r="AA50" i="98"/>
  <c r="W50" i="98"/>
  <c r="V50" i="98"/>
  <c r="R50" i="98"/>
  <c r="Q50" i="98"/>
  <c r="M50" i="98"/>
  <c r="L50" i="98"/>
  <c r="AC48" i="98"/>
  <c r="X48" i="98"/>
  <c r="S48" i="98"/>
  <c r="N48" i="98"/>
  <c r="E48" i="98"/>
  <c r="AC47" i="98"/>
  <c r="X47" i="98"/>
  <c r="Q47" i="98"/>
  <c r="BT47" i="98" s="1"/>
  <c r="N47" i="98"/>
  <c r="E47" i="98"/>
  <c r="AC46" i="98"/>
  <c r="X46" i="98"/>
  <c r="S46" i="98"/>
  <c r="N46" i="98"/>
  <c r="E46" i="98"/>
  <c r="AC45" i="98"/>
  <c r="X45" i="98"/>
  <c r="S45" i="98"/>
  <c r="N45" i="98"/>
  <c r="E45" i="98"/>
  <c r="AC44" i="98"/>
  <c r="X44" i="98"/>
  <c r="S44" i="98"/>
  <c r="N44" i="98"/>
  <c r="E44" i="98"/>
  <c r="AC43" i="98"/>
  <c r="X43" i="98"/>
  <c r="S43" i="98"/>
  <c r="N43" i="98"/>
  <c r="E43" i="98"/>
  <c r="E41" i="98" s="1"/>
  <c r="AC42" i="98"/>
  <c r="X42" i="98"/>
  <c r="S42" i="98"/>
  <c r="N42" i="98"/>
  <c r="E42" i="98"/>
  <c r="AB41" i="98"/>
  <c r="AA41" i="98"/>
  <c r="W41" i="98"/>
  <c r="V41" i="98"/>
  <c r="R41" i="98"/>
  <c r="Q41" i="98"/>
  <c r="M41" i="98"/>
  <c r="L41" i="98"/>
  <c r="D41" i="98"/>
  <c r="C41" i="98"/>
  <c r="AC36" i="98"/>
  <c r="AC35" i="98" s="1"/>
  <c r="X36" i="98"/>
  <c r="S36" i="98"/>
  <c r="S35" i="98" s="1"/>
  <c r="N36" i="98"/>
  <c r="N35" i="98" s="1"/>
  <c r="E36" i="98"/>
  <c r="E35" i="98" s="1"/>
  <c r="AB35" i="98"/>
  <c r="AA35" i="98"/>
  <c r="X35" i="98"/>
  <c r="W35" i="98"/>
  <c r="V35" i="98"/>
  <c r="R35" i="98"/>
  <c r="Q35" i="98"/>
  <c r="M35" i="98"/>
  <c r="L35" i="98"/>
  <c r="D35" i="98"/>
  <c r="C35" i="98"/>
  <c r="AC33" i="98"/>
  <c r="X33" i="98"/>
  <c r="S33" i="98"/>
  <c r="N33" i="98"/>
  <c r="E33" i="98"/>
  <c r="AC32" i="98"/>
  <c r="X32" i="98"/>
  <c r="S32" i="98"/>
  <c r="N32" i="98"/>
  <c r="E32" i="98"/>
  <c r="AC31" i="98"/>
  <c r="X31" i="98"/>
  <c r="S31" i="98"/>
  <c r="N31" i="98"/>
  <c r="D31" i="98"/>
  <c r="E31" i="98" s="1"/>
  <c r="AC30" i="98"/>
  <c r="X30" i="98"/>
  <c r="R30" i="98"/>
  <c r="N30" i="98"/>
  <c r="E30" i="98"/>
  <c r="AC29" i="98"/>
  <c r="X29" i="98"/>
  <c r="S29" i="98"/>
  <c r="L29" i="98"/>
  <c r="BT29" i="98" s="1"/>
  <c r="BV29" i="98" s="1"/>
  <c r="E29" i="98"/>
  <c r="AC28" i="98"/>
  <c r="X28" i="98"/>
  <c r="R28" i="98"/>
  <c r="Q28" i="98"/>
  <c r="S28" i="98" s="1"/>
  <c r="L28" i="98"/>
  <c r="N28" i="98" s="1"/>
  <c r="D28" i="98"/>
  <c r="C28" i="98"/>
  <c r="AC27" i="98"/>
  <c r="X27" i="98"/>
  <c r="S27" i="98"/>
  <c r="N27" i="98"/>
  <c r="E27" i="98"/>
  <c r="AC26" i="98"/>
  <c r="X26" i="98"/>
  <c r="Q26" i="98"/>
  <c r="N26" i="98"/>
  <c r="E26" i="98"/>
  <c r="AC25" i="98"/>
  <c r="X25" i="98"/>
  <c r="Q25" i="98"/>
  <c r="BT25" i="98" s="1"/>
  <c r="BV25" i="98" s="1"/>
  <c r="N25" i="98"/>
  <c r="E25" i="98"/>
  <c r="AC24" i="98"/>
  <c r="X24" i="98"/>
  <c r="Q24" i="98"/>
  <c r="BT24" i="98" s="1"/>
  <c r="BV24" i="98" s="1"/>
  <c r="N24" i="98"/>
  <c r="E24" i="98"/>
  <c r="V23" i="98"/>
  <c r="X23" i="98" s="1"/>
  <c r="Q23" i="98"/>
  <c r="BT23" i="98" s="1"/>
  <c r="BV23" i="98" s="1"/>
  <c r="E23" i="98"/>
  <c r="X22" i="98"/>
  <c r="Q22" i="98"/>
  <c r="BT22" i="98" s="1"/>
  <c r="BV22" i="98" s="1"/>
  <c r="E22" i="98"/>
  <c r="AC21" i="98"/>
  <c r="X21" i="98"/>
  <c r="Q21" i="98"/>
  <c r="BT21" i="98" s="1"/>
  <c r="BV21" i="98" s="1"/>
  <c r="N21" i="98"/>
  <c r="E21" i="98"/>
  <c r="AC20" i="98"/>
  <c r="X20" i="98"/>
  <c r="S20" i="98"/>
  <c r="N20" i="98"/>
  <c r="E20" i="98"/>
  <c r="AC19" i="98"/>
  <c r="X19" i="98"/>
  <c r="S19" i="98"/>
  <c r="N19" i="98"/>
  <c r="E19" i="98"/>
  <c r="AC18" i="98"/>
  <c r="X18" i="98"/>
  <c r="Q18" i="98"/>
  <c r="BT18" i="98" s="1"/>
  <c r="BV18" i="98" s="1"/>
  <c r="N18" i="98"/>
  <c r="E18" i="98"/>
  <c r="AC17" i="98"/>
  <c r="X17" i="98"/>
  <c r="S17" i="98"/>
  <c r="N17" i="98"/>
  <c r="E17" i="98"/>
  <c r="AC16" i="98"/>
  <c r="W16" i="98"/>
  <c r="W8" i="98" s="1"/>
  <c r="R16" i="98"/>
  <c r="N16" i="98"/>
  <c r="E16" i="98"/>
  <c r="AC15" i="98"/>
  <c r="X15" i="98"/>
  <c r="S15" i="98"/>
  <c r="N15" i="98"/>
  <c r="E15" i="98"/>
  <c r="AC14" i="98"/>
  <c r="X14" i="98"/>
  <c r="S14" i="98"/>
  <c r="N14" i="98"/>
  <c r="E14" i="98"/>
  <c r="AC13" i="98"/>
  <c r="X13" i="98"/>
  <c r="S13" i="98"/>
  <c r="N13" i="98"/>
  <c r="E13" i="98"/>
  <c r="AC12" i="98"/>
  <c r="X12" i="98"/>
  <c r="R12" i="98"/>
  <c r="Q12" i="98"/>
  <c r="BT12" i="98" s="1"/>
  <c r="M12" i="98"/>
  <c r="M8" i="98" s="1"/>
  <c r="E12" i="98"/>
  <c r="AC11" i="98"/>
  <c r="X11" i="98"/>
  <c r="S11" i="98"/>
  <c r="N11" i="98"/>
  <c r="E11" i="98"/>
  <c r="AC10" i="98"/>
  <c r="X10" i="98"/>
  <c r="S10" i="98"/>
  <c r="N10" i="98"/>
  <c r="E10" i="98"/>
  <c r="AC9" i="98"/>
  <c r="X9" i="98"/>
  <c r="S9" i="98"/>
  <c r="N9" i="98"/>
  <c r="E9" i="98"/>
  <c r="AB8" i="98"/>
  <c r="AA8" i="98"/>
  <c r="V8" i="98"/>
  <c r="L8" i="98"/>
  <c r="C8" i="98"/>
  <c r="AC7" i="98"/>
  <c r="X7" i="98"/>
  <c r="S7" i="98"/>
  <c r="N7" i="98"/>
  <c r="E7" i="98"/>
  <c r="AC6" i="98"/>
  <c r="AC5" i="98" s="1"/>
  <c r="V6" i="98"/>
  <c r="BT6" i="98" s="1"/>
  <c r="S6" i="98"/>
  <c r="S5" i="98" s="1"/>
  <c r="N6" i="98"/>
  <c r="N5" i="98" s="1"/>
  <c r="E6" i="98"/>
  <c r="AB5" i="98"/>
  <c r="AB38" i="98" s="1"/>
  <c r="AA5" i="98"/>
  <c r="W5" i="98"/>
  <c r="R5" i="98"/>
  <c r="Q5" i="98"/>
  <c r="M5" i="98"/>
  <c r="L5" i="98"/>
  <c r="E5" i="98"/>
  <c r="D5" i="98"/>
  <c r="C5" i="98"/>
  <c r="BK85" i="103"/>
  <c r="BJ85" i="103"/>
  <c r="BG85" i="103"/>
  <c r="BB85" i="103"/>
  <c r="AC85" i="103"/>
  <c r="X85" i="103"/>
  <c r="S85" i="103"/>
  <c r="N85" i="103"/>
  <c r="E85" i="103"/>
  <c r="BK82" i="103"/>
  <c r="BJ82" i="103"/>
  <c r="BG82" i="103"/>
  <c r="BB82" i="103"/>
  <c r="AC82" i="103"/>
  <c r="X82" i="103"/>
  <c r="S82" i="103"/>
  <c r="N82" i="103"/>
  <c r="E82" i="103"/>
  <c r="BK80" i="103"/>
  <c r="BJ80" i="103"/>
  <c r="BK79" i="103"/>
  <c r="BJ79" i="103"/>
  <c r="E79" i="103"/>
  <c r="E77" i="103" s="1"/>
  <c r="BK78" i="103"/>
  <c r="BJ78" i="103"/>
  <c r="BG78" i="103"/>
  <c r="BG77" i="103" s="1"/>
  <c r="BB78" i="103"/>
  <c r="AC78" i="103"/>
  <c r="AC77" i="103" s="1"/>
  <c r="X78" i="103"/>
  <c r="S78" i="103"/>
  <c r="N78" i="103"/>
  <c r="E78" i="103"/>
  <c r="BF77" i="103"/>
  <c r="BE77" i="103"/>
  <c r="BB77" i="103"/>
  <c r="BA77" i="103"/>
  <c r="AZ77" i="103"/>
  <c r="AB77" i="103"/>
  <c r="AA77" i="103"/>
  <c r="W77" i="103"/>
  <c r="V77" i="103"/>
  <c r="S77" i="103"/>
  <c r="R77" i="103"/>
  <c r="Q77" i="103"/>
  <c r="N77" i="103"/>
  <c r="M77" i="103"/>
  <c r="L77" i="103"/>
  <c r="D77" i="103"/>
  <c r="C77" i="103"/>
  <c r="BK74" i="103"/>
  <c r="BK73" i="103" s="1"/>
  <c r="BG74" i="103"/>
  <c r="BG73" i="103" s="1"/>
  <c r="BB74" i="103"/>
  <c r="AC74" i="103"/>
  <c r="AC73" i="103" s="1"/>
  <c r="X74" i="103"/>
  <c r="S74" i="103"/>
  <c r="S73" i="103" s="1"/>
  <c r="L74" i="103"/>
  <c r="E74" i="103"/>
  <c r="E73" i="103" s="1"/>
  <c r="BF73" i="103"/>
  <c r="BE73" i="103"/>
  <c r="BB73" i="103"/>
  <c r="BA73" i="103"/>
  <c r="AZ73" i="103"/>
  <c r="AB73" i="103"/>
  <c r="AA73" i="103"/>
  <c r="X73" i="103"/>
  <c r="W73" i="103"/>
  <c r="V73" i="103"/>
  <c r="R73" i="103"/>
  <c r="Q73" i="103"/>
  <c r="M73" i="103"/>
  <c r="D73" i="103"/>
  <c r="C73" i="103"/>
  <c r="BK72" i="103"/>
  <c r="BJ72" i="103"/>
  <c r="BL72" i="103" s="1"/>
  <c r="E72" i="103"/>
  <c r="BK71" i="103"/>
  <c r="BJ71" i="103"/>
  <c r="BG71" i="103"/>
  <c r="BB71" i="103"/>
  <c r="AC71" i="103"/>
  <c r="X71" i="103"/>
  <c r="S71" i="103"/>
  <c r="N71" i="103"/>
  <c r="E71" i="103"/>
  <c r="BK70" i="103"/>
  <c r="BJ70" i="103"/>
  <c r="BG70" i="103"/>
  <c r="BB70" i="103"/>
  <c r="AC70" i="103"/>
  <c r="X70" i="103"/>
  <c r="S70" i="103"/>
  <c r="N70" i="103"/>
  <c r="E70" i="103"/>
  <c r="BK69" i="103"/>
  <c r="BJ69" i="103"/>
  <c r="BG69" i="103"/>
  <c r="BB69" i="103"/>
  <c r="AC69" i="103"/>
  <c r="X69" i="103"/>
  <c r="S69" i="103"/>
  <c r="N69" i="103"/>
  <c r="E69" i="103"/>
  <c r="BK68" i="103"/>
  <c r="BJ68" i="103"/>
  <c r="BG68" i="103"/>
  <c r="BB68" i="103"/>
  <c r="AC68" i="103"/>
  <c r="X68" i="103"/>
  <c r="S68" i="103"/>
  <c r="N68" i="103"/>
  <c r="E68" i="103"/>
  <c r="BK67" i="103"/>
  <c r="BJ67" i="103"/>
  <c r="BG67" i="103"/>
  <c r="BB67" i="103"/>
  <c r="AC67" i="103"/>
  <c r="X67" i="103"/>
  <c r="S67" i="103"/>
  <c r="N67" i="103"/>
  <c r="E67" i="103"/>
  <c r="BK66" i="103"/>
  <c r="BJ66" i="103"/>
  <c r="BG66" i="103"/>
  <c r="BB66" i="103"/>
  <c r="AC66" i="103"/>
  <c r="X66" i="103"/>
  <c r="S66" i="103"/>
  <c r="N66" i="103"/>
  <c r="E66" i="103"/>
  <c r="BK65" i="103"/>
  <c r="BJ65" i="103"/>
  <c r="BG65" i="103"/>
  <c r="BB65" i="103"/>
  <c r="AC65" i="103"/>
  <c r="X65" i="103"/>
  <c r="S65" i="103"/>
  <c r="N65" i="103"/>
  <c r="E65" i="103"/>
  <c r="BK64" i="103"/>
  <c r="BJ64" i="103"/>
  <c r="BG64" i="103"/>
  <c r="BB64" i="103"/>
  <c r="AC64" i="103"/>
  <c r="X64" i="103"/>
  <c r="S64" i="103"/>
  <c r="N64" i="103"/>
  <c r="E64" i="103"/>
  <c r="BK63" i="103"/>
  <c r="BJ63" i="103"/>
  <c r="BG63" i="103"/>
  <c r="BB63" i="103"/>
  <c r="AC63" i="103"/>
  <c r="X63" i="103"/>
  <c r="S63" i="103"/>
  <c r="N63" i="103"/>
  <c r="E63" i="103"/>
  <c r="BK62" i="103"/>
  <c r="BJ62" i="103"/>
  <c r="BG62" i="103"/>
  <c r="BB62" i="103"/>
  <c r="AC62" i="103"/>
  <c r="X62" i="103"/>
  <c r="S62" i="103"/>
  <c r="N62" i="103"/>
  <c r="E62" i="103"/>
  <c r="BK61" i="103"/>
  <c r="BJ61" i="103"/>
  <c r="BG61" i="103"/>
  <c r="BB61" i="103"/>
  <c r="AC61" i="103"/>
  <c r="X61" i="103"/>
  <c r="S61" i="103"/>
  <c r="N61" i="103"/>
  <c r="E61" i="103"/>
  <c r="BK60" i="103"/>
  <c r="BJ60" i="103"/>
  <c r="BG60" i="103"/>
  <c r="BB60" i="103"/>
  <c r="AC60" i="103"/>
  <c r="X60" i="103"/>
  <c r="S60" i="103"/>
  <c r="N60" i="103"/>
  <c r="E60" i="103"/>
  <c r="BK59" i="103"/>
  <c r="BJ59" i="103"/>
  <c r="BG59" i="103"/>
  <c r="BB59" i="103"/>
  <c r="AC59" i="103"/>
  <c r="X59" i="103"/>
  <c r="S59" i="103"/>
  <c r="N59" i="103"/>
  <c r="E59" i="103"/>
  <c r="BK58" i="103"/>
  <c r="BJ58" i="103"/>
  <c r="BG58" i="103"/>
  <c r="BB58" i="103"/>
  <c r="AC58" i="103"/>
  <c r="X58" i="103"/>
  <c r="S58" i="103"/>
  <c r="N58" i="103"/>
  <c r="E58" i="103"/>
  <c r="BK57" i="103"/>
  <c r="BJ57" i="103"/>
  <c r="BG57" i="103"/>
  <c r="BB57" i="103"/>
  <c r="AC57" i="103"/>
  <c r="X57" i="103"/>
  <c r="S57" i="103"/>
  <c r="N57" i="103"/>
  <c r="E57" i="103"/>
  <c r="BK56" i="103"/>
  <c r="BJ56" i="103"/>
  <c r="BG56" i="103"/>
  <c r="BB56" i="103"/>
  <c r="AC56" i="103"/>
  <c r="X56" i="103"/>
  <c r="S56" i="103"/>
  <c r="N56" i="103"/>
  <c r="E56" i="103"/>
  <c r="BK55" i="103"/>
  <c r="BJ55" i="103"/>
  <c r="BG55" i="103"/>
  <c r="BB55" i="103"/>
  <c r="AC55" i="103"/>
  <c r="X55" i="103"/>
  <c r="S55" i="103"/>
  <c r="N55" i="103"/>
  <c r="N54" i="103" s="1"/>
  <c r="E55" i="103"/>
  <c r="BF54" i="103"/>
  <c r="BE54" i="103"/>
  <c r="BA54" i="103"/>
  <c r="AZ54" i="103"/>
  <c r="AB54" i="103"/>
  <c r="AA54" i="103"/>
  <c r="W54" i="103"/>
  <c r="V54" i="103"/>
  <c r="R54" i="103"/>
  <c r="Q54" i="103"/>
  <c r="M54" i="103"/>
  <c r="L54" i="103"/>
  <c r="D54" i="103"/>
  <c r="C54" i="103"/>
  <c r="BK53" i="103"/>
  <c r="BJ53" i="103"/>
  <c r="BK52" i="103"/>
  <c r="BJ52" i="103"/>
  <c r="BG52" i="103"/>
  <c r="BB52" i="103"/>
  <c r="AC52" i="103"/>
  <c r="X52" i="103"/>
  <c r="S52" i="103"/>
  <c r="N52" i="103"/>
  <c r="E52" i="103"/>
  <c r="BK51" i="103"/>
  <c r="BJ51" i="103"/>
  <c r="BG51" i="103"/>
  <c r="BB51" i="103"/>
  <c r="AC51" i="103"/>
  <c r="X51" i="103"/>
  <c r="S51" i="103"/>
  <c r="N51" i="103"/>
  <c r="E51" i="103"/>
  <c r="BF50" i="103"/>
  <c r="BE50" i="103"/>
  <c r="BA50" i="103"/>
  <c r="AZ50" i="103"/>
  <c r="AB50" i="103"/>
  <c r="AA50" i="103"/>
  <c r="W50" i="103"/>
  <c r="V50" i="103"/>
  <c r="R50" i="103"/>
  <c r="Q50" i="103"/>
  <c r="M50" i="103"/>
  <c r="L50" i="103"/>
  <c r="D50" i="103"/>
  <c r="C50" i="103"/>
  <c r="BK49" i="103"/>
  <c r="BJ49" i="103"/>
  <c r="E49" i="103"/>
  <c r="BK48" i="103"/>
  <c r="BJ48" i="103"/>
  <c r="BL48" i="103" s="1"/>
  <c r="BG48" i="103"/>
  <c r="BB48" i="103"/>
  <c r="AC48" i="103"/>
  <c r="X48" i="103"/>
  <c r="S48" i="103"/>
  <c r="N48" i="103"/>
  <c r="E48" i="103"/>
  <c r="BK47" i="103"/>
  <c r="BJ47" i="103"/>
  <c r="BG47" i="103"/>
  <c r="BB47" i="103"/>
  <c r="AC47" i="103"/>
  <c r="X47" i="103"/>
  <c r="S47" i="103"/>
  <c r="N47" i="103"/>
  <c r="E47" i="103"/>
  <c r="BK46" i="103"/>
  <c r="BJ46" i="103"/>
  <c r="BL46" i="103" s="1"/>
  <c r="BG46" i="103"/>
  <c r="BB46" i="103"/>
  <c r="AC46" i="103"/>
  <c r="X46" i="103"/>
  <c r="S46" i="103"/>
  <c r="N46" i="103"/>
  <c r="E46" i="103"/>
  <c r="BK45" i="103"/>
  <c r="BJ45" i="103"/>
  <c r="BG45" i="103"/>
  <c r="BB45" i="103"/>
  <c r="AC45" i="103"/>
  <c r="X45" i="103"/>
  <c r="S45" i="103"/>
  <c r="N45" i="103"/>
  <c r="E45" i="103"/>
  <c r="BK44" i="103"/>
  <c r="BJ44" i="103"/>
  <c r="BG44" i="103"/>
  <c r="BB44" i="103"/>
  <c r="AC44" i="103"/>
  <c r="X44" i="103"/>
  <c r="S44" i="103"/>
  <c r="N44" i="103"/>
  <c r="E44" i="103"/>
  <c r="BK43" i="103"/>
  <c r="BJ43" i="103"/>
  <c r="BG43" i="103"/>
  <c r="BB43" i="103"/>
  <c r="AC43" i="103"/>
  <c r="X43" i="103"/>
  <c r="S43" i="103"/>
  <c r="N43" i="103"/>
  <c r="E43" i="103"/>
  <c r="BK42" i="103"/>
  <c r="BJ42" i="103"/>
  <c r="BL42" i="103" s="1"/>
  <c r="BG42" i="103"/>
  <c r="BB42" i="103"/>
  <c r="AC42" i="103"/>
  <c r="X42" i="103"/>
  <c r="S42" i="103"/>
  <c r="N42" i="103"/>
  <c r="E42" i="103"/>
  <c r="BF41" i="103"/>
  <c r="BE41" i="103"/>
  <c r="BA41" i="103"/>
  <c r="AZ41" i="103"/>
  <c r="AB41" i="103"/>
  <c r="AA41" i="103"/>
  <c r="W41" i="103"/>
  <c r="V41" i="103"/>
  <c r="R41" i="103"/>
  <c r="Q41" i="103"/>
  <c r="M41" i="103"/>
  <c r="L41" i="103"/>
  <c r="D41" i="103"/>
  <c r="C41" i="103"/>
  <c r="BK40" i="103"/>
  <c r="BJ40" i="103"/>
  <c r="BK37" i="103"/>
  <c r="BJ37" i="103"/>
  <c r="BK36" i="103"/>
  <c r="BJ36" i="103"/>
  <c r="BG36" i="103"/>
  <c r="BB36" i="103"/>
  <c r="AC36" i="103"/>
  <c r="X36" i="103"/>
  <c r="S36" i="103"/>
  <c r="N36" i="103"/>
  <c r="E36" i="103"/>
  <c r="E35" i="103" s="1"/>
  <c r="BF35" i="103"/>
  <c r="BE35" i="103"/>
  <c r="BA35" i="103"/>
  <c r="AZ35" i="103"/>
  <c r="AB35" i="103"/>
  <c r="AA35" i="103"/>
  <c r="W35" i="103"/>
  <c r="V35" i="103"/>
  <c r="R35" i="103"/>
  <c r="Q35" i="103"/>
  <c r="M35" i="103"/>
  <c r="L35" i="103"/>
  <c r="D35" i="103"/>
  <c r="C35" i="103"/>
  <c r="BK34" i="103"/>
  <c r="BJ34" i="103"/>
  <c r="BK33" i="103"/>
  <c r="BJ33" i="103"/>
  <c r="BG33" i="103"/>
  <c r="BB33" i="103"/>
  <c r="AC33" i="103"/>
  <c r="X33" i="103"/>
  <c r="S33" i="103"/>
  <c r="N33" i="103"/>
  <c r="E33" i="103"/>
  <c r="BK32" i="103"/>
  <c r="BJ32" i="103"/>
  <c r="BG32" i="103"/>
  <c r="BB32" i="103"/>
  <c r="AC32" i="103"/>
  <c r="X32" i="103"/>
  <c r="S32" i="103"/>
  <c r="N32" i="103"/>
  <c r="E32" i="103"/>
  <c r="BK31" i="103"/>
  <c r="BJ31" i="103"/>
  <c r="BG31" i="103"/>
  <c r="BB31" i="103"/>
  <c r="AC31" i="103"/>
  <c r="X31" i="103"/>
  <c r="S31" i="103"/>
  <c r="N31" i="103"/>
  <c r="D31" i="103"/>
  <c r="E31" i="103" s="1"/>
  <c r="BJ30" i="103"/>
  <c r="BG30" i="103"/>
  <c r="BB30" i="103"/>
  <c r="AC30" i="103"/>
  <c r="X30" i="103"/>
  <c r="R30" i="103"/>
  <c r="BK30" i="103" s="1"/>
  <c r="N30" i="103"/>
  <c r="E30" i="103"/>
  <c r="D30" i="103"/>
  <c r="BK29" i="103"/>
  <c r="BJ29" i="103"/>
  <c r="BL29" i="103" s="1"/>
  <c r="BG29" i="103"/>
  <c r="BB29" i="103"/>
  <c r="AC29" i="103"/>
  <c r="X29" i="103"/>
  <c r="S29" i="103"/>
  <c r="N29" i="103"/>
  <c r="E29" i="103"/>
  <c r="BK28" i="103"/>
  <c r="BG28" i="103"/>
  <c r="BB28" i="103"/>
  <c r="AA28" i="103"/>
  <c r="AC28" i="103" s="1"/>
  <c r="X28" i="103"/>
  <c r="Q28" i="103"/>
  <c r="S28" i="103" s="1"/>
  <c r="L28" i="103"/>
  <c r="C28" i="103"/>
  <c r="E28" i="103" s="1"/>
  <c r="BK27" i="103"/>
  <c r="BJ27" i="103"/>
  <c r="BG27" i="103"/>
  <c r="BB27" i="103"/>
  <c r="AC27" i="103"/>
  <c r="X27" i="103"/>
  <c r="S27" i="103"/>
  <c r="N27" i="103"/>
  <c r="E27" i="103"/>
  <c r="BG26" i="103"/>
  <c r="BB26" i="103"/>
  <c r="AC26" i="103"/>
  <c r="AA26" i="103"/>
  <c r="X26" i="103"/>
  <c r="Q26" i="103"/>
  <c r="S26" i="103" s="1"/>
  <c r="N26" i="103"/>
  <c r="E26" i="103"/>
  <c r="BK25" i="103"/>
  <c r="BG25" i="103"/>
  <c r="BB25" i="103"/>
  <c r="AA25" i="103"/>
  <c r="X25" i="103"/>
  <c r="Q25" i="103"/>
  <c r="S25" i="103" s="1"/>
  <c r="N25" i="103"/>
  <c r="E25" i="103"/>
  <c r="BK24" i="103"/>
  <c r="BG24" i="103"/>
  <c r="BB24" i="103"/>
  <c r="AC24" i="103"/>
  <c r="X24" i="103"/>
  <c r="S24" i="103"/>
  <c r="N24" i="103"/>
  <c r="E24" i="103"/>
  <c r="BK23" i="103"/>
  <c r="BJ23" i="103"/>
  <c r="E23" i="103"/>
  <c r="BK22" i="103"/>
  <c r="BJ22" i="103"/>
  <c r="BG22" i="103"/>
  <c r="BB22" i="103"/>
  <c r="AC22" i="103"/>
  <c r="X22" i="103"/>
  <c r="S22" i="103"/>
  <c r="N22" i="103"/>
  <c r="E22" i="103"/>
  <c r="BK21" i="103"/>
  <c r="BJ21" i="103"/>
  <c r="BG21" i="103"/>
  <c r="BB21" i="103"/>
  <c r="AC21" i="103"/>
  <c r="X21" i="103"/>
  <c r="S21" i="103"/>
  <c r="N21" i="103"/>
  <c r="E21" i="103"/>
  <c r="BK20" i="103"/>
  <c r="BJ20" i="103"/>
  <c r="BG20" i="103"/>
  <c r="BB20" i="103"/>
  <c r="AC20" i="103"/>
  <c r="X20" i="103"/>
  <c r="S20" i="103"/>
  <c r="N20" i="103"/>
  <c r="E20" i="103"/>
  <c r="BK19" i="103"/>
  <c r="BJ19" i="103"/>
  <c r="BG19" i="103"/>
  <c r="BB19" i="103"/>
  <c r="AC19" i="103"/>
  <c r="X19" i="103"/>
  <c r="S19" i="103"/>
  <c r="N19" i="103"/>
  <c r="E19" i="103"/>
  <c r="BK18" i="103"/>
  <c r="BG18" i="103"/>
  <c r="BB18" i="103"/>
  <c r="AA18" i="103"/>
  <c r="BJ18" i="103" s="1"/>
  <c r="BL18" i="103" s="1"/>
  <c r="X18" i="103"/>
  <c r="S18" i="103"/>
  <c r="N18" i="103"/>
  <c r="E18" i="103"/>
  <c r="BK17" i="103"/>
  <c r="BJ17" i="103"/>
  <c r="BL17" i="103" s="1"/>
  <c r="BG17" i="103"/>
  <c r="BB17" i="103"/>
  <c r="AC17" i="103"/>
  <c r="X17" i="103"/>
  <c r="S17" i="103"/>
  <c r="N17" i="103"/>
  <c r="E17" i="103"/>
  <c r="BJ16" i="103"/>
  <c r="BG16" i="103"/>
  <c r="BB16" i="103"/>
  <c r="AB16" i="103"/>
  <c r="AC16" i="103" s="1"/>
  <c r="X16" i="103"/>
  <c r="S16" i="103"/>
  <c r="N16" i="103"/>
  <c r="E16" i="103"/>
  <c r="BK15" i="103"/>
  <c r="BJ15" i="103"/>
  <c r="BG15" i="103"/>
  <c r="BB15" i="103"/>
  <c r="AC15" i="103"/>
  <c r="X15" i="103"/>
  <c r="S15" i="103"/>
  <c r="N15" i="103"/>
  <c r="E15" i="103"/>
  <c r="BK14" i="103"/>
  <c r="BJ14" i="103"/>
  <c r="BG14" i="103"/>
  <c r="BB14" i="103"/>
  <c r="AC14" i="103"/>
  <c r="X14" i="103"/>
  <c r="S14" i="103"/>
  <c r="N14" i="103"/>
  <c r="E14" i="103"/>
  <c r="BK13" i="103"/>
  <c r="BJ13" i="103"/>
  <c r="BG13" i="103"/>
  <c r="BB13" i="103"/>
  <c r="AC13" i="103"/>
  <c r="X13" i="103"/>
  <c r="S13" i="103"/>
  <c r="N13" i="103"/>
  <c r="E13" i="103"/>
  <c r="BK12" i="103"/>
  <c r="BL12" i="103" s="1"/>
  <c r="BJ12" i="103"/>
  <c r="BG12" i="103"/>
  <c r="BB12" i="103"/>
  <c r="AC12" i="103"/>
  <c r="X12" i="103"/>
  <c r="S12" i="103"/>
  <c r="N12" i="103"/>
  <c r="E12" i="103"/>
  <c r="BK11" i="103"/>
  <c r="BJ11" i="103"/>
  <c r="BG11" i="103"/>
  <c r="BB11" i="103"/>
  <c r="AC11" i="103"/>
  <c r="X11" i="103"/>
  <c r="S11" i="103"/>
  <c r="N11" i="103"/>
  <c r="E11" i="103"/>
  <c r="BK10" i="103"/>
  <c r="BJ10" i="103"/>
  <c r="BG10" i="103"/>
  <c r="BB10" i="103"/>
  <c r="AC10" i="103"/>
  <c r="X10" i="103"/>
  <c r="S10" i="103"/>
  <c r="N10" i="103"/>
  <c r="E10" i="103"/>
  <c r="BK9" i="103"/>
  <c r="BJ9" i="103"/>
  <c r="BG9" i="103"/>
  <c r="BB9" i="103"/>
  <c r="AC9" i="103"/>
  <c r="X9" i="103"/>
  <c r="S9" i="103"/>
  <c r="N9" i="103"/>
  <c r="E9" i="103"/>
  <c r="BF8" i="103"/>
  <c r="BE8" i="103"/>
  <c r="BA8" i="103"/>
  <c r="AZ8" i="103"/>
  <c r="W8" i="103"/>
  <c r="V8" i="103"/>
  <c r="R8" i="103"/>
  <c r="M8" i="103"/>
  <c r="D8" i="103"/>
  <c r="BK7" i="103"/>
  <c r="BJ7" i="103"/>
  <c r="BL7" i="103" s="1"/>
  <c r="BG7" i="103"/>
  <c r="BG5" i="103" s="1"/>
  <c r="BB7" i="103"/>
  <c r="AC7" i="103"/>
  <c r="X7" i="103"/>
  <c r="S7" i="103"/>
  <c r="N7" i="103"/>
  <c r="E7" i="103"/>
  <c r="BK6" i="103"/>
  <c r="BJ6" i="103"/>
  <c r="BG6" i="103"/>
  <c r="BB6" i="103"/>
  <c r="AA6" i="103"/>
  <c r="AC6" i="103" s="1"/>
  <c r="X6" i="103"/>
  <c r="X5" i="103" s="1"/>
  <c r="S6" i="103"/>
  <c r="N6" i="103"/>
  <c r="N5" i="103" s="1"/>
  <c r="E6" i="103"/>
  <c r="E5" i="103" s="1"/>
  <c r="BK5" i="103"/>
  <c r="BF5" i="103"/>
  <c r="BF38" i="103" s="1"/>
  <c r="BE5" i="103"/>
  <c r="BA5" i="103"/>
  <c r="AZ5" i="103"/>
  <c r="AB5" i="103"/>
  <c r="W5" i="103"/>
  <c r="W38" i="103" s="1"/>
  <c r="V5" i="103"/>
  <c r="V38" i="103" s="1"/>
  <c r="S5" i="103"/>
  <c r="R5" i="103"/>
  <c r="Q5" i="103"/>
  <c r="M5" i="103"/>
  <c r="L5" i="103"/>
  <c r="D5" i="103"/>
  <c r="C5" i="103"/>
  <c r="G96" i="127"/>
  <c r="G92" i="127"/>
  <c r="G93" i="127" s="1"/>
  <c r="AW85" i="127"/>
  <c r="AR85" i="127"/>
  <c r="AM85" i="127"/>
  <c r="AH85" i="127"/>
  <c r="I85" i="127"/>
  <c r="E85" i="127"/>
  <c r="AW82" i="127"/>
  <c r="AR82" i="127"/>
  <c r="AM82" i="127"/>
  <c r="AH82" i="127"/>
  <c r="I82" i="127"/>
  <c r="BB82" i="127" s="1"/>
  <c r="E82" i="127"/>
  <c r="BA80" i="127"/>
  <c r="AZ80" i="127"/>
  <c r="E79" i="127"/>
  <c r="AW78" i="127"/>
  <c r="AW77" i="127" s="1"/>
  <c r="AR78" i="127"/>
  <c r="AM78" i="127"/>
  <c r="AM77" i="127" s="1"/>
  <c r="AH78" i="127"/>
  <c r="I78" i="127"/>
  <c r="I77" i="127" s="1"/>
  <c r="E78" i="127"/>
  <c r="BA77" i="127"/>
  <c r="AV77" i="127"/>
  <c r="AU77" i="127"/>
  <c r="AQ77" i="127"/>
  <c r="AP77" i="127"/>
  <c r="AL77" i="127"/>
  <c r="AK77" i="127"/>
  <c r="AG77" i="127"/>
  <c r="AF77" i="127"/>
  <c r="H77" i="127"/>
  <c r="G77" i="127"/>
  <c r="D77" i="127"/>
  <c r="C77" i="127"/>
  <c r="BA73" i="127"/>
  <c r="BB74" i="127"/>
  <c r="AW74" i="127"/>
  <c r="AR74" i="127"/>
  <c r="AR73" i="127" s="1"/>
  <c r="AM74" i="127"/>
  <c r="AH74" i="127"/>
  <c r="AH73" i="127" s="1"/>
  <c r="I74" i="127"/>
  <c r="E74" i="127"/>
  <c r="E73" i="127" s="1"/>
  <c r="AV73" i="127"/>
  <c r="AU73" i="127"/>
  <c r="AQ73" i="127"/>
  <c r="AP73" i="127"/>
  <c r="AL73" i="127"/>
  <c r="AK73" i="127"/>
  <c r="AG73" i="127"/>
  <c r="AF73" i="127"/>
  <c r="H73" i="127"/>
  <c r="G73" i="127"/>
  <c r="D73" i="127"/>
  <c r="C73" i="127"/>
  <c r="BA72" i="127"/>
  <c r="AZ72" i="127"/>
  <c r="AX72" i="127"/>
  <c r="AS72" i="127"/>
  <c r="AN72" i="127"/>
  <c r="AI72" i="127"/>
  <c r="J72" i="127"/>
  <c r="AW71" i="127"/>
  <c r="AR71" i="127"/>
  <c r="AM71" i="127"/>
  <c r="AH71" i="127"/>
  <c r="I71" i="127"/>
  <c r="E71" i="127"/>
  <c r="AW70" i="127"/>
  <c r="AR70" i="127"/>
  <c r="AM70" i="127"/>
  <c r="AH70" i="127"/>
  <c r="I70" i="127"/>
  <c r="E70" i="127"/>
  <c r="AW69" i="127"/>
  <c r="AR69" i="127"/>
  <c r="AM69" i="127"/>
  <c r="AH69" i="127"/>
  <c r="I69" i="127"/>
  <c r="E69" i="127"/>
  <c r="AW68" i="127"/>
  <c r="AR68" i="127"/>
  <c r="AM68" i="127"/>
  <c r="AH68" i="127"/>
  <c r="I68" i="127"/>
  <c r="E68" i="127"/>
  <c r="AW67" i="127"/>
  <c r="AR67" i="127"/>
  <c r="AM67" i="127"/>
  <c r="AH67" i="127"/>
  <c r="I67" i="127"/>
  <c r="E67" i="127"/>
  <c r="AW66" i="127"/>
  <c r="AR66" i="127"/>
  <c r="AM66" i="127"/>
  <c r="AH66" i="127"/>
  <c r="I66" i="127"/>
  <c r="E66" i="127"/>
  <c r="AW65" i="127"/>
  <c r="AR65" i="127"/>
  <c r="AM65" i="127"/>
  <c r="AH65" i="127"/>
  <c r="I65" i="127"/>
  <c r="E65" i="127"/>
  <c r="AW64" i="127"/>
  <c r="AR64" i="127"/>
  <c r="AM64" i="127"/>
  <c r="AH64" i="127"/>
  <c r="I64" i="127"/>
  <c r="E64" i="127"/>
  <c r="AW63" i="127"/>
  <c r="AR63" i="127"/>
  <c r="AM63" i="127"/>
  <c r="AH63" i="127"/>
  <c r="I63" i="127"/>
  <c r="E63" i="127"/>
  <c r="AW62" i="127"/>
  <c r="AR62" i="127"/>
  <c r="AM62" i="127"/>
  <c r="AH62" i="127"/>
  <c r="I62" i="127"/>
  <c r="E62" i="127"/>
  <c r="AW61" i="127"/>
  <c r="AR61" i="127"/>
  <c r="AM61" i="127"/>
  <c r="AH61" i="127"/>
  <c r="I61" i="127"/>
  <c r="E61" i="127"/>
  <c r="AW60" i="127"/>
  <c r="AR60" i="127"/>
  <c r="AM60" i="127"/>
  <c r="AH60" i="127"/>
  <c r="I60" i="127"/>
  <c r="E60" i="127"/>
  <c r="AW59" i="127"/>
  <c r="AR59" i="127"/>
  <c r="AM59" i="127"/>
  <c r="AH59" i="127"/>
  <c r="I59" i="127"/>
  <c r="E59" i="127"/>
  <c r="AW58" i="127"/>
  <c r="AR58" i="127"/>
  <c r="AM58" i="127"/>
  <c r="AH58" i="127"/>
  <c r="I58" i="127"/>
  <c r="E58" i="127"/>
  <c r="AW57" i="127"/>
  <c r="AR57" i="127"/>
  <c r="AM57" i="127"/>
  <c r="AH57" i="127"/>
  <c r="I57" i="127"/>
  <c r="E57" i="127"/>
  <c r="AW56" i="127"/>
  <c r="AR56" i="127"/>
  <c r="AM56" i="127"/>
  <c r="AH56" i="127"/>
  <c r="I56" i="127"/>
  <c r="E56" i="127"/>
  <c r="BB55" i="127"/>
  <c r="AW55" i="127"/>
  <c r="AR55" i="127"/>
  <c r="AM55" i="127"/>
  <c r="AH55" i="127"/>
  <c r="I55" i="127"/>
  <c r="E55" i="127"/>
  <c r="E54" i="127" s="1"/>
  <c r="AV54" i="127"/>
  <c r="AU54" i="127"/>
  <c r="AQ54" i="127"/>
  <c r="AP54" i="127"/>
  <c r="AL54" i="127"/>
  <c r="AK54" i="127"/>
  <c r="AG54" i="127"/>
  <c r="AF54" i="127"/>
  <c r="H54" i="127"/>
  <c r="G54" i="127"/>
  <c r="D54" i="127"/>
  <c r="C54" i="127"/>
  <c r="BA53" i="127"/>
  <c r="AZ53" i="127"/>
  <c r="AW52" i="127"/>
  <c r="AR52" i="127"/>
  <c r="AR50" i="127" s="1"/>
  <c r="AM52" i="127"/>
  <c r="AH52" i="127"/>
  <c r="I52" i="127"/>
  <c r="E52" i="127"/>
  <c r="BA50" i="127"/>
  <c r="AW51" i="127"/>
  <c r="AW50" i="127" s="1"/>
  <c r="AR51" i="127"/>
  <c r="AM51" i="127"/>
  <c r="AH51" i="127"/>
  <c r="J51" i="127"/>
  <c r="I51" i="127"/>
  <c r="E51" i="127"/>
  <c r="AV50" i="127"/>
  <c r="AU50" i="127"/>
  <c r="AQ50" i="127"/>
  <c r="AP50" i="127"/>
  <c r="AL50" i="127"/>
  <c r="AK50" i="127"/>
  <c r="AG50" i="127"/>
  <c r="AF50" i="127"/>
  <c r="H50" i="127"/>
  <c r="G50" i="127"/>
  <c r="D50" i="127"/>
  <c r="C50" i="127"/>
  <c r="BA49" i="127"/>
  <c r="AZ49" i="127"/>
  <c r="AX49" i="127"/>
  <c r="AS49" i="127"/>
  <c r="AN49" i="127"/>
  <c r="AI49" i="127"/>
  <c r="J49" i="127"/>
  <c r="AW48" i="127"/>
  <c r="AR48" i="127"/>
  <c r="AM48" i="127"/>
  <c r="AH48" i="127"/>
  <c r="I48" i="127"/>
  <c r="E48" i="127"/>
  <c r="AW47" i="127"/>
  <c r="AR47" i="127"/>
  <c r="AM47" i="127"/>
  <c r="AH47" i="127"/>
  <c r="I47" i="127"/>
  <c r="E47" i="127"/>
  <c r="AW46" i="127"/>
  <c r="AR46" i="127"/>
  <c r="AM46" i="127"/>
  <c r="AH46" i="127"/>
  <c r="I46" i="127"/>
  <c r="E46" i="127"/>
  <c r="AW45" i="127"/>
  <c r="AR45" i="127"/>
  <c r="AM45" i="127"/>
  <c r="AH45" i="127"/>
  <c r="I45" i="127"/>
  <c r="E45" i="127"/>
  <c r="AW44" i="127"/>
  <c r="AR44" i="127"/>
  <c r="AM44" i="127"/>
  <c r="AH44" i="127"/>
  <c r="I44" i="127"/>
  <c r="E44" i="127"/>
  <c r="AW43" i="127"/>
  <c r="AR43" i="127"/>
  <c r="AM43" i="127"/>
  <c r="AH43" i="127"/>
  <c r="I43" i="127"/>
  <c r="E43" i="127"/>
  <c r="BA41" i="127"/>
  <c r="AW42" i="127"/>
  <c r="AR42" i="127"/>
  <c r="AM42" i="127"/>
  <c r="AH42" i="127"/>
  <c r="I42" i="127"/>
  <c r="I41" i="127" s="1"/>
  <c r="E42" i="127"/>
  <c r="AV41" i="127"/>
  <c r="AU41" i="127"/>
  <c r="AQ41" i="127"/>
  <c r="AP41" i="127"/>
  <c r="AL41" i="127"/>
  <c r="AK41" i="127"/>
  <c r="AG41" i="127"/>
  <c r="AF41" i="127"/>
  <c r="H41" i="127"/>
  <c r="G41" i="127"/>
  <c r="D41" i="127"/>
  <c r="C41" i="127"/>
  <c r="BA40" i="127"/>
  <c r="AZ40" i="127"/>
  <c r="BA37" i="127"/>
  <c r="AZ37" i="127"/>
  <c r="AW36" i="127"/>
  <c r="AR36" i="127"/>
  <c r="AM36" i="127"/>
  <c r="AH36" i="127"/>
  <c r="I36" i="127"/>
  <c r="I35" i="127" s="1"/>
  <c r="E36" i="127"/>
  <c r="E35" i="127" s="1"/>
  <c r="H35" i="127"/>
  <c r="BA35" i="127" s="1"/>
  <c r="G35" i="127"/>
  <c r="AZ35" i="127" s="1"/>
  <c r="D35" i="127"/>
  <c r="C35" i="127"/>
  <c r="BA34" i="127"/>
  <c r="AZ34" i="127"/>
  <c r="BB33" i="127"/>
  <c r="AW33" i="127"/>
  <c r="AR33" i="127"/>
  <c r="AM33" i="127"/>
  <c r="AH33" i="127"/>
  <c r="I33" i="127"/>
  <c r="E33" i="127"/>
  <c r="BB32" i="127"/>
  <c r="AW32" i="127"/>
  <c r="AR32" i="127"/>
  <c r="AM32" i="127"/>
  <c r="AH32" i="127"/>
  <c r="I32" i="127"/>
  <c r="E32" i="127"/>
  <c r="AW31" i="127"/>
  <c r="AR31" i="127"/>
  <c r="AM31" i="127"/>
  <c r="AH31" i="127"/>
  <c r="I31" i="127"/>
  <c r="E31" i="127"/>
  <c r="AW30" i="127"/>
  <c r="AR30" i="127"/>
  <c r="AM30" i="127"/>
  <c r="AH30" i="127"/>
  <c r="I30" i="127"/>
  <c r="E30" i="127"/>
  <c r="AW29" i="127"/>
  <c r="AR29" i="127"/>
  <c r="AM29" i="127"/>
  <c r="AH29" i="127"/>
  <c r="I29" i="127"/>
  <c r="E29" i="127"/>
  <c r="AW28" i="127"/>
  <c r="AR28" i="127"/>
  <c r="AM28" i="127"/>
  <c r="AH28" i="127"/>
  <c r="I28" i="127"/>
  <c r="E28" i="127"/>
  <c r="AW27" i="127"/>
  <c r="AR27" i="127"/>
  <c r="AM27" i="127"/>
  <c r="AH27" i="127"/>
  <c r="I27" i="127"/>
  <c r="E27" i="127"/>
  <c r="AW26" i="127"/>
  <c r="AR26" i="127"/>
  <c r="AM26" i="127"/>
  <c r="AH26" i="127"/>
  <c r="I26" i="127"/>
  <c r="E26" i="127"/>
  <c r="AW25" i="127"/>
  <c r="AR25" i="127"/>
  <c r="AM25" i="127"/>
  <c r="AH25" i="127"/>
  <c r="I25" i="127"/>
  <c r="E25" i="127"/>
  <c r="AW24" i="127"/>
  <c r="AR24" i="127"/>
  <c r="AM24" i="127"/>
  <c r="AH24" i="127"/>
  <c r="I24" i="127"/>
  <c r="E24" i="127"/>
  <c r="AW23" i="127"/>
  <c r="AR23" i="127"/>
  <c r="AM23" i="127"/>
  <c r="AH23" i="127"/>
  <c r="I23" i="127"/>
  <c r="AW22" i="127"/>
  <c r="AR22" i="127"/>
  <c r="AM22" i="127"/>
  <c r="AH22" i="127"/>
  <c r="I22" i="127"/>
  <c r="AW21" i="127"/>
  <c r="AR21" i="127"/>
  <c r="AM21" i="127"/>
  <c r="AH21" i="127"/>
  <c r="I21" i="127"/>
  <c r="E21" i="127"/>
  <c r="BB20" i="127"/>
  <c r="AW20" i="127"/>
  <c r="AR20" i="127"/>
  <c r="AM20" i="127"/>
  <c r="AH20" i="127"/>
  <c r="I20" i="127"/>
  <c r="E20" i="127"/>
  <c r="AW19" i="127"/>
  <c r="AR19" i="127"/>
  <c r="AM19" i="127"/>
  <c r="AH19" i="127"/>
  <c r="I19" i="127"/>
  <c r="E19" i="127"/>
  <c r="AW18" i="127"/>
  <c r="AR18" i="127"/>
  <c r="AM18" i="127"/>
  <c r="AH18" i="127"/>
  <c r="I18" i="127"/>
  <c r="E18" i="127"/>
  <c r="AW17" i="127"/>
  <c r="AR17" i="127"/>
  <c r="AM17" i="127"/>
  <c r="AH17" i="127"/>
  <c r="I17" i="127"/>
  <c r="E17" i="127"/>
  <c r="AW16" i="127"/>
  <c r="AR16" i="127"/>
  <c r="AM16" i="127"/>
  <c r="AH16" i="127"/>
  <c r="I16" i="127"/>
  <c r="E16" i="127"/>
  <c r="AW15" i="127"/>
  <c r="AR15" i="127"/>
  <c r="AM15" i="127"/>
  <c r="AH15" i="127"/>
  <c r="I15" i="127"/>
  <c r="E15" i="127"/>
  <c r="AW14" i="127"/>
  <c r="AR14" i="127"/>
  <c r="AM14" i="127"/>
  <c r="AH14" i="127"/>
  <c r="I14" i="127"/>
  <c r="E14" i="127"/>
  <c r="AW13" i="127"/>
  <c r="AR13" i="127"/>
  <c r="AM13" i="127"/>
  <c r="AH13" i="127"/>
  <c r="I13" i="127"/>
  <c r="E13" i="127"/>
  <c r="AW12" i="127"/>
  <c r="AR12" i="127"/>
  <c r="AM12" i="127"/>
  <c r="AH12" i="127"/>
  <c r="I12" i="127"/>
  <c r="E12" i="127"/>
  <c r="BB11" i="127"/>
  <c r="AW11" i="127"/>
  <c r="AR11" i="127"/>
  <c r="AM11" i="127"/>
  <c r="AH11" i="127"/>
  <c r="I11" i="127"/>
  <c r="E11" i="127"/>
  <c r="AW10" i="127"/>
  <c r="AR10" i="127"/>
  <c r="AM10" i="127"/>
  <c r="AH10" i="127"/>
  <c r="I10" i="127"/>
  <c r="E10" i="127"/>
  <c r="AW9" i="127"/>
  <c r="AR9" i="127"/>
  <c r="AM9" i="127"/>
  <c r="AH9" i="127"/>
  <c r="I9" i="127"/>
  <c r="E9" i="127"/>
  <c r="AV8" i="127"/>
  <c r="AU8" i="127"/>
  <c r="AQ8" i="127"/>
  <c r="AP8" i="127"/>
  <c r="AL8" i="127"/>
  <c r="AK8" i="127"/>
  <c r="AG8" i="127"/>
  <c r="AF8" i="127"/>
  <c r="H8" i="127"/>
  <c r="G8" i="127"/>
  <c r="D8" i="127"/>
  <c r="C8" i="127"/>
  <c r="AW7" i="127"/>
  <c r="AR7" i="127"/>
  <c r="AM7" i="127"/>
  <c r="AH7" i="127"/>
  <c r="I7" i="127"/>
  <c r="E7" i="127"/>
  <c r="BA5" i="127"/>
  <c r="AW6" i="127"/>
  <c r="AW5" i="127" s="1"/>
  <c r="AR6" i="127"/>
  <c r="AR5" i="127" s="1"/>
  <c r="AM6" i="127"/>
  <c r="AM5" i="127" s="1"/>
  <c r="AH6" i="127"/>
  <c r="I6" i="127"/>
  <c r="I5" i="127" s="1"/>
  <c r="E6" i="127"/>
  <c r="E5" i="127" s="1"/>
  <c r="AV5" i="127"/>
  <c r="AU5" i="127"/>
  <c r="AU38" i="127" s="1"/>
  <c r="AQ5" i="127"/>
  <c r="AP5" i="127"/>
  <c r="AL5" i="127"/>
  <c r="AK5" i="127"/>
  <c r="AH5" i="127"/>
  <c r="AG5" i="127"/>
  <c r="AF5" i="127"/>
  <c r="H5" i="127"/>
  <c r="G5" i="127"/>
  <c r="G38" i="127" s="1"/>
  <c r="D5" i="127"/>
  <c r="C5" i="127"/>
  <c r="AW41" i="127" l="1"/>
  <c r="AZ38" i="103"/>
  <c r="BG54" i="103"/>
  <c r="BL70" i="103"/>
  <c r="BA38" i="103"/>
  <c r="BJ77" i="103"/>
  <c r="AP38" i="127"/>
  <c r="BE38" i="103"/>
  <c r="BB5" i="103"/>
  <c r="BL22" i="103"/>
  <c r="BK35" i="103"/>
  <c r="E54" i="98"/>
  <c r="X54" i="98"/>
  <c r="BL65" i="103"/>
  <c r="AC8" i="98"/>
  <c r="BL85" i="103"/>
  <c r="AM54" i="127"/>
  <c r="I54" i="127"/>
  <c r="AH54" i="127"/>
  <c r="BL27" i="103"/>
  <c r="BB54" i="103"/>
  <c r="AC54" i="103"/>
  <c r="AA38" i="98"/>
  <c r="AA75" i="98" s="1"/>
  <c r="S26" i="98"/>
  <c r="BT26" i="98"/>
  <c r="BV26" i="98" s="1"/>
  <c r="AW54" i="127"/>
  <c r="BV6" i="98"/>
  <c r="BV5" i="98" s="1"/>
  <c r="BT5" i="98"/>
  <c r="R8" i="98"/>
  <c r="BU28" i="98"/>
  <c r="Q54" i="98"/>
  <c r="H38" i="127"/>
  <c r="AU75" i="127"/>
  <c r="AM50" i="127"/>
  <c r="BL23" i="103"/>
  <c r="BJ35" i="103"/>
  <c r="BL36" i="103"/>
  <c r="E54" i="103"/>
  <c r="BL66" i="103"/>
  <c r="C38" i="98"/>
  <c r="M38" i="98"/>
  <c r="V5" i="98"/>
  <c r="BU16" i="98"/>
  <c r="BV16" i="98" s="1"/>
  <c r="BT28" i="98"/>
  <c r="BV47" i="98"/>
  <c r="BT41" i="98"/>
  <c r="N12" i="98"/>
  <c r="BU12" i="98"/>
  <c r="BV63" i="98"/>
  <c r="M38" i="103"/>
  <c r="BJ26" i="103"/>
  <c r="S21" i="98"/>
  <c r="AF38" i="127"/>
  <c r="AR54" i="127"/>
  <c r="BJ41" i="103"/>
  <c r="BL47" i="103"/>
  <c r="BK50" i="103"/>
  <c r="BL52" i="103"/>
  <c r="BL71" i="103"/>
  <c r="Q8" i="98"/>
  <c r="S16" i="98"/>
  <c r="S25" i="98"/>
  <c r="S30" i="98"/>
  <c r="BU30" i="98"/>
  <c r="BV30" i="98" s="1"/>
  <c r="S47" i="98"/>
  <c r="AC50" i="98"/>
  <c r="BT65" i="98"/>
  <c r="BV65" i="98" s="1"/>
  <c r="BB13" i="127"/>
  <c r="BB57" i="127"/>
  <c r="AZ73" i="127"/>
  <c r="AZ77" i="127"/>
  <c r="BB15" i="127"/>
  <c r="BB24" i="127"/>
  <c r="BB36" i="127"/>
  <c r="BB14" i="127"/>
  <c r="BB23" i="127"/>
  <c r="BB85" i="127"/>
  <c r="BB6" i="127"/>
  <c r="BB7" i="127"/>
  <c r="BB12" i="127"/>
  <c r="BB28" i="127"/>
  <c r="BB66" i="127"/>
  <c r="BB67" i="127"/>
  <c r="BB68" i="127"/>
  <c r="BB69" i="127"/>
  <c r="BL10" i="103"/>
  <c r="BL14" i="103"/>
  <c r="BL15" i="103"/>
  <c r="BL30" i="103"/>
  <c r="BL33" i="103"/>
  <c r="BL44" i="103"/>
  <c r="BL67" i="103"/>
  <c r="BL31" i="103"/>
  <c r="BL43" i="103"/>
  <c r="BL53" i="103"/>
  <c r="BL69" i="103"/>
  <c r="BB18" i="127"/>
  <c r="C38" i="127"/>
  <c r="C75" i="127" s="1"/>
  <c r="AV38" i="127"/>
  <c r="AV75" i="127" s="1"/>
  <c r="E8" i="127"/>
  <c r="AR8" i="127"/>
  <c r="BB27" i="127"/>
  <c r="AH50" i="127"/>
  <c r="BB58" i="127"/>
  <c r="BB59" i="127"/>
  <c r="BB60" i="127"/>
  <c r="BB61" i="127"/>
  <c r="BB62" i="127"/>
  <c r="BB63" i="127"/>
  <c r="BB64" i="127"/>
  <c r="BB70" i="127"/>
  <c r="BB71" i="127"/>
  <c r="R38" i="103"/>
  <c r="Q8" i="103"/>
  <c r="Q38" i="103" s="1"/>
  <c r="AB8" i="103"/>
  <c r="BL19" i="103"/>
  <c r="BL20" i="103"/>
  <c r="BK54" i="103"/>
  <c r="BL58" i="103"/>
  <c r="BL62" i="103"/>
  <c r="BL68" i="103"/>
  <c r="BL82" i="103"/>
  <c r="Q38" i="98"/>
  <c r="Q75" i="98" s="1"/>
  <c r="AB38" i="103"/>
  <c r="AB75" i="103" s="1"/>
  <c r="BB8" i="103"/>
  <c r="BB38" i="103" s="1"/>
  <c r="BB39" i="103" s="1"/>
  <c r="E8" i="103"/>
  <c r="E38" i="103" s="1"/>
  <c r="R38" i="98"/>
  <c r="R75" i="98" s="1"/>
  <c r="S23" i="98"/>
  <c r="D38" i="127"/>
  <c r="AH8" i="127"/>
  <c r="BB9" i="127"/>
  <c r="BB10" i="127"/>
  <c r="BB17" i="127"/>
  <c r="BB21" i="127"/>
  <c r="BB43" i="127"/>
  <c r="BB45" i="127"/>
  <c r="BB47" i="127"/>
  <c r="BB78" i="127"/>
  <c r="AC5" i="103"/>
  <c r="L8" i="103"/>
  <c r="L38" i="103" s="1"/>
  <c r="BG8" i="103"/>
  <c r="BG38" i="103" s="1"/>
  <c r="BG39" i="103" s="1"/>
  <c r="BL21" i="103"/>
  <c r="AC25" i="103"/>
  <c r="BK26" i="103"/>
  <c r="BL26" i="103" s="1"/>
  <c r="N28" i="103"/>
  <c r="N8" i="103" s="1"/>
  <c r="N38" i="103" s="1"/>
  <c r="BK41" i="103"/>
  <c r="BL45" i="103"/>
  <c r="BL56" i="103"/>
  <c r="BL60" i="103"/>
  <c r="BL64" i="103"/>
  <c r="X16" i="98"/>
  <c r="X8" i="98" s="1"/>
  <c r="BB16" i="127"/>
  <c r="AM8" i="127"/>
  <c r="AM38" i="127" s="1"/>
  <c r="AM39" i="127" s="1"/>
  <c r="D38" i="103"/>
  <c r="BK16" i="103"/>
  <c r="BL16" i="103" s="1"/>
  <c r="X8" i="103"/>
  <c r="X38" i="103" s="1"/>
  <c r="X6" i="98"/>
  <c r="X5" i="98" s="1"/>
  <c r="S12" i="98"/>
  <c r="N65" i="98"/>
  <c r="C73" i="98"/>
  <c r="AC38" i="98"/>
  <c r="C75" i="98"/>
  <c r="C39" i="98"/>
  <c r="M75" i="98"/>
  <c r="M39" i="98"/>
  <c r="L38" i="98"/>
  <c r="S18" i="98"/>
  <c r="AA81" i="98"/>
  <c r="AA83" i="98" s="1"/>
  <c r="AA84" i="98" s="1"/>
  <c r="AA86" i="98" s="1"/>
  <c r="AA87" i="98" s="1"/>
  <c r="AA76" i="98"/>
  <c r="S24" i="98"/>
  <c r="V38" i="98"/>
  <c r="AB75" i="98"/>
  <c r="AB39" i="98"/>
  <c r="D8" i="98"/>
  <c r="D38" i="98" s="1"/>
  <c r="N29" i="98"/>
  <c r="N41" i="98"/>
  <c r="W38" i="98"/>
  <c r="S22" i="98"/>
  <c r="E28" i="98"/>
  <c r="AA39" i="98"/>
  <c r="AC41" i="98"/>
  <c r="E50" i="98"/>
  <c r="S41" i="98"/>
  <c r="S50" i="98"/>
  <c r="N63" i="98"/>
  <c r="L54" i="98"/>
  <c r="AC54" i="98"/>
  <c r="X41" i="98"/>
  <c r="X50" i="98"/>
  <c r="N50" i="98"/>
  <c r="S54" i="98"/>
  <c r="M75" i="103"/>
  <c r="M39" i="103"/>
  <c r="AA5" i="103"/>
  <c r="BL9" i="103"/>
  <c r="BL13" i="103"/>
  <c r="BA75" i="103"/>
  <c r="BA39" i="103"/>
  <c r="BL6" i="103"/>
  <c r="BL5" i="103" s="1"/>
  <c r="BJ5" i="103"/>
  <c r="D75" i="103"/>
  <c r="D39" i="103"/>
  <c r="BL11" i="103"/>
  <c r="X35" i="103"/>
  <c r="N41" i="103"/>
  <c r="O41" i="103" s="1"/>
  <c r="BB41" i="103"/>
  <c r="X50" i="103"/>
  <c r="V75" i="103"/>
  <c r="V39" i="103"/>
  <c r="C8" i="103"/>
  <c r="C38" i="103" s="1"/>
  <c r="AA8" i="103"/>
  <c r="AC18" i="103"/>
  <c r="AC8" i="103" s="1"/>
  <c r="E41" i="103"/>
  <c r="AC41" i="103"/>
  <c r="AC50" i="103"/>
  <c r="X54" i="103"/>
  <c r="BL63" i="103"/>
  <c r="BJ54" i="103"/>
  <c r="BL35" i="103"/>
  <c r="W75" i="103"/>
  <c r="W39" i="103"/>
  <c r="BE75" i="103"/>
  <c r="BE39" i="103"/>
  <c r="BJ24" i="103"/>
  <c r="BL24" i="103" s="1"/>
  <c r="BJ25" i="103"/>
  <c r="BL25" i="103" s="1"/>
  <c r="BJ28" i="103"/>
  <c r="BL28" i="103" s="1"/>
  <c r="N35" i="103"/>
  <c r="BB35" i="103"/>
  <c r="X41" i="103"/>
  <c r="N50" i="103"/>
  <c r="BB50" i="103"/>
  <c r="E50" i="103"/>
  <c r="BJ50" i="103"/>
  <c r="BL51" i="103"/>
  <c r="S54" i="103"/>
  <c r="R75" i="103"/>
  <c r="R39" i="103"/>
  <c r="AZ75" i="103"/>
  <c r="AZ39" i="103"/>
  <c r="BF75" i="103"/>
  <c r="BF39" i="103"/>
  <c r="S30" i="103"/>
  <c r="S8" i="103" s="1"/>
  <c r="S38" i="103" s="1"/>
  <c r="BL32" i="103"/>
  <c r="S41" i="103"/>
  <c r="BG41" i="103"/>
  <c r="S50" i="103"/>
  <c r="BG50" i="103"/>
  <c r="S35" i="103"/>
  <c r="AC35" i="103"/>
  <c r="BG35" i="103"/>
  <c r="BL55" i="103"/>
  <c r="BL59" i="103"/>
  <c r="BL57" i="103"/>
  <c r="BL61" i="103"/>
  <c r="BJ74" i="103"/>
  <c r="L73" i="103"/>
  <c r="N74" i="103"/>
  <c r="N73" i="103" s="1"/>
  <c r="X77" i="103"/>
  <c r="BK77" i="103"/>
  <c r="BL78" i="103"/>
  <c r="D75" i="127"/>
  <c r="D39" i="127"/>
  <c r="C81" i="127"/>
  <c r="C83" i="127" s="1"/>
  <c r="C84" i="127" s="1"/>
  <c r="C86" i="127" s="1"/>
  <c r="C87" i="127" s="1"/>
  <c r="C76" i="127"/>
  <c r="AP75" i="127"/>
  <c r="AP39" i="127"/>
  <c r="AW35" i="127"/>
  <c r="AK38" i="127"/>
  <c r="AQ38" i="127"/>
  <c r="I8" i="127"/>
  <c r="AW8" i="127"/>
  <c r="AW38" i="127" s="1"/>
  <c r="BB25" i="127"/>
  <c r="BB29" i="127"/>
  <c r="BB30" i="127"/>
  <c r="AZ41" i="127"/>
  <c r="H75" i="127"/>
  <c r="H39" i="127"/>
  <c r="E38" i="127"/>
  <c r="AF75" i="127"/>
  <c r="AF39" i="127"/>
  <c r="AL38" i="127"/>
  <c r="AR38" i="127"/>
  <c r="AZ5" i="127"/>
  <c r="AM35" i="127"/>
  <c r="C39" i="127"/>
  <c r="AH38" i="127"/>
  <c r="G75" i="127"/>
  <c r="G39" i="127"/>
  <c r="AG38" i="127"/>
  <c r="AU81" i="127"/>
  <c r="AU83" i="127" s="1"/>
  <c r="AU84" i="127" s="1"/>
  <c r="AU86" i="127" s="1"/>
  <c r="AU87" i="127" s="1"/>
  <c r="AU76" i="127"/>
  <c r="BB19" i="127"/>
  <c r="BB22" i="127"/>
  <c r="BB35" i="127"/>
  <c r="AU39" i="127"/>
  <c r="BB26" i="127"/>
  <c r="BB44" i="127"/>
  <c r="BB48" i="127"/>
  <c r="I50" i="127"/>
  <c r="J52" i="127"/>
  <c r="BB52" i="127"/>
  <c r="AZ50" i="127"/>
  <c r="AH35" i="127"/>
  <c r="AR35" i="127"/>
  <c r="E41" i="127"/>
  <c r="AH41" i="127"/>
  <c r="AH89" i="127" s="1"/>
  <c r="AR41" i="127"/>
  <c r="BB42" i="127"/>
  <c r="BB46" i="127"/>
  <c r="E50" i="127"/>
  <c r="BB51" i="127"/>
  <c r="BB56" i="127"/>
  <c r="AZ54" i="127"/>
  <c r="E77" i="127"/>
  <c r="AM41" i="127"/>
  <c r="BA54" i="127"/>
  <c r="AM73" i="127"/>
  <c r="AH77" i="127"/>
  <c r="BB73" i="127"/>
  <c r="I73" i="127"/>
  <c r="AW73" i="127"/>
  <c r="AR77" i="127"/>
  <c r="BK8" i="103" l="1"/>
  <c r="BK38" i="103" s="1"/>
  <c r="AB39" i="103"/>
  <c r="N8" i="98"/>
  <c r="N38" i="98" s="1"/>
  <c r="BL41" i="103"/>
  <c r="BT54" i="98"/>
  <c r="AV39" i="127"/>
  <c r="R39" i="98"/>
  <c r="Q39" i="98"/>
  <c r="E89" i="103"/>
  <c r="BV54" i="98"/>
  <c r="BV28" i="98"/>
  <c r="BV12" i="98"/>
  <c r="BU8" i="98"/>
  <c r="BU38" i="98" s="1"/>
  <c r="BV41" i="98"/>
  <c r="AR89" i="127"/>
  <c r="AA38" i="103"/>
  <c r="AA75" i="103" s="1"/>
  <c r="BT8" i="98"/>
  <c r="BT38" i="98" s="1"/>
  <c r="BB5" i="127"/>
  <c r="L39" i="103"/>
  <c r="L75" i="103"/>
  <c r="L76" i="103" s="1"/>
  <c r="Q39" i="103"/>
  <c r="Q75" i="103"/>
  <c r="AM89" i="127"/>
  <c r="BB65" i="127"/>
  <c r="BB54" i="127" s="1"/>
  <c r="D75" i="98"/>
  <c r="D39" i="98"/>
  <c r="N39" i="98"/>
  <c r="V75" i="98"/>
  <c r="V39" i="98"/>
  <c r="AC75" i="98"/>
  <c r="AC39" i="98"/>
  <c r="X89" i="98"/>
  <c r="Y41" i="98" s="1"/>
  <c r="W75" i="98"/>
  <c r="W39" i="98"/>
  <c r="R81" i="98"/>
  <c r="R83" i="98" s="1"/>
  <c r="R84" i="98" s="1"/>
  <c r="R86" i="98" s="1"/>
  <c r="R87" i="98" s="1"/>
  <c r="R76" i="98"/>
  <c r="AC89" i="98"/>
  <c r="C81" i="98"/>
  <c r="C83" i="98" s="1"/>
  <c r="C84" i="98" s="1"/>
  <c r="C86" i="98" s="1"/>
  <c r="C87" i="98" s="1"/>
  <c r="C76" i="98"/>
  <c r="N54" i="98"/>
  <c r="N75" i="98" s="1"/>
  <c r="L75" i="98"/>
  <c r="L39" i="98"/>
  <c r="E8" i="98"/>
  <c r="S8" i="98"/>
  <c r="AB81" i="98"/>
  <c r="AB83" i="98" s="1"/>
  <c r="AB84" i="98" s="1"/>
  <c r="AB86" i="98" s="1"/>
  <c r="AB87" i="98" s="1"/>
  <c r="AB76" i="98"/>
  <c r="M81" i="98"/>
  <c r="M83" i="98" s="1"/>
  <c r="M84" i="98" s="1"/>
  <c r="M86" i="98" s="1"/>
  <c r="M87" i="98" s="1"/>
  <c r="M76" i="98"/>
  <c r="X38" i="98"/>
  <c r="Q81" i="98"/>
  <c r="Q83" i="98" s="1"/>
  <c r="Q84" i="98" s="1"/>
  <c r="Q86" i="98" s="1"/>
  <c r="Q87" i="98" s="1"/>
  <c r="Q76" i="98"/>
  <c r="BK75" i="103"/>
  <c r="BK39" i="103"/>
  <c r="C75" i="103"/>
  <c r="C39" i="103"/>
  <c r="BL74" i="103"/>
  <c r="BL73" i="103" s="1"/>
  <c r="BJ73" i="103"/>
  <c r="S75" i="103"/>
  <c r="S39" i="103"/>
  <c r="V81" i="103"/>
  <c r="V83" i="103" s="1"/>
  <c r="V84" i="103" s="1"/>
  <c r="V86" i="103" s="1"/>
  <c r="V87" i="103" s="1"/>
  <c r="V76" i="103"/>
  <c r="D81" i="103"/>
  <c r="D83" i="103" s="1"/>
  <c r="D84" i="103" s="1"/>
  <c r="D86" i="103" s="1"/>
  <c r="D87" i="103" s="1"/>
  <c r="D76" i="103"/>
  <c r="BB89" i="103"/>
  <c r="BL8" i="103"/>
  <c r="AA39" i="103"/>
  <c r="AZ81" i="103"/>
  <c r="AZ83" i="103" s="1"/>
  <c r="AZ84" i="103" s="1"/>
  <c r="AZ86" i="103" s="1"/>
  <c r="AZ87" i="103" s="1"/>
  <c r="AZ76" i="103"/>
  <c r="R81" i="103"/>
  <c r="R83" i="103" s="1"/>
  <c r="R84" i="103" s="1"/>
  <c r="R86" i="103" s="1"/>
  <c r="R87" i="103" s="1"/>
  <c r="R76" i="103"/>
  <c r="W81" i="103"/>
  <c r="W83" i="103" s="1"/>
  <c r="W84" i="103" s="1"/>
  <c r="W86" i="103" s="1"/>
  <c r="W87" i="103" s="1"/>
  <c r="W76" i="103"/>
  <c r="BJ8" i="103"/>
  <c r="BJ38" i="103" s="1"/>
  <c r="E75" i="103"/>
  <c r="E39" i="103"/>
  <c r="X89" i="103"/>
  <c r="Y54" i="103" s="1"/>
  <c r="X75" i="103"/>
  <c r="X39" i="103"/>
  <c r="AB76" i="103"/>
  <c r="AB81" i="103"/>
  <c r="AB83" i="103" s="1"/>
  <c r="AB84" i="103" s="1"/>
  <c r="AB86" i="103" s="1"/>
  <c r="AB87" i="103" s="1"/>
  <c r="N75" i="103"/>
  <c r="N39" i="103"/>
  <c r="BA81" i="103"/>
  <c r="BA83" i="103" s="1"/>
  <c r="BA84" i="103" s="1"/>
  <c r="BA86" i="103" s="1"/>
  <c r="BA87" i="103" s="1"/>
  <c r="BA76" i="103"/>
  <c r="AC89" i="103"/>
  <c r="AD18" i="103" s="1"/>
  <c r="S89" i="103"/>
  <c r="AD35" i="103" s="1"/>
  <c r="BB75" i="103"/>
  <c r="BL54" i="103"/>
  <c r="BF81" i="103"/>
  <c r="BF83" i="103" s="1"/>
  <c r="BF84" i="103" s="1"/>
  <c r="BF86" i="103" s="1"/>
  <c r="BF87" i="103" s="1"/>
  <c r="BF76" i="103"/>
  <c r="L81" i="103"/>
  <c r="L83" i="103" s="1"/>
  <c r="L84" i="103" s="1"/>
  <c r="L86" i="103" s="1"/>
  <c r="L87" i="103" s="1"/>
  <c r="BL50" i="103"/>
  <c r="BE81" i="103"/>
  <c r="BE83" i="103" s="1"/>
  <c r="BE84" i="103" s="1"/>
  <c r="BE86" i="103" s="1"/>
  <c r="BE87" i="103" s="1"/>
  <c r="BE76" i="103"/>
  <c r="Q81" i="103"/>
  <c r="Q83" i="103" s="1"/>
  <c r="Q84" i="103" s="1"/>
  <c r="Q86" i="103" s="1"/>
  <c r="Q87" i="103" s="1"/>
  <c r="Q76" i="103"/>
  <c r="Y35" i="103"/>
  <c r="BG89" i="103"/>
  <c r="AC38" i="103"/>
  <c r="F41" i="103"/>
  <c r="N89" i="103"/>
  <c r="BG75" i="103"/>
  <c r="M81" i="103"/>
  <c r="M83" i="103" s="1"/>
  <c r="M84" i="103" s="1"/>
  <c r="M86" i="103" s="1"/>
  <c r="M87" i="103" s="1"/>
  <c r="M76" i="103"/>
  <c r="AI79" i="127"/>
  <c r="AN79" i="127"/>
  <c r="AI70" i="127"/>
  <c r="AI69" i="127"/>
  <c r="AI68" i="127"/>
  <c r="AI67" i="127"/>
  <c r="AI66" i="127"/>
  <c r="AI65" i="127"/>
  <c r="AN68" i="127"/>
  <c r="AN66" i="127"/>
  <c r="AI71" i="127"/>
  <c r="AN65" i="127"/>
  <c r="AN69" i="127"/>
  <c r="AN67" i="127"/>
  <c r="AN45" i="127"/>
  <c r="AI17" i="127"/>
  <c r="AI16" i="127"/>
  <c r="AN46" i="127"/>
  <c r="AI44" i="127"/>
  <c r="AN42" i="127"/>
  <c r="AN33" i="127"/>
  <c r="AI31" i="127"/>
  <c r="AN29" i="127"/>
  <c r="AI28" i="127"/>
  <c r="AI27" i="127"/>
  <c r="AI26" i="127"/>
  <c r="AN22" i="127"/>
  <c r="AN20" i="127"/>
  <c r="AN19" i="127"/>
  <c r="AN18" i="127"/>
  <c r="AI15" i="127"/>
  <c r="AI14" i="127"/>
  <c r="AI13" i="127"/>
  <c r="AI12" i="127"/>
  <c r="AI55" i="127"/>
  <c r="AN47" i="127"/>
  <c r="AN43" i="127"/>
  <c r="AI46" i="127"/>
  <c r="AN44" i="127"/>
  <c r="AI33" i="127"/>
  <c r="AI29" i="127"/>
  <c r="AN26" i="127"/>
  <c r="AI20" i="127"/>
  <c r="AN13" i="127"/>
  <c r="AN28" i="127"/>
  <c r="AI25" i="127"/>
  <c r="AI22" i="127"/>
  <c r="AI19" i="127"/>
  <c r="AI18" i="127"/>
  <c r="AN14" i="127"/>
  <c r="AN11" i="127"/>
  <c r="AN10" i="127"/>
  <c r="AN9" i="127"/>
  <c r="AN15" i="127"/>
  <c r="AI42" i="127"/>
  <c r="AN31" i="127"/>
  <c r="AN27" i="127"/>
  <c r="AN12" i="127"/>
  <c r="AI11" i="127"/>
  <c r="AI10" i="127"/>
  <c r="AI9" i="127"/>
  <c r="AN17" i="127"/>
  <c r="AN54" i="127"/>
  <c r="AN56" i="127"/>
  <c r="AN57" i="127"/>
  <c r="AI60" i="127"/>
  <c r="AI64" i="127"/>
  <c r="AI61" i="127"/>
  <c r="AN59" i="127"/>
  <c r="AN70" i="127"/>
  <c r="AN21" i="127"/>
  <c r="AI30" i="127"/>
  <c r="AN16" i="127"/>
  <c r="AI23" i="127"/>
  <c r="AN32" i="127"/>
  <c r="AI21" i="127"/>
  <c r="AN23" i="127"/>
  <c r="AN25" i="127"/>
  <c r="AN55" i="127"/>
  <c r="AI56" i="127"/>
  <c r="AI59" i="127"/>
  <c r="AI63" i="127"/>
  <c r="AN58" i="127"/>
  <c r="AN60" i="127"/>
  <c r="AN62" i="127"/>
  <c r="AN64" i="127"/>
  <c r="AI8" i="127"/>
  <c r="AI24" i="127"/>
  <c r="AI54" i="127"/>
  <c r="AN61" i="127"/>
  <c r="AN24" i="127"/>
  <c r="AI47" i="127"/>
  <c r="AI43" i="127"/>
  <c r="AI45" i="127"/>
  <c r="AI57" i="127"/>
  <c r="AI58" i="127"/>
  <c r="AI62" i="127"/>
  <c r="AN71" i="127"/>
  <c r="AN8" i="127"/>
  <c r="AI32" i="127"/>
  <c r="AN30" i="127"/>
  <c r="AN63" i="127"/>
  <c r="AS71" i="127"/>
  <c r="AS74" i="127"/>
  <c r="AS69" i="127"/>
  <c r="AS68" i="127"/>
  <c r="AS67" i="127"/>
  <c r="AS66" i="127"/>
  <c r="AS65" i="127"/>
  <c r="AS79" i="127"/>
  <c r="AS17" i="127"/>
  <c r="AS16" i="127"/>
  <c r="AS44" i="127"/>
  <c r="AS31" i="127"/>
  <c r="AS28" i="127"/>
  <c r="AS27" i="127"/>
  <c r="AS26" i="127"/>
  <c r="AS15" i="127"/>
  <c r="AS14" i="127"/>
  <c r="AS13" i="127"/>
  <c r="AS12" i="127"/>
  <c r="AS42" i="127"/>
  <c r="AS9" i="127"/>
  <c r="AS55" i="127"/>
  <c r="AS46" i="127"/>
  <c r="AS33" i="127"/>
  <c r="AS29" i="127"/>
  <c r="AS20" i="127"/>
  <c r="AS25" i="127"/>
  <c r="AS22" i="127"/>
  <c r="AS19" i="127"/>
  <c r="AS18" i="127"/>
  <c r="AS11" i="127"/>
  <c r="AS10" i="127"/>
  <c r="AS21" i="127"/>
  <c r="AS43" i="127"/>
  <c r="AS58" i="127"/>
  <c r="AS62" i="127"/>
  <c r="AS8" i="127"/>
  <c r="AS23" i="127"/>
  <c r="AS47" i="127"/>
  <c r="AS30" i="127"/>
  <c r="AS59" i="127"/>
  <c r="AS45" i="127"/>
  <c r="AS36" i="127"/>
  <c r="AS54" i="127"/>
  <c r="AS61" i="127"/>
  <c r="AS63" i="127"/>
  <c r="AS24" i="127"/>
  <c r="AS48" i="127"/>
  <c r="AS32" i="127"/>
  <c r="AS60" i="127"/>
  <c r="AS64" i="127"/>
  <c r="AS56" i="127"/>
  <c r="AS57" i="127"/>
  <c r="AS70" i="127"/>
  <c r="AX36" i="127"/>
  <c r="AW75" i="127"/>
  <c r="AW39" i="127"/>
  <c r="AZ8" i="127"/>
  <c r="AZ38" i="127" s="1"/>
  <c r="AG75" i="127"/>
  <c r="AG39" i="127"/>
  <c r="G81" i="127"/>
  <c r="G83" i="127" s="1"/>
  <c r="G84" i="127" s="1"/>
  <c r="G86" i="127" s="1"/>
  <c r="G87" i="127" s="1"/>
  <c r="G76" i="127"/>
  <c r="AR39" i="127"/>
  <c r="AR75" i="127"/>
  <c r="E75" i="127"/>
  <c r="E39" i="127"/>
  <c r="AQ75" i="127"/>
  <c r="AQ39" i="127"/>
  <c r="I89" i="127"/>
  <c r="AX35" i="127" s="1"/>
  <c r="BB31" i="127"/>
  <c r="BA8" i="127"/>
  <c r="BA38" i="127" s="1"/>
  <c r="D81" i="127"/>
  <c r="D83" i="127" s="1"/>
  <c r="D84" i="127" s="1"/>
  <c r="D86" i="127" s="1"/>
  <c r="D87" i="127" s="1"/>
  <c r="D76" i="127"/>
  <c r="BB50" i="127"/>
  <c r="BB41" i="127"/>
  <c r="AH75" i="127"/>
  <c r="AH39" i="127"/>
  <c r="AL75" i="127"/>
  <c r="AL39" i="127"/>
  <c r="AW89" i="127"/>
  <c r="AX8" i="127" s="1"/>
  <c r="AK75" i="127"/>
  <c r="AK39" i="127"/>
  <c r="AI41" i="127"/>
  <c r="AF76" i="127"/>
  <c r="AF81" i="127"/>
  <c r="AF83" i="127" s="1"/>
  <c r="AF84" i="127" s="1"/>
  <c r="AF86" i="127" s="1"/>
  <c r="AF87" i="127" s="1"/>
  <c r="AN41" i="127"/>
  <c r="AS41" i="127"/>
  <c r="H81" i="127"/>
  <c r="H83" i="127" s="1"/>
  <c r="H84" i="127" s="1"/>
  <c r="H86" i="127" s="1"/>
  <c r="H87" i="127" s="1"/>
  <c r="H76" i="127"/>
  <c r="AP81" i="127"/>
  <c r="AP83" i="127" s="1"/>
  <c r="AP84" i="127" s="1"/>
  <c r="AP86" i="127" s="1"/>
  <c r="AP87" i="127" s="1"/>
  <c r="AP76" i="127"/>
  <c r="I38" i="127"/>
  <c r="E89" i="127"/>
  <c r="AV81" i="127"/>
  <c r="AV83" i="127" s="1"/>
  <c r="AV84" i="127" s="1"/>
  <c r="AV86" i="127" s="1"/>
  <c r="AV87" i="127" s="1"/>
  <c r="AV76" i="127"/>
  <c r="AM75" i="127"/>
  <c r="Y50" i="103" l="1"/>
  <c r="N89" i="98"/>
  <c r="O41" i="98" s="1"/>
  <c r="AD54" i="98"/>
  <c r="AI41" i="98"/>
  <c r="AI54" i="98"/>
  <c r="BV8" i="98"/>
  <c r="AI35" i="127"/>
  <c r="Y37" i="127"/>
  <c r="Y34" i="127"/>
  <c r="O37" i="127"/>
  <c r="O34" i="127"/>
  <c r="Y35" i="127"/>
  <c r="O35" i="127"/>
  <c r="O54" i="127"/>
  <c r="AI37" i="103"/>
  <c r="AI34" i="103"/>
  <c r="AI40" i="103"/>
  <c r="AI72" i="103"/>
  <c r="AI36" i="103"/>
  <c r="AI35" i="103"/>
  <c r="AI38" i="103"/>
  <c r="AI39" i="103"/>
  <c r="BT39" i="98"/>
  <c r="BT75" i="98"/>
  <c r="AD41" i="103"/>
  <c r="T30" i="103"/>
  <c r="AD8" i="103"/>
  <c r="BU75" i="98"/>
  <c r="BU39" i="98"/>
  <c r="T38" i="103"/>
  <c r="O8" i="98"/>
  <c r="AN35" i="127"/>
  <c r="T35" i="103"/>
  <c r="Y41" i="103"/>
  <c r="O63" i="98"/>
  <c r="AD41" i="98"/>
  <c r="J8" i="127"/>
  <c r="T39" i="103"/>
  <c r="E89" i="98"/>
  <c r="F8" i="98" s="1"/>
  <c r="E38" i="98"/>
  <c r="AC76" i="98"/>
  <c r="AC81" i="98"/>
  <c r="AC83" i="98" s="1"/>
  <c r="AC84" i="98" s="1"/>
  <c r="AC86" i="98" s="1"/>
  <c r="AC87" i="98" s="1"/>
  <c r="X75" i="98"/>
  <c r="X39" i="98"/>
  <c r="L81" i="98"/>
  <c r="L83" i="98" s="1"/>
  <c r="L84" i="98" s="1"/>
  <c r="L86" i="98" s="1"/>
  <c r="L87" i="98" s="1"/>
  <c r="L76" i="98"/>
  <c r="O29" i="98"/>
  <c r="V81" i="98"/>
  <c r="V83" i="98" s="1"/>
  <c r="V84" i="98" s="1"/>
  <c r="V86" i="98" s="1"/>
  <c r="V87" i="98" s="1"/>
  <c r="V76" i="98"/>
  <c r="D81" i="98"/>
  <c r="D83" i="98" s="1"/>
  <c r="D84" i="98" s="1"/>
  <c r="D86" i="98" s="1"/>
  <c r="D87" i="98" s="1"/>
  <c r="D76" i="98"/>
  <c r="W76" i="98"/>
  <c r="W81" i="98"/>
  <c r="W83" i="98" s="1"/>
  <c r="W84" i="98" s="1"/>
  <c r="W86" i="98" s="1"/>
  <c r="W87" i="98" s="1"/>
  <c r="Y68" i="98"/>
  <c r="Y66" i="98"/>
  <c r="Y63" i="98"/>
  <c r="Y62" i="98"/>
  <c r="Y70" i="98"/>
  <c r="Y72" i="98"/>
  <c r="Y59" i="98"/>
  <c r="Y57" i="98"/>
  <c r="Y55" i="98"/>
  <c r="Y60" i="98"/>
  <c r="Y58" i="98"/>
  <c r="Y56" i="98"/>
  <c r="Y49" i="98"/>
  <c r="Y46" i="98"/>
  <c r="Y44" i="98"/>
  <c r="Y42" i="98"/>
  <c r="Y28" i="98"/>
  <c r="Y25" i="98"/>
  <c r="Y21" i="98"/>
  <c r="Y15" i="98"/>
  <c r="Y13" i="98"/>
  <c r="Y33" i="98"/>
  <c r="Y27" i="98"/>
  <c r="Y24" i="98"/>
  <c r="Y22" i="98"/>
  <c r="Y31" i="98"/>
  <c r="Y18" i="98"/>
  <c r="Y20" i="98"/>
  <c r="Y9" i="98"/>
  <c r="Y19" i="98"/>
  <c r="Y30" i="98"/>
  <c r="Y32" i="98"/>
  <c r="Y52" i="98"/>
  <c r="Y69" i="98"/>
  <c r="Y67" i="98"/>
  <c r="Y61" i="98"/>
  <c r="Y12" i="98"/>
  <c r="Y43" i="98"/>
  <c r="Y45" i="98"/>
  <c r="Y47" i="98"/>
  <c r="Y48" i="98"/>
  <c r="Y17" i="98"/>
  <c r="Y11" i="98"/>
  <c r="Y10" i="98"/>
  <c r="Y14" i="98"/>
  <c r="Y54" i="98"/>
  <c r="Y29" i="98"/>
  <c r="Y16" i="98"/>
  <c r="Y23" i="98"/>
  <c r="Y64" i="98"/>
  <c r="Y65" i="98"/>
  <c r="Y26" i="98"/>
  <c r="Y51" i="98"/>
  <c r="Y71" i="98"/>
  <c r="N81" i="98"/>
  <c r="N83" i="98" s="1"/>
  <c r="N84" i="98" s="1"/>
  <c r="N86" i="98" s="1"/>
  <c r="N87" i="98" s="1"/>
  <c r="N76" i="98"/>
  <c r="S89" i="98"/>
  <c r="T8" i="98" s="1"/>
  <c r="S38" i="98"/>
  <c r="O68" i="98"/>
  <c r="O66" i="98"/>
  <c r="O62" i="98"/>
  <c r="O72" i="98"/>
  <c r="O59" i="98"/>
  <c r="O57" i="98"/>
  <c r="O55" i="98"/>
  <c r="O65" i="98"/>
  <c r="O60" i="98"/>
  <c r="O58" i="98"/>
  <c r="O56" i="98"/>
  <c r="O49" i="98"/>
  <c r="O46" i="98"/>
  <c r="O44" i="98"/>
  <c r="O42" i="98"/>
  <c r="O70" i="98"/>
  <c r="O24" i="98"/>
  <c r="O18" i="98"/>
  <c r="O15" i="98"/>
  <c r="O13" i="98"/>
  <c r="O31" i="98"/>
  <c r="O20" i="98"/>
  <c r="O33" i="98"/>
  <c r="O30" i="98"/>
  <c r="O27" i="98"/>
  <c r="O9" i="98"/>
  <c r="O11" i="98"/>
  <c r="O14" i="98"/>
  <c r="O52" i="98"/>
  <c r="O36" i="98"/>
  <c r="O43" i="98"/>
  <c r="O45" i="98"/>
  <c r="O47" i="98"/>
  <c r="O64" i="98"/>
  <c r="O61" i="98"/>
  <c r="O48" i="98"/>
  <c r="O51" i="98"/>
  <c r="O10" i="98"/>
  <c r="O16" i="98"/>
  <c r="O19" i="98"/>
  <c r="O67" i="98"/>
  <c r="O71" i="98"/>
  <c r="O17" i="98"/>
  <c r="O25" i="98"/>
  <c r="O26" i="98"/>
  <c r="O32" i="98"/>
  <c r="O21" i="98"/>
  <c r="O69" i="98"/>
  <c r="O28" i="98"/>
  <c r="O12" i="98"/>
  <c r="O54" i="98"/>
  <c r="AD72" i="98"/>
  <c r="AD67" i="98"/>
  <c r="AD65" i="98"/>
  <c r="AD64" i="98"/>
  <c r="AD61" i="98"/>
  <c r="AD71" i="98"/>
  <c r="AD69" i="98"/>
  <c r="AD60" i="98"/>
  <c r="AD58" i="98"/>
  <c r="AD56" i="98"/>
  <c r="AD59" i="98"/>
  <c r="AD57" i="98"/>
  <c r="AD55" i="98"/>
  <c r="AD49" i="98"/>
  <c r="AD23" i="98"/>
  <c r="AD22" i="98"/>
  <c r="AD30" i="98"/>
  <c r="AD17" i="98"/>
  <c r="AD14" i="98"/>
  <c r="AD12" i="98"/>
  <c r="AD43" i="98"/>
  <c r="AD29" i="98"/>
  <c r="AD32" i="98"/>
  <c r="AD36" i="98"/>
  <c r="AD26" i="98"/>
  <c r="AD45" i="98"/>
  <c r="AD19" i="98"/>
  <c r="AD10" i="98"/>
  <c r="AD24" i="98"/>
  <c r="AD33" i="98"/>
  <c r="AD63" i="98"/>
  <c r="AD68" i="98"/>
  <c r="AD8" i="98"/>
  <c r="AD25" i="98"/>
  <c r="AD44" i="98"/>
  <c r="AD27" i="98"/>
  <c r="AD47" i="98"/>
  <c r="AD52" i="98"/>
  <c r="AC92" i="98"/>
  <c r="AD9" i="98"/>
  <c r="AD15" i="98"/>
  <c r="AD20" i="98"/>
  <c r="AD13" i="98"/>
  <c r="AD28" i="98"/>
  <c r="AD31" i="98"/>
  <c r="AD48" i="98"/>
  <c r="AD70" i="98"/>
  <c r="AD66" i="98"/>
  <c r="AD16" i="98"/>
  <c r="AD11" i="98"/>
  <c r="AD18" i="98"/>
  <c r="AD21" i="98"/>
  <c r="AD51" i="98"/>
  <c r="AD42" i="98"/>
  <c r="AD46" i="98"/>
  <c r="AD62" i="98"/>
  <c r="Y8" i="98"/>
  <c r="O62" i="103"/>
  <c r="O60" i="103"/>
  <c r="O72" i="103"/>
  <c r="O59" i="103"/>
  <c r="O55" i="103"/>
  <c r="O52" i="103"/>
  <c r="O49" i="103"/>
  <c r="O48" i="103"/>
  <c r="O46" i="103"/>
  <c r="O44" i="103"/>
  <c r="O42" i="103"/>
  <c r="O33" i="103"/>
  <c r="O31" i="103"/>
  <c r="O61" i="103"/>
  <c r="O57" i="103"/>
  <c r="O23" i="103"/>
  <c r="O20" i="103"/>
  <c r="O15" i="103"/>
  <c r="O21" i="103"/>
  <c r="O19" i="103"/>
  <c r="O16" i="103"/>
  <c r="O14" i="103"/>
  <c r="O12" i="103"/>
  <c r="O10" i="103"/>
  <c r="O54" i="103"/>
  <c r="O29" i="103"/>
  <c r="O24" i="103"/>
  <c r="O32" i="103"/>
  <c r="O30" i="103"/>
  <c r="O13" i="103"/>
  <c r="O9" i="103"/>
  <c r="O8" i="103"/>
  <c r="O11" i="103"/>
  <c r="O25" i="103"/>
  <c r="O18" i="103"/>
  <c r="O36" i="103"/>
  <c r="O65" i="103"/>
  <c r="O63" i="103"/>
  <c r="O22" i="103"/>
  <c r="O26" i="103"/>
  <c r="O43" i="103"/>
  <c r="O51" i="103"/>
  <c r="O45" i="103"/>
  <c r="O58" i="103"/>
  <c r="O64" i="103"/>
  <c r="O68" i="103"/>
  <c r="O69" i="103"/>
  <c r="O28" i="103"/>
  <c r="O27" i="103"/>
  <c r="O17" i="103"/>
  <c r="O47" i="103"/>
  <c r="O70" i="103"/>
  <c r="O71" i="103"/>
  <c r="O56" i="103"/>
  <c r="O67" i="103"/>
  <c r="O66" i="103"/>
  <c r="BB81" i="103"/>
  <c r="BB76" i="103"/>
  <c r="E81" i="103"/>
  <c r="E83" i="103" s="1"/>
  <c r="E84" i="103" s="1"/>
  <c r="E86" i="103" s="1"/>
  <c r="E87" i="103" s="1"/>
  <c r="E76" i="103"/>
  <c r="F61" i="103"/>
  <c r="F59" i="103"/>
  <c r="F51" i="103"/>
  <c r="F47" i="103"/>
  <c r="F45" i="103"/>
  <c r="F43" i="103"/>
  <c r="F62" i="103"/>
  <c r="F58" i="103"/>
  <c r="F32" i="103"/>
  <c r="F60" i="103"/>
  <c r="F54" i="103"/>
  <c r="F21" i="103"/>
  <c r="F33" i="103"/>
  <c r="F24" i="103"/>
  <c r="F20" i="103"/>
  <c r="F15" i="103"/>
  <c r="F13" i="103"/>
  <c r="F11" i="103"/>
  <c r="F9" i="103"/>
  <c r="F31" i="103"/>
  <c r="F56" i="103"/>
  <c r="F19" i="103"/>
  <c r="F16" i="103"/>
  <c r="F12" i="103"/>
  <c r="F14" i="103"/>
  <c r="F10" i="103"/>
  <c r="F27" i="103"/>
  <c r="F18" i="103"/>
  <c r="F52" i="103"/>
  <c r="F35" i="103"/>
  <c r="F82" i="103"/>
  <c r="F64" i="103"/>
  <c r="F67" i="103"/>
  <c r="F72" i="103"/>
  <c r="F85" i="103"/>
  <c r="F8" i="103"/>
  <c r="F44" i="103"/>
  <c r="F28" i="103"/>
  <c r="F48" i="103"/>
  <c r="F55" i="103"/>
  <c r="F63" i="103"/>
  <c r="F68" i="103"/>
  <c r="F71" i="103"/>
  <c r="F26" i="103"/>
  <c r="F17" i="103"/>
  <c r="F25" i="103"/>
  <c r="F30" i="103"/>
  <c r="F36" i="103"/>
  <c r="F42" i="103"/>
  <c r="F29" i="103"/>
  <c r="F46" i="103"/>
  <c r="F66" i="103"/>
  <c r="F69" i="103"/>
  <c r="F73" i="103"/>
  <c r="F57" i="103"/>
  <c r="F79" i="103"/>
  <c r="F65" i="103"/>
  <c r="F70" i="103"/>
  <c r="T41" i="103"/>
  <c r="T8" i="103"/>
  <c r="AD79" i="103"/>
  <c r="AD61" i="103"/>
  <c r="AD51" i="103"/>
  <c r="AD47" i="103"/>
  <c r="AD45" i="103"/>
  <c r="AD43" i="103"/>
  <c r="AD60" i="103"/>
  <c r="AD56" i="103"/>
  <c r="AD49" i="103"/>
  <c r="AD32" i="103"/>
  <c r="AD62" i="103"/>
  <c r="AD19" i="103"/>
  <c r="AD58" i="103"/>
  <c r="AD54" i="103"/>
  <c r="AD31" i="103"/>
  <c r="AD24" i="103"/>
  <c r="AD23" i="103"/>
  <c r="AD20" i="103"/>
  <c r="AD15" i="103"/>
  <c r="AD13" i="103"/>
  <c r="AD11" i="103"/>
  <c r="AD9" i="103"/>
  <c r="AD33" i="103"/>
  <c r="AD28" i="103"/>
  <c r="AD53" i="103"/>
  <c r="AD21" i="103"/>
  <c r="AD14" i="103"/>
  <c r="AD10" i="103"/>
  <c r="AD12" i="103"/>
  <c r="AD17" i="103"/>
  <c r="AD59" i="103"/>
  <c r="AD25" i="103"/>
  <c r="AD27" i="103"/>
  <c r="AD29" i="103"/>
  <c r="AD42" i="103"/>
  <c r="AD30" i="103"/>
  <c r="AD52" i="103"/>
  <c r="AD26" i="103"/>
  <c r="AD46" i="103"/>
  <c r="AD65" i="103"/>
  <c r="AD70" i="103"/>
  <c r="AD66" i="103"/>
  <c r="AD69" i="103"/>
  <c r="AD22" i="103"/>
  <c r="AC94" i="103"/>
  <c r="AD16" i="103"/>
  <c r="AD48" i="103"/>
  <c r="AD44" i="103"/>
  <c r="AD55" i="103"/>
  <c r="AD64" i="103"/>
  <c r="AD67" i="103"/>
  <c r="AD63" i="103"/>
  <c r="AD68" i="103"/>
  <c r="AD71" i="103"/>
  <c r="AD57" i="103"/>
  <c r="Y39" i="103"/>
  <c r="Y79" i="103"/>
  <c r="Y62" i="103"/>
  <c r="Y60" i="103"/>
  <c r="Y52" i="103"/>
  <c r="Y48" i="103"/>
  <c r="Y46" i="103"/>
  <c r="Y44" i="103"/>
  <c r="Y42" i="103"/>
  <c r="Y59" i="103"/>
  <c r="Y55" i="103"/>
  <c r="Y33" i="103"/>
  <c r="Y31" i="103"/>
  <c r="Y57" i="103"/>
  <c r="Y24" i="103"/>
  <c r="Y26" i="103"/>
  <c r="Y25" i="103"/>
  <c r="Y21" i="103"/>
  <c r="Y19" i="103"/>
  <c r="Y16" i="103"/>
  <c r="Y14" i="103"/>
  <c r="Y12" i="103"/>
  <c r="Y10" i="103"/>
  <c r="Y32" i="103"/>
  <c r="Y20" i="103"/>
  <c r="Y61" i="103"/>
  <c r="Y23" i="103"/>
  <c r="Y15" i="103"/>
  <c r="Y13" i="103"/>
  <c r="Y9" i="103"/>
  <c r="Y11" i="103"/>
  <c r="Y8" i="103"/>
  <c r="Y51" i="103"/>
  <c r="Y17" i="103"/>
  <c r="Y63" i="103"/>
  <c r="Y43" i="103"/>
  <c r="X94" i="103"/>
  <c r="Y58" i="103"/>
  <c r="Y71" i="103"/>
  <c r="Y66" i="103"/>
  <c r="Y67" i="103"/>
  <c r="Y27" i="103"/>
  <c r="Y29" i="103"/>
  <c r="Y45" i="103"/>
  <c r="Y47" i="103"/>
  <c r="Y18" i="103"/>
  <c r="Y30" i="103"/>
  <c r="Y70" i="103"/>
  <c r="Y28" i="103"/>
  <c r="Y22" i="103"/>
  <c r="Y56" i="103"/>
  <c r="Y68" i="103"/>
  <c r="Y78" i="103"/>
  <c r="Y64" i="103"/>
  <c r="Y65" i="103"/>
  <c r="Y69" i="103"/>
  <c r="F50" i="103"/>
  <c r="S81" i="103"/>
  <c r="S83" i="103" s="1"/>
  <c r="S84" i="103" s="1"/>
  <c r="S86" i="103" s="1"/>
  <c r="S87" i="103" s="1"/>
  <c r="S76" i="103"/>
  <c r="BC80" i="103"/>
  <c r="BC78" i="103"/>
  <c r="BH80" i="103"/>
  <c r="BC82" i="103"/>
  <c r="BH85" i="103"/>
  <c r="BH82" i="103"/>
  <c r="BC85" i="103"/>
  <c r="BC77" i="103"/>
  <c r="C81" i="103"/>
  <c r="C83" i="103" s="1"/>
  <c r="C84" i="103" s="1"/>
  <c r="C86" i="103" s="1"/>
  <c r="C87" i="103" s="1"/>
  <c r="C76" i="103"/>
  <c r="BH79" i="103"/>
  <c r="BH61" i="103"/>
  <c r="BH60" i="103"/>
  <c r="BH56" i="103"/>
  <c r="BH47" i="103"/>
  <c r="BH45" i="103"/>
  <c r="BH43" i="103"/>
  <c r="BH32" i="103"/>
  <c r="BH62" i="103"/>
  <c r="BH58" i="103"/>
  <c r="BH31" i="103"/>
  <c r="BH23" i="103"/>
  <c r="BH20" i="103"/>
  <c r="BH18" i="103"/>
  <c r="BH15" i="103"/>
  <c r="BH13" i="103"/>
  <c r="BH11" i="103"/>
  <c r="BH9" i="103"/>
  <c r="BH54" i="103"/>
  <c r="BH19" i="103"/>
  <c r="BH33" i="103"/>
  <c r="BH21" i="103"/>
  <c r="BH14" i="103"/>
  <c r="BH10" i="103"/>
  <c r="BH8" i="103"/>
  <c r="BH12" i="103"/>
  <c r="BH26" i="103"/>
  <c r="BH22" i="103"/>
  <c r="BH69" i="103"/>
  <c r="BH65" i="103"/>
  <c r="BH24" i="103"/>
  <c r="BH28" i="103"/>
  <c r="BH29" i="103"/>
  <c r="BH55" i="103"/>
  <c r="BH27" i="103"/>
  <c r="BH16" i="103"/>
  <c r="BH46" i="103"/>
  <c r="BH44" i="103"/>
  <c r="BH30" i="103"/>
  <c r="BH66" i="103"/>
  <c r="BH70" i="103"/>
  <c r="BH25" i="103"/>
  <c r="BH17" i="103"/>
  <c r="BH48" i="103"/>
  <c r="BH57" i="103"/>
  <c r="BH64" i="103"/>
  <c r="BH63" i="103"/>
  <c r="BH71" i="103"/>
  <c r="BH77" i="103"/>
  <c r="BH67" i="103"/>
  <c r="BH42" i="103"/>
  <c r="BH59" i="103"/>
  <c r="BH78" i="103"/>
  <c r="BH68" i="103"/>
  <c r="X81" i="103"/>
  <c r="X83" i="103" s="1"/>
  <c r="X84" i="103" s="1"/>
  <c r="X86" i="103" s="1"/>
  <c r="X87" i="103" s="1"/>
  <c r="X76" i="103"/>
  <c r="BK81" i="103"/>
  <c r="BK83" i="103" s="1"/>
  <c r="BK84" i="103" s="1"/>
  <c r="BK86" i="103" s="1"/>
  <c r="BK87" i="103" s="1"/>
  <c r="BK76" i="103"/>
  <c r="BG76" i="103"/>
  <c r="BG81" i="103"/>
  <c r="BJ39" i="103"/>
  <c r="BJ75" i="103"/>
  <c r="BL38" i="103"/>
  <c r="AC75" i="103"/>
  <c r="AD38" i="103"/>
  <c r="AC39" i="103"/>
  <c r="AD39" i="103" s="1"/>
  <c r="BH41" i="103"/>
  <c r="AD72" i="103"/>
  <c r="Y72" i="103"/>
  <c r="T72" i="103"/>
  <c r="T61" i="103"/>
  <c r="T60" i="103"/>
  <c r="T56" i="103"/>
  <c r="Y53" i="103"/>
  <c r="T51" i="103"/>
  <c r="T47" i="103"/>
  <c r="T45" i="103"/>
  <c r="T43" i="103"/>
  <c r="AD40" i="103"/>
  <c r="AD34" i="103"/>
  <c r="T53" i="103"/>
  <c r="Y40" i="103"/>
  <c r="AD37" i="103"/>
  <c r="Y34" i="103"/>
  <c r="T32" i="103"/>
  <c r="T62" i="103"/>
  <c r="T58" i="103"/>
  <c r="Y49" i="103"/>
  <c r="T40" i="103"/>
  <c r="Y37" i="103"/>
  <c r="T34" i="103"/>
  <c r="T31" i="103"/>
  <c r="T23" i="103"/>
  <c r="T37" i="103"/>
  <c r="T24" i="103"/>
  <c r="T20" i="103"/>
  <c r="T15" i="103"/>
  <c r="T13" i="103"/>
  <c r="T11" i="103"/>
  <c r="T9" i="103"/>
  <c r="T21" i="103"/>
  <c r="T19" i="103"/>
  <c r="T16" i="103"/>
  <c r="T49" i="103"/>
  <c r="T33" i="103"/>
  <c r="T14" i="103"/>
  <c r="T10" i="103"/>
  <c r="T12" i="103"/>
  <c r="T28" i="103"/>
  <c r="T26" i="103"/>
  <c r="T29" i="103"/>
  <c r="AD36" i="103"/>
  <c r="T46" i="103"/>
  <c r="T44" i="103"/>
  <c r="T59" i="103"/>
  <c r="T66" i="103"/>
  <c r="T70" i="103"/>
  <c r="T17" i="103"/>
  <c r="T18" i="103"/>
  <c r="T36" i="103"/>
  <c r="T42" i="103"/>
  <c r="T25" i="103"/>
  <c r="T22" i="103"/>
  <c r="T52" i="103"/>
  <c r="T48" i="103"/>
  <c r="T55" i="103"/>
  <c r="T57" i="103"/>
  <c r="T69" i="103"/>
  <c r="T65" i="103"/>
  <c r="T27" i="103"/>
  <c r="Y36" i="103"/>
  <c r="T67" i="103"/>
  <c r="T68" i="103"/>
  <c r="T64" i="103"/>
  <c r="T63" i="103"/>
  <c r="T71" i="103"/>
  <c r="N81" i="103"/>
  <c r="N83" i="103" s="1"/>
  <c r="N84" i="103" s="1"/>
  <c r="N86" i="103" s="1"/>
  <c r="N87" i="103" s="1"/>
  <c r="N76" i="103"/>
  <c r="Y38" i="103"/>
  <c r="AA81" i="103"/>
  <c r="AA83" i="103" s="1"/>
  <c r="AA84" i="103" s="1"/>
  <c r="AA86" i="103" s="1"/>
  <c r="AA87" i="103" s="1"/>
  <c r="AA76" i="103"/>
  <c r="BC79" i="103"/>
  <c r="BC62" i="103"/>
  <c r="BC60" i="103"/>
  <c r="BC59" i="103"/>
  <c r="BC55" i="103"/>
  <c r="BC48" i="103"/>
  <c r="BC46" i="103"/>
  <c r="BC44" i="103"/>
  <c r="BC42" i="103"/>
  <c r="BC33" i="103"/>
  <c r="BC31" i="103"/>
  <c r="BC61" i="103"/>
  <c r="BC57" i="103"/>
  <c r="BC23" i="103"/>
  <c r="BC54" i="103"/>
  <c r="BC21" i="103"/>
  <c r="BC19" i="103"/>
  <c r="BC14" i="103"/>
  <c r="BC12" i="103"/>
  <c r="BC10" i="103"/>
  <c r="BC20" i="103"/>
  <c r="BC18" i="103"/>
  <c r="BC15" i="103"/>
  <c r="BC32" i="103"/>
  <c r="BC29" i="103"/>
  <c r="BC13" i="103"/>
  <c r="BC9" i="103"/>
  <c r="BC11" i="103"/>
  <c r="BC8" i="103"/>
  <c r="BC25" i="103"/>
  <c r="BC43" i="103"/>
  <c r="BC45" i="103"/>
  <c r="BC64" i="103"/>
  <c r="BC68" i="103"/>
  <c r="BC69" i="103"/>
  <c r="BC27" i="103"/>
  <c r="BC47" i="103"/>
  <c r="BC26" i="103"/>
  <c r="BC28" i="103"/>
  <c r="BC30" i="103"/>
  <c r="BC56" i="103"/>
  <c r="BC65" i="103"/>
  <c r="BC63" i="103"/>
  <c r="BC24" i="103"/>
  <c r="BC22" i="103"/>
  <c r="BC16" i="103"/>
  <c r="BC17" i="103"/>
  <c r="BC58" i="103"/>
  <c r="BC66" i="103"/>
  <c r="BC70" i="103"/>
  <c r="BC71" i="103"/>
  <c r="BC67" i="103"/>
  <c r="AD50" i="103"/>
  <c r="T54" i="103"/>
  <c r="T50" i="103"/>
  <c r="AM81" i="127"/>
  <c r="AM83" i="127" s="1"/>
  <c r="AM84" i="127" s="1"/>
  <c r="AM86" i="127" s="1"/>
  <c r="AM87" i="127" s="1"/>
  <c r="AM76" i="127"/>
  <c r="AW76" i="127"/>
  <c r="AW81" i="127"/>
  <c r="AW83" i="127" s="1"/>
  <c r="AW84" i="127" s="1"/>
  <c r="AW86" i="127" s="1"/>
  <c r="AW87" i="127" s="1"/>
  <c r="BB8" i="127"/>
  <c r="F72" i="127"/>
  <c r="F85" i="127"/>
  <c r="F70" i="127"/>
  <c r="F69" i="127"/>
  <c r="F68" i="127"/>
  <c r="F67" i="127"/>
  <c r="F66" i="127"/>
  <c r="F56" i="127"/>
  <c r="F82" i="127"/>
  <c r="F23" i="127"/>
  <c r="F18" i="127"/>
  <c r="F17" i="127"/>
  <c r="F48" i="127"/>
  <c r="F44" i="127"/>
  <c r="F32" i="127"/>
  <c r="F29" i="127"/>
  <c r="F28" i="127"/>
  <c r="F27" i="127"/>
  <c r="F16" i="127"/>
  <c r="F15" i="127"/>
  <c r="F14" i="127"/>
  <c r="F13" i="127"/>
  <c r="F52" i="127"/>
  <c r="F42" i="127"/>
  <c r="F21" i="127"/>
  <c r="F10" i="127"/>
  <c r="F9" i="127"/>
  <c r="F46" i="127"/>
  <c r="F36" i="127"/>
  <c r="F30" i="127"/>
  <c r="F20" i="127"/>
  <c r="F55" i="127"/>
  <c r="F35" i="127"/>
  <c r="F26" i="127"/>
  <c r="F22" i="127"/>
  <c r="F19" i="127"/>
  <c r="F12" i="127"/>
  <c r="F11" i="127"/>
  <c r="F24" i="127"/>
  <c r="F31" i="127"/>
  <c r="F60" i="127"/>
  <c r="F64" i="127"/>
  <c r="F51" i="127"/>
  <c r="F57" i="127"/>
  <c r="F45" i="127"/>
  <c r="F54" i="127"/>
  <c r="F8" i="127"/>
  <c r="F25" i="127"/>
  <c r="F47" i="127"/>
  <c r="F59" i="127"/>
  <c r="F63" i="127"/>
  <c r="F73" i="127"/>
  <c r="F33" i="127"/>
  <c r="F79" i="127"/>
  <c r="F71" i="127"/>
  <c r="F43" i="127"/>
  <c r="F58" i="127"/>
  <c r="F62" i="127"/>
  <c r="F61" i="127"/>
  <c r="F65" i="127"/>
  <c r="AG81" i="127"/>
  <c r="AG83" i="127" s="1"/>
  <c r="AG84" i="127" s="1"/>
  <c r="AG86" i="127" s="1"/>
  <c r="AG87" i="127" s="1"/>
  <c r="AG76" i="127"/>
  <c r="I75" i="127"/>
  <c r="I39" i="127"/>
  <c r="AH81" i="127"/>
  <c r="AH83" i="127" s="1"/>
  <c r="AH84" i="127" s="1"/>
  <c r="AH86" i="127" s="1"/>
  <c r="AH87" i="127" s="1"/>
  <c r="AH76" i="127"/>
  <c r="AS35" i="127"/>
  <c r="AZ75" i="127"/>
  <c r="AZ81" i="127" s="1"/>
  <c r="AZ39" i="127"/>
  <c r="AX79" i="127"/>
  <c r="AX78" i="127"/>
  <c r="AX68" i="127"/>
  <c r="AX66" i="127"/>
  <c r="AX48" i="127"/>
  <c r="AX65" i="127"/>
  <c r="AX45" i="127"/>
  <c r="AX41" i="127"/>
  <c r="AX67" i="127"/>
  <c r="AX46" i="127"/>
  <c r="AX42" i="127"/>
  <c r="AX33" i="127"/>
  <c r="AX29" i="127"/>
  <c r="AX22" i="127"/>
  <c r="AX20" i="127"/>
  <c r="AX19" i="127"/>
  <c r="AX18" i="127"/>
  <c r="AX69" i="127"/>
  <c r="AX47" i="127"/>
  <c r="AX43" i="127"/>
  <c r="AX31" i="127"/>
  <c r="AX27" i="127"/>
  <c r="AX12" i="127"/>
  <c r="AX44" i="127"/>
  <c r="AX26" i="127"/>
  <c r="AX13" i="127"/>
  <c r="AX11" i="127"/>
  <c r="AX10" i="127"/>
  <c r="AX9" i="127"/>
  <c r="AX28" i="127"/>
  <c r="AX14" i="127"/>
  <c r="AX15" i="127"/>
  <c r="AX24" i="127"/>
  <c r="AX54" i="127"/>
  <c r="AX59" i="127"/>
  <c r="AX63" i="127"/>
  <c r="AX70" i="127"/>
  <c r="AX74" i="127"/>
  <c r="AX16" i="127"/>
  <c r="AX23" i="127"/>
  <c r="AX21" i="127"/>
  <c r="AX60" i="127"/>
  <c r="AX64" i="127"/>
  <c r="AX57" i="127"/>
  <c r="AX58" i="127"/>
  <c r="AX62" i="127"/>
  <c r="AX71" i="127"/>
  <c r="AX77" i="127"/>
  <c r="AX56" i="127"/>
  <c r="AX17" i="127"/>
  <c r="AX30" i="127"/>
  <c r="AX32" i="127"/>
  <c r="AX25" i="127"/>
  <c r="AX61" i="127"/>
  <c r="AX55" i="127"/>
  <c r="AX73" i="127"/>
  <c r="BA75" i="127"/>
  <c r="BA81" i="127" s="1"/>
  <c r="BA39" i="127"/>
  <c r="E76" i="127"/>
  <c r="E81" i="127"/>
  <c r="E83" i="127" s="1"/>
  <c r="E84" i="127" s="1"/>
  <c r="E86" i="127" s="1"/>
  <c r="E87" i="127" s="1"/>
  <c r="F41" i="127"/>
  <c r="AK76" i="127"/>
  <c r="AK81" i="127"/>
  <c r="AK83" i="127" s="1"/>
  <c r="AK84" i="127" s="1"/>
  <c r="AK86" i="127" s="1"/>
  <c r="AK87" i="127" s="1"/>
  <c r="AL76" i="127"/>
  <c r="AL81" i="127"/>
  <c r="AL83" i="127" s="1"/>
  <c r="AL84" i="127" s="1"/>
  <c r="AL86" i="127" s="1"/>
  <c r="AL87" i="127" s="1"/>
  <c r="J70" i="127"/>
  <c r="J68" i="127"/>
  <c r="J66" i="127"/>
  <c r="AI37" i="127"/>
  <c r="J45" i="127"/>
  <c r="AS37" i="127"/>
  <c r="AI34" i="127"/>
  <c r="J34" i="127"/>
  <c r="J46" i="127"/>
  <c r="J42" i="127"/>
  <c r="AN37" i="127"/>
  <c r="J37" i="127"/>
  <c r="J36" i="127"/>
  <c r="AX34" i="127"/>
  <c r="J30" i="127"/>
  <c r="J22" i="127"/>
  <c r="J21" i="127"/>
  <c r="J20" i="127"/>
  <c r="J19" i="127"/>
  <c r="J67" i="127"/>
  <c r="J47" i="127"/>
  <c r="J43" i="127"/>
  <c r="J41" i="127"/>
  <c r="AS34" i="127"/>
  <c r="AN34" i="127"/>
  <c r="J29" i="127"/>
  <c r="J27" i="127"/>
  <c r="J16" i="127"/>
  <c r="J69" i="127"/>
  <c r="J44" i="127"/>
  <c r="J13" i="127"/>
  <c r="J12" i="127"/>
  <c r="J11" i="127"/>
  <c r="J10" i="127"/>
  <c r="J9" i="127"/>
  <c r="J48" i="127"/>
  <c r="AX37" i="127"/>
  <c r="J35" i="127"/>
  <c r="J28" i="127"/>
  <c r="J14" i="127"/>
  <c r="J32" i="127"/>
  <c r="J15" i="127"/>
  <c r="J17" i="127"/>
  <c r="J25" i="127"/>
  <c r="J31" i="127"/>
  <c r="J71" i="127"/>
  <c r="J61" i="127"/>
  <c r="J65" i="127"/>
  <c r="J33" i="127"/>
  <c r="J26" i="127"/>
  <c r="J57" i="127"/>
  <c r="J58" i="127"/>
  <c r="J23" i="127"/>
  <c r="J60" i="127"/>
  <c r="J64" i="127"/>
  <c r="J62" i="127"/>
  <c r="J18" i="127"/>
  <c r="J24" i="127"/>
  <c r="J55" i="127"/>
  <c r="J56" i="127"/>
  <c r="J59" i="127"/>
  <c r="J63" i="127"/>
  <c r="J74" i="127"/>
  <c r="J54" i="127"/>
  <c r="AQ81" i="127"/>
  <c r="AQ83" i="127" s="1"/>
  <c r="AQ84" i="127" s="1"/>
  <c r="AQ86" i="127" s="1"/>
  <c r="AQ87" i="127" s="1"/>
  <c r="AQ76" i="127"/>
  <c r="AR76" i="127"/>
  <c r="AR81" i="127"/>
  <c r="AR83" i="127" s="1"/>
  <c r="AR84" i="127" s="1"/>
  <c r="AR86" i="127" s="1"/>
  <c r="AR87" i="127" s="1"/>
  <c r="F50" i="127"/>
  <c r="BT81" i="98" l="1"/>
  <c r="BT83" i="98" s="1"/>
  <c r="BT84" i="98" s="1"/>
  <c r="BT86" i="98" s="1"/>
  <c r="BT87" i="98" s="1"/>
  <c r="BT76" i="98"/>
  <c r="BV89" i="98"/>
  <c r="BW8" i="98" s="1"/>
  <c r="BV38" i="98"/>
  <c r="BU76" i="98"/>
  <c r="BU81" i="98"/>
  <c r="BU83" i="98" s="1"/>
  <c r="BU84" i="98" s="1"/>
  <c r="BU86" i="98" s="1"/>
  <c r="BU87" i="98" s="1"/>
  <c r="S75" i="98"/>
  <c r="S39" i="98"/>
  <c r="E75" i="98"/>
  <c r="E39" i="98"/>
  <c r="X81" i="98"/>
  <c r="X83" i="98" s="1"/>
  <c r="X84" i="98" s="1"/>
  <c r="X86" i="98" s="1"/>
  <c r="X87" i="98" s="1"/>
  <c r="X76" i="98"/>
  <c r="T72" i="98"/>
  <c r="T67" i="98"/>
  <c r="T64" i="98"/>
  <c r="T61" i="98"/>
  <c r="T71" i="98"/>
  <c r="T69" i="98"/>
  <c r="T60" i="98"/>
  <c r="T58" i="98"/>
  <c r="T56" i="98"/>
  <c r="T59" i="98"/>
  <c r="T57" i="98"/>
  <c r="T55" i="98"/>
  <c r="T49" i="98"/>
  <c r="T45" i="98"/>
  <c r="T43" i="98"/>
  <c r="T17" i="98"/>
  <c r="T14" i="98"/>
  <c r="T36" i="98"/>
  <c r="T26" i="98"/>
  <c r="T32" i="98"/>
  <c r="T16" i="98"/>
  <c r="T19" i="98"/>
  <c r="T10" i="98"/>
  <c r="T29" i="98"/>
  <c r="T15" i="98"/>
  <c r="T13" i="98"/>
  <c r="T30" i="98"/>
  <c r="T33" i="98"/>
  <c r="T47" i="98"/>
  <c r="T48" i="98"/>
  <c r="T51" i="98"/>
  <c r="T62" i="98"/>
  <c r="T70" i="98"/>
  <c r="T20" i="98"/>
  <c r="T63" i="98"/>
  <c r="T9" i="98"/>
  <c r="T12" i="98"/>
  <c r="T25" i="98"/>
  <c r="T23" i="98"/>
  <c r="T27" i="98"/>
  <c r="T52" i="98"/>
  <c r="T68" i="98"/>
  <c r="T11" i="98"/>
  <c r="Y36" i="98"/>
  <c r="T21" i="98"/>
  <c r="T42" i="98"/>
  <c r="T44" i="98"/>
  <c r="T46" i="98"/>
  <c r="T66" i="98"/>
  <c r="T65" i="98"/>
  <c r="T31" i="98"/>
  <c r="T28" i="98"/>
  <c r="T54" i="98"/>
  <c r="T18" i="98"/>
  <c r="T22" i="98"/>
  <c r="T24" i="98"/>
  <c r="T41" i="98"/>
  <c r="F72" i="98"/>
  <c r="F67" i="98"/>
  <c r="F64" i="98"/>
  <c r="F63" i="98"/>
  <c r="F61" i="98"/>
  <c r="F73" i="98"/>
  <c r="F60" i="98"/>
  <c r="F58" i="98"/>
  <c r="F56" i="98"/>
  <c r="F69" i="98"/>
  <c r="F59" i="98"/>
  <c r="F57" i="98"/>
  <c r="F55" i="98"/>
  <c r="F71" i="98"/>
  <c r="F47" i="98"/>
  <c r="F45" i="98"/>
  <c r="F43" i="98"/>
  <c r="F41" i="98"/>
  <c r="F29" i="98"/>
  <c r="F26" i="98"/>
  <c r="F23" i="98"/>
  <c r="F22" i="98"/>
  <c r="F17" i="98"/>
  <c r="F16" i="98"/>
  <c r="F14" i="98"/>
  <c r="F32" i="98"/>
  <c r="F25" i="98"/>
  <c r="F21" i="98"/>
  <c r="F19" i="98"/>
  <c r="F36" i="98"/>
  <c r="F12" i="98"/>
  <c r="F9" i="98"/>
  <c r="F42" i="98"/>
  <c r="F52" i="98"/>
  <c r="F70" i="98"/>
  <c r="F82" i="98"/>
  <c r="F30" i="98"/>
  <c r="F35" i="98"/>
  <c r="F68" i="98"/>
  <c r="F46" i="98"/>
  <c r="F15" i="98"/>
  <c r="F27" i="98"/>
  <c r="F33" i="98"/>
  <c r="F11" i="98"/>
  <c r="F31" i="98"/>
  <c r="F13" i="98"/>
  <c r="F24" i="98"/>
  <c r="F44" i="98"/>
  <c r="F48" i="98"/>
  <c r="F51" i="98"/>
  <c r="F65" i="98"/>
  <c r="F66" i="98"/>
  <c r="F79" i="98"/>
  <c r="F85" i="98"/>
  <c r="F10" i="98"/>
  <c r="F20" i="98"/>
  <c r="F18" i="98"/>
  <c r="F54" i="98"/>
  <c r="F62" i="98"/>
  <c r="F28" i="98"/>
  <c r="F50" i="98"/>
  <c r="AC81" i="103"/>
  <c r="AC83" i="103" s="1"/>
  <c r="AC84" i="103" s="1"/>
  <c r="AC86" i="103" s="1"/>
  <c r="AC87" i="103" s="1"/>
  <c r="AC76" i="103"/>
  <c r="BG83" i="103"/>
  <c r="BH81" i="103"/>
  <c r="BJ81" i="103"/>
  <c r="BJ83" i="103" s="1"/>
  <c r="BJ84" i="103" s="1"/>
  <c r="BJ86" i="103" s="1"/>
  <c r="BJ87" i="103" s="1"/>
  <c r="BJ76" i="103"/>
  <c r="BB83" i="103"/>
  <c r="BC81" i="103"/>
  <c r="BL75" i="103"/>
  <c r="BL39" i="103"/>
  <c r="BA83" i="127"/>
  <c r="BA84" i="127" s="1"/>
  <c r="BA86" i="127" s="1"/>
  <c r="BA87" i="127" s="1"/>
  <c r="BA76" i="127"/>
  <c r="AZ76" i="127"/>
  <c r="AZ83" i="127"/>
  <c r="AZ84" i="127" s="1"/>
  <c r="AZ86" i="127" s="1"/>
  <c r="AZ87" i="127" s="1"/>
  <c r="BB38" i="127"/>
  <c r="I76" i="127"/>
  <c r="I81" i="127"/>
  <c r="I83" i="127" s="1"/>
  <c r="I84" i="127" s="1"/>
  <c r="I86" i="127" s="1"/>
  <c r="I87" i="127" s="1"/>
  <c r="BW49" i="98" l="1"/>
  <c r="BW27" i="98"/>
  <c r="BW11" i="98"/>
  <c r="BW70" i="98"/>
  <c r="BW58" i="98"/>
  <c r="BW60" i="98"/>
  <c r="BW17" i="98"/>
  <c r="BW67" i="98"/>
  <c r="BW55" i="98"/>
  <c r="BW57" i="98"/>
  <c r="BW51" i="98"/>
  <c r="BW61" i="98"/>
  <c r="BW13" i="98"/>
  <c r="BW36" i="98"/>
  <c r="BW31" i="98"/>
  <c r="BW72" i="98"/>
  <c r="BW9" i="98"/>
  <c r="BW32" i="98"/>
  <c r="BW59" i="98"/>
  <c r="BW52" i="98"/>
  <c r="BW56" i="98"/>
  <c r="BW19" i="98"/>
  <c r="BW69" i="98"/>
  <c r="BW20" i="98"/>
  <c r="BW64" i="98"/>
  <c r="BW42" i="98"/>
  <c r="BW50" i="98"/>
  <c r="BW33" i="98"/>
  <c r="BW45" i="98"/>
  <c r="BW68" i="98"/>
  <c r="BW62" i="98"/>
  <c r="BW15" i="98"/>
  <c r="BW66" i="98"/>
  <c r="BW43" i="98"/>
  <c r="BW44" i="98"/>
  <c r="BW46" i="98"/>
  <c r="BW14" i="98"/>
  <c r="BW71" i="98"/>
  <c r="BW10" i="98"/>
  <c r="BW48" i="98"/>
  <c r="BW23" i="98"/>
  <c r="BW25" i="98"/>
  <c r="BW21" i="98"/>
  <c r="BW18" i="98"/>
  <c r="BW24" i="98"/>
  <c r="BW29" i="98"/>
  <c r="BW22" i="98"/>
  <c r="BW26" i="98"/>
  <c r="BW65" i="98"/>
  <c r="BW16" i="98"/>
  <c r="BV92" i="98"/>
  <c r="BW30" i="98"/>
  <c r="BW63" i="98"/>
  <c r="BW47" i="98"/>
  <c r="BW12" i="98"/>
  <c r="BW54" i="98"/>
  <c r="BW28" i="98"/>
  <c r="BW41" i="98"/>
  <c r="BV39" i="98"/>
  <c r="BV75" i="98"/>
  <c r="S81" i="98"/>
  <c r="S83" i="98" s="1"/>
  <c r="S84" i="98" s="1"/>
  <c r="S86" i="98" s="1"/>
  <c r="S87" i="98" s="1"/>
  <c r="S76" i="98"/>
  <c r="E81" i="98"/>
  <c r="E83" i="98" s="1"/>
  <c r="E84" i="98" s="1"/>
  <c r="E86" i="98" s="1"/>
  <c r="E87" i="98" s="1"/>
  <c r="E76" i="98"/>
  <c r="BB84" i="103"/>
  <c r="BC83" i="103"/>
  <c r="BL76" i="103"/>
  <c r="BG84" i="103"/>
  <c r="BH83" i="103"/>
  <c r="BB75" i="127"/>
  <c r="BB39" i="127"/>
  <c r="BV81" i="98" l="1"/>
  <c r="BV83" i="98" s="1"/>
  <c r="BV84" i="98" s="1"/>
  <c r="BV86" i="98" s="1"/>
  <c r="BV87" i="98" s="1"/>
  <c r="BV76" i="98"/>
  <c r="BC84" i="103"/>
  <c r="BB86" i="103"/>
  <c r="BB87" i="103" s="1"/>
  <c r="BG86" i="103"/>
  <c r="BG87" i="103" s="1"/>
  <c r="BH84" i="103"/>
  <c r="BB76" i="127"/>
  <c r="M9" i="101" l="1"/>
  <c r="AS79" i="82" s="1"/>
  <c r="AS77" i="82" l="1"/>
  <c r="AQ79" i="82"/>
  <c r="AS89" i="82"/>
  <c r="AS81" i="82"/>
  <c r="K7" i="101"/>
  <c r="K2" i="101" s="1"/>
  <c r="AS83" i="82" l="1"/>
  <c r="AT65" i="82"/>
  <c r="AY61" i="82"/>
  <c r="AY64" i="82"/>
  <c r="AY51" i="82"/>
  <c r="AT43" i="82"/>
  <c r="AY31" i="82"/>
  <c r="AT26" i="82"/>
  <c r="AT24" i="82"/>
  <c r="AT20" i="82"/>
  <c r="AT33" i="82"/>
  <c r="AT70" i="82"/>
  <c r="AT16" i="82"/>
  <c r="AS93" i="82"/>
  <c r="AT42" i="82"/>
  <c r="AT10" i="82"/>
  <c r="AT30" i="82"/>
  <c r="AT21" i="82"/>
  <c r="AY9" i="82"/>
  <c r="AT64" i="82"/>
  <c r="AY65" i="82"/>
  <c r="AY59" i="82"/>
  <c r="AY47" i="82"/>
  <c r="AY55" i="82"/>
  <c r="AT28" i="82"/>
  <c r="AT23" i="82"/>
  <c r="AY15" i="82"/>
  <c r="AY11" i="82"/>
  <c r="AY24" i="82"/>
  <c r="AY70" i="82"/>
  <c r="AT36" i="82"/>
  <c r="AT18" i="82"/>
  <c r="AY48" i="82"/>
  <c r="AT12" i="82"/>
  <c r="AT46" i="82"/>
  <c r="AY36" i="82"/>
  <c r="AY18" i="82"/>
  <c r="AT67" i="82"/>
  <c r="AT57" i="82"/>
  <c r="AT58" i="82"/>
  <c r="AY45" i="82"/>
  <c r="AT27" i="82"/>
  <c r="AY26" i="82"/>
  <c r="AT32" i="82"/>
  <c r="AY17" i="82"/>
  <c r="AT9" i="82"/>
  <c r="AY42" i="82"/>
  <c r="AT78" i="82"/>
  <c r="AY46" i="82"/>
  <c r="AY29" i="82"/>
  <c r="AT48" i="82"/>
  <c r="AT17" i="82"/>
  <c r="AY58" i="82"/>
  <c r="AY32" i="82"/>
  <c r="AY62" i="82"/>
  <c r="AT63" i="82"/>
  <c r="AT56" i="82"/>
  <c r="AY56" i="82"/>
  <c r="AY44" i="82"/>
  <c r="AY25" i="82"/>
  <c r="AY20" i="82"/>
  <c r="AT19" i="82"/>
  <c r="AT11" i="82"/>
  <c r="AY33" i="82"/>
  <c r="AT59" i="82"/>
  <c r="AY10" i="82"/>
  <c r="AT60" i="82"/>
  <c r="AY16" i="82"/>
  <c r="AY63" i="82"/>
  <c r="AY13" i="82"/>
  <c r="AT14" i="82"/>
  <c r="AY67" i="82"/>
  <c r="AT61" i="82"/>
  <c r="AY71" i="82"/>
  <c r="AT55" i="82"/>
  <c r="AY57" i="82"/>
  <c r="AY43" i="82"/>
  <c r="AY22" i="82"/>
  <c r="AY19" i="82"/>
  <c r="AT37" i="82"/>
  <c r="AT15" i="82"/>
  <c r="AY12" i="82"/>
  <c r="AT62" i="82"/>
  <c r="AT13" i="82"/>
  <c r="AY68" i="82"/>
  <c r="AT29" i="82"/>
  <c r="AT68" i="82"/>
  <c r="AY23" i="82"/>
  <c r="AT31" i="82"/>
  <c r="AY69" i="82"/>
  <c r="AT22" i="82"/>
  <c r="AY52" i="82"/>
  <c r="AT25" i="82"/>
  <c r="AY28" i="82"/>
  <c r="AY27" i="82"/>
  <c r="AT47" i="82"/>
  <c r="AT69" i="82"/>
  <c r="AY30" i="82"/>
  <c r="AT45" i="82"/>
  <c r="AY14" i="82"/>
  <c r="AY60" i="82"/>
  <c r="AY66" i="82"/>
  <c r="AY37" i="82"/>
  <c r="AY78" i="82"/>
  <c r="AT44" i="82"/>
  <c r="AT52" i="82"/>
  <c r="AT71" i="82"/>
  <c r="AY21" i="82"/>
  <c r="AT51" i="82"/>
  <c r="AT66" i="82"/>
  <c r="AQ77" i="82"/>
  <c r="AQ81" i="82"/>
  <c r="AQ83" i="82" s="1"/>
  <c r="AQ84" i="82" s="1"/>
  <c r="AQ86" i="82" s="1"/>
  <c r="AQ87" i="82" s="1"/>
  <c r="AZ26" i="99"/>
  <c r="BJ26" i="90"/>
  <c r="BP79" i="90"/>
  <c r="BO79" i="90"/>
  <c r="BP78" i="90"/>
  <c r="BO78" i="90"/>
  <c r="BP71" i="90"/>
  <c r="BO71" i="90"/>
  <c r="BP70" i="90"/>
  <c r="BO70" i="90"/>
  <c r="BP69" i="90"/>
  <c r="BP68" i="90"/>
  <c r="BO68" i="90"/>
  <c r="BP67" i="90"/>
  <c r="BO67" i="90"/>
  <c r="BP66" i="90"/>
  <c r="BO66" i="90"/>
  <c r="BP65" i="90"/>
  <c r="BP64" i="90"/>
  <c r="BO64" i="90"/>
  <c r="BP63" i="90"/>
  <c r="BP62" i="90"/>
  <c r="BO62" i="90"/>
  <c r="BP61" i="90"/>
  <c r="BO61" i="90"/>
  <c r="BP60" i="90"/>
  <c r="BO60" i="90"/>
  <c r="BP59" i="90"/>
  <c r="BO59" i="90"/>
  <c r="BP57" i="90"/>
  <c r="BO57" i="90"/>
  <c r="BP56" i="90"/>
  <c r="BO56" i="90"/>
  <c r="BP55" i="90"/>
  <c r="BO55" i="90"/>
  <c r="BP52" i="90"/>
  <c r="BO52" i="90"/>
  <c r="BP51" i="90"/>
  <c r="BO51" i="90"/>
  <c r="BP48" i="90"/>
  <c r="BO48" i="90"/>
  <c r="BP47" i="90"/>
  <c r="BP46" i="90"/>
  <c r="BO46" i="90"/>
  <c r="BP45" i="90"/>
  <c r="BO45" i="90"/>
  <c r="BP44" i="90"/>
  <c r="BO44" i="90"/>
  <c r="BO43" i="90"/>
  <c r="BP42" i="90"/>
  <c r="BO42" i="90"/>
  <c r="BP33" i="90"/>
  <c r="BO33" i="90"/>
  <c r="BP32" i="90"/>
  <c r="BO32" i="90"/>
  <c r="BO30" i="90"/>
  <c r="BP29" i="90"/>
  <c r="BO29" i="90"/>
  <c r="BP28" i="90"/>
  <c r="BP27" i="90"/>
  <c r="BP26" i="90"/>
  <c r="BP25" i="90"/>
  <c r="BP24" i="90"/>
  <c r="BP23" i="90"/>
  <c r="BO23" i="90"/>
  <c r="BO22" i="90"/>
  <c r="BP21" i="90"/>
  <c r="BP20" i="90"/>
  <c r="BO20" i="90"/>
  <c r="BP19" i="90"/>
  <c r="BP18" i="90"/>
  <c r="BO17" i="90"/>
  <c r="BO16" i="90"/>
  <c r="BP15" i="90"/>
  <c r="BO15" i="90"/>
  <c r="BP14" i="90"/>
  <c r="BP13" i="90"/>
  <c r="BP11" i="90"/>
  <c r="BO11" i="90"/>
  <c r="BP10" i="90"/>
  <c r="BO10" i="90"/>
  <c r="BP9" i="90"/>
  <c r="BO9" i="90"/>
  <c r="BO7" i="90"/>
  <c r="BP7" i="90"/>
  <c r="BP6" i="90"/>
  <c r="BL85" i="90"/>
  <c r="BL82" i="90"/>
  <c r="BK77" i="90"/>
  <c r="BJ77" i="90"/>
  <c r="BL71" i="90"/>
  <c r="BL70" i="90"/>
  <c r="BL69" i="90"/>
  <c r="BL68" i="90"/>
  <c r="BL67" i="90"/>
  <c r="BL66" i="90"/>
  <c r="BL65" i="90"/>
  <c r="BL64" i="90"/>
  <c r="BL63" i="90"/>
  <c r="BL62" i="90"/>
  <c r="BL61" i="90"/>
  <c r="BL60" i="90"/>
  <c r="BL59" i="90"/>
  <c r="BL58" i="90"/>
  <c r="BL57" i="90"/>
  <c r="BL56" i="90"/>
  <c r="BL55" i="90"/>
  <c r="BK54" i="90"/>
  <c r="BJ54" i="90"/>
  <c r="BL53" i="90"/>
  <c r="BL52" i="90"/>
  <c r="BL51" i="90"/>
  <c r="BK50" i="90"/>
  <c r="BJ50" i="90"/>
  <c r="BL48" i="90"/>
  <c r="BL47" i="90"/>
  <c r="BL46" i="90"/>
  <c r="BL45" i="90"/>
  <c r="BL44" i="90"/>
  <c r="BL43" i="90"/>
  <c r="BL42" i="90"/>
  <c r="BK41" i="90"/>
  <c r="BJ41" i="90"/>
  <c r="BL33" i="90"/>
  <c r="BL32" i="90"/>
  <c r="BL31" i="90"/>
  <c r="BL30" i="90"/>
  <c r="BL29" i="90"/>
  <c r="BL28" i="90"/>
  <c r="BL27" i="90"/>
  <c r="BL26" i="90"/>
  <c r="BL25" i="90"/>
  <c r="BL24" i="90"/>
  <c r="BL23" i="90"/>
  <c r="BL22" i="90"/>
  <c r="BL21" i="90"/>
  <c r="BL20" i="90"/>
  <c r="BL19" i="90"/>
  <c r="BL18" i="90"/>
  <c r="BL17" i="90"/>
  <c r="BL16" i="90"/>
  <c r="BL15" i="90"/>
  <c r="BL14" i="90"/>
  <c r="BL13" i="90"/>
  <c r="BL12" i="90"/>
  <c r="BL11" i="90"/>
  <c r="BL10" i="90"/>
  <c r="BL9" i="90"/>
  <c r="BK8" i="90"/>
  <c r="BJ8" i="90"/>
  <c r="BL6" i="90"/>
  <c r="BL5" i="90" s="1"/>
  <c r="BK5" i="90"/>
  <c r="BK38" i="90" s="1"/>
  <c r="BJ5" i="90"/>
  <c r="AB79" i="89"/>
  <c r="AA79" i="89"/>
  <c r="AB78" i="89"/>
  <c r="AA78" i="89"/>
  <c r="AB71" i="89"/>
  <c r="AA71" i="89"/>
  <c r="AB70" i="89"/>
  <c r="AA70" i="89"/>
  <c r="AB69" i="89"/>
  <c r="AA69" i="89"/>
  <c r="AB68" i="89"/>
  <c r="AA68" i="89"/>
  <c r="AB67" i="89"/>
  <c r="AA67" i="89"/>
  <c r="AB66" i="89"/>
  <c r="AA66" i="89"/>
  <c r="AB65" i="89"/>
  <c r="AA65" i="89"/>
  <c r="AB64" i="89"/>
  <c r="AA64" i="89"/>
  <c r="AB63" i="89"/>
  <c r="AA63" i="89"/>
  <c r="AB62" i="89"/>
  <c r="AA62" i="89"/>
  <c r="AB61" i="89"/>
  <c r="AA61" i="89"/>
  <c r="AB60" i="89"/>
  <c r="AA60" i="89"/>
  <c r="AB59" i="89"/>
  <c r="AA59" i="89"/>
  <c r="AB58" i="89"/>
  <c r="AA58" i="89"/>
  <c r="AB57" i="89"/>
  <c r="AA57" i="89"/>
  <c r="AB56" i="89"/>
  <c r="AA56" i="89"/>
  <c r="AB55" i="89"/>
  <c r="AA55" i="89"/>
  <c r="AB52" i="89"/>
  <c r="AA52" i="89"/>
  <c r="AB51" i="89"/>
  <c r="AA51" i="89"/>
  <c r="AB48" i="89"/>
  <c r="AA48" i="89"/>
  <c r="AB47" i="89"/>
  <c r="AA47" i="89"/>
  <c r="AB46" i="89"/>
  <c r="AA46" i="89"/>
  <c r="AB45" i="89"/>
  <c r="AA45" i="89"/>
  <c r="AB44" i="89"/>
  <c r="AA44" i="89"/>
  <c r="AB43" i="89"/>
  <c r="AA43" i="89"/>
  <c r="AB42" i="89"/>
  <c r="AA42" i="89"/>
  <c r="AB33" i="89"/>
  <c r="AA33" i="89"/>
  <c r="AB32" i="89"/>
  <c r="AA32" i="89"/>
  <c r="AB31" i="89"/>
  <c r="AA31" i="89"/>
  <c r="AB30" i="89"/>
  <c r="AA30" i="89"/>
  <c r="AB29" i="89"/>
  <c r="AA29" i="89"/>
  <c r="AB28" i="89"/>
  <c r="AA28" i="89"/>
  <c r="AB27" i="89"/>
  <c r="AA27" i="89"/>
  <c r="AB26" i="89"/>
  <c r="AA26" i="89"/>
  <c r="AB25" i="89"/>
  <c r="AA25" i="89"/>
  <c r="AB24" i="89"/>
  <c r="AA24" i="89"/>
  <c r="AB23" i="89"/>
  <c r="AA23" i="89"/>
  <c r="AB22" i="89"/>
  <c r="AA22" i="89"/>
  <c r="AB21" i="89"/>
  <c r="AA21" i="89"/>
  <c r="AB20" i="89"/>
  <c r="AA20" i="89"/>
  <c r="AB19" i="89"/>
  <c r="AA19" i="89"/>
  <c r="AB18" i="89"/>
  <c r="AA18" i="89"/>
  <c r="AB17" i="89"/>
  <c r="AA17" i="89"/>
  <c r="AB16" i="89"/>
  <c r="AA16" i="89"/>
  <c r="AB15" i="89"/>
  <c r="AA15" i="89"/>
  <c r="AB14" i="89"/>
  <c r="AA14" i="89"/>
  <c r="AB13" i="89"/>
  <c r="AA13" i="89"/>
  <c r="AB12" i="89"/>
  <c r="AA12" i="89"/>
  <c r="AB11" i="89"/>
  <c r="AA11" i="89"/>
  <c r="AB10" i="89"/>
  <c r="AA10" i="89"/>
  <c r="AB9" i="89"/>
  <c r="AA9" i="89"/>
  <c r="AA7" i="89"/>
  <c r="AB7" i="89"/>
  <c r="AB6" i="89"/>
  <c r="AA6" i="89"/>
  <c r="X85" i="89"/>
  <c r="X82" i="89"/>
  <c r="X78" i="89"/>
  <c r="W77" i="89"/>
  <c r="V77" i="89"/>
  <c r="X74" i="89"/>
  <c r="X73" i="89" s="1"/>
  <c r="W73" i="89"/>
  <c r="V73" i="89"/>
  <c r="X71" i="89"/>
  <c r="X70" i="89"/>
  <c r="X69" i="89"/>
  <c r="X68" i="89"/>
  <c r="X67" i="89"/>
  <c r="X66" i="89"/>
  <c r="X65" i="89"/>
  <c r="X64" i="89"/>
  <c r="X63" i="89"/>
  <c r="X62" i="89"/>
  <c r="X61" i="89"/>
  <c r="X60" i="89"/>
  <c r="X59" i="89"/>
  <c r="X58" i="89"/>
  <c r="X57" i="89"/>
  <c r="X56" i="89"/>
  <c r="X55" i="89"/>
  <c r="W54" i="89"/>
  <c r="V54" i="89"/>
  <c r="X52" i="89"/>
  <c r="X51" i="89"/>
  <c r="W50" i="89"/>
  <c r="V50" i="89"/>
  <c r="X48" i="89"/>
  <c r="X47" i="89"/>
  <c r="X46" i="89"/>
  <c r="X45" i="89"/>
  <c r="X44" i="89"/>
  <c r="X43" i="89"/>
  <c r="X42" i="89"/>
  <c r="W41" i="89"/>
  <c r="V41" i="89"/>
  <c r="X36" i="89"/>
  <c r="X35" i="89" s="1"/>
  <c r="W35" i="89"/>
  <c r="V35" i="89"/>
  <c r="X33" i="89"/>
  <c r="X32" i="89"/>
  <c r="X31" i="89"/>
  <c r="X30" i="89"/>
  <c r="X29" i="89"/>
  <c r="X28" i="89"/>
  <c r="X27" i="89"/>
  <c r="X26" i="89"/>
  <c r="X25" i="89"/>
  <c r="X24" i="89"/>
  <c r="X21" i="89"/>
  <c r="X20" i="89"/>
  <c r="X19" i="89"/>
  <c r="X18" i="89"/>
  <c r="X17" i="89"/>
  <c r="X16" i="89"/>
  <c r="X15" i="89"/>
  <c r="X14" i="89"/>
  <c r="X13" i="89"/>
  <c r="X12" i="89"/>
  <c r="X11" i="89"/>
  <c r="X10" i="89"/>
  <c r="X9" i="89"/>
  <c r="W8" i="89"/>
  <c r="V8" i="89"/>
  <c r="X7" i="89"/>
  <c r="X6" i="89"/>
  <c r="X5" i="89" s="1"/>
  <c r="W5" i="89"/>
  <c r="V5" i="89"/>
  <c r="V38" i="89" s="1"/>
  <c r="BK80" i="99"/>
  <c r="BJ80" i="99"/>
  <c r="BK37" i="99"/>
  <c r="BJ37" i="99"/>
  <c r="BB85" i="99"/>
  <c r="BB82" i="99"/>
  <c r="BB78" i="99"/>
  <c r="BA77" i="99"/>
  <c r="AZ77" i="99"/>
  <c r="BB74" i="99"/>
  <c r="BB73" i="99" s="1"/>
  <c r="BA73" i="99"/>
  <c r="AZ73" i="99"/>
  <c r="BB71" i="99"/>
  <c r="BB70" i="99"/>
  <c r="BB69" i="99"/>
  <c r="BB68" i="99"/>
  <c r="BB67" i="99"/>
  <c r="BB66" i="99"/>
  <c r="BB65" i="99"/>
  <c r="BB64" i="99"/>
  <c r="BB63" i="99"/>
  <c r="BB62" i="99"/>
  <c r="BB61" i="99"/>
  <c r="BB60" i="99"/>
  <c r="BB59" i="99"/>
  <c r="BB58" i="99"/>
  <c r="BB57" i="99"/>
  <c r="BB56" i="99"/>
  <c r="BB55" i="99"/>
  <c r="BA54" i="99"/>
  <c r="AZ54" i="99"/>
  <c r="BB52" i="99"/>
  <c r="BB51" i="99"/>
  <c r="BA50" i="99"/>
  <c r="AZ50" i="99"/>
  <c r="BB48" i="99"/>
  <c r="BB47" i="99"/>
  <c r="BB46" i="99"/>
  <c r="BB45" i="99"/>
  <c r="BB44" i="99"/>
  <c r="BB43" i="99"/>
  <c r="BB42" i="99"/>
  <c r="BA41" i="99"/>
  <c r="AZ41" i="99"/>
  <c r="BB36" i="99"/>
  <c r="BB35" i="99" s="1"/>
  <c r="BA35" i="99"/>
  <c r="AZ35" i="99"/>
  <c r="BB33" i="99"/>
  <c r="BB32" i="99"/>
  <c r="BB31" i="99"/>
  <c r="BB30" i="99"/>
  <c r="BB29" i="99"/>
  <c r="BB28" i="99"/>
  <c r="BB27" i="99"/>
  <c r="BB26" i="99"/>
  <c r="BB25" i="99"/>
  <c r="BB24" i="99"/>
  <c r="BB23" i="99"/>
  <c r="BB22" i="99"/>
  <c r="BB21" i="99"/>
  <c r="BB20" i="99"/>
  <c r="BB19" i="99"/>
  <c r="BB18" i="99"/>
  <c r="BB17" i="99"/>
  <c r="BB16" i="99"/>
  <c r="BB15" i="99"/>
  <c r="BB14" i="99"/>
  <c r="BB13" i="99"/>
  <c r="BB12" i="99"/>
  <c r="BB11" i="99"/>
  <c r="BB10" i="99"/>
  <c r="BB9" i="99"/>
  <c r="BA8" i="99"/>
  <c r="AZ8" i="99"/>
  <c r="BB7" i="99"/>
  <c r="BB6" i="99"/>
  <c r="BB5" i="99" s="1"/>
  <c r="BA5" i="99"/>
  <c r="BA38" i="99" s="1"/>
  <c r="AZ5" i="99"/>
  <c r="M18" i="101"/>
  <c r="CT79" i="82" s="1"/>
  <c r="M14" i="101"/>
  <c r="CB79" i="82" s="1"/>
  <c r="M13" i="101"/>
  <c r="BW79" i="82" s="1"/>
  <c r="M12" i="101"/>
  <c r="BP79" i="82" s="1"/>
  <c r="M11" i="101"/>
  <c r="BC79" i="82" s="1"/>
  <c r="M10" i="101"/>
  <c r="AX79" i="82" s="1"/>
  <c r="M8" i="101"/>
  <c r="AN79" i="82" s="1"/>
  <c r="M7" i="101"/>
  <c r="AI79" i="82" s="1"/>
  <c r="M5" i="101"/>
  <c r="M4" i="101"/>
  <c r="I18" i="101"/>
  <c r="BK79" i="130" s="1"/>
  <c r="I14" i="101"/>
  <c r="I13" i="101"/>
  <c r="I12" i="101"/>
  <c r="I11" i="101"/>
  <c r="R79" i="130" s="1"/>
  <c r="I10" i="101"/>
  <c r="M79" i="130" s="1"/>
  <c r="I9" i="101"/>
  <c r="H79" i="130" s="1"/>
  <c r="I8" i="101"/>
  <c r="C79" i="130" s="1"/>
  <c r="I7" i="101"/>
  <c r="I5" i="101"/>
  <c r="I4" i="101"/>
  <c r="CO79" i="130" l="1"/>
  <c r="R77" i="130"/>
  <c r="T79" i="130"/>
  <c r="R81" i="130"/>
  <c r="R83" i="130" s="1"/>
  <c r="R84" i="130" s="1"/>
  <c r="R86" i="130" s="1"/>
  <c r="R87" i="130" s="1"/>
  <c r="C81" i="130"/>
  <c r="C83" i="130" s="1"/>
  <c r="C84" i="130" s="1"/>
  <c r="C86" i="130" s="1"/>
  <c r="C87" i="130" s="1"/>
  <c r="C77" i="130"/>
  <c r="E79" i="130"/>
  <c r="H77" i="130"/>
  <c r="J79" i="130"/>
  <c r="H81" i="130"/>
  <c r="H83" i="130" s="1"/>
  <c r="H84" i="130" s="1"/>
  <c r="H86" i="130" s="1"/>
  <c r="H87" i="130" s="1"/>
  <c r="BK77" i="130"/>
  <c r="BK81" i="130"/>
  <c r="BK83" i="130" s="1"/>
  <c r="BK84" i="130" s="1"/>
  <c r="BK86" i="130" s="1"/>
  <c r="BK87" i="130" s="1"/>
  <c r="BM79" i="130"/>
  <c r="AB79" i="130"/>
  <c r="O79" i="130"/>
  <c r="M77" i="130"/>
  <c r="M81" i="130"/>
  <c r="M83" i="130" s="1"/>
  <c r="M84" i="130" s="1"/>
  <c r="M86" i="130" s="1"/>
  <c r="M87" i="130" s="1"/>
  <c r="AV79" i="124"/>
  <c r="BA79" i="122"/>
  <c r="AV79" i="121"/>
  <c r="AV79" i="122"/>
  <c r="BA79" i="123"/>
  <c r="AV79" i="123"/>
  <c r="BA79" i="124"/>
  <c r="BP77" i="100"/>
  <c r="BR79" i="100"/>
  <c r="BP81" i="100"/>
  <c r="BP83" i="100" s="1"/>
  <c r="BP84" i="100" s="1"/>
  <c r="BP86" i="100" s="1"/>
  <c r="BP87" i="100" s="1"/>
  <c r="AV79" i="82"/>
  <c r="AX77" i="82"/>
  <c r="AX89" i="82"/>
  <c r="AX93" i="82" s="1"/>
  <c r="AX81" i="82"/>
  <c r="CT77" i="82"/>
  <c r="CV79" i="82"/>
  <c r="CT81" i="82"/>
  <c r="CT83" i="82" s="1"/>
  <c r="CT84" i="82" s="1"/>
  <c r="CT86" i="82" s="1"/>
  <c r="CT87" i="82" s="1"/>
  <c r="BA79" i="82"/>
  <c r="BC89" i="82"/>
  <c r="BD79" i="82" s="1"/>
  <c r="BC77" i="82"/>
  <c r="BC81" i="82"/>
  <c r="BC83" i="82" s="1"/>
  <c r="BC84" i="82" s="1"/>
  <c r="BC86" i="82" s="1"/>
  <c r="AN77" i="82"/>
  <c r="AL79" i="82"/>
  <c r="AN89" i="82"/>
  <c r="AO79" i="82" s="1"/>
  <c r="AN81" i="82"/>
  <c r="CJ79" i="100"/>
  <c r="AN79" i="106"/>
  <c r="W79" i="123"/>
  <c r="W79" i="121"/>
  <c r="W79" i="124"/>
  <c r="W79" i="122"/>
  <c r="AL79" i="100"/>
  <c r="BP77" i="82"/>
  <c r="BR79" i="82"/>
  <c r="BP81" i="82"/>
  <c r="BP83" i="82" s="1"/>
  <c r="BP84" i="82" s="1"/>
  <c r="BP86" i="82" s="1"/>
  <c r="BP87" i="82" s="1"/>
  <c r="H79" i="129"/>
  <c r="M79" i="129"/>
  <c r="R79" i="123"/>
  <c r="R79" i="121"/>
  <c r="R79" i="122"/>
  <c r="AG79" i="100"/>
  <c r="R79" i="124"/>
  <c r="AQ79" i="106"/>
  <c r="R79" i="129"/>
  <c r="AQ79" i="124"/>
  <c r="AB79" i="121"/>
  <c r="AB79" i="124"/>
  <c r="AQ79" i="122"/>
  <c r="AB79" i="123"/>
  <c r="AB79" i="122"/>
  <c r="AQ79" i="100"/>
  <c r="AQ79" i="123"/>
  <c r="BU79" i="82"/>
  <c r="BW77" i="82"/>
  <c r="BW89" i="82"/>
  <c r="BW81" i="82"/>
  <c r="BW83" i="82" s="1"/>
  <c r="BW84" i="82" s="1"/>
  <c r="BW86" i="82" s="1"/>
  <c r="BW87" i="82" s="1"/>
  <c r="AS84" i="82"/>
  <c r="H79" i="124"/>
  <c r="H79" i="122"/>
  <c r="W79" i="100"/>
  <c r="H79" i="121"/>
  <c r="H79" i="123"/>
  <c r="C79" i="129"/>
  <c r="M79" i="122"/>
  <c r="AB79" i="100"/>
  <c r="M79" i="124"/>
  <c r="M79" i="123"/>
  <c r="M79" i="121"/>
  <c r="W79" i="125"/>
  <c r="AI77" i="82"/>
  <c r="AG79" i="82"/>
  <c r="AI89" i="82"/>
  <c r="AI81" i="82"/>
  <c r="BZ79" i="82"/>
  <c r="CB77" i="82"/>
  <c r="CB89" i="82"/>
  <c r="CB91" i="82" s="1"/>
  <c r="CB81" i="82"/>
  <c r="CB83" i="82" s="1"/>
  <c r="CB84" i="82" s="1"/>
  <c r="CB86" i="82" s="1"/>
  <c r="BB50" i="99"/>
  <c r="BB54" i="99"/>
  <c r="BL50" i="90"/>
  <c r="X8" i="89"/>
  <c r="X38" i="89" s="1"/>
  <c r="X39" i="89" s="1"/>
  <c r="BL79" i="90"/>
  <c r="BL77" i="90" s="1"/>
  <c r="BB41" i="99"/>
  <c r="AZ38" i="99"/>
  <c r="AZ75" i="99" s="1"/>
  <c r="X50" i="89"/>
  <c r="X54" i="89"/>
  <c r="BJ38" i="90"/>
  <c r="BJ75" i="90" s="1"/>
  <c r="X41" i="89"/>
  <c r="BL41" i="90"/>
  <c r="BL54" i="90"/>
  <c r="BL8" i="90"/>
  <c r="BL38" i="90" s="1"/>
  <c r="BK39" i="90"/>
  <c r="BK75" i="90"/>
  <c r="BJ76" i="90"/>
  <c r="BJ81" i="90"/>
  <c r="BJ83" i="90" s="1"/>
  <c r="BJ84" i="90" s="1"/>
  <c r="BJ86" i="90" s="1"/>
  <c r="BJ87" i="90" s="1"/>
  <c r="W38" i="89"/>
  <c r="W39" i="89" s="1"/>
  <c r="V75" i="89"/>
  <c r="V39" i="89"/>
  <c r="BA39" i="99"/>
  <c r="BA75" i="99"/>
  <c r="BB8" i="99"/>
  <c r="BB38" i="99" s="1"/>
  <c r="CO77" i="130" l="1"/>
  <c r="CO81" i="130"/>
  <c r="CO83" i="130" s="1"/>
  <c r="CO84" i="130" s="1"/>
  <c r="CO86" i="130" s="1"/>
  <c r="CO87" i="130" s="1"/>
  <c r="E77" i="130"/>
  <c r="E89" i="130"/>
  <c r="E81" i="130"/>
  <c r="E83" i="130" s="1"/>
  <c r="E84" i="130" s="1"/>
  <c r="E86" i="130" s="1"/>
  <c r="E87" i="130" s="1"/>
  <c r="O77" i="130"/>
  <c r="O89" i="130"/>
  <c r="O81" i="130"/>
  <c r="O83" i="130" s="1"/>
  <c r="O84" i="130" s="1"/>
  <c r="O86" i="130" s="1"/>
  <c r="O87" i="130" s="1"/>
  <c r="CQ79" i="130"/>
  <c r="AD79" i="130"/>
  <c r="AB77" i="130"/>
  <c r="AB81" i="130"/>
  <c r="AB83" i="130" s="1"/>
  <c r="AB84" i="130" s="1"/>
  <c r="AB86" i="130" s="1"/>
  <c r="AB87" i="130" s="1"/>
  <c r="J77" i="130"/>
  <c r="J89" i="130"/>
  <c r="J81" i="130"/>
  <c r="J83" i="130" s="1"/>
  <c r="J84" i="130" s="1"/>
  <c r="J86" i="130" s="1"/>
  <c r="J87" i="130" s="1"/>
  <c r="T77" i="130"/>
  <c r="T89" i="130"/>
  <c r="T81" i="130"/>
  <c r="T83" i="130" s="1"/>
  <c r="T84" i="130" s="1"/>
  <c r="T86" i="130" s="1"/>
  <c r="T87" i="130" s="1"/>
  <c r="BM77" i="130"/>
  <c r="BM89" i="130"/>
  <c r="BM81" i="130"/>
  <c r="BM83" i="130" s="1"/>
  <c r="BM84" i="130" s="1"/>
  <c r="BM86" i="130" s="1"/>
  <c r="BM87" i="130" s="1"/>
  <c r="BK79" i="82"/>
  <c r="BK77" i="82" s="1"/>
  <c r="BP79" i="125"/>
  <c r="BR79" i="125" s="1"/>
  <c r="BK81" i="82"/>
  <c r="BK83" i="82" s="1"/>
  <c r="BK84" i="82" s="1"/>
  <c r="BK86" i="82" s="1"/>
  <c r="BK87" i="82" s="1"/>
  <c r="AJ8" i="82"/>
  <c r="AJ18" i="82"/>
  <c r="AY35" i="82"/>
  <c r="AT35" i="82"/>
  <c r="AO85" i="82"/>
  <c r="AJ80" i="82"/>
  <c r="AY82" i="82"/>
  <c r="AT72" i="82"/>
  <c r="AO53" i="82"/>
  <c r="AT49" i="82"/>
  <c r="AJ43" i="82"/>
  <c r="AT40" i="82"/>
  <c r="AJ19" i="82"/>
  <c r="AO37" i="82"/>
  <c r="AJ30" i="82"/>
  <c r="AJ58" i="82"/>
  <c r="AJ47" i="82"/>
  <c r="AJ10" i="82"/>
  <c r="AJ46" i="82"/>
  <c r="AJ26" i="82"/>
  <c r="AJ78" i="82"/>
  <c r="AT38" i="82"/>
  <c r="AJ54" i="82"/>
  <c r="AJ82" i="82"/>
  <c r="AO72" i="82"/>
  <c r="AY74" i="82"/>
  <c r="AY53" i="82"/>
  <c r="AJ63" i="82"/>
  <c r="AJ52" i="82"/>
  <c r="AJ50" i="82"/>
  <c r="AJ36" i="82"/>
  <c r="AJ57" i="82"/>
  <c r="AJ21" i="82"/>
  <c r="AJ11" i="82"/>
  <c r="AT85" i="82"/>
  <c r="AJ56" i="82"/>
  <c r="AJ48" i="82"/>
  <c r="AJ23" i="82"/>
  <c r="AO38" i="82"/>
  <c r="BS38" i="82"/>
  <c r="AJ75" i="82"/>
  <c r="AY72" i="82"/>
  <c r="AJ69" i="82"/>
  <c r="AJ74" i="82"/>
  <c r="AT80" i="82"/>
  <c r="AJ53" i="82"/>
  <c r="AJ51" i="82"/>
  <c r="BD40" i="82"/>
  <c r="AY34" i="82"/>
  <c r="BX40" i="82"/>
  <c r="AJ15" i="82"/>
  <c r="AJ17" i="82"/>
  <c r="AJ13" i="82"/>
  <c r="AJ70" i="82"/>
  <c r="AJ60" i="82"/>
  <c r="AJ73" i="82"/>
  <c r="AJ9" i="82"/>
  <c r="AJ25" i="82"/>
  <c r="AY80" i="82"/>
  <c r="BS85" i="82"/>
  <c r="AJ68" i="82"/>
  <c r="AJ71" i="82"/>
  <c r="AT53" i="82"/>
  <c r="AT74" i="82"/>
  <c r="AO49" i="82"/>
  <c r="AY40" i="82"/>
  <c r="AJ31" i="82"/>
  <c r="AO40" i="82"/>
  <c r="BS40" i="82"/>
  <c r="AJ16" i="82"/>
  <c r="AJ24" i="82"/>
  <c r="BS82" i="82"/>
  <c r="AJ64" i="82"/>
  <c r="BD82" i="82"/>
  <c r="AJ44" i="82"/>
  <c r="AO73" i="82"/>
  <c r="AJ41" i="82"/>
  <c r="BX39" i="82"/>
  <c r="BD39" i="82"/>
  <c r="AO80" i="82"/>
  <c r="BD85" i="82"/>
  <c r="AJ67" i="82"/>
  <c r="AY85" i="82"/>
  <c r="AJ62" i="82"/>
  <c r="AJ61" i="82"/>
  <c r="AJ55" i="82"/>
  <c r="AJ35" i="82"/>
  <c r="AJ22" i="82"/>
  <c r="AT34" i="82"/>
  <c r="AO34" i="82"/>
  <c r="AJ28" i="82"/>
  <c r="AJ33" i="82"/>
  <c r="AT73" i="82"/>
  <c r="AJ29" i="82"/>
  <c r="AJ12" i="82"/>
  <c r="AO82" i="82"/>
  <c r="BX38" i="82"/>
  <c r="AJ66" i="82"/>
  <c r="AJ20" i="82"/>
  <c r="AI93" i="82"/>
  <c r="BD38" i="82"/>
  <c r="AT82" i="82"/>
  <c r="AJ27" i="82"/>
  <c r="AJ14" i="82"/>
  <c r="AY73" i="82"/>
  <c r="AJ32" i="82"/>
  <c r="AY38" i="82"/>
  <c r="AJ59" i="82"/>
  <c r="AO36" i="82"/>
  <c r="AO74" i="82"/>
  <c r="AJ45" i="82"/>
  <c r="AJ38" i="82"/>
  <c r="AJ39" i="82"/>
  <c r="AJ65" i="82"/>
  <c r="AO35" i="82"/>
  <c r="AJ85" i="82"/>
  <c r="AY49" i="82"/>
  <c r="AJ42" i="82"/>
  <c r="AJ76" i="82"/>
  <c r="AY75" i="82"/>
  <c r="AT39" i="82"/>
  <c r="AO75" i="82"/>
  <c r="BS39" i="82"/>
  <c r="AY39" i="82"/>
  <c r="AO39" i="82"/>
  <c r="AT75" i="82"/>
  <c r="AT76" i="82"/>
  <c r="AO76" i="82"/>
  <c r="AY76" i="82"/>
  <c r="AS79" i="100"/>
  <c r="AQ77" i="100"/>
  <c r="AQ81" i="100"/>
  <c r="AQ83" i="100" s="1"/>
  <c r="AQ84" i="100" s="1"/>
  <c r="AQ86" i="100" s="1"/>
  <c r="AQ87" i="100" s="1"/>
  <c r="AI83" i="82"/>
  <c r="AJ81" i="82"/>
  <c r="M77" i="123"/>
  <c r="O79" i="123"/>
  <c r="M81" i="123"/>
  <c r="M83" i="123" s="1"/>
  <c r="M84" i="123" s="1"/>
  <c r="M86" i="123" s="1"/>
  <c r="M87" i="123" s="1"/>
  <c r="H77" i="123"/>
  <c r="CY79" i="123"/>
  <c r="J79" i="123"/>
  <c r="H81" i="123"/>
  <c r="H83" i="123" s="1"/>
  <c r="H84" i="123" s="1"/>
  <c r="H86" i="123" s="1"/>
  <c r="H87" i="123" s="1"/>
  <c r="AT83" i="82"/>
  <c r="AB77" i="121"/>
  <c r="AD79" i="121"/>
  <c r="AB81" i="121"/>
  <c r="AB83" i="121" s="1"/>
  <c r="AB84" i="121" s="1"/>
  <c r="AB86" i="121" s="1"/>
  <c r="AB87" i="121" s="1"/>
  <c r="T79" i="122"/>
  <c r="R77" i="122"/>
  <c r="R81" i="122"/>
  <c r="R83" i="122" s="1"/>
  <c r="R84" i="122" s="1"/>
  <c r="R86" i="122" s="1"/>
  <c r="R87" i="122" s="1"/>
  <c r="W77" i="124"/>
  <c r="Y79" i="124"/>
  <c r="W81" i="124"/>
  <c r="W83" i="124" s="1"/>
  <c r="W84" i="124" s="1"/>
  <c r="W86" i="124" s="1"/>
  <c r="W87" i="124" s="1"/>
  <c r="CJ79" i="125"/>
  <c r="CL79" i="100"/>
  <c r="CJ77" i="100"/>
  <c r="CJ81" i="100"/>
  <c r="CJ83" i="100" s="1"/>
  <c r="CJ84" i="100" s="1"/>
  <c r="CJ86" i="100" s="1"/>
  <c r="CJ87" i="100" s="1"/>
  <c r="CV77" i="82"/>
  <c r="CV89" i="82"/>
  <c r="CV91" i="82" s="1"/>
  <c r="CV81" i="82"/>
  <c r="CV83" i="82" s="1"/>
  <c r="CV84" i="82" s="1"/>
  <c r="CV86" i="82" s="1"/>
  <c r="BA77" i="123"/>
  <c r="BC79" i="123"/>
  <c r="BA81" i="123"/>
  <c r="BA83" i="123" s="1"/>
  <c r="BA84" i="123" s="1"/>
  <c r="BA86" i="123" s="1"/>
  <c r="BA87" i="123" s="1"/>
  <c r="BC87" i="82"/>
  <c r="AG77" i="82"/>
  <c r="AG81" i="82"/>
  <c r="AG83" i="82" s="1"/>
  <c r="AG84" i="82" s="1"/>
  <c r="AG86" i="82" s="1"/>
  <c r="AG87" i="82" s="1"/>
  <c r="O79" i="124"/>
  <c r="M77" i="124"/>
  <c r="M81" i="124"/>
  <c r="M83" i="124" s="1"/>
  <c r="M84" i="124" s="1"/>
  <c r="M86" i="124" s="1"/>
  <c r="M87" i="124" s="1"/>
  <c r="W77" i="100"/>
  <c r="DN79" i="100"/>
  <c r="Y79" i="100"/>
  <c r="W81" i="100"/>
  <c r="W83" i="100" s="1"/>
  <c r="W84" i="100" s="1"/>
  <c r="W86" i="100" s="1"/>
  <c r="W87" i="100" s="1"/>
  <c r="EA50" i="82"/>
  <c r="EA67" i="82"/>
  <c r="EA36" i="82"/>
  <c r="EA64" i="82"/>
  <c r="EA54" i="82"/>
  <c r="EA32" i="82"/>
  <c r="EA57" i="82"/>
  <c r="EA33" i="82"/>
  <c r="EA71" i="82"/>
  <c r="EA66" i="82"/>
  <c r="EA48" i="82"/>
  <c r="EA41" i="82"/>
  <c r="EA9" i="82"/>
  <c r="EA65" i="82"/>
  <c r="EA17" i="82"/>
  <c r="EA29" i="82"/>
  <c r="EA55" i="82"/>
  <c r="EA15" i="82"/>
  <c r="EA31" i="82"/>
  <c r="EA58" i="82"/>
  <c r="EA49" i="82"/>
  <c r="EA13" i="82"/>
  <c r="BW91" i="82"/>
  <c r="EA11" i="82"/>
  <c r="EA21" i="82"/>
  <c r="EA56" i="82"/>
  <c r="EA60" i="82"/>
  <c r="EA44" i="82"/>
  <c r="EA25" i="82"/>
  <c r="EA47" i="82"/>
  <c r="EA19" i="82"/>
  <c r="EA27" i="82"/>
  <c r="EA43" i="82"/>
  <c r="EA22" i="82"/>
  <c r="EA20" i="82"/>
  <c r="EA10" i="82"/>
  <c r="EA8" i="82"/>
  <c r="EA16" i="82"/>
  <c r="EA30" i="82"/>
  <c r="EA26" i="82"/>
  <c r="EA24" i="82"/>
  <c r="EA51" i="82"/>
  <c r="EA23" i="82"/>
  <c r="EA62" i="82"/>
  <c r="EA63" i="82"/>
  <c r="EA14" i="82"/>
  <c r="EA68" i="82"/>
  <c r="EA73" i="82"/>
  <c r="EA18" i="82"/>
  <c r="EA52" i="82"/>
  <c r="EA59" i="82"/>
  <c r="EA70" i="82"/>
  <c r="EA45" i="82"/>
  <c r="EA12" i="82"/>
  <c r="EA46" i="82"/>
  <c r="EA28" i="82"/>
  <c r="EA61" i="82"/>
  <c r="EA42" i="82"/>
  <c r="EA69" i="82"/>
  <c r="AD79" i="122"/>
  <c r="AB77" i="122"/>
  <c r="AB81" i="122"/>
  <c r="AB83" i="122" s="1"/>
  <c r="AB84" i="122" s="1"/>
  <c r="AB86" i="122" s="1"/>
  <c r="AB87" i="122" s="1"/>
  <c r="R77" i="129"/>
  <c r="T79" i="129"/>
  <c r="R81" i="129"/>
  <c r="R83" i="129" s="1"/>
  <c r="R84" i="129" s="1"/>
  <c r="R86" i="129" s="1"/>
  <c r="R87" i="129" s="1"/>
  <c r="AQ79" i="125"/>
  <c r="R81" i="123"/>
  <c r="R83" i="123" s="1"/>
  <c r="R84" i="123" s="1"/>
  <c r="R86" i="123" s="1"/>
  <c r="R87" i="123" s="1"/>
  <c r="R77" i="123"/>
  <c r="T79" i="123"/>
  <c r="BR77" i="82"/>
  <c r="BR89" i="82"/>
  <c r="BR81" i="82"/>
  <c r="BR83" i="82" s="1"/>
  <c r="BR84" i="82" s="1"/>
  <c r="BR86" i="82" s="1"/>
  <c r="Y79" i="123"/>
  <c r="W77" i="123"/>
  <c r="W81" i="123"/>
  <c r="W83" i="123" s="1"/>
  <c r="W84" i="123" s="1"/>
  <c r="W86" i="123" s="1"/>
  <c r="W87" i="123" s="1"/>
  <c r="AX83" i="82"/>
  <c r="AY81" i="82"/>
  <c r="AX79" i="122"/>
  <c r="AV77" i="122"/>
  <c r="AV81" i="122"/>
  <c r="AV83" i="122" s="1"/>
  <c r="AV84" i="122" s="1"/>
  <c r="AV86" i="122" s="1"/>
  <c r="AV87" i="122" s="1"/>
  <c r="CB87" i="82"/>
  <c r="AO81" i="82"/>
  <c r="AN83" i="82"/>
  <c r="AD79" i="100"/>
  <c r="AB77" i="100"/>
  <c r="AB81" i="100"/>
  <c r="AB83" i="100" s="1"/>
  <c r="AB84" i="100" s="1"/>
  <c r="AB86" i="100" s="1"/>
  <c r="AB87" i="100" s="1"/>
  <c r="J79" i="122"/>
  <c r="H77" i="122"/>
  <c r="CY79" i="122"/>
  <c r="H81" i="122"/>
  <c r="H83" i="122" s="1"/>
  <c r="H84" i="122" s="1"/>
  <c r="H86" i="122" s="1"/>
  <c r="H87" i="122" s="1"/>
  <c r="AD79" i="123"/>
  <c r="AB77" i="123"/>
  <c r="AB81" i="123"/>
  <c r="AB83" i="123" s="1"/>
  <c r="AB84" i="123" s="1"/>
  <c r="AB86" i="123" s="1"/>
  <c r="AB87" i="123" s="1"/>
  <c r="AS79" i="106"/>
  <c r="AQ77" i="106"/>
  <c r="AQ81" i="106"/>
  <c r="AQ83" i="106" s="1"/>
  <c r="AQ84" i="106" s="1"/>
  <c r="AQ86" i="106" s="1"/>
  <c r="AQ87" i="106" s="1"/>
  <c r="AO68" i="82"/>
  <c r="AO60" i="82"/>
  <c r="AO33" i="82"/>
  <c r="AO28" i="82"/>
  <c r="AO11" i="82"/>
  <c r="AO15" i="82"/>
  <c r="AO58" i="82"/>
  <c r="AN93" i="82"/>
  <c r="AO70" i="82"/>
  <c r="AO61" i="82"/>
  <c r="AO64" i="82"/>
  <c r="AY41" i="82"/>
  <c r="AO67" i="82"/>
  <c r="AO32" i="82"/>
  <c r="AO30" i="82"/>
  <c r="AO18" i="82"/>
  <c r="AO27" i="82"/>
  <c r="AO12" i="82"/>
  <c r="AO48" i="82"/>
  <c r="AO31" i="82"/>
  <c r="AO13" i="82"/>
  <c r="AO16" i="82"/>
  <c r="AY54" i="82"/>
  <c r="AT41" i="82"/>
  <c r="AO62" i="82"/>
  <c r="AO26" i="82"/>
  <c r="AO29" i="82"/>
  <c r="AO17" i="82"/>
  <c r="AT50" i="82"/>
  <c r="AO14" i="82"/>
  <c r="AO59" i="82"/>
  <c r="AO20" i="82"/>
  <c r="AO50" i="82"/>
  <c r="BX8" i="82"/>
  <c r="BX41" i="82"/>
  <c r="BD8" i="82"/>
  <c r="AO54" i="82"/>
  <c r="AO63" i="82"/>
  <c r="AO24" i="82"/>
  <c r="AO21" i="82"/>
  <c r="AO9" i="82"/>
  <c r="AO52" i="82"/>
  <c r="AO22" i="82"/>
  <c r="AO51" i="82"/>
  <c r="AO42" i="82"/>
  <c r="AO46" i="82"/>
  <c r="BS8" i="82"/>
  <c r="AO41" i="82"/>
  <c r="AT8" i="82"/>
  <c r="AO71" i="82"/>
  <c r="AO66" i="82"/>
  <c r="AO23" i="82"/>
  <c r="AO45" i="82"/>
  <c r="AY8" i="82"/>
  <c r="AO69" i="82"/>
  <c r="BD41" i="82"/>
  <c r="AO10" i="82"/>
  <c r="AY50" i="82"/>
  <c r="AO57" i="82"/>
  <c r="BS41" i="82"/>
  <c r="AO8" i="82"/>
  <c r="AO25" i="82"/>
  <c r="AO55" i="82"/>
  <c r="AO19" i="82"/>
  <c r="AO47" i="82"/>
  <c r="AO78" i="82"/>
  <c r="AT54" i="82"/>
  <c r="AO65" i="82"/>
  <c r="AO44" i="82"/>
  <c r="AO43" i="82"/>
  <c r="AO56" i="82"/>
  <c r="AT81" i="82"/>
  <c r="AT77" i="82"/>
  <c r="BD54" i="82"/>
  <c r="BS80" i="82"/>
  <c r="BS65" i="82"/>
  <c r="BS59" i="82"/>
  <c r="BS47" i="82"/>
  <c r="BD34" i="82"/>
  <c r="BD24" i="82"/>
  <c r="BD29" i="82"/>
  <c r="BD22" i="82"/>
  <c r="BS17" i="82"/>
  <c r="BD19" i="82"/>
  <c r="BD59" i="82"/>
  <c r="BS13" i="82"/>
  <c r="BS22" i="82"/>
  <c r="BS14" i="82"/>
  <c r="BS55" i="82"/>
  <c r="BD13" i="82"/>
  <c r="BD56" i="82"/>
  <c r="BD62" i="82"/>
  <c r="BS46" i="82"/>
  <c r="BS10" i="82"/>
  <c r="BD73" i="82"/>
  <c r="BS78" i="82"/>
  <c r="BD65" i="82"/>
  <c r="BS52" i="82"/>
  <c r="BD47" i="82"/>
  <c r="BS32" i="82"/>
  <c r="BD23" i="82"/>
  <c r="BS23" i="82"/>
  <c r="BS25" i="82"/>
  <c r="BD9" i="82"/>
  <c r="BD31" i="82"/>
  <c r="BS56" i="82"/>
  <c r="BD36" i="82"/>
  <c r="BD42" i="82"/>
  <c r="BD10" i="82"/>
  <c r="BD68" i="82"/>
  <c r="BS18" i="82"/>
  <c r="BD46" i="82"/>
  <c r="BD27" i="82"/>
  <c r="BD58" i="82"/>
  <c r="BD12" i="82"/>
  <c r="BS67" i="82"/>
  <c r="BD71" i="82"/>
  <c r="BD66" i="82"/>
  <c r="BS51" i="82"/>
  <c r="BD49" i="82"/>
  <c r="BD32" i="82"/>
  <c r="BD37" i="82"/>
  <c r="BS21" i="82"/>
  <c r="BS19" i="82"/>
  <c r="BD25" i="82"/>
  <c r="BD48" i="82"/>
  <c r="BD57" i="82"/>
  <c r="BD16" i="82"/>
  <c r="BS63" i="82"/>
  <c r="BS16" i="82"/>
  <c r="BD26" i="82"/>
  <c r="BD50" i="82"/>
  <c r="BS48" i="82"/>
  <c r="BS15" i="82"/>
  <c r="BS57" i="82"/>
  <c r="BD15" i="82"/>
  <c r="BD78" i="82"/>
  <c r="BS54" i="82"/>
  <c r="BD80" i="82"/>
  <c r="BS64" i="82"/>
  <c r="BS49" i="82"/>
  <c r="BS53" i="82"/>
  <c r="BS34" i="82"/>
  <c r="BS30" i="82"/>
  <c r="BS33" i="82"/>
  <c r="BD21" i="82"/>
  <c r="BD17" i="82"/>
  <c r="BS9" i="82"/>
  <c r="BS44" i="82"/>
  <c r="BS62" i="82"/>
  <c r="BS35" i="82"/>
  <c r="BS69" i="82"/>
  <c r="BS27" i="82"/>
  <c r="BD20" i="82"/>
  <c r="BS36" i="82"/>
  <c r="BD61" i="82"/>
  <c r="BS12" i="82"/>
  <c r="BD60" i="82"/>
  <c r="BD67" i="82"/>
  <c r="BS72" i="82"/>
  <c r="BD64" i="82"/>
  <c r="BS66" i="82"/>
  <c r="BD53" i="82"/>
  <c r="BS45" i="82"/>
  <c r="BD30" i="82"/>
  <c r="BD33" i="82"/>
  <c r="BD43" i="82"/>
  <c r="BD45" i="82"/>
  <c r="BS11" i="82"/>
  <c r="BD55" i="82"/>
  <c r="BS61" i="82"/>
  <c r="BD14" i="82"/>
  <c r="BD44" i="82"/>
  <c r="BS20" i="82"/>
  <c r="BD18" i="82"/>
  <c r="BC93" i="82"/>
  <c r="BC95" i="82" s="1"/>
  <c r="BS68" i="82"/>
  <c r="BS42" i="82"/>
  <c r="BS70" i="82"/>
  <c r="BD69" i="82"/>
  <c r="BS71" i="82"/>
  <c r="BS43" i="82"/>
  <c r="BD52" i="82"/>
  <c r="BS73" i="82"/>
  <c r="BS60" i="82"/>
  <c r="BS26" i="82"/>
  <c r="BS58" i="82"/>
  <c r="BD70" i="82"/>
  <c r="BD74" i="82"/>
  <c r="BS50" i="82"/>
  <c r="BD11" i="82"/>
  <c r="BD28" i="82"/>
  <c r="BS24" i="82"/>
  <c r="BS37" i="82"/>
  <c r="BD51" i="82"/>
  <c r="BS31" i="82"/>
  <c r="BD63" i="82"/>
  <c r="BD72" i="82"/>
  <c r="BS29" i="82"/>
  <c r="BD35" i="82"/>
  <c r="BS28" i="82"/>
  <c r="AL79" i="121"/>
  <c r="AX79" i="121"/>
  <c r="AV77" i="121"/>
  <c r="AV81" i="121"/>
  <c r="AV83" i="121" s="1"/>
  <c r="AV84" i="121" s="1"/>
  <c r="AV86" i="121" s="1"/>
  <c r="AV87" i="121" s="1"/>
  <c r="H77" i="121"/>
  <c r="CY79" i="121"/>
  <c r="J79" i="121"/>
  <c r="H81" i="121"/>
  <c r="H83" i="121" s="1"/>
  <c r="H84" i="121" s="1"/>
  <c r="H86" i="121" s="1"/>
  <c r="H87" i="121" s="1"/>
  <c r="T79" i="121"/>
  <c r="R77" i="121"/>
  <c r="R81" i="121"/>
  <c r="R83" i="121" s="1"/>
  <c r="R84" i="121" s="1"/>
  <c r="R86" i="121" s="1"/>
  <c r="R87" i="121" s="1"/>
  <c r="BK79" i="125"/>
  <c r="BM79" i="100"/>
  <c r="BK77" i="100"/>
  <c r="BK81" i="100"/>
  <c r="BK83" i="100" s="1"/>
  <c r="BK84" i="100" s="1"/>
  <c r="BK86" i="100" s="1"/>
  <c r="BK87" i="100" s="1"/>
  <c r="BA79" i="100"/>
  <c r="BZ77" i="82"/>
  <c r="BZ81" i="82"/>
  <c r="BZ83" i="82" s="1"/>
  <c r="BZ84" i="82" s="1"/>
  <c r="BZ86" i="82" s="1"/>
  <c r="BZ87" i="82" s="1"/>
  <c r="Y79" i="125"/>
  <c r="W77" i="125"/>
  <c r="W81" i="125"/>
  <c r="W83" i="125" s="1"/>
  <c r="W84" i="125" s="1"/>
  <c r="W86" i="125" s="1"/>
  <c r="W87" i="125" s="1"/>
  <c r="M77" i="122"/>
  <c r="O79" i="122"/>
  <c r="M81" i="122"/>
  <c r="M83" i="122" s="1"/>
  <c r="M84" i="122" s="1"/>
  <c r="M86" i="122" s="1"/>
  <c r="M87" i="122" s="1"/>
  <c r="CY79" i="124"/>
  <c r="H81" i="124"/>
  <c r="H83" i="124" s="1"/>
  <c r="H84" i="124" s="1"/>
  <c r="H86" i="124" s="1"/>
  <c r="H87" i="124" s="1"/>
  <c r="H77" i="124"/>
  <c r="J79" i="124"/>
  <c r="BU77" i="82"/>
  <c r="BU81" i="82"/>
  <c r="BU83" i="82" s="1"/>
  <c r="BU84" i="82" s="1"/>
  <c r="BU86" i="82" s="1"/>
  <c r="BU87" i="82" s="1"/>
  <c r="AQ77" i="122"/>
  <c r="AS79" i="122"/>
  <c r="AL79" i="122"/>
  <c r="AQ81" i="122"/>
  <c r="AQ83" i="122" s="1"/>
  <c r="AQ84" i="122" s="1"/>
  <c r="AQ86" i="122" s="1"/>
  <c r="AQ87" i="122" s="1"/>
  <c r="BF79" i="125"/>
  <c r="T79" i="124"/>
  <c r="R77" i="124"/>
  <c r="R81" i="124"/>
  <c r="R83" i="124" s="1"/>
  <c r="R84" i="124" s="1"/>
  <c r="R86" i="124" s="1"/>
  <c r="R87" i="124" s="1"/>
  <c r="O79" i="129"/>
  <c r="M77" i="129"/>
  <c r="M81" i="129"/>
  <c r="M83" i="129" s="1"/>
  <c r="M84" i="129" s="1"/>
  <c r="M86" i="129" s="1"/>
  <c r="M87" i="129" s="1"/>
  <c r="AL79" i="125"/>
  <c r="AN79" i="100"/>
  <c r="AL77" i="100"/>
  <c r="AL81" i="100"/>
  <c r="AL83" i="100" s="1"/>
  <c r="AL84" i="100" s="1"/>
  <c r="AL86" i="100" s="1"/>
  <c r="AL87" i="100" s="1"/>
  <c r="AL79" i="106"/>
  <c r="AN77" i="106"/>
  <c r="AN89" i="106"/>
  <c r="AN93" i="106" s="1"/>
  <c r="AN81" i="106"/>
  <c r="AN83" i="106" s="1"/>
  <c r="AN84" i="106" s="1"/>
  <c r="AN86" i="106" s="1"/>
  <c r="AN87" i="106" s="1"/>
  <c r="AL77" i="82"/>
  <c r="AL81" i="82"/>
  <c r="AL83" i="82" s="1"/>
  <c r="AL84" i="82" s="1"/>
  <c r="AL86" i="82" s="1"/>
  <c r="AL87" i="82" s="1"/>
  <c r="BA77" i="82"/>
  <c r="BA81" i="82"/>
  <c r="BA83" i="82" s="1"/>
  <c r="BA84" i="82" s="1"/>
  <c r="BA86" i="82" s="1"/>
  <c r="BA87" i="82" s="1"/>
  <c r="AY77" i="82"/>
  <c r="BC79" i="124"/>
  <c r="BA77" i="124"/>
  <c r="BA81" i="124"/>
  <c r="BA83" i="124" s="1"/>
  <c r="BA84" i="124" s="1"/>
  <c r="BA86" i="124" s="1"/>
  <c r="BA87" i="124" s="1"/>
  <c r="BA81" i="122"/>
  <c r="BA83" i="122" s="1"/>
  <c r="BA84" i="122" s="1"/>
  <c r="BA86" i="122" s="1"/>
  <c r="BA87" i="122" s="1"/>
  <c r="BC79" i="122"/>
  <c r="BA77" i="122"/>
  <c r="AL79" i="124"/>
  <c r="AS79" i="124"/>
  <c r="AQ77" i="124"/>
  <c r="AQ81" i="124"/>
  <c r="AQ83" i="124" s="1"/>
  <c r="AQ84" i="124" s="1"/>
  <c r="AQ86" i="124" s="1"/>
  <c r="AQ87" i="124" s="1"/>
  <c r="Y79" i="121"/>
  <c r="W77" i="121"/>
  <c r="W81" i="121"/>
  <c r="W83" i="121" s="1"/>
  <c r="W84" i="121" s="1"/>
  <c r="W86" i="121" s="1"/>
  <c r="W87" i="121" s="1"/>
  <c r="BR77" i="100"/>
  <c r="BR89" i="100"/>
  <c r="BR81" i="100"/>
  <c r="BR83" i="100" s="1"/>
  <c r="BR84" i="100" s="1"/>
  <c r="BR86" i="100" s="1"/>
  <c r="BR87" i="100" s="1"/>
  <c r="AJ77" i="82"/>
  <c r="AJ79" i="82"/>
  <c r="O79" i="121"/>
  <c r="M77" i="121"/>
  <c r="M81" i="121"/>
  <c r="M83" i="121" s="1"/>
  <c r="M84" i="121" s="1"/>
  <c r="M86" i="121" s="1"/>
  <c r="M87" i="121" s="1"/>
  <c r="E79" i="129"/>
  <c r="CO79" i="129"/>
  <c r="C77" i="129"/>
  <c r="AB79" i="125"/>
  <c r="C81" i="129"/>
  <c r="C83" i="129" s="1"/>
  <c r="C84" i="129" s="1"/>
  <c r="AT84" i="82"/>
  <c r="AS86" i="82"/>
  <c r="AQ77" i="123"/>
  <c r="AL79" i="123"/>
  <c r="AS79" i="123"/>
  <c r="AQ81" i="123"/>
  <c r="AQ83" i="123" s="1"/>
  <c r="AQ84" i="123" s="1"/>
  <c r="AQ86" i="123" s="1"/>
  <c r="AQ87" i="123" s="1"/>
  <c r="AB81" i="124"/>
  <c r="AB83" i="124" s="1"/>
  <c r="AB84" i="124" s="1"/>
  <c r="AB86" i="124" s="1"/>
  <c r="AB87" i="124" s="1"/>
  <c r="AB77" i="124"/>
  <c r="AD79" i="124"/>
  <c r="AI79" i="100"/>
  <c r="AG77" i="100"/>
  <c r="AG81" i="100"/>
  <c r="AG83" i="100" s="1"/>
  <c r="AG84" i="100" s="1"/>
  <c r="AG86" i="100" s="1"/>
  <c r="AG87" i="100" s="1"/>
  <c r="H77" i="129"/>
  <c r="H81" i="129"/>
  <c r="H83" i="129" s="1"/>
  <c r="H84" i="129" s="1"/>
  <c r="H86" i="129" s="1"/>
  <c r="H87" i="129" s="1"/>
  <c r="J79" i="129"/>
  <c r="AG79" i="125"/>
  <c r="Y79" i="122"/>
  <c r="W77" i="122"/>
  <c r="W81" i="122"/>
  <c r="W83" i="122" s="1"/>
  <c r="W84" i="122" s="1"/>
  <c r="W86" i="122" s="1"/>
  <c r="W87" i="122" s="1"/>
  <c r="AO77" i="82"/>
  <c r="AV77" i="82"/>
  <c r="AV81" i="82"/>
  <c r="AV83" i="82" s="1"/>
  <c r="AV84" i="82" s="1"/>
  <c r="AV86" i="82" s="1"/>
  <c r="AV87" i="82" s="1"/>
  <c r="AV77" i="123"/>
  <c r="AX79" i="123"/>
  <c r="AV81" i="123"/>
  <c r="AV83" i="123" s="1"/>
  <c r="AV84" i="123" s="1"/>
  <c r="AV86" i="123" s="1"/>
  <c r="AV87" i="123" s="1"/>
  <c r="AX79" i="124"/>
  <c r="AV77" i="124"/>
  <c r="AV81" i="124"/>
  <c r="AV83" i="124" s="1"/>
  <c r="AV84" i="124" s="1"/>
  <c r="AV86" i="124" s="1"/>
  <c r="AV87" i="124" s="1"/>
  <c r="AZ39" i="99"/>
  <c r="W75" i="89"/>
  <c r="W76" i="89" s="1"/>
  <c r="X75" i="89"/>
  <c r="X76" i="89" s="1"/>
  <c r="BJ39" i="90"/>
  <c r="BL89" i="90"/>
  <c r="BL94" i="90" s="1"/>
  <c r="BL39" i="90"/>
  <c r="BL75" i="90"/>
  <c r="BL76" i="90" s="1"/>
  <c r="BK81" i="90"/>
  <c r="BK83" i="90" s="1"/>
  <c r="BK84" i="90" s="1"/>
  <c r="BK86" i="90" s="1"/>
  <c r="BK87" i="90" s="1"/>
  <c r="BK76" i="90"/>
  <c r="W81" i="89"/>
  <c r="W83" i="89" s="1"/>
  <c r="W84" i="89" s="1"/>
  <c r="W86" i="89" s="1"/>
  <c r="W87" i="89" s="1"/>
  <c r="V81" i="89"/>
  <c r="V83" i="89" s="1"/>
  <c r="V84" i="89" s="1"/>
  <c r="V86" i="89" s="1"/>
  <c r="V87" i="89" s="1"/>
  <c r="V76" i="89"/>
  <c r="BB75" i="99"/>
  <c r="BB39" i="99"/>
  <c r="AZ76" i="99"/>
  <c r="AZ81" i="99"/>
  <c r="AZ83" i="99" s="1"/>
  <c r="AZ84" i="99" s="1"/>
  <c r="AZ86" i="99" s="1"/>
  <c r="AZ87" i="99" s="1"/>
  <c r="BA81" i="99"/>
  <c r="BA83" i="99" s="1"/>
  <c r="BA84" i="99" s="1"/>
  <c r="BA86" i="99" s="1"/>
  <c r="BA87" i="99" s="1"/>
  <c r="BA76" i="99"/>
  <c r="BP77" i="125" l="1"/>
  <c r="BP81" i="125"/>
  <c r="BP83" i="125" s="1"/>
  <c r="BP84" i="125" s="1"/>
  <c r="BP86" i="125" s="1"/>
  <c r="BP87" i="125" s="1"/>
  <c r="U28" i="130"/>
  <c r="AE50" i="130"/>
  <c r="AE64" i="130"/>
  <c r="U54" i="130"/>
  <c r="AE41" i="130"/>
  <c r="U21" i="130"/>
  <c r="AE18" i="130"/>
  <c r="U24" i="130"/>
  <c r="U51" i="130"/>
  <c r="U52" i="130"/>
  <c r="U66" i="130"/>
  <c r="AE47" i="130"/>
  <c r="AE26" i="130"/>
  <c r="U17" i="130"/>
  <c r="AE57" i="130"/>
  <c r="U14" i="130"/>
  <c r="AE62" i="130"/>
  <c r="AE25" i="130"/>
  <c r="AE68" i="130"/>
  <c r="U9" i="130"/>
  <c r="U26" i="130"/>
  <c r="AE24" i="130"/>
  <c r="AE8" i="130"/>
  <c r="U41" i="130"/>
  <c r="U29" i="130"/>
  <c r="AE22" i="130"/>
  <c r="AE30" i="130"/>
  <c r="U47" i="130"/>
  <c r="U69" i="130"/>
  <c r="AE67" i="130"/>
  <c r="AE46" i="130"/>
  <c r="AE28" i="130"/>
  <c r="U10" i="130"/>
  <c r="AE51" i="130"/>
  <c r="U32" i="130"/>
  <c r="U61" i="130"/>
  <c r="AE17" i="130"/>
  <c r="U42" i="130"/>
  <c r="AE11" i="130"/>
  <c r="AE19" i="130"/>
  <c r="AE61" i="130"/>
  <c r="U27" i="130"/>
  <c r="AE45" i="130"/>
  <c r="U22" i="130"/>
  <c r="AE23" i="130"/>
  <c r="U34" i="130"/>
  <c r="U35" i="130"/>
  <c r="U64" i="130"/>
  <c r="U63" i="130"/>
  <c r="U71" i="130"/>
  <c r="U62" i="130"/>
  <c r="AE21" i="130"/>
  <c r="U15" i="130"/>
  <c r="U56" i="130"/>
  <c r="U30" i="130"/>
  <c r="AE60" i="130"/>
  <c r="U13" i="130"/>
  <c r="AE59" i="130"/>
  <c r="AE63" i="130"/>
  <c r="AE10" i="130"/>
  <c r="AE27" i="130"/>
  <c r="U38" i="130"/>
  <c r="U23" i="130"/>
  <c r="U33" i="130"/>
  <c r="U37" i="130"/>
  <c r="AE40" i="130"/>
  <c r="U65" i="130"/>
  <c r="U43" i="130"/>
  <c r="U68" i="130"/>
  <c r="AE56" i="130"/>
  <c r="U16" i="130"/>
  <c r="AE71" i="130"/>
  <c r="AE43" i="130"/>
  <c r="AE14" i="130"/>
  <c r="AE36" i="130"/>
  <c r="AE16" i="130"/>
  <c r="U44" i="130"/>
  <c r="U67" i="130"/>
  <c r="U20" i="130"/>
  <c r="AE35" i="130"/>
  <c r="U25" i="130"/>
  <c r="U36" i="130"/>
  <c r="U46" i="130"/>
  <c r="U45" i="130"/>
  <c r="U70" i="130"/>
  <c r="AE42" i="130"/>
  <c r="AE70" i="130"/>
  <c r="U60" i="130"/>
  <c r="U18" i="130"/>
  <c r="AE58" i="130"/>
  <c r="AE32" i="130"/>
  <c r="U12" i="130"/>
  <c r="AE31" i="130"/>
  <c r="U58" i="130"/>
  <c r="AE15" i="130"/>
  <c r="U59" i="130"/>
  <c r="AE13" i="130"/>
  <c r="U19" i="130"/>
  <c r="U55" i="130"/>
  <c r="AE33" i="130"/>
  <c r="AE9" i="130"/>
  <c r="U40" i="130"/>
  <c r="U57" i="130"/>
  <c r="AE48" i="130"/>
  <c r="U48" i="130"/>
  <c r="AE12" i="130"/>
  <c r="AE20" i="130"/>
  <c r="AE44" i="130"/>
  <c r="AE52" i="130"/>
  <c r="AE55" i="130"/>
  <c r="AE65" i="130"/>
  <c r="AE66" i="130"/>
  <c r="AE29" i="130"/>
  <c r="U49" i="130"/>
  <c r="U50" i="130"/>
  <c r="U31" i="130"/>
  <c r="U8" i="130"/>
  <c r="AE69" i="130"/>
  <c r="T91" i="130"/>
  <c r="U11" i="130"/>
  <c r="AE38" i="130"/>
  <c r="AE54" i="130"/>
  <c r="AE39" i="130"/>
  <c r="U39" i="130"/>
  <c r="K54" i="130"/>
  <c r="K27" i="130"/>
  <c r="K41" i="130"/>
  <c r="F8" i="130"/>
  <c r="K28" i="130"/>
  <c r="K50" i="130"/>
  <c r="F50" i="130"/>
  <c r="F13" i="130"/>
  <c r="F29" i="130"/>
  <c r="F40" i="130"/>
  <c r="K19" i="130"/>
  <c r="F45" i="130"/>
  <c r="K45" i="130"/>
  <c r="K66" i="130"/>
  <c r="K65" i="130"/>
  <c r="F71" i="130"/>
  <c r="K44" i="130"/>
  <c r="K9" i="130"/>
  <c r="F64" i="130"/>
  <c r="F25" i="130"/>
  <c r="F43" i="130"/>
  <c r="K60" i="130"/>
  <c r="F60" i="130"/>
  <c r="F44" i="130"/>
  <c r="F33" i="130"/>
  <c r="K38" i="130"/>
  <c r="K14" i="130"/>
  <c r="K21" i="130"/>
  <c r="F46" i="130"/>
  <c r="F28" i="130"/>
  <c r="K52" i="130"/>
  <c r="K48" i="130"/>
  <c r="K68" i="130"/>
  <c r="F69" i="130"/>
  <c r="F52" i="130"/>
  <c r="F57" i="130"/>
  <c r="K20" i="130"/>
  <c r="K42" i="130"/>
  <c r="K10" i="130"/>
  <c r="K35" i="130"/>
  <c r="K61" i="130"/>
  <c r="K18" i="130"/>
  <c r="F11" i="130"/>
  <c r="K8" i="130"/>
  <c r="F38" i="130"/>
  <c r="F16" i="130"/>
  <c r="K17" i="130"/>
  <c r="F48" i="130"/>
  <c r="K25" i="130"/>
  <c r="F24" i="130"/>
  <c r="K51" i="130"/>
  <c r="F70" i="130"/>
  <c r="K70" i="130"/>
  <c r="F63" i="130"/>
  <c r="K55" i="130"/>
  <c r="F56" i="130"/>
  <c r="F31" i="130"/>
  <c r="F17" i="130"/>
  <c r="F26" i="130"/>
  <c r="F36" i="130"/>
  <c r="K12" i="130"/>
  <c r="F15" i="130"/>
  <c r="F20" i="130"/>
  <c r="K23" i="130"/>
  <c r="F19" i="130"/>
  <c r="K33" i="130"/>
  <c r="K36" i="130"/>
  <c r="F51" i="130"/>
  <c r="K56" i="130"/>
  <c r="K71" i="130"/>
  <c r="O91" i="130"/>
  <c r="F66" i="130"/>
  <c r="K32" i="130"/>
  <c r="K57" i="130"/>
  <c r="F59" i="130"/>
  <c r="F67" i="130"/>
  <c r="K24" i="130"/>
  <c r="K26" i="130"/>
  <c r="K58" i="130"/>
  <c r="F9" i="130"/>
  <c r="F54" i="130"/>
  <c r="F10" i="130"/>
  <c r="F21" i="130"/>
  <c r="F22" i="130"/>
  <c r="F42" i="130"/>
  <c r="K29" i="130"/>
  <c r="F62" i="130"/>
  <c r="K59" i="130"/>
  <c r="K46" i="130"/>
  <c r="F58" i="130"/>
  <c r="K69" i="130"/>
  <c r="K30" i="130"/>
  <c r="K62" i="130"/>
  <c r="K16" i="130"/>
  <c r="F61" i="130"/>
  <c r="F14" i="130"/>
  <c r="F30" i="130"/>
  <c r="K47" i="130"/>
  <c r="K15" i="130"/>
  <c r="F23" i="130"/>
  <c r="F55" i="130"/>
  <c r="K67" i="130"/>
  <c r="K22" i="130"/>
  <c r="F68" i="130"/>
  <c r="F12" i="130"/>
  <c r="K43" i="130"/>
  <c r="F47" i="130"/>
  <c r="K13" i="130"/>
  <c r="K40" i="130"/>
  <c r="F18" i="130"/>
  <c r="F32" i="130"/>
  <c r="K11" i="130"/>
  <c r="F65" i="130"/>
  <c r="K31" i="130"/>
  <c r="F41" i="130"/>
  <c r="F27" i="130"/>
  <c r="K64" i="130"/>
  <c r="F35" i="130"/>
  <c r="K63" i="130"/>
  <c r="F39" i="130"/>
  <c r="K39" i="130"/>
  <c r="AD77" i="130"/>
  <c r="AD89" i="130"/>
  <c r="AD91" i="130" s="1"/>
  <c r="AD81" i="130"/>
  <c r="AD83" i="130" s="1"/>
  <c r="AD84" i="130" s="1"/>
  <c r="AD86" i="130" s="1"/>
  <c r="AD87" i="130" s="1"/>
  <c r="BM91" i="130"/>
  <c r="AD93" i="130"/>
  <c r="P27" i="130"/>
  <c r="P8" i="130"/>
  <c r="P28" i="130"/>
  <c r="P41" i="130"/>
  <c r="P50" i="130"/>
  <c r="P54" i="130"/>
  <c r="P38" i="130"/>
  <c r="P19" i="130"/>
  <c r="P29" i="130"/>
  <c r="P42" i="130"/>
  <c r="P57" i="130"/>
  <c r="P66" i="130"/>
  <c r="P12" i="130"/>
  <c r="P18" i="130"/>
  <c r="P15" i="130"/>
  <c r="P58" i="130"/>
  <c r="P36" i="130"/>
  <c r="P22" i="130"/>
  <c r="P37" i="130"/>
  <c r="P51" i="130"/>
  <c r="P60" i="130"/>
  <c r="P68" i="130"/>
  <c r="P55" i="130"/>
  <c r="P9" i="130"/>
  <c r="P64" i="130"/>
  <c r="P10" i="130"/>
  <c r="P71" i="130"/>
  <c r="P24" i="130"/>
  <c r="P30" i="130"/>
  <c r="P53" i="130"/>
  <c r="P61" i="130"/>
  <c r="P33" i="130"/>
  <c r="P32" i="130"/>
  <c r="P65" i="130"/>
  <c r="P11" i="130"/>
  <c r="P52" i="130"/>
  <c r="P31" i="130"/>
  <c r="P62" i="130"/>
  <c r="P56" i="130"/>
  <c r="P48" i="130"/>
  <c r="P14" i="130"/>
  <c r="P69" i="130"/>
  <c r="P43" i="130"/>
  <c r="P20" i="130"/>
  <c r="P23" i="130"/>
  <c r="P35" i="130"/>
  <c r="P46" i="130"/>
  <c r="P49" i="130"/>
  <c r="P16" i="130"/>
  <c r="P47" i="130"/>
  <c r="P70" i="130"/>
  <c r="P67" i="130"/>
  <c r="P34" i="130"/>
  <c r="P45" i="130"/>
  <c r="P21" i="130"/>
  <c r="P40" i="130"/>
  <c r="P13" i="130"/>
  <c r="P25" i="130"/>
  <c r="P44" i="130"/>
  <c r="P17" i="130"/>
  <c r="P26" i="130"/>
  <c r="P63" i="130"/>
  <c r="P59" i="130"/>
  <c r="P39" i="130"/>
  <c r="CQ77" i="130"/>
  <c r="CQ81" i="130"/>
  <c r="CQ83" i="130" s="1"/>
  <c r="CQ84" i="130" s="1"/>
  <c r="CQ86" i="130" s="1"/>
  <c r="CQ87" i="130" s="1"/>
  <c r="CQ89" i="130"/>
  <c r="CQ90" i="130" s="1"/>
  <c r="BM79" i="82"/>
  <c r="DN79" i="125"/>
  <c r="DP79" i="125" s="1"/>
  <c r="AN79" i="123"/>
  <c r="AL77" i="123"/>
  <c r="AL81" i="123"/>
  <c r="AL83" i="123" s="1"/>
  <c r="AL84" i="123" s="1"/>
  <c r="AL86" i="123" s="1"/>
  <c r="AL87" i="123" s="1"/>
  <c r="O77" i="129"/>
  <c r="O89" i="129"/>
  <c r="O81" i="129"/>
  <c r="O83" i="129" s="1"/>
  <c r="O84" i="129" s="1"/>
  <c r="O86" i="129" s="1"/>
  <c r="O87" i="129" s="1"/>
  <c r="AN79" i="125"/>
  <c r="Y77" i="124"/>
  <c r="Y89" i="124"/>
  <c r="Y91" i="124" s="1"/>
  <c r="Y81" i="124"/>
  <c r="Y83" i="124" s="1"/>
  <c r="Y84" i="124" s="1"/>
  <c r="Y86" i="124" s="1"/>
  <c r="Y87" i="124" s="1"/>
  <c r="J77" i="129"/>
  <c r="J89" i="129"/>
  <c r="J91" i="129" s="1"/>
  <c r="J81" i="129"/>
  <c r="J83" i="129" s="1"/>
  <c r="J84" i="129" s="1"/>
  <c r="J86" i="129" s="1"/>
  <c r="J87" i="129" s="1"/>
  <c r="AD77" i="124"/>
  <c r="AD89" i="124"/>
  <c r="AD81" i="124"/>
  <c r="AD83" i="124" s="1"/>
  <c r="AD84" i="124" s="1"/>
  <c r="AD86" i="124" s="1"/>
  <c r="AD87" i="124" s="1"/>
  <c r="CQ79" i="129"/>
  <c r="CO77" i="129"/>
  <c r="CO81" i="129"/>
  <c r="CO83" i="129" s="1"/>
  <c r="Y77" i="121"/>
  <c r="Y89" i="121"/>
  <c r="Y91" i="121" s="1"/>
  <c r="Y81" i="121"/>
  <c r="Y83" i="121" s="1"/>
  <c r="Y84" i="121" s="1"/>
  <c r="Y86" i="121" s="1"/>
  <c r="Y87" i="121" s="1"/>
  <c r="AS77" i="122"/>
  <c r="AS89" i="122"/>
  <c r="AS81" i="122"/>
  <c r="AS83" i="122" s="1"/>
  <c r="AS84" i="122" s="1"/>
  <c r="AS86" i="122" s="1"/>
  <c r="AS87" i="122" s="1"/>
  <c r="BH79" i="125"/>
  <c r="BA77" i="100"/>
  <c r="BC79" i="100"/>
  <c r="BA81" i="100"/>
  <c r="BA83" i="100" s="1"/>
  <c r="BA84" i="100" s="1"/>
  <c r="BA86" i="100" s="1"/>
  <c r="BA87" i="100" s="1"/>
  <c r="DA79" i="122"/>
  <c r="CY81" i="122"/>
  <c r="CY83" i="122" s="1"/>
  <c r="CY84" i="122" s="1"/>
  <c r="CY86" i="122" s="1"/>
  <c r="CY87" i="122" s="1"/>
  <c r="CY77" i="122"/>
  <c r="AN84" i="82"/>
  <c r="AO83" i="82"/>
  <c r="Y77" i="123"/>
  <c r="Y89" i="123"/>
  <c r="Y91" i="123" s="1"/>
  <c r="Y81" i="123"/>
  <c r="Y83" i="123" s="1"/>
  <c r="Y84" i="123" s="1"/>
  <c r="Y86" i="123" s="1"/>
  <c r="Y87" i="123" s="1"/>
  <c r="J77" i="123"/>
  <c r="J89" i="123"/>
  <c r="J81" i="123"/>
  <c r="J83" i="123" s="1"/>
  <c r="J84" i="123" s="1"/>
  <c r="J86" i="123" s="1"/>
  <c r="J87" i="123" s="1"/>
  <c r="AX77" i="123"/>
  <c r="AX89" i="123"/>
  <c r="AX91" i="123" s="1"/>
  <c r="AX81" i="123"/>
  <c r="AX83" i="123" s="1"/>
  <c r="AX84" i="123" s="1"/>
  <c r="AX86" i="123" s="1"/>
  <c r="AX87" i="123" s="1"/>
  <c r="AT86" i="82"/>
  <c r="AS87" i="82"/>
  <c r="AT87" i="82" s="1"/>
  <c r="BC77" i="124"/>
  <c r="BC89" i="124"/>
  <c r="BC91" i="124" s="1"/>
  <c r="BC81" i="124"/>
  <c r="BC83" i="124" s="1"/>
  <c r="BC84" i="124" s="1"/>
  <c r="BC86" i="124" s="1"/>
  <c r="BC87" i="124" s="1"/>
  <c r="AN77" i="100"/>
  <c r="AN89" i="100"/>
  <c r="AN92" i="100" s="1"/>
  <c r="AN81" i="100"/>
  <c r="AN83" i="100" s="1"/>
  <c r="AN84" i="100" s="1"/>
  <c r="AN86" i="100" s="1"/>
  <c r="AN87" i="100" s="1"/>
  <c r="DA79" i="124"/>
  <c r="CY77" i="124"/>
  <c r="CY81" i="124"/>
  <c r="CY83" i="124" s="1"/>
  <c r="CY84" i="124" s="1"/>
  <c r="CY86" i="124" s="1"/>
  <c r="CY87" i="124" s="1"/>
  <c r="T77" i="121"/>
  <c r="T89" i="121"/>
  <c r="T81" i="121"/>
  <c r="T83" i="121" s="1"/>
  <c r="T84" i="121" s="1"/>
  <c r="T86" i="121" s="1"/>
  <c r="T87" i="121" s="1"/>
  <c r="AS77" i="106"/>
  <c r="AS89" i="106"/>
  <c r="AS93" i="106" s="1"/>
  <c r="AS81" i="106"/>
  <c r="AS83" i="106" s="1"/>
  <c r="AS84" i="106" s="1"/>
  <c r="AS86" i="106" s="1"/>
  <c r="AS87" i="106" s="1"/>
  <c r="AX77" i="122"/>
  <c r="AX89" i="122"/>
  <c r="AX91" i="122" s="1"/>
  <c r="AX81" i="122"/>
  <c r="AX83" i="122" s="1"/>
  <c r="AX84" i="122" s="1"/>
  <c r="AX86" i="122" s="1"/>
  <c r="AX87" i="122" s="1"/>
  <c r="BR87" i="82"/>
  <c r="AQ77" i="125"/>
  <c r="AQ81" i="125"/>
  <c r="AQ83" i="125" s="1"/>
  <c r="AQ84" i="125" s="1"/>
  <c r="AQ86" i="125" s="1"/>
  <c r="AQ87" i="125" s="1"/>
  <c r="AD77" i="122"/>
  <c r="AD89" i="122"/>
  <c r="AD81" i="122"/>
  <c r="AD83" i="122" s="1"/>
  <c r="AD84" i="122" s="1"/>
  <c r="AD86" i="122" s="1"/>
  <c r="AD87" i="122" s="1"/>
  <c r="O77" i="124"/>
  <c r="O89" i="124"/>
  <c r="O81" i="124"/>
  <c r="O83" i="124" s="1"/>
  <c r="O84" i="124" s="1"/>
  <c r="O86" i="124" s="1"/>
  <c r="O87" i="124" s="1"/>
  <c r="BC77" i="123"/>
  <c r="BC89" i="123"/>
  <c r="BC91" i="123" s="1"/>
  <c r="BC81" i="123"/>
  <c r="BC83" i="123" s="1"/>
  <c r="BC84" i="123" s="1"/>
  <c r="BC86" i="123" s="1"/>
  <c r="BC87" i="123" s="1"/>
  <c r="DA79" i="123"/>
  <c r="CY77" i="123"/>
  <c r="CY81" i="123"/>
  <c r="CY83" i="123" s="1"/>
  <c r="CY84" i="123" s="1"/>
  <c r="CY86" i="123" s="1"/>
  <c r="CY87" i="123" s="1"/>
  <c r="AJ83" i="82"/>
  <c r="AI84" i="82"/>
  <c r="AI77" i="100"/>
  <c r="AI89" i="100"/>
  <c r="AI81" i="100"/>
  <c r="AI83" i="100" s="1"/>
  <c r="AI84" i="100" s="1"/>
  <c r="AI86" i="100" s="1"/>
  <c r="AI87" i="100" s="1"/>
  <c r="AD77" i="121"/>
  <c r="AD89" i="121"/>
  <c r="AD81" i="121"/>
  <c r="AD83" i="121" s="1"/>
  <c r="AD84" i="121" s="1"/>
  <c r="AD86" i="121" s="1"/>
  <c r="AD87" i="121" s="1"/>
  <c r="E77" i="129"/>
  <c r="E89" i="129"/>
  <c r="E81" i="129"/>
  <c r="E83" i="129" s="1"/>
  <c r="E84" i="129" s="1"/>
  <c r="E86" i="129" s="1"/>
  <c r="E87" i="129" s="1"/>
  <c r="BR91" i="100"/>
  <c r="AL77" i="125"/>
  <c r="AL81" i="125"/>
  <c r="AL83" i="125" s="1"/>
  <c r="AL84" i="125" s="1"/>
  <c r="AL86" i="125" s="1"/>
  <c r="AL87" i="125" s="1"/>
  <c r="T77" i="124"/>
  <c r="T89" i="124"/>
  <c r="T81" i="124"/>
  <c r="T83" i="124" s="1"/>
  <c r="T84" i="124" s="1"/>
  <c r="T86" i="124" s="1"/>
  <c r="T87" i="124" s="1"/>
  <c r="Y77" i="125"/>
  <c r="Y89" i="125"/>
  <c r="Y81" i="125"/>
  <c r="Y83" i="125" s="1"/>
  <c r="Y84" i="125" s="1"/>
  <c r="Y86" i="125" s="1"/>
  <c r="Y87" i="125" s="1"/>
  <c r="AX77" i="121"/>
  <c r="AX89" i="121"/>
  <c r="AX91" i="121" s="1"/>
  <c r="AX81" i="121"/>
  <c r="AX83" i="121" s="1"/>
  <c r="AX84" i="121" s="1"/>
  <c r="AX86" i="121" s="1"/>
  <c r="AX87" i="121" s="1"/>
  <c r="J77" i="122"/>
  <c r="J89" i="122"/>
  <c r="J81" i="122"/>
  <c r="J83" i="122" s="1"/>
  <c r="J84" i="122" s="1"/>
  <c r="J86" i="122" s="1"/>
  <c r="J87" i="122" s="1"/>
  <c r="BR93" i="82"/>
  <c r="BR95" i="82" s="1"/>
  <c r="BR91" i="82"/>
  <c r="Y77" i="100"/>
  <c r="Y89" i="100"/>
  <c r="Y81" i="100"/>
  <c r="Y83" i="100" s="1"/>
  <c r="Y84" i="100" s="1"/>
  <c r="Y86" i="100" s="1"/>
  <c r="Y87" i="100" s="1"/>
  <c r="CL77" i="100"/>
  <c r="CL89" i="100"/>
  <c r="CL81" i="100"/>
  <c r="CL83" i="100" s="1"/>
  <c r="CL84" i="100" s="1"/>
  <c r="CL86" i="100" s="1"/>
  <c r="CL87" i="100" s="1"/>
  <c r="AN79" i="122"/>
  <c r="AL77" i="122"/>
  <c r="AL81" i="122"/>
  <c r="AL83" i="122" s="1"/>
  <c r="AL84" i="122" s="1"/>
  <c r="AL86" i="122" s="1"/>
  <c r="AL87" i="122" s="1"/>
  <c r="AD77" i="100"/>
  <c r="AD89" i="100"/>
  <c r="AD81" i="100"/>
  <c r="AD83" i="100" s="1"/>
  <c r="AD84" i="100" s="1"/>
  <c r="AD86" i="100" s="1"/>
  <c r="AD87" i="100" s="1"/>
  <c r="AX77" i="124"/>
  <c r="AX89" i="124"/>
  <c r="AX91" i="124" s="1"/>
  <c r="AX81" i="124"/>
  <c r="AX83" i="124" s="1"/>
  <c r="AX84" i="124" s="1"/>
  <c r="AX86" i="124" s="1"/>
  <c r="AX87" i="124" s="1"/>
  <c r="CO84" i="129"/>
  <c r="C86" i="129"/>
  <c r="C87" i="129" s="1"/>
  <c r="AS77" i="124"/>
  <c r="AS89" i="124"/>
  <c r="AS91" i="124" s="1"/>
  <c r="AS81" i="124"/>
  <c r="AS83" i="124" s="1"/>
  <c r="AS84" i="124" s="1"/>
  <c r="AS86" i="124" s="1"/>
  <c r="AS87" i="124" s="1"/>
  <c r="BC77" i="122"/>
  <c r="BC89" i="122"/>
  <c r="BC91" i="122" s="1"/>
  <c r="BC81" i="122"/>
  <c r="BC83" i="122" s="1"/>
  <c r="BC84" i="122" s="1"/>
  <c r="BC86" i="122" s="1"/>
  <c r="BC87" i="122" s="1"/>
  <c r="BF81" i="125"/>
  <c r="BF83" i="125" s="1"/>
  <c r="BF84" i="125" s="1"/>
  <c r="BF86" i="125" s="1"/>
  <c r="BF87" i="125" s="1"/>
  <c r="BA79" i="125"/>
  <c r="BF77" i="125"/>
  <c r="O77" i="122"/>
  <c r="O89" i="122"/>
  <c r="O81" i="122"/>
  <c r="O83" i="122" s="1"/>
  <c r="O84" i="122" s="1"/>
  <c r="O86" i="122" s="1"/>
  <c r="O87" i="122" s="1"/>
  <c r="BM77" i="100"/>
  <c r="BM89" i="100"/>
  <c r="BM81" i="100"/>
  <c r="BM83" i="100" s="1"/>
  <c r="BM84" i="100" s="1"/>
  <c r="BM86" i="100" s="1"/>
  <c r="BM87" i="100" s="1"/>
  <c r="J77" i="121"/>
  <c r="J89" i="121"/>
  <c r="J81" i="121"/>
  <c r="J83" i="121" s="1"/>
  <c r="J84" i="121" s="1"/>
  <c r="J86" i="121" s="1"/>
  <c r="J87" i="121" s="1"/>
  <c r="AL81" i="121"/>
  <c r="AL83" i="121" s="1"/>
  <c r="AL84" i="121" s="1"/>
  <c r="AL86" i="121" s="1"/>
  <c r="AL87" i="121" s="1"/>
  <c r="AN79" i="121"/>
  <c r="AL77" i="121"/>
  <c r="AX84" i="82"/>
  <c r="AY83" i="82"/>
  <c r="T77" i="129"/>
  <c r="T81" i="129"/>
  <c r="T83" i="129" s="1"/>
  <c r="T84" i="129" s="1"/>
  <c r="T86" i="129" s="1"/>
  <c r="T87" i="129" s="1"/>
  <c r="T89" i="129"/>
  <c r="AS79" i="125"/>
  <c r="DN77" i="100"/>
  <c r="DP79" i="100"/>
  <c r="DN81" i="100"/>
  <c r="DN83" i="100" s="1"/>
  <c r="DN84" i="100" s="1"/>
  <c r="DN86" i="100" s="1"/>
  <c r="DN87" i="100" s="1"/>
  <c r="CV87" i="82"/>
  <c r="CZ94" i="82"/>
  <c r="DA101" i="82" s="1"/>
  <c r="DE94" i="82"/>
  <c r="DF101" i="82" s="1"/>
  <c r="CU94" i="82"/>
  <c r="CV99" i="82" s="1"/>
  <c r="CJ77" i="125"/>
  <c r="CL79" i="125"/>
  <c r="CJ81" i="125"/>
  <c r="CJ83" i="125" s="1"/>
  <c r="CJ84" i="125" s="1"/>
  <c r="CJ86" i="125" s="1"/>
  <c r="CJ87" i="125" s="1"/>
  <c r="T77" i="122"/>
  <c r="T89" i="122"/>
  <c r="T81" i="122"/>
  <c r="T83" i="122" s="1"/>
  <c r="T84" i="122" s="1"/>
  <c r="T86" i="122" s="1"/>
  <c r="T87" i="122" s="1"/>
  <c r="BM89" i="82"/>
  <c r="BM91" i="82" s="1"/>
  <c r="EE79" i="82"/>
  <c r="BM77" i="82"/>
  <c r="BM81" i="82"/>
  <c r="BM83" i="82" s="1"/>
  <c r="BM84" i="82" s="1"/>
  <c r="BM86" i="82" s="1"/>
  <c r="BM87" i="82" s="1"/>
  <c r="AI79" i="125"/>
  <c r="AG77" i="125"/>
  <c r="AG81" i="125"/>
  <c r="AG83" i="125" s="1"/>
  <c r="AG84" i="125" s="1"/>
  <c r="AG86" i="125" s="1"/>
  <c r="AG87" i="125" s="1"/>
  <c r="BR77" i="125"/>
  <c r="BR89" i="125"/>
  <c r="BR91" i="125" s="1"/>
  <c r="BR81" i="125"/>
  <c r="BR83" i="125" s="1"/>
  <c r="BR84" i="125" s="1"/>
  <c r="BR86" i="125" s="1"/>
  <c r="BR87" i="125" s="1"/>
  <c r="Y77" i="122"/>
  <c r="Y89" i="122"/>
  <c r="Y91" i="122" s="1"/>
  <c r="Y81" i="122"/>
  <c r="Y83" i="122" s="1"/>
  <c r="Y84" i="122" s="1"/>
  <c r="Y86" i="122" s="1"/>
  <c r="Y87" i="122" s="1"/>
  <c r="AS77" i="123"/>
  <c r="AS89" i="123"/>
  <c r="AS91" i="123" s="1"/>
  <c r="AS81" i="123"/>
  <c r="AS83" i="123" s="1"/>
  <c r="AS84" i="123" s="1"/>
  <c r="AS86" i="123" s="1"/>
  <c r="AS87" i="123" s="1"/>
  <c r="AD79" i="125"/>
  <c r="AB77" i="125"/>
  <c r="AB81" i="125"/>
  <c r="AB83" i="125" s="1"/>
  <c r="AB84" i="125" s="1"/>
  <c r="AB86" i="125" s="1"/>
  <c r="AB87" i="125" s="1"/>
  <c r="O77" i="121"/>
  <c r="O89" i="121"/>
  <c r="O81" i="121"/>
  <c r="O83" i="121" s="1"/>
  <c r="O84" i="121" s="1"/>
  <c r="O86" i="121" s="1"/>
  <c r="O87" i="121" s="1"/>
  <c r="AL77" i="124"/>
  <c r="AN79" i="124"/>
  <c r="AL81" i="124"/>
  <c r="AL83" i="124" s="1"/>
  <c r="AL84" i="124" s="1"/>
  <c r="AL86" i="124" s="1"/>
  <c r="AL87" i="124" s="1"/>
  <c r="AL77" i="106"/>
  <c r="AL81" i="106"/>
  <c r="AL83" i="106" s="1"/>
  <c r="AL84" i="106" s="1"/>
  <c r="AL86" i="106" s="1"/>
  <c r="AL87" i="106" s="1"/>
  <c r="J77" i="124"/>
  <c r="J89" i="124"/>
  <c r="J81" i="124"/>
  <c r="J83" i="124" s="1"/>
  <c r="J84" i="124" s="1"/>
  <c r="J86" i="124" s="1"/>
  <c r="J87" i="124" s="1"/>
  <c r="BK77" i="125"/>
  <c r="BM79" i="125"/>
  <c r="BK81" i="125"/>
  <c r="BK83" i="125" s="1"/>
  <c r="BK84" i="125" s="1"/>
  <c r="BK86" i="125" s="1"/>
  <c r="BK87" i="125" s="1"/>
  <c r="CY77" i="121"/>
  <c r="DA79" i="121"/>
  <c r="CY81" i="121"/>
  <c r="CY83" i="121" s="1"/>
  <c r="CY84" i="121" s="1"/>
  <c r="CY86" i="121" s="1"/>
  <c r="CY87" i="121" s="1"/>
  <c r="AD77" i="123"/>
  <c r="AD89" i="123"/>
  <c r="AD81" i="123"/>
  <c r="AD83" i="123" s="1"/>
  <c r="AD84" i="123" s="1"/>
  <c r="AD86" i="123" s="1"/>
  <c r="AD87" i="123" s="1"/>
  <c r="T77" i="123"/>
  <c r="T89" i="123"/>
  <c r="T81" i="123"/>
  <c r="T83" i="123" s="1"/>
  <c r="T84" i="123" s="1"/>
  <c r="T86" i="123" s="1"/>
  <c r="T87" i="123" s="1"/>
  <c r="O77" i="123"/>
  <c r="O89" i="123"/>
  <c r="O81" i="123"/>
  <c r="O83" i="123" s="1"/>
  <c r="O84" i="123" s="1"/>
  <c r="O86" i="123" s="1"/>
  <c r="O87" i="123" s="1"/>
  <c r="AS77" i="100"/>
  <c r="AS89" i="100"/>
  <c r="AS81" i="100"/>
  <c r="AS83" i="100" s="1"/>
  <c r="AS84" i="100" s="1"/>
  <c r="AS86" i="100" s="1"/>
  <c r="AS87" i="100" s="1"/>
  <c r="BL81" i="90"/>
  <c r="BL83" i="90" s="1"/>
  <c r="BL84" i="90" s="1"/>
  <c r="BL86" i="90" s="1"/>
  <c r="BL87" i="90" s="1"/>
  <c r="BB76" i="99"/>
  <c r="BS46" i="100" l="1"/>
  <c r="BS43" i="100"/>
  <c r="BS36" i="100"/>
  <c r="BS32" i="100"/>
  <c r="BS29" i="100"/>
  <c r="BS49" i="100"/>
  <c r="BS25" i="100"/>
  <c r="BS22" i="100"/>
  <c r="BS19" i="100"/>
  <c r="BS16" i="100"/>
  <c r="BS13" i="100"/>
  <c r="BS10" i="100"/>
  <c r="BS21" i="100"/>
  <c r="BS18" i="100"/>
  <c r="BS15" i="100"/>
  <c r="BS48" i="100"/>
  <c r="BS45" i="100"/>
  <c r="BS42" i="100"/>
  <c r="BS31" i="100"/>
  <c r="BS24" i="100"/>
  <c r="BS12" i="100"/>
  <c r="BS47" i="100"/>
  <c r="BS14" i="100"/>
  <c r="BS33" i="100"/>
  <c r="BS20" i="100"/>
  <c r="BS11" i="100"/>
  <c r="BS30" i="100"/>
  <c r="BS26" i="100"/>
  <c r="BS17" i="100"/>
  <c r="BS23" i="100"/>
  <c r="BS44" i="100"/>
  <c r="BS56" i="100"/>
  <c r="BS51" i="100"/>
  <c r="BS61" i="100"/>
  <c r="BS62" i="100"/>
  <c r="BS57" i="100"/>
  <c r="BS27" i="100"/>
  <c r="BS35" i="100"/>
  <c r="BS59" i="100"/>
  <c r="BS67" i="100"/>
  <c r="BS68" i="100"/>
  <c r="BS41" i="100"/>
  <c r="BS50" i="100"/>
  <c r="BS65" i="100"/>
  <c r="BS58" i="100"/>
  <c r="BS60" i="100"/>
  <c r="BS69" i="100"/>
  <c r="BS70" i="100"/>
  <c r="BS66" i="100"/>
  <c r="BS55" i="100"/>
  <c r="BS64" i="100"/>
  <c r="BS71" i="100"/>
  <c r="BS28" i="100"/>
  <c r="BS63" i="100"/>
  <c r="BS52" i="100"/>
  <c r="BS54" i="100"/>
  <c r="BS9" i="100"/>
  <c r="BS8" i="100"/>
  <c r="BS38" i="100"/>
  <c r="BS39" i="100"/>
  <c r="CQ91" i="130"/>
  <c r="CR59" i="130"/>
  <c r="CR65" i="130"/>
  <c r="CR32" i="130"/>
  <c r="CR47" i="130"/>
  <c r="CR31" i="130"/>
  <c r="CR12" i="130"/>
  <c r="CR18" i="130"/>
  <c r="CR43" i="130"/>
  <c r="CR41" i="130"/>
  <c r="CR60" i="130"/>
  <c r="CR57" i="130"/>
  <c r="CR16" i="130"/>
  <c r="CR55" i="130"/>
  <c r="CR68" i="130"/>
  <c r="CR64" i="130"/>
  <c r="CR25" i="130"/>
  <c r="CR15" i="130"/>
  <c r="CR9" i="130"/>
  <c r="CR61" i="130"/>
  <c r="CR24" i="130"/>
  <c r="CR13" i="130"/>
  <c r="CR71" i="130"/>
  <c r="CR52" i="130"/>
  <c r="CR33" i="130"/>
  <c r="CR17" i="130"/>
  <c r="CR62" i="130"/>
  <c r="CR27" i="130"/>
  <c r="CR30" i="130"/>
  <c r="CR28" i="130"/>
  <c r="CR20" i="130"/>
  <c r="CR54" i="130"/>
  <c r="CR45" i="130"/>
  <c r="CR14" i="130"/>
  <c r="CR21" i="130"/>
  <c r="CR56" i="130"/>
  <c r="CR10" i="130"/>
  <c r="CR46" i="130"/>
  <c r="CR44" i="130"/>
  <c r="CR70" i="130"/>
  <c r="CR66" i="130"/>
  <c r="CR19" i="130"/>
  <c r="CR67" i="130"/>
  <c r="CR48" i="130"/>
  <c r="CR69" i="130"/>
  <c r="CR63" i="130"/>
  <c r="CR26" i="130"/>
  <c r="CR58" i="130"/>
  <c r="CR29" i="130"/>
  <c r="CR51" i="130"/>
  <c r="CR42" i="130"/>
  <c r="CR8" i="130"/>
  <c r="CR11" i="130"/>
  <c r="CR36" i="130"/>
  <c r="DN77" i="125"/>
  <c r="DN81" i="125"/>
  <c r="DN83" i="125" s="1"/>
  <c r="DN84" i="125" s="1"/>
  <c r="DN86" i="125" s="1"/>
  <c r="DN87" i="125" s="1"/>
  <c r="BM93" i="82"/>
  <c r="CL91" i="100"/>
  <c r="CL93" i="125"/>
  <c r="DA77" i="122"/>
  <c r="DA89" i="122"/>
  <c r="DA81" i="122"/>
  <c r="DA83" i="122" s="1"/>
  <c r="DA84" i="122" s="1"/>
  <c r="DA86" i="122" s="1"/>
  <c r="DA87" i="122" s="1"/>
  <c r="AS91" i="122"/>
  <c r="AT50" i="100"/>
  <c r="AT68" i="100"/>
  <c r="BI45" i="100"/>
  <c r="AT24" i="100"/>
  <c r="BI31" i="100"/>
  <c r="BI25" i="100"/>
  <c r="AT18" i="100"/>
  <c r="BI20" i="100"/>
  <c r="BI19" i="100"/>
  <c r="BI44" i="100"/>
  <c r="AT42" i="100"/>
  <c r="AT51" i="100"/>
  <c r="AT35" i="100"/>
  <c r="AT54" i="100"/>
  <c r="AT66" i="100"/>
  <c r="AT19" i="100"/>
  <c r="BI46" i="100"/>
  <c r="BI17" i="100"/>
  <c r="BI47" i="100"/>
  <c r="BI43" i="100"/>
  <c r="BI8" i="100"/>
  <c r="BI67" i="100"/>
  <c r="AT40" i="100"/>
  <c r="AT22" i="100"/>
  <c r="BI23" i="100"/>
  <c r="BI21" i="100"/>
  <c r="AT17" i="100"/>
  <c r="AT20" i="100"/>
  <c r="BI15" i="100"/>
  <c r="BI51" i="100"/>
  <c r="AT64" i="100"/>
  <c r="AT59" i="100"/>
  <c r="AT46" i="100"/>
  <c r="AT44" i="100"/>
  <c r="BI71" i="100"/>
  <c r="BI11" i="100"/>
  <c r="BI59" i="100"/>
  <c r="AT11" i="100"/>
  <c r="AT71" i="100"/>
  <c r="BI70" i="100"/>
  <c r="AT41" i="100"/>
  <c r="AT67" i="100"/>
  <c r="BI40" i="100"/>
  <c r="AT31" i="100"/>
  <c r="AT32" i="100"/>
  <c r="BI29" i="100"/>
  <c r="BI10" i="100"/>
  <c r="BI9" i="100"/>
  <c r="BI48" i="100"/>
  <c r="AT58" i="100"/>
  <c r="AT8" i="100"/>
  <c r="AT55" i="100"/>
  <c r="BI13" i="100"/>
  <c r="AT48" i="100"/>
  <c r="BI66" i="100"/>
  <c r="AT43" i="100"/>
  <c r="AT62" i="100"/>
  <c r="AT16" i="100"/>
  <c r="BI58" i="100"/>
  <c r="BI35" i="100"/>
  <c r="AT39" i="100"/>
  <c r="BI65" i="100"/>
  <c r="BI32" i="100"/>
  <c r="AT29" i="100"/>
  <c r="AT21" i="100"/>
  <c r="AT26" i="100"/>
  <c r="AT10" i="100"/>
  <c r="AT9" i="100"/>
  <c r="AT28" i="100"/>
  <c r="BI68" i="100"/>
  <c r="AT15" i="100"/>
  <c r="BI61" i="100"/>
  <c r="BI14" i="100"/>
  <c r="AT52" i="100"/>
  <c r="AT12" i="100"/>
  <c r="BI52" i="100"/>
  <c r="BI60" i="100"/>
  <c r="AT47" i="100"/>
  <c r="AT56" i="100"/>
  <c r="AT38" i="100"/>
  <c r="BI50" i="100"/>
  <c r="AT65" i="100"/>
  <c r="BI30" i="100"/>
  <c r="AT23" i="100"/>
  <c r="AT33" i="100"/>
  <c r="BI22" i="100"/>
  <c r="BI26" i="100"/>
  <c r="BI16" i="100"/>
  <c r="BI55" i="100"/>
  <c r="AT63" i="100"/>
  <c r="BI27" i="100"/>
  <c r="AT70" i="100"/>
  <c r="AS92" i="100"/>
  <c r="BI56" i="100"/>
  <c r="BI57" i="100"/>
  <c r="AT27" i="100"/>
  <c r="BI69" i="100"/>
  <c r="BI42" i="100"/>
  <c r="AT57" i="100"/>
  <c r="BI41" i="100"/>
  <c r="BI33" i="100"/>
  <c r="BI36" i="100"/>
  <c r="BI54" i="100"/>
  <c r="AT30" i="100"/>
  <c r="AT45" i="100"/>
  <c r="BI64" i="100"/>
  <c r="BI63" i="100"/>
  <c r="BI18" i="100"/>
  <c r="BI12" i="100"/>
  <c r="AT60" i="100"/>
  <c r="AT61" i="100"/>
  <c r="AT25" i="100"/>
  <c r="AT13" i="100"/>
  <c r="AT69" i="100"/>
  <c r="AT14" i="100"/>
  <c r="BI24" i="100"/>
  <c r="AT36" i="100"/>
  <c r="BI62" i="100"/>
  <c r="BI28" i="100"/>
  <c r="BI38" i="100"/>
  <c r="BI39" i="100"/>
  <c r="AO8" i="123"/>
  <c r="AO54" i="123"/>
  <c r="AO50" i="123"/>
  <c r="K63" i="123"/>
  <c r="K43" i="123"/>
  <c r="K19" i="123"/>
  <c r="K23" i="123"/>
  <c r="AO9" i="123"/>
  <c r="K12" i="123"/>
  <c r="AO10" i="123"/>
  <c r="AO51" i="123"/>
  <c r="AO44" i="123"/>
  <c r="K61" i="123"/>
  <c r="K10" i="123"/>
  <c r="K42" i="123"/>
  <c r="K32" i="123"/>
  <c r="AO70" i="123"/>
  <c r="AO26" i="123"/>
  <c r="K51" i="123"/>
  <c r="AO28" i="123"/>
  <c r="K54" i="123"/>
  <c r="AO41" i="123"/>
  <c r="K56" i="123"/>
  <c r="K22" i="123"/>
  <c r="AO43" i="123"/>
  <c r="K20" i="123"/>
  <c r="K24" i="123"/>
  <c r="AO15" i="123"/>
  <c r="K16" i="123"/>
  <c r="AO69" i="123"/>
  <c r="K33" i="123"/>
  <c r="K66" i="123"/>
  <c r="K13" i="123"/>
  <c r="AO58" i="123"/>
  <c r="K41" i="123"/>
  <c r="K52" i="123"/>
  <c r="AO21" i="123"/>
  <c r="K58" i="123"/>
  <c r="AO52" i="123"/>
  <c r="AO47" i="123"/>
  <c r="AO39" i="123"/>
  <c r="AO35" i="123"/>
  <c r="K48" i="123"/>
  <c r="K59" i="123"/>
  <c r="AO32" i="123"/>
  <c r="K17" i="123"/>
  <c r="AO27" i="123"/>
  <c r="AO12" i="123"/>
  <c r="K36" i="123"/>
  <c r="K69" i="123"/>
  <c r="AO61" i="123"/>
  <c r="K29" i="123"/>
  <c r="AO14" i="123"/>
  <c r="AO71" i="123"/>
  <c r="AO31" i="123"/>
  <c r="K60" i="123"/>
  <c r="AO17" i="123"/>
  <c r="AO56" i="123"/>
  <c r="K50" i="123"/>
  <c r="AO36" i="123"/>
  <c r="K70" i="123"/>
  <c r="AO40" i="123"/>
  <c r="K31" i="123"/>
  <c r="K21" i="123"/>
  <c r="K14" i="123"/>
  <c r="AO22" i="123"/>
  <c r="K25" i="123"/>
  <c r="K30" i="123"/>
  <c r="AO13" i="123"/>
  <c r="K55" i="123"/>
  <c r="AO67" i="123"/>
  <c r="AO25" i="123"/>
  <c r="K57" i="123"/>
  <c r="K26" i="123"/>
  <c r="K62" i="123"/>
  <c r="K28" i="123"/>
  <c r="AO60" i="123"/>
  <c r="AO57" i="123"/>
  <c r="AO64" i="123"/>
  <c r="K68" i="123"/>
  <c r="AO65" i="123"/>
  <c r="K46" i="123"/>
  <c r="K27" i="123"/>
  <c r="K11" i="123"/>
  <c r="K18" i="123"/>
  <c r="AO18" i="123"/>
  <c r="AO48" i="123"/>
  <c r="AO20" i="123"/>
  <c r="AO63" i="123"/>
  <c r="AO62" i="123"/>
  <c r="AO33" i="123"/>
  <c r="K67" i="123"/>
  <c r="AO59" i="123"/>
  <c r="AO66" i="123"/>
  <c r="AO19" i="123"/>
  <c r="K8" i="123"/>
  <c r="AO42" i="123"/>
  <c r="AO24" i="123"/>
  <c r="K71" i="123"/>
  <c r="K35" i="123"/>
  <c r="AO68" i="123"/>
  <c r="AO30" i="123"/>
  <c r="AO23" i="123"/>
  <c r="K64" i="123"/>
  <c r="AO46" i="123"/>
  <c r="AO38" i="123"/>
  <c r="K9" i="123"/>
  <c r="AO16" i="123"/>
  <c r="AO29" i="123"/>
  <c r="K65" i="123"/>
  <c r="K15" i="123"/>
  <c r="K47" i="123"/>
  <c r="AO11" i="123"/>
  <c r="K44" i="123"/>
  <c r="K45" i="123"/>
  <c r="AO45" i="123"/>
  <c r="AO55" i="123"/>
  <c r="DA77" i="121"/>
  <c r="DA89" i="121"/>
  <c r="DA90" i="121" s="1"/>
  <c r="DA81" i="121"/>
  <c r="DA83" i="121" s="1"/>
  <c r="DA84" i="121" s="1"/>
  <c r="DA86" i="121" s="1"/>
  <c r="DA87" i="121" s="1"/>
  <c r="AD77" i="125"/>
  <c r="AD89" i="125"/>
  <c r="AD81" i="125"/>
  <c r="AD83" i="125" s="1"/>
  <c r="AD84" i="125" s="1"/>
  <c r="AD86" i="125" s="1"/>
  <c r="AD87" i="125" s="1"/>
  <c r="DP77" i="100"/>
  <c r="DP89" i="100"/>
  <c r="DP90" i="100" s="1"/>
  <c r="DP81" i="100"/>
  <c r="DP83" i="100" s="1"/>
  <c r="DP84" i="100" s="1"/>
  <c r="AN77" i="121"/>
  <c r="AN89" i="121"/>
  <c r="AN81" i="121"/>
  <c r="AN83" i="121" s="1"/>
  <c r="AN84" i="121" s="1"/>
  <c r="AN86" i="121" s="1"/>
  <c r="AN87" i="121" s="1"/>
  <c r="BM91" i="100"/>
  <c r="BM90" i="125"/>
  <c r="BA77" i="125"/>
  <c r="BA81" i="125"/>
  <c r="BA83" i="125" s="1"/>
  <c r="BA84" i="125" s="1"/>
  <c r="BA86" i="125" s="1"/>
  <c r="BA87" i="125" s="1"/>
  <c r="F41" i="129"/>
  <c r="AO38" i="129"/>
  <c r="F50" i="129"/>
  <c r="F68" i="129"/>
  <c r="AO50" i="129"/>
  <c r="F54" i="129"/>
  <c r="AO41" i="129"/>
  <c r="F69" i="129"/>
  <c r="AO59" i="129"/>
  <c r="AO69" i="129"/>
  <c r="AO63" i="129"/>
  <c r="AO46" i="129"/>
  <c r="F14" i="129"/>
  <c r="AO32" i="129"/>
  <c r="AO24" i="129"/>
  <c r="F27" i="129"/>
  <c r="AO10" i="129"/>
  <c r="F43" i="129"/>
  <c r="AO23" i="129"/>
  <c r="F48" i="129"/>
  <c r="AO31" i="129"/>
  <c r="F12" i="129"/>
  <c r="AO26" i="129"/>
  <c r="AO52" i="129"/>
  <c r="F47" i="129"/>
  <c r="F18" i="129"/>
  <c r="AO8" i="129"/>
  <c r="AO39" i="129"/>
  <c r="F71" i="129"/>
  <c r="F58" i="129"/>
  <c r="AO67" i="129"/>
  <c r="AO45" i="129"/>
  <c r="F70" i="129"/>
  <c r="AO12" i="129"/>
  <c r="F26" i="129"/>
  <c r="F35" i="129"/>
  <c r="AO25" i="129"/>
  <c r="F21" i="129"/>
  <c r="E91" i="129"/>
  <c r="AO22" i="129"/>
  <c r="F55" i="129"/>
  <c r="AO51" i="129"/>
  <c r="F10" i="129"/>
  <c r="F62" i="129"/>
  <c r="AO35" i="129"/>
  <c r="F28" i="129"/>
  <c r="AO43" i="129"/>
  <c r="F44" i="129"/>
  <c r="AO16" i="129"/>
  <c r="F24" i="129"/>
  <c r="AO71" i="129"/>
  <c r="AO56" i="129"/>
  <c r="F52" i="129"/>
  <c r="AO42" i="129"/>
  <c r="F60" i="129"/>
  <c r="F11" i="129"/>
  <c r="AO61" i="129"/>
  <c r="AO55" i="129"/>
  <c r="F20" i="129"/>
  <c r="AO21" i="129"/>
  <c r="AO14" i="129"/>
  <c r="AO60" i="129"/>
  <c r="F59" i="129"/>
  <c r="AO20" i="129"/>
  <c r="F30" i="129"/>
  <c r="F32" i="129"/>
  <c r="F67" i="129"/>
  <c r="F51" i="129"/>
  <c r="F61" i="129"/>
  <c r="AO15" i="129"/>
  <c r="AO13" i="129"/>
  <c r="AO17" i="129"/>
  <c r="F66" i="129"/>
  <c r="F8" i="129"/>
  <c r="AO66" i="129"/>
  <c r="F46" i="129"/>
  <c r="AO64" i="129"/>
  <c r="AO62" i="129"/>
  <c r="AO28" i="129"/>
  <c r="AO9" i="129"/>
  <c r="F42" i="129"/>
  <c r="AO36" i="129"/>
  <c r="F9" i="129"/>
  <c r="F19" i="129"/>
  <c r="AO11" i="129"/>
  <c r="AO57" i="129"/>
  <c r="AO47" i="129"/>
  <c r="F25" i="129"/>
  <c r="AO48" i="129"/>
  <c r="F23" i="129"/>
  <c r="AO44" i="129"/>
  <c r="F31" i="129"/>
  <c r="AO54" i="129"/>
  <c r="AO40" i="129"/>
  <c r="AO27" i="129"/>
  <c r="F16" i="129"/>
  <c r="F13" i="129"/>
  <c r="AO65" i="129"/>
  <c r="F45" i="129"/>
  <c r="AO68" i="129"/>
  <c r="F57" i="129"/>
  <c r="F17" i="129"/>
  <c r="F65" i="129"/>
  <c r="AO19" i="129"/>
  <c r="F33" i="129"/>
  <c r="F15" i="129"/>
  <c r="F29" i="129"/>
  <c r="AO29" i="129"/>
  <c r="AO70" i="129"/>
  <c r="F22" i="129"/>
  <c r="AO30" i="129"/>
  <c r="F64" i="129"/>
  <c r="F56" i="129"/>
  <c r="F63" i="129"/>
  <c r="AO58" i="129"/>
  <c r="AO18" i="129"/>
  <c r="F36" i="129"/>
  <c r="AO33" i="129"/>
  <c r="AD90" i="125"/>
  <c r="DB54" i="100"/>
  <c r="CR8" i="100"/>
  <c r="CM39" i="100"/>
  <c r="CM35" i="100"/>
  <c r="DB38" i="100"/>
  <c r="CW70" i="100"/>
  <c r="CM67" i="100"/>
  <c r="AJ65" i="100"/>
  <c r="DG63" i="100"/>
  <c r="AJ61" i="100"/>
  <c r="AO57" i="100"/>
  <c r="AO55" i="100"/>
  <c r="CR56" i="100"/>
  <c r="DG66" i="100"/>
  <c r="DL49" i="100"/>
  <c r="CR59" i="100"/>
  <c r="DG55" i="100"/>
  <c r="AJ43" i="100"/>
  <c r="DB29" i="100"/>
  <c r="DL23" i="100"/>
  <c r="DL42" i="100"/>
  <c r="AO22" i="100"/>
  <c r="CM30" i="100"/>
  <c r="AO43" i="100"/>
  <c r="DB45" i="100"/>
  <c r="CW21" i="100"/>
  <c r="DG44" i="100"/>
  <c r="AJ22" i="100"/>
  <c r="AO21" i="100"/>
  <c r="CM25" i="100"/>
  <c r="CW16" i="100"/>
  <c r="CW14" i="100"/>
  <c r="CW12" i="100"/>
  <c r="CM10" i="100"/>
  <c r="AJ31" i="100"/>
  <c r="CW20" i="100"/>
  <c r="DL20" i="100"/>
  <c r="AJ16" i="100"/>
  <c r="AJ14" i="100"/>
  <c r="CR11" i="100"/>
  <c r="AJ12" i="100"/>
  <c r="AO51" i="100"/>
  <c r="DL25" i="100"/>
  <c r="DL31" i="100"/>
  <c r="DB51" i="100"/>
  <c r="CM66" i="100"/>
  <c r="DB69" i="100"/>
  <c r="CW47" i="100"/>
  <c r="AI92" i="100"/>
  <c r="AO24" i="100"/>
  <c r="DG52" i="100"/>
  <c r="DB62" i="100"/>
  <c r="DG50" i="100"/>
  <c r="DL64" i="100"/>
  <c r="DG35" i="100"/>
  <c r="CR17" i="100"/>
  <c r="CM27" i="100"/>
  <c r="DL22" i="100"/>
  <c r="AJ29" i="100"/>
  <c r="CR48" i="100"/>
  <c r="CM56" i="100"/>
  <c r="CW68" i="100"/>
  <c r="CM13" i="100"/>
  <c r="CW29" i="100"/>
  <c r="AJ70" i="100"/>
  <c r="CW18" i="100"/>
  <c r="DL35" i="100"/>
  <c r="CM46" i="100"/>
  <c r="AO59" i="100"/>
  <c r="DL62" i="100"/>
  <c r="AO26" i="100"/>
  <c r="CM61" i="100"/>
  <c r="AJ54" i="100"/>
  <c r="CM52" i="100"/>
  <c r="DB41" i="100"/>
  <c r="CM43" i="100"/>
  <c r="DB46" i="100"/>
  <c r="CM69" i="100"/>
  <c r="DB8" i="100"/>
  <c r="DL50" i="100"/>
  <c r="DB39" i="100"/>
  <c r="CM50" i="100"/>
  <c r="AO50" i="100"/>
  <c r="AO70" i="100"/>
  <c r="DB65" i="100"/>
  <c r="DG64" i="100"/>
  <c r="CR61" i="100"/>
  <c r="CW60" i="100"/>
  <c r="DL56" i="100"/>
  <c r="AJ68" i="100"/>
  <c r="CR49" i="100"/>
  <c r="DB61" i="100"/>
  <c r="AJ67" i="100"/>
  <c r="AJ50" i="100"/>
  <c r="AJ56" i="100"/>
  <c r="CW42" i="100"/>
  <c r="CR28" i="100"/>
  <c r="CW23" i="100"/>
  <c r="AO42" i="100"/>
  <c r="CR57" i="100"/>
  <c r="AJ30" i="100"/>
  <c r="CR36" i="100"/>
  <c r="DG42" i="100"/>
  <c r="CM19" i="100"/>
  <c r="AJ42" i="100"/>
  <c r="DL21" i="100"/>
  <c r="CW43" i="100"/>
  <c r="AO23" i="100"/>
  <c r="AO16" i="100"/>
  <c r="AO14" i="100"/>
  <c r="AO12" i="100"/>
  <c r="DG9" i="100"/>
  <c r="DB30" i="100"/>
  <c r="AJ60" i="100"/>
  <c r="CM18" i="100"/>
  <c r="DG15" i="100"/>
  <c r="CR13" i="100"/>
  <c r="DG13" i="100"/>
  <c r="AJ11" i="100"/>
  <c r="DL17" i="100"/>
  <c r="DL29" i="100"/>
  <c r="DB47" i="100"/>
  <c r="DL45" i="100"/>
  <c r="CM58" i="100"/>
  <c r="AO62" i="100"/>
  <c r="CM55" i="100"/>
  <c r="CW9" i="100"/>
  <c r="DB22" i="100"/>
  <c r="CW54" i="100"/>
  <c r="DL46" i="100"/>
  <c r="DG70" i="100"/>
  <c r="DG68" i="100"/>
  <c r="DB58" i="100"/>
  <c r="DB15" i="100"/>
  <c r="CM45" i="100"/>
  <c r="CR47" i="100"/>
  <c r="CR32" i="100"/>
  <c r="CM51" i="100"/>
  <c r="CW59" i="100"/>
  <c r="DL63" i="100"/>
  <c r="CM8" i="100"/>
  <c r="CW35" i="100"/>
  <c r="CM15" i="100"/>
  <c r="CM14" i="100"/>
  <c r="CM44" i="100"/>
  <c r="AO47" i="100"/>
  <c r="DB52" i="100"/>
  <c r="CM71" i="100"/>
  <c r="DG24" i="100"/>
  <c r="CM63" i="100"/>
  <c r="AO8" i="100"/>
  <c r="AJ21" i="100"/>
  <c r="AJ18" i="100"/>
  <c r="CW48" i="100"/>
  <c r="CW52" i="100"/>
  <c r="DB64" i="100"/>
  <c r="CR19" i="100"/>
  <c r="DG39" i="100"/>
  <c r="AJ8" i="100"/>
  <c r="DB35" i="100"/>
  <c r="CW38" i="100"/>
  <c r="CM41" i="100"/>
  <c r="DL71" i="100"/>
  <c r="DL69" i="100"/>
  <c r="CM65" i="100"/>
  <c r="CR62" i="100"/>
  <c r="CR66" i="100"/>
  <c r="AO60" i="100"/>
  <c r="CW56" i="100"/>
  <c r="DG67" i="100"/>
  <c r="AJ58" i="100"/>
  <c r="CR60" i="100"/>
  <c r="DG60" i="100"/>
  <c r="CW49" i="100"/>
  <c r="DG49" i="100"/>
  <c r="CM33" i="100"/>
  <c r="DL27" i="100"/>
  <c r="DG22" i="100"/>
  <c r="CW41" i="100"/>
  <c r="CR44" i="100"/>
  <c r="DB28" i="100"/>
  <c r="DL33" i="100"/>
  <c r="CW33" i="100"/>
  <c r="AO19" i="100"/>
  <c r="DG36" i="100"/>
  <c r="AJ44" i="100"/>
  <c r="AO41" i="100"/>
  <c r="CM21" i="100"/>
  <c r="DL15" i="100"/>
  <c r="DL13" i="100"/>
  <c r="DL11" i="100"/>
  <c r="CR9" i="100"/>
  <c r="AO29" i="100"/>
  <c r="CR43" i="100"/>
  <c r="AO18" i="100"/>
  <c r="CR15" i="100"/>
  <c r="AJ13" i="100"/>
  <c r="DL10" i="100"/>
  <c r="AO10" i="100"/>
  <c r="DG21" i="100"/>
  <c r="AJ47" i="100"/>
  <c r="DB57" i="100"/>
  <c r="DG51" i="100"/>
  <c r="CW65" i="100"/>
  <c r="DB16" i="100"/>
  <c r="AO54" i="100"/>
  <c r="DB17" i="100"/>
  <c r="AJ25" i="100"/>
  <c r="CW25" i="100"/>
  <c r="AJ48" i="100"/>
  <c r="CM68" i="100"/>
  <c r="DB14" i="100"/>
  <c r="AO58" i="100"/>
  <c r="AO9" i="100"/>
  <c r="CW17" i="100"/>
  <c r="CM23" i="100"/>
  <c r="DG41" i="100"/>
  <c r="DL52" i="100"/>
  <c r="AO66" i="100"/>
  <c r="DB68" i="100"/>
  <c r="AO20" i="100"/>
  <c r="CW51" i="100"/>
  <c r="CM11" i="100"/>
  <c r="AO17" i="100"/>
  <c r="DG32" i="100"/>
  <c r="CR50" i="100"/>
  <c r="DB56" i="100"/>
  <c r="AO64" i="100"/>
  <c r="AO46" i="100"/>
  <c r="DG69" i="100"/>
  <c r="AJ28" i="100"/>
  <c r="AJ20" i="100"/>
  <c r="AO36" i="100"/>
  <c r="CM36" i="100"/>
  <c r="DB59" i="100"/>
  <c r="AO63" i="100"/>
  <c r="CW30" i="100"/>
  <c r="CR38" i="100"/>
  <c r="CW50" i="100"/>
  <c r="DG8" i="100"/>
  <c r="CW71" i="100"/>
  <c r="CW69" i="100"/>
  <c r="AJ66" i="100"/>
  <c r="AJ62" i="100"/>
  <c r="AJ63" i="100"/>
  <c r="DL59" i="100"/>
  <c r="AO56" i="100"/>
  <c r="CR65" i="100"/>
  <c r="DG57" i="100"/>
  <c r="AJ57" i="100"/>
  <c r="CR58" i="100"/>
  <c r="CR45" i="100"/>
  <c r="DG46" i="100"/>
  <c r="DL32" i="100"/>
  <c r="CW27" i="100"/>
  <c r="CR22" i="100"/>
  <c r="DB33" i="100"/>
  <c r="CR42" i="100"/>
  <c r="CM28" i="100"/>
  <c r="CR31" i="100"/>
  <c r="DG26" i="100"/>
  <c r="DB18" i="100"/>
  <c r="CM29" i="100"/>
  <c r="DL28" i="100"/>
  <c r="AO33" i="100"/>
  <c r="CW19" i="100"/>
  <c r="CW15" i="100"/>
  <c r="CW13" i="100"/>
  <c r="CW11" i="100"/>
  <c r="AJ9" i="100"/>
  <c r="AJ27" i="100"/>
  <c r="DL36" i="100"/>
  <c r="DG17" i="100"/>
  <c r="AJ15" i="100"/>
  <c r="DG12" i="100"/>
  <c r="CM9" i="100"/>
  <c r="DB9" i="100"/>
  <c r="CR27" i="100"/>
  <c r="CM54" i="100"/>
  <c r="DL58" i="100"/>
  <c r="DB71" i="100"/>
  <c r="AO68" i="100"/>
  <c r="AO27" i="100"/>
  <c r="CW64" i="100"/>
  <c r="CR23" i="100"/>
  <c r="AO28" i="100"/>
  <c r="DG28" i="100"/>
  <c r="CR54" i="100"/>
  <c r="CR68" i="100"/>
  <c r="CW26" i="100"/>
  <c r="CM62" i="100"/>
  <c r="AJ24" i="100"/>
  <c r="CW8" i="100"/>
  <c r="CW28" i="100"/>
  <c r="AO48" i="100"/>
  <c r="AO52" i="100"/>
  <c r="DG71" i="100"/>
  <c r="AJ71" i="100"/>
  <c r="CW22" i="100"/>
  <c r="DG48" i="100"/>
  <c r="DB20" i="100"/>
  <c r="DL19" i="100"/>
  <c r="AJ33" i="100"/>
  <c r="CW46" i="100"/>
  <c r="CM60" i="100"/>
  <c r="DB66" i="100"/>
  <c r="DG19" i="100"/>
  <c r="DG10" i="100"/>
  <c r="CM20" i="100"/>
  <c r="DB44" i="100"/>
  <c r="DG45" i="100"/>
  <c r="AJ51" i="100"/>
  <c r="DB60" i="100"/>
  <c r="CW66" i="100"/>
  <c r="DL65" i="100"/>
  <c r="DL39" i="100"/>
  <c r="DL38" i="100"/>
  <c r="AJ41" i="100"/>
  <c r="DG54" i="100"/>
  <c r="AO71" i="100"/>
  <c r="AO69" i="100"/>
  <c r="DG65" i="100"/>
  <c r="CR67" i="100"/>
  <c r="DG62" i="100"/>
  <c r="DL57" i="100"/>
  <c r="DL55" i="100"/>
  <c r="AJ59" i="100"/>
  <c r="CR55" i="100"/>
  <c r="DG56" i="100"/>
  <c r="AJ55" i="100"/>
  <c r="CR64" i="100"/>
  <c r="CW44" i="100"/>
  <c r="CM31" i="100"/>
  <c r="DB24" i="100"/>
  <c r="DL44" i="100"/>
  <c r="DB31" i="100"/>
  <c r="CW36" i="100"/>
  <c r="CR46" i="100"/>
  <c r="DG29" i="100"/>
  <c r="AJ26" i="100"/>
  <c r="CM17" i="100"/>
  <c r="CM26" i="100"/>
  <c r="DB26" i="100"/>
  <c r="DB32" i="100"/>
  <c r="DL18" i="100"/>
  <c r="AO15" i="100"/>
  <c r="AO13" i="100"/>
  <c r="AO11" i="100"/>
  <c r="DL41" i="100"/>
  <c r="DB25" i="100"/>
  <c r="CW32" i="100"/>
  <c r="DG16" i="100"/>
  <c r="DG14" i="100"/>
  <c r="CW10" i="100"/>
  <c r="CR29" i="100"/>
  <c r="DB12" i="100"/>
  <c r="AO35" i="100"/>
  <c r="CR20" i="100"/>
  <c r="DG47" i="100"/>
  <c r="CW63" i="100"/>
  <c r="CM70" i="100"/>
  <c r="DB27" i="100"/>
  <c r="CW61" i="100"/>
  <c r="CR51" i="100"/>
  <c r="DG23" i="100"/>
  <c r="DB36" i="100"/>
  <c r="DB42" i="100"/>
  <c r="AO61" i="100"/>
  <c r="DL24" i="100"/>
  <c r="DB13" i="100"/>
  <c r="AJ52" i="100"/>
  <c r="AJ19" i="100"/>
  <c r="CR35" i="100"/>
  <c r="DL30" i="100"/>
  <c r="CW58" i="100"/>
  <c r="AJ69" i="100"/>
  <c r="AO65" i="100"/>
  <c r="AJ45" i="100"/>
  <c r="AO67" i="100"/>
  <c r="CR10" i="100"/>
  <c r="DB23" i="100"/>
  <c r="CW45" i="100"/>
  <c r="CR52" i="100"/>
  <c r="DB63" i="100"/>
  <c r="CR71" i="100"/>
  <c r="DG27" i="100"/>
  <c r="DB19" i="100"/>
  <c r="DB11" i="100"/>
  <c r="CR21" i="100"/>
  <c r="AO30" i="100"/>
  <c r="DB55" i="100"/>
  <c r="DL60" i="100"/>
  <c r="CM64" i="100"/>
  <c r="AO45" i="100"/>
  <c r="CR41" i="100"/>
  <c r="DG38" i="100"/>
  <c r="CR63" i="100"/>
  <c r="CM49" i="100"/>
  <c r="CM24" i="100"/>
  <c r="CM22" i="100"/>
  <c r="DL14" i="100"/>
  <c r="CR16" i="100"/>
  <c r="CW31" i="100"/>
  <c r="CR18" i="100"/>
  <c r="DL9" i="100"/>
  <c r="DL61" i="100"/>
  <c r="AJ36" i="100"/>
  <c r="DG18" i="100"/>
  <c r="CM57" i="100"/>
  <c r="CW39" i="100"/>
  <c r="CM38" i="100"/>
  <c r="AJ64" i="100"/>
  <c r="DL54" i="100"/>
  <c r="AO44" i="100"/>
  <c r="AJ17" i="100"/>
  <c r="DL12" i="100"/>
  <c r="CR14" i="100"/>
  <c r="CM42" i="100"/>
  <c r="CM48" i="100"/>
  <c r="CR24" i="100"/>
  <c r="DL8" i="100"/>
  <c r="CM59" i="100"/>
  <c r="AO25" i="100"/>
  <c r="DL70" i="100"/>
  <c r="CW55" i="100"/>
  <c r="DG31" i="100"/>
  <c r="DB21" i="100"/>
  <c r="DB43" i="100"/>
  <c r="AJ46" i="100"/>
  <c r="CM47" i="100"/>
  <c r="DG61" i="100"/>
  <c r="DB49" i="100"/>
  <c r="DG30" i="100"/>
  <c r="CR25" i="100"/>
  <c r="DB10" i="100"/>
  <c r="CR12" i="100"/>
  <c r="DL68" i="100"/>
  <c r="DG33" i="100"/>
  <c r="CR33" i="100"/>
  <c r="CW24" i="100"/>
  <c r="CR69" i="100"/>
  <c r="AJ35" i="100"/>
  <c r="DL43" i="100"/>
  <c r="CW62" i="100"/>
  <c r="DL66" i="100"/>
  <c r="CW57" i="100"/>
  <c r="DG59" i="100"/>
  <c r="CM32" i="100"/>
  <c r="DG25" i="100"/>
  <c r="AJ32" i="100"/>
  <c r="DG11" i="100"/>
  <c r="CR70" i="100"/>
  <c r="DL47" i="100"/>
  <c r="AO32" i="100"/>
  <c r="DL67" i="100"/>
  <c r="DB70" i="100"/>
  <c r="DB48" i="100"/>
  <c r="DB50" i="100"/>
  <c r="DG43" i="100"/>
  <c r="DL26" i="100"/>
  <c r="AJ10" i="100"/>
  <c r="DB67" i="100"/>
  <c r="DG58" i="100"/>
  <c r="CR30" i="100"/>
  <c r="AJ23" i="100"/>
  <c r="DL16" i="100"/>
  <c r="CR26" i="100"/>
  <c r="DG20" i="100"/>
  <c r="CM16" i="100"/>
  <c r="AO31" i="100"/>
  <c r="DL48" i="100"/>
  <c r="DL51" i="100"/>
  <c r="CM12" i="100"/>
  <c r="CW67" i="100"/>
  <c r="CR39" i="100"/>
  <c r="DA77" i="123"/>
  <c r="DA89" i="123"/>
  <c r="DA90" i="123" s="1"/>
  <c r="DA81" i="123"/>
  <c r="DA83" i="123" s="1"/>
  <c r="DA84" i="123" s="1"/>
  <c r="DA86" i="123" s="1"/>
  <c r="DA87" i="123" s="1"/>
  <c r="AO35" i="121"/>
  <c r="AO8" i="121"/>
  <c r="K8" i="121"/>
  <c r="AO41" i="121"/>
  <c r="AO50" i="121"/>
  <c r="K71" i="121"/>
  <c r="K69" i="121"/>
  <c r="AO61" i="121"/>
  <c r="AO66" i="121"/>
  <c r="K42" i="121"/>
  <c r="K28" i="121"/>
  <c r="AO23" i="121"/>
  <c r="AO59" i="121"/>
  <c r="K36" i="121"/>
  <c r="AO29" i="121"/>
  <c r="AO60" i="121"/>
  <c r="AO13" i="121"/>
  <c r="AO65" i="121"/>
  <c r="K65" i="121"/>
  <c r="K61" i="121"/>
  <c r="K22" i="121"/>
  <c r="K47" i="121"/>
  <c r="K33" i="121"/>
  <c r="AO45" i="121"/>
  <c r="K11" i="121"/>
  <c r="K67" i="121"/>
  <c r="K48" i="121"/>
  <c r="K41" i="121"/>
  <c r="AO11" i="121"/>
  <c r="AO62" i="121"/>
  <c r="AO56" i="121"/>
  <c r="AO12" i="121"/>
  <c r="K63" i="121"/>
  <c r="K58" i="121"/>
  <c r="K45" i="121"/>
  <c r="AO44" i="121"/>
  <c r="AO19" i="121"/>
  <c r="AO64" i="121"/>
  <c r="K64" i="121"/>
  <c r="K31" i="121"/>
  <c r="K27" i="121"/>
  <c r="K16" i="121"/>
  <c r="K20" i="121"/>
  <c r="K57" i="121"/>
  <c r="AO52" i="121"/>
  <c r="AO28" i="121"/>
  <c r="AO18" i="121"/>
  <c r="AO69" i="121"/>
  <c r="AO57" i="121"/>
  <c r="AO31" i="121"/>
  <c r="K9" i="121"/>
  <c r="K55" i="121"/>
  <c r="K30" i="121"/>
  <c r="AO40" i="121"/>
  <c r="AO70" i="121"/>
  <c r="AO20" i="121"/>
  <c r="AO67" i="121"/>
  <c r="K56" i="121"/>
  <c r="AO24" i="121"/>
  <c r="K52" i="121"/>
  <c r="AO68" i="121"/>
  <c r="AO63" i="121"/>
  <c r="AO54" i="121"/>
  <c r="AO36" i="121"/>
  <c r="K51" i="121"/>
  <c r="AO47" i="121"/>
  <c r="K26" i="121"/>
  <c r="AO26" i="121"/>
  <c r="AO17" i="121"/>
  <c r="K10" i="121"/>
  <c r="AO71" i="121"/>
  <c r="AO14" i="121"/>
  <c r="K70" i="121"/>
  <c r="AO10" i="121"/>
  <c r="AO48" i="121"/>
  <c r="K50" i="121"/>
  <c r="AO38" i="121"/>
  <c r="K68" i="121"/>
  <c r="K23" i="121"/>
  <c r="AO58" i="121"/>
  <c r="K12" i="121"/>
  <c r="K21" i="121"/>
  <c r="K43" i="121"/>
  <c r="AO55" i="121"/>
  <c r="AO15" i="121"/>
  <c r="K19" i="121"/>
  <c r="K59" i="121"/>
  <c r="K17" i="121"/>
  <c r="AO42" i="121"/>
  <c r="K35" i="121"/>
  <c r="K60" i="121"/>
  <c r="K44" i="121"/>
  <c r="K15" i="121"/>
  <c r="K18" i="121"/>
  <c r="AO30" i="121"/>
  <c r="AO46" i="121"/>
  <c r="AO32" i="121"/>
  <c r="K62" i="121"/>
  <c r="AO27" i="121"/>
  <c r="K32" i="121"/>
  <c r="K54" i="121"/>
  <c r="AO33" i="121"/>
  <c r="AO25" i="121"/>
  <c r="K13" i="121"/>
  <c r="K25" i="121"/>
  <c r="K29" i="121"/>
  <c r="K46" i="121"/>
  <c r="AO21" i="121"/>
  <c r="AO9" i="121"/>
  <c r="AO16" i="121"/>
  <c r="K66" i="121"/>
  <c r="AO43" i="121"/>
  <c r="AO51" i="121"/>
  <c r="AO22" i="121"/>
  <c r="K14" i="121"/>
  <c r="K24" i="121"/>
  <c r="AO39" i="121"/>
  <c r="CQ77" i="129"/>
  <c r="CQ89" i="129"/>
  <c r="CQ90" i="129" s="1"/>
  <c r="CQ81" i="129"/>
  <c r="K32" i="124"/>
  <c r="AO29" i="124"/>
  <c r="K54" i="124"/>
  <c r="AO59" i="124"/>
  <c r="AO56" i="124"/>
  <c r="AO62" i="124"/>
  <c r="K41" i="124"/>
  <c r="K35" i="124"/>
  <c r="AO42" i="124"/>
  <c r="AO25" i="124"/>
  <c r="AO50" i="124"/>
  <c r="AO24" i="124"/>
  <c r="AO35" i="124"/>
  <c r="K61" i="124"/>
  <c r="K64" i="124"/>
  <c r="AO40" i="124"/>
  <c r="AO31" i="124"/>
  <c r="K52" i="124"/>
  <c r="AO55" i="124"/>
  <c r="K31" i="124"/>
  <c r="K65" i="124"/>
  <c r="AO18" i="124"/>
  <c r="AO28" i="124"/>
  <c r="AO58" i="124"/>
  <c r="K11" i="124"/>
  <c r="K45" i="124"/>
  <c r="AO54" i="124"/>
  <c r="K51" i="124"/>
  <c r="K56" i="124"/>
  <c r="AO23" i="124"/>
  <c r="K33" i="124"/>
  <c r="K25" i="124"/>
  <c r="K21" i="124"/>
  <c r="K47" i="124"/>
  <c r="K18" i="124"/>
  <c r="AO41" i="124"/>
  <c r="AO64" i="124"/>
  <c r="K55" i="124"/>
  <c r="K59" i="124"/>
  <c r="AO17" i="124"/>
  <c r="AO15" i="124"/>
  <c r="AO44" i="124"/>
  <c r="K50" i="124"/>
  <c r="AO16" i="124"/>
  <c r="AO65" i="124"/>
  <c r="K24" i="124"/>
  <c r="K67" i="124"/>
  <c r="K43" i="124"/>
  <c r="AO22" i="124"/>
  <c r="AO32" i="124"/>
  <c r="AO61" i="124"/>
  <c r="AO69" i="124"/>
  <c r="K12" i="124"/>
  <c r="K66" i="124"/>
  <c r="K9" i="124"/>
  <c r="K10" i="124"/>
  <c r="K58" i="124"/>
  <c r="K46" i="124"/>
  <c r="AO51" i="124"/>
  <c r="K19" i="124"/>
  <c r="K13" i="124"/>
  <c r="K71" i="124"/>
  <c r="AO26" i="124"/>
  <c r="K69" i="124"/>
  <c r="AO66" i="124"/>
  <c r="AO11" i="124"/>
  <c r="AO48" i="124"/>
  <c r="K63" i="124"/>
  <c r="AO30" i="124"/>
  <c r="AO27" i="124"/>
  <c r="K70" i="124"/>
  <c r="K29" i="124"/>
  <c r="K14" i="124"/>
  <c r="AO46" i="124"/>
  <c r="AO8" i="124"/>
  <c r="AO45" i="124"/>
  <c r="AO47" i="124"/>
  <c r="AO19" i="124"/>
  <c r="AO10" i="124"/>
  <c r="AO13" i="124"/>
  <c r="K60" i="124"/>
  <c r="AO33" i="124"/>
  <c r="AO63" i="124"/>
  <c r="AO14" i="124"/>
  <c r="K27" i="124"/>
  <c r="AO21" i="124"/>
  <c r="AO71" i="124"/>
  <c r="AO38" i="124"/>
  <c r="K44" i="124"/>
  <c r="K15" i="124"/>
  <c r="K26" i="124"/>
  <c r="K62" i="124"/>
  <c r="K20" i="124"/>
  <c r="AO20" i="124"/>
  <c r="AO68" i="124"/>
  <c r="K42" i="124"/>
  <c r="AO67" i="124"/>
  <c r="AO12" i="124"/>
  <c r="K48" i="124"/>
  <c r="K28" i="124"/>
  <c r="K36" i="124"/>
  <c r="K23" i="124"/>
  <c r="AO9" i="124"/>
  <c r="AO36" i="124"/>
  <c r="K22" i="124"/>
  <c r="K30" i="124"/>
  <c r="K68" i="124"/>
  <c r="K16" i="124"/>
  <c r="AO43" i="124"/>
  <c r="AO57" i="124"/>
  <c r="K17" i="124"/>
  <c r="K57" i="124"/>
  <c r="AO60" i="124"/>
  <c r="AO52" i="124"/>
  <c r="K8" i="124"/>
  <c r="AO70" i="124"/>
  <c r="AO39" i="124"/>
  <c r="Z39" i="124"/>
  <c r="AT39" i="124"/>
  <c r="U38" i="124"/>
  <c r="AE38" i="124"/>
  <c r="P38" i="124"/>
  <c r="U39" i="124"/>
  <c r="P39" i="124"/>
  <c r="AE39" i="124"/>
  <c r="Z69" i="124"/>
  <c r="U65" i="124"/>
  <c r="AT61" i="124"/>
  <c r="AE64" i="124"/>
  <c r="AE55" i="124"/>
  <c r="U62" i="124"/>
  <c r="P61" i="124"/>
  <c r="U25" i="124"/>
  <c r="Z22" i="124"/>
  <c r="AT64" i="124"/>
  <c r="AT23" i="124"/>
  <c r="AE42" i="124"/>
  <c r="Z40" i="124"/>
  <c r="U26" i="124"/>
  <c r="AE32" i="124"/>
  <c r="U20" i="124"/>
  <c r="P30" i="124"/>
  <c r="U36" i="124"/>
  <c r="AE19" i="124"/>
  <c r="U13" i="124"/>
  <c r="Z20" i="124"/>
  <c r="U24" i="124"/>
  <c r="AT17" i="124"/>
  <c r="AE65" i="124"/>
  <c r="AE29" i="124"/>
  <c r="AT44" i="124"/>
  <c r="P59" i="124"/>
  <c r="Z46" i="124"/>
  <c r="Z25" i="124"/>
  <c r="U43" i="124"/>
  <c r="P70" i="124"/>
  <c r="AE18" i="124"/>
  <c r="Z48" i="124"/>
  <c r="AT25" i="124"/>
  <c r="U42" i="124"/>
  <c r="Z66" i="124"/>
  <c r="Z71" i="124"/>
  <c r="AT10" i="124"/>
  <c r="AE13" i="124"/>
  <c r="Z21" i="124"/>
  <c r="AE35" i="124"/>
  <c r="AT48" i="124"/>
  <c r="AE50" i="124"/>
  <c r="P44" i="124"/>
  <c r="AT65" i="124"/>
  <c r="Z60" i="124"/>
  <c r="Z35" i="124"/>
  <c r="U54" i="124"/>
  <c r="Z54" i="124"/>
  <c r="AT68" i="124"/>
  <c r="P63" i="124"/>
  <c r="AT60" i="124"/>
  <c r="Z62" i="124"/>
  <c r="AT54" i="124"/>
  <c r="P60" i="124"/>
  <c r="U57" i="124"/>
  <c r="Z24" i="124"/>
  <c r="AE66" i="124"/>
  <c r="AE60" i="124"/>
  <c r="U23" i="124"/>
  <c r="U32" i="124"/>
  <c r="AT57" i="124"/>
  <c r="U22" i="124"/>
  <c r="P29" i="124"/>
  <c r="Z19" i="124"/>
  <c r="U28" i="124"/>
  <c r="AE31" i="124"/>
  <c r="AT55" i="124"/>
  <c r="AE10" i="124"/>
  <c r="AT18" i="124"/>
  <c r="P28" i="124"/>
  <c r="AE17" i="124"/>
  <c r="AT11" i="124"/>
  <c r="AE28" i="124"/>
  <c r="U48" i="124"/>
  <c r="P56" i="124"/>
  <c r="P9" i="124"/>
  <c r="Z36" i="124"/>
  <c r="U50" i="124"/>
  <c r="P20" i="124"/>
  <c r="U10" i="124"/>
  <c r="P10" i="124"/>
  <c r="P19" i="124"/>
  <c r="AT24" i="124"/>
  <c r="AE59" i="124"/>
  <c r="Z70" i="124"/>
  <c r="AT9" i="124"/>
  <c r="P21" i="124"/>
  <c r="P43" i="124"/>
  <c r="AE70" i="124"/>
  <c r="AE62" i="124"/>
  <c r="P50" i="124"/>
  <c r="U55" i="124"/>
  <c r="AT70" i="124"/>
  <c r="U70" i="124"/>
  <c r="U8" i="124"/>
  <c r="AE41" i="124"/>
  <c r="AT41" i="124"/>
  <c r="AT47" i="124"/>
  <c r="AE61" i="124"/>
  <c r="P55" i="124"/>
  <c r="Z61" i="124"/>
  <c r="AT51" i="124"/>
  <c r="AE58" i="124"/>
  <c r="U52" i="124"/>
  <c r="AE22" i="124"/>
  <c r="Z51" i="124"/>
  <c r="Z58" i="124"/>
  <c r="AE68" i="124"/>
  <c r="AT31" i="124"/>
  <c r="AE36" i="124"/>
  <c r="U56" i="124"/>
  <c r="P25" i="124"/>
  <c r="P68" i="124"/>
  <c r="P26" i="124"/>
  <c r="P23" i="124"/>
  <c r="Z17" i="124"/>
  <c r="P36" i="124"/>
  <c r="U15" i="124"/>
  <c r="AE14" i="124"/>
  <c r="AT14" i="124"/>
  <c r="P15" i="124"/>
  <c r="Z43" i="124"/>
  <c r="U67" i="124"/>
  <c r="U68" i="124"/>
  <c r="Z10" i="124"/>
  <c r="P24" i="124"/>
  <c r="P48" i="124"/>
  <c r="AT28" i="124"/>
  <c r="AE21" i="124"/>
  <c r="Z30" i="124"/>
  <c r="AE24" i="124"/>
  <c r="U44" i="124"/>
  <c r="U61" i="124"/>
  <c r="AT67" i="124"/>
  <c r="AE12" i="124"/>
  <c r="AE16" i="124"/>
  <c r="U51" i="124"/>
  <c r="Z47" i="124"/>
  <c r="U12" i="124"/>
  <c r="Z12" i="124"/>
  <c r="AE48" i="124"/>
  <c r="AT56" i="124"/>
  <c r="U18" i="124"/>
  <c r="P54" i="124"/>
  <c r="Z38" i="124"/>
  <c r="P41" i="124"/>
  <c r="AE47" i="124"/>
  <c r="Z59" i="124"/>
  <c r="AE51" i="124"/>
  <c r="U60" i="124"/>
  <c r="Z65" i="124"/>
  <c r="Z56" i="124"/>
  <c r="U40" i="124"/>
  <c r="U21" i="124"/>
  <c r="P46" i="124"/>
  <c r="Z52" i="124"/>
  <c r="AT58" i="124"/>
  <c r="AT30" i="124"/>
  <c r="P33" i="124"/>
  <c r="AT43" i="124"/>
  <c r="AE23" i="124"/>
  <c r="AT33" i="124"/>
  <c r="Z23" i="124"/>
  <c r="AT16" i="124"/>
  <c r="U16" i="124"/>
  <c r="Z33" i="124"/>
  <c r="AT13" i="124"/>
  <c r="U35" i="124"/>
  <c r="P13" i="124"/>
  <c r="U33" i="124"/>
  <c r="P69" i="124"/>
  <c r="Z63" i="124"/>
  <c r="Z68" i="124"/>
  <c r="Z26" i="124"/>
  <c r="Z16" i="124"/>
  <c r="AT59" i="124"/>
  <c r="AT12" i="124"/>
  <c r="Z27" i="124"/>
  <c r="Z32" i="124"/>
  <c r="P42" i="124"/>
  <c r="Z57" i="124"/>
  <c r="AE52" i="124"/>
  <c r="Z67" i="124"/>
  <c r="Z29" i="124"/>
  <c r="Z9" i="124"/>
  <c r="P45" i="124"/>
  <c r="U64" i="124"/>
  <c r="P27" i="124"/>
  <c r="P35" i="124"/>
  <c r="P62" i="124"/>
  <c r="AT20" i="124"/>
  <c r="Z13" i="124"/>
  <c r="AT38" i="124"/>
  <c r="AE8" i="124"/>
  <c r="P8" i="124"/>
  <c r="P47" i="124"/>
  <c r="P64" i="124"/>
  <c r="U46" i="124"/>
  <c r="U59" i="124"/>
  <c r="Z64" i="124"/>
  <c r="Z55" i="124"/>
  <c r="U29" i="124"/>
  <c r="AT63" i="124"/>
  <c r="Z45" i="124"/>
  <c r="U45" i="124"/>
  <c r="AE57" i="124"/>
  <c r="AT26" i="124"/>
  <c r="P32" i="124"/>
  <c r="AT36" i="124"/>
  <c r="P22" i="124"/>
  <c r="AT32" i="124"/>
  <c r="AT22" i="124"/>
  <c r="Z15" i="124"/>
  <c r="P16" i="124"/>
  <c r="Z31" i="124"/>
  <c r="AE30" i="124"/>
  <c r="Z28" i="124"/>
  <c r="U9" i="124"/>
  <c r="AE27" i="124"/>
  <c r="AE15" i="124"/>
  <c r="AT50" i="124"/>
  <c r="AT15" i="124"/>
  <c r="AE46" i="124"/>
  <c r="AE43" i="124"/>
  <c r="AE71" i="124"/>
  <c r="AE44" i="124"/>
  <c r="AT45" i="124"/>
  <c r="Z50" i="124"/>
  <c r="U11" i="124"/>
  <c r="AE56" i="124"/>
  <c r="U58" i="124"/>
  <c r="AT69" i="124"/>
  <c r="AT29" i="124"/>
  <c r="P17" i="124"/>
  <c r="U69" i="124"/>
  <c r="AE67" i="124"/>
  <c r="Z41" i="124"/>
  <c r="AT42" i="124"/>
  <c r="AE69" i="124"/>
  <c r="AT62" i="124"/>
  <c r="U41" i="124"/>
  <c r="AT8" i="124"/>
  <c r="P18" i="124"/>
  <c r="AE63" i="124"/>
  <c r="P58" i="124"/>
  <c r="AE33" i="124"/>
  <c r="AT27" i="124"/>
  <c r="AT52" i="124"/>
  <c r="AT35" i="124"/>
  <c r="P11" i="124"/>
  <c r="P67" i="124"/>
  <c r="AE26" i="124"/>
  <c r="U14" i="124"/>
  <c r="P52" i="124"/>
  <c r="P12" i="124"/>
  <c r="AE54" i="124"/>
  <c r="P66" i="124"/>
  <c r="AT66" i="124"/>
  <c r="AT21" i="124"/>
  <c r="AE25" i="124"/>
  <c r="AE9" i="124"/>
  <c r="Z14" i="124"/>
  <c r="P71" i="124"/>
  <c r="P57" i="124"/>
  <c r="AE40" i="124"/>
  <c r="P31" i="124"/>
  <c r="AT19" i="124"/>
  <c r="U17" i="124"/>
  <c r="U31" i="124"/>
  <c r="U19" i="124"/>
  <c r="Z8" i="124"/>
  <c r="P51" i="124"/>
  <c r="AT46" i="124"/>
  <c r="U63" i="124"/>
  <c r="Z44" i="124"/>
  <c r="AT40" i="124"/>
  <c r="Z11" i="124"/>
  <c r="AE45" i="124"/>
  <c r="AE20" i="124"/>
  <c r="AT71" i="124"/>
  <c r="Z18" i="124"/>
  <c r="P40" i="124"/>
  <c r="P65" i="124"/>
  <c r="U66" i="124"/>
  <c r="U27" i="124"/>
  <c r="U30" i="124"/>
  <c r="P14" i="124"/>
  <c r="Z42" i="124"/>
  <c r="AE11" i="124"/>
  <c r="U71" i="124"/>
  <c r="U47" i="124"/>
  <c r="EE77" i="82"/>
  <c r="EE81" i="82"/>
  <c r="EE83" i="82" s="1"/>
  <c r="EE84" i="82" s="1"/>
  <c r="EE86" i="82" s="1"/>
  <c r="EE87" i="82" s="1"/>
  <c r="K69" i="122"/>
  <c r="K58" i="122"/>
  <c r="AO44" i="122"/>
  <c r="K59" i="122"/>
  <c r="AO23" i="122"/>
  <c r="K21" i="122"/>
  <c r="K12" i="122"/>
  <c r="AO24" i="122"/>
  <c r="AO55" i="122"/>
  <c r="K41" i="122"/>
  <c r="K56" i="122"/>
  <c r="AO17" i="122"/>
  <c r="K19" i="122"/>
  <c r="AO58" i="122"/>
  <c r="AO12" i="122"/>
  <c r="K50" i="122"/>
  <c r="AO26" i="122"/>
  <c r="AO32" i="122"/>
  <c r="AO43" i="122"/>
  <c r="K8" i="122"/>
  <c r="AO52" i="122"/>
  <c r="K26" i="122"/>
  <c r="AO67" i="122"/>
  <c r="K24" i="122"/>
  <c r="K54" i="122"/>
  <c r="K63" i="122"/>
  <c r="K55" i="122"/>
  <c r="K44" i="122"/>
  <c r="K47" i="122"/>
  <c r="AO22" i="122"/>
  <c r="K27" i="122"/>
  <c r="AO9" i="122"/>
  <c r="AO61" i="122"/>
  <c r="AO63" i="122"/>
  <c r="K65" i="122"/>
  <c r="K70" i="122"/>
  <c r="AO29" i="122"/>
  <c r="K16" i="122"/>
  <c r="K67" i="122"/>
  <c r="AO14" i="122"/>
  <c r="AO51" i="122"/>
  <c r="AO36" i="122"/>
  <c r="AO8" i="122"/>
  <c r="AO54" i="122"/>
  <c r="AO35" i="122"/>
  <c r="AO40" i="122"/>
  <c r="AO27" i="122"/>
  <c r="AO18" i="122"/>
  <c r="AO25" i="122"/>
  <c r="K60" i="122"/>
  <c r="K51" i="122"/>
  <c r="AO59" i="122"/>
  <c r="K45" i="122"/>
  <c r="K17" i="122"/>
  <c r="K15" i="122"/>
  <c r="AO13" i="122"/>
  <c r="AO62" i="122"/>
  <c r="AO68" i="122"/>
  <c r="AO70" i="122"/>
  <c r="AO69" i="122"/>
  <c r="K20" i="122"/>
  <c r="AO33" i="122"/>
  <c r="AO20" i="122"/>
  <c r="K36" i="122"/>
  <c r="AO66" i="122"/>
  <c r="AO46" i="122"/>
  <c r="K32" i="122"/>
  <c r="AO50" i="122"/>
  <c r="K23" i="122"/>
  <c r="K29" i="122"/>
  <c r="AO42" i="122"/>
  <c r="AO65" i="122"/>
  <c r="AO39" i="122"/>
  <c r="K57" i="122"/>
  <c r="K46" i="122"/>
  <c r="K43" i="122"/>
  <c r="K31" i="122"/>
  <c r="K14" i="122"/>
  <c r="K18" i="122"/>
  <c r="K13" i="122"/>
  <c r="K33" i="122"/>
  <c r="AO47" i="122"/>
  <c r="AO28" i="122"/>
  <c r="AO64" i="122"/>
  <c r="AO16" i="122"/>
  <c r="AO31" i="122"/>
  <c r="AO10" i="122"/>
  <c r="AO30" i="122"/>
  <c r="K71" i="122"/>
  <c r="K28" i="122"/>
  <c r="AO48" i="122"/>
  <c r="AO60" i="122"/>
  <c r="K52" i="122"/>
  <c r="AO56" i="122"/>
  <c r="K11" i="122"/>
  <c r="K35" i="122"/>
  <c r="K61" i="122"/>
  <c r="K62" i="122"/>
  <c r="K48" i="122"/>
  <c r="K30" i="122"/>
  <c r="K22" i="122"/>
  <c r="AO15" i="122"/>
  <c r="K25" i="122"/>
  <c r="AO45" i="122"/>
  <c r="AO11" i="122"/>
  <c r="AO19" i="122"/>
  <c r="K42" i="122"/>
  <c r="K10" i="122"/>
  <c r="K66" i="122"/>
  <c r="K68" i="122"/>
  <c r="K9" i="122"/>
  <c r="AO71" i="122"/>
  <c r="AO57" i="122"/>
  <c r="AO21" i="122"/>
  <c r="AO41" i="122"/>
  <c r="K64" i="122"/>
  <c r="AO38" i="122"/>
  <c r="AX86" i="82"/>
  <c r="AY84" i="82"/>
  <c r="BC77" i="100"/>
  <c r="BC89" i="100"/>
  <c r="BC81" i="100"/>
  <c r="BC83" i="100" s="1"/>
  <c r="BC84" i="100" s="1"/>
  <c r="BC86" i="100" s="1"/>
  <c r="BC87" i="100" s="1"/>
  <c r="AN77" i="125"/>
  <c r="AN81" i="125"/>
  <c r="AN83" i="125" s="1"/>
  <c r="AN84" i="125" s="1"/>
  <c r="AN86" i="125" s="1"/>
  <c r="AN87" i="125" s="1"/>
  <c r="AN89" i="125"/>
  <c r="AN91" i="125" s="1"/>
  <c r="AN77" i="123"/>
  <c r="AN81" i="123"/>
  <c r="AN83" i="123" s="1"/>
  <c r="AN84" i="123" s="1"/>
  <c r="AN86" i="123" s="1"/>
  <c r="AN87" i="123" s="1"/>
  <c r="AN89" i="123"/>
  <c r="AS77" i="125"/>
  <c r="AS81" i="125"/>
  <c r="AS83" i="125" s="1"/>
  <c r="AS84" i="125" s="1"/>
  <c r="AS86" i="125" s="1"/>
  <c r="AS87" i="125" s="1"/>
  <c r="AS89" i="125"/>
  <c r="AS91" i="125" s="1"/>
  <c r="AE8" i="100"/>
  <c r="BX39" i="100"/>
  <c r="CH70" i="100"/>
  <c r="AE67" i="100"/>
  <c r="CC64" i="100"/>
  <c r="CC60" i="100"/>
  <c r="CC56" i="100"/>
  <c r="BX24" i="100"/>
  <c r="BX30" i="100"/>
  <c r="BX28" i="100"/>
  <c r="CH41" i="100"/>
  <c r="BX33" i="100"/>
  <c r="CC25" i="100"/>
  <c r="BX25" i="100"/>
  <c r="CH16" i="100"/>
  <c r="CH13" i="100"/>
  <c r="BX10" i="100"/>
  <c r="CC15" i="100"/>
  <c r="AE9" i="100"/>
  <c r="CC23" i="100"/>
  <c r="CH47" i="100"/>
  <c r="BX62" i="100"/>
  <c r="BX8" i="100"/>
  <c r="AE65" i="100"/>
  <c r="AE14" i="100"/>
  <c r="CH63" i="100"/>
  <c r="AE16" i="100"/>
  <c r="BX11" i="100"/>
  <c r="BX23" i="100"/>
  <c r="BX45" i="100"/>
  <c r="CC51" i="100"/>
  <c r="CC18" i="100"/>
  <c r="BX48" i="100"/>
  <c r="CC54" i="100"/>
  <c r="BX16" i="100"/>
  <c r="CH28" i="100"/>
  <c r="CH24" i="100"/>
  <c r="CC48" i="100"/>
  <c r="AE64" i="100"/>
  <c r="CC69" i="100"/>
  <c r="BX35" i="100"/>
  <c r="CC38" i="100"/>
  <c r="AE41" i="100"/>
  <c r="BX65" i="100"/>
  <c r="AE62" i="100"/>
  <c r="CH56" i="100"/>
  <c r="AE61" i="100"/>
  <c r="BX49" i="100"/>
  <c r="CC28" i="100"/>
  <c r="AE24" i="100"/>
  <c r="CC42" i="100"/>
  <c r="CH43" i="100"/>
  <c r="CC55" i="100"/>
  <c r="CH32" i="100"/>
  <c r="BX20" i="100"/>
  <c r="AE22" i="100"/>
  <c r="CC9" i="100"/>
  <c r="CH21" i="100"/>
  <c r="CC14" i="100"/>
  <c r="CC52" i="100"/>
  <c r="CC50" i="100"/>
  <c r="CH62" i="100"/>
  <c r="AE15" i="100"/>
  <c r="BX13" i="100"/>
  <c r="CH8" i="100"/>
  <c r="CH48" i="100"/>
  <c r="CH64" i="100"/>
  <c r="AE20" i="100"/>
  <c r="AE42" i="100"/>
  <c r="CC35" i="100"/>
  <c r="BX55" i="100"/>
  <c r="CH61" i="100"/>
  <c r="BX66" i="100"/>
  <c r="BX47" i="100"/>
  <c r="CC27" i="100"/>
  <c r="BX51" i="100"/>
  <c r="BX57" i="100"/>
  <c r="AE11" i="100"/>
  <c r="CH69" i="100"/>
  <c r="CC67" i="100"/>
  <c r="BX61" i="100"/>
  <c r="CC59" i="100"/>
  <c r="AE29" i="100"/>
  <c r="AE28" i="100"/>
  <c r="CH23" i="100"/>
  <c r="CH36" i="100"/>
  <c r="AE45" i="100"/>
  <c r="AE30" i="100"/>
  <c r="AE32" i="100"/>
  <c r="BX21" i="100"/>
  <c r="CH15" i="100"/>
  <c r="CH12" i="100"/>
  <c r="CC31" i="100"/>
  <c r="AE21" i="100"/>
  <c r="CC13" i="100"/>
  <c r="CH10" i="100"/>
  <c r="CC46" i="100"/>
  <c r="CC70" i="100"/>
  <c r="CH65" i="100"/>
  <c r="CH18" i="100"/>
  <c r="CH17" i="100"/>
  <c r="CC33" i="100"/>
  <c r="CH58" i="100"/>
  <c r="AE58" i="100"/>
  <c r="BX18" i="100"/>
  <c r="AE46" i="100"/>
  <c r="CH59" i="100"/>
  <c r="AE17" i="100"/>
  <c r="AE51" i="100"/>
  <c r="AE66" i="100"/>
  <c r="CC47" i="100"/>
  <c r="CH25" i="100"/>
  <c r="CC24" i="100"/>
  <c r="CH30" i="100"/>
  <c r="AE54" i="100"/>
  <c r="CC32" i="100"/>
  <c r="BX50" i="100"/>
  <c r="BX41" i="100"/>
  <c r="CC66" i="100"/>
  <c r="CH60" i="100"/>
  <c r="CH55" i="100"/>
  <c r="CC58" i="100"/>
  <c r="CC49" i="100"/>
  <c r="CH27" i="100"/>
  <c r="CH33" i="100"/>
  <c r="BX29" i="100"/>
  <c r="BX31" i="100"/>
  <c r="CH44" i="100"/>
  <c r="CH20" i="100"/>
  <c r="CC30" i="100"/>
  <c r="BX19" i="100"/>
  <c r="CC12" i="100"/>
  <c r="AE18" i="100"/>
  <c r="BX58" i="100"/>
  <c r="BX42" i="100"/>
  <c r="CC21" i="100"/>
  <c r="CH31" i="100"/>
  <c r="AE55" i="100"/>
  <c r="AE71" i="100"/>
  <c r="BX54" i="100"/>
  <c r="BX22" i="100"/>
  <c r="BX59" i="100"/>
  <c r="CH46" i="100"/>
  <c r="AE69" i="100"/>
  <c r="CH19" i="100"/>
  <c r="AE47" i="100"/>
  <c r="AE12" i="100"/>
  <c r="BX14" i="100"/>
  <c r="BX44" i="100"/>
  <c r="BX27" i="100"/>
  <c r="AE43" i="100"/>
  <c r="AE57" i="100"/>
  <c r="AE70" i="100"/>
  <c r="BX71" i="100"/>
  <c r="CH50" i="100"/>
  <c r="AD92" i="100"/>
  <c r="CH71" i="100"/>
  <c r="AE68" i="100"/>
  <c r="CC61" i="100"/>
  <c r="CH49" i="100"/>
  <c r="CC22" i="100"/>
  <c r="BX32" i="100"/>
  <c r="AE33" i="100"/>
  <c r="CC43" i="100"/>
  <c r="CC45" i="100"/>
  <c r="AE27" i="100"/>
  <c r="CC36" i="100"/>
  <c r="AE19" i="100"/>
  <c r="CH14" i="100"/>
  <c r="CH11" i="100"/>
  <c r="CC26" i="100"/>
  <c r="BX17" i="100"/>
  <c r="CC11" i="100"/>
  <c r="CC20" i="100"/>
  <c r="AE59" i="100"/>
  <c r="CC68" i="100"/>
  <c r="CH68" i="100"/>
  <c r="AE13" i="100"/>
  <c r="BX43" i="100"/>
  <c r="BX69" i="100"/>
  <c r="BX46" i="100"/>
  <c r="CC41" i="100"/>
  <c r="BX52" i="100"/>
  <c r="BX70" i="100"/>
  <c r="CH29" i="100"/>
  <c r="BX60" i="100"/>
  <c r="CH35" i="100"/>
  <c r="BX12" i="100"/>
  <c r="AE48" i="100"/>
  <c r="CH45" i="100"/>
  <c r="BX63" i="100"/>
  <c r="AE50" i="100"/>
  <c r="CC8" i="100"/>
  <c r="CH38" i="100"/>
  <c r="CC39" i="100"/>
  <c r="CC62" i="100"/>
  <c r="BX64" i="100"/>
  <c r="CC71" i="100"/>
  <c r="AE52" i="100"/>
  <c r="CH26" i="100"/>
  <c r="AE10" i="100"/>
  <c r="CC57" i="100"/>
  <c r="CH42" i="100"/>
  <c r="AE23" i="100"/>
  <c r="BX68" i="100"/>
  <c r="AE44" i="100"/>
  <c r="BX38" i="100"/>
  <c r="BX67" i="100"/>
  <c r="AE25" i="100"/>
  <c r="BX26" i="100"/>
  <c r="CC16" i="100"/>
  <c r="AE60" i="100"/>
  <c r="CH9" i="100"/>
  <c r="CC65" i="100"/>
  <c r="CC44" i="100"/>
  <c r="AE26" i="100"/>
  <c r="BX9" i="100"/>
  <c r="BX15" i="100"/>
  <c r="CC19" i="100"/>
  <c r="BX56" i="100"/>
  <c r="AE63" i="100"/>
  <c r="CH57" i="100"/>
  <c r="AE31" i="100"/>
  <c r="CC17" i="100"/>
  <c r="BX36" i="100"/>
  <c r="CH51" i="100"/>
  <c r="AE56" i="100"/>
  <c r="CH22" i="100"/>
  <c r="CH66" i="100"/>
  <c r="CH54" i="100"/>
  <c r="CH52" i="100"/>
  <c r="CH67" i="100"/>
  <c r="CH39" i="100"/>
  <c r="CC63" i="100"/>
  <c r="CC10" i="100"/>
  <c r="CC29" i="100"/>
  <c r="AE36" i="100"/>
  <c r="Y92" i="100"/>
  <c r="AI86" i="82"/>
  <c r="AJ84" i="82"/>
  <c r="BN67" i="122"/>
  <c r="BI62" i="122"/>
  <c r="BS57" i="122"/>
  <c r="BI63" i="122"/>
  <c r="BS58" i="122"/>
  <c r="BN52" i="122"/>
  <c r="BS46" i="122"/>
  <c r="BS52" i="122"/>
  <c r="BD56" i="122"/>
  <c r="BN51" i="122"/>
  <c r="BN43" i="122"/>
  <c r="BN63" i="122"/>
  <c r="BI30" i="122"/>
  <c r="BD14" i="122"/>
  <c r="BN24" i="122"/>
  <c r="BD21" i="122"/>
  <c r="BI17" i="122"/>
  <c r="BN25" i="122"/>
  <c r="BN13" i="122"/>
  <c r="BD12" i="122"/>
  <c r="BN26" i="122"/>
  <c r="BS25" i="122"/>
  <c r="BI65" i="122"/>
  <c r="BI10" i="122"/>
  <c r="BD26" i="122"/>
  <c r="BI23" i="122"/>
  <c r="BS33" i="122"/>
  <c r="BD68" i="122"/>
  <c r="BN21" i="122"/>
  <c r="BS10" i="122"/>
  <c r="BN12" i="122"/>
  <c r="BI36" i="122"/>
  <c r="BD65" i="122"/>
  <c r="BN66" i="122"/>
  <c r="BS65" i="122"/>
  <c r="BN23" i="122"/>
  <c r="BD67" i="122"/>
  <c r="BD35" i="122"/>
  <c r="BD41" i="122"/>
  <c r="BI39" i="122"/>
  <c r="BI71" i="122"/>
  <c r="BS66" i="122"/>
  <c r="BN61" i="122"/>
  <c r="BD57" i="122"/>
  <c r="BN62" i="122"/>
  <c r="BD58" i="122"/>
  <c r="BS51" i="122"/>
  <c r="BD46" i="122"/>
  <c r="BN50" i="122"/>
  <c r="BD48" i="122"/>
  <c r="BS48" i="122"/>
  <c r="BI51" i="122"/>
  <c r="BI52" i="122"/>
  <c r="BS54" i="122"/>
  <c r="BS11" i="122"/>
  <c r="BS23" i="122"/>
  <c r="BI61" i="122"/>
  <c r="BD15" i="122"/>
  <c r="BN22" i="122"/>
  <c r="BI11" i="122"/>
  <c r="BN18" i="122"/>
  <c r="BD29" i="122"/>
  <c r="BS45" i="122"/>
  <c r="BS68" i="122"/>
  <c r="BI21" i="122"/>
  <c r="BS35" i="122"/>
  <c r="BS24" i="122"/>
  <c r="BN28" i="122"/>
  <c r="BI70" i="122"/>
  <c r="BN14" i="122"/>
  <c r="BN17" i="122"/>
  <c r="BS13" i="122"/>
  <c r="BD52" i="122"/>
  <c r="BN19" i="122"/>
  <c r="BS29" i="122"/>
  <c r="BN71" i="122"/>
  <c r="BI9" i="122"/>
  <c r="BI67" i="122"/>
  <c r="BN38" i="122"/>
  <c r="BN54" i="122"/>
  <c r="BN70" i="122"/>
  <c r="BD66" i="122"/>
  <c r="BS60" i="122"/>
  <c r="BI56" i="122"/>
  <c r="BS61" i="122"/>
  <c r="BI57" i="122"/>
  <c r="BD51" i="122"/>
  <c r="BI45" i="122"/>
  <c r="BD47" i="122"/>
  <c r="BS47" i="122"/>
  <c r="BS43" i="122"/>
  <c r="BN33" i="122"/>
  <c r="BN48" i="122"/>
  <c r="BI47" i="122"/>
  <c r="BD11" i="122"/>
  <c r="BD23" i="122"/>
  <c r="BN45" i="122"/>
  <c r="BS12" i="122"/>
  <c r="BD9" i="122"/>
  <c r="BI26" i="122"/>
  <c r="BI15" i="122"/>
  <c r="BD36" i="122"/>
  <c r="BS59" i="122"/>
  <c r="BI66" i="122"/>
  <c r="BD62" i="122"/>
  <c r="BS16" i="122"/>
  <c r="BS26" i="122"/>
  <c r="BS36" i="122"/>
  <c r="BS64" i="122"/>
  <c r="BI24" i="122"/>
  <c r="BD28" i="122"/>
  <c r="BI18" i="122"/>
  <c r="BS50" i="122"/>
  <c r="BI27" i="122"/>
  <c r="BN8" i="122"/>
  <c r="BN29" i="122"/>
  <c r="BI16" i="122"/>
  <c r="BD64" i="122"/>
  <c r="BD54" i="122"/>
  <c r="BI8" i="122"/>
  <c r="BN39" i="122"/>
  <c r="BS69" i="122"/>
  <c r="BN49" i="122"/>
  <c r="BD60" i="122"/>
  <c r="BN55" i="122"/>
  <c r="BD61" i="122"/>
  <c r="BN56" i="122"/>
  <c r="BS49" i="122"/>
  <c r="BN44" i="122"/>
  <c r="BI43" i="122"/>
  <c r="BD45" i="122"/>
  <c r="BD43" i="122"/>
  <c r="BS32" i="122"/>
  <c r="BI32" i="122"/>
  <c r="BS17" i="122"/>
  <c r="BN36" i="122"/>
  <c r="BS22" i="122"/>
  <c r="BS30" i="122"/>
  <c r="BN10" i="122"/>
  <c r="BS42" i="122"/>
  <c r="BS9" i="122"/>
  <c r="BN32" i="122"/>
  <c r="BI54" i="122"/>
  <c r="BI44" i="122"/>
  <c r="BS18" i="122"/>
  <c r="BD20" i="122"/>
  <c r="BI22" i="122"/>
  <c r="BI12" i="122"/>
  <c r="BS27" i="122"/>
  <c r="BN68" i="122"/>
  <c r="BI55" i="122"/>
  <c r="BS44" i="122"/>
  <c r="BI31" i="122"/>
  <c r="BI46" i="122"/>
  <c r="BD10" i="122"/>
  <c r="BD59" i="122"/>
  <c r="BD24" i="122"/>
  <c r="BN20" i="122"/>
  <c r="BS38" i="122"/>
  <c r="BD50" i="122"/>
  <c r="BS8" i="122"/>
  <c r="BS39" i="122"/>
  <c r="BD69" i="122"/>
  <c r="BS63" i="122"/>
  <c r="BI59" i="122"/>
  <c r="BD49" i="122"/>
  <c r="BI60" i="122"/>
  <c r="BS55" i="122"/>
  <c r="BI48" i="122"/>
  <c r="BI49" i="122"/>
  <c r="BS62" i="122"/>
  <c r="BD44" i="122"/>
  <c r="BN64" i="122"/>
  <c r="BD32" i="122"/>
  <c r="BS31" i="122"/>
  <c r="BD17" i="122"/>
  <c r="BD30" i="122"/>
  <c r="BD22" i="122"/>
  <c r="BI29" i="122"/>
  <c r="BS28" i="122"/>
  <c r="BN30" i="122"/>
  <c r="BS20" i="122"/>
  <c r="BS19" i="122"/>
  <c r="BI20" i="122"/>
  <c r="BN65" i="122"/>
  <c r="BD18" i="122"/>
  <c r="BI19" i="122"/>
  <c r="BI25" i="122"/>
  <c r="BI35" i="122"/>
  <c r="BD33" i="122"/>
  <c r="BD71" i="122"/>
  <c r="BS56" i="122"/>
  <c r="BN9" i="122"/>
  <c r="BD25" i="122"/>
  <c r="BN69" i="122"/>
  <c r="AD91" i="122"/>
  <c r="BI41" i="122"/>
  <c r="BN11" i="122"/>
  <c r="BN60" i="122"/>
  <c r="BD8" i="122"/>
  <c r="BD38" i="122"/>
  <c r="BI64" i="122"/>
  <c r="BI42" i="122"/>
  <c r="BS21" i="122"/>
  <c r="BN15" i="122"/>
  <c r="BI50" i="122"/>
  <c r="BN35" i="122"/>
  <c r="BS14" i="122"/>
  <c r="BD42" i="122"/>
  <c r="BN59" i="122"/>
  <c r="BN46" i="122"/>
  <c r="BD27" i="122"/>
  <c r="BS70" i="122"/>
  <c r="BD70" i="122"/>
  <c r="BI69" i="122"/>
  <c r="BD63" i="122"/>
  <c r="BD55" i="122"/>
  <c r="BN31" i="122"/>
  <c r="BN16" i="122"/>
  <c r="BI13" i="122"/>
  <c r="BS71" i="122"/>
  <c r="BD16" i="122"/>
  <c r="BI14" i="122"/>
  <c r="BI68" i="122"/>
  <c r="BN47" i="122"/>
  <c r="BD31" i="122"/>
  <c r="BS15" i="122"/>
  <c r="BD13" i="122"/>
  <c r="BN27" i="122"/>
  <c r="BN42" i="122"/>
  <c r="BN57" i="122"/>
  <c r="BI33" i="122"/>
  <c r="BS41" i="122"/>
  <c r="BN58" i="122"/>
  <c r="BI58" i="122"/>
  <c r="BI28" i="122"/>
  <c r="BD19" i="122"/>
  <c r="BN41" i="122"/>
  <c r="BS67" i="122"/>
  <c r="BI38" i="122"/>
  <c r="BD39" i="122"/>
  <c r="AO84" i="82"/>
  <c r="AN86" i="82"/>
  <c r="BN54" i="124"/>
  <c r="BN8" i="124"/>
  <c r="BI38" i="124"/>
  <c r="BD35" i="124"/>
  <c r="BD38" i="124"/>
  <c r="BI54" i="124"/>
  <c r="BD54" i="124"/>
  <c r="BS8" i="124"/>
  <c r="BN41" i="124"/>
  <c r="BD39" i="124"/>
  <c r="BD8" i="124"/>
  <c r="BI39" i="124"/>
  <c r="BS39" i="124"/>
  <c r="BI47" i="124"/>
  <c r="BN60" i="124"/>
  <c r="BS55" i="124"/>
  <c r="BI60" i="124"/>
  <c r="BI63" i="124"/>
  <c r="BN49" i="124"/>
  <c r="BS24" i="124"/>
  <c r="BD62" i="124"/>
  <c r="BS61" i="124"/>
  <c r="BN36" i="124"/>
  <c r="BI27" i="124"/>
  <c r="BS25" i="124"/>
  <c r="BD45" i="124"/>
  <c r="BI26" i="124"/>
  <c r="BN20" i="124"/>
  <c r="BN18" i="124"/>
  <c r="BI70" i="124"/>
  <c r="BI67" i="124"/>
  <c r="BN31" i="124"/>
  <c r="BI9" i="124"/>
  <c r="BI28" i="124"/>
  <c r="BN47" i="124"/>
  <c r="BS13" i="124"/>
  <c r="BS10" i="124"/>
  <c r="BN16" i="124"/>
  <c r="BS26" i="124"/>
  <c r="BN55" i="124"/>
  <c r="BI69" i="124"/>
  <c r="BN13" i="124"/>
  <c r="BS71" i="124"/>
  <c r="BS67" i="124"/>
  <c r="BN45" i="124"/>
  <c r="BI11" i="124"/>
  <c r="BI50" i="124"/>
  <c r="BI17" i="124"/>
  <c r="BD63" i="124"/>
  <c r="BS38" i="124"/>
  <c r="BD49" i="124"/>
  <c r="BN59" i="124"/>
  <c r="BS52" i="124"/>
  <c r="BD58" i="124"/>
  <c r="BD61" i="124"/>
  <c r="BD59" i="124"/>
  <c r="BD24" i="124"/>
  <c r="BD51" i="124"/>
  <c r="BS58" i="124"/>
  <c r="BS33" i="124"/>
  <c r="BD25" i="124"/>
  <c r="BD20" i="124"/>
  <c r="BD33" i="124"/>
  <c r="BS20" i="124"/>
  <c r="BS19" i="124"/>
  <c r="BN14" i="124"/>
  <c r="BI52" i="124"/>
  <c r="BN35" i="124"/>
  <c r="BS45" i="124"/>
  <c r="BD14" i="124"/>
  <c r="BD22" i="124"/>
  <c r="BD68" i="124"/>
  <c r="BI16" i="124"/>
  <c r="BI13" i="124"/>
  <c r="BN23" i="124"/>
  <c r="BS43" i="124"/>
  <c r="BI48" i="124"/>
  <c r="AD91" i="124"/>
  <c r="BN17" i="124"/>
  <c r="BI44" i="124"/>
  <c r="BS66" i="124"/>
  <c r="BS60" i="124"/>
  <c r="BN44" i="124"/>
  <c r="BD16" i="124"/>
  <c r="BN71" i="124"/>
  <c r="BS15" i="124"/>
  <c r="BI71" i="124"/>
  <c r="BS64" i="124"/>
  <c r="BD28" i="124"/>
  <c r="BN52" i="124"/>
  <c r="BN26" i="124"/>
  <c r="BN9" i="124"/>
  <c r="BD41" i="124"/>
  <c r="BN10" i="124"/>
  <c r="BS54" i="124"/>
  <c r="BI29" i="124"/>
  <c r="BI59" i="124"/>
  <c r="BD67" i="124"/>
  <c r="BS49" i="124"/>
  <c r="BI58" i="124"/>
  <c r="BS65" i="124"/>
  <c r="BS56" i="124"/>
  <c r="BS59" i="124"/>
  <c r="BI57" i="124"/>
  <c r="BS23" i="124"/>
  <c r="BD55" i="124"/>
  <c r="BN29" i="124"/>
  <c r="BI51" i="124"/>
  <c r="BI42" i="124"/>
  <c r="BI43" i="124"/>
  <c r="BD15" i="124"/>
  <c r="BI21" i="124"/>
  <c r="BS17" i="124"/>
  <c r="BN24" i="124"/>
  <c r="BD47" i="124"/>
  <c r="BD17" i="124"/>
  <c r="BD11" i="124"/>
  <c r="BI12" i="124"/>
  <c r="BD36" i="124"/>
  <c r="BN68" i="124"/>
  <c r="BD12" i="124"/>
  <c r="BI14" i="124"/>
  <c r="BD27" i="124"/>
  <c r="BS42" i="124"/>
  <c r="BI46" i="124"/>
  <c r="BS44" i="124"/>
  <c r="BN19" i="124"/>
  <c r="BD44" i="124"/>
  <c r="BD42" i="124"/>
  <c r="BN70" i="124"/>
  <c r="BS46" i="124"/>
  <c r="BI20" i="124"/>
  <c r="BS70" i="124"/>
  <c r="BS30" i="124"/>
  <c r="BD57" i="124"/>
  <c r="BD64" i="124"/>
  <c r="BN65" i="124"/>
  <c r="BN22" i="124"/>
  <c r="BD31" i="124"/>
  <c r="BI32" i="124"/>
  <c r="BI25" i="124"/>
  <c r="BI18" i="124"/>
  <c r="BN11" i="124"/>
  <c r="BI15" i="124"/>
  <c r="BD32" i="124"/>
  <c r="BI8" i="124"/>
  <c r="BN64" i="124"/>
  <c r="BS50" i="124"/>
  <c r="BI66" i="124"/>
  <c r="BD65" i="124"/>
  <c r="BN63" i="124"/>
  <c r="BN66" i="124"/>
  <c r="BN57" i="124"/>
  <c r="BS28" i="124"/>
  <c r="BD23" i="124"/>
  <c r="BD52" i="124"/>
  <c r="BN25" i="124"/>
  <c r="BN32" i="124"/>
  <c r="BI36" i="124"/>
  <c r="BN30" i="124"/>
  <c r="BS11" i="124"/>
  <c r="BI33" i="124"/>
  <c r="BS14" i="124"/>
  <c r="BS21" i="124"/>
  <c r="BI68" i="124"/>
  <c r="BS32" i="124"/>
  <c r="BD13" i="124"/>
  <c r="BS16" i="124"/>
  <c r="BD46" i="124"/>
  <c r="BN12" i="124"/>
  <c r="BS57" i="124"/>
  <c r="BI19" i="124"/>
  <c r="BS36" i="124"/>
  <c r="BN43" i="124"/>
  <c r="BS48" i="124"/>
  <c r="BS9" i="124"/>
  <c r="BD26" i="124"/>
  <c r="BN33" i="124"/>
  <c r="BN58" i="124"/>
  <c r="BS68" i="124"/>
  <c r="BD60" i="124"/>
  <c r="BI62" i="124"/>
  <c r="BS69" i="124"/>
  <c r="BI35" i="124"/>
  <c r="BD71" i="124"/>
  <c r="BS35" i="124"/>
  <c r="BN38" i="124"/>
  <c r="BD50" i="124"/>
  <c r="BN62" i="124"/>
  <c r="BN56" i="124"/>
  <c r="BS51" i="124"/>
  <c r="BS31" i="124"/>
  <c r="BI31" i="124"/>
  <c r="BD66" i="124"/>
  <c r="BI56" i="124"/>
  <c r="BS41" i="124"/>
  <c r="BN61" i="124"/>
  <c r="BS47" i="124"/>
  <c r="BI45" i="124"/>
  <c r="BI49" i="124"/>
  <c r="BS62" i="124"/>
  <c r="BD56" i="124"/>
  <c r="BI61" i="124"/>
  <c r="BI64" i="124"/>
  <c r="BI55" i="124"/>
  <c r="BN27" i="124"/>
  <c r="BN21" i="124"/>
  <c r="BD69" i="124"/>
  <c r="BN42" i="124"/>
  <c r="BD29" i="124"/>
  <c r="BS29" i="124"/>
  <c r="BI10" i="124"/>
  <c r="BI30" i="124"/>
  <c r="BN28" i="124"/>
  <c r="BS18" i="124"/>
  <c r="BN67" i="124"/>
  <c r="BS63" i="124"/>
  <c r="BD18" i="124"/>
  <c r="BD19" i="124"/>
  <c r="BI24" i="124"/>
  <c r="BN50" i="124"/>
  <c r="BD10" i="124"/>
  <c r="BI22" i="124"/>
  <c r="BS12" i="124"/>
  <c r="BS22" i="124"/>
  <c r="BD43" i="124"/>
  <c r="BI65" i="124"/>
  <c r="BS27" i="124"/>
  <c r="BD48" i="124"/>
  <c r="BI23" i="124"/>
  <c r="BD70" i="124"/>
  <c r="BD21" i="124"/>
  <c r="BN15" i="124"/>
  <c r="BN51" i="124"/>
  <c r="BD9" i="124"/>
  <c r="BN46" i="124"/>
  <c r="BN48" i="124"/>
  <c r="BI41" i="124"/>
  <c r="BD30" i="124"/>
  <c r="BN69" i="124"/>
  <c r="BN39" i="124"/>
  <c r="AT8" i="121"/>
  <c r="P35" i="121"/>
  <c r="P54" i="121"/>
  <c r="AT70" i="121"/>
  <c r="AE67" i="121"/>
  <c r="Z63" i="121"/>
  <c r="AT59" i="121"/>
  <c r="P68" i="121"/>
  <c r="P65" i="121"/>
  <c r="U56" i="121"/>
  <c r="AE23" i="121"/>
  <c r="Z48" i="121"/>
  <c r="Z33" i="121"/>
  <c r="Z45" i="121"/>
  <c r="AT30" i="121"/>
  <c r="AT25" i="121"/>
  <c r="AT23" i="121"/>
  <c r="P46" i="121"/>
  <c r="AE16" i="121"/>
  <c r="AE44" i="121"/>
  <c r="Z14" i="121"/>
  <c r="P10" i="121"/>
  <c r="Z12" i="121"/>
  <c r="AE13" i="121"/>
  <c r="U15" i="121"/>
  <c r="Z29" i="121"/>
  <c r="AT18" i="121"/>
  <c r="AE45" i="121"/>
  <c r="P64" i="121"/>
  <c r="AT17" i="121"/>
  <c r="P33" i="121"/>
  <c r="AT27" i="121"/>
  <c r="P24" i="121"/>
  <c r="U44" i="121"/>
  <c r="Z21" i="121"/>
  <c r="AE12" i="121"/>
  <c r="Z24" i="121"/>
  <c r="Z27" i="121"/>
  <c r="AE20" i="121"/>
  <c r="U48" i="121"/>
  <c r="U11" i="121"/>
  <c r="AE51" i="121"/>
  <c r="AT15" i="121"/>
  <c r="Z58" i="121"/>
  <c r="AE48" i="121"/>
  <c r="P69" i="121"/>
  <c r="Z17" i="121"/>
  <c r="Z54" i="121"/>
  <c r="Z35" i="121"/>
  <c r="Z28" i="121"/>
  <c r="AE35" i="121"/>
  <c r="U8" i="121"/>
  <c r="AE70" i="121"/>
  <c r="P67" i="121"/>
  <c r="AT62" i="121"/>
  <c r="AE59" i="121"/>
  <c r="AE65" i="121"/>
  <c r="AT68" i="121"/>
  <c r="Z55" i="121"/>
  <c r="AE22" i="121"/>
  <c r="P47" i="121"/>
  <c r="Z32" i="121"/>
  <c r="Z44" i="121"/>
  <c r="AT56" i="121"/>
  <c r="Z23" i="121"/>
  <c r="P23" i="121"/>
  <c r="P43" i="121"/>
  <c r="AT14" i="121"/>
  <c r="U31" i="121"/>
  <c r="U13" i="121"/>
  <c r="Z22" i="121"/>
  <c r="Z11" i="121"/>
  <c r="P22" i="121"/>
  <c r="P13" i="121"/>
  <c r="P42" i="121"/>
  <c r="AT21" i="121"/>
  <c r="U51" i="121"/>
  <c r="AT69" i="121"/>
  <c r="P61" i="121"/>
  <c r="P27" i="121"/>
  <c r="U50" i="121"/>
  <c r="Z41" i="121"/>
  <c r="Z59" i="121"/>
  <c r="Z57" i="121"/>
  <c r="AT16" i="121"/>
  <c r="AT26" i="121"/>
  <c r="AE42" i="121"/>
  <c r="U24" i="121"/>
  <c r="P55" i="121"/>
  <c r="P19" i="121"/>
  <c r="Z10" i="121"/>
  <c r="U25" i="121"/>
  <c r="Z46" i="121"/>
  <c r="AT64" i="121"/>
  <c r="P15" i="121"/>
  <c r="AT20" i="121"/>
  <c r="U65" i="121"/>
  <c r="AE8" i="121"/>
  <c r="AT38" i="121"/>
  <c r="Z8" i="121"/>
  <c r="AT39" i="121"/>
  <c r="P70" i="121"/>
  <c r="U66" i="121"/>
  <c r="AE62" i="121"/>
  <c r="P59" i="121"/>
  <c r="AE71" i="121"/>
  <c r="Z66" i="121"/>
  <c r="U52" i="121"/>
  <c r="U59" i="121"/>
  <c r="AE46" i="121"/>
  <c r="AE30" i="121"/>
  <c r="U43" i="121"/>
  <c r="AT47" i="121"/>
  <c r="P44" i="121"/>
  <c r="U22" i="121"/>
  <c r="Z42" i="121"/>
  <c r="AT13" i="121"/>
  <c r="P28" i="121"/>
  <c r="U12" i="121"/>
  <c r="U16" i="121"/>
  <c r="AE11" i="121"/>
  <c r="AE21" i="121"/>
  <c r="AT10" i="121"/>
  <c r="Z16" i="121"/>
  <c r="U32" i="121"/>
  <c r="AT55" i="121"/>
  <c r="U55" i="121"/>
  <c r="U68" i="121"/>
  <c r="P12" i="121"/>
  <c r="U19" i="121"/>
  <c r="AT42" i="121"/>
  <c r="AT66" i="121"/>
  <c r="AE69" i="121"/>
  <c r="AE52" i="121"/>
  <c r="U47" i="121"/>
  <c r="P56" i="121"/>
  <c r="AT63" i="121"/>
  <c r="U60" i="121"/>
  <c r="Z25" i="121"/>
  <c r="AE36" i="121"/>
  <c r="AE33" i="121"/>
  <c r="AT33" i="121"/>
  <c r="AE55" i="121"/>
  <c r="AE24" i="121"/>
  <c r="AE19" i="121"/>
  <c r="P60" i="121"/>
  <c r="AE41" i="121"/>
  <c r="AE50" i="121"/>
  <c r="Z50" i="121"/>
  <c r="P39" i="121"/>
  <c r="U69" i="121"/>
  <c r="Z65" i="121"/>
  <c r="P62" i="121"/>
  <c r="U58" i="121"/>
  <c r="AE68" i="121"/>
  <c r="AE63" i="121"/>
  <c r="Z51" i="121"/>
  <c r="Z40" i="121"/>
  <c r="AT44" i="121"/>
  <c r="P30" i="121"/>
  <c r="U42" i="121"/>
  <c r="AT46" i="121"/>
  <c r="AE43" i="121"/>
  <c r="Z61" i="121"/>
  <c r="AT32" i="121"/>
  <c r="U10" i="121"/>
  <c r="U23" i="121"/>
  <c r="U26" i="121"/>
  <c r="U27" i="121"/>
  <c r="AE31" i="121"/>
  <c r="P14" i="121"/>
  <c r="P18" i="121"/>
  <c r="U20" i="121"/>
  <c r="U29" i="121"/>
  <c r="U63" i="121"/>
  <c r="P9" i="121"/>
  <c r="U71" i="121"/>
  <c r="Z36" i="121"/>
  <c r="Z64" i="121"/>
  <c r="P52" i="121"/>
  <c r="Z18" i="121"/>
  <c r="U14" i="121"/>
  <c r="AT28" i="121"/>
  <c r="AT31" i="121"/>
  <c r="AT48" i="121"/>
  <c r="P51" i="121"/>
  <c r="AE61" i="121"/>
  <c r="AT12" i="121"/>
  <c r="AT45" i="121"/>
  <c r="U30" i="121"/>
  <c r="AE56" i="121"/>
  <c r="P63" i="121"/>
  <c r="Z9" i="121"/>
  <c r="AE66" i="121"/>
  <c r="AE58" i="121"/>
  <c r="AT35" i="121"/>
  <c r="AE9" i="121"/>
  <c r="P50" i="121"/>
  <c r="Z68" i="121"/>
  <c r="P71" i="121"/>
  <c r="U61" i="121"/>
  <c r="AT71" i="121"/>
  <c r="U67" i="121"/>
  <c r="AE60" i="121"/>
  <c r="Z69" i="121"/>
  <c r="U62" i="121"/>
  <c r="AT43" i="121"/>
  <c r="AT29" i="121"/>
  <c r="P40" i="121"/>
  <c r="U33" i="121"/>
  <c r="AE32" i="121"/>
  <c r="AT57" i="121"/>
  <c r="Z26" i="121"/>
  <c r="P31" i="121"/>
  <c r="U18" i="121"/>
  <c r="P21" i="121"/>
  <c r="P16" i="121"/>
  <c r="AE10" i="121"/>
  <c r="AT11" i="121"/>
  <c r="P17" i="121"/>
  <c r="AE28" i="121"/>
  <c r="AT61" i="121"/>
  <c r="AE64" i="121"/>
  <c r="U17" i="121"/>
  <c r="AT60" i="121"/>
  <c r="AT9" i="121"/>
  <c r="AT19" i="121"/>
  <c r="AT58" i="121"/>
  <c r="AE27" i="121"/>
  <c r="AE18" i="121"/>
  <c r="U54" i="121"/>
  <c r="P48" i="121"/>
  <c r="AT36" i="121"/>
  <c r="Z56" i="121"/>
  <c r="Z70" i="121"/>
  <c r="P20" i="121"/>
  <c r="Z19" i="121"/>
  <c r="U57" i="121"/>
  <c r="AT41" i="121"/>
  <c r="Z62" i="121"/>
  <c r="U41" i="121"/>
  <c r="P66" i="121"/>
  <c r="U9" i="121"/>
  <c r="AE29" i="121"/>
  <c r="AE25" i="121"/>
  <c r="AT67" i="121"/>
  <c r="AE40" i="121"/>
  <c r="P32" i="121"/>
  <c r="AE14" i="121"/>
  <c r="P58" i="121"/>
  <c r="P45" i="121"/>
  <c r="AE17" i="121"/>
  <c r="P26" i="121"/>
  <c r="U64" i="121"/>
  <c r="AT40" i="121"/>
  <c r="Z47" i="121"/>
  <c r="P8" i="121"/>
  <c r="P36" i="121"/>
  <c r="U36" i="121"/>
  <c r="Z43" i="121"/>
  <c r="P25" i="121"/>
  <c r="AT50" i="121"/>
  <c r="Z15" i="121"/>
  <c r="AT51" i="121"/>
  <c r="P41" i="121"/>
  <c r="Z60" i="121"/>
  <c r="U40" i="121"/>
  <c r="AT22" i="121"/>
  <c r="U46" i="121"/>
  <c r="Z13" i="121"/>
  <c r="AE26" i="121"/>
  <c r="U28" i="121"/>
  <c r="Z38" i="121"/>
  <c r="AT65" i="121"/>
  <c r="Z20" i="121"/>
  <c r="U70" i="121"/>
  <c r="AE47" i="121"/>
  <c r="U45" i="121"/>
  <c r="P29" i="121"/>
  <c r="AE15" i="121"/>
  <c r="AT52" i="121"/>
  <c r="AT24" i="121"/>
  <c r="Z31" i="121"/>
  <c r="U35" i="121"/>
  <c r="AT54" i="121"/>
  <c r="P38" i="121"/>
  <c r="AE54" i="121"/>
  <c r="Z71" i="121"/>
  <c r="AE57" i="121"/>
  <c r="Z30" i="121"/>
  <c r="P11" i="121"/>
  <c r="U21" i="121"/>
  <c r="Z67" i="121"/>
  <c r="Z52" i="121"/>
  <c r="P57" i="121"/>
  <c r="U38" i="121"/>
  <c r="Z39" i="121"/>
  <c r="AE38" i="121"/>
  <c r="AE39" i="121"/>
  <c r="U39" i="121"/>
  <c r="Z8" i="123"/>
  <c r="P70" i="123"/>
  <c r="AE70" i="123"/>
  <c r="AT55" i="123"/>
  <c r="AT58" i="123"/>
  <c r="AT47" i="123"/>
  <c r="P56" i="123"/>
  <c r="AE36" i="123"/>
  <c r="AE45" i="123"/>
  <c r="AT30" i="123"/>
  <c r="U20" i="123"/>
  <c r="P26" i="123"/>
  <c r="U18" i="123"/>
  <c r="U24" i="123"/>
  <c r="AT16" i="123"/>
  <c r="AE13" i="123"/>
  <c r="P10" i="123"/>
  <c r="P11" i="123"/>
  <c r="AT20" i="123"/>
  <c r="AE14" i="123"/>
  <c r="Z12" i="123"/>
  <c r="Z35" i="123"/>
  <c r="AT22" i="123"/>
  <c r="AE41" i="123"/>
  <c r="U52" i="123"/>
  <c r="AE63" i="123"/>
  <c r="AE52" i="123"/>
  <c r="U14" i="123"/>
  <c r="AT29" i="123"/>
  <c r="Z42" i="123"/>
  <c r="AE68" i="123"/>
  <c r="AE32" i="123"/>
  <c r="P48" i="123"/>
  <c r="AT15" i="123"/>
  <c r="AE35" i="123"/>
  <c r="U51" i="123"/>
  <c r="Z57" i="123"/>
  <c r="AE15" i="123"/>
  <c r="AE60" i="123"/>
  <c r="U27" i="123"/>
  <c r="U58" i="123"/>
  <c r="AE54" i="123"/>
  <c r="AT60" i="123"/>
  <c r="U11" i="123"/>
  <c r="Z60" i="123"/>
  <c r="P51" i="123"/>
  <c r="Z50" i="123"/>
  <c r="U41" i="123"/>
  <c r="Z41" i="123"/>
  <c r="P38" i="123"/>
  <c r="AT54" i="123"/>
  <c r="AE67" i="123"/>
  <c r="AT67" i="123"/>
  <c r="AE55" i="123"/>
  <c r="AT61" i="123"/>
  <c r="AE47" i="123"/>
  <c r="U47" i="123"/>
  <c r="P36" i="123"/>
  <c r="Z43" i="123"/>
  <c r="AE22" i="123"/>
  <c r="Z46" i="123"/>
  <c r="U23" i="123"/>
  <c r="Z9" i="123"/>
  <c r="Z20" i="123"/>
  <c r="AE16" i="123"/>
  <c r="P13" i="123"/>
  <c r="Z32" i="123"/>
  <c r="P9" i="123"/>
  <c r="U19" i="123"/>
  <c r="AE11" i="123"/>
  <c r="Z25" i="123"/>
  <c r="Z24" i="123"/>
  <c r="U31" i="123"/>
  <c r="AE44" i="123"/>
  <c r="AE61" i="123"/>
  <c r="AE65" i="123"/>
  <c r="Z56" i="123"/>
  <c r="AT25" i="123"/>
  <c r="U45" i="123"/>
  <c r="P35" i="123"/>
  <c r="AT71" i="123"/>
  <c r="AE25" i="123"/>
  <c r="U21" i="123"/>
  <c r="P28" i="123"/>
  <c r="U48" i="123"/>
  <c r="Z67" i="123"/>
  <c r="Z64" i="123"/>
  <c r="U17" i="123"/>
  <c r="U67" i="123"/>
  <c r="P15" i="123"/>
  <c r="P43" i="123"/>
  <c r="AT57" i="123"/>
  <c r="P68" i="123"/>
  <c r="Z10" i="123"/>
  <c r="Z69" i="123"/>
  <c r="P18" i="123"/>
  <c r="AE8" i="123"/>
  <c r="P54" i="123"/>
  <c r="U8" i="123"/>
  <c r="U9" i="123"/>
  <c r="AE50" i="123"/>
  <c r="AT8" i="123"/>
  <c r="Z71" i="123"/>
  <c r="U62" i="123"/>
  <c r="P55" i="123"/>
  <c r="Z68" i="123"/>
  <c r="P47" i="123"/>
  <c r="P45" i="123"/>
  <c r="Z23" i="123"/>
  <c r="AT42" i="123"/>
  <c r="Z19" i="123"/>
  <c r="AT40" i="123"/>
  <c r="P22" i="123"/>
  <c r="U44" i="123"/>
  <c r="AT19" i="123"/>
  <c r="P16" i="123"/>
  <c r="U12" i="123"/>
  <c r="Z22" i="123"/>
  <c r="AT11" i="123"/>
  <c r="U30" i="123"/>
  <c r="P29" i="123"/>
  <c r="AE20" i="123"/>
  <c r="AT23" i="123"/>
  <c r="AT33" i="123"/>
  <c r="P44" i="123"/>
  <c r="U64" i="123"/>
  <c r="AE66" i="123"/>
  <c r="AE69" i="123"/>
  <c r="P12" i="123"/>
  <c r="AE27" i="123"/>
  <c r="AE43" i="123"/>
  <c r="Z61" i="123"/>
  <c r="U55" i="123"/>
  <c r="AT26" i="123"/>
  <c r="AT44" i="123"/>
  <c r="P46" i="123"/>
  <c r="P61" i="123"/>
  <c r="AT59" i="123"/>
  <c r="Z26" i="123"/>
  <c r="AE64" i="123"/>
  <c r="Z27" i="123"/>
  <c r="AT28" i="123"/>
  <c r="AT51" i="123"/>
  <c r="Z62" i="123"/>
  <c r="AE33" i="123"/>
  <c r="P63" i="123"/>
  <c r="AT38" i="123"/>
  <c r="U35" i="123"/>
  <c r="U54" i="123"/>
  <c r="AT70" i="123"/>
  <c r="AE58" i="123"/>
  <c r="U66" i="123"/>
  <c r="U57" i="123"/>
  <c r="U46" i="123"/>
  <c r="AE42" i="123"/>
  <c r="AE62" i="123"/>
  <c r="P23" i="123"/>
  <c r="Z65" i="123"/>
  <c r="U33" i="123"/>
  <c r="Z21" i="123"/>
  <c r="AE40" i="123"/>
  <c r="AT18" i="123"/>
  <c r="U15" i="123"/>
  <c r="Z11" i="123"/>
  <c r="AE21" i="123"/>
  <c r="AE31" i="123"/>
  <c r="U16" i="123"/>
  <c r="AT17" i="123"/>
  <c r="U13" i="123"/>
  <c r="P20" i="123"/>
  <c r="Z55" i="123"/>
  <c r="P52" i="123"/>
  <c r="P62" i="123"/>
  <c r="P69" i="123"/>
  <c r="AT62" i="123"/>
  <c r="Z13" i="123"/>
  <c r="P32" i="123"/>
  <c r="Z48" i="123"/>
  <c r="AT69" i="123"/>
  <c r="AT68" i="123"/>
  <c r="U28" i="123"/>
  <c r="AT27" i="123"/>
  <c r="P60" i="123"/>
  <c r="U70" i="123"/>
  <c r="AE59" i="123"/>
  <c r="AE26" i="123"/>
  <c r="AT12" i="123"/>
  <c r="AT32" i="123"/>
  <c r="AT35" i="123"/>
  <c r="U59" i="123"/>
  <c r="AT65" i="123"/>
  <c r="Z33" i="123"/>
  <c r="U68" i="123"/>
  <c r="Z18" i="123"/>
  <c r="P8" i="123"/>
  <c r="U71" i="123"/>
  <c r="U69" i="123"/>
  <c r="AT56" i="123"/>
  <c r="U60" i="123"/>
  <c r="AT48" i="123"/>
  <c r="Z45" i="123"/>
  <c r="Z40" i="123"/>
  <c r="U40" i="123"/>
  <c r="Z63" i="123"/>
  <c r="AT45" i="123"/>
  <c r="AT31" i="123"/>
  <c r="AE19" i="123"/>
  <c r="AE30" i="123"/>
  <c r="AE18" i="123"/>
  <c r="Z14" i="123"/>
  <c r="AT10" i="123"/>
  <c r="P17" i="123"/>
  <c r="AE23" i="123"/>
  <c r="AT21" i="123"/>
  <c r="Z15" i="123"/>
  <c r="U10" i="123"/>
  <c r="P21" i="123"/>
  <c r="Z29" i="123"/>
  <c r="U63" i="123"/>
  <c r="P71" i="123"/>
  <c r="P33" i="123"/>
  <c r="AT43" i="123"/>
  <c r="AE28" i="123"/>
  <c r="AT46" i="123"/>
  <c r="P58" i="123"/>
  <c r="Z16" i="123"/>
  <c r="P64" i="123"/>
  <c r="AE24" i="123"/>
  <c r="Z30" i="123"/>
  <c r="AT52" i="123"/>
  <c r="P57" i="123"/>
  <c r="Z66" i="123"/>
  <c r="U32" i="123"/>
  <c r="AT9" i="123"/>
  <c r="P24" i="123"/>
  <c r="Z51" i="123"/>
  <c r="AT64" i="123"/>
  <c r="AT24" i="123"/>
  <c r="P27" i="123"/>
  <c r="P65" i="123"/>
  <c r="P41" i="123"/>
  <c r="AT50" i="123"/>
  <c r="Z54" i="123"/>
  <c r="AE48" i="123"/>
  <c r="P30" i="123"/>
  <c r="P14" i="123"/>
  <c r="AE46" i="123"/>
  <c r="Z44" i="123"/>
  <c r="U65" i="123"/>
  <c r="Z36" i="123"/>
  <c r="P40" i="123"/>
  <c r="P19" i="123"/>
  <c r="U22" i="123"/>
  <c r="AE71" i="123"/>
  <c r="AT63" i="123"/>
  <c r="P59" i="123"/>
  <c r="Z58" i="123"/>
  <c r="AE56" i="123"/>
  <c r="AT13" i="123"/>
  <c r="U36" i="123"/>
  <c r="Z70" i="123"/>
  <c r="AT36" i="123"/>
  <c r="U25" i="123"/>
  <c r="AE17" i="123"/>
  <c r="U61" i="123"/>
  <c r="U43" i="123"/>
  <c r="P66" i="123"/>
  <c r="AE12" i="123"/>
  <c r="P50" i="123"/>
  <c r="AE9" i="123"/>
  <c r="AT41" i="123"/>
  <c r="P42" i="123"/>
  <c r="Z28" i="123"/>
  <c r="P67" i="123"/>
  <c r="Z31" i="123"/>
  <c r="Z17" i="123"/>
  <c r="AT14" i="123"/>
  <c r="U42" i="123"/>
  <c r="AE57" i="123"/>
  <c r="Z52" i="123"/>
  <c r="AT66" i="123"/>
  <c r="U50" i="123"/>
  <c r="P31" i="123"/>
  <c r="U26" i="123"/>
  <c r="U56" i="123"/>
  <c r="Z59" i="123"/>
  <c r="P25" i="123"/>
  <c r="AE10" i="123"/>
  <c r="U29" i="123"/>
  <c r="Z47" i="123"/>
  <c r="AE51" i="123"/>
  <c r="AE29" i="123"/>
  <c r="P39" i="123"/>
  <c r="AT39" i="123"/>
  <c r="Z38" i="123"/>
  <c r="U38" i="123"/>
  <c r="AE38" i="123"/>
  <c r="AE39" i="123"/>
  <c r="U39" i="123"/>
  <c r="Z39" i="123"/>
  <c r="BN38" i="123"/>
  <c r="BS39" i="123"/>
  <c r="BI39" i="123"/>
  <c r="BN39" i="123"/>
  <c r="BD39" i="123"/>
  <c r="BD68" i="123"/>
  <c r="BI49" i="123"/>
  <c r="BN66" i="123"/>
  <c r="BD49" i="123"/>
  <c r="BN46" i="123"/>
  <c r="BI36" i="123"/>
  <c r="BS43" i="123"/>
  <c r="BN20" i="123"/>
  <c r="BS24" i="123"/>
  <c r="BD23" i="123"/>
  <c r="BI19" i="123"/>
  <c r="BS14" i="123"/>
  <c r="BI10" i="123"/>
  <c r="BD9" i="123"/>
  <c r="BD29" i="123"/>
  <c r="BN18" i="123"/>
  <c r="BS12" i="123"/>
  <c r="BD33" i="123"/>
  <c r="BS69" i="123"/>
  <c r="BI63" i="123"/>
  <c r="BI59" i="123"/>
  <c r="BN35" i="123"/>
  <c r="BN32" i="123"/>
  <c r="BN51" i="123"/>
  <c r="BD51" i="123"/>
  <c r="BD67" i="123"/>
  <c r="BD28" i="123"/>
  <c r="BS42" i="123"/>
  <c r="BN65" i="123"/>
  <c r="BN71" i="123"/>
  <c r="BD42" i="123"/>
  <c r="BN14" i="123"/>
  <c r="BS28" i="123"/>
  <c r="BN64" i="123"/>
  <c r="BS27" i="123"/>
  <c r="BD60" i="123"/>
  <c r="BI71" i="123"/>
  <c r="BN50" i="123"/>
  <c r="BS41" i="123"/>
  <c r="BS71" i="123"/>
  <c r="BD65" i="123"/>
  <c r="BS49" i="123"/>
  <c r="BS65" i="123"/>
  <c r="BS45" i="123"/>
  <c r="BS48" i="123"/>
  <c r="BS46" i="123"/>
  <c r="BS19" i="123"/>
  <c r="BD24" i="123"/>
  <c r="BD22" i="123"/>
  <c r="BI18" i="123"/>
  <c r="BD14" i="123"/>
  <c r="BN9" i="123"/>
  <c r="BI21" i="123"/>
  <c r="BI23" i="123"/>
  <c r="BN16" i="123"/>
  <c r="BS18" i="123"/>
  <c r="BI28" i="123"/>
  <c r="BN59" i="123"/>
  <c r="BI65" i="123"/>
  <c r="BS57" i="123"/>
  <c r="BD16" i="123"/>
  <c r="BI44" i="123"/>
  <c r="BN56" i="123"/>
  <c r="BI46" i="123"/>
  <c r="BI24" i="123"/>
  <c r="BS33" i="123"/>
  <c r="BD41" i="123"/>
  <c r="BS63" i="123"/>
  <c r="BI9" i="123"/>
  <c r="BN22" i="123"/>
  <c r="BD32" i="123"/>
  <c r="BN42" i="123"/>
  <c r="BN62" i="123"/>
  <c r="BI15" i="123"/>
  <c r="BS62" i="123"/>
  <c r="BI57" i="123"/>
  <c r="BI54" i="123"/>
  <c r="BS38" i="123"/>
  <c r="BN69" i="123"/>
  <c r="BD63" i="123"/>
  <c r="BS68" i="123"/>
  <c r="BD71" i="123"/>
  <c r="BD45" i="123"/>
  <c r="BI35" i="123"/>
  <c r="BI31" i="123"/>
  <c r="BD19" i="123"/>
  <c r="BI42" i="123"/>
  <c r="BS21" i="123"/>
  <c r="BS17" i="123"/>
  <c r="BI13" i="123"/>
  <c r="BN25" i="123"/>
  <c r="BN44" i="123"/>
  <c r="BN19" i="123"/>
  <c r="BN13" i="123"/>
  <c r="BN45" i="123"/>
  <c r="BS30" i="123"/>
  <c r="BS58" i="123"/>
  <c r="BN68" i="123"/>
  <c r="BS64" i="123"/>
  <c r="AD91" i="123"/>
  <c r="BS56" i="123"/>
  <c r="BI69" i="123"/>
  <c r="BI51" i="123"/>
  <c r="BS13" i="123"/>
  <c r="BI41" i="123"/>
  <c r="BS51" i="123"/>
  <c r="BI68" i="123"/>
  <c r="BD13" i="123"/>
  <c r="BD8" i="123"/>
  <c r="BN28" i="123"/>
  <c r="BI52" i="123"/>
  <c r="BI64" i="123"/>
  <c r="BD26" i="123"/>
  <c r="BD36" i="123"/>
  <c r="BS59" i="123"/>
  <c r="BD50" i="123"/>
  <c r="BS54" i="123"/>
  <c r="BS70" i="123"/>
  <c r="BI67" i="123"/>
  <c r="BI61" i="123"/>
  <c r="BN57" i="123"/>
  <c r="BI58" i="123"/>
  <c r="BN47" i="123"/>
  <c r="BS31" i="123"/>
  <c r="BN29" i="123"/>
  <c r="BD48" i="123"/>
  <c r="BN33" i="123"/>
  <c r="BD21" i="123"/>
  <c r="BD17" i="123"/>
  <c r="BN12" i="123"/>
  <c r="BI17" i="123"/>
  <c r="BS32" i="123"/>
  <c r="BS9" i="123"/>
  <c r="BN10" i="123"/>
  <c r="BN11" i="123"/>
  <c r="BS26" i="123"/>
  <c r="BS66" i="123"/>
  <c r="BN21" i="123"/>
  <c r="BS8" i="123"/>
  <c r="BN31" i="123"/>
  <c r="BD66" i="123"/>
  <c r="BN27" i="123"/>
  <c r="BS61" i="123"/>
  <c r="BN26" i="123"/>
  <c r="BD25" i="123"/>
  <c r="BN55" i="123"/>
  <c r="BS67" i="123"/>
  <c r="BD18" i="123"/>
  <c r="BN17" i="123"/>
  <c r="BI25" i="123"/>
  <c r="BD44" i="123"/>
  <c r="BD64" i="123"/>
  <c r="BI60" i="123"/>
  <c r="BN70" i="123"/>
  <c r="BS55" i="123"/>
  <c r="BD38" i="123"/>
  <c r="BN41" i="123"/>
  <c r="BD70" i="123"/>
  <c r="BI55" i="123"/>
  <c r="BN60" i="123"/>
  <c r="BN49" i="123"/>
  <c r="BD56" i="123"/>
  <c r="BI45" i="123"/>
  <c r="BD31" i="123"/>
  <c r="BN24" i="123"/>
  <c r="BS29" i="123"/>
  <c r="BN30" i="123"/>
  <c r="BS20" i="123"/>
  <c r="BI16" i="123"/>
  <c r="BS11" i="123"/>
  <c r="BI14" i="123"/>
  <c r="BD15" i="123"/>
  <c r="BD35" i="123"/>
  <c r="BI20" i="123"/>
  <c r="BS25" i="123"/>
  <c r="BI43" i="123"/>
  <c r="BD69" i="123"/>
  <c r="BI29" i="123"/>
  <c r="BD30" i="123"/>
  <c r="BN43" i="123"/>
  <c r="BD59" i="123"/>
  <c r="BI33" i="123"/>
  <c r="BD57" i="123"/>
  <c r="BI12" i="123"/>
  <c r="BS36" i="123"/>
  <c r="BN52" i="123"/>
  <c r="BN61" i="123"/>
  <c r="BN36" i="123"/>
  <c r="BN23" i="123"/>
  <c r="BI32" i="123"/>
  <c r="BI62" i="123"/>
  <c r="BS16" i="123"/>
  <c r="BD62" i="123"/>
  <c r="BD55" i="123"/>
  <c r="BI8" i="123"/>
  <c r="BN8" i="123"/>
  <c r="BI38" i="123"/>
  <c r="BI56" i="123"/>
  <c r="BD27" i="123"/>
  <c r="BD12" i="123"/>
  <c r="BD54" i="123"/>
  <c r="BS35" i="123"/>
  <c r="BD52" i="123"/>
  <c r="BI50" i="123"/>
  <c r="BI70" i="123"/>
  <c r="BD47" i="123"/>
  <c r="BI48" i="123"/>
  <c r="BS23" i="123"/>
  <c r="BI26" i="123"/>
  <c r="BS10" i="123"/>
  <c r="BS44" i="123"/>
  <c r="BN48" i="123"/>
  <c r="BN54" i="123"/>
  <c r="BI47" i="123"/>
  <c r="BD20" i="123"/>
  <c r="BS15" i="123"/>
  <c r="BI22" i="123"/>
  <c r="BD58" i="123"/>
  <c r="BS22" i="123"/>
  <c r="BD11" i="123"/>
  <c r="BS47" i="123"/>
  <c r="BD43" i="123"/>
  <c r="BN15" i="123"/>
  <c r="BI27" i="123"/>
  <c r="BD61" i="123"/>
  <c r="BN63" i="123"/>
  <c r="BN58" i="123"/>
  <c r="BD46" i="123"/>
  <c r="BN67" i="123"/>
  <c r="BS52" i="123"/>
  <c r="BI30" i="123"/>
  <c r="BI11" i="123"/>
  <c r="BS60" i="123"/>
  <c r="BI66" i="123"/>
  <c r="BD10" i="123"/>
  <c r="BS50" i="123"/>
  <c r="BM77" i="125"/>
  <c r="BM89" i="125"/>
  <c r="BM91" i="125" s="1"/>
  <c r="BM81" i="125"/>
  <c r="BM83" i="125" s="1"/>
  <c r="BM84" i="125" s="1"/>
  <c r="BM86" i="125" s="1"/>
  <c r="BM87" i="125" s="1"/>
  <c r="P41" i="129"/>
  <c r="AJ39" i="129"/>
  <c r="U69" i="129"/>
  <c r="U71" i="129"/>
  <c r="U61" i="129"/>
  <c r="U55" i="129"/>
  <c r="AJ48" i="129"/>
  <c r="AJ57" i="129"/>
  <c r="P66" i="129"/>
  <c r="P59" i="129"/>
  <c r="AJ59" i="129"/>
  <c r="AE56" i="129"/>
  <c r="AJ17" i="129"/>
  <c r="AJ11" i="129"/>
  <c r="AE22" i="129"/>
  <c r="P23" i="129"/>
  <c r="AE25" i="129"/>
  <c r="U21" i="129"/>
  <c r="P26" i="129"/>
  <c r="AJ44" i="129"/>
  <c r="P68" i="129"/>
  <c r="AJ16" i="129"/>
  <c r="AE19" i="129"/>
  <c r="AE27" i="129"/>
  <c r="AE66" i="129"/>
  <c r="U12" i="129"/>
  <c r="AE21" i="129"/>
  <c r="P64" i="129"/>
  <c r="AE11" i="129"/>
  <c r="P28" i="129"/>
  <c r="AE46" i="129"/>
  <c r="AE17" i="129"/>
  <c r="AJ15" i="129"/>
  <c r="U28" i="129"/>
  <c r="AJ13" i="129"/>
  <c r="AE48" i="129"/>
  <c r="P50" i="129"/>
  <c r="AE55" i="129"/>
  <c r="U42" i="129"/>
  <c r="AE57" i="129"/>
  <c r="U57" i="129"/>
  <c r="P56" i="129"/>
  <c r="AJ29" i="129"/>
  <c r="P22" i="129"/>
  <c r="P30" i="129"/>
  <c r="AE52" i="129"/>
  <c r="P11" i="129"/>
  <c r="AE50" i="129"/>
  <c r="AE41" i="129"/>
  <c r="AJ69" i="129"/>
  <c r="AJ55" i="129"/>
  <c r="U60" i="129"/>
  <c r="AJ60" i="129"/>
  <c r="P13" i="129"/>
  <c r="U26" i="129"/>
  <c r="P67" i="129"/>
  <c r="AE14" i="129"/>
  <c r="P52" i="129"/>
  <c r="U64" i="129"/>
  <c r="P71" i="129"/>
  <c r="P42" i="129"/>
  <c r="U67" i="129"/>
  <c r="U38" i="129"/>
  <c r="AE71" i="129"/>
  <c r="P39" i="129"/>
  <c r="AE8" i="129"/>
  <c r="U68" i="129"/>
  <c r="AJ68" i="129"/>
  <c r="P60" i="129"/>
  <c r="U47" i="129"/>
  <c r="AE68" i="129"/>
  <c r="AJ52" i="129"/>
  <c r="P63" i="129"/>
  <c r="U48" i="129"/>
  <c r="AE51" i="129"/>
  <c r="U52" i="129"/>
  <c r="U17" i="129"/>
  <c r="U11" i="129"/>
  <c r="AJ33" i="129"/>
  <c r="AJ20" i="129"/>
  <c r="U59" i="129"/>
  <c r="U33" i="129"/>
  <c r="AJ23" i="129"/>
  <c r="U36" i="129"/>
  <c r="U29" i="129"/>
  <c r="U10" i="129"/>
  <c r="U24" i="129"/>
  <c r="P69" i="129"/>
  <c r="U65" i="129"/>
  <c r="P17" i="129"/>
  <c r="P15" i="129"/>
  <c r="U43" i="129"/>
  <c r="AE30" i="129"/>
  <c r="P9" i="129"/>
  <c r="AE45" i="129"/>
  <c r="P12" i="129"/>
  <c r="U25" i="129"/>
  <c r="AJ50" i="129"/>
  <c r="P24" i="129"/>
  <c r="P47" i="129"/>
  <c r="U32" i="129"/>
  <c r="P62" i="129"/>
  <c r="AJ8" i="129"/>
  <c r="AJ41" i="129"/>
  <c r="U39" i="129"/>
  <c r="U63" i="129"/>
  <c r="P40" i="129"/>
  <c r="U14" i="129"/>
  <c r="U30" i="129"/>
  <c r="U13" i="129"/>
  <c r="AJ42" i="129"/>
  <c r="AJ70" i="129"/>
  <c r="AE29" i="129"/>
  <c r="AE42" i="129"/>
  <c r="AE13" i="129"/>
  <c r="AJ61" i="129"/>
  <c r="AE59" i="129"/>
  <c r="AJ22" i="129"/>
  <c r="AJ24" i="129"/>
  <c r="AJ35" i="129"/>
  <c r="P25" i="129"/>
  <c r="U44" i="129"/>
  <c r="AE61" i="129"/>
  <c r="AJ43" i="129"/>
  <c r="AJ32" i="129"/>
  <c r="P46" i="129"/>
  <c r="U54" i="129"/>
  <c r="AE54" i="129"/>
  <c r="P54" i="129"/>
  <c r="AE70" i="129"/>
  <c r="AJ64" i="129"/>
  <c r="AJ58" i="129"/>
  <c r="AE40" i="129"/>
  <c r="AE67" i="129"/>
  <c r="U46" i="129"/>
  <c r="AJ51" i="129"/>
  <c r="AJ47" i="129"/>
  <c r="AJ45" i="129"/>
  <c r="AJ31" i="129"/>
  <c r="P16" i="129"/>
  <c r="P10" i="129"/>
  <c r="P33" i="129"/>
  <c r="P61" i="129"/>
  <c r="AE43" i="129"/>
  <c r="AJ36" i="129"/>
  <c r="AJ21" i="129"/>
  <c r="U27" i="129"/>
  <c r="AE28" i="129"/>
  <c r="AJ10" i="129"/>
  <c r="P14" i="129"/>
  <c r="P27" i="129"/>
  <c r="AJ56" i="129"/>
  <c r="P18" i="129"/>
  <c r="AE32" i="129"/>
  <c r="AE62" i="129"/>
  <c r="P21" i="129"/>
  <c r="AJ12" i="129"/>
  <c r="AE63" i="129"/>
  <c r="AE18" i="129"/>
  <c r="P44" i="129"/>
  <c r="AE58" i="129"/>
  <c r="U16" i="129"/>
  <c r="AE64" i="129"/>
  <c r="P48" i="129"/>
  <c r="AE16" i="129"/>
  <c r="AJ38" i="129"/>
  <c r="AJ54" i="129"/>
  <c r="AE38" i="129"/>
  <c r="AJ62" i="129"/>
  <c r="P65" i="129"/>
  <c r="U22" i="129"/>
  <c r="P29" i="129"/>
  <c r="U18" i="129"/>
  <c r="AE12" i="129"/>
  <c r="AJ28" i="129"/>
  <c r="AJ67" i="129"/>
  <c r="U56" i="129"/>
  <c r="P8" i="129"/>
  <c r="P70" i="129"/>
  <c r="AJ63" i="129"/>
  <c r="U58" i="129"/>
  <c r="U40" i="129"/>
  <c r="AE65" i="129"/>
  <c r="AE69" i="129"/>
  <c r="U45" i="129"/>
  <c r="U70" i="129"/>
  <c r="AE23" i="129"/>
  <c r="U31" i="129"/>
  <c r="AJ14" i="129"/>
  <c r="U51" i="129"/>
  <c r="P32" i="129"/>
  <c r="P43" i="129"/>
  <c r="U35" i="129"/>
  <c r="AE31" i="129"/>
  <c r="P19" i="129"/>
  <c r="AE26" i="129"/>
  <c r="P20" i="129"/>
  <c r="AJ27" i="129"/>
  <c r="AJ9" i="129"/>
  <c r="P36" i="129"/>
  <c r="AJ65" i="129"/>
  <c r="AE47" i="129"/>
  <c r="AE10" i="129"/>
  <c r="U66" i="129"/>
  <c r="U9" i="129"/>
  <c r="AE9" i="129"/>
  <c r="AJ66" i="129"/>
  <c r="P31" i="129"/>
  <c r="AJ19" i="129"/>
  <c r="AE60" i="129"/>
  <c r="AJ25" i="129"/>
  <c r="U50" i="129"/>
  <c r="P45" i="129"/>
  <c r="P38" i="129"/>
  <c r="AE33" i="129"/>
  <c r="AE35" i="129"/>
  <c r="U41" i="129"/>
  <c r="P57" i="129"/>
  <c r="AJ46" i="129"/>
  <c r="AJ30" i="129"/>
  <c r="AJ40" i="129"/>
  <c r="P55" i="129"/>
  <c r="U20" i="129"/>
  <c r="AE20" i="129"/>
  <c r="AE36" i="129"/>
  <c r="U19" i="129"/>
  <c r="AE44" i="129"/>
  <c r="U62" i="129"/>
  <c r="P51" i="129"/>
  <c r="AJ71" i="129"/>
  <c r="P58" i="129"/>
  <c r="U23" i="129"/>
  <c r="AJ26" i="129"/>
  <c r="AJ18" i="129"/>
  <c r="AE15" i="129"/>
  <c r="U15" i="129"/>
  <c r="P35" i="129"/>
  <c r="AE24" i="129"/>
  <c r="U8" i="129"/>
  <c r="AE39" i="129"/>
  <c r="Z69" i="122"/>
  <c r="Z63" i="122"/>
  <c r="AT59" i="122"/>
  <c r="AE56" i="122"/>
  <c r="P63" i="122"/>
  <c r="U59" i="122"/>
  <c r="Z55" i="122"/>
  <c r="U47" i="122"/>
  <c r="Z59" i="122"/>
  <c r="AT61" i="122"/>
  <c r="AE50" i="122"/>
  <c r="P42" i="122"/>
  <c r="U44" i="122"/>
  <c r="AT55" i="122"/>
  <c r="Z32" i="122"/>
  <c r="AT46" i="122"/>
  <c r="Z31" i="122"/>
  <c r="AT22" i="122"/>
  <c r="Z17" i="122"/>
  <c r="P31" i="122"/>
  <c r="P17" i="122"/>
  <c r="AE30" i="122"/>
  <c r="U16" i="122"/>
  <c r="Z27" i="122"/>
  <c r="P26" i="122"/>
  <c r="Z20" i="122"/>
  <c r="Z18" i="122"/>
  <c r="P12" i="122"/>
  <c r="AE43" i="122"/>
  <c r="P18" i="122"/>
  <c r="AE36" i="122"/>
  <c r="AE16" i="122"/>
  <c r="Z45" i="122"/>
  <c r="U43" i="122"/>
  <c r="U29" i="122"/>
  <c r="AT24" i="122"/>
  <c r="AT50" i="122"/>
  <c r="Z66" i="122"/>
  <c r="AE28" i="122"/>
  <c r="AT9" i="122"/>
  <c r="Z8" i="122"/>
  <c r="AT13" i="122"/>
  <c r="P33" i="122"/>
  <c r="AT67" i="122"/>
  <c r="U69" i="122"/>
  <c r="Z25" i="122"/>
  <c r="AT8" i="122"/>
  <c r="P71" i="122"/>
  <c r="AE60" i="122"/>
  <c r="P52" i="122"/>
  <c r="AT51" i="122"/>
  <c r="AE20" i="122"/>
  <c r="U13" i="122"/>
  <c r="Z70" i="122"/>
  <c r="Z67" i="122"/>
  <c r="AE25" i="122"/>
  <c r="P43" i="122"/>
  <c r="AT68" i="122"/>
  <c r="AT62" i="122"/>
  <c r="AE59" i="122"/>
  <c r="P56" i="122"/>
  <c r="U62" i="122"/>
  <c r="Z58" i="122"/>
  <c r="U52" i="122"/>
  <c r="Z46" i="122"/>
  <c r="P51" i="122"/>
  <c r="U60" i="122"/>
  <c r="P46" i="122"/>
  <c r="AT41" i="122"/>
  <c r="U40" i="122"/>
  <c r="P50" i="122"/>
  <c r="P44" i="122"/>
  <c r="AT44" i="122"/>
  <c r="AE44" i="122"/>
  <c r="U22" i="122"/>
  <c r="P16" i="122"/>
  <c r="P25" i="122"/>
  <c r="AE14" i="122"/>
  <c r="AT29" i="122"/>
  <c r="AE11" i="122"/>
  <c r="AE17" i="122"/>
  <c r="AE22" i="122"/>
  <c r="P8" i="122"/>
  <c r="AE21" i="122"/>
  <c r="AT10" i="122"/>
  <c r="Z68" i="122"/>
  <c r="U41" i="122"/>
  <c r="Z42" i="122"/>
  <c r="Z13" i="122"/>
  <c r="P66" i="122"/>
  <c r="AE69" i="122"/>
  <c r="P20" i="122"/>
  <c r="Z54" i="122"/>
  <c r="P64" i="122"/>
  <c r="P69" i="122"/>
  <c r="AT25" i="122"/>
  <c r="Z36" i="122"/>
  <c r="AT16" i="122"/>
  <c r="AE18" i="122"/>
  <c r="P61" i="122"/>
  <c r="P65" i="122"/>
  <c r="P28" i="122"/>
  <c r="U66" i="122"/>
  <c r="P35" i="122"/>
  <c r="U9" i="122"/>
  <c r="U61" i="122"/>
  <c r="P57" i="122"/>
  <c r="AT42" i="122"/>
  <c r="AT23" i="122"/>
  <c r="U18" i="122"/>
  <c r="Z26" i="122"/>
  <c r="U27" i="122"/>
  <c r="AT15" i="122"/>
  <c r="Z19" i="122"/>
  <c r="AT70" i="122"/>
  <c r="U54" i="122"/>
  <c r="AT38" i="122"/>
  <c r="AT71" i="122"/>
  <c r="AE68" i="122"/>
  <c r="AE62" i="122"/>
  <c r="P59" i="122"/>
  <c r="U55" i="122"/>
  <c r="Z61" i="122"/>
  <c r="AT57" i="122"/>
  <c r="Z51" i="122"/>
  <c r="AT45" i="122"/>
  <c r="U48" i="122"/>
  <c r="P58" i="122"/>
  <c r="U45" i="122"/>
  <c r="Z40" i="122"/>
  <c r="Z52" i="122"/>
  <c r="AT47" i="122"/>
  <c r="AT64" i="122"/>
  <c r="AT40" i="122"/>
  <c r="U31" i="122"/>
  <c r="Z9" i="122"/>
  <c r="Z14" i="122"/>
  <c r="U24" i="122"/>
  <c r="Z12" i="122"/>
  <c r="Z22" i="122"/>
  <c r="AT26" i="122"/>
  <c r="Z15" i="122"/>
  <c r="AT31" i="122"/>
  <c r="AT20" i="122"/>
  <c r="AE33" i="122"/>
  <c r="AE13" i="122"/>
  <c r="P67" i="122"/>
  <c r="P55" i="122"/>
  <c r="Z65" i="122"/>
  <c r="P21" i="122"/>
  <c r="U57" i="122"/>
  <c r="U15" i="122"/>
  <c r="U11" i="122"/>
  <c r="AT36" i="122"/>
  <c r="AT66" i="122"/>
  <c r="AE12" i="122"/>
  <c r="AT21" i="122"/>
  <c r="Z50" i="122"/>
  <c r="AT28" i="122"/>
  <c r="AE31" i="122"/>
  <c r="AT35" i="122"/>
  <c r="U50" i="122"/>
  <c r="U63" i="122"/>
  <c r="AE66" i="122"/>
  <c r="AE54" i="122"/>
  <c r="Z35" i="122"/>
  <c r="AE35" i="122"/>
  <c r="Z57" i="122"/>
  <c r="P45" i="122"/>
  <c r="AE52" i="122"/>
  <c r="AE32" i="122"/>
  <c r="U10" i="122"/>
  <c r="AE10" i="122"/>
  <c r="Z29" i="122"/>
  <c r="P70" i="122"/>
  <c r="U26" i="122"/>
  <c r="AE71" i="122"/>
  <c r="P68" i="122"/>
  <c r="P62" i="122"/>
  <c r="U58" i="122"/>
  <c r="Z64" i="122"/>
  <c r="AT60" i="122"/>
  <c r="AE57" i="122"/>
  <c r="AT48" i="122"/>
  <c r="AE45" i="122"/>
  <c r="Z44" i="122"/>
  <c r="AE55" i="122"/>
  <c r="Z43" i="122"/>
  <c r="AT52" i="122"/>
  <c r="AE47" i="122"/>
  <c r="P41" i="122"/>
  <c r="Z56" i="122"/>
  <c r="AT32" i="122"/>
  <c r="AT30" i="122"/>
  <c r="Z30" i="122"/>
  <c r="Z48" i="122"/>
  <c r="Z21" i="122"/>
  <c r="AT11" i="122"/>
  <c r="AT19" i="122"/>
  <c r="Z23" i="122"/>
  <c r="AT14" i="122"/>
  <c r="P14" i="122"/>
  <c r="U28" i="122"/>
  <c r="AE15" i="122"/>
  <c r="U19" i="122"/>
  <c r="Z71" i="122"/>
  <c r="U32" i="122"/>
  <c r="AT18" i="122"/>
  <c r="U30" i="122"/>
  <c r="AE65" i="122"/>
  <c r="AT54" i="122"/>
  <c r="AE27" i="122"/>
  <c r="AE46" i="122"/>
  <c r="U71" i="122"/>
  <c r="U17" i="122"/>
  <c r="AE61" i="122"/>
  <c r="Z10" i="122"/>
  <c r="U14" i="122"/>
  <c r="U25" i="122"/>
  <c r="Z47" i="122"/>
  <c r="AT65" i="122"/>
  <c r="U68" i="122"/>
  <c r="Z38" i="122"/>
  <c r="U67" i="122"/>
  <c r="AE48" i="122"/>
  <c r="AE40" i="122"/>
  <c r="U36" i="122"/>
  <c r="AE26" i="122"/>
  <c r="AT12" i="122"/>
  <c r="U42" i="122"/>
  <c r="U35" i="122"/>
  <c r="AE41" i="122"/>
  <c r="AE9" i="122"/>
  <c r="U70" i="122"/>
  <c r="U64" i="122"/>
  <c r="Z60" i="122"/>
  <c r="AT56" i="122"/>
  <c r="AE63" i="122"/>
  <c r="P60" i="122"/>
  <c r="U56" i="122"/>
  <c r="P48" i="122"/>
  <c r="U46" i="122"/>
  <c r="AE64" i="122"/>
  <c r="AE51" i="122"/>
  <c r="AE42" i="122"/>
  <c r="P47" i="122"/>
  <c r="AE58" i="122"/>
  <c r="U33" i="122"/>
  <c r="U51" i="122"/>
  <c r="P32" i="122"/>
  <c r="U23" i="122"/>
  <c r="P22" i="122"/>
  <c r="AT33" i="122"/>
  <c r="AE23" i="122"/>
  <c r="P9" i="122"/>
  <c r="AT17" i="122"/>
  <c r="P30" i="122"/>
  <c r="P11" i="122"/>
  <c r="U21" i="122"/>
  <c r="Z16" i="122"/>
  <c r="AT58" i="122"/>
  <c r="Z33" i="122"/>
  <c r="AE70" i="122"/>
  <c r="U20" i="122"/>
  <c r="U12" i="122"/>
  <c r="P36" i="122"/>
  <c r="Z28" i="122"/>
  <c r="AE19" i="122"/>
  <c r="Z11" i="122"/>
  <c r="Z41" i="122"/>
  <c r="AE67" i="122"/>
  <c r="AT27" i="122"/>
  <c r="P15" i="122"/>
  <c r="P27" i="122"/>
  <c r="P10" i="122"/>
  <c r="P13" i="122"/>
  <c r="Z62" i="122"/>
  <c r="AT69" i="122"/>
  <c r="Z24" i="122"/>
  <c r="P54" i="122"/>
  <c r="AE29" i="122"/>
  <c r="P38" i="122"/>
  <c r="AT63" i="122"/>
  <c r="AT43" i="122"/>
  <c r="P40" i="122"/>
  <c r="P23" i="122"/>
  <c r="P19" i="122"/>
  <c r="P29" i="122"/>
  <c r="P24" i="122"/>
  <c r="U65" i="122"/>
  <c r="AE24" i="122"/>
  <c r="AT39" i="122"/>
  <c r="P39" i="122"/>
  <c r="U8" i="122"/>
  <c r="AE8" i="122"/>
  <c r="Z39" i="122"/>
  <c r="U38" i="122"/>
  <c r="AE38" i="122"/>
  <c r="AE39" i="122"/>
  <c r="U39" i="122"/>
  <c r="CO86" i="129"/>
  <c r="CO87" i="129" s="1"/>
  <c r="CQ84" i="129"/>
  <c r="CQ86" i="129" s="1"/>
  <c r="CQ87" i="129" s="1"/>
  <c r="AN77" i="122"/>
  <c r="AN89" i="122"/>
  <c r="AN81" i="122"/>
  <c r="AN83" i="122" s="1"/>
  <c r="AN84" i="122" s="1"/>
  <c r="AN86" i="122" s="1"/>
  <c r="AN87" i="122" s="1"/>
  <c r="BR90" i="125"/>
  <c r="BS39" i="121"/>
  <c r="BN69" i="121"/>
  <c r="BD65" i="121"/>
  <c r="BN61" i="121"/>
  <c r="BI68" i="121"/>
  <c r="BI65" i="121"/>
  <c r="BD51" i="121"/>
  <c r="BD49" i="121"/>
  <c r="BI29" i="121"/>
  <c r="BI44" i="121"/>
  <c r="BS31" i="121"/>
  <c r="BS33" i="121"/>
  <c r="BD25" i="121"/>
  <c r="BS30" i="121"/>
  <c r="BS42" i="121"/>
  <c r="BD11" i="121"/>
  <c r="BS8" i="121"/>
  <c r="BI11" i="121"/>
  <c r="BN9" i="121"/>
  <c r="BN25" i="121"/>
  <c r="BS58" i="121"/>
  <c r="BD56" i="121"/>
  <c r="BD48" i="121"/>
  <c r="BD29" i="121"/>
  <c r="BN17" i="121"/>
  <c r="BN57" i="121"/>
  <c r="BS23" i="121"/>
  <c r="BD23" i="121"/>
  <c r="BN50" i="121"/>
  <c r="BI51" i="121"/>
  <c r="BN48" i="121"/>
  <c r="BS62" i="121"/>
  <c r="BN21" i="121"/>
  <c r="BI36" i="121"/>
  <c r="BI27" i="121"/>
  <c r="BI66" i="121"/>
  <c r="BN32" i="121"/>
  <c r="BS43" i="121"/>
  <c r="BD50" i="121"/>
  <c r="BI54" i="121"/>
  <c r="BS68" i="121"/>
  <c r="BI71" i="121"/>
  <c r="BS60" i="121"/>
  <c r="BD66" i="121"/>
  <c r="BN56" i="121"/>
  <c r="BS49" i="121"/>
  <c r="BN59" i="121"/>
  <c r="BN26" i="121"/>
  <c r="BI43" i="121"/>
  <c r="BD31" i="121"/>
  <c r="BN31" i="121"/>
  <c r="BS32" i="121"/>
  <c r="BS17" i="121"/>
  <c r="BD33" i="121"/>
  <c r="BS9" i="121"/>
  <c r="BD47" i="121"/>
  <c r="BI10" i="121"/>
  <c r="BD15" i="121"/>
  <c r="BS64" i="121"/>
  <c r="BI60" i="121"/>
  <c r="BS57" i="121"/>
  <c r="BI48" i="121"/>
  <c r="BI23" i="121"/>
  <c r="BD68" i="121"/>
  <c r="BN64" i="121"/>
  <c r="BD60" i="121"/>
  <c r="BN67" i="121"/>
  <c r="BS55" i="121"/>
  <c r="BS66" i="121"/>
  <c r="BN55" i="121"/>
  <c r="BD54" i="121"/>
  <c r="BI30" i="121"/>
  <c r="BI25" i="121"/>
  <c r="BN29" i="121"/>
  <c r="BN27" i="121"/>
  <c r="BI46" i="121"/>
  <c r="BD17" i="121"/>
  <c r="BD30" i="121"/>
  <c r="BN30" i="121"/>
  <c r="BS12" i="121"/>
  <c r="BI49" i="121"/>
  <c r="BS22" i="121"/>
  <c r="BN16" i="121"/>
  <c r="BD59" i="121"/>
  <c r="BS13" i="121"/>
  <c r="BI41" i="121"/>
  <c r="BS16" i="121"/>
  <c r="BD67" i="121"/>
  <c r="BN63" i="121"/>
  <c r="BN20" i="121"/>
  <c r="BI16" i="121"/>
  <c r="BS20" i="121"/>
  <c r="BI58" i="121"/>
  <c r="BS70" i="121"/>
  <c r="BI45" i="121"/>
  <c r="BD21" i="121"/>
  <c r="BS21" i="121"/>
  <c r="BI9" i="121"/>
  <c r="BN36" i="121"/>
  <c r="BN71" i="121"/>
  <c r="BS54" i="121"/>
  <c r="BD38" i="121"/>
  <c r="BD39" i="121"/>
  <c r="BS71" i="121"/>
  <c r="BI67" i="121"/>
  <c r="BS63" i="121"/>
  <c r="BI59" i="121"/>
  <c r="BD61" i="121"/>
  <c r="BD55" i="121"/>
  <c r="BN49" i="121"/>
  <c r="BS47" i="121"/>
  <c r="BI52" i="121"/>
  <c r="BN51" i="121"/>
  <c r="BI56" i="121"/>
  <c r="BS26" i="121"/>
  <c r="BD9" i="121"/>
  <c r="BS45" i="121"/>
  <c r="BN15" i="121"/>
  <c r="BD19" i="121"/>
  <c r="BS15" i="121"/>
  <c r="BN10" i="121"/>
  <c r="BD14" i="121"/>
  <c r="BI28" i="121"/>
  <c r="BS35" i="121"/>
  <c r="BI69" i="121"/>
  <c r="BN11" i="121"/>
  <c r="BD35" i="121"/>
  <c r="BD28" i="121"/>
  <c r="BD52" i="121"/>
  <c r="BI24" i="121"/>
  <c r="AD91" i="121"/>
  <c r="BN19" i="121"/>
  <c r="BI42" i="121"/>
  <c r="BI64" i="121"/>
  <c r="BN18" i="121"/>
  <c r="BI31" i="121"/>
  <c r="BD36" i="121"/>
  <c r="BN44" i="121"/>
  <c r="BS48" i="121"/>
  <c r="BD62" i="121"/>
  <c r="BD70" i="121"/>
  <c r="BI35" i="121"/>
  <c r="BS38" i="121"/>
  <c r="BD71" i="121"/>
  <c r="BN58" i="121"/>
  <c r="BS69" i="121"/>
  <c r="BD42" i="121"/>
  <c r="BI47" i="121"/>
  <c r="BD12" i="121"/>
  <c r="BD41" i="121"/>
  <c r="BN28" i="121"/>
  <c r="BS50" i="121"/>
  <c r="BD27" i="121"/>
  <c r="BD10" i="121"/>
  <c r="BD57" i="121"/>
  <c r="BI15" i="121"/>
  <c r="BD18" i="121"/>
  <c r="BI12" i="121"/>
  <c r="BN41" i="121"/>
  <c r="BI70" i="121"/>
  <c r="BN70" i="121"/>
  <c r="BN62" i="121"/>
  <c r="BD32" i="121"/>
  <c r="BN42" i="121"/>
  <c r="BS11" i="121"/>
  <c r="BS19" i="121"/>
  <c r="BS27" i="121"/>
  <c r="BS46" i="121"/>
  <c r="BD24" i="121"/>
  <c r="BD16" i="121"/>
  <c r="BI18" i="121"/>
  <c r="BD46" i="121"/>
  <c r="BI57" i="121"/>
  <c r="BS36" i="121"/>
  <c r="BN8" i="121"/>
  <c r="BN66" i="121"/>
  <c r="BD58" i="121"/>
  <c r="BN33" i="121"/>
  <c r="BD45" i="121"/>
  <c r="BD44" i="121"/>
  <c r="BN13" i="121"/>
  <c r="BN14" i="121"/>
  <c r="BD22" i="121"/>
  <c r="BS61" i="121"/>
  <c r="BI20" i="121"/>
  <c r="BI19" i="121"/>
  <c r="BN23" i="121"/>
  <c r="BS10" i="121"/>
  <c r="BI61" i="121"/>
  <c r="BI55" i="121"/>
  <c r="BI50" i="121"/>
  <c r="BI39" i="121"/>
  <c r="BS65" i="121"/>
  <c r="BD69" i="121"/>
  <c r="BI32" i="121"/>
  <c r="BS44" i="121"/>
  <c r="BN43" i="121"/>
  <c r="BN12" i="121"/>
  <c r="BN24" i="121"/>
  <c r="BI21" i="121"/>
  <c r="BN65" i="121"/>
  <c r="BI8" i="121"/>
  <c r="BS56" i="121"/>
  <c r="BN60" i="121"/>
  <c r="BN35" i="121"/>
  <c r="BD13" i="121"/>
  <c r="BN68" i="121"/>
  <c r="BI38" i="121"/>
  <c r="BD63" i="121"/>
  <c r="BN52" i="121"/>
  <c r="BN46" i="121"/>
  <c r="BD26" i="121"/>
  <c r="BI14" i="121"/>
  <c r="BS24" i="121"/>
  <c r="BN22" i="121"/>
  <c r="BI33" i="121"/>
  <c r="BI26" i="121"/>
  <c r="BI22" i="121"/>
  <c r="BS59" i="121"/>
  <c r="BI17" i="121"/>
  <c r="BS18" i="121"/>
  <c r="BI63" i="121"/>
  <c r="BD8" i="121"/>
  <c r="BN54" i="121"/>
  <c r="BN39" i="121"/>
  <c r="BS14" i="121"/>
  <c r="BS67" i="121"/>
  <c r="BS25" i="121"/>
  <c r="BI62" i="121"/>
  <c r="BD64" i="121"/>
  <c r="BS28" i="121"/>
  <c r="BS51" i="121"/>
  <c r="BN47" i="121"/>
  <c r="BD43" i="121"/>
  <c r="BN45" i="121"/>
  <c r="BD20" i="121"/>
  <c r="BS41" i="121"/>
  <c r="BS29" i="121"/>
  <c r="BI13" i="121"/>
  <c r="BS52" i="121"/>
  <c r="BN38" i="121"/>
  <c r="BH89" i="125"/>
  <c r="BH77" i="125"/>
  <c r="BC79" i="125"/>
  <c r="BH81" i="125"/>
  <c r="BH83" i="125" s="1"/>
  <c r="BH84" i="125" s="1"/>
  <c r="BH86" i="125" s="1"/>
  <c r="O91" i="129"/>
  <c r="AN90" i="125"/>
  <c r="AN77" i="124"/>
  <c r="AN81" i="124"/>
  <c r="AN83" i="124" s="1"/>
  <c r="AN84" i="124" s="1"/>
  <c r="AN86" i="124" s="1"/>
  <c r="AN87" i="124" s="1"/>
  <c r="AN89" i="124"/>
  <c r="AI77" i="125"/>
  <c r="AI89" i="125"/>
  <c r="AI92" i="125" s="1"/>
  <c r="AI81" i="125"/>
  <c r="AI83" i="125" s="1"/>
  <c r="AI84" i="125" s="1"/>
  <c r="AI86" i="125" s="1"/>
  <c r="AI87" i="125" s="1"/>
  <c r="CL77" i="125"/>
  <c r="CL89" i="125"/>
  <c r="CL91" i="125" s="1"/>
  <c r="CL81" i="125"/>
  <c r="CL83" i="125" s="1"/>
  <c r="CL84" i="125" s="1"/>
  <c r="CL86" i="125" s="1"/>
  <c r="CL87" i="125" s="1"/>
  <c r="DA77" i="124"/>
  <c r="DA89" i="124"/>
  <c r="DA81" i="124"/>
  <c r="DA83" i="124" s="1"/>
  <c r="DA84" i="124" s="1"/>
  <c r="DA86" i="124" s="1"/>
  <c r="DA87" i="124" s="1"/>
  <c r="DP81" i="125"/>
  <c r="DP83" i="125" s="1"/>
  <c r="DP84" i="125" s="1"/>
  <c r="DP86" i="125" s="1"/>
  <c r="DP87" i="125" s="1"/>
  <c r="DP77" i="125"/>
  <c r="DP89" i="125"/>
  <c r="C35" i="101" l="1"/>
  <c r="F35" i="101" s="1"/>
  <c r="DA90" i="122"/>
  <c r="DA92" i="122"/>
  <c r="DP86" i="100"/>
  <c r="CQ83" i="129"/>
  <c r="BH91" i="125"/>
  <c r="BE79" i="125"/>
  <c r="BC81" i="125"/>
  <c r="BH87" i="125"/>
  <c r="AS90" i="125"/>
  <c r="DB8" i="124"/>
  <c r="DB62" i="124"/>
  <c r="DB44" i="124"/>
  <c r="DB26" i="124"/>
  <c r="DB45" i="124"/>
  <c r="DB15" i="124"/>
  <c r="DB67" i="124"/>
  <c r="DB36" i="124"/>
  <c r="DB32" i="124"/>
  <c r="DB9" i="124"/>
  <c r="DB11" i="124"/>
  <c r="DB28" i="124"/>
  <c r="DB59" i="124"/>
  <c r="DB19" i="124"/>
  <c r="DB29" i="124"/>
  <c r="DB20" i="124"/>
  <c r="DB33" i="124"/>
  <c r="DB10" i="124"/>
  <c r="DB18" i="124"/>
  <c r="DB68" i="124"/>
  <c r="DB41" i="124"/>
  <c r="DB31" i="124"/>
  <c r="DB52" i="124"/>
  <c r="DB56" i="124"/>
  <c r="DB58" i="124"/>
  <c r="DB12" i="124"/>
  <c r="DB14" i="124"/>
  <c r="DB65" i="124"/>
  <c r="DB57" i="124"/>
  <c r="DB21" i="124"/>
  <c r="DB61" i="124"/>
  <c r="DB54" i="124"/>
  <c r="DB24" i="124"/>
  <c r="DB13" i="124"/>
  <c r="DB55" i="124"/>
  <c r="DB69" i="124"/>
  <c r="DB25" i="124"/>
  <c r="DB47" i="124"/>
  <c r="DB42" i="124"/>
  <c r="DB27" i="124"/>
  <c r="DA92" i="124"/>
  <c r="DB64" i="124"/>
  <c r="DB60" i="124"/>
  <c r="DB63" i="124"/>
  <c r="DB30" i="124"/>
  <c r="DB17" i="124"/>
  <c r="DB71" i="124"/>
  <c r="DB46" i="124"/>
  <c r="DB43" i="124"/>
  <c r="DB48" i="124"/>
  <c r="DB66" i="124"/>
  <c r="DB51" i="124"/>
  <c r="DB16" i="124"/>
  <c r="DB70" i="124"/>
  <c r="AO86" i="82"/>
  <c r="AN87" i="82"/>
  <c r="AO87" i="82" s="1"/>
  <c r="DP90" i="125"/>
  <c r="BX39" i="121"/>
  <c r="CR69" i="121"/>
  <c r="CR66" i="121"/>
  <c r="CC64" i="121"/>
  <c r="CC61" i="121"/>
  <c r="CC58" i="121"/>
  <c r="CR64" i="121"/>
  <c r="CC59" i="121"/>
  <c r="CC56" i="121"/>
  <c r="CH51" i="121"/>
  <c r="CM49" i="121"/>
  <c r="CC43" i="121"/>
  <c r="CC26" i="121"/>
  <c r="CC35" i="121"/>
  <c r="CM63" i="121"/>
  <c r="BX43" i="121"/>
  <c r="BX25" i="121"/>
  <c r="CH32" i="121"/>
  <c r="CH26" i="121"/>
  <c r="CH33" i="121"/>
  <c r="CC12" i="121"/>
  <c r="CM22" i="121"/>
  <c r="CM10" i="121"/>
  <c r="BX13" i="121"/>
  <c r="CW30" i="121"/>
  <c r="CR9" i="121"/>
  <c r="CH12" i="121"/>
  <c r="CR15" i="121"/>
  <c r="CM31" i="121"/>
  <c r="CM33" i="121"/>
  <c r="CR19" i="121"/>
  <c r="CC48" i="121"/>
  <c r="CR56" i="121"/>
  <c r="CM48" i="121"/>
  <c r="BX12" i="121"/>
  <c r="BX18" i="121"/>
  <c r="CR28" i="121"/>
  <c r="CR48" i="121"/>
  <c r="CH62" i="121"/>
  <c r="CW16" i="121"/>
  <c r="CR65" i="121"/>
  <c r="CH8" i="121"/>
  <c r="CM23" i="121"/>
  <c r="CM19" i="121"/>
  <c r="BX69" i="121"/>
  <c r="CH70" i="121"/>
  <c r="BX8" i="121"/>
  <c r="CW52" i="121"/>
  <c r="BX36" i="121"/>
  <c r="CW13" i="121"/>
  <c r="CH22" i="121"/>
  <c r="BX51" i="121"/>
  <c r="BX66" i="121"/>
  <c r="CC32" i="121"/>
  <c r="CH36" i="121"/>
  <c r="CM66" i="121"/>
  <c r="CW43" i="121"/>
  <c r="CR54" i="121"/>
  <c r="CM35" i="121"/>
  <c r="BX35" i="121"/>
  <c r="CW39" i="121"/>
  <c r="CM70" i="121"/>
  <c r="BX59" i="121"/>
  <c r="CC52" i="121"/>
  <c r="CR43" i="121"/>
  <c r="CH42" i="121"/>
  <c r="CR12" i="121"/>
  <c r="CW11" i="121"/>
  <c r="CW21" i="121"/>
  <c r="CH20" i="121"/>
  <c r="CH23" i="121"/>
  <c r="AN91" i="121"/>
  <c r="CC22" i="121"/>
  <c r="CM20" i="121"/>
  <c r="CC18" i="121"/>
  <c r="CC8" i="121"/>
  <c r="CC69" i="121"/>
  <c r="CC66" i="121"/>
  <c r="CW63" i="121"/>
  <c r="CW60" i="121"/>
  <c r="CM71" i="121"/>
  <c r="CC49" i="121"/>
  <c r="CW58" i="121"/>
  <c r="CW55" i="121"/>
  <c r="CW49" i="121"/>
  <c r="CH66" i="121"/>
  <c r="CC42" i="121"/>
  <c r="CH58" i="121"/>
  <c r="CC33" i="121"/>
  <c r="CC50" i="121"/>
  <c r="CR33" i="121"/>
  <c r="CC51" i="121"/>
  <c r="CR31" i="121"/>
  <c r="CW25" i="121"/>
  <c r="CC30" i="121"/>
  <c r="BX11" i="121"/>
  <c r="CH19" i="121"/>
  <c r="CW19" i="121"/>
  <c r="CH9" i="121"/>
  <c r="CR27" i="121"/>
  <c r="CR46" i="121"/>
  <c r="CC10" i="121"/>
  <c r="CM13" i="121"/>
  <c r="CC19" i="121"/>
  <c r="CW36" i="121"/>
  <c r="CC23" i="121"/>
  <c r="CW56" i="121"/>
  <c r="CW22" i="121"/>
  <c r="BX15" i="121"/>
  <c r="CR21" i="121"/>
  <c r="BX21" i="121"/>
  <c r="CW35" i="121"/>
  <c r="CC54" i="121"/>
  <c r="CW64" i="121"/>
  <c r="CR18" i="121"/>
  <c r="CM15" i="121"/>
  <c r="CM12" i="121"/>
  <c r="CW24" i="121"/>
  <c r="CH21" i="121"/>
  <c r="BX61" i="121"/>
  <c r="CR20" i="121"/>
  <c r="CM26" i="121"/>
  <c r="CW27" i="121"/>
  <c r="CM18" i="121"/>
  <c r="CH17" i="121"/>
  <c r="CM36" i="121"/>
  <c r="CC55" i="121"/>
  <c r="CC21" i="121"/>
  <c r="CR57" i="121"/>
  <c r="CM57" i="121"/>
  <c r="CC57" i="121"/>
  <c r="CW71" i="121"/>
  <c r="CH38" i="121"/>
  <c r="CH54" i="121"/>
  <c r="CM50" i="121"/>
  <c r="CC39" i="121"/>
  <c r="CC70" i="121"/>
  <c r="CC62" i="121"/>
  <c r="CH45" i="121"/>
  <c r="CC45" i="121"/>
  <c r="CW14" i="121"/>
  <c r="CR36" i="121"/>
  <c r="BX28" i="121"/>
  <c r="CM16" i="121"/>
  <c r="BX42" i="121"/>
  <c r="CW70" i="121"/>
  <c r="CW28" i="121"/>
  <c r="CW20" i="121"/>
  <c r="CM58" i="121"/>
  <c r="CH59" i="121"/>
  <c r="CM8" i="121"/>
  <c r="CW68" i="121"/>
  <c r="CW65" i="121"/>
  <c r="CH63" i="121"/>
  <c r="CH60" i="121"/>
  <c r="CH69" i="121"/>
  <c r="BX68" i="121"/>
  <c r="BX71" i="121"/>
  <c r="CH55" i="121"/>
  <c r="CM68" i="121"/>
  <c r="CH49" i="121"/>
  <c r="CW33" i="121"/>
  <c r="CH47" i="121"/>
  <c r="BX32" i="121"/>
  <c r="CW47" i="121"/>
  <c r="CM32" i="121"/>
  <c r="BX47" i="121"/>
  <c r="CC31" i="121"/>
  <c r="CH25" i="121"/>
  <c r="CH24" i="121"/>
  <c r="BX10" i="121"/>
  <c r="CW15" i="121"/>
  <c r="CM47" i="121"/>
  <c r="CC36" i="121"/>
  <c r="BX22" i="121"/>
  <c r="CH30" i="121"/>
  <c r="CW9" i="121"/>
  <c r="CH11" i="121"/>
  <c r="BX9" i="121"/>
  <c r="BX45" i="121"/>
  <c r="BX56" i="121"/>
  <c r="BX64" i="121"/>
  <c r="CC27" i="121"/>
  <c r="CH13" i="121"/>
  <c r="CC25" i="121"/>
  <c r="CW50" i="121"/>
  <c r="CM55" i="121"/>
  <c r="CR51" i="121"/>
  <c r="CM69" i="121"/>
  <c r="CC44" i="121"/>
  <c r="CM45" i="121"/>
  <c r="CC47" i="121"/>
  <c r="CR11" i="121"/>
  <c r="CC24" i="121"/>
  <c r="CR68" i="121"/>
  <c r="CW29" i="121"/>
  <c r="CW48" i="121"/>
  <c r="CH10" i="121"/>
  <c r="CC28" i="121"/>
  <c r="CH28" i="121"/>
  <c r="CH46" i="121"/>
  <c r="CR63" i="121"/>
  <c r="BX16" i="121"/>
  <c r="CW57" i="121"/>
  <c r="CR32" i="121"/>
  <c r="BX58" i="121"/>
  <c r="CR41" i="121"/>
  <c r="CC38" i="121"/>
  <c r="CW41" i="121"/>
  <c r="CH39" i="121"/>
  <c r="BX62" i="121"/>
  <c r="BX60" i="121"/>
  <c r="BX29" i="121"/>
  <c r="CH31" i="121"/>
  <c r="CM43" i="121"/>
  <c r="CW12" i="121"/>
  <c r="BX24" i="121"/>
  <c r="CM41" i="121"/>
  <c r="CW59" i="121"/>
  <c r="CC16" i="121"/>
  <c r="CH67" i="121"/>
  <c r="CC20" i="121"/>
  <c r="BX48" i="121"/>
  <c r="CC41" i="121"/>
  <c r="CH71" i="121"/>
  <c r="CH68" i="121"/>
  <c r="CH65" i="121"/>
  <c r="CM62" i="121"/>
  <c r="CM59" i="121"/>
  <c r="CC67" i="121"/>
  <c r="CM65" i="121"/>
  <c r="BX63" i="121"/>
  <c r="CR52" i="121"/>
  <c r="CR49" i="121"/>
  <c r="BX49" i="121"/>
  <c r="CM29" i="121"/>
  <c r="CW45" i="121"/>
  <c r="CM30" i="121"/>
  <c r="CC46" i="121"/>
  <c r="CW31" i="121"/>
  <c r="BX46" i="121"/>
  <c r="CR29" i="121"/>
  <c r="CM46" i="121"/>
  <c r="CH15" i="121"/>
  <c r="CR45" i="121"/>
  <c r="CR13" i="121"/>
  <c r="CW17" i="121"/>
  <c r="BX52" i="121"/>
  <c r="CH14" i="121"/>
  <c r="CC9" i="121"/>
  <c r="CM56" i="121"/>
  <c r="CW10" i="121"/>
  <c r="CH18" i="121"/>
  <c r="CW54" i="121"/>
  <c r="CW18" i="121"/>
  <c r="CR71" i="121"/>
  <c r="CR14" i="121"/>
  <c r="CR25" i="121"/>
  <c r="CM9" i="121"/>
  <c r="BX55" i="121"/>
  <c r="BX19" i="121"/>
  <c r="CR60" i="121"/>
  <c r="BX23" i="121"/>
  <c r="CM52" i="121"/>
  <c r="CW8" i="121"/>
  <c r="CH41" i="121"/>
  <c r="CR22" i="121"/>
  <c r="CM61" i="121"/>
  <c r="CC60" i="121"/>
  <c r="BX26" i="121"/>
  <c r="CM27" i="121"/>
  <c r="BX27" i="121"/>
  <c r="CC14" i="121"/>
  <c r="BX54" i="121"/>
  <c r="CH52" i="121"/>
  <c r="CW62" i="121"/>
  <c r="BX33" i="121"/>
  <c r="CC65" i="121"/>
  <c r="CH48" i="121"/>
  <c r="CC68" i="121"/>
  <c r="CW38" i="121"/>
  <c r="CM38" i="121"/>
  <c r="CH50" i="121"/>
  <c r="CM39" i="121"/>
  <c r="CM67" i="121"/>
  <c r="CW66" i="121"/>
  <c r="CR70" i="121"/>
  <c r="BX30" i="121"/>
  <c r="CC29" i="121"/>
  <c r="CC15" i="121"/>
  <c r="CR55" i="121"/>
  <c r="CH27" i="121"/>
  <c r="CC17" i="121"/>
  <c r="BX31" i="121"/>
  <c r="CH35" i="121"/>
  <c r="CC11" i="121"/>
  <c r="CC63" i="121"/>
  <c r="CR50" i="121"/>
  <c r="CR38" i="121"/>
  <c r="CR39" i="121"/>
  <c r="BX70" i="121"/>
  <c r="BX67" i="121"/>
  <c r="CW69" i="121"/>
  <c r="CR61" i="121"/>
  <c r="CR58" i="121"/>
  <c r="BX65" i="121"/>
  <c r="CW61" i="121"/>
  <c r="BX57" i="121"/>
  <c r="CW51" i="121"/>
  <c r="CH61" i="121"/>
  <c r="CW44" i="121"/>
  <c r="CR26" i="121"/>
  <c r="CR42" i="121"/>
  <c r="CR67" i="121"/>
  <c r="BX44" i="121"/>
  <c r="CM25" i="121"/>
  <c r="CR35" i="121"/>
  <c r="CW26" i="121"/>
  <c r="CW42" i="121"/>
  <c r="CC13" i="121"/>
  <c r="CR30" i="121"/>
  <c r="CM11" i="121"/>
  <c r="BX14" i="121"/>
  <c r="CW32" i="121"/>
  <c r="CR10" i="121"/>
  <c r="CM14" i="121"/>
  <c r="CM44" i="121"/>
  <c r="CR17" i="121"/>
  <c r="CM24" i="121"/>
  <c r="CW46" i="121"/>
  <c r="BX41" i="121"/>
  <c r="CR47" i="121"/>
  <c r="CM51" i="121"/>
  <c r="CM42" i="121"/>
  <c r="CM28" i="121"/>
  <c r="CM60" i="121"/>
  <c r="CR59" i="121"/>
  <c r="CH57" i="121"/>
  <c r="CH56" i="121"/>
  <c r="CH64" i="121"/>
  <c r="CR24" i="121"/>
  <c r="CH29" i="121"/>
  <c r="CH16" i="121"/>
  <c r="CR62" i="121"/>
  <c r="CW67" i="121"/>
  <c r="CR44" i="121"/>
  <c r="BX17" i="121"/>
  <c r="CR16" i="121"/>
  <c r="CM21" i="121"/>
  <c r="CW23" i="121"/>
  <c r="CH43" i="121"/>
  <c r="CC71" i="121"/>
  <c r="BX20" i="121"/>
  <c r="CR23" i="121"/>
  <c r="CM64" i="121"/>
  <c r="CM17" i="121"/>
  <c r="CM54" i="121"/>
  <c r="CR8" i="121"/>
  <c r="BX50" i="121"/>
  <c r="BX38" i="121"/>
  <c r="CH44" i="121"/>
  <c r="AO38" i="125"/>
  <c r="DL41" i="125"/>
  <c r="BD50" i="125"/>
  <c r="BD14" i="125"/>
  <c r="BD55" i="125"/>
  <c r="BD46" i="125"/>
  <c r="CM39" i="125"/>
  <c r="CR35" i="125"/>
  <c r="AJ50" i="125"/>
  <c r="AT38" i="125"/>
  <c r="DB54" i="125"/>
  <c r="CW63" i="125"/>
  <c r="BN68" i="125"/>
  <c r="DG68" i="125"/>
  <c r="CR49" i="125"/>
  <c r="CH65" i="125"/>
  <c r="DG61" i="125"/>
  <c r="AE40" i="125"/>
  <c r="DB49" i="125"/>
  <c r="CM56" i="125"/>
  <c r="AY45" i="125"/>
  <c r="AO22" i="125"/>
  <c r="AE23" i="125"/>
  <c r="BI23" i="125"/>
  <c r="CC30" i="125"/>
  <c r="CR32" i="125"/>
  <c r="AY18" i="125"/>
  <c r="AJ25" i="125"/>
  <c r="BN15" i="125"/>
  <c r="CR24" i="125"/>
  <c r="BS13" i="125"/>
  <c r="CR21" i="125"/>
  <c r="BI13" i="125"/>
  <c r="CC21" i="125"/>
  <c r="AY23" i="125"/>
  <c r="CH23" i="125"/>
  <c r="BI27" i="125"/>
  <c r="CW26" i="125"/>
  <c r="BX45" i="125"/>
  <c r="DB47" i="125"/>
  <c r="BN45" i="125"/>
  <c r="AJ30" i="125"/>
  <c r="DG55" i="125"/>
  <c r="BN62" i="125"/>
  <c r="BS9" i="125"/>
  <c r="DL18" i="125"/>
  <c r="AO17" i="125"/>
  <c r="BN32" i="125"/>
  <c r="BS27" i="125"/>
  <c r="BX18" i="125"/>
  <c r="BX15" i="125"/>
  <c r="CW33" i="125"/>
  <c r="BS28" i="125"/>
  <c r="AE30" i="125"/>
  <c r="BI33" i="125"/>
  <c r="CM47" i="125"/>
  <c r="DG47" i="125"/>
  <c r="CW57" i="125"/>
  <c r="AJ58" i="125"/>
  <c r="BN67" i="125"/>
  <c r="AT64" i="125"/>
  <c r="AY70" i="125"/>
  <c r="AO13" i="125"/>
  <c r="CC19" i="125"/>
  <c r="BS18" i="125"/>
  <c r="CM14" i="125"/>
  <c r="CW17" i="125"/>
  <c r="BX23" i="125"/>
  <c r="CW13" i="125"/>
  <c r="BX28" i="125"/>
  <c r="BS36" i="125"/>
  <c r="CW59" i="125"/>
  <c r="AE29" i="125"/>
  <c r="BI28" i="125"/>
  <c r="BX51" i="125"/>
  <c r="AY56" i="125"/>
  <c r="DL52" i="125"/>
  <c r="BN58" i="125"/>
  <c r="DG62" i="125"/>
  <c r="CM67" i="125"/>
  <c r="DG70" i="125"/>
  <c r="DB10" i="125"/>
  <c r="AJ20" i="125"/>
  <c r="CH18" i="125"/>
  <c r="DL13" i="125"/>
  <c r="AY19" i="125"/>
  <c r="DL23" i="125"/>
  <c r="BI21" i="125"/>
  <c r="CC44" i="125"/>
  <c r="CC33" i="125"/>
  <c r="DG31" i="125"/>
  <c r="BI35" i="125"/>
  <c r="CH33" i="125"/>
  <c r="AE47" i="125"/>
  <c r="CM15" i="125"/>
  <c r="AO21" i="125"/>
  <c r="AE24" i="125"/>
  <c r="AO25" i="125"/>
  <c r="CM17" i="125"/>
  <c r="CM20" i="125"/>
  <c r="AY20" i="125"/>
  <c r="AT29" i="125"/>
  <c r="DB33" i="125"/>
  <c r="AT48" i="125"/>
  <c r="BX31" i="125"/>
  <c r="BS52" i="125"/>
  <c r="CM46" i="125"/>
  <c r="BI65" i="125"/>
  <c r="CW56" i="125"/>
  <c r="CC69" i="125"/>
  <c r="BS66" i="125"/>
  <c r="DB71" i="125"/>
  <c r="AT21" i="125"/>
  <c r="AO32" i="125"/>
  <c r="CH58" i="125"/>
  <c r="CC68" i="125"/>
  <c r="CR71" i="125"/>
  <c r="AY22" i="125"/>
  <c r="AY36" i="125"/>
  <c r="DL59" i="125"/>
  <c r="BS59" i="125"/>
  <c r="AT69" i="125"/>
  <c r="AY11" i="125"/>
  <c r="DB21" i="125"/>
  <c r="AO51" i="125"/>
  <c r="CC63" i="125"/>
  <c r="AY66" i="125"/>
  <c r="BI62" i="125"/>
  <c r="BN13" i="125"/>
  <c r="BI24" i="125"/>
  <c r="BS56" i="125"/>
  <c r="BN61" i="125"/>
  <c r="BN70" i="125"/>
  <c r="DB62" i="125"/>
  <c r="CM10" i="125"/>
  <c r="CH19" i="125"/>
  <c r="DL30" i="125"/>
  <c r="BN57" i="125"/>
  <c r="AY67" i="125"/>
  <c r="BS68" i="125"/>
  <c r="AJ11" i="125"/>
  <c r="CW24" i="125"/>
  <c r="CC46" i="125"/>
  <c r="CC58" i="125"/>
  <c r="CR68" i="125"/>
  <c r="BD16" i="125"/>
  <c r="BD59" i="125"/>
  <c r="DG41" i="125"/>
  <c r="BI63" i="125"/>
  <c r="AE25" i="125"/>
  <c r="BN16" i="125"/>
  <c r="BI8" i="125"/>
  <c r="BD9" i="125"/>
  <c r="BD66" i="125"/>
  <c r="CH35" i="125"/>
  <c r="AO43" i="125"/>
  <c r="BI48" i="125"/>
  <c r="BN36" i="125"/>
  <c r="BI50" i="125"/>
  <c r="AY50" i="125"/>
  <c r="BN42" i="125"/>
  <c r="DL35" i="125"/>
  <c r="AJ13" i="125"/>
  <c r="CR12" i="125"/>
  <c r="BI57" i="125"/>
  <c r="BD33" i="125"/>
  <c r="BD44" i="125"/>
  <c r="AJ36" i="125"/>
  <c r="BD63" i="125"/>
  <c r="AO12" i="125"/>
  <c r="DB56" i="125"/>
  <c r="AE42" i="125"/>
  <c r="CW62" i="125"/>
  <c r="BN48" i="125"/>
  <c r="CC36" i="125"/>
  <c r="AE60" i="125"/>
  <c r="AY54" i="125"/>
  <c r="AE38" i="125"/>
  <c r="BS39" i="125"/>
  <c r="AJ8" i="125"/>
  <c r="CW39" i="125"/>
  <c r="BD57" i="125"/>
  <c r="CC8" i="125"/>
  <c r="BX39" i="125"/>
  <c r="CC54" i="125"/>
  <c r="CH39" i="125"/>
  <c r="CR38" i="125"/>
  <c r="BD52" i="125"/>
  <c r="BN71" i="125"/>
  <c r="DG71" i="125"/>
  <c r="CH67" i="125"/>
  <c r="AE59" i="125"/>
  <c r="BS63" i="125"/>
  <c r="CW51" i="125"/>
  <c r="CM60" i="125"/>
  <c r="DL46" i="125"/>
  <c r="DG30" i="125"/>
  <c r="CC32" i="125"/>
  <c r="AE22" i="125"/>
  <c r="BI22" i="125"/>
  <c r="AT22" i="125"/>
  <c r="AT30" i="125"/>
  <c r="DG24" i="125"/>
  <c r="DL16" i="125"/>
  <c r="AT24" i="125"/>
  <c r="DG22" i="125"/>
  <c r="BN24" i="125"/>
  <c r="AT13" i="125"/>
  <c r="CW18" i="125"/>
  <c r="BN11" i="125"/>
  <c r="CC9" i="125"/>
  <c r="DB17" i="125"/>
  <c r="DB25" i="125"/>
  <c r="AO18" i="125"/>
  <c r="AJ33" i="125"/>
  <c r="BI55" i="125"/>
  <c r="AY33" i="125"/>
  <c r="AT33" i="125"/>
  <c r="DB32" i="125"/>
  <c r="AE61" i="125"/>
  <c r="AE36" i="125"/>
  <c r="DL12" i="125"/>
  <c r="CR10" i="125"/>
  <c r="CC16" i="125"/>
  <c r="AT12" i="125"/>
  <c r="BS17" i="125"/>
  <c r="DL21" i="125"/>
  <c r="CH17" i="125"/>
  <c r="AJ44" i="125"/>
  <c r="CM29" i="125"/>
  <c r="CW32" i="125"/>
  <c r="AT42" i="125"/>
  <c r="AJ59" i="125"/>
  <c r="AY51" i="125"/>
  <c r="CC56" i="125"/>
  <c r="CC59" i="125"/>
  <c r="BX63" i="125"/>
  <c r="DG65" i="125"/>
  <c r="BS71" i="125"/>
  <c r="DL9" i="125"/>
  <c r="CR9" i="125"/>
  <c r="DG16" i="125"/>
  <c r="DB20" i="125"/>
  <c r="AJ26" i="125"/>
  <c r="BS25" i="125"/>
  <c r="DB15" i="125"/>
  <c r="BD30" i="125"/>
  <c r="CM28" i="125"/>
  <c r="AO30" i="125"/>
  <c r="CW30" i="125"/>
  <c r="CC31" i="125"/>
  <c r="CH55" i="125"/>
  <c r="CC51" i="125"/>
  <c r="BX58" i="125"/>
  <c r="DB63" i="125"/>
  <c r="DL66" i="125"/>
  <c r="CM62" i="125"/>
  <c r="BX70" i="125"/>
  <c r="AO15" i="125"/>
  <c r="BX11" i="125"/>
  <c r="CM19" i="125"/>
  <c r="AT26" i="125"/>
  <c r="CW23" i="125"/>
  <c r="CH25" i="125"/>
  <c r="AO24" i="125"/>
  <c r="AO46" i="125"/>
  <c r="DL28" i="125"/>
  <c r="BX35" i="125"/>
  <c r="AT43" i="125"/>
  <c r="BI42" i="125"/>
  <c r="AT10" i="125"/>
  <c r="AO10" i="125"/>
  <c r="CW11" i="125"/>
  <c r="DL25" i="125"/>
  <c r="DG26" i="125"/>
  <c r="AO20" i="125"/>
  <c r="BN26" i="125"/>
  <c r="CH21" i="125"/>
  <c r="DB30" i="125"/>
  <c r="CR45" i="125"/>
  <c r="CC29" i="125"/>
  <c r="DL36" i="125"/>
  <c r="DG46" i="125"/>
  <c r="DG57" i="125"/>
  <c r="CR56" i="125"/>
  <c r="DL58" i="125"/>
  <c r="AJ63" i="125"/>
  <c r="AO69" i="125"/>
  <c r="DB68" i="125"/>
  <c r="CW14" i="125"/>
  <c r="CH30" i="125"/>
  <c r="AO61" i="125"/>
  <c r="CR64" i="125"/>
  <c r="CW69" i="125"/>
  <c r="CM16" i="125"/>
  <c r="DG43" i="125"/>
  <c r="AJ61" i="125"/>
  <c r="DL67" i="125"/>
  <c r="CH70" i="125"/>
  <c r="BN10" i="125"/>
  <c r="BI29" i="125"/>
  <c r="AE55" i="125"/>
  <c r="DG56" i="125"/>
  <c r="DB61" i="125"/>
  <c r="AJ71" i="125"/>
  <c r="BN9" i="125"/>
  <c r="AT32" i="125"/>
  <c r="DL47" i="125"/>
  <c r="DL64" i="125"/>
  <c r="CM66" i="125"/>
  <c r="BI68" i="125"/>
  <c r="CM23" i="125"/>
  <c r="BS26" i="125"/>
  <c r="AO33" i="125"/>
  <c r="CC57" i="125"/>
  <c r="CR65" i="125"/>
  <c r="CH71" i="125"/>
  <c r="AT20" i="125"/>
  <c r="AO27" i="125"/>
  <c r="AE51" i="125"/>
  <c r="AO64" i="125"/>
  <c r="CH66" i="125"/>
  <c r="CH47" i="125"/>
  <c r="CW8" i="125"/>
  <c r="AE31" i="125"/>
  <c r="DL44" i="125"/>
  <c r="DG20" i="125"/>
  <c r="AY10" i="125"/>
  <c r="BD58" i="125"/>
  <c r="BN46" i="125"/>
  <c r="AT50" i="125"/>
  <c r="BN12" i="125"/>
  <c r="AY42" i="125"/>
  <c r="CR20" i="125"/>
  <c r="CC14" i="125"/>
  <c r="BX54" i="125"/>
  <c r="BD68" i="125"/>
  <c r="CR46" i="125"/>
  <c r="AT41" i="125"/>
  <c r="BN52" i="125"/>
  <c r="BI70" i="125"/>
  <c r="CW54" i="125"/>
  <c r="AJ9" i="125"/>
  <c r="DG36" i="125"/>
  <c r="AT16" i="125"/>
  <c r="BS54" i="125"/>
  <c r="BN20" i="125"/>
  <c r="AT63" i="125"/>
  <c r="DG14" i="125"/>
  <c r="CH44" i="125"/>
  <c r="DG52" i="125"/>
  <c r="BX59" i="125"/>
  <c r="CC65" i="125"/>
  <c r="BN35" i="125"/>
  <c r="BN54" i="125"/>
  <c r="AJ35" i="125"/>
  <c r="CH41" i="125"/>
  <c r="BN8" i="125"/>
  <c r="AE8" i="125"/>
  <c r="BI39" i="125"/>
  <c r="BX38" i="125"/>
  <c r="DB8" i="125"/>
  <c r="BD36" i="125"/>
  <c r="CH54" i="125"/>
  <c r="DG35" i="125"/>
  <c r="AO8" i="125"/>
  <c r="BN38" i="125"/>
  <c r="AJ70" i="125"/>
  <c r="DG63" i="125"/>
  <c r="AT70" i="125"/>
  <c r="AY61" i="125"/>
  <c r="CM49" i="125"/>
  <c r="AO62" i="125"/>
  <c r="AJ40" i="125"/>
  <c r="AY57" i="125"/>
  <c r="CH46" i="125"/>
  <c r="BX57" i="125"/>
  <c r="DL22" i="125"/>
  <c r="AY17" i="125"/>
  <c r="DL51" i="125"/>
  <c r="DB44" i="125"/>
  <c r="DG28" i="125"/>
  <c r="CC24" i="125"/>
  <c r="CH16" i="125"/>
  <c r="BN23" i="125"/>
  <c r="CC22" i="125"/>
  <c r="CR15" i="125"/>
  <c r="CC23" i="125"/>
  <c r="AT17" i="125"/>
  <c r="AT9" i="125"/>
  <c r="CH10" i="125"/>
  <c r="AY21" i="125"/>
  <c r="AT27" i="125"/>
  <c r="CM21" i="125"/>
  <c r="AY27" i="125"/>
  <c r="BI31" i="125"/>
  <c r="AY44" i="125"/>
  <c r="DG42" i="125"/>
  <c r="AO35" i="125"/>
  <c r="CH45" i="125"/>
  <c r="AJ48" i="125"/>
  <c r="BX21" i="125"/>
  <c r="AJ12" i="125"/>
  <c r="AT18" i="125"/>
  <c r="BI14" i="125"/>
  <c r="DG25" i="125"/>
  <c r="AT25" i="125"/>
  <c r="CC26" i="125"/>
  <c r="DG45" i="125"/>
  <c r="DB31" i="125"/>
  <c r="CW36" i="125"/>
  <c r="CR43" i="125"/>
  <c r="BX46" i="125"/>
  <c r="AO55" i="125"/>
  <c r="CR58" i="125"/>
  <c r="CH59" i="125"/>
  <c r="DB64" i="125"/>
  <c r="AJ67" i="125"/>
  <c r="BI69" i="125"/>
  <c r="DB12" i="125"/>
  <c r="BI12" i="125"/>
  <c r="BS19" i="125"/>
  <c r="AJ24" i="125"/>
  <c r="AT28" i="125"/>
  <c r="AO28" i="125"/>
  <c r="DL17" i="125"/>
  <c r="AT44" i="125"/>
  <c r="CW29" i="125"/>
  <c r="CH31" i="125"/>
  <c r="BS33" i="125"/>
  <c r="BX33" i="125"/>
  <c r="DB46" i="125"/>
  <c r="BX52" i="125"/>
  <c r="DL56" i="125"/>
  <c r="AT58" i="125"/>
  <c r="BX64" i="125"/>
  <c r="AE67" i="125"/>
  <c r="DL71" i="125"/>
  <c r="BI9" i="125"/>
  <c r="CH12" i="125"/>
  <c r="CM25" i="125"/>
  <c r="CM44" i="125"/>
  <c r="BX26" i="125"/>
  <c r="DG27" i="125"/>
  <c r="DL26" i="125"/>
  <c r="AY48" i="125"/>
  <c r="DB42" i="125"/>
  <c r="CC43" i="125"/>
  <c r="BN44" i="125"/>
  <c r="BX43" i="125"/>
  <c r="AE12" i="125"/>
  <c r="CH14" i="125"/>
  <c r="AY14" i="125"/>
  <c r="BD27" i="125"/>
  <c r="BI16" i="125"/>
  <c r="DG23" i="125"/>
  <c r="AY28" i="125"/>
  <c r="BS24" i="125"/>
  <c r="CC41" i="125"/>
  <c r="BX30" i="125"/>
  <c r="AJ32" i="125"/>
  <c r="DG44" i="125"/>
  <c r="DL48" i="125"/>
  <c r="DL60" i="125"/>
  <c r="DG58" i="125"/>
  <c r="CW60" i="125"/>
  <c r="CC64" i="125"/>
  <c r="DG64" i="125"/>
  <c r="AE71" i="125"/>
  <c r="CR25" i="125"/>
  <c r="DB35" i="125"/>
  <c r="BS67" i="125"/>
  <c r="CR66" i="125"/>
  <c r="BX71" i="125"/>
  <c r="DB18" i="125"/>
  <c r="BX55" i="125"/>
  <c r="AJ57" i="125"/>
  <c r="BX66" i="125"/>
  <c r="BX68" i="125"/>
  <c r="BX24" i="125"/>
  <c r="DL33" i="125"/>
  <c r="BX60" i="125"/>
  <c r="BN60" i="125"/>
  <c r="AE65" i="125"/>
  <c r="CM70" i="125"/>
  <c r="AO26" i="125"/>
  <c r="AO42" i="125"/>
  <c r="BI46" i="125"/>
  <c r="CR57" i="125"/>
  <c r="CR67" i="125"/>
  <c r="DB69" i="125"/>
  <c r="BN21" i="125"/>
  <c r="BN27" i="125"/>
  <c r="DG29" i="125"/>
  <c r="AY60" i="125"/>
  <c r="DB67" i="125"/>
  <c r="CW71" i="125"/>
  <c r="CM27" i="125"/>
  <c r="DB29" i="125"/>
  <c r="BS61" i="125"/>
  <c r="BN65" i="125"/>
  <c r="BI71" i="125"/>
  <c r="BD20" i="125"/>
  <c r="AJ52" i="125"/>
  <c r="BI30" i="125"/>
  <c r="DB28" i="125"/>
  <c r="CR55" i="125"/>
  <c r="CM8" i="125"/>
  <c r="AE50" i="125"/>
  <c r="CH57" i="125"/>
  <c r="DG51" i="125"/>
  <c r="BD26" i="125"/>
  <c r="BD10" i="125"/>
  <c r="AJ15" i="125"/>
  <c r="DL8" i="125"/>
  <c r="CC50" i="125"/>
  <c r="DL55" i="125"/>
  <c r="AT55" i="125"/>
  <c r="BD48" i="125"/>
  <c r="BD31" i="125"/>
  <c r="AO54" i="125"/>
  <c r="BD15" i="125"/>
  <c r="BI41" i="125"/>
  <c r="BD62" i="125"/>
  <c r="BI11" i="125"/>
  <c r="BD43" i="125"/>
  <c r="BD32" i="125"/>
  <c r="CH50" i="125"/>
  <c r="BX50" i="125"/>
  <c r="BI15" i="125"/>
  <c r="BS44" i="125"/>
  <c r="CR14" i="125"/>
  <c r="AJ41" i="125"/>
  <c r="BD25" i="125"/>
  <c r="DG38" i="125"/>
  <c r="BD61" i="125"/>
  <c r="AY8" i="125"/>
  <c r="BN41" i="125"/>
  <c r="BD71" i="125"/>
  <c r="DL39" i="125"/>
  <c r="DG50" i="125"/>
  <c r="BI38" i="125"/>
  <c r="DG8" i="125"/>
  <c r="AE39" i="125"/>
  <c r="AJ69" i="125"/>
  <c r="BN63" i="125"/>
  <c r="CW67" i="125"/>
  <c r="AE57" i="125"/>
  <c r="DL63" i="125"/>
  <c r="DG49" i="125"/>
  <c r="DB58" i="125"/>
  <c r="AJ55" i="125"/>
  <c r="BN40" i="125"/>
  <c r="BS51" i="125"/>
  <c r="CW22" i="125"/>
  <c r="AT40" i="125"/>
  <c r="AE35" i="125"/>
  <c r="BI44" i="125"/>
  <c r="AT23" i="125"/>
  <c r="DG19" i="125"/>
  <c r="AT15" i="125"/>
  <c r="DG17" i="125"/>
  <c r="CR19" i="125"/>
  <c r="CR17" i="125"/>
  <c r="AJ23" i="125"/>
  <c r="AJ16" i="125"/>
  <c r="BS11" i="125"/>
  <c r="BS16" i="125"/>
  <c r="DB24" i="125"/>
  <c r="BX44" i="125"/>
  <c r="CM24" i="125"/>
  <c r="BS29" i="125"/>
  <c r="BX32" i="125"/>
  <c r="DL29" i="125"/>
  <c r="CH43" i="125"/>
  <c r="AT47" i="125"/>
  <c r="AY47" i="125"/>
  <c r="DB52" i="125"/>
  <c r="CM9" i="125"/>
  <c r="AO19" i="125"/>
  <c r="BD23" i="125"/>
  <c r="AO16" i="125"/>
  <c r="AJ28" i="125"/>
  <c r="CW19" i="125"/>
  <c r="CC27" i="125"/>
  <c r="BS31" i="125"/>
  <c r="CR33" i="125"/>
  <c r="CW45" i="125"/>
  <c r="CM57" i="125"/>
  <c r="CW48" i="125"/>
  <c r="BX56" i="125"/>
  <c r="AT61" i="125"/>
  <c r="CC61" i="125"/>
  <c r="DB65" i="125"/>
  <c r="CR70" i="125"/>
  <c r="AO11" i="125"/>
  <c r="DB19" i="125"/>
  <c r="CH20" i="125"/>
  <c r="CC25" i="125"/>
  <c r="AE26" i="125"/>
  <c r="DL15" i="125"/>
  <c r="DB22" i="125"/>
  <c r="BS23" i="125"/>
  <c r="AJ47" i="125"/>
  <c r="BX36" i="125"/>
  <c r="DG33" i="125"/>
  <c r="DB36" i="125"/>
  <c r="AJ42" i="125"/>
  <c r="DG48" i="125"/>
  <c r="DB48" i="125"/>
  <c r="CM59" i="125"/>
  <c r="AO63" i="125"/>
  <c r="BX67" i="125"/>
  <c r="CR62" i="125"/>
  <c r="DB11" i="125"/>
  <c r="AE13" i="125"/>
  <c r="CR23" i="125"/>
  <c r="AE15" i="125"/>
  <c r="BX13" i="125"/>
  <c r="DG32" i="125"/>
  <c r="CC12" i="125"/>
  <c r="DL27" i="125"/>
  <c r="BS55" i="125"/>
  <c r="CW46" i="125"/>
  <c r="AE46" i="125"/>
  <c r="BS46" i="125"/>
  <c r="CC48" i="125"/>
  <c r="CW20" i="125"/>
  <c r="DL20" i="125"/>
  <c r="CC13" i="125"/>
  <c r="DG9" i="125"/>
  <c r="BI26" i="125"/>
  <c r="CH26" i="125"/>
  <c r="BD13" i="125"/>
  <c r="BX25" i="125"/>
  <c r="CM43" i="125"/>
  <c r="AY32" i="125"/>
  <c r="CM35" i="125"/>
  <c r="CW43" i="125"/>
  <c r="CM51" i="125"/>
  <c r="AY62" i="125"/>
  <c r="CH60" i="125"/>
  <c r="BS65" i="125"/>
  <c r="CC66" i="125"/>
  <c r="AT68" i="125"/>
  <c r="CH68" i="125"/>
  <c r="CM18" i="125"/>
  <c r="BS32" i="125"/>
  <c r="BN66" i="125"/>
  <c r="CC71" i="125"/>
  <c r="BS69" i="125"/>
  <c r="AT45" i="125"/>
  <c r="CM48" i="125"/>
  <c r="DB59" i="125"/>
  <c r="CM71" i="125"/>
  <c r="DL69" i="125"/>
  <c r="AJ27" i="125"/>
  <c r="AO31" i="125"/>
  <c r="AJ60" i="125"/>
  <c r="AO67" i="125"/>
  <c r="AT67" i="125"/>
  <c r="DB70" i="125"/>
  <c r="AE19" i="125"/>
  <c r="BI47" i="125"/>
  <c r="BI51" i="125"/>
  <c r="DG60" i="125"/>
  <c r="CM63" i="125"/>
  <c r="AY68" i="125"/>
  <c r="BI10" i="125"/>
  <c r="AE21" i="125"/>
  <c r="AE58" i="125"/>
  <c r="AO66" i="125"/>
  <c r="AJ64" i="125"/>
  <c r="BX12" i="125"/>
  <c r="CW15" i="125"/>
  <c r="CM36" i="125"/>
  <c r="CC60" i="125"/>
  <c r="CM64" i="125"/>
  <c r="DL68" i="125"/>
  <c r="BD11" i="125"/>
  <c r="CH38" i="125"/>
  <c r="BI19" i="125"/>
  <c r="CR61" i="125"/>
  <c r="CW35" i="125"/>
  <c r="CM54" i="125"/>
  <c r="CM41" i="125"/>
  <c r="BD45" i="125"/>
  <c r="DG54" i="125"/>
  <c r="BD64" i="125"/>
  <c r="CR63" i="125"/>
  <c r="DL42" i="125"/>
  <c r="AE33" i="125"/>
  <c r="CW38" i="125"/>
  <c r="BD56" i="125"/>
  <c r="BD12" i="125"/>
  <c r="BD69" i="125"/>
  <c r="BD17" i="125"/>
  <c r="DG12" i="125"/>
  <c r="BD60" i="125"/>
  <c r="AO45" i="125"/>
  <c r="AO58" i="125"/>
  <c r="AO50" i="125"/>
  <c r="BD67" i="125"/>
  <c r="BD70" i="125"/>
  <c r="CR52" i="125"/>
  <c r="BN25" i="125"/>
  <c r="CH8" i="125"/>
  <c r="BN31" i="125"/>
  <c r="CM50" i="125"/>
  <c r="CW41" i="125"/>
  <c r="BS38" i="125"/>
  <c r="DB38" i="125"/>
  <c r="DL38" i="125"/>
  <c r="BI54" i="125"/>
  <c r="CR8" i="125"/>
  <c r="AT39" i="125"/>
  <c r="AE54" i="125"/>
  <c r="AO41" i="125"/>
  <c r="AJ39" i="125"/>
  <c r="AJ38" i="125"/>
  <c r="BD35" i="125"/>
  <c r="BD41" i="125"/>
  <c r="BD54" i="125"/>
  <c r="CC70" i="125"/>
  <c r="AJ62" i="125"/>
  <c r="CW65" i="125"/>
  <c r="CW49" i="125"/>
  <c r="DL49" i="125"/>
  <c r="CC49" i="125"/>
  <c r="AE48" i="125"/>
  <c r="AO52" i="125"/>
  <c r="DB55" i="125"/>
  <c r="CM45" i="125"/>
  <c r="CH22" i="125"/>
  <c r="CR30" i="125"/>
  <c r="AJ31" i="125"/>
  <c r="CM42" i="125"/>
  <c r="AJ22" i="125"/>
  <c r="BN19" i="125"/>
  <c r="AJ14" i="125"/>
  <c r="CC17" i="125"/>
  <c r="CC15" i="125"/>
  <c r="BN17" i="125"/>
  <c r="CR22" i="125"/>
  <c r="AE9" i="125"/>
  <c r="AJ18" i="125"/>
  <c r="AT11" i="125"/>
  <c r="AY26" i="125"/>
  <c r="AE17" i="125"/>
  <c r="CH27" i="125"/>
  <c r="AT31" i="125"/>
  <c r="BI36" i="125"/>
  <c r="CM32" i="125"/>
  <c r="BS45" i="125"/>
  <c r="AY58" i="125"/>
  <c r="AT52" i="125"/>
  <c r="BN56" i="125"/>
  <c r="CC11" i="125"/>
  <c r="BX10" i="125"/>
  <c r="AY25" i="125"/>
  <c r="BX20" i="125"/>
  <c r="AY15" i="125"/>
  <c r="BX22" i="125"/>
  <c r="BN28" i="125"/>
  <c r="CH32" i="125"/>
  <c r="CR44" i="125"/>
  <c r="CH28" i="125"/>
  <c r="AY30" i="125"/>
  <c r="AE56" i="125"/>
  <c r="CH62" i="125"/>
  <c r="AE62" i="125"/>
  <c r="BI66" i="125"/>
  <c r="AE68" i="125"/>
  <c r="BX69" i="125"/>
  <c r="BS14" i="125"/>
  <c r="DB9" i="125"/>
  <c r="CW10" i="125"/>
  <c r="CM13" i="125"/>
  <c r="CR27" i="125"/>
  <c r="AJ17" i="125"/>
  <c r="BI25" i="125"/>
  <c r="DB26" i="125"/>
  <c r="BX29" i="125"/>
  <c r="CC42" i="125"/>
  <c r="BS43" i="125"/>
  <c r="AJ43" i="125"/>
  <c r="BS48" i="125"/>
  <c r="BI52" i="125"/>
  <c r="BI60" i="125"/>
  <c r="BS60" i="125"/>
  <c r="BS58" i="125"/>
  <c r="AT62" i="125"/>
  <c r="AJ66" i="125"/>
  <c r="DL14" i="125"/>
  <c r="BS20" i="125"/>
  <c r="DG10" i="125"/>
  <c r="AY24" i="125"/>
  <c r="AE16" i="125"/>
  <c r="BX14" i="125"/>
  <c r="AE18" i="125"/>
  <c r="CW28" i="125"/>
  <c r="CH29" i="125"/>
  <c r="DG59" i="125"/>
  <c r="AY29" i="125"/>
  <c r="CR28" i="125"/>
  <c r="CR47" i="125"/>
  <c r="CW9" i="125"/>
  <c r="BS10" i="125"/>
  <c r="DG21" i="125"/>
  <c r="BS15" i="125"/>
  <c r="DB13" i="125"/>
  <c r="AE45" i="125"/>
  <c r="BX16" i="125"/>
  <c r="AE27" i="125"/>
  <c r="AJ45" i="125"/>
  <c r="CH36" i="125"/>
  <c r="BX47" i="125"/>
  <c r="CH48" i="125"/>
  <c r="CH52" i="125"/>
  <c r="AT57" i="125"/>
  <c r="AO57" i="125"/>
  <c r="BI67" i="125"/>
  <c r="AE64" i="125"/>
  <c r="CW66" i="125"/>
  <c r="CW70" i="125"/>
  <c r="AE43" i="125"/>
  <c r="AJ51" i="125"/>
  <c r="CC62" i="125"/>
  <c r="CH64" i="125"/>
  <c r="CW68" i="125"/>
  <c r="DL65" i="125"/>
  <c r="AY59" i="125"/>
  <c r="BN59" i="125"/>
  <c r="DB66" i="125"/>
  <c r="CH69" i="125"/>
  <c r="BS21" i="125"/>
  <c r="CW42" i="125"/>
  <c r="AO60" i="125"/>
  <c r="AO68" i="125"/>
  <c r="DL62" i="125"/>
  <c r="BX19" i="125"/>
  <c r="CH24" i="125"/>
  <c r="AE44" i="125"/>
  <c r="AT60" i="125"/>
  <c r="AJ68" i="125"/>
  <c r="AT66" i="125"/>
  <c r="AY71" i="125"/>
  <c r="AY9" i="125"/>
  <c r="DB16" i="125"/>
  <c r="DB60" i="125"/>
  <c r="AE63" i="125"/>
  <c r="DG69" i="125"/>
  <c r="BX9" i="125"/>
  <c r="CM22" i="125"/>
  <c r="BI32" i="125"/>
  <c r="CW58" i="125"/>
  <c r="BS64" i="125"/>
  <c r="AO71" i="125"/>
  <c r="CC52" i="125"/>
  <c r="AY52" i="125"/>
  <c r="CR41" i="125"/>
  <c r="DL50" i="125"/>
  <c r="DG18" i="125"/>
  <c r="AT36" i="125"/>
  <c r="CH61" i="125"/>
  <c r="BD24" i="125"/>
  <c r="BS50" i="125"/>
  <c r="DL57" i="125"/>
  <c r="CR51" i="125"/>
  <c r="BN29" i="125"/>
  <c r="AJ21" i="125"/>
  <c r="BN69" i="125"/>
  <c r="BI59" i="125"/>
  <c r="CW12" i="125"/>
  <c r="BN55" i="125"/>
  <c r="BD19" i="125"/>
  <c r="BD65" i="125"/>
  <c r="AT46" i="125"/>
  <c r="AD92" i="125"/>
  <c r="BS57" i="125"/>
  <c r="CC20" i="125"/>
  <c r="DB41" i="125"/>
  <c r="BI58" i="125"/>
  <c r="BI45" i="125"/>
  <c r="BI18" i="125"/>
  <c r="CC67" i="125"/>
  <c r="BD28" i="125"/>
  <c r="AY55" i="125"/>
  <c r="BD18" i="125"/>
  <c r="BN50" i="125"/>
  <c r="AE41" i="125"/>
  <c r="CC39" i="125"/>
  <c r="CC38" i="125"/>
  <c r="CH49" i="125"/>
  <c r="BS22" i="125"/>
  <c r="AY13" i="125"/>
  <c r="CC18" i="125"/>
  <c r="DB43" i="125"/>
  <c r="CH11" i="125"/>
  <c r="CM31" i="125"/>
  <c r="CM52" i="125"/>
  <c r="CR11" i="125"/>
  <c r="CW27" i="125"/>
  <c r="CM55" i="125"/>
  <c r="CH9" i="125"/>
  <c r="AE20" i="125"/>
  <c r="AT59" i="125"/>
  <c r="DB14" i="125"/>
  <c r="DB57" i="125"/>
  <c r="AT71" i="125"/>
  <c r="CC10" i="125"/>
  <c r="CM26" i="125"/>
  <c r="AT14" i="125"/>
  <c r="BX17" i="125"/>
  <c r="AO14" i="125"/>
  <c r="CC55" i="125"/>
  <c r="CM38" i="125"/>
  <c r="CW47" i="125"/>
  <c r="BI43" i="125"/>
  <c r="AY35" i="125"/>
  <c r="AO39" i="125"/>
  <c r="BD42" i="125"/>
  <c r="AT8" i="125"/>
  <c r="CC35" i="125"/>
  <c r="AO40" i="125"/>
  <c r="AO23" i="125"/>
  <c r="CR13" i="125"/>
  <c r="DG15" i="125"/>
  <c r="CR42" i="125"/>
  <c r="CM11" i="125"/>
  <c r="AO44" i="125"/>
  <c r="CM61" i="125"/>
  <c r="DL11" i="125"/>
  <c r="CR31" i="125"/>
  <c r="DB51" i="125"/>
  <c r="AE10" i="125"/>
  <c r="BS30" i="125"/>
  <c r="AE11" i="125"/>
  <c r="BN18" i="125"/>
  <c r="CC47" i="125"/>
  <c r="AY69" i="125"/>
  <c r="CM58" i="125"/>
  <c r="CW55" i="125"/>
  <c r="AE52" i="125"/>
  <c r="CW25" i="125"/>
  <c r="CR48" i="125"/>
  <c r="AJ19" i="125"/>
  <c r="BX41" i="125"/>
  <c r="DB50" i="125"/>
  <c r="BD21" i="125"/>
  <c r="BI56" i="125"/>
  <c r="CR50" i="125"/>
  <c r="AY38" i="125"/>
  <c r="DL54" i="125"/>
  <c r="BS49" i="125"/>
  <c r="AE14" i="125"/>
  <c r="BN47" i="125"/>
  <c r="CR69" i="125"/>
  <c r="AO47" i="125"/>
  <c r="AJ29" i="125"/>
  <c r="CM12" i="125"/>
  <c r="BN30" i="125"/>
  <c r="AO48" i="125"/>
  <c r="CR26" i="125"/>
  <c r="CC28" i="125"/>
  <c r="BN64" i="125"/>
  <c r="AO9" i="125"/>
  <c r="AY46" i="125"/>
  <c r="AO56" i="125"/>
  <c r="AY12" i="125"/>
  <c r="DL31" i="125"/>
  <c r="BS12" i="125"/>
  <c r="AE28" i="125"/>
  <c r="AO59" i="125"/>
  <c r="DL43" i="125"/>
  <c r="AT51" i="125"/>
  <c r="CH56" i="125"/>
  <c r="BX61" i="125"/>
  <c r="CW52" i="125"/>
  <c r="CR60" i="125"/>
  <c r="BS42" i="125"/>
  <c r="CW50" i="125"/>
  <c r="BX8" i="125"/>
  <c r="BD47" i="125"/>
  <c r="BN51" i="125"/>
  <c r="AT19" i="125"/>
  <c r="AJ10" i="125"/>
  <c r="CW31" i="125"/>
  <c r="BD8" i="125"/>
  <c r="DL61" i="125"/>
  <c r="CH51" i="125"/>
  <c r="AO36" i="125"/>
  <c r="DG13" i="125"/>
  <c r="DL24" i="125"/>
  <c r="BX48" i="125"/>
  <c r="DB23" i="125"/>
  <c r="CM30" i="125"/>
  <c r="BS62" i="125"/>
  <c r="CH13" i="125"/>
  <c r="DL45" i="125"/>
  <c r="CR59" i="125"/>
  <c r="DB27" i="125"/>
  <c r="AO29" i="125"/>
  <c r="DL19" i="125"/>
  <c r="AE32" i="125"/>
  <c r="BI64" i="125"/>
  <c r="AJ56" i="125"/>
  <c r="AO65" i="125"/>
  <c r="AY63" i="125"/>
  <c r="BX62" i="125"/>
  <c r="AY64" i="125"/>
  <c r="AE66" i="125"/>
  <c r="BD22" i="125"/>
  <c r="CR36" i="125"/>
  <c r="BS35" i="125"/>
  <c r="AE70" i="125"/>
  <c r="DB45" i="125"/>
  <c r="DL10" i="125"/>
  <c r="CH63" i="125"/>
  <c r="CW64" i="125"/>
  <c r="AY41" i="125"/>
  <c r="AY39" i="125"/>
  <c r="AT54" i="125"/>
  <c r="CW61" i="125"/>
  <c r="BX49" i="125"/>
  <c r="BX42" i="125"/>
  <c r="BN22" i="125"/>
  <c r="CH15" i="125"/>
  <c r="AT56" i="125"/>
  <c r="CR16" i="125"/>
  <c r="DL32" i="125"/>
  <c r="AO70" i="125"/>
  <c r="CR18" i="125"/>
  <c r="AJ46" i="125"/>
  <c r="CM65" i="125"/>
  <c r="BI17" i="125"/>
  <c r="AY31" i="125"/>
  <c r="CW21" i="125"/>
  <c r="BN43" i="125"/>
  <c r="BX65" i="125"/>
  <c r="AY65" i="125"/>
  <c r="AJ65" i="125"/>
  <c r="DG67" i="125"/>
  <c r="AE69" i="125"/>
  <c r="CM69" i="125"/>
  <c r="CM68" i="125"/>
  <c r="BN33" i="125"/>
  <c r="CW44" i="125"/>
  <c r="BS8" i="125"/>
  <c r="AJ54" i="125"/>
  <c r="BS47" i="125"/>
  <c r="AT35" i="125"/>
  <c r="CR54" i="125"/>
  <c r="CC45" i="125"/>
  <c r="AY43" i="125"/>
  <c r="BX27" i="125"/>
  <c r="BI20" i="125"/>
  <c r="CM33" i="125"/>
  <c r="CW16" i="125"/>
  <c r="BI61" i="125"/>
  <c r="BS41" i="125"/>
  <c r="AY16" i="125"/>
  <c r="DL70" i="125"/>
  <c r="BD29" i="125"/>
  <c r="CR29" i="125"/>
  <c r="DG11" i="125"/>
  <c r="CH42" i="125"/>
  <c r="AT65" i="125"/>
  <c r="BN14" i="125"/>
  <c r="DG66" i="125"/>
  <c r="BS70" i="125"/>
  <c r="BD51" i="125"/>
  <c r="BN39" i="125"/>
  <c r="DB39" i="125"/>
  <c r="CR39" i="125"/>
  <c r="BD38" i="125"/>
  <c r="DG39" i="125"/>
  <c r="BD39" i="125"/>
  <c r="BC91" i="100"/>
  <c r="BC90" i="125"/>
  <c r="DB43" i="122"/>
  <c r="DB22" i="122"/>
  <c r="DB19" i="122"/>
  <c r="DB63" i="122"/>
  <c r="DB65" i="122"/>
  <c r="DB18" i="122"/>
  <c r="DB27" i="122"/>
  <c r="DB29" i="122"/>
  <c r="DB41" i="122"/>
  <c r="DB49" i="122"/>
  <c r="DB56" i="122"/>
  <c r="DB32" i="122"/>
  <c r="DB72" i="122"/>
  <c r="DB10" i="122"/>
  <c r="DB42" i="122"/>
  <c r="DB24" i="122"/>
  <c r="DB12" i="122"/>
  <c r="DB70" i="122"/>
  <c r="DB59" i="122"/>
  <c r="DB67" i="122"/>
  <c r="DB36" i="122"/>
  <c r="DB9" i="122"/>
  <c r="DB17" i="122"/>
  <c r="DB61" i="122"/>
  <c r="DB48" i="122"/>
  <c r="DB16" i="122"/>
  <c r="DB57" i="122"/>
  <c r="DB66" i="122"/>
  <c r="DB46" i="122"/>
  <c r="DB69" i="122"/>
  <c r="DB33" i="122"/>
  <c r="DB52" i="122"/>
  <c r="DB51" i="122"/>
  <c r="DB15" i="122"/>
  <c r="DB45" i="122"/>
  <c r="DB21" i="122"/>
  <c r="DB62" i="122"/>
  <c r="DB31" i="122"/>
  <c r="DB64" i="122"/>
  <c r="DB20" i="122"/>
  <c r="DB26" i="122"/>
  <c r="DB47" i="122"/>
  <c r="DB44" i="122"/>
  <c r="DB54" i="122"/>
  <c r="DB71" i="122"/>
  <c r="DB60" i="122"/>
  <c r="DB25" i="122"/>
  <c r="DB13" i="122"/>
  <c r="DB14" i="122"/>
  <c r="DB11" i="122"/>
  <c r="DB23" i="122"/>
  <c r="DB68" i="122"/>
  <c r="DB58" i="122"/>
  <c r="DB28" i="122"/>
  <c r="DB8" i="122"/>
  <c r="DB30" i="122"/>
  <c r="DB55" i="122"/>
  <c r="AI90" i="125"/>
  <c r="DA90" i="124"/>
  <c r="CC69" i="123"/>
  <c r="CC66" i="123"/>
  <c r="CH52" i="123"/>
  <c r="BX70" i="123"/>
  <c r="CH65" i="123"/>
  <c r="CH56" i="123"/>
  <c r="CM47" i="123"/>
  <c r="CM44" i="123"/>
  <c r="BX36" i="123"/>
  <c r="CM48" i="123"/>
  <c r="CC57" i="123"/>
  <c r="CC24" i="123"/>
  <c r="CH32" i="123"/>
  <c r="CH29" i="123"/>
  <c r="CW22" i="123"/>
  <c r="BX19" i="123"/>
  <c r="BX16" i="123"/>
  <c r="BX13" i="123"/>
  <c r="BX10" i="123"/>
  <c r="CC19" i="123"/>
  <c r="CC16" i="123"/>
  <c r="CR29" i="123"/>
  <c r="CC36" i="123"/>
  <c r="CH15" i="123"/>
  <c r="CR16" i="123"/>
  <c r="CW8" i="123"/>
  <c r="CC17" i="123"/>
  <c r="CC27" i="123"/>
  <c r="CM43" i="123"/>
  <c r="CR48" i="123"/>
  <c r="CC63" i="123"/>
  <c r="CR61" i="123"/>
  <c r="CR31" i="123"/>
  <c r="CH16" i="123"/>
  <c r="BX44" i="123"/>
  <c r="CR70" i="123"/>
  <c r="CR58" i="123"/>
  <c r="CM15" i="123"/>
  <c r="CW30" i="123"/>
  <c r="CC59" i="123"/>
  <c r="BX35" i="123"/>
  <c r="CH18" i="123"/>
  <c r="CW41" i="123"/>
  <c r="CC61" i="123"/>
  <c r="CC35" i="123"/>
  <c r="BX71" i="123"/>
  <c r="CW18" i="123"/>
  <c r="CH33" i="123"/>
  <c r="CM57" i="123"/>
  <c r="CR59" i="123"/>
  <c r="CH36" i="123"/>
  <c r="CM52" i="123"/>
  <c r="CM65" i="123"/>
  <c r="CM68" i="123"/>
  <c r="CC68" i="123"/>
  <c r="CH38" i="123"/>
  <c r="AN91" i="123"/>
  <c r="CC41" i="123"/>
  <c r="CR38" i="123"/>
  <c r="CR39" i="123"/>
  <c r="CM70" i="123"/>
  <c r="BX49" i="123"/>
  <c r="CW29" i="123"/>
  <c r="CH20" i="123"/>
  <c r="CM20" i="123"/>
  <c r="CM9" i="123"/>
  <c r="CH58" i="123"/>
  <c r="CH64" i="123"/>
  <c r="CR52" i="123"/>
  <c r="CR63" i="123"/>
  <c r="CC65" i="123"/>
  <c r="CM64" i="123"/>
  <c r="CW50" i="123"/>
  <c r="CW68" i="123"/>
  <c r="CC64" i="123"/>
  <c r="CM49" i="123"/>
  <c r="CM67" i="123"/>
  <c r="CM61" i="123"/>
  <c r="CH49" i="123"/>
  <c r="BX47" i="123"/>
  <c r="CH46" i="123"/>
  <c r="CM56" i="123"/>
  <c r="CC47" i="123"/>
  <c r="CR47" i="123"/>
  <c r="CC29" i="123"/>
  <c r="CM31" i="123"/>
  <c r="CR28" i="123"/>
  <c r="CW21" i="123"/>
  <c r="CM18" i="123"/>
  <c r="CR15" i="123"/>
  <c r="CR12" i="123"/>
  <c r="CR9" i="123"/>
  <c r="CM14" i="123"/>
  <c r="CW15" i="123"/>
  <c r="CC28" i="123"/>
  <c r="BX30" i="123"/>
  <c r="CH12" i="123"/>
  <c r="CR13" i="123"/>
  <c r="CW10" i="123"/>
  <c r="CM12" i="123"/>
  <c r="BX32" i="123"/>
  <c r="CR42" i="123"/>
  <c r="CH55" i="123"/>
  <c r="CC14" i="123"/>
  <c r="CR67" i="123"/>
  <c r="CH27" i="123"/>
  <c r="CW33" i="123"/>
  <c r="CC45" i="123"/>
  <c r="CR56" i="123"/>
  <c r="CM63" i="123"/>
  <c r="CC23" i="123"/>
  <c r="CR27" i="123"/>
  <c r="CM71" i="123"/>
  <c r="CW16" i="123"/>
  <c r="BX28" i="123"/>
  <c r="BX43" i="123"/>
  <c r="CC56" i="123"/>
  <c r="CR35" i="123"/>
  <c r="CR71" i="123"/>
  <c r="CH13" i="123"/>
  <c r="CW47" i="123"/>
  <c r="BX69" i="123"/>
  <c r="CW62" i="123"/>
  <c r="BX15" i="123"/>
  <c r="CC43" i="123"/>
  <c r="CW44" i="123"/>
  <c r="CR43" i="123"/>
  <c r="CM38" i="123"/>
  <c r="CR8" i="123"/>
  <c r="CH41" i="123"/>
  <c r="CC54" i="123"/>
  <c r="CC38" i="123"/>
  <c r="BX55" i="123"/>
  <c r="CW63" i="123"/>
  <c r="CR44" i="123"/>
  <c r="CW23" i="123"/>
  <c r="CR19" i="123"/>
  <c r="CH9" i="123"/>
  <c r="CR26" i="123"/>
  <c r="CH28" i="123"/>
  <c r="CW28" i="123"/>
  <c r="CC52" i="123"/>
  <c r="CC67" i="123"/>
  <c r="CM60" i="123"/>
  <c r="CM39" i="123"/>
  <c r="CW70" i="123"/>
  <c r="BX67" i="123"/>
  <c r="CW56" i="123"/>
  <c r="CW71" i="123"/>
  <c r="CR64" i="123"/>
  <c r="CR60" i="123"/>
  <c r="BX61" i="123"/>
  <c r="CR46" i="123"/>
  <c r="CC44" i="123"/>
  <c r="CW31" i="123"/>
  <c r="CW46" i="123"/>
  <c r="CH43" i="123"/>
  <c r="CR20" i="123"/>
  <c r="CW27" i="123"/>
  <c r="BX26" i="123"/>
  <c r="CH21" i="123"/>
  <c r="BX18" i="123"/>
  <c r="CC15" i="123"/>
  <c r="CC12" i="123"/>
  <c r="CC9" i="123"/>
  <c r="CR33" i="123"/>
  <c r="CC13" i="123"/>
  <c r="CM21" i="123"/>
  <c r="CH22" i="123"/>
  <c r="CM45" i="123"/>
  <c r="CR10" i="123"/>
  <c r="CR32" i="123"/>
  <c r="CH26" i="123"/>
  <c r="CW54" i="123"/>
  <c r="CH47" i="123"/>
  <c r="BX56" i="123"/>
  <c r="CM46" i="123"/>
  <c r="CC71" i="123"/>
  <c r="BX12" i="123"/>
  <c r="BX27" i="123"/>
  <c r="CR65" i="123"/>
  <c r="CH60" i="123"/>
  <c r="BX65" i="123"/>
  <c r="CC22" i="123"/>
  <c r="CR55" i="123"/>
  <c r="CH63" i="123"/>
  <c r="CM26" i="123"/>
  <c r="CH44" i="123"/>
  <c r="BX48" i="123"/>
  <c r="CR62" i="123"/>
  <c r="CW58" i="123"/>
  <c r="CH42" i="123"/>
  <c r="CC26" i="123"/>
  <c r="CW42" i="123"/>
  <c r="BX68" i="123"/>
  <c r="CH67" i="123"/>
  <c r="CR21" i="123"/>
  <c r="CW61" i="123"/>
  <c r="BX63" i="123"/>
  <c r="CR54" i="123"/>
  <c r="CM41" i="123"/>
  <c r="CM8" i="123"/>
  <c r="BX8" i="123"/>
  <c r="BX50" i="123"/>
  <c r="BX38" i="123"/>
  <c r="CM58" i="123"/>
  <c r="CW45" i="123"/>
  <c r="CW19" i="123"/>
  <c r="CH17" i="123"/>
  <c r="CC10" i="123"/>
  <c r="CC33" i="123"/>
  <c r="CW25" i="123"/>
  <c r="CW66" i="123"/>
  <c r="CM25" i="123"/>
  <c r="CR11" i="123"/>
  <c r="CR25" i="123"/>
  <c r="CR41" i="123"/>
  <c r="CC39" i="123"/>
  <c r="CH70" i="123"/>
  <c r="CR66" i="123"/>
  <c r="CM55" i="123"/>
  <c r="CW65" i="123"/>
  <c r="CC49" i="123"/>
  <c r="BX58" i="123"/>
  <c r="CC60" i="123"/>
  <c r="CC46" i="123"/>
  <c r="CW43" i="123"/>
  <c r="CH31" i="123"/>
  <c r="BX45" i="123"/>
  <c r="CC30" i="123"/>
  <c r="CC20" i="123"/>
  <c r="CW24" i="123"/>
  <c r="CC25" i="123"/>
  <c r="CW20" i="123"/>
  <c r="CW17" i="123"/>
  <c r="CW14" i="123"/>
  <c r="CW11" i="123"/>
  <c r="BX21" i="123"/>
  <c r="BX23" i="123"/>
  <c r="CW12" i="123"/>
  <c r="BX17" i="123"/>
  <c r="CM11" i="123"/>
  <c r="BX31" i="123"/>
  <c r="CM17" i="123"/>
  <c r="CC21" i="123"/>
  <c r="BX33" i="123"/>
  <c r="BX22" i="123"/>
  <c r="CW59" i="123"/>
  <c r="CH57" i="123"/>
  <c r="CM27" i="123"/>
  <c r="CH30" i="123"/>
  <c r="CR23" i="123"/>
  <c r="CM33" i="123"/>
  <c r="BX60" i="123"/>
  <c r="CH61" i="123"/>
  <c r="CH62" i="123"/>
  <c r="CH25" i="123"/>
  <c r="CH54" i="123"/>
  <c r="CM28" i="123"/>
  <c r="BX9" i="123"/>
  <c r="CR22" i="123"/>
  <c r="CH59" i="123"/>
  <c r="CC70" i="123"/>
  <c r="BX52" i="123"/>
  <c r="CR45" i="123"/>
  <c r="BX25" i="123"/>
  <c r="CW51" i="123"/>
  <c r="BX57" i="123"/>
  <c r="CW67" i="123"/>
  <c r="CW32" i="123"/>
  <c r="BX59" i="123"/>
  <c r="CM66" i="123"/>
  <c r="BX51" i="123"/>
  <c r="CH35" i="123"/>
  <c r="CM50" i="123"/>
  <c r="CM54" i="123"/>
  <c r="BX41" i="123"/>
  <c r="CH39" i="123"/>
  <c r="CM69" i="123"/>
  <c r="CR69" i="123"/>
  <c r="CM30" i="123"/>
  <c r="CH24" i="123"/>
  <c r="CH11" i="123"/>
  <c r="BX14" i="123"/>
  <c r="CW26" i="123"/>
  <c r="CC31" i="123"/>
  <c r="BX66" i="123"/>
  <c r="CC51" i="123"/>
  <c r="CC42" i="123"/>
  <c r="CW64" i="123"/>
  <c r="CW38" i="123"/>
  <c r="CH71" i="123"/>
  <c r="CH68" i="123"/>
  <c r="CW52" i="123"/>
  <c r="CR57" i="123"/>
  <c r="CW49" i="123"/>
  <c r="BX62" i="123"/>
  <c r="CW48" i="123"/>
  <c r="CH45" i="123"/>
  <c r="CM36" i="123"/>
  <c r="CR49" i="123"/>
  <c r="CM42" i="123"/>
  <c r="CR24" i="123"/>
  <c r="CH19" i="123"/>
  <c r="CR36" i="123"/>
  <c r="CH23" i="123"/>
  <c r="CM19" i="123"/>
  <c r="CM16" i="123"/>
  <c r="CM13" i="123"/>
  <c r="CM10" i="123"/>
  <c r="CW9" i="123"/>
  <c r="CC18" i="123"/>
  <c r="CR30" i="123"/>
  <c r="BX11" i="123"/>
  <c r="BX20" i="123"/>
  <c r="CR18" i="123"/>
  <c r="CR17" i="123"/>
  <c r="CC11" i="123"/>
  <c r="CC55" i="123"/>
  <c r="CM35" i="123"/>
  <c r="CW55" i="123"/>
  <c r="CC62" i="123"/>
  <c r="CR51" i="123"/>
  <c r="BX24" i="123"/>
  <c r="CH10" i="123"/>
  <c r="BX46" i="123"/>
  <c r="CC58" i="123"/>
  <c r="CH69" i="123"/>
  <c r="CM24" i="123"/>
  <c r="CW36" i="123"/>
  <c r="CC48" i="123"/>
  <c r="CR14" i="123"/>
  <c r="BX29" i="123"/>
  <c r="CC32" i="123"/>
  <c r="CH66" i="123"/>
  <c r="CM32" i="123"/>
  <c r="CM59" i="123"/>
  <c r="CW13" i="123"/>
  <c r="CH48" i="123"/>
  <c r="CM51" i="123"/>
  <c r="CW57" i="123"/>
  <c r="CM22" i="123"/>
  <c r="CM29" i="123"/>
  <c r="CH51" i="123"/>
  <c r="CM62" i="123"/>
  <c r="CR68" i="123"/>
  <c r="CH50" i="123"/>
  <c r="CC8" i="123"/>
  <c r="CR50" i="123"/>
  <c r="BX54" i="123"/>
  <c r="CW39" i="123"/>
  <c r="BX39" i="123"/>
  <c r="BX42" i="123"/>
  <c r="CH14" i="123"/>
  <c r="CM23" i="123"/>
  <c r="CW60" i="123"/>
  <c r="CW69" i="123"/>
  <c r="CW35" i="123"/>
  <c r="BX64" i="123"/>
  <c r="CH8" i="123"/>
  <c r="CC50" i="123"/>
  <c r="DQ8" i="125"/>
  <c r="DQ28" i="125"/>
  <c r="DQ46" i="125"/>
  <c r="DQ62" i="125"/>
  <c r="DQ66" i="125"/>
  <c r="DQ47" i="125"/>
  <c r="DQ61" i="125"/>
  <c r="DQ45" i="125"/>
  <c r="DQ72" i="125"/>
  <c r="DQ64" i="125"/>
  <c r="DQ30" i="125"/>
  <c r="DQ58" i="125"/>
  <c r="DQ32" i="125"/>
  <c r="DQ25" i="125"/>
  <c r="DQ44" i="125"/>
  <c r="DQ18" i="125"/>
  <c r="DQ52" i="125"/>
  <c r="DQ63" i="125"/>
  <c r="DQ33" i="125"/>
  <c r="DQ29" i="125"/>
  <c r="DQ19" i="125"/>
  <c r="DQ49" i="125"/>
  <c r="DQ14" i="125"/>
  <c r="DQ17" i="125"/>
  <c r="DQ71" i="125"/>
  <c r="DQ16" i="125"/>
  <c r="DQ11" i="125"/>
  <c r="DQ41" i="125"/>
  <c r="DQ26" i="125"/>
  <c r="DQ15" i="125"/>
  <c r="DQ36" i="125"/>
  <c r="DQ42" i="125"/>
  <c r="DP91" i="125"/>
  <c r="DQ31" i="125"/>
  <c r="DQ9" i="125"/>
  <c r="DQ13" i="125"/>
  <c r="DQ60" i="125"/>
  <c r="DQ48" i="125"/>
  <c r="DQ57" i="125"/>
  <c r="DQ54" i="125"/>
  <c r="DQ24" i="125"/>
  <c r="DQ56" i="125"/>
  <c r="DQ10" i="125"/>
  <c r="DQ55" i="125"/>
  <c r="DQ69" i="125"/>
  <c r="DQ67" i="125"/>
  <c r="DQ20" i="125"/>
  <c r="DQ43" i="125"/>
  <c r="DQ68" i="125"/>
  <c r="DQ65" i="125"/>
  <c r="DQ51" i="125"/>
  <c r="DQ27" i="125"/>
  <c r="DQ59" i="125"/>
  <c r="DQ21" i="125"/>
  <c r="DQ12" i="125"/>
  <c r="DQ70" i="125"/>
  <c r="CR54" i="129"/>
  <c r="CR58" i="129"/>
  <c r="CR47" i="129"/>
  <c r="CR30" i="129"/>
  <c r="CR17" i="129"/>
  <c r="CR21" i="129"/>
  <c r="CR65" i="129"/>
  <c r="CR55" i="129"/>
  <c r="CR42" i="129"/>
  <c r="CR67" i="129"/>
  <c r="CR10" i="129"/>
  <c r="CR36" i="129"/>
  <c r="CR19" i="129"/>
  <c r="CR20" i="129"/>
  <c r="CR59" i="129"/>
  <c r="CR8" i="129"/>
  <c r="CR61" i="129"/>
  <c r="CR31" i="129"/>
  <c r="CR33" i="129"/>
  <c r="CR29" i="129"/>
  <c r="CR63" i="129"/>
  <c r="CR25" i="129"/>
  <c r="CR68" i="129"/>
  <c r="CR56" i="129"/>
  <c r="CQ92" i="129"/>
  <c r="CR66" i="129"/>
  <c r="CR45" i="129"/>
  <c r="CR71" i="129"/>
  <c r="CR13" i="129"/>
  <c r="CR70" i="129"/>
  <c r="CR46" i="129"/>
  <c r="CR49" i="129"/>
  <c r="CR11" i="129"/>
  <c r="CR57" i="129"/>
  <c r="CR28" i="129"/>
  <c r="CR43" i="129"/>
  <c r="CR64" i="129"/>
  <c r="CR9" i="129"/>
  <c r="CR24" i="129"/>
  <c r="CR41" i="129"/>
  <c r="CR27" i="129"/>
  <c r="CR12" i="129"/>
  <c r="CR72" i="129"/>
  <c r="CR69" i="129"/>
  <c r="CR16" i="129"/>
  <c r="CR15" i="129"/>
  <c r="CR18" i="129"/>
  <c r="CR60" i="129"/>
  <c r="CR48" i="129"/>
  <c r="CR62" i="129"/>
  <c r="CR32" i="129"/>
  <c r="CR14" i="129"/>
  <c r="CR52" i="129"/>
  <c r="CR44" i="129"/>
  <c r="CR26" i="129"/>
  <c r="CR51" i="129"/>
  <c r="DQ8" i="100"/>
  <c r="DQ49" i="100"/>
  <c r="DQ42" i="100"/>
  <c r="DQ47" i="100"/>
  <c r="DQ64" i="100"/>
  <c r="DQ57" i="100"/>
  <c r="DQ14" i="100"/>
  <c r="DQ69" i="100"/>
  <c r="DQ45" i="100"/>
  <c r="DQ9" i="100"/>
  <c r="DQ21" i="100"/>
  <c r="DQ41" i="100"/>
  <c r="DQ58" i="100"/>
  <c r="DQ30" i="100"/>
  <c r="DQ59" i="100"/>
  <c r="DQ70" i="100"/>
  <c r="DQ31" i="100"/>
  <c r="DQ43" i="100"/>
  <c r="DQ71" i="100"/>
  <c r="DQ32" i="100"/>
  <c r="DQ36" i="100"/>
  <c r="DQ55" i="100"/>
  <c r="DQ46" i="100"/>
  <c r="DQ72" i="100"/>
  <c r="DQ56" i="100"/>
  <c r="DQ12" i="100"/>
  <c r="DQ11" i="100"/>
  <c r="DQ17" i="100"/>
  <c r="DQ51" i="100"/>
  <c r="DQ18" i="100"/>
  <c r="DQ68" i="100"/>
  <c r="DQ25" i="100"/>
  <c r="DP92" i="100"/>
  <c r="DQ20" i="100"/>
  <c r="DQ33" i="100"/>
  <c r="DQ65" i="100"/>
  <c r="DQ61" i="100"/>
  <c r="DQ13" i="100"/>
  <c r="DQ19" i="100"/>
  <c r="DQ16" i="100"/>
  <c r="DQ66" i="100"/>
  <c r="DQ29" i="100"/>
  <c r="DQ10" i="100"/>
  <c r="DQ28" i="100"/>
  <c r="DQ63" i="100"/>
  <c r="DQ48" i="100"/>
  <c r="DQ52" i="100"/>
  <c r="DQ62" i="100"/>
  <c r="DQ44" i="100"/>
  <c r="DQ24" i="100"/>
  <c r="DQ27" i="100"/>
  <c r="DQ67" i="100"/>
  <c r="DQ15" i="100"/>
  <c r="DQ60" i="100"/>
  <c r="DQ26" i="100"/>
  <c r="DQ54" i="100"/>
  <c r="AI87" i="82"/>
  <c r="AJ87" i="82" s="1"/>
  <c r="AJ86" i="82"/>
  <c r="CM68" i="124"/>
  <c r="BX47" i="124"/>
  <c r="CM64" i="124"/>
  <c r="CW61" i="124"/>
  <c r="CM66" i="124"/>
  <c r="CM57" i="124"/>
  <c r="CR63" i="124"/>
  <c r="CC52" i="124"/>
  <c r="CR35" i="124"/>
  <c r="CH24" i="124"/>
  <c r="CC21" i="124"/>
  <c r="CW55" i="124"/>
  <c r="CC65" i="124"/>
  <c r="CC30" i="124"/>
  <c r="CR57" i="124"/>
  <c r="BX26" i="124"/>
  <c r="CH33" i="124"/>
  <c r="CR20" i="124"/>
  <c r="BX55" i="124"/>
  <c r="CC25" i="124"/>
  <c r="CW14" i="124"/>
  <c r="BX14" i="124"/>
  <c r="CH29" i="124"/>
  <c r="CC13" i="124"/>
  <c r="BX10" i="124"/>
  <c r="CW9" i="124"/>
  <c r="CM19" i="124"/>
  <c r="CW36" i="124"/>
  <c r="BX45" i="124"/>
  <c r="CC58" i="124"/>
  <c r="CW69" i="124"/>
  <c r="CH13" i="124"/>
  <c r="CW15" i="124"/>
  <c r="CW27" i="124"/>
  <c r="CC17" i="124"/>
  <c r="CC47" i="124"/>
  <c r="CM50" i="124"/>
  <c r="CW16" i="124"/>
  <c r="BX25" i="124"/>
  <c r="BX8" i="124"/>
  <c r="CH45" i="124"/>
  <c r="CR19" i="124"/>
  <c r="CR48" i="124"/>
  <c r="BX68" i="124"/>
  <c r="CR64" i="124"/>
  <c r="CM46" i="124"/>
  <c r="CC31" i="124"/>
  <c r="CW60" i="124"/>
  <c r="CW12" i="124"/>
  <c r="BX35" i="124"/>
  <c r="CR70" i="124"/>
  <c r="CW66" i="124"/>
  <c r="CH66" i="124"/>
  <c r="CH27" i="124"/>
  <c r="CC69" i="124"/>
  <c r="CM52" i="124"/>
  <c r="CC41" i="124"/>
  <c r="CH8" i="124"/>
  <c r="CM8" i="124"/>
  <c r="CC38" i="124"/>
  <c r="CC39" i="124"/>
  <c r="CH62" i="124"/>
  <c r="CW44" i="124"/>
  <c r="CR42" i="124"/>
  <c r="CC29" i="124"/>
  <c r="BX16" i="124"/>
  <c r="CR58" i="124"/>
  <c r="CR44" i="124"/>
  <c r="CC43" i="124"/>
  <c r="CM35" i="124"/>
  <c r="CH42" i="124"/>
  <c r="AN91" i="124"/>
  <c r="CR67" i="124"/>
  <c r="CH49" i="124"/>
  <c r="CM63" i="124"/>
  <c r="CC60" i="124"/>
  <c r="CH64" i="124"/>
  <c r="CH55" i="124"/>
  <c r="CR62" i="124"/>
  <c r="BX51" i="124"/>
  <c r="CW28" i="124"/>
  <c r="CW23" i="124"/>
  <c r="CW20" i="124"/>
  <c r="CW52" i="124"/>
  <c r="CM55" i="124"/>
  <c r="CW29" i="124"/>
  <c r="CM51" i="124"/>
  <c r="CR25" i="124"/>
  <c r="CM31" i="124"/>
  <c r="BX19" i="124"/>
  <c r="CM43" i="124"/>
  <c r="BX21" i="124"/>
  <c r="CM32" i="124"/>
  <c r="CC16" i="124"/>
  <c r="CR28" i="124"/>
  <c r="CR32" i="124"/>
  <c r="CM9" i="124"/>
  <c r="BX12" i="124"/>
  <c r="CR11" i="124"/>
  <c r="CM44" i="124"/>
  <c r="CC64" i="124"/>
  <c r="CM71" i="124"/>
  <c r="BX71" i="124"/>
  <c r="BX29" i="124"/>
  <c r="CM18" i="124"/>
  <c r="CC33" i="124"/>
  <c r="CM23" i="124"/>
  <c r="CR45" i="124"/>
  <c r="CH67" i="124"/>
  <c r="CH21" i="124"/>
  <c r="BX24" i="124"/>
  <c r="CM13" i="124"/>
  <c r="CC10" i="124"/>
  <c r="CC19" i="124"/>
  <c r="CW46" i="124"/>
  <c r="CW71" i="124"/>
  <c r="CR12" i="124"/>
  <c r="CH68" i="124"/>
  <c r="CM17" i="124"/>
  <c r="CC70" i="124"/>
  <c r="CH10" i="124"/>
  <c r="CW57" i="124"/>
  <c r="CR69" i="124"/>
  <c r="CW45" i="124"/>
  <c r="BX69" i="124"/>
  <c r="CH69" i="124"/>
  <c r="BX70" i="124"/>
  <c r="CH60" i="124"/>
  <c r="CH54" i="124"/>
  <c r="BX41" i="124"/>
  <c r="CW38" i="124"/>
  <c r="BX38" i="124"/>
  <c r="CM47" i="124"/>
  <c r="CW65" i="124"/>
  <c r="CR21" i="124"/>
  <c r="CR29" i="124"/>
  <c r="CH11" i="124"/>
  <c r="CH32" i="124"/>
  <c r="CM11" i="124"/>
  <c r="CW13" i="124"/>
  <c r="CH43" i="124"/>
  <c r="CM20" i="124"/>
  <c r="CM15" i="124"/>
  <c r="BX23" i="124"/>
  <c r="CM59" i="124"/>
  <c r="CR38" i="124"/>
  <c r="CW50" i="124"/>
  <c r="CC49" i="124"/>
  <c r="CH61" i="124"/>
  <c r="CC59" i="124"/>
  <c r="CW62" i="124"/>
  <c r="CH52" i="124"/>
  <c r="CM61" i="124"/>
  <c r="BX63" i="124"/>
  <c r="CH28" i="124"/>
  <c r="CH23" i="124"/>
  <c r="CC66" i="124"/>
  <c r="CC63" i="124"/>
  <c r="CM36" i="124"/>
  <c r="CC26" i="124"/>
  <c r="CC35" i="124"/>
  <c r="CW64" i="124"/>
  <c r="CM30" i="124"/>
  <c r="CH65" i="124"/>
  <c r="CR36" i="124"/>
  <c r="BX18" i="124"/>
  <c r="BX27" i="124"/>
  <c r="CW17" i="124"/>
  <c r="CH25" i="124"/>
  <c r="CH31" i="124"/>
  <c r="CH12" i="124"/>
  <c r="BX22" i="124"/>
  <c r="CC23" i="124"/>
  <c r="CH16" i="124"/>
  <c r="CC61" i="124"/>
  <c r="CH70" i="124"/>
  <c r="CC9" i="124"/>
  <c r="CW22" i="124"/>
  <c r="CC42" i="124"/>
  <c r="CR24" i="124"/>
  <c r="CW30" i="124"/>
  <c r="CW63" i="124"/>
  <c r="CM62" i="124"/>
  <c r="CH26" i="124"/>
  <c r="BX42" i="124"/>
  <c r="CR14" i="124"/>
  <c r="BX9" i="124"/>
  <c r="CH36" i="124"/>
  <c r="CH48" i="124"/>
  <c r="CM10" i="124"/>
  <c r="CR18" i="124"/>
  <c r="CM24" i="124"/>
  <c r="CR43" i="124"/>
  <c r="CM69" i="124"/>
  <c r="CC14" i="124"/>
  <c r="CC51" i="124"/>
  <c r="CM12" i="124"/>
  <c r="CH57" i="124"/>
  <c r="CW68" i="124"/>
  <c r="BX46" i="124"/>
  <c r="BX52" i="124"/>
  <c r="CM38" i="124"/>
  <c r="CR54" i="124"/>
  <c r="CC54" i="124"/>
  <c r="CW8" i="124"/>
  <c r="CM39" i="124"/>
  <c r="CM58" i="124"/>
  <c r="CC45" i="124"/>
  <c r="CM21" i="124"/>
  <c r="BX17" i="124"/>
  <c r="CH17" i="124"/>
  <c r="BX44" i="124"/>
  <c r="CH14" i="124"/>
  <c r="CM29" i="124"/>
  <c r="CR46" i="124"/>
  <c r="CM56" i="124"/>
  <c r="CH71" i="124"/>
  <c r="CM65" i="124"/>
  <c r="CC8" i="124"/>
  <c r="CH50" i="124"/>
  <c r="CW49" i="124"/>
  <c r="CW59" i="124"/>
  <c r="BX58" i="124"/>
  <c r="CR60" i="124"/>
  <c r="CW51" i="124"/>
  <c r="CM60" i="124"/>
  <c r="CH56" i="124"/>
  <c r="CR27" i="124"/>
  <c r="CR22" i="124"/>
  <c r="CC62" i="124"/>
  <c r="CW58" i="124"/>
  <c r="BX33" i="124"/>
  <c r="CW25" i="124"/>
  <c r="BX31" i="124"/>
  <c r="BX64" i="124"/>
  <c r="CC28" i="124"/>
  <c r="BX61" i="124"/>
  <c r="CW33" i="124"/>
  <c r="BX13" i="124"/>
  <c r="CH15" i="124"/>
  <c r="CR9" i="124"/>
  <c r="CW19" i="124"/>
  <c r="CR30" i="124"/>
  <c r="BX15" i="124"/>
  <c r="CH30" i="124"/>
  <c r="CH9" i="124"/>
  <c r="CH22" i="124"/>
  <c r="CW47" i="124"/>
  <c r="CR71" i="124"/>
  <c r="CC20" i="124"/>
  <c r="BX59" i="124"/>
  <c r="CR10" i="124"/>
  <c r="CM42" i="124"/>
  <c r="BX62" i="124"/>
  <c r="CH47" i="124"/>
  <c r="CC68" i="124"/>
  <c r="CR13" i="124"/>
  <c r="CH46" i="124"/>
  <c r="CR16" i="124"/>
  <c r="CW32" i="124"/>
  <c r="CW26" i="124"/>
  <c r="CC44" i="124"/>
  <c r="CM22" i="124"/>
  <c r="CM14" i="124"/>
  <c r="BX43" i="124"/>
  <c r="CM45" i="124"/>
  <c r="CW42" i="124"/>
  <c r="CM25" i="124"/>
  <c r="BX48" i="124"/>
  <c r="CW10" i="124"/>
  <c r="CH63" i="124"/>
  <c r="CW21" i="124"/>
  <c r="BX50" i="124"/>
  <c r="CW43" i="124"/>
  <c r="BX54" i="124"/>
  <c r="CM54" i="124"/>
  <c r="CM41" i="124"/>
  <c r="CR8" i="124"/>
  <c r="CW39" i="124"/>
  <c r="CH51" i="124"/>
  <c r="CW24" i="124"/>
  <c r="CW31" i="124"/>
  <c r="CR56" i="124"/>
  <c r="CM33" i="124"/>
  <c r="BX67" i="124"/>
  <c r="CC71" i="124"/>
  <c r="CR68" i="124"/>
  <c r="CM48" i="124"/>
  <c r="CW48" i="124"/>
  <c r="CM67" i="124"/>
  <c r="CW54" i="124"/>
  <c r="BX39" i="124"/>
  <c r="CM49" i="124"/>
  <c r="CR66" i="124"/>
  <c r="BX66" i="124"/>
  <c r="BX57" i="124"/>
  <c r="CR59" i="124"/>
  <c r="CR49" i="124"/>
  <c r="CH58" i="124"/>
  <c r="BX49" i="124"/>
  <c r="CC27" i="124"/>
  <c r="CC22" i="124"/>
  <c r="CC57" i="124"/>
  <c r="CR52" i="124"/>
  <c r="BX32" i="124"/>
  <c r="CH20" i="124"/>
  <c r="BX30" i="124"/>
  <c r="CH59" i="124"/>
  <c r="CM26" i="124"/>
  <c r="BX60" i="124"/>
  <c r="CC32" i="124"/>
  <c r="CC12" i="124"/>
  <c r="CM27" i="124"/>
  <c r="BX36" i="124"/>
  <c r="CC18" i="124"/>
  <c r="CR26" i="124"/>
  <c r="CR17" i="124"/>
  <c r="CC11" i="124"/>
  <c r="CW41" i="124"/>
  <c r="CR61" i="124"/>
  <c r="CC50" i="124"/>
  <c r="CW70" i="124"/>
  <c r="CW35" i="124"/>
  <c r="CR15" i="124"/>
  <c r="CH35" i="124"/>
  <c r="CR31" i="124"/>
  <c r="CM70" i="124"/>
  <c r="CC55" i="124"/>
  <c r="CW11" i="124"/>
  <c r="BX20" i="124"/>
  <c r="CC48" i="124"/>
  <c r="CC24" i="124"/>
  <c r="CH44" i="124"/>
  <c r="CR33" i="124"/>
  <c r="CW67" i="124"/>
  <c r="CH19" i="124"/>
  <c r="CH18" i="124"/>
  <c r="CC67" i="124"/>
  <c r="CR50" i="124"/>
  <c r="CR51" i="124"/>
  <c r="CW18" i="124"/>
  <c r="BX65" i="124"/>
  <c r="CR23" i="124"/>
  <c r="BX56" i="124"/>
  <c r="CM28" i="124"/>
  <c r="CR47" i="124"/>
  <c r="CC46" i="124"/>
  <c r="CH38" i="124"/>
  <c r="CH41" i="124"/>
  <c r="CR41" i="124"/>
  <c r="CH39" i="124"/>
  <c r="CR39" i="124"/>
  <c r="CR65" i="124"/>
  <c r="CW56" i="124"/>
  <c r="CC56" i="124"/>
  <c r="CC36" i="124"/>
  <c r="CC15" i="124"/>
  <c r="BX28" i="124"/>
  <c r="CM16" i="124"/>
  <c r="CR55" i="124"/>
  <c r="BX11" i="124"/>
  <c r="BC77" i="125"/>
  <c r="BE77" i="125" s="1"/>
  <c r="BC89" i="125"/>
  <c r="BC91" i="125" s="1"/>
  <c r="CW38" i="122"/>
  <c r="CR39" i="122"/>
  <c r="BX39" i="122"/>
  <c r="CC39" i="122"/>
  <c r="CH39" i="122"/>
  <c r="CC70" i="122"/>
  <c r="CC67" i="122"/>
  <c r="CH63" i="122"/>
  <c r="CH60" i="122"/>
  <c r="CH57" i="122"/>
  <c r="CR64" i="122"/>
  <c r="CH61" i="122"/>
  <c r="CH58" i="122"/>
  <c r="CH55" i="122"/>
  <c r="CM48" i="122"/>
  <c r="CM45" i="122"/>
  <c r="CR46" i="122"/>
  <c r="BX46" i="122"/>
  <c r="CH59" i="122"/>
  <c r="CM42" i="122"/>
  <c r="CR57" i="122"/>
  <c r="CW32" i="122"/>
  <c r="CW48" i="122"/>
  <c r="CM30" i="122"/>
  <c r="CH17" i="122"/>
  <c r="CC27" i="122"/>
  <c r="CH22" i="122"/>
  <c r="CC36" i="122"/>
  <c r="CC16" i="122"/>
  <c r="CM29" i="122"/>
  <c r="CC18" i="122"/>
  <c r="CH12" i="122"/>
  <c r="CC13" i="122"/>
  <c r="CR8" i="122"/>
  <c r="CM12" i="122"/>
  <c r="CH42" i="122"/>
  <c r="CW65" i="122"/>
  <c r="CC9" i="122"/>
  <c r="BX20" i="122"/>
  <c r="CW71" i="122"/>
  <c r="BX18" i="122"/>
  <c r="BX15" i="122"/>
  <c r="CH45" i="122"/>
  <c r="CW64" i="122"/>
  <c r="BX23" i="122"/>
  <c r="CC28" i="122"/>
  <c r="CW20" i="122"/>
  <c r="CW26" i="122"/>
  <c r="CR30" i="122"/>
  <c r="CC15" i="122"/>
  <c r="BX50" i="122"/>
  <c r="CM9" i="122"/>
  <c r="CW62" i="122"/>
  <c r="CM15" i="122"/>
  <c r="CH18" i="122"/>
  <c r="CC22" i="122"/>
  <c r="BX27" i="122"/>
  <c r="BX24" i="122"/>
  <c r="CM32" i="122"/>
  <c r="CR69" i="122"/>
  <c r="BX67" i="122"/>
  <c r="CM38" i="122"/>
  <c r="CW8" i="122"/>
  <c r="CW35" i="122"/>
  <c r="CW69" i="122"/>
  <c r="CW66" i="122"/>
  <c r="CM62" i="122"/>
  <c r="CM59" i="122"/>
  <c r="CM56" i="122"/>
  <c r="CM63" i="122"/>
  <c r="CM60" i="122"/>
  <c r="CM57" i="122"/>
  <c r="CR52" i="122"/>
  <c r="BX48" i="122"/>
  <c r="BX45" i="122"/>
  <c r="CC64" i="122"/>
  <c r="CR45" i="122"/>
  <c r="CW56" i="122"/>
  <c r="BX42" i="122"/>
  <c r="CH48" i="122"/>
  <c r="CH32" i="122"/>
  <c r="CC46" i="122"/>
  <c r="BX30" i="122"/>
  <c r="CR15" i="122"/>
  <c r="CR24" i="122"/>
  <c r="CW21" i="122"/>
  <c r="CH30" i="122"/>
  <c r="CW15" i="122"/>
  <c r="CM19" i="122"/>
  <c r="CW9" i="122"/>
  <c r="CC10" i="122"/>
  <c r="CW12" i="122"/>
  <c r="CC8" i="122"/>
  <c r="CC17" i="122"/>
  <c r="CH27" i="122"/>
  <c r="BX64" i="122"/>
  <c r="CC23" i="122"/>
  <c r="BX51" i="122"/>
  <c r="CC69" i="122"/>
  <c r="BX28" i="122"/>
  <c r="CW11" i="122"/>
  <c r="CW59" i="122"/>
  <c r="CM65" i="122"/>
  <c r="CW36" i="122"/>
  <c r="BX35" i="122"/>
  <c r="BX25" i="122"/>
  <c r="CH13" i="122"/>
  <c r="CW42" i="122"/>
  <c r="CH19" i="122"/>
  <c r="CM70" i="122"/>
  <c r="CR17" i="122"/>
  <c r="CM41" i="122"/>
  <c r="CM24" i="122"/>
  <c r="CM21" i="122"/>
  <c r="CR11" i="122"/>
  <c r="CC19" i="122"/>
  <c r="CR26" i="122"/>
  <c r="CR41" i="122"/>
  <c r="CH50" i="122"/>
  <c r="CM25" i="122"/>
  <c r="CM8" i="122"/>
  <c r="CR54" i="122"/>
  <c r="CH38" i="122"/>
  <c r="CM39" i="122"/>
  <c r="CH69" i="122"/>
  <c r="CH66" i="122"/>
  <c r="BX62" i="122"/>
  <c r="BX59" i="122"/>
  <c r="BX56" i="122"/>
  <c r="BX63" i="122"/>
  <c r="BX60" i="122"/>
  <c r="BX57" i="122"/>
  <c r="CC52" i="122"/>
  <c r="CR47" i="122"/>
  <c r="CR44" i="122"/>
  <c r="CR60" i="122"/>
  <c r="BX44" i="122"/>
  <c r="BX55" i="122"/>
  <c r="CC50" i="122"/>
  <c r="CC60" i="122"/>
  <c r="CR31" i="122"/>
  <c r="CC43" i="122"/>
  <c r="CR51" i="122"/>
  <c r="CW14" i="122"/>
  <c r="CC24" i="122"/>
  <c r="CH21" i="122"/>
  <c r="CM55" i="122"/>
  <c r="BX14" i="122"/>
  <c r="CM17" i="122"/>
  <c r="BX29" i="122"/>
  <c r="CH62" i="122"/>
  <c r="BX11" i="122"/>
  <c r="CC26" i="122"/>
  <c r="CC29" i="122"/>
  <c r="BX36" i="122"/>
  <c r="CH56" i="122"/>
  <c r="CC57" i="122"/>
  <c r="CR12" i="122"/>
  <c r="CH20" i="122"/>
  <c r="BX9" i="122"/>
  <c r="CM16" i="122"/>
  <c r="CR63" i="122"/>
  <c r="CC66" i="122"/>
  <c r="CM13" i="122"/>
  <c r="CC45" i="122"/>
  <c r="CC11" i="122"/>
  <c r="CH26" i="122"/>
  <c r="CM22" i="122"/>
  <c r="CM35" i="122"/>
  <c r="CR68" i="122"/>
  <c r="BX33" i="122"/>
  <c r="CH67" i="122"/>
  <c r="CR27" i="122"/>
  <c r="CH36" i="122"/>
  <c r="CH16" i="122"/>
  <c r="CH28" i="122"/>
  <c r="CH33" i="122"/>
  <c r="CH47" i="122"/>
  <c r="CW67" i="122"/>
  <c r="CW47" i="122"/>
  <c r="CH8" i="122"/>
  <c r="CW41" i="122"/>
  <c r="CH41" i="122"/>
  <c r="CM71" i="122"/>
  <c r="CM68" i="122"/>
  <c r="CR49" i="122"/>
  <c r="CR61" i="122"/>
  <c r="CR58" i="122"/>
  <c r="CR55" i="122"/>
  <c r="CR62" i="122"/>
  <c r="CR59" i="122"/>
  <c r="CR56" i="122"/>
  <c r="CW51" i="122"/>
  <c r="CC47" i="122"/>
  <c r="CC44" i="122"/>
  <c r="CM51" i="122"/>
  <c r="CM43" i="122"/>
  <c r="CH52" i="122"/>
  <c r="CM49" i="122"/>
  <c r="CW45" i="122"/>
  <c r="CC31" i="122"/>
  <c r="BX32" i="122"/>
  <c r="BX49" i="122"/>
  <c r="CH14" i="122"/>
  <c r="CW23" i="122"/>
  <c r="BX52" i="122"/>
  <c r="CC49" i="122"/>
  <c r="CR13" i="122"/>
  <c r="CH15" i="122"/>
  <c r="BX17" i="122"/>
  <c r="CC25" i="122"/>
  <c r="BX26" i="122"/>
  <c r="AN91" i="122"/>
  <c r="CH24" i="122"/>
  <c r="CH44" i="122"/>
  <c r="CC68" i="122"/>
  <c r="BX65" i="122"/>
  <c r="CM28" i="122"/>
  <c r="CM20" i="122"/>
  <c r="CW19" i="122"/>
  <c r="CM10" i="122"/>
  <c r="BX61" i="122"/>
  <c r="CC65" i="122"/>
  <c r="CH25" i="122"/>
  <c r="CC71" i="122"/>
  <c r="CW52" i="122"/>
  <c r="CH35" i="122"/>
  <c r="CW24" i="122"/>
  <c r="CR35" i="122"/>
  <c r="CH71" i="122"/>
  <c r="CC41" i="122"/>
  <c r="CM67" i="122"/>
  <c r="CW18" i="122"/>
  <c r="CM54" i="122"/>
  <c r="BX22" i="122"/>
  <c r="BX21" i="122"/>
  <c r="CR28" i="122"/>
  <c r="CC42" i="122"/>
  <c r="CH65" i="122"/>
  <c r="BX38" i="122"/>
  <c r="BX8" i="122"/>
  <c r="CH54" i="122"/>
  <c r="CW39" i="122"/>
  <c r="BX71" i="122"/>
  <c r="BX68" i="122"/>
  <c r="CM64" i="122"/>
  <c r="CC61" i="122"/>
  <c r="CC58" i="122"/>
  <c r="CC55" i="122"/>
  <c r="CC62" i="122"/>
  <c r="CC59" i="122"/>
  <c r="CC56" i="122"/>
  <c r="CH51" i="122"/>
  <c r="CW46" i="122"/>
  <c r="CM52" i="122"/>
  <c r="CR48" i="122"/>
  <c r="BX43" i="122"/>
  <c r="CM46" i="122"/>
  <c r="CW43" i="122"/>
  <c r="CR33" i="122"/>
  <c r="CC51" i="122"/>
  <c r="CW31" i="122"/>
  <c r="CR36" i="122"/>
  <c r="CW44" i="122"/>
  <c r="CH23" i="122"/>
  <c r="CR29" i="122"/>
  <c r="CM31" i="122"/>
  <c r="CM11" i="122"/>
  <c r="CR10" i="122"/>
  <c r="CR16" i="122"/>
  <c r="CM27" i="122"/>
  <c r="CR25" i="122"/>
  <c r="CW10" i="122"/>
  <c r="BX31" i="122"/>
  <c r="CC63" i="122"/>
  <c r="CR71" i="122"/>
  <c r="BX69" i="122"/>
  <c r="BX41" i="122"/>
  <c r="BX10" i="122"/>
  <c r="CW29" i="122"/>
  <c r="BX13" i="122"/>
  <c r="CR65" i="122"/>
  <c r="CW68" i="122"/>
  <c r="CC32" i="122"/>
  <c r="CH64" i="122"/>
  <c r="CW13" i="122"/>
  <c r="BX16" i="122"/>
  <c r="BX58" i="122"/>
  <c r="CW33" i="122"/>
  <c r="CH70" i="122"/>
  <c r="CR42" i="122"/>
  <c r="CC21" i="122"/>
  <c r="CR14" i="122"/>
  <c r="CR66" i="122"/>
  <c r="CC35" i="122"/>
  <c r="CW25" i="122"/>
  <c r="CW27" i="122"/>
  <c r="CM50" i="122"/>
  <c r="BX19" i="122"/>
  <c r="CW54" i="122"/>
  <c r="CC38" i="122"/>
  <c r="CW50" i="122"/>
  <c r="CW63" i="122"/>
  <c r="CW55" i="122"/>
  <c r="CM44" i="122"/>
  <c r="CM33" i="122"/>
  <c r="CM14" i="122"/>
  <c r="CR19" i="122"/>
  <c r="CW70" i="122"/>
  <c r="CC12" i="122"/>
  <c r="CR18" i="122"/>
  <c r="CC54" i="122"/>
  <c r="CM47" i="122"/>
  <c r="CR22" i="122"/>
  <c r="BX66" i="122"/>
  <c r="CW60" i="122"/>
  <c r="CW49" i="122"/>
  <c r="CH43" i="122"/>
  <c r="CW22" i="122"/>
  <c r="CR21" i="122"/>
  <c r="BX12" i="122"/>
  <c r="CM66" i="122"/>
  <c r="CH68" i="122"/>
  <c r="CC20" i="122"/>
  <c r="CR38" i="122"/>
  <c r="CW61" i="122"/>
  <c r="CH10" i="122"/>
  <c r="CW57" i="122"/>
  <c r="CH46" i="122"/>
  <c r="CC33" i="122"/>
  <c r="CR43" i="122"/>
  <c r="CH9" i="122"/>
  <c r="CM58" i="122"/>
  <c r="CR23" i="122"/>
  <c r="CC14" i="122"/>
  <c r="CR9" i="122"/>
  <c r="BX54" i="122"/>
  <c r="CR70" i="122"/>
  <c r="CR32" i="122"/>
  <c r="CC30" i="122"/>
  <c r="CH49" i="122"/>
  <c r="BX47" i="122"/>
  <c r="CR50" i="122"/>
  <c r="CW30" i="122"/>
  <c r="CH11" i="122"/>
  <c r="CR20" i="122"/>
  <c r="BX70" i="122"/>
  <c r="CC48" i="122"/>
  <c r="CM36" i="122"/>
  <c r="CH31" i="122"/>
  <c r="CM18" i="122"/>
  <c r="CR67" i="122"/>
  <c r="CW58" i="122"/>
  <c r="CM61" i="122"/>
  <c r="CW17" i="122"/>
  <c r="CM26" i="122"/>
  <c r="CM69" i="122"/>
  <c r="CH29" i="122"/>
  <c r="CM23" i="122"/>
  <c r="CW28" i="122"/>
  <c r="CW16" i="122"/>
  <c r="AX87" i="82"/>
  <c r="AY87" i="82" s="1"/>
  <c r="AY86" i="82"/>
  <c r="AX95" i="82"/>
  <c r="DB66" i="123"/>
  <c r="DB29" i="123"/>
  <c r="DB45" i="123"/>
  <c r="DB23" i="123"/>
  <c r="DB21" i="123"/>
  <c r="DB55" i="123"/>
  <c r="DB56" i="123"/>
  <c r="DB32" i="123"/>
  <c r="DB20" i="123"/>
  <c r="DA92" i="123"/>
  <c r="DB49" i="123"/>
  <c r="DB16" i="123"/>
  <c r="DB59" i="123"/>
  <c r="DB24" i="123"/>
  <c r="DB14" i="123"/>
  <c r="DB70" i="123"/>
  <c r="DB46" i="123"/>
  <c r="DB68" i="123"/>
  <c r="DB28" i="123"/>
  <c r="DB30" i="123"/>
  <c r="DB10" i="123"/>
  <c r="DB64" i="123"/>
  <c r="DB27" i="123"/>
  <c r="DB31" i="123"/>
  <c r="DB26" i="123"/>
  <c r="DB60" i="123"/>
  <c r="DB43" i="123"/>
  <c r="DB58" i="123"/>
  <c r="DB8" i="123"/>
  <c r="DB44" i="123"/>
  <c r="DB13" i="123"/>
  <c r="DB71" i="123"/>
  <c r="DB48" i="123"/>
  <c r="DB57" i="123"/>
  <c r="DB67" i="123"/>
  <c r="DB62" i="123"/>
  <c r="DB65" i="123"/>
  <c r="DB18" i="123"/>
  <c r="DB25" i="123"/>
  <c r="DB22" i="123"/>
  <c r="DB11" i="123"/>
  <c r="DB63" i="123"/>
  <c r="DB51" i="123"/>
  <c r="DB47" i="123"/>
  <c r="DB69" i="123"/>
  <c r="DB9" i="123"/>
  <c r="DB41" i="123"/>
  <c r="DB72" i="123"/>
  <c r="DB36" i="123"/>
  <c r="DB19" i="123"/>
  <c r="DB17" i="123"/>
  <c r="DB52" i="123"/>
  <c r="DB15" i="123"/>
  <c r="DB42" i="123"/>
  <c r="DB12" i="123"/>
  <c r="DB54" i="123"/>
  <c r="DB61" i="123"/>
  <c r="DB45" i="121"/>
  <c r="DB56" i="121"/>
  <c r="DB66" i="121"/>
  <c r="DB65" i="121"/>
  <c r="DB23" i="121"/>
  <c r="DB58" i="121"/>
  <c r="DB59" i="121"/>
  <c r="DB70" i="121"/>
  <c r="DB29" i="121"/>
  <c r="DB60" i="121"/>
  <c r="DB33" i="121"/>
  <c r="DB72" i="121"/>
  <c r="DB62" i="121"/>
  <c r="DB14" i="121"/>
  <c r="DB19" i="121"/>
  <c r="DB69" i="121"/>
  <c r="DB17" i="121"/>
  <c r="DB16" i="121"/>
  <c r="DB48" i="121"/>
  <c r="DB54" i="121"/>
  <c r="DB36" i="121"/>
  <c r="DB71" i="121"/>
  <c r="DB12" i="121"/>
  <c r="DB9" i="121"/>
  <c r="DB67" i="121"/>
  <c r="DB46" i="121"/>
  <c r="DB11" i="121"/>
  <c r="DB26" i="121"/>
  <c r="DB22" i="121"/>
  <c r="DB21" i="121"/>
  <c r="DB18" i="121"/>
  <c r="DB68" i="121"/>
  <c r="DB52" i="121"/>
  <c r="DB31" i="121"/>
  <c r="DB20" i="121"/>
  <c r="DB64" i="121"/>
  <c r="DB43" i="121"/>
  <c r="DB57" i="121"/>
  <c r="DB51" i="121"/>
  <c r="DB41" i="121"/>
  <c r="DB47" i="121"/>
  <c r="DB27" i="121"/>
  <c r="DB55" i="121"/>
  <c r="DB25" i="121"/>
  <c r="DA92" i="121"/>
  <c r="DB42" i="121"/>
  <c r="DB10" i="121"/>
  <c r="DB28" i="121"/>
  <c r="DB49" i="121"/>
  <c r="DB15" i="121"/>
  <c r="DB61" i="121"/>
  <c r="DB24" i="121"/>
  <c r="DB13" i="121"/>
  <c r="DB30" i="121"/>
  <c r="DB44" i="121"/>
  <c r="DB63" i="121"/>
  <c r="DB32" i="121"/>
  <c r="DB8" i="121"/>
  <c r="BH90" i="125"/>
  <c r="DP87" i="100" l="1"/>
  <c r="BC93" i="125"/>
  <c r="BE81" i="125"/>
  <c r="BC83" i="125"/>
  <c r="BE83" i="125" l="1"/>
  <c r="BC84" i="125"/>
  <c r="BC86" i="125" s="1"/>
  <c r="H35" i="101"/>
  <c r="BE84" i="125" l="1"/>
  <c r="BE86" i="125" l="1"/>
  <c r="BC87" i="125"/>
  <c r="BE87" i="125" s="1"/>
  <c r="Q6" i="107" l="1"/>
  <c r="E46" i="101" l="1"/>
  <c r="I49" i="101"/>
  <c r="I43" i="101" l="1"/>
  <c r="I42" i="101" s="1"/>
  <c r="C49" i="101"/>
  <c r="R16" i="107" l="1"/>
  <c r="Q25" i="107" l="1"/>
  <c r="Q26" i="107" l="1"/>
  <c r="E48" i="101" l="1"/>
  <c r="E50" i="101"/>
  <c r="C50" i="101" s="1"/>
  <c r="E51" i="101"/>
  <c r="E44" i="101"/>
  <c r="C44" i="101" s="1"/>
  <c r="E43" i="101" l="1"/>
  <c r="K6" i="107"/>
  <c r="E42" i="101" l="1"/>
  <c r="R30" i="107"/>
  <c r="BF59" i="107"/>
  <c r="BE59" i="107"/>
  <c r="BE78" i="107"/>
  <c r="BF78" i="107"/>
  <c r="BE79" i="107"/>
  <c r="BF79" i="107"/>
  <c r="BF71" i="107"/>
  <c r="BE71" i="107"/>
  <c r="BF70" i="107"/>
  <c r="BE70" i="107"/>
  <c r="BF69" i="107"/>
  <c r="BE69" i="107"/>
  <c r="BF68" i="107"/>
  <c r="BE68" i="107"/>
  <c r="BF67" i="107"/>
  <c r="BE67" i="107"/>
  <c r="BF66" i="107"/>
  <c r="BE66" i="107"/>
  <c r="BF65" i="107"/>
  <c r="BE65" i="107"/>
  <c r="BF64" i="107"/>
  <c r="BE64" i="107"/>
  <c r="BF63" i="107"/>
  <c r="BE63" i="107"/>
  <c r="BF62" i="107"/>
  <c r="BE62" i="107"/>
  <c r="BF61" i="107"/>
  <c r="BE61" i="107"/>
  <c r="BF60" i="107"/>
  <c r="BE60" i="107"/>
  <c r="BF58" i="107"/>
  <c r="BE58" i="107"/>
  <c r="BF57" i="107"/>
  <c r="BE57" i="107"/>
  <c r="BF56" i="107"/>
  <c r="BE56" i="107"/>
  <c r="BF55" i="107"/>
  <c r="BE55" i="107"/>
  <c r="BF52" i="107"/>
  <c r="BE52" i="107"/>
  <c r="BF51" i="107"/>
  <c r="BE51" i="107"/>
  <c r="BF48" i="107"/>
  <c r="BE48" i="107"/>
  <c r="BF47" i="107"/>
  <c r="BE47" i="107"/>
  <c r="BF46" i="107"/>
  <c r="BE46" i="107"/>
  <c r="BF45" i="107"/>
  <c r="BE45" i="107"/>
  <c r="BF44" i="107"/>
  <c r="BE44" i="107"/>
  <c r="BF43" i="107"/>
  <c r="BE43" i="107"/>
  <c r="BF42" i="107"/>
  <c r="BE42" i="107"/>
  <c r="BF33" i="107"/>
  <c r="BE33" i="107"/>
  <c r="BF32" i="107"/>
  <c r="BE32" i="107"/>
  <c r="BF31" i="107"/>
  <c r="BE31" i="107"/>
  <c r="BF30" i="107"/>
  <c r="BE30" i="107"/>
  <c r="BF29" i="107"/>
  <c r="BE29" i="107"/>
  <c r="BF28" i="107"/>
  <c r="BE28" i="107"/>
  <c r="BF27" i="107"/>
  <c r="BE27" i="107"/>
  <c r="BF26" i="107"/>
  <c r="BE26" i="107"/>
  <c r="BF25" i="107"/>
  <c r="BE25" i="107"/>
  <c r="BF24" i="107"/>
  <c r="BE24" i="107"/>
  <c r="BF23" i="107"/>
  <c r="BE23" i="107"/>
  <c r="BF22" i="107"/>
  <c r="BE22" i="107"/>
  <c r="BF21" i="107"/>
  <c r="BE21" i="107"/>
  <c r="BF20" i="107"/>
  <c r="BE20" i="107"/>
  <c r="BF19" i="107"/>
  <c r="BE19" i="107"/>
  <c r="BF18" i="107"/>
  <c r="BE18" i="107"/>
  <c r="BF17" i="107"/>
  <c r="BE17" i="107"/>
  <c r="BF16" i="107"/>
  <c r="BE16" i="107"/>
  <c r="BF15" i="107"/>
  <c r="BE15" i="107"/>
  <c r="BF14" i="107"/>
  <c r="BE14" i="107"/>
  <c r="BF13" i="107"/>
  <c r="BE13" i="107"/>
  <c r="BF12" i="107"/>
  <c r="BE12" i="107"/>
  <c r="BF11" i="107"/>
  <c r="BE11" i="107"/>
  <c r="BF10" i="107"/>
  <c r="BE10" i="107"/>
  <c r="BF9" i="107"/>
  <c r="BE9" i="107"/>
  <c r="BE7" i="107"/>
  <c r="BF7" i="107"/>
  <c r="BF6" i="107"/>
  <c r="BE6" i="107"/>
  <c r="BF85" i="107" l="1"/>
  <c r="D46" i="101" l="1"/>
  <c r="D51" i="101"/>
  <c r="C51" i="101" s="1"/>
  <c r="D48" i="101"/>
  <c r="C48" i="101" s="1"/>
  <c r="C46" i="101" l="1"/>
  <c r="D43" i="101"/>
  <c r="C43" i="101" s="1"/>
  <c r="D34" i="101" s="1"/>
  <c r="D42" i="101" l="1"/>
  <c r="C42" i="101"/>
  <c r="D33" i="101" l="1"/>
  <c r="BG33" i="90" l="1"/>
  <c r="BG85" i="90"/>
  <c r="BG82" i="90"/>
  <c r="BF77" i="90"/>
  <c r="BE77" i="90"/>
  <c r="BG71" i="90"/>
  <c r="BG70" i="90"/>
  <c r="BG69" i="90"/>
  <c r="BG68" i="90"/>
  <c r="BG67" i="90"/>
  <c r="BG66" i="90"/>
  <c r="BG65" i="90"/>
  <c r="BG64" i="90"/>
  <c r="BG63" i="90"/>
  <c r="BG62" i="90"/>
  <c r="BG61" i="90"/>
  <c r="BG60" i="90"/>
  <c r="BG59" i="90"/>
  <c r="BG58" i="90"/>
  <c r="BG57" i="90"/>
  <c r="BG56" i="90"/>
  <c r="BG55" i="90"/>
  <c r="BF54" i="90"/>
  <c r="BE54" i="90"/>
  <c r="BG53" i="90"/>
  <c r="BG52" i="90"/>
  <c r="BG51" i="90"/>
  <c r="BF50" i="90"/>
  <c r="BE50" i="90"/>
  <c r="BG48" i="90"/>
  <c r="BG47" i="90"/>
  <c r="BG46" i="90"/>
  <c r="BG45" i="90"/>
  <c r="BG44" i="90"/>
  <c r="BG43" i="90"/>
  <c r="BG42" i="90"/>
  <c r="BF41" i="90"/>
  <c r="BE41" i="90"/>
  <c r="BG32" i="90"/>
  <c r="BG31" i="90"/>
  <c r="BG30" i="90"/>
  <c r="BG29" i="90"/>
  <c r="BG28" i="90"/>
  <c r="BG27" i="90"/>
  <c r="BE8" i="90"/>
  <c r="BG25" i="90"/>
  <c r="BG24" i="90"/>
  <c r="BG23" i="90"/>
  <c r="BG22" i="90"/>
  <c r="BG21" i="90"/>
  <c r="BG20" i="90"/>
  <c r="BG19" i="90"/>
  <c r="BG18" i="90"/>
  <c r="BG17" i="90"/>
  <c r="BG16" i="90"/>
  <c r="BG15" i="90"/>
  <c r="BG14" i="90"/>
  <c r="BG13" i="90"/>
  <c r="BG12" i="90"/>
  <c r="BG11" i="90"/>
  <c r="BG10" i="90"/>
  <c r="BG9" i="90"/>
  <c r="BF8" i="90"/>
  <c r="BG6" i="90"/>
  <c r="BG5" i="90" s="1"/>
  <c r="BF5" i="90"/>
  <c r="BE5" i="90"/>
  <c r="BE85" i="107"/>
  <c r="BF82" i="107"/>
  <c r="BE82" i="107"/>
  <c r="BG82" i="107" l="1"/>
  <c r="BG50" i="90"/>
  <c r="BG54" i="90"/>
  <c r="BG41" i="90"/>
  <c r="BE38" i="90"/>
  <c r="BE39" i="90" s="1"/>
  <c r="BF38" i="90"/>
  <c r="BF75" i="90" s="1"/>
  <c r="BG26" i="90"/>
  <c r="BE75" i="90" l="1"/>
  <c r="BE81" i="90" s="1"/>
  <c r="BE83" i="90" s="1"/>
  <c r="BE84" i="90" s="1"/>
  <c r="BE86" i="90" s="1"/>
  <c r="BE87" i="90" s="1"/>
  <c r="BG8" i="90"/>
  <c r="BG38" i="90" s="1"/>
  <c r="BF39" i="90"/>
  <c r="BF81" i="90"/>
  <c r="BF83" i="90" s="1"/>
  <c r="BF84" i="90" s="1"/>
  <c r="BF86" i="90" s="1"/>
  <c r="BF87" i="90" s="1"/>
  <c r="BF76" i="90"/>
  <c r="BE76" i="90" l="1"/>
  <c r="BG75" i="90"/>
  <c r="BG39" i="90"/>
  <c r="BG76" i="90" l="1"/>
  <c r="AS85" i="117" l="1"/>
  <c r="J85" i="117"/>
  <c r="J82" i="117"/>
  <c r="H77" i="117"/>
  <c r="I77" i="117"/>
  <c r="J78" i="117"/>
  <c r="AR82" i="117" l="1"/>
  <c r="AQ82" i="117"/>
  <c r="AR79" i="117"/>
  <c r="AQ79" i="117"/>
  <c r="AR78" i="117"/>
  <c r="AQ78" i="117"/>
  <c r="AR74" i="117"/>
  <c r="AQ74" i="117"/>
  <c r="AR71" i="117"/>
  <c r="AQ71" i="117"/>
  <c r="AR70" i="117"/>
  <c r="AQ70" i="117"/>
  <c r="AR69" i="117"/>
  <c r="AQ69" i="117"/>
  <c r="AQ68" i="117"/>
  <c r="AR67" i="117"/>
  <c r="AQ67" i="117"/>
  <c r="AR66" i="117"/>
  <c r="AQ66" i="117"/>
  <c r="AR65" i="117"/>
  <c r="AQ65" i="117"/>
  <c r="AR64" i="117"/>
  <c r="AQ64" i="117"/>
  <c r="AR63" i="117"/>
  <c r="AQ63" i="117"/>
  <c r="AR62" i="117"/>
  <c r="AQ62" i="117"/>
  <c r="AR61" i="117"/>
  <c r="AQ61" i="117"/>
  <c r="AR60" i="117"/>
  <c r="AQ60" i="117"/>
  <c r="AR59" i="117"/>
  <c r="AQ59" i="117"/>
  <c r="AR58" i="117"/>
  <c r="AQ58" i="117"/>
  <c r="AR57" i="117"/>
  <c r="AQ57" i="117"/>
  <c r="AR56" i="117"/>
  <c r="AQ56" i="117"/>
  <c r="AR55" i="117"/>
  <c r="AQ55" i="117"/>
  <c r="AR52" i="117"/>
  <c r="AQ52" i="117"/>
  <c r="AR51" i="117"/>
  <c r="AQ51" i="117"/>
  <c r="AR48" i="117"/>
  <c r="AQ48" i="117"/>
  <c r="AR47" i="117"/>
  <c r="AQ47" i="117"/>
  <c r="AR46" i="117"/>
  <c r="AQ46" i="117"/>
  <c r="AR45" i="117"/>
  <c r="AQ45" i="117"/>
  <c r="AR44" i="117"/>
  <c r="AQ44" i="117"/>
  <c r="AR43" i="117"/>
  <c r="AQ43" i="117"/>
  <c r="AR42" i="117"/>
  <c r="AQ42" i="117"/>
  <c r="AR36" i="117"/>
  <c r="AQ36" i="117"/>
  <c r="AR33" i="117"/>
  <c r="AQ33" i="117"/>
  <c r="AR32" i="117"/>
  <c r="AQ32" i="117"/>
  <c r="AR31" i="117"/>
  <c r="AQ31" i="117"/>
  <c r="AR30" i="117"/>
  <c r="AQ30" i="117"/>
  <c r="AR29" i="117"/>
  <c r="AQ29" i="117"/>
  <c r="AR28" i="117"/>
  <c r="AQ28" i="117"/>
  <c r="AR27" i="117"/>
  <c r="AQ27" i="117"/>
  <c r="AR26" i="117"/>
  <c r="AQ26" i="117"/>
  <c r="AR25" i="117"/>
  <c r="AQ25" i="117"/>
  <c r="AR24" i="117"/>
  <c r="AQ24" i="117"/>
  <c r="AR23" i="117"/>
  <c r="AQ23" i="117"/>
  <c r="AR22" i="117"/>
  <c r="AQ22" i="117"/>
  <c r="AR21" i="117"/>
  <c r="AQ21" i="117"/>
  <c r="AR20" i="117"/>
  <c r="AQ20" i="117"/>
  <c r="AR19" i="117"/>
  <c r="AQ19" i="117"/>
  <c r="AR18" i="117"/>
  <c r="AQ18" i="117"/>
  <c r="AR17" i="117"/>
  <c r="AQ17" i="117"/>
  <c r="AR16" i="117"/>
  <c r="AQ16" i="117"/>
  <c r="AR15" i="117"/>
  <c r="AQ15" i="117"/>
  <c r="AR14" i="117"/>
  <c r="AQ14" i="117"/>
  <c r="AR13" i="117"/>
  <c r="AQ13" i="117"/>
  <c r="AR12" i="117"/>
  <c r="AQ12" i="117"/>
  <c r="AR11" i="117"/>
  <c r="AQ11" i="117"/>
  <c r="AR10" i="117"/>
  <c r="AQ10" i="117"/>
  <c r="AR9" i="117"/>
  <c r="AQ9" i="117"/>
  <c r="AQ7" i="117"/>
  <c r="AR7" i="117"/>
  <c r="AR6" i="117"/>
  <c r="AQ6" i="117"/>
  <c r="BB85" i="107" l="1"/>
  <c r="BB82" i="107"/>
  <c r="BB78" i="107"/>
  <c r="BA77" i="107"/>
  <c r="AZ77" i="107"/>
  <c r="BB74" i="107"/>
  <c r="BB73" i="107" s="1"/>
  <c r="BA73" i="107"/>
  <c r="AZ73" i="107"/>
  <c r="BB71" i="107"/>
  <c r="BB70" i="107"/>
  <c r="BB69" i="107"/>
  <c r="BB68" i="107"/>
  <c r="BB67" i="107"/>
  <c r="BB66" i="107"/>
  <c r="BB65" i="107"/>
  <c r="BB64" i="107"/>
  <c r="BB63" i="107"/>
  <c r="BB62" i="107"/>
  <c r="BB61" i="107"/>
  <c r="BB60" i="107"/>
  <c r="BB59" i="107"/>
  <c r="BB58" i="107"/>
  <c r="BB57" i="107"/>
  <c r="BB56" i="107"/>
  <c r="BB55" i="107"/>
  <c r="BA54" i="107"/>
  <c r="AZ54" i="107"/>
  <c r="BB52" i="107"/>
  <c r="BB51" i="107"/>
  <c r="BA50" i="107"/>
  <c r="AZ50" i="107"/>
  <c r="BB48" i="107"/>
  <c r="BB47" i="107"/>
  <c r="BB46" i="107"/>
  <c r="BB45" i="107"/>
  <c r="BB44" i="107"/>
  <c r="BB43" i="107"/>
  <c r="BB42" i="107"/>
  <c r="BA41" i="107"/>
  <c r="AZ41" i="107"/>
  <c r="BB36" i="107"/>
  <c r="BB35" i="107" s="1"/>
  <c r="BA35" i="107"/>
  <c r="AZ35" i="107"/>
  <c r="BB33" i="107"/>
  <c r="BB32" i="107"/>
  <c r="BB31" i="107"/>
  <c r="BB30" i="107"/>
  <c r="BB29" i="107"/>
  <c r="BB28" i="107"/>
  <c r="BB27" i="107"/>
  <c r="BB26" i="107"/>
  <c r="BB25" i="107"/>
  <c r="AZ8" i="107"/>
  <c r="BB22" i="107"/>
  <c r="BB21" i="107"/>
  <c r="BB20" i="107"/>
  <c r="BB19" i="107"/>
  <c r="BB18" i="107"/>
  <c r="BB17" i="107"/>
  <c r="BB16" i="107"/>
  <c r="BB15" i="107"/>
  <c r="BB14" i="107"/>
  <c r="BB13" i="107"/>
  <c r="BB12" i="107"/>
  <c r="BB11" i="107"/>
  <c r="BB10" i="107"/>
  <c r="BB9" i="107"/>
  <c r="BA8" i="107"/>
  <c r="BB7" i="107"/>
  <c r="BB6" i="107"/>
  <c r="BA5" i="107"/>
  <c r="AZ5" i="107"/>
  <c r="E12" i="117"/>
  <c r="BB5" i="107" l="1"/>
  <c r="BB50" i="107"/>
  <c r="BB54" i="107"/>
  <c r="BB79" i="107"/>
  <c r="BB77" i="107" s="1"/>
  <c r="AZ38" i="107"/>
  <c r="AZ39" i="107" s="1"/>
  <c r="BA38" i="107"/>
  <c r="BA75" i="107" s="1"/>
  <c r="BB24" i="107"/>
  <c r="BB41" i="107"/>
  <c r="BA39" i="107" l="1"/>
  <c r="AZ75" i="107"/>
  <c r="AZ81" i="107" s="1"/>
  <c r="AZ83" i="107" s="1"/>
  <c r="AZ84" i="107" s="1"/>
  <c r="AZ86" i="107" s="1"/>
  <c r="AZ87" i="107" s="1"/>
  <c r="BA81" i="107"/>
  <c r="BA83" i="107" s="1"/>
  <c r="BA84" i="107" s="1"/>
  <c r="BA86" i="107" s="1"/>
  <c r="BA87" i="107" s="1"/>
  <c r="BA76" i="107"/>
  <c r="BB8" i="107"/>
  <c r="AZ76" i="107" l="1"/>
  <c r="BB89" i="107"/>
  <c r="BB38" i="107"/>
  <c r="BB75" i="107" l="1"/>
  <c r="BB39" i="107"/>
  <c r="BB76" i="107" l="1"/>
  <c r="BB81" i="107"/>
  <c r="BB83" i="107" s="1"/>
  <c r="BB84" i="107" s="1"/>
  <c r="BB86" i="107" s="1"/>
  <c r="BB87" i="107" s="1"/>
  <c r="BK85" i="102" l="1"/>
  <c r="BJ85" i="102"/>
  <c r="BK79" i="102"/>
  <c r="D68" i="117"/>
  <c r="AR68" i="117" s="1"/>
  <c r="BE26" i="87"/>
  <c r="BJ26" i="87" s="1"/>
  <c r="BG85" i="87"/>
  <c r="BG82" i="87"/>
  <c r="BF81" i="87"/>
  <c r="BF83" i="87" s="1"/>
  <c r="BF84" i="87" s="1"/>
  <c r="BE81" i="87"/>
  <c r="BE83" i="87" s="1"/>
  <c r="BE84" i="87" s="1"/>
  <c r="BG78" i="87"/>
  <c r="BG77" i="87" s="1"/>
  <c r="BG74" i="87"/>
  <c r="BG73" i="87" s="1"/>
  <c r="BG71" i="87"/>
  <c r="BG70" i="87"/>
  <c r="BG69" i="87"/>
  <c r="BG68" i="87"/>
  <c r="BG67" i="87"/>
  <c r="BG66" i="87"/>
  <c r="BG65" i="87"/>
  <c r="BG64" i="87"/>
  <c r="BG63" i="87"/>
  <c r="BG62" i="87"/>
  <c r="BG61" i="87"/>
  <c r="BG60" i="87"/>
  <c r="BG59" i="87"/>
  <c r="BG58" i="87"/>
  <c r="BG57" i="87"/>
  <c r="BG56" i="87"/>
  <c r="BG55" i="87"/>
  <c r="BG52" i="87"/>
  <c r="BG51" i="87"/>
  <c r="BG48" i="87"/>
  <c r="BG47" i="87"/>
  <c r="BG46" i="87"/>
  <c r="BG45" i="87"/>
  <c r="BG44" i="87"/>
  <c r="BG43" i="87"/>
  <c r="BG42" i="87"/>
  <c r="BG41" i="87" s="1"/>
  <c r="BG36" i="87"/>
  <c r="BG35" i="87" s="1"/>
  <c r="BG33" i="87"/>
  <c r="BG32" i="87"/>
  <c r="BG31" i="87"/>
  <c r="BG30" i="87"/>
  <c r="BG29" i="87"/>
  <c r="BG28" i="87"/>
  <c r="BG27" i="87"/>
  <c r="BG25" i="87"/>
  <c r="BG24" i="87"/>
  <c r="BG21" i="87"/>
  <c r="BG20" i="87"/>
  <c r="BG19" i="87"/>
  <c r="BG18" i="87"/>
  <c r="BG17" i="87"/>
  <c r="BG16" i="87"/>
  <c r="BG15" i="87"/>
  <c r="BG14" i="87"/>
  <c r="BG13" i="87"/>
  <c r="BG12" i="87"/>
  <c r="BG11" i="87"/>
  <c r="BG10" i="87"/>
  <c r="BG9" i="87"/>
  <c r="BG7" i="87"/>
  <c r="BG6" i="87"/>
  <c r="BG5" i="87" s="1"/>
  <c r="BG26" i="87" l="1"/>
  <c r="BG8" i="87" s="1"/>
  <c r="BG50" i="87"/>
  <c r="BG54" i="87"/>
  <c r="BG89" i="87" l="1"/>
  <c r="BG38" i="87"/>
  <c r="BG39" i="87" l="1"/>
  <c r="BG75" i="87"/>
  <c r="BG76" i="87" l="1"/>
  <c r="BG81" i="87"/>
  <c r="BG83" i="87" s="1"/>
  <c r="BG84" i="87" s="1"/>
  <c r="BG86" i="87" s="1"/>
  <c r="BG87" i="87" s="1"/>
  <c r="BE47" i="91"/>
  <c r="BF79" i="91"/>
  <c r="BE79" i="91"/>
  <c r="BF78" i="91"/>
  <c r="BE78" i="91"/>
  <c r="BF71" i="91"/>
  <c r="BE71" i="91"/>
  <c r="BF70" i="91"/>
  <c r="BE70" i="91"/>
  <c r="BF69" i="91"/>
  <c r="BE69" i="91"/>
  <c r="BF68" i="91"/>
  <c r="BE68" i="91"/>
  <c r="BF67" i="91"/>
  <c r="BE67" i="91"/>
  <c r="BF66" i="91"/>
  <c r="BE66" i="91"/>
  <c r="BF65" i="91"/>
  <c r="BE65" i="91"/>
  <c r="BF64" i="91"/>
  <c r="BE64" i="91"/>
  <c r="BF63" i="91"/>
  <c r="BE63" i="91"/>
  <c r="BF62" i="91"/>
  <c r="BE62" i="91"/>
  <c r="BF61" i="91"/>
  <c r="BE61" i="91"/>
  <c r="BF60" i="91"/>
  <c r="BE60" i="91"/>
  <c r="BF59" i="91"/>
  <c r="BE59" i="91"/>
  <c r="BF58" i="91"/>
  <c r="BE58" i="91"/>
  <c r="BF57" i="91"/>
  <c r="BE57" i="91"/>
  <c r="BF56" i="91"/>
  <c r="BE56" i="91"/>
  <c r="BF55" i="91"/>
  <c r="BE55" i="91"/>
  <c r="BF52" i="91"/>
  <c r="BE52" i="91"/>
  <c r="BF51" i="91"/>
  <c r="BE51" i="91"/>
  <c r="BF48" i="91"/>
  <c r="BE48" i="91"/>
  <c r="BF47" i="91"/>
  <c r="BF46" i="91"/>
  <c r="BE46" i="91"/>
  <c r="BF45" i="91"/>
  <c r="BE45" i="91"/>
  <c r="BF44" i="91"/>
  <c r="BE44" i="91"/>
  <c r="BF43" i="91"/>
  <c r="BE43" i="91"/>
  <c r="BF42" i="91"/>
  <c r="BE42" i="91"/>
  <c r="BF33" i="91"/>
  <c r="BE33" i="91"/>
  <c r="BF32" i="91"/>
  <c r="BE32" i="91"/>
  <c r="BF31" i="91"/>
  <c r="BE31" i="91"/>
  <c r="BE30" i="91"/>
  <c r="BF29" i="91"/>
  <c r="BE29" i="91"/>
  <c r="BF28" i="91"/>
  <c r="BF27" i="91"/>
  <c r="BE27" i="91"/>
  <c r="BF26" i="91"/>
  <c r="BF25" i="91"/>
  <c r="BF24" i="91"/>
  <c r="BF23" i="91"/>
  <c r="BE23" i="91"/>
  <c r="BF22" i="91"/>
  <c r="BF21" i="91"/>
  <c r="BE21" i="91"/>
  <c r="BF20" i="91"/>
  <c r="BE20" i="91"/>
  <c r="BF19" i="91"/>
  <c r="BE19" i="91"/>
  <c r="BF18" i="91"/>
  <c r="BE18" i="91"/>
  <c r="BF17" i="91"/>
  <c r="BE17" i="91"/>
  <c r="BE16" i="91"/>
  <c r="BF15" i="91"/>
  <c r="BE15" i="91"/>
  <c r="BF14" i="91"/>
  <c r="BE14" i="91"/>
  <c r="BF13" i="91"/>
  <c r="BE13" i="91"/>
  <c r="BF12" i="91"/>
  <c r="BE12" i="91"/>
  <c r="BF11" i="91"/>
  <c r="BE11" i="91"/>
  <c r="BF10" i="91"/>
  <c r="BE10" i="91"/>
  <c r="BF9" i="91"/>
  <c r="BE9" i="91"/>
  <c r="BE7" i="91"/>
  <c r="BF7" i="91"/>
  <c r="BF6" i="91"/>
  <c r="BE6" i="91"/>
  <c r="AW85" i="91"/>
  <c r="AW82" i="91"/>
  <c r="AW78" i="91"/>
  <c r="AV77" i="91"/>
  <c r="AU77" i="91"/>
  <c r="AW74" i="91"/>
  <c r="AW73" i="91" s="1"/>
  <c r="AV73" i="91"/>
  <c r="AU73" i="91"/>
  <c r="AW71" i="91"/>
  <c r="AW70" i="91"/>
  <c r="AW69" i="91"/>
  <c r="AW68" i="91"/>
  <c r="AW67" i="91"/>
  <c r="AW66" i="91"/>
  <c r="AW65" i="91"/>
  <c r="AW64" i="91"/>
  <c r="AW63" i="91"/>
  <c r="AW62" i="91"/>
  <c r="AW61" i="91"/>
  <c r="AW60" i="91"/>
  <c r="AW59" i="91"/>
  <c r="AW58" i="91"/>
  <c r="AW57" i="91"/>
  <c r="AW56" i="91"/>
  <c r="AW55" i="91"/>
  <c r="AV54" i="91"/>
  <c r="AU54" i="91"/>
  <c r="AW52" i="91"/>
  <c r="AW51" i="91"/>
  <c r="AV50" i="91"/>
  <c r="AU50" i="91"/>
  <c r="AW48" i="91"/>
  <c r="AW47" i="91"/>
  <c r="AW46" i="91"/>
  <c r="AW45" i="91"/>
  <c r="AW44" i="91"/>
  <c r="AW43" i="91"/>
  <c r="AW42" i="91"/>
  <c r="AV41" i="91"/>
  <c r="AU41" i="91"/>
  <c r="AW36" i="91"/>
  <c r="AW35" i="91" s="1"/>
  <c r="AV35" i="91"/>
  <c r="AU35" i="91"/>
  <c r="AW33" i="91"/>
  <c r="AW32" i="91"/>
  <c r="AW31" i="91"/>
  <c r="AW30" i="91"/>
  <c r="AW29" i="91"/>
  <c r="AW28" i="91"/>
  <c r="AW27" i="91"/>
  <c r="AW26" i="91"/>
  <c r="AW25" i="91"/>
  <c r="AW24" i="91"/>
  <c r="AW23" i="91"/>
  <c r="AW22" i="91"/>
  <c r="AW21" i="91"/>
  <c r="AW20" i="91"/>
  <c r="AW19" i="91"/>
  <c r="AW18" i="91"/>
  <c r="AW17" i="91"/>
  <c r="AW16" i="91"/>
  <c r="AW15" i="91"/>
  <c r="AW14" i="91"/>
  <c r="AW13" i="91"/>
  <c r="AW12" i="91"/>
  <c r="AW11" i="91"/>
  <c r="AW10" i="91"/>
  <c r="AW9" i="91"/>
  <c r="AV8" i="91"/>
  <c r="AW7" i="91"/>
  <c r="AW6" i="91"/>
  <c r="AV5" i="91"/>
  <c r="AU5" i="91"/>
  <c r="AW41" i="91" l="1"/>
  <c r="AW54" i="91"/>
  <c r="AW5" i="91"/>
  <c r="AW50" i="91"/>
  <c r="AW8" i="91"/>
  <c r="AV38" i="91"/>
  <c r="AV39" i="91" s="1"/>
  <c r="AU8" i="91"/>
  <c r="AU38" i="91" s="1"/>
  <c r="AW38" i="91" l="1"/>
  <c r="AW39" i="91" s="1"/>
  <c r="AV75" i="91"/>
  <c r="AV76" i="91" s="1"/>
  <c r="AU75" i="91"/>
  <c r="AU39" i="91"/>
  <c r="AB49" i="89"/>
  <c r="AA49" i="89"/>
  <c r="S85" i="89"/>
  <c r="S82" i="89"/>
  <c r="S78" i="89"/>
  <c r="R77" i="89"/>
  <c r="Q77" i="89"/>
  <c r="S74" i="89"/>
  <c r="S73" i="89" s="1"/>
  <c r="R73" i="89"/>
  <c r="Q73" i="89"/>
  <c r="S71" i="89"/>
  <c r="S70" i="89"/>
  <c r="S69" i="89"/>
  <c r="S68" i="89"/>
  <c r="S67" i="89"/>
  <c r="S66" i="89"/>
  <c r="S65" i="89"/>
  <c r="S64" i="89"/>
  <c r="S63" i="89"/>
  <c r="S62" i="89"/>
  <c r="S61" i="89"/>
  <c r="S60" i="89"/>
  <c r="S59" i="89"/>
  <c r="S58" i="89"/>
  <c r="S57" i="89"/>
  <c r="S56" i="89"/>
  <c r="S55" i="89"/>
  <c r="R54" i="89"/>
  <c r="Q54" i="89"/>
  <c r="S52" i="89"/>
  <c r="S51" i="89"/>
  <c r="R50" i="89"/>
  <c r="Q50" i="89"/>
  <c r="S48" i="89"/>
  <c r="S47" i="89"/>
  <c r="S46" i="89"/>
  <c r="S45" i="89"/>
  <c r="S44" i="89"/>
  <c r="S43" i="89"/>
  <c r="S42" i="89"/>
  <c r="R41" i="89"/>
  <c r="Q41" i="89"/>
  <c r="S36" i="89"/>
  <c r="R35" i="89"/>
  <c r="Q35" i="89"/>
  <c r="S33" i="89"/>
  <c r="S32" i="89"/>
  <c r="S31" i="89"/>
  <c r="S30" i="89"/>
  <c r="S29" i="89"/>
  <c r="S28" i="89"/>
  <c r="S27" i="89"/>
  <c r="S26" i="89"/>
  <c r="S25" i="89"/>
  <c r="S24" i="89"/>
  <c r="S21" i="89"/>
  <c r="S20" i="89"/>
  <c r="S19" i="89"/>
  <c r="S18" i="89"/>
  <c r="S17" i="89"/>
  <c r="S16" i="89"/>
  <c r="S15" i="89"/>
  <c r="S14" i="89"/>
  <c r="S13" i="89"/>
  <c r="S12" i="89"/>
  <c r="S11" i="89"/>
  <c r="S10" i="89"/>
  <c r="S9" i="89"/>
  <c r="R8" i="89"/>
  <c r="Q8" i="89"/>
  <c r="S7" i="89"/>
  <c r="S6" i="89"/>
  <c r="S5" i="89" s="1"/>
  <c r="R5" i="89"/>
  <c r="Q5" i="89"/>
  <c r="AV81" i="91" l="1"/>
  <c r="AV83" i="91" s="1"/>
  <c r="AV84" i="91" s="1"/>
  <c r="AV86" i="91" s="1"/>
  <c r="AV87" i="91" s="1"/>
  <c r="S50" i="89"/>
  <c r="S54" i="89"/>
  <c r="AW75" i="91"/>
  <c r="Q38" i="89"/>
  <c r="S8" i="89"/>
  <c r="S38" i="89" s="1"/>
  <c r="R38" i="89"/>
  <c r="R75" i="89" s="1"/>
  <c r="AW76" i="91"/>
  <c r="AU81" i="91"/>
  <c r="AU83" i="91" s="1"/>
  <c r="AU84" i="91" s="1"/>
  <c r="AU86" i="91" s="1"/>
  <c r="AU87" i="91" s="1"/>
  <c r="AU76" i="91"/>
  <c r="Q75" i="89"/>
  <c r="S41" i="89"/>
  <c r="S35" i="89"/>
  <c r="AN85" i="117"/>
  <c r="AI85" i="117"/>
  <c r="AD85" i="117"/>
  <c r="Y85" i="117"/>
  <c r="T85" i="117"/>
  <c r="O85" i="117"/>
  <c r="E85" i="117"/>
  <c r="AN82" i="117"/>
  <c r="AI82" i="117"/>
  <c r="AD82" i="117"/>
  <c r="Y82" i="117"/>
  <c r="T82" i="117"/>
  <c r="O82" i="117"/>
  <c r="E82" i="117"/>
  <c r="AR77" i="117"/>
  <c r="AS78" i="117"/>
  <c r="AN78" i="117"/>
  <c r="AI78" i="117"/>
  <c r="AD78" i="117"/>
  <c r="Y78" i="117"/>
  <c r="T78" i="117"/>
  <c r="O78" i="117"/>
  <c r="E78" i="117"/>
  <c r="AM77" i="117"/>
  <c r="AL77" i="117"/>
  <c r="AH77" i="117"/>
  <c r="AG77" i="117"/>
  <c r="AC77" i="117"/>
  <c r="AB77" i="117"/>
  <c r="X77" i="117"/>
  <c r="W77" i="117"/>
  <c r="S77" i="117"/>
  <c r="R77" i="117"/>
  <c r="N77" i="117"/>
  <c r="M77" i="117"/>
  <c r="D77" i="117"/>
  <c r="C77" i="117"/>
  <c r="AR73" i="117"/>
  <c r="AN74" i="117"/>
  <c r="AI74" i="117"/>
  <c r="AI73" i="117" s="1"/>
  <c r="AD74" i="117"/>
  <c r="AD73" i="117" s="1"/>
  <c r="Y74" i="117"/>
  <c r="Y73" i="117" s="1"/>
  <c r="T74" i="117"/>
  <c r="T73" i="117" s="1"/>
  <c r="O74" i="117"/>
  <c r="O73" i="117" s="1"/>
  <c r="J74" i="117"/>
  <c r="J73" i="117" s="1"/>
  <c r="AQ73" i="117"/>
  <c r="AN73" i="117"/>
  <c r="AM73" i="117"/>
  <c r="AL73" i="117"/>
  <c r="AH73" i="117"/>
  <c r="AG73" i="117"/>
  <c r="AC73" i="117"/>
  <c r="AB73" i="117"/>
  <c r="X73" i="117"/>
  <c r="W73" i="117"/>
  <c r="S73" i="117"/>
  <c r="R73" i="117"/>
  <c r="N73" i="117"/>
  <c r="M73" i="117"/>
  <c r="I73" i="117"/>
  <c r="H73" i="117"/>
  <c r="E73" i="117"/>
  <c r="D73" i="117"/>
  <c r="C73" i="117"/>
  <c r="AS71" i="117"/>
  <c r="AN71" i="117"/>
  <c r="AI71" i="117"/>
  <c r="AD71" i="117"/>
  <c r="Y71" i="117"/>
  <c r="T71" i="117"/>
  <c r="O71" i="117"/>
  <c r="J71" i="117"/>
  <c r="E71" i="117"/>
  <c r="AS70" i="117"/>
  <c r="AN70" i="117"/>
  <c r="AI70" i="117"/>
  <c r="AD70" i="117"/>
  <c r="Y70" i="117"/>
  <c r="T70" i="117"/>
  <c r="O70" i="117"/>
  <c r="J70" i="117"/>
  <c r="E70" i="117"/>
  <c r="AS69" i="117"/>
  <c r="AN69" i="117"/>
  <c r="AI69" i="117"/>
  <c r="AD69" i="117"/>
  <c r="Y69" i="117"/>
  <c r="T69" i="117"/>
  <c r="O69" i="117"/>
  <c r="J69" i="117"/>
  <c r="E69" i="117"/>
  <c r="AN68" i="117"/>
  <c r="AI68" i="117"/>
  <c r="AD68" i="117"/>
  <c r="Y68" i="117"/>
  <c r="T68" i="117"/>
  <c r="O68" i="117"/>
  <c r="J68" i="117"/>
  <c r="E68" i="117"/>
  <c r="AN67" i="117"/>
  <c r="AI67" i="117"/>
  <c r="AD67" i="117"/>
  <c r="Y67" i="117"/>
  <c r="T67" i="117"/>
  <c r="O67" i="117"/>
  <c r="J67" i="117"/>
  <c r="E67" i="117"/>
  <c r="AS66" i="117"/>
  <c r="AN66" i="117"/>
  <c r="AI66" i="117"/>
  <c r="AD66" i="117"/>
  <c r="Y66" i="117"/>
  <c r="T66" i="117"/>
  <c r="O66" i="117"/>
  <c r="J66" i="117"/>
  <c r="E66" i="117"/>
  <c r="AN65" i="117"/>
  <c r="AI65" i="117"/>
  <c r="AD65" i="117"/>
  <c r="Y65" i="117"/>
  <c r="T65" i="117"/>
  <c r="O65" i="117"/>
  <c r="J65" i="117"/>
  <c r="E65" i="117"/>
  <c r="AS64" i="117"/>
  <c r="AN64" i="117"/>
  <c r="AI64" i="117"/>
  <c r="AD64" i="117"/>
  <c r="Y64" i="117"/>
  <c r="T64" i="117"/>
  <c r="O64" i="117"/>
  <c r="J64" i="117"/>
  <c r="E64" i="117"/>
  <c r="AN63" i="117"/>
  <c r="AI63" i="117"/>
  <c r="AD63" i="117"/>
  <c r="Y63" i="117"/>
  <c r="T63" i="117"/>
  <c r="O63" i="117"/>
  <c r="J63" i="117"/>
  <c r="E63" i="117"/>
  <c r="AS62" i="117"/>
  <c r="AN62" i="117"/>
  <c r="AI62" i="117"/>
  <c r="AD62" i="117"/>
  <c r="Y62" i="117"/>
  <c r="T62" i="117"/>
  <c r="O62" i="117"/>
  <c r="J62" i="117"/>
  <c r="E62" i="117"/>
  <c r="AN61" i="117"/>
  <c r="AI61" i="117"/>
  <c r="AD61" i="117"/>
  <c r="Y61" i="117"/>
  <c r="T61" i="117"/>
  <c r="O61" i="117"/>
  <c r="J61" i="117"/>
  <c r="E61" i="117"/>
  <c r="AS60" i="117"/>
  <c r="AN60" i="117"/>
  <c r="AI60" i="117"/>
  <c r="AD60" i="117"/>
  <c r="Y60" i="117"/>
  <c r="T60" i="117"/>
  <c r="O60" i="117"/>
  <c r="J60" i="117"/>
  <c r="E60" i="117"/>
  <c r="AN59" i="117"/>
  <c r="AI59" i="117"/>
  <c r="AD59" i="117"/>
  <c r="Y59" i="117"/>
  <c r="T59" i="117"/>
  <c r="O59" i="117"/>
  <c r="J59" i="117"/>
  <c r="E59" i="117"/>
  <c r="AS58" i="117"/>
  <c r="AN58" i="117"/>
  <c r="AI58" i="117"/>
  <c r="AD58" i="117"/>
  <c r="Y58" i="117"/>
  <c r="T58" i="117"/>
  <c r="O58" i="117"/>
  <c r="J58" i="117"/>
  <c r="E58" i="117"/>
  <c r="AS57" i="117"/>
  <c r="AN57" i="117"/>
  <c r="AI57" i="117"/>
  <c r="AD57" i="117"/>
  <c r="Y57" i="117"/>
  <c r="T57" i="117"/>
  <c r="O57" i="117"/>
  <c r="J57" i="117"/>
  <c r="E57" i="117"/>
  <c r="AS56" i="117"/>
  <c r="AN56" i="117"/>
  <c r="AI56" i="117"/>
  <c r="AD56" i="117"/>
  <c r="Y56" i="117"/>
  <c r="T56" i="117"/>
  <c r="O56" i="117"/>
  <c r="J56" i="117"/>
  <c r="E56" i="117"/>
  <c r="AN55" i="117"/>
  <c r="AI55" i="117"/>
  <c r="AD55" i="117"/>
  <c r="Y55" i="117"/>
  <c r="T55" i="117"/>
  <c r="O55" i="117"/>
  <c r="J55" i="117"/>
  <c r="E55" i="117"/>
  <c r="AM54" i="117"/>
  <c r="AL54" i="117"/>
  <c r="AH54" i="117"/>
  <c r="AG54" i="117"/>
  <c r="AC54" i="117"/>
  <c r="AB54" i="117"/>
  <c r="X54" i="117"/>
  <c r="W54" i="117"/>
  <c r="S54" i="117"/>
  <c r="R54" i="117"/>
  <c r="N54" i="117"/>
  <c r="M54" i="117"/>
  <c r="I54" i="117"/>
  <c r="H54" i="117"/>
  <c r="D54" i="117"/>
  <c r="C54" i="117"/>
  <c r="AS52" i="117"/>
  <c r="AN52" i="117"/>
  <c r="AI52" i="117"/>
  <c r="AD52" i="117"/>
  <c r="Y52" i="117"/>
  <c r="T52" i="117"/>
  <c r="O52" i="117"/>
  <c r="J52" i="117"/>
  <c r="E52" i="117"/>
  <c r="AN51" i="117"/>
  <c r="AN50" i="117" s="1"/>
  <c r="AI51" i="117"/>
  <c r="AI50" i="117" s="1"/>
  <c r="AD51" i="117"/>
  <c r="AD50" i="117" s="1"/>
  <c r="Y51" i="117"/>
  <c r="Y50" i="117" s="1"/>
  <c r="T51" i="117"/>
  <c r="O51" i="117"/>
  <c r="O50" i="117" s="1"/>
  <c r="J51" i="117"/>
  <c r="J50" i="117" s="1"/>
  <c r="E51" i="117"/>
  <c r="AR50" i="117"/>
  <c r="AM50" i="117"/>
  <c r="AL50" i="117"/>
  <c r="AH50" i="117"/>
  <c r="AG50" i="117"/>
  <c r="AC50" i="117"/>
  <c r="AB50" i="117"/>
  <c r="X50" i="117"/>
  <c r="W50" i="117"/>
  <c r="S50" i="117"/>
  <c r="R50" i="117"/>
  <c r="N50" i="117"/>
  <c r="M50" i="117"/>
  <c r="I50" i="117"/>
  <c r="H50" i="117"/>
  <c r="D50" i="117"/>
  <c r="C50" i="117"/>
  <c r="AN48" i="117"/>
  <c r="AI48" i="117"/>
  <c r="AD48" i="117"/>
  <c r="Y48" i="117"/>
  <c r="T48" i="117"/>
  <c r="O48" i="117"/>
  <c r="J48" i="117"/>
  <c r="E48" i="117"/>
  <c r="AS47" i="117"/>
  <c r="AN47" i="117"/>
  <c r="AI47" i="117"/>
  <c r="AD47" i="117"/>
  <c r="Y47" i="117"/>
  <c r="T47" i="117"/>
  <c r="O47" i="117"/>
  <c r="J47" i="117"/>
  <c r="E47" i="117"/>
  <c r="AN46" i="117"/>
  <c r="AI46" i="117"/>
  <c r="AD46" i="117"/>
  <c r="Y46" i="117"/>
  <c r="T46" i="117"/>
  <c r="O46" i="117"/>
  <c r="J46" i="117"/>
  <c r="E46" i="117"/>
  <c r="AN45" i="117"/>
  <c r="AI45" i="117"/>
  <c r="AD45" i="117"/>
  <c r="Y45" i="117"/>
  <c r="T45" i="117"/>
  <c r="O45" i="117"/>
  <c r="J45" i="117"/>
  <c r="E45" i="117"/>
  <c r="AS44" i="117"/>
  <c r="AN44" i="117"/>
  <c r="AI44" i="117"/>
  <c r="AD44" i="117"/>
  <c r="Y44" i="117"/>
  <c r="T44" i="117"/>
  <c r="O44" i="117"/>
  <c r="J44" i="117"/>
  <c r="E44" i="117"/>
  <c r="AS43" i="117"/>
  <c r="AN43" i="117"/>
  <c r="AI43" i="117"/>
  <c r="AD43" i="117"/>
  <c r="Y43" i="117"/>
  <c r="T43" i="117"/>
  <c r="O43" i="117"/>
  <c r="J43" i="117"/>
  <c r="E43" i="117"/>
  <c r="AR41" i="117"/>
  <c r="AN42" i="117"/>
  <c r="AI42" i="117"/>
  <c r="AD42" i="117"/>
  <c r="Y42" i="117"/>
  <c r="T42" i="117"/>
  <c r="O42" i="117"/>
  <c r="J42" i="117"/>
  <c r="E42" i="117"/>
  <c r="AM41" i="117"/>
  <c r="AL41" i="117"/>
  <c r="AH41" i="117"/>
  <c r="AG41" i="117"/>
  <c r="AC41" i="117"/>
  <c r="AB41" i="117"/>
  <c r="X41" i="117"/>
  <c r="W41" i="117"/>
  <c r="S41" i="117"/>
  <c r="R41" i="117"/>
  <c r="N41" i="117"/>
  <c r="M41" i="117"/>
  <c r="I41" i="117"/>
  <c r="H41" i="117"/>
  <c r="D41" i="117"/>
  <c r="C41" i="117"/>
  <c r="AR35" i="117"/>
  <c r="AN36" i="117"/>
  <c r="AN35" i="117" s="1"/>
  <c r="AI36" i="117"/>
  <c r="AI35" i="117" s="1"/>
  <c r="AD36" i="117"/>
  <c r="AD35" i="117" s="1"/>
  <c r="Y36" i="117"/>
  <c r="T36" i="117"/>
  <c r="T35" i="117" s="1"/>
  <c r="O36" i="117"/>
  <c r="O35" i="117" s="1"/>
  <c r="J36" i="117"/>
  <c r="E36" i="117"/>
  <c r="AQ35" i="117"/>
  <c r="AM35" i="117"/>
  <c r="AL35" i="117"/>
  <c r="AH35" i="117"/>
  <c r="AG35" i="117"/>
  <c r="AC35" i="117"/>
  <c r="AB35" i="117"/>
  <c r="X35" i="117"/>
  <c r="W35" i="117"/>
  <c r="S35" i="117"/>
  <c r="R35" i="117"/>
  <c r="N35" i="117"/>
  <c r="M35" i="117"/>
  <c r="J35" i="117"/>
  <c r="I35" i="117"/>
  <c r="H35" i="117"/>
  <c r="D35" i="117"/>
  <c r="C35" i="117"/>
  <c r="AS33" i="117"/>
  <c r="AN33" i="117"/>
  <c r="AI33" i="117"/>
  <c r="AD33" i="117"/>
  <c r="Y33" i="117"/>
  <c r="T33" i="117"/>
  <c r="O33" i="117"/>
  <c r="J33" i="117"/>
  <c r="E33" i="117"/>
  <c r="AS32" i="117"/>
  <c r="AN32" i="117"/>
  <c r="AI32" i="117"/>
  <c r="AD32" i="117"/>
  <c r="Y32" i="117"/>
  <c r="T32" i="117"/>
  <c r="O32" i="117"/>
  <c r="J32" i="117"/>
  <c r="E32" i="117"/>
  <c r="AN31" i="117"/>
  <c r="AI31" i="117"/>
  <c r="AD31" i="117"/>
  <c r="Y31" i="117"/>
  <c r="T31" i="117"/>
  <c r="O31" i="117"/>
  <c r="J31" i="117"/>
  <c r="E31" i="117"/>
  <c r="AN30" i="117"/>
  <c r="AI30" i="117"/>
  <c r="AD30" i="117"/>
  <c r="Y30" i="117"/>
  <c r="T30" i="117"/>
  <c r="O30" i="117"/>
  <c r="J30" i="117"/>
  <c r="E30" i="117"/>
  <c r="AS29" i="117"/>
  <c r="AN29" i="117"/>
  <c r="AI29" i="117"/>
  <c r="AD29" i="117"/>
  <c r="Y29" i="117"/>
  <c r="T29" i="117"/>
  <c r="O29" i="117"/>
  <c r="J29" i="117"/>
  <c r="E29" i="117"/>
  <c r="AS28" i="117"/>
  <c r="AN28" i="117"/>
  <c r="AI28" i="117"/>
  <c r="AD28" i="117"/>
  <c r="Y28" i="117"/>
  <c r="T28" i="117"/>
  <c r="O28" i="117"/>
  <c r="J28" i="117"/>
  <c r="E28" i="117"/>
  <c r="AS27" i="117"/>
  <c r="AN27" i="117"/>
  <c r="AI27" i="117"/>
  <c r="AD27" i="117"/>
  <c r="Y27" i="117"/>
  <c r="T27" i="117"/>
  <c r="O27" i="117"/>
  <c r="J27" i="117"/>
  <c r="E27" i="117"/>
  <c r="AN26" i="117"/>
  <c r="AI26" i="117"/>
  <c r="AD26" i="117"/>
  <c r="Y26" i="117"/>
  <c r="T26" i="117"/>
  <c r="O26" i="117"/>
  <c r="J26" i="117"/>
  <c r="E26" i="117"/>
  <c r="AS25" i="117"/>
  <c r="AN25" i="117"/>
  <c r="AI25" i="117"/>
  <c r="AD25" i="117"/>
  <c r="Y25" i="117"/>
  <c r="T25" i="117"/>
  <c r="O25" i="117"/>
  <c r="J25" i="117"/>
  <c r="E25" i="117"/>
  <c r="AN24" i="117"/>
  <c r="AI24" i="117"/>
  <c r="AD24" i="117"/>
  <c r="Y24" i="117"/>
  <c r="T24" i="117"/>
  <c r="O24" i="117"/>
  <c r="J24" i="117"/>
  <c r="E24" i="117"/>
  <c r="AS23" i="117"/>
  <c r="AN23" i="117"/>
  <c r="AI23" i="117"/>
  <c r="AD23" i="117"/>
  <c r="Y23" i="117"/>
  <c r="T23" i="117"/>
  <c r="O23" i="117"/>
  <c r="J23" i="117"/>
  <c r="E23" i="117"/>
  <c r="AN22" i="117"/>
  <c r="AI22" i="117"/>
  <c r="AD22" i="117"/>
  <c r="Y22" i="117"/>
  <c r="T22" i="117"/>
  <c r="O22" i="117"/>
  <c r="J22" i="117"/>
  <c r="E22" i="117"/>
  <c r="AN21" i="117"/>
  <c r="AI21" i="117"/>
  <c r="AD21" i="117"/>
  <c r="Y21" i="117"/>
  <c r="T21" i="117"/>
  <c r="O21" i="117"/>
  <c r="J21" i="117"/>
  <c r="E21" i="117"/>
  <c r="AN20" i="117"/>
  <c r="AI20" i="117"/>
  <c r="AD20" i="117"/>
  <c r="Y20" i="117"/>
  <c r="T20" i="117"/>
  <c r="O20" i="117"/>
  <c r="J20" i="117"/>
  <c r="E20" i="117"/>
  <c r="AN19" i="117"/>
  <c r="AI19" i="117"/>
  <c r="AD19" i="117"/>
  <c r="Y19" i="117"/>
  <c r="T19" i="117"/>
  <c r="O19" i="117"/>
  <c r="J19" i="117"/>
  <c r="E19" i="117"/>
  <c r="AN18" i="117"/>
  <c r="AI18" i="117"/>
  <c r="AD18" i="117"/>
  <c r="Y18" i="117"/>
  <c r="T18" i="117"/>
  <c r="O18" i="117"/>
  <c r="J18" i="117"/>
  <c r="E18" i="117"/>
  <c r="AN17" i="117"/>
  <c r="AI17" i="117"/>
  <c r="AD17" i="117"/>
  <c r="Y17" i="117"/>
  <c r="T17" i="117"/>
  <c r="O17" i="117"/>
  <c r="J17" i="117"/>
  <c r="E17" i="117"/>
  <c r="AN16" i="117"/>
  <c r="AI16" i="117"/>
  <c r="AD16" i="117"/>
  <c r="Y16" i="117"/>
  <c r="T16" i="117"/>
  <c r="O16" i="117"/>
  <c r="J16" i="117"/>
  <c r="E16" i="117"/>
  <c r="AN15" i="117"/>
  <c r="AI15" i="117"/>
  <c r="AD15" i="117"/>
  <c r="Y15" i="117"/>
  <c r="T15" i="117"/>
  <c r="O15" i="117"/>
  <c r="J15" i="117"/>
  <c r="E15" i="117"/>
  <c r="AN14" i="117"/>
  <c r="AI14" i="117"/>
  <c r="AD14" i="117"/>
  <c r="Y14" i="117"/>
  <c r="T14" i="117"/>
  <c r="O14" i="117"/>
  <c r="J14" i="117"/>
  <c r="E14" i="117"/>
  <c r="AN13" i="117"/>
  <c r="AI13" i="117"/>
  <c r="AD13" i="117"/>
  <c r="Y13" i="117"/>
  <c r="T13" i="117"/>
  <c r="O13" i="117"/>
  <c r="J13" i="117"/>
  <c r="E13" i="117"/>
  <c r="AN12" i="117"/>
  <c r="AI12" i="117"/>
  <c r="AD12" i="117"/>
  <c r="Y12" i="117"/>
  <c r="T12" i="117"/>
  <c r="O12" i="117"/>
  <c r="J12" i="117"/>
  <c r="AS11" i="117"/>
  <c r="AN11" i="117"/>
  <c r="AI11" i="117"/>
  <c r="AD11" i="117"/>
  <c r="Y11" i="117"/>
  <c r="T11" i="117"/>
  <c r="O11" i="117"/>
  <c r="J11" i="117"/>
  <c r="E11" i="117"/>
  <c r="AS10" i="117"/>
  <c r="AN10" i="117"/>
  <c r="AI10" i="117"/>
  <c r="AD10" i="117"/>
  <c r="Y10" i="117"/>
  <c r="T10" i="117"/>
  <c r="O10" i="117"/>
  <c r="J10" i="117"/>
  <c r="E10" i="117"/>
  <c r="AR8" i="117"/>
  <c r="AS9" i="117"/>
  <c r="AN9" i="117"/>
  <c r="AI9" i="117"/>
  <c r="AD9" i="117"/>
  <c r="Y9" i="117"/>
  <c r="T9" i="117"/>
  <c r="O9" i="117"/>
  <c r="J9" i="117"/>
  <c r="E9" i="117"/>
  <c r="AM8" i="117"/>
  <c r="AL8" i="117"/>
  <c r="AH8" i="117"/>
  <c r="AG8" i="117"/>
  <c r="AC8" i="117"/>
  <c r="AB8" i="117"/>
  <c r="X8" i="117"/>
  <c r="W8" i="117"/>
  <c r="S8" i="117"/>
  <c r="R8" i="117"/>
  <c r="N8" i="117"/>
  <c r="M8" i="117"/>
  <c r="I8" i="117"/>
  <c r="H8" i="117"/>
  <c r="D8" i="117"/>
  <c r="C8" i="117"/>
  <c r="AN7" i="117"/>
  <c r="AI7" i="117"/>
  <c r="AD7" i="117"/>
  <c r="Y7" i="117"/>
  <c r="T7" i="117"/>
  <c r="O7" i="117"/>
  <c r="J7" i="117"/>
  <c r="E7" i="117"/>
  <c r="AR5" i="117"/>
  <c r="AQ5" i="117"/>
  <c r="AN6" i="117"/>
  <c r="AN5" i="117" s="1"/>
  <c r="AI6" i="117"/>
  <c r="AI5" i="117" s="1"/>
  <c r="AD6" i="117"/>
  <c r="AD5" i="117" s="1"/>
  <c r="Y6" i="117"/>
  <c r="Y5" i="117" s="1"/>
  <c r="T6" i="117"/>
  <c r="T5" i="117" s="1"/>
  <c r="O6" i="117"/>
  <c r="O5" i="117" s="1"/>
  <c r="J6" i="117"/>
  <c r="J5" i="117" s="1"/>
  <c r="E6" i="117"/>
  <c r="E5" i="117" s="1"/>
  <c r="AM5" i="117"/>
  <c r="AL5" i="117"/>
  <c r="AH5" i="117"/>
  <c r="AG5" i="117"/>
  <c r="AC5" i="117"/>
  <c r="AB5" i="117"/>
  <c r="X5" i="117"/>
  <c r="W5" i="117"/>
  <c r="W38" i="117" s="1"/>
  <c r="S5" i="117"/>
  <c r="R5" i="117"/>
  <c r="N5" i="117"/>
  <c r="M5" i="117"/>
  <c r="I5" i="117"/>
  <c r="H5" i="117"/>
  <c r="D5" i="117"/>
  <c r="C5" i="117"/>
  <c r="R39" i="89" l="1"/>
  <c r="AG38" i="117"/>
  <c r="R38" i="117"/>
  <c r="AB38" i="117"/>
  <c r="AB75" i="117" s="1"/>
  <c r="AL38" i="117"/>
  <c r="AL75" i="117" s="1"/>
  <c r="AL81" i="117" s="1"/>
  <c r="AL83" i="117" s="1"/>
  <c r="AL84" i="117" s="1"/>
  <c r="AL86" i="117" s="1"/>
  <c r="AL87" i="117" s="1"/>
  <c r="M38" i="117"/>
  <c r="Y79" i="117"/>
  <c r="Y77" i="117" s="1"/>
  <c r="Q39" i="89"/>
  <c r="S75" i="89"/>
  <c r="X38" i="117"/>
  <c r="J41" i="117"/>
  <c r="AD41" i="117"/>
  <c r="O41" i="117"/>
  <c r="H38" i="117"/>
  <c r="AN79" i="117"/>
  <c r="AN77" i="117" s="1"/>
  <c r="E41" i="117"/>
  <c r="Y41" i="117"/>
  <c r="T41" i="117"/>
  <c r="AN41" i="117"/>
  <c r="AI41" i="117"/>
  <c r="AR38" i="117"/>
  <c r="AR39" i="117" s="1"/>
  <c r="D38" i="117"/>
  <c r="D75" i="117" s="1"/>
  <c r="AS7" i="117"/>
  <c r="AS12" i="117"/>
  <c r="AS14" i="117"/>
  <c r="AS16" i="117"/>
  <c r="AS18" i="117"/>
  <c r="AS20" i="117"/>
  <c r="AS22" i="117"/>
  <c r="AS30" i="117"/>
  <c r="AS61" i="117"/>
  <c r="AD79" i="117"/>
  <c r="AD77" i="117" s="1"/>
  <c r="AQ77" i="117"/>
  <c r="I38" i="117"/>
  <c r="I75" i="117" s="1"/>
  <c r="AS13" i="117"/>
  <c r="AS15" i="117"/>
  <c r="AS17" i="117"/>
  <c r="AS19" i="117"/>
  <c r="AS21" i="117"/>
  <c r="AS26" i="117"/>
  <c r="AS31" i="117"/>
  <c r="AS45" i="117"/>
  <c r="AS65" i="117"/>
  <c r="AS68" i="117"/>
  <c r="S39" i="89"/>
  <c r="R81" i="89"/>
  <c r="R83" i="89" s="1"/>
  <c r="R84" i="89" s="1"/>
  <c r="R86" i="89" s="1"/>
  <c r="R87" i="89" s="1"/>
  <c r="R76" i="89"/>
  <c r="S76" i="89"/>
  <c r="Q81" i="89"/>
  <c r="Q83" i="89" s="1"/>
  <c r="Q84" i="89" s="1"/>
  <c r="Q86" i="89" s="1"/>
  <c r="Q76" i="89"/>
  <c r="AQ8" i="117"/>
  <c r="AQ38" i="117" s="1"/>
  <c r="AQ39" i="117" s="1"/>
  <c r="C38" i="117"/>
  <c r="R75" i="117"/>
  <c r="R39" i="117"/>
  <c r="X75" i="117"/>
  <c r="X39" i="117"/>
  <c r="E50" i="117"/>
  <c r="M75" i="117"/>
  <c r="M39" i="117"/>
  <c r="S38" i="117"/>
  <c r="AG75" i="117"/>
  <c r="AG39" i="117"/>
  <c r="AM38" i="117"/>
  <c r="E8" i="117"/>
  <c r="E38" i="117" s="1"/>
  <c r="J8" i="117"/>
  <c r="J38" i="117" s="1"/>
  <c r="O8" i="117"/>
  <c r="O38" i="117" s="1"/>
  <c r="T8" i="117"/>
  <c r="Y8" i="117"/>
  <c r="AD8" i="117"/>
  <c r="AD38" i="117" s="1"/>
  <c r="AI8" i="117"/>
  <c r="AI38" i="117" s="1"/>
  <c r="AN8" i="117"/>
  <c r="AN38" i="117" s="1"/>
  <c r="AQ50" i="117"/>
  <c r="AS51" i="117"/>
  <c r="J54" i="117"/>
  <c r="E54" i="117"/>
  <c r="Y54" i="117"/>
  <c r="AN54" i="117"/>
  <c r="O54" i="117"/>
  <c r="N38" i="117"/>
  <c r="AH38" i="117"/>
  <c r="AS6" i="117"/>
  <c r="AS5" i="117" s="1"/>
  <c r="AS24" i="117"/>
  <c r="Y35" i="117"/>
  <c r="AR54" i="117"/>
  <c r="AR75" i="117" s="1"/>
  <c r="T54" i="117"/>
  <c r="AD54" i="117"/>
  <c r="W75" i="117"/>
  <c r="W39" i="117"/>
  <c r="AC38" i="117"/>
  <c r="E35" i="117"/>
  <c r="AS36" i="117"/>
  <c r="AB39" i="117"/>
  <c r="T50" i="117"/>
  <c r="AI54" i="117"/>
  <c r="AS42" i="117"/>
  <c r="AQ41" i="117"/>
  <c r="AS48" i="117"/>
  <c r="AS55" i="117"/>
  <c r="AQ54" i="117"/>
  <c r="AS63" i="117"/>
  <c r="AS46" i="117"/>
  <c r="AS59" i="117"/>
  <c r="AS67" i="117"/>
  <c r="AS74" i="117"/>
  <c r="AS73" i="117" s="1"/>
  <c r="AS82" i="117"/>
  <c r="AL39" i="117" l="1"/>
  <c r="AB76" i="117"/>
  <c r="AB81" i="117"/>
  <c r="AB83" i="117" s="1"/>
  <c r="AB84" i="117" s="1"/>
  <c r="AB86" i="117" s="1"/>
  <c r="AB87" i="117" s="1"/>
  <c r="J75" i="117"/>
  <c r="J76" i="117" s="1"/>
  <c r="D39" i="117"/>
  <c r="AL76" i="117"/>
  <c r="Q87" i="89"/>
  <c r="I81" i="117"/>
  <c r="I83" i="117" s="1"/>
  <c r="I84" i="117" s="1"/>
  <c r="I86" i="117" s="1"/>
  <c r="I87" i="117" s="1"/>
  <c r="I76" i="117"/>
  <c r="H39" i="117"/>
  <c r="H75" i="117"/>
  <c r="AS8" i="117"/>
  <c r="AS38" i="117" s="1"/>
  <c r="I39" i="117"/>
  <c r="AQ75" i="117"/>
  <c r="AQ81" i="117" s="1"/>
  <c r="AQ83" i="117" s="1"/>
  <c r="AQ84" i="117" s="1"/>
  <c r="AQ86" i="117" s="1"/>
  <c r="AQ87" i="117" s="1"/>
  <c r="C75" i="117"/>
  <c r="C39" i="117"/>
  <c r="AR81" i="117"/>
  <c r="AR83" i="117" s="1"/>
  <c r="AR84" i="117" s="1"/>
  <c r="AR86" i="117" s="1"/>
  <c r="AR87" i="117" s="1"/>
  <c r="AR76" i="117"/>
  <c r="S75" i="117"/>
  <c r="S39" i="117"/>
  <c r="T38" i="117"/>
  <c r="AM75" i="117"/>
  <c r="AM39" i="117"/>
  <c r="E39" i="117"/>
  <c r="E75" i="117"/>
  <c r="O75" i="117"/>
  <c r="O39" i="117"/>
  <c r="J39" i="117"/>
  <c r="AN75" i="117"/>
  <c r="AN39" i="117"/>
  <c r="D81" i="117"/>
  <c r="D83" i="117" s="1"/>
  <c r="D84" i="117" s="1"/>
  <c r="D86" i="117" s="1"/>
  <c r="D87" i="117" s="1"/>
  <c r="D76" i="117"/>
  <c r="AD75" i="117"/>
  <c r="AD39" i="117"/>
  <c r="AH39" i="117"/>
  <c r="AH75" i="117"/>
  <c r="N75" i="117"/>
  <c r="N39" i="117"/>
  <c r="AS50" i="117"/>
  <c r="AD89" i="117"/>
  <c r="AJ54" i="117" s="1"/>
  <c r="M76" i="117"/>
  <c r="M81" i="117"/>
  <c r="M83" i="117" s="1"/>
  <c r="M84" i="117" s="1"/>
  <c r="M86" i="117" s="1"/>
  <c r="M87" i="117" s="1"/>
  <c r="X81" i="117"/>
  <c r="X83" i="117" s="1"/>
  <c r="X84" i="117" s="1"/>
  <c r="X86" i="117" s="1"/>
  <c r="X87" i="117" s="1"/>
  <c r="X76" i="117"/>
  <c r="AN89" i="117"/>
  <c r="AN93" i="117" s="1"/>
  <c r="AI75" i="117"/>
  <c r="AI39" i="117"/>
  <c r="AC75" i="117"/>
  <c r="AC39" i="117"/>
  <c r="AS54" i="117"/>
  <c r="AS41" i="117"/>
  <c r="AS35" i="117"/>
  <c r="W81" i="117"/>
  <c r="W83" i="117" s="1"/>
  <c r="W84" i="117" s="1"/>
  <c r="W86" i="117" s="1"/>
  <c r="W87" i="117" s="1"/>
  <c r="W76" i="117"/>
  <c r="Y89" i="117"/>
  <c r="AG76" i="117"/>
  <c r="AG81" i="117"/>
  <c r="AG83" i="117" s="1"/>
  <c r="AG84" i="117" s="1"/>
  <c r="AG86" i="117" s="1"/>
  <c r="AG87" i="117" s="1"/>
  <c r="Y38" i="117"/>
  <c r="R81" i="117"/>
  <c r="R83" i="117" s="1"/>
  <c r="R84" i="117" s="1"/>
  <c r="R86" i="117" s="1"/>
  <c r="R87" i="117" s="1"/>
  <c r="R76" i="117"/>
  <c r="BK82" i="102"/>
  <c r="BJ82" i="102"/>
  <c r="BJ79" i="102"/>
  <c r="BK78" i="102"/>
  <c r="BJ78" i="102"/>
  <c r="BK71" i="102"/>
  <c r="BJ71" i="102"/>
  <c r="BK70" i="102"/>
  <c r="BJ70" i="102"/>
  <c r="BK69" i="102"/>
  <c r="BK68" i="102"/>
  <c r="BJ68" i="102"/>
  <c r="BK67" i="102"/>
  <c r="BK66" i="102"/>
  <c r="BJ66" i="102"/>
  <c r="BK64" i="102"/>
  <c r="BJ64" i="102"/>
  <c r="BK63" i="102"/>
  <c r="BK62" i="102"/>
  <c r="BJ62" i="102"/>
  <c r="BK61" i="102"/>
  <c r="BJ61" i="102"/>
  <c r="BK60" i="102"/>
  <c r="BJ60" i="102"/>
  <c r="BK59" i="102"/>
  <c r="BJ59" i="102"/>
  <c r="BK57" i="102"/>
  <c r="BJ57" i="102"/>
  <c r="BK56" i="102"/>
  <c r="BJ56" i="102"/>
  <c r="BK55" i="102"/>
  <c r="BJ55" i="102"/>
  <c r="BK52" i="102"/>
  <c r="BJ52" i="102"/>
  <c r="BK51" i="102"/>
  <c r="BJ51" i="102"/>
  <c r="BK49" i="102"/>
  <c r="BJ49" i="102"/>
  <c r="BK48" i="102"/>
  <c r="BK46" i="102"/>
  <c r="BJ46" i="102"/>
  <c r="BK45" i="102"/>
  <c r="BK44" i="102"/>
  <c r="BJ44" i="102"/>
  <c r="BJ43" i="102"/>
  <c r="BK42" i="102"/>
  <c r="BJ42" i="102"/>
  <c r="BK36" i="102"/>
  <c r="BJ36" i="102"/>
  <c r="BK33" i="102"/>
  <c r="BJ33" i="102"/>
  <c r="BK32" i="102"/>
  <c r="BJ32" i="102"/>
  <c r="BK30" i="102"/>
  <c r="BJ30" i="102"/>
  <c r="BK27" i="102"/>
  <c r="BK26" i="102"/>
  <c r="BK25" i="102"/>
  <c r="BK24" i="102"/>
  <c r="BK23" i="102"/>
  <c r="BJ23" i="102"/>
  <c r="BK22" i="102"/>
  <c r="BK20" i="102"/>
  <c r="BK19" i="102"/>
  <c r="BK17" i="102"/>
  <c r="BJ17" i="102"/>
  <c r="BJ16" i="102"/>
  <c r="BK15" i="102"/>
  <c r="BJ15" i="102"/>
  <c r="BK14" i="102"/>
  <c r="BK13" i="102"/>
  <c r="BK11" i="102"/>
  <c r="BK10" i="102"/>
  <c r="BJ10" i="102"/>
  <c r="BK9" i="102"/>
  <c r="BJ9" i="102"/>
  <c r="BJ7" i="102"/>
  <c r="BK7" i="102"/>
  <c r="BK6" i="102"/>
  <c r="BG82" i="102"/>
  <c r="BG78" i="102"/>
  <c r="BF77" i="102"/>
  <c r="BE77" i="102"/>
  <c r="BG74" i="102"/>
  <c r="BG73" i="102" s="1"/>
  <c r="BF73" i="102"/>
  <c r="BE73" i="102"/>
  <c r="BG71" i="102"/>
  <c r="BG70" i="102"/>
  <c r="BG69" i="102"/>
  <c r="BG68" i="102"/>
  <c r="BG67" i="102"/>
  <c r="BG66" i="102"/>
  <c r="BG65" i="102"/>
  <c r="BG64" i="102"/>
  <c r="BG63" i="102"/>
  <c r="BG62" i="102"/>
  <c r="BG61" i="102"/>
  <c r="BG60" i="102"/>
  <c r="BG59" i="102"/>
  <c r="BG58" i="102"/>
  <c r="BG57" i="102"/>
  <c r="BG56" i="102"/>
  <c r="BG55" i="102"/>
  <c r="BF54" i="102"/>
  <c r="BE54" i="102"/>
  <c r="BG52" i="102"/>
  <c r="BG51" i="102"/>
  <c r="BF50" i="102"/>
  <c r="BE50" i="102"/>
  <c r="BG48" i="102"/>
  <c r="BG47" i="102"/>
  <c r="BG46" i="102"/>
  <c r="BG45" i="102"/>
  <c r="BG44" i="102"/>
  <c r="BG43" i="102"/>
  <c r="BG42" i="102"/>
  <c r="BF41" i="102"/>
  <c r="BE41" i="102"/>
  <c r="BG36" i="102"/>
  <c r="BG35" i="102" s="1"/>
  <c r="BF35" i="102"/>
  <c r="BE35" i="102"/>
  <c r="BG33" i="102"/>
  <c r="BG32" i="102"/>
  <c r="BG31" i="102"/>
  <c r="BG30" i="102"/>
  <c r="BG29" i="102"/>
  <c r="BG28" i="102"/>
  <c r="BG27" i="102"/>
  <c r="BG26" i="102"/>
  <c r="BG25" i="102"/>
  <c r="BG24" i="102"/>
  <c r="BG23" i="102"/>
  <c r="BG22" i="102"/>
  <c r="BG21" i="102"/>
  <c r="BG20" i="102"/>
  <c r="BG19" i="102"/>
  <c r="BG18" i="102"/>
  <c r="BG17" i="102"/>
  <c r="BG16" i="102"/>
  <c r="BG15" i="102"/>
  <c r="BG14" i="102"/>
  <c r="BG13" i="102"/>
  <c r="BG12" i="102"/>
  <c r="BG11" i="102"/>
  <c r="BG10" i="102"/>
  <c r="BG9" i="102"/>
  <c r="BF8" i="102"/>
  <c r="BE8" i="102"/>
  <c r="BG7" i="102"/>
  <c r="BG6" i="102"/>
  <c r="BG5" i="102" s="1"/>
  <c r="BF5" i="102"/>
  <c r="BE5" i="102"/>
  <c r="BE38" i="102" s="1"/>
  <c r="BF49" i="107"/>
  <c r="BE49" i="107"/>
  <c r="AW82" i="107"/>
  <c r="AW78" i="107"/>
  <c r="AV77" i="107"/>
  <c r="AU77" i="107"/>
  <c r="AW74" i="107"/>
  <c r="AW73" i="107" s="1"/>
  <c r="AV73" i="107"/>
  <c r="AU73" i="107"/>
  <c r="AW71" i="107"/>
  <c r="AW70" i="107"/>
  <c r="AW69" i="107"/>
  <c r="AW68" i="107"/>
  <c r="AW67" i="107"/>
  <c r="AW66" i="107"/>
  <c r="AW65" i="107"/>
  <c r="AW64" i="107"/>
  <c r="AW63" i="107"/>
  <c r="AW62" i="107"/>
  <c r="AW61" i="107"/>
  <c r="AW60" i="107"/>
  <c r="AW59" i="107"/>
  <c r="AW58" i="107"/>
  <c r="AW57" i="107"/>
  <c r="AW56" i="107"/>
  <c r="AW55" i="107"/>
  <c r="AV54" i="107"/>
  <c r="AU54" i="107"/>
  <c r="AW52" i="107"/>
  <c r="AW51" i="107"/>
  <c r="AV50" i="107"/>
  <c r="AU50" i="107"/>
  <c r="AW48" i="107"/>
  <c r="AW47" i="107"/>
  <c r="AW46" i="107"/>
  <c r="AW45" i="107"/>
  <c r="AW44" i="107"/>
  <c r="AW43" i="107"/>
  <c r="AW42" i="107"/>
  <c r="AV41" i="107"/>
  <c r="AU41" i="107"/>
  <c r="AW36" i="107"/>
  <c r="AW35" i="107" s="1"/>
  <c r="AV35" i="107"/>
  <c r="AU35" i="107"/>
  <c r="AW33" i="107"/>
  <c r="AW32" i="107"/>
  <c r="AW31" i="107"/>
  <c r="AW30" i="107"/>
  <c r="AW29" i="107"/>
  <c r="AW28" i="107"/>
  <c r="AW27" i="107"/>
  <c r="AW26" i="107"/>
  <c r="AW25" i="107"/>
  <c r="AW24" i="107"/>
  <c r="AW22" i="107"/>
  <c r="AW21" i="107"/>
  <c r="AW20" i="107"/>
  <c r="AW19" i="107"/>
  <c r="AW18" i="107"/>
  <c r="AW17" i="107"/>
  <c r="AW16" i="107"/>
  <c r="AW15" i="107"/>
  <c r="AW14" i="107"/>
  <c r="AW13" i="107"/>
  <c r="AW12" i="107"/>
  <c r="AW11" i="107"/>
  <c r="AW10" i="107"/>
  <c r="AW9" i="107"/>
  <c r="AV8" i="107"/>
  <c r="AW7" i="107"/>
  <c r="AW6" i="107"/>
  <c r="AV5" i="107"/>
  <c r="AU5" i="107"/>
  <c r="AW50" i="107" l="1"/>
  <c r="H76" i="117"/>
  <c r="H81" i="117"/>
  <c r="H83" i="117" s="1"/>
  <c r="H84" i="117" s="1"/>
  <c r="H86" i="117" s="1"/>
  <c r="H87" i="117" s="1"/>
  <c r="AQ76" i="117"/>
  <c r="AE54" i="117"/>
  <c r="AW41" i="107"/>
  <c r="BG41" i="102"/>
  <c r="C76" i="117"/>
  <c r="C81" i="117"/>
  <c r="C83" i="117" s="1"/>
  <c r="C84" i="117" s="1"/>
  <c r="C86" i="117" s="1"/>
  <c r="C87" i="117" s="1"/>
  <c r="Z66" i="117"/>
  <c r="Z64" i="117"/>
  <c r="Z62" i="117"/>
  <c r="Z60" i="117"/>
  <c r="Z58" i="117"/>
  <c r="Z56" i="117"/>
  <c r="Z52" i="117"/>
  <c r="Z43" i="117"/>
  <c r="Z49" i="117"/>
  <c r="Z47" i="117"/>
  <c r="Z70" i="117"/>
  <c r="Z63" i="117"/>
  <c r="Z55" i="117"/>
  <c r="Z46" i="117"/>
  <c r="Z59" i="117"/>
  <c r="Z20" i="117"/>
  <c r="Z18" i="117"/>
  <c r="Z14" i="117"/>
  <c r="Z10" i="117"/>
  <c r="Z42" i="117"/>
  <c r="Z33" i="117"/>
  <c r="Z21" i="117"/>
  <c r="Z19" i="117"/>
  <c r="Z17" i="117"/>
  <c r="Z15" i="117"/>
  <c r="Z13" i="117"/>
  <c r="Z11" i="117"/>
  <c r="Z9" i="117"/>
  <c r="Z67" i="117"/>
  <c r="Z45" i="117"/>
  <c r="Z31" i="117"/>
  <c r="Z16" i="117"/>
  <c r="Z12" i="117"/>
  <c r="Z29" i="117"/>
  <c r="Z57" i="117"/>
  <c r="Z65" i="117"/>
  <c r="Z68" i="117"/>
  <c r="Z23" i="117"/>
  <c r="Y93" i="117"/>
  <c r="Z27" i="117"/>
  <c r="Z24" i="117"/>
  <c r="Z25" i="117"/>
  <c r="Z61" i="117"/>
  <c r="Z69" i="117"/>
  <c r="Z22" i="117"/>
  <c r="Z32" i="117"/>
  <c r="Z41" i="117"/>
  <c r="Z51" i="117"/>
  <c r="Z26" i="117"/>
  <c r="Z30" i="117"/>
  <c r="Z48" i="117"/>
  <c r="Z28" i="117"/>
  <c r="Z44" i="117"/>
  <c r="Z71" i="117"/>
  <c r="AI76" i="117"/>
  <c r="AJ8" i="117"/>
  <c r="N76" i="117"/>
  <c r="N81" i="117"/>
  <c r="N83" i="117" s="1"/>
  <c r="N84" i="117" s="1"/>
  <c r="N86" i="117" s="1"/>
  <c r="N87" i="117" s="1"/>
  <c r="E76" i="117"/>
  <c r="Y75" i="117"/>
  <c r="Y39" i="117"/>
  <c r="AO8" i="117"/>
  <c r="AE8" i="117"/>
  <c r="AH76" i="117"/>
  <c r="AH81" i="117"/>
  <c r="AH83" i="117" s="1"/>
  <c r="AH84" i="117" s="1"/>
  <c r="AH86" i="117" s="1"/>
  <c r="AH87" i="117" s="1"/>
  <c r="AN76" i="117"/>
  <c r="AN81" i="117"/>
  <c r="AN83" i="117" s="1"/>
  <c r="AN84" i="117" s="1"/>
  <c r="AN86" i="117" s="1"/>
  <c r="AN87" i="117" s="1"/>
  <c r="O76" i="117"/>
  <c r="Z54" i="117"/>
  <c r="S76" i="117"/>
  <c r="S81" i="117"/>
  <c r="S83" i="117" s="1"/>
  <c r="S84" i="117" s="1"/>
  <c r="S86" i="117" s="1"/>
  <c r="S87" i="117" s="1"/>
  <c r="AS75" i="117"/>
  <c r="AS39" i="117"/>
  <c r="AD81" i="117"/>
  <c r="AD83" i="117" s="1"/>
  <c r="AD84" i="117" s="1"/>
  <c r="AD86" i="117" s="1"/>
  <c r="AD87" i="117" s="1"/>
  <c r="AD76" i="117"/>
  <c r="AC81" i="117"/>
  <c r="AC83" i="117" s="1"/>
  <c r="AC84" i="117" s="1"/>
  <c r="AC86" i="117" s="1"/>
  <c r="AC87" i="117" s="1"/>
  <c r="AC76" i="117"/>
  <c r="AM76" i="117"/>
  <c r="AM81" i="117"/>
  <c r="AM83" i="117" s="1"/>
  <c r="AM84" i="117" s="1"/>
  <c r="AM86" i="117" s="1"/>
  <c r="AM87" i="117" s="1"/>
  <c r="Z8" i="117"/>
  <c r="AJ70" i="117"/>
  <c r="AO69" i="117"/>
  <c r="AO67" i="117"/>
  <c r="AE67" i="117"/>
  <c r="AJ66" i="117"/>
  <c r="AO65" i="117"/>
  <c r="AE65" i="117"/>
  <c r="AJ64" i="117"/>
  <c r="AO63" i="117"/>
  <c r="AE63" i="117"/>
  <c r="AJ62" i="117"/>
  <c r="AO61" i="117"/>
  <c r="AE61" i="117"/>
  <c r="AJ60" i="117"/>
  <c r="AO59" i="117"/>
  <c r="AE59" i="117"/>
  <c r="AJ58" i="117"/>
  <c r="AO57" i="117"/>
  <c r="AE57" i="117"/>
  <c r="AJ56" i="117"/>
  <c r="AO55" i="117"/>
  <c r="AE55" i="117"/>
  <c r="AJ52" i="117"/>
  <c r="AO51" i="117"/>
  <c r="AE51" i="117"/>
  <c r="AO49" i="117"/>
  <c r="AO48" i="117"/>
  <c r="AJ49" i="117"/>
  <c r="AO44" i="117"/>
  <c r="AE44" i="117"/>
  <c r="AJ43" i="117"/>
  <c r="AE48" i="117"/>
  <c r="AJ47" i="117"/>
  <c r="AE69" i="117"/>
  <c r="AJ65" i="117"/>
  <c r="AO64" i="117"/>
  <c r="AE62" i="117"/>
  <c r="AJ57" i="117"/>
  <c r="AO56" i="117"/>
  <c r="AJ51" i="117"/>
  <c r="AJ46" i="117"/>
  <c r="AO45" i="117"/>
  <c r="AE45" i="117"/>
  <c r="AO42" i="117"/>
  <c r="AE42" i="117"/>
  <c r="AO60" i="117"/>
  <c r="AE58" i="117"/>
  <c r="AE49" i="117"/>
  <c r="AJ61" i="117"/>
  <c r="AE21" i="117"/>
  <c r="AO19" i="117"/>
  <c r="AO15" i="117"/>
  <c r="AJ14" i="117"/>
  <c r="AO13" i="117"/>
  <c r="AE13" i="117"/>
  <c r="AJ12" i="117"/>
  <c r="AO11" i="117"/>
  <c r="AJ10" i="117"/>
  <c r="AE9" i="117"/>
  <c r="AE52" i="117"/>
  <c r="AE46" i="117"/>
  <c r="AE32" i="117"/>
  <c r="AJ21" i="117"/>
  <c r="AO20" i="117"/>
  <c r="AE20" i="117"/>
  <c r="AJ19" i="117"/>
  <c r="AO18" i="117"/>
  <c r="AE18" i="117"/>
  <c r="AJ17" i="117"/>
  <c r="AO16" i="117"/>
  <c r="AE16" i="117"/>
  <c r="AJ15" i="117"/>
  <c r="AO14" i="117"/>
  <c r="AE14" i="117"/>
  <c r="AJ13" i="117"/>
  <c r="AO12" i="117"/>
  <c r="AE12" i="117"/>
  <c r="AJ11" i="117"/>
  <c r="AO10" i="117"/>
  <c r="AE10" i="117"/>
  <c r="AJ9" i="117"/>
  <c r="AJ45" i="117"/>
  <c r="AJ18" i="117"/>
  <c r="AO17" i="117"/>
  <c r="AE66" i="117"/>
  <c r="AO46" i="117"/>
  <c r="AJ42" i="117"/>
  <c r="AE36" i="117"/>
  <c r="AO21" i="117"/>
  <c r="AJ20" i="117"/>
  <c r="AE19" i="117"/>
  <c r="AE17" i="117"/>
  <c r="AJ16" i="117"/>
  <c r="AE15" i="117"/>
  <c r="AE11" i="117"/>
  <c r="AO9" i="117"/>
  <c r="AO26" i="117"/>
  <c r="AE30" i="117"/>
  <c r="AO30" i="117"/>
  <c r="AE22" i="117"/>
  <c r="AO24" i="117"/>
  <c r="AJ26" i="117"/>
  <c r="AE31" i="117"/>
  <c r="AO43" i="117"/>
  <c r="AO62" i="117"/>
  <c r="AO71" i="117"/>
  <c r="AD93" i="117"/>
  <c r="AJ32" i="117"/>
  <c r="AJ67" i="117"/>
  <c r="AO36" i="117"/>
  <c r="AJ69" i="117"/>
  <c r="AE60" i="117"/>
  <c r="AE50" i="117"/>
  <c r="AJ50" i="117"/>
  <c r="AJ23" i="117"/>
  <c r="AE29" i="117"/>
  <c r="AJ29" i="117"/>
  <c r="AE25" i="117"/>
  <c r="AE24" i="117"/>
  <c r="AJ59" i="117"/>
  <c r="AJ63" i="117"/>
  <c r="AE27" i="117"/>
  <c r="AO22" i="117"/>
  <c r="AE26" i="117"/>
  <c r="AO29" i="117"/>
  <c r="AE23" i="117"/>
  <c r="AJ25" i="117"/>
  <c r="AE64" i="117"/>
  <c r="AJ41" i="117"/>
  <c r="AO33" i="117"/>
  <c r="AE41" i="117"/>
  <c r="AE47" i="117"/>
  <c r="AO31" i="117"/>
  <c r="AJ44" i="117"/>
  <c r="AE33" i="117"/>
  <c r="AE43" i="117"/>
  <c r="AJ48" i="117"/>
  <c r="AJ68" i="117"/>
  <c r="AO68" i="117"/>
  <c r="AJ71" i="117"/>
  <c r="AE70" i="117"/>
  <c r="AE68" i="117"/>
  <c r="AJ27" i="117"/>
  <c r="AO32" i="117"/>
  <c r="AO23" i="117"/>
  <c r="AJ30" i="117"/>
  <c r="AO27" i="117"/>
  <c r="AE71" i="117"/>
  <c r="AJ36" i="117"/>
  <c r="AE56" i="117"/>
  <c r="AO52" i="117"/>
  <c r="AO25" i="117"/>
  <c r="AJ22" i="117"/>
  <c r="AE28" i="117"/>
  <c r="AJ28" i="117"/>
  <c r="AJ24" i="117"/>
  <c r="AJ31" i="117"/>
  <c r="AO28" i="117"/>
  <c r="AJ33" i="117"/>
  <c r="AO58" i="117"/>
  <c r="AO47" i="117"/>
  <c r="AO50" i="117"/>
  <c r="AO41" i="117"/>
  <c r="AJ55" i="117"/>
  <c r="AO66" i="117"/>
  <c r="AO70" i="117"/>
  <c r="AO54" i="117"/>
  <c r="T39" i="117"/>
  <c r="T75" i="117"/>
  <c r="BG54" i="102"/>
  <c r="BF38" i="102"/>
  <c r="BF75" i="102" s="1"/>
  <c r="BE39" i="102"/>
  <c r="BE75" i="102"/>
  <c r="BG8" i="102"/>
  <c r="BG38" i="102" s="1"/>
  <c r="BG50" i="102"/>
  <c r="AW54" i="107"/>
  <c r="AV38" i="107"/>
  <c r="AV75" i="107" s="1"/>
  <c r="AW8" i="107"/>
  <c r="AW5" i="107"/>
  <c r="AU8" i="107"/>
  <c r="AU38" i="107" s="1"/>
  <c r="AV39" i="107" l="1"/>
  <c r="AW38" i="107"/>
  <c r="AW75" i="107" s="1"/>
  <c r="BF39" i="102"/>
  <c r="T76" i="117"/>
  <c r="AS76" i="117"/>
  <c r="Y76" i="117"/>
  <c r="Y81" i="117"/>
  <c r="Y83" i="117" s="1"/>
  <c r="Y84" i="117" s="1"/>
  <c r="Y86" i="117" s="1"/>
  <c r="Y87" i="117" s="1"/>
  <c r="BG75" i="102"/>
  <c r="BG39" i="102"/>
  <c r="BF81" i="102"/>
  <c r="BF83" i="102" s="1"/>
  <c r="BF84" i="102" s="1"/>
  <c r="BF86" i="102" s="1"/>
  <c r="BF87" i="102" s="1"/>
  <c r="BF76" i="102"/>
  <c r="BE81" i="102"/>
  <c r="BE83" i="102" s="1"/>
  <c r="BE84" i="102" s="1"/>
  <c r="BE86" i="102" s="1"/>
  <c r="BE87" i="102" s="1"/>
  <c r="BE76" i="102"/>
  <c r="AU75" i="107"/>
  <c r="AU39" i="107"/>
  <c r="AV81" i="107"/>
  <c r="AV83" i="107" s="1"/>
  <c r="AV76" i="107"/>
  <c r="N22" i="85"/>
  <c r="N23" i="85"/>
  <c r="M79" i="85"/>
  <c r="R79" i="85" s="1"/>
  <c r="AV84" i="107" l="1"/>
  <c r="AV86" i="107" s="1"/>
  <c r="AV87" i="107" s="1"/>
  <c r="AW39" i="107"/>
  <c r="BG76" i="102"/>
  <c r="AW76" i="107"/>
  <c r="AU76" i="107"/>
  <c r="AU81" i="107"/>
  <c r="AU83" i="107" s="1"/>
  <c r="AU84" i="107" s="1"/>
  <c r="AU86" i="107" s="1"/>
  <c r="AU87" i="107" s="1"/>
  <c r="Q79" i="85"/>
  <c r="AK26" i="91" l="1"/>
  <c r="Q26" i="108" l="1"/>
  <c r="AP26" i="108" s="1"/>
  <c r="AR26" i="108" s="1"/>
  <c r="AP25" i="91" l="1"/>
  <c r="BE25" i="91" s="1"/>
  <c r="AP26" i="91"/>
  <c r="BP79" i="96" l="1"/>
  <c r="BO79" i="96"/>
  <c r="BP78" i="96"/>
  <c r="BO78" i="96"/>
  <c r="BP71" i="96"/>
  <c r="BO71" i="96"/>
  <c r="BP70" i="96"/>
  <c r="BO70" i="96"/>
  <c r="BP69" i="96"/>
  <c r="BP68" i="96"/>
  <c r="BO68" i="96"/>
  <c r="BP67" i="96"/>
  <c r="BO67" i="96"/>
  <c r="BP66" i="96"/>
  <c r="BO66" i="96"/>
  <c r="BP65" i="96"/>
  <c r="BO65" i="96"/>
  <c r="BP64" i="96"/>
  <c r="BO64" i="96"/>
  <c r="BP62" i="96"/>
  <c r="BO62" i="96"/>
  <c r="BP61" i="96"/>
  <c r="BO61" i="96"/>
  <c r="BP60" i="96"/>
  <c r="BP59" i="96"/>
  <c r="BP57" i="96"/>
  <c r="BO57" i="96"/>
  <c r="BP56" i="96"/>
  <c r="BO56" i="96"/>
  <c r="BP55" i="96"/>
  <c r="BO55" i="96"/>
  <c r="BP52" i="96"/>
  <c r="BO52" i="96"/>
  <c r="BP51" i="96"/>
  <c r="BO51" i="96"/>
  <c r="BP48" i="96"/>
  <c r="BP47" i="96"/>
  <c r="BO47" i="96"/>
  <c r="BP46" i="96"/>
  <c r="BO46" i="96"/>
  <c r="BP45" i="96"/>
  <c r="BP44" i="96"/>
  <c r="BO44" i="96"/>
  <c r="BP43" i="96"/>
  <c r="BO43" i="96"/>
  <c r="BP42" i="96"/>
  <c r="BO42" i="96"/>
  <c r="BP33" i="96"/>
  <c r="BO33" i="96"/>
  <c r="BP32" i="96"/>
  <c r="BO32" i="96"/>
  <c r="BO30" i="96"/>
  <c r="BO29" i="96"/>
  <c r="BP27" i="96"/>
  <c r="BP26" i="96"/>
  <c r="BP25" i="96"/>
  <c r="BP24" i="96"/>
  <c r="BP23" i="96"/>
  <c r="BO23" i="96"/>
  <c r="BP21" i="96"/>
  <c r="BP20" i="96"/>
  <c r="BP19" i="96"/>
  <c r="BO19" i="96"/>
  <c r="BP18" i="96"/>
  <c r="BP17" i="96"/>
  <c r="BO17" i="96"/>
  <c r="BO16" i="96"/>
  <c r="BP15" i="96"/>
  <c r="BO15" i="96"/>
  <c r="BP14" i="96"/>
  <c r="BP13" i="96"/>
  <c r="BP11" i="96"/>
  <c r="BO11" i="96"/>
  <c r="BP10" i="96"/>
  <c r="BP9" i="96"/>
  <c r="BO9" i="96"/>
  <c r="BO6" i="96"/>
  <c r="BP6" i="96"/>
  <c r="BL85" i="96"/>
  <c r="BL82" i="96"/>
  <c r="BL78" i="96"/>
  <c r="BK77" i="96"/>
  <c r="BJ77" i="96"/>
  <c r="BL74" i="96"/>
  <c r="BL73" i="96" s="1"/>
  <c r="BK73" i="96"/>
  <c r="BJ73" i="96"/>
  <c r="BL71" i="96"/>
  <c r="BL70" i="96"/>
  <c r="BL69" i="96"/>
  <c r="BL68" i="96"/>
  <c r="BL67" i="96"/>
  <c r="BL66" i="96"/>
  <c r="BL65" i="96"/>
  <c r="BL64" i="96"/>
  <c r="BL63" i="96"/>
  <c r="BL62" i="96"/>
  <c r="BL61" i="96"/>
  <c r="BL60" i="96"/>
  <c r="BL59" i="96"/>
  <c r="BL58" i="96"/>
  <c r="BL57" i="96"/>
  <c r="BL56" i="96"/>
  <c r="BL55" i="96"/>
  <c r="BK54" i="96"/>
  <c r="BJ54" i="96"/>
  <c r="BL52" i="96"/>
  <c r="BL51" i="96"/>
  <c r="BK50" i="96"/>
  <c r="BJ50" i="96"/>
  <c r="BL48" i="96"/>
  <c r="BL47" i="96"/>
  <c r="BL46" i="96"/>
  <c r="BL45" i="96"/>
  <c r="BL44" i="96"/>
  <c r="BL43" i="96"/>
  <c r="BL42" i="96"/>
  <c r="BK41" i="96"/>
  <c r="BJ41" i="96"/>
  <c r="BL36" i="96"/>
  <c r="BL35" i="96" s="1"/>
  <c r="BK35" i="96"/>
  <c r="BJ35" i="96"/>
  <c r="BL33" i="96"/>
  <c r="BL32" i="96"/>
  <c r="BL31" i="96"/>
  <c r="BL30" i="96"/>
  <c r="BL29" i="96"/>
  <c r="BL28" i="96"/>
  <c r="BL27" i="96"/>
  <c r="BL26" i="96"/>
  <c r="BL25" i="96"/>
  <c r="BL24" i="96"/>
  <c r="BL23" i="96"/>
  <c r="BL22" i="96"/>
  <c r="BL21" i="96"/>
  <c r="BL20" i="96"/>
  <c r="BL19" i="96"/>
  <c r="BL18" i="96"/>
  <c r="BL17" i="96"/>
  <c r="BL16" i="96"/>
  <c r="BL15" i="96"/>
  <c r="BL14" i="96"/>
  <c r="BL13" i="96"/>
  <c r="BL12" i="96"/>
  <c r="BL11" i="96"/>
  <c r="BL10" i="96"/>
  <c r="BL9" i="96"/>
  <c r="BK8" i="96"/>
  <c r="BJ8" i="96"/>
  <c r="BL7" i="96"/>
  <c r="BL6" i="96"/>
  <c r="BK5" i="96"/>
  <c r="BK38" i="96" s="1"/>
  <c r="BJ5" i="96"/>
  <c r="BB85" i="102"/>
  <c r="BB82" i="102"/>
  <c r="BB78" i="102"/>
  <c r="BA77" i="102"/>
  <c r="AZ77" i="102"/>
  <c r="BB74" i="102"/>
  <c r="BB73" i="102" s="1"/>
  <c r="BA73" i="102"/>
  <c r="AZ73" i="102"/>
  <c r="BB71" i="102"/>
  <c r="BB70" i="102"/>
  <c r="BB69" i="102"/>
  <c r="BB68" i="102"/>
  <c r="BB67" i="102"/>
  <c r="BB66" i="102"/>
  <c r="BB65" i="102"/>
  <c r="BB64" i="102"/>
  <c r="BB63" i="102"/>
  <c r="BB62" i="102"/>
  <c r="BB61" i="102"/>
  <c r="BB60" i="102"/>
  <c r="BB59" i="102"/>
  <c r="BB58" i="102"/>
  <c r="BB57" i="102"/>
  <c r="BB56" i="102"/>
  <c r="BB55" i="102"/>
  <c r="AZ54" i="102"/>
  <c r="BB52" i="102"/>
  <c r="BB51" i="102"/>
  <c r="BA50" i="102"/>
  <c r="AZ50" i="102"/>
  <c r="BB48" i="102"/>
  <c r="BB47" i="102"/>
  <c r="BB46" i="102"/>
  <c r="BB45" i="102"/>
  <c r="BB44" i="102"/>
  <c r="BB43" i="102"/>
  <c r="BB42" i="102"/>
  <c r="BA41" i="102"/>
  <c r="BB36" i="102"/>
  <c r="BB35" i="102" s="1"/>
  <c r="BA35" i="102"/>
  <c r="AZ35" i="102"/>
  <c r="BB33" i="102"/>
  <c r="BB32" i="102"/>
  <c r="BB31" i="102"/>
  <c r="BB30" i="102"/>
  <c r="BB29" i="102"/>
  <c r="BB28" i="102"/>
  <c r="BB27" i="102"/>
  <c r="BB26" i="102"/>
  <c r="BB25" i="102"/>
  <c r="BB24" i="102"/>
  <c r="BB23" i="102"/>
  <c r="BB22" i="102"/>
  <c r="BB21" i="102"/>
  <c r="BB20" i="102"/>
  <c r="BB19" i="102"/>
  <c r="BB18" i="102"/>
  <c r="BB17" i="102"/>
  <c r="BA8" i="102"/>
  <c r="BB15" i="102"/>
  <c r="BB14" i="102"/>
  <c r="BB13" i="102"/>
  <c r="BB12" i="102"/>
  <c r="BB11" i="102"/>
  <c r="BB10" i="102"/>
  <c r="BB9" i="102"/>
  <c r="AZ8" i="102"/>
  <c r="BB7" i="102"/>
  <c r="BB6" i="102"/>
  <c r="BA5" i="102"/>
  <c r="AZ5" i="102"/>
  <c r="BB5" i="102" l="1"/>
  <c r="BB50" i="102"/>
  <c r="BL41" i="96"/>
  <c r="BL54" i="96"/>
  <c r="BL50" i="96"/>
  <c r="BJ38" i="96"/>
  <c r="BJ75" i="96" s="1"/>
  <c r="BL8" i="96"/>
  <c r="BL79" i="96"/>
  <c r="BL5" i="96"/>
  <c r="BJ39" i="96"/>
  <c r="BK75" i="96"/>
  <c r="BK39" i="96"/>
  <c r="AZ38" i="102"/>
  <c r="AZ39" i="102" s="1"/>
  <c r="BB54" i="102"/>
  <c r="BA38" i="102"/>
  <c r="BB41" i="102"/>
  <c r="BB16" i="102"/>
  <c r="AZ41" i="102"/>
  <c r="BA54" i="102"/>
  <c r="BL38" i="96" l="1"/>
  <c r="BL39" i="96" s="1"/>
  <c r="BL75" i="96"/>
  <c r="BL81" i="96" s="1"/>
  <c r="BL83" i="96" s="1"/>
  <c r="BL84" i="96" s="1"/>
  <c r="BL86" i="96" s="1"/>
  <c r="BL87" i="96" s="1"/>
  <c r="BL89" i="96"/>
  <c r="BL77" i="96"/>
  <c r="BK81" i="96"/>
  <c r="BK83" i="96" s="1"/>
  <c r="BK84" i="96" s="1"/>
  <c r="BK86" i="96" s="1"/>
  <c r="BK87" i="96" s="1"/>
  <c r="BK76" i="96"/>
  <c r="BJ81" i="96"/>
  <c r="BJ83" i="96" s="1"/>
  <c r="BJ84" i="96" s="1"/>
  <c r="BJ86" i="96" s="1"/>
  <c r="BJ87" i="96" s="1"/>
  <c r="BJ76" i="96"/>
  <c r="AZ75" i="102"/>
  <c r="AZ76" i="102" s="1"/>
  <c r="BA75" i="102"/>
  <c r="BA39" i="102"/>
  <c r="BB8" i="102"/>
  <c r="AR85" i="91"/>
  <c r="AR82" i="91"/>
  <c r="AR78" i="91"/>
  <c r="AQ77" i="91"/>
  <c r="AP77" i="91"/>
  <c r="AR74" i="91"/>
  <c r="AR73" i="91" s="1"/>
  <c r="AQ73" i="91"/>
  <c r="AP73" i="91"/>
  <c r="AR71" i="91"/>
  <c r="AR70" i="91"/>
  <c r="AR69" i="91"/>
  <c r="AR68" i="91"/>
  <c r="AR67" i="91"/>
  <c r="AR66" i="91"/>
  <c r="AR65" i="91"/>
  <c r="AR64" i="91"/>
  <c r="AR63" i="91"/>
  <c r="AR62" i="91"/>
  <c r="AR61" i="91"/>
  <c r="AR60" i="91"/>
  <c r="AR59" i="91"/>
  <c r="AR58" i="91"/>
  <c r="AR57" i="91"/>
  <c r="AR56" i="91"/>
  <c r="AR55" i="91"/>
  <c r="AQ54" i="91"/>
  <c r="AP54" i="91"/>
  <c r="AR52" i="91"/>
  <c r="AR51" i="91"/>
  <c r="AQ50" i="91"/>
  <c r="AP50" i="91"/>
  <c r="AR48" i="91"/>
  <c r="AR47" i="91"/>
  <c r="AR46" i="91"/>
  <c r="AR45" i="91"/>
  <c r="AR44" i="91"/>
  <c r="AR43" i="91"/>
  <c r="AR42" i="91"/>
  <c r="AQ41" i="91"/>
  <c r="AP41" i="91"/>
  <c r="AR36" i="91"/>
  <c r="AR35" i="91" s="1"/>
  <c r="AQ35" i="91"/>
  <c r="AP35" i="91"/>
  <c r="AR33" i="91"/>
  <c r="AR32" i="91"/>
  <c r="AR31" i="91"/>
  <c r="AR30" i="91"/>
  <c r="AR29" i="91"/>
  <c r="AR28" i="91"/>
  <c r="AR27" i="91"/>
  <c r="AR26" i="91"/>
  <c r="AR25" i="91"/>
  <c r="AR24" i="91"/>
  <c r="AR23" i="91"/>
  <c r="AR22" i="91"/>
  <c r="AR21" i="91"/>
  <c r="AR20" i="91"/>
  <c r="AR19" i="91"/>
  <c r="AR18" i="91"/>
  <c r="AR17" i="91"/>
  <c r="AR16" i="91"/>
  <c r="AR15" i="91"/>
  <c r="AR14" i="91"/>
  <c r="AR13" i="91"/>
  <c r="AR12" i="91"/>
  <c r="AR11" i="91"/>
  <c r="AR10" i="91"/>
  <c r="AR9" i="91"/>
  <c r="AQ8" i="91"/>
  <c r="AP8" i="91"/>
  <c r="AR7" i="91"/>
  <c r="AR6" i="91"/>
  <c r="AQ5" i="91"/>
  <c r="AP5" i="91"/>
  <c r="AR50" i="91" l="1"/>
  <c r="AR54" i="91"/>
  <c r="AZ81" i="102"/>
  <c r="AZ83" i="102" s="1"/>
  <c r="AZ84" i="102" s="1"/>
  <c r="AZ86" i="102" s="1"/>
  <c r="AZ87" i="102" s="1"/>
  <c r="BL76" i="96"/>
  <c r="AR5" i="91"/>
  <c r="AP38" i="91"/>
  <c r="AP75" i="91" s="1"/>
  <c r="BB38" i="102"/>
  <c r="BA81" i="102"/>
  <c r="BA83" i="102" s="1"/>
  <c r="BA84" i="102" s="1"/>
  <c r="BA86" i="102" s="1"/>
  <c r="BA87" i="102" s="1"/>
  <c r="BA76" i="102"/>
  <c r="AR41" i="91"/>
  <c r="AQ38" i="91"/>
  <c r="AQ75" i="91" s="1"/>
  <c r="AR8" i="91"/>
  <c r="AQ39" i="91" l="1"/>
  <c r="AR38" i="91"/>
  <c r="AR39" i="91" s="1"/>
  <c r="O79" i="117"/>
  <c r="AP39" i="91"/>
  <c r="BB75" i="102"/>
  <c r="BB39" i="102"/>
  <c r="AP81" i="91"/>
  <c r="AP83" i="91" s="1"/>
  <c r="AP84" i="91" s="1"/>
  <c r="AP86" i="91" s="1"/>
  <c r="AP87" i="91" s="1"/>
  <c r="AP76" i="91"/>
  <c r="AQ81" i="91"/>
  <c r="AQ83" i="91" s="1"/>
  <c r="AQ84" i="91" s="1"/>
  <c r="AQ86" i="91" s="1"/>
  <c r="AQ87" i="91" s="1"/>
  <c r="AQ76" i="91"/>
  <c r="AR75" i="91" l="1"/>
  <c r="O77" i="117"/>
  <c r="O89" i="117"/>
  <c r="O81" i="117"/>
  <c r="O83" i="117" s="1"/>
  <c r="O84" i="117" s="1"/>
  <c r="O86" i="117" s="1"/>
  <c r="O87" i="117" s="1"/>
  <c r="BB76" i="102"/>
  <c r="AR76" i="91"/>
  <c r="U54" i="117" l="1"/>
  <c r="P8" i="117"/>
  <c r="P54" i="117"/>
  <c r="P72" i="117"/>
  <c r="P66" i="117"/>
  <c r="P62" i="117"/>
  <c r="P58" i="117"/>
  <c r="P52" i="117"/>
  <c r="U44" i="117"/>
  <c r="P61" i="117"/>
  <c r="U42" i="117"/>
  <c r="U56" i="117"/>
  <c r="P10" i="117"/>
  <c r="P21" i="117"/>
  <c r="P13" i="117"/>
  <c r="P57" i="117"/>
  <c r="P30" i="117"/>
  <c r="U58" i="117"/>
  <c r="P59" i="117"/>
  <c r="P29" i="117"/>
  <c r="P44" i="117"/>
  <c r="U47" i="117"/>
  <c r="P23" i="117"/>
  <c r="U62" i="117"/>
  <c r="P69" i="117"/>
  <c r="P64" i="117"/>
  <c r="P56" i="117"/>
  <c r="U48" i="117"/>
  <c r="U46" i="117"/>
  <c r="U64" i="117"/>
  <c r="P9" i="117"/>
  <c r="P41" i="117"/>
  <c r="P22" i="117"/>
  <c r="U68" i="117"/>
  <c r="P63" i="117"/>
  <c r="U71" i="117"/>
  <c r="U65" i="117"/>
  <c r="U61" i="117"/>
  <c r="U57" i="117"/>
  <c r="U51" i="117"/>
  <c r="P43" i="117"/>
  <c r="U60" i="117"/>
  <c r="P51" i="117"/>
  <c r="P18" i="117"/>
  <c r="P65" i="117"/>
  <c r="P19" i="117"/>
  <c r="P11" i="117"/>
  <c r="P20" i="117"/>
  <c r="P25" i="117"/>
  <c r="P48" i="117"/>
  <c r="P31" i="117"/>
  <c r="P33" i="117"/>
  <c r="P67" i="117"/>
  <c r="P55" i="117"/>
  <c r="P27" i="117"/>
  <c r="U66" i="117"/>
  <c r="P68" i="117"/>
  <c r="P60" i="117"/>
  <c r="U49" i="117"/>
  <c r="P46" i="117"/>
  <c r="P14" i="117"/>
  <c r="P17" i="117"/>
  <c r="P16" i="117"/>
  <c r="U52" i="117"/>
  <c r="P32" i="117"/>
  <c r="U69" i="117"/>
  <c r="P36" i="117"/>
  <c r="U72" i="117"/>
  <c r="U55" i="117"/>
  <c r="P42" i="117"/>
  <c r="U36" i="117"/>
  <c r="P28" i="117"/>
  <c r="P26" i="117"/>
  <c r="U45" i="117"/>
  <c r="P71" i="117"/>
  <c r="U67" i="117"/>
  <c r="P49" i="117"/>
  <c r="P12" i="117"/>
  <c r="P24" i="117"/>
  <c r="P70" i="117"/>
  <c r="U70" i="117"/>
  <c r="P15" i="117"/>
  <c r="U63" i="117"/>
  <c r="P47" i="117"/>
  <c r="P45" i="117"/>
  <c r="U41" i="117"/>
  <c r="Z36" i="117"/>
  <c r="U59" i="117"/>
  <c r="U43" i="117"/>
  <c r="AR85" i="107"/>
  <c r="AR82" i="107"/>
  <c r="AR78" i="107"/>
  <c r="AQ77" i="107"/>
  <c r="AP77" i="107"/>
  <c r="AR74" i="107"/>
  <c r="AR73" i="107" s="1"/>
  <c r="AQ73" i="107"/>
  <c r="AP73" i="107"/>
  <c r="AR71" i="107"/>
  <c r="AR70" i="107"/>
  <c r="AR69" i="107"/>
  <c r="AR68" i="107"/>
  <c r="AR67" i="107"/>
  <c r="AR66" i="107"/>
  <c r="AR65" i="107"/>
  <c r="AR64" i="107"/>
  <c r="AR63" i="107"/>
  <c r="AR62" i="107"/>
  <c r="AR61" i="107"/>
  <c r="AR60" i="107"/>
  <c r="AR59" i="107"/>
  <c r="AR58" i="107"/>
  <c r="AR57" i="107"/>
  <c r="AR56" i="107"/>
  <c r="AR55" i="107"/>
  <c r="AQ54" i="107"/>
  <c r="AP54" i="107"/>
  <c r="AR52" i="107"/>
  <c r="AR51" i="107"/>
  <c r="AQ50" i="107"/>
  <c r="AP50" i="107"/>
  <c r="AR48" i="107"/>
  <c r="AR47" i="107"/>
  <c r="AR46" i="107"/>
  <c r="AR45" i="107"/>
  <c r="AR44" i="107"/>
  <c r="AR43" i="107"/>
  <c r="AR42" i="107"/>
  <c r="AQ41" i="107"/>
  <c r="AP41" i="107"/>
  <c r="AR36" i="107"/>
  <c r="AR35" i="107" s="1"/>
  <c r="AQ35" i="107"/>
  <c r="AP35" i="107"/>
  <c r="AR33" i="107"/>
  <c r="AR32" i="107"/>
  <c r="AR31" i="107"/>
  <c r="AR30" i="107"/>
  <c r="AR29" i="107"/>
  <c r="AR28" i="107"/>
  <c r="AR27" i="107"/>
  <c r="AP8" i="107"/>
  <c r="AR25" i="107"/>
  <c r="AR24" i="107"/>
  <c r="AR22" i="107"/>
  <c r="AR21" i="107"/>
  <c r="AR20" i="107"/>
  <c r="AR19" i="107"/>
  <c r="AR18" i="107"/>
  <c r="AR17" i="107"/>
  <c r="AQ8" i="107"/>
  <c r="AR15" i="107"/>
  <c r="AR14" i="107"/>
  <c r="AR13" i="107"/>
  <c r="AR12" i="107"/>
  <c r="AR11" i="107"/>
  <c r="AR10" i="107"/>
  <c r="AR9" i="107"/>
  <c r="AR7" i="107"/>
  <c r="AR6" i="107"/>
  <c r="AQ5" i="107"/>
  <c r="AP5" i="107"/>
  <c r="AR5" i="107" l="1"/>
  <c r="AR50" i="107"/>
  <c r="AR41" i="107"/>
  <c r="AP38" i="107"/>
  <c r="AP75" i="107" s="1"/>
  <c r="AR54" i="107"/>
  <c r="AQ38" i="107"/>
  <c r="AR16" i="107"/>
  <c r="AR26" i="107"/>
  <c r="AP39" i="107" l="1"/>
  <c r="AR8" i="107"/>
  <c r="AR38" i="107" s="1"/>
  <c r="AR75" i="107" s="1"/>
  <c r="AP81" i="107"/>
  <c r="AP83" i="107" s="1"/>
  <c r="AP84" i="107" s="1"/>
  <c r="AP86" i="107" s="1"/>
  <c r="AP87" i="107" s="1"/>
  <c r="AP76" i="107"/>
  <c r="AQ75" i="107"/>
  <c r="AQ39" i="107"/>
  <c r="AR39" i="107" l="1"/>
  <c r="AQ81" i="107"/>
  <c r="AQ83" i="107" s="1"/>
  <c r="AQ84" i="107" s="1"/>
  <c r="AQ86" i="107" s="1"/>
  <c r="AQ87" i="107" s="1"/>
  <c r="AQ76" i="107"/>
  <c r="AR76" i="107"/>
  <c r="BA22" i="90" l="1"/>
  <c r="BP22" i="90" s="1"/>
  <c r="AZ47" i="90" l="1"/>
  <c r="BO47" i="90" s="1"/>
  <c r="AZ26" i="90" l="1"/>
  <c r="AZ19" i="90"/>
  <c r="AU6" i="90" l="1"/>
  <c r="AF13" i="108" l="1"/>
  <c r="AP13" i="108" s="1"/>
  <c r="AF14" i="108"/>
  <c r="AP14" i="108" s="1"/>
  <c r="AR14" i="108" s="1"/>
  <c r="AR13" i="108" l="1"/>
  <c r="AF18" i="108"/>
  <c r="AH18" i="108" s="1"/>
  <c r="AH85" i="108" l="1"/>
  <c r="AH82" i="108"/>
  <c r="AH78" i="108"/>
  <c r="AG77" i="108"/>
  <c r="AF77" i="108"/>
  <c r="AH74" i="108"/>
  <c r="AH73" i="108" s="1"/>
  <c r="AG73" i="108"/>
  <c r="AF73" i="108"/>
  <c r="AH71" i="108"/>
  <c r="AH70" i="108"/>
  <c r="AH69" i="108"/>
  <c r="AH68" i="108"/>
  <c r="AH67" i="108"/>
  <c r="AH66" i="108"/>
  <c r="AH65" i="108"/>
  <c r="AH64" i="108"/>
  <c r="AH63" i="108"/>
  <c r="AH62" i="108"/>
  <c r="AH61" i="108"/>
  <c r="AH60" i="108"/>
  <c r="AH59" i="108"/>
  <c r="AH58" i="108"/>
  <c r="AH57" i="108"/>
  <c r="AH56" i="108"/>
  <c r="AH55" i="108"/>
  <c r="AG54" i="108"/>
  <c r="AF54" i="108"/>
  <c r="AH52" i="108"/>
  <c r="AH51" i="108"/>
  <c r="AG50" i="108"/>
  <c r="AF50" i="108"/>
  <c r="AH48" i="108"/>
  <c r="AH47" i="108"/>
  <c r="AH46" i="108"/>
  <c r="AH45" i="108"/>
  <c r="AH44" i="108"/>
  <c r="AH43" i="108"/>
  <c r="AH42" i="108"/>
  <c r="AG41" i="108"/>
  <c r="AF41" i="108"/>
  <c r="AH36" i="108"/>
  <c r="AH35" i="108" s="1"/>
  <c r="AG35" i="108"/>
  <c r="AF35" i="108"/>
  <c r="AH33" i="108"/>
  <c r="AH32" i="108"/>
  <c r="AH31" i="108"/>
  <c r="AH30" i="108"/>
  <c r="AH29" i="108"/>
  <c r="AH28" i="108"/>
  <c r="AH27" i="108"/>
  <c r="AH26" i="108"/>
  <c r="AH25" i="108"/>
  <c r="AH24" i="108"/>
  <c r="AH22" i="108"/>
  <c r="AH21" i="108"/>
  <c r="AH20" i="108"/>
  <c r="AH19" i="108"/>
  <c r="AH17" i="108"/>
  <c r="AH16" i="108"/>
  <c r="AH15" i="108"/>
  <c r="AH14" i="108"/>
  <c r="AH13" i="108"/>
  <c r="AH12" i="108"/>
  <c r="AH11" i="108"/>
  <c r="AH10" i="108"/>
  <c r="AH9" i="108"/>
  <c r="AF8" i="108"/>
  <c r="AH7" i="108"/>
  <c r="AH6" i="108"/>
  <c r="AH5" i="108" s="1"/>
  <c r="AG5" i="108"/>
  <c r="AF5" i="108"/>
  <c r="AH41" i="108" l="1"/>
  <c r="AH50" i="108"/>
  <c r="AH54" i="108"/>
  <c r="AH8" i="108"/>
  <c r="AH38" i="108" s="1"/>
  <c r="AF38" i="108"/>
  <c r="AF75" i="108" s="1"/>
  <c r="AG8" i="108"/>
  <c r="BP36" i="96"/>
  <c r="BO36" i="96"/>
  <c r="BP7" i="96"/>
  <c r="BG85" i="96"/>
  <c r="BG82" i="96"/>
  <c r="BG78" i="96"/>
  <c r="BF77" i="96"/>
  <c r="BE77" i="96"/>
  <c r="BG74" i="96"/>
  <c r="BG73" i="96" s="1"/>
  <c r="BF73" i="96"/>
  <c r="BE73" i="96"/>
  <c r="BG71" i="96"/>
  <c r="BG70" i="96"/>
  <c r="BG69" i="96"/>
  <c r="BG68" i="96"/>
  <c r="BG67" i="96"/>
  <c r="BG66" i="96"/>
  <c r="BG65" i="96"/>
  <c r="BG64" i="96"/>
  <c r="BG63" i="96"/>
  <c r="BG62" i="96"/>
  <c r="BG61" i="96"/>
  <c r="BG60" i="96"/>
  <c r="BG59" i="96"/>
  <c r="BG58" i="96"/>
  <c r="BG57" i="96"/>
  <c r="BG56" i="96"/>
  <c r="BG55" i="96"/>
  <c r="BF54" i="96"/>
  <c r="BE54" i="96"/>
  <c r="BG52" i="96"/>
  <c r="BG51" i="96"/>
  <c r="BF50" i="96"/>
  <c r="BE50" i="96"/>
  <c r="BG48" i="96"/>
  <c r="BG47" i="96"/>
  <c r="BG46" i="96"/>
  <c r="BG45" i="96"/>
  <c r="BG44" i="96"/>
  <c r="BG43" i="96"/>
  <c r="BG42" i="96"/>
  <c r="BF41" i="96"/>
  <c r="BE41" i="96"/>
  <c r="BG36" i="96"/>
  <c r="BG35" i="96" s="1"/>
  <c r="BF35" i="96"/>
  <c r="BE35" i="96"/>
  <c r="BG33" i="96"/>
  <c r="BG32" i="96"/>
  <c r="BG31" i="96"/>
  <c r="BG30" i="96"/>
  <c r="BG29" i="96"/>
  <c r="BG28" i="96"/>
  <c r="BG27" i="96"/>
  <c r="BG26" i="96"/>
  <c r="BG25" i="96"/>
  <c r="BG24" i="96"/>
  <c r="BG23" i="96"/>
  <c r="BG22" i="96"/>
  <c r="BG21" i="96"/>
  <c r="BG20" i="96"/>
  <c r="BG19" i="96"/>
  <c r="BG18" i="96"/>
  <c r="BG17" i="96"/>
  <c r="BG16" i="96"/>
  <c r="BG15" i="96"/>
  <c r="BG14" i="96"/>
  <c r="BG13" i="96"/>
  <c r="BG12" i="96"/>
  <c r="BG11" i="96"/>
  <c r="BG10" i="96"/>
  <c r="BG9" i="96"/>
  <c r="BF8" i="96"/>
  <c r="BE8" i="96"/>
  <c r="BG7" i="96"/>
  <c r="BG6" i="96"/>
  <c r="BF5" i="96"/>
  <c r="BE5" i="96"/>
  <c r="BE38" i="96" s="1"/>
  <c r="AM85" i="107"/>
  <c r="AM82" i="107"/>
  <c r="AM78" i="107"/>
  <c r="AL77" i="107"/>
  <c r="AK77" i="107"/>
  <c r="AM74" i="107"/>
  <c r="AM73" i="107" s="1"/>
  <c r="AL73" i="107"/>
  <c r="AK73" i="107"/>
  <c r="AM71" i="107"/>
  <c r="AM70" i="107"/>
  <c r="AM69" i="107"/>
  <c r="AM68" i="107"/>
  <c r="AM67" i="107"/>
  <c r="AM66" i="107"/>
  <c r="AM65" i="107"/>
  <c r="AM64" i="107"/>
  <c r="AM63" i="107"/>
  <c r="AM62" i="107"/>
  <c r="AM61" i="107"/>
  <c r="AM60" i="107"/>
  <c r="AM59" i="107"/>
  <c r="AM58" i="107"/>
  <c r="AM57" i="107"/>
  <c r="AM56" i="107"/>
  <c r="AM55" i="107"/>
  <c r="AL54" i="107"/>
  <c r="AK54" i="107"/>
  <c r="AM52" i="107"/>
  <c r="AM51" i="107"/>
  <c r="AL50" i="107"/>
  <c r="AK50" i="107"/>
  <c r="AM48" i="107"/>
  <c r="AM47" i="107"/>
  <c r="AM46" i="107"/>
  <c r="AM45" i="107"/>
  <c r="AM44" i="107"/>
  <c r="AM43" i="107"/>
  <c r="AM42" i="107"/>
  <c r="AL41" i="107"/>
  <c r="AK41" i="107"/>
  <c r="AM36" i="107"/>
  <c r="AM35" i="107" s="1"/>
  <c r="AL35" i="107"/>
  <c r="AK35" i="107"/>
  <c r="AM33" i="107"/>
  <c r="AM32" i="107"/>
  <c r="AM31" i="107"/>
  <c r="AM30" i="107"/>
  <c r="AM29" i="107"/>
  <c r="AM28" i="107"/>
  <c r="AM27" i="107"/>
  <c r="AM26" i="107"/>
  <c r="AM25" i="107"/>
  <c r="AM24" i="107"/>
  <c r="AM22" i="107"/>
  <c r="AM21" i="107"/>
  <c r="AM20" i="107"/>
  <c r="AM19" i="107"/>
  <c r="AM18" i="107"/>
  <c r="AM17" i="107"/>
  <c r="AM16" i="107"/>
  <c r="AM15" i="107"/>
  <c r="AM14" i="107"/>
  <c r="AM13" i="107"/>
  <c r="AM12" i="107"/>
  <c r="AM11" i="107"/>
  <c r="AM10" i="107"/>
  <c r="AM9" i="107"/>
  <c r="AL8" i="107"/>
  <c r="AK8" i="107"/>
  <c r="AM7" i="107"/>
  <c r="AM6" i="107"/>
  <c r="AL5" i="107"/>
  <c r="BG50" i="96" l="1"/>
  <c r="AM50" i="107"/>
  <c r="BG41" i="96"/>
  <c r="BG54" i="96"/>
  <c r="AM5" i="107"/>
  <c r="BG79" i="96"/>
  <c r="BG77" i="96" s="1"/>
  <c r="AL38" i="107"/>
  <c r="AL75" i="107" s="1"/>
  <c r="AF39" i="108"/>
  <c r="AG38" i="108"/>
  <c r="AF81" i="108"/>
  <c r="AF83" i="108" s="1"/>
  <c r="AF84" i="108" s="1"/>
  <c r="AF86" i="108" s="1"/>
  <c r="AF87" i="108" s="1"/>
  <c r="AF76" i="108"/>
  <c r="AH75" i="108"/>
  <c r="AH39" i="108"/>
  <c r="BF38" i="96"/>
  <c r="BF39" i="96" s="1"/>
  <c r="BG5" i="96"/>
  <c r="BE75" i="96"/>
  <c r="BE39" i="96"/>
  <c r="BG8" i="96"/>
  <c r="AM54" i="107"/>
  <c r="AM8" i="107"/>
  <c r="AK5" i="107"/>
  <c r="AK38" i="107" s="1"/>
  <c r="AM41" i="107"/>
  <c r="AF26" i="102"/>
  <c r="V26" i="102"/>
  <c r="Q26" i="102"/>
  <c r="BG38" i="96" l="1"/>
  <c r="BF75" i="96"/>
  <c r="BF81" i="96" s="1"/>
  <c r="BF83" i="96" s="1"/>
  <c r="BF84" i="96" s="1"/>
  <c r="BF86" i="96" s="1"/>
  <c r="BF87" i="96" s="1"/>
  <c r="AL81" i="107"/>
  <c r="AL83" i="107" s="1"/>
  <c r="AL84" i="107" s="1"/>
  <c r="AL86" i="107" s="1"/>
  <c r="AL87" i="107" s="1"/>
  <c r="AL76" i="107"/>
  <c r="AL39" i="107"/>
  <c r="AG39" i="108"/>
  <c r="AG75" i="108"/>
  <c r="AH76" i="108"/>
  <c r="BG89" i="96"/>
  <c r="BG93" i="96" s="1"/>
  <c r="BG75" i="96"/>
  <c r="BG39" i="96"/>
  <c r="BE76" i="96"/>
  <c r="BE81" i="96"/>
  <c r="BE83" i="96" s="1"/>
  <c r="BE84" i="96" s="1"/>
  <c r="BE86" i="96" s="1"/>
  <c r="BE87" i="96" s="1"/>
  <c r="AK39" i="107"/>
  <c r="AK75" i="107"/>
  <c r="AM38" i="107"/>
  <c r="BQ99" i="96"/>
  <c r="BF76" i="96" l="1"/>
  <c r="AG81" i="108"/>
  <c r="AG83" i="108" s="1"/>
  <c r="AG84" i="108" s="1"/>
  <c r="AG86" i="108" s="1"/>
  <c r="AG87" i="108" s="1"/>
  <c r="AG76" i="108"/>
  <c r="BG81" i="96"/>
  <c r="BG83" i="96" s="1"/>
  <c r="BG84" i="96" s="1"/>
  <c r="BG86" i="96" s="1"/>
  <c r="BG87" i="96" s="1"/>
  <c r="BG76" i="96"/>
  <c r="AK81" i="107"/>
  <c r="AK83" i="107" s="1"/>
  <c r="AK84" i="107" s="1"/>
  <c r="AK86" i="107" s="1"/>
  <c r="AK87" i="107" s="1"/>
  <c r="AK76" i="107"/>
  <c r="AM75" i="107"/>
  <c r="AM39" i="107"/>
  <c r="BT28" i="96"/>
  <c r="BT69" i="96"/>
  <c r="AM76" i="107" l="1"/>
  <c r="BT30" i="96"/>
  <c r="BU34" i="96"/>
  <c r="BU37" i="96"/>
  <c r="BU40" i="96"/>
  <c r="BU49" i="96"/>
  <c r="BU53" i="96"/>
  <c r="BU72" i="96"/>
  <c r="BU80" i="96"/>
  <c r="AV65" i="102" l="1"/>
  <c r="V6" i="90" l="1"/>
  <c r="BQ70" i="90" l="1"/>
  <c r="BQ68" i="90"/>
  <c r="BQ67" i="90"/>
  <c r="BQ66" i="90"/>
  <c r="BQ64" i="90"/>
  <c r="BQ62" i="90"/>
  <c r="BQ61" i="90"/>
  <c r="BQ57" i="90"/>
  <c r="BQ56" i="90"/>
  <c r="BQ55" i="90"/>
  <c r="BQ46" i="90"/>
  <c r="BQ44" i="90"/>
  <c r="BQ10" i="90"/>
  <c r="BQ11" i="90"/>
  <c r="BQ15" i="90"/>
  <c r="BQ20" i="90"/>
  <c r="BQ23" i="90"/>
  <c r="BQ32" i="90"/>
  <c r="BQ33" i="90"/>
  <c r="AA18" i="108" l="1"/>
  <c r="AU20" i="99"/>
  <c r="AV85" i="113" l="1"/>
  <c r="AU85" i="113"/>
  <c r="AW85" i="113" s="1"/>
  <c r="AR85" i="113"/>
  <c r="AM85" i="113"/>
  <c r="AH85" i="113"/>
  <c r="AC85" i="113"/>
  <c r="X85" i="113"/>
  <c r="S85" i="113"/>
  <c r="N85" i="113"/>
  <c r="I85" i="113"/>
  <c r="E85" i="113"/>
  <c r="AV82" i="113"/>
  <c r="AU82" i="113"/>
  <c r="AR82" i="113"/>
  <c r="AM82" i="113"/>
  <c r="AH82" i="113"/>
  <c r="AC82" i="113"/>
  <c r="X82" i="113"/>
  <c r="S82" i="113"/>
  <c r="N82" i="113"/>
  <c r="I82" i="113"/>
  <c r="E82" i="113"/>
  <c r="AV79" i="113"/>
  <c r="AU79" i="113"/>
  <c r="E79" i="113"/>
  <c r="AV78" i="113"/>
  <c r="AU78" i="113"/>
  <c r="AR78" i="113"/>
  <c r="AM78" i="113"/>
  <c r="AH78" i="113"/>
  <c r="AC78" i="113"/>
  <c r="X78" i="113"/>
  <c r="S78" i="113"/>
  <c r="N78" i="113"/>
  <c r="I78" i="113"/>
  <c r="E78" i="113"/>
  <c r="E77" i="113" s="1"/>
  <c r="AQ77" i="113"/>
  <c r="AP77" i="113"/>
  <c r="AL77" i="113"/>
  <c r="AK77" i="113"/>
  <c r="AG77" i="113"/>
  <c r="AF77" i="113"/>
  <c r="AB77" i="113"/>
  <c r="AA77" i="113"/>
  <c r="W77" i="113"/>
  <c r="V77" i="113"/>
  <c r="R77" i="113"/>
  <c r="Q77" i="113"/>
  <c r="M77" i="113"/>
  <c r="L77" i="113"/>
  <c r="H77" i="113"/>
  <c r="G77" i="113"/>
  <c r="D77" i="113"/>
  <c r="C77" i="113"/>
  <c r="AV74" i="113"/>
  <c r="AV73" i="113" s="1"/>
  <c r="AU74" i="113"/>
  <c r="AR74" i="113"/>
  <c r="AR73" i="113" s="1"/>
  <c r="AM74" i="113"/>
  <c r="AM73" i="113" s="1"/>
  <c r="AH74" i="113"/>
  <c r="AH73" i="113" s="1"/>
  <c r="AC74" i="113"/>
  <c r="AC73" i="113" s="1"/>
  <c r="X74" i="113"/>
  <c r="X73" i="113" s="1"/>
  <c r="S74" i="113"/>
  <c r="S73" i="113" s="1"/>
  <c r="N74" i="113"/>
  <c r="N73" i="113" s="1"/>
  <c r="I73" i="113"/>
  <c r="C74" i="113"/>
  <c r="E74" i="113" s="1"/>
  <c r="E73" i="113" s="1"/>
  <c r="AU73" i="113"/>
  <c r="AQ73" i="113"/>
  <c r="AP73" i="113"/>
  <c r="AL73" i="113"/>
  <c r="AK73" i="113"/>
  <c r="AG73" i="113"/>
  <c r="AF73" i="113"/>
  <c r="AB73" i="113"/>
  <c r="AA73" i="113"/>
  <c r="W73" i="113"/>
  <c r="V73" i="113"/>
  <c r="R73" i="113"/>
  <c r="Q73" i="113"/>
  <c r="M73" i="113"/>
  <c r="L73" i="113"/>
  <c r="H73" i="113"/>
  <c r="G73" i="113"/>
  <c r="D73" i="113"/>
  <c r="AV71" i="113"/>
  <c r="AU71" i="113"/>
  <c r="AR71" i="113"/>
  <c r="AM71" i="113"/>
  <c r="AH71" i="113"/>
  <c r="AC71" i="113"/>
  <c r="X71" i="113"/>
  <c r="S71" i="113"/>
  <c r="N71" i="113"/>
  <c r="I71" i="113"/>
  <c r="E71" i="113"/>
  <c r="AV70" i="113"/>
  <c r="AU70" i="113"/>
  <c r="AR70" i="113"/>
  <c r="AM70" i="113"/>
  <c r="AH70" i="113"/>
  <c r="AC70" i="113"/>
  <c r="X70" i="113"/>
  <c r="S70" i="113"/>
  <c r="N70" i="113"/>
  <c r="I70" i="113"/>
  <c r="E70" i="113"/>
  <c r="AV69" i="113"/>
  <c r="AU69" i="113"/>
  <c r="AR69" i="113"/>
  <c r="AM69" i="113"/>
  <c r="AH69" i="113"/>
  <c r="AC69" i="113"/>
  <c r="X69" i="113"/>
  <c r="S69" i="113"/>
  <c r="N69" i="113"/>
  <c r="I69" i="113"/>
  <c r="E69" i="113"/>
  <c r="AV68" i="113"/>
  <c r="AU68" i="113"/>
  <c r="AR68" i="113"/>
  <c r="AM68" i="113"/>
  <c r="AH68" i="113"/>
  <c r="AC68" i="113"/>
  <c r="X68" i="113"/>
  <c r="S68" i="113"/>
  <c r="N68" i="113"/>
  <c r="I68" i="113"/>
  <c r="E68" i="113"/>
  <c r="AV67" i="113"/>
  <c r="AU67" i="113"/>
  <c r="AR67" i="113"/>
  <c r="AM67" i="113"/>
  <c r="AH67" i="113"/>
  <c r="AC67" i="113"/>
  <c r="X67" i="113"/>
  <c r="S67" i="113"/>
  <c r="N67" i="113"/>
  <c r="I67" i="113"/>
  <c r="E67" i="113"/>
  <c r="AV66" i="113"/>
  <c r="AU66" i="113"/>
  <c r="AR66" i="113"/>
  <c r="AM66" i="113"/>
  <c r="AH66" i="113"/>
  <c r="AC66" i="113"/>
  <c r="X66" i="113"/>
  <c r="S66" i="113"/>
  <c r="N66" i="113"/>
  <c r="I66" i="113"/>
  <c r="E66" i="113"/>
  <c r="AR65" i="113"/>
  <c r="AM65" i="113"/>
  <c r="AH65" i="113"/>
  <c r="AC65" i="113"/>
  <c r="X65" i="113"/>
  <c r="S65" i="113"/>
  <c r="N65" i="113"/>
  <c r="AV65" i="113"/>
  <c r="E65" i="113"/>
  <c r="AV64" i="113"/>
  <c r="AU64" i="113"/>
  <c r="AR64" i="113"/>
  <c r="AM64" i="113"/>
  <c r="AH64" i="113"/>
  <c r="AC64" i="113"/>
  <c r="X64" i="113"/>
  <c r="S64" i="113"/>
  <c r="N64" i="113"/>
  <c r="I64" i="113"/>
  <c r="E64" i="113"/>
  <c r="AV63" i="113"/>
  <c r="AU63" i="113"/>
  <c r="AR63" i="113"/>
  <c r="AM63" i="113"/>
  <c r="AH63" i="113"/>
  <c r="AC63" i="113"/>
  <c r="X63" i="113"/>
  <c r="S63" i="113"/>
  <c r="N63" i="113"/>
  <c r="G54" i="113"/>
  <c r="E63" i="113"/>
  <c r="AV62" i="113"/>
  <c r="AU62" i="113"/>
  <c r="AR62" i="113"/>
  <c r="AM62" i="113"/>
  <c r="AH62" i="113"/>
  <c r="AC62" i="113"/>
  <c r="X62" i="113"/>
  <c r="S62" i="113"/>
  <c r="N62" i="113"/>
  <c r="I62" i="113"/>
  <c r="E62" i="113"/>
  <c r="AV61" i="113"/>
  <c r="AU61" i="113"/>
  <c r="AR61" i="113"/>
  <c r="AM61" i="113"/>
  <c r="AH61" i="113"/>
  <c r="AC61" i="113"/>
  <c r="X61" i="113"/>
  <c r="S61" i="113"/>
  <c r="N61" i="113"/>
  <c r="I61" i="113"/>
  <c r="E61" i="113"/>
  <c r="AV60" i="113"/>
  <c r="AU60" i="113"/>
  <c r="AR60" i="113"/>
  <c r="AM60" i="113"/>
  <c r="AH60" i="113"/>
  <c r="AC60" i="113"/>
  <c r="X60" i="113"/>
  <c r="S60" i="113"/>
  <c r="N60" i="113"/>
  <c r="I60" i="113"/>
  <c r="E60" i="113"/>
  <c r="AV59" i="113"/>
  <c r="AU59" i="113"/>
  <c r="AR59" i="113"/>
  <c r="AM59" i="113"/>
  <c r="AH59" i="113"/>
  <c r="AC59" i="113"/>
  <c r="X59" i="113"/>
  <c r="S59" i="113"/>
  <c r="N59" i="113"/>
  <c r="I59" i="113"/>
  <c r="E59" i="113"/>
  <c r="AV58" i="113"/>
  <c r="AU58" i="113"/>
  <c r="AR58" i="113"/>
  <c r="AM58" i="113"/>
  <c r="AH58" i="113"/>
  <c r="AC58" i="113"/>
  <c r="X58" i="113"/>
  <c r="S58" i="113"/>
  <c r="N58" i="113"/>
  <c r="I58" i="113"/>
  <c r="E58" i="113"/>
  <c r="AV57" i="113"/>
  <c r="AU57" i="113"/>
  <c r="AR57" i="113"/>
  <c r="AM57" i="113"/>
  <c r="AH57" i="113"/>
  <c r="AC57" i="113"/>
  <c r="X57" i="113"/>
  <c r="S57" i="113"/>
  <c r="N57" i="113"/>
  <c r="I57" i="113"/>
  <c r="E57" i="113"/>
  <c r="AV56" i="113"/>
  <c r="AU56" i="113"/>
  <c r="AR56" i="113"/>
  <c r="AM56" i="113"/>
  <c r="AH56" i="113"/>
  <c r="AC56" i="113"/>
  <c r="X56" i="113"/>
  <c r="S56" i="113"/>
  <c r="N56" i="113"/>
  <c r="I56" i="113"/>
  <c r="E56" i="113"/>
  <c r="AV55" i="113"/>
  <c r="AU55" i="113"/>
  <c r="AR55" i="113"/>
  <c r="AM55" i="113"/>
  <c r="AH55" i="113"/>
  <c r="AC55" i="113"/>
  <c r="X55" i="113"/>
  <c r="S55" i="113"/>
  <c r="N55" i="113"/>
  <c r="I55" i="113"/>
  <c r="E55" i="113"/>
  <c r="AQ54" i="113"/>
  <c r="AP54" i="113"/>
  <c r="AL54" i="113"/>
  <c r="AK54" i="113"/>
  <c r="AG54" i="113"/>
  <c r="AF54" i="113"/>
  <c r="AB54" i="113"/>
  <c r="AA54" i="113"/>
  <c r="W54" i="113"/>
  <c r="V54" i="113"/>
  <c r="R54" i="113"/>
  <c r="Q54" i="113"/>
  <c r="M54" i="113"/>
  <c r="L54" i="113"/>
  <c r="H54" i="113"/>
  <c r="D54" i="113"/>
  <c r="C54" i="113"/>
  <c r="AV52" i="113"/>
  <c r="AU52" i="113"/>
  <c r="AR52" i="113"/>
  <c r="AM52" i="113"/>
  <c r="AH52" i="113"/>
  <c r="AC52" i="113"/>
  <c r="X52" i="113"/>
  <c r="S52" i="113"/>
  <c r="N52" i="113"/>
  <c r="I52" i="113"/>
  <c r="E52" i="113"/>
  <c r="AV51" i="113"/>
  <c r="AV50" i="113" s="1"/>
  <c r="AU51" i="113"/>
  <c r="AR51" i="113"/>
  <c r="AM51" i="113"/>
  <c r="AH51" i="113"/>
  <c r="AH50" i="113" s="1"/>
  <c r="AC51" i="113"/>
  <c r="X51" i="113"/>
  <c r="S51" i="113"/>
  <c r="N51" i="113"/>
  <c r="N50" i="113" s="1"/>
  <c r="I51" i="113"/>
  <c r="E51" i="113"/>
  <c r="AQ50" i="113"/>
  <c r="AP50" i="113"/>
  <c r="AL50" i="113"/>
  <c r="AK50" i="113"/>
  <c r="AG50" i="113"/>
  <c r="AF50" i="113"/>
  <c r="AB50" i="113"/>
  <c r="AA50" i="113"/>
  <c r="W50" i="113"/>
  <c r="V50" i="113"/>
  <c r="R50" i="113"/>
  <c r="Q50" i="113"/>
  <c r="M50" i="113"/>
  <c r="L50" i="113"/>
  <c r="H50" i="113"/>
  <c r="G50" i="113"/>
  <c r="AV48" i="113"/>
  <c r="AU48" i="113"/>
  <c r="AR48" i="113"/>
  <c r="AM48" i="113"/>
  <c r="AH48" i="113"/>
  <c r="AC48" i="113"/>
  <c r="X48" i="113"/>
  <c r="S48" i="113"/>
  <c r="N48" i="113"/>
  <c r="I48" i="113"/>
  <c r="E48" i="113"/>
  <c r="AV47" i="113"/>
  <c r="AU47" i="113"/>
  <c r="AR47" i="113"/>
  <c r="AM47" i="113"/>
  <c r="AH47" i="113"/>
  <c r="AC47" i="113"/>
  <c r="X47" i="113"/>
  <c r="S47" i="113"/>
  <c r="N47" i="113"/>
  <c r="I47" i="113"/>
  <c r="E47" i="113"/>
  <c r="AV46" i="113"/>
  <c r="AU46" i="113"/>
  <c r="AR46" i="113"/>
  <c r="AM46" i="113"/>
  <c r="AH46" i="113"/>
  <c r="AC46" i="113"/>
  <c r="X46" i="113"/>
  <c r="S46" i="113"/>
  <c r="N46" i="113"/>
  <c r="I46" i="113"/>
  <c r="E46" i="113"/>
  <c r="AV45" i="113"/>
  <c r="AU45" i="113"/>
  <c r="AR45" i="113"/>
  <c r="AM45" i="113"/>
  <c r="AH45" i="113"/>
  <c r="AC45" i="113"/>
  <c r="X45" i="113"/>
  <c r="S45" i="113"/>
  <c r="N45" i="113"/>
  <c r="I45" i="113"/>
  <c r="E45" i="113"/>
  <c r="AV44" i="113"/>
  <c r="AU44" i="113"/>
  <c r="AR44" i="113"/>
  <c r="AM44" i="113"/>
  <c r="AH44" i="113"/>
  <c r="AC44" i="113"/>
  <c r="X44" i="113"/>
  <c r="S44" i="113"/>
  <c r="N44" i="113"/>
  <c r="I44" i="113"/>
  <c r="E44" i="113"/>
  <c r="AU43" i="113"/>
  <c r="AR43" i="113"/>
  <c r="AM43" i="113"/>
  <c r="AH43" i="113"/>
  <c r="AC43" i="113"/>
  <c r="X43" i="113"/>
  <c r="S43" i="113"/>
  <c r="N43" i="113"/>
  <c r="AV43" i="113"/>
  <c r="AW43" i="113" s="1"/>
  <c r="I43" i="113"/>
  <c r="E43" i="113"/>
  <c r="AV42" i="113"/>
  <c r="AU42" i="113"/>
  <c r="AR42" i="113"/>
  <c r="AM42" i="113"/>
  <c r="AH42" i="113"/>
  <c r="AC42" i="113"/>
  <c r="X42" i="113"/>
  <c r="S42" i="113"/>
  <c r="N42" i="113"/>
  <c r="I42" i="113"/>
  <c r="E42" i="113"/>
  <c r="AQ41" i="113"/>
  <c r="AP41" i="113"/>
  <c r="AL41" i="113"/>
  <c r="AK41" i="113"/>
  <c r="AG41" i="113"/>
  <c r="AF41" i="113"/>
  <c r="AB41" i="113"/>
  <c r="AA41" i="113"/>
  <c r="W41" i="113"/>
  <c r="V41" i="113"/>
  <c r="R41" i="113"/>
  <c r="Q41" i="113"/>
  <c r="M41" i="113"/>
  <c r="L41" i="113"/>
  <c r="H41" i="113"/>
  <c r="G41" i="113"/>
  <c r="D41" i="113"/>
  <c r="C41" i="113"/>
  <c r="AV36" i="113"/>
  <c r="AV35" i="113" s="1"/>
  <c r="AU36" i="113"/>
  <c r="AR36" i="113"/>
  <c r="AM36" i="113"/>
  <c r="AM35" i="113" s="1"/>
  <c r="AH36" i="113"/>
  <c r="AH35" i="113" s="1"/>
  <c r="AC36" i="113"/>
  <c r="X36" i="113"/>
  <c r="S36" i="113"/>
  <c r="S35" i="113" s="1"/>
  <c r="N36" i="113"/>
  <c r="N35" i="113" s="1"/>
  <c r="I36" i="113"/>
  <c r="I35" i="113" s="1"/>
  <c r="E36" i="113"/>
  <c r="E35" i="113" s="1"/>
  <c r="AQ35" i="113"/>
  <c r="AP35" i="113"/>
  <c r="AL35" i="113"/>
  <c r="AK35" i="113"/>
  <c r="AG35" i="113"/>
  <c r="AF35" i="113"/>
  <c r="AB35" i="113"/>
  <c r="AA35" i="113"/>
  <c r="W35" i="113"/>
  <c r="V35" i="113"/>
  <c r="R35" i="113"/>
  <c r="Q35" i="113"/>
  <c r="M35" i="113"/>
  <c r="L35" i="113"/>
  <c r="H35" i="113"/>
  <c r="G35" i="113"/>
  <c r="D35" i="113"/>
  <c r="C35" i="113"/>
  <c r="AV33" i="113"/>
  <c r="AU33" i="113"/>
  <c r="AR33" i="113"/>
  <c r="AM33" i="113"/>
  <c r="AH33" i="113"/>
  <c r="AC33" i="113"/>
  <c r="X33" i="113"/>
  <c r="S33" i="113"/>
  <c r="N33" i="113"/>
  <c r="I33" i="113"/>
  <c r="E33" i="113"/>
  <c r="AV32" i="113"/>
  <c r="AU32" i="113"/>
  <c r="AR32" i="113"/>
  <c r="AM32" i="113"/>
  <c r="AH32" i="113"/>
  <c r="AC32" i="113"/>
  <c r="X32" i="113"/>
  <c r="S32" i="113"/>
  <c r="N32" i="113"/>
  <c r="I32" i="113"/>
  <c r="E32" i="113"/>
  <c r="AV31" i="113"/>
  <c r="AU31" i="113"/>
  <c r="AR31" i="113"/>
  <c r="AM31" i="113"/>
  <c r="AH31" i="113"/>
  <c r="AC31" i="113"/>
  <c r="X31" i="113"/>
  <c r="S31" i="113"/>
  <c r="N31" i="113"/>
  <c r="I31" i="113"/>
  <c r="E31" i="113"/>
  <c r="AV30" i="113"/>
  <c r="AU30" i="113"/>
  <c r="AR30" i="113"/>
  <c r="AM30" i="113"/>
  <c r="AH30" i="113"/>
  <c r="AC30" i="113"/>
  <c r="X30" i="113"/>
  <c r="S30" i="113"/>
  <c r="N30" i="113"/>
  <c r="I30" i="113"/>
  <c r="E30" i="113"/>
  <c r="AV29" i="113"/>
  <c r="AU29" i="113"/>
  <c r="AR29" i="113"/>
  <c r="AM29" i="113"/>
  <c r="AH29" i="113"/>
  <c r="AC29" i="113"/>
  <c r="X29" i="113"/>
  <c r="S29" i="113"/>
  <c r="N29" i="113"/>
  <c r="I29" i="113"/>
  <c r="E29" i="113"/>
  <c r="AV28" i="113"/>
  <c r="AU28" i="113"/>
  <c r="AR28" i="113"/>
  <c r="AM28" i="113"/>
  <c r="AH28" i="113"/>
  <c r="AC28" i="113"/>
  <c r="X28" i="113"/>
  <c r="S28" i="113"/>
  <c r="N28" i="113"/>
  <c r="I28" i="113"/>
  <c r="E28" i="113"/>
  <c r="AV27" i="113"/>
  <c r="AU27" i="113"/>
  <c r="AR27" i="113"/>
  <c r="AM27" i="113"/>
  <c r="AH27" i="113"/>
  <c r="AC27" i="113"/>
  <c r="X27" i="113"/>
  <c r="S27" i="113"/>
  <c r="N27" i="113"/>
  <c r="I27" i="113"/>
  <c r="E27" i="113"/>
  <c r="AV26" i="113"/>
  <c r="AU26" i="113"/>
  <c r="AR26" i="113"/>
  <c r="AM26" i="113"/>
  <c r="AH26" i="113"/>
  <c r="AC26" i="113"/>
  <c r="X26" i="113"/>
  <c r="S26" i="113"/>
  <c r="N26" i="113"/>
  <c r="I26" i="113"/>
  <c r="E26" i="113"/>
  <c r="AV25" i="113"/>
  <c r="AU25" i="113"/>
  <c r="AR25" i="113"/>
  <c r="AM25" i="113"/>
  <c r="AH25" i="113"/>
  <c r="AC25" i="113"/>
  <c r="X25" i="113"/>
  <c r="S25" i="113"/>
  <c r="N25" i="113"/>
  <c r="I25" i="113"/>
  <c r="E25" i="113"/>
  <c r="AV24" i="113"/>
  <c r="AU24" i="113"/>
  <c r="AR24" i="113"/>
  <c r="AM24" i="113"/>
  <c r="AH24" i="113"/>
  <c r="AC24" i="113"/>
  <c r="X24" i="113"/>
  <c r="S24" i="113"/>
  <c r="N24" i="113"/>
  <c r="I24" i="113"/>
  <c r="E24" i="113"/>
  <c r="AV23" i="113"/>
  <c r="AU23" i="113"/>
  <c r="AR23" i="113"/>
  <c r="AM23" i="113"/>
  <c r="AH23" i="113"/>
  <c r="AC23" i="113"/>
  <c r="X23" i="113"/>
  <c r="S23" i="113"/>
  <c r="AV22" i="113"/>
  <c r="AU22" i="113"/>
  <c r="AR22" i="113"/>
  <c r="AM22" i="113"/>
  <c r="AH22" i="113"/>
  <c r="AC22" i="113"/>
  <c r="X22" i="113"/>
  <c r="S22" i="113"/>
  <c r="AV21" i="113"/>
  <c r="AU21" i="113"/>
  <c r="AR21" i="113"/>
  <c r="AM21" i="113"/>
  <c r="AH21" i="113"/>
  <c r="AC21" i="113"/>
  <c r="X21" i="113"/>
  <c r="S21" i="113"/>
  <c r="N21" i="113"/>
  <c r="I21" i="113"/>
  <c r="E21" i="113"/>
  <c r="AV20" i="113"/>
  <c r="AU20" i="113"/>
  <c r="AR20" i="113"/>
  <c r="AM20" i="113"/>
  <c r="AH20" i="113"/>
  <c r="AC20" i="113"/>
  <c r="X20" i="113"/>
  <c r="S20" i="113"/>
  <c r="N20" i="113"/>
  <c r="I20" i="113"/>
  <c r="E20" i="113"/>
  <c r="AV19" i="113"/>
  <c r="AU19" i="113"/>
  <c r="AR19" i="113"/>
  <c r="AM19" i="113"/>
  <c r="AH19" i="113"/>
  <c r="AC19" i="113"/>
  <c r="X19" i="113"/>
  <c r="S19" i="113"/>
  <c r="N19" i="113"/>
  <c r="I19" i="113"/>
  <c r="E19" i="113"/>
  <c r="AV18" i="113"/>
  <c r="AU18" i="113"/>
  <c r="AR18" i="113"/>
  <c r="AM18" i="113"/>
  <c r="AH18" i="113"/>
  <c r="AC18" i="113"/>
  <c r="X18" i="113"/>
  <c r="S18" i="113"/>
  <c r="N18" i="113"/>
  <c r="I18" i="113"/>
  <c r="E18" i="113"/>
  <c r="AV17" i="113"/>
  <c r="AU17" i="113"/>
  <c r="AR17" i="113"/>
  <c r="AM17" i="113"/>
  <c r="AH17" i="113"/>
  <c r="AC17" i="113"/>
  <c r="X17" i="113"/>
  <c r="S17" i="113"/>
  <c r="N17" i="113"/>
  <c r="I17" i="113"/>
  <c r="E17" i="113"/>
  <c r="AV16" i="113"/>
  <c r="AU16" i="113"/>
  <c r="AR16" i="113"/>
  <c r="AM16" i="113"/>
  <c r="AH16" i="113"/>
  <c r="AC16" i="113"/>
  <c r="X16" i="113"/>
  <c r="S16" i="113"/>
  <c r="N16" i="113"/>
  <c r="I16" i="113"/>
  <c r="E16" i="113"/>
  <c r="AV15" i="113"/>
  <c r="AU15" i="113"/>
  <c r="AR15" i="113"/>
  <c r="AM15" i="113"/>
  <c r="AH15" i="113"/>
  <c r="AC15" i="113"/>
  <c r="X15" i="113"/>
  <c r="S15" i="113"/>
  <c r="N15" i="113"/>
  <c r="I15" i="113"/>
  <c r="E15" i="113"/>
  <c r="AV14" i="113"/>
  <c r="AU14" i="113"/>
  <c r="AR14" i="113"/>
  <c r="AM14" i="113"/>
  <c r="AH14" i="113"/>
  <c r="AC14" i="113"/>
  <c r="X14" i="113"/>
  <c r="S14" i="113"/>
  <c r="N14" i="113"/>
  <c r="I14" i="113"/>
  <c r="E14" i="113"/>
  <c r="AV13" i="113"/>
  <c r="AU13" i="113"/>
  <c r="AR13" i="113"/>
  <c r="AM13" i="113"/>
  <c r="AH13" i="113"/>
  <c r="AC13" i="113"/>
  <c r="X13" i="113"/>
  <c r="S13" i="113"/>
  <c r="N13" i="113"/>
  <c r="I13" i="113"/>
  <c r="E13" i="113"/>
  <c r="AV12" i="113"/>
  <c r="AU12" i="113"/>
  <c r="AR12" i="113"/>
  <c r="AM12" i="113"/>
  <c r="AH12" i="113"/>
  <c r="AC12" i="113"/>
  <c r="X12" i="113"/>
  <c r="S12" i="113"/>
  <c r="N12" i="113"/>
  <c r="I12" i="113"/>
  <c r="E12" i="113"/>
  <c r="AV11" i="113"/>
  <c r="AU11" i="113"/>
  <c r="AW11" i="113" s="1"/>
  <c r="AR11" i="113"/>
  <c r="AM11" i="113"/>
  <c r="AH11" i="113"/>
  <c r="AC11" i="113"/>
  <c r="X11" i="113"/>
  <c r="S11" i="113"/>
  <c r="N11" i="113"/>
  <c r="I11" i="113"/>
  <c r="E11" i="113"/>
  <c r="AV10" i="113"/>
  <c r="AU10" i="113"/>
  <c r="AR10" i="113"/>
  <c r="AM10" i="113"/>
  <c r="AH10" i="113"/>
  <c r="AC10" i="113"/>
  <c r="X10" i="113"/>
  <c r="S10" i="113"/>
  <c r="N10" i="113"/>
  <c r="I10" i="113"/>
  <c r="E10" i="113"/>
  <c r="AV9" i="113"/>
  <c r="AU9" i="113"/>
  <c r="AR9" i="113"/>
  <c r="AM9" i="113"/>
  <c r="AH9" i="113"/>
  <c r="AC9" i="113"/>
  <c r="X9" i="113"/>
  <c r="S9" i="113"/>
  <c r="N9" i="113"/>
  <c r="I9" i="113"/>
  <c r="E9" i="113"/>
  <c r="AQ8" i="113"/>
  <c r="AP8" i="113"/>
  <c r="AL8" i="113"/>
  <c r="AK8" i="113"/>
  <c r="AG8" i="113"/>
  <c r="AF8" i="113"/>
  <c r="AB8" i="113"/>
  <c r="AA8" i="113"/>
  <c r="W8" i="113"/>
  <c r="V8" i="113"/>
  <c r="R8" i="113"/>
  <c r="Q8" i="113"/>
  <c r="M8" i="113"/>
  <c r="L8" i="113"/>
  <c r="H8" i="113"/>
  <c r="G8" i="113"/>
  <c r="D8" i="113"/>
  <c r="C8" i="113"/>
  <c r="AV7" i="113"/>
  <c r="AU7" i="113"/>
  <c r="AR7" i="113"/>
  <c r="AM7" i="113"/>
  <c r="AH7" i="113"/>
  <c r="AC7" i="113"/>
  <c r="X7" i="113"/>
  <c r="S7" i="113"/>
  <c r="N7" i="113"/>
  <c r="I7" i="113"/>
  <c r="E7" i="113"/>
  <c r="AV6" i="113"/>
  <c r="AV5" i="113" s="1"/>
  <c r="AR6" i="113"/>
  <c r="AR5" i="113" s="1"/>
  <c r="AM6" i="113"/>
  <c r="AH6" i="113"/>
  <c r="AH5" i="113" s="1"/>
  <c r="AC6" i="113"/>
  <c r="AC5" i="113" s="1"/>
  <c r="X6" i="113"/>
  <c r="X5" i="113" s="1"/>
  <c r="S6" i="113"/>
  <c r="S5" i="113" s="1"/>
  <c r="I6" i="113"/>
  <c r="I5" i="113" s="1"/>
  <c r="E6" i="113"/>
  <c r="E5" i="113" s="1"/>
  <c r="AQ5" i="113"/>
  <c r="AP5" i="113"/>
  <c r="AM5" i="113"/>
  <c r="AL5" i="113"/>
  <c r="AK5" i="113"/>
  <c r="AG5" i="113"/>
  <c r="AF5" i="113"/>
  <c r="AB5" i="113"/>
  <c r="AA5" i="113"/>
  <c r="W5" i="113"/>
  <c r="V5" i="113"/>
  <c r="R5" i="113"/>
  <c r="Q5" i="113"/>
  <c r="Q38" i="113" s="1"/>
  <c r="M5" i="113"/>
  <c r="H5" i="113"/>
  <c r="G5" i="113"/>
  <c r="D5" i="113"/>
  <c r="C5" i="113"/>
  <c r="AK38" i="113" l="1"/>
  <c r="AK39" i="113" s="1"/>
  <c r="AW20" i="113"/>
  <c r="AW78" i="113"/>
  <c r="AW36" i="113"/>
  <c r="AW35" i="113" s="1"/>
  <c r="AQ38" i="113"/>
  <c r="AC79" i="113"/>
  <c r="AC77" i="113" s="1"/>
  <c r="AW12" i="113"/>
  <c r="AW30" i="113"/>
  <c r="AW60" i="113"/>
  <c r="AV77" i="113"/>
  <c r="AW47" i="113"/>
  <c r="AW56" i="113"/>
  <c r="AW64" i="113"/>
  <c r="X54" i="113"/>
  <c r="AH79" i="113"/>
  <c r="AH77" i="113" s="1"/>
  <c r="AR79" i="113"/>
  <c r="AR77" i="113" s="1"/>
  <c r="X50" i="113"/>
  <c r="AU50" i="113"/>
  <c r="AB38" i="113"/>
  <c r="AB75" i="113" s="1"/>
  <c r="AW18" i="113"/>
  <c r="AW19" i="113"/>
  <c r="AW28" i="113"/>
  <c r="AW32" i="113"/>
  <c r="AW45" i="113"/>
  <c r="AW58" i="113"/>
  <c r="H38" i="113"/>
  <c r="AW48" i="113"/>
  <c r="AW51" i="113"/>
  <c r="C73" i="113"/>
  <c r="AW74" i="113"/>
  <c r="AW73" i="113" s="1"/>
  <c r="AU77" i="113"/>
  <c r="D38" i="113"/>
  <c r="AL38" i="113"/>
  <c r="AL39" i="113" s="1"/>
  <c r="AW9" i="113"/>
  <c r="AW21" i="113"/>
  <c r="AW22" i="113"/>
  <c r="S41" i="113"/>
  <c r="AC54" i="113"/>
  <c r="AW67" i="113"/>
  <c r="AW71" i="113"/>
  <c r="AW82" i="113"/>
  <c r="AF38" i="113"/>
  <c r="AF75" i="113" s="1"/>
  <c r="AF76" i="113" s="1"/>
  <c r="AW62" i="113"/>
  <c r="AM8" i="113"/>
  <c r="AM38" i="113" s="1"/>
  <c r="AW7" i="113"/>
  <c r="G38" i="113"/>
  <c r="G39" i="113" s="1"/>
  <c r="E8" i="113"/>
  <c r="AW13" i="113"/>
  <c r="AW27" i="113"/>
  <c r="AU35" i="113"/>
  <c r="AC41" i="113"/>
  <c r="AW52" i="113"/>
  <c r="AW15" i="113"/>
  <c r="AW25" i="113"/>
  <c r="AW26" i="113"/>
  <c r="AW29" i="113"/>
  <c r="AK75" i="113"/>
  <c r="AK81" i="113" s="1"/>
  <c r="AK83" i="113" s="1"/>
  <c r="AK84" i="113" s="1"/>
  <c r="AK86" i="113" s="1"/>
  <c r="AK87" i="113" s="1"/>
  <c r="AW69" i="113"/>
  <c r="AR8" i="113"/>
  <c r="AU8" i="113"/>
  <c r="AW17" i="113"/>
  <c r="AW24" i="113"/>
  <c r="AW31" i="113"/>
  <c r="AW14" i="113"/>
  <c r="AW23" i="113"/>
  <c r="AW66" i="113"/>
  <c r="AW63" i="113"/>
  <c r="AW70" i="113"/>
  <c r="AV54" i="113"/>
  <c r="G75" i="113"/>
  <c r="AW57" i="113"/>
  <c r="AV8" i="113"/>
  <c r="AV38" i="113" s="1"/>
  <c r="AK76" i="113"/>
  <c r="Q75" i="113"/>
  <c r="Q39" i="113"/>
  <c r="X35" i="113"/>
  <c r="AH8" i="113"/>
  <c r="AC8" i="113"/>
  <c r="S50" i="113"/>
  <c r="S54" i="113"/>
  <c r="V38" i="113"/>
  <c r="AR38" i="113"/>
  <c r="X8" i="113"/>
  <c r="S8" i="113"/>
  <c r="S38" i="113" s="1"/>
  <c r="AW16" i="113"/>
  <c r="AR41" i="113"/>
  <c r="AM41" i="113"/>
  <c r="AR54" i="113"/>
  <c r="D75" i="113"/>
  <c r="D39" i="113"/>
  <c r="L5" i="113"/>
  <c r="L38" i="113" s="1"/>
  <c r="N6" i="113"/>
  <c r="N5" i="113" s="1"/>
  <c r="AQ75" i="113"/>
  <c r="AQ39" i="113"/>
  <c r="AB39" i="113"/>
  <c r="AP38" i="113"/>
  <c r="E38" i="113"/>
  <c r="E41" i="113"/>
  <c r="AW46" i="113"/>
  <c r="AU41" i="113"/>
  <c r="C38" i="113"/>
  <c r="H75" i="113"/>
  <c r="H39" i="113"/>
  <c r="W38" i="113"/>
  <c r="AL75" i="113"/>
  <c r="AU6" i="113"/>
  <c r="R38" i="113"/>
  <c r="N8" i="113"/>
  <c r="I8" i="113"/>
  <c r="I38" i="113" s="1"/>
  <c r="AW10" i="113"/>
  <c r="AF39" i="113"/>
  <c r="N54" i="113"/>
  <c r="I50" i="113"/>
  <c r="X41" i="113"/>
  <c r="AV41" i="113"/>
  <c r="I41" i="113"/>
  <c r="AM50" i="113"/>
  <c r="E54" i="113"/>
  <c r="AM54" i="113"/>
  <c r="I63" i="113"/>
  <c r="AH41" i="113"/>
  <c r="M38" i="113"/>
  <c r="AA38" i="113"/>
  <c r="AG38" i="113"/>
  <c r="AW33" i="113"/>
  <c r="AR35" i="113"/>
  <c r="N41" i="113"/>
  <c r="AW42" i="113"/>
  <c r="AW44" i="113"/>
  <c r="E50" i="113"/>
  <c r="AC50" i="113"/>
  <c r="AR50" i="113"/>
  <c r="AH54" i="113"/>
  <c r="AW55" i="113"/>
  <c r="AW59" i="113"/>
  <c r="AU65" i="113"/>
  <c r="I65" i="113"/>
  <c r="AC35" i="113"/>
  <c r="AW61" i="113"/>
  <c r="AW68" i="113"/>
  <c r="AB16" i="108"/>
  <c r="AQ16" i="108" s="1"/>
  <c r="AV16" i="102"/>
  <c r="AU45" i="102"/>
  <c r="AK28" i="91"/>
  <c r="AF81" i="113" l="1"/>
  <c r="AF83" i="113" s="1"/>
  <c r="AF84" i="113" s="1"/>
  <c r="AF86" i="113" s="1"/>
  <c r="AF87" i="113" s="1"/>
  <c r="AQ8" i="108"/>
  <c r="AQ38" i="108" s="1"/>
  <c r="AR16" i="108"/>
  <c r="AW50" i="113"/>
  <c r="E89" i="113"/>
  <c r="F29" i="113" s="1"/>
  <c r="G76" i="113"/>
  <c r="G81" i="113"/>
  <c r="G83" i="113" s="1"/>
  <c r="G84" i="113" s="1"/>
  <c r="G86" i="113" s="1"/>
  <c r="G87" i="113" s="1"/>
  <c r="AW8" i="113"/>
  <c r="AM75" i="113"/>
  <c r="AM39" i="113"/>
  <c r="AH89" i="113"/>
  <c r="AN50" i="113" s="1"/>
  <c r="AH38" i="113"/>
  <c r="AW65" i="113"/>
  <c r="AU54" i="113"/>
  <c r="AG75" i="113"/>
  <c r="AG39" i="113"/>
  <c r="I39" i="113"/>
  <c r="AW41" i="113"/>
  <c r="F70" i="113"/>
  <c r="F57" i="113"/>
  <c r="F48" i="113"/>
  <c r="F68" i="113"/>
  <c r="F13" i="113"/>
  <c r="F51" i="113"/>
  <c r="F15" i="113"/>
  <c r="F47" i="113"/>
  <c r="F44" i="113"/>
  <c r="F32" i="113"/>
  <c r="F62" i="113"/>
  <c r="F8" i="113"/>
  <c r="F67" i="113"/>
  <c r="F21" i="113"/>
  <c r="F42" i="113"/>
  <c r="F19" i="113"/>
  <c r="R75" i="113"/>
  <c r="R39" i="113"/>
  <c r="AQ76" i="113"/>
  <c r="AQ81" i="113"/>
  <c r="AQ83" i="113" s="1"/>
  <c r="AQ84" i="113" s="1"/>
  <c r="AQ86" i="113" s="1"/>
  <c r="AQ87" i="113" s="1"/>
  <c r="S75" i="113"/>
  <c r="S39" i="113"/>
  <c r="AL81" i="113"/>
  <c r="AL83" i="113" s="1"/>
  <c r="AL84" i="113" s="1"/>
  <c r="AL86" i="113" s="1"/>
  <c r="AL87" i="113" s="1"/>
  <c r="AL76" i="113"/>
  <c r="C75" i="113"/>
  <c r="C39" i="113"/>
  <c r="D76" i="113"/>
  <c r="D81" i="113"/>
  <c r="D83" i="113" s="1"/>
  <c r="D84" i="113" s="1"/>
  <c r="D86" i="113" s="1"/>
  <c r="D87" i="113" s="1"/>
  <c r="V39" i="113"/>
  <c r="V75" i="113"/>
  <c r="F50" i="113"/>
  <c r="M75" i="113"/>
  <c r="M39" i="113"/>
  <c r="I54" i="113"/>
  <c r="I75" i="113" s="1"/>
  <c r="AW6" i="113"/>
  <c r="AW5" i="113" s="1"/>
  <c r="AU5" i="113"/>
  <c r="AU38" i="113" s="1"/>
  <c r="W39" i="113"/>
  <c r="W75" i="113"/>
  <c r="AB76" i="113"/>
  <c r="AB81" i="113"/>
  <c r="AB83" i="113" s="1"/>
  <c r="AB84" i="113" s="1"/>
  <c r="AB86" i="113" s="1"/>
  <c r="AB87" i="113" s="1"/>
  <c r="N38" i="113"/>
  <c r="AR75" i="113"/>
  <c r="AR39" i="113"/>
  <c r="Q76" i="113"/>
  <c r="Q81" i="113"/>
  <c r="Q83" i="113" s="1"/>
  <c r="Q84" i="113" s="1"/>
  <c r="Q86" i="113" s="1"/>
  <c r="Q87" i="113" s="1"/>
  <c r="AV39" i="113"/>
  <c r="AV75" i="113"/>
  <c r="L75" i="113"/>
  <c r="L39" i="113"/>
  <c r="AA75" i="113"/>
  <c r="AA39" i="113"/>
  <c r="F54" i="113"/>
  <c r="H76" i="113"/>
  <c r="H81" i="113"/>
  <c r="H83" i="113" s="1"/>
  <c r="H84" i="113" s="1"/>
  <c r="H86" i="113" s="1"/>
  <c r="H87" i="113" s="1"/>
  <c r="E75" i="113"/>
  <c r="E39" i="113"/>
  <c r="AP75" i="113"/>
  <c r="AP39" i="113"/>
  <c r="X38" i="113"/>
  <c r="AC89" i="113"/>
  <c r="AR89" i="113"/>
  <c r="AR93" i="113" s="1"/>
  <c r="AC38" i="113"/>
  <c r="AU25" i="102"/>
  <c r="F18" i="113" l="1"/>
  <c r="F27" i="113"/>
  <c r="F24" i="113"/>
  <c r="F58" i="113"/>
  <c r="F71" i="113"/>
  <c r="AQ75" i="108"/>
  <c r="AQ39" i="108"/>
  <c r="F85" i="113"/>
  <c r="F25" i="113"/>
  <c r="F61" i="113"/>
  <c r="F60" i="113"/>
  <c r="F82" i="113"/>
  <c r="F41" i="113"/>
  <c r="F16" i="113"/>
  <c r="F10" i="113"/>
  <c r="F17" i="113"/>
  <c r="F9" i="113"/>
  <c r="F36" i="113"/>
  <c r="F28" i="113"/>
  <c r="F30" i="113"/>
  <c r="F43" i="113"/>
  <c r="F66" i="113"/>
  <c r="F56" i="113"/>
  <c r="F63" i="113"/>
  <c r="F79" i="113"/>
  <c r="F45" i="113"/>
  <c r="F73" i="113"/>
  <c r="F64" i="113"/>
  <c r="F55" i="113"/>
  <c r="F11" i="113"/>
  <c r="F12" i="113"/>
  <c r="F52" i="113"/>
  <c r="F14" i="113"/>
  <c r="F33" i="113"/>
  <c r="F69" i="113"/>
  <c r="F31" i="113"/>
  <c r="F26" i="113"/>
  <c r="F20" i="113"/>
  <c r="F65" i="113"/>
  <c r="F46" i="113"/>
  <c r="F59" i="113"/>
  <c r="F72" i="113"/>
  <c r="F35" i="113"/>
  <c r="AN41" i="113"/>
  <c r="AS41" i="113"/>
  <c r="AS54" i="113"/>
  <c r="AS50" i="113"/>
  <c r="AN54" i="113"/>
  <c r="AI41" i="113"/>
  <c r="I76" i="113"/>
  <c r="AD71" i="113"/>
  <c r="AD69" i="113"/>
  <c r="AD70" i="113"/>
  <c r="AD62" i="113"/>
  <c r="AD60" i="113"/>
  <c r="AD58" i="113"/>
  <c r="AD56" i="113"/>
  <c r="AD55" i="113"/>
  <c r="AD47" i="113"/>
  <c r="AD64" i="113"/>
  <c r="AD67" i="113"/>
  <c r="AD57" i="113"/>
  <c r="AD42" i="113"/>
  <c r="AD29" i="113"/>
  <c r="AD19" i="113"/>
  <c r="AD12" i="113"/>
  <c r="AD52" i="113"/>
  <c r="AD21" i="113"/>
  <c r="AD41" i="113"/>
  <c r="AD25" i="113"/>
  <c r="AD23" i="113"/>
  <c r="AD65" i="113"/>
  <c r="AD49" i="113"/>
  <c r="AD14" i="113"/>
  <c r="AD10" i="113"/>
  <c r="AD13" i="113"/>
  <c r="AD32" i="113"/>
  <c r="AD59" i="113"/>
  <c r="AD66" i="113"/>
  <c r="AD20" i="113"/>
  <c r="AD54" i="113"/>
  <c r="AD45" i="113"/>
  <c r="AD48" i="113"/>
  <c r="AD51" i="113"/>
  <c r="AS8" i="113"/>
  <c r="AN8" i="113"/>
  <c r="AD26" i="113"/>
  <c r="AD44" i="113"/>
  <c r="AD17" i="113"/>
  <c r="AD11" i="113"/>
  <c r="AD31" i="113"/>
  <c r="AD15" i="113"/>
  <c r="AD33" i="113"/>
  <c r="AD24" i="113"/>
  <c r="AD30" i="113"/>
  <c r="AC93" i="113"/>
  <c r="AD46" i="113"/>
  <c r="AD18" i="113"/>
  <c r="AD9" i="113"/>
  <c r="AD28" i="113"/>
  <c r="AD43" i="113"/>
  <c r="AD22" i="113"/>
  <c r="AD61" i="113"/>
  <c r="AD63" i="113"/>
  <c r="AD16" i="113"/>
  <c r="AD27" i="113"/>
  <c r="AD68" i="113"/>
  <c r="AV76" i="113"/>
  <c r="AV81" i="113"/>
  <c r="AV83" i="113" s="1"/>
  <c r="AV84" i="113" s="1"/>
  <c r="AV86" i="113" s="1"/>
  <c r="AV87" i="113" s="1"/>
  <c r="AW38" i="113"/>
  <c r="AH75" i="113"/>
  <c r="AH39" i="113"/>
  <c r="E81" i="113"/>
  <c r="E83" i="113" s="1"/>
  <c r="E84" i="113" s="1"/>
  <c r="E86" i="113" s="1"/>
  <c r="E87" i="113" s="1"/>
  <c r="E76" i="113"/>
  <c r="W76" i="113"/>
  <c r="W81" i="113"/>
  <c r="W83" i="113" s="1"/>
  <c r="W84" i="113" s="1"/>
  <c r="W86" i="113" s="1"/>
  <c r="W87" i="113" s="1"/>
  <c r="C76" i="113"/>
  <c r="C81" i="113"/>
  <c r="C83" i="113" s="1"/>
  <c r="C84" i="113" s="1"/>
  <c r="C86" i="113" s="1"/>
  <c r="C87" i="113" s="1"/>
  <c r="S76" i="113"/>
  <c r="AI8" i="113"/>
  <c r="X75" i="113"/>
  <c r="X39" i="113"/>
  <c r="AA81" i="113"/>
  <c r="AA83" i="113" s="1"/>
  <c r="AA84" i="113" s="1"/>
  <c r="AA86" i="113" s="1"/>
  <c r="AA87" i="113" s="1"/>
  <c r="AA76" i="113"/>
  <c r="M81" i="113"/>
  <c r="M83" i="113" s="1"/>
  <c r="M84" i="113" s="1"/>
  <c r="M86" i="113" s="1"/>
  <c r="M87" i="113" s="1"/>
  <c r="M76" i="113"/>
  <c r="V76" i="113"/>
  <c r="V81" i="113"/>
  <c r="V83" i="113" s="1"/>
  <c r="V84" i="113" s="1"/>
  <c r="V86" i="113" s="1"/>
  <c r="V87" i="113" s="1"/>
  <c r="AG76" i="113"/>
  <c r="AG81" i="113"/>
  <c r="AG83" i="113" s="1"/>
  <c r="AG84" i="113" s="1"/>
  <c r="AG86" i="113" s="1"/>
  <c r="AG87" i="113" s="1"/>
  <c r="AN71" i="113"/>
  <c r="AS70" i="113"/>
  <c r="AI70" i="113"/>
  <c r="AN69" i="113"/>
  <c r="AS68" i="113"/>
  <c r="AI68" i="113"/>
  <c r="AS71" i="113"/>
  <c r="AI69" i="113"/>
  <c r="AN62" i="113"/>
  <c r="AS61" i="113"/>
  <c r="AI61" i="113"/>
  <c r="AN60" i="113"/>
  <c r="AS59" i="113"/>
  <c r="AI59" i="113"/>
  <c r="AN58" i="113"/>
  <c r="AS57" i="113"/>
  <c r="AI57" i="113"/>
  <c r="AN56" i="113"/>
  <c r="AI71" i="113"/>
  <c r="AN64" i="113"/>
  <c r="AI62" i="113"/>
  <c r="AN57" i="113"/>
  <c r="AS56" i="113"/>
  <c r="AN49" i="113"/>
  <c r="AN47" i="113"/>
  <c r="AS46" i="113"/>
  <c r="AI46" i="113"/>
  <c r="AI66" i="113"/>
  <c r="AI49" i="113"/>
  <c r="AN65" i="113"/>
  <c r="AS63" i="113"/>
  <c r="AS58" i="113"/>
  <c r="AN52" i="113"/>
  <c r="AI48" i="113"/>
  <c r="AN42" i="113"/>
  <c r="AN67" i="113"/>
  <c r="AN59" i="113"/>
  <c r="AS48" i="113"/>
  <c r="AI56" i="113"/>
  <c r="AI51" i="113"/>
  <c r="AS49" i="113"/>
  <c r="AI58" i="113"/>
  <c r="AS51" i="113"/>
  <c r="AI36" i="113"/>
  <c r="AS30" i="113"/>
  <c r="AS26" i="113"/>
  <c r="AN21" i="113"/>
  <c r="AS18" i="113"/>
  <c r="AN14" i="113"/>
  <c r="AS13" i="113"/>
  <c r="AI11" i="113"/>
  <c r="AN23" i="113"/>
  <c r="AI20" i="113"/>
  <c r="AI18" i="113"/>
  <c r="AN68" i="113"/>
  <c r="AS66" i="113"/>
  <c r="AI47" i="113"/>
  <c r="AI28" i="113"/>
  <c r="AI24" i="113"/>
  <c r="AI22" i="113"/>
  <c r="AN19" i="113"/>
  <c r="AI63" i="113"/>
  <c r="AS60" i="113"/>
  <c r="AS22" i="113"/>
  <c r="AN31" i="113"/>
  <c r="AS20" i="113"/>
  <c r="AN16" i="113"/>
  <c r="AS15" i="113"/>
  <c r="AI13" i="113"/>
  <c r="AN12" i="113"/>
  <c r="AS11" i="113"/>
  <c r="AN27" i="113"/>
  <c r="AI17" i="113"/>
  <c r="AS21" i="113"/>
  <c r="AN25" i="113"/>
  <c r="AS47" i="113"/>
  <c r="AH93" i="113"/>
  <c r="AS16" i="113"/>
  <c r="AN43" i="113"/>
  <c r="AN45" i="113"/>
  <c r="AI30" i="113"/>
  <c r="AI55" i="113"/>
  <c r="AI14" i="113"/>
  <c r="AN17" i="113"/>
  <c r="AI23" i="113"/>
  <c r="AI25" i="113"/>
  <c r="AN28" i="113"/>
  <c r="AS43" i="113"/>
  <c r="AN55" i="113"/>
  <c r="AI64" i="113"/>
  <c r="AN36" i="113"/>
  <c r="AI60" i="113"/>
  <c r="AN32" i="113"/>
  <c r="AN10" i="113"/>
  <c r="AN29" i="113"/>
  <c r="AI43" i="113"/>
  <c r="AN48" i="113"/>
  <c r="AI9" i="113"/>
  <c r="AS10" i="113"/>
  <c r="AN20" i="113"/>
  <c r="AS29" i="113"/>
  <c r="AS62" i="113"/>
  <c r="AI19" i="113"/>
  <c r="AI26" i="113"/>
  <c r="AN33" i="113"/>
  <c r="AN9" i="113"/>
  <c r="AI32" i="113"/>
  <c r="AS31" i="113"/>
  <c r="AN30" i="113"/>
  <c r="AN51" i="113"/>
  <c r="AI15" i="113"/>
  <c r="AS17" i="113"/>
  <c r="AN11" i="113"/>
  <c r="AS28" i="113"/>
  <c r="AI21" i="113"/>
  <c r="AI45" i="113"/>
  <c r="AN61" i="113"/>
  <c r="AN15" i="113"/>
  <c r="AN44" i="113"/>
  <c r="AN24" i="113"/>
  <c r="AS45" i="113"/>
  <c r="AS27" i="113"/>
  <c r="AI31" i="113"/>
  <c r="AS33" i="113"/>
  <c r="AS44" i="113"/>
  <c r="AI42" i="113"/>
  <c r="AN26" i="113"/>
  <c r="AS14" i="113"/>
  <c r="AS25" i="113"/>
  <c r="AS12" i="113"/>
  <c r="AN46" i="113"/>
  <c r="AS67" i="113"/>
  <c r="AI33" i="113"/>
  <c r="AN63" i="113"/>
  <c r="AI65" i="113"/>
  <c r="AS69" i="113"/>
  <c r="AS55" i="113"/>
  <c r="AN22" i="113"/>
  <c r="AN66" i="113"/>
  <c r="AS23" i="113"/>
  <c r="AS42" i="113"/>
  <c r="AI50" i="113"/>
  <c r="AS9" i="113"/>
  <c r="AS52" i="113"/>
  <c r="AI27" i="113"/>
  <c r="AN18" i="113"/>
  <c r="AS24" i="113"/>
  <c r="AS65" i="113"/>
  <c r="AI16" i="113"/>
  <c r="AS64" i="113"/>
  <c r="AN13" i="113"/>
  <c r="AS36" i="113"/>
  <c r="AI10" i="113"/>
  <c r="AS19" i="113"/>
  <c r="AI52" i="113"/>
  <c r="AI44" i="113"/>
  <c r="AI67" i="113"/>
  <c r="AN70" i="113"/>
  <c r="AI12" i="113"/>
  <c r="AI29" i="113"/>
  <c r="AS32" i="113"/>
  <c r="AM76" i="113"/>
  <c r="AC75" i="113"/>
  <c r="AC39" i="113"/>
  <c r="L81" i="113"/>
  <c r="L83" i="113" s="1"/>
  <c r="L84" i="113" s="1"/>
  <c r="L86" i="113" s="1"/>
  <c r="L87" i="113" s="1"/>
  <c r="L76" i="113"/>
  <c r="N75" i="113"/>
  <c r="N39" i="113"/>
  <c r="AD8" i="113"/>
  <c r="AP76" i="113"/>
  <c r="AP81" i="113"/>
  <c r="AP83" i="113" s="1"/>
  <c r="AP84" i="113" s="1"/>
  <c r="AP86" i="113" s="1"/>
  <c r="AP87" i="113" s="1"/>
  <c r="AR81" i="113"/>
  <c r="AR83" i="113" s="1"/>
  <c r="AR84" i="113" s="1"/>
  <c r="AR86" i="113" s="1"/>
  <c r="AR87" i="113" s="1"/>
  <c r="AR76" i="113"/>
  <c r="AU75" i="113"/>
  <c r="AU39" i="113"/>
  <c r="R81" i="113"/>
  <c r="R83" i="113" s="1"/>
  <c r="R84" i="113" s="1"/>
  <c r="R86" i="113" s="1"/>
  <c r="R87" i="113" s="1"/>
  <c r="R76" i="113"/>
  <c r="AI54" i="113"/>
  <c r="AW54" i="113"/>
  <c r="AQ81" i="108" l="1"/>
  <c r="AQ83" i="108" s="1"/>
  <c r="AQ84" i="108" s="1"/>
  <c r="AQ86" i="108" s="1"/>
  <c r="AQ87" i="108" s="1"/>
  <c r="AQ76" i="108"/>
  <c r="AH76" i="113"/>
  <c r="AH81" i="113"/>
  <c r="AH83" i="113" s="1"/>
  <c r="AH84" i="113" s="1"/>
  <c r="AH86" i="113" s="1"/>
  <c r="AH87" i="113" s="1"/>
  <c r="X76" i="113"/>
  <c r="AW39" i="113"/>
  <c r="AW75" i="113"/>
  <c r="AU76" i="113"/>
  <c r="AU81" i="113"/>
  <c r="AU83" i="113" s="1"/>
  <c r="AU84" i="113" s="1"/>
  <c r="AU86" i="113" s="1"/>
  <c r="AU87" i="113" s="1"/>
  <c r="N76" i="113"/>
  <c r="AC76" i="113"/>
  <c r="AC81" i="113"/>
  <c r="AC83" i="113" s="1"/>
  <c r="AC84" i="113" s="1"/>
  <c r="AC86" i="113" s="1"/>
  <c r="AC87" i="113" s="1"/>
  <c r="AW76" i="113" l="1"/>
  <c r="AZ18" i="96" l="1"/>
  <c r="AZ26" i="96"/>
  <c r="AZ25" i="96"/>
  <c r="BA30" i="96"/>
  <c r="BP30" i="96" s="1"/>
  <c r="AU26" i="102"/>
  <c r="AW85" i="99" l="1"/>
  <c r="AW82" i="99"/>
  <c r="AW78" i="99"/>
  <c r="AV77" i="99"/>
  <c r="AU77" i="99"/>
  <c r="AW74" i="99"/>
  <c r="AW73" i="99" s="1"/>
  <c r="AV73" i="99"/>
  <c r="AU73" i="99"/>
  <c r="AW71" i="99"/>
  <c r="AW70" i="99"/>
  <c r="AW69" i="99"/>
  <c r="AW68" i="99"/>
  <c r="AW67" i="99"/>
  <c r="AW66" i="99"/>
  <c r="AW65" i="99"/>
  <c r="AW64" i="99"/>
  <c r="AW63" i="99"/>
  <c r="AW62" i="99"/>
  <c r="AW61" i="99"/>
  <c r="AW60" i="99"/>
  <c r="AW59" i="99"/>
  <c r="AW58" i="99"/>
  <c r="AW57" i="99"/>
  <c r="AW56" i="99"/>
  <c r="AW55" i="99"/>
  <c r="AV54" i="99"/>
  <c r="AU54" i="99"/>
  <c r="AW52" i="99"/>
  <c r="AW51" i="99"/>
  <c r="AV50" i="99"/>
  <c r="AU50" i="99"/>
  <c r="AW48" i="99"/>
  <c r="AW47" i="99"/>
  <c r="AW46" i="99"/>
  <c r="AW45" i="99"/>
  <c r="AW44" i="99"/>
  <c r="AW43" i="99"/>
  <c r="AW42" i="99"/>
  <c r="AV41" i="99"/>
  <c r="AU41" i="99"/>
  <c r="AW36" i="99"/>
  <c r="AW35" i="99" s="1"/>
  <c r="AV35" i="99"/>
  <c r="AU35" i="99"/>
  <c r="AW33" i="99"/>
  <c r="AW32" i="99"/>
  <c r="AW31" i="99"/>
  <c r="AW30" i="99"/>
  <c r="AW29" i="99"/>
  <c r="AW28" i="99"/>
  <c r="AW27" i="99"/>
  <c r="AW26" i="99"/>
  <c r="AW25" i="99"/>
  <c r="AW24" i="99"/>
  <c r="AW23" i="99"/>
  <c r="AW22" i="99"/>
  <c r="AW21" i="99"/>
  <c r="AW20" i="99"/>
  <c r="AW19" i="99"/>
  <c r="AW18" i="99"/>
  <c r="AW17" i="99"/>
  <c r="AW16" i="99"/>
  <c r="AW15" i="99"/>
  <c r="AW14" i="99"/>
  <c r="AW13" i="99"/>
  <c r="AW12" i="99"/>
  <c r="AW11" i="99"/>
  <c r="AW10" i="99"/>
  <c r="AW9" i="99"/>
  <c r="AV8" i="99"/>
  <c r="AU8" i="99"/>
  <c r="AW7" i="99"/>
  <c r="AW6" i="99"/>
  <c r="AW5" i="99" s="1"/>
  <c r="AV5" i="99"/>
  <c r="AU5" i="99"/>
  <c r="AA6" i="108"/>
  <c r="BK79" i="87"/>
  <c r="BJ79" i="87"/>
  <c r="BK78" i="87"/>
  <c r="BJ78" i="87"/>
  <c r="BK71" i="87"/>
  <c r="BJ71" i="87"/>
  <c r="BK70" i="87"/>
  <c r="BJ70" i="87"/>
  <c r="BK69" i="87"/>
  <c r="BJ69" i="87"/>
  <c r="BK68" i="87"/>
  <c r="BJ68" i="87"/>
  <c r="BK67" i="87"/>
  <c r="BJ67" i="87"/>
  <c r="BK66" i="87"/>
  <c r="BJ66" i="87"/>
  <c r="BK65" i="87"/>
  <c r="BJ65" i="87"/>
  <c r="BK64" i="87"/>
  <c r="BJ64" i="87"/>
  <c r="BK63" i="87"/>
  <c r="BJ63" i="87"/>
  <c r="BK62" i="87"/>
  <c r="BJ62" i="87"/>
  <c r="BK61" i="87"/>
  <c r="BJ61" i="87"/>
  <c r="BK60" i="87"/>
  <c r="BJ60" i="87"/>
  <c r="BK59" i="87"/>
  <c r="BJ59" i="87"/>
  <c r="BK58" i="87"/>
  <c r="BJ58" i="87"/>
  <c r="BK57" i="87"/>
  <c r="BJ57" i="87"/>
  <c r="BK56" i="87"/>
  <c r="BJ56" i="87"/>
  <c r="BK55" i="87"/>
  <c r="BJ55" i="87"/>
  <c r="BK52" i="87"/>
  <c r="BJ52" i="87"/>
  <c r="BK51" i="87"/>
  <c r="BJ51" i="87"/>
  <c r="BK48" i="87"/>
  <c r="BJ48" i="87"/>
  <c r="BK47" i="87"/>
  <c r="BJ47" i="87"/>
  <c r="BK46" i="87"/>
  <c r="BJ46" i="87"/>
  <c r="BK45" i="87"/>
  <c r="BJ45" i="87"/>
  <c r="BK44" i="87"/>
  <c r="BJ44" i="87"/>
  <c r="BK43" i="87"/>
  <c r="BJ43" i="87"/>
  <c r="BK42" i="87"/>
  <c r="BJ42" i="87"/>
  <c r="BK33" i="87"/>
  <c r="BJ33" i="87"/>
  <c r="BK32" i="87"/>
  <c r="BJ32" i="87"/>
  <c r="BJ31" i="87"/>
  <c r="BK30" i="87"/>
  <c r="BJ30" i="87"/>
  <c r="BK29" i="87"/>
  <c r="BJ29" i="87"/>
  <c r="BK28" i="87"/>
  <c r="BJ28" i="87"/>
  <c r="BK27" i="87"/>
  <c r="BJ27" i="87"/>
  <c r="BK26" i="87"/>
  <c r="BL26" i="87" s="1"/>
  <c r="BK25" i="87"/>
  <c r="BJ25" i="87"/>
  <c r="BK24" i="87"/>
  <c r="BK23" i="87"/>
  <c r="BJ23" i="87"/>
  <c r="BK22" i="87"/>
  <c r="BJ22" i="87"/>
  <c r="BJ21" i="87"/>
  <c r="BK20" i="87"/>
  <c r="BJ20" i="87"/>
  <c r="BK19" i="87"/>
  <c r="BJ19" i="87"/>
  <c r="BK18" i="87"/>
  <c r="BJ18" i="87"/>
  <c r="BK17" i="87"/>
  <c r="BJ17" i="87"/>
  <c r="BK16" i="87"/>
  <c r="BJ16" i="87"/>
  <c r="BK15" i="87"/>
  <c r="BJ15" i="87"/>
  <c r="BK14" i="87"/>
  <c r="BJ14" i="87"/>
  <c r="BK13" i="87"/>
  <c r="BJ13" i="87"/>
  <c r="BK12" i="87"/>
  <c r="BJ12" i="87"/>
  <c r="BK11" i="87"/>
  <c r="BJ11" i="87"/>
  <c r="BK10" i="87"/>
  <c r="BJ10" i="87"/>
  <c r="BK9" i="87"/>
  <c r="BJ9" i="87"/>
  <c r="BJ7" i="87"/>
  <c r="BK7" i="87"/>
  <c r="BK6" i="87"/>
  <c r="BJ6" i="87"/>
  <c r="BB85" i="87"/>
  <c r="BB82" i="87"/>
  <c r="BA81" i="87"/>
  <c r="BA83" i="87" s="1"/>
  <c r="BA84" i="87" s="1"/>
  <c r="AZ81" i="87"/>
  <c r="AZ83" i="87" s="1"/>
  <c r="AZ84" i="87" s="1"/>
  <c r="BB78" i="87"/>
  <c r="BB77" i="87" s="1"/>
  <c r="BB74" i="87"/>
  <c r="BB73" i="87" s="1"/>
  <c r="BB71" i="87"/>
  <c r="BB70" i="87"/>
  <c r="BB69" i="87"/>
  <c r="BB68" i="87"/>
  <c r="BB67" i="87"/>
  <c r="BB66" i="87"/>
  <c r="BB65" i="87"/>
  <c r="BB64" i="87"/>
  <c r="BB63" i="87"/>
  <c r="BB62" i="87"/>
  <c r="BB61" i="87"/>
  <c r="BB60" i="87"/>
  <c r="BB59" i="87"/>
  <c r="BB58" i="87"/>
  <c r="BB57" i="87"/>
  <c r="BB56" i="87"/>
  <c r="BB55" i="87"/>
  <c r="BB52" i="87"/>
  <c r="BB51" i="87"/>
  <c r="BB48" i="87"/>
  <c r="BB47" i="87"/>
  <c r="BB46" i="87"/>
  <c r="BB45" i="87"/>
  <c r="BB44" i="87"/>
  <c r="BB43" i="87"/>
  <c r="BB42" i="87"/>
  <c r="BB36" i="87"/>
  <c r="BB35" i="87" s="1"/>
  <c r="BB33" i="87"/>
  <c r="BB32" i="87"/>
  <c r="BB31" i="87"/>
  <c r="BB30" i="87"/>
  <c r="BB29" i="87"/>
  <c r="BB28" i="87"/>
  <c r="BB27" i="87"/>
  <c r="BB26" i="87"/>
  <c r="BB25" i="87"/>
  <c r="BB24" i="87"/>
  <c r="BB21" i="87"/>
  <c r="BB20" i="87"/>
  <c r="BB19" i="87"/>
  <c r="BB18" i="87"/>
  <c r="BB17" i="87"/>
  <c r="BB16" i="87"/>
  <c r="BB15" i="87"/>
  <c r="BB14" i="87"/>
  <c r="BB13" i="87"/>
  <c r="BB12" i="87"/>
  <c r="BB11" i="87"/>
  <c r="BB10" i="87"/>
  <c r="BB9" i="87"/>
  <c r="BB7" i="87"/>
  <c r="BB6" i="87"/>
  <c r="BB5" i="87" s="1"/>
  <c r="BQ45" i="90"/>
  <c r="BQ22" i="90"/>
  <c r="BB85" i="90"/>
  <c r="BB82" i="90"/>
  <c r="BA77" i="90"/>
  <c r="AZ77" i="90"/>
  <c r="BB71" i="90"/>
  <c r="BB70" i="90"/>
  <c r="BB69" i="90"/>
  <c r="BB68" i="90"/>
  <c r="BB67" i="90"/>
  <c r="BB66" i="90"/>
  <c r="BB65" i="90"/>
  <c r="BB64" i="90"/>
  <c r="BB63" i="90"/>
  <c r="BB62" i="90"/>
  <c r="BB61" i="90"/>
  <c r="BB60" i="90"/>
  <c r="BB59" i="90"/>
  <c r="BB58" i="90"/>
  <c r="BB57" i="90"/>
  <c r="BB56" i="90"/>
  <c r="BB55" i="90"/>
  <c r="BA54" i="90"/>
  <c r="AZ54" i="90"/>
  <c r="BB53" i="90"/>
  <c r="BB52" i="90"/>
  <c r="BB51" i="90"/>
  <c r="BA50" i="90"/>
  <c r="AZ50" i="90"/>
  <c r="BB48" i="90"/>
  <c r="BB47" i="90"/>
  <c r="BB46" i="90"/>
  <c r="BB45" i="90"/>
  <c r="BB44" i="90"/>
  <c r="BB43" i="90"/>
  <c r="BB42" i="90"/>
  <c r="BA41" i="90"/>
  <c r="AZ41" i="90"/>
  <c r="BB33" i="90"/>
  <c r="BB32" i="90"/>
  <c r="BB31" i="90"/>
  <c r="BB30" i="90"/>
  <c r="BB29" i="90"/>
  <c r="BB28" i="90"/>
  <c r="BB27" i="90"/>
  <c r="BB26" i="90"/>
  <c r="BB25" i="90"/>
  <c r="BB24" i="90"/>
  <c r="BB23" i="90"/>
  <c r="BB22" i="90"/>
  <c r="BB21" i="90"/>
  <c r="BB20" i="90"/>
  <c r="BB19" i="90"/>
  <c r="BB18" i="90"/>
  <c r="BB17" i="90"/>
  <c r="BB16" i="90"/>
  <c r="BB15" i="90"/>
  <c r="BB14" i="90"/>
  <c r="BB13" i="90"/>
  <c r="BB12" i="90"/>
  <c r="BB11" i="90"/>
  <c r="BB10" i="90"/>
  <c r="BB9" i="90"/>
  <c r="BA8" i="90"/>
  <c r="BB6" i="90"/>
  <c r="BB5" i="90" s="1"/>
  <c r="BA5" i="90"/>
  <c r="AZ5" i="90"/>
  <c r="BP74" i="96"/>
  <c r="BO74" i="96"/>
  <c r="BB85" i="96"/>
  <c r="BB82" i="96"/>
  <c r="BB78" i="96"/>
  <c r="BA77" i="96"/>
  <c r="AZ77" i="96"/>
  <c r="BB74" i="96"/>
  <c r="BB73" i="96" s="1"/>
  <c r="BA73" i="96"/>
  <c r="AZ73" i="96"/>
  <c r="BB71" i="96"/>
  <c r="BB70" i="96"/>
  <c r="BB69" i="96"/>
  <c r="BB68" i="96"/>
  <c r="BB67" i="96"/>
  <c r="BB66" i="96"/>
  <c r="BB65" i="96"/>
  <c r="BB64" i="96"/>
  <c r="BB63" i="96"/>
  <c r="BB62" i="96"/>
  <c r="BB61" i="96"/>
  <c r="BB60" i="96"/>
  <c r="BB59" i="96"/>
  <c r="BB58" i="96"/>
  <c r="BB57" i="96"/>
  <c r="BB56" i="96"/>
  <c r="BB55" i="96"/>
  <c r="BA54" i="96"/>
  <c r="AZ54" i="96"/>
  <c r="BB52" i="96"/>
  <c r="BB51" i="96"/>
  <c r="BB50" i="96" s="1"/>
  <c r="BA50" i="96"/>
  <c r="AZ50" i="96"/>
  <c r="BB48" i="96"/>
  <c r="BB47" i="96"/>
  <c r="BB46" i="96"/>
  <c r="BB45" i="96"/>
  <c r="BB44" i="96"/>
  <c r="BB43" i="96"/>
  <c r="BB42" i="96"/>
  <c r="BA41" i="96"/>
  <c r="AZ41" i="96"/>
  <c r="BB36" i="96"/>
  <c r="BB35" i="96" s="1"/>
  <c r="BA35" i="96"/>
  <c r="AZ35" i="96"/>
  <c r="BB33" i="96"/>
  <c r="BB32" i="96"/>
  <c r="BB31" i="96"/>
  <c r="BB30" i="96"/>
  <c r="BB29" i="96"/>
  <c r="BB28" i="96"/>
  <c r="BB27" i="96"/>
  <c r="BB26" i="96"/>
  <c r="BB25" i="96"/>
  <c r="BB24" i="96"/>
  <c r="BB23" i="96"/>
  <c r="BB22" i="96"/>
  <c r="BB21" i="96"/>
  <c r="BB20" i="96"/>
  <c r="BB19" i="96"/>
  <c r="BB18" i="96"/>
  <c r="BB17" i="96"/>
  <c r="BB16" i="96"/>
  <c r="BB15" i="96"/>
  <c r="BB14" i="96"/>
  <c r="BB13" i="96"/>
  <c r="AZ8" i="96"/>
  <c r="BB11" i="96"/>
  <c r="BB10" i="96"/>
  <c r="BB9" i="96"/>
  <c r="BA8" i="96"/>
  <c r="BB7" i="96"/>
  <c r="BB6" i="96"/>
  <c r="BA5" i="96"/>
  <c r="AZ5" i="96"/>
  <c r="AH85" i="107"/>
  <c r="AH82" i="107"/>
  <c r="AH78" i="107"/>
  <c r="AG77" i="107"/>
  <c r="AF77" i="107"/>
  <c r="AH74" i="107"/>
  <c r="AH73" i="107" s="1"/>
  <c r="AG73" i="107"/>
  <c r="AF73" i="107"/>
  <c r="AH71" i="107"/>
  <c r="AH70" i="107"/>
  <c r="AH69" i="107"/>
  <c r="AH68" i="107"/>
  <c r="AH67" i="107"/>
  <c r="AH66" i="107"/>
  <c r="AH65" i="107"/>
  <c r="AH64" i="107"/>
  <c r="AH63" i="107"/>
  <c r="AH62" i="107"/>
  <c r="AH61" i="107"/>
  <c r="AH60" i="107"/>
  <c r="AH59" i="107"/>
  <c r="AH58" i="107"/>
  <c r="AH57" i="107"/>
  <c r="AH56" i="107"/>
  <c r="AH55" i="107"/>
  <c r="AG54" i="107"/>
  <c r="AF54" i="107"/>
  <c r="AH52" i="107"/>
  <c r="AH51" i="107"/>
  <c r="AG50" i="107"/>
  <c r="AF50" i="107"/>
  <c r="AH48" i="107"/>
  <c r="AH47" i="107"/>
  <c r="AH46" i="107"/>
  <c r="AH45" i="107"/>
  <c r="AH44" i="107"/>
  <c r="AH43" i="107"/>
  <c r="AH42" i="107"/>
  <c r="AG41" i="107"/>
  <c r="AF41" i="107"/>
  <c r="AH36" i="107"/>
  <c r="AH35" i="107" s="1"/>
  <c r="AG35" i="107"/>
  <c r="AF35" i="107"/>
  <c r="AH33" i="107"/>
  <c r="AH32" i="107"/>
  <c r="AH31" i="107"/>
  <c r="AH30" i="107"/>
  <c r="AH29" i="107"/>
  <c r="AH28" i="107"/>
  <c r="AH27" i="107"/>
  <c r="AH26" i="107"/>
  <c r="AH25" i="107"/>
  <c r="AH24" i="107"/>
  <c r="AH22" i="107"/>
  <c r="AH21" i="107"/>
  <c r="AH20" i="107"/>
  <c r="AH19" i="107"/>
  <c r="AH18" i="107"/>
  <c r="AH17" i="107"/>
  <c r="AH16" i="107"/>
  <c r="AH15" i="107"/>
  <c r="AH14" i="107"/>
  <c r="AH13" i="107"/>
  <c r="AH12" i="107"/>
  <c r="AH11" i="107"/>
  <c r="AH10" i="107"/>
  <c r="AH9" i="107"/>
  <c r="AG8" i="107"/>
  <c r="AF8" i="107"/>
  <c r="AH7" i="107"/>
  <c r="AH6" i="107"/>
  <c r="AG5" i="107"/>
  <c r="AC85" i="108"/>
  <c r="AC82" i="108"/>
  <c r="AC78" i="108"/>
  <c r="AB77" i="108"/>
  <c r="AA77" i="108"/>
  <c r="AC74" i="108"/>
  <c r="AC73" i="108" s="1"/>
  <c r="AB73" i="108"/>
  <c r="AA73" i="108"/>
  <c r="AC71" i="108"/>
  <c r="AC70" i="108"/>
  <c r="AC69" i="108"/>
  <c r="AC68" i="108"/>
  <c r="AC67" i="108"/>
  <c r="AC66" i="108"/>
  <c r="AC65" i="108"/>
  <c r="AC64" i="108"/>
  <c r="AC63" i="108"/>
  <c r="AC62" i="108"/>
  <c r="AC61" i="108"/>
  <c r="AC60" i="108"/>
  <c r="AC59" i="108"/>
  <c r="AC58" i="108"/>
  <c r="AC57" i="108"/>
  <c r="AC56" i="108"/>
  <c r="AC55" i="108"/>
  <c r="AB54" i="108"/>
  <c r="AA54" i="108"/>
  <c r="AC52" i="108"/>
  <c r="AC51" i="108"/>
  <c r="AB50" i="108"/>
  <c r="AA50" i="108"/>
  <c r="AC48" i="108"/>
  <c r="AC47" i="108"/>
  <c r="AC46" i="108"/>
  <c r="AC45" i="108"/>
  <c r="AC44" i="108"/>
  <c r="AC43" i="108"/>
  <c r="AC42" i="108"/>
  <c r="AB41" i="108"/>
  <c r="AA41" i="108"/>
  <c r="AC36" i="108"/>
  <c r="AC35" i="108" s="1"/>
  <c r="AB35" i="108"/>
  <c r="AA35" i="108"/>
  <c r="AC33" i="108"/>
  <c r="AC32" i="108"/>
  <c r="AC31" i="108"/>
  <c r="AC30" i="108"/>
  <c r="AC29" i="108"/>
  <c r="AC28" i="108"/>
  <c r="AC27" i="108"/>
  <c r="AC26" i="108"/>
  <c r="AC25" i="108"/>
  <c r="AC24" i="108"/>
  <c r="AC22" i="108"/>
  <c r="AC21" i="108"/>
  <c r="AC20" i="108"/>
  <c r="AC19" i="108"/>
  <c r="AC18" i="108"/>
  <c r="AC17" i="108"/>
  <c r="AC16" i="108"/>
  <c r="AC15" i="108"/>
  <c r="AC14" i="108"/>
  <c r="AC13" i="108"/>
  <c r="AC12" i="108"/>
  <c r="AC11" i="108"/>
  <c r="AC10" i="108"/>
  <c r="AC9" i="108"/>
  <c r="AB8" i="108"/>
  <c r="AA8" i="108"/>
  <c r="AC7" i="108"/>
  <c r="AC6" i="108"/>
  <c r="AB5" i="108"/>
  <c r="AA5" i="108"/>
  <c r="AH50" i="107" l="1"/>
  <c r="AU38" i="99"/>
  <c r="AV38" i="99"/>
  <c r="BB54" i="87"/>
  <c r="BB50" i="87"/>
  <c r="AW41" i="99"/>
  <c r="AC50" i="108"/>
  <c r="BB50" i="90"/>
  <c r="AH5" i="107"/>
  <c r="BB8" i="87"/>
  <c r="BB41" i="87"/>
  <c r="AW79" i="99"/>
  <c r="AW77" i="99" s="1"/>
  <c r="AW50" i="99"/>
  <c r="AW54" i="99"/>
  <c r="BB5" i="96"/>
  <c r="BQ47" i="90"/>
  <c r="BQ59" i="90"/>
  <c r="BQ60" i="90"/>
  <c r="BQ48" i="90"/>
  <c r="BQ29" i="90"/>
  <c r="AA38" i="108"/>
  <c r="AA39" i="108" s="1"/>
  <c r="AC5" i="108"/>
  <c r="AB38" i="108"/>
  <c r="AB75" i="108" s="1"/>
  <c r="BB41" i="90"/>
  <c r="BB41" i="96"/>
  <c r="BB54" i="96"/>
  <c r="AW8" i="99"/>
  <c r="AW38" i="99" s="1"/>
  <c r="AU39" i="99"/>
  <c r="AU75" i="99"/>
  <c r="AV75" i="99"/>
  <c r="AV39" i="99"/>
  <c r="BB38" i="87"/>
  <c r="BB54" i="90"/>
  <c r="BA38" i="90"/>
  <c r="BA39" i="90" s="1"/>
  <c r="BB8" i="90"/>
  <c r="BB38" i="90" s="1"/>
  <c r="AZ8" i="90"/>
  <c r="AZ38" i="90" s="1"/>
  <c r="BA38" i="96"/>
  <c r="BA75" i="96" s="1"/>
  <c r="AZ38" i="96"/>
  <c r="BB12" i="96"/>
  <c r="AH41" i="107"/>
  <c r="AG38" i="107"/>
  <c r="AG75" i="107" s="1"/>
  <c r="AH54" i="107"/>
  <c r="AH8" i="107"/>
  <c r="AF5" i="107"/>
  <c r="AF38" i="107" s="1"/>
  <c r="AC8" i="108"/>
  <c r="AC38" i="108" s="1"/>
  <c r="AA75" i="108"/>
  <c r="AC41" i="108"/>
  <c r="AC54" i="108"/>
  <c r="BK74" i="102"/>
  <c r="BJ74" i="102"/>
  <c r="AW85" i="102"/>
  <c r="AW82" i="102"/>
  <c r="AW78" i="102"/>
  <c r="AV77" i="102"/>
  <c r="AU77" i="102"/>
  <c r="AW74" i="102"/>
  <c r="AW73" i="102" s="1"/>
  <c r="AV73" i="102"/>
  <c r="AU73" i="102"/>
  <c r="AW71" i="102"/>
  <c r="AW70" i="102"/>
  <c r="AW69" i="102"/>
  <c r="AW68" i="102"/>
  <c r="AW67" i="102"/>
  <c r="AW66" i="102"/>
  <c r="AW65" i="102"/>
  <c r="AW64" i="102"/>
  <c r="AW63" i="102"/>
  <c r="AW62" i="102"/>
  <c r="AW61" i="102"/>
  <c r="AW60" i="102"/>
  <c r="AW59" i="102"/>
  <c r="AW58" i="102"/>
  <c r="AW57" i="102"/>
  <c r="AW56" i="102"/>
  <c r="AW55" i="102"/>
  <c r="AV54" i="102"/>
  <c r="AU54" i="102"/>
  <c r="AW52" i="102"/>
  <c r="AW51" i="102"/>
  <c r="AV50" i="102"/>
  <c r="AU50" i="102"/>
  <c r="AW48" i="102"/>
  <c r="AW47" i="102"/>
  <c r="AW46" i="102"/>
  <c r="AW45" i="102"/>
  <c r="AW44" i="102"/>
  <c r="AW43" i="102"/>
  <c r="AW42" i="102"/>
  <c r="AV41" i="102"/>
  <c r="AU41" i="102"/>
  <c r="AW36" i="102"/>
  <c r="AW35" i="102" s="1"/>
  <c r="AV35" i="102"/>
  <c r="AU35" i="102"/>
  <c r="AW33" i="102"/>
  <c r="AW32" i="102"/>
  <c r="AW31" i="102"/>
  <c r="AW30" i="102"/>
  <c r="AW29" i="102"/>
  <c r="AW28" i="102"/>
  <c r="AW27" i="102"/>
  <c r="AW26" i="102"/>
  <c r="AW25" i="102"/>
  <c r="AW24" i="102"/>
  <c r="AW23" i="102"/>
  <c r="AW22" i="102"/>
  <c r="AW21" i="102"/>
  <c r="AW20" i="102"/>
  <c r="AW19" i="102"/>
  <c r="AW18" i="102"/>
  <c r="AW17" i="102"/>
  <c r="AW16" i="102"/>
  <c r="AW15" i="102"/>
  <c r="AW14" i="102"/>
  <c r="AW13" i="102"/>
  <c r="AW12" i="102"/>
  <c r="AW11" i="102"/>
  <c r="AW10" i="102"/>
  <c r="AW9" i="102"/>
  <c r="AV8" i="102"/>
  <c r="AW7" i="102"/>
  <c r="AW6" i="102"/>
  <c r="AV5" i="102"/>
  <c r="AU5" i="102"/>
  <c r="AW50" i="102" l="1"/>
  <c r="AW5" i="102"/>
  <c r="AW89" i="99"/>
  <c r="AW93" i="99" s="1"/>
  <c r="AW54" i="102"/>
  <c r="BB89" i="87"/>
  <c r="BA75" i="90"/>
  <c r="BA81" i="90" s="1"/>
  <c r="BA83" i="90" s="1"/>
  <c r="BA84" i="90" s="1"/>
  <c r="BA86" i="90" s="1"/>
  <c r="BA87" i="90" s="1"/>
  <c r="AB39" i="108"/>
  <c r="AG39" i="107"/>
  <c r="BA39" i="96"/>
  <c r="AW75" i="99"/>
  <c r="AW39" i="99"/>
  <c r="AV81" i="99"/>
  <c r="AV83" i="99" s="1"/>
  <c r="AV84" i="99" s="1"/>
  <c r="AV86" i="99" s="1"/>
  <c r="AV87" i="99" s="1"/>
  <c r="AV76" i="99"/>
  <c r="AU76" i="99"/>
  <c r="AU81" i="99"/>
  <c r="AU83" i="99" s="1"/>
  <c r="AU84" i="99" s="1"/>
  <c r="AU86" i="99" s="1"/>
  <c r="AU87" i="99" s="1"/>
  <c r="BB75" i="87"/>
  <c r="BB39" i="87"/>
  <c r="BB39" i="90"/>
  <c r="BB75" i="90"/>
  <c r="AZ75" i="90"/>
  <c r="AZ39" i="90"/>
  <c r="AZ75" i="96"/>
  <c r="AZ39" i="96"/>
  <c r="BB8" i="96"/>
  <c r="BA81" i="96"/>
  <c r="BA83" i="96" s="1"/>
  <c r="BA84" i="96" s="1"/>
  <c r="BA86" i="96" s="1"/>
  <c r="BA87" i="96" s="1"/>
  <c r="BA76" i="96"/>
  <c r="AH38" i="107"/>
  <c r="AF75" i="107"/>
  <c r="AF39" i="107"/>
  <c r="AG81" i="107"/>
  <c r="AG83" i="107" s="1"/>
  <c r="AG84" i="107" s="1"/>
  <c r="AG86" i="107" s="1"/>
  <c r="AG87" i="107" s="1"/>
  <c r="AG76" i="107"/>
  <c r="AC39" i="108"/>
  <c r="AC75" i="108"/>
  <c r="AA81" i="108"/>
  <c r="AA83" i="108" s="1"/>
  <c r="AA84" i="108" s="1"/>
  <c r="AA86" i="108" s="1"/>
  <c r="AA87" i="108" s="1"/>
  <c r="AA76" i="108"/>
  <c r="AB81" i="108"/>
  <c r="AB83" i="108" s="1"/>
  <c r="AB84" i="108" s="1"/>
  <c r="AB86" i="108" s="1"/>
  <c r="AB87" i="108" s="1"/>
  <c r="AB76" i="108"/>
  <c r="AW8" i="102"/>
  <c r="AV38" i="102"/>
  <c r="AV39" i="102" s="1"/>
  <c r="AW41" i="102"/>
  <c r="AU8" i="102"/>
  <c r="AU38" i="102" s="1"/>
  <c r="AV75" i="102" l="1"/>
  <c r="AV81" i="102" s="1"/>
  <c r="AV83" i="102" s="1"/>
  <c r="AV84" i="102" s="1"/>
  <c r="AV86" i="102" s="1"/>
  <c r="AV87" i="102" s="1"/>
  <c r="BA76" i="90"/>
  <c r="AW81" i="99"/>
  <c r="AW83" i="99" s="1"/>
  <c r="AW84" i="99" s="1"/>
  <c r="AW86" i="99" s="1"/>
  <c r="AW87" i="99" s="1"/>
  <c r="AW76" i="99"/>
  <c r="BB76" i="87"/>
  <c r="BB81" i="87"/>
  <c r="BB83" i="87" s="1"/>
  <c r="BB84" i="87" s="1"/>
  <c r="BB86" i="87" s="1"/>
  <c r="BB87" i="87" s="1"/>
  <c r="BB76" i="90"/>
  <c r="AZ76" i="90"/>
  <c r="AZ81" i="90"/>
  <c r="AZ83" i="90" s="1"/>
  <c r="AZ84" i="90" s="1"/>
  <c r="AZ86" i="90" s="1"/>
  <c r="AZ87" i="90" s="1"/>
  <c r="BB38" i="96"/>
  <c r="AZ76" i="96"/>
  <c r="AZ81" i="96"/>
  <c r="AZ83" i="96" s="1"/>
  <c r="AZ84" i="96" s="1"/>
  <c r="AZ86" i="96" s="1"/>
  <c r="AZ87" i="96" s="1"/>
  <c r="AH75" i="107"/>
  <c r="AH39" i="107"/>
  <c r="AF81" i="107"/>
  <c r="AF83" i="107" s="1"/>
  <c r="AF84" i="107" s="1"/>
  <c r="AF86" i="107" s="1"/>
  <c r="AF87" i="107" s="1"/>
  <c r="AF76" i="107"/>
  <c r="AC76" i="108"/>
  <c r="AW38" i="102"/>
  <c r="AU75" i="102"/>
  <c r="AU39" i="102"/>
  <c r="AV76" i="102"/>
  <c r="AW75" i="102" l="1"/>
  <c r="AW76" i="102" s="1"/>
  <c r="AW39" i="102"/>
  <c r="BB75" i="96"/>
  <c r="BB39" i="96"/>
  <c r="AH76" i="107"/>
  <c r="AU76" i="102"/>
  <c r="AU81" i="102"/>
  <c r="AU83" i="102" s="1"/>
  <c r="AU84" i="102" s="1"/>
  <c r="AU86" i="102" s="1"/>
  <c r="AU87" i="102" s="1"/>
  <c r="BB76" i="96" l="1"/>
  <c r="BF5" i="107" l="1"/>
  <c r="BE5" i="107"/>
  <c r="AV16" i="90" l="1"/>
  <c r="AU18" i="90"/>
  <c r="AU24" i="90"/>
  <c r="AU27" i="96"/>
  <c r="AP20" i="99"/>
  <c r="BG52" i="91"/>
  <c r="BG51" i="91"/>
  <c r="BG48" i="91"/>
  <c r="BG47" i="91"/>
  <c r="BG46" i="91"/>
  <c r="BG45" i="91"/>
  <c r="BG44" i="91"/>
  <c r="BG43" i="91"/>
  <c r="BG42" i="91"/>
  <c r="AP28" i="102"/>
  <c r="AP22" i="102"/>
  <c r="AU26" i="90" l="1"/>
  <c r="E11" i="101" l="1"/>
  <c r="E10" i="101"/>
  <c r="T79" i="114" l="1"/>
  <c r="AC79" i="127"/>
  <c r="AI79" i="117"/>
  <c r="AM79" i="113"/>
  <c r="U79" i="114" l="1"/>
  <c r="T77" i="114"/>
  <c r="T89" i="114"/>
  <c r="T81" i="114"/>
  <c r="T83" i="114" s="1"/>
  <c r="T84" i="114" s="1"/>
  <c r="T86" i="114" s="1"/>
  <c r="T87" i="114" s="1"/>
  <c r="AC77" i="127"/>
  <c r="AC89" i="127"/>
  <c r="AD79" i="127" s="1"/>
  <c r="AC81" i="127"/>
  <c r="AI77" i="117"/>
  <c r="AI89" i="117"/>
  <c r="AI93" i="117" s="1"/>
  <c r="AI81" i="117"/>
  <c r="AI83" i="117" s="1"/>
  <c r="AI84" i="117" s="1"/>
  <c r="AI86" i="117" s="1"/>
  <c r="AI87" i="117" s="1"/>
  <c r="AM77" i="113"/>
  <c r="AM89" i="113"/>
  <c r="AM93" i="113" s="1"/>
  <c r="AM81" i="113"/>
  <c r="AM83" i="113" s="1"/>
  <c r="AM84" i="113" s="1"/>
  <c r="AM86" i="113" s="1"/>
  <c r="AM87" i="113" s="1"/>
  <c r="U8" i="114" l="1"/>
  <c r="U66" i="114"/>
  <c r="U55" i="114"/>
  <c r="U63" i="114"/>
  <c r="U13" i="114"/>
  <c r="U46" i="114"/>
  <c r="U28" i="114"/>
  <c r="U10" i="114"/>
  <c r="U25" i="114"/>
  <c r="U43" i="114"/>
  <c r="U70" i="114"/>
  <c r="U69" i="114"/>
  <c r="U60" i="114"/>
  <c r="U48" i="114"/>
  <c r="U11" i="114"/>
  <c r="U9" i="114"/>
  <c r="U17" i="114"/>
  <c r="U20" i="114"/>
  <c r="U23" i="114"/>
  <c r="U50" i="114"/>
  <c r="U67" i="114"/>
  <c r="U68" i="114"/>
  <c r="U56" i="114"/>
  <c r="U57" i="114"/>
  <c r="U30" i="114"/>
  <c r="U22" i="114"/>
  <c r="U33" i="114"/>
  <c r="U31" i="114"/>
  <c r="U21" i="114"/>
  <c r="U59" i="114"/>
  <c r="U32" i="114"/>
  <c r="U52" i="114"/>
  <c r="U24" i="114"/>
  <c r="U54" i="114"/>
  <c r="U58" i="114"/>
  <c r="U14" i="114"/>
  <c r="U12" i="114"/>
  <c r="U62" i="114"/>
  <c r="U26" i="114"/>
  <c r="U29" i="114"/>
  <c r="U47" i="114"/>
  <c r="U61" i="114"/>
  <c r="U45" i="114"/>
  <c r="U64" i="114"/>
  <c r="U16" i="114"/>
  <c r="U19" i="114"/>
  <c r="U65" i="114"/>
  <c r="U18" i="114"/>
  <c r="U42" i="114"/>
  <c r="U36" i="114"/>
  <c r="U15" i="114"/>
  <c r="U51" i="114"/>
  <c r="U41" i="114"/>
  <c r="U49" i="114"/>
  <c r="U27" i="114"/>
  <c r="U71" i="114"/>
  <c r="U44" i="114"/>
  <c r="C37" i="101"/>
  <c r="F36" i="101" s="1"/>
  <c r="AD54" i="127"/>
  <c r="AD8" i="127"/>
  <c r="AD41" i="127"/>
  <c r="AD61" i="127"/>
  <c r="AD72" i="127"/>
  <c r="AD17" i="127"/>
  <c r="AD21" i="127"/>
  <c r="AD55" i="127"/>
  <c r="AD13" i="127"/>
  <c r="AD20" i="127"/>
  <c r="AD43" i="127"/>
  <c r="AD66" i="127"/>
  <c r="AD9" i="127"/>
  <c r="AD68" i="127"/>
  <c r="AD80" i="127"/>
  <c r="AD63" i="127"/>
  <c r="AD15" i="127"/>
  <c r="AD16" i="127"/>
  <c r="AD23" i="127"/>
  <c r="AD26" i="127"/>
  <c r="AD71" i="127"/>
  <c r="AD19" i="127"/>
  <c r="AD44" i="127"/>
  <c r="AD18" i="127"/>
  <c r="AD73" i="127"/>
  <c r="AD33" i="127"/>
  <c r="AD78" i="127"/>
  <c r="AD34" i="127"/>
  <c r="AD60" i="127"/>
  <c r="AD12" i="127"/>
  <c r="AD62" i="127"/>
  <c r="AD25" i="127"/>
  <c r="AD74" i="127"/>
  <c r="AD46" i="127"/>
  <c r="AD51" i="127"/>
  <c r="AD65" i="127"/>
  <c r="AD70" i="127"/>
  <c r="AD64" i="127"/>
  <c r="AD31" i="127"/>
  <c r="AD47" i="127"/>
  <c r="AD14" i="127"/>
  <c r="AD57" i="127"/>
  <c r="AD48" i="127"/>
  <c r="AD59" i="127"/>
  <c r="AD10" i="127"/>
  <c r="AD35" i="127"/>
  <c r="AD24" i="127"/>
  <c r="AD32" i="127"/>
  <c r="AD42" i="127"/>
  <c r="AD52" i="127"/>
  <c r="AD22" i="127"/>
  <c r="AD30" i="127"/>
  <c r="AD69" i="127"/>
  <c r="AD37" i="127"/>
  <c r="AD11" i="127"/>
  <c r="AD36" i="127"/>
  <c r="AD49" i="127"/>
  <c r="AD56" i="127"/>
  <c r="AD58" i="127"/>
  <c r="AD50" i="127"/>
  <c r="AD45" i="127"/>
  <c r="AD67" i="127"/>
  <c r="AD27" i="127"/>
  <c r="AD28" i="127"/>
  <c r="AD53" i="127"/>
  <c r="AD29" i="127"/>
  <c r="AD81" i="127"/>
  <c r="AC83" i="127"/>
  <c r="AC84" i="127" s="1"/>
  <c r="AC86" i="127" s="1"/>
  <c r="AC87" i="127" s="1"/>
  <c r="AU12" i="96"/>
  <c r="AR85" i="99"/>
  <c r="AR82" i="99"/>
  <c r="AR78" i="99"/>
  <c r="AQ77" i="99"/>
  <c r="AP77" i="99"/>
  <c r="AR74" i="99"/>
  <c r="AR73" i="99" s="1"/>
  <c r="AQ73" i="99"/>
  <c r="AP73" i="99"/>
  <c r="AR71" i="99"/>
  <c r="AR70" i="99"/>
  <c r="AR69" i="99"/>
  <c r="AR68" i="99"/>
  <c r="AR67" i="99"/>
  <c r="AR66" i="99"/>
  <c r="AR65" i="99"/>
  <c r="AR64" i="99"/>
  <c r="AR63" i="99"/>
  <c r="AR62" i="99"/>
  <c r="AR61" i="99"/>
  <c r="AR60" i="99"/>
  <c r="AR59" i="99"/>
  <c r="AR58" i="99"/>
  <c r="AR57" i="99"/>
  <c r="AR56" i="99"/>
  <c r="AR55" i="99"/>
  <c r="AQ54" i="99"/>
  <c r="AP54" i="99"/>
  <c r="AR52" i="99"/>
  <c r="AR51" i="99"/>
  <c r="AR50" i="99" s="1"/>
  <c r="AQ50" i="99"/>
  <c r="AP50" i="99"/>
  <c r="AR48" i="99"/>
  <c r="AR47" i="99"/>
  <c r="AR46" i="99"/>
  <c r="AR45" i="99"/>
  <c r="AR44" i="99"/>
  <c r="AR43" i="99"/>
  <c r="AR42" i="99"/>
  <c r="AQ41" i="99"/>
  <c r="AP41" i="99"/>
  <c r="AR36" i="99"/>
  <c r="AR35" i="99" s="1"/>
  <c r="AQ35" i="99"/>
  <c r="AP35" i="99"/>
  <c r="AR33" i="99"/>
  <c r="AR32" i="99"/>
  <c r="AR31" i="99"/>
  <c r="AR30" i="99"/>
  <c r="AR29" i="99"/>
  <c r="AR28" i="99"/>
  <c r="AR27" i="99"/>
  <c r="AR26" i="99"/>
  <c r="AR25" i="99"/>
  <c r="AR24" i="99"/>
  <c r="AR23" i="99"/>
  <c r="AR22" i="99"/>
  <c r="AR21" i="99"/>
  <c r="AR20" i="99"/>
  <c r="AR19" i="99"/>
  <c r="AR18" i="99"/>
  <c r="AR17" i="99"/>
  <c r="AR16" i="99"/>
  <c r="AR15" i="99"/>
  <c r="AR14" i="99"/>
  <c r="AR13" i="99"/>
  <c r="AR12" i="99"/>
  <c r="AR11" i="99"/>
  <c r="AR10" i="99"/>
  <c r="AR9" i="99"/>
  <c r="AQ8" i="99"/>
  <c r="AP8" i="99"/>
  <c r="AR7" i="99"/>
  <c r="AR6" i="99"/>
  <c r="AR5" i="99" s="1"/>
  <c r="AQ5" i="99"/>
  <c r="AP5" i="99"/>
  <c r="AW85" i="87"/>
  <c r="AW82" i="87"/>
  <c r="AV81" i="87"/>
  <c r="AV83" i="87" s="1"/>
  <c r="AV84" i="87" s="1"/>
  <c r="AU81" i="87"/>
  <c r="AU83" i="87" s="1"/>
  <c r="AU84" i="87" s="1"/>
  <c r="AW78" i="87"/>
  <c r="AW77" i="87" s="1"/>
  <c r="AW74" i="87"/>
  <c r="AW73" i="87" s="1"/>
  <c r="AW71" i="87"/>
  <c r="AW70" i="87"/>
  <c r="AW69" i="87"/>
  <c r="AW68" i="87"/>
  <c r="AW67" i="87"/>
  <c r="AW66" i="87"/>
  <c r="AW65" i="87"/>
  <c r="AW64" i="87"/>
  <c r="AW63" i="87"/>
  <c r="AW62" i="87"/>
  <c r="AW61" i="87"/>
  <c r="AW60" i="87"/>
  <c r="AW59" i="87"/>
  <c r="AW58" i="87"/>
  <c r="AW57" i="87"/>
  <c r="AW56" i="87"/>
  <c r="AW55" i="87"/>
  <c r="AW52" i="87"/>
  <c r="AW51" i="87"/>
  <c r="AW48" i="87"/>
  <c r="AW47" i="87"/>
  <c r="AW46" i="87"/>
  <c r="AW45" i="87"/>
  <c r="AW44" i="87"/>
  <c r="AW43" i="87"/>
  <c r="AW42" i="87"/>
  <c r="AW36" i="87"/>
  <c r="AW35" i="87" s="1"/>
  <c r="AW33" i="87"/>
  <c r="AW32" i="87"/>
  <c r="AW31" i="87"/>
  <c r="AW30" i="87"/>
  <c r="AW29" i="87"/>
  <c r="AW28" i="87"/>
  <c r="AW27" i="87"/>
  <c r="AW26" i="87"/>
  <c r="AW25" i="87"/>
  <c r="AW24" i="87"/>
  <c r="AW21" i="87"/>
  <c r="AW20" i="87"/>
  <c r="AW19" i="87"/>
  <c r="AW18" i="87"/>
  <c r="AW17" i="87"/>
  <c r="AW16" i="87"/>
  <c r="AW15" i="87"/>
  <c r="AW14" i="87"/>
  <c r="AW13" i="87"/>
  <c r="AW12" i="87"/>
  <c r="AW11" i="87"/>
  <c r="AW10" i="87"/>
  <c r="AW9" i="87"/>
  <c r="AW7" i="87"/>
  <c r="AW6" i="87"/>
  <c r="AW5" i="87" s="1"/>
  <c r="AP38" i="99" l="1"/>
  <c r="AP75" i="99" s="1"/>
  <c r="AW8" i="87"/>
  <c r="AW38" i="87" s="1"/>
  <c r="AW41" i="87"/>
  <c r="AW50" i="87"/>
  <c r="AR41" i="99"/>
  <c r="AW54" i="87"/>
  <c r="AR54" i="99"/>
  <c r="AR77" i="99"/>
  <c r="AR8" i="99"/>
  <c r="AR38" i="99" s="1"/>
  <c r="AQ38" i="99"/>
  <c r="AP39" i="99" l="1"/>
  <c r="AW89" i="87"/>
  <c r="AR89" i="99"/>
  <c r="AS33" i="99" s="1"/>
  <c r="AQ75" i="99"/>
  <c r="AQ39" i="99"/>
  <c r="AR39" i="99"/>
  <c r="AR75" i="99"/>
  <c r="AP81" i="99"/>
  <c r="AP83" i="99" s="1"/>
  <c r="AP84" i="99" s="1"/>
  <c r="AP86" i="99" s="1"/>
  <c r="AP87" i="99" s="1"/>
  <c r="AP76" i="99"/>
  <c r="AW75" i="87"/>
  <c r="AW39" i="87"/>
  <c r="BF53" i="107"/>
  <c r="BE53" i="107"/>
  <c r="AC85" i="107"/>
  <c r="AC82" i="107"/>
  <c r="AC78" i="107"/>
  <c r="AB77" i="107"/>
  <c r="AA77" i="107"/>
  <c r="AC74" i="107"/>
  <c r="AC73" i="107" s="1"/>
  <c r="AB73" i="107"/>
  <c r="AA73" i="107"/>
  <c r="AC71" i="107"/>
  <c r="AC70" i="107"/>
  <c r="AC69" i="107"/>
  <c r="AC68" i="107"/>
  <c r="AC67" i="107"/>
  <c r="AC66" i="107"/>
  <c r="AC65" i="107"/>
  <c r="AC64" i="107"/>
  <c r="AC63" i="107"/>
  <c r="AC62" i="107"/>
  <c r="AC61" i="107"/>
  <c r="AC60" i="107"/>
  <c r="AC59" i="107"/>
  <c r="AC58" i="107"/>
  <c r="AC57" i="107"/>
  <c r="AC56" i="107"/>
  <c r="AC55" i="107"/>
  <c r="AB54" i="107"/>
  <c r="AA54" i="107"/>
  <c r="AC52" i="107"/>
  <c r="AC51" i="107"/>
  <c r="AB50" i="107"/>
  <c r="AA50" i="107"/>
  <c r="AC48" i="107"/>
  <c r="AC47" i="107"/>
  <c r="AC46" i="107"/>
  <c r="AC45" i="107"/>
  <c r="AC44" i="107"/>
  <c r="AC43" i="107"/>
  <c r="AC42" i="107"/>
  <c r="AB41" i="107"/>
  <c r="AA41" i="107"/>
  <c r="AC36" i="107"/>
  <c r="AC35" i="107" s="1"/>
  <c r="AB35" i="107"/>
  <c r="AA35" i="107"/>
  <c r="AC33" i="107"/>
  <c r="AC32" i="107"/>
  <c r="AC31" i="107"/>
  <c r="AC30" i="107"/>
  <c r="AC29" i="107"/>
  <c r="AC28" i="107"/>
  <c r="AC27" i="107"/>
  <c r="AC26" i="107"/>
  <c r="AC25" i="107"/>
  <c r="AC24" i="107"/>
  <c r="AC22" i="107"/>
  <c r="AC21" i="107"/>
  <c r="AC20" i="107"/>
  <c r="AC19" i="107"/>
  <c r="AC18" i="107"/>
  <c r="AC17" i="107"/>
  <c r="AC16" i="107"/>
  <c r="AC15" i="107"/>
  <c r="AC14" i="107"/>
  <c r="AC13" i="107"/>
  <c r="AC12" i="107"/>
  <c r="AC11" i="107"/>
  <c r="AC10" i="107"/>
  <c r="AC9" i="107"/>
  <c r="AA8" i="107"/>
  <c r="AC7" i="107"/>
  <c r="AC6" i="107"/>
  <c r="AB5" i="107"/>
  <c r="AA5" i="107"/>
  <c r="X85" i="108"/>
  <c r="X82" i="108"/>
  <c r="X78" i="108"/>
  <c r="W77" i="108"/>
  <c r="V77" i="108"/>
  <c r="X74" i="108"/>
  <c r="X73" i="108" s="1"/>
  <c r="W73" i="108"/>
  <c r="V73" i="108"/>
  <c r="X71" i="108"/>
  <c r="X70" i="108"/>
  <c r="X69" i="108"/>
  <c r="X68" i="108"/>
  <c r="X67" i="108"/>
  <c r="X66" i="108"/>
  <c r="X65" i="108"/>
  <c r="X64" i="108"/>
  <c r="X63" i="108"/>
  <c r="X62" i="108"/>
  <c r="X61" i="108"/>
  <c r="X60" i="108"/>
  <c r="X59" i="108"/>
  <c r="X58" i="108"/>
  <c r="X57" i="108"/>
  <c r="X56" i="108"/>
  <c r="X55" i="108"/>
  <c r="W54" i="108"/>
  <c r="V54" i="108"/>
  <c r="X52" i="108"/>
  <c r="X51" i="108"/>
  <c r="X50" i="108" s="1"/>
  <c r="W50" i="108"/>
  <c r="V50" i="108"/>
  <c r="X48" i="108"/>
  <c r="X47" i="108"/>
  <c r="X46" i="108"/>
  <c r="X45" i="108"/>
  <c r="X44" i="108"/>
  <c r="X43" i="108"/>
  <c r="X42" i="108"/>
  <c r="W41" i="108"/>
  <c r="V41" i="108"/>
  <c r="X36" i="108"/>
  <c r="X35" i="108" s="1"/>
  <c r="W35" i="108"/>
  <c r="V35" i="108"/>
  <c r="X33" i="108"/>
  <c r="X32" i="108"/>
  <c r="X31" i="108"/>
  <c r="X30" i="108"/>
  <c r="X29" i="108"/>
  <c r="X28" i="108"/>
  <c r="X27" i="108"/>
  <c r="X26" i="108"/>
  <c r="X25" i="108"/>
  <c r="X24" i="108"/>
  <c r="X22" i="108"/>
  <c r="X21" i="108"/>
  <c r="X20" i="108"/>
  <c r="X19" i="108"/>
  <c r="X18" i="108"/>
  <c r="X17" i="108"/>
  <c r="X16" i="108"/>
  <c r="X15" i="108"/>
  <c r="X14" i="108"/>
  <c r="X13" i="108"/>
  <c r="X12" i="108"/>
  <c r="X11" i="108"/>
  <c r="X10" i="108"/>
  <c r="X9" i="108"/>
  <c r="W8" i="108"/>
  <c r="V8" i="108"/>
  <c r="X7" i="108"/>
  <c r="X6" i="108"/>
  <c r="W5" i="108"/>
  <c r="AM85" i="91"/>
  <c r="AM82" i="91"/>
  <c r="AM78" i="91"/>
  <c r="AL77" i="91"/>
  <c r="AK77" i="91"/>
  <c r="AM74" i="91"/>
  <c r="AM73" i="91" s="1"/>
  <c r="AL73" i="91"/>
  <c r="AK73" i="91"/>
  <c r="AM71" i="91"/>
  <c r="AM70" i="91"/>
  <c r="AM69" i="91"/>
  <c r="AM68" i="91"/>
  <c r="AM67" i="91"/>
  <c r="AM66" i="91"/>
  <c r="AM65" i="91"/>
  <c r="AM64" i="91"/>
  <c r="AM63" i="91"/>
  <c r="AM62" i="91"/>
  <c r="AM61" i="91"/>
  <c r="AM60" i="91"/>
  <c r="AM59" i="91"/>
  <c r="AM58" i="91"/>
  <c r="AM57" i="91"/>
  <c r="AM56" i="91"/>
  <c r="AM55" i="91"/>
  <c r="AL54" i="91"/>
  <c r="AK54" i="91"/>
  <c r="AM52" i="91"/>
  <c r="AM51" i="91"/>
  <c r="AL50" i="91"/>
  <c r="AK50" i="91"/>
  <c r="AM48" i="91"/>
  <c r="AM47" i="91"/>
  <c r="AM46" i="91"/>
  <c r="AM45" i="91"/>
  <c r="AM44" i="91"/>
  <c r="AM43" i="91"/>
  <c r="AM42" i="91"/>
  <c r="AL41" i="91"/>
  <c r="AK41" i="91"/>
  <c r="AM36" i="91"/>
  <c r="AM35" i="91" s="1"/>
  <c r="AL35" i="91"/>
  <c r="AK35" i="91"/>
  <c r="AM33" i="91"/>
  <c r="AM32" i="91"/>
  <c r="AM31" i="91"/>
  <c r="AM30" i="91"/>
  <c r="AM29" i="91"/>
  <c r="AM28" i="91"/>
  <c r="AM27" i="91"/>
  <c r="AM26" i="91"/>
  <c r="AM25" i="91"/>
  <c r="AM24" i="91"/>
  <c r="AM23" i="91"/>
  <c r="AM22" i="91"/>
  <c r="AM21" i="91"/>
  <c r="AM20" i="91"/>
  <c r="AM19" i="91"/>
  <c r="AM18" i="91"/>
  <c r="AM17" i="91"/>
  <c r="AM16" i="91"/>
  <c r="AM15" i="91"/>
  <c r="AM14" i="91"/>
  <c r="AM13" i="91"/>
  <c r="AM12" i="91"/>
  <c r="AM11" i="91"/>
  <c r="AM10" i="91"/>
  <c r="AM9" i="91"/>
  <c r="AM7" i="91"/>
  <c r="AM6" i="91"/>
  <c r="AL5" i="91"/>
  <c r="AK5" i="91"/>
  <c r="AR85" i="102"/>
  <c r="AR82" i="102"/>
  <c r="AR78" i="102"/>
  <c r="AQ77" i="102"/>
  <c r="AP77" i="102"/>
  <c r="AR74" i="102"/>
  <c r="AR73" i="102" s="1"/>
  <c r="AQ73" i="102"/>
  <c r="AP73" i="102"/>
  <c r="AR71" i="102"/>
  <c r="AR70" i="102"/>
  <c r="AR69" i="102"/>
  <c r="AR68" i="102"/>
  <c r="AR67" i="102"/>
  <c r="AR66" i="102"/>
  <c r="AP54" i="102"/>
  <c r="AR64" i="102"/>
  <c r="AR63" i="102"/>
  <c r="AR62" i="102"/>
  <c r="AR61" i="102"/>
  <c r="AR60" i="102"/>
  <c r="AR59" i="102"/>
  <c r="AR58" i="102"/>
  <c r="AR57" i="102"/>
  <c r="AR56" i="102"/>
  <c r="AR55" i="102"/>
  <c r="AQ54" i="102"/>
  <c r="AR52" i="102"/>
  <c r="AR51" i="102"/>
  <c r="AQ50" i="102"/>
  <c r="AP50" i="102"/>
  <c r="AR48" i="102"/>
  <c r="AR47" i="102"/>
  <c r="AR46" i="102"/>
  <c r="AR45" i="102"/>
  <c r="AR44" i="102"/>
  <c r="AR43" i="102"/>
  <c r="AR42" i="102"/>
  <c r="AQ41" i="102"/>
  <c r="AP41" i="102"/>
  <c r="AR36" i="102"/>
  <c r="AR35" i="102" s="1"/>
  <c r="AQ35" i="102"/>
  <c r="AP35" i="102"/>
  <c r="AR33" i="102"/>
  <c r="AR32" i="102"/>
  <c r="AR31" i="102"/>
  <c r="AR30" i="102"/>
  <c r="AR28" i="102"/>
  <c r="AR27" i="102"/>
  <c r="AR26" i="102"/>
  <c r="AR25" i="102"/>
  <c r="AR24" i="102"/>
  <c r="AR23" i="102"/>
  <c r="AR22" i="102"/>
  <c r="AR20" i="102"/>
  <c r="AR19" i="102"/>
  <c r="AR18" i="102"/>
  <c r="AR17" i="102"/>
  <c r="AR16" i="102"/>
  <c r="AR15" i="102"/>
  <c r="AR14" i="102"/>
  <c r="AR13" i="102"/>
  <c r="AQ8" i="102"/>
  <c r="AR11" i="102"/>
  <c r="AR10" i="102"/>
  <c r="AR9" i="102"/>
  <c r="AR7" i="102"/>
  <c r="AR6" i="102"/>
  <c r="AQ5" i="102"/>
  <c r="AP5" i="102"/>
  <c r="AS22" i="99" l="1"/>
  <c r="AS71" i="99"/>
  <c r="AS24" i="99"/>
  <c r="AX32" i="99"/>
  <c r="AS25" i="99"/>
  <c r="AX45" i="99"/>
  <c r="BH79" i="99"/>
  <c r="AS47" i="99"/>
  <c r="AX44" i="99"/>
  <c r="AS55" i="99"/>
  <c r="AX62" i="99"/>
  <c r="AS70" i="99"/>
  <c r="AS59" i="99"/>
  <c r="AS43" i="99"/>
  <c r="AS20" i="99"/>
  <c r="AX21" i="99"/>
  <c r="AX23" i="99"/>
  <c r="AX60" i="99"/>
  <c r="AX67" i="99"/>
  <c r="AS42" i="99"/>
  <c r="AS66" i="99"/>
  <c r="AS60" i="99"/>
  <c r="AS36" i="99"/>
  <c r="AX54" i="99"/>
  <c r="AX14" i="99"/>
  <c r="AX65" i="99"/>
  <c r="AS27" i="99"/>
  <c r="AS8" i="99"/>
  <c r="AR93" i="99"/>
  <c r="AX42" i="99"/>
  <c r="AX48" i="99"/>
  <c r="AX10" i="99"/>
  <c r="AX15" i="99"/>
  <c r="AX16" i="99"/>
  <c r="AX37" i="99"/>
  <c r="W38" i="108"/>
  <c r="W39" i="108" s="1"/>
  <c r="AS10" i="99"/>
  <c r="AS17" i="99"/>
  <c r="AS64" i="99"/>
  <c r="AS40" i="99"/>
  <c r="AX8" i="99"/>
  <c r="AX41" i="99"/>
  <c r="AX71" i="99"/>
  <c r="AX47" i="99"/>
  <c r="AS21" i="99"/>
  <c r="AS52" i="99"/>
  <c r="AX58" i="99"/>
  <c r="AX19" i="99"/>
  <c r="AX57" i="99"/>
  <c r="AX20" i="99"/>
  <c r="AS39" i="99"/>
  <c r="AS26" i="99"/>
  <c r="AS11" i="99"/>
  <c r="AS37" i="99"/>
  <c r="AS57" i="99"/>
  <c r="AX17" i="99"/>
  <c r="AX68" i="99"/>
  <c r="AX55" i="99"/>
  <c r="AX26" i="99"/>
  <c r="AM50" i="91"/>
  <c r="AS38" i="99"/>
  <c r="AS23" i="99"/>
  <c r="AS62" i="99"/>
  <c r="AS69" i="99"/>
  <c r="AX35" i="99"/>
  <c r="AX9" i="99"/>
  <c r="AX43" i="99"/>
  <c r="AX59" i="99"/>
  <c r="AS79" i="99"/>
  <c r="AS45" i="99"/>
  <c r="AS14" i="99"/>
  <c r="AS30" i="99"/>
  <c r="AS46" i="99"/>
  <c r="AS63" i="99"/>
  <c r="AS29" i="99"/>
  <c r="AS15" i="99"/>
  <c r="AS31" i="99"/>
  <c r="AS51" i="99"/>
  <c r="AS68" i="99"/>
  <c r="AS49" i="99"/>
  <c r="AS12" i="99"/>
  <c r="AS28" i="99"/>
  <c r="AS44" i="99"/>
  <c r="AS61" i="99"/>
  <c r="AX39" i="99"/>
  <c r="AX13" i="99"/>
  <c r="AX29" i="99"/>
  <c r="AX56" i="99"/>
  <c r="AX70" i="99"/>
  <c r="AX33" i="99"/>
  <c r="AX66" i="99"/>
  <c r="AX36" i="99"/>
  <c r="AX11" i="99"/>
  <c r="AX22" i="99"/>
  <c r="AX49" i="99"/>
  <c r="AX12" i="99"/>
  <c r="AX24" i="99"/>
  <c r="AX28" i="99"/>
  <c r="AX61" i="99"/>
  <c r="AX40" i="99"/>
  <c r="AM54" i="91"/>
  <c r="AR5" i="102"/>
  <c r="X5" i="108"/>
  <c r="AS13" i="99"/>
  <c r="AS58" i="99"/>
  <c r="AS18" i="99"/>
  <c r="AS34" i="99"/>
  <c r="AS50" i="99"/>
  <c r="AS67" i="99"/>
  <c r="AS41" i="99"/>
  <c r="AS19" i="99"/>
  <c r="AS35" i="99"/>
  <c r="AS56" i="99"/>
  <c r="AS9" i="99"/>
  <c r="AS54" i="99"/>
  <c r="AS16" i="99"/>
  <c r="AS32" i="99"/>
  <c r="AS48" i="99"/>
  <c r="AS65" i="99"/>
  <c r="AX38" i="99"/>
  <c r="AX27" i="99"/>
  <c r="AX64" i="99"/>
  <c r="AX52" i="99"/>
  <c r="AX79" i="99"/>
  <c r="AX18" i="99"/>
  <c r="AX46" i="99"/>
  <c r="AX50" i="99"/>
  <c r="AX31" i="99"/>
  <c r="AX25" i="99"/>
  <c r="AX51" i="99"/>
  <c r="AX30" i="99"/>
  <c r="AX63" i="99"/>
  <c r="AX34" i="99"/>
  <c r="AX69" i="99"/>
  <c r="BC69" i="99"/>
  <c r="BC61" i="99"/>
  <c r="BC49" i="99"/>
  <c r="BC33" i="99"/>
  <c r="BC31" i="99"/>
  <c r="BC29" i="99"/>
  <c r="BC27" i="99"/>
  <c r="BC25" i="99"/>
  <c r="BC23" i="99"/>
  <c r="BC21" i="99"/>
  <c r="BC34" i="99"/>
  <c r="BC71" i="99"/>
  <c r="BC63" i="99"/>
  <c r="BC55" i="99"/>
  <c r="BC37" i="99"/>
  <c r="BC65" i="99"/>
  <c r="BC57" i="99"/>
  <c r="BC40" i="99"/>
  <c r="BC32" i="99"/>
  <c r="BC30" i="99"/>
  <c r="BC28" i="99"/>
  <c r="BC26" i="99"/>
  <c r="BC24" i="99"/>
  <c r="BC22" i="99"/>
  <c r="BC67" i="99"/>
  <c r="BC59" i="99"/>
  <c r="BC51" i="99"/>
  <c r="BC11" i="99"/>
  <c r="BC46" i="99"/>
  <c r="BC12" i="99"/>
  <c r="BC47" i="99"/>
  <c r="BC13" i="99"/>
  <c r="BC50" i="99"/>
  <c r="BC14" i="99"/>
  <c r="BC56" i="99"/>
  <c r="BC9" i="99"/>
  <c r="BC64" i="99"/>
  <c r="BC36" i="99"/>
  <c r="BC42" i="99"/>
  <c r="BC43" i="99"/>
  <c r="BC10" i="99"/>
  <c r="BC15" i="99"/>
  <c r="BC54" i="99"/>
  <c r="BC16" i="99"/>
  <c r="BC52" i="99"/>
  <c r="BC17" i="99"/>
  <c r="BC58" i="99"/>
  <c r="BC18" i="99"/>
  <c r="BC41" i="99"/>
  <c r="BC68" i="99"/>
  <c r="BC45" i="99"/>
  <c r="BC19" i="99"/>
  <c r="BC62" i="99"/>
  <c r="BC20" i="99"/>
  <c r="BC60" i="99"/>
  <c r="BC44" i="99"/>
  <c r="BC66" i="99"/>
  <c r="BC35" i="99"/>
  <c r="BC70" i="99"/>
  <c r="BC48" i="99"/>
  <c r="BC8" i="99"/>
  <c r="BC38" i="99"/>
  <c r="BC39" i="99"/>
  <c r="AC50" i="107"/>
  <c r="AR50" i="102"/>
  <c r="X79" i="108"/>
  <c r="X77" i="108" s="1"/>
  <c r="AR79" i="102"/>
  <c r="X41" i="108"/>
  <c r="AC41" i="107"/>
  <c r="X54" i="108"/>
  <c r="AC5" i="107"/>
  <c r="AM5" i="91"/>
  <c r="AR81" i="99"/>
  <c r="AR83" i="99" s="1"/>
  <c r="AR84" i="99" s="1"/>
  <c r="AR86" i="99" s="1"/>
  <c r="AR87" i="99" s="1"/>
  <c r="AR76" i="99"/>
  <c r="AQ81" i="99"/>
  <c r="AQ83" i="99" s="1"/>
  <c r="AQ84" i="99" s="1"/>
  <c r="AQ86" i="99" s="1"/>
  <c r="AQ87" i="99" s="1"/>
  <c r="AQ76" i="99"/>
  <c r="AW76" i="87"/>
  <c r="AW81" i="87"/>
  <c r="AW83" i="87" s="1"/>
  <c r="AW84" i="87" s="1"/>
  <c r="AW86" i="87" s="1"/>
  <c r="AW87" i="87" s="1"/>
  <c r="AC54" i="107"/>
  <c r="AA38" i="107"/>
  <c r="AA75" i="107" s="1"/>
  <c r="AC8" i="107"/>
  <c r="AB8" i="107"/>
  <c r="AC79" i="107" s="1"/>
  <c r="X8" i="108"/>
  <c r="X38" i="108" s="1"/>
  <c r="V5" i="108"/>
  <c r="V38" i="108" s="1"/>
  <c r="AM41" i="91"/>
  <c r="AM8" i="91"/>
  <c r="AK8" i="91"/>
  <c r="AK38" i="91" s="1"/>
  <c r="AL8" i="91"/>
  <c r="AM79" i="91" s="1"/>
  <c r="AR41" i="102"/>
  <c r="AQ38" i="102"/>
  <c r="AR12" i="102"/>
  <c r="AR21" i="102"/>
  <c r="AR65" i="102"/>
  <c r="AR29" i="102"/>
  <c r="BP85" i="96"/>
  <c r="BO85" i="96"/>
  <c r="BP82" i="96"/>
  <c r="BO82" i="96"/>
  <c r="AW85" i="96"/>
  <c r="AW82" i="96"/>
  <c r="AW78" i="96"/>
  <c r="AV77" i="96"/>
  <c r="AU77" i="96"/>
  <c r="AW74" i="96"/>
  <c r="AW73" i="96" s="1"/>
  <c r="AV73" i="96"/>
  <c r="AU73" i="96"/>
  <c r="AW71" i="96"/>
  <c r="AW70" i="96"/>
  <c r="AW69" i="96"/>
  <c r="AW68" i="96"/>
  <c r="AW67" i="96"/>
  <c r="AW66" i="96"/>
  <c r="AW65" i="96"/>
  <c r="AW64" i="96"/>
  <c r="AW63" i="96"/>
  <c r="AW62" i="96"/>
  <c r="AW61" i="96"/>
  <c r="AW60" i="96"/>
  <c r="AW59" i="96"/>
  <c r="AW58" i="96"/>
  <c r="AW57" i="96"/>
  <c r="AW56" i="96"/>
  <c r="AW55" i="96"/>
  <c r="AV54" i="96"/>
  <c r="AU54" i="96"/>
  <c r="AW52" i="96"/>
  <c r="AW51" i="96"/>
  <c r="AV50" i="96"/>
  <c r="AU50" i="96"/>
  <c r="AW48" i="96"/>
  <c r="AW47" i="96"/>
  <c r="AW46" i="96"/>
  <c r="AW45" i="96"/>
  <c r="AW44" i="96"/>
  <c r="AW43" i="96"/>
  <c r="AW42" i="96"/>
  <c r="AV41" i="96"/>
  <c r="AU41" i="96"/>
  <c r="AW36" i="96"/>
  <c r="AW35" i="96" s="1"/>
  <c r="AV35" i="96"/>
  <c r="AU35" i="96"/>
  <c r="AW33" i="96"/>
  <c r="AW32" i="96"/>
  <c r="AW31" i="96"/>
  <c r="AW30" i="96"/>
  <c r="AW29" i="96"/>
  <c r="AW28" i="96"/>
  <c r="AW27" i="96"/>
  <c r="AW26" i="96"/>
  <c r="AW25" i="96"/>
  <c r="AW24" i="96"/>
  <c r="AW23" i="96"/>
  <c r="AW22" i="96"/>
  <c r="AW21" i="96"/>
  <c r="AW20" i="96"/>
  <c r="AW19" i="96"/>
  <c r="AW18" i="96"/>
  <c r="AW17" i="96"/>
  <c r="AW16" i="96"/>
  <c r="AW15" i="96"/>
  <c r="AW14" i="96"/>
  <c r="AW13" i="96"/>
  <c r="AW12" i="96"/>
  <c r="AW11" i="96"/>
  <c r="AW10" i="96"/>
  <c r="AW9" i="96"/>
  <c r="AV8" i="96"/>
  <c r="AU8" i="96"/>
  <c r="AW7" i="96"/>
  <c r="AW6" i="96"/>
  <c r="AV5" i="96"/>
  <c r="AU5" i="96"/>
  <c r="W75" i="108" l="1"/>
  <c r="AW50" i="96"/>
  <c r="AW79" i="96"/>
  <c r="AW77" i="96" s="1"/>
  <c r="AW5" i="96"/>
  <c r="AC38" i="107"/>
  <c r="AC75" i="107" s="1"/>
  <c r="AA39" i="107"/>
  <c r="X89" i="108"/>
  <c r="AU38" i="96"/>
  <c r="AU75" i="96" s="1"/>
  <c r="AC77" i="107"/>
  <c r="AA81" i="107"/>
  <c r="AA83" i="107" s="1"/>
  <c r="AA84" i="107" s="1"/>
  <c r="AA86" i="107" s="1"/>
  <c r="AA87" i="107" s="1"/>
  <c r="AA76" i="107"/>
  <c r="AC89" i="107"/>
  <c r="AB38" i="107"/>
  <c r="X75" i="108"/>
  <c r="X81" i="108" s="1"/>
  <c r="X83" i="108" s="1"/>
  <c r="X84" i="108" s="1"/>
  <c r="X86" i="108" s="1"/>
  <c r="X87" i="108" s="1"/>
  <c r="X39" i="108"/>
  <c r="V75" i="108"/>
  <c r="V39" i="108"/>
  <c r="W81" i="108"/>
  <c r="W83" i="108" s="1"/>
  <c r="W84" i="108" s="1"/>
  <c r="W86" i="108" s="1"/>
  <c r="W87" i="108" s="1"/>
  <c r="W76" i="108"/>
  <c r="AK75" i="91"/>
  <c r="AK39" i="91"/>
  <c r="AM89" i="91"/>
  <c r="AM77" i="91"/>
  <c r="AL38" i="91"/>
  <c r="AM38" i="91"/>
  <c r="AR54" i="102"/>
  <c r="AP8" i="102"/>
  <c r="AP38" i="102" s="1"/>
  <c r="AQ39" i="102"/>
  <c r="AQ75" i="102"/>
  <c r="AR8" i="102"/>
  <c r="AR77" i="102"/>
  <c r="AW54" i="96"/>
  <c r="AW41" i="96"/>
  <c r="AW8" i="96"/>
  <c r="AV38" i="96"/>
  <c r="AV39" i="96" s="1"/>
  <c r="BC51" i="107" l="1"/>
  <c r="BC36" i="107"/>
  <c r="BC34" i="107"/>
  <c r="BC53" i="107"/>
  <c r="BC52" i="107"/>
  <c r="BC50" i="107"/>
  <c r="BC40" i="107"/>
  <c r="BC37" i="107"/>
  <c r="BC35" i="107"/>
  <c r="BC38" i="107"/>
  <c r="BC39" i="107"/>
  <c r="AX49" i="91"/>
  <c r="AX37" i="91"/>
  <c r="AX40" i="91"/>
  <c r="AX72" i="91"/>
  <c r="AX34" i="91"/>
  <c r="AX53" i="91"/>
  <c r="AX36" i="91"/>
  <c r="AX35" i="91"/>
  <c r="AX38" i="91"/>
  <c r="AX39" i="91"/>
  <c r="AX51" i="107"/>
  <c r="AX52" i="107"/>
  <c r="AX37" i="107"/>
  <c r="AX50" i="107"/>
  <c r="AX34" i="107"/>
  <c r="AX53" i="107"/>
  <c r="AX40" i="107"/>
  <c r="AX35" i="107"/>
  <c r="AX36" i="107"/>
  <c r="AX38" i="107"/>
  <c r="AX39" i="107"/>
  <c r="AS37" i="91"/>
  <c r="AS72" i="91"/>
  <c r="AS40" i="91"/>
  <c r="AS53" i="91"/>
  <c r="AS49" i="91"/>
  <c r="AS34" i="91"/>
  <c r="AS35" i="91"/>
  <c r="AS36" i="91"/>
  <c r="AS38" i="91"/>
  <c r="AS39" i="91"/>
  <c r="AS53" i="107"/>
  <c r="AS34" i="107"/>
  <c r="AS52" i="107"/>
  <c r="AS51" i="107"/>
  <c r="AS37" i="107"/>
  <c r="AS40" i="107"/>
  <c r="AS50" i="107"/>
  <c r="AS35" i="107"/>
  <c r="AS36" i="107"/>
  <c r="AS38" i="107"/>
  <c r="AS39" i="107"/>
  <c r="AC39" i="107"/>
  <c r="AD39" i="107" s="1"/>
  <c r="AI50" i="108"/>
  <c r="AI51" i="108"/>
  <c r="AI52" i="108"/>
  <c r="AI34" i="108"/>
  <c r="AI72" i="108"/>
  <c r="AI53" i="108"/>
  <c r="AI40" i="108"/>
  <c r="AI49" i="108"/>
  <c r="AI37" i="108"/>
  <c r="AI35" i="108"/>
  <c r="AI36" i="108"/>
  <c r="AN53" i="107"/>
  <c r="AN52" i="107"/>
  <c r="AN40" i="107"/>
  <c r="AN49" i="107"/>
  <c r="AN37" i="107"/>
  <c r="AN34" i="107"/>
  <c r="AN50" i="107"/>
  <c r="AN35" i="107"/>
  <c r="AN36" i="107"/>
  <c r="AN51" i="107"/>
  <c r="AN38" i="107"/>
  <c r="AN39" i="107"/>
  <c r="AI49" i="107"/>
  <c r="AI40" i="107"/>
  <c r="AI37" i="107"/>
  <c r="AI53" i="107"/>
  <c r="AI35" i="107"/>
  <c r="AI34" i="107"/>
  <c r="AI52" i="107"/>
  <c r="AI51" i="107"/>
  <c r="AI50" i="107"/>
  <c r="AI36" i="107"/>
  <c r="AI38" i="107"/>
  <c r="AI39" i="107"/>
  <c r="AD72" i="108"/>
  <c r="AD53" i="108"/>
  <c r="AD37" i="108"/>
  <c r="AD52" i="108"/>
  <c r="AD50" i="108"/>
  <c r="AD49" i="108"/>
  <c r="AD34" i="108"/>
  <c r="AD40" i="108"/>
  <c r="AD51" i="108"/>
  <c r="AD36" i="108"/>
  <c r="AD35" i="108"/>
  <c r="AN71" i="91"/>
  <c r="AN67" i="91"/>
  <c r="AN63" i="91"/>
  <c r="AN59" i="91"/>
  <c r="AN55" i="91"/>
  <c r="AN51" i="91"/>
  <c r="AN43" i="91"/>
  <c r="AN35" i="91"/>
  <c r="AN31" i="91"/>
  <c r="AN27" i="91"/>
  <c r="AN23" i="91"/>
  <c r="AN19" i="91"/>
  <c r="AN15" i="91"/>
  <c r="AN11" i="91"/>
  <c r="AN56" i="91"/>
  <c r="AN24" i="91"/>
  <c r="AN12" i="91"/>
  <c r="AN70" i="91"/>
  <c r="AN66" i="91"/>
  <c r="AN62" i="91"/>
  <c r="AN58" i="91"/>
  <c r="AN54" i="91"/>
  <c r="AN50" i="91"/>
  <c r="AN42" i="91"/>
  <c r="AN38" i="91"/>
  <c r="AN34" i="91"/>
  <c r="AN30" i="91"/>
  <c r="AN26" i="91"/>
  <c r="AN22" i="91"/>
  <c r="AN18" i="91"/>
  <c r="AN14" i="91"/>
  <c r="AN10" i="91"/>
  <c r="AN72" i="91"/>
  <c r="AN64" i="91"/>
  <c r="AN48" i="91"/>
  <c r="AN40" i="91"/>
  <c r="AN32" i="91"/>
  <c r="AN16" i="91"/>
  <c r="AN79" i="91"/>
  <c r="AN69" i="91"/>
  <c r="AN65" i="91"/>
  <c r="AN61" i="91"/>
  <c r="AN57" i="91"/>
  <c r="AN53" i="91"/>
  <c r="AN49" i="91"/>
  <c r="AN37" i="91"/>
  <c r="AN33" i="91"/>
  <c r="AN29" i="91"/>
  <c r="AN25" i="91"/>
  <c r="AN21" i="91"/>
  <c r="AN17" i="91"/>
  <c r="AN13" i="91"/>
  <c r="AN9" i="91"/>
  <c r="AN68" i="91"/>
  <c r="AN60" i="91"/>
  <c r="AN52" i="91"/>
  <c r="AN44" i="91"/>
  <c r="AN36" i="91"/>
  <c r="AN28" i="91"/>
  <c r="AN20" i="91"/>
  <c r="AN8" i="91"/>
  <c r="AN47" i="91"/>
  <c r="AN45" i="91"/>
  <c r="AN46" i="91"/>
  <c r="AN41" i="91"/>
  <c r="Y79" i="108"/>
  <c r="Y69" i="108"/>
  <c r="Y65" i="108"/>
  <c r="Y61" i="108"/>
  <c r="Y57" i="108"/>
  <c r="Y53" i="108"/>
  <c r="Y49" i="108"/>
  <c r="Y45" i="108"/>
  <c r="Y37" i="108"/>
  <c r="Y33" i="108"/>
  <c r="Y72" i="108"/>
  <c r="Y68" i="108"/>
  <c r="Y64" i="108"/>
  <c r="Y60" i="108"/>
  <c r="Y56" i="108"/>
  <c r="Y52" i="108"/>
  <c r="Y48" i="108"/>
  <c r="Y44" i="108"/>
  <c r="Y40" i="108"/>
  <c r="Y36" i="108"/>
  <c r="Y32" i="108"/>
  <c r="Y28" i="108"/>
  <c r="Y24" i="108"/>
  <c r="Y20" i="108"/>
  <c r="Y16" i="108"/>
  <c r="Y12" i="108"/>
  <c r="Y8" i="108"/>
  <c r="Y71" i="108"/>
  <c r="Y67" i="108"/>
  <c r="Y63" i="108"/>
  <c r="Y59" i="108"/>
  <c r="Y55" i="108"/>
  <c r="Y51" i="108"/>
  <c r="Y43" i="108"/>
  <c r="Y39" i="108"/>
  <c r="Y35" i="108"/>
  <c r="Y31" i="108"/>
  <c r="Y27" i="108"/>
  <c r="Y23" i="108"/>
  <c r="Y19" i="108"/>
  <c r="Y15" i="108"/>
  <c r="Y11" i="108"/>
  <c r="Y70" i="108"/>
  <c r="Y66" i="108"/>
  <c r="Y62" i="108"/>
  <c r="Y58" i="108"/>
  <c r="Y54" i="108"/>
  <c r="Y50" i="108"/>
  <c r="Y46" i="108"/>
  <c r="Y42" i="108"/>
  <c r="Y38" i="108"/>
  <c r="Y34" i="108"/>
  <c r="Y30" i="108"/>
  <c r="Y26" i="108"/>
  <c r="Y22" i="108"/>
  <c r="Y18" i="108"/>
  <c r="Y14" i="108"/>
  <c r="Y10" i="108"/>
  <c r="Y29" i="108"/>
  <c r="Y25" i="108"/>
  <c r="Y21" i="108"/>
  <c r="Y17" i="108"/>
  <c r="Y13" i="108"/>
  <c r="Y9" i="108"/>
  <c r="Y41" i="108"/>
  <c r="Y47" i="108"/>
  <c r="AD79" i="107"/>
  <c r="AD68" i="107"/>
  <c r="AD64" i="107"/>
  <c r="AD60" i="107"/>
  <c r="AD56" i="107"/>
  <c r="AD52" i="107"/>
  <c r="AD48" i="107"/>
  <c r="AD44" i="107"/>
  <c r="AD40" i="107"/>
  <c r="AD36" i="107"/>
  <c r="AD32" i="107"/>
  <c r="AD28" i="107"/>
  <c r="AD24" i="107"/>
  <c r="AD20" i="107"/>
  <c r="AD16" i="107"/>
  <c r="AD12" i="107"/>
  <c r="AD8" i="107"/>
  <c r="AD66" i="107"/>
  <c r="AD62" i="107"/>
  <c r="AD54" i="107"/>
  <c r="AD46" i="107"/>
  <c r="AD38" i="107"/>
  <c r="AD30" i="107"/>
  <c r="AD22" i="107"/>
  <c r="AD14" i="107"/>
  <c r="AD69" i="107"/>
  <c r="AD57" i="107"/>
  <c r="AD49" i="107"/>
  <c r="AD33" i="107"/>
  <c r="AD25" i="107"/>
  <c r="AD17" i="107"/>
  <c r="AD9" i="107"/>
  <c r="AD71" i="107"/>
  <c r="AD67" i="107"/>
  <c r="AD63" i="107"/>
  <c r="AD59" i="107"/>
  <c r="AD55" i="107"/>
  <c r="AD51" i="107"/>
  <c r="AD43" i="107"/>
  <c r="AD35" i="107"/>
  <c r="AD31" i="107"/>
  <c r="AD27" i="107"/>
  <c r="AD23" i="107"/>
  <c r="AD19" i="107"/>
  <c r="AD15" i="107"/>
  <c r="AD11" i="107"/>
  <c r="AD70" i="107"/>
  <c r="AD58" i="107"/>
  <c r="AD50" i="107"/>
  <c r="AD42" i="107"/>
  <c r="AD34" i="107"/>
  <c r="AD26" i="107"/>
  <c r="AD18" i="107"/>
  <c r="AD10" i="107"/>
  <c r="AD65" i="107"/>
  <c r="AD61" i="107"/>
  <c r="AD53" i="107"/>
  <c r="AD45" i="107"/>
  <c r="AD37" i="107"/>
  <c r="AD29" i="107"/>
  <c r="AD21" i="107"/>
  <c r="AD13" i="107"/>
  <c r="AD47" i="107"/>
  <c r="AD41" i="107"/>
  <c r="AU39" i="96"/>
  <c r="X76" i="108"/>
  <c r="AV75" i="96"/>
  <c r="AV81" i="96" s="1"/>
  <c r="AV83" i="96" s="1"/>
  <c r="AV84" i="96" s="1"/>
  <c r="AV86" i="96" s="1"/>
  <c r="AV87" i="96" s="1"/>
  <c r="AW89" i="96"/>
  <c r="AW38" i="96"/>
  <c r="AW75" i="96" s="1"/>
  <c r="AB75" i="107"/>
  <c r="AB39" i="107"/>
  <c r="AC76" i="107"/>
  <c r="AC81" i="107"/>
  <c r="AC83" i="107" s="1"/>
  <c r="AC84" i="107" s="1"/>
  <c r="AC86" i="107" s="1"/>
  <c r="AC87" i="107" s="1"/>
  <c r="V81" i="108"/>
  <c r="V83" i="108" s="1"/>
  <c r="V84" i="108" s="1"/>
  <c r="V86" i="108" s="1"/>
  <c r="V87" i="108" s="1"/>
  <c r="V76" i="108"/>
  <c r="AM39" i="91"/>
  <c r="AN39" i="91" s="1"/>
  <c r="AM75" i="91"/>
  <c r="AL39" i="91"/>
  <c r="AL75" i="91"/>
  <c r="AK81" i="91"/>
  <c r="AK83" i="91" s="1"/>
  <c r="AK84" i="91" s="1"/>
  <c r="AK86" i="91" s="1"/>
  <c r="AK87" i="91" s="1"/>
  <c r="AK76" i="91"/>
  <c r="AQ81" i="102"/>
  <c r="AQ83" i="102" s="1"/>
  <c r="AQ84" i="102" s="1"/>
  <c r="AQ86" i="102" s="1"/>
  <c r="AQ87" i="102" s="1"/>
  <c r="AQ76" i="102"/>
  <c r="AP39" i="102"/>
  <c r="AP75" i="102"/>
  <c r="AR89" i="102"/>
  <c r="AR38" i="102"/>
  <c r="AW39" i="96"/>
  <c r="AU81" i="96"/>
  <c r="AU83" i="96" s="1"/>
  <c r="AU84" i="96" s="1"/>
  <c r="AU86" i="96" s="1"/>
  <c r="AU87" i="96" s="1"/>
  <c r="AU76" i="96"/>
  <c r="BB85" i="95"/>
  <c r="BB82" i="95"/>
  <c r="BB78" i="95"/>
  <c r="BA77" i="95"/>
  <c r="AZ74" i="95"/>
  <c r="BB74" i="95" s="1"/>
  <c r="BB73" i="95" s="1"/>
  <c r="BA73" i="95"/>
  <c r="BB71" i="95"/>
  <c r="BC71" i="95" s="1"/>
  <c r="BB70" i="95"/>
  <c r="BC70" i="95" s="1"/>
  <c r="AZ69" i="95"/>
  <c r="BB69" i="95" s="1"/>
  <c r="BC69" i="95" s="1"/>
  <c r="BB68" i="95"/>
  <c r="BC68" i="95" s="1"/>
  <c r="BB67" i="95"/>
  <c r="BC67" i="95" s="1"/>
  <c r="BB66" i="95"/>
  <c r="BC66" i="95" s="1"/>
  <c r="AZ65" i="95"/>
  <c r="BB65" i="95" s="1"/>
  <c r="BC65" i="95" s="1"/>
  <c r="BB64" i="95"/>
  <c r="BC64" i="95" s="1"/>
  <c r="BA63" i="95"/>
  <c r="AZ63" i="95"/>
  <c r="BB62" i="95"/>
  <c r="BC62" i="95" s="1"/>
  <c r="BB61" i="95"/>
  <c r="BC61" i="95" s="1"/>
  <c r="AZ60" i="95"/>
  <c r="BB60" i="95" s="1"/>
  <c r="BC60" i="95" s="1"/>
  <c r="AZ59" i="95"/>
  <c r="BB59" i="95" s="1"/>
  <c r="BC59" i="95" s="1"/>
  <c r="BA58" i="95"/>
  <c r="AZ58" i="95"/>
  <c r="BB57" i="95"/>
  <c r="BC57" i="95" s="1"/>
  <c r="BB56" i="95"/>
  <c r="BC56" i="95" s="1"/>
  <c r="BB55" i="95"/>
  <c r="BB52" i="95"/>
  <c r="BC52" i="95" s="1"/>
  <c r="BB51" i="95"/>
  <c r="BA50" i="95"/>
  <c r="AZ50" i="95"/>
  <c r="BC49" i="95"/>
  <c r="AZ48" i="95"/>
  <c r="BB48" i="95" s="1"/>
  <c r="BC48" i="95" s="1"/>
  <c r="BB47" i="95"/>
  <c r="BC47" i="95" s="1"/>
  <c r="BB46" i="95"/>
  <c r="BC46" i="95" s="1"/>
  <c r="AZ45" i="95"/>
  <c r="BB45" i="95" s="1"/>
  <c r="BC45" i="95" s="1"/>
  <c r="BB44" i="95"/>
  <c r="BC44" i="95" s="1"/>
  <c r="BB43" i="95"/>
  <c r="BC43" i="95" s="1"/>
  <c r="BB42" i="95"/>
  <c r="BA41" i="95"/>
  <c r="BB36" i="95"/>
  <c r="BB35" i="95" s="1"/>
  <c r="BA35" i="95"/>
  <c r="AZ35" i="95"/>
  <c r="BB33" i="95"/>
  <c r="BC33" i="95" s="1"/>
  <c r="BB32" i="95"/>
  <c r="BC32" i="95" s="1"/>
  <c r="BB31" i="95"/>
  <c r="BC31" i="95" s="1"/>
  <c r="BB30" i="95"/>
  <c r="BC30" i="95" s="1"/>
  <c r="AZ29" i="95"/>
  <c r="BB29" i="95" s="1"/>
  <c r="BC29" i="95" s="1"/>
  <c r="BA28" i="95"/>
  <c r="AZ28" i="95"/>
  <c r="BB28" i="95" s="1"/>
  <c r="BC28" i="95" s="1"/>
  <c r="AZ27" i="95"/>
  <c r="BB27" i="95" s="1"/>
  <c r="BC27" i="95" s="1"/>
  <c r="AZ26" i="95"/>
  <c r="BB26" i="95" s="1"/>
  <c r="BC26" i="95" s="1"/>
  <c r="AZ25" i="95"/>
  <c r="BB25" i="95" s="1"/>
  <c r="BC25" i="95" s="1"/>
  <c r="AZ24" i="95"/>
  <c r="BB24" i="95" s="1"/>
  <c r="BC24" i="95" s="1"/>
  <c r="AZ23" i="95"/>
  <c r="BB23" i="95" s="1"/>
  <c r="BC23" i="95" s="1"/>
  <c r="BB22" i="95"/>
  <c r="BC22" i="95" s="1"/>
  <c r="AZ21" i="95"/>
  <c r="BB21" i="95" s="1"/>
  <c r="BC21" i="95" s="1"/>
  <c r="BB20" i="95"/>
  <c r="BC20" i="95" s="1"/>
  <c r="BA19" i="95"/>
  <c r="BB19" i="95" s="1"/>
  <c r="BC19" i="95" s="1"/>
  <c r="AZ18" i="95"/>
  <c r="BB18" i="95" s="1"/>
  <c r="BC18" i="95" s="1"/>
  <c r="BB17" i="95"/>
  <c r="BC17" i="95" s="1"/>
  <c r="BB16" i="95"/>
  <c r="BC16" i="95" s="1"/>
  <c r="BB15" i="95"/>
  <c r="BC15" i="95" s="1"/>
  <c r="BB14" i="95"/>
  <c r="BC14" i="95" s="1"/>
  <c r="BB13" i="95"/>
  <c r="BC13" i="95" s="1"/>
  <c r="BA12" i="95"/>
  <c r="BB12" i="95" s="1"/>
  <c r="BC12" i="95" s="1"/>
  <c r="AZ11" i="95"/>
  <c r="BB11" i="95" s="1"/>
  <c r="BC11" i="95" s="1"/>
  <c r="AZ10" i="95"/>
  <c r="BB10" i="95" s="1"/>
  <c r="BC10" i="95" s="1"/>
  <c r="AZ9" i="95"/>
  <c r="BB9" i="95" s="1"/>
  <c r="BB7" i="95"/>
  <c r="BB6" i="95"/>
  <c r="BB5" i="95" s="1"/>
  <c r="BA5" i="95"/>
  <c r="AZ5" i="95"/>
  <c r="BB50" i="95" l="1"/>
  <c r="BB63" i="95"/>
  <c r="BC63" i="95" s="1"/>
  <c r="BB58" i="95"/>
  <c r="BC58" i="95" s="1"/>
  <c r="AZ54" i="95"/>
  <c r="BA54" i="95"/>
  <c r="BB41" i="95"/>
  <c r="BC41" i="95" s="1"/>
  <c r="AZ8" i="95"/>
  <c r="AZ38" i="95" s="1"/>
  <c r="BA8" i="95"/>
  <c r="AZ41" i="95"/>
  <c r="BH40" i="102"/>
  <c r="BH35" i="102"/>
  <c r="BH38" i="102"/>
  <c r="BH39" i="102"/>
  <c r="BM40" i="96"/>
  <c r="BM35" i="96"/>
  <c r="BM36" i="96"/>
  <c r="BM38" i="96"/>
  <c r="BM39" i="96"/>
  <c r="BC40" i="102"/>
  <c r="BC35" i="102"/>
  <c r="BC38" i="102"/>
  <c r="BC39" i="102"/>
  <c r="BH35" i="96"/>
  <c r="BH40" i="96"/>
  <c r="BH36" i="96"/>
  <c r="BH38" i="96"/>
  <c r="BH39" i="96"/>
  <c r="AX40" i="102"/>
  <c r="AX35" i="102"/>
  <c r="AX38" i="102"/>
  <c r="AX39" i="102"/>
  <c r="BC40" i="96"/>
  <c r="BC36" i="96"/>
  <c r="BC35" i="96"/>
  <c r="BC38" i="96"/>
  <c r="BC39" i="96"/>
  <c r="AW93" i="96"/>
  <c r="AX71" i="96"/>
  <c r="AX67" i="96"/>
  <c r="AX63" i="96"/>
  <c r="AX59" i="96"/>
  <c r="AX55" i="96"/>
  <c r="AX51" i="96"/>
  <c r="AX43" i="96"/>
  <c r="AX39" i="96"/>
  <c r="AX35" i="96"/>
  <c r="AX30" i="96"/>
  <c r="AX26" i="96"/>
  <c r="AX22" i="96"/>
  <c r="AX18" i="96"/>
  <c r="AX14" i="96"/>
  <c r="AX10" i="96"/>
  <c r="AX72" i="96"/>
  <c r="AX52" i="96"/>
  <c r="AX40" i="96"/>
  <c r="AX27" i="96"/>
  <c r="AX15" i="96"/>
  <c r="AX70" i="96"/>
  <c r="AX66" i="96"/>
  <c r="AX62" i="96"/>
  <c r="AX58" i="96"/>
  <c r="AX54" i="96"/>
  <c r="AX50" i="96"/>
  <c r="AX46" i="96"/>
  <c r="AX42" i="96"/>
  <c r="AX38" i="96"/>
  <c r="AX33" i="96"/>
  <c r="AX29" i="96"/>
  <c r="AX25" i="96"/>
  <c r="AX21" i="96"/>
  <c r="AX17" i="96"/>
  <c r="AX13" i="96"/>
  <c r="AX9" i="96"/>
  <c r="AX64" i="96"/>
  <c r="AX60" i="96"/>
  <c r="AX48" i="96"/>
  <c r="AX36" i="96"/>
  <c r="AX23" i="96"/>
  <c r="AX11" i="96"/>
  <c r="AX79" i="96"/>
  <c r="AX69" i="96"/>
  <c r="AX65" i="96"/>
  <c r="AX61" i="96"/>
  <c r="AX57" i="96"/>
  <c r="AX53" i="96"/>
  <c r="AX49" i="96"/>
  <c r="AX45" i="96"/>
  <c r="AX37" i="96"/>
  <c r="AX32" i="96"/>
  <c r="AX28" i="96"/>
  <c r="AX24" i="96"/>
  <c r="AX20" i="96"/>
  <c r="AX16" i="96"/>
  <c r="AX12" i="96"/>
  <c r="AX8" i="96"/>
  <c r="AX68" i="96"/>
  <c r="AX56" i="96"/>
  <c r="AX44" i="96"/>
  <c r="AX31" i="96"/>
  <c r="AX19" i="96"/>
  <c r="AX47" i="96"/>
  <c r="AX41" i="96"/>
  <c r="AS78" i="102"/>
  <c r="AS69" i="102"/>
  <c r="AS65" i="102"/>
  <c r="AS61" i="102"/>
  <c r="AS57" i="102"/>
  <c r="AS52" i="102"/>
  <c r="AS48" i="102"/>
  <c r="AS44" i="102"/>
  <c r="AS40" i="102"/>
  <c r="AS36" i="102"/>
  <c r="AS32" i="102"/>
  <c r="AS28" i="102"/>
  <c r="AS24" i="102"/>
  <c r="AS20" i="102"/>
  <c r="AS16" i="102"/>
  <c r="AS12" i="102"/>
  <c r="AS8" i="102"/>
  <c r="AS72" i="102"/>
  <c r="AS68" i="102"/>
  <c r="AS64" i="102"/>
  <c r="AS60" i="102"/>
  <c r="AS56" i="102"/>
  <c r="AS51" i="102"/>
  <c r="AS43" i="102"/>
  <c r="AS35" i="102"/>
  <c r="AS31" i="102"/>
  <c r="AS27" i="102"/>
  <c r="AS23" i="102"/>
  <c r="AS19" i="102"/>
  <c r="AS15" i="102"/>
  <c r="AS11" i="102"/>
  <c r="AS71" i="102"/>
  <c r="AS67" i="102"/>
  <c r="AS63" i="102"/>
  <c r="AS59" i="102"/>
  <c r="AS55" i="102"/>
  <c r="AS50" i="102"/>
  <c r="AS46" i="102"/>
  <c r="AS42" i="102"/>
  <c r="AS38" i="102"/>
  <c r="AS34" i="102"/>
  <c r="AS30" i="102"/>
  <c r="AS26" i="102"/>
  <c r="AS22" i="102"/>
  <c r="AS18" i="102"/>
  <c r="AS14" i="102"/>
  <c r="AS10" i="102"/>
  <c r="AS79" i="102"/>
  <c r="AS70" i="102"/>
  <c r="AS66" i="102"/>
  <c r="AS62" i="102"/>
  <c r="AS58" i="102"/>
  <c r="AS54" i="102"/>
  <c r="AS49" i="102"/>
  <c r="AS45" i="102"/>
  <c r="AS37" i="102"/>
  <c r="AS33" i="102"/>
  <c r="AS29" i="102"/>
  <c r="AS25" i="102"/>
  <c r="AS21" i="102"/>
  <c r="AS17" i="102"/>
  <c r="AS13" i="102"/>
  <c r="AS9" i="102"/>
  <c r="AS47" i="102"/>
  <c r="AS41" i="102"/>
  <c r="AV76" i="96"/>
  <c r="AR93" i="102"/>
  <c r="AB81" i="107"/>
  <c r="AB83" i="107" s="1"/>
  <c r="AB84" i="107" s="1"/>
  <c r="AB86" i="107" s="1"/>
  <c r="AB87" i="107" s="1"/>
  <c r="AB76" i="107"/>
  <c r="AL81" i="91"/>
  <c r="AL83" i="91" s="1"/>
  <c r="AL84" i="91" s="1"/>
  <c r="AL86" i="91" s="1"/>
  <c r="AL87" i="91" s="1"/>
  <c r="AL76" i="91"/>
  <c r="AM81" i="91"/>
  <c r="AM83" i="91" s="1"/>
  <c r="AM84" i="91" s="1"/>
  <c r="AM86" i="91" s="1"/>
  <c r="AM87" i="91" s="1"/>
  <c r="AM76" i="91"/>
  <c r="AP76" i="102"/>
  <c r="AP81" i="102"/>
  <c r="AP83" i="102" s="1"/>
  <c r="AP84" i="102" s="1"/>
  <c r="AP86" i="102" s="1"/>
  <c r="AP87" i="102" s="1"/>
  <c r="AR75" i="102"/>
  <c r="AR39" i="102"/>
  <c r="AS39" i="102" s="1"/>
  <c r="AW81" i="96"/>
  <c r="AW83" i="96" s="1"/>
  <c r="AW84" i="96" s="1"/>
  <c r="AW86" i="96" s="1"/>
  <c r="AW87" i="96" s="1"/>
  <c r="AW76" i="96"/>
  <c r="BC9" i="95"/>
  <c r="BB8" i="95"/>
  <c r="BB54" i="95"/>
  <c r="BC54" i="95" s="1"/>
  <c r="BC36" i="95"/>
  <c r="BC42" i="95"/>
  <c r="BC51" i="95"/>
  <c r="BC55" i="95"/>
  <c r="AZ73" i="95"/>
  <c r="AZ79" i="95" l="1"/>
  <c r="BA38" i="95"/>
  <c r="BA39" i="95" s="1"/>
  <c r="AZ39" i="95"/>
  <c r="AZ75" i="95"/>
  <c r="AR81" i="102"/>
  <c r="AR83" i="102" s="1"/>
  <c r="AR84" i="102" s="1"/>
  <c r="AR86" i="102" s="1"/>
  <c r="AR87" i="102" s="1"/>
  <c r="AR76" i="102"/>
  <c r="BC8" i="95"/>
  <c r="BB38" i="95"/>
  <c r="BA75" i="95" l="1"/>
  <c r="BA76" i="95" s="1"/>
  <c r="AZ81" i="95"/>
  <c r="AZ83" i="95" s="1"/>
  <c r="AZ84" i="95" s="1"/>
  <c r="AZ86" i="95" s="1"/>
  <c r="AZ87" i="95" s="1"/>
  <c r="AZ76" i="95"/>
  <c r="AZ77" i="95"/>
  <c r="BB79" i="95"/>
  <c r="BB77" i="95" s="1"/>
  <c r="BA81" i="95"/>
  <c r="BA83" i="95" s="1"/>
  <c r="BA84" i="95" s="1"/>
  <c r="BA86" i="95" s="1"/>
  <c r="BA87" i="95" s="1"/>
  <c r="BB39" i="95"/>
  <c r="BB75" i="95"/>
  <c r="BB81" i="95" l="1"/>
  <c r="BB83" i="95" s="1"/>
  <c r="BB84" i="95" s="1"/>
  <c r="BB86" i="95" s="1"/>
  <c r="BB87" i="95" s="1"/>
  <c r="BB76" i="95"/>
  <c r="AA80" i="85" l="1"/>
  <c r="Z80" i="85"/>
  <c r="AA72" i="85"/>
  <c r="Z72" i="85"/>
  <c r="AA49" i="85"/>
  <c r="Z49" i="85"/>
  <c r="Q22" i="85"/>
  <c r="R22" i="85"/>
  <c r="AA22" i="85" s="1"/>
  <c r="Q23" i="85"/>
  <c r="R23" i="85"/>
  <c r="S23" i="85" s="1"/>
  <c r="Z23" i="85"/>
  <c r="V5" i="85"/>
  <c r="W5" i="85"/>
  <c r="X6" i="85"/>
  <c r="X5" i="85" s="1"/>
  <c r="X7" i="85"/>
  <c r="X9" i="85"/>
  <c r="Y9" i="85" s="1"/>
  <c r="X10" i="85"/>
  <c r="Y10" i="85" s="1"/>
  <c r="X11" i="85"/>
  <c r="Y11" i="85" s="1"/>
  <c r="X12" i="85"/>
  <c r="Y12" i="85" s="1"/>
  <c r="X13" i="85"/>
  <c r="Y13" i="85" s="1"/>
  <c r="X14" i="85"/>
  <c r="Y14" i="85" s="1"/>
  <c r="X15" i="85"/>
  <c r="Y15" i="85" s="1"/>
  <c r="X16" i="85"/>
  <c r="Y16" i="85" s="1"/>
  <c r="X17" i="85"/>
  <c r="Y17" i="85" s="1"/>
  <c r="V18" i="85"/>
  <c r="W18" i="85"/>
  <c r="X19" i="85"/>
  <c r="Y19" i="85" s="1"/>
  <c r="X20" i="85"/>
  <c r="Y20" i="85" s="1"/>
  <c r="V21" i="85"/>
  <c r="X21" i="85" s="1"/>
  <c r="Y21" i="85" s="1"/>
  <c r="V22" i="85"/>
  <c r="Z22" i="85" s="1"/>
  <c r="X23" i="85"/>
  <c r="Y23" i="85" s="1"/>
  <c r="X24" i="85"/>
  <c r="Y24" i="85" s="1"/>
  <c r="V25" i="85"/>
  <c r="X25" i="85" s="1"/>
  <c r="Y25" i="85" s="1"/>
  <c r="V26" i="85"/>
  <c r="X26" i="85" s="1"/>
  <c r="Y26" i="85" s="1"/>
  <c r="V27" i="85"/>
  <c r="X27" i="85" s="1"/>
  <c r="Y27" i="85" s="1"/>
  <c r="X28" i="85"/>
  <c r="Y28" i="85" s="1"/>
  <c r="X29" i="85"/>
  <c r="Y29" i="85" s="1"/>
  <c r="W30" i="85"/>
  <c r="V31" i="85"/>
  <c r="W31" i="85"/>
  <c r="W32" i="85"/>
  <c r="X32" i="85" s="1"/>
  <c r="Y32" i="85" s="1"/>
  <c r="X33" i="85"/>
  <c r="Y33" i="85" s="1"/>
  <c r="V35" i="85"/>
  <c r="W35" i="85"/>
  <c r="X36" i="85"/>
  <c r="X35" i="85" s="1"/>
  <c r="V41" i="85"/>
  <c r="W41" i="85"/>
  <c r="X42" i="85"/>
  <c r="Y42" i="85" s="1"/>
  <c r="X43" i="85"/>
  <c r="Y43" i="85" s="1"/>
  <c r="X44" i="85"/>
  <c r="Y44" i="85" s="1"/>
  <c r="X45" i="85"/>
  <c r="Y45" i="85" s="1"/>
  <c r="X46" i="85"/>
  <c r="Y46" i="85" s="1"/>
  <c r="X47" i="85"/>
  <c r="Y47" i="85" s="1"/>
  <c r="X48" i="85"/>
  <c r="Y48" i="85" s="1"/>
  <c r="Y49" i="85"/>
  <c r="V50" i="85"/>
  <c r="W50" i="85"/>
  <c r="X51" i="85"/>
  <c r="Y51" i="85" s="1"/>
  <c r="X52" i="85"/>
  <c r="Y52" i="85" s="1"/>
  <c r="W54" i="85"/>
  <c r="V55" i="85"/>
  <c r="X55" i="85" s="1"/>
  <c r="X58" i="85"/>
  <c r="Y58" i="85" s="1"/>
  <c r="V59" i="85"/>
  <c r="X59" i="85" s="1"/>
  <c r="Y59" i="85" s="1"/>
  <c r="V60" i="85"/>
  <c r="X60" i="85" s="1"/>
  <c r="Y60" i="85" s="1"/>
  <c r="X61" i="85"/>
  <c r="Y61" i="85" s="1"/>
  <c r="X62" i="85"/>
  <c r="Y62" i="85" s="1"/>
  <c r="V63" i="85"/>
  <c r="X63" i="85" s="1"/>
  <c r="Y63" i="85" s="1"/>
  <c r="X64" i="85"/>
  <c r="Y64" i="85" s="1"/>
  <c r="V65" i="85"/>
  <c r="X65" i="85" s="1"/>
  <c r="Y65" i="85" s="1"/>
  <c r="X66" i="85"/>
  <c r="Y66" i="85" s="1"/>
  <c r="X67" i="85"/>
  <c r="Y67" i="85" s="1"/>
  <c r="X68" i="85"/>
  <c r="Y68" i="85" s="1"/>
  <c r="X69" i="85"/>
  <c r="Y69" i="85" s="1"/>
  <c r="X70" i="85"/>
  <c r="Y70" i="85" s="1"/>
  <c r="X71" i="85"/>
  <c r="Y71" i="85" s="1"/>
  <c r="W73" i="85"/>
  <c r="V74" i="85"/>
  <c r="V73" i="85" s="1"/>
  <c r="X78" i="85"/>
  <c r="W77" i="85"/>
  <c r="X82" i="85"/>
  <c r="X85" i="85"/>
  <c r="X31" i="85" l="1"/>
  <c r="Y31" i="85" s="1"/>
  <c r="W8" i="85"/>
  <c r="S22" i="85"/>
  <c r="Y36" i="85"/>
  <c r="X30" i="85"/>
  <c r="Y30" i="85" s="1"/>
  <c r="X22" i="85"/>
  <c r="Y22" i="85" s="1"/>
  <c r="W38" i="85"/>
  <c r="W39" i="85" s="1"/>
  <c r="AA23" i="85"/>
  <c r="V8" i="85"/>
  <c r="V38" i="85" s="1"/>
  <c r="V39" i="85" s="1"/>
  <c r="Y55" i="85"/>
  <c r="X77" i="85"/>
  <c r="X41" i="85"/>
  <c r="Y41" i="85" s="1"/>
  <c r="V56" i="85"/>
  <c r="X56" i="85" s="1"/>
  <c r="Y56" i="85" s="1"/>
  <c r="V57" i="85"/>
  <c r="X57" i="85" s="1"/>
  <c r="Y57" i="85" s="1"/>
  <c r="X18" i="85"/>
  <c r="Y18" i="85" s="1"/>
  <c r="V77" i="85"/>
  <c r="X50" i="85"/>
  <c r="X74" i="85"/>
  <c r="X73" i="85" s="1"/>
  <c r="W75" i="85" l="1"/>
  <c r="W81" i="85" s="1"/>
  <c r="W83" i="85" s="1"/>
  <c r="W84" i="85" s="1"/>
  <c r="W86" i="85" s="1"/>
  <c r="W87" i="85" s="1"/>
  <c r="X8" i="85"/>
  <c r="X54" i="85"/>
  <c r="Y54" i="85" s="1"/>
  <c r="V54" i="85"/>
  <c r="V75" i="85" s="1"/>
  <c r="W76" i="85" l="1"/>
  <c r="V76" i="85"/>
  <c r="V81" i="85"/>
  <c r="V83" i="85" s="1"/>
  <c r="V84" i="85" s="1"/>
  <c r="V86" i="85" s="1"/>
  <c r="V87" i="85" s="1"/>
  <c r="Y8" i="85"/>
  <c r="X38" i="85"/>
  <c r="X39" i="85" l="1"/>
  <c r="X75" i="85"/>
  <c r="X81" i="85" l="1"/>
  <c r="X83" i="85" s="1"/>
  <c r="X76" i="85"/>
  <c r="X84" i="85" l="1"/>
  <c r="X86" i="85" s="1"/>
  <c r="X87" i="85" s="1"/>
  <c r="C28" i="108"/>
  <c r="AH19" i="91" l="1"/>
  <c r="AH20" i="91"/>
  <c r="AH21" i="91"/>
  <c r="AH23" i="91"/>
  <c r="AH25" i="91"/>
  <c r="AH26" i="91"/>
  <c r="AK20" i="99" l="1"/>
  <c r="Q18" i="108" l="1"/>
  <c r="AF24" i="91"/>
  <c r="AF22" i="91"/>
  <c r="AG30" i="91"/>
  <c r="BE24" i="91" l="1"/>
  <c r="AH24" i="91"/>
  <c r="BE22" i="91"/>
  <c r="AH22" i="91"/>
  <c r="AW85" i="90" l="1"/>
  <c r="AW82" i="90"/>
  <c r="AV77" i="90"/>
  <c r="AU77" i="90"/>
  <c r="AW71" i="90"/>
  <c r="AW70" i="90"/>
  <c r="AW69" i="90"/>
  <c r="AW68" i="90"/>
  <c r="AW67" i="90"/>
  <c r="AW66" i="90"/>
  <c r="AW65" i="90"/>
  <c r="AW64" i="90"/>
  <c r="AW63" i="90"/>
  <c r="AW62" i="90"/>
  <c r="AW61" i="90"/>
  <c r="AW60" i="90"/>
  <c r="AW59" i="90"/>
  <c r="AW58" i="90"/>
  <c r="AW57" i="90"/>
  <c r="AW56" i="90"/>
  <c r="AW55" i="90"/>
  <c r="AV54" i="90"/>
  <c r="AU54" i="90"/>
  <c r="AW53" i="90"/>
  <c r="AW52" i="90"/>
  <c r="AW51" i="90"/>
  <c r="AW50" i="90" s="1"/>
  <c r="AV50" i="90"/>
  <c r="AU50" i="90"/>
  <c r="AW48" i="90"/>
  <c r="AW47" i="90"/>
  <c r="AW46" i="90"/>
  <c r="AW45" i="90"/>
  <c r="AW44" i="90"/>
  <c r="AW43" i="90"/>
  <c r="AW42" i="90"/>
  <c r="AV41" i="90"/>
  <c r="AU41" i="90"/>
  <c r="AW33" i="90"/>
  <c r="AW32" i="90"/>
  <c r="AW31" i="90"/>
  <c r="AW30" i="90"/>
  <c r="AW29" i="90"/>
  <c r="AW28" i="90"/>
  <c r="AW27" i="90"/>
  <c r="AW26" i="90"/>
  <c r="AW25" i="90"/>
  <c r="AW23" i="90"/>
  <c r="AW22" i="90"/>
  <c r="AW21" i="90"/>
  <c r="AW20" i="90"/>
  <c r="AU19" i="90"/>
  <c r="AW17" i="90"/>
  <c r="AW16" i="90"/>
  <c r="AW15" i="90"/>
  <c r="AW14" i="90"/>
  <c r="AW13" i="90"/>
  <c r="AW12" i="90"/>
  <c r="AW11" i="90"/>
  <c r="AW10" i="90"/>
  <c r="AW9" i="90"/>
  <c r="AV8" i="90"/>
  <c r="AW6" i="90"/>
  <c r="AW5" i="90" s="1"/>
  <c r="AV5" i="90"/>
  <c r="AU5" i="90"/>
  <c r="AW24" i="90" l="1"/>
  <c r="AW54" i="90"/>
  <c r="AW18" i="90"/>
  <c r="AU8" i="90"/>
  <c r="AU38" i="90" s="1"/>
  <c r="AW19" i="90"/>
  <c r="AV38" i="90"/>
  <c r="AV75" i="90" s="1"/>
  <c r="AW41" i="90"/>
  <c r="AQ30" i="90"/>
  <c r="E82" i="102"/>
  <c r="I82" i="102"/>
  <c r="N82" i="102"/>
  <c r="S82" i="102"/>
  <c r="X82" i="102"/>
  <c r="AC82" i="102"/>
  <c r="E85" i="102"/>
  <c r="I85" i="102"/>
  <c r="N85" i="102"/>
  <c r="S85" i="102"/>
  <c r="X85" i="102"/>
  <c r="AC85" i="102"/>
  <c r="C28" i="102"/>
  <c r="C31" i="102"/>
  <c r="AK27" i="102"/>
  <c r="AK28" i="102"/>
  <c r="AK24" i="102"/>
  <c r="AK22" i="102"/>
  <c r="AK21" i="102"/>
  <c r="AK65" i="102"/>
  <c r="AK29" i="102" s="1"/>
  <c r="AL16" i="102"/>
  <c r="AK26" i="102"/>
  <c r="AW8" i="90" l="1"/>
  <c r="AW89" i="90" s="1"/>
  <c r="BP30" i="90"/>
  <c r="BQ30" i="90" s="1"/>
  <c r="AU39" i="90"/>
  <c r="AU75" i="90"/>
  <c r="AU76" i="90" s="1"/>
  <c r="AV39" i="90"/>
  <c r="AW77" i="90"/>
  <c r="AV81" i="90"/>
  <c r="AV83" i="90" s="1"/>
  <c r="AV84" i="90" s="1"/>
  <c r="AV86" i="90" s="1"/>
  <c r="AV87" i="90" s="1"/>
  <c r="AV76" i="90"/>
  <c r="AW38" i="90"/>
  <c r="AK25" i="102"/>
  <c r="C74" i="96"/>
  <c r="D30" i="96"/>
  <c r="AP20" i="96"/>
  <c r="BM74" i="90" l="1"/>
  <c r="BM49" i="90"/>
  <c r="BM37" i="90"/>
  <c r="BM78" i="90"/>
  <c r="BM73" i="90"/>
  <c r="BM67" i="90"/>
  <c r="BM45" i="90"/>
  <c r="BM36" i="90"/>
  <c r="BM27" i="90"/>
  <c r="BM19" i="90"/>
  <c r="BM11" i="90"/>
  <c r="BM72" i="90"/>
  <c r="BM69" i="90"/>
  <c r="BM47" i="90"/>
  <c r="BM35" i="90"/>
  <c r="BM29" i="90"/>
  <c r="BM21" i="90"/>
  <c r="BM13" i="90"/>
  <c r="BM71" i="90"/>
  <c r="BM40" i="90"/>
  <c r="BM34" i="90"/>
  <c r="BM31" i="90"/>
  <c r="BM23" i="90"/>
  <c r="BM15" i="90"/>
  <c r="BM9" i="90"/>
  <c r="BM43" i="90"/>
  <c r="BM18" i="90"/>
  <c r="BM55" i="90"/>
  <c r="BM42" i="90"/>
  <c r="BM14" i="90"/>
  <c r="BM50" i="90"/>
  <c r="BM28" i="90"/>
  <c r="BM65" i="90"/>
  <c r="BM44" i="90"/>
  <c r="BM63" i="90"/>
  <c r="BM24" i="90"/>
  <c r="BM60" i="90"/>
  <c r="BM30" i="90"/>
  <c r="BM12" i="90"/>
  <c r="BM62" i="90"/>
  <c r="BM51" i="90"/>
  <c r="BM66" i="90"/>
  <c r="BM64" i="90"/>
  <c r="BM70" i="90"/>
  <c r="BM68" i="90"/>
  <c r="BM17" i="90"/>
  <c r="BM79" i="90"/>
  <c r="BM26" i="90"/>
  <c r="BM59" i="90"/>
  <c r="BM16" i="90"/>
  <c r="BM56" i="90"/>
  <c r="BM22" i="90"/>
  <c r="BM57" i="90"/>
  <c r="BM58" i="90"/>
  <c r="BM25" i="90"/>
  <c r="BM61" i="90"/>
  <c r="BM46" i="90"/>
  <c r="BM48" i="90"/>
  <c r="BM52" i="90"/>
  <c r="BM10" i="90"/>
  <c r="BM53" i="90"/>
  <c r="BM32" i="90"/>
  <c r="BM20" i="90"/>
  <c r="BM77" i="90"/>
  <c r="BM8" i="90"/>
  <c r="BM54" i="90"/>
  <c r="BM41" i="90"/>
  <c r="BM38" i="90"/>
  <c r="BM75" i="90"/>
  <c r="BM39" i="90"/>
  <c r="BM76" i="90"/>
  <c r="BH52" i="90"/>
  <c r="BH73" i="90"/>
  <c r="BH55" i="90"/>
  <c r="BH44" i="90"/>
  <c r="BH36" i="90"/>
  <c r="BH22" i="90"/>
  <c r="BH15" i="90"/>
  <c r="BH11" i="90"/>
  <c r="BH53" i="90"/>
  <c r="BH48" i="90"/>
  <c r="BH12" i="90"/>
  <c r="BH51" i="90"/>
  <c r="BH72" i="90"/>
  <c r="BH50" i="90"/>
  <c r="BH42" i="90"/>
  <c r="BH35" i="90"/>
  <c r="BH20" i="90"/>
  <c r="BH14" i="90"/>
  <c r="BH10" i="90"/>
  <c r="BH56" i="90"/>
  <c r="BH32" i="90"/>
  <c r="BH78" i="90"/>
  <c r="BH71" i="90"/>
  <c r="BH49" i="90"/>
  <c r="BH40" i="90"/>
  <c r="BH34" i="90"/>
  <c r="BH17" i="90"/>
  <c r="BH13" i="90"/>
  <c r="BH9" i="90"/>
  <c r="BH74" i="90"/>
  <c r="BH37" i="90"/>
  <c r="BH16" i="90"/>
  <c r="BH18" i="90"/>
  <c r="BH27" i="90"/>
  <c r="BH60" i="90"/>
  <c r="BH45" i="90"/>
  <c r="BH43" i="90"/>
  <c r="BH65" i="90"/>
  <c r="BH21" i="90"/>
  <c r="BH62" i="90"/>
  <c r="BH59" i="90"/>
  <c r="BH47" i="90"/>
  <c r="BH25" i="90"/>
  <c r="BH70" i="90"/>
  <c r="BH23" i="90"/>
  <c r="BH28" i="90"/>
  <c r="BH67" i="90"/>
  <c r="BH63" i="90"/>
  <c r="BH31" i="90"/>
  <c r="BH64" i="90"/>
  <c r="BH69" i="90"/>
  <c r="BH66" i="90"/>
  <c r="BH19" i="90"/>
  <c r="BH46" i="90"/>
  <c r="BH68" i="90"/>
  <c r="BH24" i="90"/>
  <c r="BH57" i="90"/>
  <c r="BH30" i="90"/>
  <c r="BH29" i="90"/>
  <c r="BH54" i="90"/>
  <c r="BH61" i="90"/>
  <c r="BH58" i="90"/>
  <c r="BH41" i="90"/>
  <c r="BH8" i="90"/>
  <c r="BH26" i="90"/>
  <c r="BH38" i="90"/>
  <c r="BH39" i="90"/>
  <c r="BH75" i="90"/>
  <c r="BH76" i="90"/>
  <c r="BC49" i="90"/>
  <c r="BC46" i="90"/>
  <c r="BC44" i="90"/>
  <c r="BC42" i="90"/>
  <c r="BC40" i="90"/>
  <c r="BC34" i="90"/>
  <c r="BC74" i="90"/>
  <c r="BC48" i="90"/>
  <c r="BC37" i="90"/>
  <c r="BC9" i="90"/>
  <c r="BC78" i="90"/>
  <c r="BC72" i="90"/>
  <c r="BC45" i="90"/>
  <c r="BC36" i="90"/>
  <c r="BC35" i="90"/>
  <c r="BC73" i="90"/>
  <c r="BC43" i="90"/>
  <c r="BC57" i="90"/>
  <c r="BC12" i="90"/>
  <c r="BC32" i="90"/>
  <c r="BC15" i="90"/>
  <c r="BC31" i="90"/>
  <c r="BC64" i="90"/>
  <c r="BC17" i="90"/>
  <c r="BC33" i="90"/>
  <c r="BC66" i="90"/>
  <c r="BC14" i="90"/>
  <c r="BC30" i="90"/>
  <c r="BC63" i="90"/>
  <c r="BC51" i="90"/>
  <c r="BC61" i="90"/>
  <c r="BC20" i="90"/>
  <c r="BC19" i="90"/>
  <c r="BC53" i="90"/>
  <c r="BC68" i="90"/>
  <c r="BC21" i="90"/>
  <c r="BC50" i="90"/>
  <c r="BC70" i="90"/>
  <c r="BC18" i="90"/>
  <c r="BC52" i="90"/>
  <c r="BC67" i="90"/>
  <c r="BC65" i="90"/>
  <c r="BC69" i="90"/>
  <c r="BC28" i="90"/>
  <c r="BC27" i="90"/>
  <c r="BC29" i="90"/>
  <c r="BC26" i="90"/>
  <c r="BC56" i="90"/>
  <c r="BC58" i="90"/>
  <c r="BC55" i="90"/>
  <c r="BC11" i="90"/>
  <c r="BC60" i="90"/>
  <c r="BC13" i="90"/>
  <c r="BC62" i="90"/>
  <c r="BC10" i="90"/>
  <c r="BC59" i="90"/>
  <c r="BC47" i="90"/>
  <c r="BC25" i="90"/>
  <c r="BC71" i="90"/>
  <c r="BC22" i="90"/>
  <c r="BC24" i="90"/>
  <c r="BC23" i="90"/>
  <c r="BC16" i="90"/>
  <c r="BC41" i="90"/>
  <c r="BC54" i="90"/>
  <c r="BC38" i="90"/>
  <c r="BC8" i="90"/>
  <c r="BC75" i="90"/>
  <c r="BC39" i="90"/>
  <c r="BC76" i="90"/>
  <c r="AX79" i="90"/>
  <c r="AX71" i="90"/>
  <c r="AX67" i="90"/>
  <c r="AX63" i="90"/>
  <c r="AX59" i="90"/>
  <c r="AX55" i="90"/>
  <c r="AX51" i="90"/>
  <c r="AX43" i="90"/>
  <c r="AX35" i="90"/>
  <c r="AX31" i="90"/>
  <c r="AX27" i="90"/>
  <c r="AX23" i="90"/>
  <c r="AX19" i="90"/>
  <c r="AX15" i="90"/>
  <c r="AX11" i="90"/>
  <c r="AX72" i="90"/>
  <c r="AX60" i="90"/>
  <c r="AX44" i="90"/>
  <c r="AX32" i="90"/>
  <c r="AX20" i="90"/>
  <c r="AX8" i="90"/>
  <c r="AX78" i="90"/>
  <c r="AX74" i="90"/>
  <c r="AX70" i="90"/>
  <c r="AX66" i="90"/>
  <c r="AX62" i="90"/>
  <c r="AX58" i="90"/>
  <c r="AX54" i="90"/>
  <c r="AX50" i="90"/>
  <c r="AX46" i="90"/>
  <c r="AX42" i="90"/>
  <c r="AX38" i="90"/>
  <c r="AX34" i="90"/>
  <c r="AX30" i="90"/>
  <c r="AX26" i="90"/>
  <c r="AX22" i="90"/>
  <c r="AX18" i="90"/>
  <c r="AX14" i="90"/>
  <c r="AX10" i="90"/>
  <c r="AX68" i="90"/>
  <c r="AX56" i="90"/>
  <c r="AX48" i="90"/>
  <c r="AX36" i="90"/>
  <c r="AX24" i="90"/>
  <c r="AX12" i="90"/>
  <c r="AX77" i="90"/>
  <c r="AX73" i="90"/>
  <c r="AX69" i="90"/>
  <c r="AX65" i="90"/>
  <c r="AX61" i="90"/>
  <c r="AX57" i="90"/>
  <c r="AX53" i="90"/>
  <c r="AX49" i="90"/>
  <c r="AX45" i="90"/>
  <c r="AX37" i="90"/>
  <c r="AX33" i="90"/>
  <c r="AX29" i="90"/>
  <c r="AX25" i="90"/>
  <c r="AX21" i="90"/>
  <c r="AX17" i="90"/>
  <c r="AX13" i="90"/>
  <c r="AX9" i="90"/>
  <c r="AX64" i="90"/>
  <c r="AX52" i="90"/>
  <c r="AX40" i="90"/>
  <c r="AX28" i="90"/>
  <c r="AX16" i="90"/>
  <c r="AX47" i="90"/>
  <c r="AU81" i="90"/>
  <c r="AU83" i="90" s="1"/>
  <c r="AU84" i="90" s="1"/>
  <c r="AU86" i="90" s="1"/>
  <c r="AU87" i="90" s="1"/>
  <c r="AX41" i="90"/>
  <c r="AW75" i="90"/>
  <c r="AX75" i="90" s="1"/>
  <c r="AW39" i="90"/>
  <c r="AX39" i="90" s="1"/>
  <c r="AL12" i="102"/>
  <c r="AW76" i="90" l="1"/>
  <c r="AX76" i="90" s="1"/>
  <c r="AW81" i="90"/>
  <c r="AW83" i="90" s="1"/>
  <c r="AW84" i="90" s="1"/>
  <c r="AW86" i="90" s="1"/>
  <c r="AW87" i="90" s="1"/>
  <c r="AK63" i="102"/>
  <c r="AK6" i="102" l="1"/>
  <c r="BJ6" i="102" s="1"/>
  <c r="BL99" i="102" s="1"/>
  <c r="Q6" i="108"/>
  <c r="AP6" i="108" s="1"/>
  <c r="AR6" i="108" l="1"/>
  <c r="AR5" i="108" s="1"/>
  <c r="AP5" i="108"/>
  <c r="AV79" i="95"/>
  <c r="AU79" i="95"/>
  <c r="AW79" i="95" s="1"/>
  <c r="AV78" i="95"/>
  <c r="AU78" i="95"/>
  <c r="AV71" i="95"/>
  <c r="AU71" i="95"/>
  <c r="AV70" i="95"/>
  <c r="AU70" i="95"/>
  <c r="AV69" i="95"/>
  <c r="AU69" i="95"/>
  <c r="AV68" i="95"/>
  <c r="AU68" i="95"/>
  <c r="AV67" i="95"/>
  <c r="AU67" i="95"/>
  <c r="AV66" i="95"/>
  <c r="AU66" i="95"/>
  <c r="AV65" i="95"/>
  <c r="AU65" i="95"/>
  <c r="AV64" i="95"/>
  <c r="AU64" i="95"/>
  <c r="AV62" i="95"/>
  <c r="AU62" i="95"/>
  <c r="AV61" i="95"/>
  <c r="AU61" i="95"/>
  <c r="AV60" i="95"/>
  <c r="AV59" i="95"/>
  <c r="AV57" i="95"/>
  <c r="AU57" i="95"/>
  <c r="AV56" i="95"/>
  <c r="AU56" i="95"/>
  <c r="AV55" i="95"/>
  <c r="AU55" i="95"/>
  <c r="AV52" i="95"/>
  <c r="AU52" i="95"/>
  <c r="AV51" i="95"/>
  <c r="AU51" i="95"/>
  <c r="AV33" i="95"/>
  <c r="AU33" i="95"/>
  <c r="AV48" i="95"/>
  <c r="AU48" i="95"/>
  <c r="AV47" i="95"/>
  <c r="AU47" i="95"/>
  <c r="AV46" i="95"/>
  <c r="AU46" i="95"/>
  <c r="AV45" i="95"/>
  <c r="AU45" i="95"/>
  <c r="AV44" i="95"/>
  <c r="AU44" i="95"/>
  <c r="AV43" i="95"/>
  <c r="AU43" i="95"/>
  <c r="AV42" i="95"/>
  <c r="AU42" i="95"/>
  <c r="AV32" i="95"/>
  <c r="AU32" i="95"/>
  <c r="AV30" i="95"/>
  <c r="AU30" i="95"/>
  <c r="AU29" i="95"/>
  <c r="AV28" i="95"/>
  <c r="AV27" i="95"/>
  <c r="AV26" i="95"/>
  <c r="AV25" i="95"/>
  <c r="AV24" i="95"/>
  <c r="AV23" i="95"/>
  <c r="AV22" i="95"/>
  <c r="AV21" i="95"/>
  <c r="AV20" i="95"/>
  <c r="AU20" i="95"/>
  <c r="AV19" i="95"/>
  <c r="AV18" i="95"/>
  <c r="AV17" i="95"/>
  <c r="AU17" i="95"/>
  <c r="AU16" i="95"/>
  <c r="AV15" i="95"/>
  <c r="AU15" i="95"/>
  <c r="AV14" i="95"/>
  <c r="AU14" i="95"/>
  <c r="AV13" i="95"/>
  <c r="AU13" i="95"/>
  <c r="AU12" i="95"/>
  <c r="AV11" i="95"/>
  <c r="AU11" i="95"/>
  <c r="AV10" i="95"/>
  <c r="AU10" i="95"/>
  <c r="AV9" i="95"/>
  <c r="AU9" i="95"/>
  <c r="AU7" i="95"/>
  <c r="AV7" i="95"/>
  <c r="AV6" i="95"/>
  <c r="AR85" i="95"/>
  <c r="AR82" i="95"/>
  <c r="AR78" i="95"/>
  <c r="AQ77" i="95"/>
  <c r="AP77" i="95"/>
  <c r="AR74" i="95"/>
  <c r="AR73" i="95" s="1"/>
  <c r="AQ73" i="95"/>
  <c r="AP73" i="95"/>
  <c r="AR71" i="95"/>
  <c r="AR70" i="95"/>
  <c r="AR69" i="95"/>
  <c r="AR68" i="95"/>
  <c r="AR67" i="95"/>
  <c r="AR66" i="95"/>
  <c r="AR65" i="95"/>
  <c r="AR64" i="95"/>
  <c r="AR63" i="95"/>
  <c r="AR62" i="95"/>
  <c r="AR61" i="95"/>
  <c r="AR60" i="95"/>
  <c r="AR59" i="95"/>
  <c r="AR58" i="95"/>
  <c r="AR57" i="95"/>
  <c r="AR56" i="95"/>
  <c r="AR55" i="95"/>
  <c r="AQ54" i="95"/>
  <c r="AP54" i="95"/>
  <c r="AR52" i="95"/>
  <c r="AR51" i="95"/>
  <c r="AQ50" i="95"/>
  <c r="AP50" i="95"/>
  <c r="AR48" i="95"/>
  <c r="AR47" i="95"/>
  <c r="AR46" i="95"/>
  <c r="AR45" i="95"/>
  <c r="AR44" i="95"/>
  <c r="AR43" i="95"/>
  <c r="AR42" i="95"/>
  <c r="AQ41" i="95"/>
  <c r="AP41" i="95"/>
  <c r="AR36" i="95"/>
  <c r="AR35" i="95" s="1"/>
  <c r="AQ35" i="95"/>
  <c r="AP35" i="95"/>
  <c r="AR33" i="95"/>
  <c r="AR32" i="95"/>
  <c r="AR31" i="95"/>
  <c r="AR30" i="95"/>
  <c r="AR29" i="95"/>
  <c r="AR28" i="95"/>
  <c r="AR27" i="95"/>
  <c r="AR26" i="95"/>
  <c r="AR25" i="95"/>
  <c r="AR24" i="95"/>
  <c r="AR23" i="95"/>
  <c r="AP8" i="95"/>
  <c r="AR21" i="95"/>
  <c r="AR20" i="95"/>
  <c r="AR19" i="95"/>
  <c r="AR18" i="95"/>
  <c r="AR17" i="95"/>
  <c r="AR16" i="95"/>
  <c r="AR15" i="95"/>
  <c r="AR14" i="95"/>
  <c r="AR13" i="95"/>
  <c r="AR12" i="95"/>
  <c r="AR11" i="95"/>
  <c r="AR10" i="95"/>
  <c r="AR9" i="95"/>
  <c r="AQ8" i="95"/>
  <c r="AR7" i="95"/>
  <c r="AR6" i="95"/>
  <c r="AR5" i="95" s="1"/>
  <c r="AQ5" i="95"/>
  <c r="AP5" i="95"/>
  <c r="BG22" i="91"/>
  <c r="BG23" i="91"/>
  <c r="BG24" i="91"/>
  <c r="AR85" i="86"/>
  <c r="AR82" i="86"/>
  <c r="AR78" i="86"/>
  <c r="AQ77" i="86"/>
  <c r="AP77" i="86"/>
  <c r="AR74" i="86"/>
  <c r="AR73" i="86" s="1"/>
  <c r="AQ73" i="86"/>
  <c r="AP73" i="86"/>
  <c r="AR71" i="86"/>
  <c r="AR70" i="86"/>
  <c r="AR69" i="86"/>
  <c r="AR68" i="86"/>
  <c r="AR67" i="86"/>
  <c r="AR66" i="86"/>
  <c r="AR65" i="86"/>
  <c r="AR64" i="86"/>
  <c r="AR63" i="86"/>
  <c r="AR62" i="86"/>
  <c r="AR61" i="86"/>
  <c r="AR60" i="86"/>
  <c r="AR59" i="86"/>
  <c r="AR58" i="86"/>
  <c r="AR57" i="86"/>
  <c r="AR56" i="86"/>
  <c r="AR55" i="86"/>
  <c r="AQ54" i="86"/>
  <c r="AP54" i="86"/>
  <c r="AR52" i="86"/>
  <c r="AR51" i="86"/>
  <c r="AQ50" i="86"/>
  <c r="AP50" i="86"/>
  <c r="AR48" i="86"/>
  <c r="AR47" i="86"/>
  <c r="AR46" i="86"/>
  <c r="AR45" i="86"/>
  <c r="AR44" i="86"/>
  <c r="AR43" i="86"/>
  <c r="AR42" i="86"/>
  <c r="AQ41" i="86"/>
  <c r="AP41" i="86"/>
  <c r="AR36" i="86"/>
  <c r="AR35" i="86" s="1"/>
  <c r="AQ35" i="86"/>
  <c r="AP35" i="86"/>
  <c r="AR33" i="86"/>
  <c r="AR32" i="86"/>
  <c r="AR31" i="86"/>
  <c r="AR30" i="86"/>
  <c r="AR29" i="86"/>
  <c r="AR28" i="86"/>
  <c r="AR27" i="86"/>
  <c r="AR26" i="86"/>
  <c r="AR25" i="86"/>
  <c r="AR24" i="86"/>
  <c r="AR21" i="86"/>
  <c r="AR20" i="86"/>
  <c r="AR19" i="86"/>
  <c r="AR18" i="86"/>
  <c r="AR17" i="86"/>
  <c r="AR16" i="86"/>
  <c r="AR15" i="86"/>
  <c r="AR14" i="86"/>
  <c r="AR13" i="86"/>
  <c r="AR12" i="86"/>
  <c r="AR11" i="86"/>
  <c r="AR10" i="86"/>
  <c r="AR9" i="86"/>
  <c r="AQ8" i="86"/>
  <c r="AP8" i="86"/>
  <c r="AR7" i="86"/>
  <c r="AR6" i="86"/>
  <c r="AR5" i="86" s="1"/>
  <c r="AQ5" i="86"/>
  <c r="AP5" i="86"/>
  <c r="AM85" i="99"/>
  <c r="AM82" i="99"/>
  <c r="AM78" i="99"/>
  <c r="AL77" i="99"/>
  <c r="AK77" i="99"/>
  <c r="AM74" i="99"/>
  <c r="AM73" i="99" s="1"/>
  <c r="AL73" i="99"/>
  <c r="AK73" i="99"/>
  <c r="AM71" i="99"/>
  <c r="AM70" i="99"/>
  <c r="AM69" i="99"/>
  <c r="AM68" i="99"/>
  <c r="AM67" i="99"/>
  <c r="AM66" i="99"/>
  <c r="AM65" i="99"/>
  <c r="AM64" i="99"/>
  <c r="AM63" i="99"/>
  <c r="AM62" i="99"/>
  <c r="AM61" i="99"/>
  <c r="AM60" i="99"/>
  <c r="AM59" i="99"/>
  <c r="AM58" i="99"/>
  <c r="AM57" i="99"/>
  <c r="AM56" i="99"/>
  <c r="AM55" i="99"/>
  <c r="AL54" i="99"/>
  <c r="AK54" i="99"/>
  <c r="AM52" i="99"/>
  <c r="AM51" i="99"/>
  <c r="AM50" i="99" s="1"/>
  <c r="AL50" i="99"/>
  <c r="AK50" i="99"/>
  <c r="AM48" i="99"/>
  <c r="AM47" i="99"/>
  <c r="AM46" i="99"/>
  <c r="AM45" i="99"/>
  <c r="AM44" i="99"/>
  <c r="AM43" i="99"/>
  <c r="AM42" i="99"/>
  <c r="AM41" i="99" s="1"/>
  <c r="AL41" i="99"/>
  <c r="AK41" i="99"/>
  <c r="AM36" i="99"/>
  <c r="AM35" i="99" s="1"/>
  <c r="AL35" i="99"/>
  <c r="AK35" i="99"/>
  <c r="AM33" i="99"/>
  <c r="AM32" i="99"/>
  <c r="AM31" i="99"/>
  <c r="AM30" i="99"/>
  <c r="AM29" i="99"/>
  <c r="AM28" i="99"/>
  <c r="AM27" i="99"/>
  <c r="AM26" i="99"/>
  <c r="AM25" i="99"/>
  <c r="AM24" i="99"/>
  <c r="AM23" i="99"/>
  <c r="AM22" i="99"/>
  <c r="AM21" i="99"/>
  <c r="AM20" i="99"/>
  <c r="AM19" i="99"/>
  <c r="AM18" i="99"/>
  <c r="AM17" i="99"/>
  <c r="AM16" i="99"/>
  <c r="AM15" i="99"/>
  <c r="AM14" i="99"/>
  <c r="AM13" i="99"/>
  <c r="AM12" i="99"/>
  <c r="AM11" i="99"/>
  <c r="AM10" i="99"/>
  <c r="AM9" i="99"/>
  <c r="AL8" i="99"/>
  <c r="AK8" i="99"/>
  <c r="AM7" i="99"/>
  <c r="AM6" i="99"/>
  <c r="AM5" i="99" s="1"/>
  <c r="AL5" i="99"/>
  <c r="AK5" i="99"/>
  <c r="AR85" i="87"/>
  <c r="AR82" i="87"/>
  <c r="AQ81" i="87"/>
  <c r="AQ83" i="87" s="1"/>
  <c r="AQ84" i="87" s="1"/>
  <c r="AP81" i="87"/>
  <c r="AP83" i="87" s="1"/>
  <c r="AP84" i="87" s="1"/>
  <c r="AR78" i="87"/>
  <c r="AR77" i="87" s="1"/>
  <c r="AR74" i="87"/>
  <c r="AR73" i="87" s="1"/>
  <c r="AR71" i="87"/>
  <c r="AR70" i="87"/>
  <c r="AR69" i="87"/>
  <c r="AR68" i="87"/>
  <c r="AR67" i="87"/>
  <c r="AR66" i="87"/>
  <c r="AR65" i="87"/>
  <c r="AR64" i="87"/>
  <c r="AR63" i="87"/>
  <c r="AR62" i="87"/>
  <c r="AR61" i="87"/>
  <c r="AR60" i="87"/>
  <c r="AR59" i="87"/>
  <c r="AR58" i="87"/>
  <c r="AR57" i="87"/>
  <c r="AR56" i="87"/>
  <c r="AR55" i="87"/>
  <c r="AR52" i="87"/>
  <c r="AR51" i="87"/>
  <c r="AR48" i="87"/>
  <c r="AR47" i="87"/>
  <c r="AR46" i="87"/>
  <c r="AR45" i="87"/>
  <c r="AR44" i="87"/>
  <c r="AR43" i="87"/>
  <c r="AR42" i="87"/>
  <c r="AR36" i="87"/>
  <c r="AR35" i="87" s="1"/>
  <c r="AR33" i="87"/>
  <c r="AR32" i="87"/>
  <c r="AR31" i="87"/>
  <c r="AR30" i="87"/>
  <c r="AR29" i="87"/>
  <c r="AR28" i="87"/>
  <c r="AR27" i="87"/>
  <c r="AR26" i="87"/>
  <c r="AR25" i="87"/>
  <c r="AR24" i="87"/>
  <c r="AR21" i="87"/>
  <c r="AR20" i="87"/>
  <c r="AR19" i="87"/>
  <c r="AR18" i="87"/>
  <c r="AR17" i="87"/>
  <c r="AR16" i="87"/>
  <c r="AR15" i="87"/>
  <c r="AR14" i="87"/>
  <c r="AR13" i="87"/>
  <c r="AR12" i="87"/>
  <c r="AR11" i="87"/>
  <c r="AR10" i="87"/>
  <c r="AR9" i="87"/>
  <c r="AR7" i="87"/>
  <c r="AR6" i="87"/>
  <c r="AR5" i="87" s="1"/>
  <c r="W5" i="107"/>
  <c r="V5" i="107"/>
  <c r="R5" i="108"/>
  <c r="Q5" i="108"/>
  <c r="BF5" i="91"/>
  <c r="BE5" i="91"/>
  <c r="AG5" i="91"/>
  <c r="AF5" i="91"/>
  <c r="AH85" i="91"/>
  <c r="AH82" i="91"/>
  <c r="AH78" i="91"/>
  <c r="AG77" i="91"/>
  <c r="AF77" i="91"/>
  <c r="AH74" i="91"/>
  <c r="AH73" i="91" s="1"/>
  <c r="AG73" i="91"/>
  <c r="AF73" i="91"/>
  <c r="AH71" i="91"/>
  <c r="AH70" i="91"/>
  <c r="AH69" i="91"/>
  <c r="AH68" i="91"/>
  <c r="AH67" i="91"/>
  <c r="AH66" i="91"/>
  <c r="AH65" i="91"/>
  <c r="AH64" i="91"/>
  <c r="AH63" i="91"/>
  <c r="AH62" i="91"/>
  <c r="AH61" i="91"/>
  <c r="AH60" i="91"/>
  <c r="AH59" i="91"/>
  <c r="AH58" i="91"/>
  <c r="AH57" i="91"/>
  <c r="AH56" i="91"/>
  <c r="AH55" i="91"/>
  <c r="AG54" i="91"/>
  <c r="AF54" i="91"/>
  <c r="AH52" i="91"/>
  <c r="AH51" i="91"/>
  <c r="AG50" i="91"/>
  <c r="AF50" i="91"/>
  <c r="AH48" i="91"/>
  <c r="AH47" i="91"/>
  <c r="AH46" i="91"/>
  <c r="AH45" i="91"/>
  <c r="AH44" i="91"/>
  <c r="AH43" i="91"/>
  <c r="AH42" i="91"/>
  <c r="AG41" i="91"/>
  <c r="AF41" i="91"/>
  <c r="AH36" i="91"/>
  <c r="AH35" i="91" s="1"/>
  <c r="AG35" i="91"/>
  <c r="AF35" i="91"/>
  <c r="AH33" i="91"/>
  <c r="AH32" i="91"/>
  <c r="AH31" i="91"/>
  <c r="AH30" i="91"/>
  <c r="AH29" i="91"/>
  <c r="AF8" i="91"/>
  <c r="AH27" i="91"/>
  <c r="AH18" i="91"/>
  <c r="AH17" i="91"/>
  <c r="AH16" i="91"/>
  <c r="AH15" i="91"/>
  <c r="AH14" i="91"/>
  <c r="AH13" i="91"/>
  <c r="AH12" i="91"/>
  <c r="AH11" i="91"/>
  <c r="AH10" i="91"/>
  <c r="AH9" i="91"/>
  <c r="AG8" i="91"/>
  <c r="AH7" i="91"/>
  <c r="AH6" i="91"/>
  <c r="AM47" i="102"/>
  <c r="BK5" i="102"/>
  <c r="BJ5" i="102"/>
  <c r="AL5" i="102"/>
  <c r="AK5" i="102"/>
  <c r="AM85" i="102"/>
  <c r="AM82" i="102"/>
  <c r="AM78" i="102"/>
  <c r="AL77" i="102"/>
  <c r="AK77" i="102"/>
  <c r="AM74" i="102"/>
  <c r="AM73" i="102" s="1"/>
  <c r="AL73" i="102"/>
  <c r="AK73" i="102"/>
  <c r="AM71" i="102"/>
  <c r="AM70" i="102"/>
  <c r="AM69" i="102"/>
  <c r="AM68" i="102"/>
  <c r="AM67" i="102"/>
  <c r="AM66" i="102"/>
  <c r="AL54" i="102"/>
  <c r="AM65" i="102"/>
  <c r="AM64" i="102"/>
  <c r="AM63" i="102"/>
  <c r="AM62" i="102"/>
  <c r="AM61" i="102"/>
  <c r="AM60" i="102"/>
  <c r="AM59" i="102"/>
  <c r="AM58" i="102"/>
  <c r="AM57" i="102"/>
  <c r="AM56" i="102"/>
  <c r="AM55" i="102"/>
  <c r="AK54" i="102"/>
  <c r="AM52" i="102"/>
  <c r="AM51" i="102"/>
  <c r="AL50" i="102"/>
  <c r="AK50" i="102"/>
  <c r="AM48" i="102"/>
  <c r="AM46" i="102"/>
  <c r="AM45" i="102"/>
  <c r="AM44" i="102"/>
  <c r="AM43" i="102"/>
  <c r="AM42" i="102"/>
  <c r="AL41" i="102"/>
  <c r="AK41" i="102"/>
  <c r="AM36" i="102"/>
  <c r="AM35" i="102" s="1"/>
  <c r="AL35" i="102"/>
  <c r="AK35" i="102"/>
  <c r="AM33" i="102"/>
  <c r="AM32" i="102"/>
  <c r="AM31" i="102"/>
  <c r="AM30" i="102"/>
  <c r="AM29" i="102"/>
  <c r="AM28" i="102"/>
  <c r="AM27" i="102"/>
  <c r="AM26" i="102"/>
  <c r="AM25" i="102"/>
  <c r="AM24" i="102"/>
  <c r="AM23" i="102"/>
  <c r="AK8" i="102"/>
  <c r="AM21" i="102"/>
  <c r="AM20" i="102"/>
  <c r="AM19" i="102"/>
  <c r="AM18" i="102"/>
  <c r="AM17" i="102"/>
  <c r="AM16" i="102"/>
  <c r="AM15" i="102"/>
  <c r="AM14" i="102"/>
  <c r="AM13" i="102"/>
  <c r="AM12" i="102"/>
  <c r="AM11" i="102"/>
  <c r="AM10" i="102"/>
  <c r="AM9" i="102"/>
  <c r="AL8" i="102"/>
  <c r="AM7" i="102"/>
  <c r="AM6" i="102"/>
  <c r="AM5" i="102" l="1"/>
  <c r="AR50" i="86"/>
  <c r="AR79" i="86"/>
  <c r="AR77" i="86" s="1"/>
  <c r="AR50" i="95"/>
  <c r="AR41" i="86"/>
  <c r="AR8" i="86"/>
  <c r="AR38" i="86" s="1"/>
  <c r="AM54" i="99"/>
  <c r="BA5" i="86"/>
  <c r="AR54" i="87"/>
  <c r="AR54" i="86"/>
  <c r="AR50" i="87"/>
  <c r="AP38" i="86"/>
  <c r="AP75" i="86" s="1"/>
  <c r="AP76" i="86" s="1"/>
  <c r="BB7" i="86"/>
  <c r="AR8" i="87"/>
  <c r="AR41" i="87"/>
  <c r="AH5" i="91"/>
  <c r="AH41" i="91"/>
  <c r="AR54" i="95"/>
  <c r="AP38" i="95"/>
  <c r="AP75" i="95" s="1"/>
  <c r="AR41" i="95"/>
  <c r="AR79" i="95"/>
  <c r="AR77" i="95" s="1"/>
  <c r="AQ38" i="95"/>
  <c r="AQ75" i="95" s="1"/>
  <c r="AR22" i="95"/>
  <c r="AQ38" i="86"/>
  <c r="AM8" i="99"/>
  <c r="AK38" i="99"/>
  <c r="AK75" i="99" s="1"/>
  <c r="AL38" i="99"/>
  <c r="AG38" i="91"/>
  <c r="AG75" i="91" s="1"/>
  <c r="AF38" i="91"/>
  <c r="AH50" i="91"/>
  <c r="AH54" i="91"/>
  <c r="AH28" i="91"/>
  <c r="AH8" i="91" s="1"/>
  <c r="AM41" i="102"/>
  <c r="AK38" i="102"/>
  <c r="AK39" i="102" s="1"/>
  <c r="AL38" i="102"/>
  <c r="AL75" i="102" s="1"/>
  <c r="AM54" i="102"/>
  <c r="AM50" i="102"/>
  <c r="AM22" i="102"/>
  <c r="AQ54" i="90"/>
  <c r="AP54" i="90"/>
  <c r="AR53" i="90"/>
  <c r="AR52" i="90"/>
  <c r="AR51" i="90"/>
  <c r="AQ50" i="90"/>
  <c r="AP50" i="90"/>
  <c r="AQ41" i="90"/>
  <c r="AP41" i="90"/>
  <c r="AQ8" i="90"/>
  <c r="AP8" i="90"/>
  <c r="AR85" i="90"/>
  <c r="AR82" i="90"/>
  <c r="AQ77" i="90"/>
  <c r="AP77" i="90"/>
  <c r="AR71" i="90"/>
  <c r="AR70" i="90"/>
  <c r="AR69" i="90"/>
  <c r="AR68" i="90"/>
  <c r="AR67" i="90"/>
  <c r="AR66" i="90"/>
  <c r="AR65" i="90"/>
  <c r="AR64" i="90"/>
  <c r="AR63" i="90"/>
  <c r="AR62" i="90"/>
  <c r="AR61" i="90"/>
  <c r="AR60" i="90"/>
  <c r="AR59" i="90"/>
  <c r="AR58" i="90"/>
  <c r="AR57" i="90"/>
  <c r="AR56" i="90"/>
  <c r="AR55" i="90"/>
  <c r="AR48" i="90"/>
  <c r="AR47" i="90"/>
  <c r="AR46" i="90"/>
  <c r="AR45" i="90"/>
  <c r="AR44" i="90"/>
  <c r="AR43" i="90"/>
  <c r="AR42" i="90"/>
  <c r="AR11" i="90"/>
  <c r="AR12" i="90"/>
  <c r="AR13" i="90"/>
  <c r="AR14" i="90"/>
  <c r="AR15" i="90"/>
  <c r="AR16" i="90"/>
  <c r="AR17" i="90"/>
  <c r="AR18" i="90"/>
  <c r="AR19" i="90"/>
  <c r="AR20" i="90"/>
  <c r="AR21" i="90"/>
  <c r="AR22" i="90"/>
  <c r="AR23" i="90"/>
  <c r="AR24" i="90"/>
  <c r="AR25" i="90"/>
  <c r="AR26" i="90"/>
  <c r="AR27" i="90"/>
  <c r="AR28" i="90"/>
  <c r="AR29" i="90"/>
  <c r="AR30" i="90"/>
  <c r="AR31" i="90"/>
  <c r="AR32" i="90"/>
  <c r="AR33" i="90"/>
  <c r="AR10" i="90"/>
  <c r="AR9" i="90"/>
  <c r="AP5" i="90"/>
  <c r="AQ5" i="90"/>
  <c r="AR6" i="90"/>
  <c r="AR5" i="90" s="1"/>
  <c r="AP5" i="96"/>
  <c r="AR85" i="96"/>
  <c r="AR82" i="96"/>
  <c r="AR78" i="96"/>
  <c r="AQ77" i="96"/>
  <c r="AP77" i="96"/>
  <c r="AR74" i="96"/>
  <c r="AR73" i="96" s="1"/>
  <c r="AQ73" i="96"/>
  <c r="AP73" i="96"/>
  <c r="AR71" i="96"/>
  <c r="AR70" i="96"/>
  <c r="AR69" i="96"/>
  <c r="AR68" i="96"/>
  <c r="AR67" i="96"/>
  <c r="AR66" i="96"/>
  <c r="AR65" i="96"/>
  <c r="AR64" i="96"/>
  <c r="AR63" i="96"/>
  <c r="AR62" i="96"/>
  <c r="AR61" i="96"/>
  <c r="AR60" i="96"/>
  <c r="AR59" i="96"/>
  <c r="AR58" i="96"/>
  <c r="AQ54" i="96"/>
  <c r="AR57" i="96"/>
  <c r="AR56" i="96"/>
  <c r="AR55" i="96"/>
  <c r="AP54" i="96"/>
  <c r="AR52" i="96"/>
  <c r="AR51" i="96"/>
  <c r="AQ50" i="96"/>
  <c r="AP50" i="96"/>
  <c r="AR48" i="96"/>
  <c r="AR47" i="96"/>
  <c r="AR46" i="96"/>
  <c r="AR45" i="96"/>
  <c r="AR44" i="96"/>
  <c r="AR43" i="96"/>
  <c r="AR42" i="96"/>
  <c r="AQ41" i="96"/>
  <c r="AP41" i="96"/>
  <c r="AR36" i="96"/>
  <c r="AR35" i="96" s="1"/>
  <c r="AQ35" i="96"/>
  <c r="AP35" i="96"/>
  <c r="AR33" i="96"/>
  <c r="AR32" i="96"/>
  <c r="AR31" i="96"/>
  <c r="AR30" i="96"/>
  <c r="AR29" i="96"/>
  <c r="AR28" i="96"/>
  <c r="AR27" i="96"/>
  <c r="AR26" i="96"/>
  <c r="AR25" i="96"/>
  <c r="AR24" i="96"/>
  <c r="AR23" i="96"/>
  <c r="AQ8" i="96"/>
  <c r="AR21" i="96"/>
  <c r="AR20" i="96"/>
  <c r="AR19" i="96"/>
  <c r="AR18" i="96"/>
  <c r="AR17" i="96"/>
  <c r="AR16" i="96"/>
  <c r="AR15" i="96"/>
  <c r="AR14" i="96"/>
  <c r="AR13" i="96"/>
  <c r="AR12" i="96"/>
  <c r="AR11" i="96"/>
  <c r="AR10" i="96"/>
  <c r="AR9" i="96"/>
  <c r="AP8" i="96"/>
  <c r="AR7" i="96"/>
  <c r="AR6" i="96"/>
  <c r="AQ5" i="96"/>
  <c r="AP39" i="95" l="1"/>
  <c r="AR89" i="86"/>
  <c r="AR93" i="86" s="1"/>
  <c r="AP38" i="96"/>
  <c r="AR41" i="96"/>
  <c r="AR5" i="96"/>
  <c r="AR89" i="87"/>
  <c r="AR50" i="90"/>
  <c r="AR38" i="87"/>
  <c r="AR75" i="87" s="1"/>
  <c r="AP81" i="86"/>
  <c r="AP83" i="86" s="1"/>
  <c r="AP84" i="86" s="1"/>
  <c r="AP86" i="86" s="1"/>
  <c r="AP87" i="86" s="1"/>
  <c r="AP39" i="86"/>
  <c r="AR41" i="90"/>
  <c r="AQ39" i="95"/>
  <c r="AM38" i="99"/>
  <c r="AG39" i="91"/>
  <c r="AP38" i="90"/>
  <c r="AP39" i="90" s="1"/>
  <c r="AQ38" i="90"/>
  <c r="AQ39" i="90" s="1"/>
  <c r="AR54" i="90"/>
  <c r="AR50" i="96"/>
  <c r="AR54" i="96"/>
  <c r="AK39" i="99"/>
  <c r="AR8" i="95"/>
  <c r="AQ81" i="95"/>
  <c r="AQ83" i="95" s="1"/>
  <c r="AQ84" i="95" s="1"/>
  <c r="AQ86" i="95" s="1"/>
  <c r="AQ87" i="95" s="1"/>
  <c r="AQ76" i="95"/>
  <c r="AP81" i="95"/>
  <c r="AP83" i="95" s="1"/>
  <c r="AP84" i="95" s="1"/>
  <c r="AP86" i="95" s="1"/>
  <c r="AP87" i="95" s="1"/>
  <c r="AP76" i="95"/>
  <c r="AR75" i="86"/>
  <c r="AR39" i="86"/>
  <c r="AQ39" i="86"/>
  <c r="AQ75" i="86"/>
  <c r="AL75" i="99"/>
  <c r="AL39" i="99"/>
  <c r="AM75" i="99"/>
  <c r="AM39" i="99"/>
  <c r="AK81" i="99"/>
  <c r="AK83" i="99" s="1"/>
  <c r="AK84" i="99" s="1"/>
  <c r="AK86" i="99" s="1"/>
  <c r="AK87" i="99" s="1"/>
  <c r="AK76" i="99"/>
  <c r="AF75" i="91"/>
  <c r="AF39" i="91"/>
  <c r="AG81" i="91"/>
  <c r="AG83" i="91" s="1"/>
  <c r="AG84" i="91" s="1"/>
  <c r="AG86" i="91" s="1"/>
  <c r="AG87" i="91" s="1"/>
  <c r="AG76" i="91"/>
  <c r="AK75" i="102"/>
  <c r="AK81" i="102" s="1"/>
  <c r="AK83" i="102" s="1"/>
  <c r="AK84" i="102" s="1"/>
  <c r="AK86" i="102" s="1"/>
  <c r="AK87" i="102" s="1"/>
  <c r="AL39" i="102"/>
  <c r="AL81" i="102"/>
  <c r="AL83" i="102" s="1"/>
  <c r="AL84" i="102" s="1"/>
  <c r="AL86" i="102" s="1"/>
  <c r="AL87" i="102" s="1"/>
  <c r="AL76" i="102"/>
  <c r="AM8" i="102"/>
  <c r="AR8" i="90"/>
  <c r="AR38" i="90" s="1"/>
  <c r="AR39" i="90" s="1"/>
  <c r="AQ38" i="96"/>
  <c r="AQ39" i="96" s="1"/>
  <c r="AP39" i="96"/>
  <c r="AP75" i="96"/>
  <c r="AR22" i="96"/>
  <c r="AR39" i="87" l="1"/>
  <c r="AQ75" i="90"/>
  <c r="AQ76" i="90" s="1"/>
  <c r="AP75" i="90"/>
  <c r="AR75" i="90"/>
  <c r="AQ75" i="96"/>
  <c r="AQ81" i="96" s="1"/>
  <c r="AQ83" i="96" s="1"/>
  <c r="AQ84" i="96" s="1"/>
  <c r="AQ86" i="96" s="1"/>
  <c r="AQ87" i="96" s="1"/>
  <c r="AK76" i="102"/>
  <c r="AR89" i="95"/>
  <c r="AR38" i="95"/>
  <c r="AQ76" i="86"/>
  <c r="AQ81" i="86"/>
  <c r="AQ83" i="86" s="1"/>
  <c r="AQ84" i="86" s="1"/>
  <c r="AQ86" i="86" s="1"/>
  <c r="AQ87" i="86" s="1"/>
  <c r="AR81" i="86"/>
  <c r="AR83" i="86" s="1"/>
  <c r="AR84" i="86" s="1"/>
  <c r="AR86" i="86" s="1"/>
  <c r="AR87" i="86" s="1"/>
  <c r="AR76" i="86"/>
  <c r="AM76" i="99"/>
  <c r="AL81" i="99"/>
  <c r="AL83" i="99" s="1"/>
  <c r="AL84" i="99" s="1"/>
  <c r="AL86" i="99" s="1"/>
  <c r="AL87" i="99" s="1"/>
  <c r="AL76" i="99"/>
  <c r="AR76" i="87"/>
  <c r="AR81" i="87"/>
  <c r="AR83" i="87" s="1"/>
  <c r="AR84" i="87" s="1"/>
  <c r="AR86" i="87" s="1"/>
  <c r="AR87" i="87" s="1"/>
  <c r="AH38" i="91"/>
  <c r="AF81" i="91"/>
  <c r="AF83" i="91" s="1"/>
  <c r="AF84" i="91" s="1"/>
  <c r="AF86" i="91" s="1"/>
  <c r="AF87" i="91" s="1"/>
  <c r="AF76" i="91"/>
  <c r="AM38" i="102"/>
  <c r="AP81" i="96"/>
  <c r="AP83" i="96" s="1"/>
  <c r="AP84" i="96" s="1"/>
  <c r="AP86" i="96" s="1"/>
  <c r="AP87" i="96" s="1"/>
  <c r="AP76" i="96"/>
  <c r="AR8" i="96"/>
  <c r="AQ81" i="90" l="1"/>
  <c r="AQ83" i="90" s="1"/>
  <c r="AQ84" i="90" s="1"/>
  <c r="AQ86" i="90" s="1"/>
  <c r="AQ87" i="90" s="1"/>
  <c r="AQ76" i="96"/>
  <c r="AP76" i="90"/>
  <c r="AP81" i="90"/>
  <c r="AP83" i="90" s="1"/>
  <c r="AP84" i="90" s="1"/>
  <c r="AP86" i="90" s="1"/>
  <c r="AP87" i="90" s="1"/>
  <c r="AR76" i="90"/>
  <c r="AR92" i="95"/>
  <c r="AR39" i="95"/>
  <c r="AR75" i="95"/>
  <c r="AH39" i="91"/>
  <c r="AH75" i="91"/>
  <c r="AM75" i="102"/>
  <c r="AM39" i="102"/>
  <c r="AR38" i="96"/>
  <c r="AR81" i="95" l="1"/>
  <c r="AR83" i="95" s="1"/>
  <c r="AR84" i="95" s="1"/>
  <c r="AR86" i="95" s="1"/>
  <c r="AR87" i="95" s="1"/>
  <c r="AR76" i="95"/>
  <c r="AH76" i="91"/>
  <c r="AM76" i="102"/>
  <c r="AR39" i="96"/>
  <c r="AR75" i="96"/>
  <c r="AR76" i="96" l="1"/>
  <c r="AF28" i="102"/>
  <c r="AK28" i="95"/>
  <c r="AK26" i="90"/>
  <c r="AK26" i="95"/>
  <c r="AK22" i="95" l="1"/>
  <c r="AF20" i="99" l="1"/>
  <c r="AM97" i="96" l="1"/>
  <c r="AK26" i="96"/>
  <c r="AK27" i="96"/>
  <c r="AB16" i="91" l="1"/>
  <c r="BF16" i="91" s="1"/>
  <c r="AL16" i="90" l="1"/>
  <c r="AG16" i="102"/>
  <c r="AB16" i="102"/>
  <c r="AL12" i="96" l="1"/>
  <c r="AG12" i="102" l="1"/>
  <c r="AF63" i="102" l="1"/>
  <c r="L18" i="108" l="1"/>
  <c r="AP18" i="108" s="1"/>
  <c r="AR18" i="108" l="1"/>
  <c r="AR8" i="108" s="1"/>
  <c r="AR38" i="108" s="1"/>
  <c r="AP8" i="108"/>
  <c r="AP38" i="108" s="1"/>
  <c r="AA26" i="91"/>
  <c r="AL12" i="90"/>
  <c r="AP75" i="108" l="1"/>
  <c r="AP39" i="108"/>
  <c r="AR75" i="108"/>
  <c r="AR76" i="108" s="1"/>
  <c r="AR39" i="108"/>
  <c r="AF18" i="102"/>
  <c r="AF27" i="102"/>
  <c r="BJ27" i="102" s="1"/>
  <c r="AF22" i="102"/>
  <c r="AF24" i="102"/>
  <c r="AG47" i="102"/>
  <c r="AG31" i="102"/>
  <c r="AF29" i="102"/>
  <c r="BJ29" i="102" s="1"/>
  <c r="AG65" i="102"/>
  <c r="AF65" i="102"/>
  <c r="AP76" i="108" l="1"/>
  <c r="AP81" i="108"/>
  <c r="AP83" i="108" s="1"/>
  <c r="AK28" i="90"/>
  <c r="AA28" i="91"/>
  <c r="BE28" i="91" s="1"/>
  <c r="AK25" i="95"/>
  <c r="AK25" i="90"/>
  <c r="AF25" i="102"/>
  <c r="AL58" i="96" l="1"/>
  <c r="AK28" i="96" l="1"/>
  <c r="AK18" i="96"/>
  <c r="AK25" i="96"/>
  <c r="AA26" i="96" l="1"/>
  <c r="AF26" i="96"/>
  <c r="AL63" i="96" l="1"/>
  <c r="BP63" i="96" s="1"/>
  <c r="AL31" i="96"/>
  <c r="AL22" i="96"/>
  <c r="BP22" i="96" s="1"/>
  <c r="AM85" i="86" l="1"/>
  <c r="AM82" i="86"/>
  <c r="AM78" i="86"/>
  <c r="AL77" i="86"/>
  <c r="AK77" i="86"/>
  <c r="AM74" i="86"/>
  <c r="AM73" i="86" s="1"/>
  <c r="AL73" i="86"/>
  <c r="AK73" i="86"/>
  <c r="AM71" i="86"/>
  <c r="AM70" i="86"/>
  <c r="AM69" i="86"/>
  <c r="AM68" i="86"/>
  <c r="AM67" i="86"/>
  <c r="AM66" i="86"/>
  <c r="AM65" i="86"/>
  <c r="AM64" i="86"/>
  <c r="AM63" i="86"/>
  <c r="AM62" i="86"/>
  <c r="AM61" i="86"/>
  <c r="AM60" i="86"/>
  <c r="AM59" i="86"/>
  <c r="AM58" i="86"/>
  <c r="AM57" i="86"/>
  <c r="AM56" i="86"/>
  <c r="AM55" i="86"/>
  <c r="AL54" i="86"/>
  <c r="AK54" i="86"/>
  <c r="AM52" i="86"/>
  <c r="AM51" i="86"/>
  <c r="AL50" i="86"/>
  <c r="AK50" i="86"/>
  <c r="AM48" i="86"/>
  <c r="AM47" i="86"/>
  <c r="AM46" i="86"/>
  <c r="AM45" i="86"/>
  <c r="AM44" i="86"/>
  <c r="AM43" i="86"/>
  <c r="AM42" i="86"/>
  <c r="AL41" i="86"/>
  <c r="AK41" i="86"/>
  <c r="AM36" i="86"/>
  <c r="AM35" i="86" s="1"/>
  <c r="AL35" i="86"/>
  <c r="AK35" i="86"/>
  <c r="AM33" i="86"/>
  <c r="AM32" i="86"/>
  <c r="AM31" i="86"/>
  <c r="AM30" i="86"/>
  <c r="AM29" i="86"/>
  <c r="AM28" i="86"/>
  <c r="AM27" i="86"/>
  <c r="AM26" i="86"/>
  <c r="AM25" i="86"/>
  <c r="AM24" i="86"/>
  <c r="AM21" i="86"/>
  <c r="AM20" i="86"/>
  <c r="AM19" i="86"/>
  <c r="AM18" i="86"/>
  <c r="AM17" i="86"/>
  <c r="AM16" i="86"/>
  <c r="AM15" i="86"/>
  <c r="AM14" i="86"/>
  <c r="AM13" i="86"/>
  <c r="AM12" i="86"/>
  <c r="AM11" i="86"/>
  <c r="AM10" i="86"/>
  <c r="AM9" i="86"/>
  <c r="AL8" i="86"/>
  <c r="AK8" i="86"/>
  <c r="AM7" i="86"/>
  <c r="AM6" i="86"/>
  <c r="AM5" i="86" s="1"/>
  <c r="AL5" i="86"/>
  <c r="AK5" i="86"/>
  <c r="AK38" i="86" s="1"/>
  <c r="AH85" i="99"/>
  <c r="AH82" i="99"/>
  <c r="AH78" i="99"/>
  <c r="AG77" i="99"/>
  <c r="AF77" i="99"/>
  <c r="AH74" i="99"/>
  <c r="AH73" i="99" s="1"/>
  <c r="AG73" i="99"/>
  <c r="AF73" i="99"/>
  <c r="AH71" i="99"/>
  <c r="AH70" i="99"/>
  <c r="AH69" i="99"/>
  <c r="AH68" i="99"/>
  <c r="AH67" i="99"/>
  <c r="AH66" i="99"/>
  <c r="AH65" i="99"/>
  <c r="AH64" i="99"/>
  <c r="AH63" i="99"/>
  <c r="AH62" i="99"/>
  <c r="AH61" i="99"/>
  <c r="AH60" i="99"/>
  <c r="AH59" i="99"/>
  <c r="AH58" i="99"/>
  <c r="AH57" i="99"/>
  <c r="AH56" i="99"/>
  <c r="AH55" i="99"/>
  <c r="AG54" i="99"/>
  <c r="AF54" i="99"/>
  <c r="AH52" i="99"/>
  <c r="AH51" i="99"/>
  <c r="AG50" i="99"/>
  <c r="AF50" i="99"/>
  <c r="AH48" i="99"/>
  <c r="AH47" i="99"/>
  <c r="AH46" i="99"/>
  <c r="AH45" i="99"/>
  <c r="AH44" i="99"/>
  <c r="AH43" i="99"/>
  <c r="AH42" i="99"/>
  <c r="AG41" i="99"/>
  <c r="AF41" i="99"/>
  <c r="AH36" i="99"/>
  <c r="AH35" i="99" s="1"/>
  <c r="AG35" i="99"/>
  <c r="AF35" i="99"/>
  <c r="AH33" i="99"/>
  <c r="AH32" i="99"/>
  <c r="AH31" i="99"/>
  <c r="AH30" i="99"/>
  <c r="AH29" i="99"/>
  <c r="AH28" i="99"/>
  <c r="AH27" i="99"/>
  <c r="AH26" i="99"/>
  <c r="AH25" i="99"/>
  <c r="AH24" i="99"/>
  <c r="AH23" i="99"/>
  <c r="AH22" i="99"/>
  <c r="AH21" i="99"/>
  <c r="AH20" i="99"/>
  <c r="AH19" i="99"/>
  <c r="AH18" i="99"/>
  <c r="AH17" i="99"/>
  <c r="AH16" i="99"/>
  <c r="AH15" i="99"/>
  <c r="AH14" i="99"/>
  <c r="AH13" i="99"/>
  <c r="AH12" i="99"/>
  <c r="AH11" i="99"/>
  <c r="AH10" i="99"/>
  <c r="AH9" i="99"/>
  <c r="AG8" i="99"/>
  <c r="AF8" i="99"/>
  <c r="AH7" i="99"/>
  <c r="AH6" i="99"/>
  <c r="AH5" i="99" s="1"/>
  <c r="AG5" i="99"/>
  <c r="AF5" i="99"/>
  <c r="AF38" i="99" s="1"/>
  <c r="BK53" i="87"/>
  <c r="BJ53" i="87"/>
  <c r="AM85" i="87"/>
  <c r="AM82" i="87"/>
  <c r="AL81" i="87"/>
  <c r="AL83" i="87" s="1"/>
  <c r="AL84" i="87" s="1"/>
  <c r="AK81" i="87"/>
  <c r="AK83" i="87" s="1"/>
  <c r="AK84" i="87" s="1"/>
  <c r="AM78" i="87"/>
  <c r="AM77" i="87" s="1"/>
  <c r="AM74" i="87"/>
  <c r="AM73" i="87" s="1"/>
  <c r="AM71" i="87"/>
  <c r="AM70" i="87"/>
  <c r="AM69" i="87"/>
  <c r="AM68" i="87"/>
  <c r="AM67" i="87"/>
  <c r="AM66" i="87"/>
  <c r="AM65" i="87"/>
  <c r="AM64" i="87"/>
  <c r="AM63" i="87"/>
  <c r="AM62" i="87"/>
  <c r="AM61" i="87"/>
  <c r="AM60" i="87"/>
  <c r="AM59" i="87"/>
  <c r="AM58" i="87"/>
  <c r="AM57" i="87"/>
  <c r="AM56" i="87"/>
  <c r="AM55" i="87"/>
  <c r="AM52" i="87"/>
  <c r="AM51" i="87"/>
  <c r="AM48" i="87"/>
  <c r="AM47" i="87"/>
  <c r="AM46" i="87"/>
  <c r="AM45" i="87"/>
  <c r="AM44" i="87"/>
  <c r="AM43" i="87"/>
  <c r="AM42" i="87"/>
  <c r="AM36" i="87"/>
  <c r="AM35" i="87" s="1"/>
  <c r="AM33" i="87"/>
  <c r="AM32" i="87"/>
  <c r="AM31" i="87"/>
  <c r="AM30" i="87"/>
  <c r="AM29" i="87"/>
  <c r="AM28" i="87"/>
  <c r="AM27" i="87"/>
  <c r="AM26" i="87"/>
  <c r="AM25" i="87"/>
  <c r="AM24" i="87"/>
  <c r="AM21" i="87"/>
  <c r="AM20" i="87"/>
  <c r="AM19" i="87"/>
  <c r="AM18" i="87"/>
  <c r="AM17" i="87"/>
  <c r="AM16" i="87"/>
  <c r="AM15" i="87"/>
  <c r="AM14" i="87"/>
  <c r="AM13" i="87"/>
  <c r="AM12" i="87"/>
  <c r="AM11" i="87"/>
  <c r="AM10" i="87"/>
  <c r="AM9" i="87"/>
  <c r="AM7" i="87"/>
  <c r="AM6" i="87"/>
  <c r="AM5" i="87" s="1"/>
  <c r="AG38" i="99" l="1"/>
  <c r="AH79" i="99"/>
  <c r="AH77" i="99" s="1"/>
  <c r="AH50" i="99"/>
  <c r="AM8" i="87"/>
  <c r="AM41" i="87"/>
  <c r="AM50" i="87"/>
  <c r="AM50" i="86"/>
  <c r="AM54" i="86"/>
  <c r="AM41" i="86"/>
  <c r="AL38" i="86"/>
  <c r="AL75" i="86" s="1"/>
  <c r="AL76" i="86" s="1"/>
  <c r="AH8" i="99"/>
  <c r="AH38" i="99" s="1"/>
  <c r="AM8" i="86"/>
  <c r="AM38" i="86" s="1"/>
  <c r="AM79" i="86"/>
  <c r="AK75" i="86"/>
  <c r="AK39" i="86"/>
  <c r="AH41" i="99"/>
  <c r="AG75" i="99"/>
  <c r="AG39" i="99"/>
  <c r="AF39" i="99"/>
  <c r="AF75" i="99"/>
  <c r="AH54" i="99"/>
  <c r="AM54" i="87"/>
  <c r="AM38" i="87"/>
  <c r="AC85" i="91"/>
  <c r="AC82" i="91"/>
  <c r="AC78" i="91"/>
  <c r="AB77" i="91"/>
  <c r="AA77" i="91"/>
  <c r="AC74" i="91"/>
  <c r="AC73" i="91" s="1"/>
  <c r="AB73" i="91"/>
  <c r="AA73" i="91"/>
  <c r="AC71" i="91"/>
  <c r="AC70" i="91"/>
  <c r="AC69" i="91"/>
  <c r="AC68" i="91"/>
  <c r="AC67" i="91"/>
  <c r="AC66" i="91"/>
  <c r="AC65" i="91"/>
  <c r="AC64" i="91"/>
  <c r="AC63" i="91"/>
  <c r="AC62" i="91"/>
  <c r="AC61" i="91"/>
  <c r="AC60" i="91"/>
  <c r="AC59" i="91"/>
  <c r="AC58" i="91"/>
  <c r="AC57" i="91"/>
  <c r="AC56" i="91"/>
  <c r="AC55" i="91"/>
  <c r="AB54" i="91"/>
  <c r="AA54" i="91"/>
  <c r="AC52" i="91"/>
  <c r="AC51" i="91"/>
  <c r="AB50" i="91"/>
  <c r="AA50" i="91"/>
  <c r="AC48" i="91"/>
  <c r="AC47" i="91"/>
  <c r="AC46" i="91"/>
  <c r="AC45" i="91"/>
  <c r="AC44" i="91"/>
  <c r="AC43" i="91"/>
  <c r="AC42" i="91"/>
  <c r="AB41" i="91"/>
  <c r="AA41" i="91"/>
  <c r="AC36" i="91"/>
  <c r="AC35" i="91" s="1"/>
  <c r="AB35" i="91"/>
  <c r="AA35" i="91"/>
  <c r="AC33" i="91"/>
  <c r="AC32" i="91"/>
  <c r="AC31" i="91"/>
  <c r="AC30" i="91"/>
  <c r="AC29" i="91"/>
  <c r="AC28" i="91"/>
  <c r="AC27" i="91"/>
  <c r="AC26" i="91"/>
  <c r="AC25" i="91"/>
  <c r="AC24" i="91"/>
  <c r="AC21" i="91"/>
  <c r="AC20" i="91"/>
  <c r="AC19" i="91"/>
  <c r="AC18" i="91"/>
  <c r="AC17" i="91"/>
  <c r="AC16" i="91"/>
  <c r="AC15" i="91"/>
  <c r="AC14" i="91"/>
  <c r="AC13" i="91"/>
  <c r="AC12" i="91"/>
  <c r="AC11" i="91"/>
  <c r="AC10" i="91"/>
  <c r="AC9" i="91"/>
  <c r="AB8" i="91"/>
  <c r="AA8" i="91"/>
  <c r="AC7" i="91"/>
  <c r="AC6" i="91"/>
  <c r="AC5" i="91" s="1"/>
  <c r="AB5" i="91"/>
  <c r="AA5" i="91"/>
  <c r="AH85" i="102"/>
  <c r="AH82" i="102"/>
  <c r="AH78" i="102"/>
  <c r="AG77" i="102"/>
  <c r="AF77" i="102"/>
  <c r="AH74" i="102"/>
  <c r="AH73" i="102" s="1"/>
  <c r="AG73" i="102"/>
  <c r="AF73" i="102"/>
  <c r="AH71" i="102"/>
  <c r="AH70" i="102"/>
  <c r="AF54" i="102"/>
  <c r="AH68" i="102"/>
  <c r="AH67" i="102"/>
  <c r="AH66" i="102"/>
  <c r="AH65" i="102"/>
  <c r="AH64" i="102"/>
  <c r="AH63" i="102"/>
  <c r="AH62" i="102"/>
  <c r="AH61" i="102"/>
  <c r="AH60" i="102"/>
  <c r="AH59" i="102"/>
  <c r="AH58" i="102"/>
  <c r="AH57" i="102"/>
  <c r="AH56" i="102"/>
  <c r="AH55" i="102"/>
  <c r="AG54" i="102"/>
  <c r="AH52" i="102"/>
  <c r="AH51" i="102"/>
  <c r="AG50" i="102"/>
  <c r="AF50" i="102"/>
  <c r="AH48" i="102"/>
  <c r="AH47" i="102"/>
  <c r="AH46" i="102"/>
  <c r="AH45" i="102"/>
  <c r="AH44" i="102"/>
  <c r="AH43" i="102"/>
  <c r="AH42" i="102"/>
  <c r="AG41" i="102"/>
  <c r="AF41" i="102"/>
  <c r="AH36" i="102"/>
  <c r="AH35" i="102" s="1"/>
  <c r="AG35" i="102"/>
  <c r="AF35" i="102"/>
  <c r="AH33" i="102"/>
  <c r="AH32" i="102"/>
  <c r="AH31" i="102"/>
  <c r="AH30" i="102"/>
  <c r="AH29" i="102"/>
  <c r="AH28" i="102"/>
  <c r="AH27" i="102"/>
  <c r="AH26" i="102"/>
  <c r="AH25" i="102"/>
  <c r="AH24" i="102"/>
  <c r="AH23" i="102"/>
  <c r="AF8" i="102"/>
  <c r="AH21" i="102"/>
  <c r="AH20" i="102"/>
  <c r="AH19" i="102"/>
  <c r="AH18" i="102"/>
  <c r="AH17" i="102"/>
  <c r="AH16" i="102"/>
  <c r="AH15" i="102"/>
  <c r="AH14" i="102"/>
  <c r="AH13" i="102"/>
  <c r="AH12" i="102"/>
  <c r="AH11" i="102"/>
  <c r="AH10" i="102"/>
  <c r="AH9" i="102"/>
  <c r="AG8" i="102"/>
  <c r="AH7" i="102"/>
  <c r="AH6" i="102"/>
  <c r="AH5" i="102" s="1"/>
  <c r="AG5" i="102"/>
  <c r="AF5" i="102"/>
  <c r="AM85" i="90"/>
  <c r="AM82" i="90"/>
  <c r="AM80" i="90"/>
  <c r="AM78" i="90"/>
  <c r="AL77" i="90"/>
  <c r="AK77" i="90"/>
  <c r="AM74" i="90"/>
  <c r="AM73" i="90" s="1"/>
  <c r="AL73" i="90"/>
  <c r="AK73" i="90"/>
  <c r="AM72" i="90"/>
  <c r="AM71" i="90"/>
  <c r="AM70" i="90"/>
  <c r="AM69" i="90"/>
  <c r="AM68" i="90"/>
  <c r="AM67" i="90"/>
  <c r="AM66" i="90"/>
  <c r="AM65" i="90"/>
  <c r="AM64" i="90"/>
  <c r="AM63" i="90"/>
  <c r="AM62" i="90"/>
  <c r="AM61" i="90"/>
  <c r="AM60" i="90"/>
  <c r="AM59" i="90"/>
  <c r="AM58" i="90"/>
  <c r="AM57" i="90"/>
  <c r="AM56" i="90"/>
  <c r="AM55" i="90"/>
  <c r="AL54" i="90"/>
  <c r="AK54" i="90"/>
  <c r="AM53" i="90"/>
  <c r="AM52" i="90"/>
  <c r="AM51" i="90"/>
  <c r="AL50" i="90"/>
  <c r="AK50" i="90"/>
  <c r="AM49" i="90"/>
  <c r="AM48" i="90"/>
  <c r="AM47" i="90"/>
  <c r="AM46" i="90"/>
  <c r="AM45" i="90"/>
  <c r="AM44" i="90"/>
  <c r="AM43" i="90"/>
  <c r="AM42" i="90"/>
  <c r="AL41" i="90"/>
  <c r="AK41" i="90"/>
  <c r="AM37" i="90"/>
  <c r="AM35" i="90"/>
  <c r="AL35" i="90"/>
  <c r="AK35" i="90"/>
  <c r="AM33" i="90"/>
  <c r="AM32" i="90"/>
  <c r="AM31" i="90"/>
  <c r="AM30" i="90"/>
  <c r="AM29" i="90"/>
  <c r="AM28" i="90"/>
  <c r="AM27" i="90"/>
  <c r="AM26" i="90"/>
  <c r="AM25" i="90"/>
  <c r="AM24" i="90"/>
  <c r="AM23" i="90"/>
  <c r="AM22" i="90"/>
  <c r="AM21" i="90"/>
  <c r="AM20" i="90"/>
  <c r="AM19" i="90"/>
  <c r="AM18" i="90"/>
  <c r="AM17" i="90"/>
  <c r="AM16" i="90"/>
  <c r="AM15" i="90"/>
  <c r="AM14" i="90"/>
  <c r="AM13" i="90"/>
  <c r="AL8" i="90"/>
  <c r="AM11" i="90"/>
  <c r="AM10" i="90"/>
  <c r="AM9" i="90"/>
  <c r="AM7" i="90"/>
  <c r="AM6" i="90"/>
  <c r="AM5" i="90" s="1"/>
  <c r="AL5" i="90"/>
  <c r="AK5" i="90"/>
  <c r="AA38" i="91" l="1"/>
  <c r="AL81" i="86"/>
  <c r="AL83" i="86" s="1"/>
  <c r="AL84" i="86" s="1"/>
  <c r="AL86" i="86" s="1"/>
  <c r="AL87" i="86" s="1"/>
  <c r="AH89" i="99"/>
  <c r="AN62" i="99" s="1"/>
  <c r="AM89" i="87"/>
  <c r="AM93" i="87" s="1"/>
  <c r="AH50" i="102"/>
  <c r="AC41" i="91"/>
  <c r="AL39" i="86"/>
  <c r="AM77" i="86"/>
  <c r="AM89" i="86"/>
  <c r="AM75" i="86"/>
  <c r="AM39" i="86"/>
  <c r="AK81" i="86"/>
  <c r="AK83" i="86" s="1"/>
  <c r="AK84" i="86" s="1"/>
  <c r="AK86" i="86" s="1"/>
  <c r="AK87" i="86" s="1"/>
  <c r="AK76" i="86"/>
  <c r="AF81" i="99"/>
  <c r="AF83" i="99" s="1"/>
  <c r="AF84" i="99" s="1"/>
  <c r="AF86" i="99" s="1"/>
  <c r="AF87" i="99" s="1"/>
  <c r="AF76" i="99"/>
  <c r="AH39" i="99"/>
  <c r="AH75" i="99"/>
  <c r="AG81" i="99"/>
  <c r="AG83" i="99" s="1"/>
  <c r="AG84" i="99" s="1"/>
  <c r="AG86" i="99" s="1"/>
  <c r="AG87" i="99" s="1"/>
  <c r="AG76" i="99"/>
  <c r="AM75" i="87"/>
  <c r="AM39" i="87"/>
  <c r="AC8" i="91"/>
  <c r="AA75" i="91"/>
  <c r="AA39" i="91"/>
  <c r="AB38" i="91"/>
  <c r="AC50" i="91"/>
  <c r="AC54" i="91"/>
  <c r="AG38" i="102"/>
  <c r="AG39" i="102" s="1"/>
  <c r="AH41" i="102"/>
  <c r="AF38" i="102"/>
  <c r="AH22" i="102"/>
  <c r="AH69" i="102"/>
  <c r="AM54" i="90"/>
  <c r="AM41" i="90"/>
  <c r="AL38" i="90"/>
  <c r="AM12" i="90"/>
  <c r="AK8" i="90"/>
  <c r="AK38" i="90" s="1"/>
  <c r="AM50" i="90"/>
  <c r="AI50" i="99" l="1"/>
  <c r="AI29" i="99"/>
  <c r="AI60" i="99"/>
  <c r="AI58" i="99"/>
  <c r="AN24" i="99"/>
  <c r="AN71" i="99"/>
  <c r="AI67" i="99"/>
  <c r="AN25" i="99"/>
  <c r="AI14" i="99"/>
  <c r="AI43" i="99"/>
  <c r="AN55" i="99"/>
  <c r="AI21" i="99"/>
  <c r="AI52" i="99"/>
  <c r="AN9" i="99"/>
  <c r="AN17" i="99"/>
  <c r="AX22" i="86"/>
  <c r="AX30" i="86"/>
  <c r="AX28" i="86"/>
  <c r="AX78" i="86"/>
  <c r="AX31" i="86"/>
  <c r="AX23" i="86"/>
  <c r="AX27" i="86"/>
  <c r="AX33" i="86"/>
  <c r="AX21" i="86"/>
  <c r="AX26" i="86"/>
  <c r="AX42" i="86"/>
  <c r="AX41" i="86"/>
  <c r="AX24" i="86"/>
  <c r="AX68" i="86"/>
  <c r="AX13" i="86"/>
  <c r="AX63" i="86"/>
  <c r="AX67" i="86"/>
  <c r="AX46" i="86"/>
  <c r="AX14" i="86"/>
  <c r="AX56" i="86"/>
  <c r="AX65" i="86"/>
  <c r="AX47" i="86"/>
  <c r="AX71" i="86"/>
  <c r="AX54" i="86"/>
  <c r="AX32" i="86"/>
  <c r="AX48" i="86"/>
  <c r="AX19" i="86"/>
  <c r="AX69" i="86"/>
  <c r="AX9" i="86"/>
  <c r="AX64" i="86"/>
  <c r="AX12" i="86"/>
  <c r="AX66" i="86"/>
  <c r="AX58" i="86"/>
  <c r="AX16" i="86"/>
  <c r="AX61" i="86"/>
  <c r="AX59" i="86"/>
  <c r="AX29" i="86"/>
  <c r="AX79" i="86"/>
  <c r="AX45" i="86"/>
  <c r="AX11" i="86"/>
  <c r="AX20" i="86"/>
  <c r="AX15" i="86"/>
  <c r="AX17" i="86"/>
  <c r="AX18" i="86"/>
  <c r="AX62" i="86"/>
  <c r="AX60" i="86"/>
  <c r="AX57" i="86"/>
  <c r="AX44" i="86"/>
  <c r="AX77" i="86"/>
  <c r="AX10" i="86"/>
  <c r="AX70" i="86"/>
  <c r="AX43" i="86"/>
  <c r="AX55" i="86"/>
  <c r="AX25" i="86"/>
  <c r="AX8" i="86"/>
  <c r="AI27" i="99"/>
  <c r="AN23" i="99"/>
  <c r="AI19" i="99"/>
  <c r="AN26" i="99"/>
  <c r="AN48" i="99"/>
  <c r="AI41" i="99"/>
  <c r="AI12" i="99"/>
  <c r="AI69" i="99"/>
  <c r="AN32" i="99"/>
  <c r="AN36" i="99"/>
  <c r="AN64" i="99"/>
  <c r="AI22" i="99"/>
  <c r="AI30" i="99"/>
  <c r="AI49" i="99"/>
  <c r="AI66" i="99"/>
  <c r="AI13" i="99"/>
  <c r="AI42" i="99"/>
  <c r="AI59" i="99"/>
  <c r="AI9" i="99"/>
  <c r="AI28" i="99"/>
  <c r="AI51" i="99"/>
  <c r="AI68" i="99"/>
  <c r="AI11" i="99"/>
  <c r="AI44" i="99"/>
  <c r="AI61" i="99"/>
  <c r="AN22" i="99"/>
  <c r="AN50" i="99"/>
  <c r="AN27" i="99"/>
  <c r="AN21" i="99"/>
  <c r="AN29" i="99"/>
  <c r="AN67" i="99"/>
  <c r="AN28" i="99"/>
  <c r="AN13" i="99"/>
  <c r="AN44" i="99"/>
  <c r="AN66" i="99"/>
  <c r="AN12" i="99"/>
  <c r="AN47" i="99"/>
  <c r="AI20" i="99"/>
  <c r="AI18" i="99"/>
  <c r="AI10" i="99"/>
  <c r="AI26" i="99"/>
  <c r="AI45" i="99"/>
  <c r="AI54" i="99"/>
  <c r="AI62" i="99"/>
  <c r="AI70" i="99"/>
  <c r="AI17" i="99"/>
  <c r="AI33" i="99"/>
  <c r="AI25" i="99"/>
  <c r="AI46" i="99"/>
  <c r="AI55" i="99"/>
  <c r="AI63" i="99"/>
  <c r="AI71" i="99"/>
  <c r="AI16" i="99"/>
  <c r="AI32" i="99"/>
  <c r="AI24" i="99"/>
  <c r="AI47" i="99"/>
  <c r="AI56" i="99"/>
  <c r="AI64" i="99"/>
  <c r="AI23" i="99"/>
  <c r="AI15" i="99"/>
  <c r="AI31" i="99"/>
  <c r="AI36" i="99"/>
  <c r="AI48" i="99"/>
  <c r="AI57" i="99"/>
  <c r="AI65" i="99"/>
  <c r="AH93" i="99"/>
  <c r="AN51" i="99"/>
  <c r="AN65" i="99"/>
  <c r="AN56" i="99"/>
  <c r="AN19" i="99"/>
  <c r="AN20" i="99"/>
  <c r="AN59" i="99"/>
  <c r="AN57" i="99"/>
  <c r="AN52" i="99"/>
  <c r="AN69" i="99"/>
  <c r="AN63" i="99"/>
  <c r="AN54" i="99"/>
  <c r="AN30" i="99"/>
  <c r="AN33" i="99"/>
  <c r="AN61" i="99"/>
  <c r="AN31" i="99"/>
  <c r="AN11" i="99"/>
  <c r="AN15" i="99"/>
  <c r="AN42" i="99"/>
  <c r="AN46" i="99"/>
  <c r="AN58" i="99"/>
  <c r="AN49" i="99"/>
  <c r="AN68" i="99"/>
  <c r="AN16" i="99"/>
  <c r="AN43" i="99"/>
  <c r="AN70" i="99"/>
  <c r="AN60" i="99"/>
  <c r="AN10" i="99"/>
  <c r="AN14" i="99"/>
  <c r="AN18" i="99"/>
  <c r="AN41" i="99"/>
  <c r="AN45" i="99"/>
  <c r="AN79" i="86"/>
  <c r="AS26" i="86"/>
  <c r="AS15" i="86"/>
  <c r="AS21" i="86"/>
  <c r="AS28" i="86"/>
  <c r="AS23" i="86"/>
  <c r="AS17" i="86"/>
  <c r="AS9" i="86"/>
  <c r="AS32" i="86"/>
  <c r="AS30" i="86"/>
  <c r="AS22" i="86"/>
  <c r="AS19" i="86"/>
  <c r="AS11" i="86"/>
  <c r="AS24" i="86"/>
  <c r="AS13" i="86"/>
  <c r="AS33" i="86"/>
  <c r="AS57" i="86"/>
  <c r="AS45" i="86"/>
  <c r="AS20" i="86"/>
  <c r="AS58" i="86"/>
  <c r="AS68" i="86"/>
  <c r="AS10" i="86"/>
  <c r="AS48" i="86"/>
  <c r="AS67" i="86"/>
  <c r="AS8" i="86"/>
  <c r="AS42" i="86"/>
  <c r="AS65" i="86"/>
  <c r="AS43" i="86"/>
  <c r="AS66" i="86"/>
  <c r="AS27" i="86"/>
  <c r="AS59" i="86"/>
  <c r="AS46" i="86"/>
  <c r="AS70" i="86"/>
  <c r="AS44" i="86"/>
  <c r="AS41" i="86"/>
  <c r="AS61" i="86"/>
  <c r="AS56" i="86"/>
  <c r="AS31" i="86"/>
  <c r="AS62" i="86"/>
  <c r="AS18" i="86"/>
  <c r="AS54" i="86"/>
  <c r="AS71" i="86"/>
  <c r="AS64" i="86"/>
  <c r="AS16" i="86"/>
  <c r="AS12" i="86"/>
  <c r="AS60" i="86"/>
  <c r="AS79" i="86"/>
  <c r="AS55" i="86"/>
  <c r="AS14" i="86"/>
  <c r="AS29" i="86"/>
  <c r="AS78" i="86"/>
  <c r="AS25" i="86"/>
  <c r="AS69" i="86"/>
  <c r="AS47" i="86"/>
  <c r="AS63" i="86"/>
  <c r="AS77" i="86"/>
  <c r="AN77" i="86"/>
  <c r="AM93" i="86"/>
  <c r="AN68" i="86"/>
  <c r="AN64" i="86"/>
  <c r="AN60" i="86"/>
  <c r="AN56" i="86"/>
  <c r="AN47" i="86"/>
  <c r="AN43" i="86"/>
  <c r="AN10" i="86"/>
  <c r="AN14" i="86"/>
  <c r="AN18" i="86"/>
  <c r="AN22" i="86"/>
  <c r="AN26" i="86"/>
  <c r="AN30" i="86"/>
  <c r="AN9" i="86"/>
  <c r="AN66" i="86"/>
  <c r="AN54" i="86"/>
  <c r="AN41" i="86"/>
  <c r="AN16" i="86"/>
  <c r="AN24" i="86"/>
  <c r="AN32" i="86"/>
  <c r="AN69" i="86"/>
  <c r="AN65" i="86"/>
  <c r="AN57" i="86"/>
  <c r="AN44" i="86"/>
  <c r="AN13" i="86"/>
  <c r="AN21" i="86"/>
  <c r="AN29" i="86"/>
  <c r="AN71" i="86"/>
  <c r="AN67" i="86"/>
  <c r="AN63" i="86"/>
  <c r="AN59" i="86"/>
  <c r="AN55" i="86"/>
  <c r="AN46" i="86"/>
  <c r="AN42" i="86"/>
  <c r="AN11" i="86"/>
  <c r="AN15" i="86"/>
  <c r="AN19" i="86"/>
  <c r="AN23" i="86"/>
  <c r="AN27" i="86"/>
  <c r="AN31" i="86"/>
  <c r="AN70" i="86"/>
  <c r="AN62" i="86"/>
  <c r="AN58" i="86"/>
  <c r="AN45" i="86"/>
  <c r="AN12" i="86"/>
  <c r="AN20" i="86"/>
  <c r="AN28" i="86"/>
  <c r="AN78" i="86"/>
  <c r="AN61" i="86"/>
  <c r="AN48" i="86"/>
  <c r="AN8" i="86"/>
  <c r="AN17" i="86"/>
  <c r="AN25" i="86"/>
  <c r="AN33" i="86"/>
  <c r="AG75" i="102"/>
  <c r="AG76" i="102" s="1"/>
  <c r="AC38" i="91"/>
  <c r="AC39" i="91" s="1"/>
  <c r="AM81" i="86"/>
  <c r="AM83" i="86" s="1"/>
  <c r="AM84" i="86" s="1"/>
  <c r="AM86" i="86" s="1"/>
  <c r="AM87" i="86" s="1"/>
  <c r="AM76" i="86"/>
  <c r="AH81" i="99"/>
  <c r="AH83" i="99" s="1"/>
  <c r="AH84" i="99" s="1"/>
  <c r="AH86" i="99" s="1"/>
  <c r="AH87" i="99" s="1"/>
  <c r="AH76" i="99"/>
  <c r="AM81" i="87"/>
  <c r="AM83" i="87" s="1"/>
  <c r="AM84" i="87" s="1"/>
  <c r="AM86" i="87" s="1"/>
  <c r="AM87" i="87" s="1"/>
  <c r="AM76" i="87"/>
  <c r="AB39" i="91"/>
  <c r="AB75" i="91"/>
  <c r="AA81" i="91"/>
  <c r="AA83" i="91" s="1"/>
  <c r="AA84" i="91" s="1"/>
  <c r="AA86" i="91" s="1"/>
  <c r="AA87" i="91" s="1"/>
  <c r="AA76" i="91"/>
  <c r="AH8" i="102"/>
  <c r="AH38" i="102" s="1"/>
  <c r="AH54" i="102"/>
  <c r="AF39" i="102"/>
  <c r="AF75" i="102"/>
  <c r="AK75" i="90"/>
  <c r="AK39" i="90"/>
  <c r="AL75" i="90"/>
  <c r="AL39" i="90"/>
  <c r="AM8" i="90"/>
  <c r="AM85" i="96"/>
  <c r="AM82" i="96"/>
  <c r="AM78" i="96"/>
  <c r="AL77" i="96"/>
  <c r="AK77" i="96"/>
  <c r="AM74" i="96"/>
  <c r="AM73" i="96" s="1"/>
  <c r="AL73" i="96"/>
  <c r="AK73" i="96"/>
  <c r="AM71" i="96"/>
  <c r="AM70" i="96"/>
  <c r="AM69" i="96"/>
  <c r="AM68" i="96"/>
  <c r="AM67" i="96"/>
  <c r="AM66" i="96"/>
  <c r="AM65" i="96"/>
  <c r="AM64" i="96"/>
  <c r="AM63" i="96"/>
  <c r="AM62" i="96"/>
  <c r="AM61" i="96"/>
  <c r="AM60" i="96"/>
  <c r="AM59" i="96"/>
  <c r="AM58" i="96"/>
  <c r="AM57" i="96"/>
  <c r="AM56" i="96"/>
  <c r="AM55" i="96"/>
  <c r="AL54" i="96"/>
  <c r="AK54" i="96"/>
  <c r="AM52" i="96"/>
  <c r="AM51" i="96"/>
  <c r="AL50" i="96"/>
  <c r="AK50" i="96"/>
  <c r="AM48" i="96"/>
  <c r="AM47" i="96"/>
  <c r="AM46" i="96"/>
  <c r="AM45" i="96"/>
  <c r="AM44" i="96"/>
  <c r="AM43" i="96"/>
  <c r="AM42" i="96"/>
  <c r="AL41" i="96"/>
  <c r="AK41" i="96"/>
  <c r="AM36" i="96"/>
  <c r="AL35" i="96"/>
  <c r="AK35" i="96"/>
  <c r="AM33" i="96"/>
  <c r="AM32" i="96"/>
  <c r="AM31" i="96"/>
  <c r="AM30" i="96"/>
  <c r="AM29" i="96"/>
  <c r="AM28" i="96"/>
  <c r="AM27" i="96"/>
  <c r="AM26" i="96"/>
  <c r="AM25" i="96"/>
  <c r="AM24" i="96"/>
  <c r="AM23" i="96"/>
  <c r="AM22" i="96"/>
  <c r="AM21" i="96"/>
  <c r="AM20" i="96"/>
  <c r="AM19" i="96"/>
  <c r="AM18" i="96"/>
  <c r="AM17" i="96"/>
  <c r="AM16" i="96"/>
  <c r="AM15" i="96"/>
  <c r="AM14" i="96"/>
  <c r="AM13" i="96"/>
  <c r="AL8" i="96"/>
  <c r="AM11" i="96"/>
  <c r="AM10" i="96"/>
  <c r="AM9" i="96"/>
  <c r="AK8" i="96"/>
  <c r="AM7" i="96"/>
  <c r="AM6" i="96"/>
  <c r="AL5" i="96"/>
  <c r="AK5" i="96"/>
  <c r="AM85" i="95"/>
  <c r="AM82" i="95"/>
  <c r="AM78" i="95"/>
  <c r="AL77" i="95"/>
  <c r="AK77" i="95"/>
  <c r="AM74" i="95"/>
  <c r="AM73" i="95" s="1"/>
  <c r="AL73" i="95"/>
  <c r="AK73" i="95"/>
  <c r="AM71" i="95"/>
  <c r="AM70" i="95"/>
  <c r="AM69" i="95"/>
  <c r="AM68" i="95"/>
  <c r="AM67" i="95"/>
  <c r="AM66" i="95"/>
  <c r="AM65" i="95"/>
  <c r="AM64" i="95"/>
  <c r="AM63" i="95"/>
  <c r="AM62" i="95"/>
  <c r="AM61" i="95"/>
  <c r="AM60" i="95"/>
  <c r="AM59" i="95"/>
  <c r="AM58" i="95"/>
  <c r="AM57" i="95"/>
  <c r="AM56" i="95"/>
  <c r="AM55" i="95"/>
  <c r="AL54" i="95"/>
  <c r="AK54" i="95"/>
  <c r="AM52" i="95"/>
  <c r="AM51" i="95"/>
  <c r="AL50" i="95"/>
  <c r="AK50" i="95"/>
  <c r="AM48" i="95"/>
  <c r="AM47" i="95"/>
  <c r="AM46" i="95"/>
  <c r="AM45" i="95"/>
  <c r="AM44" i="95"/>
  <c r="AM43" i="95"/>
  <c r="AM42" i="95"/>
  <c r="AL41" i="95"/>
  <c r="AK41" i="95"/>
  <c r="AM36" i="95"/>
  <c r="AM35" i="95" s="1"/>
  <c r="AL35" i="95"/>
  <c r="AK35" i="95"/>
  <c r="AM33" i="95"/>
  <c r="AM32" i="95"/>
  <c r="AM31" i="95"/>
  <c r="AM30" i="95"/>
  <c r="AM29" i="95"/>
  <c r="AM28" i="95"/>
  <c r="AM27" i="95"/>
  <c r="AM26" i="95"/>
  <c r="AM25" i="95"/>
  <c r="AM24" i="95"/>
  <c r="AM23" i="95"/>
  <c r="AM22" i="95"/>
  <c r="AM21" i="95"/>
  <c r="AM20" i="95"/>
  <c r="AM19" i="95"/>
  <c r="AM18" i="95"/>
  <c r="AM17" i="95"/>
  <c r="AM16" i="95"/>
  <c r="AM15" i="95"/>
  <c r="AM14" i="95"/>
  <c r="AM13" i="95"/>
  <c r="AM12" i="95"/>
  <c r="AM11" i="95"/>
  <c r="AM10" i="95"/>
  <c r="AM9" i="95"/>
  <c r="AL8" i="95"/>
  <c r="AK8" i="95"/>
  <c r="AM7" i="95"/>
  <c r="AM6" i="95"/>
  <c r="AM5" i="95" s="1"/>
  <c r="AL5" i="95"/>
  <c r="AK5" i="95"/>
  <c r="AM50" i="96" l="1"/>
  <c r="AM50" i="95"/>
  <c r="AK38" i="96"/>
  <c r="AK39" i="96" s="1"/>
  <c r="AG81" i="102"/>
  <c r="AG83" i="102" s="1"/>
  <c r="AG84" i="102" s="1"/>
  <c r="AG86" i="102" s="1"/>
  <c r="AG87" i="102" s="1"/>
  <c r="AC75" i="91"/>
  <c r="AC76" i="91" s="1"/>
  <c r="AL38" i="95"/>
  <c r="AL75" i="95" s="1"/>
  <c r="AK38" i="95"/>
  <c r="AK39" i="95" s="1"/>
  <c r="AM54" i="95"/>
  <c r="AM41" i="95"/>
  <c r="AB81" i="91"/>
  <c r="AB83" i="91" s="1"/>
  <c r="AB84" i="91" s="1"/>
  <c r="AB86" i="91" s="1"/>
  <c r="AB87" i="91" s="1"/>
  <c r="AB76" i="91"/>
  <c r="AH75" i="102"/>
  <c r="AH39" i="102"/>
  <c r="AF76" i="102"/>
  <c r="AF81" i="102"/>
  <c r="AF83" i="102" s="1"/>
  <c r="AF84" i="102" s="1"/>
  <c r="AF86" i="102" s="1"/>
  <c r="AF87" i="102" s="1"/>
  <c r="AL76" i="90"/>
  <c r="AL81" i="90"/>
  <c r="AL83" i="90" s="1"/>
  <c r="AL84" i="90" s="1"/>
  <c r="AL86" i="90" s="1"/>
  <c r="AL87" i="90" s="1"/>
  <c r="AM38" i="90"/>
  <c r="AK76" i="90"/>
  <c r="AK81" i="90"/>
  <c r="AK83" i="90" s="1"/>
  <c r="AK84" i="90" s="1"/>
  <c r="AK86" i="90" s="1"/>
  <c r="AK87" i="90" s="1"/>
  <c r="AM54" i="96"/>
  <c r="AL38" i="96"/>
  <c r="AM5" i="96"/>
  <c r="AM35" i="96"/>
  <c r="AM41" i="96"/>
  <c r="AM12" i="96"/>
  <c r="AM8" i="95"/>
  <c r="AK75" i="95" l="1"/>
  <c r="AL39" i="95"/>
  <c r="AK75" i="96"/>
  <c r="AK81" i="96" s="1"/>
  <c r="AK83" i="96" s="1"/>
  <c r="AK84" i="96" s="1"/>
  <c r="AK86" i="96" s="1"/>
  <c r="AK87" i="96" s="1"/>
  <c r="AH76" i="102"/>
  <c r="AM75" i="90"/>
  <c r="AM39" i="90"/>
  <c r="AM8" i="96"/>
  <c r="AM38" i="96" s="1"/>
  <c r="AL75" i="96"/>
  <c r="AL39" i="96"/>
  <c r="AK81" i="95"/>
  <c r="AK83" i="95" s="1"/>
  <c r="AK84" i="95" s="1"/>
  <c r="AK86" i="95" s="1"/>
  <c r="AK87" i="95" s="1"/>
  <c r="AK76" i="95"/>
  <c r="AM38" i="95"/>
  <c r="AL81" i="95"/>
  <c r="AL83" i="95" s="1"/>
  <c r="AL84" i="95" s="1"/>
  <c r="AL86" i="95" s="1"/>
  <c r="AL87" i="95" s="1"/>
  <c r="AL76" i="95"/>
  <c r="AK76" i="96" l="1"/>
  <c r="AM76" i="90"/>
  <c r="AM39" i="96"/>
  <c r="AM75" i="96"/>
  <c r="AL81" i="96"/>
  <c r="AL83" i="96" s="1"/>
  <c r="AL84" i="96" s="1"/>
  <c r="AL86" i="96" s="1"/>
  <c r="AL87" i="96" s="1"/>
  <c r="AL76" i="96"/>
  <c r="AM39" i="95"/>
  <c r="AM75" i="95"/>
  <c r="AG77" i="96"/>
  <c r="AF77" i="96"/>
  <c r="AM76" i="96" l="1"/>
  <c r="AM76" i="95"/>
  <c r="BL82" i="87" l="1"/>
  <c r="AH82" i="87"/>
  <c r="AG81" i="87"/>
  <c r="AG83" i="87" s="1"/>
  <c r="AG84" i="87" s="1"/>
  <c r="AF81" i="87"/>
  <c r="AF83" i="87" s="1"/>
  <c r="AF84" i="87" s="1"/>
  <c r="BQ85" i="96" l="1"/>
  <c r="AV85" i="95"/>
  <c r="AU85" i="95"/>
  <c r="AV82" i="95"/>
  <c r="AU82" i="95"/>
  <c r="AV74" i="95"/>
  <c r="AW78" i="95"/>
  <c r="AW82" i="95" l="1"/>
  <c r="AW74" i="95"/>
  <c r="AW85" i="95"/>
  <c r="BP77" i="96"/>
  <c r="BQ82" i="96"/>
  <c r="BQ78" i="96"/>
  <c r="BU78" i="96" s="1"/>
  <c r="BO77" i="96"/>
  <c r="X23" i="96" l="1"/>
  <c r="AH22" i="90"/>
  <c r="AH23" i="90"/>
  <c r="AH13" i="90"/>
  <c r="AH14" i="90"/>
  <c r="AH15" i="90"/>
  <c r="AH16" i="90"/>
  <c r="AH22" i="96"/>
  <c r="AH23" i="96"/>
  <c r="AA28" i="102" l="1"/>
  <c r="AA24" i="102"/>
  <c r="AA22" i="102"/>
  <c r="AB31" i="102"/>
  <c r="AF18" i="90"/>
  <c r="AF24" i="90"/>
  <c r="AF28" i="96" l="1"/>
  <c r="AF23" i="95"/>
  <c r="AF28" i="95"/>
  <c r="AF22" i="95"/>
  <c r="AA69" i="102"/>
  <c r="AA67" i="102"/>
  <c r="BJ67" i="102" s="1"/>
  <c r="BK72" i="87"/>
  <c r="BJ72" i="87"/>
  <c r="BK49" i="87"/>
  <c r="BJ49" i="87"/>
  <c r="BK34" i="87"/>
  <c r="BJ34" i="87"/>
  <c r="AH85" i="87"/>
  <c r="AH78" i="87"/>
  <c r="AH74" i="87"/>
  <c r="AH73" i="87" s="1"/>
  <c r="AH71" i="87"/>
  <c r="AH70" i="87"/>
  <c r="AH69" i="87"/>
  <c r="AH68" i="87"/>
  <c r="AH67" i="87"/>
  <c r="AH66" i="87"/>
  <c r="AH65" i="87"/>
  <c r="AH64" i="87"/>
  <c r="AH63" i="87"/>
  <c r="AH62" i="87"/>
  <c r="AH61" i="87"/>
  <c r="AH60" i="87"/>
  <c r="AH59" i="87"/>
  <c r="AH58" i="87"/>
  <c r="AH57" i="87"/>
  <c r="AH56" i="87"/>
  <c r="AH55" i="87"/>
  <c r="AH52" i="87"/>
  <c r="AH51" i="87"/>
  <c r="AH50" i="87" s="1"/>
  <c r="AH48" i="87"/>
  <c r="AH47" i="87"/>
  <c r="AH46" i="87"/>
  <c r="AH45" i="87"/>
  <c r="AH44" i="87"/>
  <c r="AH43" i="87"/>
  <c r="AH42" i="87"/>
  <c r="AH36" i="87"/>
  <c r="AH35" i="87" s="1"/>
  <c r="AH33" i="87"/>
  <c r="AH32" i="87"/>
  <c r="AH31" i="87"/>
  <c r="AH30" i="87"/>
  <c r="AH29" i="87"/>
  <c r="AH28" i="87"/>
  <c r="AH27" i="87"/>
  <c r="AH26" i="87"/>
  <c r="AH25" i="87"/>
  <c r="AH24" i="87"/>
  <c r="AH21" i="87"/>
  <c r="AH20" i="87"/>
  <c r="AH19" i="87"/>
  <c r="AH18" i="87"/>
  <c r="AH17" i="87"/>
  <c r="AH16" i="87"/>
  <c r="AH15" i="87"/>
  <c r="AH14" i="87"/>
  <c r="AH13" i="87"/>
  <c r="AH12" i="87"/>
  <c r="AH11" i="87"/>
  <c r="AH10" i="87"/>
  <c r="AH9" i="87"/>
  <c r="AH7" i="87"/>
  <c r="AH6" i="87"/>
  <c r="AH5" i="87" s="1"/>
  <c r="AH54" i="87" l="1"/>
  <c r="AH8" i="87"/>
  <c r="AH41" i="87"/>
  <c r="AU23" i="95"/>
  <c r="AA25" i="102"/>
  <c r="AF25" i="96"/>
  <c r="AF25" i="95"/>
  <c r="AH89" i="87" l="1"/>
  <c r="AH93" i="87" s="1"/>
  <c r="AH38" i="87"/>
  <c r="AF26" i="95"/>
  <c r="AH75" i="87" l="1"/>
  <c r="AH39" i="87"/>
  <c r="AF7" i="96"/>
  <c r="BO7" i="96" s="1"/>
  <c r="BO5" i="96" s="1"/>
  <c r="V26" i="91"/>
  <c r="BE26" i="91" s="1"/>
  <c r="AA26" i="102"/>
  <c r="AF26" i="90"/>
  <c r="AH81" i="87" l="1"/>
  <c r="AH83" i="87" s="1"/>
  <c r="AH84" i="87" s="1"/>
  <c r="AH76" i="87"/>
  <c r="AF5" i="96"/>
  <c r="AG12" i="90" l="1"/>
  <c r="AG12" i="96"/>
  <c r="S85" i="108" l="1"/>
  <c r="N85" i="108"/>
  <c r="I85" i="108"/>
  <c r="E85" i="108"/>
  <c r="S82" i="108"/>
  <c r="N82" i="108"/>
  <c r="I82" i="108"/>
  <c r="E82" i="108"/>
  <c r="S78" i="108"/>
  <c r="N78" i="108"/>
  <c r="I78" i="108"/>
  <c r="E78" i="108"/>
  <c r="R77" i="108"/>
  <c r="Q77" i="108"/>
  <c r="M77" i="108"/>
  <c r="L77" i="108"/>
  <c r="H77" i="108"/>
  <c r="G77" i="108"/>
  <c r="D77" i="108"/>
  <c r="C77" i="108"/>
  <c r="S74" i="108"/>
  <c r="S73" i="108" s="1"/>
  <c r="N74" i="108"/>
  <c r="N73" i="108" s="1"/>
  <c r="G74" i="108"/>
  <c r="AP74" i="108" s="1"/>
  <c r="E74" i="108"/>
  <c r="E73" i="108" s="1"/>
  <c r="R73" i="108"/>
  <c r="Q73" i="108"/>
  <c r="M73" i="108"/>
  <c r="L73" i="108"/>
  <c r="H73" i="108"/>
  <c r="D73" i="108"/>
  <c r="C73" i="108"/>
  <c r="E72" i="108"/>
  <c r="S71" i="108"/>
  <c r="N71" i="108"/>
  <c r="I71" i="108"/>
  <c r="E71" i="108"/>
  <c r="S70" i="108"/>
  <c r="N70" i="108"/>
  <c r="I70" i="108"/>
  <c r="E70" i="108"/>
  <c r="S69" i="108"/>
  <c r="N69" i="108"/>
  <c r="I69" i="108"/>
  <c r="E69" i="108"/>
  <c r="S68" i="108"/>
  <c r="N68" i="108"/>
  <c r="I68" i="108"/>
  <c r="E68" i="108"/>
  <c r="S67" i="108"/>
  <c r="N67" i="108"/>
  <c r="I67" i="108"/>
  <c r="E67" i="108"/>
  <c r="S66" i="108"/>
  <c r="N66" i="108"/>
  <c r="I66" i="108"/>
  <c r="E66" i="108"/>
  <c r="S65" i="108"/>
  <c r="N65" i="108"/>
  <c r="I65" i="108"/>
  <c r="E65" i="108"/>
  <c r="S64" i="108"/>
  <c r="N64" i="108"/>
  <c r="I64" i="108"/>
  <c r="E64" i="108"/>
  <c r="S63" i="108"/>
  <c r="N63" i="108"/>
  <c r="I63" i="108"/>
  <c r="E63" i="108"/>
  <c r="S62" i="108"/>
  <c r="N62" i="108"/>
  <c r="I62" i="108"/>
  <c r="E62" i="108"/>
  <c r="S61" i="108"/>
  <c r="N61" i="108"/>
  <c r="I61" i="108"/>
  <c r="E61" i="108"/>
  <c r="S60" i="108"/>
  <c r="N60" i="108"/>
  <c r="I60" i="108"/>
  <c r="E60" i="108"/>
  <c r="S59" i="108"/>
  <c r="N59" i="108"/>
  <c r="I59" i="108"/>
  <c r="E59" i="108"/>
  <c r="S58" i="108"/>
  <c r="N58" i="108"/>
  <c r="I58" i="108"/>
  <c r="E58" i="108"/>
  <c r="S57" i="108"/>
  <c r="N57" i="108"/>
  <c r="I57" i="108"/>
  <c r="E57" i="108"/>
  <c r="S56" i="108"/>
  <c r="N56" i="108"/>
  <c r="I56" i="108"/>
  <c r="E56" i="108"/>
  <c r="S55" i="108"/>
  <c r="N55" i="108"/>
  <c r="I55" i="108"/>
  <c r="E55" i="108"/>
  <c r="R54" i="108"/>
  <c r="Q54" i="108"/>
  <c r="M54" i="108"/>
  <c r="L54" i="108"/>
  <c r="H54" i="108"/>
  <c r="G54" i="108"/>
  <c r="D54" i="108"/>
  <c r="C54" i="108"/>
  <c r="S52" i="108"/>
  <c r="N52" i="108"/>
  <c r="I52" i="108"/>
  <c r="E52" i="108"/>
  <c r="S51" i="108"/>
  <c r="N51" i="108"/>
  <c r="I51" i="108"/>
  <c r="E51" i="108"/>
  <c r="R50" i="108"/>
  <c r="Q50" i="108"/>
  <c r="M50" i="108"/>
  <c r="L50" i="108"/>
  <c r="H50" i="108"/>
  <c r="G50" i="108"/>
  <c r="D50" i="108"/>
  <c r="C50" i="108"/>
  <c r="E49" i="108"/>
  <c r="S48" i="108"/>
  <c r="N48" i="108"/>
  <c r="I48" i="108"/>
  <c r="E48" i="108"/>
  <c r="S47" i="108"/>
  <c r="N47" i="108"/>
  <c r="I47" i="108"/>
  <c r="E47" i="108"/>
  <c r="S46" i="108"/>
  <c r="N46" i="108"/>
  <c r="I46" i="108"/>
  <c r="E46" i="108"/>
  <c r="S45" i="108"/>
  <c r="N45" i="108"/>
  <c r="I45" i="108"/>
  <c r="E45" i="108"/>
  <c r="S44" i="108"/>
  <c r="N44" i="108"/>
  <c r="I44" i="108"/>
  <c r="E44" i="108"/>
  <c r="S43" i="108"/>
  <c r="N43" i="108"/>
  <c r="I43" i="108"/>
  <c r="E43" i="108"/>
  <c r="S42" i="108"/>
  <c r="N42" i="108"/>
  <c r="I42" i="108"/>
  <c r="E42" i="108"/>
  <c r="R41" i="108"/>
  <c r="Q41" i="108"/>
  <c r="M41" i="108"/>
  <c r="L41" i="108"/>
  <c r="H41" i="108"/>
  <c r="G41" i="108"/>
  <c r="D41" i="108"/>
  <c r="C41" i="108"/>
  <c r="S36" i="108"/>
  <c r="S35" i="108" s="1"/>
  <c r="N36" i="108"/>
  <c r="N35" i="108" s="1"/>
  <c r="I36" i="108"/>
  <c r="I35" i="108" s="1"/>
  <c r="E36" i="108"/>
  <c r="E35" i="108" s="1"/>
  <c r="R35" i="108"/>
  <c r="Q35" i="108"/>
  <c r="M35" i="108"/>
  <c r="L35" i="108"/>
  <c r="H35" i="108"/>
  <c r="G35" i="108"/>
  <c r="D35" i="108"/>
  <c r="C35" i="108"/>
  <c r="S33" i="108"/>
  <c r="N33" i="108"/>
  <c r="I33" i="108"/>
  <c r="E33" i="108"/>
  <c r="S32" i="108"/>
  <c r="N32" i="108"/>
  <c r="I32" i="108"/>
  <c r="E32" i="108"/>
  <c r="S31" i="108"/>
  <c r="N31" i="108"/>
  <c r="I31" i="108"/>
  <c r="E31" i="108"/>
  <c r="S30" i="108"/>
  <c r="N30" i="108"/>
  <c r="I30" i="108"/>
  <c r="E30" i="108"/>
  <c r="S29" i="108"/>
  <c r="N29" i="108"/>
  <c r="I29" i="108"/>
  <c r="E29" i="108"/>
  <c r="S28" i="108"/>
  <c r="N28" i="108"/>
  <c r="I28" i="108"/>
  <c r="E28" i="108"/>
  <c r="S27" i="108"/>
  <c r="N27" i="108"/>
  <c r="I27" i="108"/>
  <c r="E27" i="108"/>
  <c r="S26" i="108"/>
  <c r="N26" i="108"/>
  <c r="I26" i="108"/>
  <c r="E26" i="108"/>
  <c r="S25" i="108"/>
  <c r="N25" i="108"/>
  <c r="I25" i="108"/>
  <c r="E25" i="108"/>
  <c r="S24" i="108"/>
  <c r="N24" i="108"/>
  <c r="I24" i="108"/>
  <c r="E24" i="108"/>
  <c r="E23" i="108"/>
  <c r="S22" i="108"/>
  <c r="N22" i="108"/>
  <c r="I22" i="108"/>
  <c r="E22" i="108"/>
  <c r="S21" i="108"/>
  <c r="N21" i="108"/>
  <c r="I21" i="108"/>
  <c r="E21" i="108"/>
  <c r="S20" i="108"/>
  <c r="N20" i="108"/>
  <c r="I20" i="108"/>
  <c r="E20" i="108"/>
  <c r="S19" i="108"/>
  <c r="N19" i="108"/>
  <c r="I19" i="108"/>
  <c r="E19" i="108"/>
  <c r="S18" i="108"/>
  <c r="N18" i="108"/>
  <c r="I18" i="108"/>
  <c r="E18" i="108"/>
  <c r="S17" i="108"/>
  <c r="N17" i="108"/>
  <c r="I17" i="108"/>
  <c r="E17" i="108"/>
  <c r="S16" i="108"/>
  <c r="N16" i="108"/>
  <c r="I16" i="108"/>
  <c r="E16" i="108"/>
  <c r="S15" i="108"/>
  <c r="N15" i="108"/>
  <c r="I15" i="108"/>
  <c r="E15" i="108"/>
  <c r="S14" i="108"/>
  <c r="N14" i="108"/>
  <c r="I14" i="108"/>
  <c r="E14" i="108"/>
  <c r="S13" i="108"/>
  <c r="N13" i="108"/>
  <c r="I13" i="108"/>
  <c r="E13" i="108"/>
  <c r="S12" i="108"/>
  <c r="N12" i="108"/>
  <c r="I12" i="108"/>
  <c r="E12" i="108"/>
  <c r="S11" i="108"/>
  <c r="N11" i="108"/>
  <c r="I11" i="108"/>
  <c r="E11" i="108"/>
  <c r="S10" i="108"/>
  <c r="N10" i="108"/>
  <c r="I10" i="108"/>
  <c r="E10" i="108"/>
  <c r="S9" i="108"/>
  <c r="N9" i="108"/>
  <c r="I9" i="108"/>
  <c r="E9" i="108"/>
  <c r="R8" i="108"/>
  <c r="Q8" i="108"/>
  <c r="Q38" i="108" s="1"/>
  <c r="M8" i="108"/>
  <c r="L8" i="108"/>
  <c r="H8" i="108"/>
  <c r="G8" i="108"/>
  <c r="D8" i="108"/>
  <c r="C8" i="108"/>
  <c r="S7" i="108"/>
  <c r="N7" i="108"/>
  <c r="I7" i="108"/>
  <c r="E7" i="108"/>
  <c r="S6" i="108"/>
  <c r="N6" i="108"/>
  <c r="N5" i="108" s="1"/>
  <c r="I6" i="108"/>
  <c r="I5" i="108" s="1"/>
  <c r="E6" i="108"/>
  <c r="E5" i="108" s="1"/>
  <c r="M5" i="108"/>
  <c r="L5" i="108"/>
  <c r="H5" i="108"/>
  <c r="G5" i="108"/>
  <c r="D5" i="108"/>
  <c r="C5" i="108"/>
  <c r="AP73" i="108" l="1"/>
  <c r="AP84" i="108" s="1"/>
  <c r="AP86" i="108" s="1"/>
  <c r="AP87" i="108" s="1"/>
  <c r="AR74" i="108"/>
  <c r="AR73" i="108" s="1"/>
  <c r="E41" i="108"/>
  <c r="E50" i="108"/>
  <c r="S5" i="108"/>
  <c r="I41" i="108"/>
  <c r="J41" i="108" s="1"/>
  <c r="D38" i="108"/>
  <c r="D75" i="108" s="1"/>
  <c r="N41" i="108"/>
  <c r="C38" i="108"/>
  <c r="S41" i="108"/>
  <c r="G73" i="108"/>
  <c r="Q75" i="108"/>
  <c r="E8" i="108"/>
  <c r="E38" i="108" s="1"/>
  <c r="I54" i="108"/>
  <c r="L38" i="108"/>
  <c r="L75" i="108" s="1"/>
  <c r="L76" i="108" s="1"/>
  <c r="R38" i="108"/>
  <c r="R39" i="108" s="1"/>
  <c r="M38" i="108"/>
  <c r="M75" i="108" s="1"/>
  <c r="N8" i="108"/>
  <c r="N38" i="108" s="1"/>
  <c r="N39" i="108" s="1"/>
  <c r="E77" i="108"/>
  <c r="G38" i="108"/>
  <c r="G75" i="108" s="1"/>
  <c r="G81" i="108" s="1"/>
  <c r="G83" i="108" s="1"/>
  <c r="G84" i="108" s="1"/>
  <c r="H38" i="108"/>
  <c r="H75" i="108" s="1"/>
  <c r="H81" i="108" s="1"/>
  <c r="H83" i="108" s="1"/>
  <c r="H84" i="108" s="1"/>
  <c r="E54" i="108"/>
  <c r="S8" i="108"/>
  <c r="I8" i="108"/>
  <c r="Q39" i="108"/>
  <c r="I50" i="108"/>
  <c r="S54" i="108"/>
  <c r="I74" i="108"/>
  <c r="I73" i="108" s="1"/>
  <c r="S50" i="108"/>
  <c r="N50" i="108"/>
  <c r="N54" i="108"/>
  <c r="S38" i="108" l="1"/>
  <c r="M39" i="108"/>
  <c r="D39" i="108"/>
  <c r="G39" i="108"/>
  <c r="H39" i="108"/>
  <c r="C75" i="108"/>
  <c r="C81" i="108" s="1"/>
  <c r="C83" i="108" s="1"/>
  <c r="C84" i="108" s="1"/>
  <c r="C86" i="108" s="1"/>
  <c r="C87" i="108" s="1"/>
  <c r="R75" i="108"/>
  <c r="R76" i="108" s="1"/>
  <c r="C39" i="108"/>
  <c r="E89" i="108"/>
  <c r="F25" i="108" s="1"/>
  <c r="L81" i="108"/>
  <c r="L83" i="108" s="1"/>
  <c r="L84" i="108" s="1"/>
  <c r="L86" i="108" s="1"/>
  <c r="L87" i="108" s="1"/>
  <c r="L39" i="108"/>
  <c r="Q81" i="108"/>
  <c r="Q83" i="108" s="1"/>
  <c r="Q84" i="108" s="1"/>
  <c r="Q86" i="108" s="1"/>
  <c r="Q87" i="108" s="1"/>
  <c r="Q76" i="108"/>
  <c r="N75" i="108"/>
  <c r="E75" i="108"/>
  <c r="E39" i="108"/>
  <c r="M76" i="108"/>
  <c r="M81" i="108"/>
  <c r="M83" i="108" s="1"/>
  <c r="M84" i="108" s="1"/>
  <c r="M86" i="108" s="1"/>
  <c r="M87" i="108" s="1"/>
  <c r="F54" i="108"/>
  <c r="G76" i="108"/>
  <c r="S75" i="108"/>
  <c r="S39" i="108"/>
  <c r="F41" i="108"/>
  <c r="F33" i="108"/>
  <c r="F21" i="108"/>
  <c r="F14" i="108"/>
  <c r="F44" i="108"/>
  <c r="F43" i="108"/>
  <c r="D76" i="108"/>
  <c r="D81" i="108"/>
  <c r="D83" i="108" s="1"/>
  <c r="D84" i="108" s="1"/>
  <c r="D86" i="108" s="1"/>
  <c r="D87" i="108" s="1"/>
  <c r="H76" i="108"/>
  <c r="F26" i="108"/>
  <c r="I38" i="108"/>
  <c r="R81" i="108" l="1"/>
  <c r="R83" i="108" s="1"/>
  <c r="R84" i="108" s="1"/>
  <c r="R86" i="108" s="1"/>
  <c r="R87" i="108" s="1"/>
  <c r="F13" i="108"/>
  <c r="F69" i="108"/>
  <c r="F8" i="108"/>
  <c r="C76" i="108"/>
  <c r="F72" i="108"/>
  <c r="F30" i="108"/>
  <c r="F65" i="108"/>
  <c r="F57" i="108"/>
  <c r="F52" i="108"/>
  <c r="F47" i="108"/>
  <c r="F17" i="108"/>
  <c r="F67" i="108"/>
  <c r="F31" i="108"/>
  <c r="F50" i="108"/>
  <c r="F35" i="108"/>
  <c r="F48" i="108"/>
  <c r="F18" i="108"/>
  <c r="F9" i="108"/>
  <c r="F71" i="108"/>
  <c r="F29" i="108"/>
  <c r="F68" i="108"/>
  <c r="F24" i="108"/>
  <c r="F58" i="108"/>
  <c r="F36" i="108"/>
  <c r="F45" i="108"/>
  <c r="F61" i="108"/>
  <c r="F15" i="108"/>
  <c r="F19" i="108"/>
  <c r="F55" i="108"/>
  <c r="F10" i="108"/>
  <c r="F59" i="108"/>
  <c r="F85" i="108"/>
  <c r="F32" i="108"/>
  <c r="F64" i="108"/>
  <c r="F70" i="108"/>
  <c r="F62" i="108"/>
  <c r="F28" i="108"/>
  <c r="F27" i="108"/>
  <c r="F42" i="108"/>
  <c r="F46" i="108"/>
  <c r="F12" i="108"/>
  <c r="F16" i="108"/>
  <c r="F20" i="108"/>
  <c r="F56" i="108"/>
  <c r="F11" i="108"/>
  <c r="F63" i="108"/>
  <c r="F73" i="108"/>
  <c r="F51" i="108"/>
  <c r="F60" i="108"/>
  <c r="F82" i="108"/>
  <c r="F66" i="108"/>
  <c r="F79" i="108"/>
  <c r="N76" i="108"/>
  <c r="I75" i="108"/>
  <c r="I39" i="108"/>
  <c r="H86" i="108"/>
  <c r="H87" i="108" s="1"/>
  <c r="S76" i="108"/>
  <c r="G86" i="108"/>
  <c r="G87" i="108" s="1"/>
  <c r="E76" i="108"/>
  <c r="E81" i="108"/>
  <c r="E83" i="108" s="1"/>
  <c r="E84" i="108" s="1"/>
  <c r="E86" i="108" s="1"/>
  <c r="E87" i="108" s="1"/>
  <c r="I76" i="108" l="1"/>
  <c r="X85" i="107" l="1"/>
  <c r="S85" i="107"/>
  <c r="N85" i="107"/>
  <c r="E85" i="107"/>
  <c r="X82" i="107"/>
  <c r="S82" i="107"/>
  <c r="N82" i="107"/>
  <c r="E82" i="107"/>
  <c r="E79" i="107"/>
  <c r="BF77" i="107"/>
  <c r="X78" i="107"/>
  <c r="S78" i="107"/>
  <c r="N78" i="107"/>
  <c r="E78" i="107"/>
  <c r="W77" i="107"/>
  <c r="V77" i="107"/>
  <c r="R77" i="107"/>
  <c r="Q77" i="107"/>
  <c r="M77" i="107"/>
  <c r="L77" i="107"/>
  <c r="D77" i="107"/>
  <c r="C77" i="107"/>
  <c r="BF74" i="107"/>
  <c r="BF73" i="107" s="1"/>
  <c r="X74" i="107"/>
  <c r="X73" i="107" s="1"/>
  <c r="S74" i="107"/>
  <c r="S73" i="107" s="1"/>
  <c r="L74" i="107"/>
  <c r="E74" i="107"/>
  <c r="E73" i="107" s="1"/>
  <c r="W73" i="107"/>
  <c r="V73" i="107"/>
  <c r="R73" i="107"/>
  <c r="Q73" i="107"/>
  <c r="M73" i="107"/>
  <c r="D73" i="107"/>
  <c r="C73" i="107"/>
  <c r="BF72" i="107"/>
  <c r="BE72" i="107"/>
  <c r="E72" i="107"/>
  <c r="X71" i="107"/>
  <c r="S71" i="107"/>
  <c r="N71" i="107"/>
  <c r="E71" i="107"/>
  <c r="BG70" i="107"/>
  <c r="X70" i="107"/>
  <c r="S70" i="107"/>
  <c r="N70" i="107"/>
  <c r="E70" i="107"/>
  <c r="X69" i="107"/>
  <c r="N69" i="107"/>
  <c r="E69" i="107"/>
  <c r="X68" i="107"/>
  <c r="S68" i="107"/>
  <c r="N68" i="107"/>
  <c r="E68" i="107"/>
  <c r="X67" i="107"/>
  <c r="S67" i="107"/>
  <c r="N67" i="107"/>
  <c r="E67" i="107"/>
  <c r="X66" i="107"/>
  <c r="S66" i="107"/>
  <c r="N66" i="107"/>
  <c r="E66" i="107"/>
  <c r="X65" i="107"/>
  <c r="S65" i="107"/>
  <c r="N65" i="107"/>
  <c r="E65" i="107"/>
  <c r="X64" i="107"/>
  <c r="S64" i="107"/>
  <c r="N64" i="107"/>
  <c r="E64" i="107"/>
  <c r="X63" i="107"/>
  <c r="S63" i="107"/>
  <c r="N63" i="107"/>
  <c r="E63" i="107"/>
  <c r="X62" i="107"/>
  <c r="S62" i="107"/>
  <c r="N62" i="107"/>
  <c r="E62" i="107"/>
  <c r="BG61" i="107"/>
  <c r="X61" i="107"/>
  <c r="S61" i="107"/>
  <c r="N61" i="107"/>
  <c r="E61" i="107"/>
  <c r="X60" i="107"/>
  <c r="S60" i="107"/>
  <c r="N60" i="107"/>
  <c r="E60" i="107"/>
  <c r="BG59" i="107"/>
  <c r="X59" i="107"/>
  <c r="S59" i="107"/>
  <c r="N59" i="107"/>
  <c r="E59" i="107"/>
  <c r="X58" i="107"/>
  <c r="S58" i="107"/>
  <c r="N58" i="107"/>
  <c r="E58" i="107"/>
  <c r="BG57" i="107"/>
  <c r="X57" i="107"/>
  <c r="S57" i="107"/>
  <c r="N57" i="107"/>
  <c r="E57" i="107"/>
  <c r="BG56" i="107"/>
  <c r="X56" i="107"/>
  <c r="S56" i="107"/>
  <c r="N56" i="107"/>
  <c r="E56" i="107"/>
  <c r="X55" i="107"/>
  <c r="S55" i="107"/>
  <c r="N55" i="107"/>
  <c r="E55" i="107"/>
  <c r="W54" i="107"/>
  <c r="V54" i="107"/>
  <c r="R54" i="107"/>
  <c r="Q54" i="107"/>
  <c r="M54" i="107"/>
  <c r="L54" i="107"/>
  <c r="D54" i="107"/>
  <c r="C54" i="107"/>
  <c r="BG53" i="107"/>
  <c r="X52" i="107"/>
  <c r="S52" i="107"/>
  <c r="N52" i="107"/>
  <c r="E52" i="107"/>
  <c r="BG51" i="107"/>
  <c r="X51" i="107"/>
  <c r="S51" i="107"/>
  <c r="N51" i="107"/>
  <c r="E51" i="107"/>
  <c r="W50" i="107"/>
  <c r="V50" i="107"/>
  <c r="R50" i="107"/>
  <c r="Q50" i="107"/>
  <c r="M50" i="107"/>
  <c r="L50" i="107"/>
  <c r="D50" i="107"/>
  <c r="C50" i="107"/>
  <c r="E49" i="107"/>
  <c r="X48" i="107"/>
  <c r="S48" i="107"/>
  <c r="N48" i="107"/>
  <c r="E48" i="107"/>
  <c r="BG47" i="107"/>
  <c r="X47" i="107"/>
  <c r="S47" i="107"/>
  <c r="N47" i="107"/>
  <c r="E47" i="107"/>
  <c r="X46" i="107"/>
  <c r="S46" i="107"/>
  <c r="N46" i="107"/>
  <c r="E46" i="107"/>
  <c r="X45" i="107"/>
  <c r="S45" i="107"/>
  <c r="N45" i="107"/>
  <c r="E45" i="107"/>
  <c r="X44" i="107"/>
  <c r="S44" i="107"/>
  <c r="N44" i="107"/>
  <c r="E44" i="107"/>
  <c r="X43" i="107"/>
  <c r="S43" i="107"/>
  <c r="N43" i="107"/>
  <c r="E43" i="107"/>
  <c r="X42" i="107"/>
  <c r="S42" i="107"/>
  <c r="N42" i="107"/>
  <c r="E42" i="107"/>
  <c r="W41" i="107"/>
  <c r="V41" i="107"/>
  <c r="R41" i="107"/>
  <c r="Q41" i="107"/>
  <c r="M41" i="107"/>
  <c r="L41" i="107"/>
  <c r="D41" i="107"/>
  <c r="C41" i="107"/>
  <c r="BF36" i="107"/>
  <c r="BF35" i="107" s="1"/>
  <c r="BE36" i="107"/>
  <c r="X36" i="107"/>
  <c r="S36" i="107"/>
  <c r="S35" i="107" s="1"/>
  <c r="N36" i="107"/>
  <c r="E36" i="107"/>
  <c r="E35" i="107" s="1"/>
  <c r="W35" i="107"/>
  <c r="V35" i="107"/>
  <c r="R35" i="107"/>
  <c r="Q35" i="107"/>
  <c r="M35" i="107"/>
  <c r="L35" i="107"/>
  <c r="D35" i="107"/>
  <c r="C35" i="107"/>
  <c r="X33" i="107"/>
  <c r="S33" i="107"/>
  <c r="N33" i="107"/>
  <c r="E33" i="107"/>
  <c r="X32" i="107"/>
  <c r="S32" i="107"/>
  <c r="N32" i="107"/>
  <c r="E32" i="107"/>
  <c r="X31" i="107"/>
  <c r="S31" i="107"/>
  <c r="E31" i="107"/>
  <c r="X30" i="107"/>
  <c r="S30" i="107"/>
  <c r="N30" i="107"/>
  <c r="E30" i="107"/>
  <c r="X29" i="107"/>
  <c r="S29" i="107"/>
  <c r="N29" i="107"/>
  <c r="E29" i="107"/>
  <c r="X28" i="107"/>
  <c r="S28" i="107"/>
  <c r="N28" i="107"/>
  <c r="X27" i="107"/>
  <c r="S27" i="107"/>
  <c r="N27" i="107"/>
  <c r="E27" i="107"/>
  <c r="X26" i="107"/>
  <c r="S26" i="107"/>
  <c r="N26" i="107"/>
  <c r="E26" i="107"/>
  <c r="X25" i="107"/>
  <c r="S25" i="107"/>
  <c r="N25" i="107"/>
  <c r="E25" i="107"/>
  <c r="X24" i="107"/>
  <c r="S24" i="107"/>
  <c r="N24" i="107"/>
  <c r="E24" i="107"/>
  <c r="E23" i="107"/>
  <c r="X22" i="107"/>
  <c r="S22" i="107"/>
  <c r="N22" i="107"/>
  <c r="E22" i="107"/>
  <c r="X21" i="107"/>
  <c r="S21" i="107"/>
  <c r="N21" i="107"/>
  <c r="E21" i="107"/>
  <c r="X20" i="107"/>
  <c r="S20" i="107"/>
  <c r="N20" i="107"/>
  <c r="E20" i="107"/>
  <c r="X19" i="107"/>
  <c r="N19" i="107"/>
  <c r="E19" i="107"/>
  <c r="X18" i="107"/>
  <c r="S18" i="107"/>
  <c r="E18" i="107"/>
  <c r="X17" i="107"/>
  <c r="S17" i="107"/>
  <c r="N17" i="107"/>
  <c r="E17" i="107"/>
  <c r="X16" i="107"/>
  <c r="S16" i="107"/>
  <c r="N16" i="107"/>
  <c r="E16" i="107"/>
  <c r="X15" i="107"/>
  <c r="S15" i="107"/>
  <c r="N15" i="107"/>
  <c r="E15" i="107"/>
  <c r="X14" i="107"/>
  <c r="S14" i="107"/>
  <c r="N14" i="107"/>
  <c r="E14" i="107"/>
  <c r="X13" i="107"/>
  <c r="S13" i="107"/>
  <c r="N13" i="107"/>
  <c r="E13" i="107"/>
  <c r="X12" i="107"/>
  <c r="S12" i="107"/>
  <c r="M8" i="107"/>
  <c r="E12" i="107"/>
  <c r="X11" i="107"/>
  <c r="S11" i="107"/>
  <c r="N11" i="107"/>
  <c r="E11" i="107"/>
  <c r="X10" i="107"/>
  <c r="S10" i="107"/>
  <c r="N10" i="107"/>
  <c r="E10" i="107"/>
  <c r="X9" i="107"/>
  <c r="S9" i="107"/>
  <c r="N9" i="107"/>
  <c r="E9" i="107"/>
  <c r="W8" i="107"/>
  <c r="V8" i="107"/>
  <c r="V38" i="107" s="1"/>
  <c r="V39" i="107" s="1"/>
  <c r="R8" i="107"/>
  <c r="D8" i="107"/>
  <c r="X7" i="107"/>
  <c r="S7" i="107"/>
  <c r="N7" i="107"/>
  <c r="E7" i="107"/>
  <c r="X6" i="107"/>
  <c r="S6" i="107"/>
  <c r="S5" i="107" s="1"/>
  <c r="N6" i="107"/>
  <c r="N5" i="107" s="1"/>
  <c r="E6" i="107"/>
  <c r="E5" i="107" s="1"/>
  <c r="R5" i="107"/>
  <c r="Q5" i="107"/>
  <c r="M5" i="107"/>
  <c r="L5" i="107"/>
  <c r="D5" i="107"/>
  <c r="C5" i="107"/>
  <c r="N50" i="107" l="1"/>
  <c r="X5" i="107"/>
  <c r="X50" i="107"/>
  <c r="E50" i="107"/>
  <c r="BG72" i="107"/>
  <c r="BG36" i="107"/>
  <c r="BG35" i="107" s="1"/>
  <c r="X41" i="107"/>
  <c r="BG30" i="107"/>
  <c r="BG45" i="107"/>
  <c r="BE35" i="107"/>
  <c r="BG17" i="107"/>
  <c r="BG23" i="107"/>
  <c r="BG42" i="107"/>
  <c r="BG44" i="107"/>
  <c r="BG46" i="107"/>
  <c r="BG48" i="107"/>
  <c r="BG28" i="107"/>
  <c r="BG58" i="107"/>
  <c r="N41" i="107"/>
  <c r="O41" i="107" s="1"/>
  <c r="L73" i="107"/>
  <c r="X8" i="107"/>
  <c r="X38" i="107" s="1"/>
  <c r="S50" i="107"/>
  <c r="BG60" i="107"/>
  <c r="N74" i="107"/>
  <c r="N73" i="107" s="1"/>
  <c r="W38" i="107"/>
  <c r="W75" i="107" s="1"/>
  <c r="W76" i="107" s="1"/>
  <c r="BG15" i="107"/>
  <c r="BG32" i="107"/>
  <c r="BG55" i="107"/>
  <c r="BG71" i="107"/>
  <c r="BG7" i="107"/>
  <c r="BF41" i="107"/>
  <c r="BG10" i="107"/>
  <c r="E77" i="107"/>
  <c r="D38" i="107"/>
  <c r="BG21" i="107"/>
  <c r="BG16" i="107"/>
  <c r="BG9" i="107"/>
  <c r="BG11" i="107"/>
  <c r="BG14" i="107"/>
  <c r="R38" i="107"/>
  <c r="R39" i="107" s="1"/>
  <c r="BG33" i="107"/>
  <c r="BG29" i="107"/>
  <c r="BG26" i="107"/>
  <c r="BG13" i="107"/>
  <c r="M38" i="107"/>
  <c r="M39" i="107" s="1"/>
  <c r="C8" i="107"/>
  <c r="C38" i="107" s="1"/>
  <c r="E28" i="107"/>
  <c r="Q8" i="107"/>
  <c r="Q38" i="107" s="1"/>
  <c r="S19" i="107"/>
  <c r="N12" i="107"/>
  <c r="L8" i="107"/>
  <c r="L38" i="107" s="1"/>
  <c r="BG18" i="107"/>
  <c r="N18" i="107"/>
  <c r="BG24" i="107"/>
  <c r="BG22" i="107"/>
  <c r="BG27" i="107"/>
  <c r="S41" i="107"/>
  <c r="BG6" i="107"/>
  <c r="BG20" i="107"/>
  <c r="BG43" i="107"/>
  <c r="BE41" i="107"/>
  <c r="BG52" i="107"/>
  <c r="BE50" i="107"/>
  <c r="X54" i="107"/>
  <c r="BF8" i="107"/>
  <c r="BF38" i="107" s="1"/>
  <c r="BG19" i="107"/>
  <c r="X35" i="107"/>
  <c r="E41" i="107"/>
  <c r="BF50" i="107"/>
  <c r="E54" i="107"/>
  <c r="BG31" i="107"/>
  <c r="N54" i="107"/>
  <c r="S69" i="107"/>
  <c r="V75" i="107"/>
  <c r="BG78" i="107"/>
  <c r="BE77" i="107"/>
  <c r="BG25" i="107"/>
  <c r="N35" i="107"/>
  <c r="N31" i="107"/>
  <c r="BF54" i="107"/>
  <c r="BG62" i="107"/>
  <c r="BG63" i="107"/>
  <c r="BG64" i="107"/>
  <c r="BG65" i="107"/>
  <c r="BG66" i="107"/>
  <c r="BG67" i="107"/>
  <c r="BG68" i="107"/>
  <c r="BE74" i="107"/>
  <c r="BG69" i="107"/>
  <c r="X85" i="91"/>
  <c r="X82" i="91"/>
  <c r="X78" i="91"/>
  <c r="W77" i="91"/>
  <c r="V77" i="91"/>
  <c r="X74" i="91"/>
  <c r="X73" i="91" s="1"/>
  <c r="W73" i="91"/>
  <c r="V73" i="91"/>
  <c r="X71" i="91"/>
  <c r="X70" i="91"/>
  <c r="X69" i="91"/>
  <c r="X68" i="91"/>
  <c r="X67" i="91"/>
  <c r="X66" i="91"/>
  <c r="X65" i="91"/>
  <c r="X64" i="91"/>
  <c r="X63" i="91"/>
  <c r="X62" i="91"/>
  <c r="X61" i="91"/>
  <c r="X60" i="91"/>
  <c r="X59" i="91"/>
  <c r="X58" i="91"/>
  <c r="X57" i="91"/>
  <c r="X56" i="91"/>
  <c r="X55" i="91"/>
  <c r="W54" i="91"/>
  <c r="V54" i="91"/>
  <c r="X52" i="91"/>
  <c r="X51" i="91"/>
  <c r="W50" i="91"/>
  <c r="V50" i="91"/>
  <c r="X48" i="91"/>
  <c r="X47" i="91"/>
  <c r="X46" i="91"/>
  <c r="X45" i="91"/>
  <c r="X44" i="91"/>
  <c r="X43" i="91"/>
  <c r="X42" i="91"/>
  <c r="W41" i="91"/>
  <c r="V41" i="91"/>
  <c r="X36" i="91"/>
  <c r="X35" i="91" s="1"/>
  <c r="W35" i="91"/>
  <c r="V35" i="91"/>
  <c r="X33" i="91"/>
  <c r="X32" i="91"/>
  <c r="X31" i="91"/>
  <c r="X30" i="91"/>
  <c r="X29" i="91"/>
  <c r="X28" i="91"/>
  <c r="X27" i="91"/>
  <c r="X26" i="91"/>
  <c r="X25" i="91"/>
  <c r="X24" i="91"/>
  <c r="X21" i="91"/>
  <c r="X20" i="91"/>
  <c r="X19" i="91"/>
  <c r="X18" i="91"/>
  <c r="X17" i="91"/>
  <c r="X16" i="91"/>
  <c r="X15" i="91"/>
  <c r="X14" i="91"/>
  <c r="X13" i="91"/>
  <c r="X12" i="91"/>
  <c r="X11" i="91"/>
  <c r="X10" i="91"/>
  <c r="X9" i="91"/>
  <c r="W8" i="91"/>
  <c r="V8" i="91"/>
  <c r="X7" i="91"/>
  <c r="X6" i="91"/>
  <c r="X5" i="91" s="1"/>
  <c r="W5" i="91"/>
  <c r="V5" i="91"/>
  <c r="X41" i="91" l="1"/>
  <c r="X50" i="91"/>
  <c r="BG5" i="107"/>
  <c r="BG41" i="107"/>
  <c r="W81" i="107"/>
  <c r="W83" i="107" s="1"/>
  <c r="W84" i="107" s="1"/>
  <c r="W86" i="107" s="1"/>
  <c r="W87" i="107" s="1"/>
  <c r="W39" i="107"/>
  <c r="R75" i="107"/>
  <c r="R81" i="107" s="1"/>
  <c r="R83" i="107" s="1"/>
  <c r="R84" i="107" s="1"/>
  <c r="R86" i="107" s="1"/>
  <c r="R87" i="107" s="1"/>
  <c r="V38" i="91"/>
  <c r="V39" i="91" s="1"/>
  <c r="D39" i="107"/>
  <c r="D75" i="107"/>
  <c r="BG54" i="107"/>
  <c r="M75" i="107"/>
  <c r="M81" i="107" s="1"/>
  <c r="M83" i="107" s="1"/>
  <c r="M84" i="107" s="1"/>
  <c r="BF75" i="107"/>
  <c r="BF81" i="107" s="1"/>
  <c r="BF83" i="107" s="1"/>
  <c r="BF39" i="107"/>
  <c r="E8" i="107"/>
  <c r="L75" i="107"/>
  <c r="L39" i="107"/>
  <c r="X75" i="107"/>
  <c r="X39" i="107"/>
  <c r="BG12" i="107"/>
  <c r="BE8" i="107"/>
  <c r="BE38" i="107" s="1"/>
  <c r="N8" i="107"/>
  <c r="Q75" i="107"/>
  <c r="Q39" i="107"/>
  <c r="V76" i="107"/>
  <c r="V81" i="107"/>
  <c r="V83" i="107" s="1"/>
  <c r="V84" i="107" s="1"/>
  <c r="V86" i="107" s="1"/>
  <c r="V87" i="107" s="1"/>
  <c r="C75" i="107"/>
  <c r="C39" i="107"/>
  <c r="BG74" i="107"/>
  <c r="BG73" i="107" s="1"/>
  <c r="BE73" i="107"/>
  <c r="BE54" i="107"/>
  <c r="BG50" i="107"/>
  <c r="S8" i="107"/>
  <c r="S54" i="107"/>
  <c r="X54" i="91"/>
  <c r="W38" i="91"/>
  <c r="W75" i="91" s="1"/>
  <c r="V75" i="91"/>
  <c r="X8" i="91"/>
  <c r="AC85" i="99"/>
  <c r="AC82" i="99"/>
  <c r="AC78" i="99"/>
  <c r="AB77" i="99"/>
  <c r="AA77" i="99"/>
  <c r="AC74" i="99"/>
  <c r="AC73" i="99" s="1"/>
  <c r="AB73" i="99"/>
  <c r="AA73" i="99"/>
  <c r="AC71" i="99"/>
  <c r="AC70" i="99"/>
  <c r="AC69" i="99"/>
  <c r="AC68" i="99"/>
  <c r="AC67" i="99"/>
  <c r="AC66" i="99"/>
  <c r="AC65" i="99"/>
  <c r="AC64" i="99"/>
  <c r="AC63" i="99"/>
  <c r="AC62" i="99"/>
  <c r="AC61" i="99"/>
  <c r="AC60" i="99"/>
  <c r="AC59" i="99"/>
  <c r="AC58" i="99"/>
  <c r="AC57" i="99"/>
  <c r="AC56" i="99"/>
  <c r="AC55" i="99"/>
  <c r="AB54" i="99"/>
  <c r="AA54" i="99"/>
  <c r="AC52" i="99"/>
  <c r="AC51" i="99"/>
  <c r="AB50" i="99"/>
  <c r="AA50" i="99"/>
  <c r="AC48" i="99"/>
  <c r="AC47" i="99"/>
  <c r="AC46" i="99"/>
  <c r="AC45" i="99"/>
  <c r="AC44" i="99"/>
  <c r="AC43" i="99"/>
  <c r="AC42" i="99"/>
  <c r="AB41" i="99"/>
  <c r="AA41" i="99"/>
  <c r="AC36" i="99"/>
  <c r="AB35" i="99"/>
  <c r="AA35" i="99"/>
  <c r="AC33" i="99"/>
  <c r="AC32" i="99"/>
  <c r="AC31" i="99"/>
  <c r="AC30" i="99"/>
  <c r="AC29" i="99"/>
  <c r="AC28" i="99"/>
  <c r="AC27" i="99"/>
  <c r="AC26" i="99"/>
  <c r="AC25" i="99"/>
  <c r="AC24" i="99"/>
  <c r="AC23" i="99"/>
  <c r="AC22" i="99"/>
  <c r="AC21" i="99"/>
  <c r="AC20" i="99"/>
  <c r="AC19" i="99"/>
  <c r="AC18" i="99"/>
  <c r="AC17" i="99"/>
  <c r="AC16" i="99"/>
  <c r="AC15" i="99"/>
  <c r="AC14" i="99"/>
  <c r="AC13" i="99"/>
  <c r="AC12" i="99"/>
  <c r="AC11" i="99"/>
  <c r="AC10" i="99"/>
  <c r="AC9" i="99"/>
  <c r="AB8" i="99"/>
  <c r="AA8" i="99"/>
  <c r="AC7" i="99"/>
  <c r="AC6" i="99"/>
  <c r="AC5" i="99" s="1"/>
  <c r="AB5" i="99"/>
  <c r="AA5" i="99"/>
  <c r="AC9" i="102"/>
  <c r="AC78" i="102"/>
  <c r="AB77" i="102"/>
  <c r="AA77" i="102"/>
  <c r="AC74" i="102"/>
  <c r="AC73" i="102" s="1"/>
  <c r="AB73" i="102"/>
  <c r="AA73" i="102"/>
  <c r="AC71" i="102"/>
  <c r="AC70" i="102"/>
  <c r="AC69" i="102"/>
  <c r="AC68" i="102"/>
  <c r="AC67" i="102"/>
  <c r="AC66" i="102"/>
  <c r="AC65" i="102"/>
  <c r="AC64" i="102"/>
  <c r="AC63" i="102"/>
  <c r="AC62" i="102"/>
  <c r="AC61" i="102"/>
  <c r="AC60" i="102"/>
  <c r="AC59" i="102"/>
  <c r="AC58" i="102"/>
  <c r="AC57" i="102"/>
  <c r="AC56" i="102"/>
  <c r="AC55" i="102"/>
  <c r="AB54" i="102"/>
  <c r="AA54" i="102"/>
  <c r="AC52" i="102"/>
  <c r="AC51" i="102"/>
  <c r="AB50" i="102"/>
  <c r="AA50" i="102"/>
  <c r="AC48" i="102"/>
  <c r="AC47" i="102"/>
  <c r="AC46" i="102"/>
  <c r="AC45" i="102"/>
  <c r="AC44" i="102"/>
  <c r="AC43" i="102"/>
  <c r="AC42" i="102"/>
  <c r="AB41" i="102"/>
  <c r="AA41" i="102"/>
  <c r="AC36" i="102"/>
  <c r="AC35" i="102" s="1"/>
  <c r="AB35" i="102"/>
  <c r="AA35" i="102"/>
  <c r="AC33" i="102"/>
  <c r="AC32" i="102"/>
  <c r="AC31" i="102"/>
  <c r="AC30" i="102"/>
  <c r="AC29" i="102"/>
  <c r="AC28" i="102"/>
  <c r="AC27" i="102"/>
  <c r="AC26" i="102"/>
  <c r="AC25" i="102"/>
  <c r="AC24" i="102"/>
  <c r="AC23" i="102"/>
  <c r="AC22" i="102"/>
  <c r="AC21" i="102"/>
  <c r="AC20" i="102"/>
  <c r="AC19" i="102"/>
  <c r="AC18" i="102"/>
  <c r="AC17" i="102"/>
  <c r="AC16" i="102"/>
  <c r="AC15" i="102"/>
  <c r="AC14" i="102"/>
  <c r="AC13" i="102"/>
  <c r="AB8" i="102"/>
  <c r="AC11" i="102"/>
  <c r="AC10" i="102"/>
  <c r="AC7" i="102"/>
  <c r="AC6" i="102"/>
  <c r="AC5" i="102" s="1"/>
  <c r="AB5" i="102"/>
  <c r="AA5" i="102"/>
  <c r="AH85" i="86"/>
  <c r="AH82" i="86"/>
  <c r="AH78" i="86"/>
  <c r="AG77" i="86"/>
  <c r="AF77" i="86"/>
  <c r="AH74" i="86"/>
  <c r="AH73" i="86" s="1"/>
  <c r="AG73" i="86"/>
  <c r="AF73" i="86"/>
  <c r="AH71" i="86"/>
  <c r="AH70" i="86"/>
  <c r="AH69" i="86"/>
  <c r="AH68" i="86"/>
  <c r="AH67" i="86"/>
  <c r="AH66" i="86"/>
  <c r="AH65" i="86"/>
  <c r="AH64" i="86"/>
  <c r="AH63" i="86"/>
  <c r="AH62" i="86"/>
  <c r="AH61" i="86"/>
  <c r="AH60" i="86"/>
  <c r="AH59" i="86"/>
  <c r="AH58" i="86"/>
  <c r="AH57" i="86"/>
  <c r="AH56" i="86"/>
  <c r="AH55" i="86"/>
  <c r="AG54" i="86"/>
  <c r="AF54" i="86"/>
  <c r="AH52" i="86"/>
  <c r="AH51" i="86"/>
  <c r="AG50" i="86"/>
  <c r="AF50" i="86"/>
  <c r="AH48" i="86"/>
  <c r="AH47" i="86"/>
  <c r="AH46" i="86"/>
  <c r="AH45" i="86"/>
  <c r="AH44" i="86"/>
  <c r="AH43" i="86"/>
  <c r="AH42" i="86"/>
  <c r="AG41" i="86"/>
  <c r="AF41" i="86"/>
  <c r="AH36" i="86"/>
  <c r="AH35" i="86" s="1"/>
  <c r="AG35" i="86"/>
  <c r="AF35" i="86"/>
  <c r="AH33" i="86"/>
  <c r="AH32" i="86"/>
  <c r="AH31" i="86"/>
  <c r="AH30" i="86"/>
  <c r="AH29" i="86"/>
  <c r="AH28" i="86"/>
  <c r="AH27" i="86"/>
  <c r="AH26" i="86"/>
  <c r="AF8" i="86"/>
  <c r="AH24" i="86"/>
  <c r="AH21" i="86"/>
  <c r="AH20" i="86"/>
  <c r="AH19" i="86"/>
  <c r="AH18" i="86"/>
  <c r="AH17" i="86"/>
  <c r="AH16" i="86"/>
  <c r="AH15" i="86"/>
  <c r="AH14" i="86"/>
  <c r="AH13" i="86"/>
  <c r="AH12" i="86"/>
  <c r="AH11" i="86"/>
  <c r="AH10" i="86"/>
  <c r="AH9" i="86"/>
  <c r="AG8" i="86"/>
  <c r="AH7" i="86"/>
  <c r="AH6" i="86"/>
  <c r="AH5" i="86" s="1"/>
  <c r="AG5" i="86"/>
  <c r="AG38" i="86" s="1"/>
  <c r="AF5" i="86"/>
  <c r="AH85" i="90"/>
  <c r="AH82" i="90"/>
  <c r="AH80" i="90"/>
  <c r="AH78" i="90"/>
  <c r="AG77" i="90"/>
  <c r="AF77" i="90"/>
  <c r="AH74" i="90"/>
  <c r="AH73" i="90" s="1"/>
  <c r="AG73" i="90"/>
  <c r="AF73" i="90"/>
  <c r="AH72" i="90"/>
  <c r="AH71" i="90"/>
  <c r="AH70" i="90"/>
  <c r="AH69" i="90"/>
  <c r="AH68" i="90"/>
  <c r="AH67" i="90"/>
  <c r="AH66" i="90"/>
  <c r="AH65" i="90"/>
  <c r="AH64" i="90"/>
  <c r="AH63" i="90"/>
  <c r="AH62" i="90"/>
  <c r="AH61" i="90"/>
  <c r="AH60" i="90"/>
  <c r="AH59" i="90"/>
  <c r="AH58" i="90"/>
  <c r="AH57" i="90"/>
  <c r="AH56" i="90"/>
  <c r="AH55" i="90"/>
  <c r="AG54" i="90"/>
  <c r="AF54" i="90"/>
  <c r="AH53" i="90"/>
  <c r="AH52" i="90"/>
  <c r="AH51" i="90"/>
  <c r="AG50" i="90"/>
  <c r="AF50" i="90"/>
  <c r="AH49" i="90"/>
  <c r="AH48" i="90"/>
  <c r="AH47" i="90"/>
  <c r="AH46" i="90"/>
  <c r="AH45" i="90"/>
  <c r="AH44" i="90"/>
  <c r="AH43" i="90"/>
  <c r="AH42" i="90"/>
  <c r="AG41" i="90"/>
  <c r="AF41" i="90"/>
  <c r="AH37" i="90"/>
  <c r="AH35" i="90"/>
  <c r="AG35" i="90"/>
  <c r="AF35" i="90"/>
  <c r="AH33" i="90"/>
  <c r="AH32" i="90"/>
  <c r="AH31" i="90"/>
  <c r="AH30" i="90"/>
  <c r="AH29" i="90"/>
  <c r="AH28" i="90"/>
  <c r="AH27" i="90"/>
  <c r="AH26" i="90"/>
  <c r="AH25" i="90"/>
  <c r="AH24" i="90"/>
  <c r="AH21" i="90"/>
  <c r="AH20" i="90"/>
  <c r="AF8" i="90"/>
  <c r="AH18" i="90"/>
  <c r="AH17" i="90"/>
  <c r="AG8" i="90"/>
  <c r="AH11" i="90"/>
  <c r="AH10" i="90"/>
  <c r="AH9" i="90"/>
  <c r="AH7" i="90"/>
  <c r="AH6" i="90"/>
  <c r="AH5" i="90" s="1"/>
  <c r="AG5" i="90"/>
  <c r="AF5" i="90"/>
  <c r="BQ23" i="96"/>
  <c r="BU23" i="96" s="1"/>
  <c r="AH85" i="96"/>
  <c r="AH82" i="96"/>
  <c r="AH78" i="96"/>
  <c r="AH74" i="96"/>
  <c r="AH73" i="96" s="1"/>
  <c r="AG73" i="96"/>
  <c r="AF73" i="96"/>
  <c r="AH71" i="96"/>
  <c r="AH70" i="96"/>
  <c r="AH69" i="96"/>
  <c r="AH68" i="96"/>
  <c r="AH67" i="96"/>
  <c r="AH66" i="96"/>
  <c r="AH65" i="96"/>
  <c r="AH64" i="96"/>
  <c r="AH63" i="96"/>
  <c r="AH62" i="96"/>
  <c r="AH61" i="96"/>
  <c r="AH60" i="96"/>
  <c r="AH59" i="96"/>
  <c r="AH58" i="96"/>
  <c r="AH57" i="96"/>
  <c r="AH56" i="96"/>
  <c r="AH55" i="96"/>
  <c r="AG54" i="96"/>
  <c r="AF54" i="96"/>
  <c r="AH52" i="96"/>
  <c r="AH51" i="96"/>
  <c r="AG50" i="96"/>
  <c r="AF50" i="96"/>
  <c r="AH48" i="96"/>
  <c r="AH47" i="96"/>
  <c r="AH46" i="96"/>
  <c r="AH45" i="96"/>
  <c r="AH44" i="96"/>
  <c r="AH43" i="96"/>
  <c r="AH42" i="96"/>
  <c r="AG41" i="96"/>
  <c r="AF41" i="96"/>
  <c r="AH36" i="96"/>
  <c r="AH35" i="96" s="1"/>
  <c r="AG35" i="96"/>
  <c r="AF35" i="96"/>
  <c r="AH33" i="96"/>
  <c r="AH32" i="96"/>
  <c r="AH31" i="96"/>
  <c r="AH30" i="96"/>
  <c r="AH29" i="96"/>
  <c r="AH28" i="96"/>
  <c r="AH27" i="96"/>
  <c r="AH26" i="96"/>
  <c r="AH25" i="96"/>
  <c r="AH24" i="96"/>
  <c r="AH21" i="96"/>
  <c r="AH20" i="96"/>
  <c r="AH19" i="96"/>
  <c r="AH18" i="96"/>
  <c r="AH17" i="96"/>
  <c r="AH16" i="96"/>
  <c r="AH15" i="96"/>
  <c r="AH14" i="96"/>
  <c r="AH13" i="96"/>
  <c r="AH12" i="96"/>
  <c r="AH11" i="96"/>
  <c r="AH10" i="96"/>
  <c r="AH9" i="96"/>
  <c r="AF8" i="96"/>
  <c r="AH7" i="96"/>
  <c r="AH6" i="96"/>
  <c r="AG5" i="96"/>
  <c r="AF38" i="86" l="1"/>
  <c r="AB38" i="99"/>
  <c r="AH50" i="86"/>
  <c r="AC79" i="99"/>
  <c r="AC77" i="99" s="1"/>
  <c r="AC50" i="99"/>
  <c r="AC54" i="99"/>
  <c r="AH54" i="86"/>
  <c r="AH50" i="90"/>
  <c r="AC50" i="102"/>
  <c r="BF84" i="107"/>
  <c r="BF86" i="107" s="1"/>
  <c r="BF87" i="107" s="1"/>
  <c r="W39" i="91"/>
  <c r="R76" i="107"/>
  <c r="AH50" i="96"/>
  <c r="AH5" i="96"/>
  <c r="BP5" i="96"/>
  <c r="AC8" i="99"/>
  <c r="AC38" i="99" s="1"/>
  <c r="AC41" i="99"/>
  <c r="X38" i="91"/>
  <c r="X75" i="91" s="1"/>
  <c r="M76" i="107"/>
  <c r="D76" i="107"/>
  <c r="D81" i="107"/>
  <c r="D83" i="107" s="1"/>
  <c r="D84" i="107" s="1"/>
  <c r="D86" i="107" s="1"/>
  <c r="D87" i="107" s="1"/>
  <c r="S38" i="107"/>
  <c r="Q81" i="107"/>
  <c r="Q83" i="107" s="1"/>
  <c r="Q84" i="107" s="1"/>
  <c r="Q86" i="107" s="1"/>
  <c r="Q87" i="107" s="1"/>
  <c r="Q76" i="107"/>
  <c r="BE75" i="107"/>
  <c r="BE81" i="107" s="1"/>
  <c r="BE83" i="107" s="1"/>
  <c r="BE39" i="107"/>
  <c r="L81" i="107"/>
  <c r="L83" i="107" s="1"/>
  <c r="L84" i="107" s="1"/>
  <c r="L76" i="107"/>
  <c r="M86" i="107"/>
  <c r="M87" i="107" s="1"/>
  <c r="X76" i="107"/>
  <c r="BF76" i="107"/>
  <c r="C76" i="107"/>
  <c r="C81" i="107"/>
  <c r="C83" i="107" s="1"/>
  <c r="C84" i="107" s="1"/>
  <c r="C86" i="107" s="1"/>
  <c r="C87" i="107" s="1"/>
  <c r="E89" i="107"/>
  <c r="F8" i="107" s="1"/>
  <c r="E38" i="107"/>
  <c r="N38" i="107"/>
  <c r="BG8" i="107"/>
  <c r="W81" i="91"/>
  <c r="W83" i="91" s="1"/>
  <c r="W84" i="91" s="1"/>
  <c r="W86" i="91" s="1"/>
  <c r="W76" i="91"/>
  <c r="V81" i="91"/>
  <c r="V83" i="91" s="1"/>
  <c r="V84" i="91" s="1"/>
  <c r="V86" i="91" s="1"/>
  <c r="V76" i="91"/>
  <c r="AA38" i="99"/>
  <c r="AA39" i="99" s="1"/>
  <c r="AB75" i="99"/>
  <c r="AB39" i="99"/>
  <c r="AC35" i="99"/>
  <c r="AC41" i="102"/>
  <c r="AB38" i="102"/>
  <c r="AC54" i="102"/>
  <c r="AA8" i="102"/>
  <c r="AA38" i="102" s="1"/>
  <c r="AC12" i="102"/>
  <c r="AG75" i="86"/>
  <c r="AG81" i="86" s="1"/>
  <c r="AG83" i="86" s="1"/>
  <c r="AG84" i="86" s="1"/>
  <c r="AG39" i="86"/>
  <c r="AF39" i="86"/>
  <c r="AF75" i="86"/>
  <c r="AF81" i="86" s="1"/>
  <c r="AF83" i="86" s="1"/>
  <c r="AF84" i="86" s="1"/>
  <c r="AH25" i="86"/>
  <c r="AH41" i="86"/>
  <c r="AH41" i="90"/>
  <c r="AF38" i="90"/>
  <c r="AF39" i="90" s="1"/>
  <c r="AG38" i="90"/>
  <c r="AH54" i="90"/>
  <c r="AH12" i="90"/>
  <c r="AH19" i="90"/>
  <c r="AH41" i="96"/>
  <c r="AF38" i="96"/>
  <c r="AH8" i="96"/>
  <c r="AG8" i="96"/>
  <c r="AH54" i="96"/>
  <c r="AH85" i="95"/>
  <c r="AH82" i="95"/>
  <c r="AH78" i="95"/>
  <c r="AG77" i="95"/>
  <c r="AF77" i="95"/>
  <c r="AH74" i="95"/>
  <c r="AH73" i="95" s="1"/>
  <c r="AG73" i="95"/>
  <c r="AF73" i="95"/>
  <c r="AH71" i="95"/>
  <c r="AH70" i="95"/>
  <c r="AH69" i="95"/>
  <c r="AH68" i="95"/>
  <c r="AH67" i="95"/>
  <c r="AH66" i="95"/>
  <c r="AH65" i="95"/>
  <c r="AH64" i="95"/>
  <c r="AH63" i="95"/>
  <c r="AH62" i="95"/>
  <c r="AH61" i="95"/>
  <c r="AF54" i="95"/>
  <c r="AH59" i="95"/>
  <c r="AH58" i="95"/>
  <c r="AH57" i="95"/>
  <c r="AH56" i="95"/>
  <c r="AH55" i="95"/>
  <c r="AG54" i="95"/>
  <c r="AH52" i="95"/>
  <c r="AH51" i="95"/>
  <c r="AG50" i="95"/>
  <c r="AF50" i="95"/>
  <c r="AH48" i="95"/>
  <c r="AH47" i="95"/>
  <c r="AH46" i="95"/>
  <c r="AH45" i="95"/>
  <c r="AH44" i="95"/>
  <c r="AH43" i="95"/>
  <c r="AH42" i="95"/>
  <c r="AG41" i="95"/>
  <c r="AF41" i="95"/>
  <c r="AH36" i="95"/>
  <c r="AH35" i="95" s="1"/>
  <c r="AG35" i="95"/>
  <c r="AF35" i="95"/>
  <c r="AH33" i="95"/>
  <c r="AH32" i="95"/>
  <c r="AH31" i="95"/>
  <c r="AH30" i="95"/>
  <c r="AH29" i="95"/>
  <c r="AH28" i="95"/>
  <c r="AH27" i="95"/>
  <c r="AH26" i="95"/>
  <c r="AH25" i="95"/>
  <c r="AH24" i="95"/>
  <c r="AH23" i="95"/>
  <c r="AH22" i="95"/>
  <c r="AH21" i="95"/>
  <c r="AH20" i="95"/>
  <c r="AF8" i="95"/>
  <c r="AH18" i="95"/>
  <c r="AH17" i="95"/>
  <c r="AH16" i="95"/>
  <c r="AH15" i="95"/>
  <c r="AH14" i="95"/>
  <c r="AH13" i="95"/>
  <c r="AH12" i="95"/>
  <c r="AH11" i="95"/>
  <c r="AH10" i="95"/>
  <c r="AH9" i="95"/>
  <c r="AG8" i="95"/>
  <c r="AH7" i="95"/>
  <c r="AH6" i="95"/>
  <c r="AH5" i="95" s="1"/>
  <c r="AG5" i="95"/>
  <c r="AF5" i="95"/>
  <c r="AC89" i="99" l="1"/>
  <c r="AN8" i="99" s="1"/>
  <c r="X39" i="91"/>
  <c r="AA75" i="99"/>
  <c r="AA81" i="99" s="1"/>
  <c r="AA83" i="99" s="1"/>
  <c r="AA84" i="99" s="1"/>
  <c r="AA86" i="99" s="1"/>
  <c r="AA87" i="99" s="1"/>
  <c r="AG38" i="95"/>
  <c r="AG39" i="95" s="1"/>
  <c r="BE84" i="107"/>
  <c r="BE86" i="107" s="1"/>
  <c r="BE87" i="107" s="1"/>
  <c r="AH8" i="90"/>
  <c r="AH50" i="95"/>
  <c r="AF39" i="96"/>
  <c r="AF75" i="96"/>
  <c r="AH38" i="96"/>
  <c r="AH39" i="96" s="1"/>
  <c r="W87" i="91"/>
  <c r="AH41" i="95"/>
  <c r="V87" i="91"/>
  <c r="AF75" i="90"/>
  <c r="AF81" i="90" s="1"/>
  <c r="AF83" i="90" s="1"/>
  <c r="AF84" i="90" s="1"/>
  <c r="AF86" i="90" s="1"/>
  <c r="AF87" i="90" s="1"/>
  <c r="E75" i="107"/>
  <c r="E39" i="107"/>
  <c r="S75" i="107"/>
  <c r="S39" i="107"/>
  <c r="N75" i="107"/>
  <c r="N39" i="107"/>
  <c r="BE76" i="107"/>
  <c r="F59" i="107"/>
  <c r="F60" i="107"/>
  <c r="F35" i="107"/>
  <c r="F79" i="107"/>
  <c r="F56" i="107"/>
  <c r="F36" i="107"/>
  <c r="F57" i="107"/>
  <c r="F19" i="107"/>
  <c r="F21" i="107"/>
  <c r="F30" i="107"/>
  <c r="F29" i="107"/>
  <c r="F71" i="107"/>
  <c r="F18" i="107"/>
  <c r="F24" i="107"/>
  <c r="F9" i="107"/>
  <c r="F50" i="107"/>
  <c r="F67" i="107"/>
  <c r="F65" i="107"/>
  <c r="F85" i="107"/>
  <c r="F10" i="107"/>
  <c r="F17" i="107"/>
  <c r="F51" i="107"/>
  <c r="F20" i="107"/>
  <c r="F55" i="107"/>
  <c r="F31" i="107"/>
  <c r="F68" i="107"/>
  <c r="F32" i="107"/>
  <c r="F12" i="107"/>
  <c r="F61" i="107"/>
  <c r="F33" i="107"/>
  <c r="F16" i="107"/>
  <c r="F14" i="107"/>
  <c r="F42" i="107"/>
  <c r="F43" i="107"/>
  <c r="F62" i="107"/>
  <c r="F48" i="107"/>
  <c r="F69" i="107"/>
  <c r="F70" i="107"/>
  <c r="F64" i="107"/>
  <c r="F27" i="107"/>
  <c r="F58" i="107"/>
  <c r="F82" i="107"/>
  <c r="F66" i="107"/>
  <c r="F72" i="107"/>
  <c r="F11" i="107"/>
  <c r="F45" i="107"/>
  <c r="F13" i="107"/>
  <c r="F26" i="107"/>
  <c r="F15" i="107"/>
  <c r="F25" i="107"/>
  <c r="F52" i="107"/>
  <c r="F46" i="107"/>
  <c r="F63" i="107"/>
  <c r="F47" i="107"/>
  <c r="F44" i="107"/>
  <c r="F73" i="107"/>
  <c r="F54" i="107"/>
  <c r="F41" i="107"/>
  <c r="F28" i="107"/>
  <c r="BG38" i="107"/>
  <c r="L86" i="107"/>
  <c r="L87" i="107" s="1"/>
  <c r="X76" i="91"/>
  <c r="AB81" i="99"/>
  <c r="AB83" i="99" s="1"/>
  <c r="AB84" i="99" s="1"/>
  <c r="AB86" i="99" s="1"/>
  <c r="AB87" i="99" s="1"/>
  <c r="AB76" i="99"/>
  <c r="AC75" i="99"/>
  <c r="AC39" i="99"/>
  <c r="AC8" i="102"/>
  <c r="AA75" i="102"/>
  <c r="AA81" i="102" s="1"/>
  <c r="AA83" i="102" s="1"/>
  <c r="AA84" i="102" s="1"/>
  <c r="AA86" i="102" s="1"/>
  <c r="AA87" i="102" s="1"/>
  <c r="AA39" i="102"/>
  <c r="AB75" i="102"/>
  <c r="AB81" i="102" s="1"/>
  <c r="AB83" i="102" s="1"/>
  <c r="AB84" i="102" s="1"/>
  <c r="AB86" i="102" s="1"/>
  <c r="AB87" i="102" s="1"/>
  <c r="AB39" i="102"/>
  <c r="AF86" i="86"/>
  <c r="AF87" i="86" s="1"/>
  <c r="AF76" i="86"/>
  <c r="AH8" i="86"/>
  <c r="AG76" i="86"/>
  <c r="AG86" i="86"/>
  <c r="AG87" i="86" s="1"/>
  <c r="AG39" i="90"/>
  <c r="AG75" i="90"/>
  <c r="AH38" i="90"/>
  <c r="AG38" i="96"/>
  <c r="AG75" i="96" s="1"/>
  <c r="AF38" i="95"/>
  <c r="AH19" i="95"/>
  <c r="AH60" i="95"/>
  <c r="AD14" i="99" l="1"/>
  <c r="AD55" i="99"/>
  <c r="AD33" i="99"/>
  <c r="AD54" i="99"/>
  <c r="AD20" i="99"/>
  <c r="AD27" i="99"/>
  <c r="AD11" i="99"/>
  <c r="AD17" i="99"/>
  <c r="AD47" i="99"/>
  <c r="AD62" i="99"/>
  <c r="AD56" i="99"/>
  <c r="AD65" i="99"/>
  <c r="AD30" i="99"/>
  <c r="AD71" i="99"/>
  <c r="AD48" i="99"/>
  <c r="AD25" i="99"/>
  <c r="AD42" i="99"/>
  <c r="AD64" i="99"/>
  <c r="AD28" i="99"/>
  <c r="AD12" i="99"/>
  <c r="AD57" i="99"/>
  <c r="AD8" i="99"/>
  <c r="AD19" i="99"/>
  <c r="AD52" i="99"/>
  <c r="AD70" i="99"/>
  <c r="AD22" i="99"/>
  <c r="AD45" i="99"/>
  <c r="AD63" i="99"/>
  <c r="AC93" i="99"/>
  <c r="AD41" i="99"/>
  <c r="AD29" i="99"/>
  <c r="AD21" i="99"/>
  <c r="AD13" i="99"/>
  <c r="AD46" i="99"/>
  <c r="AD60" i="99"/>
  <c r="AD68" i="99"/>
  <c r="AD32" i="99"/>
  <c r="AD24" i="99"/>
  <c r="AD16" i="99"/>
  <c r="AD43" i="99"/>
  <c r="AD51" i="99"/>
  <c r="AD61" i="99"/>
  <c r="AD69" i="99"/>
  <c r="AD31" i="99"/>
  <c r="AD23" i="99"/>
  <c r="AD15" i="99"/>
  <c r="AD44" i="99"/>
  <c r="AD58" i="99"/>
  <c r="AD66" i="99"/>
  <c r="AD9" i="99"/>
  <c r="AD26" i="99"/>
  <c r="AD18" i="99"/>
  <c r="AD10" i="99"/>
  <c r="AD49" i="99"/>
  <c r="AD59" i="99"/>
  <c r="AD67" i="99"/>
  <c r="AI8" i="99"/>
  <c r="AG75" i="95"/>
  <c r="AG81" i="95" s="1"/>
  <c r="AG83" i="95" s="1"/>
  <c r="AG84" i="95" s="1"/>
  <c r="AG86" i="95" s="1"/>
  <c r="AG87" i="95" s="1"/>
  <c r="AA76" i="99"/>
  <c r="AH75" i="96"/>
  <c r="AH76" i="96" s="1"/>
  <c r="AG76" i="96"/>
  <c r="AG81" i="96"/>
  <c r="AG83" i="96" s="1"/>
  <c r="AF76" i="96"/>
  <c r="AF81" i="96"/>
  <c r="AF83" i="96" s="1"/>
  <c r="AF84" i="96" s="1"/>
  <c r="AF86" i="96" s="1"/>
  <c r="AF87" i="96" s="1"/>
  <c r="AF76" i="90"/>
  <c r="S76" i="107"/>
  <c r="BG39" i="107"/>
  <c r="BG75" i="107"/>
  <c r="N76" i="107"/>
  <c r="E81" i="107"/>
  <c r="E83" i="107" s="1"/>
  <c r="E84" i="107" s="1"/>
  <c r="E86" i="107" s="1"/>
  <c r="E87" i="107" s="1"/>
  <c r="E76" i="107"/>
  <c r="AC81" i="99"/>
  <c r="AC83" i="99" s="1"/>
  <c r="AC84" i="99" s="1"/>
  <c r="AC86" i="99" s="1"/>
  <c r="AC87" i="99" s="1"/>
  <c r="AC76" i="99"/>
  <c r="AA76" i="102"/>
  <c r="AB76" i="102"/>
  <c r="AC38" i="102"/>
  <c r="AH38" i="86"/>
  <c r="AG81" i="90"/>
  <c r="AG83" i="90" s="1"/>
  <c r="AG84" i="90" s="1"/>
  <c r="AG86" i="90" s="1"/>
  <c r="AG87" i="90" s="1"/>
  <c r="AG76" i="90"/>
  <c r="AH75" i="90"/>
  <c r="AH39" i="90"/>
  <c r="AG39" i="96"/>
  <c r="AH8" i="95"/>
  <c r="AF75" i="95"/>
  <c r="AF39" i="95"/>
  <c r="AH54" i="95"/>
  <c r="AA1" i="95"/>
  <c r="AG76" i="95" l="1"/>
  <c r="BG76" i="107"/>
  <c r="AC75" i="102"/>
  <c r="AC39" i="102"/>
  <c r="AH75" i="86"/>
  <c r="AH39" i="86"/>
  <c r="AH76" i="90"/>
  <c r="AG84" i="96"/>
  <c r="AG86" i="96" s="1"/>
  <c r="AG87" i="96" s="1"/>
  <c r="AF81" i="95"/>
  <c r="AF83" i="95" s="1"/>
  <c r="AF84" i="95" s="1"/>
  <c r="AF86" i="95" s="1"/>
  <c r="AF87" i="95" s="1"/>
  <c r="AF76" i="95"/>
  <c r="AH38" i="95"/>
  <c r="AC76" i="102" l="1"/>
  <c r="AH76" i="86"/>
  <c r="AH39" i="95"/>
  <c r="AH75" i="95"/>
  <c r="AA26" i="95"/>
  <c r="AH76" i="95" l="1"/>
  <c r="L24" i="102" l="1"/>
  <c r="G24" i="102"/>
  <c r="W16" i="102" l="1"/>
  <c r="R30" i="91" l="1"/>
  <c r="BF30" i="91" s="1"/>
  <c r="BF36" i="91"/>
  <c r="BE36" i="91"/>
  <c r="S85" i="91"/>
  <c r="S82" i="91"/>
  <c r="S78" i="91"/>
  <c r="R77" i="91"/>
  <c r="Q77" i="91"/>
  <c r="S74" i="91"/>
  <c r="S73" i="91" s="1"/>
  <c r="R73" i="91"/>
  <c r="Q73" i="91"/>
  <c r="S71" i="91"/>
  <c r="S70" i="91"/>
  <c r="S69" i="91"/>
  <c r="S68" i="91"/>
  <c r="S67" i="91"/>
  <c r="S66" i="91"/>
  <c r="S65" i="91"/>
  <c r="S64" i="91"/>
  <c r="S63" i="91"/>
  <c r="S62" i="91"/>
  <c r="S61" i="91"/>
  <c r="S60" i="91"/>
  <c r="S59" i="91"/>
  <c r="S58" i="91"/>
  <c r="S57" i="91"/>
  <c r="S56" i="91"/>
  <c r="S55" i="91"/>
  <c r="R54" i="91"/>
  <c r="Q54" i="91"/>
  <c r="S52" i="91"/>
  <c r="S51" i="91"/>
  <c r="R50" i="91"/>
  <c r="Q50" i="91"/>
  <c r="S48" i="91"/>
  <c r="S47" i="91"/>
  <c r="S46" i="91"/>
  <c r="S45" i="91"/>
  <c r="S44" i="91"/>
  <c r="S43" i="91"/>
  <c r="S42" i="91"/>
  <c r="R41" i="91"/>
  <c r="Q41" i="91"/>
  <c r="S36" i="91"/>
  <c r="R35" i="91"/>
  <c r="Q35" i="91"/>
  <c r="S33" i="91"/>
  <c r="S32" i="91"/>
  <c r="S31" i="91"/>
  <c r="S30" i="91"/>
  <c r="S29" i="91"/>
  <c r="S28" i="91"/>
  <c r="S27" i="91"/>
  <c r="S26" i="91"/>
  <c r="S25" i="91"/>
  <c r="S24" i="91"/>
  <c r="S21" i="91"/>
  <c r="S20" i="91"/>
  <c r="S19" i="91"/>
  <c r="S18" i="91"/>
  <c r="S17" i="91"/>
  <c r="S16" i="91"/>
  <c r="S15" i="91"/>
  <c r="S14" i="91"/>
  <c r="S13" i="91"/>
  <c r="S12" i="91"/>
  <c r="S11" i="91"/>
  <c r="S10" i="91"/>
  <c r="S9" i="91"/>
  <c r="R8" i="91"/>
  <c r="Q8" i="91"/>
  <c r="S7" i="91"/>
  <c r="S6" i="91"/>
  <c r="S5" i="91" s="1"/>
  <c r="R5" i="91"/>
  <c r="Q5" i="91"/>
  <c r="S8" i="91" l="1"/>
  <c r="S38" i="91" s="1"/>
  <c r="S39" i="91" s="1"/>
  <c r="Q38" i="91"/>
  <c r="Q39" i="91" s="1"/>
  <c r="S50" i="91"/>
  <c r="S54" i="91"/>
  <c r="R38" i="91"/>
  <c r="R75" i="91" s="1"/>
  <c r="S41" i="91"/>
  <c r="S35" i="91"/>
  <c r="Q75" i="91" l="1"/>
  <c r="S75" i="91"/>
  <c r="R39" i="91"/>
  <c r="Q81" i="91"/>
  <c r="Q83" i="91" s="1"/>
  <c r="Q84" i="91" s="1"/>
  <c r="Q86" i="91" s="1"/>
  <c r="Q87" i="91" s="1"/>
  <c r="Q76" i="91"/>
  <c r="S76" i="91"/>
  <c r="R81" i="91"/>
  <c r="R83" i="91" s="1"/>
  <c r="R84" i="91" s="1"/>
  <c r="R86" i="91" s="1"/>
  <c r="R87" i="91" s="1"/>
  <c r="R76" i="91"/>
  <c r="AB16" i="96" l="1"/>
  <c r="AB16" i="95"/>
  <c r="V69" i="102"/>
  <c r="V28" i="102"/>
  <c r="V48" i="102"/>
  <c r="V45" i="102"/>
  <c r="V25" i="102"/>
  <c r="V18" i="102"/>
  <c r="V24" i="102"/>
  <c r="V22" i="102"/>
  <c r="W18" i="102"/>
  <c r="W47" i="102"/>
  <c r="BK47" i="102" s="1"/>
  <c r="W31" i="102"/>
  <c r="W28" i="102"/>
  <c r="V20" i="99" l="1"/>
  <c r="BJ20" i="99" s="1"/>
  <c r="AA25" i="86" l="1"/>
  <c r="AA31" i="86"/>
  <c r="AZ31" i="86" s="1"/>
  <c r="AB43" i="90"/>
  <c r="AA25" i="90"/>
  <c r="AA18" i="90"/>
  <c r="AA19" i="90"/>
  <c r="AA28" i="90"/>
  <c r="AA24" i="90"/>
  <c r="BP43" i="90" l="1"/>
  <c r="BQ43" i="90" s="1"/>
  <c r="AA27" i="96"/>
  <c r="AA18" i="96"/>
  <c r="AA20" i="96"/>
  <c r="AA24" i="96"/>
  <c r="AA25" i="96"/>
  <c r="AA28" i="96"/>
  <c r="AA48" i="96"/>
  <c r="BO48" i="96" s="1"/>
  <c r="AA28" i="95"/>
  <c r="AA25" i="95"/>
  <c r="AA27" i="95"/>
  <c r="AU27" i="95" s="1"/>
  <c r="AA19" i="95"/>
  <c r="AA22" i="95"/>
  <c r="AA31" i="95"/>
  <c r="AU31" i="95" s="1"/>
  <c r="AB63" i="95"/>
  <c r="AV63" i="95" l="1"/>
  <c r="AU22" i="95"/>
  <c r="AB31" i="95" l="1"/>
  <c r="AA63" i="95"/>
  <c r="V31" i="102" l="1"/>
  <c r="BJ31" i="102" s="1"/>
  <c r="V63" i="102"/>
  <c r="BJ63" i="102" s="1"/>
  <c r="AA63" i="96"/>
  <c r="BO63" i="96" s="1"/>
  <c r="AA63" i="90"/>
  <c r="X6" i="99"/>
  <c r="X5" i="99" s="1"/>
  <c r="X85" i="99"/>
  <c r="X82" i="99"/>
  <c r="X78" i="99"/>
  <c r="W77" i="99"/>
  <c r="V77" i="99"/>
  <c r="X74" i="99"/>
  <c r="X73" i="99" s="1"/>
  <c r="W73" i="99"/>
  <c r="V73" i="99"/>
  <c r="X71" i="99"/>
  <c r="X70" i="99"/>
  <c r="X69" i="99"/>
  <c r="X68" i="99"/>
  <c r="X67" i="99"/>
  <c r="X66" i="99"/>
  <c r="X65" i="99"/>
  <c r="X64" i="99"/>
  <c r="X63" i="99"/>
  <c r="X62" i="99"/>
  <c r="X61" i="99"/>
  <c r="X60" i="99"/>
  <c r="X59" i="99"/>
  <c r="X58" i="99"/>
  <c r="X57" i="99"/>
  <c r="X56" i="99"/>
  <c r="X55" i="99"/>
  <c r="W54" i="99"/>
  <c r="V54" i="99"/>
  <c r="X52" i="99"/>
  <c r="X51" i="99"/>
  <c r="W50" i="99"/>
  <c r="V50" i="99"/>
  <c r="X48" i="99"/>
  <c r="X47" i="99"/>
  <c r="X46" i="99"/>
  <c r="X45" i="99"/>
  <c r="X44" i="99"/>
  <c r="X43" i="99"/>
  <c r="X42" i="99"/>
  <c r="W41" i="99"/>
  <c r="V41" i="99"/>
  <c r="X36" i="99"/>
  <c r="W35" i="99"/>
  <c r="V35" i="99"/>
  <c r="X33" i="99"/>
  <c r="X32" i="99"/>
  <c r="X31" i="99"/>
  <c r="X30" i="99"/>
  <c r="X29" i="99"/>
  <c r="X28" i="99"/>
  <c r="X27" i="99"/>
  <c r="X26" i="99"/>
  <c r="X25" i="99"/>
  <c r="X24" i="99"/>
  <c r="X23" i="99"/>
  <c r="X22" i="99"/>
  <c r="X21" i="99"/>
  <c r="X20" i="99"/>
  <c r="X19" i="99"/>
  <c r="X18" i="99"/>
  <c r="X17" i="99"/>
  <c r="X16" i="99"/>
  <c r="X15" i="99"/>
  <c r="X14" i="99"/>
  <c r="X13" i="99"/>
  <c r="X12" i="99"/>
  <c r="X11" i="99"/>
  <c r="X10" i="99"/>
  <c r="X9" i="99"/>
  <c r="W8" i="99"/>
  <c r="X7" i="99"/>
  <c r="V5" i="99"/>
  <c r="W5" i="99"/>
  <c r="W38" i="99" s="1"/>
  <c r="AC9" i="87"/>
  <c r="AC11" i="87"/>
  <c r="AC85" i="87"/>
  <c r="AC82" i="87"/>
  <c r="AC78" i="87"/>
  <c r="AB77" i="87"/>
  <c r="AA77" i="87"/>
  <c r="AA74" i="87"/>
  <c r="AC74" i="87" s="1"/>
  <c r="AC73" i="87" s="1"/>
  <c r="AB73" i="87"/>
  <c r="AC71" i="87"/>
  <c r="AC70" i="87"/>
  <c r="AC69" i="87"/>
  <c r="AC68" i="87"/>
  <c r="AC67" i="87"/>
  <c r="AC66" i="87"/>
  <c r="AC65" i="87"/>
  <c r="AC61" i="87"/>
  <c r="AC60" i="87"/>
  <c r="AC59" i="87"/>
  <c r="AC58" i="87"/>
  <c r="AC57" i="87"/>
  <c r="AC56" i="87"/>
  <c r="AC55" i="87"/>
  <c r="AB54" i="87"/>
  <c r="AA54" i="87"/>
  <c r="AC52" i="87"/>
  <c r="AC51" i="87"/>
  <c r="AB50" i="87"/>
  <c r="AA50" i="87"/>
  <c r="AC48" i="87"/>
  <c r="AC47" i="87"/>
  <c r="AC46" i="87"/>
  <c r="AC45" i="87"/>
  <c r="AC44" i="87"/>
  <c r="AC43" i="87"/>
  <c r="AC42" i="87"/>
  <c r="AB41" i="87"/>
  <c r="AA41" i="87"/>
  <c r="AC36" i="87"/>
  <c r="AC35" i="87" s="1"/>
  <c r="AB35" i="87"/>
  <c r="AA35" i="87"/>
  <c r="AC33" i="87"/>
  <c r="AC32" i="87"/>
  <c r="AC31" i="87"/>
  <c r="AC30" i="87"/>
  <c r="AC29" i="87"/>
  <c r="AC28" i="87"/>
  <c r="AC27" i="87"/>
  <c r="AC26" i="87"/>
  <c r="AC25" i="87"/>
  <c r="AC24" i="87"/>
  <c r="AC21" i="87"/>
  <c r="AC20" i="87"/>
  <c r="AC19" i="87"/>
  <c r="AC18" i="87"/>
  <c r="AC17" i="87"/>
  <c r="AC16" i="87"/>
  <c r="AC15" i="87"/>
  <c r="AC14" i="87"/>
  <c r="AC13" i="87"/>
  <c r="AC12" i="87"/>
  <c r="AC10" i="87"/>
  <c r="AB8" i="87"/>
  <c r="AA8" i="87"/>
  <c r="AC7" i="87"/>
  <c r="AC6" i="87"/>
  <c r="AC5" i="87" s="1"/>
  <c r="AB5" i="87"/>
  <c r="AA5" i="87"/>
  <c r="AA38" i="87" l="1"/>
  <c r="AA75" i="87" s="1"/>
  <c r="AB38" i="87"/>
  <c r="AC79" i="87"/>
  <c r="AC77" i="87" s="1"/>
  <c r="AC54" i="87"/>
  <c r="X41" i="99"/>
  <c r="AC50" i="87"/>
  <c r="X50" i="99"/>
  <c r="X54" i="99"/>
  <c r="AC8" i="87"/>
  <c r="AC38" i="87" s="1"/>
  <c r="AC41" i="87"/>
  <c r="W75" i="99"/>
  <c r="W39" i="99"/>
  <c r="X8" i="99"/>
  <c r="X35" i="99"/>
  <c r="V8" i="99"/>
  <c r="V38" i="99" s="1"/>
  <c r="AA39" i="87"/>
  <c r="AB39" i="87"/>
  <c r="AB75" i="87"/>
  <c r="AA73" i="87"/>
  <c r="AC89" i="87" l="1"/>
  <c r="AC75" i="87"/>
  <c r="AC76" i="87" s="1"/>
  <c r="AC39" i="87"/>
  <c r="V75" i="99"/>
  <c r="V39" i="99"/>
  <c r="W81" i="99"/>
  <c r="W83" i="99" s="1"/>
  <c r="W84" i="99" s="1"/>
  <c r="W86" i="99" s="1"/>
  <c r="W87" i="99" s="1"/>
  <c r="W76" i="99"/>
  <c r="X38" i="99"/>
  <c r="AC81" i="87"/>
  <c r="AC83" i="87" s="1"/>
  <c r="AC84" i="87" s="1"/>
  <c r="AC86" i="87" s="1"/>
  <c r="AC87" i="87" s="1"/>
  <c r="AB81" i="87"/>
  <c r="AB83" i="87" s="1"/>
  <c r="AB84" i="87" s="1"/>
  <c r="AB86" i="87" s="1"/>
  <c r="AB87" i="87" s="1"/>
  <c r="AB76" i="87"/>
  <c r="AA81" i="87"/>
  <c r="AA83" i="87" s="1"/>
  <c r="AA84" i="87" s="1"/>
  <c r="AA86" i="87" s="1"/>
  <c r="AA87" i="87" s="1"/>
  <c r="AA76" i="87"/>
  <c r="V11" i="102"/>
  <c r="BJ11" i="102" s="1"/>
  <c r="X75" i="99" l="1"/>
  <c r="X39" i="99"/>
  <c r="V81" i="99"/>
  <c r="V83" i="99" s="1"/>
  <c r="V84" i="99" s="1"/>
  <c r="V86" i="99" s="1"/>
  <c r="V87" i="99" s="1"/>
  <c r="V76" i="99"/>
  <c r="X76" i="99" l="1"/>
  <c r="W12" i="102"/>
  <c r="AB12" i="90"/>
  <c r="AB12" i="96"/>
  <c r="AA60" i="95"/>
  <c r="AA59" i="95"/>
  <c r="AA58" i="95"/>
  <c r="AB58" i="95"/>
  <c r="AV36" i="95" l="1"/>
  <c r="AU36" i="95"/>
  <c r="AC85" i="95"/>
  <c r="AC82" i="95"/>
  <c r="AC78" i="95"/>
  <c r="AB77" i="95"/>
  <c r="AA77" i="95"/>
  <c r="AC74" i="95"/>
  <c r="AC73" i="95" s="1"/>
  <c r="AB73" i="95"/>
  <c r="AA73" i="95"/>
  <c r="AC71" i="95"/>
  <c r="AC70" i="95"/>
  <c r="AC69" i="95"/>
  <c r="AC68" i="95"/>
  <c r="AC67" i="95"/>
  <c r="AC66" i="95"/>
  <c r="AC65" i="95"/>
  <c r="AC64" i="95"/>
  <c r="AC63" i="95"/>
  <c r="AC62" i="95"/>
  <c r="AC61" i="95"/>
  <c r="AC60" i="95"/>
  <c r="AC59" i="95"/>
  <c r="AC58" i="95"/>
  <c r="AC57" i="95"/>
  <c r="AC56" i="95"/>
  <c r="AC55" i="95"/>
  <c r="AB54" i="95"/>
  <c r="AA54" i="95"/>
  <c r="AC52" i="95"/>
  <c r="AC51" i="95"/>
  <c r="AB50" i="95"/>
  <c r="AA50" i="95"/>
  <c r="AC48" i="95"/>
  <c r="AC47" i="95"/>
  <c r="AC46" i="95"/>
  <c r="AC45" i="95"/>
  <c r="AC44" i="95"/>
  <c r="AC43" i="95"/>
  <c r="AC42" i="95"/>
  <c r="AB41" i="95"/>
  <c r="AA41" i="95"/>
  <c r="AC36" i="95"/>
  <c r="AB35" i="95"/>
  <c r="AA35" i="95"/>
  <c r="AC33" i="95"/>
  <c r="AC32" i="95"/>
  <c r="AC31" i="95"/>
  <c r="AC30" i="95"/>
  <c r="AC29" i="95"/>
  <c r="AC28" i="95"/>
  <c r="AC27" i="95"/>
  <c r="AC26" i="95"/>
  <c r="AC24" i="95"/>
  <c r="AC23" i="95"/>
  <c r="AC22" i="95"/>
  <c r="AC21" i="95"/>
  <c r="AC20" i="95"/>
  <c r="AC19" i="95"/>
  <c r="AC18" i="95"/>
  <c r="AC17" i="95"/>
  <c r="AC16" i="95"/>
  <c r="AC15" i="95"/>
  <c r="AC14" i="95"/>
  <c r="AC13" i="95"/>
  <c r="AC12" i="95"/>
  <c r="AC11" i="95"/>
  <c r="AC10" i="95"/>
  <c r="AC9" i="95"/>
  <c r="AB8" i="95"/>
  <c r="AC7" i="95"/>
  <c r="AC6" i="95"/>
  <c r="AC5" i="95" s="1"/>
  <c r="AB5" i="95"/>
  <c r="AA5" i="95"/>
  <c r="AC85" i="96"/>
  <c r="AC82" i="96"/>
  <c r="AC78" i="96"/>
  <c r="AB77" i="96"/>
  <c r="AA77" i="96"/>
  <c r="AC74" i="96"/>
  <c r="AC73" i="96" s="1"/>
  <c r="AB73" i="96"/>
  <c r="AA73" i="96"/>
  <c r="AC71" i="96"/>
  <c r="AC70" i="96"/>
  <c r="AC69" i="96"/>
  <c r="AC68" i="96"/>
  <c r="AC67" i="96"/>
  <c r="AC66" i="96"/>
  <c r="AC65" i="96"/>
  <c r="AC64" i="96"/>
  <c r="AC63" i="96"/>
  <c r="AC62" i="96"/>
  <c r="AC61" i="96"/>
  <c r="AC60" i="96"/>
  <c r="AC59" i="96"/>
  <c r="AC58" i="96"/>
  <c r="AC57" i="96"/>
  <c r="AC56" i="96"/>
  <c r="AC55" i="96"/>
  <c r="AB54" i="96"/>
  <c r="AA54" i="96"/>
  <c r="AC52" i="96"/>
  <c r="AC51" i="96"/>
  <c r="AB50" i="96"/>
  <c r="AA50" i="96"/>
  <c r="AC48" i="96"/>
  <c r="AC47" i="96"/>
  <c r="AC46" i="96"/>
  <c r="AC45" i="96"/>
  <c r="AC44" i="96"/>
  <c r="AC43" i="96"/>
  <c r="AC42" i="96"/>
  <c r="AB41" i="96"/>
  <c r="AA41" i="96"/>
  <c r="AC36" i="96"/>
  <c r="AC35" i="96" s="1"/>
  <c r="AB35" i="96"/>
  <c r="AA35" i="96"/>
  <c r="AC33" i="96"/>
  <c r="AC32" i="96"/>
  <c r="AC31" i="96"/>
  <c r="AC30" i="96"/>
  <c r="AC29" i="96"/>
  <c r="AC28" i="96"/>
  <c r="AC27" i="96"/>
  <c r="AC26" i="96"/>
  <c r="AC25" i="96"/>
  <c r="AC24" i="96"/>
  <c r="AC21" i="96"/>
  <c r="AC20" i="96"/>
  <c r="AC19" i="96"/>
  <c r="AC18" i="96"/>
  <c r="AC17" i="96"/>
  <c r="AC16" i="96"/>
  <c r="AC15" i="96"/>
  <c r="AC14" i="96"/>
  <c r="AC13" i="96"/>
  <c r="AC12" i="96"/>
  <c r="AC11" i="96"/>
  <c r="AC10" i="96"/>
  <c r="AC9" i="96"/>
  <c r="AC7" i="96"/>
  <c r="AC6" i="96"/>
  <c r="AC5" i="96" s="1"/>
  <c r="AB5" i="96"/>
  <c r="AA5" i="96"/>
  <c r="BP36" i="90"/>
  <c r="BO36" i="90"/>
  <c r="AC85" i="90"/>
  <c r="AC82" i="90"/>
  <c r="AC80" i="90"/>
  <c r="AC78" i="90"/>
  <c r="AB77" i="90"/>
  <c r="AA77" i="90"/>
  <c r="AC74" i="90"/>
  <c r="AC73" i="90" s="1"/>
  <c r="AB73" i="90"/>
  <c r="AA73" i="90"/>
  <c r="AC72" i="90"/>
  <c r="AC71" i="90"/>
  <c r="AC70" i="90"/>
  <c r="AC69" i="90"/>
  <c r="AC68" i="90"/>
  <c r="AC67" i="90"/>
  <c r="AC66" i="90"/>
  <c r="AC65" i="90"/>
  <c r="AC64" i="90"/>
  <c r="AC63" i="90"/>
  <c r="AC62" i="90"/>
  <c r="AC61" i="90"/>
  <c r="AC60" i="90"/>
  <c r="AC59" i="90"/>
  <c r="AC58" i="90"/>
  <c r="AC57" i="90"/>
  <c r="AC56" i="90"/>
  <c r="AC55" i="90"/>
  <c r="AB54" i="90"/>
  <c r="AA54" i="90"/>
  <c r="AC53" i="90"/>
  <c r="AC52" i="90"/>
  <c r="AC51" i="90"/>
  <c r="AB50" i="90"/>
  <c r="AA50" i="90"/>
  <c r="AC49" i="90"/>
  <c r="AC48" i="90"/>
  <c r="AC47" i="90"/>
  <c r="AC46" i="90"/>
  <c r="AC45" i="90"/>
  <c r="AC44" i="90"/>
  <c r="AC43" i="90"/>
  <c r="AC42" i="90"/>
  <c r="AB41" i="90"/>
  <c r="AA41" i="90"/>
  <c r="AC37" i="90"/>
  <c r="AC35" i="90"/>
  <c r="AB35" i="90"/>
  <c r="AA35" i="90"/>
  <c r="AC33" i="90"/>
  <c r="AC32" i="90"/>
  <c r="AC31" i="90"/>
  <c r="AC30" i="90"/>
  <c r="AC29" i="90"/>
  <c r="AC28" i="90"/>
  <c r="AC27" i="90"/>
  <c r="AC26" i="90"/>
  <c r="AC25" i="90"/>
  <c r="AC24" i="90"/>
  <c r="AC23" i="90"/>
  <c r="AC22" i="90"/>
  <c r="AC21" i="90"/>
  <c r="AC20" i="90"/>
  <c r="AC19" i="90"/>
  <c r="AC18" i="90"/>
  <c r="AC17" i="90"/>
  <c r="AC16" i="90"/>
  <c r="AC15" i="90"/>
  <c r="AC14" i="90"/>
  <c r="AC13" i="90"/>
  <c r="AC12" i="90"/>
  <c r="AC11" i="90"/>
  <c r="AC10" i="90"/>
  <c r="AC9" i="90"/>
  <c r="AB8" i="90"/>
  <c r="AC7" i="90"/>
  <c r="AC6" i="90"/>
  <c r="AC5" i="90" s="1"/>
  <c r="AB5" i="90"/>
  <c r="AC50" i="90" l="1"/>
  <c r="AC50" i="96"/>
  <c r="AC54" i="95"/>
  <c r="AB38" i="95"/>
  <c r="AB39" i="95" s="1"/>
  <c r="AA8" i="95"/>
  <c r="AA38" i="95" s="1"/>
  <c r="AC25" i="95"/>
  <c r="AC50" i="95"/>
  <c r="AC35" i="95"/>
  <c r="AC41" i="95"/>
  <c r="AC41" i="96"/>
  <c r="AC8" i="96"/>
  <c r="AA8" i="96"/>
  <c r="AA38" i="96" s="1"/>
  <c r="AB8" i="96"/>
  <c r="AC54" i="96"/>
  <c r="AC54" i="90"/>
  <c r="AC41" i="90"/>
  <c r="AB38" i="90"/>
  <c r="AB39" i="90" s="1"/>
  <c r="AC8" i="90"/>
  <c r="AA8" i="90"/>
  <c r="AA5" i="90"/>
  <c r="X78" i="102"/>
  <c r="W77" i="102"/>
  <c r="V77" i="102"/>
  <c r="X74" i="102"/>
  <c r="X73" i="102" s="1"/>
  <c r="W73" i="102"/>
  <c r="V73" i="102"/>
  <c r="X71" i="102"/>
  <c r="X70" i="102"/>
  <c r="X69" i="102"/>
  <c r="X68" i="102"/>
  <c r="X67" i="102"/>
  <c r="X66" i="102"/>
  <c r="X65" i="102"/>
  <c r="X64" i="102"/>
  <c r="X63" i="102"/>
  <c r="X62" i="102"/>
  <c r="X61" i="102"/>
  <c r="X60" i="102"/>
  <c r="X59" i="102"/>
  <c r="X58" i="102"/>
  <c r="X57" i="102"/>
  <c r="X56" i="102"/>
  <c r="X55" i="102"/>
  <c r="W54" i="102"/>
  <c r="V54" i="102"/>
  <c r="X52" i="102"/>
  <c r="X51" i="102"/>
  <c r="W50" i="102"/>
  <c r="V50" i="102"/>
  <c r="X48" i="102"/>
  <c r="X47" i="102"/>
  <c r="X46" i="102"/>
  <c r="V41" i="102"/>
  <c r="X44" i="102"/>
  <c r="X43" i="102"/>
  <c r="X42" i="102"/>
  <c r="W41" i="102"/>
  <c r="X36" i="102"/>
  <c r="X35" i="102" s="1"/>
  <c r="W35" i="102"/>
  <c r="V35" i="102"/>
  <c r="X33" i="102"/>
  <c r="X32" i="102"/>
  <c r="X31" i="102"/>
  <c r="X30" i="102"/>
  <c r="X29" i="102"/>
  <c r="X28" i="102"/>
  <c r="X27" i="102"/>
  <c r="X26" i="102"/>
  <c r="X25" i="102"/>
  <c r="X24" i="102"/>
  <c r="X23" i="102"/>
  <c r="X22" i="102"/>
  <c r="X21" i="102"/>
  <c r="X20" i="102"/>
  <c r="X19" i="102"/>
  <c r="X18" i="102"/>
  <c r="X17" i="102"/>
  <c r="X16" i="102"/>
  <c r="X15" i="102"/>
  <c r="X14" i="102"/>
  <c r="X13" i="102"/>
  <c r="X12" i="102"/>
  <c r="X11" i="102"/>
  <c r="X10" i="102"/>
  <c r="X9" i="102"/>
  <c r="W8" i="102"/>
  <c r="V8" i="102"/>
  <c r="X7" i="102"/>
  <c r="X6" i="102"/>
  <c r="X5" i="102" s="1"/>
  <c r="W5" i="102"/>
  <c r="V5" i="102"/>
  <c r="X50" i="102" l="1"/>
  <c r="AB75" i="90"/>
  <c r="AB76" i="90" s="1"/>
  <c r="AB75" i="95"/>
  <c r="AB76" i="95" s="1"/>
  <c r="AC8" i="95"/>
  <c r="AA75" i="95"/>
  <c r="AA39" i="95"/>
  <c r="AC38" i="96"/>
  <c r="AC75" i="96" s="1"/>
  <c r="AB38" i="96"/>
  <c r="AA75" i="96"/>
  <c r="AA39" i="96"/>
  <c r="AA38" i="90"/>
  <c r="AA75" i="90" s="1"/>
  <c r="AC38" i="90"/>
  <c r="X54" i="102"/>
  <c r="W38" i="102"/>
  <c r="W39" i="102" s="1"/>
  <c r="V38" i="102"/>
  <c r="V75" i="102" s="1"/>
  <c r="V81" i="102" s="1"/>
  <c r="V83" i="102" s="1"/>
  <c r="V84" i="102" s="1"/>
  <c r="V86" i="102" s="1"/>
  <c r="V87" i="102" s="1"/>
  <c r="X45" i="102"/>
  <c r="X8" i="102"/>
  <c r="AC85" i="86"/>
  <c r="AC82" i="86"/>
  <c r="AC78" i="86"/>
  <c r="AB77" i="86"/>
  <c r="AA77" i="86"/>
  <c r="AC74" i="86"/>
  <c r="AC73" i="86" s="1"/>
  <c r="AB73" i="86"/>
  <c r="AA73" i="86"/>
  <c r="AC71" i="86"/>
  <c r="AC70" i="86"/>
  <c r="AC69" i="86"/>
  <c r="AC68" i="86"/>
  <c r="AC67" i="86"/>
  <c r="AC66" i="86"/>
  <c r="AC65" i="86"/>
  <c r="AC64" i="86"/>
  <c r="AC63" i="86"/>
  <c r="AC62" i="86"/>
  <c r="AC61" i="86"/>
  <c r="AC60" i="86"/>
  <c r="AC59" i="86"/>
  <c r="AC58" i="86"/>
  <c r="AC57" i="86"/>
  <c r="AC56" i="86"/>
  <c r="AC55" i="86"/>
  <c r="AB54" i="86"/>
  <c r="AA54" i="86"/>
  <c r="AC52" i="86"/>
  <c r="AC51" i="86"/>
  <c r="AB50" i="86"/>
  <c r="AA50" i="86"/>
  <c r="AC48" i="86"/>
  <c r="AC47" i="86"/>
  <c r="AC46" i="86"/>
  <c r="AC45" i="86"/>
  <c r="AC44" i="86"/>
  <c r="AC43" i="86"/>
  <c r="AC42" i="86"/>
  <c r="AB41" i="86"/>
  <c r="AA41" i="86"/>
  <c r="AC36" i="86"/>
  <c r="AC35" i="86" s="1"/>
  <c r="AB35" i="86"/>
  <c r="AA35" i="86"/>
  <c r="AC33" i="86"/>
  <c r="AC32" i="86"/>
  <c r="AC31" i="86"/>
  <c r="AC30" i="86"/>
  <c r="AC29" i="86"/>
  <c r="AC28" i="86"/>
  <c r="AC27" i="86"/>
  <c r="AC26" i="86"/>
  <c r="AC25" i="86"/>
  <c r="AC24" i="86"/>
  <c r="AC21" i="86"/>
  <c r="AC20" i="86"/>
  <c r="AC19" i="86"/>
  <c r="AC18" i="86"/>
  <c r="AC17" i="86"/>
  <c r="AC16" i="86"/>
  <c r="AC15" i="86"/>
  <c r="AC14" i="86"/>
  <c r="AC13" i="86"/>
  <c r="AC12" i="86"/>
  <c r="AC11" i="86"/>
  <c r="AC10" i="86"/>
  <c r="AC9" i="86"/>
  <c r="AB8" i="86"/>
  <c r="AA8" i="86"/>
  <c r="AC7" i="86"/>
  <c r="AC6" i="86"/>
  <c r="AC5" i="86" s="1"/>
  <c r="AB5" i="86"/>
  <c r="AA5" i="86"/>
  <c r="AC54" i="86" l="1"/>
  <c r="AB81" i="90"/>
  <c r="AB83" i="90" s="1"/>
  <c r="AB84" i="90" s="1"/>
  <c r="AB86" i="90" s="1"/>
  <c r="AB87" i="90" s="1"/>
  <c r="AB81" i="95"/>
  <c r="AB83" i="95" s="1"/>
  <c r="AB84" i="95" s="1"/>
  <c r="AB86" i="95" s="1"/>
  <c r="AB87" i="95" s="1"/>
  <c r="V39" i="102"/>
  <c r="W75" i="102"/>
  <c r="AC39" i="96"/>
  <c r="AC38" i="95"/>
  <c r="AA81" i="95"/>
  <c r="AA83" i="95" s="1"/>
  <c r="AA84" i="95" s="1"/>
  <c r="AA86" i="95" s="1"/>
  <c r="AA87" i="95" s="1"/>
  <c r="AA76" i="95"/>
  <c r="AB39" i="96"/>
  <c r="AB75" i="96"/>
  <c r="AC76" i="96"/>
  <c r="AA81" i="96"/>
  <c r="AA83" i="96" s="1"/>
  <c r="AA84" i="96" s="1"/>
  <c r="AA86" i="96" s="1"/>
  <c r="AA87" i="96" s="1"/>
  <c r="AA76" i="96"/>
  <c r="AA39" i="90"/>
  <c r="AC75" i="90"/>
  <c r="AC39" i="90"/>
  <c r="AA81" i="90"/>
  <c r="AA83" i="90" s="1"/>
  <c r="AA84" i="90" s="1"/>
  <c r="AA86" i="90" s="1"/>
  <c r="AA87" i="90" s="1"/>
  <c r="AA76" i="90"/>
  <c r="X41" i="102"/>
  <c r="V76" i="102"/>
  <c r="X38" i="102"/>
  <c r="AA38" i="86"/>
  <c r="AA39" i="86" s="1"/>
  <c r="AB38" i="86"/>
  <c r="AB39" i="86" s="1"/>
  <c r="AC8" i="86"/>
  <c r="AC41" i="86"/>
  <c r="AC50" i="86"/>
  <c r="AA75" i="86" l="1"/>
  <c r="AB75" i="86"/>
  <c r="AB81" i="86" s="1"/>
  <c r="AB83" i="86" s="1"/>
  <c r="AB84" i="86" s="1"/>
  <c r="AB86" i="86" s="1"/>
  <c r="AB87" i="86" s="1"/>
  <c r="W76" i="102"/>
  <c r="W81" i="102"/>
  <c r="W83" i="102" s="1"/>
  <c r="W84" i="102" s="1"/>
  <c r="W86" i="102" s="1"/>
  <c r="W87" i="102" s="1"/>
  <c r="AC38" i="86"/>
  <c r="AC75" i="86" s="1"/>
  <c r="AC75" i="95"/>
  <c r="AC39" i="95"/>
  <c r="AB81" i="96"/>
  <c r="AB83" i="96" s="1"/>
  <c r="AB84" i="96" s="1"/>
  <c r="AB86" i="96" s="1"/>
  <c r="AB87" i="96" s="1"/>
  <c r="AB76" i="96"/>
  <c r="AC76" i="90"/>
  <c r="X75" i="102"/>
  <c r="X39" i="102"/>
  <c r="AA81" i="86"/>
  <c r="AA83" i="86" s="1"/>
  <c r="AA84" i="86" s="1"/>
  <c r="AA86" i="86" s="1"/>
  <c r="AA87" i="86" s="1"/>
  <c r="AA76" i="86"/>
  <c r="AB76" i="86" l="1"/>
  <c r="AC39" i="86"/>
  <c r="AC76" i="95"/>
  <c r="X76" i="102"/>
  <c r="AC76" i="86"/>
  <c r="Q24" i="102" l="1"/>
  <c r="BJ24" i="102" s="1"/>
  <c r="BK74" i="87" l="1"/>
  <c r="V74" i="87"/>
  <c r="L74" i="87"/>
  <c r="BP74" i="90"/>
  <c r="BO74" i="90"/>
  <c r="S74" i="95"/>
  <c r="BJ74" i="87" l="1"/>
  <c r="N74" i="87"/>
  <c r="X85" i="90"/>
  <c r="E4" i="101"/>
  <c r="W16" i="95"/>
  <c r="V20" i="96"/>
  <c r="J79" i="106" l="1"/>
  <c r="T79" i="82"/>
  <c r="J79" i="100"/>
  <c r="BG79" i="90"/>
  <c r="J79" i="117"/>
  <c r="N79" i="107"/>
  <c r="I79" i="113"/>
  <c r="J77" i="100" l="1"/>
  <c r="J89" i="100"/>
  <c r="J81" i="100"/>
  <c r="J83" i="100" s="1"/>
  <c r="J84" i="100" s="1"/>
  <c r="J86" i="100" s="1"/>
  <c r="J87" i="100" s="1"/>
  <c r="R79" i="82"/>
  <c r="T77" i="82"/>
  <c r="T89" i="82"/>
  <c r="T81" i="82"/>
  <c r="T83" i="82" s="1"/>
  <c r="T84" i="82" s="1"/>
  <c r="T86" i="82" s="1"/>
  <c r="T87" i="82" s="1"/>
  <c r="J77" i="106"/>
  <c r="J89" i="106"/>
  <c r="J81" i="106"/>
  <c r="J83" i="106" s="1"/>
  <c r="J84" i="106" s="1"/>
  <c r="J86" i="106" s="1"/>
  <c r="J87" i="106" s="1"/>
  <c r="BG77" i="90"/>
  <c r="BH77" i="90" s="1"/>
  <c r="BH79" i="90"/>
  <c r="BG89" i="90"/>
  <c r="BG81" i="90"/>
  <c r="BG83" i="90" s="1"/>
  <c r="BG84" i="90" s="1"/>
  <c r="BG86" i="90" s="1"/>
  <c r="BG87" i="90" s="1"/>
  <c r="I77" i="113"/>
  <c r="I89" i="113"/>
  <c r="J79" i="113" s="1"/>
  <c r="I81" i="113"/>
  <c r="I83" i="113" s="1"/>
  <c r="I84" i="113" s="1"/>
  <c r="I86" i="113" s="1"/>
  <c r="I87" i="113" s="1"/>
  <c r="U8" i="82" l="1"/>
  <c r="BN54" i="82"/>
  <c r="U64" i="82"/>
  <c r="Z66" i="82"/>
  <c r="Z68" i="82"/>
  <c r="BN50" i="82"/>
  <c r="U51" i="82"/>
  <c r="U19" i="82"/>
  <c r="BN29" i="82"/>
  <c r="BN27" i="82"/>
  <c r="BN32" i="82"/>
  <c r="Z42" i="82"/>
  <c r="BN61" i="82"/>
  <c r="U18" i="82"/>
  <c r="BN57" i="82"/>
  <c r="U44" i="82"/>
  <c r="BN15" i="82"/>
  <c r="Z55" i="82"/>
  <c r="U73" i="82"/>
  <c r="BN60" i="82"/>
  <c r="Z67" i="82"/>
  <c r="U60" i="82"/>
  <c r="T93" i="82"/>
  <c r="AE44" i="82"/>
  <c r="BN63" i="82"/>
  <c r="BN71" i="82"/>
  <c r="BN35" i="82"/>
  <c r="Z71" i="82"/>
  <c r="U67" i="82"/>
  <c r="U63" i="82"/>
  <c r="Z56" i="82"/>
  <c r="U47" i="82"/>
  <c r="U36" i="82"/>
  <c r="Z45" i="82"/>
  <c r="U13" i="82"/>
  <c r="BN23" i="82"/>
  <c r="U10" i="82"/>
  <c r="BN47" i="82"/>
  <c r="BN14" i="82"/>
  <c r="BN9" i="82"/>
  <c r="BN45" i="82"/>
  <c r="U42" i="82"/>
  <c r="U33" i="82"/>
  <c r="Z46" i="82"/>
  <c r="Z62" i="82"/>
  <c r="BN36" i="82"/>
  <c r="U57" i="82"/>
  <c r="BN10" i="82"/>
  <c r="BN17" i="82"/>
  <c r="Z51" i="82"/>
  <c r="BN70" i="82"/>
  <c r="U12" i="82"/>
  <c r="U16" i="82"/>
  <c r="BN38" i="82"/>
  <c r="U69" i="82"/>
  <c r="U71" i="82"/>
  <c r="U61" i="82"/>
  <c r="U45" i="82"/>
  <c r="AE45" i="82"/>
  <c r="Z33" i="82"/>
  <c r="AE43" i="82"/>
  <c r="U15" i="82"/>
  <c r="BN11" i="82"/>
  <c r="BN16" i="82"/>
  <c r="U46" i="82"/>
  <c r="BN25" i="82"/>
  <c r="U9" i="82"/>
  <c r="AE42" i="82"/>
  <c r="Z50" i="82"/>
  <c r="U28" i="82"/>
  <c r="Z57" i="82"/>
  <c r="Z73" i="82"/>
  <c r="AE46" i="82"/>
  <c r="AE51" i="82"/>
  <c r="BN30" i="82"/>
  <c r="BN20" i="82"/>
  <c r="U54" i="82"/>
  <c r="U70" i="82"/>
  <c r="BN59" i="82"/>
  <c r="U68" i="82"/>
  <c r="Z65" i="82"/>
  <c r="U59" i="82"/>
  <c r="U43" i="82"/>
  <c r="Z43" i="82"/>
  <c r="U31" i="82"/>
  <c r="U52" i="82"/>
  <c r="U14" i="82"/>
  <c r="U17" i="82"/>
  <c r="BN33" i="82"/>
  <c r="BN48" i="82"/>
  <c r="Z48" i="82"/>
  <c r="U29" i="82"/>
  <c r="Z52" i="82"/>
  <c r="BN55" i="82"/>
  <c r="AE36" i="82"/>
  <c r="U56" i="82"/>
  <c r="BN13" i="82"/>
  <c r="BN24" i="82"/>
  <c r="U55" i="82"/>
  <c r="BN42" i="82"/>
  <c r="U32" i="82"/>
  <c r="BN65" i="82"/>
  <c r="BN62" i="82"/>
  <c r="BN43" i="82"/>
  <c r="BN66" i="82"/>
  <c r="Z63" i="82"/>
  <c r="U65" i="82"/>
  <c r="U50" i="82"/>
  <c r="Z32" i="82"/>
  <c r="BN22" i="82"/>
  <c r="BN51" i="82"/>
  <c r="BN40" i="82"/>
  <c r="U11" i="82"/>
  <c r="Z36" i="82"/>
  <c r="BN68" i="82"/>
  <c r="BN31" i="82"/>
  <c r="U21" i="82"/>
  <c r="BN69" i="82"/>
  <c r="BN67" i="82"/>
  <c r="AE48" i="82"/>
  <c r="BN58" i="82"/>
  <c r="BN19" i="82"/>
  <c r="AE50" i="82"/>
  <c r="BN56" i="82"/>
  <c r="Z59" i="82"/>
  <c r="Z44" i="82"/>
  <c r="Z70" i="82"/>
  <c r="Z61" i="82"/>
  <c r="BN8" i="82"/>
  <c r="U20" i="82"/>
  <c r="BN12" i="82"/>
  <c r="BN21" i="82"/>
  <c r="U41" i="82"/>
  <c r="U66" i="82"/>
  <c r="U30" i="82"/>
  <c r="U48" i="82"/>
  <c r="Z58" i="82"/>
  <c r="BN41" i="82"/>
  <c r="AE52" i="82"/>
  <c r="U62" i="82"/>
  <c r="BN28" i="82"/>
  <c r="U25" i="82"/>
  <c r="Z60" i="82"/>
  <c r="BN39" i="82"/>
  <c r="BN64" i="82"/>
  <c r="Z64" i="82"/>
  <c r="U24" i="82"/>
  <c r="BN26" i="82"/>
  <c r="U27" i="82"/>
  <c r="BN52" i="82"/>
  <c r="BN18" i="82"/>
  <c r="BN44" i="82"/>
  <c r="BN46" i="82"/>
  <c r="U26" i="82"/>
  <c r="U58" i="82"/>
  <c r="R81" i="82"/>
  <c r="R83" i="82" s="1"/>
  <c r="R84" i="82" s="1"/>
  <c r="R86" i="82" s="1"/>
  <c r="R87" i="82" s="1"/>
  <c r="R77" i="82"/>
  <c r="K8" i="100"/>
  <c r="K60" i="100"/>
  <c r="K28" i="100"/>
  <c r="K44" i="100"/>
  <c r="K12" i="100"/>
  <c r="K47" i="100"/>
  <c r="K10" i="100"/>
  <c r="K65" i="100"/>
  <c r="K29" i="100"/>
  <c r="K18" i="100"/>
  <c r="K58" i="100"/>
  <c r="K43" i="100"/>
  <c r="K17" i="100"/>
  <c r="K33" i="100"/>
  <c r="K48" i="100"/>
  <c r="K27" i="100"/>
  <c r="K19" i="100"/>
  <c r="K45" i="100"/>
  <c r="K62" i="100"/>
  <c r="K57" i="100"/>
  <c r="K41" i="100"/>
  <c r="K16" i="100"/>
  <c r="K20" i="100"/>
  <c r="K52" i="100"/>
  <c r="K54" i="100"/>
  <c r="K51" i="100"/>
  <c r="K69" i="100"/>
  <c r="K67" i="100"/>
  <c r="K71" i="100"/>
  <c r="K56" i="100"/>
  <c r="K36" i="100"/>
  <c r="K15" i="100"/>
  <c r="K11" i="100"/>
  <c r="K68" i="100"/>
  <c r="K46" i="100"/>
  <c r="J92" i="100"/>
  <c r="K30" i="100"/>
  <c r="K9" i="100"/>
  <c r="K70" i="100"/>
  <c r="K55" i="100"/>
  <c r="K21" i="100"/>
  <c r="K14" i="100"/>
  <c r="K24" i="100"/>
  <c r="K63" i="100"/>
  <c r="K59" i="100"/>
  <c r="K26" i="100"/>
  <c r="K32" i="100"/>
  <c r="K42" i="100"/>
  <c r="K61" i="100"/>
  <c r="K13" i="100"/>
  <c r="K31" i="100"/>
  <c r="K66" i="100"/>
  <c r="K72" i="100"/>
  <c r="K64" i="100"/>
  <c r="K49" i="100"/>
  <c r="K25" i="100"/>
  <c r="K57" i="106"/>
  <c r="K25" i="106"/>
  <c r="K17" i="106"/>
  <c r="K19" i="106"/>
  <c r="K36" i="106"/>
  <c r="K12" i="106"/>
  <c r="K24" i="106"/>
  <c r="K59" i="106"/>
  <c r="K67" i="106"/>
  <c r="K56" i="106"/>
  <c r="K13" i="106"/>
  <c r="K58" i="106"/>
  <c r="K48" i="106"/>
  <c r="K18" i="106"/>
  <c r="K60" i="106"/>
  <c r="K49" i="106"/>
  <c r="K26" i="106"/>
  <c r="K16" i="106"/>
  <c r="K30" i="106"/>
  <c r="K46" i="106"/>
  <c r="K10" i="106"/>
  <c r="K27" i="106"/>
  <c r="K31" i="106"/>
  <c r="K64" i="106"/>
  <c r="K8" i="106"/>
  <c r="K33" i="106"/>
  <c r="K21" i="106"/>
  <c r="K43" i="106"/>
  <c r="K61" i="106"/>
  <c r="K71" i="106"/>
  <c r="K44" i="106"/>
  <c r="K23" i="106"/>
  <c r="K15" i="106"/>
  <c r="K52" i="106"/>
  <c r="K62" i="106"/>
  <c r="K20" i="106"/>
  <c r="K41" i="106"/>
  <c r="K68" i="106"/>
  <c r="K9" i="106"/>
  <c r="K70" i="106"/>
  <c r="K42" i="106"/>
  <c r="K22" i="106"/>
  <c r="K14" i="106"/>
  <c r="K65" i="106"/>
  <c r="K63" i="106"/>
  <c r="K29" i="106"/>
  <c r="K45" i="106"/>
  <c r="K66" i="106"/>
  <c r="K54" i="106"/>
  <c r="K69" i="106"/>
  <c r="K32" i="106"/>
  <c r="K47" i="106"/>
  <c r="K51" i="106"/>
  <c r="K11" i="106"/>
  <c r="K72" i="106"/>
  <c r="K28" i="106"/>
  <c r="K55" i="106"/>
  <c r="J38" i="113"/>
  <c r="J8" i="113"/>
  <c r="J60" i="113"/>
  <c r="J61" i="113"/>
  <c r="J42" i="113"/>
  <c r="J19" i="113"/>
  <c r="J18" i="113"/>
  <c r="J14" i="113"/>
  <c r="J29" i="113"/>
  <c r="J36" i="113"/>
  <c r="J68" i="113"/>
  <c r="J66" i="113"/>
  <c r="J41" i="113"/>
  <c r="J72" i="113"/>
  <c r="J67" i="113"/>
  <c r="J22" i="113"/>
  <c r="J40" i="113"/>
  <c r="J21" i="113"/>
  <c r="J25" i="113"/>
  <c r="J13" i="113"/>
  <c r="J24" i="113"/>
  <c r="J48" i="113"/>
  <c r="J31" i="113"/>
  <c r="J30" i="113"/>
  <c r="J50" i="113"/>
  <c r="J69" i="113"/>
  <c r="J59" i="113"/>
  <c r="J70" i="113"/>
  <c r="J16" i="113"/>
  <c r="J44" i="113"/>
  <c r="J15" i="113"/>
  <c r="J55" i="113"/>
  <c r="J43" i="113"/>
  <c r="J56" i="113"/>
  <c r="J65" i="113"/>
  <c r="J62" i="113"/>
  <c r="J47" i="113"/>
  <c r="J49" i="113"/>
  <c r="J23" i="113"/>
  <c r="J10" i="113"/>
  <c r="J32" i="113"/>
  <c r="J20" i="113"/>
  <c r="J51" i="113"/>
  <c r="J45" i="113"/>
  <c r="J35" i="113"/>
  <c r="J54" i="113"/>
  <c r="J39" i="113"/>
  <c r="J9" i="113"/>
  <c r="J11" i="113"/>
  <c r="J27" i="113"/>
  <c r="J58" i="113"/>
  <c r="J28" i="113"/>
  <c r="J17" i="113"/>
  <c r="J33" i="113"/>
  <c r="J71" i="113"/>
  <c r="J64" i="113"/>
  <c r="J57" i="113"/>
  <c r="J26" i="113"/>
  <c r="J52" i="113"/>
  <c r="J63" i="113"/>
  <c r="J12" i="113"/>
  <c r="J46" i="113"/>
  <c r="BL23" i="99" l="1"/>
  <c r="R30" i="99"/>
  <c r="BK30" i="99" s="1"/>
  <c r="BA80" i="86"/>
  <c r="AZ80" i="86"/>
  <c r="S63" i="102"/>
  <c r="S64" i="102"/>
  <c r="BL23" i="102"/>
  <c r="S23" i="102"/>
  <c r="S24" i="102"/>
  <c r="R28" i="102"/>
  <c r="R16" i="102"/>
  <c r="BK16" i="102" s="1"/>
  <c r="Q18" i="102"/>
  <c r="Q28" i="99" l="1"/>
  <c r="BJ28" i="99" s="1"/>
  <c r="Q24" i="99"/>
  <c r="S24" i="99" s="1"/>
  <c r="S23" i="99"/>
  <c r="Q22" i="99"/>
  <c r="BJ22" i="99" s="1"/>
  <c r="BL22" i="99" l="1"/>
  <c r="S22" i="99"/>
  <c r="Q28" i="102"/>
  <c r="BJ28" i="102" s="1"/>
  <c r="Q20" i="102"/>
  <c r="Q22" i="102"/>
  <c r="Q45" i="102"/>
  <c r="BJ45" i="102" s="1"/>
  <c r="BP80" i="90"/>
  <c r="BO80" i="90"/>
  <c r="V18" i="90"/>
  <c r="V28" i="90"/>
  <c r="V24" i="90"/>
  <c r="BO28" i="90" l="1"/>
  <c r="BQ28" i="90" s="1"/>
  <c r="BJ22" i="102"/>
  <c r="BL22" i="102" s="1"/>
  <c r="S22" i="102"/>
  <c r="BQ36" i="90"/>
  <c r="X80" i="90"/>
  <c r="X78" i="90"/>
  <c r="X72" i="90"/>
  <c r="X71" i="90"/>
  <c r="X70" i="90"/>
  <c r="X68" i="90"/>
  <c r="X67" i="90"/>
  <c r="X66" i="90"/>
  <c r="X64" i="90"/>
  <c r="X63" i="90"/>
  <c r="X62" i="90"/>
  <c r="X61" i="90"/>
  <c r="X60" i="90"/>
  <c r="X59" i="90"/>
  <c r="X58" i="90"/>
  <c r="X57" i="90"/>
  <c r="X56" i="90"/>
  <c r="X55" i="90"/>
  <c r="X53" i="90"/>
  <c r="X52" i="90"/>
  <c r="X51" i="90"/>
  <c r="X49" i="90"/>
  <c r="X48" i="90"/>
  <c r="X47" i="90"/>
  <c r="X46" i="90"/>
  <c r="X45" i="90"/>
  <c r="X44" i="90"/>
  <c r="X43" i="90"/>
  <c r="X42" i="90"/>
  <c r="X37" i="90"/>
  <c r="X17" i="90"/>
  <c r="X18" i="90"/>
  <c r="X19" i="90"/>
  <c r="X20" i="90"/>
  <c r="X21" i="90"/>
  <c r="X22" i="90"/>
  <c r="X23" i="90"/>
  <c r="X24" i="90"/>
  <c r="X27" i="90"/>
  <c r="X28" i="90"/>
  <c r="X29" i="90"/>
  <c r="X30" i="90"/>
  <c r="X32" i="90"/>
  <c r="X33" i="90"/>
  <c r="V65" i="90"/>
  <c r="W31" i="90"/>
  <c r="BP31" i="90" s="1"/>
  <c r="Q6" i="99"/>
  <c r="BJ6" i="99" s="1"/>
  <c r="V69" i="90"/>
  <c r="V69" i="96"/>
  <c r="BO69" i="96" s="1"/>
  <c r="V28" i="96"/>
  <c r="X28" i="96" s="1"/>
  <c r="V18" i="96"/>
  <c r="V27" i="96"/>
  <c r="V22" i="96"/>
  <c r="BO22" i="96" s="1"/>
  <c r="V24" i="96"/>
  <c r="X29" i="96"/>
  <c r="BO69" i="90" l="1"/>
  <c r="BQ69" i="90" s="1"/>
  <c r="BO65" i="90"/>
  <c r="BQ65" i="90" s="1"/>
  <c r="S6" i="99"/>
  <c r="X65" i="90"/>
  <c r="X31" i="90"/>
  <c r="X22" i="96"/>
  <c r="BQ22" i="96"/>
  <c r="BU22" i="96" s="1"/>
  <c r="X69" i="90"/>
  <c r="V26" i="96" l="1"/>
  <c r="W16" i="96"/>
  <c r="BP16" i="96" s="1"/>
  <c r="W16" i="90"/>
  <c r="V26" i="90"/>
  <c r="X26" i="90" s="1"/>
  <c r="V26" i="86"/>
  <c r="V25" i="96" l="1"/>
  <c r="Q25" i="102"/>
  <c r="V25" i="86"/>
  <c r="AZ25" i="86" s="1"/>
  <c r="V25" i="90"/>
  <c r="X25" i="90" s="1"/>
  <c r="Q25" i="90"/>
  <c r="Q25" i="99"/>
  <c r="S25" i="99" s="1"/>
  <c r="Q26" i="99"/>
  <c r="V26" i="95"/>
  <c r="V25" i="95" l="1"/>
  <c r="AU25" i="95" s="1"/>
  <c r="V28" i="95" l="1"/>
  <c r="AW23" i="95" l="1"/>
  <c r="C74" i="95"/>
  <c r="V14" i="96" l="1"/>
  <c r="V13" i="96"/>
  <c r="V12" i="96"/>
  <c r="W12" i="96"/>
  <c r="X16" i="90"/>
  <c r="X15" i="90"/>
  <c r="X14" i="90"/>
  <c r="X13" i="90"/>
  <c r="X12" i="90"/>
  <c r="X11" i="90"/>
  <c r="X10" i="90"/>
  <c r="X9" i="90"/>
  <c r="Q13" i="102"/>
  <c r="Q14" i="102"/>
  <c r="Q12" i="102"/>
  <c r="R12" i="102"/>
  <c r="X8" i="90" l="1"/>
  <c r="S31" i="102"/>
  <c r="S30" i="102"/>
  <c r="X85" i="86" l="1"/>
  <c r="X82" i="86"/>
  <c r="X78" i="86"/>
  <c r="W77" i="86"/>
  <c r="V77" i="86"/>
  <c r="X74" i="86"/>
  <c r="X73" i="86" s="1"/>
  <c r="W73" i="86"/>
  <c r="V73" i="86"/>
  <c r="X71" i="86"/>
  <c r="X70" i="86"/>
  <c r="X69" i="86"/>
  <c r="X68" i="86"/>
  <c r="X67" i="86"/>
  <c r="X66" i="86"/>
  <c r="X65" i="86"/>
  <c r="X64" i="86"/>
  <c r="X63" i="86"/>
  <c r="X62" i="86"/>
  <c r="X61" i="86"/>
  <c r="X60" i="86"/>
  <c r="X59" i="86"/>
  <c r="X58" i="86"/>
  <c r="X57" i="86"/>
  <c r="X56" i="86"/>
  <c r="X55" i="86"/>
  <c r="W54" i="86"/>
  <c r="V54" i="86"/>
  <c r="X52" i="86"/>
  <c r="X51" i="86"/>
  <c r="W50" i="86"/>
  <c r="V50" i="86"/>
  <c r="X48" i="86"/>
  <c r="X47" i="86"/>
  <c r="X46" i="86"/>
  <c r="X45" i="86"/>
  <c r="X44" i="86"/>
  <c r="X43" i="86"/>
  <c r="X42" i="86"/>
  <c r="W41" i="86"/>
  <c r="V41" i="86"/>
  <c r="X36" i="86"/>
  <c r="X35" i="86" s="1"/>
  <c r="W35" i="86"/>
  <c r="V35" i="86"/>
  <c r="X33" i="86"/>
  <c r="X32" i="86"/>
  <c r="X31" i="86"/>
  <c r="X30" i="86"/>
  <c r="X29" i="86"/>
  <c r="X28" i="86"/>
  <c r="X27" i="86"/>
  <c r="X26" i="86"/>
  <c r="X25" i="86"/>
  <c r="X24" i="86"/>
  <c r="X21" i="86"/>
  <c r="X20" i="86"/>
  <c r="X19" i="86"/>
  <c r="X18" i="86"/>
  <c r="X17" i="86"/>
  <c r="X16" i="86"/>
  <c r="X15" i="86"/>
  <c r="X14" i="86"/>
  <c r="X13" i="86"/>
  <c r="X12" i="86"/>
  <c r="X11" i="86"/>
  <c r="X10" i="86"/>
  <c r="X9" i="86"/>
  <c r="W8" i="86"/>
  <c r="X7" i="86"/>
  <c r="X6" i="86"/>
  <c r="X5" i="86" s="1"/>
  <c r="W5" i="86"/>
  <c r="S78" i="102"/>
  <c r="R77" i="102"/>
  <c r="Q77" i="102"/>
  <c r="S74" i="102"/>
  <c r="S73" i="102" s="1"/>
  <c r="R73" i="102"/>
  <c r="Q73" i="102"/>
  <c r="S71" i="102"/>
  <c r="S70" i="102"/>
  <c r="S69" i="102"/>
  <c r="S68" i="102"/>
  <c r="S67" i="102"/>
  <c r="S66" i="102"/>
  <c r="S65" i="102"/>
  <c r="S62" i="102"/>
  <c r="S61" i="102"/>
  <c r="S60" i="102"/>
  <c r="S59" i="102"/>
  <c r="S58" i="102"/>
  <c r="S57" i="102"/>
  <c r="S56" i="102"/>
  <c r="S55" i="102"/>
  <c r="R54" i="102"/>
  <c r="Q54" i="102"/>
  <c r="S52" i="102"/>
  <c r="S51" i="102"/>
  <c r="R50" i="102"/>
  <c r="Q50" i="102"/>
  <c r="S48" i="102"/>
  <c r="S47" i="102"/>
  <c r="S46" i="102"/>
  <c r="S45" i="102"/>
  <c r="S44" i="102"/>
  <c r="S43" i="102"/>
  <c r="S42" i="102"/>
  <c r="R41" i="102"/>
  <c r="Q41" i="102"/>
  <c r="S36" i="102"/>
  <c r="S35" i="102" s="1"/>
  <c r="R35" i="102"/>
  <c r="Q35" i="102"/>
  <c r="S33" i="102"/>
  <c r="S32" i="102"/>
  <c r="S29" i="102"/>
  <c r="S28" i="102"/>
  <c r="S27" i="102"/>
  <c r="S26" i="102"/>
  <c r="S25" i="102"/>
  <c r="S21" i="102"/>
  <c r="S20" i="102"/>
  <c r="S19" i="102"/>
  <c r="S18" i="102"/>
  <c r="S17" i="102"/>
  <c r="S16" i="102"/>
  <c r="S15" i="102"/>
  <c r="Q8" i="102"/>
  <c r="S13" i="102"/>
  <c r="S12" i="102"/>
  <c r="S11" i="102"/>
  <c r="S10" i="102"/>
  <c r="S9" i="102"/>
  <c r="R8" i="102"/>
  <c r="S7" i="102"/>
  <c r="S6" i="102"/>
  <c r="S5" i="102" s="1"/>
  <c r="R5" i="102"/>
  <c r="Q5" i="102"/>
  <c r="S85" i="99"/>
  <c r="S82" i="99"/>
  <c r="S78" i="99"/>
  <c r="R77" i="99"/>
  <c r="Q77" i="99"/>
  <c r="S74" i="99"/>
  <c r="S73" i="99" s="1"/>
  <c r="R73" i="99"/>
  <c r="Q73" i="99"/>
  <c r="S71" i="99"/>
  <c r="S70" i="99"/>
  <c r="S69" i="99"/>
  <c r="S68" i="99"/>
  <c r="S67" i="99"/>
  <c r="S66" i="99"/>
  <c r="S65" i="99"/>
  <c r="S64" i="99"/>
  <c r="S63" i="99"/>
  <c r="S62" i="99"/>
  <c r="S61" i="99"/>
  <c r="Q54" i="99"/>
  <c r="S59" i="99"/>
  <c r="S58" i="99"/>
  <c r="S57" i="99"/>
  <c r="S56" i="99"/>
  <c r="S55" i="99"/>
  <c r="R54" i="99"/>
  <c r="S52" i="99"/>
  <c r="S51" i="99"/>
  <c r="S50" i="99" s="1"/>
  <c r="R50" i="99"/>
  <c r="Q50" i="99"/>
  <c r="S48" i="99"/>
  <c r="S47" i="99"/>
  <c r="S46" i="99"/>
  <c r="S45" i="99"/>
  <c r="S44" i="99"/>
  <c r="S43" i="99"/>
  <c r="S42" i="99"/>
  <c r="R41" i="99"/>
  <c r="Q41" i="99"/>
  <c r="S36" i="99"/>
  <c r="S35" i="99" s="1"/>
  <c r="R35" i="99"/>
  <c r="Q35" i="99"/>
  <c r="S33" i="99"/>
  <c r="S32" i="99"/>
  <c r="S31" i="99"/>
  <c r="S30" i="99"/>
  <c r="S29" i="99"/>
  <c r="S28" i="99"/>
  <c r="S27" i="99"/>
  <c r="S26" i="99"/>
  <c r="S21" i="99"/>
  <c r="S20" i="99"/>
  <c r="S19" i="99"/>
  <c r="S18" i="99"/>
  <c r="S17" i="99"/>
  <c r="S16" i="99"/>
  <c r="S15" i="99"/>
  <c r="S14" i="99"/>
  <c r="S13" i="99"/>
  <c r="S12" i="99"/>
  <c r="Q8" i="99"/>
  <c r="S10" i="99"/>
  <c r="S9" i="99"/>
  <c r="R8" i="99"/>
  <c r="S7" i="99"/>
  <c r="S5" i="99"/>
  <c r="R5" i="99"/>
  <c r="Q5" i="99"/>
  <c r="X85" i="87"/>
  <c r="X82" i="87"/>
  <c r="X78" i="87"/>
  <c r="W77" i="87"/>
  <c r="V77" i="87"/>
  <c r="X74" i="87"/>
  <c r="X73" i="87" s="1"/>
  <c r="W73" i="87"/>
  <c r="V73" i="87"/>
  <c r="X71" i="87"/>
  <c r="X70" i="87"/>
  <c r="X69" i="87"/>
  <c r="X68" i="87"/>
  <c r="X67" i="87"/>
  <c r="X66" i="87"/>
  <c r="X65" i="87"/>
  <c r="X64" i="87"/>
  <c r="X63" i="87"/>
  <c r="X62" i="87"/>
  <c r="X61" i="87"/>
  <c r="X60" i="87"/>
  <c r="X59" i="87"/>
  <c r="X58" i="87"/>
  <c r="X57" i="87"/>
  <c r="X56" i="87"/>
  <c r="X55" i="87"/>
  <c r="W54" i="87"/>
  <c r="V54" i="87"/>
  <c r="X52" i="87"/>
  <c r="X51" i="87"/>
  <c r="W50" i="87"/>
  <c r="V50" i="87"/>
  <c r="X48" i="87"/>
  <c r="X47" i="87"/>
  <c r="X46" i="87"/>
  <c r="X45" i="87"/>
  <c r="X44" i="87"/>
  <c r="X43" i="87"/>
  <c r="X42" i="87"/>
  <c r="W41" i="87"/>
  <c r="V41" i="87"/>
  <c r="X36" i="87"/>
  <c r="W35" i="87"/>
  <c r="V35" i="87"/>
  <c r="X33" i="87"/>
  <c r="X32" i="87"/>
  <c r="X31" i="87"/>
  <c r="X30" i="87"/>
  <c r="X29" i="87"/>
  <c r="X28" i="87"/>
  <c r="X27" i="87"/>
  <c r="X26" i="87"/>
  <c r="X25" i="87"/>
  <c r="X24" i="87"/>
  <c r="X21" i="87"/>
  <c r="X20" i="87"/>
  <c r="X19" i="87"/>
  <c r="X18" i="87"/>
  <c r="X17" i="87"/>
  <c r="X16" i="87"/>
  <c r="X15" i="87"/>
  <c r="X14" i="87"/>
  <c r="X13" i="87"/>
  <c r="X12" i="87"/>
  <c r="X11" i="87"/>
  <c r="X10" i="87"/>
  <c r="X9" i="87"/>
  <c r="W8" i="87"/>
  <c r="V8" i="87"/>
  <c r="X7" i="87"/>
  <c r="X6" i="87"/>
  <c r="X5" i="87" s="1"/>
  <c r="W5" i="87"/>
  <c r="V5" i="87"/>
  <c r="X82" i="90"/>
  <c r="W77" i="90"/>
  <c r="V77" i="90"/>
  <c r="X74" i="90"/>
  <c r="X73" i="90" s="1"/>
  <c r="W73" i="90"/>
  <c r="V73" i="90"/>
  <c r="X54" i="90"/>
  <c r="W54" i="90"/>
  <c r="V54" i="90"/>
  <c r="W50" i="90"/>
  <c r="V50" i="90"/>
  <c r="X41" i="90"/>
  <c r="W41" i="90"/>
  <c r="V41" i="90"/>
  <c r="X35" i="90"/>
  <c r="W35" i="90"/>
  <c r="V35" i="90"/>
  <c r="W8" i="90"/>
  <c r="X7" i="90"/>
  <c r="X6" i="90"/>
  <c r="X5" i="90" s="1"/>
  <c r="W5" i="90"/>
  <c r="V5" i="90"/>
  <c r="X85" i="96"/>
  <c r="X82" i="96"/>
  <c r="X78" i="96"/>
  <c r="W77" i="96"/>
  <c r="V77" i="96"/>
  <c r="X74" i="96"/>
  <c r="X73" i="96" s="1"/>
  <c r="W73" i="96"/>
  <c r="V73" i="96"/>
  <c r="X71" i="96"/>
  <c r="X70" i="96"/>
  <c r="X69" i="96"/>
  <c r="X68" i="96"/>
  <c r="X67" i="96"/>
  <c r="X66" i="96"/>
  <c r="X65" i="96"/>
  <c r="X64" i="96"/>
  <c r="X63" i="96"/>
  <c r="X62" i="96"/>
  <c r="X61" i="96"/>
  <c r="X60" i="96"/>
  <c r="X59" i="96"/>
  <c r="X58" i="96"/>
  <c r="X57" i="96"/>
  <c r="X56" i="96"/>
  <c r="X55" i="96"/>
  <c r="W54" i="96"/>
  <c r="V54" i="96"/>
  <c r="X52" i="96"/>
  <c r="X51" i="96"/>
  <c r="W50" i="96"/>
  <c r="V50" i="96"/>
  <c r="X48" i="96"/>
  <c r="X47" i="96"/>
  <c r="X46" i="96"/>
  <c r="X45" i="96"/>
  <c r="X44" i="96"/>
  <c r="X43" i="96"/>
  <c r="X42" i="96"/>
  <c r="W41" i="96"/>
  <c r="V41" i="96"/>
  <c r="X36" i="96"/>
  <c r="X35" i="96" s="1"/>
  <c r="W35" i="96"/>
  <c r="V35" i="96"/>
  <c r="X33" i="96"/>
  <c r="X32" i="96"/>
  <c r="X31" i="96"/>
  <c r="X30" i="96"/>
  <c r="X27" i="96"/>
  <c r="V8" i="96"/>
  <c r="X25" i="96"/>
  <c r="X24" i="96"/>
  <c r="X21" i="96"/>
  <c r="X20" i="96"/>
  <c r="X19" i="96"/>
  <c r="X18" i="96"/>
  <c r="X17" i="96"/>
  <c r="X16" i="96"/>
  <c r="X15" i="96"/>
  <c r="X14" i="96"/>
  <c r="X13" i="96"/>
  <c r="X12" i="96"/>
  <c r="X11" i="96"/>
  <c r="X10" i="96"/>
  <c r="X9" i="96"/>
  <c r="W8" i="96"/>
  <c r="X7" i="96"/>
  <c r="X6" i="96"/>
  <c r="X5" i="96" s="1"/>
  <c r="W5" i="96"/>
  <c r="V5" i="96"/>
  <c r="X23" i="95"/>
  <c r="X22" i="95"/>
  <c r="X29" i="95"/>
  <c r="W38" i="87" l="1"/>
  <c r="X50" i="87"/>
  <c r="S41" i="99"/>
  <c r="W38" i="96"/>
  <c r="X50" i="96"/>
  <c r="X8" i="87"/>
  <c r="X41" i="87"/>
  <c r="S50" i="102"/>
  <c r="X50" i="86"/>
  <c r="X54" i="87"/>
  <c r="R38" i="102"/>
  <c r="R75" i="102" s="1"/>
  <c r="R81" i="102" s="1"/>
  <c r="R83" i="102" s="1"/>
  <c r="R84" i="102" s="1"/>
  <c r="R86" i="102" s="1"/>
  <c r="R87" i="102" s="1"/>
  <c r="Q38" i="99"/>
  <c r="Q75" i="99" s="1"/>
  <c r="X54" i="86"/>
  <c r="X8" i="86"/>
  <c r="V8" i="86"/>
  <c r="X41" i="86"/>
  <c r="V5" i="86"/>
  <c r="W38" i="86"/>
  <c r="S54" i="102"/>
  <c r="S41" i="102"/>
  <c r="Q38" i="102"/>
  <c r="S14" i="102"/>
  <c r="R38" i="99"/>
  <c r="R39" i="99" s="1"/>
  <c r="S11" i="99"/>
  <c r="S60" i="99"/>
  <c r="V38" i="87"/>
  <c r="V75" i="87" s="1"/>
  <c r="X38" i="87"/>
  <c r="W75" i="87"/>
  <c r="W39" i="87"/>
  <c r="X35" i="87"/>
  <c r="W38" i="90"/>
  <c r="W39" i="90" s="1"/>
  <c r="X50" i="90"/>
  <c r="V8" i="90"/>
  <c r="V38" i="90" s="1"/>
  <c r="X41" i="96"/>
  <c r="X54" i="96"/>
  <c r="V38" i="96"/>
  <c r="W39" i="96"/>
  <c r="W75" i="96"/>
  <c r="X26" i="96"/>
  <c r="R39" i="102" l="1"/>
  <c r="R75" i="99"/>
  <c r="R81" i="99" s="1"/>
  <c r="R83" i="99" s="1"/>
  <c r="R84" i="99" s="1"/>
  <c r="R86" i="99" s="1"/>
  <c r="R87" i="99" s="1"/>
  <c r="Q39" i="99"/>
  <c r="V38" i="86"/>
  <c r="V75" i="86" s="1"/>
  <c r="W75" i="86"/>
  <c r="W39" i="86"/>
  <c r="X38" i="86"/>
  <c r="S8" i="102"/>
  <c r="R76" i="102"/>
  <c r="Q75" i="102"/>
  <c r="Q81" i="102" s="1"/>
  <c r="Q83" i="102" s="1"/>
  <c r="Q84" i="102" s="1"/>
  <c r="Q86" i="102" s="1"/>
  <c r="Q87" i="102" s="1"/>
  <c r="Q39" i="102"/>
  <c r="S8" i="99"/>
  <c r="R76" i="99"/>
  <c r="S54" i="99"/>
  <c r="Q81" i="99"/>
  <c r="Q83" i="99" s="1"/>
  <c r="Q84" i="99" s="1"/>
  <c r="Q86" i="99" s="1"/>
  <c r="Q87" i="99" s="1"/>
  <c r="Q76" i="99"/>
  <c r="V39" i="87"/>
  <c r="X75" i="87"/>
  <c r="X39" i="87"/>
  <c r="W81" i="87"/>
  <c r="W83" i="87" s="1"/>
  <c r="W84" i="87" s="1"/>
  <c r="W86" i="87" s="1"/>
  <c r="W87" i="87" s="1"/>
  <c r="W76" i="87"/>
  <c r="V81" i="87"/>
  <c r="V83" i="87" s="1"/>
  <c r="V84" i="87" s="1"/>
  <c r="V86" i="87" s="1"/>
  <c r="V87" i="87" s="1"/>
  <c r="V76" i="87"/>
  <c r="W75" i="90"/>
  <c r="W76" i="90" s="1"/>
  <c r="X38" i="90"/>
  <c r="V75" i="90"/>
  <c r="V39" i="90"/>
  <c r="X8" i="96"/>
  <c r="W81" i="96"/>
  <c r="W83" i="96" s="1"/>
  <c r="W84" i="96" s="1"/>
  <c r="W86" i="96" s="1"/>
  <c r="W87" i="96" s="1"/>
  <c r="W76" i="96"/>
  <c r="V75" i="96"/>
  <c r="V39" i="96"/>
  <c r="S38" i="99" l="1"/>
  <c r="S39" i="99" s="1"/>
  <c r="W81" i="90"/>
  <c r="W83" i="90" s="1"/>
  <c r="W84" i="90" s="1"/>
  <c r="W86" i="90" s="1"/>
  <c r="W87" i="90" s="1"/>
  <c r="V39" i="86"/>
  <c r="X75" i="86"/>
  <c r="X39" i="86"/>
  <c r="W81" i="86"/>
  <c r="W83" i="86" s="1"/>
  <c r="W84" i="86" s="1"/>
  <c r="W86" i="86" s="1"/>
  <c r="W87" i="86" s="1"/>
  <c r="W76" i="86"/>
  <c r="V81" i="86"/>
  <c r="V83" i="86" s="1"/>
  <c r="V84" i="86" s="1"/>
  <c r="V86" i="86" s="1"/>
  <c r="V87" i="86" s="1"/>
  <c r="V76" i="86"/>
  <c r="S38" i="102"/>
  <c r="S75" i="102" s="1"/>
  <c r="Q76" i="102"/>
  <c r="S75" i="99"/>
  <c r="X76" i="87"/>
  <c r="V81" i="90"/>
  <c r="V83" i="90" s="1"/>
  <c r="V84" i="90" s="1"/>
  <c r="V86" i="90" s="1"/>
  <c r="V87" i="90" s="1"/>
  <c r="V76" i="90"/>
  <c r="X39" i="90"/>
  <c r="X75" i="90"/>
  <c r="V81" i="96"/>
  <c r="V83" i="96" s="1"/>
  <c r="V84" i="96" s="1"/>
  <c r="V86" i="96" s="1"/>
  <c r="V87" i="96" s="1"/>
  <c r="V76" i="96"/>
  <c r="X38" i="96"/>
  <c r="S39" i="102" l="1"/>
  <c r="X76" i="86"/>
  <c r="S76" i="102"/>
  <c r="S76" i="99"/>
  <c r="X76" i="90"/>
  <c r="X39" i="96"/>
  <c r="X75" i="96"/>
  <c r="X76" i="96" l="1"/>
  <c r="X85" i="95" l="1"/>
  <c r="X82" i="95"/>
  <c r="X78" i="95"/>
  <c r="W77" i="95"/>
  <c r="V77" i="95"/>
  <c r="X74" i="95"/>
  <c r="X73" i="95" s="1"/>
  <c r="W73" i="95"/>
  <c r="V73" i="95"/>
  <c r="X71" i="95"/>
  <c r="X70" i="95"/>
  <c r="X69" i="95"/>
  <c r="X68" i="95"/>
  <c r="X67" i="95"/>
  <c r="X66" i="95"/>
  <c r="X65" i="95"/>
  <c r="X64" i="95"/>
  <c r="X63" i="95"/>
  <c r="X62" i="95"/>
  <c r="X61" i="95"/>
  <c r="V54" i="95"/>
  <c r="X59" i="95"/>
  <c r="X58" i="95"/>
  <c r="X57" i="95"/>
  <c r="X56" i="95"/>
  <c r="X55" i="95"/>
  <c r="W54" i="95"/>
  <c r="X52" i="95"/>
  <c r="X51" i="95"/>
  <c r="W50" i="95"/>
  <c r="V50" i="95"/>
  <c r="X48" i="95"/>
  <c r="X47" i="95"/>
  <c r="X46" i="95"/>
  <c r="X45" i="95"/>
  <c r="X44" i="95"/>
  <c r="X43" i="95"/>
  <c r="X42" i="95"/>
  <c r="W41" i="95"/>
  <c r="V41" i="95"/>
  <c r="X36" i="95"/>
  <c r="X35" i="95" s="1"/>
  <c r="W35" i="95"/>
  <c r="V35" i="95"/>
  <c r="X33" i="95"/>
  <c r="X32" i="95"/>
  <c r="X31" i="95"/>
  <c r="X30" i="95"/>
  <c r="X28" i="95"/>
  <c r="X27" i="95"/>
  <c r="X26" i="95"/>
  <c r="X25" i="95"/>
  <c r="X24" i="95"/>
  <c r="X21" i="95"/>
  <c r="X20" i="95"/>
  <c r="X18" i="95"/>
  <c r="X17" i="95"/>
  <c r="X16" i="95"/>
  <c r="X15" i="95"/>
  <c r="X14" i="95"/>
  <c r="X13" i="95"/>
  <c r="X12" i="95"/>
  <c r="X11" i="95"/>
  <c r="X10" i="95"/>
  <c r="X9" i="95"/>
  <c r="W8" i="95"/>
  <c r="X7" i="95"/>
  <c r="X6" i="95"/>
  <c r="X5" i="95" s="1"/>
  <c r="W5" i="95"/>
  <c r="V5" i="95"/>
  <c r="X50" i="95" l="1"/>
  <c r="X41" i="95"/>
  <c r="V8" i="95"/>
  <c r="V38" i="95" s="1"/>
  <c r="W38" i="95"/>
  <c r="X19" i="95"/>
  <c r="X60" i="95"/>
  <c r="X8" i="95" l="1"/>
  <c r="X54" i="95"/>
  <c r="W39" i="95"/>
  <c r="W75" i="95"/>
  <c r="V75" i="95"/>
  <c r="V39" i="95"/>
  <c r="V81" i="95" l="1"/>
  <c r="V83" i="95" s="1"/>
  <c r="V84" i="95" s="1"/>
  <c r="V86" i="95" s="1"/>
  <c r="V87" i="95" s="1"/>
  <c r="V76" i="95"/>
  <c r="X38" i="95"/>
  <c r="W81" i="95"/>
  <c r="W83" i="95" s="1"/>
  <c r="W84" i="95" s="1"/>
  <c r="W86" i="95" s="1"/>
  <c r="W87" i="95" s="1"/>
  <c r="W76" i="95"/>
  <c r="L12" i="102"/>
  <c r="BJ12" i="102" s="1"/>
  <c r="M12" i="102"/>
  <c r="BK12" i="102" s="1"/>
  <c r="X39" i="95" l="1"/>
  <c r="X75" i="95"/>
  <c r="E22" i="90"/>
  <c r="E22" i="96"/>
  <c r="E79" i="96"/>
  <c r="C36" i="95"/>
  <c r="C24" i="95"/>
  <c r="E22" i="95"/>
  <c r="D30" i="95"/>
  <c r="AW22" i="95" l="1"/>
  <c r="X76" i="95"/>
  <c r="L26" i="99"/>
  <c r="BJ26" i="99" s="1"/>
  <c r="L26" i="102"/>
  <c r="BJ26" i="102" s="1"/>
  <c r="Q26" i="86"/>
  <c r="Q26" i="96"/>
  <c r="BO26" i="96" s="1"/>
  <c r="L25" i="99"/>
  <c r="BJ25" i="99" s="1"/>
  <c r="L25" i="102"/>
  <c r="BJ25" i="102" s="1"/>
  <c r="Q25" i="96"/>
  <c r="BO25" i="96" s="1"/>
  <c r="BL25" i="99" l="1"/>
  <c r="E5" i="101"/>
  <c r="O79" i="106" l="1"/>
  <c r="Y79" i="82"/>
  <c r="O79" i="100"/>
  <c r="S79" i="107"/>
  <c r="BG79" i="107" s="1"/>
  <c r="BG81" i="107" s="1"/>
  <c r="BG83" i="107" s="1"/>
  <c r="BG84" i="107" s="1"/>
  <c r="BG86" i="107" s="1"/>
  <c r="BG87" i="107" s="1"/>
  <c r="W79" i="82" l="1"/>
  <c r="Y77" i="82"/>
  <c r="Y89" i="82"/>
  <c r="Y81" i="82"/>
  <c r="Y83" i="82" s="1"/>
  <c r="Y84" i="82" s="1"/>
  <c r="Y86" i="82" s="1"/>
  <c r="Y87" i="82" s="1"/>
  <c r="O77" i="100"/>
  <c r="O89" i="100"/>
  <c r="O81" i="100"/>
  <c r="O83" i="100" s="1"/>
  <c r="O84" i="100" s="1"/>
  <c r="O86" i="100" s="1"/>
  <c r="O87" i="100" s="1"/>
  <c r="O77" i="106"/>
  <c r="O89" i="106"/>
  <c r="O81" i="106"/>
  <c r="O83" i="106" s="1"/>
  <c r="O84" i="106" s="1"/>
  <c r="O86" i="106" s="1"/>
  <c r="O87" i="106" s="1"/>
  <c r="Q19" i="95"/>
  <c r="Q26" i="90"/>
  <c r="Q18" i="90"/>
  <c r="Q13" i="90"/>
  <c r="Q14" i="90"/>
  <c r="Q12" i="90"/>
  <c r="R12" i="90"/>
  <c r="R58" i="90"/>
  <c r="BP58" i="90" s="1"/>
  <c r="Q58" i="90"/>
  <c r="L58" i="102"/>
  <c r="BJ58" i="102" s="1"/>
  <c r="M58" i="102"/>
  <c r="BK58" i="102" s="1"/>
  <c r="P41" i="100" l="1"/>
  <c r="O92" i="100"/>
  <c r="P8" i="100"/>
  <c r="P29" i="100"/>
  <c r="P33" i="100"/>
  <c r="P28" i="100"/>
  <c r="P51" i="100"/>
  <c r="P45" i="100"/>
  <c r="P59" i="100"/>
  <c r="P56" i="100"/>
  <c r="P60" i="100"/>
  <c r="P54" i="100"/>
  <c r="P36" i="100"/>
  <c r="P32" i="100"/>
  <c r="P27" i="100"/>
  <c r="P58" i="100"/>
  <c r="P48" i="100"/>
  <c r="P19" i="100"/>
  <c r="P62" i="100"/>
  <c r="P43" i="100"/>
  <c r="P65" i="100"/>
  <c r="P72" i="100"/>
  <c r="P31" i="100"/>
  <c r="P26" i="100"/>
  <c r="P9" i="100"/>
  <c r="P63" i="100"/>
  <c r="P52" i="100"/>
  <c r="P11" i="100"/>
  <c r="P12" i="100"/>
  <c r="P71" i="100"/>
  <c r="P68" i="100"/>
  <c r="P25" i="100"/>
  <c r="P30" i="100"/>
  <c r="P15" i="100"/>
  <c r="P64" i="100"/>
  <c r="P46" i="100"/>
  <c r="P18" i="100"/>
  <c r="P14" i="100"/>
  <c r="P57" i="100"/>
  <c r="P67" i="100"/>
  <c r="P24" i="100"/>
  <c r="P20" i="100"/>
  <c r="P17" i="100"/>
  <c r="P70" i="100"/>
  <c r="P61" i="100"/>
  <c r="P44" i="100"/>
  <c r="P10" i="100"/>
  <c r="P69" i="100"/>
  <c r="P21" i="100"/>
  <c r="P66" i="100"/>
  <c r="P42" i="100"/>
  <c r="P49" i="100"/>
  <c r="P13" i="100"/>
  <c r="P55" i="100"/>
  <c r="P47" i="100"/>
  <c r="P22" i="100"/>
  <c r="P16" i="100"/>
  <c r="Z29" i="82"/>
  <c r="AE41" i="82"/>
  <c r="Z26" i="82"/>
  <c r="Z19" i="82"/>
  <c r="Z28" i="82"/>
  <c r="Z8" i="82"/>
  <c r="Z21" i="82"/>
  <c r="Z47" i="82"/>
  <c r="Z12" i="82"/>
  <c r="Z31" i="82"/>
  <c r="Z17" i="82"/>
  <c r="Z41" i="82"/>
  <c r="Z15" i="82"/>
  <c r="Z14" i="82"/>
  <c r="Z9" i="82"/>
  <c r="Z20" i="82"/>
  <c r="Z24" i="82"/>
  <c r="Y93" i="82"/>
  <c r="Z54" i="82"/>
  <c r="Z69" i="82"/>
  <c r="Z16" i="82"/>
  <c r="Z10" i="82"/>
  <c r="Z22" i="82"/>
  <c r="Z11" i="82"/>
  <c r="Z25" i="82"/>
  <c r="Z30" i="82"/>
  <c r="Z13" i="82"/>
  <c r="Z27" i="82"/>
  <c r="Z18" i="82"/>
  <c r="AE47" i="82"/>
  <c r="P8" i="106"/>
  <c r="P71" i="106"/>
  <c r="P45" i="106"/>
  <c r="P43" i="106"/>
  <c r="P65" i="106"/>
  <c r="P21" i="106"/>
  <c r="P10" i="106"/>
  <c r="P64" i="106"/>
  <c r="P17" i="106"/>
  <c r="P58" i="106"/>
  <c r="P26" i="106"/>
  <c r="P70" i="106"/>
  <c r="P42" i="106"/>
  <c r="P22" i="106"/>
  <c r="P60" i="106"/>
  <c r="P27" i="106"/>
  <c r="P12" i="106"/>
  <c r="P14" i="106"/>
  <c r="P28" i="106"/>
  <c r="P20" i="106"/>
  <c r="P57" i="106"/>
  <c r="P68" i="106"/>
  <c r="P59" i="106"/>
  <c r="P69" i="106"/>
  <c r="P23" i="106"/>
  <c r="P46" i="106"/>
  <c r="P66" i="106"/>
  <c r="P25" i="106"/>
  <c r="P36" i="106"/>
  <c r="O93" i="106"/>
  <c r="P29" i="106"/>
  <c r="P62" i="106"/>
  <c r="P49" i="106"/>
  <c r="P16" i="106"/>
  <c r="P18" i="106"/>
  <c r="P72" i="106"/>
  <c r="P44" i="106"/>
  <c r="P51" i="106"/>
  <c r="P15" i="106"/>
  <c r="P32" i="106"/>
  <c r="P47" i="106"/>
  <c r="P11" i="106"/>
  <c r="P24" i="106"/>
  <c r="P31" i="106"/>
  <c r="P41" i="106"/>
  <c r="P19" i="106"/>
  <c r="P52" i="106"/>
  <c r="P56" i="106"/>
  <c r="P48" i="106"/>
  <c r="P67" i="106"/>
  <c r="P9" i="106"/>
  <c r="P61" i="106"/>
  <c r="P30" i="106"/>
  <c r="P13" i="106"/>
  <c r="P54" i="106"/>
  <c r="P55" i="106"/>
  <c r="P63" i="106"/>
  <c r="P33" i="106"/>
  <c r="W77" i="82"/>
  <c r="W81" i="82"/>
  <c r="W83" i="82" s="1"/>
  <c r="W84" i="82" s="1"/>
  <c r="W86" i="82" s="1"/>
  <c r="W87" i="82" s="1"/>
  <c r="DX79" i="82"/>
  <c r="BO58" i="90"/>
  <c r="BQ58" i="90" s="1"/>
  <c r="BO14" i="90"/>
  <c r="BQ14" i="90" s="1"/>
  <c r="BO13" i="90"/>
  <c r="BQ13" i="90" s="1"/>
  <c r="Q63" i="90"/>
  <c r="Q31" i="90"/>
  <c r="Q10" i="96"/>
  <c r="BO10" i="96" s="1"/>
  <c r="Q31" i="96"/>
  <c r="BO31" i="96" s="1"/>
  <c r="Q13" i="96"/>
  <c r="BO13" i="96" s="1"/>
  <c r="Q14" i="96"/>
  <c r="BO14" i="96" s="1"/>
  <c r="Q12" i="96"/>
  <c r="BO12" i="96" s="1"/>
  <c r="R12" i="96"/>
  <c r="Q28" i="96"/>
  <c r="Q45" i="96"/>
  <c r="BO45" i="96" s="1"/>
  <c r="R28" i="96"/>
  <c r="L21" i="102"/>
  <c r="Q21" i="96"/>
  <c r="Q27" i="96"/>
  <c r="BO27" i="96" s="1"/>
  <c r="Q18" i="96"/>
  <c r="BO18" i="96" s="1"/>
  <c r="Q20" i="96"/>
  <c r="Q24" i="96"/>
  <c r="Q24" i="90"/>
  <c r="Q21" i="90"/>
  <c r="L18" i="102"/>
  <c r="BJ18" i="102" s="1"/>
  <c r="L18" i="99"/>
  <c r="BJ18" i="99" s="1"/>
  <c r="Q21" i="95"/>
  <c r="Q24" i="95"/>
  <c r="DZ79" i="82" l="1"/>
  <c r="DX77" i="82"/>
  <c r="DX81" i="82"/>
  <c r="DX83" i="82" s="1"/>
  <c r="DX84" i="82" s="1"/>
  <c r="DX86" i="82" s="1"/>
  <c r="DX87" i="82" s="1"/>
  <c r="BO31" i="90"/>
  <c r="BQ31" i="90" s="1"/>
  <c r="BO63" i="90"/>
  <c r="BQ63" i="90" s="1"/>
  <c r="BO20" i="96"/>
  <c r="BQ20" i="96" s="1"/>
  <c r="BU20" i="96" s="1"/>
  <c r="M65" i="102"/>
  <c r="BK65" i="102" s="1"/>
  <c r="M31" i="102"/>
  <c r="M29" i="102"/>
  <c r="BK29" i="102" s="1"/>
  <c r="M29" i="99"/>
  <c r="BK29" i="99" s="1"/>
  <c r="S85" i="90"/>
  <c r="S82" i="90"/>
  <c r="S78" i="90"/>
  <c r="S74" i="90"/>
  <c r="S73" i="90" s="1"/>
  <c r="S71" i="90"/>
  <c r="S70" i="90"/>
  <c r="S69" i="90"/>
  <c r="S68" i="90"/>
  <c r="S67" i="90"/>
  <c r="S66" i="90"/>
  <c r="S65" i="90"/>
  <c r="S64" i="90"/>
  <c r="S63" i="90"/>
  <c r="S62" i="90"/>
  <c r="S61" i="90"/>
  <c r="S60" i="90"/>
  <c r="S59" i="90"/>
  <c r="S58" i="90"/>
  <c r="S57" i="90"/>
  <c r="S56" i="90"/>
  <c r="S55" i="90"/>
  <c r="S52" i="90"/>
  <c r="S51" i="90"/>
  <c r="S48" i="90"/>
  <c r="S47" i="90"/>
  <c r="S46" i="90"/>
  <c r="S45" i="90"/>
  <c r="S44" i="90"/>
  <c r="S43" i="90"/>
  <c r="S42" i="90"/>
  <c r="S36" i="90"/>
  <c r="S35" i="90" s="1"/>
  <c r="S33" i="90"/>
  <c r="S32" i="90"/>
  <c r="S31" i="90"/>
  <c r="S30" i="90"/>
  <c r="S29" i="90"/>
  <c r="S28" i="90"/>
  <c r="S27" i="90"/>
  <c r="S26" i="90"/>
  <c r="S25" i="90"/>
  <c r="S24" i="90"/>
  <c r="S21" i="90"/>
  <c r="S20" i="90"/>
  <c r="S19" i="90"/>
  <c r="S18" i="90"/>
  <c r="S17" i="90"/>
  <c r="S16" i="90"/>
  <c r="S15" i="90"/>
  <c r="S14" i="90"/>
  <c r="S13" i="90"/>
  <c r="S12" i="90"/>
  <c r="S11" i="90"/>
  <c r="S10" i="90"/>
  <c r="S9" i="90"/>
  <c r="S7" i="90"/>
  <c r="S6" i="90"/>
  <c r="DZ81" i="82" l="1"/>
  <c r="DZ83" i="82" s="1"/>
  <c r="DZ84" i="82" s="1"/>
  <c r="DZ86" i="82" s="1"/>
  <c r="DZ87" i="82" s="1"/>
  <c r="DZ77" i="82"/>
  <c r="DZ89" i="82"/>
  <c r="DZ90" i="82" s="1"/>
  <c r="S54" i="90"/>
  <c r="S50" i="90"/>
  <c r="S41" i="90"/>
  <c r="S8" i="90"/>
  <c r="R29" i="96"/>
  <c r="BP29" i="96" s="1"/>
  <c r="Q63" i="95"/>
  <c r="AU63" i="95" s="1"/>
  <c r="Q60" i="96"/>
  <c r="BO60" i="96" s="1"/>
  <c r="Q59" i="96"/>
  <c r="BO59" i="96" s="1"/>
  <c r="R58" i="96"/>
  <c r="BP58" i="96" s="1"/>
  <c r="Q58" i="96"/>
  <c r="BO58" i="96" s="1"/>
  <c r="Q60" i="95"/>
  <c r="AU60" i="95" s="1"/>
  <c r="Q59" i="95"/>
  <c r="AU59" i="95" s="1"/>
  <c r="Q58" i="95"/>
  <c r="AU58" i="95" s="1"/>
  <c r="R58" i="95"/>
  <c r="AV58" i="95" s="1"/>
  <c r="Q24" i="87"/>
  <c r="BJ24" i="87" s="1"/>
  <c r="L63" i="99" l="1"/>
  <c r="BJ63" i="99" s="1"/>
  <c r="L60" i="99"/>
  <c r="BJ60" i="99" s="1"/>
  <c r="L59" i="99"/>
  <c r="BJ59" i="99" s="1"/>
  <c r="M58" i="99"/>
  <c r="BK58" i="99" s="1"/>
  <c r="L58" i="99"/>
  <c r="BJ58" i="99" s="1"/>
  <c r="S85" i="87"/>
  <c r="S82" i="87"/>
  <c r="S78" i="87"/>
  <c r="R77" i="87"/>
  <c r="Q77" i="87"/>
  <c r="S74" i="87"/>
  <c r="S73" i="87" s="1"/>
  <c r="R73" i="87"/>
  <c r="Q73" i="87"/>
  <c r="S71" i="87"/>
  <c r="S70" i="87"/>
  <c r="S69" i="87"/>
  <c r="S68" i="87"/>
  <c r="S67" i="87"/>
  <c r="S66" i="87"/>
  <c r="S65" i="87"/>
  <c r="S64" i="87"/>
  <c r="S63" i="87"/>
  <c r="S62" i="87"/>
  <c r="S61" i="87"/>
  <c r="S60" i="87"/>
  <c r="S59" i="87"/>
  <c r="S58" i="87"/>
  <c r="S57" i="87"/>
  <c r="S56" i="87"/>
  <c r="S55" i="87"/>
  <c r="R54" i="87"/>
  <c r="Q54" i="87"/>
  <c r="S52" i="87"/>
  <c r="S51" i="87"/>
  <c r="R50" i="87"/>
  <c r="Q50" i="87"/>
  <c r="S48" i="87"/>
  <c r="S47" i="87"/>
  <c r="S46" i="87"/>
  <c r="S45" i="87"/>
  <c r="S44" i="87"/>
  <c r="S43" i="87"/>
  <c r="S42" i="87"/>
  <c r="R41" i="87"/>
  <c r="Q41" i="87"/>
  <c r="S36" i="87"/>
  <c r="R35" i="87"/>
  <c r="Q35" i="87"/>
  <c r="S33" i="87"/>
  <c r="S32" i="87"/>
  <c r="S31" i="87"/>
  <c r="S30" i="87"/>
  <c r="S29" i="87"/>
  <c r="S28" i="87"/>
  <c r="S27" i="87"/>
  <c r="S26" i="87"/>
  <c r="S25" i="87"/>
  <c r="S24" i="87"/>
  <c r="S21" i="87"/>
  <c r="S20" i="87"/>
  <c r="S19" i="87"/>
  <c r="S18" i="87"/>
  <c r="S17" i="87"/>
  <c r="S16" i="87"/>
  <c r="S15" i="87"/>
  <c r="S14" i="87"/>
  <c r="S13" i="87"/>
  <c r="S12" i="87"/>
  <c r="S11" i="87"/>
  <c r="S10" i="87"/>
  <c r="S9" i="87"/>
  <c r="R8" i="87"/>
  <c r="Q8" i="87"/>
  <c r="S7" i="87"/>
  <c r="S6" i="87"/>
  <c r="S5" i="87" s="1"/>
  <c r="R5" i="87"/>
  <c r="Q5" i="87"/>
  <c r="Q18" i="95"/>
  <c r="L65" i="102"/>
  <c r="BJ65" i="102" s="1"/>
  <c r="L48" i="102"/>
  <c r="BJ48" i="102" s="1"/>
  <c r="L19" i="102"/>
  <c r="BJ19" i="102" s="1"/>
  <c r="L20" i="102"/>
  <c r="BJ20" i="102" s="1"/>
  <c r="L13" i="102"/>
  <c r="BJ13" i="102" s="1"/>
  <c r="L14" i="102"/>
  <c r="BJ14" i="102" s="1"/>
  <c r="M28" i="102"/>
  <c r="BK28" i="102" s="1"/>
  <c r="M18" i="102"/>
  <c r="BK18" i="102" s="1"/>
  <c r="L47" i="102"/>
  <c r="BJ47" i="102" s="1"/>
  <c r="N63" i="102"/>
  <c r="L11" i="99"/>
  <c r="BJ11" i="99" s="1"/>
  <c r="L10" i="99"/>
  <c r="BJ10" i="99" s="1"/>
  <c r="L9" i="99"/>
  <c r="L24" i="99"/>
  <c r="BJ24" i="99" s="1"/>
  <c r="L21" i="99"/>
  <c r="BJ21" i="99" s="1"/>
  <c r="BA53" i="86"/>
  <c r="AZ53" i="86"/>
  <c r="Q18" i="86"/>
  <c r="AZ18" i="86" s="1"/>
  <c r="Q24" i="86"/>
  <c r="AZ24" i="86" s="1"/>
  <c r="BL21" i="99" l="1"/>
  <c r="BL24" i="99"/>
  <c r="S50" i="87"/>
  <c r="S54" i="87"/>
  <c r="AU18" i="95"/>
  <c r="S79" i="87"/>
  <c r="S77" i="87" s="1"/>
  <c r="Q38" i="87"/>
  <c r="Q39" i="87" s="1"/>
  <c r="S41" i="87"/>
  <c r="R38" i="87"/>
  <c r="R75" i="87" s="1"/>
  <c r="S8" i="87"/>
  <c r="S38" i="87" s="1"/>
  <c r="S35" i="87"/>
  <c r="Q75" i="87" l="1"/>
  <c r="Q76" i="87" s="1"/>
  <c r="R39" i="87"/>
  <c r="S89" i="87"/>
  <c r="S75" i="87"/>
  <c r="S39" i="87"/>
  <c r="R81" i="87"/>
  <c r="R83" i="87" s="1"/>
  <c r="R84" i="87" s="1"/>
  <c r="R86" i="87" s="1"/>
  <c r="R87" i="87" s="1"/>
  <c r="R76" i="87"/>
  <c r="Q81" i="87" l="1"/>
  <c r="Q83" i="87" s="1"/>
  <c r="Q84" i="87" s="1"/>
  <c r="Q86" i="87" s="1"/>
  <c r="Q87" i="87" s="1"/>
  <c r="AD24" i="87"/>
  <c r="AD47" i="87"/>
  <c r="AD54" i="87"/>
  <c r="AD68" i="87"/>
  <c r="AD8" i="87"/>
  <c r="Y54" i="87"/>
  <c r="Y24" i="87"/>
  <c r="Y47" i="87"/>
  <c r="Y68" i="87"/>
  <c r="Y8" i="87"/>
  <c r="T68" i="87"/>
  <c r="T8" i="87"/>
  <c r="T47" i="87"/>
  <c r="T24" i="87"/>
  <c r="T54" i="87"/>
  <c r="S81" i="87"/>
  <c r="S83" i="87" s="1"/>
  <c r="S84" i="87" s="1"/>
  <c r="S86" i="87" s="1"/>
  <c r="S87" i="87" s="1"/>
  <c r="S76" i="87"/>
  <c r="R16" i="86" l="1"/>
  <c r="BA16" i="86" s="1"/>
  <c r="Q6" i="86"/>
  <c r="AZ6" i="86" s="1"/>
  <c r="BA72" i="86"/>
  <c r="AZ72" i="86"/>
  <c r="S85" i="86"/>
  <c r="S82" i="86"/>
  <c r="S78" i="86"/>
  <c r="R77" i="86"/>
  <c r="Q77" i="86"/>
  <c r="S74" i="86"/>
  <c r="S73" i="86" s="1"/>
  <c r="R73" i="86"/>
  <c r="Q73" i="86"/>
  <c r="S71" i="86"/>
  <c r="S70" i="86"/>
  <c r="S69" i="86"/>
  <c r="S68" i="86"/>
  <c r="S67" i="86"/>
  <c r="S66" i="86"/>
  <c r="S65" i="86"/>
  <c r="S64" i="86"/>
  <c r="S63" i="86"/>
  <c r="S62" i="86"/>
  <c r="S61" i="86"/>
  <c r="S60" i="86"/>
  <c r="S59" i="86"/>
  <c r="S58" i="86"/>
  <c r="S57" i="86"/>
  <c r="S56" i="86"/>
  <c r="S55" i="86"/>
  <c r="R54" i="86"/>
  <c r="Q54" i="86"/>
  <c r="S52" i="86"/>
  <c r="S51" i="86"/>
  <c r="R50" i="86"/>
  <c r="Q50" i="86"/>
  <c r="S48" i="86"/>
  <c r="S47" i="86"/>
  <c r="S46" i="86"/>
  <c r="S45" i="86"/>
  <c r="S44" i="86"/>
  <c r="S43" i="86"/>
  <c r="S42" i="86"/>
  <c r="R41" i="86"/>
  <c r="Q41" i="86"/>
  <c r="S36" i="86"/>
  <c r="R35" i="86"/>
  <c r="Q35" i="86"/>
  <c r="S33" i="86"/>
  <c r="S32" i="86"/>
  <c r="S31" i="86"/>
  <c r="S30" i="86"/>
  <c r="S29" i="86"/>
  <c r="S28" i="86"/>
  <c r="S27" i="86"/>
  <c r="S26" i="86"/>
  <c r="S25" i="86"/>
  <c r="S24" i="86"/>
  <c r="S21" i="86"/>
  <c r="S20" i="86"/>
  <c r="S19" i="86"/>
  <c r="S18" i="86"/>
  <c r="S17" i="86"/>
  <c r="S15" i="86"/>
  <c r="S14" i="86"/>
  <c r="S13" i="86"/>
  <c r="S12" i="86"/>
  <c r="S11" i="86"/>
  <c r="S10" i="86"/>
  <c r="S9" i="86"/>
  <c r="R8" i="86"/>
  <c r="S7" i="86"/>
  <c r="R5" i="86"/>
  <c r="Q5" i="86" l="1"/>
  <c r="S6" i="86"/>
  <c r="S5" i="86" s="1"/>
  <c r="S79" i="86"/>
  <c r="S77" i="86" s="1"/>
  <c r="AZ5" i="86"/>
  <c r="BB6" i="86"/>
  <c r="BB5" i="86" s="1"/>
  <c r="S50" i="86"/>
  <c r="S16" i="86"/>
  <c r="S8" i="86" s="1"/>
  <c r="S38" i="86" s="1"/>
  <c r="S54" i="86"/>
  <c r="R38" i="86"/>
  <c r="R39" i="86" s="1"/>
  <c r="S41" i="86"/>
  <c r="S35" i="86"/>
  <c r="Q8" i="86"/>
  <c r="Q38" i="86" s="1"/>
  <c r="N78" i="102"/>
  <c r="M77" i="102"/>
  <c r="L77" i="102"/>
  <c r="N74" i="102"/>
  <c r="N73" i="102" s="1"/>
  <c r="M73" i="102"/>
  <c r="L73" i="102"/>
  <c r="N71" i="102"/>
  <c r="N70" i="102"/>
  <c r="N69" i="102"/>
  <c r="N68" i="102"/>
  <c r="N67" i="102"/>
  <c r="N66" i="102"/>
  <c r="N65" i="102"/>
  <c r="N64" i="102"/>
  <c r="N62" i="102"/>
  <c r="N61" i="102"/>
  <c r="N60" i="102"/>
  <c r="N59" i="102"/>
  <c r="N58" i="102"/>
  <c r="N57" i="102"/>
  <c r="N56" i="102"/>
  <c r="N55" i="102"/>
  <c r="M54" i="102"/>
  <c r="L54" i="102"/>
  <c r="N52" i="102"/>
  <c r="N51" i="102"/>
  <c r="M50" i="102"/>
  <c r="L50" i="102"/>
  <c r="N48" i="102"/>
  <c r="N47" i="102"/>
  <c r="N46" i="102"/>
  <c r="N45" i="102"/>
  <c r="N44" i="102"/>
  <c r="N43" i="102"/>
  <c r="N42" i="102"/>
  <c r="M41" i="102"/>
  <c r="L41" i="102"/>
  <c r="N36" i="102"/>
  <c r="N35" i="102" s="1"/>
  <c r="M35" i="102"/>
  <c r="L35" i="102"/>
  <c r="N33" i="102"/>
  <c r="N32" i="102"/>
  <c r="N31" i="102"/>
  <c r="N30" i="102"/>
  <c r="N29" i="102"/>
  <c r="N28" i="102"/>
  <c r="N27" i="102"/>
  <c r="N26" i="102"/>
  <c r="N25" i="102"/>
  <c r="N24" i="102"/>
  <c r="N21" i="102"/>
  <c r="N20" i="102"/>
  <c r="N19" i="102"/>
  <c r="N18" i="102"/>
  <c r="N17" i="102"/>
  <c r="N16" i="102"/>
  <c r="N15" i="102"/>
  <c r="N14" i="102"/>
  <c r="N13" i="102"/>
  <c r="N12" i="102"/>
  <c r="N11" i="102"/>
  <c r="N10" i="102"/>
  <c r="N9" i="102"/>
  <c r="M8" i="102"/>
  <c r="L8" i="102"/>
  <c r="N7" i="102"/>
  <c r="N6" i="102"/>
  <c r="N5" i="102" s="1"/>
  <c r="M5" i="102"/>
  <c r="L5" i="102"/>
  <c r="N50" i="102" l="1"/>
  <c r="N79" i="102"/>
  <c r="N77" i="102" s="1"/>
  <c r="R75" i="86"/>
  <c r="R76" i="86" s="1"/>
  <c r="M38" i="102"/>
  <c r="M75" i="102" s="1"/>
  <c r="M81" i="102" s="1"/>
  <c r="M83" i="102" s="1"/>
  <c r="M84" i="102" s="1"/>
  <c r="M86" i="102" s="1"/>
  <c r="M87" i="102" s="1"/>
  <c r="S75" i="86"/>
  <c r="S39" i="86"/>
  <c r="Q75" i="86"/>
  <c r="Q39" i="86"/>
  <c r="S89" i="86"/>
  <c r="N41" i="102"/>
  <c r="L38" i="102"/>
  <c r="L75" i="102" s="1"/>
  <c r="L81" i="102" s="1"/>
  <c r="L83" i="102" s="1"/>
  <c r="L84" i="102" s="1"/>
  <c r="L86" i="102" s="1"/>
  <c r="L87" i="102" s="1"/>
  <c r="N8" i="102"/>
  <c r="N38" i="102" s="1"/>
  <c r="N39" i="102" s="1"/>
  <c r="M39" i="102"/>
  <c r="N54" i="102"/>
  <c r="R81" i="86" l="1"/>
  <c r="R83" i="86" s="1"/>
  <c r="R84" i="86" s="1"/>
  <c r="R86" i="86" s="1"/>
  <c r="R87" i="86" s="1"/>
  <c r="T54" i="86"/>
  <c r="T31" i="86"/>
  <c r="T18" i="86"/>
  <c r="T22" i="86"/>
  <c r="T27" i="86"/>
  <c r="T47" i="86"/>
  <c r="T30" i="86"/>
  <c r="T19" i="86"/>
  <c r="T24" i="86"/>
  <c r="T28" i="86"/>
  <c r="T33" i="86"/>
  <c r="T29" i="86"/>
  <c r="T20" i="86"/>
  <c r="T25" i="86"/>
  <c r="T16" i="86"/>
  <c r="T65" i="86"/>
  <c r="T26" i="86"/>
  <c r="T32" i="86"/>
  <c r="T8" i="86"/>
  <c r="T17" i="86"/>
  <c r="T21" i="86"/>
  <c r="L39" i="102"/>
  <c r="Q81" i="86"/>
  <c r="Q83" i="86" s="1"/>
  <c r="Q84" i="86" s="1"/>
  <c r="Q86" i="86" s="1"/>
  <c r="Q87" i="86" s="1"/>
  <c r="Q76" i="86"/>
  <c r="S81" i="86"/>
  <c r="S83" i="86" s="1"/>
  <c r="S84" i="86" s="1"/>
  <c r="S86" i="86" s="1"/>
  <c r="S87" i="86" s="1"/>
  <c r="S76" i="86"/>
  <c r="L76" i="102"/>
  <c r="N75" i="102"/>
  <c r="N81" i="102" s="1"/>
  <c r="N83" i="102" s="1"/>
  <c r="N84" i="102" s="1"/>
  <c r="N86" i="102" s="1"/>
  <c r="N87" i="102" s="1"/>
  <c r="N89" i="102"/>
  <c r="M76" i="102"/>
  <c r="O54" i="102" l="1"/>
  <c r="O69" i="102"/>
  <c r="O65" i="102"/>
  <c r="O61" i="102"/>
  <c r="O57" i="102"/>
  <c r="O51" i="102"/>
  <c r="O46" i="102"/>
  <c r="O42" i="102"/>
  <c r="O11" i="102"/>
  <c r="O15" i="102"/>
  <c r="O19" i="102"/>
  <c r="O24" i="102"/>
  <c r="O28" i="102"/>
  <c r="O32" i="102"/>
  <c r="O72" i="102"/>
  <c r="O68" i="102"/>
  <c r="O64" i="102"/>
  <c r="O60" i="102"/>
  <c r="O56" i="102"/>
  <c r="O43" i="102"/>
  <c r="O47" i="102"/>
  <c r="O41" i="102"/>
  <c r="O12" i="102"/>
  <c r="O16" i="102"/>
  <c r="O20" i="102"/>
  <c r="O25" i="102"/>
  <c r="O29" i="102"/>
  <c r="O33" i="102"/>
  <c r="O71" i="102"/>
  <c r="O67" i="102"/>
  <c r="O63" i="102"/>
  <c r="O59" i="102"/>
  <c r="O55" i="102"/>
  <c r="O44" i="102"/>
  <c r="O48" i="102"/>
  <c r="O36" i="102"/>
  <c r="O13" i="102"/>
  <c r="O17" i="102"/>
  <c r="O21" i="102"/>
  <c r="O26" i="102"/>
  <c r="O30" i="102"/>
  <c r="O9" i="102"/>
  <c r="O62" i="102"/>
  <c r="O49" i="102"/>
  <c r="O22" i="102"/>
  <c r="O58" i="102"/>
  <c r="O10" i="102"/>
  <c r="O27" i="102"/>
  <c r="O70" i="102"/>
  <c r="O52" i="102"/>
  <c r="O14" i="102"/>
  <c r="O31" i="102"/>
  <c r="O18" i="102"/>
  <c r="O8" i="102"/>
  <c r="O66" i="102"/>
  <c r="O45" i="102"/>
  <c r="N76" i="102"/>
  <c r="L6" i="95" l="1"/>
  <c r="AU6" i="95" s="1"/>
  <c r="N85" i="99" l="1"/>
  <c r="N82" i="99"/>
  <c r="N78" i="99"/>
  <c r="L77" i="99"/>
  <c r="N74" i="99"/>
  <c r="N73" i="99" s="1"/>
  <c r="M73" i="99"/>
  <c r="L73" i="99"/>
  <c r="N71" i="99"/>
  <c r="N70" i="99"/>
  <c r="N69" i="99"/>
  <c r="N68" i="99"/>
  <c r="N67" i="99"/>
  <c r="N66" i="99"/>
  <c r="N65" i="99"/>
  <c r="N64" i="99"/>
  <c r="N63" i="99"/>
  <c r="N62" i="99"/>
  <c r="N61" i="99"/>
  <c r="N60" i="99"/>
  <c r="N59" i="99"/>
  <c r="N58" i="99"/>
  <c r="N57" i="99"/>
  <c r="N56" i="99"/>
  <c r="N55" i="99"/>
  <c r="M54" i="99"/>
  <c r="L54" i="99"/>
  <c r="N52" i="99"/>
  <c r="N51" i="99"/>
  <c r="M50" i="99"/>
  <c r="L50" i="99"/>
  <c r="N48" i="99"/>
  <c r="N47" i="99"/>
  <c r="N46" i="99"/>
  <c r="N45" i="99"/>
  <c r="N44" i="99"/>
  <c r="N43" i="99"/>
  <c r="N42" i="99"/>
  <c r="M41" i="99"/>
  <c r="L41" i="99"/>
  <c r="N36" i="99"/>
  <c r="M35" i="99"/>
  <c r="L35" i="99"/>
  <c r="N33" i="99"/>
  <c r="N32" i="99"/>
  <c r="N31" i="99"/>
  <c r="N30" i="99"/>
  <c r="L8" i="99"/>
  <c r="N28" i="99"/>
  <c r="N27" i="99"/>
  <c r="N26" i="99"/>
  <c r="N25" i="99"/>
  <c r="N24" i="99"/>
  <c r="N21" i="99"/>
  <c r="N20" i="99"/>
  <c r="N19" i="99"/>
  <c r="N18" i="99"/>
  <c r="N17" i="99"/>
  <c r="N16" i="99"/>
  <c r="N15" i="99"/>
  <c r="N14" i="99"/>
  <c r="N13" i="99"/>
  <c r="N12" i="99"/>
  <c r="N11" i="99"/>
  <c r="N10" i="99"/>
  <c r="N9" i="99"/>
  <c r="M8" i="99"/>
  <c r="N79" i="99" s="1"/>
  <c r="N7" i="99"/>
  <c r="N6" i="99"/>
  <c r="N5" i="99" s="1"/>
  <c r="M5" i="99"/>
  <c r="L5" i="99"/>
  <c r="S85" i="96"/>
  <c r="S82" i="96"/>
  <c r="S78" i="96"/>
  <c r="R77" i="96"/>
  <c r="Q77" i="96"/>
  <c r="S74" i="96"/>
  <c r="S73" i="96" s="1"/>
  <c r="R73" i="96"/>
  <c r="Q73" i="96"/>
  <c r="S71" i="96"/>
  <c r="S70" i="96"/>
  <c r="S69" i="96"/>
  <c r="S68" i="96"/>
  <c r="S67" i="96"/>
  <c r="S66" i="96"/>
  <c r="S65" i="96"/>
  <c r="S64" i="96"/>
  <c r="S63" i="96"/>
  <c r="S62" i="96"/>
  <c r="S61" i="96"/>
  <c r="S60" i="96"/>
  <c r="S59" i="96"/>
  <c r="S58" i="96"/>
  <c r="S57" i="96"/>
  <c r="S56" i="96"/>
  <c r="S55" i="96"/>
  <c r="R54" i="96"/>
  <c r="Q54" i="96"/>
  <c r="S52" i="96"/>
  <c r="S51" i="96"/>
  <c r="R50" i="96"/>
  <c r="Q50" i="96"/>
  <c r="S48" i="96"/>
  <c r="S47" i="96"/>
  <c r="S46" i="96"/>
  <c r="S45" i="96"/>
  <c r="S44" i="96"/>
  <c r="S43" i="96"/>
  <c r="S42" i="96"/>
  <c r="R41" i="96"/>
  <c r="Q41" i="96"/>
  <c r="S36" i="96"/>
  <c r="R35" i="96"/>
  <c r="Q35" i="96"/>
  <c r="S33" i="96"/>
  <c r="S32" i="96"/>
  <c r="R8" i="96"/>
  <c r="S30" i="96"/>
  <c r="S29" i="96"/>
  <c r="S28" i="96"/>
  <c r="S27" i="96"/>
  <c r="S26" i="96"/>
  <c r="S25" i="96"/>
  <c r="S24" i="96"/>
  <c r="S21" i="96"/>
  <c r="S20" i="96"/>
  <c r="S19" i="96"/>
  <c r="S18" i="96"/>
  <c r="S17" i="96"/>
  <c r="S16" i="96"/>
  <c r="S15" i="96"/>
  <c r="S14" i="96"/>
  <c r="S13" i="96"/>
  <c r="S12" i="96"/>
  <c r="S11" i="96"/>
  <c r="S10" i="96"/>
  <c r="S9" i="96"/>
  <c r="S7" i="96"/>
  <c r="S6" i="96"/>
  <c r="S5" i="96" s="1"/>
  <c r="R5" i="96"/>
  <c r="Q5" i="96"/>
  <c r="S85" i="95"/>
  <c r="S82" i="95"/>
  <c r="S78" i="95"/>
  <c r="R77" i="95"/>
  <c r="Q77" i="95"/>
  <c r="S73" i="95"/>
  <c r="R73" i="95"/>
  <c r="Q73" i="95"/>
  <c r="S71" i="95"/>
  <c r="S70" i="95"/>
  <c r="S69" i="95"/>
  <c r="S68" i="95"/>
  <c r="S67" i="95"/>
  <c r="S66" i="95"/>
  <c r="S65" i="95"/>
  <c r="S64" i="95"/>
  <c r="S63" i="95"/>
  <c r="S62" i="95"/>
  <c r="S61" i="95"/>
  <c r="S60" i="95"/>
  <c r="S59" i="95"/>
  <c r="S58" i="95"/>
  <c r="S57" i="95"/>
  <c r="S56" i="95"/>
  <c r="S55" i="95"/>
  <c r="R54" i="95"/>
  <c r="Q54" i="95"/>
  <c r="S52" i="95"/>
  <c r="S51" i="95"/>
  <c r="R50" i="95"/>
  <c r="Q50" i="95"/>
  <c r="S48" i="95"/>
  <c r="S47" i="95"/>
  <c r="S46" i="95"/>
  <c r="S45" i="95"/>
  <c r="S44" i="95"/>
  <c r="S43" i="95"/>
  <c r="S42" i="95"/>
  <c r="R41" i="95"/>
  <c r="Q41" i="95"/>
  <c r="S36" i="95"/>
  <c r="S35" i="95" s="1"/>
  <c r="R35" i="95"/>
  <c r="Q35" i="95"/>
  <c r="S33" i="95"/>
  <c r="S32" i="95"/>
  <c r="S31" i="95"/>
  <c r="S30" i="95"/>
  <c r="S29" i="95"/>
  <c r="S28" i="95"/>
  <c r="S27" i="95"/>
  <c r="S26" i="95"/>
  <c r="S25" i="95"/>
  <c r="S24" i="95"/>
  <c r="S21" i="95"/>
  <c r="S20" i="95"/>
  <c r="S19" i="95"/>
  <c r="S18" i="95"/>
  <c r="S17" i="95"/>
  <c r="R8" i="95"/>
  <c r="S15" i="95"/>
  <c r="S14" i="95"/>
  <c r="S13" i="95"/>
  <c r="S12" i="95"/>
  <c r="S11" i="95"/>
  <c r="S10" i="95"/>
  <c r="S9" i="95"/>
  <c r="S7" i="95"/>
  <c r="S6" i="95"/>
  <c r="S5" i="95" s="1"/>
  <c r="R5" i="95"/>
  <c r="R77" i="90"/>
  <c r="Q77" i="90"/>
  <c r="R73" i="90"/>
  <c r="Q73" i="90"/>
  <c r="R54" i="90"/>
  <c r="Q54" i="90"/>
  <c r="R50" i="90"/>
  <c r="Q50" i="90"/>
  <c r="R41" i="90"/>
  <c r="Q41" i="90"/>
  <c r="R35" i="90"/>
  <c r="Q35" i="90"/>
  <c r="R8" i="90"/>
  <c r="S5" i="90"/>
  <c r="S38" i="90" s="1"/>
  <c r="R5" i="90"/>
  <c r="S79" i="96" l="1"/>
  <c r="S77" i="96" s="1"/>
  <c r="N50" i="99"/>
  <c r="S77" i="90"/>
  <c r="S50" i="96"/>
  <c r="S50" i="95"/>
  <c r="S79" i="95"/>
  <c r="S75" i="90"/>
  <c r="S39" i="90"/>
  <c r="M38" i="99"/>
  <c r="M75" i="99" s="1"/>
  <c r="L38" i="99"/>
  <c r="L39" i="99" s="1"/>
  <c r="N54" i="99"/>
  <c r="N77" i="99"/>
  <c r="N41" i="99"/>
  <c r="N29" i="99"/>
  <c r="N35" i="99"/>
  <c r="S54" i="96"/>
  <c r="S41" i="96"/>
  <c r="R38" i="96"/>
  <c r="R75" i="96" s="1"/>
  <c r="Q8" i="96"/>
  <c r="Q38" i="96" s="1"/>
  <c r="S31" i="96"/>
  <c r="S35" i="96"/>
  <c r="S54" i="95"/>
  <c r="S41" i="95"/>
  <c r="R38" i="95"/>
  <c r="R75" i="95" s="1"/>
  <c r="Q8" i="95"/>
  <c r="S16" i="95"/>
  <c r="Q5" i="95"/>
  <c r="R38" i="90"/>
  <c r="R75" i="90" s="1"/>
  <c r="Q5" i="90"/>
  <c r="Q8" i="90"/>
  <c r="S77" i="95" l="1"/>
  <c r="S89" i="90"/>
  <c r="BM33" i="90" s="1"/>
  <c r="R39" i="95"/>
  <c r="S76" i="90"/>
  <c r="S81" i="90"/>
  <c r="S83" i="90" s="1"/>
  <c r="S84" i="90" s="1"/>
  <c r="S86" i="90" s="1"/>
  <c r="S87" i="90" s="1"/>
  <c r="R39" i="90"/>
  <c r="R39" i="96"/>
  <c r="M77" i="99"/>
  <c r="Q38" i="95"/>
  <c r="Q75" i="95" s="1"/>
  <c r="M39" i="99"/>
  <c r="L75" i="99"/>
  <c r="L76" i="99" s="1"/>
  <c r="N8" i="99"/>
  <c r="M81" i="99"/>
  <c r="M83" i="99" s="1"/>
  <c r="M84" i="99" s="1"/>
  <c r="M86" i="99" s="1"/>
  <c r="M87" i="99" s="1"/>
  <c r="M76" i="99"/>
  <c r="Q75" i="96"/>
  <c r="Q39" i="96"/>
  <c r="S8" i="96"/>
  <c r="R81" i="96"/>
  <c r="R83" i="96" s="1"/>
  <c r="R84" i="96" s="1"/>
  <c r="R86" i="96" s="1"/>
  <c r="R87" i="96" s="1"/>
  <c r="R76" i="96"/>
  <c r="R81" i="95"/>
  <c r="R83" i="95" s="1"/>
  <c r="R84" i="95" s="1"/>
  <c r="R86" i="95" s="1"/>
  <c r="R87" i="95" s="1"/>
  <c r="R76" i="95"/>
  <c r="S8" i="95"/>
  <c r="Q38" i="90"/>
  <c r="Q75" i="90" s="1"/>
  <c r="R81" i="90"/>
  <c r="R83" i="90" s="1"/>
  <c r="R84" i="90" s="1"/>
  <c r="R86" i="90" s="1"/>
  <c r="R87" i="90" s="1"/>
  <c r="R76" i="90"/>
  <c r="G9" i="99"/>
  <c r="BJ9" i="99" s="1"/>
  <c r="H21" i="102"/>
  <c r="BK21" i="102" s="1"/>
  <c r="M21" i="87"/>
  <c r="BK21" i="87" s="1"/>
  <c r="AN72" i="90" l="1"/>
  <c r="BH33" i="90"/>
  <c r="AD72" i="90"/>
  <c r="AI72" i="90"/>
  <c r="Y72" i="90"/>
  <c r="N89" i="99"/>
  <c r="T54" i="90"/>
  <c r="T69" i="90"/>
  <c r="T65" i="90"/>
  <c r="T61" i="90"/>
  <c r="T57" i="90"/>
  <c r="T11" i="90"/>
  <c r="T15" i="90"/>
  <c r="T19" i="90"/>
  <c r="T24" i="90"/>
  <c r="T28" i="90"/>
  <c r="T32" i="90"/>
  <c r="T67" i="90"/>
  <c r="T55" i="90"/>
  <c r="T17" i="90"/>
  <c r="T26" i="90"/>
  <c r="T70" i="90"/>
  <c r="T62" i="90"/>
  <c r="T10" i="90"/>
  <c r="T18" i="90"/>
  <c r="T27" i="90"/>
  <c r="T8" i="90"/>
  <c r="T72" i="90"/>
  <c r="T68" i="90"/>
  <c r="T64" i="90"/>
  <c r="T60" i="90"/>
  <c r="T56" i="90"/>
  <c r="T12" i="90"/>
  <c r="T16" i="90"/>
  <c r="T20" i="90"/>
  <c r="T25" i="90"/>
  <c r="T29" i="90"/>
  <c r="T33" i="90"/>
  <c r="T71" i="90"/>
  <c r="T63" i="90"/>
  <c r="T59" i="90"/>
  <c r="T13" i="90"/>
  <c r="T21" i="90"/>
  <c r="T30" i="90"/>
  <c r="T9" i="90"/>
  <c r="T66" i="90"/>
  <c r="T58" i="90"/>
  <c r="T14" i="90"/>
  <c r="T22" i="90"/>
  <c r="T31" i="90"/>
  <c r="Q39" i="95"/>
  <c r="Q39" i="90"/>
  <c r="L81" i="99"/>
  <c r="L83" i="99" s="1"/>
  <c r="L84" i="99" s="1"/>
  <c r="L86" i="99" s="1"/>
  <c r="L87" i="99" s="1"/>
  <c r="N38" i="99"/>
  <c r="N75" i="99" s="1"/>
  <c r="S89" i="96"/>
  <c r="S38" i="96"/>
  <c r="Q81" i="96"/>
  <c r="Q83" i="96" s="1"/>
  <c r="Q84" i="96" s="1"/>
  <c r="Q86" i="96" s="1"/>
  <c r="Q87" i="96" s="1"/>
  <c r="Q76" i="96"/>
  <c r="Q81" i="95"/>
  <c r="Q83" i="95" s="1"/>
  <c r="Q84" i="95" s="1"/>
  <c r="Q86" i="95" s="1"/>
  <c r="Q87" i="95" s="1"/>
  <c r="Q76" i="95"/>
  <c r="S89" i="95"/>
  <c r="S38" i="95"/>
  <c r="Q81" i="90"/>
  <c r="Q83" i="90" s="1"/>
  <c r="Q84" i="90" s="1"/>
  <c r="Q86" i="90" s="1"/>
  <c r="Q87" i="90" s="1"/>
  <c r="Q76" i="90"/>
  <c r="O8" i="99" l="1"/>
  <c r="Y36" i="96"/>
  <c r="O62" i="99"/>
  <c r="O44" i="99"/>
  <c r="O22" i="99"/>
  <c r="O54" i="99"/>
  <c r="O57" i="99"/>
  <c r="O64" i="99"/>
  <c r="O46" i="99"/>
  <c r="O71" i="99"/>
  <c r="O67" i="99"/>
  <c r="O63" i="99"/>
  <c r="O59" i="99"/>
  <c r="O58" i="99"/>
  <c r="O69" i="99"/>
  <c r="O51" i="99"/>
  <c r="O60" i="99"/>
  <c r="O42" i="99"/>
  <c r="O55" i="99"/>
  <c r="O49" i="99"/>
  <c r="O45" i="99"/>
  <c r="O36" i="99"/>
  <c r="O70" i="99"/>
  <c r="O52" i="99"/>
  <c r="O65" i="99"/>
  <c r="O47" i="99"/>
  <c r="O72" i="99"/>
  <c r="O56" i="99"/>
  <c r="O66" i="99"/>
  <c r="O48" i="99"/>
  <c r="O61" i="99"/>
  <c r="O43" i="99"/>
  <c r="O68" i="99"/>
  <c r="O41" i="99"/>
  <c r="O9" i="99"/>
  <c r="O12" i="99"/>
  <c r="O30" i="99"/>
  <c r="O27" i="99"/>
  <c r="O18" i="99"/>
  <c r="O11" i="99"/>
  <c r="O33" i="99"/>
  <c r="O31" i="99"/>
  <c r="O15" i="99"/>
  <c r="O20" i="99"/>
  <c r="O28" i="99"/>
  <c r="O16" i="99"/>
  <c r="O10" i="99"/>
  <c r="O26" i="99"/>
  <c r="O21" i="99"/>
  <c r="O14" i="99"/>
  <c r="O32" i="99"/>
  <c r="O25" i="99"/>
  <c r="O13" i="99"/>
  <c r="O24" i="99"/>
  <c r="O17" i="99"/>
  <c r="O19" i="99"/>
  <c r="O29" i="99"/>
  <c r="Y52" i="95"/>
  <c r="Y51" i="95"/>
  <c r="Y41" i="95"/>
  <c r="T70" i="95"/>
  <c r="T66" i="95"/>
  <c r="T62" i="95"/>
  <c r="T58" i="95"/>
  <c r="T52" i="95"/>
  <c r="T48" i="95"/>
  <c r="T44" i="95"/>
  <c r="T36" i="95"/>
  <c r="T13" i="95"/>
  <c r="T17" i="95"/>
  <c r="T21" i="95"/>
  <c r="T26" i="95"/>
  <c r="T30" i="95"/>
  <c r="T9" i="95"/>
  <c r="T72" i="95"/>
  <c r="T68" i="95"/>
  <c r="T60" i="95"/>
  <c r="T41" i="95"/>
  <c r="T42" i="95"/>
  <c r="T15" i="95"/>
  <c r="T28" i="95"/>
  <c r="T71" i="95"/>
  <c r="T63" i="95"/>
  <c r="T59" i="95"/>
  <c r="T49" i="95"/>
  <c r="T8" i="95"/>
  <c r="T16" i="95"/>
  <c r="T25" i="95"/>
  <c r="T33" i="95"/>
  <c r="T54" i="95"/>
  <c r="T69" i="95"/>
  <c r="T65" i="95"/>
  <c r="T61" i="95"/>
  <c r="T57" i="95"/>
  <c r="T51" i="95"/>
  <c r="T47" i="95"/>
  <c r="T43" i="95"/>
  <c r="T10" i="95"/>
  <c r="T14" i="95"/>
  <c r="T18" i="95"/>
  <c r="T22" i="95"/>
  <c r="T27" i="95"/>
  <c r="T31" i="95"/>
  <c r="T64" i="95"/>
  <c r="T56" i="95"/>
  <c r="T46" i="95"/>
  <c r="T11" i="95"/>
  <c r="T19" i="95"/>
  <c r="T24" i="95"/>
  <c r="T32" i="95"/>
  <c r="T67" i="95"/>
  <c r="T55" i="95"/>
  <c r="T45" i="95"/>
  <c r="T12" i="95"/>
  <c r="T20" i="95"/>
  <c r="T29" i="95"/>
  <c r="T41" i="96"/>
  <c r="T70" i="96"/>
  <c r="T66" i="96"/>
  <c r="T62" i="96"/>
  <c r="T58" i="96"/>
  <c r="T52" i="96"/>
  <c r="T47" i="96"/>
  <c r="T43" i="96"/>
  <c r="T11" i="96"/>
  <c r="T15" i="96"/>
  <c r="T19" i="96"/>
  <c r="T24" i="96"/>
  <c r="T28" i="96"/>
  <c r="T32" i="96"/>
  <c r="T72" i="96"/>
  <c r="T64" i="96"/>
  <c r="T56" i="96"/>
  <c r="T45" i="96"/>
  <c r="T13" i="96"/>
  <c r="T17" i="96"/>
  <c r="T30" i="96"/>
  <c r="T67" i="96"/>
  <c r="T55" i="96"/>
  <c r="T44" i="96"/>
  <c r="T14" i="96"/>
  <c r="T22" i="96"/>
  <c r="T31" i="96"/>
  <c r="T54" i="96"/>
  <c r="T69" i="96"/>
  <c r="T65" i="96"/>
  <c r="T61" i="96"/>
  <c r="T57" i="96"/>
  <c r="T51" i="96"/>
  <c r="T46" i="96"/>
  <c r="T42" i="96"/>
  <c r="T12" i="96"/>
  <c r="T16" i="96"/>
  <c r="T20" i="96"/>
  <c r="T25" i="96"/>
  <c r="T29" i="96"/>
  <c r="T33" i="96"/>
  <c r="T68" i="96"/>
  <c r="T60" i="96"/>
  <c r="T49" i="96"/>
  <c r="T36" i="96"/>
  <c r="T21" i="96"/>
  <c r="T26" i="96"/>
  <c r="T9" i="96"/>
  <c r="T71" i="96"/>
  <c r="T63" i="96"/>
  <c r="T59" i="96"/>
  <c r="T48" i="96"/>
  <c r="T10" i="96"/>
  <c r="T18" i="96"/>
  <c r="T27" i="96"/>
  <c r="T8" i="96"/>
  <c r="N39" i="99"/>
  <c r="N81" i="99"/>
  <c r="N83" i="99" s="1"/>
  <c r="N84" i="99" s="1"/>
  <c r="N86" i="99" s="1"/>
  <c r="N87" i="99" s="1"/>
  <c r="N76" i="99"/>
  <c r="S75" i="96"/>
  <c r="S39" i="96"/>
  <c r="S75" i="95"/>
  <c r="S39" i="95"/>
  <c r="S81" i="96" l="1"/>
  <c r="S83" i="96" s="1"/>
  <c r="S84" i="96" s="1"/>
  <c r="S86" i="96" s="1"/>
  <c r="S87" i="96" s="1"/>
  <c r="S76" i="96"/>
  <c r="S81" i="95"/>
  <c r="S83" i="95" s="1"/>
  <c r="S84" i="95" s="1"/>
  <c r="S86" i="95" s="1"/>
  <c r="S87" i="95" s="1"/>
  <c r="S76" i="95"/>
  <c r="C74" i="90"/>
  <c r="C8" i="90" l="1"/>
  <c r="C54" i="90"/>
  <c r="L18" i="90" l="1"/>
  <c r="L25" i="90"/>
  <c r="BO18" i="90" l="1"/>
  <c r="BQ18" i="90" s="1"/>
  <c r="BO25" i="90"/>
  <c r="BQ25" i="90" s="1"/>
  <c r="L26" i="86" l="1"/>
  <c r="AZ26" i="86" s="1"/>
  <c r="G69" i="102" l="1"/>
  <c r="BJ69" i="102" s="1"/>
  <c r="G21" i="102"/>
  <c r="BJ21" i="102" s="1"/>
  <c r="L24" i="96"/>
  <c r="L21" i="96"/>
  <c r="L28" i="95"/>
  <c r="L19" i="95"/>
  <c r="L21" i="95"/>
  <c r="L24" i="95"/>
  <c r="M16" i="95"/>
  <c r="AV16" i="95" s="1"/>
  <c r="L26" i="95"/>
  <c r="AU26" i="95" s="1"/>
  <c r="L27" i="90"/>
  <c r="L19" i="90"/>
  <c r="L24" i="90"/>
  <c r="L26" i="90"/>
  <c r="M16" i="90"/>
  <c r="L6" i="90"/>
  <c r="BO6" i="90" s="1"/>
  <c r="BO19" i="90" l="1"/>
  <c r="BQ19" i="90" s="1"/>
  <c r="BP16" i="90"/>
  <c r="BQ16" i="90" s="1"/>
  <c r="BO27" i="90"/>
  <c r="BQ27" i="90" s="1"/>
  <c r="BO24" i="90"/>
  <c r="BQ24" i="90" s="1"/>
  <c r="BO26" i="90"/>
  <c r="BQ26" i="90" s="1"/>
  <c r="M31" i="87" l="1"/>
  <c r="BK31" i="87" s="1"/>
  <c r="H31" i="102"/>
  <c r="BK31" i="102" s="1"/>
  <c r="H43" i="102"/>
  <c r="BK43" i="102" s="1"/>
  <c r="L21" i="90"/>
  <c r="M17" i="90"/>
  <c r="G29" i="99"/>
  <c r="BJ29" i="99" s="1"/>
  <c r="L21" i="86"/>
  <c r="AZ21" i="86" s="1"/>
  <c r="M31" i="96"/>
  <c r="BP31" i="96" s="1"/>
  <c r="M31" i="95"/>
  <c r="BO21" i="90" l="1"/>
  <c r="BQ21" i="90" s="1"/>
  <c r="BP17" i="90"/>
  <c r="BQ17" i="90" s="1"/>
  <c r="E79" i="85" l="1"/>
  <c r="C31" i="85"/>
  <c r="C41" i="102"/>
  <c r="D31" i="86" l="1"/>
  <c r="C31" i="86"/>
  <c r="C28" i="86"/>
  <c r="E18" i="89" l="1"/>
  <c r="E19" i="89"/>
  <c r="D28" i="89"/>
  <c r="C74" i="89"/>
  <c r="C31" i="89"/>
  <c r="C30" i="89"/>
  <c r="D30" i="91"/>
  <c r="C31" i="91"/>
  <c r="C36" i="91"/>
  <c r="L12" i="90" l="1"/>
  <c r="BO12" i="90" s="1"/>
  <c r="M12" i="95" l="1"/>
  <c r="BL82" i="102"/>
  <c r="E79" i="102"/>
  <c r="I78" i="102"/>
  <c r="E78" i="102"/>
  <c r="H77" i="102"/>
  <c r="G77" i="102"/>
  <c r="D77" i="102"/>
  <c r="C77" i="102"/>
  <c r="BL74" i="102"/>
  <c r="BL73" i="102" s="1"/>
  <c r="I74" i="102"/>
  <c r="I73" i="102" s="1"/>
  <c r="C74" i="102"/>
  <c r="E74" i="102" s="1"/>
  <c r="E73" i="102" s="1"/>
  <c r="BK73" i="102"/>
  <c r="BJ73" i="102"/>
  <c r="H73" i="102"/>
  <c r="G73" i="102"/>
  <c r="D73" i="102"/>
  <c r="I71" i="102"/>
  <c r="E71" i="102"/>
  <c r="I70" i="102"/>
  <c r="E70" i="102"/>
  <c r="I69" i="102"/>
  <c r="E69" i="102"/>
  <c r="I68" i="102"/>
  <c r="E68" i="102"/>
  <c r="I67" i="102"/>
  <c r="E67" i="102"/>
  <c r="I66" i="102"/>
  <c r="E66" i="102"/>
  <c r="I65" i="102"/>
  <c r="E65" i="102"/>
  <c r="I64" i="102"/>
  <c r="E64" i="102"/>
  <c r="I63" i="102"/>
  <c r="E63" i="102"/>
  <c r="BL62" i="102"/>
  <c r="I62" i="102"/>
  <c r="E62" i="102"/>
  <c r="BL61" i="102"/>
  <c r="I61" i="102"/>
  <c r="E61" i="102"/>
  <c r="BL60" i="102"/>
  <c r="I60" i="102"/>
  <c r="E60" i="102"/>
  <c r="BL59" i="102"/>
  <c r="I59" i="102"/>
  <c r="E59" i="102"/>
  <c r="BL58" i="102"/>
  <c r="I58" i="102"/>
  <c r="E58" i="102"/>
  <c r="BL57" i="102"/>
  <c r="I57" i="102"/>
  <c r="E57" i="102"/>
  <c r="I56" i="102"/>
  <c r="E56" i="102"/>
  <c r="I55" i="102"/>
  <c r="E55" i="102"/>
  <c r="BK54" i="102"/>
  <c r="H54" i="102"/>
  <c r="G54" i="102"/>
  <c r="D54" i="102"/>
  <c r="C54" i="102"/>
  <c r="BL52" i="102"/>
  <c r="I52" i="102"/>
  <c r="E52" i="102"/>
  <c r="BL51" i="102"/>
  <c r="I51" i="102"/>
  <c r="E51" i="102"/>
  <c r="BK50" i="102"/>
  <c r="H50" i="102"/>
  <c r="G50" i="102"/>
  <c r="I48" i="102"/>
  <c r="E48" i="102"/>
  <c r="I47" i="102"/>
  <c r="E47" i="102"/>
  <c r="I46" i="102"/>
  <c r="E46" i="102"/>
  <c r="I45" i="102"/>
  <c r="E45" i="102"/>
  <c r="I44" i="102"/>
  <c r="E44" i="102"/>
  <c r="I43" i="102"/>
  <c r="E43" i="102"/>
  <c r="BK41" i="102"/>
  <c r="I42" i="102"/>
  <c r="E42" i="102"/>
  <c r="BJ41" i="102"/>
  <c r="H41" i="102"/>
  <c r="G41" i="102"/>
  <c r="D41" i="102"/>
  <c r="BL36" i="102"/>
  <c r="BL35" i="102" s="1"/>
  <c r="BK35" i="102"/>
  <c r="BJ35" i="102"/>
  <c r="I36" i="102"/>
  <c r="I35" i="102" s="1"/>
  <c r="E36" i="102"/>
  <c r="E35" i="102" s="1"/>
  <c r="H35" i="102"/>
  <c r="G35" i="102"/>
  <c r="D35" i="102"/>
  <c r="C35" i="102"/>
  <c r="BL33" i="102"/>
  <c r="I33" i="102"/>
  <c r="E33" i="102"/>
  <c r="I32" i="102"/>
  <c r="E32" i="102"/>
  <c r="I31" i="102"/>
  <c r="E31" i="102"/>
  <c r="I30" i="102"/>
  <c r="E30" i="102"/>
  <c r="I29" i="102"/>
  <c r="E29" i="102"/>
  <c r="I28" i="102"/>
  <c r="E28" i="102"/>
  <c r="BL27" i="102"/>
  <c r="I27" i="102"/>
  <c r="E27" i="102"/>
  <c r="I26" i="102"/>
  <c r="E26" i="102"/>
  <c r="I25" i="102"/>
  <c r="E25" i="102"/>
  <c r="I24" i="102"/>
  <c r="E24" i="102"/>
  <c r="I21" i="102"/>
  <c r="E21" i="102"/>
  <c r="I20" i="102"/>
  <c r="E20" i="102"/>
  <c r="I19" i="102"/>
  <c r="E19" i="102"/>
  <c r="I18" i="102"/>
  <c r="E18" i="102"/>
  <c r="I17" i="102"/>
  <c r="E17" i="102"/>
  <c r="I16" i="102"/>
  <c r="E16" i="102"/>
  <c r="BL15" i="102"/>
  <c r="I15" i="102"/>
  <c r="E15" i="102"/>
  <c r="I14" i="102"/>
  <c r="E14" i="102"/>
  <c r="BL13" i="102"/>
  <c r="I13" i="102"/>
  <c r="E13" i="102"/>
  <c r="I12" i="102"/>
  <c r="E12" i="102"/>
  <c r="BL11" i="102"/>
  <c r="I11" i="102"/>
  <c r="E11" i="102"/>
  <c r="I10" i="102"/>
  <c r="E10" i="102"/>
  <c r="BL9" i="102"/>
  <c r="I9" i="102"/>
  <c r="E9" i="102"/>
  <c r="H8" i="102"/>
  <c r="G8" i="102"/>
  <c r="D8" i="102"/>
  <c r="C8" i="102"/>
  <c r="BL7" i="102"/>
  <c r="I7" i="102"/>
  <c r="E7" i="102"/>
  <c r="I6" i="102"/>
  <c r="I5" i="102" s="1"/>
  <c r="E6" i="102"/>
  <c r="E5" i="102" s="1"/>
  <c r="H5" i="102"/>
  <c r="G5" i="102"/>
  <c r="D5" i="102"/>
  <c r="C5" i="102"/>
  <c r="M12" i="96"/>
  <c r="BP12" i="96" s="1"/>
  <c r="M12" i="90"/>
  <c r="BP12" i="90" s="1"/>
  <c r="E50" i="102" l="1"/>
  <c r="BQ12" i="90"/>
  <c r="BO8" i="90"/>
  <c r="BL50" i="102"/>
  <c r="BL55" i="102"/>
  <c r="BL56" i="102"/>
  <c r="BL63" i="102"/>
  <c r="BL64" i="102"/>
  <c r="BL65" i="102"/>
  <c r="BL66" i="102"/>
  <c r="BL67" i="102"/>
  <c r="BL69" i="102"/>
  <c r="BL70" i="102"/>
  <c r="BL71" i="102"/>
  <c r="BJ77" i="102"/>
  <c r="BL16" i="102"/>
  <c r="BL17" i="102"/>
  <c r="BL19" i="102"/>
  <c r="BL20" i="102"/>
  <c r="BL21" i="102"/>
  <c r="BL26" i="102"/>
  <c r="BL30" i="102"/>
  <c r="BL32" i="102"/>
  <c r="BL45" i="102"/>
  <c r="I50" i="102"/>
  <c r="BK8" i="102"/>
  <c r="BK38" i="102" s="1"/>
  <c r="BJ50" i="102"/>
  <c r="I54" i="102"/>
  <c r="BJ54" i="102"/>
  <c r="BL31" i="102"/>
  <c r="BL28" i="102"/>
  <c r="BL25" i="102"/>
  <c r="I41" i="102"/>
  <c r="BL68" i="102"/>
  <c r="BL29" i="102"/>
  <c r="H38" i="102"/>
  <c r="H39" i="102" s="1"/>
  <c r="E54" i="102"/>
  <c r="E77" i="102"/>
  <c r="E8" i="102"/>
  <c r="E38" i="102" s="1"/>
  <c r="C38" i="102"/>
  <c r="C75" i="102" s="1"/>
  <c r="C81" i="102" s="1"/>
  <c r="C73" i="102"/>
  <c r="G38" i="102"/>
  <c r="G39" i="102" s="1"/>
  <c r="BL12" i="102"/>
  <c r="BL6" i="102"/>
  <c r="BL5" i="102" s="1"/>
  <c r="BJ8" i="102"/>
  <c r="I8" i="102"/>
  <c r="I38" i="102" s="1"/>
  <c r="D38" i="102"/>
  <c r="BL10" i="102"/>
  <c r="BL14" i="102"/>
  <c r="BL18" i="102"/>
  <c r="BL24" i="102"/>
  <c r="BL42" i="102"/>
  <c r="BL46" i="102"/>
  <c r="E41" i="102"/>
  <c r="BL43" i="102"/>
  <c r="BL47" i="102"/>
  <c r="BK77" i="102"/>
  <c r="BL78" i="102"/>
  <c r="BL44" i="102"/>
  <c r="BL48" i="102"/>
  <c r="C83" i="102" l="1"/>
  <c r="C84" i="102" s="1"/>
  <c r="C86" i="102" s="1"/>
  <c r="C87" i="102" s="1"/>
  <c r="BP8" i="90"/>
  <c r="E75" i="102"/>
  <c r="BL54" i="102"/>
  <c r="H75" i="102"/>
  <c r="H81" i="102" s="1"/>
  <c r="H83" i="102" s="1"/>
  <c r="H84" i="102" s="1"/>
  <c r="H86" i="102" s="1"/>
  <c r="H87" i="102" s="1"/>
  <c r="G75" i="102"/>
  <c r="G81" i="102" s="1"/>
  <c r="G83" i="102" s="1"/>
  <c r="G84" i="102" s="1"/>
  <c r="G86" i="102" s="1"/>
  <c r="G87" i="102" s="1"/>
  <c r="E89" i="102"/>
  <c r="C39" i="102"/>
  <c r="BK75" i="102"/>
  <c r="BK39" i="102"/>
  <c r="D75" i="102"/>
  <c r="D81" i="102" s="1"/>
  <c r="D83" i="102" s="1"/>
  <c r="D84" i="102" s="1"/>
  <c r="D86" i="102" s="1"/>
  <c r="D87" i="102" s="1"/>
  <c r="D39" i="102"/>
  <c r="C76" i="102"/>
  <c r="BL8" i="102"/>
  <c r="BJ38" i="102"/>
  <c r="I75" i="102"/>
  <c r="I39" i="102"/>
  <c r="BL41" i="102"/>
  <c r="E39" i="102"/>
  <c r="H76" i="102" l="1"/>
  <c r="E81" i="102"/>
  <c r="E83" i="102" s="1"/>
  <c r="E84" i="102" s="1"/>
  <c r="E86" i="102" s="1"/>
  <c r="BL38" i="102"/>
  <c r="BL75" i="102" s="1"/>
  <c r="F85" i="102"/>
  <c r="F82" i="102"/>
  <c r="F11" i="102"/>
  <c r="F8" i="102"/>
  <c r="G76" i="102"/>
  <c r="F55" i="102"/>
  <c r="F61" i="102"/>
  <c r="F45" i="102"/>
  <c r="F41" i="102"/>
  <c r="F21" i="102"/>
  <c r="F63" i="102"/>
  <c r="F31" i="102"/>
  <c r="F70" i="102"/>
  <c r="F27" i="102"/>
  <c r="F14" i="102"/>
  <c r="F9" i="102"/>
  <c r="F35" i="102"/>
  <c r="F54" i="102"/>
  <c r="F17" i="102"/>
  <c r="F18" i="102"/>
  <c r="F28" i="102"/>
  <c r="F50" i="102"/>
  <c r="F71" i="102"/>
  <c r="F15" i="102"/>
  <c r="F64" i="102"/>
  <c r="F19" i="102"/>
  <c r="F24" i="102"/>
  <c r="F43" i="102"/>
  <c r="F30" i="102"/>
  <c r="F46" i="102"/>
  <c r="F66" i="102"/>
  <c r="F48" i="102"/>
  <c r="F44" i="102"/>
  <c r="F79" i="102"/>
  <c r="F65" i="102"/>
  <c r="F33" i="102"/>
  <c r="F42" i="102"/>
  <c r="F36" i="102"/>
  <c r="F67" i="102"/>
  <c r="F20" i="102"/>
  <c r="F10" i="102"/>
  <c r="F29" i="102"/>
  <c r="F47" i="102"/>
  <c r="F32" i="102"/>
  <c r="F72" i="102"/>
  <c r="F58" i="102"/>
  <c r="F12" i="102"/>
  <c r="F56" i="102"/>
  <c r="F26" i="102"/>
  <c r="F16" i="102"/>
  <c r="F59" i="102"/>
  <c r="F73" i="102"/>
  <c r="F62" i="102"/>
  <c r="F60" i="102"/>
  <c r="F51" i="102"/>
  <c r="F69" i="102"/>
  <c r="F13" i="102"/>
  <c r="F25" i="102"/>
  <c r="F68" i="102"/>
  <c r="F52" i="102"/>
  <c r="F57" i="102"/>
  <c r="E76" i="102"/>
  <c r="BJ75" i="102"/>
  <c r="BJ39" i="102"/>
  <c r="BK81" i="102"/>
  <c r="BK76" i="102"/>
  <c r="D76" i="102"/>
  <c r="I76" i="102"/>
  <c r="BL39" i="102" l="1"/>
  <c r="E93" i="102"/>
  <c r="E87" i="102"/>
  <c r="BK83" i="102"/>
  <c r="BJ81" i="102"/>
  <c r="BJ76" i="102"/>
  <c r="BL76" i="102"/>
  <c r="BJ83" i="102" l="1"/>
  <c r="BK84" i="102"/>
  <c r="BK86" i="102" l="1"/>
  <c r="BJ84" i="102"/>
  <c r="E18" i="101"/>
  <c r="E14" i="101"/>
  <c r="E13" i="101"/>
  <c r="E12" i="101"/>
  <c r="E9" i="101"/>
  <c r="E8" i="101"/>
  <c r="E7" i="101"/>
  <c r="R85" i="85"/>
  <c r="Q85" i="85"/>
  <c r="R82" i="85"/>
  <c r="Q82" i="85"/>
  <c r="AA79" i="85"/>
  <c r="R78" i="85"/>
  <c r="AA78" i="85" s="1"/>
  <c r="Q78" i="85"/>
  <c r="Z78" i="85" s="1"/>
  <c r="R74" i="85"/>
  <c r="R71" i="85"/>
  <c r="Q71" i="85"/>
  <c r="Z71" i="85" s="1"/>
  <c r="R70" i="85"/>
  <c r="AA70" i="85" s="1"/>
  <c r="Q70" i="85"/>
  <c r="R69" i="85"/>
  <c r="AA69" i="85" s="1"/>
  <c r="Q69" i="85"/>
  <c r="Z69" i="85" s="1"/>
  <c r="R68" i="85"/>
  <c r="AA68" i="85" s="1"/>
  <c r="Q68" i="85"/>
  <c r="R67" i="85"/>
  <c r="Q67" i="85"/>
  <c r="Z67" i="85" s="1"/>
  <c r="R66" i="85"/>
  <c r="AA66" i="85" s="1"/>
  <c r="Q66" i="85"/>
  <c r="R65" i="85"/>
  <c r="Q65" i="85"/>
  <c r="Z65" i="85" s="1"/>
  <c r="R64" i="85"/>
  <c r="AA64" i="85" s="1"/>
  <c r="Q64" i="85"/>
  <c r="R63" i="85"/>
  <c r="Q63" i="85"/>
  <c r="Z63" i="85" s="1"/>
  <c r="R62" i="85"/>
  <c r="AA62" i="85" s="1"/>
  <c r="Q62" i="85"/>
  <c r="Z62" i="85" s="1"/>
  <c r="R61" i="85"/>
  <c r="Q61" i="85"/>
  <c r="Z61" i="85" s="1"/>
  <c r="R60" i="85"/>
  <c r="AA60" i="85" s="1"/>
  <c r="Q60" i="85"/>
  <c r="Z60" i="85" s="1"/>
  <c r="R59" i="85"/>
  <c r="Q59" i="85"/>
  <c r="Z59" i="85" s="1"/>
  <c r="R58" i="85"/>
  <c r="AA58" i="85" s="1"/>
  <c r="Q58" i="85"/>
  <c r="R57" i="85"/>
  <c r="Q57" i="85"/>
  <c r="Z57" i="85" s="1"/>
  <c r="R56" i="85"/>
  <c r="AA56" i="85" s="1"/>
  <c r="Q56" i="85"/>
  <c r="R55" i="85"/>
  <c r="AA55" i="85" s="1"/>
  <c r="Q55" i="85"/>
  <c r="Z55" i="85" s="1"/>
  <c r="R52" i="85"/>
  <c r="AA52" i="85" s="1"/>
  <c r="Q52" i="85"/>
  <c r="R51" i="85"/>
  <c r="Q51" i="85"/>
  <c r="Z51" i="85" s="1"/>
  <c r="R48" i="85"/>
  <c r="AA48" i="85" s="1"/>
  <c r="Q48" i="85"/>
  <c r="Z48" i="85" s="1"/>
  <c r="R47" i="85"/>
  <c r="AA47" i="85" s="1"/>
  <c r="Q47" i="85"/>
  <c r="Z47" i="85" s="1"/>
  <c r="R46" i="85"/>
  <c r="AA46" i="85" s="1"/>
  <c r="Q46" i="85"/>
  <c r="Z46" i="85" s="1"/>
  <c r="R45" i="85"/>
  <c r="AA45" i="85" s="1"/>
  <c r="Q45" i="85"/>
  <c r="Z45" i="85" s="1"/>
  <c r="R44" i="85"/>
  <c r="AA44" i="85" s="1"/>
  <c r="Q44" i="85"/>
  <c r="R43" i="85"/>
  <c r="AA43" i="85" s="1"/>
  <c r="Q43" i="85"/>
  <c r="Z43" i="85" s="1"/>
  <c r="R42" i="85"/>
  <c r="AA42" i="85" s="1"/>
  <c r="Q42" i="85"/>
  <c r="R36" i="85"/>
  <c r="Q36" i="85"/>
  <c r="R33" i="85"/>
  <c r="AA33" i="85" s="1"/>
  <c r="Q33" i="85"/>
  <c r="Z33" i="85" s="1"/>
  <c r="R32" i="85"/>
  <c r="Q32" i="85"/>
  <c r="Z32" i="85" s="1"/>
  <c r="R31" i="85"/>
  <c r="AA31" i="85" s="1"/>
  <c r="Q31" i="85"/>
  <c r="Z31" i="85" s="1"/>
  <c r="R30" i="85"/>
  <c r="AA30" i="85" s="1"/>
  <c r="Q30" i="85"/>
  <c r="Z30" i="85" s="1"/>
  <c r="R29" i="85"/>
  <c r="AA29" i="85" s="1"/>
  <c r="Q29" i="85"/>
  <c r="R28" i="85"/>
  <c r="Q28" i="85"/>
  <c r="Z28" i="85" s="1"/>
  <c r="R27" i="85"/>
  <c r="AA27" i="85" s="1"/>
  <c r="Q27" i="85"/>
  <c r="R26" i="85"/>
  <c r="AA26" i="85" s="1"/>
  <c r="Q26" i="85"/>
  <c r="Z26" i="85" s="1"/>
  <c r="R25" i="85"/>
  <c r="AA25" i="85" s="1"/>
  <c r="Q25" i="85"/>
  <c r="R24" i="85"/>
  <c r="Q24" i="85"/>
  <c r="Z24" i="85" s="1"/>
  <c r="R21" i="85"/>
  <c r="AA21" i="85" s="1"/>
  <c r="Q21" i="85"/>
  <c r="R20" i="85"/>
  <c r="AA20" i="85" s="1"/>
  <c r="Q20" i="85"/>
  <c r="Z20" i="85" s="1"/>
  <c r="R19" i="85"/>
  <c r="AA19" i="85" s="1"/>
  <c r="Q19" i="85"/>
  <c r="Z19" i="85" s="1"/>
  <c r="R18" i="85"/>
  <c r="Q18" i="85"/>
  <c r="Z18" i="85" s="1"/>
  <c r="R17" i="85"/>
  <c r="AA17" i="85" s="1"/>
  <c r="Q17" i="85"/>
  <c r="R16" i="85"/>
  <c r="AA16" i="85" s="1"/>
  <c r="Q16" i="85"/>
  <c r="Z16" i="85" s="1"/>
  <c r="R15" i="85"/>
  <c r="AA15" i="85" s="1"/>
  <c r="Q15" i="85"/>
  <c r="Z15" i="85" s="1"/>
  <c r="R14" i="85"/>
  <c r="Q14" i="85"/>
  <c r="Z14" i="85" s="1"/>
  <c r="R13" i="85"/>
  <c r="AA13" i="85" s="1"/>
  <c r="Q13" i="85"/>
  <c r="R12" i="85"/>
  <c r="AA12" i="85" s="1"/>
  <c r="Q12" i="85"/>
  <c r="Z12" i="85" s="1"/>
  <c r="R11" i="85"/>
  <c r="AA11" i="85" s="1"/>
  <c r="Q11" i="85"/>
  <c r="R10" i="85"/>
  <c r="AA10" i="85" s="1"/>
  <c r="Q10" i="85"/>
  <c r="Z10" i="85" s="1"/>
  <c r="R9" i="85"/>
  <c r="AA9" i="85" s="1"/>
  <c r="Q9" i="85"/>
  <c r="R7" i="85"/>
  <c r="Q7" i="85"/>
  <c r="Z7" i="85" s="1"/>
  <c r="R6" i="85"/>
  <c r="R5" i="85" s="1"/>
  <c r="R35" i="85"/>
  <c r="M54" i="85"/>
  <c r="L54" i="85"/>
  <c r="S62" i="85"/>
  <c r="S55" i="85"/>
  <c r="S46" i="85"/>
  <c r="BL51" i="99"/>
  <c r="BL47" i="99"/>
  <c r="BJ41" i="99"/>
  <c r="BJ35" i="99"/>
  <c r="BL32" i="99"/>
  <c r="BL18" i="99"/>
  <c r="BL14" i="99"/>
  <c r="BL12" i="99"/>
  <c r="BK8" i="99"/>
  <c r="BL7" i="99"/>
  <c r="BL6" i="99"/>
  <c r="BL5" i="99" s="1"/>
  <c r="BK77" i="99"/>
  <c r="BL74" i="99"/>
  <c r="BL73" i="99" s="1"/>
  <c r="BK73" i="99"/>
  <c r="BJ73" i="99"/>
  <c r="BL71" i="99"/>
  <c r="BL69" i="99"/>
  <c r="BL67" i="99"/>
  <c r="BL65" i="99"/>
  <c r="BL63" i="99"/>
  <c r="BL61" i="99"/>
  <c r="BL59" i="99"/>
  <c r="BL57" i="99"/>
  <c r="BL55" i="99"/>
  <c r="BK54" i="99"/>
  <c r="BL52" i="99"/>
  <c r="BL48" i="99"/>
  <c r="BL46" i="99"/>
  <c r="BL45" i="99"/>
  <c r="BL44" i="99"/>
  <c r="BL42" i="99"/>
  <c r="BK41" i="99"/>
  <c r="BK35" i="99"/>
  <c r="BL33" i="99"/>
  <c r="BL30" i="99"/>
  <c r="BL28" i="99"/>
  <c r="BL26" i="99"/>
  <c r="BL20" i="99"/>
  <c r="BL16" i="99"/>
  <c r="BL15" i="99"/>
  <c r="BK5" i="99"/>
  <c r="BJ5" i="99"/>
  <c r="H54" i="99"/>
  <c r="G54" i="99"/>
  <c r="AD79" i="106" l="1"/>
  <c r="AG79" i="106"/>
  <c r="BC79" i="114"/>
  <c r="AX79" i="114"/>
  <c r="AD79" i="114"/>
  <c r="Y79" i="114"/>
  <c r="BG79" i="98"/>
  <c r="S79" i="127"/>
  <c r="AR79" i="103"/>
  <c r="N79" i="127"/>
  <c r="AM79" i="103"/>
  <c r="X79" i="127"/>
  <c r="S48" i="85"/>
  <c r="S15" i="85"/>
  <c r="S19" i="85"/>
  <c r="S33" i="85"/>
  <c r="S60" i="85"/>
  <c r="S69" i="85"/>
  <c r="BL82" i="99"/>
  <c r="BB79" i="99"/>
  <c r="X79" i="89"/>
  <c r="S85" i="85"/>
  <c r="S14" i="85"/>
  <c r="AA14" i="85"/>
  <c r="S36" i="85"/>
  <c r="S35" i="85" s="1"/>
  <c r="S61" i="85"/>
  <c r="AA61" i="85"/>
  <c r="S67" i="85"/>
  <c r="AA67" i="85"/>
  <c r="S71" i="85"/>
  <c r="AA71" i="85"/>
  <c r="Q8" i="85"/>
  <c r="Z8" i="85" s="1"/>
  <c r="Z9" i="85"/>
  <c r="S11" i="85"/>
  <c r="Z11" i="85"/>
  <c r="S13" i="85"/>
  <c r="Z13" i="85"/>
  <c r="S17" i="85"/>
  <c r="Z17" i="85"/>
  <c r="S27" i="85"/>
  <c r="Z27" i="85"/>
  <c r="S29" i="85"/>
  <c r="Z29" i="85"/>
  <c r="S42" i="85"/>
  <c r="Z42" i="85"/>
  <c r="S44" i="85"/>
  <c r="Z44" i="85"/>
  <c r="S64" i="85"/>
  <c r="Z64" i="85"/>
  <c r="S66" i="85"/>
  <c r="Z66" i="85"/>
  <c r="S68" i="85"/>
  <c r="Z68" i="85"/>
  <c r="S70" i="85"/>
  <c r="Z70" i="85"/>
  <c r="S82" i="85"/>
  <c r="BL85" i="99"/>
  <c r="J77" i="117"/>
  <c r="J81" i="117"/>
  <c r="J83" i="117" s="1"/>
  <c r="J84" i="117" s="1"/>
  <c r="J86" i="117" s="1"/>
  <c r="J87" i="117" s="1"/>
  <c r="AW85" i="107"/>
  <c r="BG79" i="102"/>
  <c r="BG85" i="102"/>
  <c r="AW79" i="107"/>
  <c r="S79" i="89"/>
  <c r="E79" i="117"/>
  <c r="BB79" i="102"/>
  <c r="T79" i="117"/>
  <c r="BJ86" i="102"/>
  <c r="BK87" i="102"/>
  <c r="AR79" i="107"/>
  <c r="N79" i="113"/>
  <c r="AM79" i="107"/>
  <c r="S79" i="113"/>
  <c r="X79" i="113"/>
  <c r="BB79" i="96"/>
  <c r="AH79" i="107"/>
  <c r="AW79" i="102"/>
  <c r="R77" i="85"/>
  <c r="Z79" i="85"/>
  <c r="S65" i="85"/>
  <c r="AA65" i="85"/>
  <c r="S63" i="85"/>
  <c r="AA63" i="85"/>
  <c r="S57" i="85"/>
  <c r="AA57" i="85"/>
  <c r="S59" i="85"/>
  <c r="AA59" i="85"/>
  <c r="S56" i="85"/>
  <c r="Z56" i="85"/>
  <c r="S58" i="85"/>
  <c r="Z58" i="85"/>
  <c r="S52" i="85"/>
  <c r="Z52" i="85"/>
  <c r="R50" i="85"/>
  <c r="AA51" i="85"/>
  <c r="R41" i="85"/>
  <c r="S32" i="85"/>
  <c r="AA32" i="85"/>
  <c r="S28" i="85"/>
  <c r="AA28" i="85"/>
  <c r="S25" i="85"/>
  <c r="Z25" i="85"/>
  <c r="S24" i="85"/>
  <c r="AA24" i="85"/>
  <c r="R8" i="85"/>
  <c r="R38" i="85" s="1"/>
  <c r="R39" i="85" s="1"/>
  <c r="S18" i="85"/>
  <c r="AA18" i="85"/>
  <c r="S21" i="85"/>
  <c r="Z21" i="85"/>
  <c r="X79" i="107"/>
  <c r="AM79" i="102"/>
  <c r="AR79" i="96"/>
  <c r="AH79" i="102"/>
  <c r="AM79" i="96"/>
  <c r="AM79" i="95"/>
  <c r="AC79" i="102"/>
  <c r="AC81" i="102" s="1"/>
  <c r="AC83" i="102" s="1"/>
  <c r="AC84" i="102" s="1"/>
  <c r="AC86" i="102" s="1"/>
  <c r="AC87" i="102" s="1"/>
  <c r="I79" i="108"/>
  <c r="AR79" i="108" s="1"/>
  <c r="AH79" i="86"/>
  <c r="AH81" i="86" s="1"/>
  <c r="AH83" i="86" s="1"/>
  <c r="AH84" i="86" s="1"/>
  <c r="X79" i="91"/>
  <c r="AH79" i="95"/>
  <c r="AH79" i="96"/>
  <c r="S79" i="91"/>
  <c r="X79" i="99"/>
  <c r="AC79" i="86"/>
  <c r="AC79" i="95"/>
  <c r="X79" i="102"/>
  <c r="X81" i="102" s="1"/>
  <c r="X83" i="102" s="1"/>
  <c r="X84" i="102" s="1"/>
  <c r="X86" i="102" s="1"/>
  <c r="X87" i="102" s="1"/>
  <c r="AC79" i="96"/>
  <c r="X79" i="87"/>
  <c r="X89" i="87" s="1"/>
  <c r="X79" i="96"/>
  <c r="I79" i="102"/>
  <c r="X79" i="86"/>
  <c r="S79" i="99"/>
  <c r="S79" i="102"/>
  <c r="S81" i="102" s="1"/>
  <c r="S83" i="102" s="1"/>
  <c r="S84" i="102" s="1"/>
  <c r="S86" i="102" s="1"/>
  <c r="S87" i="102" s="1"/>
  <c r="X79" i="95"/>
  <c r="S31" i="85"/>
  <c r="BL10" i="99"/>
  <c r="BK50" i="99"/>
  <c r="BL9" i="99"/>
  <c r="BL11" i="99"/>
  <c r="BL13" i="99"/>
  <c r="BL17" i="99"/>
  <c r="BL19" i="99"/>
  <c r="BL27" i="99"/>
  <c r="BL31" i="99"/>
  <c r="BL56" i="99"/>
  <c r="BL58" i="99"/>
  <c r="BL60" i="99"/>
  <c r="BL62" i="99"/>
  <c r="BL64" i="99"/>
  <c r="BL66" i="99"/>
  <c r="BL70" i="99"/>
  <c r="BJ77" i="99"/>
  <c r="BL68" i="99"/>
  <c r="BL29" i="99"/>
  <c r="S10" i="85"/>
  <c r="R54" i="85"/>
  <c r="S7" i="85"/>
  <c r="S12" i="85"/>
  <c r="S16" i="85"/>
  <c r="S20" i="85"/>
  <c r="S26" i="85"/>
  <c r="S30" i="85"/>
  <c r="Q41" i="85"/>
  <c r="S45" i="85"/>
  <c r="S47" i="85"/>
  <c r="Q50" i="85"/>
  <c r="S78" i="85"/>
  <c r="BJ8" i="99"/>
  <c r="BJ38" i="99" s="1"/>
  <c r="BJ39" i="99" s="1"/>
  <c r="Q54" i="85"/>
  <c r="S51" i="85"/>
  <c r="S43" i="85"/>
  <c r="S9" i="85"/>
  <c r="Q77" i="85"/>
  <c r="S74" i="85"/>
  <c r="Q35" i="85"/>
  <c r="BL78" i="99"/>
  <c r="BJ54" i="99"/>
  <c r="BJ50" i="99"/>
  <c r="BL43" i="99"/>
  <c r="BL36" i="99"/>
  <c r="BL35" i="99" s="1"/>
  <c r="BK38" i="99"/>
  <c r="BK39" i="99" s="1"/>
  <c r="BL50" i="99"/>
  <c r="AG77" i="106" l="1"/>
  <c r="AI79" i="106"/>
  <c r="AG81" i="106"/>
  <c r="AG83" i="106" s="1"/>
  <c r="AG84" i="106" s="1"/>
  <c r="AG86" i="106" s="1"/>
  <c r="AG87" i="106" s="1"/>
  <c r="AD89" i="106"/>
  <c r="AB79" i="106"/>
  <c r="AD77" i="106"/>
  <c r="AD81" i="106"/>
  <c r="AD83" i="106" s="1"/>
  <c r="AD84" i="106" s="1"/>
  <c r="AD86" i="106" s="1"/>
  <c r="AD87" i="106" s="1"/>
  <c r="BW79" i="114"/>
  <c r="AC77" i="116"/>
  <c r="AC89" i="116"/>
  <c r="AD79" i="116" s="1"/>
  <c r="AC81" i="116"/>
  <c r="AC83" i="116" s="1"/>
  <c r="AC84" i="116" s="1"/>
  <c r="AC86" i="116" s="1"/>
  <c r="AC87" i="116" s="1"/>
  <c r="AM79" i="116"/>
  <c r="BC77" i="114"/>
  <c r="BC89" i="114"/>
  <c r="BD79" i="114" s="1"/>
  <c r="BC81" i="114"/>
  <c r="BC83" i="114" s="1"/>
  <c r="BC84" i="114" s="1"/>
  <c r="BC86" i="114" s="1"/>
  <c r="BC87" i="114" s="1"/>
  <c r="I77" i="138"/>
  <c r="I89" i="138"/>
  <c r="J79" i="138" s="1"/>
  <c r="I81" i="138"/>
  <c r="I83" i="138" s="1"/>
  <c r="I84" i="138" s="1"/>
  <c r="I86" i="138" s="1"/>
  <c r="I87" i="138" s="1"/>
  <c r="Y77" i="114"/>
  <c r="Y89" i="114"/>
  <c r="Y81" i="114"/>
  <c r="Y83" i="114" s="1"/>
  <c r="Y84" i="114" s="1"/>
  <c r="Y86" i="114" s="1"/>
  <c r="Y87" i="114" s="1"/>
  <c r="Z79" i="114"/>
  <c r="AX77" i="114"/>
  <c r="AX89" i="114"/>
  <c r="AY79" i="114" s="1"/>
  <c r="AX81" i="114"/>
  <c r="AX83" i="114" s="1"/>
  <c r="AX84" i="114" s="1"/>
  <c r="AX86" i="114" s="1"/>
  <c r="AX87" i="114" s="1"/>
  <c r="AD77" i="114"/>
  <c r="AD89" i="114"/>
  <c r="AD81" i="114"/>
  <c r="AD83" i="114" s="1"/>
  <c r="AD84" i="114" s="1"/>
  <c r="AD86" i="114" s="1"/>
  <c r="AD87" i="114" s="1"/>
  <c r="BG77" i="98"/>
  <c r="BG89" i="98"/>
  <c r="BH79" i="98" s="1"/>
  <c r="BG81" i="98"/>
  <c r="BG83" i="98" s="1"/>
  <c r="BG84" i="98" s="1"/>
  <c r="BG86" i="98" s="1"/>
  <c r="BG87" i="98" s="1"/>
  <c r="AM77" i="103"/>
  <c r="AN77" i="103" s="1"/>
  <c r="AM89" i="103"/>
  <c r="AN79" i="103" s="1"/>
  <c r="AM81" i="103"/>
  <c r="BB79" i="127"/>
  <c r="BB89" i="127" s="1"/>
  <c r="N77" i="127"/>
  <c r="N89" i="127"/>
  <c r="N81" i="127"/>
  <c r="N83" i="127" s="1"/>
  <c r="N84" i="127" s="1"/>
  <c r="N86" i="127" s="1"/>
  <c r="N87" i="127" s="1"/>
  <c r="AR77" i="103"/>
  <c r="AS77" i="103" s="1"/>
  <c r="AR89" i="103"/>
  <c r="AR81" i="103"/>
  <c r="S77" i="127"/>
  <c r="S89" i="127"/>
  <c r="T79" i="127" s="1"/>
  <c r="S81" i="127"/>
  <c r="S83" i="127" s="1"/>
  <c r="S84" i="127" s="1"/>
  <c r="S86" i="127" s="1"/>
  <c r="S87" i="127" s="1"/>
  <c r="X77" i="127"/>
  <c r="X89" i="127"/>
  <c r="X81" i="127"/>
  <c r="X83" i="127" s="1"/>
  <c r="X84" i="127" s="1"/>
  <c r="X86" i="127" s="1"/>
  <c r="X87" i="127" s="1"/>
  <c r="AR77" i="108"/>
  <c r="AR89" i="108"/>
  <c r="BL79" i="103"/>
  <c r="S54" i="85"/>
  <c r="S50" i="85"/>
  <c r="BB77" i="99"/>
  <c r="BB89" i="99"/>
  <c r="BB93" i="99" s="1"/>
  <c r="BB81" i="99"/>
  <c r="BB83" i="99" s="1"/>
  <c r="BB84" i="99" s="1"/>
  <c r="BB86" i="99" s="1"/>
  <c r="BB87" i="99" s="1"/>
  <c r="BC79" i="99"/>
  <c r="X89" i="89"/>
  <c r="X77" i="89"/>
  <c r="X81" i="89"/>
  <c r="X83" i="89" s="1"/>
  <c r="X84" i="89" s="1"/>
  <c r="X86" i="89" s="1"/>
  <c r="X87" i="89" s="1"/>
  <c r="BL79" i="102"/>
  <c r="AW89" i="91"/>
  <c r="AW77" i="91"/>
  <c r="AW81" i="91"/>
  <c r="AW83" i="91" s="1"/>
  <c r="AW84" i="91" s="1"/>
  <c r="AW86" i="91" s="1"/>
  <c r="AW87" i="91" s="1"/>
  <c r="AW77" i="107"/>
  <c r="AW89" i="107"/>
  <c r="AX79" i="107" s="1"/>
  <c r="AW81" i="107"/>
  <c r="AW83" i="107" s="1"/>
  <c r="AW84" i="107" s="1"/>
  <c r="AW86" i="107" s="1"/>
  <c r="AW87" i="107" s="1"/>
  <c r="S77" i="89"/>
  <c r="S81" i="89"/>
  <c r="S83" i="89" s="1"/>
  <c r="S84" i="89" s="1"/>
  <c r="S86" i="89" s="1"/>
  <c r="S87" i="89" s="1"/>
  <c r="S89" i="89"/>
  <c r="BG89" i="102"/>
  <c r="BG77" i="102"/>
  <c r="BG81" i="102"/>
  <c r="BG83" i="102" s="1"/>
  <c r="BG84" i="102" s="1"/>
  <c r="BG86" i="102" s="1"/>
  <c r="BL85" i="102"/>
  <c r="T77" i="117"/>
  <c r="T89" i="117"/>
  <c r="T81" i="117"/>
  <c r="T83" i="117" s="1"/>
  <c r="T84" i="117" s="1"/>
  <c r="T86" i="117" s="1"/>
  <c r="T87" i="117" s="1"/>
  <c r="E77" i="117"/>
  <c r="AS79" i="117"/>
  <c r="E89" i="117"/>
  <c r="E81" i="117"/>
  <c r="E83" i="117" s="1"/>
  <c r="E84" i="117" s="1"/>
  <c r="E86" i="117" s="1"/>
  <c r="E87" i="117" s="1"/>
  <c r="J89" i="117"/>
  <c r="BG89" i="107"/>
  <c r="BJ87" i="102"/>
  <c r="AR77" i="91"/>
  <c r="AR89" i="91"/>
  <c r="AR81" i="91"/>
  <c r="AR83" i="91" s="1"/>
  <c r="AR84" i="91" s="1"/>
  <c r="AR86" i="91" s="1"/>
  <c r="AR87" i="91" s="1"/>
  <c r="AR77" i="107"/>
  <c r="AR89" i="107"/>
  <c r="AR81" i="107"/>
  <c r="AR83" i="107" s="1"/>
  <c r="AR84" i="107" s="1"/>
  <c r="AR86" i="107" s="1"/>
  <c r="AR87" i="107" s="1"/>
  <c r="BB77" i="102"/>
  <c r="BB89" i="102"/>
  <c r="BB81" i="102"/>
  <c r="BB83" i="102" s="1"/>
  <c r="BB84" i="102" s="1"/>
  <c r="BB86" i="102" s="1"/>
  <c r="BB87" i="102" s="1"/>
  <c r="AH89" i="108"/>
  <c r="AH81" i="108"/>
  <c r="AH83" i="108" s="1"/>
  <c r="AH84" i="108" s="1"/>
  <c r="AH86" i="108" s="1"/>
  <c r="AH87" i="108" s="1"/>
  <c r="AH77" i="108"/>
  <c r="AI79" i="108"/>
  <c r="AM89" i="107"/>
  <c r="AN79" i="107" s="1"/>
  <c r="AM77" i="107"/>
  <c r="AM81" i="107"/>
  <c r="AM83" i="107" s="1"/>
  <c r="AM84" i="107" s="1"/>
  <c r="AM86" i="107" s="1"/>
  <c r="AM87" i="107" s="1"/>
  <c r="AW77" i="102"/>
  <c r="AW89" i="102"/>
  <c r="AW81" i="102"/>
  <c r="AW83" i="102" s="1"/>
  <c r="AW84" i="102" s="1"/>
  <c r="AW86" i="102" s="1"/>
  <c r="AW87" i="102" s="1"/>
  <c r="AH77" i="107"/>
  <c r="AH89" i="107"/>
  <c r="AH81" i="107"/>
  <c r="AH83" i="107" s="1"/>
  <c r="AH84" i="107" s="1"/>
  <c r="AH86" i="107" s="1"/>
  <c r="AH87" i="107" s="1"/>
  <c r="X77" i="113"/>
  <c r="X89" i="113"/>
  <c r="X81" i="113"/>
  <c r="X83" i="113" s="1"/>
  <c r="X84" i="113" s="1"/>
  <c r="X86" i="113" s="1"/>
  <c r="X87" i="113" s="1"/>
  <c r="BB77" i="96"/>
  <c r="BB89" i="96"/>
  <c r="BB81" i="96"/>
  <c r="BB83" i="96" s="1"/>
  <c r="BB84" i="96" s="1"/>
  <c r="BB86" i="96" s="1"/>
  <c r="BB87" i="96" s="1"/>
  <c r="AC77" i="108"/>
  <c r="AC89" i="108"/>
  <c r="AC81" i="108"/>
  <c r="AC83" i="108" s="1"/>
  <c r="AC84" i="108" s="1"/>
  <c r="AC86" i="108" s="1"/>
  <c r="AC87" i="108" s="1"/>
  <c r="AD79" i="108"/>
  <c r="BB77" i="90"/>
  <c r="BC77" i="90" s="1"/>
  <c r="BB89" i="90"/>
  <c r="BB81" i="90"/>
  <c r="BB83" i="90" s="1"/>
  <c r="BB84" i="90" s="1"/>
  <c r="BB86" i="90" s="1"/>
  <c r="BB87" i="90" s="1"/>
  <c r="BC79" i="90"/>
  <c r="S77" i="113"/>
  <c r="S89" i="113"/>
  <c r="S81" i="113"/>
  <c r="S83" i="113" s="1"/>
  <c r="S84" i="113" s="1"/>
  <c r="S86" i="113" s="1"/>
  <c r="S87" i="113" s="1"/>
  <c r="AW79" i="113"/>
  <c r="N77" i="113"/>
  <c r="N89" i="113"/>
  <c r="N81" i="113"/>
  <c r="N83" i="113" s="1"/>
  <c r="N84" i="113" s="1"/>
  <c r="N86" i="113" s="1"/>
  <c r="N87" i="113" s="1"/>
  <c r="S41" i="85"/>
  <c r="AM77" i="102"/>
  <c r="AM89" i="102"/>
  <c r="AN79" i="102" s="1"/>
  <c r="AM81" i="102"/>
  <c r="AM83" i="102" s="1"/>
  <c r="AM84" i="102" s="1"/>
  <c r="AM86" i="102" s="1"/>
  <c r="AM87" i="102" s="1"/>
  <c r="I81" i="102"/>
  <c r="I83" i="102" s="1"/>
  <c r="I84" i="102" s="1"/>
  <c r="I86" i="102" s="1"/>
  <c r="I87" i="102" s="1"/>
  <c r="AR77" i="90"/>
  <c r="AR89" i="90"/>
  <c r="AR81" i="90"/>
  <c r="AR83" i="90" s="1"/>
  <c r="AR84" i="90" s="1"/>
  <c r="AR86" i="90" s="1"/>
  <c r="AR87" i="90" s="1"/>
  <c r="AR77" i="96"/>
  <c r="AR89" i="96"/>
  <c r="AR81" i="96"/>
  <c r="AR83" i="96" s="1"/>
  <c r="AR84" i="96" s="1"/>
  <c r="AR86" i="96" s="1"/>
  <c r="AR87" i="96" s="1"/>
  <c r="S77" i="108"/>
  <c r="S89" i="108"/>
  <c r="S81" i="108"/>
  <c r="S83" i="108" s="1"/>
  <c r="S84" i="108" s="1"/>
  <c r="S86" i="108" s="1"/>
  <c r="S87" i="108" s="1"/>
  <c r="X77" i="107"/>
  <c r="X89" i="107"/>
  <c r="BC78" i="107" s="1"/>
  <c r="X81" i="107"/>
  <c r="X83" i="107" s="1"/>
  <c r="X84" i="107" s="1"/>
  <c r="X86" i="107" s="1"/>
  <c r="X87" i="107" s="1"/>
  <c r="AH89" i="91"/>
  <c r="AH77" i="91"/>
  <c r="AH81" i="91"/>
  <c r="AH83" i="91" s="1"/>
  <c r="AH84" i="91" s="1"/>
  <c r="AH86" i="91" s="1"/>
  <c r="AH87" i="91" s="1"/>
  <c r="AM77" i="99"/>
  <c r="AM89" i="99"/>
  <c r="AM93" i="99" s="1"/>
  <c r="AM81" i="99"/>
  <c r="AM83" i="99" s="1"/>
  <c r="AM84" i="99" s="1"/>
  <c r="AM86" i="99" s="1"/>
  <c r="AM87" i="99" s="1"/>
  <c r="AM77" i="95"/>
  <c r="AM89" i="95"/>
  <c r="AM92" i="95" s="1"/>
  <c r="AM81" i="95"/>
  <c r="AM83" i="95" s="1"/>
  <c r="AM84" i="95" s="1"/>
  <c r="AM86" i="95" s="1"/>
  <c r="AM87" i="95" s="1"/>
  <c r="AM77" i="96"/>
  <c r="AM89" i="96"/>
  <c r="AM81" i="96"/>
  <c r="AM83" i="96" s="1"/>
  <c r="AM84" i="96" s="1"/>
  <c r="AM86" i="96" s="1"/>
  <c r="AC77" i="91"/>
  <c r="AC89" i="91"/>
  <c r="AC81" i="91"/>
  <c r="AC83" i="91" s="1"/>
  <c r="AC84" i="91" s="1"/>
  <c r="AC86" i="91" s="1"/>
  <c r="AC87" i="91" s="1"/>
  <c r="AH77" i="102"/>
  <c r="AH89" i="102"/>
  <c r="AI79" i="102" s="1"/>
  <c r="AH81" i="102"/>
  <c r="AH83" i="102" s="1"/>
  <c r="AH84" i="102" s="1"/>
  <c r="AH86" i="102" s="1"/>
  <c r="AH87" i="102" s="1"/>
  <c r="AM77" i="90"/>
  <c r="AM89" i="90"/>
  <c r="AM81" i="90"/>
  <c r="AM83" i="90" s="1"/>
  <c r="AM84" i="90" s="1"/>
  <c r="AM86" i="90" s="1"/>
  <c r="AM87" i="90" s="1"/>
  <c r="I81" i="108"/>
  <c r="I83" i="108" s="1"/>
  <c r="I84" i="108" s="1"/>
  <c r="I86" i="108" s="1"/>
  <c r="I87" i="108" s="1"/>
  <c r="AH77" i="96"/>
  <c r="AH89" i="96"/>
  <c r="AH81" i="96"/>
  <c r="AH89" i="90"/>
  <c r="AH77" i="90"/>
  <c r="AH81" i="90"/>
  <c r="AH83" i="90" s="1"/>
  <c r="AH84" i="90" s="1"/>
  <c r="AH86" i="90" s="1"/>
  <c r="AH87" i="90" s="1"/>
  <c r="AC77" i="102"/>
  <c r="AC89" i="102"/>
  <c r="X77" i="91"/>
  <c r="X89" i="91"/>
  <c r="X81" i="91"/>
  <c r="X83" i="91" s="1"/>
  <c r="X84" i="91" s="1"/>
  <c r="X86" i="91" s="1"/>
  <c r="X87" i="91" s="1"/>
  <c r="AH77" i="95"/>
  <c r="AH89" i="95"/>
  <c r="AH81" i="95"/>
  <c r="AH83" i="95" s="1"/>
  <c r="AH84" i="95" s="1"/>
  <c r="AH86" i="95" s="1"/>
  <c r="AH87" i="95" s="1"/>
  <c r="AH77" i="86"/>
  <c r="AH89" i="86"/>
  <c r="AH93" i="86" s="1"/>
  <c r="AH86" i="86"/>
  <c r="AH87" i="86" s="1"/>
  <c r="N77" i="107"/>
  <c r="N89" i="107"/>
  <c r="N81" i="107"/>
  <c r="N83" i="107" s="1"/>
  <c r="N84" i="107" s="1"/>
  <c r="N86" i="107" s="1"/>
  <c r="N87" i="107" s="1"/>
  <c r="S77" i="107"/>
  <c r="S89" i="107"/>
  <c r="BC72" i="107" s="1"/>
  <c r="S81" i="107"/>
  <c r="S83" i="107" s="1"/>
  <c r="S84" i="107" s="1"/>
  <c r="S86" i="107" s="1"/>
  <c r="S87" i="107" s="1"/>
  <c r="I77" i="108"/>
  <c r="I89" i="108"/>
  <c r="N77" i="108"/>
  <c r="N89" i="108"/>
  <c r="N81" i="108"/>
  <c r="N83" i="108" s="1"/>
  <c r="N84" i="108" s="1"/>
  <c r="N86" i="108" s="1"/>
  <c r="N87" i="108" s="1"/>
  <c r="AC77" i="90"/>
  <c r="AC89" i="90"/>
  <c r="AD79" i="90" s="1"/>
  <c r="AC81" i="90"/>
  <c r="AC83" i="90" s="1"/>
  <c r="AC84" i="90" s="1"/>
  <c r="AC86" i="90" s="1"/>
  <c r="AC87" i="90" s="1"/>
  <c r="AC77" i="96"/>
  <c r="AC81" i="96"/>
  <c r="AC83" i="96" s="1"/>
  <c r="AC84" i="96" s="1"/>
  <c r="AC86" i="96" s="1"/>
  <c r="AC87" i="96" s="1"/>
  <c r="AC89" i="96"/>
  <c r="AC77" i="86"/>
  <c r="AC89" i="86"/>
  <c r="AC81" i="86"/>
  <c r="AC83" i="86" s="1"/>
  <c r="AC84" i="86" s="1"/>
  <c r="AC86" i="86" s="1"/>
  <c r="AC87" i="86" s="1"/>
  <c r="X77" i="102"/>
  <c r="X89" i="102"/>
  <c r="Y79" i="102" s="1"/>
  <c r="X77" i="99"/>
  <c r="X89" i="99"/>
  <c r="X81" i="99"/>
  <c r="X83" i="99" s="1"/>
  <c r="X84" i="99" s="1"/>
  <c r="X86" i="99" s="1"/>
  <c r="X87" i="99" s="1"/>
  <c r="S77" i="91"/>
  <c r="S89" i="91"/>
  <c r="S81" i="91"/>
  <c r="S83" i="91" s="1"/>
  <c r="S84" i="91" s="1"/>
  <c r="S86" i="91" s="1"/>
  <c r="S87" i="91" s="1"/>
  <c r="AC77" i="95"/>
  <c r="AC89" i="95"/>
  <c r="AC81" i="95"/>
  <c r="AC83" i="95" s="1"/>
  <c r="AC84" i="95" s="1"/>
  <c r="AC86" i="95" s="1"/>
  <c r="AC87" i="95" s="1"/>
  <c r="X77" i="86"/>
  <c r="X89" i="86"/>
  <c r="X81" i="86"/>
  <c r="X83" i="86" s="1"/>
  <c r="X84" i="86" s="1"/>
  <c r="X86" i="86" s="1"/>
  <c r="X87" i="86" s="1"/>
  <c r="X89" i="95"/>
  <c r="X77" i="95"/>
  <c r="X81" i="95"/>
  <c r="X83" i="95" s="1"/>
  <c r="X84" i="95" s="1"/>
  <c r="X86" i="95" s="1"/>
  <c r="X87" i="95" s="1"/>
  <c r="S77" i="102"/>
  <c r="S89" i="102"/>
  <c r="X77" i="96"/>
  <c r="X89" i="96"/>
  <c r="X81" i="96"/>
  <c r="X83" i="96" s="1"/>
  <c r="X84" i="96" s="1"/>
  <c r="X86" i="96" s="1"/>
  <c r="X87" i="96" s="1"/>
  <c r="X77" i="87"/>
  <c r="X81" i="87"/>
  <c r="X83" i="87" s="1"/>
  <c r="X84" i="87" s="1"/>
  <c r="X86" i="87" s="1"/>
  <c r="X87" i="87" s="1"/>
  <c r="S77" i="99"/>
  <c r="S89" i="99"/>
  <c r="AD36" i="99" s="1"/>
  <c r="S81" i="99"/>
  <c r="S83" i="99" s="1"/>
  <c r="S84" i="99" s="1"/>
  <c r="S86" i="99" s="1"/>
  <c r="S87" i="99" s="1"/>
  <c r="X81" i="90"/>
  <c r="X83" i="90" s="1"/>
  <c r="X84" i="90" s="1"/>
  <c r="X86" i="90" s="1"/>
  <c r="X87" i="90" s="1"/>
  <c r="X77" i="90"/>
  <c r="X89" i="90"/>
  <c r="BL54" i="99"/>
  <c r="BL8" i="99"/>
  <c r="BL38" i="99" s="1"/>
  <c r="BL39" i="99" s="1"/>
  <c r="I89" i="102"/>
  <c r="I77" i="102"/>
  <c r="BK75" i="99"/>
  <c r="BK76" i="99" s="1"/>
  <c r="S8" i="85"/>
  <c r="R75" i="85"/>
  <c r="R81" i="85" s="1"/>
  <c r="R83" i="85" s="1"/>
  <c r="R84" i="85" s="1"/>
  <c r="R86" i="85" s="1"/>
  <c r="R87" i="85" s="1"/>
  <c r="BJ75" i="99"/>
  <c r="BJ81" i="99" s="1"/>
  <c r="BJ83" i="99" s="1"/>
  <c r="BJ84" i="99" s="1"/>
  <c r="BJ86" i="99" s="1"/>
  <c r="BJ87" i="99" s="1"/>
  <c r="BL41" i="99"/>
  <c r="BA82" i="86"/>
  <c r="AZ82" i="86"/>
  <c r="BB78" i="86"/>
  <c r="AZ73" i="86"/>
  <c r="BB51" i="86"/>
  <c r="BB47" i="86"/>
  <c r="BB43" i="86"/>
  <c r="BB32" i="86"/>
  <c r="BB30" i="86"/>
  <c r="BB26" i="86"/>
  <c r="BB25" i="86"/>
  <c r="BB24" i="86"/>
  <c r="BB20" i="86"/>
  <c r="BB18" i="86"/>
  <c r="BB16" i="86"/>
  <c r="BB15" i="86"/>
  <c r="BB12" i="86"/>
  <c r="AZ8" i="86"/>
  <c r="BB74" i="86"/>
  <c r="BB73" i="86" s="1"/>
  <c r="BA73" i="86"/>
  <c r="BB71" i="86"/>
  <c r="BB70" i="86"/>
  <c r="BB69" i="86"/>
  <c r="BB67" i="86"/>
  <c r="BB66" i="86"/>
  <c r="BB65" i="86"/>
  <c r="BB63" i="86"/>
  <c r="BB62" i="86"/>
  <c r="BB61" i="86"/>
  <c r="BB58" i="86"/>
  <c r="BB57" i="86"/>
  <c r="BB55" i="86"/>
  <c r="BB52" i="86"/>
  <c r="BB48" i="86"/>
  <c r="BB46" i="86"/>
  <c r="BB45" i="86"/>
  <c r="BB44" i="86"/>
  <c r="BB42" i="86"/>
  <c r="BA41" i="86"/>
  <c r="BB36" i="86"/>
  <c r="BA35" i="86"/>
  <c r="AZ35" i="86"/>
  <c r="BB33" i="86"/>
  <c r="BB27" i="86"/>
  <c r="BB21" i="86"/>
  <c r="BB19" i="86"/>
  <c r="BB17" i="86"/>
  <c r="BB14" i="86"/>
  <c r="BB13" i="86"/>
  <c r="BB11" i="86"/>
  <c r="BB9" i="86"/>
  <c r="M54" i="86"/>
  <c r="L54" i="86"/>
  <c r="BK85" i="87"/>
  <c r="BJ85" i="87"/>
  <c r="BJ73" i="87"/>
  <c r="BL70" i="87"/>
  <c r="BL66" i="87"/>
  <c r="BL64" i="87"/>
  <c r="BL62" i="87"/>
  <c r="BL58" i="87"/>
  <c r="BJ54" i="87"/>
  <c r="BL46" i="87"/>
  <c r="BL42" i="87"/>
  <c r="BK36" i="87"/>
  <c r="BK35" i="87" s="1"/>
  <c r="BJ36" i="87"/>
  <c r="BL36" i="87" s="1"/>
  <c r="BL24" i="87"/>
  <c r="BL21" i="87"/>
  <c r="BL20" i="87"/>
  <c r="BL18" i="87"/>
  <c r="BL16" i="87"/>
  <c r="BL12" i="87"/>
  <c r="BJ8" i="87"/>
  <c r="BL7" i="87"/>
  <c r="BK77" i="87"/>
  <c r="BK73" i="87"/>
  <c r="BL71" i="87"/>
  <c r="BL69" i="87"/>
  <c r="BL67" i="87"/>
  <c r="BL65" i="87"/>
  <c r="BL63" i="87"/>
  <c r="BL61" i="87"/>
  <c r="BL60" i="87"/>
  <c r="BL59" i="87"/>
  <c r="BL57" i="87"/>
  <c r="BL55" i="87"/>
  <c r="BL52" i="87"/>
  <c r="BK50" i="87"/>
  <c r="BL48" i="87"/>
  <c r="BL47" i="87"/>
  <c r="BL45" i="87"/>
  <c r="BL44" i="87"/>
  <c r="BL43" i="87"/>
  <c r="BJ41" i="87"/>
  <c r="BL33" i="87"/>
  <c r="BL32" i="87"/>
  <c r="BL31" i="87"/>
  <c r="BL27" i="87"/>
  <c r="BL19" i="87"/>
  <c r="BL17" i="87"/>
  <c r="BL15" i="87"/>
  <c r="BL14" i="87"/>
  <c r="BL13" i="87"/>
  <c r="BL11" i="87"/>
  <c r="BL9" i="87"/>
  <c r="BL6" i="87"/>
  <c r="BL5" i="87" s="1"/>
  <c r="BK5" i="87"/>
  <c r="BJ5" i="87"/>
  <c r="L54" i="87"/>
  <c r="M54" i="87"/>
  <c r="M54" i="96"/>
  <c r="L54" i="96"/>
  <c r="BO73" i="96"/>
  <c r="BQ70" i="96"/>
  <c r="BU70" i="96" s="1"/>
  <c r="BQ68" i="96"/>
  <c r="BU68" i="96" s="1"/>
  <c r="BQ66" i="96"/>
  <c r="BU66" i="96" s="1"/>
  <c r="BQ64" i="96"/>
  <c r="BU64" i="96" s="1"/>
  <c r="BQ62" i="96"/>
  <c r="BU62" i="96" s="1"/>
  <c r="BQ60" i="96"/>
  <c r="BU60" i="96" s="1"/>
  <c r="BQ59" i="96"/>
  <c r="BU59" i="96" s="1"/>
  <c r="BQ58" i="96"/>
  <c r="BU58" i="96" s="1"/>
  <c r="BQ56" i="96"/>
  <c r="BU56" i="96" s="1"/>
  <c r="BP50" i="96"/>
  <c r="BQ48" i="96"/>
  <c r="BU48" i="96" s="1"/>
  <c r="BQ47" i="96"/>
  <c r="BU47" i="96" s="1"/>
  <c r="BQ45" i="96"/>
  <c r="BU45" i="96" s="1"/>
  <c r="BQ44" i="96"/>
  <c r="BU44" i="96" s="1"/>
  <c r="BQ43" i="96"/>
  <c r="BU43" i="96" s="1"/>
  <c r="BO35" i="96"/>
  <c r="BQ32" i="96"/>
  <c r="BU32" i="96" s="1"/>
  <c r="BQ30" i="96"/>
  <c r="BU30" i="96" s="1"/>
  <c r="BQ26" i="96"/>
  <c r="BU26" i="96" s="1"/>
  <c r="BQ18" i="96"/>
  <c r="BU18" i="96" s="1"/>
  <c r="BQ102" i="96" s="1"/>
  <c r="BQ16" i="96"/>
  <c r="BU16" i="96" s="1"/>
  <c r="BQ100" i="96" s="1"/>
  <c r="BQ14" i="96"/>
  <c r="BU14" i="96" s="1"/>
  <c r="BQ13" i="96"/>
  <c r="BU13" i="96" s="1"/>
  <c r="BQ11" i="96"/>
  <c r="BU11" i="96" s="1"/>
  <c r="BQ9" i="96"/>
  <c r="BU9" i="96" s="1"/>
  <c r="BQ7" i="96"/>
  <c r="G54" i="96"/>
  <c r="L54" i="95"/>
  <c r="BQ74" i="96"/>
  <c r="BP73" i="96"/>
  <c r="BQ71" i="96"/>
  <c r="BU71" i="96" s="1"/>
  <c r="BQ69" i="96"/>
  <c r="BU69" i="96" s="1"/>
  <c r="BQ67" i="96"/>
  <c r="BU67" i="96" s="1"/>
  <c r="BQ65" i="96"/>
  <c r="BU65" i="96" s="1"/>
  <c r="BQ63" i="96"/>
  <c r="BU63" i="96" s="1"/>
  <c r="BQ61" i="96"/>
  <c r="BU61" i="96" s="1"/>
  <c r="BQ57" i="96"/>
  <c r="BU57" i="96" s="1"/>
  <c r="BQ55" i="96"/>
  <c r="BU55" i="96" s="1"/>
  <c r="BQ51" i="96"/>
  <c r="BU51" i="96" s="1"/>
  <c r="BQ46" i="96"/>
  <c r="BU46" i="96" s="1"/>
  <c r="BQ42" i="96"/>
  <c r="BU42" i="96" s="1"/>
  <c r="BP41" i="96"/>
  <c r="BQ36" i="96"/>
  <c r="BP35" i="96"/>
  <c r="BQ33" i="96"/>
  <c r="BU33" i="96" s="1"/>
  <c r="BQ31" i="96"/>
  <c r="BU31" i="96" s="1"/>
  <c r="BQ29" i="96"/>
  <c r="BU29" i="96" s="1"/>
  <c r="BQ27" i="96"/>
  <c r="BU27" i="96" s="1"/>
  <c r="BQ25" i="96"/>
  <c r="BU25" i="96" s="1"/>
  <c r="BQ19" i="96"/>
  <c r="BU19" i="96" s="1"/>
  <c r="BQ17" i="96"/>
  <c r="BU17" i="96" s="1"/>
  <c r="BQ15" i="96"/>
  <c r="BU15" i="96" s="1"/>
  <c r="BQ6" i="96"/>
  <c r="AV77" i="95"/>
  <c r="AV73" i="95"/>
  <c r="AW62" i="95"/>
  <c r="AV50" i="95"/>
  <c r="AU35" i="95"/>
  <c r="AW25" i="95"/>
  <c r="AW13" i="95"/>
  <c r="AW6" i="95"/>
  <c r="AW5" i="95" s="1"/>
  <c r="M54" i="95"/>
  <c r="L8" i="95"/>
  <c r="K54" i="90"/>
  <c r="M54" i="90"/>
  <c r="L54" i="90"/>
  <c r="AU77" i="95"/>
  <c r="AU73" i="95"/>
  <c r="AW71" i="95"/>
  <c r="AW69" i="95"/>
  <c r="AW68" i="95"/>
  <c r="AW67" i="95"/>
  <c r="AW65" i="95"/>
  <c r="AW64" i="95"/>
  <c r="AW63" i="95"/>
  <c r="AW61" i="95"/>
  <c r="AW60" i="95"/>
  <c r="AW57" i="95"/>
  <c r="AW56" i="95"/>
  <c r="AW55" i="95"/>
  <c r="AW52" i="95"/>
  <c r="AW48" i="95"/>
  <c r="AW46" i="95"/>
  <c r="AW44" i="95"/>
  <c r="AW42" i="95"/>
  <c r="AV41" i="95"/>
  <c r="AU41" i="95"/>
  <c r="AW36" i="95"/>
  <c r="AV35" i="95"/>
  <c r="AW33" i="95"/>
  <c r="AW32" i="95"/>
  <c r="AW30" i="95"/>
  <c r="AW27" i="95"/>
  <c r="AW26" i="95"/>
  <c r="AW20" i="95"/>
  <c r="AW18" i="95"/>
  <c r="AW17" i="95"/>
  <c r="AW16" i="95"/>
  <c r="AW15" i="95"/>
  <c r="AW14" i="95"/>
  <c r="AW11" i="95"/>
  <c r="AW10" i="95"/>
  <c r="AW9" i="95"/>
  <c r="AW7" i="95"/>
  <c r="AV5" i="95"/>
  <c r="BS9" i="106" l="1"/>
  <c r="BS27" i="106"/>
  <c r="AB77" i="106"/>
  <c r="DN79" i="106"/>
  <c r="AB81" i="106"/>
  <c r="AB83" i="106" s="1"/>
  <c r="AB84" i="106" s="1"/>
  <c r="AB86" i="106" s="1"/>
  <c r="AB87" i="106" s="1"/>
  <c r="BD8" i="106"/>
  <c r="CR39" i="106"/>
  <c r="BD68" i="106"/>
  <c r="CM69" i="106"/>
  <c r="CW71" i="106"/>
  <c r="BS70" i="106"/>
  <c r="DG65" i="106"/>
  <c r="CH49" i="106"/>
  <c r="CM55" i="106"/>
  <c r="DG49" i="106"/>
  <c r="CC47" i="106"/>
  <c r="CH42" i="106"/>
  <c r="DL55" i="106"/>
  <c r="DG48" i="106"/>
  <c r="CW46" i="106"/>
  <c r="CC44" i="106"/>
  <c r="CC42" i="106"/>
  <c r="DL47" i="106"/>
  <c r="DG41" i="106"/>
  <c r="DL24" i="106"/>
  <c r="CM45" i="106"/>
  <c r="CH25" i="106"/>
  <c r="BX43" i="106"/>
  <c r="BS28" i="106"/>
  <c r="BS22" i="106"/>
  <c r="CH19" i="106"/>
  <c r="CH31" i="106"/>
  <c r="CW56" i="106"/>
  <c r="BX21" i="106"/>
  <c r="BD28" i="106"/>
  <c r="DL16" i="106"/>
  <c r="DL14" i="106"/>
  <c r="CH17" i="106"/>
  <c r="CC24" i="106"/>
  <c r="CH9" i="106"/>
  <c r="BS18" i="106"/>
  <c r="CC9" i="106"/>
  <c r="BD9" i="106"/>
  <c r="CW13" i="106"/>
  <c r="DB36" i="106"/>
  <c r="CM24" i="106"/>
  <c r="CR27" i="106"/>
  <c r="CR51" i="106"/>
  <c r="CC59" i="106"/>
  <c r="CW57" i="106"/>
  <c r="CW59" i="106"/>
  <c r="DG67" i="106"/>
  <c r="CR13" i="106"/>
  <c r="CR19" i="106"/>
  <c r="CW11" i="106"/>
  <c r="CW8" i="106"/>
  <c r="CR12" i="106"/>
  <c r="BD21" i="106"/>
  <c r="CC18" i="106"/>
  <c r="CM22" i="106"/>
  <c r="CC28" i="106"/>
  <c r="CC55" i="106"/>
  <c r="CC61" i="106"/>
  <c r="CC63" i="106"/>
  <c r="CM66" i="106"/>
  <c r="DB13" i="106"/>
  <c r="DL13" i="106"/>
  <c r="BX23" i="106"/>
  <c r="CH28" i="106"/>
  <c r="BX27" i="106"/>
  <c r="DG36" i="106"/>
  <c r="BS51" i="106"/>
  <c r="BD57" i="106"/>
  <c r="BS67" i="106"/>
  <c r="DB58" i="106"/>
  <c r="BS66" i="106"/>
  <c r="BD70" i="106"/>
  <c r="BD15" i="106"/>
  <c r="CR9" i="106"/>
  <c r="CR15" i="106"/>
  <c r="DB20" i="106"/>
  <c r="CC26" i="106"/>
  <c r="BD48" i="106"/>
  <c r="CR55" i="106"/>
  <c r="DG60" i="106"/>
  <c r="CR59" i="106"/>
  <c r="DB64" i="106"/>
  <c r="BS68" i="106"/>
  <c r="BX71" i="106"/>
  <c r="CC20" i="106"/>
  <c r="DL52" i="106"/>
  <c r="BS32" i="106"/>
  <c r="CR17" i="106"/>
  <c r="BS48" i="106"/>
  <c r="BX59" i="106"/>
  <c r="DG30" i="106"/>
  <c r="CC62" i="106"/>
  <c r="BX19" i="106"/>
  <c r="DL42" i="106"/>
  <c r="CM58" i="106"/>
  <c r="BX64" i="106"/>
  <c r="DB12" i="106"/>
  <c r="CH45" i="106"/>
  <c r="DL51" i="106"/>
  <c r="CH57" i="106"/>
  <c r="CC57" i="106"/>
  <c r="CW51" i="106"/>
  <c r="CR41" i="106"/>
  <c r="CW35" i="106"/>
  <c r="BD18" i="106"/>
  <c r="DG50" i="106"/>
  <c r="BD25" i="106"/>
  <c r="CW54" i="106"/>
  <c r="BX38" i="106"/>
  <c r="CW39" i="106"/>
  <c r="CC39" i="106"/>
  <c r="DG39" i="106"/>
  <c r="DB39" i="106"/>
  <c r="BX70" i="106"/>
  <c r="BS69" i="106"/>
  <c r="CW55" i="106"/>
  <c r="CH41" i="106"/>
  <c r="DG42" i="106"/>
  <c r="DB48" i="106"/>
  <c r="BS29" i="106"/>
  <c r="CH21" i="106"/>
  <c r="DB23" i="106"/>
  <c r="CH15" i="106"/>
  <c r="CM11" i="106"/>
  <c r="CC11" i="106"/>
  <c r="DG21" i="106"/>
  <c r="CW62" i="106"/>
  <c r="DB25" i="106"/>
  <c r="DG19" i="106"/>
  <c r="CC36" i="106"/>
  <c r="DB63" i="106"/>
  <c r="CC14" i="106"/>
  <c r="BD46" i="106"/>
  <c r="DL63" i="106"/>
  <c r="CM8" i="106"/>
  <c r="CH30" i="106"/>
  <c r="BS59" i="106"/>
  <c r="BX26" i="106"/>
  <c r="BX60" i="106"/>
  <c r="BX33" i="106"/>
  <c r="CW44" i="106"/>
  <c r="DL66" i="106"/>
  <c r="BD31" i="106"/>
  <c r="CH35" i="106"/>
  <c r="DB69" i="106"/>
  <c r="DG66" i="106"/>
  <c r="BS56" i="106"/>
  <c r="BS41" i="106"/>
  <c r="CR44" i="106"/>
  <c r="BX42" i="106"/>
  <c r="CW25" i="106"/>
  <c r="CC25" i="106"/>
  <c r="DG24" i="106"/>
  <c r="CW17" i="106"/>
  <c r="BD29" i="106"/>
  <c r="BS11" i="106"/>
  <c r="CH29" i="106"/>
  <c r="BD45" i="106"/>
  <c r="BX63" i="106"/>
  <c r="DG28" i="106"/>
  <c r="CM23" i="106"/>
  <c r="DG32" i="106"/>
  <c r="CH46" i="106"/>
  <c r="BX58" i="106"/>
  <c r="BS10" i="106"/>
  <c r="CM25" i="106"/>
  <c r="DL44" i="106"/>
  <c r="DB61" i="106"/>
  <c r="CM67" i="106"/>
  <c r="CH11" i="106"/>
  <c r="CR20" i="106"/>
  <c r="BD64" i="106"/>
  <c r="CM65" i="106"/>
  <c r="CC30" i="106"/>
  <c r="BX20" i="106"/>
  <c r="CW67" i="106"/>
  <c r="BD44" i="106"/>
  <c r="DG62" i="106"/>
  <c r="BD47" i="106"/>
  <c r="BX51" i="106"/>
  <c r="CW38" i="106"/>
  <c r="CR38" i="106"/>
  <c r="BX69" i="106"/>
  <c r="CH71" i="106"/>
  <c r="DL69" i="106"/>
  <c r="CR65" i="106"/>
  <c r="BS57" i="106"/>
  <c r="BX55" i="106"/>
  <c r="DL48" i="106"/>
  <c r="BS46" i="106"/>
  <c r="BS42" i="106"/>
  <c r="BS55" i="106"/>
  <c r="CR48" i="106"/>
  <c r="DG45" i="106"/>
  <c r="DG43" i="106"/>
  <c r="CH55" i="106"/>
  <c r="BS47" i="106"/>
  <c r="CW33" i="106"/>
  <c r="CW24" i="106"/>
  <c r="BX44" i="106"/>
  <c r="BS25" i="106"/>
  <c r="DB42" i="106"/>
  <c r="DB27" i="106"/>
  <c r="CM21" i="106"/>
  <c r="CW18" i="106"/>
  <c r="DB30" i="106"/>
  <c r="CW31" i="106"/>
  <c r="CM20" i="106"/>
  <c r="BD27" i="106"/>
  <c r="CC16" i="106"/>
  <c r="CW14" i="106"/>
  <c r="CH16" i="106"/>
  <c r="CM19" i="106"/>
  <c r="DL26" i="106"/>
  <c r="DL11" i="106"/>
  <c r="BX11" i="106"/>
  <c r="CH12" i="106"/>
  <c r="CC22" i="106"/>
  <c r="CW10" i="106"/>
  <c r="DB31" i="106"/>
  <c r="DL45" i="106"/>
  <c r="DB33" i="106"/>
  <c r="CH64" i="106"/>
  <c r="CM59" i="106"/>
  <c r="CM61" i="106"/>
  <c r="DL67" i="106"/>
  <c r="BX9" i="106"/>
  <c r="CC32" i="106"/>
  <c r="BD10" i="106"/>
  <c r="CM13" i="106"/>
  <c r="DG15" i="106"/>
  <c r="BX22" i="106"/>
  <c r="DB26" i="106"/>
  <c r="CM33" i="106"/>
  <c r="CW42" i="106"/>
  <c r="CH58" i="106"/>
  <c r="DG56" i="106"/>
  <c r="CC58" i="106"/>
  <c r="CC68" i="106"/>
  <c r="DG8" i="106"/>
  <c r="CC23" i="106"/>
  <c r="DB17" i="106"/>
  <c r="CM30" i="106"/>
  <c r="BD30" i="106"/>
  <c r="BX41" i="106"/>
  <c r="CR52" i="106"/>
  <c r="BD52" i="106"/>
  <c r="DG61" i="106"/>
  <c r="DG63" i="106"/>
  <c r="BD71" i="106"/>
  <c r="CH27" i="106"/>
  <c r="CM16" i="106"/>
  <c r="BX14" i="106"/>
  <c r="DG14" i="106"/>
  <c r="DL10" i="106"/>
  <c r="CC29" i="106"/>
  <c r="BX16" i="106"/>
  <c r="BS45" i="106"/>
  <c r="DG54" i="106"/>
  <c r="BS62" i="106"/>
  <c r="BD61" i="106"/>
  <c r="DL57" i="106"/>
  <c r="CM71" i="106"/>
  <c r="DL18" i="106"/>
  <c r="BX8" i="106"/>
  <c r="BX65" i="106"/>
  <c r="CH36" i="106"/>
  <c r="DB9" i="106"/>
  <c r="DG55" i="106"/>
  <c r="BD69" i="106"/>
  <c r="CM32" i="106"/>
  <c r="CW60" i="106"/>
  <c r="DL27" i="106"/>
  <c r="CR46" i="106"/>
  <c r="CR63" i="106"/>
  <c r="CR69" i="106"/>
  <c r="DL9" i="106"/>
  <c r="DL36" i="106"/>
  <c r="CH52" i="106"/>
  <c r="BD67" i="106"/>
  <c r="CH62" i="106"/>
  <c r="BS61" i="106"/>
  <c r="CM35" i="106"/>
  <c r="CH54" i="106"/>
  <c r="CH50" i="106"/>
  <c r="CR50" i="106"/>
  <c r="CR35" i="106"/>
  <c r="BX54" i="106"/>
  <c r="BX35" i="106"/>
  <c r="BS49" i="106"/>
  <c r="BD12" i="106"/>
  <c r="DL68" i="106"/>
  <c r="CR29" i="106"/>
  <c r="CC66" i="106"/>
  <c r="CM18" i="106"/>
  <c r="DL59" i="106"/>
  <c r="BD11" i="106"/>
  <c r="CR26" i="106"/>
  <c r="CR62" i="106"/>
  <c r="DB21" i="106"/>
  <c r="CM29" i="106"/>
  <c r="CH20" i="106"/>
  <c r="BD60" i="106"/>
  <c r="BD55" i="106"/>
  <c r="DL35" i="106"/>
  <c r="BD54" i="106"/>
  <c r="CH70" i="106"/>
  <c r="DB55" i="106"/>
  <c r="BS43" i="106"/>
  <c r="BX47" i="106"/>
  <c r="DB50" i="106"/>
  <c r="CH47" i="106"/>
  <c r="DB28" i="106"/>
  <c r="CH32" i="106"/>
  <c r="BS31" i="106"/>
  <c r="DL12" i="106"/>
  <c r="DL21" i="106"/>
  <c r="CR22" i="106"/>
  <c r="CW36" i="106"/>
  <c r="CM64" i="106"/>
  <c r="DB71" i="106"/>
  <c r="BD16" i="106"/>
  <c r="CC33" i="106"/>
  <c r="BX61" i="106"/>
  <c r="BX10" i="106"/>
  <c r="BX25" i="106"/>
  <c r="DG52" i="106"/>
  <c r="CR68" i="106"/>
  <c r="CC19" i="106"/>
  <c r="CM9" i="106"/>
  <c r="DB52" i="106"/>
  <c r="DL62" i="106"/>
  <c r="BS23" i="106"/>
  <c r="CM52" i="106"/>
  <c r="BX57" i="106"/>
  <c r="CW65" i="106"/>
  <c r="DB46" i="106"/>
  <c r="CM46" i="106"/>
  <c r="CM38" i="106"/>
  <c r="BD26" i="106"/>
  <c r="DB70" i="106"/>
  <c r="DB68" i="106"/>
  <c r="BS71" i="106"/>
  <c r="CW69" i="106"/>
  <c r="CC65" i="106"/>
  <c r="DB56" i="106"/>
  <c r="DB49" i="106"/>
  <c r="CW48" i="106"/>
  <c r="DL43" i="106"/>
  <c r="DL41" i="106"/>
  <c r="CM50" i="106"/>
  <c r="CC48" i="106"/>
  <c r="CR45" i="106"/>
  <c r="CR43" i="106"/>
  <c r="CC49" i="106"/>
  <c r="BX45" i="106"/>
  <c r="CR32" i="106"/>
  <c r="CH24" i="106"/>
  <c r="DB43" i="106"/>
  <c r="CW47" i="106"/>
  <c r="BS33" i="106"/>
  <c r="CH26" i="106"/>
  <c r="DL17" i="106"/>
  <c r="DG23" i="106"/>
  <c r="CM28" i="106"/>
  <c r="BX48" i="106"/>
  <c r="DB19" i="106"/>
  <c r="DL15" i="106"/>
  <c r="CH14" i="106"/>
  <c r="CW12" i="106"/>
  <c r="CW16" i="106"/>
  <c r="DB18" i="106"/>
  <c r="CM14" i="106"/>
  <c r="DB14" i="106"/>
  <c r="BS13" i="106"/>
  <c r="DG16" i="106"/>
  <c r="DL20" i="106"/>
  <c r="CW28" i="106"/>
  <c r="CC27" i="106"/>
  <c r="DL56" i="106"/>
  <c r="CR57" i="106"/>
  <c r="CR64" i="106"/>
  <c r="CR61" i="106"/>
  <c r="DG69" i="106"/>
  <c r="CH13" i="106"/>
  <c r="CH22" i="106"/>
  <c r="DB11" i="106"/>
  <c r="BD23" i="106"/>
  <c r="BX31" i="106"/>
  <c r="CC31" i="106"/>
  <c r="CW29" i="106"/>
  <c r="BS44" i="106"/>
  <c r="DB29" i="106"/>
  <c r="DG59" i="106"/>
  <c r="BS58" i="106"/>
  <c r="CH63" i="106"/>
  <c r="DB10" i="106"/>
  <c r="BS16" i="106"/>
  <c r="BD13" i="106"/>
  <c r="BD33" i="106"/>
  <c r="DG18" i="106"/>
  <c r="DL32" i="106"/>
  <c r="CH44" i="106"/>
  <c r="DG51" i="106"/>
  <c r="CM57" i="106"/>
  <c r="BS63" i="106"/>
  <c r="DG58" i="106"/>
  <c r="BX67" i="106"/>
  <c r="CM10" i="106"/>
  <c r="DL19" i="106"/>
  <c r="CC8" i="106"/>
  <c r="BX18" i="106"/>
  <c r="CR14" i="106"/>
  <c r="CH33" i="106"/>
  <c r="BX28" i="106"/>
  <c r="CC56" i="106"/>
  <c r="DB60" i="106"/>
  <c r="DB66" i="106"/>
  <c r="CW64" i="106"/>
  <c r="DB59" i="106"/>
  <c r="CC67" i="106"/>
  <c r="CR31" i="106"/>
  <c r="BX36" i="106"/>
  <c r="CC60" i="106"/>
  <c r="CW23" i="106"/>
  <c r="DB16" i="106"/>
  <c r="DG46" i="106"/>
  <c r="CR60" i="106"/>
  <c r="DL30" i="106"/>
  <c r="DB67" i="106"/>
  <c r="BD32" i="106"/>
  <c r="DB22" i="106"/>
  <c r="CR58" i="106"/>
  <c r="CR71" i="106"/>
  <c r="DG13" i="106"/>
  <c r="DL23" i="106"/>
  <c r="DL58" i="106"/>
  <c r="BX66" i="106"/>
  <c r="CC64" i="106"/>
  <c r="CR70" i="106"/>
  <c r="DG38" i="106"/>
  <c r="BS54" i="106"/>
  <c r="CW50" i="106"/>
  <c r="DG35" i="106"/>
  <c r="AD93" i="106"/>
  <c r="DL54" i="106"/>
  <c r="DL38" i="106"/>
  <c r="BX68" i="106"/>
  <c r="CH65" i="106"/>
  <c r="DG47" i="106"/>
  <c r="CH56" i="106"/>
  <c r="DG44" i="106"/>
  <c r="CM43" i="106"/>
  <c r="DL25" i="106"/>
  <c r="CR25" i="106"/>
  <c r="CW26" i="106"/>
  <c r="CH18" i="106"/>
  <c r="DG29" i="106"/>
  <c r="CM15" i="106"/>
  <c r="CM26" i="106"/>
  <c r="BD42" i="106"/>
  <c r="CH61" i="106"/>
  <c r="DG10" i="106"/>
  <c r="BX29" i="106"/>
  <c r="CH59" i="106"/>
  <c r="CH10" i="106"/>
  <c r="CH23" i="106"/>
  <c r="CM60" i="106"/>
  <c r="CC13" i="106"/>
  <c r="CR33" i="106"/>
  <c r="DB62" i="106"/>
  <c r="CC69" i="106"/>
  <c r="BD62" i="106"/>
  <c r="BD14" i="106"/>
  <c r="BX52" i="106"/>
  <c r="CM41" i="106"/>
  <c r="CC70" i="106"/>
  <c r="CC35" i="106"/>
  <c r="DB38" i="106"/>
  <c r="BX39" i="106"/>
  <c r="CM39" i="106"/>
  <c r="CM70" i="106"/>
  <c r="CM68" i="106"/>
  <c r="DL70" i="106"/>
  <c r="CH69" i="106"/>
  <c r="CR49" i="106"/>
  <c r="CM56" i="106"/>
  <c r="BX49" i="106"/>
  <c r="CH48" i="106"/>
  <c r="CW43" i="106"/>
  <c r="CW41" i="106"/>
  <c r="CW49" i="106"/>
  <c r="DB47" i="106"/>
  <c r="CC45" i="106"/>
  <c r="CC43" i="106"/>
  <c r="CM48" i="106"/>
  <c r="DB44" i="106"/>
  <c r="BD56" i="106"/>
  <c r="BS24" i="106"/>
  <c r="CM42" i="106"/>
  <c r="BX46" i="106"/>
  <c r="CW32" i="106"/>
  <c r="DG25" i="106"/>
  <c r="CR24" i="106"/>
  <c r="CC17" i="106"/>
  <c r="DG22" i="106"/>
  <c r="CM27" i="106"/>
  <c r="DG33" i="106"/>
  <c r="BS19" i="106"/>
  <c r="CW15" i="106"/>
  <c r="BS14" i="106"/>
  <c r="DG9" i="106"/>
  <c r="BX12" i="106"/>
  <c r="BX50" i="106"/>
  <c r="CW9" i="106"/>
  <c r="CC10" i="106"/>
  <c r="CW22" i="106"/>
  <c r="DG11" i="106"/>
  <c r="BS21" i="106"/>
  <c r="DG31" i="106"/>
  <c r="BX32" i="106"/>
  <c r="BD51" i="106"/>
  <c r="BD59" i="106"/>
  <c r="DB51" i="106"/>
  <c r="BD63" i="106"/>
  <c r="CR66" i="106"/>
  <c r="DL28" i="106"/>
  <c r="CW27" i="106"/>
  <c r="BX13" i="106"/>
  <c r="CC15" i="106"/>
  <c r="DL33" i="106"/>
  <c r="CC21" i="106"/>
  <c r="BD24" i="106"/>
  <c r="CR28" i="106"/>
  <c r="DB41" i="106"/>
  <c r="DL64" i="106"/>
  <c r="DL61" i="106"/>
  <c r="BS65" i="106"/>
  <c r="DL22" i="106"/>
  <c r="BS17" i="106"/>
  <c r="CR21" i="106"/>
  <c r="CC12" i="106"/>
  <c r="BD36" i="106"/>
  <c r="BX24" i="106"/>
  <c r="CW30" i="106"/>
  <c r="CC54" i="106"/>
  <c r="CM63" i="106"/>
  <c r="CW58" i="106"/>
  <c r="BS60" i="106"/>
  <c r="CH66" i="106"/>
  <c r="CH8" i="106"/>
  <c r="CR30" i="106"/>
  <c r="BX15" i="106"/>
  <c r="CW19" i="106"/>
  <c r="BD20" i="106"/>
  <c r="BS30" i="106"/>
  <c r="CR23" i="106"/>
  <c r="CR36" i="106"/>
  <c r="CW61" i="106"/>
  <c r="DL60" i="106"/>
  <c r="DG57" i="106"/>
  <c r="DG64" i="106"/>
  <c r="CH67" i="106"/>
  <c r="DL29" i="106"/>
  <c r="DG27" i="106"/>
  <c r="CH60" i="106"/>
  <c r="CM62" i="106"/>
  <c r="DG26" i="106"/>
  <c r="CR54" i="106"/>
  <c r="BS8" i="106"/>
  <c r="CW45" i="106"/>
  <c r="DG70" i="106"/>
  <c r="BX30" i="106"/>
  <c r="BS52" i="106"/>
  <c r="CW63" i="106"/>
  <c r="DB8" i="106"/>
  <c r="BS20" i="106"/>
  <c r="CM36" i="106"/>
  <c r="BD65" i="106"/>
  <c r="CC71" i="106"/>
  <c r="DG71" i="106"/>
  <c r="BS50" i="106"/>
  <c r="CH38" i="106"/>
  <c r="CM54" i="106"/>
  <c r="DB35" i="106"/>
  <c r="DB54" i="106"/>
  <c r="BS38" i="106"/>
  <c r="BD35" i="106"/>
  <c r="BD50" i="106"/>
  <c r="BS39" i="106"/>
  <c r="BD38" i="106"/>
  <c r="CH39" i="106"/>
  <c r="CW70" i="106"/>
  <c r="BX56" i="106"/>
  <c r="CH43" i="106"/>
  <c r="CM47" i="106"/>
  <c r="CC41" i="106"/>
  <c r="DB45" i="106"/>
  <c r="CR16" i="106"/>
  <c r="DL31" i="106"/>
  <c r="BS26" i="106"/>
  <c r="BD19" i="106"/>
  <c r="DG20" i="106"/>
  <c r="CR56" i="106"/>
  <c r="CR67" i="106"/>
  <c r="CR8" i="106"/>
  <c r="CR11" i="106"/>
  <c r="CC51" i="106"/>
  <c r="BD17" i="106"/>
  <c r="CR18" i="106"/>
  <c r="CH51" i="106"/>
  <c r="DG68" i="106"/>
  <c r="DG12" i="106"/>
  <c r="CW52" i="106"/>
  <c r="DB65" i="106"/>
  <c r="BS12" i="106"/>
  <c r="BX62" i="106"/>
  <c r="DB57" i="106"/>
  <c r="BD43" i="106"/>
  <c r="BS35" i="106"/>
  <c r="CC38" i="106"/>
  <c r="DL39" i="106"/>
  <c r="DL71" i="106"/>
  <c r="DL49" i="106"/>
  <c r="CR47" i="106"/>
  <c r="CM49" i="106"/>
  <c r="CR42" i="106"/>
  <c r="DL46" i="106"/>
  <c r="CM44" i="106"/>
  <c r="CW20" i="106"/>
  <c r="BD22" i="106"/>
  <c r="BS15" i="106"/>
  <c r="CR10" i="106"/>
  <c r="DB15" i="106"/>
  <c r="BX17" i="106"/>
  <c r="BD58" i="106"/>
  <c r="CW68" i="106"/>
  <c r="CM12" i="106"/>
  <c r="DG17" i="106"/>
  <c r="CC52" i="106"/>
  <c r="BD66" i="106"/>
  <c r="DB24" i="106"/>
  <c r="CC46" i="106"/>
  <c r="DL65" i="106"/>
  <c r="DL8" i="106"/>
  <c r="CW21" i="106"/>
  <c r="BS36" i="106"/>
  <c r="CM51" i="106"/>
  <c r="CH68" i="106"/>
  <c r="CM17" i="106"/>
  <c r="DB32" i="106"/>
  <c r="CM31" i="106"/>
  <c r="CW66" i="106"/>
  <c r="BS64" i="106"/>
  <c r="DL50" i="106"/>
  <c r="CC50" i="106"/>
  <c r="BD41" i="106"/>
  <c r="BD39" i="106"/>
  <c r="AI77" i="106"/>
  <c r="AI89" i="106"/>
  <c r="AI93" i="106" s="1"/>
  <c r="AI81" i="106"/>
  <c r="AI83" i="106" s="1"/>
  <c r="AI84" i="106" s="1"/>
  <c r="AI86" i="106" s="1"/>
  <c r="AI87" i="106" s="1"/>
  <c r="J8" i="138"/>
  <c r="J74" i="138"/>
  <c r="J62" i="138"/>
  <c r="J57" i="138"/>
  <c r="J33" i="138"/>
  <c r="J45" i="138"/>
  <c r="J26" i="138"/>
  <c r="J10" i="138"/>
  <c r="J54" i="138"/>
  <c r="J13" i="138"/>
  <c r="J18" i="138"/>
  <c r="J51" i="138"/>
  <c r="J11" i="138"/>
  <c r="J68" i="138"/>
  <c r="J43" i="138"/>
  <c r="J63" i="138"/>
  <c r="J42" i="138"/>
  <c r="J21" i="138"/>
  <c r="J69" i="138"/>
  <c r="J25" i="138"/>
  <c r="J44" i="138"/>
  <c r="J17" i="138"/>
  <c r="J29" i="138"/>
  <c r="J16" i="138"/>
  <c r="J31" i="138"/>
  <c r="J58" i="138"/>
  <c r="J67" i="138"/>
  <c r="J46" i="138"/>
  <c r="J60" i="138"/>
  <c r="J59" i="138"/>
  <c r="J30" i="138"/>
  <c r="J15" i="138"/>
  <c r="J35" i="138"/>
  <c r="J24" i="138"/>
  <c r="J52" i="138"/>
  <c r="J66" i="138"/>
  <c r="J50" i="138"/>
  <c r="J32" i="138"/>
  <c r="J23" i="138"/>
  <c r="J65" i="138"/>
  <c r="J70" i="138"/>
  <c r="J22" i="138"/>
  <c r="J20" i="138"/>
  <c r="J61" i="138"/>
  <c r="J71" i="138"/>
  <c r="J64" i="138"/>
  <c r="J19" i="138"/>
  <c r="J55" i="138"/>
  <c r="J47" i="138"/>
  <c r="J41" i="138"/>
  <c r="J56" i="138"/>
  <c r="J73" i="138"/>
  <c r="J12" i="138"/>
  <c r="J9" i="138"/>
  <c r="J36" i="138"/>
  <c r="J27" i="138"/>
  <c r="J28" i="138"/>
  <c r="J48" i="138"/>
  <c r="J14" i="138"/>
  <c r="AM89" i="116"/>
  <c r="AM90" i="116" s="1"/>
  <c r="AM81" i="116"/>
  <c r="AM83" i="116" s="1"/>
  <c r="AM84" i="116" s="1"/>
  <c r="AM86" i="116" s="1"/>
  <c r="AM87" i="116" s="1"/>
  <c r="AM77" i="116"/>
  <c r="S77" i="138"/>
  <c r="S89" i="138"/>
  <c r="S90" i="138" s="1"/>
  <c r="S81" i="138"/>
  <c r="S83" i="138" s="1"/>
  <c r="S84" i="138" s="1"/>
  <c r="S86" i="138" s="1"/>
  <c r="AC93" i="116"/>
  <c r="AD71" i="116"/>
  <c r="AD66" i="116"/>
  <c r="AD13" i="116"/>
  <c r="AD35" i="116"/>
  <c r="AD63" i="116"/>
  <c r="AD33" i="116"/>
  <c r="AD51" i="116"/>
  <c r="AD18" i="116"/>
  <c r="AD64" i="116"/>
  <c r="AD57" i="116"/>
  <c r="AD68" i="116"/>
  <c r="AD24" i="116"/>
  <c r="AD55" i="116"/>
  <c r="AD25" i="116"/>
  <c r="AD29" i="116"/>
  <c r="AD43" i="116"/>
  <c r="AD30" i="116"/>
  <c r="AD52" i="116"/>
  <c r="AD27" i="116"/>
  <c r="AD9" i="116"/>
  <c r="AD65" i="116"/>
  <c r="AD21" i="116"/>
  <c r="AD16" i="116"/>
  <c r="AD58" i="116"/>
  <c r="AD62" i="116"/>
  <c r="AD28" i="116"/>
  <c r="AD46" i="116"/>
  <c r="AD59" i="116"/>
  <c r="AD44" i="116"/>
  <c r="AD8" i="116"/>
  <c r="AD70" i="116"/>
  <c r="AD10" i="116"/>
  <c r="AD14" i="116"/>
  <c r="AD45" i="116"/>
  <c r="AD11" i="116"/>
  <c r="AD47" i="116"/>
  <c r="AD31" i="116"/>
  <c r="AD56" i="116"/>
  <c r="AD74" i="116"/>
  <c r="AD67" i="116"/>
  <c r="AD17" i="116"/>
  <c r="AD12" i="116"/>
  <c r="AD22" i="116"/>
  <c r="AD26" i="116"/>
  <c r="AD19" i="116"/>
  <c r="AD48" i="116"/>
  <c r="AD61" i="116"/>
  <c r="AD20" i="116"/>
  <c r="AD73" i="116"/>
  <c r="AD69" i="116"/>
  <c r="AD15" i="116"/>
  <c r="AD23" i="116"/>
  <c r="AD50" i="116"/>
  <c r="AD42" i="116"/>
  <c r="AD60" i="116"/>
  <c r="AD36" i="116"/>
  <c r="AD32" i="116"/>
  <c r="AD41" i="116"/>
  <c r="AD54" i="116"/>
  <c r="BD41" i="114"/>
  <c r="BD71" i="114"/>
  <c r="BD47" i="114"/>
  <c r="BD17" i="114"/>
  <c r="BD24" i="114"/>
  <c r="BD30" i="114"/>
  <c r="BD55" i="114"/>
  <c r="BD43" i="114"/>
  <c r="BD54" i="114"/>
  <c r="BD10" i="114"/>
  <c r="BD68" i="114"/>
  <c r="BD44" i="114"/>
  <c r="BD14" i="114"/>
  <c r="BD67" i="114"/>
  <c r="BD26" i="114"/>
  <c r="BD52" i="114"/>
  <c r="BD42" i="114"/>
  <c r="BD9" i="114"/>
  <c r="BD15" i="114"/>
  <c r="BD50" i="114"/>
  <c r="BD65" i="114"/>
  <c r="BD31" i="114"/>
  <c r="BD11" i="114"/>
  <c r="BD27" i="114"/>
  <c r="BD33" i="114"/>
  <c r="BD13" i="114"/>
  <c r="BD21" i="114"/>
  <c r="BD45" i="114"/>
  <c r="BD51" i="114"/>
  <c r="BD8" i="114"/>
  <c r="BD62" i="114"/>
  <c r="BD28" i="114"/>
  <c r="BD29" i="114"/>
  <c r="BD16" i="114"/>
  <c r="BD22" i="114"/>
  <c r="BD32" i="114"/>
  <c r="BD58" i="114"/>
  <c r="BD64" i="114"/>
  <c r="BD70" i="114"/>
  <c r="BD35" i="114"/>
  <c r="BD59" i="114"/>
  <c r="BD23" i="114"/>
  <c r="BD18" i="114"/>
  <c r="BD63" i="114"/>
  <c r="BD69" i="114"/>
  <c r="BD73" i="114"/>
  <c r="BD19" i="114"/>
  <c r="BD25" i="114"/>
  <c r="BD12" i="114"/>
  <c r="BD74" i="114"/>
  <c r="BD56" i="114"/>
  <c r="BD20" i="114"/>
  <c r="BD48" i="114"/>
  <c r="BD46" i="114"/>
  <c r="BD57" i="114"/>
  <c r="BD36" i="114"/>
  <c r="BD60" i="114"/>
  <c r="BD66" i="114"/>
  <c r="BD61" i="114"/>
  <c r="BD77" i="114"/>
  <c r="AY77" i="114"/>
  <c r="AE77" i="114"/>
  <c r="AE79" i="114"/>
  <c r="Z50" i="114"/>
  <c r="Z65" i="114"/>
  <c r="Z54" i="114"/>
  <c r="Z47" i="114"/>
  <c r="Z59" i="114"/>
  <c r="Z9" i="114"/>
  <c r="Z74" i="114"/>
  <c r="Z60" i="114"/>
  <c r="Z66" i="114"/>
  <c r="Z57" i="114"/>
  <c r="Z63" i="114"/>
  <c r="Z25" i="114"/>
  <c r="Z71" i="114"/>
  <c r="Z58" i="114"/>
  <c r="Z64" i="114"/>
  <c r="Z67" i="114"/>
  <c r="Z78" i="114"/>
  <c r="Z21" i="114"/>
  <c r="Z20" i="114"/>
  <c r="Z56" i="114"/>
  <c r="Z27" i="114"/>
  <c r="Z14" i="114"/>
  <c r="Z29" i="114"/>
  <c r="Z31" i="114"/>
  <c r="Z12" i="114"/>
  <c r="Z8" i="114"/>
  <c r="Z44" i="114"/>
  <c r="Z17" i="114"/>
  <c r="Z43" i="114"/>
  <c r="Z19" i="114"/>
  <c r="Z52" i="114"/>
  <c r="Z30" i="114"/>
  <c r="Z48" i="114"/>
  <c r="Z55" i="114"/>
  <c r="Z15" i="114"/>
  <c r="Z23" i="114"/>
  <c r="Z41" i="114"/>
  <c r="Z73" i="114"/>
  <c r="Z69" i="114"/>
  <c r="Z10" i="114"/>
  <c r="Z36" i="114"/>
  <c r="Z46" i="114"/>
  <c r="Z42" i="114"/>
  <c r="Z22" i="114"/>
  <c r="Z61" i="114"/>
  <c r="Z16" i="114"/>
  <c r="Z32" i="114"/>
  <c r="Z68" i="114"/>
  <c r="Z24" i="114"/>
  <c r="Z11" i="114"/>
  <c r="Z45" i="114"/>
  <c r="Z26" i="114"/>
  <c r="Z33" i="114"/>
  <c r="Z18" i="114"/>
  <c r="Z13" i="114"/>
  <c r="Z35" i="114"/>
  <c r="Z62" i="114"/>
  <c r="Z70" i="114"/>
  <c r="Z28" i="114"/>
  <c r="Z51" i="114"/>
  <c r="BW89" i="114"/>
  <c r="BW90" i="114" s="1"/>
  <c r="CA79" i="114"/>
  <c r="BW99" i="114" s="1"/>
  <c r="BW77" i="114"/>
  <c r="BW81" i="114"/>
  <c r="BW83" i="114" s="1"/>
  <c r="BW84" i="114" s="1"/>
  <c r="AJ79" i="114"/>
  <c r="AE78" i="114"/>
  <c r="AE61" i="114"/>
  <c r="AE60" i="114"/>
  <c r="AE51" i="114"/>
  <c r="AE20" i="114"/>
  <c r="AE67" i="114"/>
  <c r="AE23" i="114"/>
  <c r="AE50" i="114"/>
  <c r="AE13" i="114"/>
  <c r="AE43" i="114"/>
  <c r="AE69" i="114"/>
  <c r="AE59" i="114"/>
  <c r="AE58" i="114"/>
  <c r="AE48" i="114"/>
  <c r="AE74" i="114"/>
  <c r="AE26" i="114"/>
  <c r="AE46" i="114"/>
  <c r="AE73" i="114"/>
  <c r="AE10" i="114"/>
  <c r="AE19" i="114"/>
  <c r="AE63" i="114"/>
  <c r="AE55" i="114"/>
  <c r="AE71" i="114"/>
  <c r="AE47" i="114"/>
  <c r="AE62" i="114"/>
  <c r="AE27" i="114"/>
  <c r="AE17" i="114"/>
  <c r="AE52" i="114"/>
  <c r="AE12" i="114"/>
  <c r="AE32" i="114"/>
  <c r="AE42" i="114"/>
  <c r="AE70" i="114"/>
  <c r="AE64" i="114"/>
  <c r="AE30" i="114"/>
  <c r="AE35" i="114"/>
  <c r="AE24" i="114"/>
  <c r="AE31" i="114"/>
  <c r="AE29" i="114"/>
  <c r="AE44" i="114"/>
  <c r="AE54" i="114"/>
  <c r="AE9" i="114"/>
  <c r="AE15" i="114"/>
  <c r="AE66" i="114"/>
  <c r="AE45" i="114"/>
  <c r="AE14" i="114"/>
  <c r="AE21" i="114"/>
  <c r="AE33" i="114"/>
  <c r="AE22" i="114"/>
  <c r="AE36" i="114"/>
  <c r="AE57" i="114"/>
  <c r="AE65" i="114"/>
  <c r="AE8" i="114"/>
  <c r="AE68" i="114"/>
  <c r="AE28" i="114"/>
  <c r="AE16" i="114"/>
  <c r="AE56" i="114"/>
  <c r="AE11" i="114"/>
  <c r="AE25" i="114"/>
  <c r="AE41" i="114"/>
  <c r="AY67" i="114"/>
  <c r="AY54" i="114"/>
  <c r="AY69" i="114"/>
  <c r="AY74" i="114"/>
  <c r="AY16" i="114"/>
  <c r="AY11" i="114"/>
  <c r="AY70" i="114"/>
  <c r="AY62" i="114"/>
  <c r="AY68" i="114"/>
  <c r="AY59" i="114"/>
  <c r="AY48" i="114"/>
  <c r="AY47" i="114"/>
  <c r="AY56" i="114"/>
  <c r="AY46" i="114"/>
  <c r="AY45" i="114"/>
  <c r="AY24" i="114"/>
  <c r="AY18" i="114"/>
  <c r="AY17" i="114"/>
  <c r="AY52" i="114"/>
  <c r="AY61" i="114"/>
  <c r="AY27" i="114"/>
  <c r="AY55" i="114"/>
  <c r="AY33" i="114"/>
  <c r="AY20" i="114"/>
  <c r="AY9" i="114"/>
  <c r="AY41" i="114"/>
  <c r="AY43" i="114"/>
  <c r="AY36" i="114"/>
  <c r="AY60" i="114"/>
  <c r="AY58" i="114"/>
  <c r="AY19" i="114"/>
  <c r="AY10" i="114"/>
  <c r="AY26" i="114"/>
  <c r="AY29" i="114"/>
  <c r="AY51" i="114"/>
  <c r="AY57" i="114"/>
  <c r="AY21" i="114"/>
  <c r="AY44" i="114"/>
  <c r="AY73" i="114"/>
  <c r="AY50" i="114"/>
  <c r="AY32" i="114"/>
  <c r="AY30" i="114"/>
  <c r="AY22" i="114"/>
  <c r="AY28" i="114"/>
  <c r="AY64" i="114"/>
  <c r="AY65" i="114"/>
  <c r="AY13" i="114"/>
  <c r="AY35" i="114"/>
  <c r="AY66" i="114"/>
  <c r="AY14" i="114"/>
  <c r="AY25" i="114"/>
  <c r="AY42" i="114"/>
  <c r="AY15" i="114"/>
  <c r="AY23" i="114"/>
  <c r="AY12" i="114"/>
  <c r="AY63" i="114"/>
  <c r="AY8" i="114"/>
  <c r="AY71" i="114"/>
  <c r="AY31" i="114"/>
  <c r="Z77" i="114"/>
  <c r="Y79" i="127"/>
  <c r="BH54" i="98"/>
  <c r="BH33" i="98"/>
  <c r="BH15" i="98"/>
  <c r="BH28" i="98"/>
  <c r="BH10" i="98"/>
  <c r="BH26" i="98"/>
  <c r="BH59" i="98"/>
  <c r="BH69" i="98"/>
  <c r="BH52" i="98"/>
  <c r="BH66" i="98"/>
  <c r="BH47" i="98"/>
  <c r="BH41" i="98"/>
  <c r="BH63" i="98"/>
  <c r="BH35" i="98"/>
  <c r="BH30" i="98"/>
  <c r="BH12" i="98"/>
  <c r="BH25" i="98"/>
  <c r="BH8" i="98"/>
  <c r="BH23" i="98"/>
  <c r="BH68" i="98"/>
  <c r="BM36" i="98"/>
  <c r="BR35" i="98"/>
  <c r="BH46" i="98"/>
  <c r="BH55" i="98"/>
  <c r="BH19" i="98"/>
  <c r="BH61" i="98"/>
  <c r="BH27" i="98"/>
  <c r="BH9" i="98"/>
  <c r="BH22" i="98"/>
  <c r="BH32" i="98"/>
  <c r="BH20" i="98"/>
  <c r="BH64" i="98"/>
  <c r="BG92" i="98"/>
  <c r="BH45" i="98"/>
  <c r="BH51" i="98"/>
  <c r="BH43" i="98"/>
  <c r="BH24" i="98"/>
  <c r="BH17" i="98"/>
  <c r="BH58" i="98"/>
  <c r="BV90" i="98"/>
  <c r="BH21" i="98"/>
  <c r="BH72" i="98"/>
  <c r="BH16" i="98"/>
  <c r="BH29" i="98"/>
  <c r="BH62" i="98"/>
  <c r="BH42" i="98"/>
  <c r="BH65" i="98"/>
  <c r="BH70" i="98"/>
  <c r="BH67" i="98"/>
  <c r="BH44" i="98"/>
  <c r="BH50" i="98"/>
  <c r="BH49" i="98"/>
  <c r="BH18" i="98"/>
  <c r="BH31" i="98"/>
  <c r="BH13" i="98"/>
  <c r="BH11" i="98"/>
  <c r="BH71" i="98"/>
  <c r="BH60" i="98"/>
  <c r="BR36" i="98"/>
  <c r="BH57" i="98"/>
  <c r="BH48" i="98"/>
  <c r="BM35" i="98"/>
  <c r="BH14" i="98"/>
  <c r="BH56" i="98"/>
  <c r="BH36" i="98"/>
  <c r="BB90" i="127"/>
  <c r="Y8" i="127"/>
  <c r="Y58" i="127"/>
  <c r="Y48" i="127"/>
  <c r="Y59" i="127"/>
  <c r="Y66" i="127"/>
  <c r="Y28" i="127"/>
  <c r="Y27" i="127"/>
  <c r="Y62" i="127"/>
  <c r="Y55" i="127"/>
  <c r="Y30" i="127"/>
  <c r="Y51" i="127"/>
  <c r="Y42" i="127"/>
  <c r="Y44" i="127"/>
  <c r="Y70" i="127"/>
  <c r="Y43" i="127"/>
  <c r="Y45" i="127"/>
  <c r="Y74" i="127"/>
  <c r="Y31" i="127"/>
  <c r="Y56" i="127"/>
  <c r="Y71" i="127"/>
  <c r="Y50" i="127"/>
  <c r="Y52" i="127"/>
  <c r="Y26" i="127"/>
  <c r="Y41" i="127"/>
  <c r="Y36" i="127"/>
  <c r="Y63" i="127"/>
  <c r="Y54" i="127"/>
  <c r="Y65" i="127"/>
  <c r="Y68" i="127"/>
  <c r="Y69" i="127"/>
  <c r="Y57" i="127"/>
  <c r="Y64" i="127"/>
  <c r="Y60" i="127"/>
  <c r="Y33" i="127"/>
  <c r="Y46" i="127"/>
  <c r="Y32" i="127"/>
  <c r="Y29" i="127"/>
  <c r="Y61" i="127"/>
  <c r="Y67" i="127"/>
  <c r="AS81" i="103"/>
  <c r="AR83" i="103"/>
  <c r="O41" i="127"/>
  <c r="O8" i="127"/>
  <c r="O63" i="127"/>
  <c r="O56" i="127"/>
  <c r="O28" i="127"/>
  <c r="O33" i="127"/>
  <c r="O30" i="127"/>
  <c r="O47" i="127"/>
  <c r="O60" i="127"/>
  <c r="O58" i="127"/>
  <c r="O65" i="127"/>
  <c r="T74" i="127"/>
  <c r="O27" i="127"/>
  <c r="O70" i="127"/>
  <c r="O59" i="127"/>
  <c r="O71" i="127"/>
  <c r="O64" i="127"/>
  <c r="O57" i="127"/>
  <c r="O55" i="127"/>
  <c r="O78" i="127"/>
  <c r="O48" i="127"/>
  <c r="N91" i="127"/>
  <c r="O42" i="127"/>
  <c r="O36" i="127"/>
  <c r="O61" i="127"/>
  <c r="O26" i="127"/>
  <c r="O31" i="127"/>
  <c r="O67" i="127"/>
  <c r="O68" i="127"/>
  <c r="O69" i="127"/>
  <c r="O29" i="127"/>
  <c r="O44" i="127"/>
  <c r="T78" i="127"/>
  <c r="O62" i="127"/>
  <c r="O45" i="127"/>
  <c r="O46" i="127"/>
  <c r="Y78" i="127"/>
  <c r="O43" i="127"/>
  <c r="O74" i="127"/>
  <c r="O32" i="127"/>
  <c r="O66" i="127"/>
  <c r="AX72" i="103"/>
  <c r="AS33" i="103"/>
  <c r="AS72" i="103"/>
  <c r="AS18" i="103"/>
  <c r="AS56" i="103"/>
  <c r="AS27" i="103"/>
  <c r="AS65" i="103"/>
  <c r="AS59" i="103"/>
  <c r="AS30" i="103"/>
  <c r="AS55" i="103"/>
  <c r="AS23" i="103"/>
  <c r="AS17" i="103"/>
  <c r="AS47" i="103"/>
  <c r="AS42" i="103"/>
  <c r="AS54" i="103"/>
  <c r="AS60" i="103"/>
  <c r="AS31" i="103"/>
  <c r="AS69" i="103"/>
  <c r="AS67" i="103"/>
  <c r="AS58" i="103"/>
  <c r="AS63" i="103"/>
  <c r="AS14" i="103"/>
  <c r="AS45" i="103"/>
  <c r="AS24" i="103"/>
  <c r="AS26" i="103"/>
  <c r="AS64" i="103"/>
  <c r="AS11" i="103"/>
  <c r="AS41" i="103"/>
  <c r="AS19" i="103"/>
  <c r="AS62" i="103"/>
  <c r="AS71" i="103"/>
  <c r="AS8" i="103"/>
  <c r="AS25" i="103"/>
  <c r="AS16" i="103"/>
  <c r="AS43" i="103"/>
  <c r="AS44" i="103"/>
  <c r="AS22" i="103"/>
  <c r="AS68" i="103"/>
  <c r="AS15" i="103"/>
  <c r="AS9" i="103"/>
  <c r="AS32" i="103"/>
  <c r="AS66" i="103"/>
  <c r="AS28" i="103"/>
  <c r="AS20" i="103"/>
  <c r="AS29" i="103"/>
  <c r="AS46" i="103"/>
  <c r="AS10" i="103"/>
  <c r="AS21" i="103"/>
  <c r="AS57" i="103"/>
  <c r="AS13" i="103"/>
  <c r="AS12" i="103"/>
  <c r="AS70" i="103"/>
  <c r="AS61" i="103"/>
  <c r="T41" i="127"/>
  <c r="T60" i="127"/>
  <c r="T64" i="127"/>
  <c r="T57" i="127"/>
  <c r="T66" i="127"/>
  <c r="T68" i="127"/>
  <c r="T8" i="127"/>
  <c r="T62" i="127"/>
  <c r="T61" i="127"/>
  <c r="T71" i="127"/>
  <c r="T44" i="127"/>
  <c r="T46" i="127"/>
  <c r="T63" i="127"/>
  <c r="T28" i="127"/>
  <c r="T59" i="127"/>
  <c r="T58" i="127"/>
  <c r="T70" i="127"/>
  <c r="T43" i="127"/>
  <c r="T67" i="127"/>
  <c r="T26" i="127"/>
  <c r="T56" i="127"/>
  <c r="T55" i="127"/>
  <c r="T45" i="127"/>
  <c r="T54" i="127"/>
  <c r="T42" i="127"/>
  <c r="T27" i="127"/>
  <c r="T30" i="127"/>
  <c r="T31" i="127"/>
  <c r="T65" i="127"/>
  <c r="T69" i="127"/>
  <c r="T29" i="127"/>
  <c r="O79" i="127"/>
  <c r="AN41" i="103"/>
  <c r="AN8" i="103"/>
  <c r="AX51" i="103"/>
  <c r="AX39" i="103"/>
  <c r="AS51" i="103"/>
  <c r="AN34" i="103"/>
  <c r="AN28" i="103"/>
  <c r="AN47" i="103"/>
  <c r="AN35" i="103"/>
  <c r="AN42" i="103"/>
  <c r="AN59" i="103"/>
  <c r="AN12" i="103"/>
  <c r="AN30" i="103"/>
  <c r="AN21" i="103"/>
  <c r="AN36" i="103"/>
  <c r="AN51" i="103"/>
  <c r="AN27" i="103"/>
  <c r="AN48" i="103"/>
  <c r="AX53" i="103"/>
  <c r="AX34" i="103"/>
  <c r="AN38" i="103"/>
  <c r="AS40" i="103"/>
  <c r="AN25" i="103"/>
  <c r="AN26" i="103"/>
  <c r="AN24" i="103"/>
  <c r="AN54" i="103"/>
  <c r="AN32" i="103"/>
  <c r="AN63" i="103"/>
  <c r="AN16" i="103"/>
  <c r="AN52" i="103"/>
  <c r="AN31" i="103"/>
  <c r="AN46" i="103"/>
  <c r="AN61" i="103"/>
  <c r="AS38" i="103"/>
  <c r="AS53" i="103"/>
  <c r="AN70" i="103"/>
  <c r="AN68" i="103"/>
  <c r="AX37" i="103"/>
  <c r="AX50" i="103"/>
  <c r="AN37" i="103"/>
  <c r="AN18" i="103"/>
  <c r="AS48" i="103"/>
  <c r="AN9" i="103"/>
  <c r="AN58" i="103"/>
  <c r="AN10" i="103"/>
  <c r="AN67" i="103"/>
  <c r="AN45" i="103"/>
  <c r="AS35" i="103"/>
  <c r="AN56" i="103"/>
  <c r="AS50" i="103"/>
  <c r="AN69" i="103"/>
  <c r="AS37" i="103"/>
  <c r="AN50" i="103"/>
  <c r="AX52" i="103"/>
  <c r="AX35" i="103"/>
  <c r="AS39" i="103"/>
  <c r="AN72" i="103"/>
  <c r="AS34" i="103"/>
  <c r="AS52" i="103"/>
  <c r="AS36" i="103"/>
  <c r="AN13" i="103"/>
  <c r="AN62" i="103"/>
  <c r="AN14" i="103"/>
  <c r="AN71" i="103"/>
  <c r="AN57" i="103"/>
  <c r="AN60" i="103"/>
  <c r="AN43" i="103"/>
  <c r="AX40" i="103"/>
  <c r="AN19" i="103"/>
  <c r="AN15" i="103"/>
  <c r="AX49" i="103"/>
  <c r="AX36" i="103"/>
  <c r="AS49" i="103"/>
  <c r="AN49" i="103"/>
  <c r="AN23" i="103"/>
  <c r="AN29" i="103"/>
  <c r="AN17" i="103"/>
  <c r="AN66" i="103"/>
  <c r="AN20" i="103"/>
  <c r="AN44" i="103"/>
  <c r="AN65" i="103"/>
  <c r="AN11" i="103"/>
  <c r="AN64" i="103"/>
  <c r="AN22" i="103"/>
  <c r="AX38" i="103"/>
  <c r="AN40" i="103"/>
  <c r="AN55" i="103"/>
  <c r="AN33" i="103"/>
  <c r="AN39" i="103"/>
  <c r="AN81" i="103"/>
  <c r="AM83" i="103"/>
  <c r="AS79" i="103"/>
  <c r="AR81" i="108"/>
  <c r="AR83" i="108" s="1"/>
  <c r="AR84" i="108" s="1"/>
  <c r="AR86" i="108" s="1"/>
  <c r="AR87" i="108" s="1"/>
  <c r="AS43" i="108"/>
  <c r="AS48" i="108"/>
  <c r="AS62" i="108"/>
  <c r="AS57" i="108"/>
  <c r="AS56" i="108"/>
  <c r="AS9" i="108"/>
  <c r="AS61" i="108"/>
  <c r="AS25" i="108"/>
  <c r="AS28" i="108"/>
  <c r="AS65" i="108"/>
  <c r="AS36" i="108"/>
  <c r="AS49" i="108"/>
  <c r="AS27" i="108"/>
  <c r="AS70" i="108"/>
  <c r="AS24" i="108"/>
  <c r="AS31" i="108"/>
  <c r="AS44" i="108"/>
  <c r="AS45" i="108"/>
  <c r="AS32" i="108"/>
  <c r="AS29" i="108"/>
  <c r="AS66" i="108"/>
  <c r="AS68" i="108"/>
  <c r="AS46" i="108"/>
  <c r="AS19" i="108"/>
  <c r="AS11" i="108"/>
  <c r="AS52" i="108"/>
  <c r="AS42" i="108"/>
  <c r="AS10" i="108"/>
  <c r="AS16" i="108"/>
  <c r="AS18" i="108"/>
  <c r="AS17" i="108"/>
  <c r="AS26" i="108"/>
  <c r="AS30" i="108"/>
  <c r="AS12" i="108"/>
  <c r="AS41" i="108"/>
  <c r="AS64" i="108"/>
  <c r="AS51" i="108"/>
  <c r="AS13" i="108"/>
  <c r="AS71" i="108"/>
  <c r="AS14" i="108"/>
  <c r="AS67" i="108"/>
  <c r="AS72" i="108"/>
  <c r="AS15" i="108"/>
  <c r="AS21" i="108"/>
  <c r="AS20" i="108"/>
  <c r="AS69" i="108"/>
  <c r="AS60" i="108"/>
  <c r="AS59" i="108"/>
  <c r="AS54" i="108"/>
  <c r="AS55" i="108"/>
  <c r="AS58" i="108"/>
  <c r="AS47" i="108"/>
  <c r="AS8" i="108"/>
  <c r="AS63" i="108"/>
  <c r="AS33" i="108"/>
  <c r="AS49" i="86"/>
  <c r="AX49" i="86"/>
  <c r="AX51" i="86"/>
  <c r="AX36" i="86"/>
  <c r="AX52" i="86"/>
  <c r="AR90" i="108"/>
  <c r="BH72" i="103"/>
  <c r="BC41" i="103"/>
  <c r="BC72" i="103"/>
  <c r="BL77" i="103"/>
  <c r="BL89" i="103"/>
  <c r="BL90" i="103" s="1"/>
  <c r="BL81" i="103"/>
  <c r="BL83" i="103" s="1"/>
  <c r="BL84" i="103" s="1"/>
  <c r="BL86" i="103" s="1"/>
  <c r="BL87" i="103" s="1"/>
  <c r="BB77" i="127"/>
  <c r="BB81" i="127"/>
  <c r="BB83" i="127" s="1"/>
  <c r="BB84" i="127" s="1"/>
  <c r="BB86" i="127" s="1"/>
  <c r="BB87" i="127" s="1"/>
  <c r="BH35" i="103"/>
  <c r="BC50" i="103"/>
  <c r="BH50" i="103"/>
  <c r="BC39" i="103"/>
  <c r="BH39" i="103"/>
  <c r="BC35" i="103"/>
  <c r="BC37" i="103"/>
  <c r="BH40" i="103"/>
  <c r="BC34" i="103"/>
  <c r="BC53" i="103"/>
  <c r="BH49" i="103"/>
  <c r="BH51" i="103"/>
  <c r="BH34" i="103"/>
  <c r="BH52" i="103"/>
  <c r="BC38" i="103"/>
  <c r="BH36" i="103"/>
  <c r="BC52" i="103"/>
  <c r="BH37" i="103"/>
  <c r="BH38" i="103"/>
  <c r="BC40" i="103"/>
  <c r="BC51" i="103"/>
  <c r="BC36" i="103"/>
  <c r="BC49" i="103"/>
  <c r="BH53" i="103"/>
  <c r="AI74" i="127"/>
  <c r="AN74" i="127"/>
  <c r="AX51" i="127"/>
  <c r="AX52" i="127"/>
  <c r="AN48" i="127"/>
  <c r="AS52" i="127"/>
  <c r="AN52" i="127"/>
  <c r="AI52" i="127"/>
  <c r="AN36" i="127"/>
  <c r="AI51" i="127"/>
  <c r="AI48" i="127"/>
  <c r="AN51" i="127"/>
  <c r="AS51" i="127"/>
  <c r="AS50" i="127"/>
  <c r="AX50" i="127"/>
  <c r="AI50" i="127"/>
  <c r="AI36" i="127"/>
  <c r="AN50" i="127"/>
  <c r="AN78" i="127"/>
  <c r="AS78" i="127"/>
  <c r="AI78" i="127"/>
  <c r="BB82" i="86"/>
  <c r="BL85" i="87"/>
  <c r="BJ35" i="87"/>
  <c r="Y68" i="89"/>
  <c r="Y64" i="89"/>
  <c r="Y60" i="89"/>
  <c r="Y56" i="89"/>
  <c r="Y49" i="89"/>
  <c r="Y47" i="89"/>
  <c r="Y43" i="89"/>
  <c r="Y30" i="89"/>
  <c r="Y26" i="89"/>
  <c r="Y22" i="89"/>
  <c r="Y19" i="89"/>
  <c r="Y15" i="89"/>
  <c r="Y11" i="89"/>
  <c r="Y72" i="89"/>
  <c r="Y70" i="89"/>
  <c r="Y66" i="89"/>
  <c r="Y62" i="89"/>
  <c r="Y58" i="89"/>
  <c r="Y52" i="89"/>
  <c r="Y45" i="89"/>
  <c r="Y28" i="89"/>
  <c r="Y24" i="89"/>
  <c r="Y23" i="89"/>
  <c r="Y21" i="89"/>
  <c r="Y17" i="89"/>
  <c r="Y13" i="89"/>
  <c r="Y9" i="89"/>
  <c r="Y12" i="89"/>
  <c r="Y20" i="89"/>
  <c r="Y31" i="89"/>
  <c r="Y48" i="89"/>
  <c r="Y57" i="89"/>
  <c r="Y65" i="89"/>
  <c r="Y10" i="89"/>
  <c r="Y18" i="89"/>
  <c r="Y29" i="89"/>
  <c r="Y41" i="89"/>
  <c r="Y54" i="89"/>
  <c r="Y63" i="89"/>
  <c r="Y71" i="89"/>
  <c r="Y8" i="89"/>
  <c r="Y55" i="89"/>
  <c r="Y16" i="89"/>
  <c r="Y27" i="89"/>
  <c r="Y33" i="89"/>
  <c r="Y44" i="89"/>
  <c r="Y50" i="89"/>
  <c r="Y61" i="89"/>
  <c r="Y69" i="89"/>
  <c r="Y14" i="89"/>
  <c r="Y25" i="89"/>
  <c r="Y32" i="89"/>
  <c r="Y46" i="89"/>
  <c r="Y59" i="89"/>
  <c r="Y67" i="89"/>
  <c r="Y51" i="89"/>
  <c r="Y42" i="89"/>
  <c r="BB85" i="86"/>
  <c r="BQ73" i="96"/>
  <c r="BU73" i="96" s="1"/>
  <c r="BU74" i="96"/>
  <c r="BG90" i="107"/>
  <c r="F68" i="117"/>
  <c r="F12" i="117"/>
  <c r="BC43" i="107"/>
  <c r="BC21" i="107"/>
  <c r="BC19" i="107"/>
  <c r="BC14" i="107"/>
  <c r="BC12" i="107"/>
  <c r="BC10" i="107"/>
  <c r="BC23" i="107"/>
  <c r="BC16" i="107"/>
  <c r="BC49" i="107"/>
  <c r="BC42" i="107"/>
  <c r="BC22" i="107"/>
  <c r="BC20" i="107"/>
  <c r="BC18" i="107"/>
  <c r="BC13" i="107"/>
  <c r="BC11" i="107"/>
  <c r="BC9" i="107"/>
  <c r="BC65" i="107"/>
  <c r="BC32" i="107"/>
  <c r="BC62" i="107"/>
  <c r="BC55" i="107"/>
  <c r="BC47" i="107"/>
  <c r="BC15" i="107"/>
  <c r="BC48" i="107"/>
  <c r="BC69" i="107"/>
  <c r="BC45" i="107"/>
  <c r="BC66" i="107"/>
  <c r="BC33" i="107"/>
  <c r="BC59" i="107"/>
  <c r="BC79" i="107"/>
  <c r="BC56" i="107"/>
  <c r="BC57" i="107"/>
  <c r="BC17" i="107"/>
  <c r="BC27" i="107"/>
  <c r="BC25" i="107"/>
  <c r="BC54" i="107"/>
  <c r="BC70" i="107"/>
  <c r="BC63" i="107"/>
  <c r="BC60" i="107"/>
  <c r="BC31" i="107"/>
  <c r="BC61" i="107"/>
  <c r="BC28" i="107"/>
  <c r="BC58" i="107"/>
  <c r="BC26" i="107"/>
  <c r="BC46" i="107"/>
  <c r="BC67" i="107"/>
  <c r="BC30" i="107"/>
  <c r="BC64" i="107"/>
  <c r="BC44" i="107"/>
  <c r="BC29" i="107"/>
  <c r="BC71" i="107"/>
  <c r="BC68" i="107"/>
  <c r="BC24" i="107"/>
  <c r="BC41" i="107"/>
  <c r="BC8" i="107"/>
  <c r="T71" i="89"/>
  <c r="T66" i="89"/>
  <c r="T62" i="89"/>
  <c r="T58" i="89"/>
  <c r="T54" i="89"/>
  <c r="T49" i="89"/>
  <c r="T45" i="89"/>
  <c r="T41" i="89"/>
  <c r="T30" i="89"/>
  <c r="T69" i="89"/>
  <c r="T64" i="89"/>
  <c r="T60" i="89"/>
  <c r="T56" i="89"/>
  <c r="T51" i="89"/>
  <c r="T47" i="89"/>
  <c r="T43" i="89"/>
  <c r="T32" i="89"/>
  <c r="T28" i="89"/>
  <c r="T61" i="89"/>
  <c r="T16" i="89"/>
  <c r="T68" i="89"/>
  <c r="T59" i="89"/>
  <c r="T50" i="89"/>
  <c r="T42" i="89"/>
  <c r="T27" i="89"/>
  <c r="T23" i="89"/>
  <c r="T19" i="89"/>
  <c r="T15" i="89"/>
  <c r="T11" i="89"/>
  <c r="T67" i="89"/>
  <c r="T65" i="89"/>
  <c r="T48" i="89"/>
  <c r="T33" i="89"/>
  <c r="T26" i="89"/>
  <c r="T22" i="89"/>
  <c r="T18" i="89"/>
  <c r="T10" i="89"/>
  <c r="T57" i="89"/>
  <c r="T14" i="89"/>
  <c r="T72" i="89"/>
  <c r="T63" i="89"/>
  <c r="T55" i="89"/>
  <c r="T46" i="89"/>
  <c r="T31" i="89"/>
  <c r="T25" i="89"/>
  <c r="T21" i="89"/>
  <c r="T17" i="89"/>
  <c r="T13" i="89"/>
  <c r="T9" i="89"/>
  <c r="T70" i="89"/>
  <c r="T52" i="89"/>
  <c r="T44" i="89"/>
  <c r="T29" i="89"/>
  <c r="T24" i="89"/>
  <c r="T20" i="89"/>
  <c r="T12" i="89"/>
  <c r="T8" i="89"/>
  <c r="AX77" i="107"/>
  <c r="AX80" i="107"/>
  <c r="AX71" i="107"/>
  <c r="AX67" i="107"/>
  <c r="AX63" i="107"/>
  <c r="AX59" i="107"/>
  <c r="AX55" i="107"/>
  <c r="AX46" i="107"/>
  <c r="AX42" i="107"/>
  <c r="AX31" i="107"/>
  <c r="AX27" i="107"/>
  <c r="AX23" i="107"/>
  <c r="AX19" i="107"/>
  <c r="AX11" i="107"/>
  <c r="AX64" i="107"/>
  <c r="AX70" i="107"/>
  <c r="AX66" i="107"/>
  <c r="AX62" i="107"/>
  <c r="AX58" i="107"/>
  <c r="AX54" i="107"/>
  <c r="AX45" i="107"/>
  <c r="AX41" i="107"/>
  <c r="AX30" i="107"/>
  <c r="AX26" i="107"/>
  <c r="AX22" i="107"/>
  <c r="AX18" i="107"/>
  <c r="AX14" i="107"/>
  <c r="AX10" i="107"/>
  <c r="AX68" i="107"/>
  <c r="AX56" i="107"/>
  <c r="AX43" i="107"/>
  <c r="AX28" i="107"/>
  <c r="AX20" i="107"/>
  <c r="AX78" i="107"/>
  <c r="AX69" i="107"/>
  <c r="AX65" i="107"/>
  <c r="AX61" i="107"/>
  <c r="AX57" i="107"/>
  <c r="AX48" i="107"/>
  <c r="AX44" i="107"/>
  <c r="AX33" i="107"/>
  <c r="AX29" i="107"/>
  <c r="AX25" i="107"/>
  <c r="AX21" i="107"/>
  <c r="AX17" i="107"/>
  <c r="AX13" i="107"/>
  <c r="AX9" i="107"/>
  <c r="AX60" i="107"/>
  <c r="AX47" i="107"/>
  <c r="AX32" i="107"/>
  <c r="AX24" i="107"/>
  <c r="AX12" i="107"/>
  <c r="AX16" i="107"/>
  <c r="AX15" i="107"/>
  <c r="AX8" i="107"/>
  <c r="BH77" i="102"/>
  <c r="BH69" i="102"/>
  <c r="BH65" i="102"/>
  <c r="BH61" i="102"/>
  <c r="BH57" i="102"/>
  <c r="BH52" i="102"/>
  <c r="BH48" i="102"/>
  <c r="BH44" i="102"/>
  <c r="BH12" i="102"/>
  <c r="BH30" i="102"/>
  <c r="BH26" i="102"/>
  <c r="BH22" i="102"/>
  <c r="BH18" i="102"/>
  <c r="BH14" i="102"/>
  <c r="BH9" i="102"/>
  <c r="BH72" i="102"/>
  <c r="BH68" i="102"/>
  <c r="BH64" i="102"/>
  <c r="BH60" i="102"/>
  <c r="BH56" i="102"/>
  <c r="BH51" i="102"/>
  <c r="BH47" i="102"/>
  <c r="BH43" i="102"/>
  <c r="BH31" i="102"/>
  <c r="BH29" i="102"/>
  <c r="BH25" i="102"/>
  <c r="BH21" i="102"/>
  <c r="BH17" i="102"/>
  <c r="BH13" i="102"/>
  <c r="BH8" i="102"/>
  <c r="BH71" i="102"/>
  <c r="BH67" i="102"/>
  <c r="BH63" i="102"/>
  <c r="BH59" i="102"/>
  <c r="BH55" i="102"/>
  <c r="BH50" i="102"/>
  <c r="BH46" i="102"/>
  <c r="BH42" i="102"/>
  <c r="BH33" i="102"/>
  <c r="BH66" i="102"/>
  <c r="BH49" i="102"/>
  <c r="BH28" i="102"/>
  <c r="BH20" i="102"/>
  <c r="BH11" i="102"/>
  <c r="BH78" i="102"/>
  <c r="BH41" i="102"/>
  <c r="BH16" i="102"/>
  <c r="BH54" i="102"/>
  <c r="BH23" i="102"/>
  <c r="BH62" i="102"/>
  <c r="BH45" i="102"/>
  <c r="BH27" i="102"/>
  <c r="BH19" i="102"/>
  <c r="BH10" i="102"/>
  <c r="BH58" i="102"/>
  <c r="BH24" i="102"/>
  <c r="BH70" i="102"/>
  <c r="BH32" i="102"/>
  <c r="BH15" i="102"/>
  <c r="BH79" i="102"/>
  <c r="AX80" i="91"/>
  <c r="AX74" i="91"/>
  <c r="AX73" i="91"/>
  <c r="AX29" i="91"/>
  <c r="AX18" i="91"/>
  <c r="AX10" i="91"/>
  <c r="AX52" i="91"/>
  <c r="AX24" i="91"/>
  <c r="AX31" i="91"/>
  <c r="AX20" i="91"/>
  <c r="AX12" i="91"/>
  <c r="AX33" i="91"/>
  <c r="AX22" i="91"/>
  <c r="AX14" i="91"/>
  <c r="AX27" i="91"/>
  <c r="AX16" i="91"/>
  <c r="AX46" i="91"/>
  <c r="AX25" i="91"/>
  <c r="AX47" i="91"/>
  <c r="AX67" i="91"/>
  <c r="AX19" i="91"/>
  <c r="AX70" i="91"/>
  <c r="AX56" i="91"/>
  <c r="AX11" i="91"/>
  <c r="AX32" i="91"/>
  <c r="AX61" i="91"/>
  <c r="AX17" i="91"/>
  <c r="AX57" i="91"/>
  <c r="AX54" i="91"/>
  <c r="AX28" i="91"/>
  <c r="AX55" i="91"/>
  <c r="AX71" i="91"/>
  <c r="AX30" i="91"/>
  <c r="AX15" i="91"/>
  <c r="AX44" i="91"/>
  <c r="AX60" i="91"/>
  <c r="AX62" i="91"/>
  <c r="AX41" i="91"/>
  <c r="AX65" i="91"/>
  <c r="AX78" i="91"/>
  <c r="AX43" i="91"/>
  <c r="AX58" i="91"/>
  <c r="AX50" i="91"/>
  <c r="AX21" i="91"/>
  <c r="AX51" i="91"/>
  <c r="AX66" i="91"/>
  <c r="AX59" i="91"/>
  <c r="AX42" i="91"/>
  <c r="AX23" i="91"/>
  <c r="AX48" i="91"/>
  <c r="AX64" i="91"/>
  <c r="AX13" i="91"/>
  <c r="AX45" i="91"/>
  <c r="AX69" i="91"/>
  <c r="AX9" i="91"/>
  <c r="AX63" i="91"/>
  <c r="AX79" i="91"/>
  <c r="AX26" i="91"/>
  <c r="AX68" i="91"/>
  <c r="AX8" i="91"/>
  <c r="AX77" i="91"/>
  <c r="BL89" i="102"/>
  <c r="BL90" i="102" s="1"/>
  <c r="BG87" i="102"/>
  <c r="K8" i="117"/>
  <c r="K54" i="117"/>
  <c r="K67" i="117"/>
  <c r="K59" i="117"/>
  <c r="K72" i="117"/>
  <c r="K58" i="117"/>
  <c r="K42" i="117"/>
  <c r="K13" i="117"/>
  <c r="K16" i="117"/>
  <c r="K19" i="117"/>
  <c r="K21" i="117"/>
  <c r="K29" i="117"/>
  <c r="K41" i="117"/>
  <c r="K64" i="117"/>
  <c r="K33" i="117"/>
  <c r="K55" i="117"/>
  <c r="K49" i="117"/>
  <c r="K20" i="117"/>
  <c r="K71" i="117"/>
  <c r="K23" i="117"/>
  <c r="K30" i="117"/>
  <c r="K68" i="117"/>
  <c r="K65" i="117"/>
  <c r="K57" i="117"/>
  <c r="K44" i="117"/>
  <c r="K52" i="117"/>
  <c r="K62" i="117"/>
  <c r="K36" i="117"/>
  <c r="K14" i="117"/>
  <c r="K9" i="117"/>
  <c r="K15" i="117"/>
  <c r="K28" i="117"/>
  <c r="K47" i="117"/>
  <c r="K22" i="117"/>
  <c r="K31" i="117"/>
  <c r="K56" i="117"/>
  <c r="K63" i="117"/>
  <c r="K48" i="117"/>
  <c r="K32" i="117"/>
  <c r="K12" i="117"/>
  <c r="K11" i="117"/>
  <c r="K43" i="117"/>
  <c r="K25" i="117"/>
  <c r="K61" i="117"/>
  <c r="K17" i="117"/>
  <c r="K26" i="117"/>
  <c r="K24" i="117"/>
  <c r="K46" i="117"/>
  <c r="K60" i="117"/>
  <c r="K51" i="117"/>
  <c r="K18" i="117"/>
  <c r="K69" i="117"/>
  <c r="K27" i="117"/>
  <c r="K45" i="117"/>
  <c r="K66" i="117"/>
  <c r="K10" i="117"/>
  <c r="K70" i="117"/>
  <c r="AS72" i="107"/>
  <c r="AX72" i="107"/>
  <c r="BH36" i="102"/>
  <c r="F38" i="117"/>
  <c r="F66" i="117"/>
  <c r="F58" i="117"/>
  <c r="F43" i="117"/>
  <c r="F59" i="117"/>
  <c r="F33" i="117"/>
  <c r="F31" i="117"/>
  <c r="F15" i="117"/>
  <c r="F42" i="117"/>
  <c r="F8" i="117"/>
  <c r="F72" i="117"/>
  <c r="F62" i="117"/>
  <c r="F52" i="117"/>
  <c r="F47" i="117"/>
  <c r="F63" i="117"/>
  <c r="F14" i="117"/>
  <c r="F19" i="117"/>
  <c r="F11" i="117"/>
  <c r="F55" i="117"/>
  <c r="F64" i="117"/>
  <c r="F40" i="117"/>
  <c r="F20" i="117"/>
  <c r="F13" i="117"/>
  <c r="F24" i="117"/>
  <c r="F41" i="117"/>
  <c r="F30" i="117"/>
  <c r="F70" i="117"/>
  <c r="F28" i="117"/>
  <c r="F32" i="117"/>
  <c r="F54" i="117"/>
  <c r="F46" i="117"/>
  <c r="F18" i="117"/>
  <c r="F29" i="117"/>
  <c r="F25" i="117"/>
  <c r="F50" i="117"/>
  <c r="F60" i="117"/>
  <c r="F67" i="117"/>
  <c r="F10" i="117"/>
  <c r="F9" i="117"/>
  <c r="F57" i="117"/>
  <c r="F65" i="117"/>
  <c r="F51" i="117"/>
  <c r="F69" i="117"/>
  <c r="F22" i="117"/>
  <c r="F56" i="117"/>
  <c r="F21" i="117"/>
  <c r="F61" i="117"/>
  <c r="F48" i="117"/>
  <c r="F36" i="117"/>
  <c r="F17" i="117"/>
  <c r="F26" i="117"/>
  <c r="F27" i="117"/>
  <c r="F16" i="117"/>
  <c r="F23" i="117"/>
  <c r="F35" i="117"/>
  <c r="F49" i="117"/>
  <c r="F71" i="117"/>
  <c r="F44" i="117"/>
  <c r="F39" i="117"/>
  <c r="F45" i="117"/>
  <c r="U17" i="117"/>
  <c r="U18" i="117"/>
  <c r="U10" i="117"/>
  <c r="U22" i="117"/>
  <c r="U31" i="117"/>
  <c r="U24" i="117"/>
  <c r="U14" i="117"/>
  <c r="U26" i="117"/>
  <c r="U30" i="117"/>
  <c r="U15" i="117"/>
  <c r="U16" i="117"/>
  <c r="U21" i="117"/>
  <c r="U29" i="117"/>
  <c r="U32" i="117"/>
  <c r="U28" i="117"/>
  <c r="U11" i="117"/>
  <c r="U13" i="117"/>
  <c r="U23" i="117"/>
  <c r="U12" i="117"/>
  <c r="U27" i="117"/>
  <c r="U8" i="117"/>
  <c r="U25" i="117"/>
  <c r="U9" i="117"/>
  <c r="U19" i="117"/>
  <c r="U33" i="117"/>
  <c r="U20" i="117"/>
  <c r="AS77" i="117"/>
  <c r="AS89" i="117"/>
  <c r="AS81" i="117"/>
  <c r="AS83" i="117" s="1"/>
  <c r="AS84" i="117" s="1"/>
  <c r="AS86" i="117" s="1"/>
  <c r="AS87" i="117" s="1"/>
  <c r="AS78" i="107"/>
  <c r="AS79" i="107"/>
  <c r="AX49" i="107"/>
  <c r="K79" i="117"/>
  <c r="F79" i="117"/>
  <c r="BB93" i="102"/>
  <c r="AS71" i="91"/>
  <c r="AS67" i="91"/>
  <c r="AS63" i="91"/>
  <c r="AS59" i="91"/>
  <c r="AS55" i="91"/>
  <c r="AS50" i="91"/>
  <c r="AS45" i="91"/>
  <c r="AS41" i="91"/>
  <c r="AS30" i="91"/>
  <c r="AS26" i="91"/>
  <c r="AS22" i="91"/>
  <c r="AS18" i="91"/>
  <c r="AS14" i="91"/>
  <c r="AS10" i="91"/>
  <c r="AS78" i="91"/>
  <c r="AS65" i="91"/>
  <c r="AS57" i="91"/>
  <c r="AS47" i="91"/>
  <c r="AS32" i="91"/>
  <c r="AS24" i="91"/>
  <c r="AS16" i="91"/>
  <c r="AS8" i="91"/>
  <c r="AS68" i="91"/>
  <c r="AS60" i="91"/>
  <c r="AS51" i="91"/>
  <c r="AS42" i="91"/>
  <c r="AS23" i="91"/>
  <c r="AS70" i="91"/>
  <c r="AS66" i="91"/>
  <c r="AS62" i="91"/>
  <c r="AS58" i="91"/>
  <c r="AS54" i="91"/>
  <c r="AS48" i="91"/>
  <c r="AS44" i="91"/>
  <c r="AS33" i="91"/>
  <c r="AS29" i="91"/>
  <c r="AS25" i="91"/>
  <c r="AS21" i="91"/>
  <c r="AS17" i="91"/>
  <c r="AS13" i="91"/>
  <c r="AS9" i="91"/>
  <c r="AS69" i="91"/>
  <c r="AS61" i="91"/>
  <c r="AS52" i="91"/>
  <c r="AS43" i="91"/>
  <c r="AS28" i="91"/>
  <c r="AS20" i="91"/>
  <c r="AS12" i="91"/>
  <c r="AS64" i="91"/>
  <c r="AS56" i="91"/>
  <c r="AS46" i="91"/>
  <c r="AS31" i="91"/>
  <c r="AS27" i="91"/>
  <c r="AS19" i="91"/>
  <c r="AS15" i="91"/>
  <c r="AS11" i="91"/>
  <c r="BC78" i="102"/>
  <c r="BC71" i="102"/>
  <c r="BC36" i="102"/>
  <c r="BC72" i="102"/>
  <c r="BC56" i="102"/>
  <c r="BC23" i="102"/>
  <c r="BC58" i="102"/>
  <c r="BC49" i="102"/>
  <c r="BC21" i="102"/>
  <c r="BC13" i="102"/>
  <c r="BC28" i="102"/>
  <c r="BC55" i="102"/>
  <c r="BC33" i="102"/>
  <c r="BC60" i="102"/>
  <c r="BC10" i="102"/>
  <c r="BC14" i="102"/>
  <c r="BC66" i="102"/>
  <c r="BC69" i="102"/>
  <c r="BC42" i="102"/>
  <c r="BC63" i="102"/>
  <c r="BC44" i="102"/>
  <c r="BC12" i="102"/>
  <c r="BC43" i="102"/>
  <c r="BC64" i="102"/>
  <c r="BC18" i="102"/>
  <c r="BC70" i="102"/>
  <c r="BC31" i="102"/>
  <c r="BC11" i="102"/>
  <c r="BC25" i="102"/>
  <c r="BC46" i="102"/>
  <c r="BC67" i="102"/>
  <c r="BC50" i="102"/>
  <c r="BC20" i="102"/>
  <c r="BC47" i="102"/>
  <c r="BC68" i="102"/>
  <c r="BC24" i="102"/>
  <c r="BC51" i="102"/>
  <c r="BC48" i="102"/>
  <c r="BC15" i="102"/>
  <c r="BC29" i="102"/>
  <c r="BC52" i="102"/>
  <c r="BC17" i="102"/>
  <c r="BC61" i="102"/>
  <c r="BC26" i="102"/>
  <c r="BC57" i="102"/>
  <c r="BC45" i="102"/>
  <c r="BC62" i="102"/>
  <c r="BC19" i="102"/>
  <c r="BC59" i="102"/>
  <c r="BC27" i="102"/>
  <c r="BC30" i="102"/>
  <c r="BC32" i="102"/>
  <c r="BC9" i="102"/>
  <c r="BC22" i="102"/>
  <c r="BC65" i="102"/>
  <c r="BC41" i="102"/>
  <c r="BC54" i="102"/>
  <c r="BC16" i="102"/>
  <c r="BC8" i="102"/>
  <c r="AS77" i="91"/>
  <c r="BM53" i="96"/>
  <c r="BM25" i="96"/>
  <c r="BM19" i="96"/>
  <c r="BM17" i="96"/>
  <c r="BM69" i="96"/>
  <c r="BM33" i="96"/>
  <c r="BM27" i="96"/>
  <c r="BM21" i="96"/>
  <c r="BM44" i="96"/>
  <c r="BM72" i="96"/>
  <c r="BM61" i="96"/>
  <c r="BM51" i="96"/>
  <c r="BM49" i="96"/>
  <c r="BM29" i="96"/>
  <c r="BM71" i="96"/>
  <c r="BM15" i="96"/>
  <c r="BM41" i="96"/>
  <c r="BM16" i="96"/>
  <c r="BM66" i="96"/>
  <c r="BM26" i="96"/>
  <c r="BM47" i="96"/>
  <c r="BM14" i="96"/>
  <c r="BM45" i="96"/>
  <c r="BM30" i="96"/>
  <c r="BM55" i="96"/>
  <c r="BM57" i="96"/>
  <c r="BM22" i="96"/>
  <c r="BM56" i="96"/>
  <c r="BM70" i="96"/>
  <c r="BM23" i="96"/>
  <c r="BM24" i="96"/>
  <c r="BM58" i="96"/>
  <c r="BM10" i="96"/>
  <c r="BM43" i="96"/>
  <c r="BM59" i="96"/>
  <c r="BM68" i="96"/>
  <c r="BM28" i="96"/>
  <c r="BM60" i="96"/>
  <c r="BM42" i="96"/>
  <c r="BM48" i="96"/>
  <c r="BM11" i="96"/>
  <c r="BM65" i="96"/>
  <c r="BM20" i="96"/>
  <c r="BM12" i="96"/>
  <c r="BM46" i="96"/>
  <c r="BM62" i="96"/>
  <c r="BM9" i="96"/>
  <c r="BM31" i="96"/>
  <c r="BM63" i="96"/>
  <c r="BM8" i="96"/>
  <c r="BM32" i="96"/>
  <c r="BM52" i="96"/>
  <c r="BM13" i="96"/>
  <c r="BM67" i="96"/>
  <c r="BM18" i="96"/>
  <c r="BM64" i="96"/>
  <c r="BM79" i="96"/>
  <c r="BM54" i="96"/>
  <c r="BM50" i="96"/>
  <c r="BC79" i="102"/>
  <c r="AS65" i="107"/>
  <c r="AS45" i="107"/>
  <c r="AS22" i="107"/>
  <c r="AS62" i="107"/>
  <c r="AS64" i="107"/>
  <c r="AS44" i="107"/>
  <c r="AS21" i="107"/>
  <c r="AS66" i="107"/>
  <c r="AS19" i="107"/>
  <c r="AS59" i="107"/>
  <c r="AS32" i="107"/>
  <c r="AS16" i="107"/>
  <c r="AS54" i="107"/>
  <c r="AS61" i="107"/>
  <c r="AS41" i="107"/>
  <c r="AS18" i="107"/>
  <c r="AS31" i="107"/>
  <c r="AS60" i="107"/>
  <c r="AS33" i="107"/>
  <c r="AS17" i="107"/>
  <c r="AS58" i="107"/>
  <c r="AS71" i="107"/>
  <c r="AS55" i="107"/>
  <c r="AS28" i="107"/>
  <c r="AS12" i="107"/>
  <c r="AS46" i="107"/>
  <c r="AS57" i="107"/>
  <c r="AS30" i="107"/>
  <c r="AS14" i="107"/>
  <c r="AS11" i="107"/>
  <c r="AS56" i="107"/>
  <c r="AS29" i="107"/>
  <c r="AS13" i="107"/>
  <c r="AS42" i="107"/>
  <c r="AS67" i="107"/>
  <c r="AS47" i="107"/>
  <c r="AS24" i="107"/>
  <c r="AS8" i="107"/>
  <c r="AS27" i="107"/>
  <c r="AS69" i="107"/>
  <c r="AS49" i="107"/>
  <c r="AS26" i="107"/>
  <c r="AS10" i="107"/>
  <c r="AS68" i="107"/>
  <c r="AS48" i="107"/>
  <c r="AS25" i="107"/>
  <c r="AS23" i="107"/>
  <c r="AS63" i="107"/>
  <c r="AS43" i="107"/>
  <c r="AS20" i="107"/>
  <c r="AS70" i="107"/>
  <c r="AS15" i="107"/>
  <c r="AS79" i="91"/>
  <c r="AS80" i="91"/>
  <c r="AS73" i="91"/>
  <c r="AS74" i="91"/>
  <c r="BQ101" i="96"/>
  <c r="I93" i="108"/>
  <c r="AI79" i="107"/>
  <c r="AN62" i="107"/>
  <c r="AN29" i="107"/>
  <c r="AN13" i="107"/>
  <c r="AN30" i="107"/>
  <c r="AN65" i="107"/>
  <c r="AN43" i="107"/>
  <c r="AN20" i="107"/>
  <c r="AN63" i="107"/>
  <c r="AN68" i="107"/>
  <c r="AN46" i="107"/>
  <c r="AN23" i="107"/>
  <c r="AN71" i="107"/>
  <c r="AN10" i="107"/>
  <c r="AN58" i="107"/>
  <c r="AN25" i="107"/>
  <c r="AN9" i="107"/>
  <c r="AN26" i="107"/>
  <c r="AN61" i="107"/>
  <c r="AN32" i="107"/>
  <c r="AN16" i="107"/>
  <c r="AN45" i="107"/>
  <c r="AN64" i="107"/>
  <c r="AN42" i="107"/>
  <c r="AN19" i="107"/>
  <c r="AN59" i="107"/>
  <c r="AN54" i="107"/>
  <c r="AN70" i="107"/>
  <c r="AN44" i="107"/>
  <c r="AN21" i="107"/>
  <c r="AN67" i="107"/>
  <c r="AN14" i="107"/>
  <c r="AN57" i="107"/>
  <c r="AN28" i="107"/>
  <c r="AN12" i="107"/>
  <c r="AN22" i="107"/>
  <c r="AN60" i="107"/>
  <c r="AN31" i="107"/>
  <c r="AN15" i="107"/>
  <c r="AN41" i="107"/>
  <c r="AN66" i="107"/>
  <c r="AN33" i="107"/>
  <c r="AN17" i="107"/>
  <c r="AN55" i="107"/>
  <c r="AN69" i="107"/>
  <c r="AN47" i="107"/>
  <c r="AN24" i="107"/>
  <c r="AN8" i="107"/>
  <c r="AN56" i="107"/>
  <c r="AN27" i="107"/>
  <c r="AN11" i="107"/>
  <c r="AN18" i="107"/>
  <c r="O79" i="113"/>
  <c r="AD78" i="108"/>
  <c r="AI78" i="108"/>
  <c r="AI33" i="108"/>
  <c r="AI31" i="108"/>
  <c r="AI18" i="108"/>
  <c r="AI27" i="108"/>
  <c r="AI28" i="108"/>
  <c r="AI26" i="108"/>
  <c r="AI24" i="108"/>
  <c r="AI25" i="108"/>
  <c r="AI32" i="108"/>
  <c r="AI29" i="108"/>
  <c r="AI23" i="108"/>
  <c r="AI11" i="108"/>
  <c r="AI16" i="108"/>
  <c r="AI46" i="108"/>
  <c r="AI68" i="108"/>
  <c r="AI13" i="108"/>
  <c r="AI47" i="108"/>
  <c r="AI69" i="108"/>
  <c r="AI63" i="108"/>
  <c r="AI62" i="108"/>
  <c r="AI55" i="108"/>
  <c r="AI20" i="108"/>
  <c r="AI56" i="108"/>
  <c r="AI15" i="108"/>
  <c r="AI17" i="108"/>
  <c r="AI57" i="108"/>
  <c r="AI19" i="108"/>
  <c r="AI10" i="108"/>
  <c r="AI44" i="108"/>
  <c r="AI66" i="108"/>
  <c r="AI9" i="108"/>
  <c r="AI42" i="108"/>
  <c r="AI71" i="108"/>
  <c r="AI30" i="108"/>
  <c r="AI60" i="108"/>
  <c r="AI45" i="108"/>
  <c r="AI21" i="108"/>
  <c r="AI61" i="108"/>
  <c r="AI41" i="108"/>
  <c r="AI14" i="108"/>
  <c r="AI48" i="108"/>
  <c r="AI70" i="108"/>
  <c r="AI12" i="108"/>
  <c r="AI64" i="108"/>
  <c r="AI67" i="108"/>
  <c r="AI43" i="108"/>
  <c r="AI65" i="108"/>
  <c r="AI59" i="108"/>
  <c r="AI22" i="108"/>
  <c r="AI58" i="108"/>
  <c r="AI54" i="108"/>
  <c r="AI8" i="108"/>
  <c r="AI72" i="107"/>
  <c r="AN72" i="107"/>
  <c r="AI78" i="107"/>
  <c r="AN78" i="107"/>
  <c r="AN48" i="107"/>
  <c r="BH52" i="96"/>
  <c r="BH50" i="96"/>
  <c r="BH49" i="96"/>
  <c r="BH17" i="96"/>
  <c r="BH33" i="96"/>
  <c r="BH31" i="96"/>
  <c r="BH14" i="96"/>
  <c r="BH12" i="96"/>
  <c r="BH10" i="96"/>
  <c r="BH72" i="96"/>
  <c r="BH51" i="96"/>
  <c r="BH53" i="96"/>
  <c r="BH32" i="96"/>
  <c r="BH15" i="96"/>
  <c r="BH13" i="96"/>
  <c r="BH11" i="96"/>
  <c r="BH9" i="96"/>
  <c r="BH22" i="96"/>
  <c r="BH46" i="96"/>
  <c r="BH67" i="96"/>
  <c r="BH16" i="96"/>
  <c r="BH41" i="96"/>
  <c r="BH64" i="96"/>
  <c r="BH20" i="96"/>
  <c r="BH48" i="96"/>
  <c r="BH69" i="96"/>
  <c r="BH45" i="96"/>
  <c r="BH66" i="96"/>
  <c r="BH26" i="96"/>
  <c r="BH55" i="96"/>
  <c r="BH71" i="96"/>
  <c r="BH19" i="96"/>
  <c r="BH47" i="96"/>
  <c r="BH68" i="96"/>
  <c r="BH24" i="96"/>
  <c r="BH57" i="96"/>
  <c r="BH21" i="96"/>
  <c r="BH54" i="96"/>
  <c r="BH70" i="96"/>
  <c r="BH30" i="96"/>
  <c r="BH59" i="96"/>
  <c r="BH23" i="96"/>
  <c r="BH56" i="96"/>
  <c r="BH27" i="96"/>
  <c r="BH44" i="96"/>
  <c r="BH62" i="96"/>
  <c r="BH63" i="96"/>
  <c r="BH58" i="96"/>
  <c r="BH43" i="96"/>
  <c r="BH18" i="96"/>
  <c r="BH60" i="96"/>
  <c r="BH61" i="96"/>
  <c r="BH25" i="96"/>
  <c r="BH28" i="96"/>
  <c r="BH42" i="96"/>
  <c r="BH79" i="96"/>
  <c r="BH65" i="96"/>
  <c r="BH29" i="96"/>
  <c r="BH8" i="96"/>
  <c r="BQ35" i="96"/>
  <c r="BU35" i="96" s="1"/>
  <c r="BU36" i="96"/>
  <c r="AD9" i="108"/>
  <c r="AD56" i="108"/>
  <c r="AD28" i="108"/>
  <c r="AD12" i="108"/>
  <c r="AD21" i="108"/>
  <c r="AD59" i="108"/>
  <c r="AD31" i="108"/>
  <c r="AD15" i="108"/>
  <c r="AD29" i="108"/>
  <c r="AD62" i="108"/>
  <c r="AD41" i="108"/>
  <c r="AD18" i="108"/>
  <c r="AD48" i="108"/>
  <c r="AD58" i="108"/>
  <c r="AD33" i="108"/>
  <c r="AD32" i="108"/>
  <c r="AD68" i="108"/>
  <c r="AD47" i="108"/>
  <c r="AD24" i="108"/>
  <c r="AD8" i="108"/>
  <c r="AD71" i="108"/>
  <c r="AD55" i="108"/>
  <c r="AD27" i="108"/>
  <c r="AD11" i="108"/>
  <c r="AD17" i="108"/>
  <c r="AD30" i="108"/>
  <c r="AD14" i="108"/>
  <c r="AD64" i="108"/>
  <c r="AD43" i="108"/>
  <c r="AD20" i="108"/>
  <c r="AD61" i="108"/>
  <c r="AD67" i="108"/>
  <c r="AD46" i="108"/>
  <c r="AD23" i="108"/>
  <c r="AD65" i="108"/>
  <c r="AD70" i="108"/>
  <c r="AD54" i="108"/>
  <c r="AD26" i="108"/>
  <c r="AD10" i="108"/>
  <c r="AD25" i="108"/>
  <c r="AD60" i="108"/>
  <c r="AD42" i="108"/>
  <c r="AD45" i="108"/>
  <c r="AD66" i="108"/>
  <c r="AD13" i="108"/>
  <c r="AD16" i="108"/>
  <c r="AD19" i="108"/>
  <c r="AD22" i="108"/>
  <c r="AD44" i="108"/>
  <c r="AD57" i="108"/>
  <c r="AD69" i="108"/>
  <c r="AD63" i="108"/>
  <c r="AX67" i="102"/>
  <c r="AX50" i="102"/>
  <c r="AX29" i="102"/>
  <c r="AX9" i="102"/>
  <c r="AX48" i="102"/>
  <c r="AX64" i="102"/>
  <c r="AX22" i="102"/>
  <c r="AX66" i="102"/>
  <c r="AX49" i="102"/>
  <c r="AX28" i="102"/>
  <c r="AX12" i="102"/>
  <c r="AX44" i="102"/>
  <c r="AX11" i="102"/>
  <c r="AX43" i="102"/>
  <c r="AX10" i="102"/>
  <c r="AW93" i="102"/>
  <c r="AX71" i="102"/>
  <c r="AX33" i="102"/>
  <c r="AX68" i="102"/>
  <c r="AX70" i="102"/>
  <c r="AX16" i="102"/>
  <c r="AX51" i="102"/>
  <c r="AX63" i="102"/>
  <c r="AX46" i="102"/>
  <c r="AX21" i="102"/>
  <c r="AX78" i="102"/>
  <c r="AX23" i="102"/>
  <c r="AX56" i="102"/>
  <c r="AX14" i="102"/>
  <c r="AX62" i="102"/>
  <c r="AX45" i="102"/>
  <c r="AX24" i="102"/>
  <c r="AX69" i="102"/>
  <c r="AX31" i="102"/>
  <c r="AX72" i="102"/>
  <c r="AX36" i="102"/>
  <c r="AX25" i="102"/>
  <c r="AX13" i="102"/>
  <c r="AX54" i="102"/>
  <c r="AX52" i="102"/>
  <c r="AX18" i="102"/>
  <c r="AX59" i="102"/>
  <c r="AX42" i="102"/>
  <c r="AX17" i="102"/>
  <c r="AX65" i="102"/>
  <c r="AX15" i="102"/>
  <c r="AX47" i="102"/>
  <c r="AX58" i="102"/>
  <c r="AX41" i="102"/>
  <c r="AX20" i="102"/>
  <c r="AX61" i="102"/>
  <c r="AX27" i="102"/>
  <c r="AX60" i="102"/>
  <c r="AX26" i="102"/>
  <c r="AX8" i="102"/>
  <c r="AX55" i="102"/>
  <c r="AX57" i="102"/>
  <c r="AX30" i="102"/>
  <c r="AX32" i="102"/>
  <c r="AX19" i="102"/>
  <c r="O41" i="113"/>
  <c r="O8" i="113"/>
  <c r="O59" i="113"/>
  <c r="O58" i="113"/>
  <c r="O66" i="113"/>
  <c r="O60" i="113"/>
  <c r="O15" i="113"/>
  <c r="O22" i="113"/>
  <c r="O19" i="113"/>
  <c r="O16" i="113"/>
  <c r="O14" i="113"/>
  <c r="O67" i="113"/>
  <c r="O64" i="113"/>
  <c r="O12" i="113"/>
  <c r="O62" i="113"/>
  <c r="O70" i="113"/>
  <c r="O63" i="113"/>
  <c r="O23" i="113"/>
  <c r="O32" i="113"/>
  <c r="O26" i="113"/>
  <c r="O36" i="113"/>
  <c r="O43" i="113"/>
  <c r="O24" i="113"/>
  <c r="O44" i="113"/>
  <c r="O11" i="113"/>
  <c r="O31" i="113"/>
  <c r="O28" i="113"/>
  <c r="O57" i="113"/>
  <c r="O68" i="113"/>
  <c r="O30" i="113"/>
  <c r="O21" i="113"/>
  <c r="O52" i="113"/>
  <c r="O51" i="113"/>
  <c r="O18" i="113"/>
  <c r="O65" i="113"/>
  <c r="O56" i="113"/>
  <c r="O61" i="113"/>
  <c r="O46" i="113"/>
  <c r="O72" i="113"/>
  <c r="O20" i="113"/>
  <c r="O9" i="113"/>
  <c r="O42" i="113"/>
  <c r="O10" i="113"/>
  <c r="O25" i="113"/>
  <c r="O45" i="113"/>
  <c r="O54" i="113"/>
  <c r="O49" i="113"/>
  <c r="O17" i="113"/>
  <c r="O13" i="113"/>
  <c r="O27" i="113"/>
  <c r="O29" i="113"/>
  <c r="O69" i="113"/>
  <c r="O48" i="113"/>
  <c r="O47" i="113"/>
  <c r="O71" i="113"/>
  <c r="O33" i="113"/>
  <c r="O55" i="113"/>
  <c r="BC72" i="96"/>
  <c r="BC68" i="96"/>
  <c r="BC64" i="96"/>
  <c r="BC60" i="96"/>
  <c r="BC56" i="96"/>
  <c r="BC52" i="96"/>
  <c r="BC48" i="96"/>
  <c r="BC44" i="96"/>
  <c r="BC33" i="96"/>
  <c r="BC29" i="96"/>
  <c r="BC25" i="96"/>
  <c r="BC21" i="96"/>
  <c r="BC17" i="96"/>
  <c r="BC13" i="96"/>
  <c r="BC9" i="96"/>
  <c r="BC71" i="96"/>
  <c r="BC66" i="96"/>
  <c r="BC61" i="96"/>
  <c r="BC55" i="96"/>
  <c r="BC50" i="96"/>
  <c r="BC45" i="96"/>
  <c r="BC32" i="96"/>
  <c r="BC27" i="96"/>
  <c r="BC22" i="96"/>
  <c r="BC16" i="96"/>
  <c r="BC11" i="96"/>
  <c r="BC59" i="96"/>
  <c r="BC49" i="96"/>
  <c r="BC31" i="96"/>
  <c r="BC26" i="96"/>
  <c r="BC15" i="96"/>
  <c r="BC63" i="96"/>
  <c r="BC53" i="96"/>
  <c r="BC42" i="96"/>
  <c r="BC24" i="96"/>
  <c r="BC14" i="96"/>
  <c r="BC62" i="96"/>
  <c r="BC51" i="96"/>
  <c r="BC41" i="96"/>
  <c r="BC23" i="96"/>
  <c r="BC70" i="96"/>
  <c r="BC65" i="96"/>
  <c r="BC54" i="96"/>
  <c r="BC43" i="96"/>
  <c r="BC20" i="96"/>
  <c r="BC10" i="96"/>
  <c r="BC69" i="96"/>
  <c r="BC58" i="96"/>
  <c r="BC47" i="96"/>
  <c r="BC30" i="96"/>
  <c r="BC19" i="96"/>
  <c r="BC8" i="96"/>
  <c r="BC67" i="96"/>
  <c r="BC57" i="96"/>
  <c r="BC46" i="96"/>
  <c r="BC28" i="96"/>
  <c r="BC18" i="96"/>
  <c r="BC12" i="96"/>
  <c r="BB93" i="96"/>
  <c r="AW77" i="113"/>
  <c r="AW89" i="113"/>
  <c r="AW90" i="113" s="1"/>
  <c r="AW81" i="113"/>
  <c r="AW83" i="113" s="1"/>
  <c r="AW84" i="113" s="1"/>
  <c r="AW86" i="113" s="1"/>
  <c r="AW87" i="113" s="1"/>
  <c r="T8" i="113"/>
  <c r="Y41" i="113"/>
  <c r="T54" i="113"/>
  <c r="T71" i="113"/>
  <c r="T62" i="113"/>
  <c r="T58" i="113"/>
  <c r="T61" i="113"/>
  <c r="Y46" i="113"/>
  <c r="T65" i="113"/>
  <c r="T55" i="113"/>
  <c r="T41" i="113"/>
  <c r="Y43" i="113"/>
  <c r="T21" i="113"/>
  <c r="T29" i="113"/>
  <c r="T15" i="113"/>
  <c r="T31" i="113"/>
  <c r="T16" i="113"/>
  <c r="T57" i="113"/>
  <c r="AD36" i="113"/>
  <c r="T11" i="113"/>
  <c r="Y55" i="113"/>
  <c r="Y42" i="113"/>
  <c r="T43" i="113"/>
  <c r="Y64" i="113"/>
  <c r="Y52" i="113"/>
  <c r="Y70" i="113"/>
  <c r="Y61" i="113"/>
  <c r="Y57" i="113"/>
  <c r="Y60" i="113"/>
  <c r="T72" i="113"/>
  <c r="Y63" i="113"/>
  <c r="T52" i="113"/>
  <c r="T42" i="113"/>
  <c r="T25" i="113"/>
  <c r="Y59" i="113"/>
  <c r="T47" i="113"/>
  <c r="Y71" i="113"/>
  <c r="Y45" i="113"/>
  <c r="Y62" i="113"/>
  <c r="T14" i="113"/>
  <c r="T48" i="113"/>
  <c r="T17" i="113"/>
  <c r="Y47" i="113"/>
  <c r="T9" i="113"/>
  <c r="Y54" i="113"/>
  <c r="Y67" i="113"/>
  <c r="T56" i="113"/>
  <c r="T22" i="113"/>
  <c r="T36" i="113"/>
  <c r="T67" i="113"/>
  <c r="T19" i="113"/>
  <c r="T18" i="113"/>
  <c r="T30" i="113"/>
  <c r="T20" i="113"/>
  <c r="T49" i="113"/>
  <c r="T12" i="113"/>
  <c r="T27" i="113"/>
  <c r="T51" i="113"/>
  <c r="T59" i="113"/>
  <c r="Y65" i="113"/>
  <c r="T69" i="113"/>
  <c r="T70" i="113"/>
  <c r="Y69" i="113"/>
  <c r="T64" i="113"/>
  <c r="T23" i="113"/>
  <c r="Y48" i="113"/>
  <c r="T26" i="113"/>
  <c r="T24" i="113"/>
  <c r="Y56" i="113"/>
  <c r="T66" i="113"/>
  <c r="T44" i="113"/>
  <c r="T68" i="113"/>
  <c r="Y72" i="113"/>
  <c r="Y66" i="113"/>
  <c r="Y51" i="113"/>
  <c r="T10" i="113"/>
  <c r="T33" i="113"/>
  <c r="T28" i="113"/>
  <c r="Y36" i="113"/>
  <c r="T45" i="113"/>
  <c r="T63" i="113"/>
  <c r="T60" i="113"/>
  <c r="Y49" i="113"/>
  <c r="T46" i="113"/>
  <c r="Y68" i="113"/>
  <c r="T13" i="113"/>
  <c r="Y44" i="113"/>
  <c r="T32" i="113"/>
  <c r="Y58" i="113"/>
  <c r="BC79" i="96"/>
  <c r="Y17" i="113"/>
  <c r="Y11" i="113"/>
  <c r="Y29" i="113"/>
  <c r="Y33" i="113"/>
  <c r="Y30" i="113"/>
  <c r="Y31" i="113"/>
  <c r="Y9" i="113"/>
  <c r="Y27" i="113"/>
  <c r="Y14" i="113"/>
  <c r="Y12" i="113"/>
  <c r="Y18" i="113"/>
  <c r="Y21" i="113"/>
  <c r="Y19" i="113"/>
  <c r="Y26" i="113"/>
  <c r="Y28" i="113"/>
  <c r="Y20" i="113"/>
  <c r="Y32" i="113"/>
  <c r="Y13" i="113"/>
  <c r="Y16" i="113"/>
  <c r="Y24" i="113"/>
  <c r="Y15" i="113"/>
  <c r="Y25" i="113"/>
  <c r="Y8" i="113"/>
  <c r="Y22" i="113"/>
  <c r="Y23" i="113"/>
  <c r="Y10" i="113"/>
  <c r="AI54" i="107"/>
  <c r="AI71" i="107"/>
  <c r="AI55" i="107"/>
  <c r="AI27" i="107"/>
  <c r="AI11" i="107"/>
  <c r="AI29" i="107"/>
  <c r="AI56" i="107"/>
  <c r="AI12" i="107"/>
  <c r="AI58" i="107"/>
  <c r="AI26" i="107"/>
  <c r="AI10" i="107"/>
  <c r="AI25" i="107"/>
  <c r="AI60" i="107"/>
  <c r="AI16" i="107"/>
  <c r="AI44" i="107"/>
  <c r="AI30" i="107"/>
  <c r="AI33" i="107"/>
  <c r="AI67" i="107"/>
  <c r="AI46" i="107"/>
  <c r="AI23" i="107"/>
  <c r="AI65" i="107"/>
  <c r="AI21" i="107"/>
  <c r="AI43" i="107"/>
  <c r="AI70" i="107"/>
  <c r="AI45" i="107"/>
  <c r="AI22" i="107"/>
  <c r="AI61" i="107"/>
  <c r="AI17" i="107"/>
  <c r="AI47" i="107"/>
  <c r="AI8" i="107"/>
  <c r="AI31" i="107"/>
  <c r="AI15" i="107"/>
  <c r="AI20" i="107"/>
  <c r="AI14" i="107"/>
  <c r="AI24" i="107"/>
  <c r="AI63" i="107"/>
  <c r="AI42" i="107"/>
  <c r="AI19" i="107"/>
  <c r="AI57" i="107"/>
  <c r="AI13" i="107"/>
  <c r="AI28" i="107"/>
  <c r="AI66" i="107"/>
  <c r="AI41" i="107"/>
  <c r="AI18" i="107"/>
  <c r="AI48" i="107"/>
  <c r="AI9" i="107"/>
  <c r="AI32" i="107"/>
  <c r="AI69" i="107"/>
  <c r="AI59" i="107"/>
  <c r="AI68" i="107"/>
  <c r="AI62" i="107"/>
  <c r="AI64" i="107"/>
  <c r="AX79" i="102"/>
  <c r="BL77" i="102"/>
  <c r="AI77" i="91"/>
  <c r="AI79" i="91"/>
  <c r="AN78" i="91"/>
  <c r="AN77" i="91"/>
  <c r="T8" i="107"/>
  <c r="AD72" i="107"/>
  <c r="T79" i="108"/>
  <c r="Y78" i="108"/>
  <c r="AN80" i="91"/>
  <c r="AN73" i="91"/>
  <c r="AN74" i="91"/>
  <c r="Y79" i="107"/>
  <c r="AD78" i="107"/>
  <c r="AR93" i="96"/>
  <c r="AS60" i="96"/>
  <c r="AS44" i="96"/>
  <c r="AS28" i="96"/>
  <c r="AS12" i="96"/>
  <c r="AS49" i="96"/>
  <c r="AS71" i="96"/>
  <c r="AS55" i="96"/>
  <c r="AS35" i="96"/>
  <c r="AS19" i="96"/>
  <c r="AS70" i="96"/>
  <c r="AS54" i="96"/>
  <c r="AS38" i="96"/>
  <c r="AS22" i="96"/>
  <c r="AS65" i="96"/>
  <c r="AS37" i="96"/>
  <c r="AS41" i="96"/>
  <c r="AS30" i="96"/>
  <c r="AS72" i="96"/>
  <c r="AS56" i="96"/>
  <c r="AS40" i="96"/>
  <c r="AS24" i="96"/>
  <c r="AS8" i="96"/>
  <c r="AS33" i="96"/>
  <c r="AS67" i="96"/>
  <c r="AS51" i="96"/>
  <c r="AS31" i="96"/>
  <c r="AS15" i="96"/>
  <c r="AS66" i="96"/>
  <c r="AS50" i="96"/>
  <c r="AS34" i="96"/>
  <c r="AS18" i="96"/>
  <c r="AS57" i="96"/>
  <c r="AS29" i="96"/>
  <c r="AS47" i="96"/>
  <c r="AS21" i="96"/>
  <c r="AS68" i="96"/>
  <c r="AS52" i="96"/>
  <c r="AS36" i="96"/>
  <c r="AS20" i="96"/>
  <c r="AS69" i="96"/>
  <c r="AS25" i="96"/>
  <c r="AS63" i="96"/>
  <c r="AS43" i="96"/>
  <c r="AS27" i="96"/>
  <c r="AS11" i="96"/>
  <c r="AS62" i="96"/>
  <c r="AS46" i="96"/>
  <c r="AS14" i="96"/>
  <c r="AS64" i="96"/>
  <c r="AS48" i="96"/>
  <c r="AS32" i="96"/>
  <c r="AS16" i="96"/>
  <c r="AS61" i="96"/>
  <c r="AS17" i="96"/>
  <c r="AS59" i="96"/>
  <c r="AS39" i="96"/>
  <c r="AS23" i="96"/>
  <c r="AS9" i="96"/>
  <c r="AS58" i="96"/>
  <c r="AS42" i="96"/>
  <c r="AS26" i="96"/>
  <c r="AS10" i="96"/>
  <c r="AS45" i="96"/>
  <c r="AS13" i="96"/>
  <c r="AS53" i="96"/>
  <c r="AS55" i="90"/>
  <c r="AS42" i="90"/>
  <c r="AS33" i="90"/>
  <c r="AS19" i="90"/>
  <c r="AS67" i="90"/>
  <c r="AS70" i="90"/>
  <c r="AS59" i="90"/>
  <c r="AS24" i="90"/>
  <c r="AS30" i="90"/>
  <c r="AS68" i="90"/>
  <c r="AS18" i="90"/>
  <c r="AS56" i="90"/>
  <c r="AS22" i="90"/>
  <c r="AS28" i="90"/>
  <c r="AS26" i="90"/>
  <c r="AS9" i="90"/>
  <c r="AS58" i="90"/>
  <c r="AS31" i="90"/>
  <c r="AS17" i="90"/>
  <c r="AS69" i="90"/>
  <c r="AS71" i="90"/>
  <c r="AS23" i="90"/>
  <c r="AS25" i="90"/>
  <c r="AS27" i="90"/>
  <c r="AS15" i="90"/>
  <c r="AS16" i="90"/>
  <c r="AS64" i="90"/>
  <c r="AS45" i="90"/>
  <c r="AS61" i="90"/>
  <c r="AS57" i="90"/>
  <c r="AS48" i="90"/>
  <c r="AS47" i="90"/>
  <c r="AS13" i="90"/>
  <c r="AS78" i="90"/>
  <c r="AS66" i="90"/>
  <c r="AS11" i="90"/>
  <c r="AS10" i="90"/>
  <c r="AS62" i="90"/>
  <c r="AS46" i="90"/>
  <c r="AS60" i="90"/>
  <c r="AS32" i="90"/>
  <c r="AS21" i="90"/>
  <c r="AS20" i="90"/>
  <c r="AS12" i="90"/>
  <c r="AS14" i="90"/>
  <c r="AS43" i="90"/>
  <c r="AS8" i="90"/>
  <c r="AS44" i="90"/>
  <c r="AS65" i="90"/>
  <c r="AS29" i="90"/>
  <c r="AS63" i="90"/>
  <c r="Y54" i="107"/>
  <c r="Y46" i="107"/>
  <c r="Y45" i="107"/>
  <c r="Y44" i="107"/>
  <c r="Y29" i="107"/>
  <c r="Y16" i="107"/>
  <c r="Y25" i="107"/>
  <c r="Y66" i="107"/>
  <c r="Y14" i="107"/>
  <c r="Y68" i="107"/>
  <c r="Y32" i="107"/>
  <c r="Y26" i="107"/>
  <c r="Y58" i="107"/>
  <c r="Y60" i="107"/>
  <c r="Y78" i="107"/>
  <c r="Y12" i="107"/>
  <c r="Y62" i="107"/>
  <c r="Y64" i="107"/>
  <c r="Y27" i="107"/>
  <c r="Y70" i="107"/>
  <c r="Y42" i="107"/>
  <c r="Y19" i="107"/>
  <c r="Y48" i="107"/>
  <c r="Y15" i="107"/>
  <c r="Y28" i="107"/>
  <c r="Y61" i="107"/>
  <c r="Y55" i="107"/>
  <c r="Y51" i="107"/>
  <c r="Y22" i="107"/>
  <c r="Y18" i="107"/>
  <c r="Y63" i="107"/>
  <c r="Y59" i="107"/>
  <c r="Y52" i="107"/>
  <c r="Y43" i="107"/>
  <c r="Y50" i="107"/>
  <c r="Y20" i="107"/>
  <c r="Y31" i="107"/>
  <c r="Y65" i="107"/>
  <c r="Y47" i="107"/>
  <c r="Y23" i="107"/>
  <c r="Y13" i="107"/>
  <c r="Y9" i="107"/>
  <c r="Y57" i="107"/>
  <c r="Y21" i="107"/>
  <c r="Y33" i="107"/>
  <c r="Y17" i="107"/>
  <c r="Y69" i="107"/>
  <c r="Y8" i="107"/>
  <c r="Y24" i="107"/>
  <c r="Y67" i="107"/>
  <c r="Y11" i="107"/>
  <c r="Y71" i="107"/>
  <c r="Y30" i="107"/>
  <c r="Y10" i="107"/>
  <c r="Y56" i="107"/>
  <c r="T56" i="108"/>
  <c r="T46" i="108"/>
  <c r="T42" i="108"/>
  <c r="T17" i="108"/>
  <c r="T11" i="108"/>
  <c r="T20" i="108"/>
  <c r="T15" i="108"/>
  <c r="T69" i="108"/>
  <c r="T71" i="108"/>
  <c r="T25" i="108"/>
  <c r="T30" i="108"/>
  <c r="T28" i="108"/>
  <c r="T58" i="108"/>
  <c r="T26" i="108"/>
  <c r="T31" i="108"/>
  <c r="T54" i="108"/>
  <c r="T78" i="108"/>
  <c r="T21" i="108"/>
  <c r="T19" i="108"/>
  <c r="T67" i="108"/>
  <c r="T59" i="108"/>
  <c r="T8" i="108"/>
  <c r="T55" i="108"/>
  <c r="T45" i="108"/>
  <c r="T23" i="108"/>
  <c r="T13" i="108"/>
  <c r="T18" i="108"/>
  <c r="T16" i="108"/>
  <c r="T27" i="108"/>
  <c r="T62" i="108"/>
  <c r="T65" i="108"/>
  <c r="T68" i="108"/>
  <c r="T61" i="108"/>
  <c r="T22" i="108"/>
  <c r="T57" i="108"/>
  <c r="T70" i="108"/>
  <c r="T64" i="108"/>
  <c r="T51" i="108"/>
  <c r="T47" i="108"/>
  <c r="T12" i="108"/>
  <c r="T29" i="108"/>
  <c r="T24" i="108"/>
  <c r="T50" i="108"/>
  <c r="T48" i="108"/>
  <c r="T44" i="108"/>
  <c r="T32" i="108"/>
  <c r="T9" i="108"/>
  <c r="T14" i="108"/>
  <c r="T33" i="108"/>
  <c r="T66" i="108"/>
  <c r="T52" i="108"/>
  <c r="T43" i="108"/>
  <c r="T10" i="108"/>
  <c r="T63" i="108"/>
  <c r="T60" i="108"/>
  <c r="AS77" i="90"/>
  <c r="AN71" i="102"/>
  <c r="AN55" i="102"/>
  <c r="AN27" i="102"/>
  <c r="AN11" i="102"/>
  <c r="AN46" i="102"/>
  <c r="AN58" i="102"/>
  <c r="AN36" i="102"/>
  <c r="AN18" i="102"/>
  <c r="AN24" i="102"/>
  <c r="AN65" i="102"/>
  <c r="AN47" i="102"/>
  <c r="AN25" i="102"/>
  <c r="AN9" i="102"/>
  <c r="AN28" i="102"/>
  <c r="AN67" i="102"/>
  <c r="AN50" i="102"/>
  <c r="AN23" i="102"/>
  <c r="AN10" i="102"/>
  <c r="AN32" i="102"/>
  <c r="AN70" i="102"/>
  <c r="AN54" i="102"/>
  <c r="AN30" i="102"/>
  <c r="AN14" i="102"/>
  <c r="AN12" i="102"/>
  <c r="AN61" i="102"/>
  <c r="AN43" i="102"/>
  <c r="AN21" i="102"/>
  <c r="AN68" i="102"/>
  <c r="AN16" i="102"/>
  <c r="AN63" i="102"/>
  <c r="AN45" i="102"/>
  <c r="AN19" i="102"/>
  <c r="AN72" i="102"/>
  <c r="AN20" i="102"/>
  <c r="AN66" i="102"/>
  <c r="AN48" i="102"/>
  <c r="AN26" i="102"/>
  <c r="AN64" i="102"/>
  <c r="AN78" i="102"/>
  <c r="AN57" i="102"/>
  <c r="AN33" i="102"/>
  <c r="AN17" i="102"/>
  <c r="AN60" i="102"/>
  <c r="AN41" i="102"/>
  <c r="AM93" i="102"/>
  <c r="AN59" i="102"/>
  <c r="AN31" i="102"/>
  <c r="AN15" i="102"/>
  <c r="AN56" i="102"/>
  <c r="AN8" i="102"/>
  <c r="AN62" i="102"/>
  <c r="AN44" i="102"/>
  <c r="AN22" i="102"/>
  <c r="AN42" i="102"/>
  <c r="AN69" i="102"/>
  <c r="AN52" i="102"/>
  <c r="AN29" i="102"/>
  <c r="AN13" i="102"/>
  <c r="AN51" i="102"/>
  <c r="AS79" i="90"/>
  <c r="AI64" i="91"/>
  <c r="AI46" i="91"/>
  <c r="AI22" i="91"/>
  <c r="AI59" i="91"/>
  <c r="AI41" i="91"/>
  <c r="AI70" i="91"/>
  <c r="AI54" i="91"/>
  <c r="AI29" i="91"/>
  <c r="AI28" i="91"/>
  <c r="AI65" i="91"/>
  <c r="AI61" i="91"/>
  <c r="AI13" i="91"/>
  <c r="AI21" i="91"/>
  <c r="AI20" i="91"/>
  <c r="AI23" i="91"/>
  <c r="AI60" i="91"/>
  <c r="AI42" i="91"/>
  <c r="AI71" i="91"/>
  <c r="AI55" i="91"/>
  <c r="AI30" i="91"/>
  <c r="AI66" i="91"/>
  <c r="AI48" i="91"/>
  <c r="AI25" i="91"/>
  <c r="AI11" i="91"/>
  <c r="AI47" i="91"/>
  <c r="AI43" i="91"/>
  <c r="AI18" i="91"/>
  <c r="AI16" i="91"/>
  <c r="AI56" i="91"/>
  <c r="AI31" i="91"/>
  <c r="AI67" i="91"/>
  <c r="AI50" i="91"/>
  <c r="AI26" i="91"/>
  <c r="AI62" i="91"/>
  <c r="AI44" i="91"/>
  <c r="AI69" i="91"/>
  <c r="AI57" i="91"/>
  <c r="AI24" i="91"/>
  <c r="AI19" i="91"/>
  <c r="AI12" i="91"/>
  <c r="AI14" i="91"/>
  <c r="AI68" i="91"/>
  <c r="AI51" i="91"/>
  <c r="AI27" i="91"/>
  <c r="AI63" i="91"/>
  <c r="AI45" i="91"/>
  <c r="AI9" i="91"/>
  <c r="AI58" i="91"/>
  <c r="AI33" i="91"/>
  <c r="AI52" i="91"/>
  <c r="AI15" i="91"/>
  <c r="AI78" i="91"/>
  <c r="AI32" i="91"/>
  <c r="AI17" i="91"/>
  <c r="AI10" i="91"/>
  <c r="AI8" i="91"/>
  <c r="AC93" i="102"/>
  <c r="AS51" i="86"/>
  <c r="AS52" i="86"/>
  <c r="AS36" i="86"/>
  <c r="AS71" i="95"/>
  <c r="AS63" i="95"/>
  <c r="AS55" i="95"/>
  <c r="AS69" i="95"/>
  <c r="AS61" i="95"/>
  <c r="AS65" i="95"/>
  <c r="AS57" i="95"/>
  <c r="AS72" i="95"/>
  <c r="AS49" i="95"/>
  <c r="AS67" i="95"/>
  <c r="AS59" i="95"/>
  <c r="AS51" i="95"/>
  <c r="AS23" i="95"/>
  <c r="AS26" i="95"/>
  <c r="AS12" i="95"/>
  <c r="AS31" i="95"/>
  <c r="AS62" i="95"/>
  <c r="AS64" i="95"/>
  <c r="AS21" i="95"/>
  <c r="AS35" i="95"/>
  <c r="AS60" i="95"/>
  <c r="AS14" i="95"/>
  <c r="AS33" i="95"/>
  <c r="AS58" i="95"/>
  <c r="AS42" i="95"/>
  <c r="AS20" i="95"/>
  <c r="AS46" i="95"/>
  <c r="AS15" i="95"/>
  <c r="AS28" i="95"/>
  <c r="AS47" i="95"/>
  <c r="AS25" i="95"/>
  <c r="AS48" i="95"/>
  <c r="AS52" i="95"/>
  <c r="AS29" i="95"/>
  <c r="AS56" i="95"/>
  <c r="AS16" i="95"/>
  <c r="AS41" i="95"/>
  <c r="AS70" i="95"/>
  <c r="AS9" i="95"/>
  <c r="AS24" i="95"/>
  <c r="AS43" i="95"/>
  <c r="AS68" i="95"/>
  <c r="AS11" i="95"/>
  <c r="AS18" i="95"/>
  <c r="AS44" i="95"/>
  <c r="AS66" i="95"/>
  <c r="AS27" i="95"/>
  <c r="AS17" i="95"/>
  <c r="AS10" i="95"/>
  <c r="AS13" i="95"/>
  <c r="AS19" i="95"/>
  <c r="AS54" i="95"/>
  <c r="AS30" i="95"/>
  <c r="AS32" i="95"/>
  <c r="AS45" i="95"/>
  <c r="AS50" i="95"/>
  <c r="AS36" i="95"/>
  <c r="AS22" i="95"/>
  <c r="AS8" i="95"/>
  <c r="AS54" i="90"/>
  <c r="AS50" i="90"/>
  <c r="AS41" i="90"/>
  <c r="AN79" i="90"/>
  <c r="AS51" i="90"/>
  <c r="AS52" i="90"/>
  <c r="AI72" i="91"/>
  <c r="AI49" i="91"/>
  <c r="AD79" i="91"/>
  <c r="AI80" i="91"/>
  <c r="AI73" i="91"/>
  <c r="AI74" i="91"/>
  <c r="AD77" i="91"/>
  <c r="AD8" i="91"/>
  <c r="AD70" i="91"/>
  <c r="AD54" i="91"/>
  <c r="AD17" i="91"/>
  <c r="AD9" i="91"/>
  <c r="AD65" i="91"/>
  <c r="AD48" i="91"/>
  <c r="AD18" i="91"/>
  <c r="AD73" i="91"/>
  <c r="AD60" i="91"/>
  <c r="AD43" i="91"/>
  <c r="AD24" i="91"/>
  <c r="AD67" i="91"/>
  <c r="AD50" i="91"/>
  <c r="AD16" i="91"/>
  <c r="AD33" i="91"/>
  <c r="AD62" i="91"/>
  <c r="AD26" i="91"/>
  <c r="AD57" i="91"/>
  <c r="AD27" i="91"/>
  <c r="AD51" i="91"/>
  <c r="AD80" i="91"/>
  <c r="AD42" i="91"/>
  <c r="AD58" i="91"/>
  <c r="AD30" i="91"/>
  <c r="AD14" i="91"/>
  <c r="AD64" i="91"/>
  <c r="AD66" i="91"/>
  <c r="AD41" i="91"/>
  <c r="AD21" i="91"/>
  <c r="AD74" i="91"/>
  <c r="AD61" i="91"/>
  <c r="AD44" i="91"/>
  <c r="AD22" i="91"/>
  <c r="AD56" i="91"/>
  <c r="AD11" i="91"/>
  <c r="AD32" i="91"/>
  <c r="AD63" i="91"/>
  <c r="AD46" i="91"/>
  <c r="AD20" i="91"/>
  <c r="AD28" i="91"/>
  <c r="AD45" i="91"/>
  <c r="AD78" i="91"/>
  <c r="AD10" i="91"/>
  <c r="AD68" i="91"/>
  <c r="AD15" i="91"/>
  <c r="AD59" i="91"/>
  <c r="AD25" i="91"/>
  <c r="AD13" i="91"/>
  <c r="AD69" i="91"/>
  <c r="AD52" i="91"/>
  <c r="AD71" i="91"/>
  <c r="AD12" i="91"/>
  <c r="AD29" i="91"/>
  <c r="AD31" i="91"/>
  <c r="AD55" i="91"/>
  <c r="AD47" i="91"/>
  <c r="AD19" i="91"/>
  <c r="AM87" i="96"/>
  <c r="AM99" i="96"/>
  <c r="AN57" i="90"/>
  <c r="AN13" i="90"/>
  <c r="AN29" i="90"/>
  <c r="AN46" i="90"/>
  <c r="AN68" i="90"/>
  <c r="AN48" i="90"/>
  <c r="AN18" i="90"/>
  <c r="AN9" i="90"/>
  <c r="AN71" i="90"/>
  <c r="AN55" i="90"/>
  <c r="AN19" i="90"/>
  <c r="AN70" i="90"/>
  <c r="AN24" i="90"/>
  <c r="AN65" i="90"/>
  <c r="AN66" i="90"/>
  <c r="AN60" i="90"/>
  <c r="AN26" i="90"/>
  <c r="AN12" i="90"/>
  <c r="AN11" i="90"/>
  <c r="AN42" i="90"/>
  <c r="AN69" i="90"/>
  <c r="AN51" i="90"/>
  <c r="AN17" i="90"/>
  <c r="AN33" i="90"/>
  <c r="AN16" i="90"/>
  <c r="AN64" i="90"/>
  <c r="AN44" i="90"/>
  <c r="AN22" i="90"/>
  <c r="AN62" i="90"/>
  <c r="AN67" i="90"/>
  <c r="AN43" i="90"/>
  <c r="AN23" i="90"/>
  <c r="AN52" i="90"/>
  <c r="AN47" i="90"/>
  <c r="AN45" i="90"/>
  <c r="AN21" i="90"/>
  <c r="AN28" i="90"/>
  <c r="AN10" i="90"/>
  <c r="AN63" i="90"/>
  <c r="AN27" i="90"/>
  <c r="AN25" i="90"/>
  <c r="AN14" i="90"/>
  <c r="AN15" i="90"/>
  <c r="AN58" i="90"/>
  <c r="AN32" i="90"/>
  <c r="AN36" i="90"/>
  <c r="AN59" i="90"/>
  <c r="AM94" i="90"/>
  <c r="AN30" i="90"/>
  <c r="AN31" i="90"/>
  <c r="AN61" i="90"/>
  <c r="AN78" i="90"/>
  <c r="AN20" i="90"/>
  <c r="AN56" i="90"/>
  <c r="AN65" i="96"/>
  <c r="AN48" i="96"/>
  <c r="AN17" i="96"/>
  <c r="AN33" i="96"/>
  <c r="AN60" i="96"/>
  <c r="AN43" i="96"/>
  <c r="AN22" i="96"/>
  <c r="AN11" i="96"/>
  <c r="AN45" i="96"/>
  <c r="AN19" i="96"/>
  <c r="AN41" i="96"/>
  <c r="AN67" i="96"/>
  <c r="AN50" i="96"/>
  <c r="AN23" i="96"/>
  <c r="AN12" i="96"/>
  <c r="AN36" i="96"/>
  <c r="AN51" i="96"/>
  <c r="AN62" i="96"/>
  <c r="AN58" i="96"/>
  <c r="AN59" i="96"/>
  <c r="AN31" i="96"/>
  <c r="AN69" i="96"/>
  <c r="AN13" i="96"/>
  <c r="AN64" i="96"/>
  <c r="AN18" i="96"/>
  <c r="AN54" i="96"/>
  <c r="AN49" i="96"/>
  <c r="AN55" i="96"/>
  <c r="AN8" i="96"/>
  <c r="AN61" i="96"/>
  <c r="AN44" i="96"/>
  <c r="AN21" i="96"/>
  <c r="AN72" i="96"/>
  <c r="AN56" i="96"/>
  <c r="AN10" i="96"/>
  <c r="AN26" i="96"/>
  <c r="AN70" i="96"/>
  <c r="AN16" i="96"/>
  <c r="AN66" i="96"/>
  <c r="AN20" i="96"/>
  <c r="AN63" i="96"/>
  <c r="AN46" i="96"/>
  <c r="AN27" i="96"/>
  <c r="AN57" i="96"/>
  <c r="AN25" i="96"/>
  <c r="AN68" i="96"/>
  <c r="AN14" i="96"/>
  <c r="AN30" i="96"/>
  <c r="AN24" i="96"/>
  <c r="AN28" i="96"/>
  <c r="AN42" i="96"/>
  <c r="AM93" i="96"/>
  <c r="AN52" i="96"/>
  <c r="AN29" i="96"/>
  <c r="AN47" i="96"/>
  <c r="AN9" i="96"/>
  <c r="AN32" i="96"/>
  <c r="AN71" i="96"/>
  <c r="AN15" i="96"/>
  <c r="AI63" i="102"/>
  <c r="AI48" i="102"/>
  <c r="AI11" i="102"/>
  <c r="AI9" i="102"/>
  <c r="AI62" i="102"/>
  <c r="AI43" i="102"/>
  <c r="AI16" i="102"/>
  <c r="AI64" i="102"/>
  <c r="AI18" i="102"/>
  <c r="AI61" i="102"/>
  <c r="AI46" i="102"/>
  <c r="AI13" i="102"/>
  <c r="AI68" i="102"/>
  <c r="AI29" i="102"/>
  <c r="AI41" i="102"/>
  <c r="AI71" i="102"/>
  <c r="AI26" i="102"/>
  <c r="AI70" i="102"/>
  <c r="AI24" i="102"/>
  <c r="AI69" i="102"/>
  <c r="AI28" i="102"/>
  <c r="AI21" i="102"/>
  <c r="AI22" i="102"/>
  <c r="AH93" i="102"/>
  <c r="AI59" i="102"/>
  <c r="AI44" i="102"/>
  <c r="AI15" i="102"/>
  <c r="AI58" i="102"/>
  <c r="AI27" i="102"/>
  <c r="AI20" i="102"/>
  <c r="AI56" i="102"/>
  <c r="AI78" i="102"/>
  <c r="AI57" i="102"/>
  <c r="AI36" i="102"/>
  <c r="AI17" i="102"/>
  <c r="AI60" i="102"/>
  <c r="AI14" i="102"/>
  <c r="AI55" i="102"/>
  <c r="AI19" i="102"/>
  <c r="AI54" i="102"/>
  <c r="AI31" i="102"/>
  <c r="AI25" i="102"/>
  <c r="AI52" i="102"/>
  <c r="AI51" i="102"/>
  <c r="AI30" i="102"/>
  <c r="AI12" i="102"/>
  <c r="AI42" i="102"/>
  <c r="AI47" i="102"/>
  <c r="AI23" i="102"/>
  <c r="AI32" i="102"/>
  <c r="AI66" i="102"/>
  <c r="AI10" i="102"/>
  <c r="AI8" i="102"/>
  <c r="AI45" i="102"/>
  <c r="AI72" i="102"/>
  <c r="AI67" i="102"/>
  <c r="AI33" i="102"/>
  <c r="AI50" i="102"/>
  <c r="AI65" i="102"/>
  <c r="O9" i="108"/>
  <c r="AN51" i="86"/>
  <c r="AN52" i="86"/>
  <c r="AN36" i="86"/>
  <c r="AN35" i="90"/>
  <c r="AN41" i="90"/>
  <c r="AN50" i="90"/>
  <c r="AN77" i="90"/>
  <c r="AN54" i="90"/>
  <c r="AN8" i="90"/>
  <c r="AI80" i="90"/>
  <c r="AN80" i="90"/>
  <c r="AH92" i="95"/>
  <c r="AN65" i="95"/>
  <c r="AN55" i="95"/>
  <c r="AN20" i="95"/>
  <c r="AN15" i="95"/>
  <c r="AN13" i="95"/>
  <c r="AN11" i="95"/>
  <c r="AN72" i="95"/>
  <c r="AN45" i="95"/>
  <c r="AN19" i="95"/>
  <c r="AN12" i="95"/>
  <c r="AN67" i="95"/>
  <c r="AN61" i="95"/>
  <c r="AN51" i="95"/>
  <c r="AN43" i="95"/>
  <c r="AN17" i="95"/>
  <c r="AN69" i="95"/>
  <c r="AN49" i="95"/>
  <c r="AN21" i="95"/>
  <c r="AN14" i="95"/>
  <c r="AN10" i="95"/>
  <c r="AN71" i="95"/>
  <c r="AN27" i="95"/>
  <c r="AN56" i="95"/>
  <c r="AN28" i="95"/>
  <c r="AN26" i="95"/>
  <c r="AN58" i="95"/>
  <c r="AN24" i="95"/>
  <c r="AN66" i="95"/>
  <c r="AN35" i="95"/>
  <c r="AN30" i="95"/>
  <c r="AN59" i="95"/>
  <c r="AN63" i="95"/>
  <c r="AN32" i="95"/>
  <c r="AN29" i="95"/>
  <c r="AN70" i="95"/>
  <c r="AN31" i="95"/>
  <c r="AN57" i="95"/>
  <c r="AN44" i="95"/>
  <c r="AN62" i="95"/>
  <c r="AN42" i="95"/>
  <c r="AN16" i="95"/>
  <c r="AN64" i="95"/>
  <c r="AN33" i="95"/>
  <c r="AN50" i="95"/>
  <c r="AN18" i="95"/>
  <c r="AN47" i="95"/>
  <c r="AN68" i="95"/>
  <c r="AN9" i="95"/>
  <c r="AN36" i="95"/>
  <c r="AN48" i="95"/>
  <c r="AN22" i="95"/>
  <c r="AN46" i="95"/>
  <c r="AN60" i="95"/>
  <c r="AN25" i="95"/>
  <c r="AN23" i="95"/>
  <c r="AN52" i="95"/>
  <c r="AN41" i="95"/>
  <c r="AN54" i="95"/>
  <c r="AN8" i="95"/>
  <c r="AD72" i="91"/>
  <c r="AD49" i="91"/>
  <c r="AI49" i="86"/>
  <c r="AN49" i="86"/>
  <c r="AN35" i="96"/>
  <c r="AH93" i="96"/>
  <c r="BQ5" i="96"/>
  <c r="AI36" i="96"/>
  <c r="AD79" i="102"/>
  <c r="BL81" i="102"/>
  <c r="BL83" i="102" s="1"/>
  <c r="BL84" i="102" s="1"/>
  <c r="BL86" i="102" s="1"/>
  <c r="AI79" i="90"/>
  <c r="AH94" i="90"/>
  <c r="AH83" i="96"/>
  <c r="AH84" i="96" s="1"/>
  <c r="AH86" i="96" s="1"/>
  <c r="AH87" i="96" s="1"/>
  <c r="AI22" i="90"/>
  <c r="AI13" i="90"/>
  <c r="AI15" i="90"/>
  <c r="AI16" i="90"/>
  <c r="AI14" i="90"/>
  <c r="AI23" i="90"/>
  <c r="AI41" i="90"/>
  <c r="AI55" i="90"/>
  <c r="AI20" i="90"/>
  <c r="AI9" i="90"/>
  <c r="AI44" i="90"/>
  <c r="AI35" i="90"/>
  <c r="AI58" i="90"/>
  <c r="AI17" i="90"/>
  <c r="AI33" i="90"/>
  <c r="AI65" i="90"/>
  <c r="AI45" i="90"/>
  <c r="AI30" i="90"/>
  <c r="AI48" i="90"/>
  <c r="AI63" i="90"/>
  <c r="AI59" i="90"/>
  <c r="AI32" i="90"/>
  <c r="AI42" i="90"/>
  <c r="AI69" i="90"/>
  <c r="AI71" i="90"/>
  <c r="AI47" i="90"/>
  <c r="AI24" i="90"/>
  <c r="AI78" i="90"/>
  <c r="AI27" i="90"/>
  <c r="AI70" i="90"/>
  <c r="AI52" i="90"/>
  <c r="AI21" i="90"/>
  <c r="AI68" i="90"/>
  <c r="AI61" i="90"/>
  <c r="AI36" i="90"/>
  <c r="AI8" i="90"/>
  <c r="AI11" i="90"/>
  <c r="AI54" i="90"/>
  <c r="AI67" i="90"/>
  <c r="AI43" i="90"/>
  <c r="AI28" i="90"/>
  <c r="AI64" i="90"/>
  <c r="AI10" i="90"/>
  <c r="AI66" i="90"/>
  <c r="AI46" i="90"/>
  <c r="AI25" i="90"/>
  <c r="AI57" i="90"/>
  <c r="AI18" i="90"/>
  <c r="AI50" i="90"/>
  <c r="AI19" i="90"/>
  <c r="AI12" i="90"/>
  <c r="AI56" i="90"/>
  <c r="AI62" i="90"/>
  <c r="AI29" i="90"/>
  <c r="AI51" i="90"/>
  <c r="AI26" i="90"/>
  <c r="AI60" i="90"/>
  <c r="AI31" i="90"/>
  <c r="AI26" i="95"/>
  <c r="AI63" i="95"/>
  <c r="AI10" i="95"/>
  <c r="AI27" i="95"/>
  <c r="AI49" i="95"/>
  <c r="AI8" i="95"/>
  <c r="AI52" i="95"/>
  <c r="AI16" i="95"/>
  <c r="AI32" i="95"/>
  <c r="AI65" i="95"/>
  <c r="AI46" i="95"/>
  <c r="AI21" i="95"/>
  <c r="AI41" i="95"/>
  <c r="AI14" i="95"/>
  <c r="AI58" i="95"/>
  <c r="AI42" i="95"/>
  <c r="AI68" i="95"/>
  <c r="AI22" i="95"/>
  <c r="AI67" i="95"/>
  <c r="AI64" i="95"/>
  <c r="AI9" i="95"/>
  <c r="AI28" i="95"/>
  <c r="AI17" i="95"/>
  <c r="AI59" i="95"/>
  <c r="AI35" i="95"/>
  <c r="AI55" i="95"/>
  <c r="AI15" i="95"/>
  <c r="AI31" i="95"/>
  <c r="AI36" i="95"/>
  <c r="AI70" i="95"/>
  <c r="AI47" i="95"/>
  <c r="AI20" i="95"/>
  <c r="AI50" i="95"/>
  <c r="AI61" i="95"/>
  <c r="AI25" i="95"/>
  <c r="AI60" i="95"/>
  <c r="AI44" i="95"/>
  <c r="AI12" i="95"/>
  <c r="AI51" i="95"/>
  <c r="AI45" i="95"/>
  <c r="AI71" i="95"/>
  <c r="AI48" i="95"/>
  <c r="AI19" i="95"/>
  <c r="AI72" i="95"/>
  <c r="AI18" i="95"/>
  <c r="AI66" i="95"/>
  <c r="AI43" i="95"/>
  <c r="AI24" i="95"/>
  <c r="AI11" i="95"/>
  <c r="AI57" i="95"/>
  <c r="AI13" i="95"/>
  <c r="AI29" i="95"/>
  <c r="AI56" i="95"/>
  <c r="AI30" i="95"/>
  <c r="AI54" i="95"/>
  <c r="AI23" i="95"/>
  <c r="AI62" i="95"/>
  <c r="AI69" i="95"/>
  <c r="AI33" i="95"/>
  <c r="Y72" i="91"/>
  <c r="Y56" i="91"/>
  <c r="Y12" i="91"/>
  <c r="Y29" i="91"/>
  <c r="Y18" i="91"/>
  <c r="Y48" i="91"/>
  <c r="Y71" i="91"/>
  <c r="Y55" i="91"/>
  <c r="Y13" i="91"/>
  <c r="Y9" i="91"/>
  <c r="Y58" i="91"/>
  <c r="Y22" i="91"/>
  <c r="Y57" i="91"/>
  <c r="Y19" i="91"/>
  <c r="Y8" i="91"/>
  <c r="Y60" i="91"/>
  <c r="Y25" i="91"/>
  <c r="Y61" i="91"/>
  <c r="Y59" i="91"/>
  <c r="Y42" i="91"/>
  <c r="Y62" i="91"/>
  <c r="Y11" i="91"/>
  <c r="Y68" i="91"/>
  <c r="Y50" i="91"/>
  <c r="Y16" i="91"/>
  <c r="Y33" i="91"/>
  <c r="Y27" i="91"/>
  <c r="Y15" i="91"/>
  <c r="Y67" i="91"/>
  <c r="Y41" i="91"/>
  <c r="Y17" i="91"/>
  <c r="Y70" i="91"/>
  <c r="Y49" i="91"/>
  <c r="Y31" i="91"/>
  <c r="Y51" i="91"/>
  <c r="Y28" i="91"/>
  <c r="Y65" i="91"/>
  <c r="Y64" i="91"/>
  <c r="Y47" i="91"/>
  <c r="Y20" i="91"/>
  <c r="Y52" i="91"/>
  <c r="Y69" i="91"/>
  <c r="Y24" i="91"/>
  <c r="Y63" i="91"/>
  <c r="Y46" i="91"/>
  <c r="Y21" i="91"/>
  <c r="Y66" i="91"/>
  <c r="Y45" i="91"/>
  <c r="Y54" i="91"/>
  <c r="Y44" i="91"/>
  <c r="Y26" i="91"/>
  <c r="Y43" i="91"/>
  <c r="Y10" i="91"/>
  <c r="Y32" i="91"/>
  <c r="Y30" i="91"/>
  <c r="Y14" i="91"/>
  <c r="AI65" i="96"/>
  <c r="AI47" i="96"/>
  <c r="AI18" i="96"/>
  <c r="AI9" i="96"/>
  <c r="AI29" i="96"/>
  <c r="AI56" i="96"/>
  <c r="AI11" i="96"/>
  <c r="AI27" i="96"/>
  <c r="AI8" i="96"/>
  <c r="AI67" i="96"/>
  <c r="AI45" i="96"/>
  <c r="AI20" i="96"/>
  <c r="AI70" i="96"/>
  <c r="AI59" i="96"/>
  <c r="AI61" i="96"/>
  <c r="AI43" i="96"/>
  <c r="AI22" i="96"/>
  <c r="AI66" i="96"/>
  <c r="AI72" i="96"/>
  <c r="AI41" i="96"/>
  <c r="AI15" i="96"/>
  <c r="AI31" i="96"/>
  <c r="AI21" i="96"/>
  <c r="AI63" i="96"/>
  <c r="AI35" i="96"/>
  <c r="AI24" i="96"/>
  <c r="AI48" i="96"/>
  <c r="AI58" i="96"/>
  <c r="AI51" i="96"/>
  <c r="AI57" i="96"/>
  <c r="AI10" i="96"/>
  <c r="AI26" i="96"/>
  <c r="AI44" i="96"/>
  <c r="AI68" i="96"/>
  <c r="AI46" i="96"/>
  <c r="AI19" i="96"/>
  <c r="AI52" i="96"/>
  <c r="AI33" i="96"/>
  <c r="AI55" i="96"/>
  <c r="AI12" i="96"/>
  <c r="AI28" i="96"/>
  <c r="AI13" i="96"/>
  <c r="AI60" i="96"/>
  <c r="AI14" i="96"/>
  <c r="AI42" i="96"/>
  <c r="AI49" i="96"/>
  <c r="AI54" i="96"/>
  <c r="AI30" i="96"/>
  <c r="AI23" i="96"/>
  <c r="AI16" i="96"/>
  <c r="AI69" i="96"/>
  <c r="AI17" i="96"/>
  <c r="AI62" i="96"/>
  <c r="AI32" i="96"/>
  <c r="AI50" i="96"/>
  <c r="AI64" i="96"/>
  <c r="AI71" i="96"/>
  <c r="AI25" i="96"/>
  <c r="AD70" i="102"/>
  <c r="AD52" i="102"/>
  <c r="AD17" i="102"/>
  <c r="AD11" i="102"/>
  <c r="AD43" i="102"/>
  <c r="AD69" i="102"/>
  <c r="AD51" i="102"/>
  <c r="AD18" i="102"/>
  <c r="AD10" i="102"/>
  <c r="AD60" i="102"/>
  <c r="AD36" i="102"/>
  <c r="AD27" i="102"/>
  <c r="AD59" i="102"/>
  <c r="AD9" i="102"/>
  <c r="AD71" i="102"/>
  <c r="AD20" i="102"/>
  <c r="AD45" i="102"/>
  <c r="AD22" i="102"/>
  <c r="AD67" i="102"/>
  <c r="AD56" i="102"/>
  <c r="AD15" i="102"/>
  <c r="AD32" i="102"/>
  <c r="AD47" i="102"/>
  <c r="AD28" i="102"/>
  <c r="AD44" i="102"/>
  <c r="AD78" i="102"/>
  <c r="AD66" i="102"/>
  <c r="AD46" i="102"/>
  <c r="AD21" i="102"/>
  <c r="AD65" i="102"/>
  <c r="AD72" i="102"/>
  <c r="AD54" i="102"/>
  <c r="AD62" i="102"/>
  <c r="AD42" i="102"/>
  <c r="AD25" i="102"/>
  <c r="AD63" i="102"/>
  <c r="AD33" i="102"/>
  <c r="AD61" i="102"/>
  <c r="AD41" i="102"/>
  <c r="AD26" i="102"/>
  <c r="AD12" i="102"/>
  <c r="AD68" i="102"/>
  <c r="AD48" i="102"/>
  <c r="AD19" i="102"/>
  <c r="AD8" i="102"/>
  <c r="AD16" i="102"/>
  <c r="AD50" i="102"/>
  <c r="AD58" i="102"/>
  <c r="AD13" i="102"/>
  <c r="AD29" i="102"/>
  <c r="AD55" i="102"/>
  <c r="AD31" i="102"/>
  <c r="AD57" i="102"/>
  <c r="AD14" i="102"/>
  <c r="AD30" i="102"/>
  <c r="AD64" i="102"/>
  <c r="AD23" i="102"/>
  <c r="AD24" i="102"/>
  <c r="AI77" i="90"/>
  <c r="T72" i="91"/>
  <c r="T68" i="91"/>
  <c r="T64" i="91"/>
  <c r="T60" i="91"/>
  <c r="T56" i="91"/>
  <c r="T8" i="91"/>
  <c r="T47" i="91"/>
  <c r="T43" i="91"/>
  <c r="T13" i="91"/>
  <c r="T17" i="91"/>
  <c r="T21" i="91"/>
  <c r="T26" i="91"/>
  <c r="T30" i="91"/>
  <c r="T11" i="91"/>
  <c r="T46" i="91"/>
  <c r="T31" i="91"/>
  <c r="T62" i="91"/>
  <c r="T49" i="91"/>
  <c r="T32" i="91"/>
  <c r="T19" i="91"/>
  <c r="T24" i="91"/>
  <c r="T51" i="91"/>
  <c r="T69" i="91"/>
  <c r="T65" i="91"/>
  <c r="T61" i="91"/>
  <c r="T57" i="91"/>
  <c r="T50" i="91"/>
  <c r="T48" i="91"/>
  <c r="T44" i="91"/>
  <c r="T33" i="91"/>
  <c r="T16" i="91"/>
  <c r="T20" i="91"/>
  <c r="T25" i="91"/>
  <c r="T29" i="91"/>
  <c r="T10" i="91"/>
  <c r="T71" i="91"/>
  <c r="T67" i="91"/>
  <c r="T63" i="91"/>
  <c r="T59" i="91"/>
  <c r="T55" i="91"/>
  <c r="T41" i="91"/>
  <c r="T42" i="91"/>
  <c r="T14" i="91"/>
  <c r="T18" i="91"/>
  <c r="T22" i="91"/>
  <c r="T27" i="91"/>
  <c r="T9" i="91"/>
  <c r="T52" i="91"/>
  <c r="T70" i="91"/>
  <c r="T66" i="91"/>
  <c r="T58" i="91"/>
  <c r="T54" i="91"/>
  <c r="T45" i="91"/>
  <c r="T15" i="91"/>
  <c r="T28" i="91"/>
  <c r="T12" i="91"/>
  <c r="AI22" i="86"/>
  <c r="AI19" i="86"/>
  <c r="AI11" i="86"/>
  <c r="AI15" i="86"/>
  <c r="AI33" i="86"/>
  <c r="AI23" i="86"/>
  <c r="AI17" i="86"/>
  <c r="AI24" i="86"/>
  <c r="AI21" i="86"/>
  <c r="AI13" i="86"/>
  <c r="AI9" i="86"/>
  <c r="AI10" i="86"/>
  <c r="AI45" i="86"/>
  <c r="AI67" i="86"/>
  <c r="AI16" i="86"/>
  <c r="AI46" i="86"/>
  <c r="AI68" i="86"/>
  <c r="AI12" i="86"/>
  <c r="AI44" i="86"/>
  <c r="AI58" i="86"/>
  <c r="AI29" i="86"/>
  <c r="AI61" i="86"/>
  <c r="AI55" i="86"/>
  <c r="AI48" i="86"/>
  <c r="AI43" i="86"/>
  <c r="AI65" i="86"/>
  <c r="AI59" i="86"/>
  <c r="AI26" i="86"/>
  <c r="AI47" i="86"/>
  <c r="AI36" i="86"/>
  <c r="AI31" i="86"/>
  <c r="AI63" i="86"/>
  <c r="AI42" i="86"/>
  <c r="AI64" i="86"/>
  <c r="AI30" i="86"/>
  <c r="AI54" i="86"/>
  <c r="AI70" i="86"/>
  <c r="AI14" i="86"/>
  <c r="AI57" i="86"/>
  <c r="AI52" i="86"/>
  <c r="AI18" i="86"/>
  <c r="AI71" i="86"/>
  <c r="AI28" i="86"/>
  <c r="AI56" i="86"/>
  <c r="AI20" i="86"/>
  <c r="AI62" i="86"/>
  <c r="AI27" i="86"/>
  <c r="AI32" i="86"/>
  <c r="AI60" i="86"/>
  <c r="AI51" i="86"/>
  <c r="AI66" i="86"/>
  <c r="AI69" i="86"/>
  <c r="AI41" i="86"/>
  <c r="AI25" i="86"/>
  <c r="AI8" i="86"/>
  <c r="O8" i="107"/>
  <c r="O42" i="107"/>
  <c r="O44" i="107"/>
  <c r="O72" i="107"/>
  <c r="O25" i="107"/>
  <c r="O56" i="107"/>
  <c r="O36" i="107"/>
  <c r="O15" i="107"/>
  <c r="O51" i="107"/>
  <c r="O59" i="107"/>
  <c r="O58" i="107"/>
  <c r="O17" i="107"/>
  <c r="O28" i="107"/>
  <c r="O18" i="107"/>
  <c r="O49" i="107"/>
  <c r="O13" i="107"/>
  <c r="O61" i="107"/>
  <c r="O21" i="107"/>
  <c r="O19" i="107"/>
  <c r="O12" i="107"/>
  <c r="O69" i="107"/>
  <c r="O43" i="107"/>
  <c r="O64" i="107"/>
  <c r="O26" i="107"/>
  <c r="O65" i="107"/>
  <c r="O52" i="107"/>
  <c r="O46" i="107"/>
  <c r="O48" i="107"/>
  <c r="O23" i="107"/>
  <c r="O9" i="107"/>
  <c r="O16" i="107"/>
  <c r="O11" i="107"/>
  <c r="O68" i="107"/>
  <c r="O10" i="107"/>
  <c r="O60" i="107"/>
  <c r="O57" i="107"/>
  <c r="O67" i="107"/>
  <c r="O29" i="107"/>
  <c r="O66" i="107"/>
  <c r="O31" i="107"/>
  <c r="O45" i="107"/>
  <c r="O47" i="107"/>
  <c r="O14" i="107"/>
  <c r="O27" i="107"/>
  <c r="O24" i="107"/>
  <c r="O71" i="107"/>
  <c r="O63" i="107"/>
  <c r="O32" i="107"/>
  <c r="O55" i="107"/>
  <c r="O70" i="107"/>
  <c r="O30" i="107"/>
  <c r="O20" i="107"/>
  <c r="O22" i="107"/>
  <c r="O33" i="107"/>
  <c r="O62" i="107"/>
  <c r="O54" i="107"/>
  <c r="J8" i="108"/>
  <c r="J47" i="108"/>
  <c r="J43" i="108"/>
  <c r="J72" i="108"/>
  <c r="J14" i="108"/>
  <c r="J23" i="108"/>
  <c r="J21" i="108"/>
  <c r="J26" i="108"/>
  <c r="J69" i="108"/>
  <c r="J54" i="108"/>
  <c r="J65" i="108"/>
  <c r="J22" i="108"/>
  <c r="J28" i="108"/>
  <c r="J30" i="108"/>
  <c r="J55" i="108"/>
  <c r="J45" i="108"/>
  <c r="J36" i="108"/>
  <c r="J16" i="108"/>
  <c r="J9" i="108"/>
  <c r="J15" i="108"/>
  <c r="J10" i="108"/>
  <c r="J63" i="108"/>
  <c r="J24" i="108"/>
  <c r="J64" i="108"/>
  <c r="J66" i="108"/>
  <c r="J62" i="108"/>
  <c r="J59" i="108"/>
  <c r="J60" i="108"/>
  <c r="J12" i="108"/>
  <c r="J42" i="108"/>
  <c r="J25" i="108"/>
  <c r="J48" i="108"/>
  <c r="J33" i="108"/>
  <c r="J67" i="108"/>
  <c r="J46" i="108"/>
  <c r="J20" i="108"/>
  <c r="J19" i="108"/>
  <c r="J51" i="108"/>
  <c r="J68" i="108"/>
  <c r="J61" i="108"/>
  <c r="J32" i="108"/>
  <c r="J44" i="108"/>
  <c r="J11" i="108"/>
  <c r="J71" i="108"/>
  <c r="J57" i="108"/>
  <c r="J29" i="108"/>
  <c r="J70" i="108"/>
  <c r="J56" i="108"/>
  <c r="J17" i="108"/>
  <c r="J18" i="108"/>
  <c r="J58" i="108"/>
  <c r="J31" i="108"/>
  <c r="J49" i="108"/>
  <c r="J13" i="108"/>
  <c r="J27" i="108"/>
  <c r="J52" i="108"/>
  <c r="T38" i="107"/>
  <c r="Y72" i="107"/>
  <c r="T40" i="107"/>
  <c r="T57" i="107"/>
  <c r="Y34" i="107"/>
  <c r="Y41" i="107"/>
  <c r="T29" i="107"/>
  <c r="T28" i="107"/>
  <c r="T22" i="107"/>
  <c r="T47" i="107"/>
  <c r="T25" i="107"/>
  <c r="T20" i="107"/>
  <c r="T66" i="107"/>
  <c r="T17" i="107"/>
  <c r="T16" i="107"/>
  <c r="T11" i="107"/>
  <c r="T44" i="107"/>
  <c r="T15" i="107"/>
  <c r="Y35" i="107"/>
  <c r="T37" i="107"/>
  <c r="T48" i="107"/>
  <c r="T27" i="107"/>
  <c r="T26" i="107"/>
  <c r="T64" i="107"/>
  <c r="T35" i="107"/>
  <c r="T61" i="107"/>
  <c r="T67" i="107"/>
  <c r="T45" i="107"/>
  <c r="T62" i="107"/>
  <c r="T68" i="107"/>
  <c r="T69" i="107"/>
  <c r="T54" i="107"/>
  <c r="Y39" i="107"/>
  <c r="T49" i="107"/>
  <c r="T34" i="107"/>
  <c r="T53" i="107"/>
  <c r="Y49" i="107"/>
  <c r="T30" i="107"/>
  <c r="T21" i="107"/>
  <c r="T50" i="107"/>
  <c r="T33" i="107"/>
  <c r="T32" i="107"/>
  <c r="Y36" i="107"/>
  <c r="T55" i="107"/>
  <c r="T10" i="107"/>
  <c r="T58" i="107"/>
  <c r="T46" i="107"/>
  <c r="T43" i="107"/>
  <c r="T14" i="107"/>
  <c r="T19" i="107"/>
  <c r="T60" i="107"/>
  <c r="Y53" i="107"/>
  <c r="T72" i="107"/>
  <c r="Y37" i="107"/>
  <c r="T18" i="107"/>
  <c r="T36" i="107"/>
  <c r="T52" i="107"/>
  <c r="T42" i="107"/>
  <c r="T9" i="107"/>
  <c r="T51" i="107"/>
  <c r="T31" i="107"/>
  <c r="T59" i="107"/>
  <c r="Y38" i="107"/>
  <c r="T56" i="107"/>
  <c r="Y40" i="107"/>
  <c r="T23" i="107"/>
  <c r="T63" i="107"/>
  <c r="T12" i="107"/>
  <c r="T24" i="107"/>
  <c r="T70" i="107"/>
  <c r="T71" i="107"/>
  <c r="T13" i="107"/>
  <c r="T65" i="107"/>
  <c r="T41" i="107"/>
  <c r="T39" i="107"/>
  <c r="BG77" i="107"/>
  <c r="Y12" i="99"/>
  <c r="Y16" i="99"/>
  <c r="Y20" i="99"/>
  <c r="Y24" i="99"/>
  <c r="Y28" i="99"/>
  <c r="Y32" i="99"/>
  <c r="Y8" i="99"/>
  <c r="Y11" i="99"/>
  <c r="Y15" i="99"/>
  <c r="Y19" i="99"/>
  <c r="Y23" i="99"/>
  <c r="Y27" i="99"/>
  <c r="Y31" i="99"/>
  <c r="Y9" i="99"/>
  <c r="Y13" i="99"/>
  <c r="Y17" i="99"/>
  <c r="Y21" i="99"/>
  <c r="Y25" i="99"/>
  <c r="Y29" i="99"/>
  <c r="Y33" i="99"/>
  <c r="Y14" i="99"/>
  <c r="Y18" i="99"/>
  <c r="Y22" i="99"/>
  <c r="Y26" i="99"/>
  <c r="Y30" i="99"/>
  <c r="Y10" i="99"/>
  <c r="O54" i="108"/>
  <c r="O72" i="108"/>
  <c r="O60" i="108"/>
  <c r="O41" i="108"/>
  <c r="O40" i="108"/>
  <c r="T37" i="108"/>
  <c r="O10" i="108"/>
  <c r="O21" i="108"/>
  <c r="O17" i="108"/>
  <c r="O13" i="108"/>
  <c r="O36" i="108"/>
  <c r="O43" i="108"/>
  <c r="T34" i="108"/>
  <c r="O51" i="108"/>
  <c r="O29" i="108"/>
  <c r="O24" i="108"/>
  <c r="O59" i="108"/>
  <c r="O25" i="108"/>
  <c r="O22" i="108"/>
  <c r="T39" i="108"/>
  <c r="O50" i="108"/>
  <c r="O68" i="108"/>
  <c r="T49" i="108"/>
  <c r="T72" i="108"/>
  <c r="O34" i="108"/>
  <c r="O12" i="108"/>
  <c r="O62" i="108"/>
  <c r="O19" i="108"/>
  <c r="O15" i="108"/>
  <c r="O56" i="108"/>
  <c r="O70" i="108"/>
  <c r="O44" i="108"/>
  <c r="O42" i="108"/>
  <c r="O61" i="108"/>
  <c r="O32" i="108"/>
  <c r="O52" i="108"/>
  <c r="O26" i="108"/>
  <c r="O69" i="108"/>
  <c r="O35" i="108"/>
  <c r="O14" i="108"/>
  <c r="T53" i="108"/>
  <c r="O20" i="108"/>
  <c r="O67" i="108"/>
  <c r="O64" i="108"/>
  <c r="O55" i="108"/>
  <c r="O8" i="108"/>
  <c r="O65" i="108"/>
  <c r="O53" i="108"/>
  <c r="O37" i="108"/>
  <c r="O16" i="108"/>
  <c r="O23" i="108"/>
  <c r="O45" i="108"/>
  <c r="O31" i="108"/>
  <c r="O71" i="108"/>
  <c r="O30" i="108"/>
  <c r="T41" i="108"/>
  <c r="O58" i="108"/>
  <c r="O33" i="108"/>
  <c r="O47" i="108"/>
  <c r="O38" i="108"/>
  <c r="O57" i="108"/>
  <c r="O27" i="108"/>
  <c r="O39" i="108"/>
  <c r="T40" i="108"/>
  <c r="T36" i="108"/>
  <c r="O66" i="108"/>
  <c r="O48" i="108"/>
  <c r="T35" i="108"/>
  <c r="O28" i="108"/>
  <c r="T38" i="108"/>
  <c r="O49" i="108"/>
  <c r="O11" i="108"/>
  <c r="O18" i="108"/>
  <c r="O46" i="108"/>
  <c r="O63" i="108"/>
  <c r="AD70" i="86"/>
  <c r="AD44" i="86"/>
  <c r="AD25" i="86"/>
  <c r="AD15" i="86"/>
  <c r="AD63" i="86"/>
  <c r="AD30" i="86"/>
  <c r="AD12" i="86"/>
  <c r="AD60" i="86"/>
  <c r="AD42" i="86"/>
  <c r="AD18" i="86"/>
  <c r="AD57" i="86"/>
  <c r="AD47" i="86"/>
  <c r="AD28" i="86"/>
  <c r="AD31" i="86"/>
  <c r="AD58" i="86"/>
  <c r="AD48" i="86"/>
  <c r="AD16" i="86"/>
  <c r="AD67" i="86"/>
  <c r="AD54" i="86"/>
  <c r="AD26" i="86"/>
  <c r="AD9" i="86"/>
  <c r="AD64" i="86"/>
  <c r="AD32" i="86"/>
  <c r="AD22" i="86"/>
  <c r="AD61" i="86"/>
  <c r="AD41" i="86"/>
  <c r="AD19" i="86"/>
  <c r="AD8" i="86"/>
  <c r="AD62" i="86"/>
  <c r="AD36" i="86"/>
  <c r="AD20" i="86"/>
  <c r="AD71" i="86"/>
  <c r="AD45" i="86"/>
  <c r="AD17" i="86"/>
  <c r="AD68" i="86"/>
  <c r="AD52" i="86"/>
  <c r="AD23" i="86"/>
  <c r="AD13" i="86"/>
  <c r="AD65" i="86"/>
  <c r="AD33" i="86"/>
  <c r="AD10" i="86"/>
  <c r="AD66" i="86"/>
  <c r="AD55" i="86"/>
  <c r="AD29" i="86"/>
  <c r="AD11" i="86"/>
  <c r="AD59" i="86"/>
  <c r="AD43" i="86"/>
  <c r="AD21" i="86"/>
  <c r="AD56" i="86"/>
  <c r="AD46" i="86"/>
  <c r="AD27" i="86"/>
  <c r="AD69" i="86"/>
  <c r="AD51" i="86"/>
  <c r="AD24" i="86"/>
  <c r="AD14" i="86"/>
  <c r="AD70" i="95"/>
  <c r="AD60" i="95"/>
  <c r="AD57" i="95"/>
  <c r="AD45" i="95"/>
  <c r="AD29" i="95"/>
  <c r="AD10" i="95"/>
  <c r="AD52" i="95"/>
  <c r="AD30" i="95"/>
  <c r="AD23" i="95"/>
  <c r="AD59" i="95"/>
  <c r="AD42" i="95"/>
  <c r="AD24" i="95"/>
  <c r="AD68" i="95"/>
  <c r="AD44" i="95"/>
  <c r="AD11" i="95"/>
  <c r="AD65" i="95"/>
  <c r="AD62" i="95"/>
  <c r="AD9" i="95"/>
  <c r="AD27" i="95"/>
  <c r="AD64" i="95"/>
  <c r="AD33" i="95"/>
  <c r="AD61" i="95"/>
  <c r="AD49" i="95"/>
  <c r="AD22" i="95"/>
  <c r="AD58" i="95"/>
  <c r="AD43" i="95"/>
  <c r="AD13" i="95"/>
  <c r="AD17" i="95"/>
  <c r="AD63" i="95"/>
  <c r="AD32" i="95"/>
  <c r="AD14" i="95"/>
  <c r="AD72" i="95"/>
  <c r="AD48" i="95"/>
  <c r="AD15" i="95"/>
  <c r="AD36" i="95"/>
  <c r="AD67" i="95"/>
  <c r="AD41" i="95"/>
  <c r="AD69" i="95"/>
  <c r="AD55" i="95"/>
  <c r="AD25" i="95"/>
  <c r="AD16" i="95"/>
  <c r="AD66" i="95"/>
  <c r="AD26" i="95"/>
  <c r="AD46" i="95"/>
  <c r="AD71" i="95"/>
  <c r="AD47" i="95"/>
  <c r="AD20" i="95"/>
  <c r="AD8" i="95"/>
  <c r="AD56" i="95"/>
  <c r="AD28" i="95"/>
  <c r="AD54" i="95"/>
  <c r="AD21" i="95"/>
  <c r="AD12" i="95"/>
  <c r="AD31" i="95"/>
  <c r="AD51" i="95"/>
  <c r="AD18" i="95"/>
  <c r="AD19" i="95"/>
  <c r="AD78" i="90"/>
  <c r="AD52" i="90"/>
  <c r="AD23" i="90"/>
  <c r="AD16" i="90"/>
  <c r="AD43" i="90"/>
  <c r="AD63" i="90"/>
  <c r="AD47" i="90"/>
  <c r="AD19" i="90"/>
  <c r="AD61" i="90"/>
  <c r="AD64" i="90"/>
  <c r="AD48" i="90"/>
  <c r="AD20" i="90"/>
  <c r="AD69" i="90"/>
  <c r="AD59" i="90"/>
  <c r="AD54" i="90"/>
  <c r="AD62" i="90"/>
  <c r="AD46" i="90"/>
  <c r="AD27" i="90"/>
  <c r="AD57" i="90"/>
  <c r="AD33" i="90"/>
  <c r="AD67" i="90"/>
  <c r="AD36" i="90"/>
  <c r="AD18" i="90"/>
  <c r="AD26" i="90"/>
  <c r="AD68" i="90"/>
  <c r="AD28" i="90"/>
  <c r="AD10" i="90"/>
  <c r="AD45" i="90"/>
  <c r="AD58" i="90"/>
  <c r="AD66" i="90"/>
  <c r="AD42" i="90"/>
  <c r="AD22" i="90"/>
  <c r="AD65" i="90"/>
  <c r="AD11" i="90"/>
  <c r="AD71" i="90"/>
  <c r="AD31" i="90"/>
  <c r="AD13" i="90"/>
  <c r="AD8" i="90"/>
  <c r="AD56" i="90"/>
  <c r="AD32" i="90"/>
  <c r="AD14" i="90"/>
  <c r="AD29" i="90"/>
  <c r="AD60" i="90"/>
  <c r="AD70" i="90"/>
  <c r="AD30" i="90"/>
  <c r="AD12" i="90"/>
  <c r="AD55" i="90"/>
  <c r="AD15" i="90"/>
  <c r="AD51" i="90"/>
  <c r="AD24" i="90"/>
  <c r="AD17" i="90"/>
  <c r="AD41" i="90"/>
  <c r="AD44" i="90"/>
  <c r="AD25" i="90"/>
  <c r="AD9" i="90"/>
  <c r="AD21" i="90"/>
  <c r="Y62" i="102"/>
  <c r="Y47" i="102"/>
  <c r="Y20" i="102"/>
  <c r="Y61" i="102"/>
  <c r="Y12" i="102"/>
  <c r="Y55" i="102"/>
  <c r="Y25" i="102"/>
  <c r="Y14" i="102"/>
  <c r="Y23" i="102"/>
  <c r="Y68" i="102"/>
  <c r="Y31" i="102"/>
  <c r="Y11" i="102"/>
  <c r="Y65" i="102"/>
  <c r="Y16" i="102"/>
  <c r="Y58" i="102"/>
  <c r="Y56" i="102"/>
  <c r="Y42" i="102"/>
  <c r="Y21" i="102"/>
  <c r="Y45" i="102"/>
  <c r="Y32" i="102"/>
  <c r="Y66" i="102"/>
  <c r="Y41" i="102"/>
  <c r="Y24" i="102"/>
  <c r="Y69" i="102"/>
  <c r="Y71" i="102"/>
  <c r="Y44" i="102"/>
  <c r="Y29" i="102"/>
  <c r="Y18" i="102"/>
  <c r="Y8" i="102"/>
  <c r="Y52" i="102"/>
  <c r="Y26" i="102"/>
  <c r="Y15" i="102"/>
  <c r="Y51" i="102"/>
  <c r="Y13" i="102"/>
  <c r="Y48" i="102"/>
  <c r="Y72" i="102"/>
  <c r="Y9" i="102"/>
  <c r="Y70" i="102"/>
  <c r="Y43" i="102"/>
  <c r="Y28" i="102"/>
  <c r="Y17" i="102"/>
  <c r="Y27" i="102"/>
  <c r="Y67" i="102"/>
  <c r="Y36" i="102"/>
  <c r="Y10" i="102"/>
  <c r="Y46" i="102"/>
  <c r="Y64" i="102"/>
  <c r="Y49" i="102"/>
  <c r="Y22" i="102"/>
  <c r="Y78" i="102"/>
  <c r="Y19" i="102"/>
  <c r="Y60" i="102"/>
  <c r="Y33" i="102"/>
  <c r="Y63" i="102"/>
  <c r="Y57" i="102"/>
  <c r="Y30" i="102"/>
  <c r="Y59" i="102"/>
  <c r="AD67" i="96"/>
  <c r="AD68" i="96"/>
  <c r="AD69" i="96"/>
  <c r="AD55" i="96"/>
  <c r="AD49" i="96"/>
  <c r="AD10" i="96"/>
  <c r="AD9" i="96"/>
  <c r="AD51" i="96"/>
  <c r="AD21" i="96"/>
  <c r="AD19" i="96"/>
  <c r="AD16" i="96"/>
  <c r="AD15" i="96"/>
  <c r="AD52" i="96"/>
  <c r="AD31" i="96"/>
  <c r="AD28" i="96"/>
  <c r="AD63" i="96"/>
  <c r="AD60" i="96"/>
  <c r="AD23" i="96"/>
  <c r="AD14" i="96"/>
  <c r="AD33" i="96"/>
  <c r="AD8" i="96"/>
  <c r="AD70" i="96"/>
  <c r="AD71" i="96"/>
  <c r="AD72" i="96"/>
  <c r="AD58" i="96"/>
  <c r="AD59" i="96"/>
  <c r="AD17" i="96"/>
  <c r="AD25" i="96"/>
  <c r="AD42" i="96"/>
  <c r="AD12" i="96"/>
  <c r="AD24" i="96"/>
  <c r="AD61" i="96"/>
  <c r="AD22" i="96"/>
  <c r="AD45" i="96"/>
  <c r="AD47" i="96"/>
  <c r="AD56" i="96"/>
  <c r="AD57" i="96"/>
  <c r="AD65" i="96"/>
  <c r="AD66" i="96"/>
  <c r="AD54" i="96"/>
  <c r="AD26" i="96"/>
  <c r="AD13" i="96"/>
  <c r="AD29" i="96"/>
  <c r="AD32" i="96"/>
  <c r="AD44" i="96"/>
  <c r="AD43" i="96"/>
  <c r="AD36" i="96"/>
  <c r="AD27" i="96"/>
  <c r="AD20" i="96"/>
  <c r="AD41" i="96"/>
  <c r="AD46" i="96"/>
  <c r="AD11" i="96"/>
  <c r="AD64" i="96"/>
  <c r="AD62" i="96"/>
  <c r="AD30" i="96"/>
  <c r="AD18" i="96"/>
  <c r="AD48" i="96"/>
  <c r="Y49" i="99"/>
  <c r="Y72" i="99"/>
  <c r="Y60" i="99"/>
  <c r="Y42" i="99"/>
  <c r="Y65" i="99"/>
  <c r="Y62" i="99"/>
  <c r="Y48" i="99"/>
  <c r="Y67" i="99"/>
  <c r="Y55" i="99"/>
  <c r="Y64" i="99"/>
  <c r="Y63" i="99"/>
  <c r="Y46" i="99"/>
  <c r="Y69" i="99"/>
  <c r="Y43" i="99"/>
  <c r="Y66" i="99"/>
  <c r="Y41" i="99"/>
  <c r="Y54" i="99"/>
  <c r="Y71" i="99"/>
  <c r="Y36" i="99"/>
  <c r="Y51" i="99"/>
  <c r="Y57" i="99"/>
  <c r="Y52" i="99"/>
  <c r="Y47" i="99"/>
  <c r="Y70" i="99"/>
  <c r="Y56" i="99"/>
  <c r="Y59" i="99"/>
  <c r="Y45" i="99"/>
  <c r="Y61" i="99"/>
  <c r="Y58" i="99"/>
  <c r="Y68" i="99"/>
  <c r="Y44" i="99"/>
  <c r="Y9" i="95"/>
  <c r="Y79" i="90"/>
  <c r="AD80" i="90"/>
  <c r="T79" i="102"/>
  <c r="Y54" i="102"/>
  <c r="AD49" i="86"/>
  <c r="BL74" i="87"/>
  <c r="BL73" i="87" s="1"/>
  <c r="Y60" i="96"/>
  <c r="Y42" i="96"/>
  <c r="Y25" i="96"/>
  <c r="Y47" i="96"/>
  <c r="Y67" i="96"/>
  <c r="Y49" i="96"/>
  <c r="Y18" i="96"/>
  <c r="Y9" i="96"/>
  <c r="Y20" i="96"/>
  <c r="Y62" i="96"/>
  <c r="Y44" i="96"/>
  <c r="Y23" i="96"/>
  <c r="Y51" i="96"/>
  <c r="Y8" i="96"/>
  <c r="Y72" i="96"/>
  <c r="Y56" i="96"/>
  <c r="Y13" i="96"/>
  <c r="Y33" i="96"/>
  <c r="Y16" i="96"/>
  <c r="Y63" i="96"/>
  <c r="Y45" i="96"/>
  <c r="Y22" i="96"/>
  <c r="Y69" i="96"/>
  <c r="Y32" i="96"/>
  <c r="Y58" i="96"/>
  <c r="Y11" i="96"/>
  <c r="Y27" i="96"/>
  <c r="Y12" i="96"/>
  <c r="Y68" i="96"/>
  <c r="Y41" i="96"/>
  <c r="Y17" i="96"/>
  <c r="Y65" i="96"/>
  <c r="Y28" i="96"/>
  <c r="Y59" i="96"/>
  <c r="Y10" i="96"/>
  <c r="Y26" i="96"/>
  <c r="Y61" i="96"/>
  <c r="Y70" i="96"/>
  <c r="Y52" i="96"/>
  <c r="Y15" i="96"/>
  <c r="Y31" i="96"/>
  <c r="Y24" i="96"/>
  <c r="Y64" i="96"/>
  <c r="Y46" i="96"/>
  <c r="Y21" i="96"/>
  <c r="Y57" i="96"/>
  <c r="Y71" i="96"/>
  <c r="Y55" i="96"/>
  <c r="Y14" i="96"/>
  <c r="Y30" i="96"/>
  <c r="Y43" i="96"/>
  <c r="Y66" i="96"/>
  <c r="Y48" i="96"/>
  <c r="Y19" i="96"/>
  <c r="Y54" i="96"/>
  <c r="Y29" i="96"/>
  <c r="Y54" i="95"/>
  <c r="Y8" i="95"/>
  <c r="Y58" i="95"/>
  <c r="Y20" i="95"/>
  <c r="Y12" i="95"/>
  <c r="Y23" i="95"/>
  <c r="Y61" i="95"/>
  <c r="Y17" i="95"/>
  <c r="Y33" i="95"/>
  <c r="Y42" i="95"/>
  <c r="Y64" i="95"/>
  <c r="Y43" i="95"/>
  <c r="Y30" i="95"/>
  <c r="Y59" i="95"/>
  <c r="Y11" i="95"/>
  <c r="Y22" i="95"/>
  <c r="Y70" i="95"/>
  <c r="Y49" i="95"/>
  <c r="Y24" i="95"/>
  <c r="Y16" i="95"/>
  <c r="Y15" i="95"/>
  <c r="Y57" i="95"/>
  <c r="Y21" i="95"/>
  <c r="Y13" i="95"/>
  <c r="Y31" i="95"/>
  <c r="Y60" i="95"/>
  <c r="Y18" i="95"/>
  <c r="Y10" i="95"/>
  <c r="Y46" i="95"/>
  <c r="Y14" i="95"/>
  <c r="Y66" i="95"/>
  <c r="Y45" i="95"/>
  <c r="Y28" i="95"/>
  <c r="Y67" i="95"/>
  <c r="Y69" i="95"/>
  <c r="Y48" i="95"/>
  <c r="Y25" i="95"/>
  <c r="Y72" i="95"/>
  <c r="Y62" i="95"/>
  <c r="Y36" i="95"/>
  <c r="Y32" i="95"/>
  <c r="Y55" i="95"/>
  <c r="Y65" i="95"/>
  <c r="Y44" i="95"/>
  <c r="Y29" i="95"/>
  <c r="Y63" i="95"/>
  <c r="Y68" i="95"/>
  <c r="Y47" i="95"/>
  <c r="Y26" i="95"/>
  <c r="Y71" i="95"/>
  <c r="Y27" i="95"/>
  <c r="Y56" i="95"/>
  <c r="Y19" i="95"/>
  <c r="T60" i="99"/>
  <c r="T42" i="99"/>
  <c r="T25" i="99"/>
  <c r="T57" i="99"/>
  <c r="T32" i="99"/>
  <c r="T59" i="99"/>
  <c r="T36" i="99"/>
  <c r="T26" i="99"/>
  <c r="T51" i="99"/>
  <c r="T9" i="99"/>
  <c r="T58" i="99"/>
  <c r="T11" i="99"/>
  <c r="T27" i="99"/>
  <c r="T20" i="99"/>
  <c r="T72" i="99"/>
  <c r="T56" i="99"/>
  <c r="T13" i="99"/>
  <c r="T29" i="99"/>
  <c r="T47" i="99"/>
  <c r="T71" i="99"/>
  <c r="T55" i="99"/>
  <c r="T14" i="99"/>
  <c r="T30" i="99"/>
  <c r="T43" i="99"/>
  <c r="T70" i="99"/>
  <c r="T52" i="99"/>
  <c r="T15" i="99"/>
  <c r="T31" i="99"/>
  <c r="T8" i="99"/>
  <c r="T68" i="99"/>
  <c r="T41" i="99"/>
  <c r="T17" i="99"/>
  <c r="T33" i="99"/>
  <c r="T12" i="99"/>
  <c r="T67" i="99"/>
  <c r="T49" i="99"/>
  <c r="T18" i="99"/>
  <c r="T69" i="99"/>
  <c r="T16" i="99"/>
  <c r="T66" i="99"/>
  <c r="T48" i="99"/>
  <c r="T19" i="99"/>
  <c r="T10" i="99"/>
  <c r="T64" i="99"/>
  <c r="T46" i="99"/>
  <c r="T21" i="99"/>
  <c r="T54" i="99"/>
  <c r="T24" i="99"/>
  <c r="T63" i="99"/>
  <c r="T45" i="99"/>
  <c r="T22" i="99"/>
  <c r="T61" i="99"/>
  <c r="T28" i="99"/>
  <c r="T62" i="99"/>
  <c r="T44" i="99"/>
  <c r="T23" i="99"/>
  <c r="T65" i="99"/>
  <c r="T8" i="102"/>
  <c r="T68" i="102"/>
  <c r="T41" i="102"/>
  <c r="T17" i="102"/>
  <c r="T33" i="102"/>
  <c r="T20" i="102"/>
  <c r="T67" i="102"/>
  <c r="T49" i="102"/>
  <c r="T18" i="102"/>
  <c r="T10" i="102"/>
  <c r="T24" i="102"/>
  <c r="T62" i="102"/>
  <c r="T44" i="102"/>
  <c r="T23" i="102"/>
  <c r="T69" i="102"/>
  <c r="T28" i="102"/>
  <c r="T64" i="102"/>
  <c r="T46" i="102"/>
  <c r="T21" i="102"/>
  <c r="T65" i="102"/>
  <c r="T32" i="102"/>
  <c r="T63" i="102"/>
  <c r="T45" i="102"/>
  <c r="T22" i="102"/>
  <c r="T54" i="102"/>
  <c r="T78" i="102"/>
  <c r="T58" i="102"/>
  <c r="T11" i="102"/>
  <c r="T27" i="102"/>
  <c r="T61" i="102"/>
  <c r="T80" i="102"/>
  <c r="T60" i="102"/>
  <c r="T42" i="102"/>
  <c r="T25" i="102"/>
  <c r="T57" i="102"/>
  <c r="T59" i="102"/>
  <c r="T36" i="102"/>
  <c r="T26" i="102"/>
  <c r="T51" i="102"/>
  <c r="T70" i="102"/>
  <c r="T52" i="102"/>
  <c r="T15" i="102"/>
  <c r="T31" i="102"/>
  <c r="T47" i="102"/>
  <c r="T72" i="102"/>
  <c r="T56" i="102"/>
  <c r="T13" i="102"/>
  <c r="T29" i="102"/>
  <c r="T43" i="102"/>
  <c r="T71" i="102"/>
  <c r="T55" i="102"/>
  <c r="T14" i="102"/>
  <c r="T30" i="102"/>
  <c r="T12" i="102"/>
  <c r="T66" i="102"/>
  <c r="T48" i="102"/>
  <c r="T19" i="102"/>
  <c r="T9" i="102"/>
  <c r="T16" i="102"/>
  <c r="Y68" i="90"/>
  <c r="Y47" i="90"/>
  <c r="Y24" i="90"/>
  <c r="Y80" i="90"/>
  <c r="Y59" i="90"/>
  <c r="Y13" i="90"/>
  <c r="Y29" i="90"/>
  <c r="Y66" i="90"/>
  <c r="Y45" i="90"/>
  <c r="Y22" i="90"/>
  <c r="Y78" i="90"/>
  <c r="Y57" i="90"/>
  <c r="Y15" i="90"/>
  <c r="Y31" i="90"/>
  <c r="Y12" i="90"/>
  <c r="Y64" i="90"/>
  <c r="Y43" i="90"/>
  <c r="Y28" i="90"/>
  <c r="Y71" i="90"/>
  <c r="Y55" i="90"/>
  <c r="Y17" i="90"/>
  <c r="Y33" i="90"/>
  <c r="Y62" i="90"/>
  <c r="Y36" i="90"/>
  <c r="Y26" i="90"/>
  <c r="Y69" i="90"/>
  <c r="Y48" i="90"/>
  <c r="Y19" i="90"/>
  <c r="Y8" i="90"/>
  <c r="Y60" i="90"/>
  <c r="Y16" i="90"/>
  <c r="Y32" i="90"/>
  <c r="Y67" i="90"/>
  <c r="Y46" i="90"/>
  <c r="Y21" i="90"/>
  <c r="Y58" i="90"/>
  <c r="Y14" i="90"/>
  <c r="Y30" i="90"/>
  <c r="Y65" i="90"/>
  <c r="Y44" i="90"/>
  <c r="Y23" i="90"/>
  <c r="Y54" i="90"/>
  <c r="Y56" i="90"/>
  <c r="Y20" i="90"/>
  <c r="Y9" i="90"/>
  <c r="Y63" i="90"/>
  <c r="Y42" i="90"/>
  <c r="Y25" i="90"/>
  <c r="Y70" i="90"/>
  <c r="Y41" i="90"/>
  <c r="Y18" i="90"/>
  <c r="Y10" i="90"/>
  <c r="Y61" i="90"/>
  <c r="Y11" i="90"/>
  <c r="Y27" i="90"/>
  <c r="Y63" i="86"/>
  <c r="Y42" i="86"/>
  <c r="Y24" i="86"/>
  <c r="Y66" i="86"/>
  <c r="Y45" i="86"/>
  <c r="Y21" i="86"/>
  <c r="Y69" i="86"/>
  <c r="Y48" i="86"/>
  <c r="Y18" i="86"/>
  <c r="Y68" i="86"/>
  <c r="Y47" i="86"/>
  <c r="Y19" i="86"/>
  <c r="Y9" i="86"/>
  <c r="Y59" i="86"/>
  <c r="Y12" i="86"/>
  <c r="Y28" i="86"/>
  <c r="Y62" i="86"/>
  <c r="Y54" i="86"/>
  <c r="Y25" i="86"/>
  <c r="Y65" i="86"/>
  <c r="Y44" i="86"/>
  <c r="Y22" i="86"/>
  <c r="Y64" i="86"/>
  <c r="Y43" i="86"/>
  <c r="Y23" i="86"/>
  <c r="Y30" i="86"/>
  <c r="Y71" i="86"/>
  <c r="Y55" i="86"/>
  <c r="Y16" i="86"/>
  <c r="Y32" i="86"/>
  <c r="Y58" i="86"/>
  <c r="Y13" i="86"/>
  <c r="Y29" i="86"/>
  <c r="Y61" i="86"/>
  <c r="Y41" i="86"/>
  <c r="Y26" i="86"/>
  <c r="Y60" i="86"/>
  <c r="Y11" i="86"/>
  <c r="Y27" i="86"/>
  <c r="Y8" i="86"/>
  <c r="Y67" i="86"/>
  <c r="Y46" i="86"/>
  <c r="Y20" i="86"/>
  <c r="Y70" i="86"/>
  <c r="Y49" i="86"/>
  <c r="Y17" i="86"/>
  <c r="Y33" i="86"/>
  <c r="Y57" i="86"/>
  <c r="Y14" i="86"/>
  <c r="Y10" i="86"/>
  <c r="Y56" i="86"/>
  <c r="Y15" i="86"/>
  <c r="Y31" i="86"/>
  <c r="J8" i="102"/>
  <c r="J43" i="102"/>
  <c r="J21" i="102"/>
  <c r="J27" i="102"/>
  <c r="J66" i="102"/>
  <c r="J16" i="102"/>
  <c r="J12" i="102"/>
  <c r="J64" i="102"/>
  <c r="J62" i="102"/>
  <c r="J61" i="102"/>
  <c r="J60" i="102"/>
  <c r="J25" i="102"/>
  <c r="J71" i="102"/>
  <c r="J59" i="102"/>
  <c r="J48" i="102"/>
  <c r="J17" i="102"/>
  <c r="J56" i="102"/>
  <c r="J30" i="102"/>
  <c r="J15" i="102"/>
  <c r="J67" i="102"/>
  <c r="J70" i="102"/>
  <c r="J44" i="102"/>
  <c r="J19" i="102"/>
  <c r="J36" i="102"/>
  <c r="J42" i="102"/>
  <c r="J24" i="102"/>
  <c r="J57" i="102"/>
  <c r="J31" i="102"/>
  <c r="J11" i="102"/>
  <c r="J65" i="102"/>
  <c r="J68" i="102"/>
  <c r="J45" i="102"/>
  <c r="J14" i="102"/>
  <c r="J52" i="102"/>
  <c r="J72" i="102"/>
  <c r="J33" i="102"/>
  <c r="J18" i="102"/>
  <c r="J55" i="102"/>
  <c r="J46" i="102"/>
  <c r="J54" i="102"/>
  <c r="J41" i="102"/>
  <c r="J13" i="102"/>
  <c r="J51" i="102"/>
  <c r="J32" i="102"/>
  <c r="J10" i="102"/>
  <c r="J49" i="102"/>
  <c r="J63" i="102"/>
  <c r="J29" i="102"/>
  <c r="J20" i="102"/>
  <c r="J26" i="102"/>
  <c r="J47" i="102"/>
  <c r="J28" i="102"/>
  <c r="J9" i="102"/>
  <c r="BK81" i="99"/>
  <c r="BK83" i="99" s="1"/>
  <c r="BK84" i="99" s="1"/>
  <c r="BK86" i="99" s="1"/>
  <c r="BK87" i="99" s="1"/>
  <c r="J69" i="102"/>
  <c r="J58" i="102"/>
  <c r="BL28" i="87"/>
  <c r="BL51" i="87"/>
  <c r="BL50" i="87" s="1"/>
  <c r="BL78" i="87"/>
  <c r="BB60" i="86"/>
  <c r="BB64" i="86"/>
  <c r="BB68" i="86"/>
  <c r="AW66" i="95"/>
  <c r="AW70" i="95"/>
  <c r="AW73" i="95"/>
  <c r="AV54" i="95"/>
  <c r="BO50" i="96"/>
  <c r="BB50" i="86"/>
  <c r="AW43" i="95"/>
  <c r="AW45" i="95"/>
  <c r="AW47" i="95"/>
  <c r="AW51" i="95"/>
  <c r="AW50" i="95" s="1"/>
  <c r="AW59" i="95"/>
  <c r="BP54" i="96"/>
  <c r="BK8" i="87"/>
  <c r="BK38" i="87" s="1"/>
  <c r="BK39" i="87" s="1"/>
  <c r="BL25" i="87"/>
  <c r="BK41" i="87"/>
  <c r="BL68" i="87"/>
  <c r="BA50" i="86"/>
  <c r="BA77" i="86"/>
  <c r="AU5" i="95"/>
  <c r="BK54" i="87"/>
  <c r="BL29" i="87"/>
  <c r="BL30" i="87"/>
  <c r="BB28" i="86"/>
  <c r="BB31" i="86"/>
  <c r="BB29" i="86"/>
  <c r="BA8" i="86"/>
  <c r="BA38" i="86" s="1"/>
  <c r="BA39" i="86" s="1"/>
  <c r="BO41" i="96"/>
  <c r="AZ54" i="86"/>
  <c r="BB59" i="86"/>
  <c r="BO54" i="96"/>
  <c r="BQ54" i="96"/>
  <c r="BU54" i="96" s="1"/>
  <c r="AU54" i="95"/>
  <c r="BQ12" i="96"/>
  <c r="BU12" i="96" s="1"/>
  <c r="AW58" i="95"/>
  <c r="BA54" i="86"/>
  <c r="R76" i="85"/>
  <c r="BJ76" i="99"/>
  <c r="BL75" i="99"/>
  <c r="AZ77" i="86"/>
  <c r="BB56" i="86"/>
  <c r="AZ50" i="86"/>
  <c r="BB41" i="86"/>
  <c r="AZ41" i="86"/>
  <c r="AZ38" i="86"/>
  <c r="BB10" i="86"/>
  <c r="BB35" i="86"/>
  <c r="BJ77" i="87"/>
  <c r="BL56" i="87"/>
  <c r="BJ50" i="87"/>
  <c r="BL41" i="87"/>
  <c r="BL35" i="87"/>
  <c r="BL10" i="87"/>
  <c r="BJ38" i="87"/>
  <c r="BQ52" i="96"/>
  <c r="BQ41" i="96"/>
  <c r="BU41" i="96" s="1"/>
  <c r="BQ10" i="96"/>
  <c r="BU10" i="96" s="1"/>
  <c r="AU50" i="95"/>
  <c r="AW35" i="95"/>
  <c r="DN81" i="106" l="1"/>
  <c r="DN83" i="106" s="1"/>
  <c r="DN84" i="106" s="1"/>
  <c r="DN86" i="106" s="1"/>
  <c r="DN87" i="106" s="1"/>
  <c r="DP79" i="106"/>
  <c r="DN77" i="106"/>
  <c r="H36" i="101"/>
  <c r="S87" i="138"/>
  <c r="S93" i="138"/>
  <c r="T54" i="138"/>
  <c r="T49" i="138"/>
  <c r="T60" i="138"/>
  <c r="T18" i="138"/>
  <c r="T13" i="138"/>
  <c r="T70" i="138"/>
  <c r="T16" i="138"/>
  <c r="T24" i="138"/>
  <c r="T27" i="138"/>
  <c r="T64" i="138"/>
  <c r="T56" i="138"/>
  <c r="T62" i="138"/>
  <c r="T72" i="138"/>
  <c r="T48" i="138"/>
  <c r="T33" i="138"/>
  <c r="T45" i="138"/>
  <c r="T44" i="138"/>
  <c r="T12" i="138"/>
  <c r="T9" i="138"/>
  <c r="T74" i="138"/>
  <c r="T65" i="138"/>
  <c r="T8" i="138"/>
  <c r="T11" i="138"/>
  <c r="T69" i="138"/>
  <c r="T47" i="138"/>
  <c r="T58" i="138"/>
  <c r="T63" i="138"/>
  <c r="T29" i="138"/>
  <c r="T68" i="138"/>
  <c r="T14" i="138"/>
  <c r="T71" i="138"/>
  <c r="T43" i="138"/>
  <c r="T41" i="138"/>
  <c r="T10" i="138"/>
  <c r="T52" i="138"/>
  <c r="T36" i="138"/>
  <c r="T35" i="138" s="1"/>
  <c r="T19" i="138"/>
  <c r="T57" i="138"/>
  <c r="T17" i="138"/>
  <c r="T22" i="138"/>
  <c r="T67" i="138"/>
  <c r="T28" i="138"/>
  <c r="T55" i="138"/>
  <c r="T15" i="138"/>
  <c r="T61" i="138"/>
  <c r="T46" i="138"/>
  <c r="T51" i="138"/>
  <c r="T59" i="138"/>
  <c r="T31" i="138"/>
  <c r="T23" i="138"/>
  <c r="T26" i="138"/>
  <c r="T21" i="138"/>
  <c r="T32" i="138"/>
  <c r="T20" i="138"/>
  <c r="T25" i="138"/>
  <c r="T66" i="138"/>
  <c r="T42" i="138"/>
  <c r="T30" i="138"/>
  <c r="AN70" i="116"/>
  <c r="AN61" i="116"/>
  <c r="AN16" i="116"/>
  <c r="AN10" i="116"/>
  <c r="AN36" i="116"/>
  <c r="AN21" i="116"/>
  <c r="AN59" i="116"/>
  <c r="AN27" i="116"/>
  <c r="AN63" i="116"/>
  <c r="AN28" i="116"/>
  <c r="AN9" i="116"/>
  <c r="AN58" i="116"/>
  <c r="AN46" i="116"/>
  <c r="AN62" i="116"/>
  <c r="AN49" i="116"/>
  <c r="AN68" i="116"/>
  <c r="AN22" i="116"/>
  <c r="AN66" i="116"/>
  <c r="AN8" i="116"/>
  <c r="AN45" i="116"/>
  <c r="AN19" i="116"/>
  <c r="AN15" i="116"/>
  <c r="AN24" i="116"/>
  <c r="AN47" i="116"/>
  <c r="AN17" i="116"/>
  <c r="AN60" i="116"/>
  <c r="AN65" i="116"/>
  <c r="AN43" i="116"/>
  <c r="AN55" i="116"/>
  <c r="AN57" i="116"/>
  <c r="AN23" i="116"/>
  <c r="AN52" i="116"/>
  <c r="AN54" i="116"/>
  <c r="AN71" i="116"/>
  <c r="AN44" i="116"/>
  <c r="AN64" i="116"/>
  <c r="AN42" i="116"/>
  <c r="AN29" i="116"/>
  <c r="AN12" i="116"/>
  <c r="AN48" i="116"/>
  <c r="AN41" i="116"/>
  <c r="AN30" i="116"/>
  <c r="AN56" i="116"/>
  <c r="AN69" i="116"/>
  <c r="AN26" i="116"/>
  <c r="AN33" i="116"/>
  <c r="AN31" i="116"/>
  <c r="AN32" i="116"/>
  <c r="AN13" i="116"/>
  <c r="AN20" i="116"/>
  <c r="AN72" i="116"/>
  <c r="AN51" i="116"/>
  <c r="AN11" i="116"/>
  <c r="AN18" i="116"/>
  <c r="AN67" i="116"/>
  <c r="AN25" i="116"/>
  <c r="AN14" i="116"/>
  <c r="BX49" i="114"/>
  <c r="BX11" i="114"/>
  <c r="BX68" i="114"/>
  <c r="BX13" i="114"/>
  <c r="BX67" i="114"/>
  <c r="BX44" i="114"/>
  <c r="BX12" i="114"/>
  <c r="BX36" i="114"/>
  <c r="BX42" i="114"/>
  <c r="BX25" i="114"/>
  <c r="BX56" i="114"/>
  <c r="BX23" i="114"/>
  <c r="BX27" i="114"/>
  <c r="BX10" i="114"/>
  <c r="BX46" i="114"/>
  <c r="BX58" i="114"/>
  <c r="BX54" i="114"/>
  <c r="BX47" i="114"/>
  <c r="BX20" i="114"/>
  <c r="BX45" i="114"/>
  <c r="BX24" i="114"/>
  <c r="BX65" i="114"/>
  <c r="BX22" i="114"/>
  <c r="BX14" i="114"/>
  <c r="BX15" i="114"/>
  <c r="BX33" i="114"/>
  <c r="BX19" i="114"/>
  <c r="BX48" i="114"/>
  <c r="BX60" i="114"/>
  <c r="BX16" i="114"/>
  <c r="BX8" i="114"/>
  <c r="BX17" i="114"/>
  <c r="BX51" i="114"/>
  <c r="BX63" i="114"/>
  <c r="BX41" i="114"/>
  <c r="BX30" i="114"/>
  <c r="BX62" i="114"/>
  <c r="BX66" i="114"/>
  <c r="BX18" i="114"/>
  <c r="BX71" i="114"/>
  <c r="BX59" i="114"/>
  <c r="BX31" i="114"/>
  <c r="BX32" i="114"/>
  <c r="BX69" i="114"/>
  <c r="BX9" i="114"/>
  <c r="BX61" i="114"/>
  <c r="BX72" i="114"/>
  <c r="BX29" i="114"/>
  <c r="BX28" i="114"/>
  <c r="BX70" i="114"/>
  <c r="BX43" i="114"/>
  <c r="BX21" i="114"/>
  <c r="BX52" i="114"/>
  <c r="BX55" i="114"/>
  <c r="BX26" i="114"/>
  <c r="BX64" i="114"/>
  <c r="BX57" i="114"/>
  <c r="BW93" i="114"/>
  <c r="BW104" i="114" s="1"/>
  <c r="BW86" i="114"/>
  <c r="BW87" i="114" s="1"/>
  <c r="AN83" i="103"/>
  <c r="AM84" i="103"/>
  <c r="AS83" i="103"/>
  <c r="AR84" i="103"/>
  <c r="BC8" i="127"/>
  <c r="BC67" i="127"/>
  <c r="BC12" i="127"/>
  <c r="BC28" i="127"/>
  <c r="BC33" i="127"/>
  <c r="BC71" i="127"/>
  <c r="BC60" i="127"/>
  <c r="BC45" i="127"/>
  <c r="BC11" i="127"/>
  <c r="BC36" i="127"/>
  <c r="BC35" i="127" s="1"/>
  <c r="BC55" i="127"/>
  <c r="BC51" i="127"/>
  <c r="BC56" i="127"/>
  <c r="BC26" i="127"/>
  <c r="BC19" i="127"/>
  <c r="BC49" i="127"/>
  <c r="BC47" i="127"/>
  <c r="BC15" i="127"/>
  <c r="BC32" i="127"/>
  <c r="BC27" i="127"/>
  <c r="BC64" i="127"/>
  <c r="BC58" i="127"/>
  <c r="BC16" i="127"/>
  <c r="BC59" i="127"/>
  <c r="BC57" i="127"/>
  <c r="BC48" i="127"/>
  <c r="BC29" i="127"/>
  <c r="BC65" i="127"/>
  <c r="BC54" i="127"/>
  <c r="BC72" i="127"/>
  <c r="BC13" i="127"/>
  <c r="BC9" i="127"/>
  <c r="BC66" i="127"/>
  <c r="BC20" i="127"/>
  <c r="BC70" i="127"/>
  <c r="BC62" i="127"/>
  <c r="BC68" i="127"/>
  <c r="BC63" i="127"/>
  <c r="BC74" i="127"/>
  <c r="BC25" i="127"/>
  <c r="BC30" i="127"/>
  <c r="BC44" i="127"/>
  <c r="BC41" i="127"/>
  <c r="BC69" i="127"/>
  <c r="BC61" i="127"/>
  <c r="BC21" i="127"/>
  <c r="BC22" i="127"/>
  <c r="BC43" i="127"/>
  <c r="BC18" i="127"/>
  <c r="BC24" i="127"/>
  <c r="BC42" i="127"/>
  <c r="BC23" i="127"/>
  <c r="BC10" i="127"/>
  <c r="BC46" i="127"/>
  <c r="BC14" i="127"/>
  <c r="BC17" i="127"/>
  <c r="BC52" i="127"/>
  <c r="BC31" i="127"/>
  <c r="BM8" i="103"/>
  <c r="BM54" i="103"/>
  <c r="BM33" i="103"/>
  <c r="BM16" i="103"/>
  <c r="BM14" i="103"/>
  <c r="BM52" i="103"/>
  <c r="BM30" i="103"/>
  <c r="BM56" i="103"/>
  <c r="BM67" i="103"/>
  <c r="BM27" i="103"/>
  <c r="BM68" i="103"/>
  <c r="BM64" i="103"/>
  <c r="BM24" i="103"/>
  <c r="BM11" i="103"/>
  <c r="BM28" i="103"/>
  <c r="BL94" i="103"/>
  <c r="BM58" i="103"/>
  <c r="BM10" i="103"/>
  <c r="BM20" i="103"/>
  <c r="BM46" i="103"/>
  <c r="BM70" i="103"/>
  <c r="BM18" i="103"/>
  <c r="BM47" i="103"/>
  <c r="BM71" i="103"/>
  <c r="BM36" i="103"/>
  <c r="BM65" i="103"/>
  <c r="BM41" i="103"/>
  <c r="BM63" i="103"/>
  <c r="BM51" i="103"/>
  <c r="BM32" i="103"/>
  <c r="BM31" i="103"/>
  <c r="BM12" i="103"/>
  <c r="BM22" i="103"/>
  <c r="BM48" i="103"/>
  <c r="BM23" i="103"/>
  <c r="BM21" i="103"/>
  <c r="BM42" i="103"/>
  <c r="BM19" i="103"/>
  <c r="BM43" i="103"/>
  <c r="BM72" i="103"/>
  <c r="BM59" i="103"/>
  <c r="BM61" i="103"/>
  <c r="BM13" i="103"/>
  <c r="BM26" i="103"/>
  <c r="BM62" i="103"/>
  <c r="BM15" i="103"/>
  <c r="BM69" i="103"/>
  <c r="BM25" i="103"/>
  <c r="BM44" i="103"/>
  <c r="BM66" i="103"/>
  <c r="BM9" i="103"/>
  <c r="BM49" i="103"/>
  <c r="BM60" i="103"/>
  <c r="BM45" i="103"/>
  <c r="BM55" i="103"/>
  <c r="BM17" i="103"/>
  <c r="BM29" i="103"/>
  <c r="BM57" i="103"/>
  <c r="BL54" i="87"/>
  <c r="AT56" i="117"/>
  <c r="AT16" i="117"/>
  <c r="AT14" i="117"/>
  <c r="AT66" i="117"/>
  <c r="AT33" i="117"/>
  <c r="AT20" i="117"/>
  <c r="AT70" i="117"/>
  <c r="AT15" i="117"/>
  <c r="AT25" i="117"/>
  <c r="AT30" i="117"/>
  <c r="AT61" i="117"/>
  <c r="AT46" i="117"/>
  <c r="AT36" i="117"/>
  <c r="AT24" i="117"/>
  <c r="AT49" i="117"/>
  <c r="AT44" i="117"/>
  <c r="AT27" i="117"/>
  <c r="AT58" i="117"/>
  <c r="AT19" i="117"/>
  <c r="AT31" i="117"/>
  <c r="AT57" i="117"/>
  <c r="AT9" i="117"/>
  <c r="AT22" i="117"/>
  <c r="AT45" i="117"/>
  <c r="AT68" i="117"/>
  <c r="AT67" i="117"/>
  <c r="AT55" i="117"/>
  <c r="AT63" i="117"/>
  <c r="AT60" i="117"/>
  <c r="AT32" i="117"/>
  <c r="AT11" i="117"/>
  <c r="AT69" i="117"/>
  <c r="AT65" i="117"/>
  <c r="AT59" i="117"/>
  <c r="AS93" i="117"/>
  <c r="AT54" i="117"/>
  <c r="AT26" i="117"/>
  <c r="AT18" i="117"/>
  <c r="AT13" i="117"/>
  <c r="AT48" i="117"/>
  <c r="AT64" i="117"/>
  <c r="AT21" i="117"/>
  <c r="AT17" i="117"/>
  <c r="AT62" i="117"/>
  <c r="AT23" i="117"/>
  <c r="AT28" i="117"/>
  <c r="AT10" i="117"/>
  <c r="AT42" i="117"/>
  <c r="AT8" i="117"/>
  <c r="AT72" i="117"/>
  <c r="AT43" i="117"/>
  <c r="AT71" i="117"/>
  <c r="AT12" i="117"/>
  <c r="AT52" i="117"/>
  <c r="AT47" i="117"/>
  <c r="AT29" i="117"/>
  <c r="AT41" i="117"/>
  <c r="AT51" i="117"/>
  <c r="AS90" i="117"/>
  <c r="BQ50" i="96"/>
  <c r="BU50" i="96" s="1"/>
  <c r="BU52" i="96"/>
  <c r="BL97" i="102"/>
  <c r="AX54" i="113"/>
  <c r="AX72" i="113"/>
  <c r="AX58" i="113"/>
  <c r="AX26" i="113"/>
  <c r="AX15" i="113"/>
  <c r="AX57" i="113"/>
  <c r="AX18" i="113"/>
  <c r="AX67" i="113"/>
  <c r="AX32" i="113"/>
  <c r="AX36" i="113"/>
  <c r="AX14" i="113"/>
  <c r="AX24" i="113"/>
  <c r="AX8" i="113"/>
  <c r="AX44" i="113"/>
  <c r="AX16" i="113"/>
  <c r="AW93" i="113"/>
  <c r="AX56" i="113"/>
  <c r="AX60" i="113"/>
  <c r="AX19" i="113"/>
  <c r="AX23" i="113"/>
  <c r="AX17" i="113"/>
  <c r="AX69" i="113"/>
  <c r="AX46" i="113"/>
  <c r="AX30" i="113"/>
  <c r="AX9" i="113"/>
  <c r="AX28" i="113"/>
  <c r="AX47" i="113"/>
  <c r="AX64" i="113"/>
  <c r="AX33" i="113"/>
  <c r="AX71" i="113"/>
  <c r="AX49" i="113"/>
  <c r="AX13" i="113"/>
  <c r="AX12" i="113"/>
  <c r="AX70" i="113"/>
  <c r="AX25" i="113"/>
  <c r="AX27" i="113"/>
  <c r="AX21" i="113"/>
  <c r="AX51" i="113"/>
  <c r="AX43" i="113"/>
  <c r="AX62" i="113"/>
  <c r="AX61" i="113"/>
  <c r="AX10" i="113"/>
  <c r="AX55" i="113"/>
  <c r="AX41" i="113"/>
  <c r="AX48" i="113"/>
  <c r="AX52" i="113"/>
  <c r="AX45" i="113"/>
  <c r="AX29" i="113"/>
  <c r="AX31" i="113"/>
  <c r="AX68" i="113"/>
  <c r="AX65" i="113"/>
  <c r="AX66" i="113"/>
  <c r="AX22" i="113"/>
  <c r="AX11" i="113"/>
  <c r="AX63" i="113"/>
  <c r="AX20" i="113"/>
  <c r="AX59" i="113"/>
  <c r="AX42" i="113"/>
  <c r="BL87" i="102"/>
  <c r="BM62" i="102"/>
  <c r="BM11" i="102"/>
  <c r="BM24" i="102"/>
  <c r="BM31" i="102"/>
  <c r="BM58" i="102"/>
  <c r="BM67" i="102"/>
  <c r="BM43" i="102"/>
  <c r="BM25" i="102"/>
  <c r="BM9" i="102"/>
  <c r="BM59" i="102"/>
  <c r="BM68" i="102"/>
  <c r="BM71" i="102"/>
  <c r="BM27" i="102"/>
  <c r="BM72" i="102"/>
  <c r="BM48" i="102"/>
  <c r="BM49" i="102"/>
  <c r="BM45" i="102"/>
  <c r="BM18" i="102"/>
  <c r="BM66" i="102"/>
  <c r="BM8" i="102"/>
  <c r="BM21" i="102"/>
  <c r="BM33" i="102"/>
  <c r="BM14" i="102"/>
  <c r="BM57" i="102"/>
  <c r="BM70" i="102"/>
  <c r="BM56" i="102"/>
  <c r="BM30" i="102"/>
  <c r="BM60" i="102"/>
  <c r="BM22" i="102"/>
  <c r="BM16" i="102"/>
  <c r="BM52" i="102"/>
  <c r="BM10" i="102"/>
  <c r="BM26" i="102"/>
  <c r="BM54" i="102"/>
  <c r="BM69" i="102"/>
  <c r="BM46" i="102"/>
  <c r="BM29" i="102"/>
  <c r="BM61" i="102"/>
  <c r="BM42" i="102"/>
  <c r="BM44" i="102"/>
  <c r="BM12" i="102"/>
  <c r="BM36" i="102"/>
  <c r="BM23" i="102"/>
  <c r="BM17" i="102"/>
  <c r="BM13" i="102"/>
  <c r="BM55" i="102"/>
  <c r="BM64" i="102"/>
  <c r="BM32" i="102"/>
  <c r="BM51" i="102"/>
  <c r="BM41" i="102"/>
  <c r="BM28" i="102"/>
  <c r="BM15" i="102"/>
  <c r="BM63" i="102"/>
  <c r="BM47" i="102"/>
  <c r="BM20" i="102"/>
  <c r="BM19" i="102"/>
  <c r="BM65" i="102"/>
  <c r="BL93" i="102"/>
  <c r="BH70" i="107"/>
  <c r="BH42" i="107"/>
  <c r="BH59" i="107"/>
  <c r="BH9" i="107"/>
  <c r="BH57" i="107"/>
  <c r="BH60" i="107"/>
  <c r="BH32" i="107"/>
  <c r="BH61" i="107"/>
  <c r="BH47" i="107"/>
  <c r="BH41" i="107"/>
  <c r="BH62" i="107"/>
  <c r="BH67" i="107"/>
  <c r="BH25" i="107"/>
  <c r="BH52" i="107"/>
  <c r="BH14" i="107"/>
  <c r="BH11" i="107"/>
  <c r="BH31" i="107"/>
  <c r="BH20" i="107"/>
  <c r="BH72" i="107"/>
  <c r="BH63" i="107"/>
  <c r="BH46" i="107"/>
  <c r="BH10" i="107"/>
  <c r="BH56" i="107"/>
  <c r="BH71" i="107"/>
  <c r="BH36" i="107"/>
  <c r="BH29" i="107"/>
  <c r="BH17" i="107"/>
  <c r="BH51" i="107"/>
  <c r="BH54" i="107"/>
  <c r="BH43" i="107"/>
  <c r="BH69" i="107"/>
  <c r="BH18" i="107"/>
  <c r="BH66" i="107"/>
  <c r="BH8" i="107"/>
  <c r="BH49" i="107"/>
  <c r="BH45" i="107"/>
  <c r="BH48" i="107"/>
  <c r="BH44" i="107"/>
  <c r="BH26" i="107"/>
  <c r="BH28" i="107"/>
  <c r="BH13" i="107"/>
  <c r="BH19" i="107"/>
  <c r="BH68" i="107"/>
  <c r="BH24" i="107"/>
  <c r="BH30" i="107"/>
  <c r="BH58" i="107"/>
  <c r="BH55" i="107"/>
  <c r="BH16" i="107"/>
  <c r="BH15" i="107"/>
  <c r="BH33" i="107"/>
  <c r="BH21" i="107"/>
  <c r="BH64" i="107"/>
  <c r="BH27" i="107"/>
  <c r="BH65" i="107"/>
  <c r="BH12" i="107"/>
  <c r="AW54" i="95"/>
  <c r="BB54" i="86"/>
  <c r="BJ75" i="87"/>
  <c r="AW41" i="95"/>
  <c r="AZ75" i="86"/>
  <c r="BJ39" i="87"/>
  <c r="BK75" i="87"/>
  <c r="AZ39" i="86"/>
  <c r="BA75" i="86"/>
  <c r="BL76" i="99"/>
  <c r="BB8" i="86"/>
  <c r="BL8" i="87"/>
  <c r="BP85" i="90"/>
  <c r="BO85" i="90"/>
  <c r="BP82" i="90"/>
  <c r="BO82" i="90"/>
  <c r="BO77" i="90"/>
  <c r="BQ74" i="90"/>
  <c r="BQ73" i="90" s="1"/>
  <c r="BQ52" i="90"/>
  <c r="BQ51" i="90"/>
  <c r="BP41" i="90"/>
  <c r="BQ42" i="90"/>
  <c r="BQ9" i="90"/>
  <c r="BQ7" i="90"/>
  <c r="BQ6" i="90"/>
  <c r="BQ78" i="90"/>
  <c r="BP77" i="90"/>
  <c r="BP73" i="90"/>
  <c r="BQ71" i="90"/>
  <c r="BP50" i="90"/>
  <c r="BP35" i="90"/>
  <c r="BO35" i="90"/>
  <c r="BP5" i="90"/>
  <c r="BO5" i="90"/>
  <c r="AB85" i="89"/>
  <c r="AA85" i="89"/>
  <c r="AB82" i="89"/>
  <c r="AA82" i="89"/>
  <c r="AA77" i="89"/>
  <c r="AB74" i="89"/>
  <c r="AB73" i="89" s="1"/>
  <c r="AA74" i="89"/>
  <c r="AA73" i="89" s="1"/>
  <c r="AC71" i="89"/>
  <c r="AC68" i="89"/>
  <c r="AC67" i="89"/>
  <c r="AC64" i="89"/>
  <c r="AC63" i="89"/>
  <c r="AC60" i="89"/>
  <c r="AC59" i="89"/>
  <c r="AC56" i="89"/>
  <c r="AA54" i="89"/>
  <c r="AC51" i="89"/>
  <c r="AC45" i="89"/>
  <c r="AA41" i="89"/>
  <c r="AB36" i="89"/>
  <c r="AA36" i="89"/>
  <c r="AA35" i="89" s="1"/>
  <c r="AC32" i="89"/>
  <c r="AC30" i="89"/>
  <c r="AC28" i="89"/>
  <c r="AC26" i="89"/>
  <c r="AC24" i="89"/>
  <c r="AC20" i="89"/>
  <c r="AC19" i="89"/>
  <c r="AC18" i="89"/>
  <c r="AB8" i="89"/>
  <c r="AC16" i="89"/>
  <c r="AA5" i="89"/>
  <c r="AB77" i="89"/>
  <c r="AC70" i="89"/>
  <c r="AC69" i="89"/>
  <c r="AC66" i="89"/>
  <c r="AC65" i="89"/>
  <c r="AC62" i="89"/>
  <c r="AC61" i="89"/>
  <c r="AC58" i="89"/>
  <c r="AC57" i="89"/>
  <c r="AB54" i="89"/>
  <c r="AC52" i="89"/>
  <c r="AB50" i="89"/>
  <c r="AC48" i="89"/>
  <c r="AC47" i="89"/>
  <c r="AC46" i="89"/>
  <c r="AC44" i="89"/>
  <c r="AC43" i="89"/>
  <c r="AC42" i="89"/>
  <c r="AB41" i="89"/>
  <c r="AC33" i="89"/>
  <c r="AC31" i="89"/>
  <c r="AC29" i="89"/>
  <c r="AC27" i="89"/>
  <c r="AC25" i="89"/>
  <c r="AC21" i="89"/>
  <c r="AC17" i="89"/>
  <c r="AC15" i="89"/>
  <c r="AC14" i="89"/>
  <c r="AC13" i="89"/>
  <c r="AC12" i="89"/>
  <c r="AC11" i="89"/>
  <c r="AC10" i="89"/>
  <c r="AC9" i="89"/>
  <c r="AC7" i="89"/>
  <c r="AB5" i="89"/>
  <c r="M54" i="89"/>
  <c r="L54" i="89"/>
  <c r="M54" i="91"/>
  <c r="L54" i="91"/>
  <c r="DP81" i="106" l="1"/>
  <c r="DP83" i="106" s="1"/>
  <c r="DP84" i="106" s="1"/>
  <c r="DP87" i="106" s="1"/>
  <c r="DP77" i="106"/>
  <c r="DP89" i="106"/>
  <c r="S97" i="138"/>
  <c r="AN84" i="103"/>
  <c r="AM86" i="103"/>
  <c r="AM87" i="103" s="1"/>
  <c r="AR86" i="103"/>
  <c r="AR87" i="103" s="1"/>
  <c r="AS84" i="103"/>
  <c r="AC85" i="89"/>
  <c r="AC82" i="89"/>
  <c r="BQ82" i="90"/>
  <c r="AC74" i="89"/>
  <c r="AC73" i="89" s="1"/>
  <c r="BQ5" i="90"/>
  <c r="BA76" i="86"/>
  <c r="BA81" i="86"/>
  <c r="BA83" i="86" s="1"/>
  <c r="BA84" i="86" s="1"/>
  <c r="BA86" i="86" s="1"/>
  <c r="BA87" i="86" s="1"/>
  <c r="AZ81" i="86"/>
  <c r="AZ83" i="86" s="1"/>
  <c r="AZ84" i="86" s="1"/>
  <c r="AZ86" i="86" s="1"/>
  <c r="AZ87" i="86" s="1"/>
  <c r="BK76" i="87"/>
  <c r="BK81" i="87"/>
  <c r="BK83" i="87" s="1"/>
  <c r="BK84" i="87" s="1"/>
  <c r="BK86" i="87" s="1"/>
  <c r="BK87" i="87" s="1"/>
  <c r="BJ76" i="87"/>
  <c r="BJ81" i="87"/>
  <c r="BJ83" i="87" s="1"/>
  <c r="BJ84" i="87" s="1"/>
  <c r="BJ86" i="87" s="1"/>
  <c r="BJ87" i="87" s="1"/>
  <c r="BQ85" i="90"/>
  <c r="AZ76" i="86"/>
  <c r="BO73" i="90"/>
  <c r="AA50" i="89"/>
  <c r="BQ50" i="90"/>
  <c r="AC50" i="89"/>
  <c r="AC36" i="89"/>
  <c r="AC35" i="89" s="1"/>
  <c r="BP54" i="90"/>
  <c r="AA8" i="89"/>
  <c r="AA38" i="89" s="1"/>
  <c r="AA39" i="89" s="1"/>
  <c r="BO54" i="90"/>
  <c r="BP38" i="90"/>
  <c r="BQ54" i="90"/>
  <c r="BB38" i="86"/>
  <c r="BB75" i="86" s="1"/>
  <c r="BB76" i="86" s="1"/>
  <c r="BL38" i="87"/>
  <c r="BO50" i="90"/>
  <c r="BQ41" i="90"/>
  <c r="BO41" i="90"/>
  <c r="BO38" i="90"/>
  <c r="BQ35" i="90"/>
  <c r="AC78" i="89"/>
  <c r="AC55" i="89"/>
  <c r="AB35" i="89"/>
  <c r="AC8" i="89"/>
  <c r="AB38" i="89"/>
  <c r="AB75" i="89" s="1"/>
  <c r="AC6" i="89"/>
  <c r="AC5" i="89" s="1"/>
  <c r="AC41" i="89"/>
  <c r="BE85" i="91"/>
  <c r="BF85" i="91"/>
  <c r="BF82" i="91"/>
  <c r="BE82" i="91"/>
  <c r="BF74" i="91"/>
  <c r="DQ49" i="106" l="1"/>
  <c r="DQ18" i="106"/>
  <c r="DQ59" i="106"/>
  <c r="DQ22" i="106"/>
  <c r="DQ11" i="106"/>
  <c r="DQ51" i="106"/>
  <c r="DQ62" i="106"/>
  <c r="DQ32" i="106"/>
  <c r="DQ30" i="106"/>
  <c r="DQ54" i="106"/>
  <c r="DQ24" i="106"/>
  <c r="DQ31" i="106"/>
  <c r="DQ61" i="106"/>
  <c r="DQ20" i="106"/>
  <c r="DQ13" i="106"/>
  <c r="DQ36" i="106"/>
  <c r="DQ67" i="106"/>
  <c r="DQ42" i="106"/>
  <c r="DP91" i="106"/>
  <c r="DQ8" i="106"/>
  <c r="DQ29" i="106"/>
  <c r="DQ17" i="106"/>
  <c r="DQ69" i="106"/>
  <c r="DQ70" i="106"/>
  <c r="DQ14" i="106"/>
  <c r="DQ46" i="106"/>
  <c r="DQ60" i="106"/>
  <c r="DQ48" i="106"/>
  <c r="DQ68" i="106"/>
  <c r="DQ71" i="106"/>
  <c r="DQ23" i="106"/>
  <c r="DQ12" i="106"/>
  <c r="DQ66" i="106"/>
  <c r="DQ44" i="106"/>
  <c r="DQ63" i="106"/>
  <c r="DQ58" i="106"/>
  <c r="DQ28" i="106"/>
  <c r="DQ9" i="106"/>
  <c r="DQ41" i="106"/>
  <c r="DQ25" i="106"/>
  <c r="DQ56" i="106"/>
  <c r="DQ10" i="106"/>
  <c r="DQ16" i="106"/>
  <c r="DQ21" i="106"/>
  <c r="DQ52" i="106"/>
  <c r="DQ27" i="106"/>
  <c r="DQ45" i="106"/>
  <c r="DQ47" i="106"/>
  <c r="DQ72" i="106"/>
  <c r="DQ57" i="106"/>
  <c r="DQ15" i="106"/>
  <c r="DQ43" i="106"/>
  <c r="DQ64" i="106"/>
  <c r="DQ65" i="106"/>
  <c r="DQ33" i="106"/>
  <c r="DQ55" i="106"/>
  <c r="DQ26" i="106"/>
  <c r="DQ19" i="106"/>
  <c r="DP90" i="106"/>
  <c r="C34" i="101"/>
  <c r="F34" i="101" s="1"/>
  <c r="H34" i="101" s="1"/>
  <c r="AC38" i="89"/>
  <c r="AC39" i="89" s="1"/>
  <c r="BP75" i="90"/>
  <c r="BP76" i="90" s="1"/>
  <c r="BE54" i="91"/>
  <c r="BF54" i="91"/>
  <c r="BQ8" i="90"/>
  <c r="AA75" i="89"/>
  <c r="AA81" i="89" s="1"/>
  <c r="AA83" i="89" s="1"/>
  <c r="AA84" i="89" s="1"/>
  <c r="AA86" i="89" s="1"/>
  <c r="AA87" i="89" s="1"/>
  <c r="BP39" i="90"/>
  <c r="BB39" i="86"/>
  <c r="BL39" i="87"/>
  <c r="BL75" i="87"/>
  <c r="BO75" i="90"/>
  <c r="BO39" i="90"/>
  <c r="AC54" i="89"/>
  <c r="AB39" i="89"/>
  <c r="AB81" i="89"/>
  <c r="AB83" i="89" s="1"/>
  <c r="AB84" i="89" s="1"/>
  <c r="AB86" i="89" s="1"/>
  <c r="AB87" i="89" s="1"/>
  <c r="AB76" i="89"/>
  <c r="BG85" i="91"/>
  <c r="BG82" i="91"/>
  <c r="BG78" i="91"/>
  <c r="BF77" i="91"/>
  <c r="BE77" i="91"/>
  <c r="BG74" i="91"/>
  <c r="BG73" i="91" s="1"/>
  <c r="BF73" i="91"/>
  <c r="BE73" i="91"/>
  <c r="BG71" i="91"/>
  <c r="BG70" i="91"/>
  <c r="BG69" i="91"/>
  <c r="BG68" i="91"/>
  <c r="BG67" i="91"/>
  <c r="BG66" i="91"/>
  <c r="BG65" i="91"/>
  <c r="BG64" i="91"/>
  <c r="BG63" i="91"/>
  <c r="BG62" i="91"/>
  <c r="BG61" i="91"/>
  <c r="BG60" i="91"/>
  <c r="BG59" i="91"/>
  <c r="BG58" i="91"/>
  <c r="BG57" i="91"/>
  <c r="BG56" i="91"/>
  <c r="BG55" i="91"/>
  <c r="BG50" i="91"/>
  <c r="BF50" i="91"/>
  <c r="BE50" i="91"/>
  <c r="BF41" i="91"/>
  <c r="BE41" i="91"/>
  <c r="BG36" i="91"/>
  <c r="BF35" i="91"/>
  <c r="BE35" i="91"/>
  <c r="BG33" i="91"/>
  <c r="BG32" i="91"/>
  <c r="BG31" i="91"/>
  <c r="BG30" i="91"/>
  <c r="BG29" i="91"/>
  <c r="BG28" i="91"/>
  <c r="BG27" i="91"/>
  <c r="BG26" i="91"/>
  <c r="BG25" i="91"/>
  <c r="BG21" i="91"/>
  <c r="BG20" i="91"/>
  <c r="BG19" i="91"/>
  <c r="BG18" i="91"/>
  <c r="BG17" i="91"/>
  <c r="BG16" i="91"/>
  <c r="BG15" i="91"/>
  <c r="BG14" i="91"/>
  <c r="BG13" i="91"/>
  <c r="BG12" i="91"/>
  <c r="BG11" i="91"/>
  <c r="BG10" i="91"/>
  <c r="BG9" i="91"/>
  <c r="BF8" i="91"/>
  <c r="BE8" i="91"/>
  <c r="BG7" i="91"/>
  <c r="BG6" i="91"/>
  <c r="I85" i="99"/>
  <c r="E85" i="99"/>
  <c r="I82" i="99"/>
  <c r="E82" i="99"/>
  <c r="E79" i="99"/>
  <c r="I78" i="99"/>
  <c r="E78" i="99"/>
  <c r="H77" i="99"/>
  <c r="G77" i="99"/>
  <c r="D77" i="99"/>
  <c r="C77" i="99"/>
  <c r="I74" i="99"/>
  <c r="I73" i="99" s="1"/>
  <c r="C74" i="99"/>
  <c r="E74" i="99" s="1"/>
  <c r="E73" i="99" s="1"/>
  <c r="H73" i="99"/>
  <c r="G73" i="99"/>
  <c r="D73" i="99"/>
  <c r="I71" i="99"/>
  <c r="E71" i="99"/>
  <c r="I70" i="99"/>
  <c r="E70" i="99"/>
  <c r="I69" i="99"/>
  <c r="E69" i="99"/>
  <c r="I68" i="99"/>
  <c r="E68" i="99"/>
  <c r="I67" i="99"/>
  <c r="E67" i="99"/>
  <c r="I66" i="99"/>
  <c r="E66" i="99"/>
  <c r="I65" i="99"/>
  <c r="E65" i="99"/>
  <c r="I64" i="99"/>
  <c r="E64" i="99"/>
  <c r="I63" i="99"/>
  <c r="E63" i="99"/>
  <c r="I62" i="99"/>
  <c r="E62" i="99"/>
  <c r="I61" i="99"/>
  <c r="E61" i="99"/>
  <c r="I60" i="99"/>
  <c r="E60" i="99"/>
  <c r="I59" i="99"/>
  <c r="E59" i="99"/>
  <c r="I58" i="99"/>
  <c r="E58" i="99"/>
  <c r="I57" i="99"/>
  <c r="E57" i="99"/>
  <c r="I56" i="99"/>
  <c r="E56" i="99"/>
  <c r="I55" i="99"/>
  <c r="E55" i="99"/>
  <c r="D54" i="99"/>
  <c r="C54" i="99"/>
  <c r="I52" i="99"/>
  <c r="E52" i="99"/>
  <c r="I51" i="99"/>
  <c r="E51" i="99"/>
  <c r="E50" i="99" s="1"/>
  <c r="H50" i="99"/>
  <c r="G50" i="99"/>
  <c r="I48" i="99"/>
  <c r="E48" i="99"/>
  <c r="I47" i="99"/>
  <c r="E47" i="99"/>
  <c r="I46" i="99"/>
  <c r="E46" i="99"/>
  <c r="I45" i="99"/>
  <c r="E45" i="99"/>
  <c r="I44" i="99"/>
  <c r="E44" i="99"/>
  <c r="I43" i="99"/>
  <c r="E43" i="99"/>
  <c r="I42" i="99"/>
  <c r="E42" i="99"/>
  <c r="H41" i="99"/>
  <c r="G41" i="99"/>
  <c r="D41" i="99"/>
  <c r="C41" i="99"/>
  <c r="I36" i="99"/>
  <c r="I35" i="99" s="1"/>
  <c r="E36" i="99"/>
  <c r="E35" i="99" s="1"/>
  <c r="H35" i="99"/>
  <c r="G35" i="99"/>
  <c r="D35" i="99"/>
  <c r="C35" i="99"/>
  <c r="I33" i="99"/>
  <c r="E33" i="99"/>
  <c r="I32" i="99"/>
  <c r="E32" i="99"/>
  <c r="I31" i="99"/>
  <c r="E31" i="99"/>
  <c r="I30" i="99"/>
  <c r="E30" i="99"/>
  <c r="I29" i="99"/>
  <c r="E29" i="99"/>
  <c r="I28" i="99"/>
  <c r="E28" i="99"/>
  <c r="I27" i="99"/>
  <c r="E27" i="99"/>
  <c r="I26" i="99"/>
  <c r="E26" i="99"/>
  <c r="I25" i="99"/>
  <c r="E25" i="99"/>
  <c r="I24" i="99"/>
  <c r="E24" i="99"/>
  <c r="I21" i="99"/>
  <c r="E21" i="99"/>
  <c r="I20" i="99"/>
  <c r="E20" i="99"/>
  <c r="I19" i="99"/>
  <c r="E19" i="99"/>
  <c r="I18" i="99"/>
  <c r="E18" i="99"/>
  <c r="I17" i="99"/>
  <c r="E17" i="99"/>
  <c r="I16" i="99"/>
  <c r="E16" i="99"/>
  <c r="I15" i="99"/>
  <c r="E15" i="99"/>
  <c r="I14" i="99"/>
  <c r="E14" i="99"/>
  <c r="I13" i="99"/>
  <c r="E13" i="99"/>
  <c r="I12" i="99"/>
  <c r="E12" i="99"/>
  <c r="I11" i="99"/>
  <c r="E11" i="99"/>
  <c r="I10" i="99"/>
  <c r="E10" i="99"/>
  <c r="I9" i="99"/>
  <c r="E9" i="99"/>
  <c r="H8" i="99"/>
  <c r="G8" i="99"/>
  <c r="D8" i="99"/>
  <c r="C8" i="99"/>
  <c r="I7" i="99"/>
  <c r="E7" i="99"/>
  <c r="I6" i="99"/>
  <c r="I5" i="99" s="1"/>
  <c r="E6" i="99"/>
  <c r="E5" i="99" s="1"/>
  <c r="H5" i="99"/>
  <c r="H38" i="99" s="1"/>
  <c r="G5" i="99"/>
  <c r="D5" i="99"/>
  <c r="C5" i="99"/>
  <c r="C38" i="99" s="1"/>
  <c r="E41" i="99" l="1"/>
  <c r="I41" i="99"/>
  <c r="E77" i="99"/>
  <c r="E8" i="99"/>
  <c r="E54" i="99"/>
  <c r="AA76" i="89"/>
  <c r="BG5" i="91"/>
  <c r="BE38" i="91"/>
  <c r="BE39" i="91" s="1"/>
  <c r="BF38" i="91"/>
  <c r="BF39" i="91" s="1"/>
  <c r="BQ38" i="90"/>
  <c r="BQ39" i="90" s="1"/>
  <c r="BP81" i="90"/>
  <c r="BP83" i="90" s="1"/>
  <c r="BP84" i="90" s="1"/>
  <c r="BP86" i="90" s="1"/>
  <c r="BP87" i="90" s="1"/>
  <c r="BO81" i="90"/>
  <c r="BO83" i="90" s="1"/>
  <c r="BO84" i="90" s="1"/>
  <c r="BO86" i="90" s="1"/>
  <c r="BO87" i="90" s="1"/>
  <c r="G38" i="99"/>
  <c r="G75" i="99" s="1"/>
  <c r="G76" i="99" s="1"/>
  <c r="BG54" i="91"/>
  <c r="D38" i="99"/>
  <c r="D75" i="99" s="1"/>
  <c r="I54" i="99"/>
  <c r="I79" i="99"/>
  <c r="BL79" i="99" s="1"/>
  <c r="I8" i="99"/>
  <c r="I38" i="99" s="1"/>
  <c r="I39" i="99" s="1"/>
  <c r="BO76" i="90"/>
  <c r="BL76" i="87"/>
  <c r="AC75" i="89"/>
  <c r="BG41" i="91"/>
  <c r="BG8" i="91"/>
  <c r="BG35" i="91"/>
  <c r="C75" i="99"/>
  <c r="C39" i="99"/>
  <c r="H75" i="99"/>
  <c r="H39" i="99"/>
  <c r="C73" i="99"/>
  <c r="I50" i="99"/>
  <c r="N85" i="85"/>
  <c r="N82" i="85"/>
  <c r="N78" i="85"/>
  <c r="M77" i="85"/>
  <c r="L77" i="85"/>
  <c r="N74" i="85"/>
  <c r="N73" i="85" s="1"/>
  <c r="M73" i="85"/>
  <c r="L73" i="85"/>
  <c r="N71" i="85"/>
  <c r="N70" i="85"/>
  <c r="N69" i="85"/>
  <c r="N68" i="85"/>
  <c r="N67" i="85"/>
  <c r="N66" i="85"/>
  <c r="N65" i="85"/>
  <c r="N64" i="85"/>
  <c r="N63" i="85"/>
  <c r="N62" i="85"/>
  <c r="N61" i="85"/>
  <c r="N60" i="85"/>
  <c r="N59" i="85"/>
  <c r="N58" i="85"/>
  <c r="N57" i="85"/>
  <c r="N56" i="85"/>
  <c r="N55" i="85"/>
  <c r="N52" i="85"/>
  <c r="N51" i="85"/>
  <c r="M50" i="85"/>
  <c r="L50" i="85"/>
  <c r="N48" i="85"/>
  <c r="N47" i="85"/>
  <c r="N46" i="85"/>
  <c r="N45" i="85"/>
  <c r="N44" i="85"/>
  <c r="N43" i="85"/>
  <c r="N42" i="85"/>
  <c r="M41" i="85"/>
  <c r="L41" i="85"/>
  <c r="N36" i="85"/>
  <c r="M35" i="85"/>
  <c r="L35" i="85"/>
  <c r="N33" i="85"/>
  <c r="N32" i="85"/>
  <c r="N31" i="85"/>
  <c r="N30" i="85"/>
  <c r="N29" i="85"/>
  <c r="N28" i="85"/>
  <c r="N27" i="85"/>
  <c r="N26" i="85"/>
  <c r="N25" i="85"/>
  <c r="N24" i="85"/>
  <c r="N21" i="85"/>
  <c r="N20" i="85"/>
  <c r="N19" i="85"/>
  <c r="N18" i="85"/>
  <c r="N17" i="85"/>
  <c r="N16" i="85"/>
  <c r="N15" i="85"/>
  <c r="N14" i="85"/>
  <c r="N13" i="85"/>
  <c r="N12" i="85"/>
  <c r="N11" i="85"/>
  <c r="N10" i="85"/>
  <c r="N9" i="85"/>
  <c r="M8" i="85"/>
  <c r="L8" i="85"/>
  <c r="N7" i="85"/>
  <c r="M5" i="85"/>
  <c r="N85" i="86"/>
  <c r="N82" i="86"/>
  <c r="N78" i="86"/>
  <c r="M77" i="86"/>
  <c r="L77" i="86"/>
  <c r="N74" i="86"/>
  <c r="N73" i="86" s="1"/>
  <c r="M73" i="86"/>
  <c r="L73" i="86"/>
  <c r="N71" i="86"/>
  <c r="N70" i="86"/>
  <c r="N69" i="86"/>
  <c r="N68" i="86"/>
  <c r="N67" i="86"/>
  <c r="N66" i="86"/>
  <c r="N65" i="86"/>
  <c r="N64" i="86"/>
  <c r="N63" i="86"/>
  <c r="N62" i="86"/>
  <c r="N61" i="86"/>
  <c r="N60" i="86"/>
  <c r="N59" i="86"/>
  <c r="N58" i="86"/>
  <c r="N57" i="86"/>
  <c r="N56" i="86"/>
  <c r="N55" i="86"/>
  <c r="N52" i="86"/>
  <c r="N51" i="86"/>
  <c r="M50" i="86"/>
  <c r="L50" i="86"/>
  <c r="N48" i="86"/>
  <c r="N47" i="86"/>
  <c r="N46" i="86"/>
  <c r="N45" i="86"/>
  <c r="N44" i="86"/>
  <c r="N43" i="86"/>
  <c r="N42" i="86"/>
  <c r="M41" i="86"/>
  <c r="L41" i="86"/>
  <c r="N36" i="86"/>
  <c r="M35" i="86"/>
  <c r="L35" i="86"/>
  <c r="N33" i="86"/>
  <c r="N32" i="86"/>
  <c r="N31" i="86"/>
  <c r="N30" i="86"/>
  <c r="N29" i="86"/>
  <c r="N28" i="86"/>
  <c r="N27" i="86"/>
  <c r="N26" i="86"/>
  <c r="N25" i="86"/>
  <c r="N24" i="86"/>
  <c r="N21" i="86"/>
  <c r="N20" i="86"/>
  <c r="N19" i="86"/>
  <c r="N18" i="86"/>
  <c r="N17" i="86"/>
  <c r="N16" i="86"/>
  <c r="N15" i="86"/>
  <c r="N14" i="86"/>
  <c r="N13" i="86"/>
  <c r="N12" i="86"/>
  <c r="N11" i="86"/>
  <c r="N10" i="86"/>
  <c r="N9" i="86"/>
  <c r="M8" i="86"/>
  <c r="N79" i="86" s="1"/>
  <c r="L8" i="86"/>
  <c r="N7" i="86"/>
  <c r="N6" i="86"/>
  <c r="N5" i="86" s="1"/>
  <c r="M5" i="86"/>
  <c r="L5" i="86"/>
  <c r="N85" i="87"/>
  <c r="N82" i="87"/>
  <c r="N78" i="87"/>
  <c r="M77" i="87"/>
  <c r="L77" i="87"/>
  <c r="N73" i="87"/>
  <c r="M73" i="87"/>
  <c r="L73" i="87"/>
  <c r="N71" i="87"/>
  <c r="N70" i="87"/>
  <c r="N69" i="87"/>
  <c r="N68" i="87"/>
  <c r="N67" i="87"/>
  <c r="N66" i="87"/>
  <c r="N65" i="87"/>
  <c r="N64" i="87"/>
  <c r="N63" i="87"/>
  <c r="N62" i="87"/>
  <c r="N61" i="87"/>
  <c r="N60" i="87"/>
  <c r="N59" i="87"/>
  <c r="N58" i="87"/>
  <c r="N57" i="87"/>
  <c r="N56" i="87"/>
  <c r="N55" i="87"/>
  <c r="N52" i="87"/>
  <c r="N51" i="87"/>
  <c r="M50" i="87"/>
  <c r="L50" i="87"/>
  <c r="N48" i="87"/>
  <c r="N47" i="87"/>
  <c r="N46" i="87"/>
  <c r="N45" i="87"/>
  <c r="N44" i="87"/>
  <c r="N43" i="87"/>
  <c r="N42" i="87"/>
  <c r="M41" i="87"/>
  <c r="L41" i="87"/>
  <c r="N36" i="87"/>
  <c r="M35" i="87"/>
  <c r="L35" i="87"/>
  <c r="N33" i="87"/>
  <c r="N32" i="87"/>
  <c r="N31" i="87"/>
  <c r="N30" i="87"/>
  <c r="N29" i="87"/>
  <c r="N28" i="87"/>
  <c r="N27" i="87"/>
  <c r="N26" i="87"/>
  <c r="N25" i="87"/>
  <c r="N24" i="87"/>
  <c r="N21" i="87"/>
  <c r="N20" i="87"/>
  <c r="N19" i="87"/>
  <c r="N18" i="87"/>
  <c r="N17" i="87"/>
  <c r="N16" i="87"/>
  <c r="N15" i="87"/>
  <c r="N14" i="87"/>
  <c r="N13" i="87"/>
  <c r="N12" i="87"/>
  <c r="N11" i="87"/>
  <c r="N10" i="87"/>
  <c r="N9" i="87"/>
  <c r="M8" i="87"/>
  <c r="L8" i="87"/>
  <c r="N7" i="87"/>
  <c r="N6" i="87"/>
  <c r="N5" i="87" s="1"/>
  <c r="M5" i="87"/>
  <c r="L5" i="87"/>
  <c r="N85" i="90"/>
  <c r="N82" i="90"/>
  <c r="N78" i="90"/>
  <c r="M77" i="90"/>
  <c r="L77" i="90"/>
  <c r="N74" i="90"/>
  <c r="N73" i="90" s="1"/>
  <c r="M73" i="90"/>
  <c r="L73" i="90"/>
  <c r="N71" i="90"/>
  <c r="N70" i="90"/>
  <c r="N69" i="90"/>
  <c r="N68" i="90"/>
  <c r="N67" i="90"/>
  <c r="N66" i="90"/>
  <c r="N65" i="90"/>
  <c r="N64" i="90"/>
  <c r="N63" i="90"/>
  <c r="N62" i="90"/>
  <c r="N61" i="90"/>
  <c r="N60" i="90"/>
  <c r="N59" i="90"/>
  <c r="N58" i="90"/>
  <c r="N57" i="90"/>
  <c r="N56" i="90"/>
  <c r="N55" i="90"/>
  <c r="N52" i="90"/>
  <c r="N51" i="90"/>
  <c r="M50" i="90"/>
  <c r="L50" i="90"/>
  <c r="N48" i="90"/>
  <c r="N47" i="90"/>
  <c r="N46" i="90"/>
  <c r="N45" i="90"/>
  <c r="N44" i="90"/>
  <c r="N43" i="90"/>
  <c r="N42" i="90"/>
  <c r="M41" i="90"/>
  <c r="L41" i="90"/>
  <c r="N36" i="90"/>
  <c r="M35" i="90"/>
  <c r="L35" i="90"/>
  <c r="N33" i="90"/>
  <c r="N32" i="90"/>
  <c r="N31" i="90"/>
  <c r="N30" i="90"/>
  <c r="N29" i="90"/>
  <c r="N28" i="90"/>
  <c r="N27" i="90"/>
  <c r="N26" i="90"/>
  <c r="N25" i="90"/>
  <c r="N24" i="90"/>
  <c r="N21" i="90"/>
  <c r="N20" i="90"/>
  <c r="N19" i="90"/>
  <c r="N18" i="90"/>
  <c r="N17" i="90"/>
  <c r="N16" i="90"/>
  <c r="N15" i="90"/>
  <c r="N14" i="90"/>
  <c r="N13" i="90"/>
  <c r="N12" i="90"/>
  <c r="N11" i="90"/>
  <c r="N10" i="90"/>
  <c r="N9" i="90"/>
  <c r="M8" i="90"/>
  <c r="L8" i="90"/>
  <c r="N7" i="90"/>
  <c r="N6" i="90"/>
  <c r="N5" i="90" s="1"/>
  <c r="M5" i="90"/>
  <c r="L5" i="90"/>
  <c r="N85" i="89"/>
  <c r="N82" i="89"/>
  <c r="N78" i="89"/>
  <c r="M77" i="89"/>
  <c r="L77" i="89"/>
  <c r="N74" i="89"/>
  <c r="N73" i="89" s="1"/>
  <c r="M73" i="89"/>
  <c r="L73" i="89"/>
  <c r="N71" i="89"/>
  <c r="N70" i="89"/>
  <c r="N69" i="89"/>
  <c r="N68" i="89"/>
  <c r="N67" i="89"/>
  <c r="N66" i="89"/>
  <c r="N65" i="89"/>
  <c r="N64" i="89"/>
  <c r="N63" i="89"/>
  <c r="N62" i="89"/>
  <c r="N61" i="89"/>
  <c r="N60" i="89"/>
  <c r="N59" i="89"/>
  <c r="N58" i="89"/>
  <c r="N57" i="89"/>
  <c r="N56" i="89"/>
  <c r="N55" i="89"/>
  <c r="N52" i="89"/>
  <c r="N51" i="89"/>
  <c r="M50" i="89"/>
  <c r="L50" i="89"/>
  <c r="N48" i="89"/>
  <c r="N47" i="89"/>
  <c r="N46" i="89"/>
  <c r="N45" i="89"/>
  <c r="N44" i="89"/>
  <c r="N43" i="89"/>
  <c r="N42" i="89"/>
  <c r="M41" i="89"/>
  <c r="L41" i="89"/>
  <c r="N36" i="89"/>
  <c r="N35" i="89" s="1"/>
  <c r="M35" i="89"/>
  <c r="L35" i="89"/>
  <c r="N33" i="89"/>
  <c r="N32" i="89"/>
  <c r="N31" i="89"/>
  <c r="N30" i="89"/>
  <c r="N29" i="89"/>
  <c r="N28" i="89"/>
  <c r="N27" i="89"/>
  <c r="N26" i="89"/>
  <c r="N25" i="89"/>
  <c r="N24" i="89"/>
  <c r="N21" i="89"/>
  <c r="N20" i="89"/>
  <c r="N19" i="89"/>
  <c r="N18" i="89"/>
  <c r="N17" i="89"/>
  <c r="N16" i="89"/>
  <c r="N15" i="89"/>
  <c r="N14" i="89"/>
  <c r="N13" i="89"/>
  <c r="N12" i="89"/>
  <c r="N11" i="89"/>
  <c r="N10" i="89"/>
  <c r="N9" i="89"/>
  <c r="M8" i="89"/>
  <c r="L8" i="89"/>
  <c r="N7" i="89"/>
  <c r="N6" i="89"/>
  <c r="N5" i="89" s="1"/>
  <c r="M5" i="89"/>
  <c r="L5" i="89"/>
  <c r="N85" i="91"/>
  <c r="N82" i="91"/>
  <c r="N78" i="91"/>
  <c r="M77" i="91"/>
  <c r="L77" i="91"/>
  <c r="N74" i="91"/>
  <c r="N73" i="91" s="1"/>
  <c r="M73" i="91"/>
  <c r="L73" i="91"/>
  <c r="N71" i="91"/>
  <c r="N70" i="91"/>
  <c r="N69" i="91"/>
  <c r="N68" i="91"/>
  <c r="N67" i="91"/>
  <c r="N66" i="91"/>
  <c r="N65" i="91"/>
  <c r="N64" i="91"/>
  <c r="N63" i="91"/>
  <c r="N62" i="91"/>
  <c r="N61" i="91"/>
  <c r="N60" i="91"/>
  <c r="N59" i="91"/>
  <c r="N58" i="91"/>
  <c r="N57" i="91"/>
  <c r="N56" i="91"/>
  <c r="N55" i="91"/>
  <c r="N52" i="91"/>
  <c r="N51" i="91"/>
  <c r="M50" i="91"/>
  <c r="L50" i="91"/>
  <c r="N48" i="91"/>
  <c r="N47" i="91"/>
  <c r="N46" i="91"/>
  <c r="N45" i="91"/>
  <c r="N44" i="91"/>
  <c r="N43" i="91"/>
  <c r="N42" i="91"/>
  <c r="M41" i="91"/>
  <c r="L41" i="91"/>
  <c r="N36" i="91"/>
  <c r="N35" i="91" s="1"/>
  <c r="M35" i="91"/>
  <c r="L35" i="91"/>
  <c r="N33" i="91"/>
  <c r="N32" i="91"/>
  <c r="N31" i="91"/>
  <c r="N30" i="91"/>
  <c r="N29" i="91"/>
  <c r="N28" i="91"/>
  <c r="N27" i="91"/>
  <c r="N26" i="91"/>
  <c r="N25" i="91"/>
  <c r="N24" i="91"/>
  <c r="N21" i="91"/>
  <c r="N20" i="91"/>
  <c r="N19" i="91"/>
  <c r="N18" i="91"/>
  <c r="N17" i="91"/>
  <c r="N16" i="91"/>
  <c r="N15" i="91"/>
  <c r="N14" i="91"/>
  <c r="N13" i="91"/>
  <c r="N12" i="91"/>
  <c r="N11" i="91"/>
  <c r="N10" i="91"/>
  <c r="N9" i="91"/>
  <c r="M8" i="91"/>
  <c r="L8" i="91"/>
  <c r="N7" i="91"/>
  <c r="N6" i="91"/>
  <c r="N5" i="91" s="1"/>
  <c r="M5" i="91"/>
  <c r="L5" i="91"/>
  <c r="M38" i="89" l="1"/>
  <c r="H33" i="101"/>
  <c r="E89" i="99"/>
  <c r="F36" i="99" s="1"/>
  <c r="D39" i="99"/>
  <c r="G81" i="99"/>
  <c r="G83" i="99" s="1"/>
  <c r="G84" i="99" s="1"/>
  <c r="G86" i="99" s="1"/>
  <c r="G87" i="99" s="1"/>
  <c r="L38" i="91"/>
  <c r="L75" i="91" s="1"/>
  <c r="G39" i="99"/>
  <c r="E38" i="99"/>
  <c r="N41" i="87"/>
  <c r="N79" i="85"/>
  <c r="N50" i="85"/>
  <c r="N41" i="91"/>
  <c r="N79" i="89"/>
  <c r="N77" i="89" s="1"/>
  <c r="N41" i="85"/>
  <c r="N41" i="89"/>
  <c r="N50" i="89"/>
  <c r="N79" i="87"/>
  <c r="N77" i="87" s="1"/>
  <c r="N50" i="91"/>
  <c r="M38" i="85"/>
  <c r="M75" i="85" s="1"/>
  <c r="BE75" i="91"/>
  <c r="BE76" i="91" s="1"/>
  <c r="BF75" i="91"/>
  <c r="BF81" i="91" s="1"/>
  <c r="BF83" i="91" s="1"/>
  <c r="BF84" i="91" s="1"/>
  <c r="BF86" i="91" s="1"/>
  <c r="BF87" i="91" s="1"/>
  <c r="BQ75" i="90"/>
  <c r="BQ76" i="90" s="1"/>
  <c r="N79" i="90"/>
  <c r="N54" i="90"/>
  <c r="N50" i="90"/>
  <c r="N50" i="87"/>
  <c r="M38" i="91"/>
  <c r="M39" i="91" s="1"/>
  <c r="N54" i="91"/>
  <c r="N8" i="91"/>
  <c r="N38" i="91" s="1"/>
  <c r="N79" i="91"/>
  <c r="N54" i="89"/>
  <c r="N54" i="87"/>
  <c r="N41" i="86"/>
  <c r="N50" i="86"/>
  <c r="N8" i="85"/>
  <c r="N54" i="85"/>
  <c r="L38" i="87"/>
  <c r="L75" i="87" s="1"/>
  <c r="N8" i="87"/>
  <c r="N38" i="87" s="1"/>
  <c r="M38" i="87"/>
  <c r="M75" i="87" s="1"/>
  <c r="N41" i="90"/>
  <c r="I89" i="99"/>
  <c r="BL77" i="99"/>
  <c r="BL89" i="99"/>
  <c r="BL81" i="99"/>
  <c r="BL83" i="99" s="1"/>
  <c r="BL84" i="99" s="1"/>
  <c r="BL86" i="99" s="1"/>
  <c r="BL87" i="99" s="1"/>
  <c r="I77" i="99"/>
  <c r="N8" i="86"/>
  <c r="N38" i="86" s="1"/>
  <c r="L38" i="86"/>
  <c r="L75" i="86" s="1"/>
  <c r="M38" i="86"/>
  <c r="M75" i="86" s="1"/>
  <c r="N8" i="89"/>
  <c r="N38" i="89" s="1"/>
  <c r="N39" i="89" s="1"/>
  <c r="L38" i="89"/>
  <c r="L75" i="89" s="1"/>
  <c r="N54" i="86"/>
  <c r="N8" i="90"/>
  <c r="L38" i="90"/>
  <c r="L39" i="90" s="1"/>
  <c r="M38" i="90"/>
  <c r="M39" i="90" s="1"/>
  <c r="AC76" i="89"/>
  <c r="BG38" i="91"/>
  <c r="BG75" i="91" s="1"/>
  <c r="F8" i="99"/>
  <c r="F44" i="99"/>
  <c r="F54" i="99"/>
  <c r="F72" i="99"/>
  <c r="F33" i="99"/>
  <c r="F32" i="99"/>
  <c r="F31" i="99"/>
  <c r="F30" i="99"/>
  <c r="F29" i="99"/>
  <c r="F28" i="99"/>
  <c r="F27" i="99"/>
  <c r="F26" i="99"/>
  <c r="F25" i="99"/>
  <c r="F24" i="99"/>
  <c r="F21" i="99"/>
  <c r="F20" i="99"/>
  <c r="F19" i="99"/>
  <c r="F18" i="99"/>
  <c r="F17" i="99"/>
  <c r="F16" i="99"/>
  <c r="F15" i="99"/>
  <c r="F14" i="99"/>
  <c r="F13" i="99"/>
  <c r="F12" i="99"/>
  <c r="F11" i="99"/>
  <c r="F10" i="99"/>
  <c r="F9" i="99"/>
  <c r="F71" i="99"/>
  <c r="F69" i="99"/>
  <c r="F66" i="99"/>
  <c r="F63" i="99"/>
  <c r="F60" i="99"/>
  <c r="F57" i="99"/>
  <c r="F70" i="99"/>
  <c r="F67" i="99"/>
  <c r="F65" i="99"/>
  <c r="F62" i="99"/>
  <c r="F59" i="99"/>
  <c r="F56" i="99"/>
  <c r="F85" i="99"/>
  <c r="F79" i="99"/>
  <c r="F68" i="99"/>
  <c r="F64" i="99"/>
  <c r="F61" i="99"/>
  <c r="F58" i="99"/>
  <c r="F55" i="99"/>
  <c r="F52" i="99"/>
  <c r="F51" i="99"/>
  <c r="F41" i="99"/>
  <c r="F43" i="99"/>
  <c r="F50" i="99"/>
  <c r="F42" i="99"/>
  <c r="I75" i="99"/>
  <c r="F45" i="99"/>
  <c r="F73" i="99"/>
  <c r="F35" i="99"/>
  <c r="C81" i="99"/>
  <c r="C83" i="99" s="1"/>
  <c r="C84" i="99" s="1"/>
  <c r="C86" i="99" s="1"/>
  <c r="C87" i="99" s="1"/>
  <c r="C76" i="99"/>
  <c r="F46" i="99"/>
  <c r="H81" i="99"/>
  <c r="H83" i="99" s="1"/>
  <c r="H84" i="99" s="1"/>
  <c r="H86" i="99" s="1"/>
  <c r="H87" i="99" s="1"/>
  <c r="H76" i="99"/>
  <c r="F48" i="99"/>
  <c r="D81" i="99"/>
  <c r="D83" i="99" s="1"/>
  <c r="D84" i="99" s="1"/>
  <c r="D86" i="99" s="1"/>
  <c r="D87" i="99" s="1"/>
  <c r="D76" i="99"/>
  <c r="F47" i="99"/>
  <c r="F82" i="99"/>
  <c r="N35" i="85"/>
  <c r="N77" i="86"/>
  <c r="M39" i="86"/>
  <c r="N35" i="86"/>
  <c r="N35" i="87"/>
  <c r="N35" i="90"/>
  <c r="M39" i="89"/>
  <c r="M75" i="89"/>
  <c r="L39" i="91"/>
  <c r="BL90" i="99" l="1"/>
  <c r="L39" i="86"/>
  <c r="E39" i="99"/>
  <c r="E75" i="99"/>
  <c r="L39" i="87"/>
  <c r="M75" i="91"/>
  <c r="BL93" i="99"/>
  <c r="M39" i="85"/>
  <c r="M39" i="87"/>
  <c r="N89" i="85"/>
  <c r="O62" i="85" s="1"/>
  <c r="BE81" i="91"/>
  <c r="BE83" i="91" s="1"/>
  <c r="BE84" i="91" s="1"/>
  <c r="BE86" i="91" s="1"/>
  <c r="BE87" i="91" s="1"/>
  <c r="J48" i="99"/>
  <c r="BF76" i="91"/>
  <c r="AH77" i="87"/>
  <c r="AH86" i="87"/>
  <c r="AH87" i="87" s="1"/>
  <c r="N77" i="90"/>
  <c r="N89" i="91"/>
  <c r="L75" i="90"/>
  <c r="L81" i="90" s="1"/>
  <c r="L83" i="90" s="1"/>
  <c r="L84" i="90" s="1"/>
  <c r="L86" i="90" s="1"/>
  <c r="L87" i="90" s="1"/>
  <c r="BM24" i="99"/>
  <c r="BM23" i="99"/>
  <c r="BM21" i="99"/>
  <c r="BM25" i="99"/>
  <c r="BM22" i="99"/>
  <c r="J41" i="99"/>
  <c r="J16" i="99"/>
  <c r="J54" i="99"/>
  <c r="J20" i="99"/>
  <c r="J15" i="99"/>
  <c r="J18" i="99"/>
  <c r="J49" i="99"/>
  <c r="N38" i="90"/>
  <c r="N75" i="90" s="1"/>
  <c r="N81" i="90" s="1"/>
  <c r="N83" i="90" s="1"/>
  <c r="N84" i="90" s="1"/>
  <c r="N89" i="90"/>
  <c r="J59" i="99"/>
  <c r="J26" i="99"/>
  <c r="J71" i="99"/>
  <c r="J28" i="99"/>
  <c r="J31" i="99"/>
  <c r="J58" i="99"/>
  <c r="J64" i="99"/>
  <c r="J69" i="99"/>
  <c r="J60" i="99"/>
  <c r="J21" i="99"/>
  <c r="J32" i="99"/>
  <c r="J42" i="99"/>
  <c r="J72" i="99"/>
  <c r="J29" i="99"/>
  <c r="J30" i="99"/>
  <c r="J27" i="99"/>
  <c r="J10" i="99"/>
  <c r="J70" i="99"/>
  <c r="J63" i="99"/>
  <c r="J36" i="99"/>
  <c r="N77" i="85"/>
  <c r="J11" i="99"/>
  <c r="J67" i="99"/>
  <c r="J66" i="99"/>
  <c r="J52" i="99"/>
  <c r="J8" i="99"/>
  <c r="J57" i="99"/>
  <c r="J9" i="99"/>
  <c r="J68" i="99"/>
  <c r="J25" i="99"/>
  <c r="J56" i="99"/>
  <c r="J24" i="99"/>
  <c r="J47" i="99"/>
  <c r="J46" i="99"/>
  <c r="J44" i="99"/>
  <c r="J19" i="99"/>
  <c r="J51" i="99"/>
  <c r="J14" i="99"/>
  <c r="J61" i="99"/>
  <c r="J17" i="99"/>
  <c r="J65" i="99"/>
  <c r="J62" i="99"/>
  <c r="J13" i="99"/>
  <c r="J33" i="99"/>
  <c r="J12" i="99"/>
  <c r="J55" i="99"/>
  <c r="J45" i="99"/>
  <c r="J43" i="99"/>
  <c r="N77" i="91"/>
  <c r="N89" i="87"/>
  <c r="AD9" i="87" s="1"/>
  <c r="N39" i="86"/>
  <c r="N75" i="86"/>
  <c r="N76" i="86" s="1"/>
  <c r="N89" i="86"/>
  <c r="AX72" i="86" s="1"/>
  <c r="N75" i="87"/>
  <c r="N81" i="87" s="1"/>
  <c r="N83" i="87" s="1"/>
  <c r="N84" i="87" s="1"/>
  <c r="N86" i="87" s="1"/>
  <c r="N87" i="87" s="1"/>
  <c r="N39" i="87"/>
  <c r="BM69" i="99"/>
  <c r="BM52" i="99"/>
  <c r="BM29" i="99"/>
  <c r="BM11" i="99"/>
  <c r="BM20" i="99"/>
  <c r="BM64" i="99"/>
  <c r="BM47" i="99"/>
  <c r="BM62" i="99"/>
  <c r="BM71" i="99"/>
  <c r="BM55" i="99"/>
  <c r="BM31" i="99"/>
  <c r="BM13" i="99"/>
  <c r="BM45" i="99"/>
  <c r="BM68" i="99"/>
  <c r="BM16" i="99"/>
  <c r="BM58" i="99"/>
  <c r="BM65" i="99"/>
  <c r="BM48" i="99"/>
  <c r="BM70" i="99"/>
  <c r="BM8" i="99"/>
  <c r="BM60" i="99"/>
  <c r="BM43" i="99"/>
  <c r="BM18" i="99"/>
  <c r="BM49" i="99"/>
  <c r="BM67" i="99"/>
  <c r="BM41" i="99"/>
  <c r="BM27" i="99"/>
  <c r="BM9" i="99"/>
  <c r="BM26" i="99"/>
  <c r="BM36" i="99"/>
  <c r="BM59" i="99"/>
  <c r="BM61" i="99"/>
  <c r="BM44" i="99"/>
  <c r="BM19" i="99"/>
  <c r="BM54" i="99"/>
  <c r="BM72" i="99"/>
  <c r="BM56" i="99"/>
  <c r="BM32" i="99"/>
  <c r="BM14" i="99"/>
  <c r="BM30" i="99"/>
  <c r="BM63" i="99"/>
  <c r="BM46" i="99"/>
  <c r="BM66" i="99"/>
  <c r="BM12" i="99"/>
  <c r="BM51" i="99"/>
  <c r="BM42" i="99"/>
  <c r="BM57" i="99"/>
  <c r="BM33" i="99"/>
  <c r="BM15" i="99"/>
  <c r="BM28" i="99"/>
  <c r="BM10" i="99"/>
  <c r="BM17" i="99"/>
  <c r="L39" i="89"/>
  <c r="M75" i="90"/>
  <c r="M81" i="90" s="1"/>
  <c r="M83" i="90" s="1"/>
  <c r="BG39" i="91"/>
  <c r="I81" i="99"/>
  <c r="I83" i="99" s="1"/>
  <c r="I84" i="99" s="1"/>
  <c r="I86" i="99" s="1"/>
  <c r="I87" i="99" s="1"/>
  <c r="I76" i="99"/>
  <c r="M81" i="85"/>
  <c r="M83" i="85" s="1"/>
  <c r="M84" i="85" s="1"/>
  <c r="M86" i="85" s="1"/>
  <c r="M87" i="85" s="1"/>
  <c r="M76" i="85"/>
  <c r="M81" i="86"/>
  <c r="M83" i="86" s="1"/>
  <c r="M84" i="86" s="1"/>
  <c r="M86" i="86" s="1"/>
  <c r="M87" i="86" s="1"/>
  <c r="M76" i="86"/>
  <c r="L81" i="86"/>
  <c r="L83" i="86" s="1"/>
  <c r="L84" i="86" s="1"/>
  <c r="L86" i="86" s="1"/>
  <c r="L87" i="86" s="1"/>
  <c r="L76" i="86"/>
  <c r="M81" i="87"/>
  <c r="M83" i="87" s="1"/>
  <c r="M84" i="87" s="1"/>
  <c r="M86" i="87" s="1"/>
  <c r="M87" i="87" s="1"/>
  <c r="M76" i="87"/>
  <c r="L81" i="87"/>
  <c r="L83" i="87" s="1"/>
  <c r="L84" i="87" s="1"/>
  <c r="L86" i="87" s="1"/>
  <c r="L87" i="87" s="1"/>
  <c r="L76" i="87"/>
  <c r="L76" i="90"/>
  <c r="N89" i="89"/>
  <c r="Y36" i="89" s="1"/>
  <c r="N75" i="89"/>
  <c r="M81" i="89"/>
  <c r="M83" i="89" s="1"/>
  <c r="M84" i="89" s="1"/>
  <c r="M86" i="89" s="1"/>
  <c r="M87" i="89" s="1"/>
  <c r="M76" i="89"/>
  <c r="L81" i="89"/>
  <c r="L83" i="89" s="1"/>
  <c r="L84" i="89" s="1"/>
  <c r="L86" i="89" s="1"/>
  <c r="L87" i="89" s="1"/>
  <c r="L76" i="89"/>
  <c r="L81" i="91"/>
  <c r="L83" i="91" s="1"/>
  <c r="L84" i="91" s="1"/>
  <c r="L86" i="91" s="1"/>
  <c r="L87" i="91" s="1"/>
  <c r="L76" i="91"/>
  <c r="N75" i="91"/>
  <c r="N39" i="91"/>
  <c r="M81" i="91"/>
  <c r="M83" i="91" s="1"/>
  <c r="M84" i="91" s="1"/>
  <c r="M86" i="91" s="1"/>
  <c r="M87" i="91" s="1"/>
  <c r="M76" i="91"/>
  <c r="I46" i="85"/>
  <c r="I45" i="85"/>
  <c r="I44" i="85"/>
  <c r="I43" i="85"/>
  <c r="I42" i="85"/>
  <c r="I64" i="85"/>
  <c r="I63" i="85"/>
  <c r="I62" i="85"/>
  <c r="I61" i="85"/>
  <c r="I60" i="85"/>
  <c r="I59" i="85"/>
  <c r="I58" i="85"/>
  <c r="I57" i="85"/>
  <c r="I56" i="85"/>
  <c r="I55" i="85"/>
  <c r="H73" i="85"/>
  <c r="G73" i="85"/>
  <c r="AS72" i="86" l="1"/>
  <c r="N76" i="90"/>
  <c r="N39" i="90"/>
  <c r="E76" i="99"/>
  <c r="E81" i="99"/>
  <c r="E83" i="99" s="1"/>
  <c r="E84" i="99" s="1"/>
  <c r="E86" i="99" s="1"/>
  <c r="E87" i="99" s="1"/>
  <c r="T36" i="89"/>
  <c r="O20" i="91"/>
  <c r="O44" i="91"/>
  <c r="BH68" i="91"/>
  <c r="BH17" i="91"/>
  <c r="O29" i="91"/>
  <c r="O30" i="91"/>
  <c r="O57" i="91"/>
  <c r="BH21" i="91"/>
  <c r="BH16" i="91"/>
  <c r="BH55" i="91"/>
  <c r="O49" i="91"/>
  <c r="O11" i="91"/>
  <c r="BH36" i="91"/>
  <c r="O32" i="91"/>
  <c r="O58" i="91"/>
  <c r="O24" i="91"/>
  <c r="O18" i="91"/>
  <c r="BH25" i="91"/>
  <c r="BH31" i="91"/>
  <c r="BH33" i="91"/>
  <c r="BH48" i="91"/>
  <c r="BH65" i="91"/>
  <c r="BH61" i="91"/>
  <c r="O51" i="91"/>
  <c r="O28" i="91"/>
  <c r="O60" i="91"/>
  <c r="O19" i="91"/>
  <c r="O42" i="91"/>
  <c r="O70" i="91"/>
  <c r="O9" i="91"/>
  <c r="O27" i="91"/>
  <c r="O12" i="91"/>
  <c r="BH51" i="91"/>
  <c r="BH64" i="91"/>
  <c r="BH12" i="91"/>
  <c r="BH10" i="91"/>
  <c r="BH47" i="91"/>
  <c r="BH70" i="91"/>
  <c r="BH13" i="91"/>
  <c r="O59" i="91"/>
  <c r="O26" i="91"/>
  <c r="O56" i="91"/>
  <c r="O54" i="91"/>
  <c r="O17" i="91"/>
  <c r="O72" i="91"/>
  <c r="BH8" i="91"/>
  <c r="O8" i="91"/>
  <c r="BH67" i="91"/>
  <c r="BH19" i="91"/>
  <c r="BH59" i="91"/>
  <c r="BH27" i="91"/>
  <c r="BH18" i="91"/>
  <c r="BH29" i="91"/>
  <c r="O47" i="91"/>
  <c r="O57" i="85"/>
  <c r="O11" i="85"/>
  <c r="O19" i="85"/>
  <c r="O69" i="85"/>
  <c r="O32" i="85"/>
  <c r="O44" i="85"/>
  <c r="O70" i="85"/>
  <c r="O59" i="85"/>
  <c r="O29" i="85"/>
  <c r="O56" i="85"/>
  <c r="O64" i="85"/>
  <c r="O26" i="85"/>
  <c r="O12" i="85"/>
  <c r="O41" i="85"/>
  <c r="O67" i="91"/>
  <c r="BH22" i="91"/>
  <c r="BH24" i="91"/>
  <c r="BH23" i="91"/>
  <c r="AN49" i="90"/>
  <c r="AI72" i="86"/>
  <c r="AN72" i="86"/>
  <c r="O48" i="91"/>
  <c r="O64" i="91"/>
  <c r="O36" i="91"/>
  <c r="O62" i="91"/>
  <c r="O13" i="91"/>
  <c r="O21" i="91"/>
  <c r="O31" i="91"/>
  <c r="O43" i="91"/>
  <c r="O55" i="91"/>
  <c r="O14" i="91"/>
  <c r="BH20" i="91"/>
  <c r="BH66" i="91"/>
  <c r="BH69" i="91"/>
  <c r="BH60" i="91"/>
  <c r="BH57" i="91"/>
  <c r="BH15" i="91"/>
  <c r="BH52" i="91"/>
  <c r="BH28" i="91"/>
  <c r="BH44" i="91"/>
  <c r="BH56" i="91"/>
  <c r="BH42" i="91"/>
  <c r="BH11" i="91"/>
  <c r="BH49" i="91"/>
  <c r="O69" i="91"/>
  <c r="O10" i="91"/>
  <c r="O41" i="91"/>
  <c r="O45" i="91"/>
  <c r="O52" i="91"/>
  <c r="O66" i="91"/>
  <c r="O46" i="91"/>
  <c r="O68" i="91"/>
  <c r="O15" i="91"/>
  <c r="O25" i="91"/>
  <c r="O33" i="91"/>
  <c r="O65" i="91"/>
  <c r="O71" i="91"/>
  <c r="O63" i="91"/>
  <c r="BH14" i="91"/>
  <c r="BH46" i="91"/>
  <c r="BH63" i="91"/>
  <c r="BH30" i="91"/>
  <c r="BH9" i="91"/>
  <c r="BH43" i="91"/>
  <c r="BH58" i="91"/>
  <c r="BH45" i="91"/>
  <c r="BH62" i="91"/>
  <c r="BH26" i="91"/>
  <c r="BH71" i="91"/>
  <c r="BH32" i="91"/>
  <c r="BH72" i="91"/>
  <c r="O16" i="91"/>
  <c r="BH54" i="91"/>
  <c r="O61" i="91"/>
  <c r="AI49" i="90"/>
  <c r="O24" i="90"/>
  <c r="AD67" i="87"/>
  <c r="AD61" i="87"/>
  <c r="AD32" i="87"/>
  <c r="AD45" i="87"/>
  <c r="AD72" i="87"/>
  <c r="AD69" i="87"/>
  <c r="AD64" i="87"/>
  <c r="AD55" i="87"/>
  <c r="AD26" i="87"/>
  <c r="AD65" i="87"/>
  <c r="AD59" i="87"/>
  <c r="AD49" i="87"/>
  <c r="AD71" i="87"/>
  <c r="AD63" i="87"/>
  <c r="AD57" i="87"/>
  <c r="AD43" i="87"/>
  <c r="AD28" i="87"/>
  <c r="AD62" i="87"/>
  <c r="AD51" i="87"/>
  <c r="AD30" i="87"/>
  <c r="AD11" i="87"/>
  <c r="AD25" i="87"/>
  <c r="AD31" i="87"/>
  <c r="AD66" i="87"/>
  <c r="AD13" i="87"/>
  <c r="AD44" i="87"/>
  <c r="AD36" i="87"/>
  <c r="AD10" i="87"/>
  <c r="AD27" i="87"/>
  <c r="AD70" i="87"/>
  <c r="AD42" i="87"/>
  <c r="AD15" i="87"/>
  <c r="AD12" i="87"/>
  <c r="AD46" i="87"/>
  <c r="AD17" i="87"/>
  <c r="AD14" i="87"/>
  <c r="AD41" i="87"/>
  <c r="AD29" i="87"/>
  <c r="AD16" i="87"/>
  <c r="AD52" i="87"/>
  <c r="AD19" i="87"/>
  <c r="AD21" i="87"/>
  <c r="AD58" i="87"/>
  <c r="AD18" i="87"/>
  <c r="AD48" i="87"/>
  <c r="AD20" i="87"/>
  <c r="AD60" i="87"/>
  <c r="AD33" i="87"/>
  <c r="AD56" i="87"/>
  <c r="BH41" i="91"/>
  <c r="T36" i="91"/>
  <c r="O32" i="90"/>
  <c r="AD49" i="90"/>
  <c r="AD72" i="86"/>
  <c r="O27" i="90"/>
  <c r="Y49" i="90"/>
  <c r="Y52" i="90"/>
  <c r="Y51" i="90"/>
  <c r="Y30" i="87"/>
  <c r="Y32" i="87"/>
  <c r="Y72" i="87"/>
  <c r="Y49" i="87"/>
  <c r="Y26" i="87"/>
  <c r="Y10" i="87"/>
  <c r="Y33" i="87"/>
  <c r="Y28" i="87"/>
  <c r="Y12" i="87"/>
  <c r="Y20" i="87"/>
  <c r="Y71" i="87"/>
  <c r="Y29" i="87"/>
  <c r="Y60" i="87"/>
  <c r="Y18" i="87"/>
  <c r="Y46" i="87"/>
  <c r="Y69" i="87"/>
  <c r="Y15" i="87"/>
  <c r="Y41" i="87"/>
  <c r="Y66" i="87"/>
  <c r="Y43" i="87"/>
  <c r="Y31" i="87"/>
  <c r="Y59" i="87"/>
  <c r="Y13" i="87"/>
  <c r="Y45" i="87"/>
  <c r="Y64" i="87"/>
  <c r="Y57" i="87"/>
  <c r="Y19" i="87"/>
  <c r="Y70" i="87"/>
  <c r="Y44" i="87"/>
  <c r="Y63" i="87"/>
  <c r="Y17" i="87"/>
  <c r="Y52" i="87"/>
  <c r="Y11" i="87"/>
  <c r="Y27" i="87"/>
  <c r="Y61" i="87"/>
  <c r="Y25" i="87"/>
  <c r="Y58" i="87"/>
  <c r="Y9" i="87"/>
  <c r="Y55" i="87"/>
  <c r="Y16" i="87"/>
  <c r="Y48" i="87"/>
  <c r="Y67" i="87"/>
  <c r="Y21" i="87"/>
  <c r="Y56" i="87"/>
  <c r="Y14" i="87"/>
  <c r="Y42" i="87"/>
  <c r="Y65" i="87"/>
  <c r="Y36" i="87"/>
  <c r="Y62" i="87"/>
  <c r="Y51" i="87"/>
  <c r="O64" i="86"/>
  <c r="Y72" i="86"/>
  <c r="Y51" i="86"/>
  <c r="Y36" i="86"/>
  <c r="Y52" i="86"/>
  <c r="N81" i="86"/>
  <c r="N83" i="86" s="1"/>
  <c r="N84" i="86" s="1"/>
  <c r="N86" i="86" s="1"/>
  <c r="N87" i="86" s="1"/>
  <c r="O42" i="85"/>
  <c r="O67" i="85"/>
  <c r="O51" i="85"/>
  <c r="O65" i="85"/>
  <c r="O14" i="85"/>
  <c r="O28" i="85"/>
  <c r="O15" i="85"/>
  <c r="O25" i="85"/>
  <c r="O33" i="85"/>
  <c r="O24" i="85"/>
  <c r="O36" i="85"/>
  <c r="O61" i="85"/>
  <c r="O30" i="86"/>
  <c r="O54" i="85"/>
  <c r="O47" i="85"/>
  <c r="O60" i="85"/>
  <c r="O48" i="85"/>
  <c r="O10" i="85"/>
  <c r="O16" i="85"/>
  <c r="O13" i="85"/>
  <c r="O21" i="85"/>
  <c r="O31" i="85"/>
  <c r="O18" i="85"/>
  <c r="O49" i="85"/>
  <c r="O43" i="85"/>
  <c r="O66" i="85"/>
  <c r="O45" i="85"/>
  <c r="O71" i="85"/>
  <c r="O46" i="85"/>
  <c r="O55" i="85"/>
  <c r="O58" i="85"/>
  <c r="O20" i="85"/>
  <c r="O9" i="85"/>
  <c r="O17" i="85"/>
  <c r="O27" i="85"/>
  <c r="O72" i="85"/>
  <c r="O30" i="85"/>
  <c r="O8" i="85"/>
  <c r="O68" i="85"/>
  <c r="O63" i="85"/>
  <c r="O52" i="85"/>
  <c r="O49" i="90"/>
  <c r="T36" i="90"/>
  <c r="T52" i="90"/>
  <c r="T49" i="90"/>
  <c r="T45" i="90"/>
  <c r="T43" i="90"/>
  <c r="T47" i="90"/>
  <c r="T44" i="90"/>
  <c r="T48" i="90"/>
  <c r="T46" i="90"/>
  <c r="T42" i="90"/>
  <c r="T51" i="90"/>
  <c r="T41" i="90"/>
  <c r="O47" i="87"/>
  <c r="T72" i="87"/>
  <c r="T49" i="87"/>
  <c r="T15" i="87"/>
  <c r="T33" i="87"/>
  <c r="T17" i="87"/>
  <c r="T9" i="87"/>
  <c r="T19" i="87"/>
  <c r="T11" i="87"/>
  <c r="T13" i="87"/>
  <c r="T57" i="87"/>
  <c r="T25" i="87"/>
  <c r="T70" i="87"/>
  <c r="T46" i="87"/>
  <c r="T30" i="87"/>
  <c r="T59" i="87"/>
  <c r="T10" i="87"/>
  <c r="T31" i="87"/>
  <c r="T60" i="87"/>
  <c r="T43" i="87"/>
  <c r="T71" i="87"/>
  <c r="T27" i="87"/>
  <c r="T55" i="87"/>
  <c r="T69" i="87"/>
  <c r="T29" i="87"/>
  <c r="T58" i="87"/>
  <c r="T65" i="87"/>
  <c r="T12" i="87"/>
  <c r="T44" i="87"/>
  <c r="T63" i="87"/>
  <c r="T18" i="87"/>
  <c r="T45" i="87"/>
  <c r="T64" i="87"/>
  <c r="T66" i="87"/>
  <c r="T26" i="87"/>
  <c r="T36" i="87"/>
  <c r="T62" i="87"/>
  <c r="T16" i="87"/>
  <c r="T20" i="87"/>
  <c r="T48" i="87"/>
  <c r="T67" i="87"/>
  <c r="T42" i="87"/>
  <c r="T21" i="87"/>
  <c r="T52" i="87"/>
  <c r="T51" i="87"/>
  <c r="T32" i="87"/>
  <c r="T14" i="87"/>
  <c r="T28" i="87"/>
  <c r="T61" i="87"/>
  <c r="T56" i="87"/>
  <c r="T41" i="87"/>
  <c r="O47" i="86"/>
  <c r="O31" i="86"/>
  <c r="T72" i="86"/>
  <c r="T49" i="86"/>
  <c r="T11" i="86"/>
  <c r="T36" i="86"/>
  <c r="T62" i="86"/>
  <c r="T44" i="86"/>
  <c r="T67" i="86"/>
  <c r="T45" i="86"/>
  <c r="T64" i="86"/>
  <c r="T14" i="86"/>
  <c r="T42" i="86"/>
  <c r="T15" i="86"/>
  <c r="T43" i="86"/>
  <c r="T66" i="86"/>
  <c r="T48" i="86"/>
  <c r="T71" i="86"/>
  <c r="T52" i="86"/>
  <c r="T68" i="86"/>
  <c r="T46" i="86"/>
  <c r="T69" i="86"/>
  <c r="T70" i="86"/>
  <c r="T59" i="86"/>
  <c r="T9" i="86"/>
  <c r="T56" i="86"/>
  <c r="T57" i="86"/>
  <c r="T51" i="86"/>
  <c r="T58" i="86"/>
  <c r="T12" i="86"/>
  <c r="T63" i="86"/>
  <c r="T13" i="86"/>
  <c r="T60" i="86"/>
  <c r="T10" i="86"/>
  <c r="T61" i="86"/>
  <c r="T55" i="86"/>
  <c r="T41" i="86"/>
  <c r="O60" i="86"/>
  <c r="O69" i="86"/>
  <c r="M84" i="90"/>
  <c r="M86" i="90" s="1"/>
  <c r="M87" i="90" s="1"/>
  <c r="O57" i="86"/>
  <c r="O18" i="86"/>
  <c r="O55" i="86"/>
  <c r="O66" i="86"/>
  <c r="O32" i="86"/>
  <c r="O59" i="86"/>
  <c r="O9" i="86"/>
  <c r="O33" i="86"/>
  <c r="O44" i="87"/>
  <c r="O67" i="87"/>
  <c r="O24" i="87"/>
  <c r="N86" i="90"/>
  <c r="N87" i="90" s="1"/>
  <c r="O21" i="87"/>
  <c r="O14" i="87"/>
  <c r="O58" i="87"/>
  <c r="O65" i="87"/>
  <c r="O24" i="86"/>
  <c r="O61" i="86"/>
  <c r="O67" i="86"/>
  <c r="O52" i="86"/>
  <c r="O29" i="86"/>
  <c r="O20" i="86"/>
  <c r="O41" i="86"/>
  <c r="O71" i="86"/>
  <c r="O28" i="86"/>
  <c r="O62" i="86"/>
  <c r="O42" i="86"/>
  <c r="O26" i="86"/>
  <c r="O51" i="86"/>
  <c r="O13" i="87"/>
  <c r="O48" i="87"/>
  <c r="O52" i="87"/>
  <c r="O21" i="86"/>
  <c r="O14" i="86"/>
  <c r="O46" i="86"/>
  <c r="O65" i="86"/>
  <c r="O45" i="86"/>
  <c r="O19" i="86"/>
  <c r="O12" i="86"/>
  <c r="O54" i="86"/>
  <c r="O72" i="86"/>
  <c r="O10" i="86"/>
  <c r="O15" i="86"/>
  <c r="O43" i="86"/>
  <c r="O49" i="86"/>
  <c r="O25" i="86"/>
  <c r="O32" i="87"/>
  <c r="O61" i="87"/>
  <c r="O13" i="86"/>
  <c r="O44" i="86"/>
  <c r="O70" i="86"/>
  <c r="O27" i="86"/>
  <c r="O36" i="86"/>
  <c r="O11" i="86"/>
  <c r="O48" i="86"/>
  <c r="O58" i="86"/>
  <c r="O17" i="86"/>
  <c r="O68" i="86"/>
  <c r="O8" i="86"/>
  <c r="O56" i="86"/>
  <c r="O63" i="86"/>
  <c r="O16" i="86"/>
  <c r="O19" i="90"/>
  <c r="O10" i="90"/>
  <c r="O56" i="90"/>
  <c r="O46" i="90"/>
  <c r="O68" i="90"/>
  <c r="O52" i="90"/>
  <c r="O47" i="90"/>
  <c r="O44" i="90"/>
  <c r="O20" i="90"/>
  <c r="O31" i="90"/>
  <c r="N76" i="87"/>
  <c r="O31" i="87"/>
  <c r="O33" i="87"/>
  <c r="O19" i="87"/>
  <c r="O9" i="87"/>
  <c r="O26" i="87"/>
  <c r="O12" i="87"/>
  <c r="O68" i="87"/>
  <c r="O45" i="87"/>
  <c r="O62" i="87"/>
  <c r="O55" i="87"/>
  <c r="O29" i="87"/>
  <c r="O17" i="87"/>
  <c r="O49" i="87"/>
  <c r="O20" i="87"/>
  <c r="O10" i="87"/>
  <c r="O57" i="87"/>
  <c r="O56" i="87"/>
  <c r="O36" i="87"/>
  <c r="O66" i="87"/>
  <c r="O59" i="87"/>
  <c r="O51" i="87"/>
  <c r="O27" i="87"/>
  <c r="O15" i="87"/>
  <c r="O30" i="87"/>
  <c r="O18" i="87"/>
  <c r="O8" i="87"/>
  <c r="O54" i="87"/>
  <c r="O64" i="87"/>
  <c r="O42" i="87"/>
  <c r="O70" i="87"/>
  <c r="O63" i="87"/>
  <c r="O72" i="87"/>
  <c r="O25" i="87"/>
  <c r="O11" i="87"/>
  <c r="O28" i="87"/>
  <c r="O16" i="87"/>
  <c r="O60" i="87"/>
  <c r="O41" i="87"/>
  <c r="O69" i="87"/>
  <c r="O46" i="87"/>
  <c r="O43" i="87"/>
  <c r="O71" i="87"/>
  <c r="M76" i="90"/>
  <c r="O11" i="90"/>
  <c r="O45" i="90"/>
  <c r="O59" i="90"/>
  <c r="O17" i="90"/>
  <c r="O57" i="90"/>
  <c r="O43" i="90"/>
  <c r="O33" i="90"/>
  <c r="O30" i="90"/>
  <c r="O42" i="90"/>
  <c r="O67" i="90"/>
  <c r="O21" i="90"/>
  <c r="O60" i="90"/>
  <c r="O70" i="90"/>
  <c r="O8" i="90"/>
  <c r="O18" i="90"/>
  <c r="O69" i="90"/>
  <c r="O28" i="90"/>
  <c r="O9" i="90"/>
  <c r="O36" i="90"/>
  <c r="O63" i="90"/>
  <c r="O25" i="90"/>
  <c r="O48" i="90"/>
  <c r="O66" i="90"/>
  <c r="O65" i="90"/>
  <c r="O13" i="90"/>
  <c r="O41" i="90"/>
  <c r="O55" i="90"/>
  <c r="O29" i="90"/>
  <c r="O16" i="90"/>
  <c r="O58" i="90"/>
  <c r="O72" i="90"/>
  <c r="O12" i="90"/>
  <c r="O62" i="90"/>
  <c r="O51" i="90"/>
  <c r="O15" i="90"/>
  <c r="O61" i="90"/>
  <c r="O64" i="90"/>
  <c r="O14" i="90"/>
  <c r="O26" i="90"/>
  <c r="O54" i="90"/>
  <c r="O71" i="90"/>
  <c r="O16" i="89"/>
  <c r="BG76" i="91"/>
  <c r="N81" i="89"/>
  <c r="N83" i="89" s="1"/>
  <c r="N84" i="89" s="1"/>
  <c r="N86" i="89" s="1"/>
  <c r="N87" i="89" s="1"/>
  <c r="N76" i="89"/>
  <c r="O30" i="89"/>
  <c r="O26" i="89"/>
  <c r="O20" i="89"/>
  <c r="O12" i="89"/>
  <c r="O10" i="89"/>
  <c r="O72" i="89"/>
  <c r="O49" i="89"/>
  <c r="O32" i="89"/>
  <c r="O28" i="89"/>
  <c r="O24" i="89"/>
  <c r="O18" i="89"/>
  <c r="O14" i="89"/>
  <c r="O46" i="89"/>
  <c r="O70" i="89"/>
  <c r="O15" i="89"/>
  <c r="O59" i="89"/>
  <c r="O11" i="89"/>
  <c r="O8" i="89"/>
  <c r="O27" i="89"/>
  <c r="O52" i="89"/>
  <c r="O68" i="89"/>
  <c r="O58" i="89"/>
  <c r="O29" i="89"/>
  <c r="O43" i="89"/>
  <c r="O63" i="89"/>
  <c r="O25" i="89"/>
  <c r="O13" i="89"/>
  <c r="O31" i="89"/>
  <c r="O56" i="89"/>
  <c r="O51" i="89"/>
  <c r="O57" i="89"/>
  <c r="O19" i="89"/>
  <c r="O62" i="89"/>
  <c r="O45" i="89"/>
  <c r="O42" i="89"/>
  <c r="O47" i="89"/>
  <c r="O67" i="89"/>
  <c r="O41" i="89"/>
  <c r="O36" i="89"/>
  <c r="O17" i="89"/>
  <c r="O44" i="89"/>
  <c r="O60" i="89"/>
  <c r="O9" i="89"/>
  <c r="O69" i="89"/>
  <c r="O33" i="89"/>
  <c r="O66" i="89"/>
  <c r="O65" i="89"/>
  <c r="O55" i="89"/>
  <c r="O71" i="89"/>
  <c r="O61" i="89"/>
  <c r="O21" i="89"/>
  <c r="O48" i="89"/>
  <c r="O64" i="89"/>
  <c r="O54" i="89"/>
  <c r="N81" i="91"/>
  <c r="N83" i="91" s="1"/>
  <c r="N84" i="91" s="1"/>
  <c r="N86" i="91" s="1"/>
  <c r="N87" i="91" s="1"/>
  <c r="N76" i="91"/>
  <c r="M35" i="96" l="1"/>
  <c r="L35" i="96"/>
  <c r="M35" i="95"/>
  <c r="L35" i="95"/>
  <c r="G35" i="95"/>
  <c r="H8" i="89" l="1"/>
  <c r="G8" i="89"/>
  <c r="L21" i="88" l="1"/>
  <c r="AQ66" i="88" l="1"/>
  <c r="AP63" i="88"/>
  <c r="AP50" i="88"/>
  <c r="AP45" i="88"/>
  <c r="AK23" i="88" l="1"/>
  <c r="AL17" i="88"/>
  <c r="AF22" i="88"/>
  <c r="C38" i="93" l="1"/>
  <c r="C18" i="93" l="1"/>
  <c r="C24" i="93"/>
  <c r="E15" i="93"/>
  <c r="G21" i="96" l="1"/>
  <c r="H28" i="96"/>
  <c r="BP28" i="96" s="1"/>
  <c r="G28" i="96"/>
  <c r="BO28" i="96" s="1"/>
  <c r="BO21" i="96" l="1"/>
  <c r="BQ21" i="96" s="1"/>
  <c r="BU21" i="96" s="1"/>
  <c r="BQ28" i="96"/>
  <c r="BU28" i="96" s="1"/>
  <c r="G24" i="96"/>
  <c r="G19" i="95"/>
  <c r="AU19" i="95" s="1"/>
  <c r="G24" i="95"/>
  <c r="AU24" i="95" s="1"/>
  <c r="G28" i="95"/>
  <c r="AU28" i="95" s="1"/>
  <c r="BO24" i="96" l="1"/>
  <c r="BQ24" i="96" s="1"/>
  <c r="BU24" i="96" s="1"/>
  <c r="BP8" i="96"/>
  <c r="BP38" i="96" s="1"/>
  <c r="BP75" i="96" s="1"/>
  <c r="AW28" i="95"/>
  <c r="AW24" i="95"/>
  <c r="AW19" i="95"/>
  <c r="G21" i="95"/>
  <c r="AU21" i="95" s="1"/>
  <c r="BO8" i="96" l="1"/>
  <c r="BO38" i="96" s="1"/>
  <c r="BO75" i="96" s="1"/>
  <c r="BO81" i="96" s="1"/>
  <c r="BO83" i="96" s="1"/>
  <c r="BO84" i="96" s="1"/>
  <c r="BP76" i="96"/>
  <c r="BP81" i="96"/>
  <c r="BP39" i="96"/>
  <c r="BQ8" i="96"/>
  <c r="AW21" i="95"/>
  <c r="H29" i="95"/>
  <c r="AV29" i="95" s="1"/>
  <c r="H31" i="95"/>
  <c r="AV31" i="95" s="1"/>
  <c r="H12" i="95"/>
  <c r="AV12" i="95" s="1"/>
  <c r="BO39" i="96" l="1"/>
  <c r="BO76" i="96"/>
  <c r="BP83" i="96"/>
  <c r="BP84" i="96" s="1"/>
  <c r="BP86" i="96" s="1"/>
  <c r="BQ38" i="96"/>
  <c r="BU38" i="96" s="1"/>
  <c r="AW29" i="95"/>
  <c r="AV8" i="95"/>
  <c r="AV38" i="95" s="1"/>
  <c r="AU8" i="95"/>
  <c r="AU38" i="95" s="1"/>
  <c r="AW12" i="95"/>
  <c r="BP87" i="96" l="1"/>
  <c r="AU39" i="95"/>
  <c r="BQ39" i="96"/>
  <c r="BU39" i="96" s="1"/>
  <c r="BQ75" i="96"/>
  <c r="BU75" i="96" s="1"/>
  <c r="BO86" i="96"/>
  <c r="BO87" i="96" s="1"/>
  <c r="AU75" i="95"/>
  <c r="AW31" i="95"/>
  <c r="AW8" i="95" s="1"/>
  <c r="AV75" i="95"/>
  <c r="AV39" i="95"/>
  <c r="N85" i="96"/>
  <c r="I85" i="96"/>
  <c r="E85" i="96"/>
  <c r="N82" i="96"/>
  <c r="I82" i="96"/>
  <c r="E82" i="96"/>
  <c r="I78" i="96"/>
  <c r="E78" i="96"/>
  <c r="H77" i="96"/>
  <c r="G77" i="96"/>
  <c r="D77" i="96"/>
  <c r="C77" i="96"/>
  <c r="M73" i="96"/>
  <c r="L73" i="96"/>
  <c r="I74" i="96"/>
  <c r="H73" i="96"/>
  <c r="G73" i="96"/>
  <c r="D73" i="96"/>
  <c r="N71" i="96"/>
  <c r="I71" i="96"/>
  <c r="E71" i="96"/>
  <c r="I70" i="96"/>
  <c r="E70" i="96"/>
  <c r="I69" i="96"/>
  <c r="E69" i="96"/>
  <c r="N68" i="96"/>
  <c r="I68" i="96"/>
  <c r="E68" i="96"/>
  <c r="N67" i="96"/>
  <c r="I67" i="96"/>
  <c r="E67" i="96"/>
  <c r="I66" i="96"/>
  <c r="E66" i="96"/>
  <c r="I65" i="96"/>
  <c r="E65" i="96"/>
  <c r="N64" i="96"/>
  <c r="I64" i="96"/>
  <c r="E64" i="96"/>
  <c r="N63" i="96"/>
  <c r="I63" i="96"/>
  <c r="E63" i="96"/>
  <c r="I62" i="96"/>
  <c r="E62" i="96"/>
  <c r="I61" i="96"/>
  <c r="E61" i="96"/>
  <c r="N60" i="96"/>
  <c r="I60" i="96"/>
  <c r="E60" i="96"/>
  <c r="N59" i="96"/>
  <c r="I59" i="96"/>
  <c r="E59" i="96"/>
  <c r="I58" i="96"/>
  <c r="E58" i="96"/>
  <c r="I57" i="96"/>
  <c r="E57" i="96"/>
  <c r="N56" i="96"/>
  <c r="I56" i="96"/>
  <c r="E56" i="96"/>
  <c r="I55" i="96"/>
  <c r="E55" i="96"/>
  <c r="H54" i="96"/>
  <c r="D54" i="96"/>
  <c r="C54" i="96"/>
  <c r="I52" i="96"/>
  <c r="E52" i="96"/>
  <c r="N51" i="96"/>
  <c r="I51" i="96"/>
  <c r="E51" i="96"/>
  <c r="M50" i="96"/>
  <c r="H50" i="96"/>
  <c r="G50" i="96"/>
  <c r="I48" i="96"/>
  <c r="E48" i="96"/>
  <c r="N47" i="96"/>
  <c r="I47" i="96"/>
  <c r="E47" i="96"/>
  <c r="M41" i="96"/>
  <c r="I46" i="96"/>
  <c r="E46" i="96"/>
  <c r="N45" i="96"/>
  <c r="I45" i="96"/>
  <c r="E45" i="96"/>
  <c r="N44" i="96"/>
  <c r="I44" i="96"/>
  <c r="E44" i="96"/>
  <c r="I43" i="96"/>
  <c r="E43" i="96"/>
  <c r="N42" i="96"/>
  <c r="I42" i="96"/>
  <c r="E42" i="96"/>
  <c r="H41" i="96"/>
  <c r="G41" i="96"/>
  <c r="D41" i="96"/>
  <c r="C41" i="96"/>
  <c r="N36" i="96"/>
  <c r="N35" i="96" s="1"/>
  <c r="I36" i="96"/>
  <c r="I35" i="96" s="1"/>
  <c r="E36" i="96"/>
  <c r="E35" i="96" s="1"/>
  <c r="H35" i="96"/>
  <c r="G35" i="96"/>
  <c r="D35" i="96"/>
  <c r="C35" i="96"/>
  <c r="I33" i="96"/>
  <c r="E33" i="96"/>
  <c r="I32" i="96"/>
  <c r="E32" i="96"/>
  <c r="I31" i="96"/>
  <c r="E31" i="96"/>
  <c r="N30" i="96"/>
  <c r="I30" i="96"/>
  <c r="E30" i="96"/>
  <c r="I29" i="96"/>
  <c r="E29" i="96"/>
  <c r="I28" i="96"/>
  <c r="E28" i="96"/>
  <c r="N27" i="96"/>
  <c r="I27" i="96"/>
  <c r="E27" i="96"/>
  <c r="N26" i="96"/>
  <c r="I26" i="96"/>
  <c r="E26" i="96"/>
  <c r="I25" i="96"/>
  <c r="E25" i="96"/>
  <c r="I24" i="96"/>
  <c r="E24" i="96"/>
  <c r="N21" i="96"/>
  <c r="I21" i="96"/>
  <c r="E21" i="96"/>
  <c r="N20" i="96"/>
  <c r="I20" i="96"/>
  <c r="E20" i="96"/>
  <c r="N19" i="96"/>
  <c r="I19" i="96"/>
  <c r="E19" i="96"/>
  <c r="N18" i="96"/>
  <c r="I18" i="96"/>
  <c r="E18" i="96"/>
  <c r="N17" i="96"/>
  <c r="I17" i="96"/>
  <c r="E17" i="96"/>
  <c r="I16" i="96"/>
  <c r="E16" i="96"/>
  <c r="I15" i="96"/>
  <c r="E15" i="96"/>
  <c r="I14" i="96"/>
  <c r="E14" i="96"/>
  <c r="I13" i="96"/>
  <c r="E13" i="96"/>
  <c r="I12" i="96"/>
  <c r="E12" i="96"/>
  <c r="I11" i="96"/>
  <c r="E11" i="96"/>
  <c r="I10" i="96"/>
  <c r="E10" i="96"/>
  <c r="I9" i="96"/>
  <c r="E9" i="96"/>
  <c r="H8" i="96"/>
  <c r="G8" i="96"/>
  <c r="D8" i="96"/>
  <c r="C8" i="96"/>
  <c r="N7" i="96"/>
  <c r="I7" i="96"/>
  <c r="E7" i="96"/>
  <c r="N6" i="96"/>
  <c r="N5" i="96" s="1"/>
  <c r="I6" i="96"/>
  <c r="I5" i="96" s="1"/>
  <c r="E6" i="96"/>
  <c r="E5" i="96" s="1"/>
  <c r="M5" i="96"/>
  <c r="L5" i="96"/>
  <c r="H5" i="96"/>
  <c r="G5" i="96"/>
  <c r="D5" i="96"/>
  <c r="C5" i="96"/>
  <c r="AU81" i="95" l="1"/>
  <c r="E50" i="96"/>
  <c r="I50" i="96"/>
  <c r="I54" i="96"/>
  <c r="BQ76" i="96"/>
  <c r="BU76" i="96" s="1"/>
  <c r="AU76" i="95"/>
  <c r="AW38" i="95"/>
  <c r="AV81" i="95"/>
  <c r="AV76" i="95"/>
  <c r="N46" i="96"/>
  <c r="I79" i="96"/>
  <c r="N15" i="96"/>
  <c r="N74" i="96"/>
  <c r="N73" i="96" s="1"/>
  <c r="M77" i="96"/>
  <c r="I41" i="96"/>
  <c r="N55" i="96"/>
  <c r="N10" i="96"/>
  <c r="N14" i="96"/>
  <c r="N9" i="96"/>
  <c r="N11" i="96"/>
  <c r="N12" i="96"/>
  <c r="I8" i="96"/>
  <c r="I38" i="96" s="1"/>
  <c r="I39" i="96" s="1"/>
  <c r="N28" i="96"/>
  <c r="N25" i="96"/>
  <c r="N43" i="96"/>
  <c r="L41" i="96"/>
  <c r="N48" i="96"/>
  <c r="N52" i="96"/>
  <c r="N50" i="96" s="1"/>
  <c r="L50" i="96"/>
  <c r="G38" i="96"/>
  <c r="G39" i="96" s="1"/>
  <c r="N29" i="96"/>
  <c r="N24" i="96"/>
  <c r="L8" i="96"/>
  <c r="L38" i="96" s="1"/>
  <c r="E41" i="96"/>
  <c r="E8" i="96"/>
  <c r="E38" i="96" s="1"/>
  <c r="E39" i="96" s="1"/>
  <c r="D38" i="96"/>
  <c r="D75" i="96" s="1"/>
  <c r="C73" i="96"/>
  <c r="E74" i="96"/>
  <c r="E73" i="96" s="1"/>
  <c r="C38" i="96"/>
  <c r="C75" i="96" s="1"/>
  <c r="N13" i="96"/>
  <c r="N16" i="96"/>
  <c r="N33" i="96"/>
  <c r="E54" i="96"/>
  <c r="N62" i="96"/>
  <c r="M8" i="96"/>
  <c r="N79" i="96" s="1"/>
  <c r="N32" i="96"/>
  <c r="H38" i="96"/>
  <c r="N70" i="96"/>
  <c r="I73" i="96"/>
  <c r="N31" i="96"/>
  <c r="N58" i="96"/>
  <c r="N66" i="96"/>
  <c r="L77" i="96"/>
  <c r="N78" i="96"/>
  <c r="N57" i="96"/>
  <c r="N61" i="96"/>
  <c r="N65" i="96"/>
  <c r="N69" i="96"/>
  <c r="E77" i="96"/>
  <c r="BQ79" i="96" l="1"/>
  <c r="BU79" i="96" s="1"/>
  <c r="BQ103" i="96" s="1"/>
  <c r="AU83" i="95"/>
  <c r="AU84" i="95" s="1"/>
  <c r="AV83" i="95"/>
  <c r="AW39" i="95"/>
  <c r="AW75" i="95"/>
  <c r="AW76" i="95" s="1"/>
  <c r="I77" i="96"/>
  <c r="N54" i="96"/>
  <c r="M38" i="96"/>
  <c r="M39" i="96" s="1"/>
  <c r="N41" i="96"/>
  <c r="I89" i="96"/>
  <c r="J13" i="96" s="1"/>
  <c r="G75" i="96"/>
  <c r="G76" i="96" s="1"/>
  <c r="L75" i="96"/>
  <c r="L81" i="96" s="1"/>
  <c r="L83" i="96" s="1"/>
  <c r="L84" i="96" s="1"/>
  <c r="L86" i="96" s="1"/>
  <c r="L87" i="96" s="1"/>
  <c r="L39" i="96"/>
  <c r="I75" i="96"/>
  <c r="I81" i="96" s="1"/>
  <c r="I83" i="96" s="1"/>
  <c r="I84" i="96" s="1"/>
  <c r="I86" i="96" s="1"/>
  <c r="I87" i="96" s="1"/>
  <c r="D39" i="96"/>
  <c r="E89" i="96"/>
  <c r="C39" i="96"/>
  <c r="D76" i="96"/>
  <c r="D81" i="96"/>
  <c r="D83" i="96" s="1"/>
  <c r="D84" i="96" s="1"/>
  <c r="D86" i="96" s="1"/>
  <c r="D87" i="96" s="1"/>
  <c r="C81" i="96"/>
  <c r="C83" i="96" s="1"/>
  <c r="C84" i="96" s="1"/>
  <c r="C86" i="96" s="1"/>
  <c r="C87" i="96" s="1"/>
  <c r="C76" i="96"/>
  <c r="N8" i="96"/>
  <c r="H75" i="96"/>
  <c r="H39" i="96"/>
  <c r="E75" i="96"/>
  <c r="G81" i="96" l="1"/>
  <c r="G83" i="96" s="1"/>
  <c r="G84" i="96" s="1"/>
  <c r="G86" i="96" s="1"/>
  <c r="G87" i="96" s="1"/>
  <c r="J49" i="96"/>
  <c r="BQ89" i="96"/>
  <c r="BQ97" i="96" s="1"/>
  <c r="AV84" i="95"/>
  <c r="AU86" i="95"/>
  <c r="BQ81" i="96"/>
  <c r="BQ83" i="96" s="1"/>
  <c r="BQ84" i="96" s="1"/>
  <c r="BQ86" i="96" s="1"/>
  <c r="BQ77" i="96"/>
  <c r="BU77" i="96" s="1"/>
  <c r="J9" i="96"/>
  <c r="J64" i="96"/>
  <c r="J44" i="96"/>
  <c r="J71" i="96"/>
  <c r="J62" i="96"/>
  <c r="J38" i="96"/>
  <c r="J32" i="96"/>
  <c r="J61" i="96"/>
  <c r="J20" i="96"/>
  <c r="J25" i="96"/>
  <c r="J48" i="96"/>
  <c r="J55" i="96"/>
  <c r="J24" i="96"/>
  <c r="J68" i="96"/>
  <c r="J78" i="96"/>
  <c r="J30" i="96"/>
  <c r="J37" i="96"/>
  <c r="J85" i="96"/>
  <c r="J17" i="96"/>
  <c r="J79" i="96"/>
  <c r="J27" i="96"/>
  <c r="J73" i="96"/>
  <c r="J43" i="96"/>
  <c r="J52" i="96"/>
  <c r="J60" i="96"/>
  <c r="J29" i="96"/>
  <c r="J58" i="96"/>
  <c r="J66" i="96"/>
  <c r="F44" i="96"/>
  <c r="F22" i="96"/>
  <c r="J31" i="96"/>
  <c r="J57" i="96"/>
  <c r="J63" i="96"/>
  <c r="J16" i="96"/>
  <c r="J18" i="96"/>
  <c r="J47" i="96"/>
  <c r="J72" i="96"/>
  <c r="J33" i="96"/>
  <c r="M75" i="96"/>
  <c r="M76" i="96" s="1"/>
  <c r="F64" i="96"/>
  <c r="N77" i="96"/>
  <c r="J10" i="96"/>
  <c r="J56" i="96"/>
  <c r="J67" i="96"/>
  <c r="J15" i="96"/>
  <c r="J19" i="96"/>
  <c r="J11" i="96"/>
  <c r="J26" i="96"/>
  <c r="J34" i="96"/>
  <c r="J45" i="96"/>
  <c r="J51" i="96"/>
  <c r="J53" i="96"/>
  <c r="J50" i="96"/>
  <c r="L76" i="96"/>
  <c r="J8" i="96"/>
  <c r="J59" i="96"/>
  <c r="J28" i="96"/>
  <c r="J54" i="96"/>
  <c r="J70" i="96"/>
  <c r="J41" i="96"/>
  <c r="J12" i="96"/>
  <c r="J21" i="96"/>
  <c r="J74" i="96"/>
  <c r="J42" i="96"/>
  <c r="J46" i="96"/>
  <c r="J36" i="96"/>
  <c r="J40" i="96"/>
  <c r="J82" i="96"/>
  <c r="J14" i="96"/>
  <c r="J35" i="96"/>
  <c r="J65" i="96"/>
  <c r="J39" i="96"/>
  <c r="J69" i="96"/>
  <c r="I76" i="96"/>
  <c r="F62" i="96"/>
  <c r="F61" i="96"/>
  <c r="F82" i="96"/>
  <c r="F9" i="96"/>
  <c r="F69" i="96"/>
  <c r="F42" i="96"/>
  <c r="F17" i="96"/>
  <c r="F20" i="96"/>
  <c r="F32" i="96"/>
  <c r="F27" i="96"/>
  <c r="F41" i="96"/>
  <c r="F68" i="96"/>
  <c r="F29" i="96"/>
  <c r="F54" i="96"/>
  <c r="F11" i="96"/>
  <c r="F25" i="96"/>
  <c r="F58" i="96"/>
  <c r="F12" i="96"/>
  <c r="F16" i="96"/>
  <c r="F21" i="96"/>
  <c r="F30" i="96"/>
  <c r="F67" i="96"/>
  <c r="F51" i="96"/>
  <c r="F73" i="96"/>
  <c r="F14" i="96"/>
  <c r="F13" i="96"/>
  <c r="F19" i="96"/>
  <c r="F26" i="96"/>
  <c r="F33" i="96"/>
  <c r="F63" i="96"/>
  <c r="F35" i="96"/>
  <c r="F31" i="96"/>
  <c r="F36" i="96"/>
  <c r="F52" i="96"/>
  <c r="F71" i="96"/>
  <c r="F55" i="96"/>
  <c r="F85" i="96"/>
  <c r="F46" i="96"/>
  <c r="F10" i="96"/>
  <c r="F60" i="96"/>
  <c r="F15" i="96"/>
  <c r="F18" i="96"/>
  <c r="F24" i="96"/>
  <c r="F28" i="96"/>
  <c r="F56" i="96"/>
  <c r="F59" i="96"/>
  <c r="F72" i="96"/>
  <c r="F50" i="96"/>
  <c r="F70" i="96"/>
  <c r="F8" i="96"/>
  <c r="F45" i="96"/>
  <c r="F57" i="96"/>
  <c r="F43" i="96"/>
  <c r="F66" i="96"/>
  <c r="F47" i="96"/>
  <c r="F48" i="96"/>
  <c r="F79" i="96"/>
  <c r="F65" i="96"/>
  <c r="N89" i="96"/>
  <c r="N38" i="96"/>
  <c r="H76" i="96"/>
  <c r="H81" i="96"/>
  <c r="H83" i="96" s="1"/>
  <c r="H84" i="96" s="1"/>
  <c r="H86" i="96" s="1"/>
  <c r="H87" i="96" s="1"/>
  <c r="E81" i="96"/>
  <c r="E83" i="96" s="1"/>
  <c r="E84" i="96" s="1"/>
  <c r="E86" i="96" s="1"/>
  <c r="E87" i="96" s="1"/>
  <c r="E76" i="96"/>
  <c r="BQ90" i="96" l="1"/>
  <c r="BR24" i="96"/>
  <c r="BQ87" i="96"/>
  <c r="AV86" i="95"/>
  <c r="AU87" i="95"/>
  <c r="BR23" i="96"/>
  <c r="BR20" i="96"/>
  <c r="BR22" i="96"/>
  <c r="BR21" i="96"/>
  <c r="BQ93" i="96"/>
  <c r="M81" i="96"/>
  <c r="M83" i="96" s="1"/>
  <c r="M84" i="96" s="1"/>
  <c r="M86" i="96" s="1"/>
  <c r="M87" i="96" s="1"/>
  <c r="O8" i="96"/>
  <c r="O54" i="96"/>
  <c r="N75" i="96"/>
  <c r="N39" i="96"/>
  <c r="O72" i="96"/>
  <c r="O52" i="96"/>
  <c r="O51" i="96"/>
  <c r="O49" i="96"/>
  <c r="O48" i="96"/>
  <c r="O47" i="96"/>
  <c r="O46" i="96"/>
  <c r="O45" i="96"/>
  <c r="O44" i="96"/>
  <c r="O43" i="96"/>
  <c r="O42" i="96"/>
  <c r="O26" i="96"/>
  <c r="O17" i="96"/>
  <c r="O27" i="96"/>
  <c r="O21" i="96"/>
  <c r="O10" i="96"/>
  <c r="O15" i="96"/>
  <c r="O19" i="96"/>
  <c r="O30" i="96"/>
  <c r="O60" i="96"/>
  <c r="O68" i="96"/>
  <c r="O55" i="96"/>
  <c r="O64" i="96"/>
  <c r="O71" i="96"/>
  <c r="O59" i="96"/>
  <c r="O67" i="96"/>
  <c r="O28" i="96"/>
  <c r="O11" i="96"/>
  <c r="O41" i="96"/>
  <c r="O56" i="96"/>
  <c r="O36" i="96"/>
  <c r="O14" i="96"/>
  <c r="O20" i="96"/>
  <c r="O24" i="96"/>
  <c r="O9" i="96"/>
  <c r="O12" i="96"/>
  <c r="O29" i="96"/>
  <c r="O63" i="96"/>
  <c r="O18" i="96"/>
  <c r="O25" i="96"/>
  <c r="O66" i="96"/>
  <c r="O65" i="96"/>
  <c r="O70" i="96"/>
  <c r="O16" i="96"/>
  <c r="O57" i="96"/>
  <c r="O69" i="96"/>
  <c r="O13" i="96"/>
  <c r="O61" i="96"/>
  <c r="O33" i="96"/>
  <c r="O58" i="96"/>
  <c r="O62" i="96"/>
  <c r="O31" i="96"/>
  <c r="O32" i="96"/>
  <c r="AV87" i="95" l="1"/>
  <c r="BR69" i="96"/>
  <c r="BR52" i="96"/>
  <c r="BR29" i="96"/>
  <c r="BR11" i="96"/>
  <c r="BR60" i="96"/>
  <c r="BR41" i="96"/>
  <c r="BR17" i="96"/>
  <c r="BR66" i="96"/>
  <c r="BR48" i="96"/>
  <c r="BR26" i="96"/>
  <c r="BR8" i="96"/>
  <c r="BR61" i="96"/>
  <c r="BR42" i="96"/>
  <c r="BR18" i="96"/>
  <c r="BR33" i="96"/>
  <c r="BR45" i="96"/>
  <c r="BR70" i="96"/>
  <c r="BR12" i="96"/>
  <c r="BR65" i="96"/>
  <c r="BR47" i="96"/>
  <c r="BR25" i="96"/>
  <c r="BR71" i="96"/>
  <c r="BR56" i="96"/>
  <c r="BR31" i="96"/>
  <c r="BR13" i="96"/>
  <c r="BR63" i="96"/>
  <c r="BR44" i="96"/>
  <c r="BR72" i="96"/>
  <c r="BR57" i="96"/>
  <c r="BR32" i="96"/>
  <c r="BR14" i="96"/>
  <c r="BR58" i="96"/>
  <c r="BR54" i="96"/>
  <c r="BR55" i="96"/>
  <c r="BR64" i="96"/>
  <c r="BR62" i="96"/>
  <c r="BR43" i="96"/>
  <c r="BR19" i="96"/>
  <c r="BR67" i="96"/>
  <c r="BR49" i="96"/>
  <c r="BR27" i="96"/>
  <c r="BR9" i="96"/>
  <c r="BR59" i="96"/>
  <c r="BR36" i="96"/>
  <c r="BR16" i="96"/>
  <c r="BR68" i="96"/>
  <c r="BR51" i="96"/>
  <c r="BR28" i="96"/>
  <c r="BR10" i="96"/>
  <c r="BR15" i="96"/>
  <c r="BR30" i="96"/>
  <c r="BR46" i="96"/>
  <c r="N76" i="96"/>
  <c r="N81" i="96"/>
  <c r="N83" i="96" s="1"/>
  <c r="N84" i="96" s="1"/>
  <c r="N86" i="96" s="1"/>
  <c r="N87" i="96" s="1"/>
  <c r="M73" i="95" l="1"/>
  <c r="N43" i="95"/>
  <c r="I85" i="95"/>
  <c r="E85" i="95"/>
  <c r="I82" i="95"/>
  <c r="E82" i="95"/>
  <c r="E79" i="95"/>
  <c r="I78" i="95"/>
  <c r="E78" i="95"/>
  <c r="M77" i="95"/>
  <c r="H77" i="95"/>
  <c r="G77" i="95"/>
  <c r="D77" i="95"/>
  <c r="C77" i="95"/>
  <c r="I74" i="95"/>
  <c r="I73" i="95" s="1"/>
  <c r="C73" i="95"/>
  <c r="H73" i="95"/>
  <c r="G73" i="95"/>
  <c r="D73" i="95"/>
  <c r="I71" i="95"/>
  <c r="E71" i="95"/>
  <c r="I70" i="95"/>
  <c r="E70" i="95"/>
  <c r="I69" i="95"/>
  <c r="E69" i="95"/>
  <c r="I68" i="95"/>
  <c r="E68" i="95"/>
  <c r="I67" i="95"/>
  <c r="E67" i="95"/>
  <c r="I66" i="95"/>
  <c r="E66" i="95"/>
  <c r="I65" i="95"/>
  <c r="E65" i="95"/>
  <c r="I64" i="95"/>
  <c r="E64" i="95"/>
  <c r="I63" i="95"/>
  <c r="E63" i="95"/>
  <c r="I62" i="95"/>
  <c r="E62" i="95"/>
  <c r="I61" i="95"/>
  <c r="E61" i="95"/>
  <c r="I60" i="95"/>
  <c r="E60" i="95"/>
  <c r="I59" i="95"/>
  <c r="E59" i="95"/>
  <c r="I58" i="95"/>
  <c r="E58" i="95"/>
  <c r="I57" i="95"/>
  <c r="E57" i="95"/>
  <c r="I56" i="95"/>
  <c r="E56" i="95"/>
  <c r="I55" i="95"/>
  <c r="E55" i="95"/>
  <c r="H54" i="95"/>
  <c r="G54" i="95"/>
  <c r="D54" i="95"/>
  <c r="C54" i="95"/>
  <c r="I52" i="95"/>
  <c r="E52" i="95"/>
  <c r="I51" i="95"/>
  <c r="E51" i="95"/>
  <c r="H50" i="95"/>
  <c r="G50" i="95"/>
  <c r="I48" i="95"/>
  <c r="E48" i="95"/>
  <c r="I47" i="95"/>
  <c r="E47" i="95"/>
  <c r="I46" i="95"/>
  <c r="E46" i="95"/>
  <c r="I45" i="95"/>
  <c r="E45" i="95"/>
  <c r="I44" i="95"/>
  <c r="E44" i="95"/>
  <c r="I43" i="95"/>
  <c r="E43" i="95"/>
  <c r="I42" i="95"/>
  <c r="E42" i="95"/>
  <c r="H41" i="95"/>
  <c r="G41" i="95"/>
  <c r="D41" i="95"/>
  <c r="C41" i="95"/>
  <c r="I36" i="95"/>
  <c r="I35" i="95" s="1"/>
  <c r="E36" i="95"/>
  <c r="H35" i="95"/>
  <c r="D35" i="95"/>
  <c r="C35" i="95"/>
  <c r="I33" i="95"/>
  <c r="E33" i="95"/>
  <c r="I32" i="95"/>
  <c r="E32" i="95"/>
  <c r="I31" i="95"/>
  <c r="E31" i="95"/>
  <c r="I30" i="95"/>
  <c r="E30" i="95"/>
  <c r="I29" i="95"/>
  <c r="E29" i="95"/>
  <c r="I28" i="95"/>
  <c r="E28" i="95"/>
  <c r="I27" i="95"/>
  <c r="E27" i="95"/>
  <c r="I26" i="95"/>
  <c r="E26" i="95"/>
  <c r="N25" i="95"/>
  <c r="I25" i="95"/>
  <c r="E25" i="95"/>
  <c r="I24" i="95"/>
  <c r="E24" i="95"/>
  <c r="I21" i="95"/>
  <c r="E21" i="95"/>
  <c r="I20" i="95"/>
  <c r="E20" i="95"/>
  <c r="I19" i="95"/>
  <c r="E19" i="95"/>
  <c r="I18" i="95"/>
  <c r="E18" i="95"/>
  <c r="I17" i="95"/>
  <c r="E17" i="95"/>
  <c r="I16" i="95"/>
  <c r="E16" i="95"/>
  <c r="I15" i="95"/>
  <c r="E15" i="95"/>
  <c r="I14" i="95"/>
  <c r="E14" i="95"/>
  <c r="I13" i="95"/>
  <c r="E13" i="95"/>
  <c r="I12" i="95"/>
  <c r="E12" i="95"/>
  <c r="I11" i="95"/>
  <c r="E11" i="95"/>
  <c r="I10" i="95"/>
  <c r="E10" i="95"/>
  <c r="I9" i="95"/>
  <c r="E9" i="95"/>
  <c r="H8" i="95"/>
  <c r="I79" i="95" s="1"/>
  <c r="G8" i="95"/>
  <c r="D8" i="95"/>
  <c r="C8" i="95"/>
  <c r="I7" i="95"/>
  <c r="E7" i="95"/>
  <c r="I6" i="95"/>
  <c r="I5" i="95" s="1"/>
  <c r="E6" i="95"/>
  <c r="E5" i="95" s="1"/>
  <c r="H5" i="95"/>
  <c r="G5" i="95"/>
  <c r="D5" i="95"/>
  <c r="C5" i="95"/>
  <c r="E77" i="95" l="1"/>
  <c r="N69" i="95"/>
  <c r="H38" i="95"/>
  <c r="H39" i="95" s="1"/>
  <c r="M50" i="95"/>
  <c r="N42" i="95"/>
  <c r="N65" i="95"/>
  <c r="N82" i="95"/>
  <c r="E8" i="95"/>
  <c r="E38" i="95" s="1"/>
  <c r="E39" i="95" s="1"/>
  <c r="I8" i="95"/>
  <c r="I38" i="95" s="1"/>
  <c r="E54" i="95"/>
  <c r="N68" i="95"/>
  <c r="N20" i="95"/>
  <c r="N30" i="95"/>
  <c r="N58" i="95"/>
  <c r="N60" i="95"/>
  <c r="N62" i="95"/>
  <c r="C38" i="95"/>
  <c r="C39" i="95" s="1"/>
  <c r="G38" i="95"/>
  <c r="G39" i="95" s="1"/>
  <c r="N27" i="95"/>
  <c r="N36" i="95"/>
  <c r="N35" i="95" s="1"/>
  <c r="M41" i="95"/>
  <c r="N45" i="95"/>
  <c r="N52" i="95"/>
  <c r="N66" i="95"/>
  <c r="N67" i="95"/>
  <c r="N71" i="95"/>
  <c r="N28" i="95"/>
  <c r="N46" i="95"/>
  <c r="L50" i="95"/>
  <c r="N55" i="95"/>
  <c r="N57" i="95"/>
  <c r="N59" i="95"/>
  <c r="N61" i="95"/>
  <c r="N63" i="95"/>
  <c r="N70" i="95"/>
  <c r="N29" i="95"/>
  <c r="N6" i="95"/>
  <c r="N5" i="95" s="1"/>
  <c r="L5" i="95"/>
  <c r="N11" i="95"/>
  <c r="N13" i="95"/>
  <c r="D38" i="95"/>
  <c r="M5" i="95"/>
  <c r="N12" i="95"/>
  <c r="N15" i="95"/>
  <c r="N17" i="95"/>
  <c r="N19" i="95"/>
  <c r="N33" i="95"/>
  <c r="N47" i="95"/>
  <c r="N7" i="95"/>
  <c r="N16" i="95"/>
  <c r="N48" i="95"/>
  <c r="M8" i="95"/>
  <c r="N79" i="95" s="1"/>
  <c r="N18" i="95"/>
  <c r="N24" i="95"/>
  <c r="N32" i="95"/>
  <c r="L41" i="95"/>
  <c r="I50" i="95"/>
  <c r="E50" i="95"/>
  <c r="E35" i="95"/>
  <c r="I41" i="95"/>
  <c r="E41" i="95"/>
  <c r="I54" i="95"/>
  <c r="N64" i="95"/>
  <c r="N44" i="95"/>
  <c r="N51" i="95"/>
  <c r="N56" i="95"/>
  <c r="N74" i="95"/>
  <c r="N73" i="95" s="1"/>
  <c r="L73" i="95"/>
  <c r="N78" i="95"/>
  <c r="L77" i="95"/>
  <c r="N85" i="95"/>
  <c r="E74" i="95"/>
  <c r="E73" i="95" s="1"/>
  <c r="AW89" i="95" l="1"/>
  <c r="AW81" i="95"/>
  <c r="E89" i="95"/>
  <c r="N54" i="95"/>
  <c r="H75" i="95"/>
  <c r="H76" i="95" s="1"/>
  <c r="N41" i="95"/>
  <c r="N77" i="95"/>
  <c r="G75" i="95"/>
  <c r="G81" i="95" s="1"/>
  <c r="G83" i="95" s="1"/>
  <c r="G84" i="95" s="1"/>
  <c r="G86" i="95" s="1"/>
  <c r="G87" i="95" s="1"/>
  <c r="I89" i="95"/>
  <c r="I77" i="95"/>
  <c r="C75" i="95"/>
  <c r="C81" i="95" s="1"/>
  <c r="C83" i="95" s="1"/>
  <c r="C84" i="95" s="1"/>
  <c r="C86" i="95" s="1"/>
  <c r="C87" i="95" s="1"/>
  <c r="N26" i="95"/>
  <c r="N9" i="95"/>
  <c r="E75" i="95"/>
  <c r="E76" i="95" s="1"/>
  <c r="I75" i="95"/>
  <c r="I39" i="95"/>
  <c r="N10" i="95"/>
  <c r="N21" i="95"/>
  <c r="N50" i="95"/>
  <c r="M38" i="95"/>
  <c r="N31" i="95"/>
  <c r="L38" i="95"/>
  <c r="L75" i="95" s="1"/>
  <c r="N14" i="95"/>
  <c r="D75" i="95"/>
  <c r="D39" i="95"/>
  <c r="AW92" i="95" l="1"/>
  <c r="F73" i="95"/>
  <c r="F22" i="95"/>
  <c r="AW77" i="95"/>
  <c r="AW83" i="95"/>
  <c r="AW84" i="95" s="1"/>
  <c r="AW86" i="95" s="1"/>
  <c r="AW87" i="95" s="1"/>
  <c r="H81" i="95"/>
  <c r="H83" i="95" s="1"/>
  <c r="H84" i="95" s="1"/>
  <c r="H86" i="95" s="1"/>
  <c r="H87" i="95" s="1"/>
  <c r="J72" i="95"/>
  <c r="G76" i="95"/>
  <c r="J10" i="95"/>
  <c r="J63" i="95"/>
  <c r="J50" i="95"/>
  <c r="J21" i="95"/>
  <c r="J60" i="95"/>
  <c r="J25" i="95"/>
  <c r="J24" i="95"/>
  <c r="J58" i="95"/>
  <c r="J69" i="95"/>
  <c r="J85" i="95"/>
  <c r="J9" i="95"/>
  <c r="J15" i="95"/>
  <c r="J43" i="95"/>
  <c r="J49" i="95"/>
  <c r="J59" i="95"/>
  <c r="J19" i="95"/>
  <c r="J52" i="95"/>
  <c r="J62" i="95"/>
  <c r="J53" i="95"/>
  <c r="J54" i="95"/>
  <c r="J33" i="95"/>
  <c r="J48" i="95"/>
  <c r="J67" i="95"/>
  <c r="J46" i="95"/>
  <c r="J37" i="95"/>
  <c r="J64" i="95"/>
  <c r="J61" i="95"/>
  <c r="J13" i="95"/>
  <c r="J12" i="95"/>
  <c r="J31" i="95"/>
  <c r="J40" i="95"/>
  <c r="J32" i="95"/>
  <c r="J82" i="95"/>
  <c r="J26" i="95"/>
  <c r="J57" i="95"/>
  <c r="J45" i="95"/>
  <c r="J16" i="95"/>
  <c r="J18" i="95"/>
  <c r="J14" i="95"/>
  <c r="J42" i="95"/>
  <c r="J65" i="95"/>
  <c r="J44" i="95"/>
  <c r="J66" i="95"/>
  <c r="J68" i="95"/>
  <c r="J38" i="95"/>
  <c r="J8" i="95"/>
  <c r="J78" i="95"/>
  <c r="J70" i="95"/>
  <c r="J30" i="95"/>
  <c r="J28" i="95"/>
  <c r="J20" i="95"/>
  <c r="J47" i="95"/>
  <c r="J11" i="95"/>
  <c r="J29" i="95"/>
  <c r="J36" i="95"/>
  <c r="J17" i="95"/>
  <c r="J34" i="95"/>
  <c r="J56" i="95"/>
  <c r="J51" i="95"/>
  <c r="J41" i="95"/>
  <c r="J39" i="95"/>
  <c r="J27" i="95"/>
  <c r="J71" i="95"/>
  <c r="J79" i="95"/>
  <c r="J74" i="95"/>
  <c r="J55" i="95"/>
  <c r="J35" i="95"/>
  <c r="J73" i="95"/>
  <c r="C76" i="95"/>
  <c r="F50" i="95"/>
  <c r="F35" i="95"/>
  <c r="E81" i="95"/>
  <c r="E83" i="95" s="1"/>
  <c r="E84" i="95" s="1"/>
  <c r="E86" i="95" s="1"/>
  <c r="E87" i="95" s="1"/>
  <c r="M75" i="95"/>
  <c r="M39" i="95"/>
  <c r="I76" i="95"/>
  <c r="I81" i="95"/>
  <c r="I83" i="95" s="1"/>
  <c r="I84" i="95" s="1"/>
  <c r="I86" i="95" s="1"/>
  <c r="I87" i="95" s="1"/>
  <c r="F85" i="95"/>
  <c r="F72" i="95"/>
  <c r="F70" i="95"/>
  <c r="F69" i="95"/>
  <c r="F64" i="95"/>
  <c r="F63" i="95"/>
  <c r="F62" i="95"/>
  <c r="F61" i="95"/>
  <c r="F60" i="95"/>
  <c r="F59" i="95"/>
  <c r="F58" i="95"/>
  <c r="F57" i="95"/>
  <c r="F71" i="95"/>
  <c r="F68" i="95"/>
  <c r="F56" i="95"/>
  <c r="F47" i="95"/>
  <c r="F43" i="95"/>
  <c r="F45" i="95"/>
  <c r="F42" i="95"/>
  <c r="F24" i="95"/>
  <c r="F21" i="95"/>
  <c r="F13" i="95"/>
  <c r="F11" i="95"/>
  <c r="F31" i="95"/>
  <c r="F25" i="95"/>
  <c r="F18" i="95"/>
  <c r="F15" i="95"/>
  <c r="F20" i="95"/>
  <c r="F19" i="95"/>
  <c r="F16" i="95"/>
  <c r="F14" i="95"/>
  <c r="F52" i="95"/>
  <c r="F33" i="95"/>
  <c r="F28" i="95"/>
  <c r="F27" i="95"/>
  <c r="F9" i="95"/>
  <c r="F17" i="95"/>
  <c r="F51" i="95"/>
  <c r="F54" i="95"/>
  <c r="F67" i="95"/>
  <c r="F65" i="95"/>
  <c r="F12" i="95"/>
  <c r="F46" i="95"/>
  <c r="F32" i="95"/>
  <c r="F66" i="95"/>
  <c r="F79" i="95"/>
  <c r="F55" i="95"/>
  <c r="F82" i="95"/>
  <c r="F10" i="95"/>
  <c r="F29" i="95"/>
  <c r="F36" i="95"/>
  <c r="F8" i="95"/>
  <c r="F26" i="95"/>
  <c r="F30" i="95"/>
  <c r="F44" i="95"/>
  <c r="F48" i="95"/>
  <c r="D81" i="95"/>
  <c r="D83" i="95" s="1"/>
  <c r="D84" i="95" s="1"/>
  <c r="D86" i="95" s="1"/>
  <c r="D87" i="95" s="1"/>
  <c r="D76" i="95"/>
  <c r="F41" i="95"/>
  <c r="L39" i="95"/>
  <c r="N8" i="95"/>
  <c r="N89" i="95" s="1"/>
  <c r="AW90" i="95" s="1"/>
  <c r="AX22" i="95" l="1"/>
  <c r="AX69" i="95"/>
  <c r="O10" i="95"/>
  <c r="AX66" i="95"/>
  <c r="AX49" i="95"/>
  <c r="AX26" i="95"/>
  <c r="AX8" i="95"/>
  <c r="AX51" i="95"/>
  <c r="AX10" i="95"/>
  <c r="AX46" i="95"/>
  <c r="AX13" i="95"/>
  <c r="AX57" i="95"/>
  <c r="AX33" i="95"/>
  <c r="AX15" i="95"/>
  <c r="AX47" i="95"/>
  <c r="AX67" i="95"/>
  <c r="AX21" i="95"/>
  <c r="AX62" i="95"/>
  <c r="AX45" i="95"/>
  <c r="AX20" i="95"/>
  <c r="AX72" i="95"/>
  <c r="AX43" i="95"/>
  <c r="AX71" i="95"/>
  <c r="AX42" i="95"/>
  <c r="AX52" i="95"/>
  <c r="AX29" i="95"/>
  <c r="AX32" i="95"/>
  <c r="AX59" i="95"/>
  <c r="AX9" i="95"/>
  <c r="AX58" i="95"/>
  <c r="AX36" i="95"/>
  <c r="AX16" i="95"/>
  <c r="AX64" i="95"/>
  <c r="AX28" i="95"/>
  <c r="AX63" i="95"/>
  <c r="AX27" i="95"/>
  <c r="AX65" i="95"/>
  <c r="AX48" i="95"/>
  <c r="AX25" i="95"/>
  <c r="AX68" i="95"/>
  <c r="AX24" i="95"/>
  <c r="AX41" i="95"/>
  <c r="AX54" i="95"/>
  <c r="AX30" i="95"/>
  <c r="AX60" i="95"/>
  <c r="AX55" i="95"/>
  <c r="AX17" i="95"/>
  <c r="AX44" i="95"/>
  <c r="AX56" i="95"/>
  <c r="AX14" i="95"/>
  <c r="AX11" i="95"/>
  <c r="AX70" i="95"/>
  <c r="AX12" i="95"/>
  <c r="AX18" i="95"/>
  <c r="AX61" i="95"/>
  <c r="AX19" i="95"/>
  <c r="AX31" i="95"/>
  <c r="N38" i="95"/>
  <c r="L81" i="95"/>
  <c r="L83" i="95" s="1"/>
  <c r="L76" i="95"/>
  <c r="M81" i="95"/>
  <c r="M83" i="95" s="1"/>
  <c r="M84" i="95" s="1"/>
  <c r="M86" i="95" s="1"/>
  <c r="M87" i="95" s="1"/>
  <c r="M76" i="95"/>
  <c r="O8" i="95" l="1"/>
  <c r="O65" i="95"/>
  <c r="L84" i="95"/>
  <c r="L86" i="95" s="1"/>
  <c r="L87" i="95" s="1"/>
  <c r="O72" i="95"/>
  <c r="O70" i="95"/>
  <c r="O49" i="95"/>
  <c r="O60" i="95"/>
  <c r="O42" i="95"/>
  <c r="O25" i="95"/>
  <c r="O62" i="95"/>
  <c r="O58" i="95"/>
  <c r="O43" i="95"/>
  <c r="O36" i="95"/>
  <c r="O45" i="95"/>
  <c r="O55" i="95"/>
  <c r="O30" i="95"/>
  <c r="O57" i="95"/>
  <c r="O52" i="95"/>
  <c r="O71" i="95"/>
  <c r="O28" i="95"/>
  <c r="O68" i="95"/>
  <c r="O46" i="95"/>
  <c r="O59" i="95"/>
  <c r="O66" i="95"/>
  <c r="O67" i="95"/>
  <c r="O20" i="95"/>
  <c r="O69" i="95"/>
  <c r="O27" i="95"/>
  <c r="O63" i="95"/>
  <c r="O26" i="95"/>
  <c r="O61" i="95"/>
  <c r="O41" i="95"/>
  <c r="O19" i="95"/>
  <c r="O17" i="95"/>
  <c r="O56" i="95"/>
  <c r="O15" i="95"/>
  <c r="O11" i="95"/>
  <c r="O44" i="95"/>
  <c r="O16" i="95"/>
  <c r="O18" i="95"/>
  <c r="O47" i="95"/>
  <c r="O48" i="95"/>
  <c r="O12" i="95"/>
  <c r="O13" i="95"/>
  <c r="O64" i="95"/>
  <c r="O29" i="95"/>
  <c r="O24" i="95"/>
  <c r="O9" i="95"/>
  <c r="O32" i="95"/>
  <c r="O51" i="95"/>
  <c r="O33" i="95"/>
  <c r="O31" i="95"/>
  <c r="O14" i="95"/>
  <c r="O21" i="95"/>
  <c r="O54" i="95"/>
  <c r="N75" i="95"/>
  <c r="N39" i="95"/>
  <c r="N76" i="95" l="1"/>
  <c r="N81" i="95"/>
  <c r="N83" i="95" s="1"/>
  <c r="N84" i="95" s="1"/>
  <c r="N86" i="95" s="1"/>
  <c r="N87" i="95" s="1"/>
  <c r="V6" i="88" l="1"/>
  <c r="AQ83" i="88" l="1"/>
  <c r="AP83" i="88"/>
  <c r="AQ80" i="88"/>
  <c r="AP80" i="88"/>
  <c r="AQ77" i="88"/>
  <c r="AP77" i="88"/>
  <c r="AQ76" i="88"/>
  <c r="AP76" i="88"/>
  <c r="AQ69" i="88"/>
  <c r="AP69" i="88"/>
  <c r="AQ68" i="88"/>
  <c r="AP68" i="88"/>
  <c r="AQ67" i="88"/>
  <c r="AP67" i="88"/>
  <c r="AP66" i="88"/>
  <c r="AQ65" i="88"/>
  <c r="AP65" i="88"/>
  <c r="AQ64" i="88"/>
  <c r="AP64" i="88"/>
  <c r="AQ63" i="88"/>
  <c r="AQ49" i="88"/>
  <c r="AP49" i="88"/>
  <c r="AQ46" i="88"/>
  <c r="AP46" i="88"/>
  <c r="AQ45" i="88"/>
  <c r="AQ44" i="88"/>
  <c r="AP44" i="88"/>
  <c r="AQ34" i="88"/>
  <c r="AP34" i="88"/>
  <c r="AQ31" i="88"/>
  <c r="AP31" i="88"/>
  <c r="AQ30" i="88"/>
  <c r="AP30" i="88"/>
  <c r="AP29" i="88"/>
  <c r="AP28" i="88"/>
  <c r="AQ27" i="88"/>
  <c r="AQ25" i="88"/>
  <c r="AQ24" i="88"/>
  <c r="AQ23" i="88"/>
  <c r="AQ22" i="88"/>
  <c r="AQ21" i="88"/>
  <c r="AQ20" i="88"/>
  <c r="AP20" i="88"/>
  <c r="AQ19" i="88"/>
  <c r="AP19" i="88"/>
  <c r="AQ18" i="88"/>
  <c r="AQ17" i="88"/>
  <c r="AP17" i="88"/>
  <c r="AP16" i="88"/>
  <c r="AQ15" i="88"/>
  <c r="AP15" i="88"/>
  <c r="AQ14" i="88"/>
  <c r="AQ13" i="88"/>
  <c r="AP12" i="88"/>
  <c r="AQ11" i="88"/>
  <c r="AQ10" i="88"/>
  <c r="AQ9" i="88"/>
  <c r="AQ7" i="88"/>
  <c r="AP7" i="88"/>
  <c r="AQ6" i="88"/>
  <c r="AM83" i="88"/>
  <c r="AM80" i="88"/>
  <c r="AM76" i="88"/>
  <c r="AL75" i="88"/>
  <c r="AK75" i="88"/>
  <c r="AM72" i="88"/>
  <c r="AM71" i="88" s="1"/>
  <c r="AL71" i="88"/>
  <c r="AK71" i="88"/>
  <c r="AM69" i="88"/>
  <c r="AM68" i="88"/>
  <c r="AM67" i="88"/>
  <c r="AM66" i="88"/>
  <c r="AM65" i="88"/>
  <c r="AM64" i="88"/>
  <c r="AM63" i="88"/>
  <c r="AM62" i="88"/>
  <c r="AM61" i="88"/>
  <c r="AM60" i="88"/>
  <c r="AM59" i="88"/>
  <c r="AM58" i="88"/>
  <c r="AM57" i="88"/>
  <c r="AM56" i="88"/>
  <c r="AM55" i="88"/>
  <c r="AM54" i="88"/>
  <c r="AM52" i="88" s="1"/>
  <c r="AM53" i="88"/>
  <c r="AL52" i="88"/>
  <c r="AK52" i="88"/>
  <c r="AM50" i="88"/>
  <c r="AM49" i="88"/>
  <c r="AL48" i="88"/>
  <c r="AK48" i="88"/>
  <c r="AM46" i="88"/>
  <c r="AM45" i="88"/>
  <c r="AM44" i="88"/>
  <c r="AM43" i="88"/>
  <c r="AM42" i="88"/>
  <c r="AM41" i="88"/>
  <c r="AM40" i="88"/>
  <c r="AL39" i="88"/>
  <c r="AK39" i="88"/>
  <c r="AM34" i="88"/>
  <c r="AM33" i="88" s="1"/>
  <c r="AL33" i="88"/>
  <c r="AK33" i="88"/>
  <c r="AM31" i="88"/>
  <c r="AM30" i="88"/>
  <c r="AM29" i="88"/>
  <c r="AM28" i="88"/>
  <c r="AM27" i="88"/>
  <c r="AM26" i="88"/>
  <c r="AM25" i="88"/>
  <c r="AM24" i="88"/>
  <c r="AM23" i="88"/>
  <c r="AM22" i="88"/>
  <c r="AM21" i="88"/>
  <c r="AM20" i="88"/>
  <c r="AM19" i="88"/>
  <c r="AM18" i="88"/>
  <c r="AM17" i="88"/>
  <c r="AM16" i="88"/>
  <c r="AM15" i="88"/>
  <c r="AM14" i="88"/>
  <c r="AM13" i="88"/>
  <c r="AM12" i="88"/>
  <c r="AM11" i="88"/>
  <c r="AM10" i="88"/>
  <c r="AM9" i="88"/>
  <c r="AK8" i="88"/>
  <c r="AM7" i="88"/>
  <c r="AM6" i="88"/>
  <c r="AM5" i="88" s="1"/>
  <c r="AL5" i="88"/>
  <c r="AK5" i="88"/>
  <c r="AK36" i="88" s="1"/>
  <c r="AM39" i="88" l="1"/>
  <c r="AM48" i="88"/>
  <c r="AK73" i="88"/>
  <c r="AK37" i="88"/>
  <c r="AM8" i="88"/>
  <c r="AL8" i="88"/>
  <c r="AM77" i="88" s="1"/>
  <c r="AL36" i="88" l="1"/>
  <c r="AL73" i="88" s="1"/>
  <c r="AM75" i="88"/>
  <c r="AK79" i="88"/>
  <c r="AK81" i="88" s="1"/>
  <c r="AK82" i="88" s="1"/>
  <c r="AK84" i="88" s="1"/>
  <c r="AK85" i="88" s="1"/>
  <c r="AK74" i="88"/>
  <c r="AM87" i="88"/>
  <c r="AM36" i="88"/>
  <c r="AL37" i="88" l="1"/>
  <c r="AN36" i="88"/>
  <c r="AN66" i="88"/>
  <c r="AN62" i="88"/>
  <c r="AN58" i="88"/>
  <c r="AN54" i="88"/>
  <c r="AN50" i="88"/>
  <c r="AN46" i="88"/>
  <c r="AN42" i="88"/>
  <c r="AN38" i="88"/>
  <c r="AN34" i="88"/>
  <c r="AN51" i="88"/>
  <c r="AN39" i="88"/>
  <c r="AN65" i="88"/>
  <c r="AN61" i="88"/>
  <c r="AN57" i="88"/>
  <c r="AN53" i="88"/>
  <c r="AN49" i="88"/>
  <c r="AN45" i="88"/>
  <c r="AN41" i="88"/>
  <c r="AN33" i="88"/>
  <c r="AN63" i="88"/>
  <c r="AN55" i="88"/>
  <c r="AN47" i="88"/>
  <c r="AN35" i="88"/>
  <c r="AN64" i="88"/>
  <c r="AN60" i="88"/>
  <c r="AN56" i="88"/>
  <c r="AN52" i="88"/>
  <c r="AN48" i="88"/>
  <c r="AN44" i="88"/>
  <c r="AN40" i="88"/>
  <c r="AN32" i="88"/>
  <c r="AN59" i="88"/>
  <c r="AN43" i="88"/>
  <c r="AN11" i="88"/>
  <c r="AN27" i="88"/>
  <c r="AN20" i="88"/>
  <c r="AN13" i="88"/>
  <c r="AN29" i="88"/>
  <c r="AN22" i="88"/>
  <c r="AN17" i="88"/>
  <c r="AN26" i="88"/>
  <c r="AN15" i="88"/>
  <c r="AN31" i="88"/>
  <c r="AN24" i="88"/>
  <c r="AN10" i="88"/>
  <c r="AN19" i="88"/>
  <c r="AN28" i="88"/>
  <c r="AN14" i="88"/>
  <c r="AN16" i="88"/>
  <c r="AN25" i="88"/>
  <c r="AN12" i="88"/>
  <c r="AN21" i="88"/>
  <c r="AN30" i="88"/>
  <c r="AN23" i="88"/>
  <c r="AN9" i="88"/>
  <c r="AN18" i="88"/>
  <c r="AN8" i="88"/>
  <c r="AM37" i="88"/>
  <c r="AN37" i="88" s="1"/>
  <c r="AM73" i="88"/>
  <c r="AL74" i="88"/>
  <c r="AL79" i="88"/>
  <c r="AL81" i="88" s="1"/>
  <c r="AL82" i="88" s="1"/>
  <c r="AL84" i="88" s="1"/>
  <c r="AL85" i="88" s="1"/>
  <c r="AM74" i="88" l="1"/>
  <c r="AM79" i="88"/>
  <c r="AM81" i="88" s="1"/>
  <c r="AM82" i="88" s="1"/>
  <c r="AM84" i="88" s="1"/>
  <c r="AM85" i="88" s="1"/>
  <c r="C36" i="93" l="1"/>
  <c r="E14" i="93" l="1"/>
  <c r="AF24" i="88"/>
  <c r="AA24" i="88"/>
  <c r="AG16" i="88"/>
  <c r="AF10" i="88"/>
  <c r="AF11" i="88"/>
  <c r="AF6" i="88"/>
  <c r="I47" i="86"/>
  <c r="AQ72" i="88" l="1"/>
  <c r="G77" i="87"/>
  <c r="I74" i="87"/>
  <c r="I73" i="87" s="1"/>
  <c r="I64" i="87"/>
  <c r="I60" i="87"/>
  <c r="G50" i="87"/>
  <c r="G35" i="87"/>
  <c r="I32" i="87"/>
  <c r="H5" i="87"/>
  <c r="I7" i="87"/>
  <c r="I9" i="87"/>
  <c r="I11" i="87"/>
  <c r="I15" i="87"/>
  <c r="I17" i="87"/>
  <c r="I33" i="87"/>
  <c r="H35" i="87"/>
  <c r="I44" i="87"/>
  <c r="H41" i="87"/>
  <c r="H50" i="87"/>
  <c r="I51" i="87"/>
  <c r="I52" i="87"/>
  <c r="I56" i="87"/>
  <c r="G73" i="87"/>
  <c r="H77" i="87"/>
  <c r="I82" i="87"/>
  <c r="AH83" i="88"/>
  <c r="AH80" i="88"/>
  <c r="AH76" i="88"/>
  <c r="AG75" i="88"/>
  <c r="AF75" i="88"/>
  <c r="AH72" i="88"/>
  <c r="AH71" i="88" s="1"/>
  <c r="AG71" i="88"/>
  <c r="AF71" i="88"/>
  <c r="AH69" i="88"/>
  <c r="AH68" i="88"/>
  <c r="AH67" i="88"/>
  <c r="AH66" i="88"/>
  <c r="AH65" i="88"/>
  <c r="AH64" i="88"/>
  <c r="AH63" i="88"/>
  <c r="AH62" i="88"/>
  <c r="AH61" i="88"/>
  <c r="AH60" i="88"/>
  <c r="AH59" i="88"/>
  <c r="AH58" i="88"/>
  <c r="AH57" i="88"/>
  <c r="AH56" i="88"/>
  <c r="AH55" i="88"/>
  <c r="AH54" i="88"/>
  <c r="AH53" i="88"/>
  <c r="AG52" i="88"/>
  <c r="AF52" i="88"/>
  <c r="AH50" i="88"/>
  <c r="AH49" i="88"/>
  <c r="AG48" i="88"/>
  <c r="AF48" i="88"/>
  <c r="AH46" i="88"/>
  <c r="AH45" i="88"/>
  <c r="AH44" i="88"/>
  <c r="AH43" i="88"/>
  <c r="AH42" i="88"/>
  <c r="AH41" i="88"/>
  <c r="AH40" i="88"/>
  <c r="AG39" i="88"/>
  <c r="AF39" i="88"/>
  <c r="AH34" i="88"/>
  <c r="AH33" i="88" s="1"/>
  <c r="AG33" i="88"/>
  <c r="AF33" i="88"/>
  <c r="AH31" i="88"/>
  <c r="AH30" i="88"/>
  <c r="AH29" i="88"/>
  <c r="AH28" i="88"/>
  <c r="AH27" i="88"/>
  <c r="AH26" i="88"/>
  <c r="AH25" i="88"/>
  <c r="AH24" i="88"/>
  <c r="AH23" i="88"/>
  <c r="AH22" i="88"/>
  <c r="AH21" i="88"/>
  <c r="AH20" i="88"/>
  <c r="AH19" i="88"/>
  <c r="AH18" i="88"/>
  <c r="AH17" i="88"/>
  <c r="AG8" i="88"/>
  <c r="AH15" i="88"/>
  <c r="AH14" i="88"/>
  <c r="AH13" i="88"/>
  <c r="AH12" i="88"/>
  <c r="AF8" i="88"/>
  <c r="AH10" i="88"/>
  <c r="AH9" i="88"/>
  <c r="AH7" i="88"/>
  <c r="AH6" i="88"/>
  <c r="AH5" i="88" s="1"/>
  <c r="AG5" i="88"/>
  <c r="AF5" i="88"/>
  <c r="AH48" i="88" l="1"/>
  <c r="AH77" i="88"/>
  <c r="AH75" i="88" s="1"/>
  <c r="I50" i="87"/>
  <c r="AG36" i="88"/>
  <c r="AG37" i="88" s="1"/>
  <c r="AH52" i="88"/>
  <c r="H54" i="87"/>
  <c r="I68" i="87"/>
  <c r="I29" i="87"/>
  <c r="H73" i="87"/>
  <c r="I61" i="87"/>
  <c r="I57" i="87"/>
  <c r="I85" i="87"/>
  <c r="I70" i="87"/>
  <c r="I66" i="87"/>
  <c r="I62" i="87"/>
  <c r="I58" i="87"/>
  <c r="I46" i="87"/>
  <c r="I42" i="87"/>
  <c r="I36" i="87"/>
  <c r="I10" i="87"/>
  <c r="I78" i="87"/>
  <c r="I71" i="87"/>
  <c r="I67" i="87"/>
  <c r="I63" i="87"/>
  <c r="I59" i="87"/>
  <c r="I55" i="87"/>
  <c r="I47" i="87"/>
  <c r="I43" i="87"/>
  <c r="AF36" i="88"/>
  <c r="AH39" i="88"/>
  <c r="AH11" i="88"/>
  <c r="AH16" i="88"/>
  <c r="AG73" i="88" l="1"/>
  <c r="AG79" i="88" s="1"/>
  <c r="AG81" i="88" s="1"/>
  <c r="AG82" i="88" s="1"/>
  <c r="AG84" i="88" s="1"/>
  <c r="AG85" i="88" s="1"/>
  <c r="AH8" i="88"/>
  <c r="I35" i="87"/>
  <c r="AF73" i="88"/>
  <c r="AF37" i="88"/>
  <c r="AG74" i="88" l="1"/>
  <c r="AF74" i="88"/>
  <c r="AF79" i="88"/>
  <c r="AF81" i="88" s="1"/>
  <c r="AF82" i="88" s="1"/>
  <c r="AF84" i="88" s="1"/>
  <c r="AF85" i="88" s="1"/>
  <c r="AH87" i="88"/>
  <c r="AH36" i="88"/>
  <c r="AN70" i="88" l="1"/>
  <c r="AN69" i="88"/>
  <c r="AN67" i="88"/>
  <c r="AN68" i="88"/>
  <c r="AI27" i="88"/>
  <c r="AI68" i="88"/>
  <c r="AI63" i="88"/>
  <c r="AI29" i="88"/>
  <c r="AI24" i="88"/>
  <c r="AI20" i="88"/>
  <c r="AI16" i="88"/>
  <c r="AI12" i="88"/>
  <c r="AI70" i="88"/>
  <c r="AI26" i="88"/>
  <c r="AI22" i="88"/>
  <c r="AI14" i="88"/>
  <c r="AI10" i="88"/>
  <c r="AI69" i="88"/>
  <c r="AI64" i="88"/>
  <c r="AI30" i="88"/>
  <c r="AI25" i="88"/>
  <c r="AI21" i="88"/>
  <c r="AI13" i="88"/>
  <c r="AI8" i="88"/>
  <c r="AI9" i="88"/>
  <c r="AI67" i="88"/>
  <c r="AI28" i="88"/>
  <c r="AI23" i="88"/>
  <c r="AI19" i="88"/>
  <c r="AI15" i="88"/>
  <c r="AI11" i="88"/>
  <c r="AI65" i="88"/>
  <c r="AI31" i="88"/>
  <c r="AI18" i="88"/>
  <c r="AI17" i="88"/>
  <c r="AI52" i="88"/>
  <c r="AI66" i="88"/>
  <c r="AH37" i="88"/>
  <c r="AI37" i="88" s="1"/>
  <c r="AH73" i="88"/>
  <c r="AH79" i="88" l="1"/>
  <c r="AH81" i="88" s="1"/>
  <c r="AH82" i="88" s="1"/>
  <c r="AH84" i="88" s="1"/>
  <c r="AH85" i="88" s="1"/>
  <c r="AH74" i="88"/>
  <c r="C26" i="93" l="1"/>
  <c r="E39" i="94" l="1"/>
  <c r="C22" i="93" s="1"/>
  <c r="E40" i="94"/>
  <c r="C23" i="93" s="1"/>
  <c r="E42" i="94"/>
  <c r="E41" i="94"/>
  <c r="C21" i="93" s="1"/>
  <c r="E37" i="94"/>
  <c r="C19" i="93" l="1"/>
  <c r="X66" i="79"/>
  <c r="X65" i="79"/>
  <c r="X64" i="79"/>
  <c r="X63" i="79"/>
  <c r="X62" i="79"/>
  <c r="X61" i="79"/>
  <c r="X60" i="79"/>
  <c r="X59" i="79"/>
  <c r="X58" i="79"/>
  <c r="X57" i="79"/>
  <c r="X56" i="79"/>
  <c r="X55" i="79"/>
  <c r="X54" i="79"/>
  <c r="X53" i="79"/>
  <c r="X50" i="79"/>
  <c r="X49" i="79"/>
  <c r="X46" i="79"/>
  <c r="X45" i="79"/>
  <c r="X44" i="79"/>
  <c r="X43" i="79"/>
  <c r="X42" i="79"/>
  <c r="X41" i="79"/>
  <c r="X40" i="79"/>
  <c r="X34" i="79"/>
  <c r="X33" i="79" s="1"/>
  <c r="X31" i="79"/>
  <c r="X30" i="79"/>
  <c r="X27" i="79"/>
  <c r="X26" i="79"/>
  <c r="X20" i="79"/>
  <c r="X18" i="79"/>
  <c r="X17" i="79"/>
  <c r="X16" i="79"/>
  <c r="X15" i="79"/>
  <c r="X14" i="79"/>
  <c r="X13" i="79"/>
  <c r="X12" i="79"/>
  <c r="X11" i="79"/>
  <c r="X10" i="79"/>
  <c r="X9" i="79"/>
  <c r="X7" i="79"/>
  <c r="N66" i="79"/>
  <c r="N65" i="79"/>
  <c r="N64" i="79"/>
  <c r="N63" i="79"/>
  <c r="N62" i="79"/>
  <c r="N61" i="79"/>
  <c r="N60" i="79"/>
  <c r="N59" i="79"/>
  <c r="N58" i="79"/>
  <c r="N57" i="79"/>
  <c r="N56" i="79"/>
  <c r="N55" i="79"/>
  <c r="N54" i="79"/>
  <c r="N53" i="79"/>
  <c r="N50" i="79"/>
  <c r="N49" i="79"/>
  <c r="N46" i="79"/>
  <c r="N45" i="79"/>
  <c r="N44" i="79"/>
  <c r="N43" i="79"/>
  <c r="N42" i="79"/>
  <c r="N41" i="79"/>
  <c r="N40" i="79"/>
  <c r="N34" i="79"/>
  <c r="N33" i="79" s="1"/>
  <c r="N31" i="79"/>
  <c r="N30" i="79"/>
  <c r="N28" i="79"/>
  <c r="N27" i="79"/>
  <c r="N26" i="79"/>
  <c r="N25" i="79"/>
  <c r="N24" i="79"/>
  <c r="N23" i="79"/>
  <c r="N22" i="79"/>
  <c r="N21" i="79"/>
  <c r="N20" i="79"/>
  <c r="N19" i="79"/>
  <c r="N18" i="79"/>
  <c r="N17" i="79"/>
  <c r="N16" i="79"/>
  <c r="N15" i="79"/>
  <c r="N14" i="79"/>
  <c r="N13" i="79"/>
  <c r="N12" i="79"/>
  <c r="N11" i="79"/>
  <c r="N10" i="79"/>
  <c r="N9" i="79"/>
  <c r="N7" i="79"/>
  <c r="N6" i="79"/>
  <c r="N5" i="79" s="1"/>
  <c r="S66" i="79"/>
  <c r="S65" i="79"/>
  <c r="S64" i="79"/>
  <c r="S63" i="79"/>
  <c r="S62" i="79"/>
  <c r="S60" i="79"/>
  <c r="S59" i="79"/>
  <c r="S58" i="79"/>
  <c r="S57" i="79"/>
  <c r="S56" i="79"/>
  <c r="S55" i="79"/>
  <c r="S54" i="79"/>
  <c r="S53" i="79"/>
  <c r="S50" i="79"/>
  <c r="S49" i="79"/>
  <c r="S46" i="79"/>
  <c r="S45" i="79"/>
  <c r="S44" i="79"/>
  <c r="S43" i="79"/>
  <c r="S42" i="79"/>
  <c r="S41" i="79"/>
  <c r="S40" i="79"/>
  <c r="S34" i="79"/>
  <c r="S33" i="79" s="1"/>
  <c r="S31" i="79"/>
  <c r="S30" i="79"/>
  <c r="S24" i="79"/>
  <c r="S23" i="79"/>
  <c r="S20" i="79"/>
  <c r="S18" i="79"/>
  <c r="S17" i="79"/>
  <c r="S15" i="79"/>
  <c r="S14" i="79"/>
  <c r="S13" i="79"/>
  <c r="S12" i="79"/>
  <c r="S7" i="79"/>
  <c r="I66" i="79"/>
  <c r="I65" i="79"/>
  <c r="I64" i="79"/>
  <c r="I63" i="79"/>
  <c r="I62" i="79"/>
  <c r="I61" i="79"/>
  <c r="I60" i="79"/>
  <c r="I59" i="79"/>
  <c r="I58" i="79"/>
  <c r="I57" i="79"/>
  <c r="I56" i="79"/>
  <c r="I46" i="79"/>
  <c r="I45" i="79"/>
  <c r="I44" i="79"/>
  <c r="I43" i="79"/>
  <c r="I42" i="79"/>
  <c r="I41" i="79"/>
  <c r="I31" i="79"/>
  <c r="I30" i="79"/>
  <c r="I29" i="79"/>
  <c r="I28" i="79"/>
  <c r="I27" i="79"/>
  <c r="I26" i="79"/>
  <c r="I25" i="79"/>
  <c r="I24" i="79"/>
  <c r="I23" i="79"/>
  <c r="I22" i="79"/>
  <c r="I21" i="79"/>
  <c r="I20" i="79"/>
  <c r="I18" i="79"/>
  <c r="I17" i="79"/>
  <c r="I16" i="79"/>
  <c r="I15" i="79"/>
  <c r="I14" i="79"/>
  <c r="I13" i="79"/>
  <c r="I12" i="79"/>
  <c r="I11" i="79"/>
  <c r="I10" i="79"/>
  <c r="I9" i="79"/>
  <c r="C4" i="93"/>
  <c r="E4" i="93" s="1"/>
  <c r="E7" i="93"/>
  <c r="E8" i="93"/>
  <c r="E5" i="93"/>
  <c r="E6" i="93"/>
  <c r="E9" i="93"/>
  <c r="E10" i="93"/>
  <c r="E11" i="93"/>
  <c r="E12" i="93"/>
  <c r="E13" i="93"/>
  <c r="S48" i="79" l="1"/>
  <c r="N48" i="79"/>
  <c r="X48" i="79"/>
  <c r="C2" i="93"/>
  <c r="S39" i="79"/>
  <c r="X39" i="79"/>
  <c r="N39" i="79"/>
  <c r="Q14" i="92"/>
  <c r="Q13" i="92"/>
  <c r="Q12" i="92"/>
  <c r="Q9" i="92"/>
  <c r="Q15" i="92" s="1"/>
  <c r="P9" i="92"/>
  <c r="P15" i="92" s="1"/>
  <c r="P14" i="92"/>
  <c r="P13" i="92"/>
  <c r="P12" i="92"/>
  <c r="P16" i="92" l="1"/>
  <c r="Q16" i="92"/>
  <c r="AB72" i="81" l="1"/>
  <c r="AB70" i="81"/>
  <c r="AB69" i="81"/>
  <c r="AB68" i="81"/>
  <c r="AB67" i="81"/>
  <c r="AB65" i="81"/>
  <c r="AB64" i="81"/>
  <c r="AB62" i="81"/>
  <c r="AB61" i="81"/>
  <c r="AB60" i="81"/>
  <c r="AB59" i="81"/>
  <c r="AB58" i="81"/>
  <c r="AB57" i="81"/>
  <c r="AB56" i="81"/>
  <c r="AB55" i="81"/>
  <c r="AB54" i="81"/>
  <c r="AB53" i="81"/>
  <c r="AB49" i="81"/>
  <c r="AB47" i="81"/>
  <c r="AB46" i="81"/>
  <c r="AB45" i="81"/>
  <c r="AB44" i="81"/>
  <c r="AB43" i="81"/>
  <c r="AB42" i="81"/>
  <c r="AB41" i="81"/>
  <c r="AB40" i="81"/>
  <c r="AB32" i="81"/>
  <c r="AB34" i="81"/>
  <c r="AB38" i="81"/>
  <c r="AB31" i="81"/>
  <c r="AB30" i="81"/>
  <c r="AB25" i="81"/>
  <c r="AB24" i="81"/>
  <c r="AB23" i="81"/>
  <c r="AB22" i="81"/>
  <c r="AB21" i="81"/>
  <c r="AB20" i="81"/>
  <c r="AB19" i="81"/>
  <c r="AB18" i="81"/>
  <c r="AB17" i="81"/>
  <c r="AB15" i="81"/>
  <c r="AB14" i="81"/>
  <c r="AB13" i="81"/>
  <c r="AB12" i="81"/>
  <c r="AB11" i="81"/>
  <c r="AB10" i="81"/>
  <c r="AB9" i="81"/>
  <c r="AH76" i="81"/>
  <c r="AC76" i="81"/>
  <c r="AC7" i="81"/>
  <c r="X76" i="81"/>
  <c r="X72" i="81"/>
  <c r="X71" i="81" s="1"/>
  <c r="X69" i="81"/>
  <c r="X68" i="81"/>
  <c r="X67" i="81"/>
  <c r="X65" i="81"/>
  <c r="X64" i="81"/>
  <c r="X63" i="81"/>
  <c r="X62" i="81"/>
  <c r="X61" i="81"/>
  <c r="X60" i="81"/>
  <c r="X59" i="81"/>
  <c r="X58" i="81"/>
  <c r="X57" i="81"/>
  <c r="X56" i="81"/>
  <c r="X55" i="81"/>
  <c r="X54" i="81"/>
  <c r="X53" i="81"/>
  <c r="X50" i="81"/>
  <c r="X49" i="81"/>
  <c r="X46" i="81"/>
  <c r="X45" i="81"/>
  <c r="X44" i="81"/>
  <c r="X43" i="81"/>
  <c r="X42" i="81"/>
  <c r="X41" i="81"/>
  <c r="X40" i="81"/>
  <c r="X34" i="81"/>
  <c r="X33" i="81" s="1"/>
  <c r="X31" i="81"/>
  <c r="X30" i="81"/>
  <c r="X25" i="81"/>
  <c r="X23" i="81"/>
  <c r="X21" i="81"/>
  <c r="X20" i="81"/>
  <c r="X19" i="81"/>
  <c r="X18" i="81"/>
  <c r="X17" i="81"/>
  <c r="X16" i="81"/>
  <c r="X15" i="81"/>
  <c r="X14" i="81"/>
  <c r="X13" i="81"/>
  <c r="X12" i="81"/>
  <c r="X7" i="81"/>
  <c r="S76" i="81"/>
  <c r="S72" i="81"/>
  <c r="S71" i="81" s="1"/>
  <c r="S69" i="81"/>
  <c r="S68" i="81"/>
  <c r="S67" i="81"/>
  <c r="S66" i="81"/>
  <c r="S65" i="81"/>
  <c r="S64" i="81"/>
  <c r="S62" i="81"/>
  <c r="S61" i="81"/>
  <c r="S60" i="81"/>
  <c r="S59" i="81"/>
  <c r="S58" i="81"/>
  <c r="S57" i="81"/>
  <c r="S56" i="81"/>
  <c r="S55" i="81"/>
  <c r="S54" i="81"/>
  <c r="S53" i="81"/>
  <c r="S50" i="81"/>
  <c r="S49" i="81"/>
  <c r="S46" i="81"/>
  <c r="S45" i="81"/>
  <c r="S44" i="81"/>
  <c r="S43" i="81"/>
  <c r="S42" i="81"/>
  <c r="S41" i="81"/>
  <c r="S40" i="81"/>
  <c r="S34" i="81"/>
  <c r="S33" i="81" s="1"/>
  <c r="S31" i="81"/>
  <c r="S30" i="81"/>
  <c r="S29" i="81"/>
  <c r="S28" i="81"/>
  <c r="S27" i="81"/>
  <c r="S26" i="81"/>
  <c r="S25" i="81"/>
  <c r="S24" i="81"/>
  <c r="S23" i="81"/>
  <c r="S22" i="81"/>
  <c r="S21" i="81"/>
  <c r="S20" i="81"/>
  <c r="S19" i="81"/>
  <c r="S18" i="81"/>
  <c r="S17" i="81"/>
  <c r="S16" i="81"/>
  <c r="S15" i="81"/>
  <c r="S14" i="81"/>
  <c r="S13" i="81"/>
  <c r="S12" i="81"/>
  <c r="S7" i="81"/>
  <c r="S6" i="81"/>
  <c r="S5" i="81" s="1"/>
  <c r="N76" i="81"/>
  <c r="N72" i="81"/>
  <c r="N71" i="81" s="1"/>
  <c r="N69" i="81"/>
  <c r="N68" i="81"/>
  <c r="N67" i="81"/>
  <c r="N66" i="81"/>
  <c r="N65" i="81"/>
  <c r="N64" i="81"/>
  <c r="N62" i="81"/>
  <c r="N61" i="81"/>
  <c r="N60" i="81"/>
  <c r="N59" i="81"/>
  <c r="N58" i="81"/>
  <c r="N57" i="81"/>
  <c r="N56" i="81"/>
  <c r="N55" i="81"/>
  <c r="N54" i="81"/>
  <c r="N53" i="81"/>
  <c r="N50" i="81"/>
  <c r="N49" i="81"/>
  <c r="N46" i="81"/>
  <c r="N45" i="81"/>
  <c r="N44" i="81"/>
  <c r="N43" i="81"/>
  <c r="N42" i="81"/>
  <c r="N41" i="81"/>
  <c r="N40" i="81"/>
  <c r="N34" i="81"/>
  <c r="N33" i="81" s="1"/>
  <c r="N31" i="81"/>
  <c r="N30" i="81"/>
  <c r="N27" i="81"/>
  <c r="N26" i="81"/>
  <c r="N25" i="81"/>
  <c r="N21" i="81"/>
  <c r="N20" i="81"/>
  <c r="N19" i="81"/>
  <c r="N18" i="81"/>
  <c r="N17" i="81"/>
  <c r="N15" i="81"/>
  <c r="N14" i="81"/>
  <c r="N13" i="81"/>
  <c r="N12" i="81"/>
  <c r="N7" i="81"/>
  <c r="I76" i="81"/>
  <c r="I72" i="81"/>
  <c r="I71" i="81" s="1"/>
  <c r="I69" i="81"/>
  <c r="I68" i="81"/>
  <c r="I67" i="81"/>
  <c r="I66" i="81"/>
  <c r="I65" i="81"/>
  <c r="I64" i="81"/>
  <c r="I62" i="81"/>
  <c r="I61" i="81"/>
  <c r="I60" i="81"/>
  <c r="I59" i="81"/>
  <c r="I58" i="81"/>
  <c r="I57" i="81"/>
  <c r="I56" i="81"/>
  <c r="I55" i="81"/>
  <c r="I54" i="81"/>
  <c r="I53" i="81"/>
  <c r="I50" i="81"/>
  <c r="I49" i="81"/>
  <c r="I46" i="81"/>
  <c r="I45" i="81"/>
  <c r="I44" i="81"/>
  <c r="I43" i="81"/>
  <c r="I42" i="81"/>
  <c r="I41" i="81"/>
  <c r="I40" i="81"/>
  <c r="I34" i="81"/>
  <c r="I33" i="81" s="1"/>
  <c r="I31" i="81"/>
  <c r="I30" i="81"/>
  <c r="I29" i="81"/>
  <c r="I28" i="81"/>
  <c r="I27" i="81"/>
  <c r="I26" i="81"/>
  <c r="I25" i="81"/>
  <c r="I24" i="81"/>
  <c r="I23" i="81"/>
  <c r="I22" i="81"/>
  <c r="I21" i="81"/>
  <c r="I20" i="81"/>
  <c r="I19" i="81"/>
  <c r="I18" i="81"/>
  <c r="I17" i="81"/>
  <c r="I16" i="81"/>
  <c r="I15" i="81"/>
  <c r="I14" i="81"/>
  <c r="I13" i="81"/>
  <c r="I12" i="81"/>
  <c r="I11" i="81"/>
  <c r="I10" i="81"/>
  <c r="I9" i="81"/>
  <c r="I7" i="81"/>
  <c r="I6" i="81"/>
  <c r="I5" i="81" s="1"/>
  <c r="X48" i="81" l="1"/>
  <c r="S48" i="81"/>
  <c r="X39" i="81"/>
  <c r="I48" i="81"/>
  <c r="S39" i="81"/>
  <c r="N48" i="81"/>
  <c r="I8" i="81"/>
  <c r="I36" i="81" s="1"/>
  <c r="I37" i="81" s="1"/>
  <c r="I39" i="81"/>
  <c r="N39" i="81"/>
  <c r="AR69" i="88"/>
  <c r="AR68" i="88"/>
  <c r="AR66" i="88"/>
  <c r="AR65" i="88"/>
  <c r="AR64" i="88"/>
  <c r="AR46" i="88"/>
  <c r="AR44" i="88"/>
  <c r="AR34" i="88"/>
  <c r="AR33" i="88" s="1"/>
  <c r="AR19" i="88"/>
  <c r="AR17" i="88"/>
  <c r="AW76" i="88"/>
  <c r="AR67" i="88"/>
  <c r="AR49" i="88"/>
  <c r="AR45" i="88"/>
  <c r="AR31" i="88"/>
  <c r="AR15" i="88"/>
  <c r="AC76" i="88"/>
  <c r="AC72" i="88"/>
  <c r="AC71" i="88" s="1"/>
  <c r="AC69" i="88"/>
  <c r="AC68" i="88"/>
  <c r="AC67" i="88"/>
  <c r="AC66" i="88"/>
  <c r="AC65" i="88"/>
  <c r="AC64" i="88"/>
  <c r="AC63" i="88"/>
  <c r="AC62" i="88"/>
  <c r="AC61" i="88"/>
  <c r="AC60" i="88"/>
  <c r="AC59" i="88"/>
  <c r="AC58" i="88"/>
  <c r="AC57" i="88"/>
  <c r="AC56" i="88"/>
  <c r="AC55" i="88"/>
  <c r="AC54" i="88"/>
  <c r="AC53" i="88"/>
  <c r="AC50" i="88"/>
  <c r="AC49" i="88"/>
  <c r="AC46" i="88"/>
  <c r="AC45" i="88"/>
  <c r="AC44" i="88"/>
  <c r="AC43" i="88"/>
  <c r="AC42" i="88"/>
  <c r="AC41" i="88"/>
  <c r="AC40" i="88"/>
  <c r="AC34" i="88"/>
  <c r="AC33" i="88" s="1"/>
  <c r="AC31" i="88"/>
  <c r="AC30" i="88"/>
  <c r="AC29" i="88"/>
  <c r="AC28" i="88"/>
  <c r="AC27" i="88"/>
  <c r="AC26" i="88"/>
  <c r="AC25" i="88"/>
  <c r="AC22" i="88"/>
  <c r="AC21" i="88"/>
  <c r="AC20" i="88"/>
  <c r="AC19" i="88"/>
  <c r="AC18" i="88"/>
  <c r="AC17" i="88"/>
  <c r="AC15" i="88"/>
  <c r="AC14" i="88"/>
  <c r="AC13" i="88"/>
  <c r="AC7" i="88"/>
  <c r="X76" i="88"/>
  <c r="X72" i="88"/>
  <c r="X71" i="88" s="1"/>
  <c r="X69" i="88"/>
  <c r="X68" i="88"/>
  <c r="X67" i="88"/>
  <c r="X66" i="88"/>
  <c r="X65" i="88"/>
  <c r="X64" i="88"/>
  <c r="X63" i="88"/>
  <c r="X62" i="88"/>
  <c r="X61" i="88"/>
  <c r="X60" i="88"/>
  <c r="X59" i="88"/>
  <c r="X58" i="88"/>
  <c r="X57" i="88"/>
  <c r="X56" i="88"/>
  <c r="X55" i="88"/>
  <c r="X54" i="88"/>
  <c r="X53" i="88"/>
  <c r="X50" i="88"/>
  <c r="X49" i="88"/>
  <c r="X46" i="88"/>
  <c r="X45" i="88"/>
  <c r="X44" i="88"/>
  <c r="X43" i="88"/>
  <c r="X42" i="88"/>
  <c r="X41" i="88"/>
  <c r="X40" i="88"/>
  <c r="X34" i="88"/>
  <c r="X33" i="88" s="1"/>
  <c r="X31" i="88"/>
  <c r="X30" i="88"/>
  <c r="X29" i="88"/>
  <c r="X28" i="88"/>
  <c r="X22" i="88"/>
  <c r="X21" i="88"/>
  <c r="X20" i="88"/>
  <c r="X19" i="88"/>
  <c r="X18" i="88"/>
  <c r="X17" i="88"/>
  <c r="X15" i="88"/>
  <c r="X14" i="88"/>
  <c r="X13" i="88"/>
  <c r="X12" i="88"/>
  <c r="X11" i="88"/>
  <c r="X10" i="88"/>
  <c r="X9" i="88"/>
  <c r="X7" i="88"/>
  <c r="S76" i="88"/>
  <c r="S72" i="88"/>
  <c r="S71" i="88" s="1"/>
  <c r="S69" i="88"/>
  <c r="S68" i="88"/>
  <c r="S67" i="88"/>
  <c r="S66" i="88"/>
  <c r="S65" i="88"/>
  <c r="S64" i="88"/>
  <c r="S63" i="88"/>
  <c r="S62" i="88"/>
  <c r="S61" i="88"/>
  <c r="S60" i="88"/>
  <c r="S59" i="88"/>
  <c r="S58" i="88"/>
  <c r="S57" i="88"/>
  <c r="S56" i="88"/>
  <c r="S55" i="88"/>
  <c r="S54" i="88"/>
  <c r="S53" i="88"/>
  <c r="S50" i="88"/>
  <c r="S49" i="88"/>
  <c r="S46" i="88"/>
  <c r="S45" i="88"/>
  <c r="S44" i="88"/>
  <c r="S43" i="88"/>
  <c r="S42" i="88"/>
  <c r="S41" i="88"/>
  <c r="S40" i="88"/>
  <c r="S34" i="88"/>
  <c r="S33" i="88" s="1"/>
  <c r="S31" i="88"/>
  <c r="S30" i="88"/>
  <c r="S29" i="88"/>
  <c r="S27" i="88"/>
  <c r="S26" i="88"/>
  <c r="S25" i="88"/>
  <c r="S24" i="88"/>
  <c r="S23" i="88"/>
  <c r="S22" i="88"/>
  <c r="S20" i="88"/>
  <c r="S19" i="88"/>
  <c r="S18" i="88"/>
  <c r="S17" i="88"/>
  <c r="S16" i="88"/>
  <c r="S15" i="88"/>
  <c r="S14" i="88"/>
  <c r="S13" i="88"/>
  <c r="S12" i="88"/>
  <c r="S7" i="88"/>
  <c r="S6" i="88"/>
  <c r="S5" i="88" s="1"/>
  <c r="N76" i="88"/>
  <c r="N72" i="88"/>
  <c r="N71" i="88" s="1"/>
  <c r="N69" i="88"/>
  <c r="N68" i="88"/>
  <c r="N67" i="88"/>
  <c r="N66" i="88"/>
  <c r="N65" i="88"/>
  <c r="N64" i="88"/>
  <c r="N63" i="88"/>
  <c r="N62" i="88"/>
  <c r="N61" i="88"/>
  <c r="N60" i="88"/>
  <c r="N59" i="88"/>
  <c r="N58" i="88"/>
  <c r="N57" i="88"/>
  <c r="N56" i="88"/>
  <c r="N55" i="88"/>
  <c r="N54" i="88"/>
  <c r="N53" i="88"/>
  <c r="N50" i="88"/>
  <c r="N49" i="88"/>
  <c r="N46" i="88"/>
  <c r="N45" i="88"/>
  <c r="N44" i="88"/>
  <c r="N43" i="88"/>
  <c r="N42" i="88"/>
  <c r="N41" i="88"/>
  <c r="N40" i="88"/>
  <c r="N34" i="88"/>
  <c r="N33" i="88" s="1"/>
  <c r="N31" i="88"/>
  <c r="N30" i="88"/>
  <c r="N27" i="88"/>
  <c r="N25" i="88"/>
  <c r="N24" i="88"/>
  <c r="N23" i="88"/>
  <c r="N20" i="88"/>
  <c r="N19" i="88"/>
  <c r="N17" i="88"/>
  <c r="N16" i="88"/>
  <c r="N15" i="88"/>
  <c r="N14" i="88"/>
  <c r="N13" i="88"/>
  <c r="N12" i="88"/>
  <c r="N11" i="88"/>
  <c r="N10" i="88"/>
  <c r="N9" i="88"/>
  <c r="N7" i="88"/>
  <c r="N6" i="88"/>
  <c r="N5" i="88" s="1"/>
  <c r="I72" i="88"/>
  <c r="I69" i="88"/>
  <c r="I68" i="88"/>
  <c r="I67" i="88"/>
  <c r="I66" i="88"/>
  <c r="I65" i="88"/>
  <c r="I64" i="88"/>
  <c r="I63" i="88"/>
  <c r="I49" i="88"/>
  <c r="I46" i="88"/>
  <c r="I45" i="88"/>
  <c r="I44" i="88"/>
  <c r="I34" i="88"/>
  <c r="I33" i="88" s="1"/>
  <c r="I31" i="88"/>
  <c r="I30" i="88"/>
  <c r="I27" i="88"/>
  <c r="I26" i="88"/>
  <c r="I25" i="88"/>
  <c r="I24" i="88"/>
  <c r="I23" i="88"/>
  <c r="I22" i="88"/>
  <c r="I21" i="88"/>
  <c r="I20" i="88"/>
  <c r="I19" i="88"/>
  <c r="I18" i="88"/>
  <c r="I17" i="88"/>
  <c r="I16" i="88"/>
  <c r="I15" i="88"/>
  <c r="I12" i="88"/>
  <c r="I76" i="88"/>
  <c r="I71" i="88"/>
  <c r="I62" i="88"/>
  <c r="I61" i="88"/>
  <c r="I60" i="88"/>
  <c r="I59" i="88"/>
  <c r="I58" i="88"/>
  <c r="I57" i="88"/>
  <c r="I56" i="88"/>
  <c r="I55" i="88"/>
  <c r="I54" i="88"/>
  <c r="I53" i="88"/>
  <c r="I50" i="88"/>
  <c r="I43" i="88"/>
  <c r="I42" i="88"/>
  <c r="I41" i="88"/>
  <c r="I40" i="88"/>
  <c r="I7" i="88"/>
  <c r="I6" i="88"/>
  <c r="I71" i="91"/>
  <c r="I70" i="91"/>
  <c r="I69" i="91"/>
  <c r="I68" i="91"/>
  <c r="I67" i="91"/>
  <c r="I66" i="91"/>
  <c r="I65" i="91"/>
  <c r="I64" i="91"/>
  <c r="I63" i="91"/>
  <c r="I62" i="91"/>
  <c r="I61" i="91"/>
  <c r="I60" i="91"/>
  <c r="I59" i="91"/>
  <c r="I58" i="91"/>
  <c r="I57" i="91"/>
  <c r="I56" i="91"/>
  <c r="I55" i="91"/>
  <c r="I52" i="91"/>
  <c r="I51" i="91"/>
  <c r="I48" i="91"/>
  <c r="I47" i="91"/>
  <c r="I46" i="91"/>
  <c r="I45" i="91"/>
  <c r="I44" i="91"/>
  <c r="I43" i="91"/>
  <c r="I42" i="91"/>
  <c r="I33" i="91"/>
  <c r="I32" i="91"/>
  <c r="I31" i="91"/>
  <c r="I30" i="91"/>
  <c r="I29" i="91"/>
  <c r="I28" i="91"/>
  <c r="I27" i="91"/>
  <c r="I26" i="91"/>
  <c r="I25" i="91"/>
  <c r="I24" i="91"/>
  <c r="I21" i="91"/>
  <c r="I20" i="91"/>
  <c r="I19" i="91"/>
  <c r="I18" i="91"/>
  <c r="I17" i="91"/>
  <c r="I16" i="91"/>
  <c r="I15" i="91"/>
  <c r="I14" i="91"/>
  <c r="I13" i="91"/>
  <c r="I12" i="91"/>
  <c r="I11" i="91"/>
  <c r="I10" i="91"/>
  <c r="I9" i="91"/>
  <c r="A6" i="106" l="1"/>
  <c r="A6" i="100"/>
  <c r="A6" i="117"/>
  <c r="A6" i="113"/>
  <c r="N48" i="88"/>
  <c r="I5" i="88"/>
  <c r="I48" i="88"/>
  <c r="A6" i="102"/>
  <c r="A6" i="99"/>
  <c r="A6" i="96"/>
  <c r="A6" i="95"/>
  <c r="X48" i="88"/>
  <c r="AC39" i="88"/>
  <c r="N39" i="88"/>
  <c r="S39" i="88"/>
  <c r="X39" i="88"/>
  <c r="S48" i="88"/>
  <c r="AC48" i="88"/>
  <c r="S52" i="88"/>
  <c r="AC52" i="88"/>
  <c r="AR63" i="88"/>
  <c r="I39" i="88"/>
  <c r="AR20" i="88"/>
  <c r="AR30" i="88"/>
  <c r="N52" i="88"/>
  <c r="X52" i="88"/>
  <c r="I52" i="88"/>
  <c r="AA6" i="88" l="1"/>
  <c r="AC6" i="88" l="1"/>
  <c r="AC5" i="88" s="1"/>
  <c r="AP6" i="88"/>
  <c r="AP72" i="88" s="1"/>
  <c r="AR72" i="88" s="1"/>
  <c r="E9" i="92"/>
  <c r="E15" i="92" s="1"/>
  <c r="M14" i="92"/>
  <c r="L14" i="92"/>
  <c r="K14" i="92"/>
  <c r="J14" i="92"/>
  <c r="I14" i="92"/>
  <c r="H14" i="92"/>
  <c r="G14" i="92"/>
  <c r="F14" i="92"/>
  <c r="E14" i="92"/>
  <c r="D14" i="92"/>
  <c r="C14" i="92"/>
  <c r="M13" i="92"/>
  <c r="L13" i="92"/>
  <c r="K13" i="92"/>
  <c r="J13" i="92"/>
  <c r="I13" i="92"/>
  <c r="H13" i="92"/>
  <c r="G13" i="92"/>
  <c r="F13" i="92"/>
  <c r="E13" i="92"/>
  <c r="D13" i="92"/>
  <c r="C13" i="92"/>
  <c r="M12" i="92"/>
  <c r="L12" i="92"/>
  <c r="K12" i="92"/>
  <c r="J12" i="92"/>
  <c r="I12" i="92"/>
  <c r="H12" i="92"/>
  <c r="G12" i="92"/>
  <c r="F12" i="92"/>
  <c r="E12" i="92"/>
  <c r="D12" i="92"/>
  <c r="C12" i="92"/>
  <c r="B14" i="92"/>
  <c r="B13" i="92"/>
  <c r="B12" i="92"/>
  <c r="C9" i="92"/>
  <c r="C15" i="92" s="1"/>
  <c r="D9" i="92"/>
  <c r="D15" i="92" s="1"/>
  <c r="F9" i="92"/>
  <c r="F15" i="92" s="1"/>
  <c r="G9" i="92"/>
  <c r="G15" i="92" s="1"/>
  <c r="H9" i="92"/>
  <c r="H15" i="92" s="1"/>
  <c r="I9" i="92"/>
  <c r="I15" i="92" s="1"/>
  <c r="J9" i="92"/>
  <c r="J15" i="92" s="1"/>
  <c r="K9" i="92"/>
  <c r="K15" i="92" s="1"/>
  <c r="L9" i="92"/>
  <c r="L15" i="92" s="1"/>
  <c r="M9" i="92"/>
  <c r="M15" i="92" s="1"/>
  <c r="B9" i="92"/>
  <c r="B15" i="92" s="1"/>
  <c r="M16" i="92" l="1"/>
  <c r="L16" i="92"/>
  <c r="F16" i="92"/>
  <c r="J16" i="92"/>
  <c r="D16" i="92"/>
  <c r="H16" i="92"/>
  <c r="B16" i="92"/>
  <c r="G16" i="92"/>
  <c r="I16" i="92"/>
  <c r="C16" i="92"/>
  <c r="E16" i="92"/>
  <c r="K16" i="92"/>
  <c r="AC24" i="88"/>
  <c r="N16" i="92" l="1"/>
  <c r="N19" i="92" s="1"/>
  <c r="I19" i="87"/>
  <c r="AU63" i="88"/>
  <c r="G5" i="87" l="1"/>
  <c r="I6" i="87"/>
  <c r="I5" i="87" s="1"/>
  <c r="AB16" i="88"/>
  <c r="AC16" i="88" s="1"/>
  <c r="AB12" i="88" l="1"/>
  <c r="AQ12" i="88" s="1"/>
  <c r="AA9" i="88"/>
  <c r="AA10" i="88"/>
  <c r="AA11" i="88"/>
  <c r="AC11" i="88" l="1"/>
  <c r="AR12" i="88"/>
  <c r="AC12" i="88"/>
  <c r="AC10" i="88"/>
  <c r="AC9" i="88"/>
  <c r="AA23" i="88"/>
  <c r="AC23" i="88" l="1"/>
  <c r="AC8" i="88" s="1"/>
  <c r="AC36" i="88" s="1"/>
  <c r="AC73" i="88" l="1"/>
  <c r="AC74" i="88" s="1"/>
  <c r="AC37" i="88"/>
  <c r="I78" i="89" l="1"/>
  <c r="I71" i="89"/>
  <c r="I67" i="89"/>
  <c r="I65" i="89"/>
  <c r="I63" i="89"/>
  <c r="I61" i="89"/>
  <c r="I59" i="89"/>
  <c r="I57" i="89"/>
  <c r="I51" i="89"/>
  <c r="I48" i="89"/>
  <c r="I46" i="89"/>
  <c r="I44" i="89"/>
  <c r="I42" i="89"/>
  <c r="I19" i="89"/>
  <c r="I21" i="89"/>
  <c r="I16" i="89"/>
  <c r="I71" i="90"/>
  <c r="I70" i="90"/>
  <c r="I68" i="90"/>
  <c r="I67" i="90"/>
  <c r="I66" i="90"/>
  <c r="I64" i="90"/>
  <c r="I62" i="90"/>
  <c r="I61" i="90"/>
  <c r="I60" i="90"/>
  <c r="I59" i="90"/>
  <c r="I58" i="90"/>
  <c r="I57" i="90"/>
  <c r="I56" i="90"/>
  <c r="I55" i="90"/>
  <c r="I52" i="90"/>
  <c r="I51" i="90"/>
  <c r="I47" i="90"/>
  <c r="I46" i="90"/>
  <c r="I45" i="90"/>
  <c r="I44" i="90"/>
  <c r="I43" i="90"/>
  <c r="I42" i="90"/>
  <c r="I36" i="90"/>
  <c r="I35" i="90" s="1"/>
  <c r="I33" i="90"/>
  <c r="I32" i="90"/>
  <c r="I27" i="90"/>
  <c r="I26" i="90"/>
  <c r="I25" i="90"/>
  <c r="I20" i="90"/>
  <c r="I19" i="90"/>
  <c r="I18" i="90"/>
  <c r="I17" i="90"/>
  <c r="I16" i="90"/>
  <c r="I6" i="90"/>
  <c r="I5" i="90" s="1"/>
  <c r="I15" i="86" l="1"/>
  <c r="I17" i="86"/>
  <c r="I33" i="86"/>
  <c r="I46" i="86"/>
  <c r="I55" i="86"/>
  <c r="I16" i="86"/>
  <c r="I32" i="86"/>
  <c r="I50" i="90"/>
  <c r="I15" i="90"/>
  <c r="I25" i="89"/>
  <c r="I55" i="89"/>
  <c r="I69" i="89"/>
  <c r="I33" i="89"/>
  <c r="I31" i="89"/>
  <c r="I29" i="89"/>
  <c r="I27" i="89"/>
  <c r="I17" i="89"/>
  <c r="I32" i="89"/>
  <c r="I30" i="89"/>
  <c r="I28" i="89"/>
  <c r="I24" i="89"/>
  <c r="I20" i="89"/>
  <c r="I43" i="89"/>
  <c r="I45" i="89"/>
  <c r="I47" i="89"/>
  <c r="I52" i="89"/>
  <c r="I50" i="89" s="1"/>
  <c r="I56" i="89"/>
  <c r="I58" i="89"/>
  <c r="I60" i="89"/>
  <c r="I62" i="89"/>
  <c r="I64" i="89"/>
  <c r="I66" i="89"/>
  <c r="I68" i="89"/>
  <c r="I70" i="89"/>
  <c r="I54" i="89" l="1"/>
  <c r="I41" i="89"/>
  <c r="AC83" i="88" l="1"/>
  <c r="AC80" i="88"/>
  <c r="AB75" i="88"/>
  <c r="AA75" i="88"/>
  <c r="AB71" i="88"/>
  <c r="AA71" i="88"/>
  <c r="AB52" i="88"/>
  <c r="AA52" i="88"/>
  <c r="AB48" i="88"/>
  <c r="AA48" i="88"/>
  <c r="AB39" i="88"/>
  <c r="AA39" i="88"/>
  <c r="AB33" i="88"/>
  <c r="AA33" i="88"/>
  <c r="AB8" i="88"/>
  <c r="AB5" i="88"/>
  <c r="AA5" i="88"/>
  <c r="I78" i="86"/>
  <c r="I70" i="86"/>
  <c r="I68" i="86"/>
  <c r="I67" i="86"/>
  <c r="I66" i="86"/>
  <c r="I64" i="86"/>
  <c r="I62" i="86"/>
  <c r="I61" i="86"/>
  <c r="I57" i="86"/>
  <c r="I56" i="86"/>
  <c r="I70" i="85"/>
  <c r="I68" i="85"/>
  <c r="I66" i="85"/>
  <c r="I52" i="85"/>
  <c r="I47" i="85"/>
  <c r="I13" i="85"/>
  <c r="I15" i="85"/>
  <c r="I17" i="85"/>
  <c r="I19" i="85"/>
  <c r="I29" i="85"/>
  <c r="I31" i="85"/>
  <c r="I12" i="85"/>
  <c r="AC77" i="88" l="1"/>
  <c r="AC75" i="88" s="1"/>
  <c r="I32" i="85"/>
  <c r="I30" i="85"/>
  <c r="I20" i="85"/>
  <c r="I16" i="85"/>
  <c r="I14" i="85"/>
  <c r="I51" i="85"/>
  <c r="I50" i="85" s="1"/>
  <c r="I71" i="85"/>
  <c r="I67" i="85"/>
  <c r="I69" i="85"/>
  <c r="I78" i="85"/>
  <c r="I42" i="86"/>
  <c r="AB36" i="88"/>
  <c r="AB37" i="88" s="1"/>
  <c r="AA8" i="88"/>
  <c r="AA36" i="88" s="1"/>
  <c r="AB73" i="88" l="1"/>
  <c r="AB79" i="88" s="1"/>
  <c r="AB81" i="88" s="1"/>
  <c r="AB82" i="88" s="1"/>
  <c r="AB84" i="88" s="1"/>
  <c r="AB85" i="88" s="1"/>
  <c r="AA73" i="88"/>
  <c r="AA37" i="88"/>
  <c r="AB74" i="88" l="1"/>
  <c r="AC87" i="88"/>
  <c r="AA74" i="88"/>
  <c r="AA79" i="88"/>
  <c r="AA81" i="88" s="1"/>
  <c r="AA82" i="88" s="1"/>
  <c r="AA84" i="88" s="1"/>
  <c r="AA85" i="88" s="1"/>
  <c r="AN71" i="88" l="1"/>
  <c r="AN72" i="88"/>
  <c r="AI45" i="88"/>
  <c r="AI44" i="88"/>
  <c r="AI46" i="88"/>
  <c r="AI49" i="88"/>
  <c r="AI48" i="88"/>
  <c r="AI34" i="88"/>
  <c r="AI43" i="88"/>
  <c r="AI33" i="88"/>
  <c r="AI60" i="88"/>
  <c r="AI59" i="88"/>
  <c r="AI42" i="88"/>
  <c r="AI58" i="88"/>
  <c r="AI41" i="88"/>
  <c r="AI53" i="88"/>
  <c r="AI54" i="88"/>
  <c r="AI62" i="88"/>
  <c r="AI40" i="88"/>
  <c r="AI57" i="88"/>
  <c r="AI56" i="88"/>
  <c r="AI71" i="88"/>
  <c r="AI55" i="88"/>
  <c r="AI61" i="88"/>
  <c r="AI72" i="88"/>
  <c r="AI39" i="88"/>
  <c r="AD71" i="88"/>
  <c r="AD66" i="88"/>
  <c r="AD61" i="88"/>
  <c r="AD57" i="88"/>
  <c r="AD53" i="88"/>
  <c r="AD46" i="88"/>
  <c r="AD42" i="88"/>
  <c r="AD34" i="88"/>
  <c r="AD29" i="88"/>
  <c r="AD25" i="88"/>
  <c r="AD21" i="88"/>
  <c r="AD17" i="88"/>
  <c r="AD13" i="88"/>
  <c r="AD9" i="88"/>
  <c r="AD69" i="88"/>
  <c r="AD65" i="88"/>
  <c r="AD60" i="88"/>
  <c r="AD56" i="88"/>
  <c r="AD52" i="88"/>
  <c r="AD45" i="88"/>
  <c r="AD41" i="88"/>
  <c r="AD33" i="88"/>
  <c r="AD28" i="88"/>
  <c r="AD24" i="88"/>
  <c r="AD20" i="88"/>
  <c r="AD16" i="88"/>
  <c r="AD12" i="88"/>
  <c r="AD63" i="88"/>
  <c r="AD68" i="88"/>
  <c r="AD64" i="88"/>
  <c r="AD59" i="88"/>
  <c r="AD55" i="88"/>
  <c r="AD49" i="88"/>
  <c r="AD44" i="88"/>
  <c r="AD40" i="88"/>
  <c r="AD31" i="88"/>
  <c r="AD27" i="88"/>
  <c r="AD23" i="88"/>
  <c r="AD19" i="88"/>
  <c r="AD15" i="88"/>
  <c r="AD11" i="88"/>
  <c r="AD72" i="88"/>
  <c r="AD67" i="88"/>
  <c r="AD62" i="88"/>
  <c r="AD58" i="88"/>
  <c r="AD54" i="88"/>
  <c r="AD48" i="88"/>
  <c r="AD43" i="88"/>
  <c r="AD39" i="88"/>
  <c r="AD30" i="88"/>
  <c r="AD26" i="88"/>
  <c r="AD22" i="88"/>
  <c r="AD18" i="88"/>
  <c r="AD14" i="88"/>
  <c r="AD10" i="88"/>
  <c r="AD8" i="88"/>
  <c r="AC79" i="88" l="1"/>
  <c r="AC81" i="88" s="1"/>
  <c r="AC82" i="88" s="1"/>
  <c r="AC84" i="88" s="1"/>
  <c r="AC85" i="88" s="1"/>
  <c r="W16" i="88" l="1"/>
  <c r="AQ16" i="88" s="1"/>
  <c r="AR16" i="88" l="1"/>
  <c r="X16" i="88"/>
  <c r="I85" i="91" l="1"/>
  <c r="E85" i="91"/>
  <c r="I82" i="91"/>
  <c r="E82" i="91"/>
  <c r="E79" i="91"/>
  <c r="E78" i="91"/>
  <c r="H77" i="91"/>
  <c r="D77" i="91"/>
  <c r="C77" i="91"/>
  <c r="H73" i="91"/>
  <c r="C74" i="91"/>
  <c r="C73" i="91" s="1"/>
  <c r="D73" i="91"/>
  <c r="E71" i="91"/>
  <c r="E70" i="91"/>
  <c r="E69" i="91"/>
  <c r="E68" i="91"/>
  <c r="E67" i="91"/>
  <c r="E66" i="91"/>
  <c r="E65" i="91"/>
  <c r="E64" i="91"/>
  <c r="E63" i="91"/>
  <c r="E62" i="91"/>
  <c r="E61" i="91"/>
  <c r="E60" i="91"/>
  <c r="E59" i="91"/>
  <c r="E58" i="91"/>
  <c r="E57" i="91"/>
  <c r="E56" i="91"/>
  <c r="E55" i="91"/>
  <c r="D54" i="91"/>
  <c r="C54" i="91"/>
  <c r="E52" i="91"/>
  <c r="E51" i="91"/>
  <c r="E48" i="91"/>
  <c r="E47" i="91"/>
  <c r="E46" i="91"/>
  <c r="E45" i="91"/>
  <c r="E44" i="91"/>
  <c r="E43" i="91"/>
  <c r="E42" i="91"/>
  <c r="D41" i="91"/>
  <c r="C41" i="91"/>
  <c r="E36" i="91"/>
  <c r="E35" i="91" s="1"/>
  <c r="H35" i="91"/>
  <c r="D35" i="91"/>
  <c r="C35" i="91"/>
  <c r="E33" i="91"/>
  <c r="E32" i="91"/>
  <c r="E31" i="91"/>
  <c r="E30" i="91"/>
  <c r="E29" i="91"/>
  <c r="E28" i="91"/>
  <c r="E27" i="91"/>
  <c r="E26" i="91"/>
  <c r="E25" i="91"/>
  <c r="E24" i="91"/>
  <c r="E21" i="91"/>
  <c r="E20" i="91"/>
  <c r="E19" i="91"/>
  <c r="E18" i="91"/>
  <c r="E17" i="91"/>
  <c r="E16" i="91"/>
  <c r="E15" i="91"/>
  <c r="E14" i="91"/>
  <c r="E13" i="91"/>
  <c r="E12" i="91"/>
  <c r="E11" i="91"/>
  <c r="E10" i="91"/>
  <c r="E9" i="91"/>
  <c r="D8" i="91"/>
  <c r="C8" i="91"/>
  <c r="E7" i="91"/>
  <c r="E6" i="91"/>
  <c r="E5" i="91" s="1"/>
  <c r="H5" i="91"/>
  <c r="D5" i="91"/>
  <c r="C5" i="91"/>
  <c r="E50" i="91" l="1"/>
  <c r="D38" i="91"/>
  <c r="D75" i="91" s="1"/>
  <c r="D81" i="91" s="1"/>
  <c r="D83" i="91" s="1"/>
  <c r="D84" i="91" s="1"/>
  <c r="D86" i="91" s="1"/>
  <c r="D87" i="91" s="1"/>
  <c r="E41" i="91"/>
  <c r="E54" i="91"/>
  <c r="E8" i="91"/>
  <c r="I48" i="86"/>
  <c r="H54" i="91"/>
  <c r="G77" i="91"/>
  <c r="I6" i="91"/>
  <c r="I5" i="91" s="1"/>
  <c r="G50" i="91"/>
  <c r="I72" i="91"/>
  <c r="C38" i="91"/>
  <c r="C75" i="91" s="1"/>
  <c r="G5" i="91"/>
  <c r="G41" i="91"/>
  <c r="H8" i="91"/>
  <c r="G35" i="91"/>
  <c r="I36" i="91"/>
  <c r="I7" i="91"/>
  <c r="G8" i="91"/>
  <c r="I50" i="91"/>
  <c r="G54" i="91"/>
  <c r="I74" i="91"/>
  <c r="I73" i="91" s="1"/>
  <c r="G73" i="91"/>
  <c r="H41" i="91"/>
  <c r="H50" i="91"/>
  <c r="E77" i="91"/>
  <c r="E74" i="91"/>
  <c r="E73" i="91" s="1"/>
  <c r="D39" i="91" l="1"/>
  <c r="E38" i="91"/>
  <c r="E75" i="91" s="1"/>
  <c r="E81" i="91" s="1"/>
  <c r="E83" i="91" s="1"/>
  <c r="E84" i="91" s="1"/>
  <c r="E86" i="91" s="1"/>
  <c r="E87" i="91" s="1"/>
  <c r="E89" i="91"/>
  <c r="I79" i="91"/>
  <c r="BG79" i="91" s="1"/>
  <c r="BG89" i="91" s="1"/>
  <c r="BG90" i="91" s="1"/>
  <c r="H38" i="91"/>
  <c r="H75" i="91" s="1"/>
  <c r="D76" i="91"/>
  <c r="C39" i="91"/>
  <c r="G38" i="91"/>
  <c r="G75" i="91" s="1"/>
  <c r="I54" i="91"/>
  <c r="I41" i="91"/>
  <c r="I35" i="91"/>
  <c r="I8" i="91"/>
  <c r="C81" i="91"/>
  <c r="C83" i="91" s="1"/>
  <c r="C84" i="91" s="1"/>
  <c r="C86" i="91" s="1"/>
  <c r="C87" i="91" s="1"/>
  <c r="C76" i="91"/>
  <c r="E39" i="91" l="1"/>
  <c r="I77" i="91"/>
  <c r="E76" i="91"/>
  <c r="H39" i="91"/>
  <c r="G39" i="91"/>
  <c r="J8" i="91"/>
  <c r="I38" i="91"/>
  <c r="I75" i="91" s="1"/>
  <c r="H81" i="91"/>
  <c r="H83" i="91" s="1"/>
  <c r="H84" i="91" s="1"/>
  <c r="H76" i="91"/>
  <c r="F63" i="91"/>
  <c r="F61" i="91"/>
  <c r="F59" i="91"/>
  <c r="F72" i="91"/>
  <c r="F85" i="91"/>
  <c r="F55" i="91"/>
  <c r="F51" i="91"/>
  <c r="F50" i="91"/>
  <c r="F47" i="91"/>
  <c r="F43" i="91"/>
  <c r="F67" i="91"/>
  <c r="F62" i="91"/>
  <c r="F52" i="91"/>
  <c r="F48" i="91"/>
  <c r="F44" i="91"/>
  <c r="F58" i="91"/>
  <c r="F32" i="91"/>
  <c r="F29" i="91"/>
  <c r="F24" i="91"/>
  <c r="F17" i="91"/>
  <c r="F14" i="91"/>
  <c r="F12" i="91"/>
  <c r="F70" i="91"/>
  <c r="F60" i="91"/>
  <c r="F56" i="91"/>
  <c r="F33" i="91"/>
  <c r="F25" i="91"/>
  <c r="F19" i="91"/>
  <c r="F18" i="91"/>
  <c r="F9" i="91"/>
  <c r="F57" i="91"/>
  <c r="F46" i="91"/>
  <c r="F64" i="91"/>
  <c r="F42" i="91"/>
  <c r="F8" i="91"/>
  <c r="F27" i="91"/>
  <c r="F71" i="91"/>
  <c r="F13" i="91"/>
  <c r="F15" i="91"/>
  <c r="F28" i="91"/>
  <c r="F10" i="91"/>
  <c r="F35" i="91"/>
  <c r="F30" i="91"/>
  <c r="F31" i="91"/>
  <c r="F45" i="91"/>
  <c r="F54" i="91"/>
  <c r="F36" i="91"/>
  <c r="F82" i="91"/>
  <c r="F65" i="91"/>
  <c r="F69" i="91"/>
  <c r="F68" i="91"/>
  <c r="F16" i="91"/>
  <c r="F21" i="91"/>
  <c r="F11" i="91"/>
  <c r="F20" i="91"/>
  <c r="F26" i="91"/>
  <c r="F41" i="91"/>
  <c r="F66" i="91"/>
  <c r="F79" i="91"/>
  <c r="F73" i="91"/>
  <c r="G81" i="91"/>
  <c r="G83" i="91" s="1"/>
  <c r="G84" i="91" s="1"/>
  <c r="G76" i="91"/>
  <c r="BG77" i="91" l="1"/>
  <c r="BG81" i="91"/>
  <c r="BG83" i="91" s="1"/>
  <c r="BG84" i="91" s="1"/>
  <c r="BG86" i="91" s="1"/>
  <c r="BG87" i="91" s="1"/>
  <c r="J54" i="91"/>
  <c r="G86" i="91"/>
  <c r="G87" i="91" s="1"/>
  <c r="J41" i="91"/>
  <c r="H86" i="91"/>
  <c r="H87" i="91" s="1"/>
  <c r="I39" i="91"/>
  <c r="J62" i="91"/>
  <c r="J58" i="91"/>
  <c r="J71" i="91"/>
  <c r="J49" i="91"/>
  <c r="J57" i="91"/>
  <c r="J51" i="91"/>
  <c r="J47" i="91"/>
  <c r="J33" i="91"/>
  <c r="J43" i="91"/>
  <c r="J9" i="91"/>
  <c r="J29" i="91"/>
  <c r="J17" i="91"/>
  <c r="J59" i="91"/>
  <c r="J63" i="91"/>
  <c r="J67" i="91"/>
  <c r="J72" i="91"/>
  <c r="J65" i="91"/>
  <c r="J66" i="91"/>
  <c r="J25" i="91"/>
  <c r="J14" i="91"/>
  <c r="J12" i="91"/>
  <c r="J24" i="91"/>
  <c r="J52" i="91"/>
  <c r="J42" i="91"/>
  <c r="J60" i="91"/>
  <c r="J61" i="91"/>
  <c r="J19" i="91"/>
  <c r="J26" i="91"/>
  <c r="J46" i="91"/>
  <c r="J44" i="91"/>
  <c r="J32" i="91"/>
  <c r="J68" i="91"/>
  <c r="J69" i="91"/>
  <c r="J64" i="91"/>
  <c r="J70" i="91"/>
  <c r="J55" i="91"/>
  <c r="J16" i="91"/>
  <c r="J56" i="91"/>
  <c r="J30" i="91"/>
  <c r="J27" i="91"/>
  <c r="J28" i="91"/>
  <c r="J10" i="91"/>
  <c r="J48" i="91"/>
  <c r="J20" i="91"/>
  <c r="J31" i="91"/>
  <c r="J45" i="91"/>
  <c r="J18" i="91"/>
  <c r="J36" i="91"/>
  <c r="J11" i="91"/>
  <c r="J15" i="91"/>
  <c r="J13" i="91"/>
  <c r="J21" i="91"/>
  <c r="I81" i="91" l="1"/>
  <c r="I83" i="91" s="1"/>
  <c r="I84" i="91" s="1"/>
  <c r="I86" i="91" s="1"/>
  <c r="I87" i="91" s="1"/>
  <c r="I76" i="91"/>
  <c r="I30" i="87" l="1"/>
  <c r="I20" i="87" l="1"/>
  <c r="V27" i="88" l="1"/>
  <c r="AP27" i="88" s="1"/>
  <c r="R28" i="88"/>
  <c r="S28" i="88" s="1"/>
  <c r="M28" i="88"/>
  <c r="N28" i="88" s="1"/>
  <c r="V23" i="88"/>
  <c r="AP23" i="88" s="1"/>
  <c r="V24" i="88"/>
  <c r="AP24" i="88" s="1"/>
  <c r="V26" i="88"/>
  <c r="AP26" i="88" s="1"/>
  <c r="V25" i="88"/>
  <c r="AP25" i="88" s="1"/>
  <c r="AU77" i="88"/>
  <c r="AR76" i="88"/>
  <c r="AQ50" i="88"/>
  <c r="AR50" i="88" s="1"/>
  <c r="AR48" i="88" s="1"/>
  <c r="AQ43" i="88"/>
  <c r="AP43" i="88"/>
  <c r="AQ42" i="88"/>
  <c r="AP42" i="88"/>
  <c r="AQ41" i="88"/>
  <c r="AP41" i="88"/>
  <c r="AQ40" i="88"/>
  <c r="AP40" i="88"/>
  <c r="X83" i="88"/>
  <c r="X80" i="88"/>
  <c r="W75" i="88"/>
  <c r="V75" i="88"/>
  <c r="W71" i="88"/>
  <c r="V71" i="88"/>
  <c r="W52" i="88"/>
  <c r="V52" i="88"/>
  <c r="W48" i="88"/>
  <c r="V48" i="88"/>
  <c r="W39" i="88"/>
  <c r="V39" i="88"/>
  <c r="W33" i="88"/>
  <c r="V33" i="88"/>
  <c r="W5" i="88"/>
  <c r="V5" i="88"/>
  <c r="AR40" i="88" l="1"/>
  <c r="AR42" i="88"/>
  <c r="AR41" i="88"/>
  <c r="AR43" i="88"/>
  <c r="AR6" i="88"/>
  <c r="AR5" i="88" s="1"/>
  <c r="X6" i="88"/>
  <c r="X5" i="88" s="1"/>
  <c r="AR23" i="88"/>
  <c r="X23" i="88"/>
  <c r="X25" i="88"/>
  <c r="AR25" i="88"/>
  <c r="X26" i="88"/>
  <c r="AR24" i="88"/>
  <c r="X24" i="88"/>
  <c r="AR27" i="88"/>
  <c r="X27" i="88"/>
  <c r="W8" i="88"/>
  <c r="V8" i="88"/>
  <c r="V36" i="88" s="1"/>
  <c r="AR39" i="88" l="1"/>
  <c r="X8" i="88"/>
  <c r="X36" i="88" s="1"/>
  <c r="W36" i="88"/>
  <c r="W37" i="88" s="1"/>
  <c r="X77" i="88"/>
  <c r="X75" i="88" s="1"/>
  <c r="V37" i="88"/>
  <c r="V73" i="88"/>
  <c r="X87" i="88" l="1"/>
  <c r="AN76" i="88" s="1"/>
  <c r="W73" i="88"/>
  <c r="W79" i="88" s="1"/>
  <c r="W81" i="88" s="1"/>
  <c r="W82" i="88" s="1"/>
  <c r="W84" i="88" s="1"/>
  <c r="W85" i="88" s="1"/>
  <c r="X37" i="88"/>
  <c r="X73" i="88"/>
  <c r="X74" i="88" s="1"/>
  <c r="I28" i="90"/>
  <c r="Y61" i="88"/>
  <c r="Y53" i="88"/>
  <c r="Y67" i="88"/>
  <c r="Y46" i="88"/>
  <c r="Y41" i="88"/>
  <c r="Y9" i="88"/>
  <c r="Y52" i="88"/>
  <c r="Y43" i="88"/>
  <c r="Y15" i="88"/>
  <c r="Y50" i="88"/>
  <c r="Y62" i="88"/>
  <c r="Y25" i="88"/>
  <c r="Y13" i="88"/>
  <c r="Y8" i="88"/>
  <c r="V79" i="88"/>
  <c r="V81" i="88" s="1"/>
  <c r="V82" i="88" s="1"/>
  <c r="V84" i="88" s="1"/>
  <c r="V85" i="88" s="1"/>
  <c r="V74" i="88"/>
  <c r="Y45" i="88" l="1"/>
  <c r="Y18" i="88"/>
  <c r="Y23" i="88"/>
  <c r="Y60" i="88"/>
  <c r="Y71" i="88"/>
  <c r="Y12" i="88"/>
  <c r="AD77" i="88"/>
  <c r="Y83" i="88"/>
  <c r="Y30" i="88"/>
  <c r="Y31" i="88"/>
  <c r="Y68" i="88"/>
  <c r="Y26" i="88"/>
  <c r="Y20" i="88"/>
  <c r="AD83" i="88"/>
  <c r="AN77" i="88"/>
  <c r="W74" i="88"/>
  <c r="Y54" i="88"/>
  <c r="Y59" i="88"/>
  <c r="Y32" i="88"/>
  <c r="Y69" i="88"/>
  <c r="AD80" i="88"/>
  <c r="AI76" i="88"/>
  <c r="AN80" i="88"/>
  <c r="Y44" i="88"/>
  <c r="Y24" i="88"/>
  <c r="AI47" i="88"/>
  <c r="AI83" i="88"/>
  <c r="Y11" i="88"/>
  <c r="Y58" i="88"/>
  <c r="Y33" i="88"/>
  <c r="Y22" i="88"/>
  <c r="Y80" i="88"/>
  <c r="Y27" i="88"/>
  <c r="Y47" i="88"/>
  <c r="Y64" i="88"/>
  <c r="Y29" i="88"/>
  <c r="Y66" i="88"/>
  <c r="Y34" i="88"/>
  <c r="Y63" i="88"/>
  <c r="Y16" i="88"/>
  <c r="Y40" i="88"/>
  <c r="Y57" i="88"/>
  <c r="Y77" i="88"/>
  <c r="AD50" i="88"/>
  <c r="AI77" i="88"/>
  <c r="AI50" i="88"/>
  <c r="AN83" i="88"/>
  <c r="Y21" i="88"/>
  <c r="Y17" i="88"/>
  <c r="Y10" i="88"/>
  <c r="Y42" i="88"/>
  <c r="Y19" i="88"/>
  <c r="Y39" i="88"/>
  <c r="Y56" i="88"/>
  <c r="Y76" i="88"/>
  <c r="Y49" i="88"/>
  <c r="Y14" i="88"/>
  <c r="Y55" i="88"/>
  <c r="Y72" i="88"/>
  <c r="Y28" i="88"/>
  <c r="Y48" i="88"/>
  <c r="Y65" i="88"/>
  <c r="AD76" i="88"/>
  <c r="AD47" i="88"/>
  <c r="AI80" i="88"/>
  <c r="X79" i="88"/>
  <c r="X81" i="88" s="1"/>
  <c r="X82" i="88" s="1"/>
  <c r="X84" i="88" s="1"/>
  <c r="X85" i="88" s="1"/>
  <c r="I26" i="89" l="1"/>
  <c r="I6" i="89" l="1"/>
  <c r="I5" i="89" s="1"/>
  <c r="I78" i="90" l="1"/>
  <c r="I14" i="90" l="1"/>
  <c r="I24" i="90"/>
  <c r="I11" i="90"/>
  <c r="I30" i="90"/>
  <c r="I9" i="90"/>
  <c r="I13" i="90"/>
  <c r="I29" i="90"/>
  <c r="I10" i="90"/>
  <c r="I7" i="90"/>
  <c r="I21" i="90"/>
  <c r="I31" i="90"/>
  <c r="I12" i="90"/>
  <c r="I18" i="89"/>
  <c r="I8" i="89" s="1"/>
  <c r="I8" i="90" l="1"/>
  <c r="I38" i="90" l="1"/>
  <c r="I39" i="90" s="1"/>
  <c r="I36" i="89" l="1"/>
  <c r="I35" i="89" l="1"/>
  <c r="I38" i="89"/>
  <c r="I75" i="89" l="1"/>
  <c r="I76" i="89" s="1"/>
  <c r="I39" i="89"/>
  <c r="N21" i="88"/>
  <c r="I7" i="86" l="1"/>
  <c r="I48" i="90"/>
  <c r="I41" i="90" s="1"/>
  <c r="I65" i="86" l="1"/>
  <c r="I60" i="86"/>
  <c r="I58" i="86"/>
  <c r="I52" i="86"/>
  <c r="I71" i="86"/>
  <c r="I59" i="86"/>
  <c r="I16" i="87" l="1"/>
  <c r="I25" i="87"/>
  <c r="AQ78" i="88" l="1"/>
  <c r="AP78" i="88"/>
  <c r="AQ47" i="88"/>
  <c r="AP47" i="88"/>
  <c r="Q11" i="88"/>
  <c r="Q10" i="88"/>
  <c r="Q9" i="88"/>
  <c r="Q21" i="88"/>
  <c r="AP21" i="88" s="1"/>
  <c r="AR21" i="88" s="1"/>
  <c r="R8" i="88"/>
  <c r="S83" i="88"/>
  <c r="S80" i="88"/>
  <c r="R75" i="88"/>
  <c r="Q75" i="88"/>
  <c r="R71" i="88"/>
  <c r="Q71" i="88"/>
  <c r="R52" i="88"/>
  <c r="Q52" i="88"/>
  <c r="R48" i="88"/>
  <c r="Q48" i="88"/>
  <c r="R39" i="88"/>
  <c r="Q39" i="88"/>
  <c r="R33" i="88"/>
  <c r="Q33" i="88"/>
  <c r="R5" i="88"/>
  <c r="Q5" i="88"/>
  <c r="I7" i="85"/>
  <c r="Q8" i="88" l="1"/>
  <c r="Q36" i="88" s="1"/>
  <c r="Q37" i="88" s="1"/>
  <c r="S77" i="88"/>
  <c r="S75" i="88" s="1"/>
  <c r="S21" i="88"/>
  <c r="S9" i="88"/>
  <c r="S11" i="88"/>
  <c r="S10" i="88"/>
  <c r="R36" i="88"/>
  <c r="R73" i="88" s="1"/>
  <c r="Q73" i="88" l="1"/>
  <c r="Q74" i="88" s="1"/>
  <c r="I45" i="87"/>
  <c r="S8" i="88"/>
  <c r="S36" i="88" s="1"/>
  <c r="R37" i="88"/>
  <c r="R79" i="88"/>
  <c r="R81" i="88" s="1"/>
  <c r="R82" i="88" s="1"/>
  <c r="R84" i="88" s="1"/>
  <c r="R85" i="88" s="1"/>
  <c r="R74" i="88"/>
  <c r="Q79" i="88"/>
  <c r="Q81" i="88" s="1"/>
  <c r="Q82" i="88" s="1"/>
  <c r="Q84" i="88" s="1"/>
  <c r="Q85" i="88" s="1"/>
  <c r="S87" i="88" l="1"/>
  <c r="AD38" i="88" s="1"/>
  <c r="S73" i="88"/>
  <c r="S74" i="88" s="1"/>
  <c r="S37" i="88"/>
  <c r="T46" i="88"/>
  <c r="T31" i="88"/>
  <c r="T30" i="88"/>
  <c r="S79" i="88"/>
  <c r="S81" i="88" s="1"/>
  <c r="S82" i="88" s="1"/>
  <c r="S84" i="88" s="1"/>
  <c r="S85" i="88" s="1"/>
  <c r="T48" i="88" l="1"/>
  <c r="T53" i="88"/>
  <c r="T62" i="88"/>
  <c r="T64" i="88"/>
  <c r="T69" i="88"/>
  <c r="T14" i="88"/>
  <c r="T15" i="88"/>
  <c r="T24" i="88"/>
  <c r="T18" i="88"/>
  <c r="T52" i="88"/>
  <c r="T19" i="88"/>
  <c r="T57" i="88"/>
  <c r="T32" i="88"/>
  <c r="T66" i="88"/>
  <c r="AD51" i="88"/>
  <c r="T28" i="88"/>
  <c r="T22" i="88"/>
  <c r="T40" i="88"/>
  <c r="T56" i="88"/>
  <c r="T72" i="88"/>
  <c r="T23" i="88"/>
  <c r="T45" i="88"/>
  <c r="T61" i="88"/>
  <c r="T16" i="88"/>
  <c r="T38" i="88"/>
  <c r="T54" i="88"/>
  <c r="T70" i="88"/>
  <c r="T29" i="88"/>
  <c r="T71" i="88"/>
  <c r="T17" i="88"/>
  <c r="T39" i="88"/>
  <c r="Y51" i="88"/>
  <c r="T8" i="88"/>
  <c r="T34" i="88"/>
  <c r="T68" i="88"/>
  <c r="T41" i="88"/>
  <c r="T12" i="88"/>
  <c r="T50" i="88"/>
  <c r="T21" i="88"/>
  <c r="T55" i="88"/>
  <c r="T10" i="88"/>
  <c r="T26" i="88"/>
  <c r="T44" i="88"/>
  <c r="T60" i="88"/>
  <c r="T11" i="88"/>
  <c r="T27" i="88"/>
  <c r="T49" i="88"/>
  <c r="T65" i="88"/>
  <c r="T20" i="88"/>
  <c r="T42" i="88"/>
  <c r="T58" i="88"/>
  <c r="T13" i="88"/>
  <c r="T33" i="88"/>
  <c r="T9" i="88"/>
  <c r="T25" i="88"/>
  <c r="T43" i="88"/>
  <c r="T59" i="88"/>
  <c r="Y38" i="88"/>
  <c r="AD70" i="88"/>
  <c r="T47" i="88"/>
  <c r="T63" i="88"/>
  <c r="Y37" i="88"/>
  <c r="AD37" i="88"/>
  <c r="T37" i="88"/>
  <c r="T51" i="88"/>
  <c r="T67" i="88"/>
  <c r="Y70" i="88"/>
  <c r="AI51" i="88"/>
  <c r="AI38" i="88"/>
  <c r="I65" i="90" l="1"/>
  <c r="I69" i="90" l="1"/>
  <c r="L18" i="88" l="1"/>
  <c r="AP18" i="88" s="1"/>
  <c r="AR18" i="88" l="1"/>
  <c r="N18" i="88"/>
  <c r="I18" i="87" l="1"/>
  <c r="I63" i="90" l="1"/>
  <c r="I54" i="90" s="1"/>
  <c r="I75" i="90" l="1"/>
  <c r="I76" i="90" s="1"/>
  <c r="I85" i="90"/>
  <c r="E85" i="90"/>
  <c r="I82" i="90"/>
  <c r="E82" i="90"/>
  <c r="E79" i="90"/>
  <c r="E78" i="90"/>
  <c r="G77" i="90"/>
  <c r="D77" i="90"/>
  <c r="C77" i="90"/>
  <c r="I74" i="90"/>
  <c r="I73" i="90" s="1"/>
  <c r="H73" i="90"/>
  <c r="G73" i="90"/>
  <c r="D73" i="90"/>
  <c r="E71" i="90"/>
  <c r="E70" i="90"/>
  <c r="E69" i="90"/>
  <c r="E68" i="90"/>
  <c r="E67" i="90"/>
  <c r="E66" i="90"/>
  <c r="E65" i="90"/>
  <c r="E64" i="90"/>
  <c r="E63" i="90"/>
  <c r="E62" i="90"/>
  <c r="E61" i="90"/>
  <c r="E60" i="90"/>
  <c r="E59" i="90"/>
  <c r="E58" i="90"/>
  <c r="E57" i="90"/>
  <c r="E56" i="90"/>
  <c r="E55" i="90"/>
  <c r="D54" i="90"/>
  <c r="E52" i="90"/>
  <c r="E51" i="90"/>
  <c r="G50" i="90"/>
  <c r="E48" i="90"/>
  <c r="E47" i="90"/>
  <c r="E46" i="90"/>
  <c r="E45" i="90"/>
  <c r="E44" i="90"/>
  <c r="E43" i="90"/>
  <c r="E42" i="90"/>
  <c r="G41" i="90"/>
  <c r="D41" i="90"/>
  <c r="C41" i="90"/>
  <c r="E36" i="90"/>
  <c r="E35" i="90" s="1"/>
  <c r="H35" i="90"/>
  <c r="D35" i="90"/>
  <c r="C35" i="90"/>
  <c r="E33" i="90"/>
  <c r="E32" i="90"/>
  <c r="E31" i="90"/>
  <c r="E30" i="90"/>
  <c r="E29" i="90"/>
  <c r="E28" i="90"/>
  <c r="E27" i="90"/>
  <c r="E26" i="90"/>
  <c r="E25" i="90"/>
  <c r="E24" i="90"/>
  <c r="E21" i="90"/>
  <c r="E20" i="90"/>
  <c r="E19" i="90"/>
  <c r="E18" i="90"/>
  <c r="E17" i="90"/>
  <c r="E16" i="90"/>
  <c r="E15" i="90"/>
  <c r="E14" i="90"/>
  <c r="E13" i="90"/>
  <c r="E12" i="90"/>
  <c r="E11" i="90"/>
  <c r="E10" i="90"/>
  <c r="E9" i="90"/>
  <c r="D8" i="90"/>
  <c r="E7" i="90"/>
  <c r="E6" i="90"/>
  <c r="E5" i="90" s="1"/>
  <c r="D5" i="90"/>
  <c r="C5" i="90"/>
  <c r="M26" i="88"/>
  <c r="AQ26" i="88" s="1"/>
  <c r="L22" i="88"/>
  <c r="AP22" i="88" s="1"/>
  <c r="M29" i="88"/>
  <c r="N29" i="88" s="1"/>
  <c r="E77" i="90" l="1"/>
  <c r="AR22" i="88"/>
  <c r="N22" i="88"/>
  <c r="AR26" i="88"/>
  <c r="N26" i="88"/>
  <c r="E54" i="90"/>
  <c r="G8" i="90"/>
  <c r="H8" i="90"/>
  <c r="E41" i="90"/>
  <c r="D38" i="90"/>
  <c r="D75" i="90" s="1"/>
  <c r="C38" i="90"/>
  <c r="C39" i="90" s="1"/>
  <c r="E8" i="90"/>
  <c r="E38" i="90" s="1"/>
  <c r="C73" i="90"/>
  <c r="E74" i="90"/>
  <c r="E73" i="90" s="1"/>
  <c r="G5" i="90"/>
  <c r="H5" i="90"/>
  <c r="G35" i="90"/>
  <c r="H41" i="90"/>
  <c r="H54" i="90"/>
  <c r="H77" i="90"/>
  <c r="H50" i="90"/>
  <c r="E50" i="90"/>
  <c r="G54" i="90"/>
  <c r="I79" i="90" l="1"/>
  <c r="BQ79" i="90" s="1"/>
  <c r="N8" i="88"/>
  <c r="N36" i="88" s="1"/>
  <c r="G38" i="90"/>
  <c r="G39" i="90" s="1"/>
  <c r="C75" i="90"/>
  <c r="C81" i="90" s="1"/>
  <c r="C83" i="90" s="1"/>
  <c r="C84" i="90" s="1"/>
  <c r="C86" i="90" s="1"/>
  <c r="C87" i="90" s="1"/>
  <c r="H38" i="90"/>
  <c r="H39" i="90" s="1"/>
  <c r="D39" i="90"/>
  <c r="E75" i="90"/>
  <c r="E39" i="90"/>
  <c r="D81" i="90"/>
  <c r="D83" i="90" s="1"/>
  <c r="D84" i="90" s="1"/>
  <c r="D86" i="90" s="1"/>
  <c r="D87" i="90" s="1"/>
  <c r="D76" i="90"/>
  <c r="E89" i="90"/>
  <c r="F22" i="90" s="1"/>
  <c r="BQ89" i="90" l="1"/>
  <c r="I89" i="90"/>
  <c r="I77" i="90"/>
  <c r="C76" i="90"/>
  <c r="N37" i="88"/>
  <c r="N73" i="88"/>
  <c r="N74" i="88" s="1"/>
  <c r="G75" i="90"/>
  <c r="G81" i="90" s="1"/>
  <c r="G83" i="90" s="1"/>
  <c r="G84" i="90" s="1"/>
  <c r="G86" i="90" s="1"/>
  <c r="G87" i="90" s="1"/>
  <c r="H75" i="90"/>
  <c r="H76" i="90" s="1"/>
  <c r="F66" i="90"/>
  <c r="F65" i="90"/>
  <c r="F72" i="90"/>
  <c r="F52" i="90"/>
  <c r="F20" i="90"/>
  <c r="F73" i="90"/>
  <c r="F44" i="90"/>
  <c r="F33" i="90"/>
  <c r="F27" i="90"/>
  <c r="F21" i="90"/>
  <c r="F17" i="90"/>
  <c r="F68" i="90"/>
  <c r="F47" i="90"/>
  <c r="F46" i="90"/>
  <c r="F42" i="90"/>
  <c r="F36" i="90"/>
  <c r="F25" i="90"/>
  <c r="F19" i="90"/>
  <c r="F16" i="90"/>
  <c r="F29" i="90"/>
  <c r="F30" i="90"/>
  <c r="F14" i="90"/>
  <c r="F11" i="90"/>
  <c r="F15" i="90"/>
  <c r="F41" i="90"/>
  <c r="F31" i="90"/>
  <c r="F35" i="90"/>
  <c r="F56" i="90"/>
  <c r="F60" i="90"/>
  <c r="F64" i="90"/>
  <c r="F55" i="90"/>
  <c r="F59" i="90"/>
  <c r="F63" i="90"/>
  <c r="F48" i="90"/>
  <c r="F51" i="90"/>
  <c r="F24" i="90"/>
  <c r="F67" i="90"/>
  <c r="F9" i="90"/>
  <c r="F12" i="90"/>
  <c r="F10" i="90"/>
  <c r="F18" i="90"/>
  <c r="F71" i="90"/>
  <c r="F8" i="90"/>
  <c r="F28" i="90"/>
  <c r="F26" i="90"/>
  <c r="F43" i="90"/>
  <c r="F32" i="90"/>
  <c r="F70" i="90"/>
  <c r="F45" i="90"/>
  <c r="F69" i="90"/>
  <c r="F85" i="90"/>
  <c r="F13" i="90"/>
  <c r="F54" i="90"/>
  <c r="F58" i="90"/>
  <c r="F62" i="90"/>
  <c r="F82" i="90"/>
  <c r="F57" i="90"/>
  <c r="F61" i="90"/>
  <c r="E81" i="90"/>
  <c r="E83" i="90" s="1"/>
  <c r="E84" i="90" s="1"/>
  <c r="E86" i="90" s="1"/>
  <c r="E87" i="90" s="1"/>
  <c r="E76" i="90"/>
  <c r="J8" i="90"/>
  <c r="F50" i="90"/>
  <c r="BQ90" i="90" l="1"/>
  <c r="BQ94" i="90"/>
  <c r="BR22" i="90"/>
  <c r="BR23" i="90"/>
  <c r="BR9" i="90"/>
  <c r="BQ77" i="90"/>
  <c r="BQ81" i="90"/>
  <c r="BQ83" i="90" s="1"/>
  <c r="BQ84" i="90" s="1"/>
  <c r="BQ86" i="90" s="1"/>
  <c r="G76" i="90"/>
  <c r="H81" i="90"/>
  <c r="H83" i="90" s="1"/>
  <c r="H84" i="90" s="1"/>
  <c r="H86" i="90" s="1"/>
  <c r="H87" i="90" s="1"/>
  <c r="J70" i="90"/>
  <c r="J64" i="90"/>
  <c r="J49" i="90"/>
  <c r="J46" i="90"/>
  <c r="J20" i="90"/>
  <c r="J16" i="90"/>
  <c r="J9" i="90"/>
  <c r="J43" i="90"/>
  <c r="J27" i="90"/>
  <c r="J19" i="90"/>
  <c r="J47" i="90"/>
  <c r="J71" i="90"/>
  <c r="J36" i="90"/>
  <c r="J69" i="90"/>
  <c r="J60" i="90"/>
  <c r="J55" i="90"/>
  <c r="J63" i="90"/>
  <c r="J17" i="90"/>
  <c r="J21" i="90"/>
  <c r="J32" i="90"/>
  <c r="J30" i="90"/>
  <c r="J48" i="90"/>
  <c r="J31" i="90"/>
  <c r="J72" i="90"/>
  <c r="J56" i="90"/>
  <c r="J59" i="90"/>
  <c r="J68" i="90"/>
  <c r="J52" i="90"/>
  <c r="J26" i="90"/>
  <c r="J11" i="90"/>
  <c r="J65" i="90"/>
  <c r="J25" i="90"/>
  <c r="J44" i="90"/>
  <c r="J58" i="90"/>
  <c r="J62" i="90"/>
  <c r="J57" i="90"/>
  <c r="J61" i="90"/>
  <c r="J12" i="90"/>
  <c r="J33" i="90"/>
  <c r="J42" i="90"/>
  <c r="J18" i="90"/>
  <c r="J67" i="90"/>
  <c r="J66" i="90"/>
  <c r="J29" i="90"/>
  <c r="J24" i="90"/>
  <c r="J14" i="90"/>
  <c r="J13" i="90"/>
  <c r="J41" i="90"/>
  <c r="J10" i="90"/>
  <c r="J45" i="90"/>
  <c r="J15" i="90"/>
  <c r="J51" i="90"/>
  <c r="J28" i="90"/>
  <c r="J54" i="90"/>
  <c r="BQ87" i="90" l="1"/>
  <c r="BR15" i="90"/>
  <c r="BR16" i="90"/>
  <c r="BR59" i="90"/>
  <c r="BR71" i="90"/>
  <c r="BR31" i="90"/>
  <c r="BR62" i="90"/>
  <c r="BR69" i="90"/>
  <c r="BR47" i="90"/>
  <c r="BR56" i="90"/>
  <c r="BR70" i="90"/>
  <c r="BR42" i="90"/>
  <c r="BR58" i="90"/>
  <c r="BR26" i="90"/>
  <c r="BR55" i="90"/>
  <c r="BR60" i="90"/>
  <c r="BR8" i="90"/>
  <c r="BR66" i="90"/>
  <c r="BR12" i="90"/>
  <c r="BR64" i="90"/>
  <c r="BR52" i="90"/>
  <c r="BR13" i="90"/>
  <c r="BR32" i="90"/>
  <c r="BR20" i="90"/>
  <c r="BR30" i="90"/>
  <c r="BR44" i="90"/>
  <c r="BR46" i="90"/>
  <c r="BR57" i="90"/>
  <c r="BR17" i="90"/>
  <c r="BR43" i="90"/>
  <c r="BR36" i="90"/>
  <c r="BR68" i="90"/>
  <c r="BR61" i="90"/>
  <c r="BR67" i="90"/>
  <c r="BR29" i="90"/>
  <c r="BR41" i="90"/>
  <c r="BR14" i="90"/>
  <c r="BR48" i="90"/>
  <c r="BR51" i="90"/>
  <c r="BR19" i="90"/>
  <c r="BR24" i="90"/>
  <c r="BR33" i="90"/>
  <c r="BR54" i="90"/>
  <c r="BR18" i="90"/>
  <c r="BR65" i="90"/>
  <c r="BR28" i="90"/>
  <c r="BR63" i="90"/>
  <c r="BR49" i="90"/>
  <c r="BR11" i="90"/>
  <c r="BR72" i="90"/>
  <c r="BR45" i="90"/>
  <c r="BR25" i="90"/>
  <c r="BR10" i="90"/>
  <c r="BR27" i="90"/>
  <c r="BR21" i="90"/>
  <c r="I81" i="90"/>
  <c r="I83" i="90" s="1"/>
  <c r="I84" i="90" l="1"/>
  <c r="I86" i="90" s="1"/>
  <c r="I87" i="90" s="1"/>
  <c r="AQ62" i="88" l="1"/>
  <c r="AP62" i="88"/>
  <c r="AQ61" i="88"/>
  <c r="AP61" i="88"/>
  <c r="AQ60" i="88"/>
  <c r="AP60" i="88"/>
  <c r="AQ59" i="88"/>
  <c r="AP59" i="88"/>
  <c r="AQ58" i="88"/>
  <c r="AP58" i="88"/>
  <c r="AQ57" i="88"/>
  <c r="AP57" i="88"/>
  <c r="AQ56" i="88"/>
  <c r="AP56" i="88"/>
  <c r="AQ55" i="88"/>
  <c r="AP55" i="88"/>
  <c r="AQ54" i="88"/>
  <c r="AP54" i="88"/>
  <c r="AQ53" i="88"/>
  <c r="AP53" i="88"/>
  <c r="N83" i="88"/>
  <c r="N80" i="88"/>
  <c r="M75" i="88"/>
  <c r="L75" i="88"/>
  <c r="M71" i="88"/>
  <c r="L71" i="88"/>
  <c r="M52" i="88"/>
  <c r="L52" i="88"/>
  <c r="M48" i="88"/>
  <c r="L48" i="88"/>
  <c r="M39" i="88"/>
  <c r="L39" i="88"/>
  <c r="M33" i="88"/>
  <c r="L33" i="88"/>
  <c r="L8" i="88"/>
  <c r="M5" i="88"/>
  <c r="L5" i="88"/>
  <c r="AR53" i="88" l="1"/>
  <c r="AR55" i="88"/>
  <c r="AR54" i="88"/>
  <c r="AR56" i="88"/>
  <c r="AR58" i="88"/>
  <c r="AR60" i="88"/>
  <c r="AR57" i="88"/>
  <c r="AR59" i="88"/>
  <c r="AR61" i="88"/>
  <c r="AR62" i="88"/>
  <c r="L36" i="88"/>
  <c r="L73" i="88" s="1"/>
  <c r="M8" i="88"/>
  <c r="E74" i="86"/>
  <c r="E72" i="86"/>
  <c r="E71" i="86"/>
  <c r="E70" i="86"/>
  <c r="E69" i="86"/>
  <c r="E68" i="86"/>
  <c r="E67" i="86"/>
  <c r="E66" i="86"/>
  <c r="E65" i="86"/>
  <c r="E64" i="86"/>
  <c r="E63" i="86"/>
  <c r="E62" i="86"/>
  <c r="E61" i="86"/>
  <c r="E60" i="86"/>
  <c r="E59" i="86"/>
  <c r="E58" i="86"/>
  <c r="E57" i="86"/>
  <c r="E56" i="86"/>
  <c r="E55" i="86"/>
  <c r="E49" i="86"/>
  <c r="E48" i="86"/>
  <c r="E47" i="86"/>
  <c r="E46" i="86"/>
  <c r="E45" i="86"/>
  <c r="E44" i="86"/>
  <c r="E43" i="86"/>
  <c r="E42" i="86"/>
  <c r="E10" i="86"/>
  <c r="E11" i="86"/>
  <c r="E12" i="86"/>
  <c r="E13" i="86"/>
  <c r="E14" i="86"/>
  <c r="E15" i="86"/>
  <c r="E16" i="86"/>
  <c r="E17" i="86"/>
  <c r="E18" i="86"/>
  <c r="E19" i="86"/>
  <c r="E20" i="86"/>
  <c r="E21" i="86"/>
  <c r="E24" i="86"/>
  <c r="E26" i="86"/>
  <c r="E27" i="86"/>
  <c r="E29" i="86"/>
  <c r="E30" i="86"/>
  <c r="E32" i="86"/>
  <c r="E33" i="86"/>
  <c r="E31" i="86"/>
  <c r="E28" i="86"/>
  <c r="E25" i="86"/>
  <c r="AR52" i="88" l="1"/>
  <c r="M36" i="88"/>
  <c r="M37" i="88" s="1"/>
  <c r="N77" i="88"/>
  <c r="N75" i="88" s="1"/>
  <c r="L37" i="88"/>
  <c r="L79" i="88"/>
  <c r="L81" i="88" s="1"/>
  <c r="L82" i="88" s="1"/>
  <c r="L84" i="88" s="1"/>
  <c r="L85" i="88" s="1"/>
  <c r="L74" i="88"/>
  <c r="M73" i="88" l="1"/>
  <c r="N87" i="88"/>
  <c r="AI35" i="88" s="1"/>
  <c r="O21" i="88"/>
  <c r="O9" i="88"/>
  <c r="O63" i="88"/>
  <c r="O51" i="88"/>
  <c r="O11" i="88"/>
  <c r="O72" i="88"/>
  <c r="O60" i="88"/>
  <c r="O56" i="88"/>
  <c r="O52" i="88"/>
  <c r="O48" i="88"/>
  <c r="O44" i="88"/>
  <c r="O32" i="88"/>
  <c r="O24" i="88"/>
  <c r="O20" i="88"/>
  <c r="O16" i="88"/>
  <c r="O12" i="88"/>
  <c r="O71" i="88"/>
  <c r="O55" i="88"/>
  <c r="O43" i="88"/>
  <c r="O27" i="88"/>
  <c r="O15" i="88"/>
  <c r="O28" i="88"/>
  <c r="O8" i="88"/>
  <c r="M79" i="88"/>
  <c r="M81" i="88" s="1"/>
  <c r="M82" i="88" s="1"/>
  <c r="M84" i="88" s="1"/>
  <c r="M85" i="88" s="1"/>
  <c r="M74" i="88"/>
  <c r="O29" i="88" l="1"/>
  <c r="O69" i="88"/>
  <c r="O40" i="88"/>
  <c r="O23" i="88"/>
  <c r="O64" i="88"/>
  <c r="O35" i="88"/>
  <c r="O17" i="88"/>
  <c r="O41" i="88"/>
  <c r="O59" i="88"/>
  <c r="O53" i="88"/>
  <c r="O46" i="88"/>
  <c r="O33" i="88"/>
  <c r="O47" i="88"/>
  <c r="O42" i="88"/>
  <c r="O65" i="88"/>
  <c r="O67" i="88"/>
  <c r="O26" i="88"/>
  <c r="O62" i="88"/>
  <c r="AD35" i="88"/>
  <c r="O49" i="88"/>
  <c r="O19" i="88"/>
  <c r="O18" i="88"/>
  <c r="O54" i="88"/>
  <c r="O68" i="88"/>
  <c r="O13" i="88"/>
  <c r="O57" i="88"/>
  <c r="O22" i="88"/>
  <c r="O25" i="88"/>
  <c r="O45" i="88"/>
  <c r="O61" i="88"/>
  <c r="O31" i="88"/>
  <c r="O10" i="88"/>
  <c r="O34" i="88"/>
  <c r="O58" i="88"/>
  <c r="O70" i="88"/>
  <c r="T35" i="88"/>
  <c r="O14" i="88"/>
  <c r="O30" i="88"/>
  <c r="O50" i="88"/>
  <c r="O66" i="88"/>
  <c r="Y35" i="88"/>
  <c r="N79" i="88"/>
  <c r="N81" i="88" s="1"/>
  <c r="N82" i="88" s="1"/>
  <c r="N84" i="88" s="1"/>
  <c r="N85" i="88" s="1"/>
  <c r="D31" i="87" l="1"/>
  <c r="C25" i="87"/>
  <c r="C74" i="87"/>
  <c r="C31" i="87"/>
  <c r="I21" i="87" l="1"/>
  <c r="I24" i="87"/>
  <c r="I26" i="87"/>
  <c r="I28" i="87" l="1"/>
  <c r="I27" i="87"/>
  <c r="I69" i="87"/>
  <c r="I12" i="87" l="1"/>
  <c r="I65" i="87"/>
  <c r="G54" i="87"/>
  <c r="I54" i="87" l="1"/>
  <c r="E85" i="89" l="1"/>
  <c r="I82" i="89"/>
  <c r="E82" i="89"/>
  <c r="E79" i="89"/>
  <c r="G77" i="89"/>
  <c r="E78" i="89"/>
  <c r="D77" i="89"/>
  <c r="C77" i="89"/>
  <c r="H73" i="89"/>
  <c r="G73" i="89"/>
  <c r="D73" i="89"/>
  <c r="E71" i="89"/>
  <c r="E70" i="89"/>
  <c r="E69" i="89"/>
  <c r="E68" i="89"/>
  <c r="E67" i="89"/>
  <c r="E66" i="89"/>
  <c r="E65" i="89"/>
  <c r="E64" i="89"/>
  <c r="E63" i="89"/>
  <c r="E62" i="89"/>
  <c r="E61" i="89"/>
  <c r="E60" i="89"/>
  <c r="E59" i="89"/>
  <c r="E58" i="89"/>
  <c r="E57" i="89"/>
  <c r="E56" i="89"/>
  <c r="E55" i="89"/>
  <c r="G54" i="89"/>
  <c r="D54" i="89"/>
  <c r="C54" i="89"/>
  <c r="E52" i="89"/>
  <c r="E51" i="89"/>
  <c r="H50" i="89"/>
  <c r="E48" i="89"/>
  <c r="E47" i="89"/>
  <c r="E46" i="89"/>
  <c r="E45" i="89"/>
  <c r="E44" i="89"/>
  <c r="E43" i="89"/>
  <c r="E42" i="89"/>
  <c r="H41" i="89"/>
  <c r="D41" i="89"/>
  <c r="C41" i="89"/>
  <c r="E36" i="89"/>
  <c r="E35" i="89" s="1"/>
  <c r="G35" i="89"/>
  <c r="D35" i="89"/>
  <c r="C35" i="89"/>
  <c r="E33" i="89"/>
  <c r="E32" i="89"/>
  <c r="E31" i="89"/>
  <c r="E30" i="89"/>
  <c r="E29" i="89"/>
  <c r="E28" i="89"/>
  <c r="E27" i="89"/>
  <c r="E26" i="89"/>
  <c r="E25" i="89"/>
  <c r="E24" i="89"/>
  <c r="E21" i="89"/>
  <c r="E20" i="89"/>
  <c r="E17" i="89"/>
  <c r="E16" i="89"/>
  <c r="E15" i="89"/>
  <c r="E14" i="89"/>
  <c r="E13" i="89"/>
  <c r="E12" i="89"/>
  <c r="E11" i="89"/>
  <c r="E10" i="89"/>
  <c r="E9" i="89"/>
  <c r="D8" i="89"/>
  <c r="C8" i="89"/>
  <c r="E7" i="89"/>
  <c r="E6" i="89"/>
  <c r="E5" i="89" s="1"/>
  <c r="D5" i="89"/>
  <c r="C5" i="89"/>
  <c r="E77" i="89" l="1"/>
  <c r="D38" i="89"/>
  <c r="D75" i="89" s="1"/>
  <c r="D81" i="89" s="1"/>
  <c r="D83" i="89" s="1"/>
  <c r="D84" i="89" s="1"/>
  <c r="D86" i="89" s="1"/>
  <c r="D87" i="89" s="1"/>
  <c r="I7" i="89"/>
  <c r="E8" i="89"/>
  <c r="E38" i="89" s="1"/>
  <c r="E39" i="89" s="1"/>
  <c r="C73" i="89"/>
  <c r="I74" i="89"/>
  <c r="I73" i="89" s="1"/>
  <c r="E74" i="89"/>
  <c r="E73" i="89" s="1"/>
  <c r="C38" i="89"/>
  <c r="C75" i="89" s="1"/>
  <c r="H35" i="89"/>
  <c r="I85" i="89"/>
  <c r="G5" i="89"/>
  <c r="H77" i="89"/>
  <c r="E50" i="89"/>
  <c r="H5" i="89"/>
  <c r="G41" i="89"/>
  <c r="E41" i="89"/>
  <c r="G50" i="89"/>
  <c r="E54" i="89"/>
  <c r="H54" i="89"/>
  <c r="D76" i="89" l="1"/>
  <c r="D39" i="89"/>
  <c r="C39" i="89"/>
  <c r="I79" i="89"/>
  <c r="AC79" i="89" s="1"/>
  <c r="AC89" i="89" s="1"/>
  <c r="H38" i="89"/>
  <c r="H39" i="89" s="1"/>
  <c r="G38" i="89"/>
  <c r="G75" i="89" s="1"/>
  <c r="E89" i="89"/>
  <c r="E75" i="89"/>
  <c r="C76" i="89"/>
  <c r="C81" i="89"/>
  <c r="C83" i="89" s="1"/>
  <c r="C84" i="89" s="1"/>
  <c r="C86" i="89" s="1"/>
  <c r="C87" i="89" s="1"/>
  <c r="AC77" i="89" l="1"/>
  <c r="AC81" i="89"/>
  <c r="AC83" i="89" s="1"/>
  <c r="AC84" i="89" s="1"/>
  <c r="AC86" i="89" s="1"/>
  <c r="AC87" i="89" s="1"/>
  <c r="I77" i="89"/>
  <c r="I89" i="89"/>
  <c r="J8" i="89" s="1"/>
  <c r="F41" i="89"/>
  <c r="H75" i="89"/>
  <c r="H81" i="89" s="1"/>
  <c r="H83" i="89" s="1"/>
  <c r="H84" i="89" s="1"/>
  <c r="H86" i="89" s="1"/>
  <c r="H87" i="89" s="1"/>
  <c r="F54" i="89"/>
  <c r="F50" i="89"/>
  <c r="G39" i="89"/>
  <c r="E81" i="89"/>
  <c r="E83" i="89" s="1"/>
  <c r="E84" i="89" s="1"/>
  <c r="E86" i="89" s="1"/>
  <c r="E87" i="89" s="1"/>
  <c r="E76" i="89"/>
  <c r="G81" i="89"/>
  <c r="G83" i="89" s="1"/>
  <c r="G84" i="89" s="1"/>
  <c r="G76" i="89"/>
  <c r="F32" i="89"/>
  <c r="F28" i="89"/>
  <c r="F73" i="89"/>
  <c r="F72" i="89"/>
  <c r="F27" i="89"/>
  <c r="F68" i="89"/>
  <c r="F42" i="89"/>
  <c r="F67" i="89"/>
  <c r="F46" i="89"/>
  <c r="F36" i="89"/>
  <c r="F35" i="89"/>
  <c r="F19" i="89"/>
  <c r="F15" i="89"/>
  <c r="F10" i="89"/>
  <c r="F16" i="89"/>
  <c r="F47" i="89"/>
  <c r="F17" i="89"/>
  <c r="F31" i="89"/>
  <c r="F29" i="89"/>
  <c r="F44" i="89"/>
  <c r="F48" i="89"/>
  <c r="F69" i="89"/>
  <c r="F13" i="89"/>
  <c r="F70" i="89"/>
  <c r="F9" i="89"/>
  <c r="F51" i="89"/>
  <c r="F82" i="89"/>
  <c r="F55" i="89"/>
  <c r="F59" i="89"/>
  <c r="F71" i="89"/>
  <c r="F61" i="89"/>
  <c r="F14" i="89"/>
  <c r="F79" i="89"/>
  <c r="F43" i="89"/>
  <c r="F66" i="89"/>
  <c r="F64" i="89"/>
  <c r="F21" i="89"/>
  <c r="F45" i="89"/>
  <c r="F12" i="89"/>
  <c r="F20" i="89"/>
  <c r="F18" i="89"/>
  <c r="F33" i="89"/>
  <c r="F62" i="89"/>
  <c r="F30" i="89"/>
  <c r="F85" i="89"/>
  <c r="F58" i="89"/>
  <c r="F63" i="89"/>
  <c r="F56" i="89"/>
  <c r="F57" i="89"/>
  <c r="F26" i="89"/>
  <c r="F11" i="89"/>
  <c r="F24" i="89"/>
  <c r="F60" i="89"/>
  <c r="F8" i="89"/>
  <c r="F52" i="89"/>
  <c r="F25" i="89"/>
  <c r="F65" i="89"/>
  <c r="AD14" i="89" l="1"/>
  <c r="AD10" i="89"/>
  <c r="AD15" i="89"/>
  <c r="AD13" i="89"/>
  <c r="AD9" i="89"/>
  <c r="AD11" i="89"/>
  <c r="AD12" i="89"/>
  <c r="AD71" i="89"/>
  <c r="AD51" i="89"/>
  <c r="AD68" i="89"/>
  <c r="AD28" i="89"/>
  <c r="AD56" i="89"/>
  <c r="AD60" i="89"/>
  <c r="AD29" i="89"/>
  <c r="AD65" i="89"/>
  <c r="AD26" i="89"/>
  <c r="AD48" i="89"/>
  <c r="AD66" i="89"/>
  <c r="AD47" i="89"/>
  <c r="AD21" i="89"/>
  <c r="AD45" i="89"/>
  <c r="AD63" i="89"/>
  <c r="AD72" i="89"/>
  <c r="AD24" i="89"/>
  <c r="AD43" i="89"/>
  <c r="AD8" i="89"/>
  <c r="AD30" i="89"/>
  <c r="AD54" i="89"/>
  <c r="AD70" i="89"/>
  <c r="AD61" i="89"/>
  <c r="AD27" i="89"/>
  <c r="AD49" i="89"/>
  <c r="AD67" i="89"/>
  <c r="AD18" i="89"/>
  <c r="AD46" i="89"/>
  <c r="AD52" i="89"/>
  <c r="AD16" i="89"/>
  <c r="AD36" i="89"/>
  <c r="AD58" i="89"/>
  <c r="AD25" i="89"/>
  <c r="AD69" i="89"/>
  <c r="AD31" i="89"/>
  <c r="AD55" i="89"/>
  <c r="AD32" i="89"/>
  <c r="AD42" i="89"/>
  <c r="AD64" i="89"/>
  <c r="AD19" i="89"/>
  <c r="AD57" i="89"/>
  <c r="AD20" i="89"/>
  <c r="AD44" i="89"/>
  <c r="AD62" i="89"/>
  <c r="AD33" i="89"/>
  <c r="AD17" i="89"/>
  <c r="AD41" i="89"/>
  <c r="AD59" i="89"/>
  <c r="H76" i="89"/>
  <c r="I81" i="89"/>
  <c r="I83" i="89" s="1"/>
  <c r="G86" i="89"/>
  <c r="G87" i="89" s="1"/>
  <c r="J72" i="89"/>
  <c r="J49" i="89"/>
  <c r="J70" i="89"/>
  <c r="J61" i="89"/>
  <c r="J60" i="89"/>
  <c r="J57" i="89"/>
  <c r="J46" i="89"/>
  <c r="J56" i="89"/>
  <c r="J43" i="89"/>
  <c r="J27" i="89"/>
  <c r="J17" i="89"/>
  <c r="J9" i="89"/>
  <c r="J21" i="89"/>
  <c r="J16" i="89"/>
  <c r="J15" i="89"/>
  <c r="J25" i="89"/>
  <c r="J68" i="89"/>
  <c r="J12" i="89"/>
  <c r="J19" i="89"/>
  <c r="J44" i="89"/>
  <c r="J62" i="89"/>
  <c r="J63" i="89"/>
  <c r="J29" i="89"/>
  <c r="J26" i="89"/>
  <c r="J58" i="89"/>
  <c r="J36" i="89"/>
  <c r="J59" i="89"/>
  <c r="J32" i="89"/>
  <c r="J10" i="89"/>
  <c r="J67" i="89"/>
  <c r="J42" i="89"/>
  <c r="J69" i="89"/>
  <c r="J71" i="89"/>
  <c r="J18" i="89"/>
  <c r="J30" i="89"/>
  <c r="J28" i="89"/>
  <c r="J11" i="89"/>
  <c r="J20" i="89"/>
  <c r="J55" i="89"/>
  <c r="J31" i="89"/>
  <c r="J48" i="89"/>
  <c r="J64" i="89"/>
  <c r="J33" i="89"/>
  <c r="J13" i="89"/>
  <c r="J14" i="89"/>
  <c r="J45" i="89"/>
  <c r="J66" i="89"/>
  <c r="J24" i="89"/>
  <c r="J52" i="89"/>
  <c r="J65" i="89"/>
  <c r="J51" i="89"/>
  <c r="J47" i="89"/>
  <c r="J54" i="89"/>
  <c r="J41" i="89"/>
  <c r="I84" i="89" l="1"/>
  <c r="I86" i="89" s="1"/>
  <c r="I87" i="89" s="1"/>
  <c r="I33" i="85" l="1"/>
  <c r="AP75" i="88" l="1"/>
  <c r="AQ71" i="88"/>
  <c r="AQ70" i="88"/>
  <c r="AV70" i="88" s="1"/>
  <c r="AP70" i="88"/>
  <c r="AU69" i="88"/>
  <c r="AU65" i="88"/>
  <c r="AU53" i="88"/>
  <c r="AQ51" i="88"/>
  <c r="AP51" i="88"/>
  <c r="AU50" i="88"/>
  <c r="AU44" i="88"/>
  <c r="AU42" i="88"/>
  <c r="AQ35" i="88"/>
  <c r="AP35" i="88"/>
  <c r="AU34" i="88"/>
  <c r="AQ32" i="88"/>
  <c r="AP32" i="88"/>
  <c r="AV30" i="88"/>
  <c r="AU30" i="88"/>
  <c r="AU28" i="88"/>
  <c r="AU22" i="88"/>
  <c r="AV20" i="88"/>
  <c r="AU18" i="88"/>
  <c r="AV16" i="88"/>
  <c r="AU16" i="88"/>
  <c r="AV10" i="88"/>
  <c r="AV7" i="88"/>
  <c r="AR7" i="88"/>
  <c r="G14" i="88"/>
  <c r="AP14" i="88" s="1"/>
  <c r="G13" i="88"/>
  <c r="AP13" i="88" s="1"/>
  <c r="G11" i="88"/>
  <c r="AP11" i="88" s="1"/>
  <c r="G10" i="88"/>
  <c r="AP10" i="88" s="1"/>
  <c r="G9" i="88"/>
  <c r="AP9" i="88" s="1"/>
  <c r="H29" i="88"/>
  <c r="AQ29" i="88" s="1"/>
  <c r="H28" i="88"/>
  <c r="AQ28" i="88" s="1"/>
  <c r="AV83" i="88"/>
  <c r="I83" i="88"/>
  <c r="E83" i="88"/>
  <c r="AW80" i="88"/>
  <c r="AR80" i="88"/>
  <c r="I80" i="88"/>
  <c r="E80" i="88"/>
  <c r="E77" i="88"/>
  <c r="E76" i="88"/>
  <c r="H75" i="88"/>
  <c r="G75" i="88"/>
  <c r="D75" i="88"/>
  <c r="C75" i="88"/>
  <c r="C72" i="88"/>
  <c r="H71" i="88"/>
  <c r="G71" i="88"/>
  <c r="D71" i="88"/>
  <c r="E69" i="88"/>
  <c r="AV68" i="88"/>
  <c r="AU68" i="88"/>
  <c r="E68" i="88"/>
  <c r="AV67" i="88"/>
  <c r="E67" i="88"/>
  <c r="AV66" i="88"/>
  <c r="AU66" i="88"/>
  <c r="E66" i="88"/>
  <c r="AV65" i="88"/>
  <c r="E65" i="88"/>
  <c r="AV64" i="88"/>
  <c r="E64" i="88"/>
  <c r="AV63" i="88"/>
  <c r="AW63" i="88" s="1"/>
  <c r="E63" i="88"/>
  <c r="AV62" i="88"/>
  <c r="AU62" i="88"/>
  <c r="E62" i="88"/>
  <c r="AV61" i="88"/>
  <c r="E61" i="88"/>
  <c r="AV60" i="88"/>
  <c r="E60" i="88"/>
  <c r="AV59" i="88"/>
  <c r="AU59" i="88"/>
  <c r="E59" i="88"/>
  <c r="AV58" i="88"/>
  <c r="AU58" i="88"/>
  <c r="E58" i="88"/>
  <c r="AV57" i="88"/>
  <c r="AU57" i="88"/>
  <c r="E57" i="88"/>
  <c r="AV56" i="88"/>
  <c r="AU56" i="88"/>
  <c r="E56" i="88"/>
  <c r="AU55" i="88"/>
  <c r="E55" i="88"/>
  <c r="AV54" i="88"/>
  <c r="E54" i="88"/>
  <c r="AV53" i="88"/>
  <c r="E53" i="88"/>
  <c r="H52" i="88"/>
  <c r="G52" i="88"/>
  <c r="D52" i="88"/>
  <c r="C52" i="88"/>
  <c r="AV50" i="88"/>
  <c r="E50" i="88"/>
  <c r="AV49" i="88"/>
  <c r="AU49" i="88"/>
  <c r="E49" i="88"/>
  <c r="H48" i="88"/>
  <c r="G48" i="88"/>
  <c r="AV46" i="88"/>
  <c r="E46" i="88"/>
  <c r="AV45" i="88"/>
  <c r="AU45" i="88"/>
  <c r="E45" i="88"/>
  <c r="AV44" i="88"/>
  <c r="E44" i="88"/>
  <c r="AV43" i="88"/>
  <c r="E43" i="88"/>
  <c r="AV42" i="88"/>
  <c r="E42" i="88"/>
  <c r="AV41" i="88"/>
  <c r="AU41" i="88"/>
  <c r="E41" i="88"/>
  <c r="AV40" i="88"/>
  <c r="E40" i="88"/>
  <c r="H39" i="88"/>
  <c r="D39" i="88"/>
  <c r="C39" i="88"/>
  <c r="AV34" i="88"/>
  <c r="AV33" i="88" s="1"/>
  <c r="E34" i="88"/>
  <c r="E33" i="88" s="1"/>
  <c r="H33" i="88"/>
  <c r="AQ33" i="88" s="1"/>
  <c r="G33" i="88"/>
  <c r="AP33" i="88" s="1"/>
  <c r="D33" i="88"/>
  <c r="C33" i="88"/>
  <c r="AV31" i="88"/>
  <c r="AU31" i="88"/>
  <c r="E31" i="88"/>
  <c r="E30" i="88"/>
  <c r="E29" i="88"/>
  <c r="E28" i="88"/>
  <c r="AV27" i="88"/>
  <c r="E27" i="88"/>
  <c r="AV26" i="88"/>
  <c r="AU26" i="88"/>
  <c r="E26" i="88"/>
  <c r="AV25" i="88"/>
  <c r="AU25" i="88"/>
  <c r="E25" i="88"/>
  <c r="AV24" i="88"/>
  <c r="E24" i="88"/>
  <c r="AV23" i="88"/>
  <c r="E23" i="88"/>
  <c r="AV22" i="88"/>
  <c r="E22" i="88"/>
  <c r="AV21" i="88"/>
  <c r="AU21" i="88"/>
  <c r="E21" i="88"/>
  <c r="E20" i="88"/>
  <c r="AV19" i="88"/>
  <c r="E19" i="88"/>
  <c r="AV18" i="88"/>
  <c r="E18" i="88"/>
  <c r="AV17" i="88"/>
  <c r="AU17" i="88"/>
  <c r="E17" i="88"/>
  <c r="E16" i="88"/>
  <c r="AV15" i="88"/>
  <c r="E15" i="88"/>
  <c r="AV14" i="88"/>
  <c r="E14" i="88"/>
  <c r="AV13" i="88"/>
  <c r="E13" i="88"/>
  <c r="AV12" i="88"/>
  <c r="E12" i="88"/>
  <c r="AV11" i="88"/>
  <c r="E11" i="88"/>
  <c r="E10" i="88"/>
  <c r="AV9" i="88"/>
  <c r="E9" i="88"/>
  <c r="D8" i="88"/>
  <c r="C8" i="88"/>
  <c r="E7" i="88"/>
  <c r="AV6" i="88"/>
  <c r="AV5" i="88" s="1"/>
  <c r="E6" i="88"/>
  <c r="E5" i="88" s="1"/>
  <c r="AQ5" i="88"/>
  <c r="H5" i="88"/>
  <c r="G5" i="88"/>
  <c r="D5" i="88"/>
  <c r="C5" i="88"/>
  <c r="H8" i="88" l="1"/>
  <c r="AW56" i="88"/>
  <c r="AW62" i="88"/>
  <c r="AW57" i="88"/>
  <c r="I77" i="88"/>
  <c r="I75" i="88" s="1"/>
  <c r="AW17" i="88"/>
  <c r="AW26" i="88"/>
  <c r="AW30" i="88"/>
  <c r="AW16" i="88"/>
  <c r="AR10" i="88"/>
  <c r="I10" i="88"/>
  <c r="AU7" i="88"/>
  <c r="AW7" i="88" s="1"/>
  <c r="AW42" i="88"/>
  <c r="I11" i="88"/>
  <c r="E8" i="88"/>
  <c r="AW41" i="88"/>
  <c r="AW49" i="88"/>
  <c r="AW59" i="88"/>
  <c r="C71" i="88"/>
  <c r="AU72" i="88"/>
  <c r="I29" i="88"/>
  <c r="AR13" i="88"/>
  <c r="I13" i="88"/>
  <c r="AW44" i="88"/>
  <c r="AW53" i="88"/>
  <c r="I28" i="88"/>
  <c r="AW25" i="88"/>
  <c r="AW58" i="88"/>
  <c r="AW68" i="88"/>
  <c r="AV72" i="88"/>
  <c r="I9" i="88"/>
  <c r="AR14" i="88"/>
  <c r="I14" i="88"/>
  <c r="AW50" i="88"/>
  <c r="AR71" i="88"/>
  <c r="AW66" i="88"/>
  <c r="AW65" i="88"/>
  <c r="AW45" i="88"/>
  <c r="AU33" i="88"/>
  <c r="AW34" i="88"/>
  <c r="AW33" i="88" s="1"/>
  <c r="AW31" i="88"/>
  <c r="AW22" i="88"/>
  <c r="AW21" i="88"/>
  <c r="AW18" i="88"/>
  <c r="E75" i="88"/>
  <c r="A6" i="88"/>
  <c r="AV71" i="88"/>
  <c r="D36" i="88"/>
  <c r="D37" i="88" s="1"/>
  <c r="C36" i="88"/>
  <c r="C73" i="88" s="1"/>
  <c r="C79" i="88" s="1"/>
  <c r="C81" i="88" s="1"/>
  <c r="AU10" i="88"/>
  <c r="AW10" i="88" s="1"/>
  <c r="AU40" i="88"/>
  <c r="AW40" i="88" s="1"/>
  <c r="G8" i="88"/>
  <c r="G36" i="88" s="1"/>
  <c r="G37" i="88" s="1"/>
  <c r="H36" i="88"/>
  <c r="H73" i="88" s="1"/>
  <c r="E48" i="88"/>
  <c r="AV48" i="88"/>
  <c r="AU23" i="88"/>
  <c r="AW23" i="88" s="1"/>
  <c r="AU29" i="88"/>
  <c r="AP48" i="88"/>
  <c r="AU19" i="88"/>
  <c r="AW19" i="88" s="1"/>
  <c r="AU43" i="88"/>
  <c r="AW43" i="88" s="1"/>
  <c r="E72" i="88"/>
  <c r="E71" i="88" s="1"/>
  <c r="AU27" i="88"/>
  <c r="AW27" i="88" s="1"/>
  <c r="AV77" i="88"/>
  <c r="AV75" i="88" s="1"/>
  <c r="AQ75" i="88"/>
  <c r="AU83" i="88"/>
  <c r="AW83" i="88" s="1"/>
  <c r="AR83" i="88"/>
  <c r="AU12" i="88"/>
  <c r="AW12" i="88" s="1"/>
  <c r="AU24" i="88"/>
  <c r="AW24" i="88" s="1"/>
  <c r="AU48" i="88"/>
  <c r="AU20" i="88"/>
  <c r="AW20" i="88" s="1"/>
  <c r="AU9" i="88"/>
  <c r="AW9" i="88" s="1"/>
  <c r="AV39" i="88"/>
  <c r="G39" i="88"/>
  <c r="AU67" i="88"/>
  <c r="AW67" i="88" s="1"/>
  <c r="AV69" i="88"/>
  <c r="AW69" i="88" s="1"/>
  <c r="AP5" i="88"/>
  <c r="AU6" i="88"/>
  <c r="AW6" i="88" s="1"/>
  <c r="AW5" i="88" s="1"/>
  <c r="AU15" i="88"/>
  <c r="AW15" i="88" s="1"/>
  <c r="E39" i="88"/>
  <c r="AQ48" i="88"/>
  <c r="E52" i="88"/>
  <c r="AV55" i="88"/>
  <c r="AW55" i="88" s="1"/>
  <c r="AU70" i="88"/>
  <c r="AP71" i="88"/>
  <c r="AP39" i="88"/>
  <c r="AP52" i="88"/>
  <c r="AU54" i="88"/>
  <c r="AW54" i="88" s="1"/>
  <c r="AU61" i="88"/>
  <c r="AW61" i="88" s="1"/>
  <c r="AU64" i="88"/>
  <c r="AW64" i="88" s="1"/>
  <c r="AQ39" i="88"/>
  <c r="AQ52" i="88"/>
  <c r="AU60" i="88"/>
  <c r="AW60" i="88" s="1"/>
  <c r="C82" i="88" l="1"/>
  <c r="C84" i="88" s="1"/>
  <c r="C85" i="88" s="1"/>
  <c r="AU71" i="88"/>
  <c r="H37" i="88"/>
  <c r="I8" i="88"/>
  <c r="I36" i="88" s="1"/>
  <c r="I37" i="88" s="1"/>
  <c r="AW48" i="88"/>
  <c r="AW52" i="88"/>
  <c r="AR29" i="88"/>
  <c r="AV29" i="88"/>
  <c r="AW29" i="88" s="1"/>
  <c r="AR11" i="88"/>
  <c r="AU11" i="88"/>
  <c r="AW11" i="88" s="1"/>
  <c r="AW72" i="88"/>
  <c r="AW71" i="88" s="1"/>
  <c r="I73" i="88"/>
  <c r="I74" i="88" s="1"/>
  <c r="AU14" i="88"/>
  <c r="AW14" i="88" s="1"/>
  <c r="AR9" i="88"/>
  <c r="AP8" i="88"/>
  <c r="AP36" i="88" s="1"/>
  <c r="AR28" i="88"/>
  <c r="AV28" i="88"/>
  <c r="AQ8" i="88"/>
  <c r="AQ36" i="88" s="1"/>
  <c r="AQ37" i="88" s="1"/>
  <c r="AV52" i="88"/>
  <c r="C37" i="88"/>
  <c r="D73" i="88"/>
  <c r="D79" i="88" s="1"/>
  <c r="D81" i="88" s="1"/>
  <c r="D82" i="88" s="1"/>
  <c r="D84" i="88" s="1"/>
  <c r="D85" i="88" s="1"/>
  <c r="G73" i="88"/>
  <c r="G79" i="88" s="1"/>
  <c r="G81" i="88" s="1"/>
  <c r="G82" i="88" s="1"/>
  <c r="C74" i="88"/>
  <c r="AU13" i="88"/>
  <c r="AW13" i="88" s="1"/>
  <c r="AU52" i="88"/>
  <c r="I87" i="88"/>
  <c r="AU5" i="88"/>
  <c r="AU46" i="88"/>
  <c r="AW46" i="88" s="1"/>
  <c r="AW39" i="88" s="1"/>
  <c r="AU75" i="88"/>
  <c r="E87" i="88"/>
  <c r="AX67" i="88" s="1"/>
  <c r="E36" i="88"/>
  <c r="E73" i="88" s="1"/>
  <c r="H79" i="88"/>
  <c r="H81" i="88" s="1"/>
  <c r="H82" i="88" s="1"/>
  <c r="H74" i="88"/>
  <c r="AR8" i="88" l="1"/>
  <c r="AP73" i="88"/>
  <c r="AP79" i="88" s="1"/>
  <c r="AP81" i="88" s="1"/>
  <c r="AP82" i="88" s="1"/>
  <c r="AP84" i="88" s="1"/>
  <c r="AP85" i="88" s="1"/>
  <c r="AP37" i="88"/>
  <c r="AW28" i="88"/>
  <c r="AW8" i="88" s="1"/>
  <c r="AW36" i="88" s="1"/>
  <c r="AW73" i="88" s="1"/>
  <c r="AW74" i="88" s="1"/>
  <c r="AV8" i="88"/>
  <c r="AQ73" i="88"/>
  <c r="AQ79" i="88" s="1"/>
  <c r="AQ81" i="88" s="1"/>
  <c r="AQ82" i="88" s="1"/>
  <c r="AQ84" i="88" s="1"/>
  <c r="AQ85" i="88" s="1"/>
  <c r="AR77" i="88"/>
  <c r="AR75" i="88" s="1"/>
  <c r="D74" i="88"/>
  <c r="G74" i="88"/>
  <c r="G84" i="88"/>
  <c r="G85" i="88" s="1"/>
  <c r="F8" i="88"/>
  <c r="J8" i="88"/>
  <c r="O39" i="88"/>
  <c r="H84" i="88"/>
  <c r="H85" i="88" s="1"/>
  <c r="AU8" i="88"/>
  <c r="AU36" i="88" s="1"/>
  <c r="AX50" i="88"/>
  <c r="J46" i="88"/>
  <c r="J52" i="88"/>
  <c r="AX42" i="88"/>
  <c r="E37" i="88"/>
  <c r="AP74" i="88"/>
  <c r="F70" i="88"/>
  <c r="F66" i="88"/>
  <c r="F60" i="88"/>
  <c r="F80" i="88"/>
  <c r="F77" i="88"/>
  <c r="F67" i="88"/>
  <c r="F58" i="88"/>
  <c r="F50" i="88"/>
  <c r="F46" i="88"/>
  <c r="F42" i="88"/>
  <c r="F33" i="88"/>
  <c r="F64" i="88"/>
  <c r="F59" i="88"/>
  <c r="F53" i="88"/>
  <c r="F49" i="88"/>
  <c r="F45" i="88"/>
  <c r="F41" i="88"/>
  <c r="F56" i="88"/>
  <c r="F34" i="88"/>
  <c r="F31" i="88"/>
  <c r="F29" i="88"/>
  <c r="F22" i="88"/>
  <c r="F83" i="88"/>
  <c r="F20" i="88"/>
  <c r="F12" i="88"/>
  <c r="F43" i="88"/>
  <c r="F18" i="88"/>
  <c r="F26" i="88"/>
  <c r="F15" i="88"/>
  <c r="F57" i="88"/>
  <c r="F11" i="88"/>
  <c r="F14" i="88"/>
  <c r="F27" i="88"/>
  <c r="F13" i="88"/>
  <c r="F44" i="88"/>
  <c r="AX49" i="88"/>
  <c r="F30" i="88"/>
  <c r="F63" i="88"/>
  <c r="F61" i="88"/>
  <c r="F10" i="88"/>
  <c r="F9" i="88"/>
  <c r="F71" i="88"/>
  <c r="AX41" i="88"/>
  <c r="F23" i="88"/>
  <c r="F16" i="88"/>
  <c r="F40" i="88"/>
  <c r="F48" i="88"/>
  <c r="F65" i="88"/>
  <c r="F19" i="88"/>
  <c r="AX43" i="88"/>
  <c r="F62" i="88"/>
  <c r="AX45" i="88"/>
  <c r="F24" i="88"/>
  <c r="F25" i="88"/>
  <c r="F17" i="88"/>
  <c r="AX80" i="88"/>
  <c r="F21" i="88"/>
  <c r="F55" i="88"/>
  <c r="AX44" i="88"/>
  <c r="AX68" i="88"/>
  <c r="F28" i="88"/>
  <c r="F54" i="88"/>
  <c r="F68" i="88"/>
  <c r="F69" i="88"/>
  <c r="AX34" i="88"/>
  <c r="AU39" i="88"/>
  <c r="F39" i="88"/>
  <c r="AX40" i="88"/>
  <c r="F52" i="88"/>
  <c r="AX69" i="88"/>
  <c r="J67" i="88"/>
  <c r="J60" i="88"/>
  <c r="J59" i="88"/>
  <c r="J61" i="88"/>
  <c r="J29" i="88"/>
  <c r="J12" i="88"/>
  <c r="J13" i="88"/>
  <c r="J58" i="88"/>
  <c r="J14" i="88"/>
  <c r="J54" i="88"/>
  <c r="J56" i="88"/>
  <c r="J53" i="88"/>
  <c r="J57" i="88"/>
  <c r="J63" i="88"/>
  <c r="J55" i="88"/>
  <c r="J27" i="88"/>
  <c r="AX83" i="88"/>
  <c r="AX70" i="88"/>
  <c r="J39" i="88"/>
  <c r="AX71" i="88"/>
  <c r="AR36" i="88" l="1"/>
  <c r="AR87" i="88"/>
  <c r="AS70" i="88" s="1"/>
  <c r="AW37" i="88"/>
  <c r="AW77" i="88"/>
  <c r="AW87" i="88" s="1"/>
  <c r="AV36" i="88"/>
  <c r="AQ74" i="88"/>
  <c r="AU73" i="88"/>
  <c r="AS12" i="88"/>
  <c r="AU37" i="88"/>
  <c r="AX46" i="88"/>
  <c r="E79" i="88"/>
  <c r="E81" i="88" s="1"/>
  <c r="E82" i="88" s="1"/>
  <c r="E84" i="88" s="1"/>
  <c r="E85" i="88" s="1"/>
  <c r="E74" i="88"/>
  <c r="I79" i="88"/>
  <c r="I81" i="88" s="1"/>
  <c r="I82" i="88" s="1"/>
  <c r="I84" i="88" s="1"/>
  <c r="I85" i="88" s="1"/>
  <c r="AS30" i="88" l="1"/>
  <c r="AS14" i="88"/>
  <c r="AS25" i="88"/>
  <c r="AS47" i="88"/>
  <c r="AS49" i="88"/>
  <c r="AR73" i="88"/>
  <c r="AR37" i="88"/>
  <c r="AS13" i="88"/>
  <c r="AS65" i="88"/>
  <c r="AS20" i="88"/>
  <c r="AS29" i="88"/>
  <c r="AS45" i="88"/>
  <c r="AS28" i="88"/>
  <c r="AS64" i="88"/>
  <c r="AS22" i="88"/>
  <c r="AS63" i="88"/>
  <c r="AS54" i="88"/>
  <c r="AS62" i="88"/>
  <c r="AS41" i="88"/>
  <c r="AS26" i="88"/>
  <c r="AS39" i="88"/>
  <c r="AS10" i="88"/>
  <c r="AS59" i="88"/>
  <c r="AS42" i="88"/>
  <c r="AS46" i="88"/>
  <c r="AS31" i="88"/>
  <c r="AS66" i="88"/>
  <c r="AS44" i="88"/>
  <c r="AS40" i="88"/>
  <c r="AS53" i="88"/>
  <c r="AS58" i="88"/>
  <c r="AS11" i="88"/>
  <c r="AS43" i="88"/>
  <c r="AS8" i="88"/>
  <c r="AS68" i="88"/>
  <c r="AS52" i="88"/>
  <c r="AS17" i="88"/>
  <c r="AS27" i="88"/>
  <c r="AS67" i="88"/>
  <c r="AS18" i="88"/>
  <c r="AS50" i="88"/>
  <c r="AS16" i="88"/>
  <c r="AS55" i="88"/>
  <c r="AS69" i="88"/>
  <c r="AS23" i="88"/>
  <c r="AS19" i="88"/>
  <c r="AS15" i="88"/>
  <c r="AS56" i="88"/>
  <c r="AS60" i="88"/>
  <c r="AS21" i="88"/>
  <c r="AS9" i="88"/>
  <c r="AS61" i="88"/>
  <c r="AS34" i="88"/>
  <c r="AS57" i="88"/>
  <c r="AS24" i="88"/>
  <c r="AV73" i="88"/>
  <c r="AV37" i="88"/>
  <c r="AW75" i="88"/>
  <c r="AX77" i="88"/>
  <c r="AX65" i="88"/>
  <c r="AX22" i="88"/>
  <c r="AX18" i="88"/>
  <c r="AX28" i="88"/>
  <c r="AX21" i="88"/>
  <c r="AX11" i="88"/>
  <c r="AX58" i="88"/>
  <c r="AX31" i="88"/>
  <c r="AX25" i="88"/>
  <c r="AX19" i="88"/>
  <c r="AX10" i="88"/>
  <c r="AX59" i="88"/>
  <c r="AX56" i="88"/>
  <c r="AX29" i="88"/>
  <c r="AX13" i="88"/>
  <c r="AX14" i="88"/>
  <c r="AX30" i="88"/>
  <c r="AX16" i="88"/>
  <c r="AX26" i="88"/>
  <c r="AX17" i="88"/>
  <c r="AX23" i="88"/>
  <c r="AX53" i="88"/>
  <c r="AX61" i="88"/>
  <c r="AX66" i="88"/>
  <c r="AX62" i="88"/>
  <c r="AX12" i="88"/>
  <c r="AX64" i="88"/>
  <c r="AX24" i="88"/>
  <c r="AX60" i="88"/>
  <c r="AX15" i="88"/>
  <c r="AX63" i="88"/>
  <c r="AX20" i="88"/>
  <c r="AX27" i="88"/>
  <c r="AX54" i="88"/>
  <c r="AX57" i="88"/>
  <c r="AX55" i="88"/>
  <c r="AX52" i="88"/>
  <c r="AX9" i="88"/>
  <c r="AX8" i="88"/>
  <c r="AU74" i="88"/>
  <c r="AU79" i="88"/>
  <c r="AU81" i="88" s="1"/>
  <c r="AR74" i="88" l="1"/>
  <c r="AR79" i="88"/>
  <c r="AR81" i="88" s="1"/>
  <c r="AR82" i="88" s="1"/>
  <c r="AR84" i="88" s="1"/>
  <c r="AR85" i="88" s="1"/>
  <c r="AV74" i="88"/>
  <c r="AV79" i="88"/>
  <c r="AV81" i="88" s="1"/>
  <c r="AV82" i="88" s="1"/>
  <c r="AV84" i="88" s="1"/>
  <c r="AV85" i="88" s="1"/>
  <c r="AU82" i="88"/>
  <c r="AU84" i="88" s="1"/>
  <c r="AU85" i="88" s="1"/>
  <c r="AW79" i="88"/>
  <c r="AW81" i="88" s="1"/>
  <c r="AW82" i="88" s="1"/>
  <c r="AW84" i="88" l="1"/>
  <c r="AW85" i="88" s="1"/>
  <c r="I44" i="86" l="1"/>
  <c r="I35" i="85" l="1"/>
  <c r="I14" i="87" l="1"/>
  <c r="I13" i="87" l="1"/>
  <c r="G8" i="87"/>
  <c r="G38" i="87" s="1"/>
  <c r="H8" i="87"/>
  <c r="I79" i="87" s="1"/>
  <c r="BL79" i="87" s="1"/>
  <c r="I31" i="87"/>
  <c r="BL89" i="87" l="1"/>
  <c r="BL93" i="87" s="1"/>
  <c r="BL81" i="87"/>
  <c r="BL83" i="87" s="1"/>
  <c r="BL84" i="87" s="1"/>
  <c r="BL86" i="87" s="1"/>
  <c r="BL87" i="87" s="1"/>
  <c r="BL77" i="87"/>
  <c r="G39" i="87"/>
  <c r="I8" i="87"/>
  <c r="I77" i="87"/>
  <c r="H38" i="87"/>
  <c r="BM55" i="87" l="1"/>
  <c r="BM64" i="87"/>
  <c r="BM21" i="87"/>
  <c r="BM20" i="87"/>
  <c r="BM52" i="87"/>
  <c r="BM13" i="87"/>
  <c r="BM43" i="87"/>
  <c r="BM30" i="87"/>
  <c r="BM28" i="87"/>
  <c r="BM25" i="87"/>
  <c r="BM36" i="87"/>
  <c r="BM14" i="87"/>
  <c r="BM44" i="87"/>
  <c r="BM57" i="87"/>
  <c r="BM17" i="87"/>
  <c r="BM47" i="87"/>
  <c r="BM49" i="87"/>
  <c r="BM51" i="87"/>
  <c r="BM29" i="87"/>
  <c r="BM45" i="87"/>
  <c r="BM18" i="87"/>
  <c r="BM19" i="87"/>
  <c r="BM58" i="87"/>
  <c r="BM67" i="87"/>
  <c r="BM72" i="87"/>
  <c r="BM41" i="87"/>
  <c r="BM62" i="87"/>
  <c r="BM33" i="87"/>
  <c r="BM54" i="87"/>
  <c r="BM24" i="87"/>
  <c r="BM61" i="87"/>
  <c r="BM31" i="87"/>
  <c r="BM11" i="87"/>
  <c r="BM8" i="87"/>
  <c r="BM59" i="87"/>
  <c r="BM27" i="87"/>
  <c r="BM65" i="87"/>
  <c r="BM42" i="87"/>
  <c r="BM56" i="87"/>
  <c r="BM66" i="87"/>
  <c r="BM10" i="87"/>
  <c r="BM15" i="87"/>
  <c r="BM12" i="87"/>
  <c r="BM71" i="87"/>
  <c r="BM63" i="87"/>
  <c r="BM69" i="87"/>
  <c r="BM46" i="87"/>
  <c r="BM60" i="87"/>
  <c r="BM9" i="87"/>
  <c r="BM68" i="87"/>
  <c r="BM48" i="87"/>
  <c r="BM70" i="87"/>
  <c r="BM32" i="87"/>
  <c r="BM26" i="87"/>
  <c r="BM16" i="87"/>
  <c r="H39" i="87"/>
  <c r="H75" i="87"/>
  <c r="H81" i="87" s="1"/>
  <c r="H83" i="87" s="1"/>
  <c r="I38" i="87"/>
  <c r="H76" i="87" l="1"/>
  <c r="I39" i="87"/>
  <c r="L22" i="81"/>
  <c r="N22" i="81" s="1"/>
  <c r="W77" i="79" l="1"/>
  <c r="AB77" i="79" s="1"/>
  <c r="AA77" i="79"/>
  <c r="V24" i="79"/>
  <c r="X24" i="79" s="1"/>
  <c r="W66" i="81" l="1"/>
  <c r="W6" i="81"/>
  <c r="X6" i="81" s="1"/>
  <c r="X5" i="81" s="1"/>
  <c r="AB66" i="81" l="1"/>
  <c r="X66" i="81"/>
  <c r="X52" i="81" s="1"/>
  <c r="I6" i="85" l="1"/>
  <c r="I5" i="85" s="1"/>
  <c r="I74" i="85" l="1"/>
  <c r="I73" i="85" s="1"/>
  <c r="I29" i="86" l="1"/>
  <c r="G73" i="86"/>
  <c r="I74" i="86"/>
  <c r="I73" i="86" s="1"/>
  <c r="I26" i="86" l="1"/>
  <c r="I19" i="86" l="1"/>
  <c r="I48" i="87" l="1"/>
  <c r="G41" i="87"/>
  <c r="G75" i="87" s="1"/>
  <c r="G81" i="87" l="1"/>
  <c r="G83" i="87" s="1"/>
  <c r="G76" i="87"/>
  <c r="I41" i="87"/>
  <c r="I75" i="87" l="1"/>
  <c r="I81" i="87" s="1"/>
  <c r="I76" i="87" l="1"/>
  <c r="I83" i="87"/>
  <c r="J49" i="87"/>
  <c r="J72" i="87"/>
  <c r="J51" i="87"/>
  <c r="J52" i="87"/>
  <c r="J68" i="87"/>
  <c r="J11" i="87"/>
  <c r="J60" i="87"/>
  <c r="J29" i="87"/>
  <c r="J32" i="87"/>
  <c r="J56" i="87"/>
  <c r="J17" i="87"/>
  <c r="J44" i="87"/>
  <c r="J33" i="87"/>
  <c r="J9" i="87"/>
  <c r="J15" i="87"/>
  <c r="J64" i="87"/>
  <c r="J70" i="87"/>
  <c r="J36" i="87"/>
  <c r="J55" i="87"/>
  <c r="J46" i="87"/>
  <c r="J71" i="87"/>
  <c r="J67" i="87"/>
  <c r="J66" i="87"/>
  <c r="J58" i="87"/>
  <c r="J57" i="87"/>
  <c r="J43" i="87"/>
  <c r="J42" i="87"/>
  <c r="J59" i="87"/>
  <c r="J62" i="87"/>
  <c r="J47" i="87"/>
  <c r="J10" i="87"/>
  <c r="J61" i="87"/>
  <c r="J63" i="87"/>
  <c r="J19" i="87"/>
  <c r="J30" i="87"/>
  <c r="J20" i="87"/>
  <c r="J25" i="87"/>
  <c r="J16" i="87"/>
  <c r="J45" i="87"/>
  <c r="J18" i="87"/>
  <c r="J24" i="87"/>
  <c r="J26" i="87"/>
  <c r="J21" i="87"/>
  <c r="J69" i="87"/>
  <c r="J27" i="87"/>
  <c r="J28" i="87"/>
  <c r="J12" i="87"/>
  <c r="J65" i="87"/>
  <c r="J54" i="87"/>
  <c r="J14" i="87"/>
  <c r="J31" i="87"/>
  <c r="J13" i="87"/>
  <c r="J8" i="87"/>
  <c r="J48" i="87"/>
  <c r="J41" i="87"/>
  <c r="I84" i="87" l="1"/>
  <c r="I86" i="87" s="1"/>
  <c r="I87" i="87" s="1"/>
  <c r="I25" i="86" l="1"/>
  <c r="I6" i="86"/>
  <c r="I5" i="86" s="1"/>
  <c r="E85" i="87" l="1"/>
  <c r="E82" i="87"/>
  <c r="E79" i="87"/>
  <c r="E78" i="87"/>
  <c r="D77" i="87"/>
  <c r="C77" i="87"/>
  <c r="E74" i="87"/>
  <c r="E73" i="87" s="1"/>
  <c r="D73" i="87"/>
  <c r="C73" i="87"/>
  <c r="E71" i="87"/>
  <c r="E70" i="87"/>
  <c r="E69" i="87"/>
  <c r="E68" i="87"/>
  <c r="E67" i="87"/>
  <c r="E66" i="87"/>
  <c r="E65" i="87"/>
  <c r="E64" i="87"/>
  <c r="E63" i="87"/>
  <c r="E62" i="87"/>
  <c r="E61" i="87"/>
  <c r="E60" i="87"/>
  <c r="E59" i="87"/>
  <c r="E58" i="87"/>
  <c r="E57" i="87"/>
  <c r="E56" i="87"/>
  <c r="E55" i="87"/>
  <c r="D54" i="87"/>
  <c r="C54" i="87"/>
  <c r="E52" i="87"/>
  <c r="E51" i="87"/>
  <c r="D50" i="87"/>
  <c r="C50" i="87"/>
  <c r="E48" i="87"/>
  <c r="E47" i="87"/>
  <c r="E46" i="87"/>
  <c r="E45" i="87"/>
  <c r="E44" i="87"/>
  <c r="E43" i="87"/>
  <c r="E42" i="87"/>
  <c r="D41" i="87"/>
  <c r="C41" i="87"/>
  <c r="E36" i="87"/>
  <c r="E35" i="87" s="1"/>
  <c r="D35" i="87"/>
  <c r="C35" i="87"/>
  <c r="E33" i="87"/>
  <c r="E32" i="87"/>
  <c r="E31" i="87"/>
  <c r="E30" i="87"/>
  <c r="E28" i="87"/>
  <c r="E27" i="87"/>
  <c r="E26" i="87"/>
  <c r="E25" i="87"/>
  <c r="E24" i="87"/>
  <c r="E21" i="87"/>
  <c r="E20" i="87"/>
  <c r="E19" i="87"/>
  <c r="E18" i="87"/>
  <c r="E17" i="87"/>
  <c r="E16" i="87"/>
  <c r="E15" i="87"/>
  <c r="E14" i="87"/>
  <c r="E13" i="87"/>
  <c r="E12" i="87"/>
  <c r="E11" i="87"/>
  <c r="E10" i="87"/>
  <c r="E9" i="87"/>
  <c r="D8" i="87"/>
  <c r="C8" i="87"/>
  <c r="E7" i="87"/>
  <c r="E6" i="87"/>
  <c r="E5" i="87" s="1"/>
  <c r="D5" i="87"/>
  <c r="C5" i="87"/>
  <c r="E50" i="87" l="1"/>
  <c r="E77" i="87"/>
  <c r="C38" i="87"/>
  <c r="C75" i="87" s="1"/>
  <c r="D38" i="87"/>
  <c r="D75" i="87" s="1"/>
  <c r="E41" i="87"/>
  <c r="E29" i="87"/>
  <c r="E8" i="87" s="1"/>
  <c r="E54" i="87"/>
  <c r="E38" i="87" l="1"/>
  <c r="E89" i="87"/>
  <c r="C39" i="87"/>
  <c r="D39" i="87"/>
  <c r="D81" i="87"/>
  <c r="D83" i="87" s="1"/>
  <c r="D84" i="87" s="1"/>
  <c r="D86" i="87" s="1"/>
  <c r="D87" i="87" s="1"/>
  <c r="D76" i="87"/>
  <c r="C76" i="87"/>
  <c r="C81" i="87"/>
  <c r="C83" i="87" s="1"/>
  <c r="C84" i="87" s="1"/>
  <c r="C86" i="87" s="1"/>
  <c r="C87" i="87" s="1"/>
  <c r="E75" i="87"/>
  <c r="E39" i="87"/>
  <c r="F54" i="87" l="1"/>
  <c r="F8" i="87"/>
  <c r="H86" i="87"/>
  <c r="H87" i="87" s="1"/>
  <c r="F82" i="87"/>
  <c r="F69" i="87"/>
  <c r="F68" i="87"/>
  <c r="F63" i="87"/>
  <c r="F62" i="87"/>
  <c r="F61" i="87"/>
  <c r="F64" i="87"/>
  <c r="F85" i="87"/>
  <c r="F65" i="87"/>
  <c r="F72" i="87"/>
  <c r="F79" i="87"/>
  <c r="F67" i="87"/>
  <c r="F60" i="87"/>
  <c r="F59" i="87"/>
  <c r="F51" i="87"/>
  <c r="F45" i="87"/>
  <c r="F25" i="87"/>
  <c r="F27" i="87"/>
  <c r="F66" i="87"/>
  <c r="F26" i="87"/>
  <c r="F18" i="87"/>
  <c r="F44" i="87"/>
  <c r="F35" i="87"/>
  <c r="F52" i="87"/>
  <c r="F20" i="87"/>
  <c r="F24" i="87"/>
  <c r="F19" i="87"/>
  <c r="F11" i="87"/>
  <c r="F36" i="87"/>
  <c r="F28" i="87"/>
  <c r="F13" i="87"/>
  <c r="F15" i="87"/>
  <c r="F42" i="87"/>
  <c r="F57" i="87"/>
  <c r="F43" i="87"/>
  <c r="F14" i="87"/>
  <c r="F47" i="87"/>
  <c r="F46" i="87"/>
  <c r="F16" i="87"/>
  <c r="F31" i="87"/>
  <c r="F30" i="87"/>
  <c r="F9" i="87"/>
  <c r="F50" i="87"/>
  <c r="F55" i="87"/>
  <c r="F70" i="87"/>
  <c r="F12" i="87"/>
  <c r="F17" i="87"/>
  <c r="F56" i="87"/>
  <c r="F29" i="87"/>
  <c r="F33" i="87"/>
  <c r="F71" i="87"/>
  <c r="F73" i="87"/>
  <c r="F58" i="87"/>
  <c r="F32" i="87"/>
  <c r="F10" i="87"/>
  <c r="F21" i="87"/>
  <c r="F41" i="87"/>
  <c r="F48" i="87"/>
  <c r="G86" i="87"/>
  <c r="G87" i="87" s="1"/>
  <c r="E81" i="87"/>
  <c r="E83" i="87" s="1"/>
  <c r="E84" i="87" s="1"/>
  <c r="E86" i="87" s="1"/>
  <c r="E87" i="87" s="1"/>
  <c r="E76" i="87"/>
  <c r="I26" i="85" l="1"/>
  <c r="I25" i="85"/>
  <c r="I65" i="85"/>
  <c r="I21" i="85" l="1"/>
  <c r="I51" i="86" l="1"/>
  <c r="I50" i="86" s="1"/>
  <c r="I36" i="86" l="1"/>
  <c r="I35" i="86" l="1"/>
  <c r="I45" i="86"/>
  <c r="I18" i="86"/>
  <c r="I63" i="86"/>
  <c r="I20" i="86" l="1"/>
  <c r="I27" i="86"/>
  <c r="E66" i="79" l="1"/>
  <c r="E65" i="79"/>
  <c r="E64" i="79"/>
  <c r="E63" i="79"/>
  <c r="E62" i="79"/>
  <c r="E61" i="79"/>
  <c r="E60" i="79"/>
  <c r="E59" i="79"/>
  <c r="E58" i="79"/>
  <c r="E57" i="79"/>
  <c r="E56" i="79"/>
  <c r="E46" i="79"/>
  <c r="E45" i="79"/>
  <c r="E44" i="79"/>
  <c r="E43" i="79"/>
  <c r="E42" i="79"/>
  <c r="E31" i="79"/>
  <c r="E30" i="79"/>
  <c r="E28" i="79"/>
  <c r="E27" i="79"/>
  <c r="E25" i="79"/>
  <c r="E24" i="79"/>
  <c r="E23" i="79"/>
  <c r="E22" i="79"/>
  <c r="E21" i="79"/>
  <c r="E20" i="79"/>
  <c r="E19" i="79"/>
  <c r="E18" i="79"/>
  <c r="E17" i="79"/>
  <c r="E16" i="79"/>
  <c r="E15" i="79"/>
  <c r="E14" i="79"/>
  <c r="E13" i="79"/>
  <c r="E12" i="79"/>
  <c r="E11" i="79"/>
  <c r="E10" i="79"/>
  <c r="E9" i="79"/>
  <c r="G19" i="79"/>
  <c r="I19" i="79" s="1"/>
  <c r="AB46" i="79"/>
  <c r="AA46" i="79"/>
  <c r="AB45" i="79"/>
  <c r="AA45" i="79"/>
  <c r="AB44" i="79"/>
  <c r="AA44" i="79"/>
  <c r="AB43" i="79"/>
  <c r="AA43" i="79"/>
  <c r="AB42" i="79"/>
  <c r="AA42" i="79"/>
  <c r="AB41" i="79"/>
  <c r="AA41" i="79"/>
  <c r="C29" i="79"/>
  <c r="D29" i="79"/>
  <c r="C26" i="79"/>
  <c r="E26" i="79" s="1"/>
  <c r="E29" i="79" l="1"/>
  <c r="AB70" i="79"/>
  <c r="AA70" i="79"/>
  <c r="AB69" i="79"/>
  <c r="AA69" i="79"/>
  <c r="AB68" i="79"/>
  <c r="AA68" i="79"/>
  <c r="AB67" i="79"/>
  <c r="AA67" i="79"/>
  <c r="AB66" i="79"/>
  <c r="AA66" i="79"/>
  <c r="AB65" i="79"/>
  <c r="AA65" i="79"/>
  <c r="AB64" i="79"/>
  <c r="AA64" i="79"/>
  <c r="AB63" i="79"/>
  <c r="AA63" i="79"/>
  <c r="AB62" i="79"/>
  <c r="AA62" i="79"/>
  <c r="AB61" i="79"/>
  <c r="AB60" i="79"/>
  <c r="AA60" i="79"/>
  <c r="AB59" i="79"/>
  <c r="AA59" i="79"/>
  <c r="AB58" i="79"/>
  <c r="AA58" i="79"/>
  <c r="AB57" i="79"/>
  <c r="AA57" i="79"/>
  <c r="AB56" i="79"/>
  <c r="AA56" i="79"/>
  <c r="AB31" i="79"/>
  <c r="AA31" i="79"/>
  <c r="AB30" i="79"/>
  <c r="AA30" i="79"/>
  <c r="AB28" i="79"/>
  <c r="AA27" i="79"/>
  <c r="AA26" i="79"/>
  <c r="AB25" i="79"/>
  <c r="AB24" i="79"/>
  <c r="AA24" i="79"/>
  <c r="AB22" i="79"/>
  <c r="AB21" i="79"/>
  <c r="AB20" i="79"/>
  <c r="AA20" i="79"/>
  <c r="AB19" i="79"/>
  <c r="AB18" i="79"/>
  <c r="AA18" i="79"/>
  <c r="AB17" i="79"/>
  <c r="AA17" i="79"/>
  <c r="AA16" i="79"/>
  <c r="AB15" i="79"/>
  <c r="AA15" i="79"/>
  <c r="AB14" i="79"/>
  <c r="AA14" i="79"/>
  <c r="AB13" i="79"/>
  <c r="AA13" i="79"/>
  <c r="AB12" i="79"/>
  <c r="AA12" i="79"/>
  <c r="AB11" i="79"/>
  <c r="AB10" i="79"/>
  <c r="AB9" i="79"/>
  <c r="H6" i="79"/>
  <c r="AB6" i="79" s="1"/>
  <c r="G6" i="79" l="1"/>
  <c r="I83" i="79"/>
  <c r="I80" i="79"/>
  <c r="I77" i="79"/>
  <c r="I76" i="79"/>
  <c r="H75" i="79"/>
  <c r="G75" i="79"/>
  <c r="I72" i="79"/>
  <c r="I71" i="79" s="1"/>
  <c r="H71" i="79"/>
  <c r="G71" i="79"/>
  <c r="I69" i="79"/>
  <c r="I68" i="79"/>
  <c r="I67" i="79"/>
  <c r="I55" i="79"/>
  <c r="I54" i="79"/>
  <c r="I53" i="79"/>
  <c r="H52" i="79"/>
  <c r="G52" i="79"/>
  <c r="I50" i="79"/>
  <c r="I49" i="79"/>
  <c r="H48" i="79"/>
  <c r="G48" i="79"/>
  <c r="I40" i="79"/>
  <c r="H39" i="79"/>
  <c r="G39" i="79"/>
  <c r="I34" i="79"/>
  <c r="I33" i="79" s="1"/>
  <c r="H33" i="79"/>
  <c r="G33" i="79"/>
  <c r="H8" i="79"/>
  <c r="G8" i="79"/>
  <c r="I7" i="79"/>
  <c r="H5" i="79"/>
  <c r="I75" i="79" l="1"/>
  <c r="I48" i="79"/>
  <c r="H36" i="79"/>
  <c r="H37" i="79" s="1"/>
  <c r="I52" i="79"/>
  <c r="I8" i="79"/>
  <c r="I39" i="79"/>
  <c r="H73" i="79" l="1"/>
  <c r="H74" i="79" s="1"/>
  <c r="I87" i="79"/>
  <c r="AB51" i="79"/>
  <c r="AA51" i="79"/>
  <c r="AB50" i="79"/>
  <c r="AA50" i="79"/>
  <c r="AB49" i="79"/>
  <c r="AA49" i="79"/>
  <c r="W23" i="79"/>
  <c r="AB23" i="79" s="1"/>
  <c r="W29" i="79"/>
  <c r="V23" i="79"/>
  <c r="V22" i="79"/>
  <c r="X22" i="79" s="1"/>
  <c r="V25" i="79"/>
  <c r="X25" i="79" s="1"/>
  <c r="V28" i="79"/>
  <c r="X28" i="79" s="1"/>
  <c r="V19" i="79"/>
  <c r="X19" i="79" s="1"/>
  <c r="V21" i="79"/>
  <c r="X21" i="79" s="1"/>
  <c r="X23" i="79" l="1"/>
  <c r="AA23" i="79"/>
  <c r="X29" i="79"/>
  <c r="AB29" i="79"/>
  <c r="H79" i="79"/>
  <c r="H81" i="79" s="1"/>
  <c r="H82" i="79" s="1"/>
  <c r="H84" i="79" s="1"/>
  <c r="H85" i="79" s="1"/>
  <c r="V6" i="79"/>
  <c r="X6" i="79" s="1"/>
  <c r="X5" i="79" s="1"/>
  <c r="X8" i="79" l="1"/>
  <c r="X36" i="79" s="1"/>
  <c r="X37" i="79" s="1"/>
  <c r="X83" i="79"/>
  <c r="X80" i="79"/>
  <c r="X77" i="79"/>
  <c r="X76" i="79"/>
  <c r="W75" i="79"/>
  <c r="V75" i="79"/>
  <c r="X72" i="79"/>
  <c r="X71" i="79" s="1"/>
  <c r="W71" i="79"/>
  <c r="V71" i="79"/>
  <c r="X69" i="79"/>
  <c r="X68" i="79"/>
  <c r="X67" i="79"/>
  <c r="W52" i="79"/>
  <c r="V52" i="79"/>
  <c r="W48" i="79"/>
  <c r="V48" i="79"/>
  <c r="W39" i="79"/>
  <c r="V39" i="79"/>
  <c r="W33" i="79"/>
  <c r="V33" i="79"/>
  <c r="W8" i="79"/>
  <c r="W5" i="79"/>
  <c r="W36" i="79" l="1"/>
  <c r="W73" i="79" s="1"/>
  <c r="X52" i="79"/>
  <c r="X75" i="79"/>
  <c r="I18" i="85"/>
  <c r="I69" i="86"/>
  <c r="I54" i="86" s="1"/>
  <c r="V5" i="79"/>
  <c r="V8" i="79"/>
  <c r="V22" i="81"/>
  <c r="X22" i="81" s="1"/>
  <c r="W37" i="79" l="1"/>
  <c r="W74" i="79"/>
  <c r="W79" i="79"/>
  <c r="W81" i="79" s="1"/>
  <c r="W82" i="79" s="1"/>
  <c r="W84" i="79" s="1"/>
  <c r="W85" i="79" s="1"/>
  <c r="X73" i="79"/>
  <c r="V36" i="79"/>
  <c r="X87" i="79"/>
  <c r="Y77" i="79" s="1"/>
  <c r="Y37" i="79" l="1"/>
  <c r="Y64" i="79"/>
  <c r="Y60" i="79"/>
  <c r="Y56" i="79"/>
  <c r="Y52" i="79"/>
  <c r="Y48" i="79"/>
  <c r="Y44" i="79"/>
  <c r="Y40" i="79"/>
  <c r="Y32" i="79"/>
  <c r="Y28" i="79"/>
  <c r="Y20" i="79"/>
  <c r="Y16" i="79"/>
  <c r="Y12" i="79"/>
  <c r="Y62" i="79"/>
  <c r="Y54" i="79"/>
  <c r="Y46" i="79"/>
  <c r="Y38" i="79"/>
  <c r="Y30" i="79"/>
  <c r="Y22" i="79"/>
  <c r="Y14" i="79"/>
  <c r="Y65" i="79"/>
  <c r="Y57" i="79"/>
  <c r="Y49" i="79"/>
  <c r="Y41" i="79"/>
  <c r="Y33" i="79"/>
  <c r="Y25" i="79"/>
  <c r="Y17" i="79"/>
  <c r="Y9" i="79"/>
  <c r="Y63" i="79"/>
  <c r="Y59" i="79"/>
  <c r="Y55" i="79"/>
  <c r="Y51" i="79"/>
  <c r="Y47" i="79"/>
  <c r="Y43" i="79"/>
  <c r="Y39" i="79"/>
  <c r="Y35" i="79"/>
  <c r="Y31" i="79"/>
  <c r="Y27" i="79"/>
  <c r="Y23" i="79"/>
  <c r="Y19" i="79"/>
  <c r="Y15" i="79"/>
  <c r="Y11" i="79"/>
  <c r="Y66" i="79"/>
  <c r="Y58" i="79"/>
  <c r="Y50" i="79"/>
  <c r="Y42" i="79"/>
  <c r="Y34" i="79"/>
  <c r="Y26" i="79"/>
  <c r="Y18" i="79"/>
  <c r="Y10" i="79"/>
  <c r="Y61" i="79"/>
  <c r="Y53" i="79"/>
  <c r="Y45" i="79"/>
  <c r="Y29" i="79"/>
  <c r="Y21" i="79"/>
  <c r="Y13" i="79"/>
  <c r="Y24" i="79"/>
  <c r="Y8" i="79"/>
  <c r="Y36" i="79"/>
  <c r="X79" i="79"/>
  <c r="X81" i="79" s="1"/>
  <c r="X82" i="79" s="1"/>
  <c r="X84" i="79" s="1"/>
  <c r="X85" i="79" s="1"/>
  <c r="X74" i="79"/>
  <c r="V37" i="79"/>
  <c r="V73" i="79"/>
  <c r="V79" i="79" l="1"/>
  <c r="V81" i="79" s="1"/>
  <c r="V82" i="79" s="1"/>
  <c r="V84" i="79" s="1"/>
  <c r="V85" i="79" s="1"/>
  <c r="V74" i="79"/>
  <c r="I54" i="85" l="1"/>
  <c r="I28" i="85"/>
  <c r="I48" i="85"/>
  <c r="I41" i="85" s="1"/>
  <c r="I27" i="85"/>
  <c r="AG9" i="81" l="1"/>
  <c r="E16" i="81" l="1"/>
  <c r="H63" i="81"/>
  <c r="I63" i="81" s="1"/>
  <c r="I52" i="81" s="1"/>
  <c r="I73" i="81" s="1"/>
  <c r="I74" i="81" s="1"/>
  <c r="W27" i="81"/>
  <c r="L24" i="81"/>
  <c r="N24" i="81" s="1"/>
  <c r="AB27" i="81" l="1"/>
  <c r="X27" i="81"/>
  <c r="V24" i="81"/>
  <c r="X24" i="81" s="1"/>
  <c r="AA66" i="81"/>
  <c r="AA65" i="81"/>
  <c r="AA64" i="81"/>
  <c r="AA63" i="81"/>
  <c r="AA62" i="81"/>
  <c r="AC62" i="81" s="1"/>
  <c r="AA60" i="81"/>
  <c r="AA59" i="81"/>
  <c r="AA58" i="81"/>
  <c r="AA57" i="81"/>
  <c r="AA56" i="81"/>
  <c r="AA47" i="81"/>
  <c r="AA46" i="81"/>
  <c r="AA45" i="81"/>
  <c r="AB35" i="81"/>
  <c r="AA35" i="81"/>
  <c r="AA34" i="81"/>
  <c r="AC34" i="81" s="1"/>
  <c r="AC33" i="81" s="1"/>
  <c r="AA29" i="81"/>
  <c r="AA28" i="81"/>
  <c r="AA27" i="81"/>
  <c r="AA26" i="81"/>
  <c r="AA25" i="81"/>
  <c r="AC25" i="81" s="1"/>
  <c r="AA22" i="81"/>
  <c r="AC22" i="81" s="1"/>
  <c r="AA21" i="81"/>
  <c r="AC21" i="81" s="1"/>
  <c r="AA20" i="81"/>
  <c r="AC20" i="81" s="1"/>
  <c r="AA19" i="81"/>
  <c r="AC19" i="81" s="1"/>
  <c r="AA18" i="81"/>
  <c r="AC18" i="81" s="1"/>
  <c r="AA17" i="81"/>
  <c r="AC17" i="81" s="1"/>
  <c r="AA16" i="81"/>
  <c r="AA15" i="81"/>
  <c r="AC15" i="81" s="1"/>
  <c r="AA14" i="81"/>
  <c r="AC14" i="81" s="1"/>
  <c r="AA13" i="81"/>
  <c r="AC13" i="81" s="1"/>
  <c r="AA12" i="81"/>
  <c r="AC12" i="81" s="1"/>
  <c r="AA6" i="81"/>
  <c r="I83" i="81"/>
  <c r="I80" i="81"/>
  <c r="H75" i="81"/>
  <c r="G75" i="81"/>
  <c r="H71" i="81"/>
  <c r="G71" i="81"/>
  <c r="G52" i="81"/>
  <c r="H48" i="81"/>
  <c r="G48" i="81"/>
  <c r="H39" i="81"/>
  <c r="G39" i="81"/>
  <c r="H33" i="81"/>
  <c r="G33" i="81"/>
  <c r="H8" i="81"/>
  <c r="H5" i="81"/>
  <c r="G5" i="81"/>
  <c r="W26" i="81"/>
  <c r="AA24" i="81" l="1"/>
  <c r="AC24" i="81" s="1"/>
  <c r="AC45" i="81"/>
  <c r="AC57" i="81"/>
  <c r="AC66" i="81"/>
  <c r="AC46" i="81"/>
  <c r="AC58" i="81"/>
  <c r="X26" i="81"/>
  <c r="AB26" i="81"/>
  <c r="AC26" i="81" s="1"/>
  <c r="AC27" i="81"/>
  <c r="AC59" i="81"/>
  <c r="AC64" i="81"/>
  <c r="AC56" i="81"/>
  <c r="AC60" i="81"/>
  <c r="AC65" i="81"/>
  <c r="H52" i="81"/>
  <c r="I77" i="81" s="1"/>
  <c r="I75" i="81" s="1"/>
  <c r="H36" i="81"/>
  <c r="G8" i="81"/>
  <c r="G36" i="81" s="1"/>
  <c r="V11" i="81"/>
  <c r="X11" i="81" s="1"/>
  <c r="V10" i="81"/>
  <c r="X10" i="81" s="1"/>
  <c r="V9" i="81"/>
  <c r="X9" i="81" s="1"/>
  <c r="G73" i="81" l="1"/>
  <c r="G37" i="81"/>
  <c r="H73" i="81"/>
  <c r="H37" i="81"/>
  <c r="G79" i="81" l="1"/>
  <c r="G81" i="81" s="1"/>
  <c r="G82" i="81" s="1"/>
  <c r="G84" i="81" s="1"/>
  <c r="G85" i="81" s="1"/>
  <c r="G74" i="81"/>
  <c r="H79" i="81"/>
  <c r="H81" i="81" s="1"/>
  <c r="H82" i="81" s="1"/>
  <c r="H84" i="81" s="1"/>
  <c r="H85" i="81" s="1"/>
  <c r="H74" i="81"/>
  <c r="I87" i="81"/>
  <c r="I79" i="81" l="1"/>
  <c r="I81" i="81" l="1"/>
  <c r="I82" i="81" l="1"/>
  <c r="I84" i="81" l="1"/>
  <c r="I85" i="81" s="1"/>
  <c r="AA32" i="81" l="1"/>
  <c r="AA31" i="81"/>
  <c r="AC31" i="81" s="1"/>
  <c r="AA30" i="81"/>
  <c r="AC30" i="81" s="1"/>
  <c r="M6" i="81"/>
  <c r="N6" i="81" l="1"/>
  <c r="N5" i="81" s="1"/>
  <c r="AB6" i="81"/>
  <c r="AC6" i="81" s="1"/>
  <c r="AC5" i="81" s="1"/>
  <c r="X83" i="81"/>
  <c r="X80" i="81"/>
  <c r="W75" i="81"/>
  <c r="V75" i="81"/>
  <c r="W71" i="81"/>
  <c r="V71" i="81"/>
  <c r="W48" i="81"/>
  <c r="V48" i="81"/>
  <c r="W39" i="81"/>
  <c r="V39" i="81"/>
  <c r="W33" i="81"/>
  <c r="V33" i="81"/>
  <c r="V8" i="81"/>
  <c r="W5" i="81"/>
  <c r="V5" i="81"/>
  <c r="V36" i="81" l="1"/>
  <c r="W52" i="81"/>
  <c r="I30" i="86" l="1"/>
  <c r="I31" i="86"/>
  <c r="V37" i="81"/>
  <c r="I9" i="86" l="1"/>
  <c r="I14" i="86"/>
  <c r="I13" i="86"/>
  <c r="I10" i="86"/>
  <c r="I11" i="86"/>
  <c r="I43" i="86" l="1"/>
  <c r="I41" i="86" s="1"/>
  <c r="I12" i="86"/>
  <c r="I24" i="86" l="1"/>
  <c r="I21" i="86" l="1"/>
  <c r="G8" i="86"/>
  <c r="I28" i="86" l="1"/>
  <c r="I8" i="86" s="1"/>
  <c r="I38" i="86" s="1"/>
  <c r="I75" i="86" s="1"/>
  <c r="I39" i="86" l="1"/>
  <c r="I76" i="86"/>
  <c r="I85" i="86" l="1"/>
  <c r="E85" i="86"/>
  <c r="I82" i="86"/>
  <c r="E82" i="86"/>
  <c r="E79" i="86"/>
  <c r="E78" i="86"/>
  <c r="D77" i="86"/>
  <c r="C77" i="86"/>
  <c r="E73" i="86"/>
  <c r="D73" i="86"/>
  <c r="C73" i="86"/>
  <c r="D54" i="86"/>
  <c r="C54" i="86"/>
  <c r="E52" i="86"/>
  <c r="E51" i="86"/>
  <c r="H50" i="86"/>
  <c r="D50" i="86"/>
  <c r="C50" i="86"/>
  <c r="D41" i="86"/>
  <c r="C41" i="86"/>
  <c r="E36" i="86"/>
  <c r="E35" i="86" s="1"/>
  <c r="H35" i="86"/>
  <c r="D35" i="86"/>
  <c r="C35" i="86"/>
  <c r="E9" i="86"/>
  <c r="E8" i="86" s="1"/>
  <c r="D8" i="86"/>
  <c r="E7" i="86"/>
  <c r="E6" i="86"/>
  <c r="E5" i="86" s="1"/>
  <c r="H5" i="86"/>
  <c r="G5" i="86"/>
  <c r="D5" i="86"/>
  <c r="C5" i="86"/>
  <c r="AB34" i="79"/>
  <c r="AA34" i="79"/>
  <c r="R16" i="79"/>
  <c r="S16" i="79" l="1"/>
  <c r="AB16" i="79"/>
  <c r="E77" i="86"/>
  <c r="G77" i="86"/>
  <c r="E50" i="86"/>
  <c r="H8" i="86"/>
  <c r="E41" i="86"/>
  <c r="G41" i="86"/>
  <c r="E54" i="86"/>
  <c r="G54" i="86"/>
  <c r="H54" i="86"/>
  <c r="G38" i="86"/>
  <c r="C8" i="86"/>
  <c r="C38" i="86" s="1"/>
  <c r="G35" i="86"/>
  <c r="H77" i="86"/>
  <c r="D38" i="86"/>
  <c r="H41" i="86"/>
  <c r="G50" i="86"/>
  <c r="Q61" i="79"/>
  <c r="Q52" i="79" s="1"/>
  <c r="R26" i="79"/>
  <c r="Q29" i="79"/>
  <c r="S29" i="79" s="1"/>
  <c r="R27" i="79"/>
  <c r="Q21" i="79"/>
  <c r="Q25" i="79"/>
  <c r="Q28" i="79"/>
  <c r="Q19" i="79"/>
  <c r="Q22" i="79"/>
  <c r="Q11" i="79"/>
  <c r="Q10" i="79"/>
  <c r="Q9" i="79"/>
  <c r="Q6" i="79"/>
  <c r="Q5" i="79" s="1"/>
  <c r="S83" i="79"/>
  <c r="S80" i="79"/>
  <c r="S77" i="79"/>
  <c r="S76" i="79"/>
  <c r="R75" i="79"/>
  <c r="Q75" i="79"/>
  <c r="S72" i="79"/>
  <c r="S71" i="79" s="1"/>
  <c r="R71" i="79"/>
  <c r="Q71" i="79"/>
  <c r="S69" i="79"/>
  <c r="S68" i="79"/>
  <c r="S67" i="79"/>
  <c r="R52" i="79"/>
  <c r="R48" i="79"/>
  <c r="Q48" i="79"/>
  <c r="R39" i="79"/>
  <c r="Q39" i="79"/>
  <c r="R33" i="79"/>
  <c r="Q33" i="79"/>
  <c r="R5" i="79"/>
  <c r="S75" i="79" l="1"/>
  <c r="R8" i="79"/>
  <c r="S11" i="79"/>
  <c r="AA11" i="79"/>
  <c r="S25" i="79"/>
  <c r="AA25" i="79"/>
  <c r="S26" i="79"/>
  <c r="AB26" i="79"/>
  <c r="S6" i="79"/>
  <c r="S5" i="79" s="1"/>
  <c r="AA6" i="79"/>
  <c r="S22" i="79"/>
  <c r="AA22" i="79"/>
  <c r="S21" i="79"/>
  <c r="AA21" i="79"/>
  <c r="S61" i="79"/>
  <c r="S52" i="79" s="1"/>
  <c r="AA61" i="79"/>
  <c r="S9" i="79"/>
  <c r="AA9" i="79"/>
  <c r="S19" i="79"/>
  <c r="AA19" i="79"/>
  <c r="S27" i="79"/>
  <c r="AB27" i="79"/>
  <c r="S10" i="79"/>
  <c r="AA10" i="79"/>
  <c r="S28" i="79"/>
  <c r="AA28" i="79"/>
  <c r="G75" i="86"/>
  <c r="G81" i="86" s="1"/>
  <c r="G83" i="86" s="1"/>
  <c r="G84" i="86" s="1"/>
  <c r="I24" i="85"/>
  <c r="I8" i="85" s="1"/>
  <c r="I38" i="85" s="1"/>
  <c r="H38" i="86"/>
  <c r="H75" i="86" s="1"/>
  <c r="H81" i="86" s="1"/>
  <c r="H83" i="86" s="1"/>
  <c r="H84" i="86" s="1"/>
  <c r="I79" i="86"/>
  <c r="BB79" i="86" s="1"/>
  <c r="E38" i="86"/>
  <c r="E39" i="86" s="1"/>
  <c r="G39" i="86"/>
  <c r="D39" i="86"/>
  <c r="D75" i="86"/>
  <c r="C75" i="86"/>
  <c r="C39" i="86"/>
  <c r="Q8" i="79"/>
  <c r="Q36" i="79" s="1"/>
  <c r="R36" i="79"/>
  <c r="R37" i="79" s="1"/>
  <c r="E85" i="85"/>
  <c r="I82" i="85"/>
  <c r="E82" i="85"/>
  <c r="H77" i="85"/>
  <c r="E78" i="85"/>
  <c r="D77" i="85"/>
  <c r="C77" i="85"/>
  <c r="E74" i="85"/>
  <c r="E73" i="85" s="1"/>
  <c r="D73" i="85"/>
  <c r="C73" i="85"/>
  <c r="E71" i="85"/>
  <c r="E70" i="85"/>
  <c r="E69" i="85"/>
  <c r="E68" i="85"/>
  <c r="E67" i="85"/>
  <c r="E66" i="85"/>
  <c r="E65" i="85"/>
  <c r="E64" i="85"/>
  <c r="E63" i="85"/>
  <c r="E62" i="85"/>
  <c r="E61" i="85"/>
  <c r="E60" i="85"/>
  <c r="E59" i="85"/>
  <c r="E58" i="85"/>
  <c r="E57" i="85"/>
  <c r="E56" i="85"/>
  <c r="E55" i="85"/>
  <c r="D54" i="85"/>
  <c r="C54" i="85"/>
  <c r="E52" i="85"/>
  <c r="E51" i="85"/>
  <c r="H50" i="85"/>
  <c r="D50" i="85"/>
  <c r="C50" i="85"/>
  <c r="E48" i="85"/>
  <c r="E47" i="85"/>
  <c r="E46" i="85"/>
  <c r="E45" i="85"/>
  <c r="E44" i="85"/>
  <c r="E43" i="85"/>
  <c r="E42" i="85"/>
  <c r="H41" i="85"/>
  <c r="D41" i="85"/>
  <c r="C41" i="85"/>
  <c r="E36" i="85"/>
  <c r="E35" i="85" s="1"/>
  <c r="H35" i="85"/>
  <c r="G35" i="85"/>
  <c r="D35" i="85"/>
  <c r="C35" i="85"/>
  <c r="E33" i="85"/>
  <c r="E32" i="85"/>
  <c r="E31" i="85"/>
  <c r="E30" i="85"/>
  <c r="E29" i="85"/>
  <c r="E28" i="85"/>
  <c r="E27" i="85"/>
  <c r="E26" i="85"/>
  <c r="E25" i="85"/>
  <c r="E24" i="85"/>
  <c r="E21" i="85"/>
  <c r="E20" i="85"/>
  <c r="E19" i="85"/>
  <c r="E18" i="85"/>
  <c r="E17" i="85"/>
  <c r="E16" i="85"/>
  <c r="E15" i="85"/>
  <c r="E14" i="85"/>
  <c r="E13" i="85"/>
  <c r="E12" i="85"/>
  <c r="E11" i="85"/>
  <c r="E10" i="85"/>
  <c r="E9" i="85"/>
  <c r="D8" i="85"/>
  <c r="C8" i="85"/>
  <c r="E7" i="85"/>
  <c r="H5" i="85"/>
  <c r="E6" i="85"/>
  <c r="E5" i="85" s="1"/>
  <c r="D5" i="85"/>
  <c r="C5" i="85"/>
  <c r="AB8" i="79" l="1"/>
  <c r="BB81" i="86"/>
  <c r="BB83" i="86" s="1"/>
  <c r="BB84" i="86" s="1"/>
  <c r="BB86" i="86" s="1"/>
  <c r="BB87" i="86" s="1"/>
  <c r="BB89" i="86"/>
  <c r="S8" i="79"/>
  <c r="S36" i="79" s="1"/>
  <c r="S37" i="79" s="1"/>
  <c r="BB77" i="86"/>
  <c r="E77" i="85"/>
  <c r="I89" i="86"/>
  <c r="I81" i="86"/>
  <c r="I83" i="86" s="1"/>
  <c r="I84" i="86" s="1"/>
  <c r="I86" i="86" s="1"/>
  <c r="I77" i="86"/>
  <c r="H39" i="86"/>
  <c r="I75" i="85"/>
  <c r="I76" i="85" s="1"/>
  <c r="I39" i="85"/>
  <c r="E75" i="86"/>
  <c r="E76" i="86" s="1"/>
  <c r="E89" i="86"/>
  <c r="F10" i="86" s="1"/>
  <c r="AF6" i="79"/>
  <c r="D81" i="86"/>
  <c r="D83" i="86" s="1"/>
  <c r="D84" i="86" s="1"/>
  <c r="D86" i="86" s="1"/>
  <c r="D87" i="86" s="1"/>
  <c r="D76" i="86"/>
  <c r="G76" i="86"/>
  <c r="C81" i="86"/>
  <c r="C83" i="86" s="1"/>
  <c r="C84" i="86" s="1"/>
  <c r="C86" i="86" s="1"/>
  <c r="C87" i="86" s="1"/>
  <c r="C76" i="86"/>
  <c r="Q37" i="79"/>
  <c r="Q73" i="79"/>
  <c r="Q74" i="79" s="1"/>
  <c r="R73" i="79"/>
  <c r="R79" i="79" s="1"/>
  <c r="R81" i="79" s="1"/>
  <c r="R82" i="79" s="1"/>
  <c r="R84" i="79" s="1"/>
  <c r="R85" i="79" s="1"/>
  <c r="E41" i="85"/>
  <c r="E8" i="85"/>
  <c r="E38" i="85" s="1"/>
  <c r="E39" i="85" s="1"/>
  <c r="C38" i="85"/>
  <c r="C75" i="85" s="1"/>
  <c r="D38" i="85"/>
  <c r="D75" i="85" s="1"/>
  <c r="G5" i="85"/>
  <c r="E54" i="85"/>
  <c r="E50" i="85"/>
  <c r="G41" i="85"/>
  <c r="G50" i="85"/>
  <c r="H54" i="85"/>
  <c r="G54" i="85"/>
  <c r="G77" i="85"/>
  <c r="I85" i="85"/>
  <c r="BB90" i="86" l="1"/>
  <c r="S87" i="79"/>
  <c r="T19" i="79" s="1"/>
  <c r="T40" i="79"/>
  <c r="T20" i="79"/>
  <c r="BB93" i="86"/>
  <c r="T41" i="79"/>
  <c r="BC65" i="86"/>
  <c r="BC31" i="86"/>
  <c r="BC56" i="86"/>
  <c r="BC70" i="86"/>
  <c r="BC43" i="86"/>
  <c r="BC62" i="86"/>
  <c r="BC28" i="86"/>
  <c r="BC8" i="86"/>
  <c r="BC12" i="86"/>
  <c r="BC57" i="86"/>
  <c r="BC17" i="86"/>
  <c r="BC46" i="86"/>
  <c r="BC48" i="86"/>
  <c r="BC60" i="86"/>
  <c r="BC47" i="86"/>
  <c r="BC66" i="86"/>
  <c r="BC32" i="86"/>
  <c r="BC20" i="86"/>
  <c r="BC19" i="86"/>
  <c r="BC26" i="86"/>
  <c r="BC10" i="86"/>
  <c r="BC29" i="86"/>
  <c r="BC42" i="86"/>
  <c r="BC33" i="86"/>
  <c r="BC54" i="86"/>
  <c r="BC24" i="86"/>
  <c r="BC69" i="86"/>
  <c r="BC59" i="86"/>
  <c r="BC25" i="86"/>
  <c r="BC30" i="86"/>
  <c r="BC14" i="86"/>
  <c r="BC52" i="86"/>
  <c r="BC63" i="86"/>
  <c r="BC68" i="86"/>
  <c r="BC41" i="86"/>
  <c r="BC11" i="86"/>
  <c r="BC18" i="86"/>
  <c r="BC15" i="86"/>
  <c r="BC16" i="86"/>
  <c r="BC67" i="86"/>
  <c r="BC45" i="86"/>
  <c r="BC9" i="86"/>
  <c r="BC71" i="86"/>
  <c r="BC72" i="86"/>
  <c r="BC49" i="86"/>
  <c r="BC61" i="86"/>
  <c r="BC27" i="86"/>
  <c r="BC51" i="86"/>
  <c r="BC58" i="86"/>
  <c r="BC13" i="86"/>
  <c r="BC36" i="86"/>
  <c r="BC55" i="86"/>
  <c r="BC64" i="86"/>
  <c r="BC21" i="86"/>
  <c r="BC44" i="86"/>
  <c r="H86" i="86"/>
  <c r="H87" i="86" s="1"/>
  <c r="G86" i="86"/>
  <c r="G87" i="86" s="1"/>
  <c r="H76" i="86"/>
  <c r="T13" i="79"/>
  <c r="T23" i="79"/>
  <c r="T44" i="79"/>
  <c r="T24" i="79"/>
  <c r="T64" i="79"/>
  <c r="T57" i="79"/>
  <c r="T58" i="79"/>
  <c r="T12" i="79"/>
  <c r="T62" i="79"/>
  <c r="T27" i="79"/>
  <c r="T48" i="79"/>
  <c r="T9" i="79"/>
  <c r="T28" i="79"/>
  <c r="T52" i="79"/>
  <c r="T17" i="79"/>
  <c r="T42" i="79"/>
  <c r="T61" i="79"/>
  <c r="T39" i="79"/>
  <c r="T66" i="79"/>
  <c r="T21" i="79"/>
  <c r="T29" i="79"/>
  <c r="T53" i="79"/>
  <c r="T18" i="79"/>
  <c r="T54" i="79"/>
  <c r="T10" i="79"/>
  <c r="T43" i="79"/>
  <c r="T63" i="79"/>
  <c r="T45" i="79"/>
  <c r="T33" i="79"/>
  <c r="T26" i="79"/>
  <c r="T8" i="79"/>
  <c r="T22" i="79"/>
  <c r="T15" i="79"/>
  <c r="T31" i="79"/>
  <c r="T55" i="79"/>
  <c r="T16" i="79"/>
  <c r="T34" i="79"/>
  <c r="T56" i="79"/>
  <c r="T25" i="79"/>
  <c r="T46" i="79"/>
  <c r="T65" i="79"/>
  <c r="T47" i="79"/>
  <c r="J41" i="86"/>
  <c r="E81" i="86"/>
  <c r="E83" i="86" s="1"/>
  <c r="F67" i="86"/>
  <c r="F71" i="86"/>
  <c r="F9" i="86"/>
  <c r="F52" i="86"/>
  <c r="F62" i="86"/>
  <c r="F47" i="86"/>
  <c r="F51" i="86"/>
  <c r="F11" i="86"/>
  <c r="F25" i="86"/>
  <c r="F35" i="86"/>
  <c r="F15" i="86"/>
  <c r="F50" i="86"/>
  <c r="F65" i="86"/>
  <c r="F70" i="86"/>
  <c r="F19" i="86"/>
  <c r="F32" i="86"/>
  <c r="F21" i="86"/>
  <c r="F48" i="86"/>
  <c r="F73" i="86"/>
  <c r="F55" i="86"/>
  <c r="F27" i="86"/>
  <c r="F45" i="86"/>
  <c r="F54" i="86"/>
  <c r="F60" i="86"/>
  <c r="F43" i="86"/>
  <c r="F16" i="86"/>
  <c r="F42" i="86"/>
  <c r="F56" i="86"/>
  <c r="F69" i="86"/>
  <c r="F46" i="86"/>
  <c r="F82" i="86"/>
  <c r="F59" i="86"/>
  <c r="F13" i="86"/>
  <c r="F20" i="86"/>
  <c r="F68" i="86"/>
  <c r="F85" i="86"/>
  <c r="F12" i="86"/>
  <c r="F17" i="86"/>
  <c r="F33" i="86"/>
  <c r="F79" i="86"/>
  <c r="F31" i="86"/>
  <c r="F41" i="86"/>
  <c r="F72" i="86"/>
  <c r="F8" i="86"/>
  <c r="F30" i="86"/>
  <c r="F57" i="86"/>
  <c r="F58" i="86"/>
  <c r="F63" i="86"/>
  <c r="F29" i="86"/>
  <c r="F64" i="86"/>
  <c r="F28" i="86"/>
  <c r="F36" i="86"/>
  <c r="F61" i="86"/>
  <c r="F26" i="86"/>
  <c r="F14" i="86"/>
  <c r="F18" i="86"/>
  <c r="F24" i="86"/>
  <c r="F44" i="86"/>
  <c r="F66" i="86"/>
  <c r="Q79" i="79"/>
  <c r="Q81" i="79" s="1"/>
  <c r="Q82" i="79" s="1"/>
  <c r="Q84" i="79" s="1"/>
  <c r="Q85" i="79" s="1"/>
  <c r="T14" i="79"/>
  <c r="G5" i="79"/>
  <c r="G36" i="79" s="1"/>
  <c r="I6" i="79"/>
  <c r="I5" i="79" s="1"/>
  <c r="I36" i="79" s="1"/>
  <c r="J8" i="86"/>
  <c r="J49" i="86"/>
  <c r="J59" i="86"/>
  <c r="J55" i="86"/>
  <c r="J27" i="86"/>
  <c r="J48" i="86"/>
  <c r="J46" i="86"/>
  <c r="J47" i="86"/>
  <c r="J69" i="86"/>
  <c r="J65" i="86"/>
  <c r="J61" i="86"/>
  <c r="J57" i="86"/>
  <c r="J26" i="86"/>
  <c r="J11" i="86"/>
  <c r="J10" i="86"/>
  <c r="J20" i="86"/>
  <c r="J45" i="86"/>
  <c r="J21" i="86"/>
  <c r="J29" i="86"/>
  <c r="J12" i="86"/>
  <c r="J68" i="86"/>
  <c r="J32" i="86"/>
  <c r="J31" i="86"/>
  <c r="J71" i="86"/>
  <c r="J56" i="86"/>
  <c r="J13" i="86"/>
  <c r="J14" i="86"/>
  <c r="J24" i="86"/>
  <c r="J18" i="86"/>
  <c r="J60" i="86"/>
  <c r="J54" i="86"/>
  <c r="J58" i="86"/>
  <c r="J62" i="86"/>
  <c r="J66" i="86"/>
  <c r="J70" i="86"/>
  <c r="J30" i="86"/>
  <c r="J67" i="86"/>
  <c r="J64" i="86"/>
  <c r="J63" i="86"/>
  <c r="J15" i="86"/>
  <c r="J16" i="86"/>
  <c r="J25" i="86"/>
  <c r="J33" i="86"/>
  <c r="J72" i="86"/>
  <c r="J17" i="86"/>
  <c r="J19" i="86"/>
  <c r="J28" i="86"/>
  <c r="J36" i="86"/>
  <c r="J43" i="86"/>
  <c r="J9" i="86"/>
  <c r="J51" i="86"/>
  <c r="J42" i="86"/>
  <c r="J52" i="86"/>
  <c r="J44" i="86"/>
  <c r="R74" i="79"/>
  <c r="S73" i="79"/>
  <c r="S79" i="79" s="1"/>
  <c r="S81" i="79" s="1"/>
  <c r="S82" i="79" s="1"/>
  <c r="S84" i="79" s="1"/>
  <c r="S85" i="79" s="1"/>
  <c r="D39" i="85"/>
  <c r="E89" i="85"/>
  <c r="F82" i="85" s="1"/>
  <c r="C39" i="85"/>
  <c r="E75" i="85"/>
  <c r="E81" i="85" s="1"/>
  <c r="E83" i="85" s="1"/>
  <c r="E84" i="85" s="1"/>
  <c r="E86" i="85" s="1"/>
  <c r="D81" i="85"/>
  <c r="D83" i="85" s="1"/>
  <c r="D84" i="85" s="1"/>
  <c r="D86" i="85" s="1"/>
  <c r="D76" i="85"/>
  <c r="G8" i="85"/>
  <c r="G38" i="85" s="1"/>
  <c r="G75" i="85" s="1"/>
  <c r="C81" i="85"/>
  <c r="C83" i="85" s="1"/>
  <c r="C84" i="85" s="1"/>
  <c r="C86" i="85" s="1"/>
  <c r="C76" i="85"/>
  <c r="T30" i="79" l="1"/>
  <c r="T11" i="79"/>
  <c r="T59" i="79"/>
  <c r="T60" i="79"/>
  <c r="I87" i="86"/>
  <c r="E84" i="86"/>
  <c r="E86" i="86" s="1"/>
  <c r="I37" i="79"/>
  <c r="I73" i="79"/>
  <c r="G37" i="79"/>
  <c r="G73" i="79"/>
  <c r="C87" i="85"/>
  <c r="D87" i="85"/>
  <c r="E87" i="85"/>
  <c r="S74" i="79"/>
  <c r="F32" i="85"/>
  <c r="F71" i="85"/>
  <c r="F57" i="85"/>
  <c r="F43" i="85"/>
  <c r="F9" i="85"/>
  <c r="F60" i="85"/>
  <c r="F47" i="85"/>
  <c r="F56" i="85"/>
  <c r="F29" i="85"/>
  <c r="F61" i="85"/>
  <c r="F54" i="85"/>
  <c r="F48" i="85"/>
  <c r="F19" i="85"/>
  <c r="F52" i="85"/>
  <c r="F58" i="85"/>
  <c r="F31" i="85"/>
  <c r="F17" i="85"/>
  <c r="F11" i="85"/>
  <c r="F28" i="85"/>
  <c r="F73" i="85"/>
  <c r="F10" i="85"/>
  <c r="F65" i="85"/>
  <c r="F25" i="85"/>
  <c r="F42" i="85"/>
  <c r="F33" i="85"/>
  <c r="F8" i="85"/>
  <c r="F36" i="85"/>
  <c r="F35" i="85"/>
  <c r="F16" i="85"/>
  <c r="F85" i="85"/>
  <c r="F44" i="85"/>
  <c r="F18" i="85"/>
  <c r="F69" i="85"/>
  <c r="F14" i="85"/>
  <c r="F59" i="85"/>
  <c r="F62" i="85"/>
  <c r="F13" i="85"/>
  <c r="F67" i="85"/>
  <c r="F12" i="85"/>
  <c r="F51" i="85"/>
  <c r="F41" i="85"/>
  <c r="F45" i="85"/>
  <c r="F55" i="85"/>
  <c r="F64" i="85"/>
  <c r="F72" i="85"/>
  <c r="F26" i="85"/>
  <c r="F30" i="85"/>
  <c r="F63" i="85"/>
  <c r="F79" i="85"/>
  <c r="F46" i="85"/>
  <c r="F50" i="85"/>
  <c r="F20" i="85"/>
  <c r="F15" i="85"/>
  <c r="F68" i="85"/>
  <c r="F70" i="85"/>
  <c r="F21" i="85"/>
  <c r="F24" i="85"/>
  <c r="F27" i="85"/>
  <c r="F66" i="85"/>
  <c r="E76" i="85"/>
  <c r="H8" i="85"/>
  <c r="I79" i="85" s="1"/>
  <c r="S79" i="85" s="1"/>
  <c r="G39" i="85"/>
  <c r="H38" i="85" l="1"/>
  <c r="H75" i="85" s="1"/>
  <c r="H76" i="85" s="1"/>
  <c r="E87" i="86"/>
  <c r="G74" i="79"/>
  <c r="G79" i="79"/>
  <c r="G81" i="79" s="1"/>
  <c r="G82" i="79" s="1"/>
  <c r="G84" i="79" s="1"/>
  <c r="G85" i="79" s="1"/>
  <c r="I79" i="79"/>
  <c r="I81" i="79" s="1"/>
  <c r="I82" i="79" s="1"/>
  <c r="I84" i="79" s="1"/>
  <c r="I85" i="79" s="1"/>
  <c r="I74" i="79"/>
  <c r="G76" i="85"/>
  <c r="G81" i="85"/>
  <c r="G83" i="85" s="1"/>
  <c r="G84" i="85" s="1"/>
  <c r="H39" i="85" l="1"/>
  <c r="I77" i="85"/>
  <c r="G86" i="85"/>
  <c r="G87" i="85" s="1"/>
  <c r="I89" i="85"/>
  <c r="H81" i="85"/>
  <c r="H83" i="85" s="1"/>
  <c r="H84" i="85" s="1"/>
  <c r="H86" i="85" s="1"/>
  <c r="H87" i="85" s="1"/>
  <c r="S77" i="85" l="1"/>
  <c r="S89" i="85"/>
  <c r="J8" i="85"/>
  <c r="J59" i="85"/>
  <c r="J49" i="85"/>
  <c r="J69" i="85"/>
  <c r="J60" i="85"/>
  <c r="J45" i="85"/>
  <c r="J43" i="85"/>
  <c r="J15" i="85"/>
  <c r="J19" i="85"/>
  <c r="J14" i="85"/>
  <c r="J57" i="85"/>
  <c r="J67" i="85"/>
  <c r="J47" i="85"/>
  <c r="J62" i="85"/>
  <c r="J46" i="85"/>
  <c r="J30" i="85"/>
  <c r="J17" i="85"/>
  <c r="J72" i="85"/>
  <c r="J28" i="85"/>
  <c r="J25" i="85"/>
  <c r="J51" i="85"/>
  <c r="J64" i="85"/>
  <c r="J12" i="85"/>
  <c r="J29" i="85"/>
  <c r="J32" i="85"/>
  <c r="J13" i="85"/>
  <c r="J27" i="85"/>
  <c r="J71" i="85"/>
  <c r="J58" i="85"/>
  <c r="J70" i="85"/>
  <c r="J36" i="85"/>
  <c r="J9" i="85"/>
  <c r="J66" i="85"/>
  <c r="J33" i="85"/>
  <c r="J42" i="85"/>
  <c r="J63" i="85"/>
  <c r="J52" i="85"/>
  <c r="J55" i="85"/>
  <c r="J10" i="85"/>
  <c r="J68" i="85"/>
  <c r="J44" i="85"/>
  <c r="J20" i="85"/>
  <c r="J26" i="85"/>
  <c r="J61" i="85"/>
  <c r="J21" i="85"/>
  <c r="J11" i="85"/>
  <c r="J18" i="85"/>
  <c r="J56" i="85"/>
  <c r="J48" i="85"/>
  <c r="J24" i="85"/>
  <c r="J41" i="85"/>
  <c r="J54" i="85"/>
  <c r="J65" i="85"/>
  <c r="J31" i="85"/>
  <c r="J16" i="85"/>
  <c r="T23" i="85" l="1"/>
  <c r="T22" i="85"/>
  <c r="T58" i="85"/>
  <c r="T36" i="85"/>
  <c r="T16" i="85"/>
  <c r="T55" i="85"/>
  <c r="T69" i="85"/>
  <c r="T52" i="85"/>
  <c r="T29" i="85"/>
  <c r="T11" i="85"/>
  <c r="T9" i="85"/>
  <c r="T60" i="85"/>
  <c r="T42" i="85"/>
  <c r="T18" i="85"/>
  <c r="T59" i="85"/>
  <c r="T12" i="85"/>
  <c r="T25" i="85"/>
  <c r="T72" i="85"/>
  <c r="T32" i="85"/>
  <c r="T45" i="85"/>
  <c r="T48" i="85"/>
  <c r="T26" i="85"/>
  <c r="T21" i="85"/>
  <c r="T43" i="85"/>
  <c r="T49" i="85"/>
  <c r="T51" i="85"/>
  <c r="T10" i="85"/>
  <c r="T62" i="85"/>
  <c r="T20" i="85"/>
  <c r="T17" i="85"/>
  <c r="T33" i="85"/>
  <c r="T27" i="85"/>
  <c r="T46" i="85"/>
  <c r="T63" i="85"/>
  <c r="T70" i="85"/>
  <c r="T54" i="85"/>
  <c r="T30" i="85"/>
  <c r="T41" i="85"/>
  <c r="T65" i="85"/>
  <c r="T47" i="85"/>
  <c r="T67" i="85"/>
  <c r="T56" i="85"/>
  <c r="T14" i="85"/>
  <c r="T66" i="85"/>
  <c r="T8" i="85"/>
  <c r="T61" i="85"/>
  <c r="T19" i="85"/>
  <c r="T68" i="85"/>
  <c r="T28" i="85"/>
  <c r="T31" i="85"/>
  <c r="T44" i="85"/>
  <c r="T71" i="85"/>
  <c r="T57" i="85"/>
  <c r="T15" i="85"/>
  <c r="T64" i="85"/>
  <c r="T24" i="85"/>
  <c r="T13" i="85"/>
  <c r="I81" i="85"/>
  <c r="I83" i="85" s="1"/>
  <c r="I84" i="85" s="1"/>
  <c r="I86" i="85" s="1"/>
  <c r="I87" i="85" s="1"/>
  <c r="AG6" i="81" l="1"/>
  <c r="R63" i="81"/>
  <c r="S63" i="81" s="1"/>
  <c r="S52" i="81" s="1"/>
  <c r="Q11" i="81" l="1"/>
  <c r="S11" i="81" s="1"/>
  <c r="Q10" i="81"/>
  <c r="S10" i="81" s="1"/>
  <c r="Q9" i="81"/>
  <c r="S9" i="81" s="1"/>
  <c r="S83" i="81"/>
  <c r="S80" i="81"/>
  <c r="R75" i="81"/>
  <c r="Q75" i="81"/>
  <c r="R71" i="81"/>
  <c r="Q71" i="81"/>
  <c r="R52" i="81"/>
  <c r="Q52" i="81"/>
  <c r="R48" i="81"/>
  <c r="Q48" i="81"/>
  <c r="R39" i="81"/>
  <c r="Q39" i="81"/>
  <c r="R33" i="81"/>
  <c r="Q33" i="81"/>
  <c r="R5" i="81"/>
  <c r="Q5" i="81"/>
  <c r="S8" i="81" l="1"/>
  <c r="S36" i="81" s="1"/>
  <c r="S73" i="81" s="1"/>
  <c r="S74" i="81" s="1"/>
  <c r="Q8" i="81"/>
  <c r="Q36" i="81" s="1"/>
  <c r="Q37" i="81" s="1"/>
  <c r="R8" i="81"/>
  <c r="S37" i="81" l="1"/>
  <c r="R36" i="81"/>
  <c r="R37" i="81" s="1"/>
  <c r="S77" i="81"/>
  <c r="S75" i="81" s="1"/>
  <c r="Q73" i="81"/>
  <c r="Q74" i="81" s="1"/>
  <c r="R73" i="81" l="1"/>
  <c r="R74" i="81" s="1"/>
  <c r="Q79" i="81"/>
  <c r="Q81" i="81" s="1"/>
  <c r="Q82" i="81" s="1"/>
  <c r="Q84" i="81" s="1"/>
  <c r="Q85" i="81" s="1"/>
  <c r="S87" i="81"/>
  <c r="R79" i="81" l="1"/>
  <c r="R81" i="81" s="1"/>
  <c r="R82" i="81" s="1"/>
  <c r="R84" i="81" s="1"/>
  <c r="R85" i="81" s="1"/>
  <c r="T66" i="81"/>
  <c r="T62" i="81"/>
  <c r="T58" i="81"/>
  <c r="T54" i="81"/>
  <c r="T45" i="81"/>
  <c r="T41" i="81"/>
  <c r="T28" i="81"/>
  <c r="T24" i="81"/>
  <c r="T20" i="81"/>
  <c r="T65" i="81"/>
  <c r="T61" i="81"/>
  <c r="T57" i="81"/>
  <c r="T53" i="81"/>
  <c r="T44" i="81"/>
  <c r="T40" i="81"/>
  <c r="T27" i="81"/>
  <c r="T23" i="81"/>
  <c r="T19" i="81"/>
  <c r="T64" i="81"/>
  <c r="T60" i="81"/>
  <c r="T56" i="81"/>
  <c r="T52" i="81"/>
  <c r="T43" i="81"/>
  <c r="T39" i="81"/>
  <c r="T26" i="81"/>
  <c r="T22" i="81"/>
  <c r="T9" i="81"/>
  <c r="T63" i="81"/>
  <c r="T59" i="81"/>
  <c r="T55" i="81"/>
  <c r="T46" i="81"/>
  <c r="T42" i="81"/>
  <c r="T29" i="81"/>
  <c r="T25" i="81"/>
  <c r="T21" i="81"/>
  <c r="T15" i="81"/>
  <c r="T11" i="81"/>
  <c r="T12" i="81"/>
  <c r="T10" i="81"/>
  <c r="T13" i="81"/>
  <c r="T17" i="81"/>
  <c r="T18" i="81"/>
  <c r="T14" i="81"/>
  <c r="T16" i="81"/>
  <c r="T8" i="81"/>
  <c r="S79" i="81" l="1"/>
  <c r="S81" i="81" l="1"/>
  <c r="S82" i="81" l="1"/>
  <c r="S84" i="81" l="1"/>
  <c r="S85" i="81" s="1"/>
  <c r="L29" i="79" l="1"/>
  <c r="N29" i="79" l="1"/>
  <c r="N8" i="79" s="1"/>
  <c r="N36" i="79" s="1"/>
  <c r="N37" i="79" s="1"/>
  <c r="AA29" i="79"/>
  <c r="AA8" i="79" s="1"/>
  <c r="M63" i="81"/>
  <c r="M28" i="81"/>
  <c r="M29" i="81"/>
  <c r="L23" i="81"/>
  <c r="L11" i="81"/>
  <c r="L10" i="81"/>
  <c r="L9" i="81"/>
  <c r="M16" i="81" s="1"/>
  <c r="AB63" i="81" l="1"/>
  <c r="AC63" i="81" s="1"/>
  <c r="N63" i="81"/>
  <c r="N52" i="81" s="1"/>
  <c r="N10" i="81"/>
  <c r="AA10" i="81"/>
  <c r="AC10" i="81" s="1"/>
  <c r="AB16" i="81"/>
  <c r="N16" i="81"/>
  <c r="N9" i="81"/>
  <c r="AA9" i="81"/>
  <c r="N23" i="81"/>
  <c r="AA23" i="81"/>
  <c r="AC23" i="81" s="1"/>
  <c r="N29" i="81"/>
  <c r="W29" i="81"/>
  <c r="X29" i="81" s="1"/>
  <c r="N11" i="81"/>
  <c r="AA11" i="81"/>
  <c r="AC11" i="81" s="1"/>
  <c r="N28" i="81"/>
  <c r="W28" i="81"/>
  <c r="AB28" i="81" s="1"/>
  <c r="AC28" i="81" s="1"/>
  <c r="AB29" i="81" l="1"/>
  <c r="AC29" i="81" s="1"/>
  <c r="AC9" i="81"/>
  <c r="AF9" i="81"/>
  <c r="AH9" i="81" s="1"/>
  <c r="N8" i="81"/>
  <c r="N36" i="81" s="1"/>
  <c r="X28" i="81"/>
  <c r="X8" i="81" s="1"/>
  <c r="X36" i="81" s="1"/>
  <c r="W8" i="81"/>
  <c r="AB8" i="81"/>
  <c r="AC16" i="81"/>
  <c r="X37" i="81" l="1"/>
  <c r="X73" i="81"/>
  <c r="X74" i="81" s="1"/>
  <c r="N37" i="81"/>
  <c r="N73" i="81"/>
  <c r="N74" i="81" s="1"/>
  <c r="X77" i="81"/>
  <c r="X75" i="81" s="1"/>
  <c r="W36" i="81"/>
  <c r="AC8" i="81"/>
  <c r="AC36" i="81" s="1"/>
  <c r="AC37" i="81" l="1"/>
  <c r="W37" i="81"/>
  <c r="W73" i="81"/>
  <c r="E76" i="81"/>
  <c r="E77" i="81"/>
  <c r="E69" i="81"/>
  <c r="E68" i="81"/>
  <c r="E67" i="81"/>
  <c r="E66" i="81"/>
  <c r="E65" i="81"/>
  <c r="E64" i="81"/>
  <c r="E63" i="81"/>
  <c r="E62" i="81"/>
  <c r="E61" i="81"/>
  <c r="E60" i="81"/>
  <c r="E59" i="81"/>
  <c r="E58" i="81"/>
  <c r="E57" i="81"/>
  <c r="E56" i="81"/>
  <c r="E55" i="81"/>
  <c r="E54" i="81"/>
  <c r="E53" i="81"/>
  <c r="E50" i="81"/>
  <c r="E49" i="81"/>
  <c r="E46" i="81"/>
  <c r="E45" i="81"/>
  <c r="E44" i="81"/>
  <c r="E43" i="81"/>
  <c r="E42" i="81"/>
  <c r="E41" i="81"/>
  <c r="E40" i="81"/>
  <c r="E34" i="81"/>
  <c r="E31" i="81"/>
  <c r="E30" i="81"/>
  <c r="E29" i="81"/>
  <c r="E28" i="81"/>
  <c r="E27" i="81"/>
  <c r="E26" i="81"/>
  <c r="E25" i="81"/>
  <c r="E24" i="81"/>
  <c r="E23" i="81"/>
  <c r="E22" i="81"/>
  <c r="E21" i="81"/>
  <c r="E20" i="81"/>
  <c r="E19" i="81"/>
  <c r="E18" i="81"/>
  <c r="E17" i="81"/>
  <c r="E15" i="81"/>
  <c r="E14" i="81"/>
  <c r="E13" i="81"/>
  <c r="E12" i="81"/>
  <c r="E11" i="81"/>
  <c r="E10" i="81"/>
  <c r="E9" i="81"/>
  <c r="W79" i="81" l="1"/>
  <c r="W81" i="81" s="1"/>
  <c r="W82" i="81" s="1"/>
  <c r="W84" i="81" s="1"/>
  <c r="W85" i="81" s="1"/>
  <c r="W74" i="81"/>
  <c r="C17" i="93" l="1"/>
  <c r="C27" i="93" s="1"/>
  <c r="C40" i="93" l="1"/>
  <c r="AB83" i="81"/>
  <c r="AG83" i="81" s="1"/>
  <c r="AA83" i="81"/>
  <c r="N83" i="81"/>
  <c r="E83" i="81"/>
  <c r="AH80" i="81"/>
  <c r="AC80" i="81"/>
  <c r="N80" i="81"/>
  <c r="E80" i="81"/>
  <c r="AB77" i="81"/>
  <c r="AG77" i="81" s="1"/>
  <c r="AG75" i="81" s="1"/>
  <c r="AA77" i="81"/>
  <c r="AF77" i="81" s="1"/>
  <c r="M75" i="81"/>
  <c r="L75" i="81"/>
  <c r="E75" i="81"/>
  <c r="D75" i="81"/>
  <c r="C75" i="81"/>
  <c r="AG72" i="81"/>
  <c r="AA72" i="81"/>
  <c r="AA71" i="81" s="1"/>
  <c r="E72" i="81"/>
  <c r="E71" i="81" s="1"/>
  <c r="AB71" i="81"/>
  <c r="M71" i="81"/>
  <c r="L71" i="81"/>
  <c r="D71" i="81"/>
  <c r="C71" i="81"/>
  <c r="AA70" i="81"/>
  <c r="AA69" i="81"/>
  <c r="AC69" i="81" s="1"/>
  <c r="AA68" i="81"/>
  <c r="AC68" i="81" s="1"/>
  <c r="AA67" i="81"/>
  <c r="AC67" i="81" s="1"/>
  <c r="AG66" i="81"/>
  <c r="AG65" i="81"/>
  <c r="AG64" i="81"/>
  <c r="AG63" i="81"/>
  <c r="AG62" i="81"/>
  <c r="AG61" i="81"/>
  <c r="AG60" i="81"/>
  <c r="AF60" i="81"/>
  <c r="AG59" i="81"/>
  <c r="AF59" i="81"/>
  <c r="AG58" i="81"/>
  <c r="AF58" i="81"/>
  <c r="AG57" i="81"/>
  <c r="AF57" i="81"/>
  <c r="AG56" i="81"/>
  <c r="AF56" i="81"/>
  <c r="AA55" i="81"/>
  <c r="AC55" i="81" s="1"/>
  <c r="AA54" i="81"/>
  <c r="AC54" i="81" s="1"/>
  <c r="AA53" i="81"/>
  <c r="AC53" i="81" s="1"/>
  <c r="M52" i="81"/>
  <c r="L52" i="81"/>
  <c r="E52" i="81"/>
  <c r="D52" i="81"/>
  <c r="C52" i="81"/>
  <c r="AB50" i="81"/>
  <c r="AG50" i="81" s="1"/>
  <c r="AA50" i="81"/>
  <c r="AA49" i="81"/>
  <c r="AC49" i="81" s="1"/>
  <c r="M48" i="81"/>
  <c r="L48" i="81"/>
  <c r="E48" i="81"/>
  <c r="D48" i="81"/>
  <c r="C48" i="81"/>
  <c r="AF46" i="81"/>
  <c r="AF45" i="81"/>
  <c r="AA44" i="81"/>
  <c r="AC44" i="81" s="1"/>
  <c r="AA43" i="81"/>
  <c r="AC43" i="81" s="1"/>
  <c r="AA42" i="81"/>
  <c r="AC42" i="81" s="1"/>
  <c r="AA41" i="81"/>
  <c r="AC41" i="81" s="1"/>
  <c r="AA40" i="81"/>
  <c r="AC40" i="81" s="1"/>
  <c r="M39" i="81"/>
  <c r="L39" i="81"/>
  <c r="E39" i="81"/>
  <c r="D39" i="81"/>
  <c r="C39" i="81"/>
  <c r="AB33" i="81"/>
  <c r="M33" i="81"/>
  <c r="L33" i="81"/>
  <c r="E33" i="81"/>
  <c r="D33" i="81"/>
  <c r="C33" i="81"/>
  <c r="AG31" i="81"/>
  <c r="AF31" i="81"/>
  <c r="AG30" i="81"/>
  <c r="AF30" i="81"/>
  <c r="AG29" i="81"/>
  <c r="AF29" i="81"/>
  <c r="AG28" i="81"/>
  <c r="AF28" i="81"/>
  <c r="AG27" i="81"/>
  <c r="AF27" i="81"/>
  <c r="AG26" i="81"/>
  <c r="AF26" i="81"/>
  <c r="AG25" i="81"/>
  <c r="AF25" i="81"/>
  <c r="AG24" i="81"/>
  <c r="AF24" i="81"/>
  <c r="AG23" i="81"/>
  <c r="AF23" i="81"/>
  <c r="AG22" i="81"/>
  <c r="AG21" i="81"/>
  <c r="AF21" i="81"/>
  <c r="AG20" i="81"/>
  <c r="AF20" i="81"/>
  <c r="AG19" i="81"/>
  <c r="AF19" i="81"/>
  <c r="AG18" i="81"/>
  <c r="AF18" i="81"/>
  <c r="AG17" i="81"/>
  <c r="AF17" i="81"/>
  <c r="AG16" i="81"/>
  <c r="AF16" i="81"/>
  <c r="AG15" i="81"/>
  <c r="AF15" i="81"/>
  <c r="AG14" i="81"/>
  <c r="AF14" i="81"/>
  <c r="AG13" i="81"/>
  <c r="AF13" i="81"/>
  <c r="AG12" i="81"/>
  <c r="AF12" i="81"/>
  <c r="AG11" i="81"/>
  <c r="AF11" i="81"/>
  <c r="AG10" i="81"/>
  <c r="AF10" i="81"/>
  <c r="M8" i="81"/>
  <c r="L8" i="81"/>
  <c r="E8" i="81"/>
  <c r="D8" i="81"/>
  <c r="C8" i="81"/>
  <c r="AG7" i="81"/>
  <c r="AF7" i="81"/>
  <c r="E7" i="81"/>
  <c r="AG5" i="81"/>
  <c r="AF6" i="81"/>
  <c r="AH6" i="81" s="1"/>
  <c r="AH5" i="81" s="1"/>
  <c r="E6" i="81"/>
  <c r="E5" i="81" s="1"/>
  <c r="AB5" i="81"/>
  <c r="AA5" i="81"/>
  <c r="M5" i="81"/>
  <c r="L5" i="81"/>
  <c r="D5" i="81"/>
  <c r="C5" i="81"/>
  <c r="AH7" i="81" l="1"/>
  <c r="N77" i="81"/>
  <c r="N75" i="81" s="1"/>
  <c r="AH24" i="81"/>
  <c r="AH26" i="81"/>
  <c r="AH28" i="81"/>
  <c r="AH30" i="81"/>
  <c r="AA75" i="81"/>
  <c r="AH23" i="81"/>
  <c r="AH25" i="81"/>
  <c r="AH27" i="81"/>
  <c r="AH29" i="81"/>
  <c r="AH31" i="81"/>
  <c r="AC39" i="81"/>
  <c r="AA48" i="81"/>
  <c r="AF71" i="81"/>
  <c r="C42" i="93"/>
  <c r="AF50" i="81"/>
  <c r="AH50" i="81" s="1"/>
  <c r="AC50" i="81"/>
  <c r="AC48" i="81" s="1"/>
  <c r="AH10" i="81"/>
  <c r="AH12" i="81"/>
  <c r="AH14" i="81"/>
  <c r="AH16" i="81"/>
  <c r="AH18" i="81"/>
  <c r="AH20" i="81"/>
  <c r="AH57" i="81"/>
  <c r="AH59" i="81"/>
  <c r="AF72" i="81"/>
  <c r="AH72" i="81" s="1"/>
  <c r="AH71" i="81" s="1"/>
  <c r="AC72" i="81"/>
  <c r="AC71" i="81" s="1"/>
  <c r="AB75" i="81"/>
  <c r="AC83" i="81"/>
  <c r="AH11" i="81"/>
  <c r="AH13" i="81"/>
  <c r="AH15" i="81"/>
  <c r="AH17" i="81"/>
  <c r="AH19" i="81"/>
  <c r="AH21" i="81"/>
  <c r="AH56" i="81"/>
  <c r="AH58" i="81"/>
  <c r="AH60" i="81"/>
  <c r="AF55" i="81"/>
  <c r="AG67" i="81"/>
  <c r="AG70" i="81"/>
  <c r="AF54" i="81"/>
  <c r="AG55" i="81"/>
  <c r="AF53" i="81"/>
  <c r="AG54" i="81"/>
  <c r="AH54" i="81" s="1"/>
  <c r="AG69" i="81"/>
  <c r="AG53" i="81"/>
  <c r="AG68" i="81"/>
  <c r="AF70" i="81"/>
  <c r="AF41" i="81"/>
  <c r="AF40" i="81"/>
  <c r="AF43" i="81"/>
  <c r="AF49" i="81"/>
  <c r="AF44" i="81"/>
  <c r="AF42" i="81"/>
  <c r="AG49" i="81"/>
  <c r="AG71" i="81"/>
  <c r="AB52" i="81"/>
  <c r="AF83" i="81"/>
  <c r="M36" i="81"/>
  <c r="M73" i="81" s="1"/>
  <c r="AB48" i="81"/>
  <c r="AA8" i="81"/>
  <c r="AA36" i="81" s="1"/>
  <c r="AA39" i="81"/>
  <c r="AG8" i="81"/>
  <c r="D36" i="81"/>
  <c r="D73" i="81" s="1"/>
  <c r="C36" i="81"/>
  <c r="C73" i="81" s="1"/>
  <c r="E36" i="81"/>
  <c r="E37" i="81" s="1"/>
  <c r="E87" i="81"/>
  <c r="AF5" i="81"/>
  <c r="AF22" i="81"/>
  <c r="AH22" i="81" s="1"/>
  <c r="L36" i="81"/>
  <c r="AF34" i="81"/>
  <c r="AG40" i="81"/>
  <c r="AG41" i="81"/>
  <c r="AG42" i="81"/>
  <c r="AH42" i="81" s="1"/>
  <c r="AG43" i="81"/>
  <c r="AG44" i="81"/>
  <c r="AG45" i="81"/>
  <c r="AH45" i="81" s="1"/>
  <c r="AG46" i="81"/>
  <c r="AH46" i="81" s="1"/>
  <c r="AG34" i="81"/>
  <c r="AB39" i="81"/>
  <c r="AF75" i="81"/>
  <c r="AA33" i="81"/>
  <c r="AH83" i="81"/>
  <c r="AF62" i="81"/>
  <c r="AH62" i="81" s="1"/>
  <c r="AF63" i="81"/>
  <c r="AH63" i="81" s="1"/>
  <c r="AF64" i="81"/>
  <c r="AH64" i="81" s="1"/>
  <c r="AF65" i="81"/>
  <c r="AH65" i="81" s="1"/>
  <c r="AF66" i="81"/>
  <c r="AH66" i="81" s="1"/>
  <c r="AF67" i="81"/>
  <c r="AF68" i="81"/>
  <c r="AF69" i="81"/>
  <c r="AH44" i="81" l="1"/>
  <c r="AF39" i="81"/>
  <c r="AH55" i="81"/>
  <c r="AC77" i="81"/>
  <c r="AC75" i="81" s="1"/>
  <c r="AH40" i="81"/>
  <c r="AH49" i="81"/>
  <c r="AH48" i="81" s="1"/>
  <c r="AH41" i="81"/>
  <c r="AI41" i="81" s="1"/>
  <c r="AF48" i="81"/>
  <c r="AH43" i="81"/>
  <c r="AH68" i="81"/>
  <c r="AH8" i="81"/>
  <c r="AH36" i="81" s="1"/>
  <c r="AH37" i="81" s="1"/>
  <c r="AH53" i="81"/>
  <c r="AH67" i="81"/>
  <c r="AG52" i="81"/>
  <c r="AH69" i="81"/>
  <c r="AI69" i="81" s="1"/>
  <c r="AG48" i="81"/>
  <c r="AG33" i="81"/>
  <c r="AH34" i="81"/>
  <c r="AH33" i="81" s="1"/>
  <c r="AG36" i="81"/>
  <c r="N87" i="81"/>
  <c r="J38" i="81" s="1"/>
  <c r="AB36" i="81"/>
  <c r="AB37" i="81" s="1"/>
  <c r="F21" i="81"/>
  <c r="F8" i="81"/>
  <c r="AA37" i="81"/>
  <c r="M37" i="81"/>
  <c r="D37" i="81"/>
  <c r="C37" i="81"/>
  <c r="F24" i="81"/>
  <c r="F80" i="81"/>
  <c r="F45" i="81"/>
  <c r="F65" i="81"/>
  <c r="AI67" i="81"/>
  <c r="F48" i="81"/>
  <c r="E73" i="81"/>
  <c r="E74" i="81" s="1"/>
  <c r="AI70" i="81"/>
  <c r="F57" i="81"/>
  <c r="F14" i="81"/>
  <c r="F67" i="81"/>
  <c r="F61" i="81"/>
  <c r="F60" i="81"/>
  <c r="F53" i="81"/>
  <c r="F59" i="81"/>
  <c r="AI44" i="81"/>
  <c r="F26" i="81"/>
  <c r="AI68" i="81"/>
  <c r="F83" i="81"/>
  <c r="F71" i="81"/>
  <c r="F66" i="81"/>
  <c r="F52" i="81"/>
  <c r="AI43" i="81"/>
  <c r="F23" i="81"/>
  <c r="AI42" i="81"/>
  <c r="F31" i="81"/>
  <c r="F30" i="81"/>
  <c r="F43" i="81"/>
  <c r="F16" i="81"/>
  <c r="F9" i="81"/>
  <c r="F77" i="81"/>
  <c r="F69" i="81"/>
  <c r="F63" i="81"/>
  <c r="F58" i="81"/>
  <c r="F28" i="81"/>
  <c r="AI46" i="81"/>
  <c r="F34" i="81"/>
  <c r="F27" i="81"/>
  <c r="F70" i="81"/>
  <c r="F20" i="81"/>
  <c r="F13" i="81"/>
  <c r="F62" i="81"/>
  <c r="F54" i="81"/>
  <c r="F39" i="81"/>
  <c r="F33" i="81"/>
  <c r="F42" i="81"/>
  <c r="AI80" i="81"/>
  <c r="F18" i="81"/>
  <c r="F10" i="81"/>
  <c r="F41" i="81"/>
  <c r="F46" i="81"/>
  <c r="F17" i="81"/>
  <c r="F12" i="81"/>
  <c r="AI83" i="81"/>
  <c r="F68" i="81"/>
  <c r="F64" i="81"/>
  <c r="F55" i="81"/>
  <c r="AI71" i="81"/>
  <c r="F56" i="81"/>
  <c r="F50" i="81"/>
  <c r="F29" i="81"/>
  <c r="F22" i="81"/>
  <c r="F49" i="81"/>
  <c r="AI45" i="81"/>
  <c r="AI49" i="81"/>
  <c r="F25" i="81"/>
  <c r="F40" i="81"/>
  <c r="F44" i="81"/>
  <c r="F19" i="81"/>
  <c r="F15" i="81"/>
  <c r="F11" i="81"/>
  <c r="AI40" i="81"/>
  <c r="L73" i="81"/>
  <c r="L37" i="81"/>
  <c r="AG37" i="81"/>
  <c r="M79" i="81"/>
  <c r="M81" i="81" s="1"/>
  <c r="M82" i="81" s="1"/>
  <c r="M84" i="81" s="1"/>
  <c r="M85" i="81" s="1"/>
  <c r="M74" i="81"/>
  <c r="AG39" i="81"/>
  <c r="D79" i="81"/>
  <c r="D81" i="81" s="1"/>
  <c r="D82" i="81" s="1"/>
  <c r="D84" i="81" s="1"/>
  <c r="D85" i="81" s="1"/>
  <c r="D74" i="81"/>
  <c r="C79" i="81"/>
  <c r="C81" i="81" s="1"/>
  <c r="C82" i="81" s="1"/>
  <c r="C84" i="81" s="1"/>
  <c r="C85" i="81" s="1"/>
  <c r="C74" i="81"/>
  <c r="AF33" i="81"/>
  <c r="AI50" i="81"/>
  <c r="AF8" i="81"/>
  <c r="AF36" i="81" s="1"/>
  <c r="AG73" i="81" l="1"/>
  <c r="AH39" i="81"/>
  <c r="AH77" i="81"/>
  <c r="AB73" i="81"/>
  <c r="AB74" i="81" s="1"/>
  <c r="O15" i="81"/>
  <c r="J77" i="81"/>
  <c r="O8" i="81"/>
  <c r="T75" i="81"/>
  <c r="J27" i="81"/>
  <c r="O18" i="81"/>
  <c r="Y77" i="81"/>
  <c r="O21" i="81"/>
  <c r="O76" i="81"/>
  <c r="T51" i="81"/>
  <c r="J16" i="81"/>
  <c r="O39" i="81"/>
  <c r="O34" i="81"/>
  <c r="O31" i="81"/>
  <c r="O24" i="81"/>
  <c r="T71" i="81"/>
  <c r="T76" i="81"/>
  <c r="J81" i="81"/>
  <c r="J42" i="81"/>
  <c r="J60" i="81"/>
  <c r="J13" i="81"/>
  <c r="O55" i="81"/>
  <c r="O52" i="81"/>
  <c r="O49" i="81"/>
  <c r="O42" i="81"/>
  <c r="T68" i="81"/>
  <c r="Y72" i="81"/>
  <c r="J71" i="81"/>
  <c r="J62" i="81"/>
  <c r="J69" i="81"/>
  <c r="J34" i="81"/>
  <c r="O71" i="81"/>
  <c r="O68" i="81"/>
  <c r="O65" i="81"/>
  <c r="O58" i="81"/>
  <c r="T82" i="81"/>
  <c r="T47" i="81"/>
  <c r="Y69" i="81"/>
  <c r="J75" i="81"/>
  <c r="J43" i="81"/>
  <c r="J76" i="81"/>
  <c r="J24" i="81"/>
  <c r="O17" i="81"/>
  <c r="O25" i="81"/>
  <c r="O43" i="81"/>
  <c r="O59" i="81"/>
  <c r="O77" i="81"/>
  <c r="O22" i="81"/>
  <c r="O40" i="81"/>
  <c r="O56" i="81"/>
  <c r="O72" i="81"/>
  <c r="O19" i="81"/>
  <c r="O35" i="81"/>
  <c r="O53" i="81"/>
  <c r="O69" i="81"/>
  <c r="O12" i="81"/>
  <c r="O28" i="81"/>
  <c r="O46" i="81"/>
  <c r="O62" i="81"/>
  <c r="O80" i="81"/>
  <c r="T81" i="81"/>
  <c r="T77" i="81"/>
  <c r="T31" i="81"/>
  <c r="T69" i="81"/>
  <c r="T67" i="81"/>
  <c r="T38" i="81"/>
  <c r="T80" i="81"/>
  <c r="Y80" i="81"/>
  <c r="Y71" i="81"/>
  <c r="Y68" i="81"/>
  <c r="J79" i="81"/>
  <c r="J10" i="81"/>
  <c r="J52" i="81"/>
  <c r="J48" i="81"/>
  <c r="J44" i="81"/>
  <c r="J17" i="81"/>
  <c r="J22" i="81"/>
  <c r="J59" i="81"/>
  <c r="J64" i="81"/>
  <c r="J19" i="81"/>
  <c r="J45" i="81"/>
  <c r="J40" i="81"/>
  <c r="J11" i="81"/>
  <c r="J15" i="81"/>
  <c r="J12" i="81"/>
  <c r="O9" i="81"/>
  <c r="O29" i="81"/>
  <c r="O47" i="81"/>
  <c r="O63" i="81"/>
  <c r="O10" i="81"/>
  <c r="O26" i="81"/>
  <c r="O44" i="81"/>
  <c r="O60" i="81"/>
  <c r="O78" i="81"/>
  <c r="O23" i="81"/>
  <c r="O41" i="81"/>
  <c r="O57" i="81"/>
  <c r="O75" i="81"/>
  <c r="O16" i="81"/>
  <c r="O32" i="81"/>
  <c r="O50" i="81"/>
  <c r="O66" i="81"/>
  <c r="T79" i="81"/>
  <c r="T83" i="81"/>
  <c r="T48" i="81"/>
  <c r="T32" i="81"/>
  <c r="T70" i="81"/>
  <c r="T50" i="81"/>
  <c r="T78" i="81"/>
  <c r="Y75" i="81"/>
  <c r="Y83" i="81"/>
  <c r="Y70" i="81"/>
  <c r="J8" i="81"/>
  <c r="J39" i="81"/>
  <c r="J72" i="81"/>
  <c r="J29" i="81"/>
  <c r="J33" i="81"/>
  <c r="J30" i="81"/>
  <c r="J46" i="81"/>
  <c r="J57" i="81"/>
  <c r="J67" i="81"/>
  <c r="J56" i="81"/>
  <c r="J28" i="81"/>
  <c r="J58" i="81"/>
  <c r="J61" i="81"/>
  <c r="J18" i="81"/>
  <c r="J83" i="81"/>
  <c r="O13" i="81"/>
  <c r="O33" i="81"/>
  <c r="O51" i="81"/>
  <c r="O67" i="81"/>
  <c r="O14" i="81"/>
  <c r="O30" i="81"/>
  <c r="O48" i="81"/>
  <c r="O64" i="81"/>
  <c r="O11" i="81"/>
  <c r="O27" i="81"/>
  <c r="O45" i="81"/>
  <c r="O61" i="81"/>
  <c r="O83" i="81"/>
  <c r="O20" i="81"/>
  <c r="O38" i="81"/>
  <c r="O54" i="81"/>
  <c r="O70" i="81"/>
  <c r="T33" i="81"/>
  <c r="T49" i="81"/>
  <c r="T34" i="81"/>
  <c r="T35" i="81"/>
  <c r="T30" i="81"/>
  <c r="T72" i="81"/>
  <c r="Y76" i="81"/>
  <c r="Y67" i="81"/>
  <c r="Y78" i="81"/>
  <c r="J82" i="81"/>
  <c r="J9" i="81"/>
  <c r="J63" i="81"/>
  <c r="J54" i="81"/>
  <c r="J50" i="81"/>
  <c r="J55" i="81"/>
  <c r="J14" i="81"/>
  <c r="J53" i="81"/>
  <c r="J23" i="81"/>
  <c r="J20" i="81"/>
  <c r="J25" i="81"/>
  <c r="J66" i="81"/>
  <c r="J41" i="81"/>
  <c r="J26" i="81"/>
  <c r="J32" i="81"/>
  <c r="J51" i="81"/>
  <c r="J80" i="81"/>
  <c r="J21" i="81"/>
  <c r="J47" i="81"/>
  <c r="J35" i="81"/>
  <c r="J70" i="81"/>
  <c r="J65" i="81"/>
  <c r="J31" i="81"/>
  <c r="J68" i="81"/>
  <c r="J49" i="81"/>
  <c r="J78" i="81"/>
  <c r="E79" i="81"/>
  <c r="E81" i="81" s="1"/>
  <c r="E82" i="81" s="1"/>
  <c r="E84" i="81" s="1"/>
  <c r="E85" i="81" s="1"/>
  <c r="AG74" i="81"/>
  <c r="AG79" i="81"/>
  <c r="AG81" i="81" s="1"/>
  <c r="AG82" i="81" s="1"/>
  <c r="AG84" i="81" s="1"/>
  <c r="AG85" i="81" s="1"/>
  <c r="AF37" i="81"/>
  <c r="AI34" i="81"/>
  <c r="N79" i="81"/>
  <c r="L79" i="81"/>
  <c r="L81" i="81" s="1"/>
  <c r="L82" i="81" s="1"/>
  <c r="L84" i="81" s="1"/>
  <c r="L85" i="81" s="1"/>
  <c r="L74" i="81"/>
  <c r="AB79" i="81" l="1"/>
  <c r="AB81" i="81" s="1"/>
  <c r="AB82" i="81" s="1"/>
  <c r="AB84" i="81" s="1"/>
  <c r="AB85" i="81" s="1"/>
  <c r="AH75" i="81"/>
  <c r="AI77" i="81"/>
  <c r="N81" i="81"/>
  <c r="O79" i="81"/>
  <c r="N82" i="81" l="1"/>
  <c r="O81" i="81"/>
  <c r="N84" i="81" l="1"/>
  <c r="N85" i="81" s="1"/>
  <c r="O82" i="81"/>
  <c r="AB83" i="79" l="1"/>
  <c r="AG83" i="79" s="1"/>
  <c r="AA83" i="79"/>
  <c r="N83" i="79"/>
  <c r="E83" i="79"/>
  <c r="AH80" i="79"/>
  <c r="AC80" i="79"/>
  <c r="N80" i="79"/>
  <c r="E80" i="79"/>
  <c r="AG77" i="79"/>
  <c r="AG75" i="79" s="1"/>
  <c r="AF77" i="79"/>
  <c r="E77" i="79"/>
  <c r="N76" i="79"/>
  <c r="E76" i="79"/>
  <c r="AB75" i="79"/>
  <c r="AA75" i="79"/>
  <c r="M75" i="79"/>
  <c r="L75" i="79"/>
  <c r="D75" i="79"/>
  <c r="C75" i="79"/>
  <c r="AB72" i="79"/>
  <c r="AG72" i="79" s="1"/>
  <c r="AA72" i="79"/>
  <c r="AF72" i="79" s="1"/>
  <c r="N72" i="79"/>
  <c r="N71" i="79" s="1"/>
  <c r="E72" i="79"/>
  <c r="E71" i="79" s="1"/>
  <c r="AB71" i="79"/>
  <c r="M71" i="79"/>
  <c r="L71" i="79"/>
  <c r="D71" i="79"/>
  <c r="C71" i="79"/>
  <c r="AG70" i="79"/>
  <c r="AF70" i="79"/>
  <c r="AG69" i="79"/>
  <c r="AC69" i="79"/>
  <c r="N69" i="79"/>
  <c r="E69" i="79"/>
  <c r="AG68" i="79"/>
  <c r="AC68" i="79"/>
  <c r="N68" i="79"/>
  <c r="E68" i="79"/>
  <c r="AG67" i="79"/>
  <c r="AC67" i="79"/>
  <c r="N67" i="79"/>
  <c r="E67" i="79"/>
  <c r="AG66" i="79"/>
  <c r="AC66" i="79"/>
  <c r="AG65" i="79"/>
  <c r="AC65" i="79"/>
  <c r="AG64" i="79"/>
  <c r="AG63" i="79"/>
  <c r="AC63" i="79"/>
  <c r="AG62" i="79"/>
  <c r="AC62" i="79"/>
  <c r="AG61" i="79"/>
  <c r="AC61" i="79"/>
  <c r="AG60" i="79"/>
  <c r="AC60" i="79"/>
  <c r="AG59" i="79"/>
  <c r="AG58" i="79"/>
  <c r="AG57" i="79"/>
  <c r="AG56" i="79"/>
  <c r="AB55" i="79"/>
  <c r="AG55" i="79" s="1"/>
  <c r="AA55" i="79"/>
  <c r="E55" i="79"/>
  <c r="AB54" i="79"/>
  <c r="AG54" i="79" s="1"/>
  <c r="AA54" i="79"/>
  <c r="E54" i="79"/>
  <c r="AB53" i="79"/>
  <c r="AG53" i="79" s="1"/>
  <c r="AA53" i="79"/>
  <c r="AF53" i="79" s="1"/>
  <c r="E53" i="79"/>
  <c r="M52" i="79"/>
  <c r="L52" i="79"/>
  <c r="D52" i="79"/>
  <c r="C52" i="79"/>
  <c r="AG50" i="79"/>
  <c r="AF50" i="79"/>
  <c r="E50" i="79"/>
  <c r="AB48" i="79"/>
  <c r="AF49" i="79"/>
  <c r="E49" i="79"/>
  <c r="M48" i="79"/>
  <c r="L48" i="79"/>
  <c r="D48" i="79"/>
  <c r="C48" i="79"/>
  <c r="AG46" i="79"/>
  <c r="AC46" i="79"/>
  <c r="AG45" i="79"/>
  <c r="AG44" i="79"/>
  <c r="AG43" i="79"/>
  <c r="AG42" i="79"/>
  <c r="AG41" i="79"/>
  <c r="E41" i="79"/>
  <c r="AB40" i="79"/>
  <c r="AB39" i="79" s="1"/>
  <c r="AA40" i="79"/>
  <c r="E40" i="79"/>
  <c r="M39" i="79"/>
  <c r="L39" i="79"/>
  <c r="D39" i="79"/>
  <c r="C39" i="79"/>
  <c r="AG34" i="79"/>
  <c r="AG33" i="79" s="1"/>
  <c r="AF34" i="79"/>
  <c r="E34" i="79"/>
  <c r="E33" i="79" s="1"/>
  <c r="AB33" i="79"/>
  <c r="M33" i="79"/>
  <c r="L33" i="79"/>
  <c r="D33" i="79"/>
  <c r="C33" i="79"/>
  <c r="AG31" i="79"/>
  <c r="AF31" i="79"/>
  <c r="AG30" i="79"/>
  <c r="AF30" i="79"/>
  <c r="AG29" i="79"/>
  <c r="AF29" i="79"/>
  <c r="AG28" i="79"/>
  <c r="AF28" i="79"/>
  <c r="AG27" i="79"/>
  <c r="AF27" i="79"/>
  <c r="AG26" i="79"/>
  <c r="AF26" i="79"/>
  <c r="AG25" i="79"/>
  <c r="AF25" i="79"/>
  <c r="AG24" i="79"/>
  <c r="AF24" i="79"/>
  <c r="AG23" i="79"/>
  <c r="AF23" i="79"/>
  <c r="AG22" i="79"/>
  <c r="AF22" i="79"/>
  <c r="AG21" i="79"/>
  <c r="AF21" i="79"/>
  <c r="AG20" i="79"/>
  <c r="AF20" i="79"/>
  <c r="AG19" i="79"/>
  <c r="AF19" i="79"/>
  <c r="AG18" i="79"/>
  <c r="AF18" i="79"/>
  <c r="AC17" i="79"/>
  <c r="AG17" i="79"/>
  <c r="AF17" i="79"/>
  <c r="AG16" i="79"/>
  <c r="AF16" i="79"/>
  <c r="AG15" i="79"/>
  <c r="AF15" i="79"/>
  <c r="AG14" i="79"/>
  <c r="AF14" i="79"/>
  <c r="AG13" i="79"/>
  <c r="AF13" i="79"/>
  <c r="AF12" i="79"/>
  <c r="AG11" i="79"/>
  <c r="AF11" i="79"/>
  <c r="AG10" i="79"/>
  <c r="AF10" i="79"/>
  <c r="AG9" i="79"/>
  <c r="AF9" i="79"/>
  <c r="M8" i="79"/>
  <c r="L8" i="79"/>
  <c r="D8" i="79"/>
  <c r="C8" i="79"/>
  <c r="AG7" i="79"/>
  <c r="AF7" i="79"/>
  <c r="AC7" i="79"/>
  <c r="E7" i="79"/>
  <c r="AG6" i="79"/>
  <c r="AG5" i="79" s="1"/>
  <c r="AB5" i="79"/>
  <c r="AF5" i="79"/>
  <c r="E6" i="79"/>
  <c r="E5" i="79" s="1"/>
  <c r="M5" i="79"/>
  <c r="L5" i="79"/>
  <c r="D5" i="79"/>
  <c r="C5" i="79"/>
  <c r="N52" i="79" l="1"/>
  <c r="AG71" i="79"/>
  <c r="AB52" i="79"/>
  <c r="E48" i="79"/>
  <c r="AC54" i="79"/>
  <c r="E75" i="79"/>
  <c r="AH7" i="79"/>
  <c r="AC83" i="79"/>
  <c r="N77" i="79"/>
  <c r="N75" i="79" s="1"/>
  <c r="AA52" i="79"/>
  <c r="AA39" i="79"/>
  <c r="AH70" i="79"/>
  <c r="AH11" i="79"/>
  <c r="AH19" i="79"/>
  <c r="AH72" i="79"/>
  <c r="D36" i="79"/>
  <c r="D37" i="79" s="1"/>
  <c r="AH20" i="79"/>
  <c r="AH31" i="79"/>
  <c r="AH15" i="79"/>
  <c r="AH23" i="79"/>
  <c r="AG52" i="79"/>
  <c r="AC40" i="79"/>
  <c r="AH16" i="79"/>
  <c r="AC12" i="79"/>
  <c r="AC13" i="79"/>
  <c r="AC9" i="79"/>
  <c r="AC25" i="79"/>
  <c r="L36" i="79"/>
  <c r="L73" i="79" s="1"/>
  <c r="AC21" i="79"/>
  <c r="M36" i="79"/>
  <c r="M73" i="79" s="1"/>
  <c r="AH27" i="79"/>
  <c r="AC29" i="79"/>
  <c r="AH10" i="79"/>
  <c r="AC14" i="79"/>
  <c r="AC18" i="79"/>
  <c r="AC22" i="79"/>
  <c r="AC11" i="79"/>
  <c r="AH13" i="79"/>
  <c r="AC15" i="79"/>
  <c r="AH17" i="79"/>
  <c r="AC19" i="79"/>
  <c r="AH21" i="79"/>
  <c r="AC23" i="79"/>
  <c r="AH25" i="79"/>
  <c r="AC27" i="79"/>
  <c r="AH29" i="79"/>
  <c r="AC31" i="79"/>
  <c r="AC41" i="79"/>
  <c r="AC42" i="79"/>
  <c r="AC43" i="79"/>
  <c r="AC44" i="79"/>
  <c r="AC45" i="79"/>
  <c r="AC49" i="79"/>
  <c r="AC53" i="79"/>
  <c r="AC55" i="79"/>
  <c r="AC56" i="79"/>
  <c r="AC57" i="79"/>
  <c r="AC58" i="79"/>
  <c r="AC59" i="79"/>
  <c r="AC64" i="79"/>
  <c r="AC10" i="79"/>
  <c r="AC26" i="79"/>
  <c r="AC30" i="79"/>
  <c r="AA48" i="79"/>
  <c r="AB36" i="79"/>
  <c r="AB73" i="79" s="1"/>
  <c r="AH14" i="79"/>
  <c r="AC16" i="79"/>
  <c r="AH18" i="79"/>
  <c r="AC20" i="79"/>
  <c r="AH22" i="79"/>
  <c r="AC24" i="79"/>
  <c r="AC28" i="79"/>
  <c r="AC50" i="79"/>
  <c r="AF54" i="79"/>
  <c r="AH54" i="79" s="1"/>
  <c r="C36" i="79"/>
  <c r="C73" i="79" s="1"/>
  <c r="E39" i="79"/>
  <c r="AF8" i="79"/>
  <c r="AF36" i="79" s="1"/>
  <c r="AF37" i="79" s="1"/>
  <c r="E8" i="79"/>
  <c r="E36" i="79" s="1"/>
  <c r="E37" i="79" s="1"/>
  <c r="E52" i="79"/>
  <c r="AG12" i="79"/>
  <c r="AG8" i="79" s="1"/>
  <c r="AG36" i="79" s="1"/>
  <c r="AF33" i="79"/>
  <c r="AH34" i="79"/>
  <c r="AH53" i="79"/>
  <c r="AH6" i="79"/>
  <c r="AH5" i="79" s="1"/>
  <c r="AH9" i="79"/>
  <c r="AH24" i="79"/>
  <c r="AH28" i="79"/>
  <c r="AH50" i="79"/>
  <c r="AF48" i="79"/>
  <c r="AA5" i="79"/>
  <c r="AC6" i="79"/>
  <c r="AC5" i="79" s="1"/>
  <c r="AH26" i="79"/>
  <c r="AH30" i="79"/>
  <c r="AA33" i="79"/>
  <c r="AC34" i="79"/>
  <c r="AF40" i="79"/>
  <c r="AF41" i="79"/>
  <c r="AH41" i="79" s="1"/>
  <c r="AF42" i="79"/>
  <c r="AH42" i="79" s="1"/>
  <c r="AF43" i="79"/>
  <c r="AH43" i="79" s="1"/>
  <c r="AF44" i="79"/>
  <c r="AH44" i="79" s="1"/>
  <c r="AF45" i="79"/>
  <c r="AH45" i="79" s="1"/>
  <c r="AF46" i="79"/>
  <c r="AH46" i="79" s="1"/>
  <c r="AG49" i="79"/>
  <c r="AH49" i="79" s="1"/>
  <c r="AG40" i="79"/>
  <c r="AG39" i="79" s="1"/>
  <c r="AF75" i="79"/>
  <c r="AH77" i="79"/>
  <c r="AF55" i="79"/>
  <c r="AH55" i="79" s="1"/>
  <c r="AF56" i="79"/>
  <c r="AH56" i="79" s="1"/>
  <c r="AF57" i="79"/>
  <c r="AH57" i="79" s="1"/>
  <c r="AF58" i="79"/>
  <c r="AH58" i="79" s="1"/>
  <c r="AF59" i="79"/>
  <c r="AH59" i="79" s="1"/>
  <c r="AF60" i="79"/>
  <c r="AH60" i="79" s="1"/>
  <c r="AF61" i="79"/>
  <c r="AH61" i="79" s="1"/>
  <c r="AF62" i="79"/>
  <c r="AH62" i="79" s="1"/>
  <c r="AF63" i="79"/>
  <c r="AH63" i="79" s="1"/>
  <c r="AF64" i="79"/>
  <c r="AH64" i="79" s="1"/>
  <c r="AF65" i="79"/>
  <c r="AH65" i="79" s="1"/>
  <c r="AF66" i="79"/>
  <c r="AH66" i="79" s="1"/>
  <c r="AF67" i="79"/>
  <c r="AH67" i="79" s="1"/>
  <c r="AF68" i="79"/>
  <c r="AH68" i="79" s="1"/>
  <c r="AF69" i="79"/>
  <c r="AH69" i="79" s="1"/>
  <c r="AC70" i="79"/>
  <c r="AF83" i="79"/>
  <c r="AH83" i="79" s="1"/>
  <c r="AC72" i="79"/>
  <c r="AC71" i="79" s="1"/>
  <c r="AC77" i="79"/>
  <c r="AC75" i="79" s="1"/>
  <c r="AA71" i="79"/>
  <c r="AF71" i="79" s="1"/>
  <c r="AH71" i="79" s="1"/>
  <c r="D73" i="79" l="1"/>
  <c r="L37" i="79"/>
  <c r="C37" i="79"/>
  <c r="AC48" i="79"/>
  <c r="AB37" i="79"/>
  <c r="AC39" i="79"/>
  <c r="M37" i="79"/>
  <c r="AC52" i="79"/>
  <c r="AC8" i="79"/>
  <c r="AC36" i="79" s="1"/>
  <c r="AA36" i="79"/>
  <c r="AA73" i="79" s="1"/>
  <c r="AH12" i="79"/>
  <c r="AH8" i="79" s="1"/>
  <c r="E73" i="79"/>
  <c r="E79" i="79" s="1"/>
  <c r="E81" i="79" s="1"/>
  <c r="E82" i="79" s="1"/>
  <c r="E84" i="79" s="1"/>
  <c r="E87" i="79"/>
  <c r="AF52" i="79"/>
  <c r="M79" i="79"/>
  <c r="M81" i="79" s="1"/>
  <c r="M82" i="79" s="1"/>
  <c r="M84" i="79" s="1"/>
  <c r="M85" i="79" s="1"/>
  <c r="M74" i="79"/>
  <c r="AG48" i="79"/>
  <c r="AG73" i="79" s="1"/>
  <c r="AH52" i="79"/>
  <c r="AH33" i="79"/>
  <c r="AH75" i="79"/>
  <c r="D79" i="79"/>
  <c r="D81" i="79" s="1"/>
  <c r="D82" i="79" s="1"/>
  <c r="D84" i="79" s="1"/>
  <c r="D85" i="79" s="1"/>
  <c r="D74" i="79"/>
  <c r="N87" i="79"/>
  <c r="C79" i="79"/>
  <c r="C81" i="79" s="1"/>
  <c r="C82" i="79" s="1"/>
  <c r="C74" i="79"/>
  <c r="AB79" i="79"/>
  <c r="AB81" i="79" s="1"/>
  <c r="AB82" i="79" s="1"/>
  <c r="AB84" i="79" s="1"/>
  <c r="AB85" i="79" s="1"/>
  <c r="AB74" i="79"/>
  <c r="AH40" i="79"/>
  <c r="AF39" i="79"/>
  <c r="AC33" i="79"/>
  <c r="L79" i="79"/>
  <c r="L81" i="79" s="1"/>
  <c r="L82" i="79" s="1"/>
  <c r="L84" i="79" s="1"/>
  <c r="L85" i="79" s="1"/>
  <c r="L74" i="79"/>
  <c r="AH48" i="79"/>
  <c r="AG37" i="79"/>
  <c r="C84" i="79" l="1"/>
  <c r="C85" i="79" s="1"/>
  <c r="E85" i="79"/>
  <c r="J17" i="79"/>
  <c r="J70" i="79"/>
  <c r="J19" i="79"/>
  <c r="J30" i="79"/>
  <c r="J45" i="79"/>
  <c r="J33" i="79"/>
  <c r="J24" i="79"/>
  <c r="J50" i="79"/>
  <c r="J16" i="79"/>
  <c r="J43" i="79"/>
  <c r="J77" i="79"/>
  <c r="J21" i="79"/>
  <c r="J40" i="79"/>
  <c r="J31" i="79"/>
  <c r="J48" i="79"/>
  <c r="J69" i="79"/>
  <c r="J22" i="79"/>
  <c r="J49" i="79"/>
  <c r="J23" i="79"/>
  <c r="J18" i="79"/>
  <c r="J46" i="79"/>
  <c r="J44" i="79"/>
  <c r="J67" i="79"/>
  <c r="J80" i="79"/>
  <c r="J83" i="79"/>
  <c r="J15" i="79"/>
  <c r="J34" i="79"/>
  <c r="J71" i="79"/>
  <c r="J42" i="79"/>
  <c r="J68" i="79"/>
  <c r="J20" i="79"/>
  <c r="J41" i="79"/>
  <c r="J39" i="79"/>
  <c r="J9" i="79"/>
  <c r="J27" i="79"/>
  <c r="J65" i="79"/>
  <c r="J66" i="79"/>
  <c r="J56" i="79"/>
  <c r="J13" i="79"/>
  <c r="J55" i="79"/>
  <c r="J29" i="79"/>
  <c r="J60" i="79"/>
  <c r="J28" i="79"/>
  <c r="J54" i="79"/>
  <c r="J10" i="79"/>
  <c r="J64" i="79"/>
  <c r="J59" i="79"/>
  <c r="J53" i="79"/>
  <c r="J61" i="79"/>
  <c r="J57" i="79"/>
  <c r="J12" i="79"/>
  <c r="J58" i="79"/>
  <c r="J26" i="79"/>
  <c r="J25" i="79"/>
  <c r="J63" i="79"/>
  <c r="J14" i="79"/>
  <c r="J62" i="79"/>
  <c r="J11" i="79"/>
  <c r="J8" i="79"/>
  <c r="J52" i="79"/>
  <c r="N73" i="79"/>
  <c r="N79" i="79" s="1"/>
  <c r="N81" i="79" s="1"/>
  <c r="N82" i="79" s="1"/>
  <c r="N84" i="79" s="1"/>
  <c r="N85" i="79" s="1"/>
  <c r="Y70" i="79"/>
  <c r="Y68" i="79"/>
  <c r="Y67" i="79"/>
  <c r="Y71" i="79"/>
  <c r="Y80" i="79"/>
  <c r="Y83" i="79"/>
  <c r="Y69" i="79"/>
  <c r="AF73" i="79"/>
  <c r="AF74" i="79" s="1"/>
  <c r="O67" i="79"/>
  <c r="T68" i="79"/>
  <c r="T83" i="79"/>
  <c r="T77" i="79"/>
  <c r="T70" i="79"/>
  <c r="T80" i="79"/>
  <c r="T50" i="79"/>
  <c r="T69" i="79"/>
  <c r="T49" i="79"/>
  <c r="T71" i="79"/>
  <c r="T67" i="79"/>
  <c r="O64" i="79"/>
  <c r="O60" i="79"/>
  <c r="O55" i="79"/>
  <c r="O29" i="79"/>
  <c r="O25" i="79"/>
  <c r="O11" i="79"/>
  <c r="O56" i="79"/>
  <c r="O63" i="79"/>
  <c r="O59" i="79"/>
  <c r="O54" i="79"/>
  <c r="O28" i="79"/>
  <c r="O14" i="79"/>
  <c r="O10" i="79"/>
  <c r="O66" i="79"/>
  <c r="O62" i="79"/>
  <c r="O58" i="79"/>
  <c r="O53" i="79"/>
  <c r="O27" i="79"/>
  <c r="O13" i="79"/>
  <c r="O9" i="79"/>
  <c r="O65" i="79"/>
  <c r="O61" i="79"/>
  <c r="O57" i="79"/>
  <c r="O52" i="79"/>
  <c r="O12" i="79"/>
  <c r="O26" i="79"/>
  <c r="O8" i="79"/>
  <c r="AC87" i="79"/>
  <c r="F11" i="79"/>
  <c r="AC73" i="79"/>
  <c r="AC79" i="79" s="1"/>
  <c r="AC81" i="79" s="1"/>
  <c r="AC82" i="79" s="1"/>
  <c r="AC84" i="79" s="1"/>
  <c r="AC85" i="79" s="1"/>
  <c r="AC37" i="79"/>
  <c r="AA37" i="79"/>
  <c r="E74" i="79"/>
  <c r="F18" i="79"/>
  <c r="F70" i="79"/>
  <c r="F49" i="79"/>
  <c r="AI42" i="79"/>
  <c r="F25" i="79"/>
  <c r="F40" i="79"/>
  <c r="F59" i="79"/>
  <c r="F12" i="79"/>
  <c r="F26" i="79"/>
  <c r="F69" i="79"/>
  <c r="O23" i="79"/>
  <c r="F17" i="79"/>
  <c r="O39" i="79"/>
  <c r="F80" i="79"/>
  <c r="O43" i="79"/>
  <c r="F77" i="79"/>
  <c r="O40" i="79"/>
  <c r="F54" i="79"/>
  <c r="AI34" i="79"/>
  <c r="F34" i="79"/>
  <c r="O19" i="79"/>
  <c r="O21" i="79"/>
  <c r="AI83" i="79"/>
  <c r="F68" i="79"/>
  <c r="O83" i="79"/>
  <c r="F65" i="79"/>
  <c r="AI44" i="79"/>
  <c r="O16" i="79"/>
  <c r="F55" i="79"/>
  <c r="F52" i="79"/>
  <c r="O22" i="79"/>
  <c r="F39" i="79"/>
  <c r="F66" i="79"/>
  <c r="O31" i="79"/>
  <c r="F33" i="79"/>
  <c r="O24" i="79"/>
  <c r="O69" i="79"/>
  <c r="F71" i="79"/>
  <c r="F46" i="79"/>
  <c r="F42" i="79"/>
  <c r="O34" i="79"/>
  <c r="F28" i="79"/>
  <c r="F24" i="79"/>
  <c r="F20" i="79"/>
  <c r="F16" i="79"/>
  <c r="O46" i="79"/>
  <c r="F10" i="79"/>
  <c r="AI69" i="79"/>
  <c r="AI80" i="79"/>
  <c r="O17" i="79"/>
  <c r="AI41" i="79"/>
  <c r="F53" i="79"/>
  <c r="F57" i="79"/>
  <c r="F56" i="79"/>
  <c r="F83" i="79"/>
  <c r="O49" i="79"/>
  <c r="F48" i="79"/>
  <c r="O44" i="79"/>
  <c r="O77" i="79"/>
  <c r="AI46" i="79"/>
  <c r="F62" i="79"/>
  <c r="O20" i="79"/>
  <c r="O18" i="79"/>
  <c r="O50" i="79"/>
  <c r="AI50" i="79"/>
  <c r="O68" i="79"/>
  <c r="O70" i="79"/>
  <c r="F45" i="79"/>
  <c r="F41" i="79"/>
  <c r="F31" i="79"/>
  <c r="F27" i="79"/>
  <c r="F23" i="79"/>
  <c r="F19" i="79"/>
  <c r="F15" i="79"/>
  <c r="O45" i="79"/>
  <c r="F9" i="79"/>
  <c r="O48" i="79"/>
  <c r="AI49" i="79"/>
  <c r="AI71" i="79"/>
  <c r="O33" i="79"/>
  <c r="F13" i="79"/>
  <c r="F21" i="79"/>
  <c r="F29" i="79"/>
  <c r="F43" i="79"/>
  <c r="O71" i="79"/>
  <c r="F8" i="79"/>
  <c r="F67" i="79"/>
  <c r="O15" i="79"/>
  <c r="AI70" i="79"/>
  <c r="F14" i="79"/>
  <c r="F22" i="79"/>
  <c r="F30" i="79"/>
  <c r="F44" i="79"/>
  <c r="O80" i="79"/>
  <c r="O42" i="79"/>
  <c r="AI77" i="79"/>
  <c r="F58" i="79"/>
  <c r="O30" i="79"/>
  <c r="F63" i="79"/>
  <c r="O41" i="79"/>
  <c r="F64" i="79"/>
  <c r="AI67" i="79"/>
  <c r="AI45" i="79"/>
  <c r="AI68" i="79"/>
  <c r="F60" i="79"/>
  <c r="F61" i="79"/>
  <c r="AI43" i="79"/>
  <c r="F50" i="79"/>
  <c r="AG74" i="79"/>
  <c r="AG79" i="79"/>
  <c r="AG81" i="79" s="1"/>
  <c r="AG82" i="79" s="1"/>
  <c r="AG84" i="79" s="1"/>
  <c r="AG85" i="79" s="1"/>
  <c r="AA74" i="79"/>
  <c r="AA79" i="79"/>
  <c r="AA81" i="79" s="1"/>
  <c r="AA82" i="79" s="1"/>
  <c r="AA84" i="79" s="1"/>
  <c r="AA85" i="79" s="1"/>
  <c r="N74" i="79"/>
  <c r="AI40" i="79"/>
  <c r="AH39" i="79"/>
  <c r="AH87" i="79" s="1"/>
  <c r="AH36" i="79"/>
  <c r="AD8" i="79" l="1"/>
  <c r="AD61" i="79"/>
  <c r="AD18" i="79"/>
  <c r="AD23" i="79"/>
  <c r="AD55" i="79"/>
  <c r="AF79" i="79"/>
  <c r="AF81" i="79" s="1"/>
  <c r="AF82" i="79" s="1"/>
  <c r="AF84" i="79" s="1"/>
  <c r="AF85" i="79" s="1"/>
  <c r="AD70" i="79"/>
  <c r="AD66" i="79"/>
  <c r="AD46" i="79"/>
  <c r="AD44" i="79"/>
  <c r="AD20" i="79"/>
  <c r="AD49" i="79"/>
  <c r="AD11" i="79"/>
  <c r="AD13" i="79"/>
  <c r="AD45" i="79"/>
  <c r="AD9" i="79"/>
  <c r="AD62" i="79"/>
  <c r="AD40" i="79"/>
  <c r="AD65" i="79"/>
  <c r="AD54" i="79"/>
  <c r="AD30" i="79"/>
  <c r="AD42" i="79"/>
  <c r="AD60" i="79"/>
  <c r="AD16" i="79"/>
  <c r="AD47" i="79"/>
  <c r="AD67" i="79"/>
  <c r="AD15" i="79"/>
  <c r="AD57" i="79"/>
  <c r="AD26" i="79"/>
  <c r="AD56" i="79"/>
  <c r="AD10" i="79"/>
  <c r="AD34" i="79"/>
  <c r="AD58" i="79"/>
  <c r="AD68" i="79"/>
  <c r="AD27" i="79"/>
  <c r="AD41" i="79"/>
  <c r="AD17" i="79"/>
  <c r="AD52" i="79"/>
  <c r="AD59" i="79"/>
  <c r="AD43" i="79"/>
  <c r="AD25" i="79"/>
  <c r="AD69" i="79"/>
  <c r="AD53" i="79"/>
  <c r="AD21" i="79"/>
  <c r="AD29" i="79"/>
  <c r="AD50" i="79"/>
  <c r="AD19" i="79"/>
  <c r="AD63" i="79"/>
  <c r="AD22" i="79"/>
  <c r="AD64" i="79"/>
  <c r="AD24" i="79"/>
  <c r="AD31" i="79"/>
  <c r="AD12" i="79"/>
  <c r="AD28" i="79"/>
  <c r="AD14" i="79"/>
  <c r="AD39" i="79"/>
  <c r="AI63" i="79"/>
  <c r="AI59" i="79"/>
  <c r="AI55" i="79"/>
  <c r="AI31" i="79"/>
  <c r="AI27" i="79"/>
  <c r="AI23" i="79"/>
  <c r="AI19" i="79"/>
  <c r="AI15" i="79"/>
  <c r="AI11" i="79"/>
  <c r="AI62" i="79"/>
  <c r="AI54" i="79"/>
  <c r="AI30" i="79"/>
  <c r="AI26" i="79"/>
  <c r="AI22" i="79"/>
  <c r="AI14" i="79"/>
  <c r="AI10" i="79"/>
  <c r="AI60" i="79"/>
  <c r="AI24" i="79"/>
  <c r="AI12" i="79"/>
  <c r="AI66" i="79"/>
  <c r="AI58" i="79"/>
  <c r="AI18" i="79"/>
  <c r="AI64" i="79"/>
  <c r="AI52" i="79"/>
  <c r="AI16" i="79"/>
  <c r="AI65" i="79"/>
  <c r="AI61" i="79"/>
  <c r="AI57" i="79"/>
  <c r="AI53" i="79"/>
  <c r="AI29" i="79"/>
  <c r="AI25" i="79"/>
  <c r="AI21" i="79"/>
  <c r="AI17" i="79"/>
  <c r="AI13" i="79"/>
  <c r="AI9" i="79"/>
  <c r="AI56" i="79"/>
  <c r="AI28" i="79"/>
  <c r="AI20" i="79"/>
  <c r="AI8" i="79"/>
  <c r="AC74" i="79"/>
  <c r="AH73" i="79"/>
  <c r="AH37" i="79"/>
  <c r="AH79" i="79" l="1"/>
  <c r="AH81" i="79" s="1"/>
  <c r="AH82" i="79" s="1"/>
  <c r="AH84" i="79" s="1"/>
  <c r="AH85" i="79" s="1"/>
  <c r="AH74" i="79"/>
  <c r="V52" i="81" l="1"/>
  <c r="V73" i="81" s="1"/>
  <c r="AA61" i="81"/>
  <c r="AC61" i="81" s="1"/>
  <c r="AC52" i="81" s="1"/>
  <c r="AC73" i="81" s="1"/>
  <c r="AC74" i="81" s="1"/>
  <c r="AF61" i="81" l="1"/>
  <c r="AH61" i="81" s="1"/>
  <c r="AH52" i="81" s="1"/>
  <c r="AH73" i="81" s="1"/>
  <c r="AH74" i="81" s="1"/>
  <c r="V79" i="81"/>
  <c r="V81" i="81" s="1"/>
  <c r="V82" i="81" s="1"/>
  <c r="V84" i="81" s="1"/>
  <c r="V85" i="81" s="1"/>
  <c r="V74" i="81"/>
  <c r="AA52" i="81"/>
  <c r="AA73" i="81" s="1"/>
  <c r="AF52" i="81" l="1"/>
  <c r="AF73" i="81" s="1"/>
  <c r="AF74" i="81" s="1"/>
  <c r="X87" i="81"/>
  <c r="AA74" i="81"/>
  <c r="AA79" i="81"/>
  <c r="AA81" i="81" s="1"/>
  <c r="AA82" i="81" s="1"/>
  <c r="AA84" i="81" s="1"/>
  <c r="AA85" i="81" s="1"/>
  <c r="AF79" i="81" l="1"/>
  <c r="AF81" i="81" s="1"/>
  <c r="AF82" i="81" s="1"/>
  <c r="AF84" i="81" s="1"/>
  <c r="AF85" i="81" s="1"/>
  <c r="Y52" i="81"/>
  <c r="Y65" i="81"/>
  <c r="Y61" i="81"/>
  <c r="Y57" i="81"/>
  <c r="Y53" i="81"/>
  <c r="Y49" i="81"/>
  <c r="Y45" i="81"/>
  <c r="Y41" i="81"/>
  <c r="Y35" i="81"/>
  <c r="Y31" i="81"/>
  <c r="Y27" i="81"/>
  <c r="Y23" i="81"/>
  <c r="Y19" i="81"/>
  <c r="Y15" i="81"/>
  <c r="Y11" i="81"/>
  <c r="Y62" i="81"/>
  <c r="Y50" i="81"/>
  <c r="Y38" i="81"/>
  <c r="Y24" i="81"/>
  <c r="Y12" i="81"/>
  <c r="Y64" i="81"/>
  <c r="Y60" i="81"/>
  <c r="Y56" i="81"/>
  <c r="Y48" i="81"/>
  <c r="Y44" i="81"/>
  <c r="Y40" i="81"/>
  <c r="Y34" i="81"/>
  <c r="Y30" i="81"/>
  <c r="Y26" i="81"/>
  <c r="Y22" i="81"/>
  <c r="Y18" i="81"/>
  <c r="Y14" i="81"/>
  <c r="Y10" i="81"/>
  <c r="Y58" i="81"/>
  <c r="Y46" i="81"/>
  <c r="Y32" i="81"/>
  <c r="Y20" i="81"/>
  <c r="Y8" i="81"/>
  <c r="Y63" i="81"/>
  <c r="Y59" i="81"/>
  <c r="Y55" i="81"/>
  <c r="Y51" i="81"/>
  <c r="Y47" i="81"/>
  <c r="Y43" i="81"/>
  <c r="Y39" i="81"/>
  <c r="Y33" i="81"/>
  <c r="Y29" i="81"/>
  <c r="Y25" i="81"/>
  <c r="Y21" i="81"/>
  <c r="Y17" i="81"/>
  <c r="Y13" i="81"/>
  <c r="Y9" i="81"/>
  <c r="Y54" i="81"/>
  <c r="Y42" i="81"/>
  <c r="Y28" i="81"/>
  <c r="Y16" i="81"/>
  <c r="Y66" i="81"/>
  <c r="Y36" i="81"/>
  <c r="Y37" i="81"/>
  <c r="AC87" i="81"/>
  <c r="AH87" i="81"/>
  <c r="AI52" i="81" s="1"/>
  <c r="X79" i="81"/>
  <c r="AD52" i="81" l="1"/>
  <c r="Y79" i="81"/>
  <c r="X81" i="81"/>
  <c r="AI56" i="81"/>
  <c r="AI57" i="81"/>
  <c r="AI30" i="81"/>
  <c r="AI63" i="81"/>
  <c r="AI28" i="81"/>
  <c r="AI26" i="81"/>
  <c r="AI54" i="81"/>
  <c r="AI60" i="81"/>
  <c r="AI11" i="81"/>
  <c r="AI64" i="81"/>
  <c r="AI9" i="81"/>
  <c r="AI13" i="81"/>
  <c r="AI17" i="81"/>
  <c r="AI16" i="81"/>
  <c r="AI62" i="81"/>
  <c r="AI14" i="81"/>
  <c r="AI19" i="81"/>
  <c r="AI55" i="81"/>
  <c r="AI65" i="81"/>
  <c r="AI25" i="81"/>
  <c r="AI10" i="81"/>
  <c r="AI21" i="81"/>
  <c r="AI29" i="81"/>
  <c r="AI66" i="81"/>
  <c r="AI15" i="81"/>
  <c r="AI31" i="81"/>
  <c r="AI20" i="81"/>
  <c r="AI8" i="81"/>
  <c r="AI18" i="81"/>
  <c r="AI12" i="81"/>
  <c r="AI22" i="81"/>
  <c r="AI27" i="81"/>
  <c r="AI24" i="81"/>
  <c r="AI58" i="81"/>
  <c r="AI53" i="81"/>
  <c r="AI23" i="81"/>
  <c r="AI59" i="81"/>
  <c r="AI61" i="81"/>
  <c r="AH79" i="81"/>
  <c r="AH81" i="81" s="1"/>
  <c r="AH82" i="81" s="1"/>
  <c r="AH84" i="81" s="1"/>
  <c r="AH85" i="81" s="1"/>
  <c r="AC79" i="81"/>
  <c r="AC81" i="81" s="1"/>
  <c r="AC82" i="81" s="1"/>
  <c r="AC84" i="81" s="1"/>
  <c r="AD45" i="81"/>
  <c r="AD49" i="81"/>
  <c r="AD11" i="81"/>
  <c r="AD57" i="81"/>
  <c r="AD62" i="81"/>
  <c r="AD12" i="81"/>
  <c r="AD29" i="81"/>
  <c r="AD15" i="81"/>
  <c r="AD56" i="81"/>
  <c r="AD28" i="81"/>
  <c r="AD20" i="81"/>
  <c r="AD66" i="81"/>
  <c r="AD69" i="81"/>
  <c r="AD50" i="81"/>
  <c r="AD58" i="81"/>
  <c r="AD47" i="81"/>
  <c r="AD16" i="81"/>
  <c r="AD17" i="81"/>
  <c r="AD55" i="81"/>
  <c r="AD67" i="81"/>
  <c r="AD24" i="81"/>
  <c r="AD8" i="81"/>
  <c r="AD19" i="81"/>
  <c r="AD13" i="81"/>
  <c r="AD10" i="81"/>
  <c r="AD59" i="81"/>
  <c r="AD63" i="81"/>
  <c r="AD44" i="81"/>
  <c r="AD68" i="81"/>
  <c r="AD54" i="81"/>
  <c r="AD53" i="81"/>
  <c r="AD30" i="81"/>
  <c r="AD46" i="81"/>
  <c r="AD26" i="81"/>
  <c r="AD34" i="81"/>
  <c r="AD43" i="81"/>
  <c r="AD22" i="81"/>
  <c r="AD9" i="81"/>
  <c r="AD70" i="81"/>
  <c r="AD42" i="81"/>
  <c r="AD41" i="81"/>
  <c r="AD65" i="81"/>
  <c r="AD64" i="81"/>
  <c r="AD40" i="81"/>
  <c r="AD23" i="81"/>
  <c r="AD21" i="81"/>
  <c r="AD18" i="81"/>
  <c r="AD39" i="81"/>
  <c r="AD25" i="81"/>
  <c r="AD60" i="81"/>
  <c r="AD31" i="81"/>
  <c r="AD14" i="81"/>
  <c r="AD27" i="81"/>
  <c r="AD61" i="81"/>
  <c r="AC85" i="81" l="1"/>
  <c r="X82" i="81"/>
  <c r="Y81" i="81"/>
  <c r="X84" i="81" l="1"/>
  <c r="X85" i="81" s="1"/>
  <c r="Y82" i="81"/>
  <c r="L5" i="85" l="1"/>
  <c r="L38" i="85" s="1"/>
  <c r="N6" i="85"/>
  <c r="N5" i="85" s="1"/>
  <c r="N38" i="85" s="1"/>
  <c r="Q6" i="85"/>
  <c r="Q5" i="85" l="1"/>
  <c r="Q38" i="85" s="1"/>
  <c r="Q75" i="85" s="1"/>
  <c r="Z6" i="85"/>
  <c r="N39" i="85"/>
  <c r="N75" i="85"/>
  <c r="L39" i="85"/>
  <c r="L75" i="85"/>
  <c r="S6" i="85"/>
  <c r="S5" i="85" s="1"/>
  <c r="S38" i="85" s="1"/>
  <c r="Q39" i="85" l="1"/>
  <c r="L81" i="85"/>
  <c r="L83" i="85" s="1"/>
  <c r="L84" i="85" s="1"/>
  <c r="L86" i="85" s="1"/>
  <c r="L87" i="85" s="1"/>
  <c r="L76" i="85"/>
  <c r="N81" i="85"/>
  <c r="N83" i="85" s="1"/>
  <c r="N84" i="85" s="1"/>
  <c r="N86" i="85" s="1"/>
  <c r="N87" i="85" s="1"/>
  <c r="N76" i="85"/>
  <c r="S75" i="85"/>
  <c r="S39" i="85"/>
  <c r="Q81" i="85"/>
  <c r="Q83" i="85" s="1"/>
  <c r="Q84" i="85" s="1"/>
  <c r="Q86" i="85" s="1"/>
  <c r="Q87" i="85" s="1"/>
  <c r="Q76" i="85"/>
  <c r="S76" i="85" l="1"/>
  <c r="S81" i="85"/>
  <c r="S83" i="85" s="1"/>
  <c r="S84" i="85" s="1"/>
  <c r="S86" i="85" s="1"/>
  <c r="S87" i="85" s="1"/>
  <c r="C41" i="101" l="1"/>
  <c r="C33" i="101" l="1"/>
  <c r="C38" i="101" s="1"/>
  <c r="C65" i="101"/>
  <c r="C73" i="101" s="1"/>
  <c r="C76" i="101" s="1"/>
  <c r="F33" i="10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C23" authorId="0" shapeId="0" xr:uid="{00000000-0006-0000-0000-000001000000}">
      <text>
        <r>
          <rPr>
            <b/>
            <sz val="9"/>
            <color indexed="81"/>
            <rFont val="Tahoma"/>
            <family val="2"/>
            <charset val="204"/>
          </rPr>
          <t>Автор:</t>
        </r>
        <r>
          <rPr>
            <sz val="9"/>
            <color indexed="81"/>
            <rFont val="Tahoma"/>
            <family val="2"/>
            <charset val="204"/>
          </rPr>
          <t xml:space="preserve">
в т.ч. модернизация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C3" authorId="0" shapeId="0" xr:uid="{00000000-0006-0000-0400-000001000000}">
      <text>
        <r>
          <rPr>
            <b/>
            <sz val="9"/>
            <color indexed="81"/>
            <rFont val="Tahoma"/>
            <family val="2"/>
            <charset val="204"/>
          </rPr>
          <t>Автор:</t>
        </r>
        <r>
          <rPr>
            <sz val="9"/>
            <color indexed="81"/>
            <rFont val="Tahoma"/>
            <family val="2"/>
            <charset val="204"/>
          </rPr>
          <t xml:space="preserve">
с учетом комисии
</t>
        </r>
      </text>
    </comment>
    <comment ref="G3" authorId="0" shapeId="0" xr:uid="{00000000-0006-0000-0400-000002000000}">
      <text>
        <r>
          <rPr>
            <b/>
            <sz val="9"/>
            <color indexed="81"/>
            <rFont val="Tahoma"/>
            <family val="2"/>
            <charset val="204"/>
          </rPr>
          <t>Автор:</t>
        </r>
        <r>
          <rPr>
            <sz val="9"/>
            <color indexed="81"/>
            <rFont val="Tahoma"/>
            <family val="2"/>
            <charset val="204"/>
          </rPr>
          <t xml:space="preserve">
с учетом комисии
</t>
        </r>
      </text>
    </comment>
    <comment ref="K3" authorId="0" shapeId="0" xr:uid="{00000000-0006-0000-0400-000003000000}">
      <text>
        <r>
          <rPr>
            <b/>
            <sz val="9"/>
            <color indexed="81"/>
            <rFont val="Tahoma"/>
            <family val="2"/>
            <charset val="204"/>
          </rPr>
          <t>Автор:</t>
        </r>
        <r>
          <rPr>
            <sz val="9"/>
            <color indexed="81"/>
            <rFont val="Tahoma"/>
            <family val="2"/>
            <charset val="204"/>
          </rPr>
          <t xml:space="preserve">
с учетом комисии
</t>
        </r>
      </text>
    </comment>
    <comment ref="E44" authorId="0" shapeId="0" xr:uid="{00000000-0006-0000-0400-000004000000}">
      <text>
        <r>
          <rPr>
            <b/>
            <sz val="9"/>
            <color indexed="81"/>
            <rFont val="Tahoma"/>
            <family val="2"/>
            <charset val="204"/>
          </rPr>
          <t>Автор:</t>
        </r>
        <r>
          <rPr>
            <sz val="9"/>
            <color indexed="81"/>
            <rFont val="Tahoma"/>
            <family val="2"/>
            <charset val="204"/>
          </rPr>
          <t xml:space="preserve">
10624-шкаф в офис
</t>
        </r>
      </text>
    </comment>
    <comment ref="D46" authorId="0" shapeId="0" xr:uid="{00000000-0006-0000-0400-000005000000}">
      <text>
        <r>
          <rPr>
            <b/>
            <sz val="9"/>
            <color indexed="81"/>
            <rFont val="Tahoma"/>
            <family val="2"/>
            <charset val="204"/>
          </rPr>
          <t>Автор:</t>
        </r>
        <r>
          <rPr>
            <sz val="9"/>
            <color indexed="81"/>
            <rFont val="Tahoma"/>
            <family val="2"/>
            <charset val="204"/>
          </rPr>
          <t xml:space="preserve">
1831727-операционный затраты
20160-щит силовой
8400-чирозы
25849,15-Инструменты - дрели, шлифмашины, аккумуляторы
24000-Верстат для гнутя арматуры
13558-принтер
2058-Роутер доставка59 грн
7975,54-мебель
7280-мебель
3543-мебель
5764,99-мебель в прорабку</t>
        </r>
      </text>
    </comment>
    <comment ref="E46" authorId="0" shapeId="0" xr:uid="{00000000-0006-0000-0400-000006000000}">
      <text>
        <r>
          <rPr>
            <b/>
            <sz val="9"/>
            <color indexed="81"/>
            <rFont val="Tahoma"/>
            <family val="2"/>
            <charset val="204"/>
          </rPr>
          <t>Автор:</t>
        </r>
        <r>
          <rPr>
            <sz val="9"/>
            <color indexed="81"/>
            <rFont val="Tahoma"/>
            <family val="2"/>
            <charset val="204"/>
          </rPr>
          <t xml:space="preserve">
2470-НП за февраль
3801067-операционные затраты февраль-март
43 500-кап инвест
114776,36-затраты на 2 вагончика
116 044-покупка ОС
58479-операционные затраты апрель-июнь
1696,38-ГСМ (топливо) Панченко О.</t>
        </r>
      </text>
    </comment>
    <comment ref="K46" authorId="0" shapeId="0" xr:uid="{00000000-0006-0000-0400-000007000000}">
      <text>
        <r>
          <rPr>
            <b/>
            <sz val="9"/>
            <color indexed="81"/>
            <rFont val="Tahoma"/>
            <family val="2"/>
            <charset val="204"/>
          </rPr>
          <t>Автор:</t>
        </r>
        <r>
          <rPr>
            <sz val="9"/>
            <color indexed="81"/>
            <rFont val="Tahoma"/>
            <family val="2"/>
            <charset val="204"/>
          </rPr>
          <t xml:space="preserve">
судебный сбор и юридические затраты</t>
        </r>
      </text>
    </comment>
    <comment ref="L46" authorId="0" shapeId="0" xr:uid="{00000000-0006-0000-0400-000008000000}">
      <text>
        <r>
          <rPr>
            <b/>
            <sz val="9"/>
            <color indexed="81"/>
            <rFont val="Tahoma"/>
            <family val="2"/>
            <charset val="204"/>
          </rPr>
          <t>Автор:</t>
        </r>
        <r>
          <rPr>
            <sz val="9"/>
            <color indexed="81"/>
            <rFont val="Tahoma"/>
            <family val="2"/>
            <charset val="204"/>
          </rPr>
          <t xml:space="preserve">
виброплита
</t>
        </r>
      </text>
    </comment>
    <comment ref="O46" authorId="0" shapeId="0" xr:uid="{00000000-0006-0000-0400-000009000000}">
      <text>
        <r>
          <rPr>
            <b/>
            <sz val="9"/>
            <color indexed="81"/>
            <rFont val="Tahoma"/>
            <family val="2"/>
            <charset val="204"/>
          </rPr>
          <t>Автор:</t>
        </r>
        <r>
          <rPr>
            <sz val="9"/>
            <color indexed="81"/>
            <rFont val="Tahoma"/>
            <family val="2"/>
            <charset val="204"/>
          </rPr>
          <t xml:space="preserve">
ІЕС Енерджи</t>
        </r>
      </text>
    </comment>
    <comment ref="Q46" authorId="0" shapeId="0" xr:uid="{00000000-0006-0000-0400-00000A000000}">
      <text>
        <r>
          <rPr>
            <b/>
            <sz val="9"/>
            <color indexed="81"/>
            <rFont val="Tahoma"/>
            <family val="2"/>
            <charset val="204"/>
          </rPr>
          <t>Автор:</t>
        </r>
        <r>
          <rPr>
            <sz val="9"/>
            <color indexed="81"/>
            <rFont val="Tahoma"/>
            <family val="2"/>
            <charset val="204"/>
          </rPr>
          <t xml:space="preserve">
ІЕС Енерджи
Лицензия МЕДок
</t>
        </r>
      </text>
    </comment>
    <comment ref="S46" authorId="0" shapeId="0" xr:uid="{00000000-0006-0000-0400-00000B000000}">
      <text>
        <r>
          <rPr>
            <b/>
            <sz val="9"/>
            <color indexed="81"/>
            <rFont val="Tahoma"/>
            <family val="2"/>
            <charset val="204"/>
          </rPr>
          <t>Автор:</t>
        </r>
        <r>
          <rPr>
            <sz val="9"/>
            <color indexed="81"/>
            <rFont val="Tahoma"/>
            <family val="2"/>
            <charset val="204"/>
          </rPr>
          <t xml:space="preserve">
держреєстратор
</t>
        </r>
      </text>
    </comment>
    <comment ref="T46" authorId="0" shapeId="0" xr:uid="{00000000-0006-0000-0400-00000C000000}">
      <text>
        <r>
          <rPr>
            <b/>
            <sz val="9"/>
            <color indexed="81"/>
            <rFont val="Tahoma"/>
            <family val="2"/>
            <charset val="204"/>
          </rPr>
          <t>Автор:</t>
        </r>
        <r>
          <rPr>
            <sz val="9"/>
            <color indexed="81"/>
            <rFont val="Tahoma"/>
            <family val="2"/>
            <charset val="204"/>
          </rPr>
          <t xml:space="preserve">
150 000 Укренергобудсервіс
2 684 Суд сбор
1 603 Е/Е
</t>
        </r>
      </text>
    </comment>
    <comment ref="U46" authorId="0" shapeId="0" xr:uid="{00000000-0006-0000-0400-00000D000000}">
      <text>
        <r>
          <rPr>
            <b/>
            <sz val="9"/>
            <color indexed="81"/>
            <rFont val="Tahoma"/>
            <family val="2"/>
            <charset val="204"/>
          </rPr>
          <t>Автор:</t>
        </r>
        <r>
          <rPr>
            <sz val="9"/>
            <color indexed="81"/>
            <rFont val="Tahoma"/>
            <family val="2"/>
            <charset val="204"/>
          </rPr>
          <t xml:space="preserve">
372 800 Генплан
119 594 Уведомление
114 000 Стройпаспорта</t>
        </r>
      </text>
    </comment>
    <comment ref="V46" authorId="0" shapeId="0" xr:uid="{00000000-0006-0000-0400-00000E000000}">
      <text>
        <r>
          <rPr>
            <b/>
            <sz val="9"/>
            <color indexed="81"/>
            <rFont val="Tahoma"/>
            <family val="2"/>
            <charset val="204"/>
          </rPr>
          <t>Автор:</t>
        </r>
        <r>
          <rPr>
            <sz val="9"/>
            <color indexed="81"/>
            <rFont val="Tahoma"/>
            <family val="2"/>
            <charset val="204"/>
          </rPr>
          <t xml:space="preserve">
ГСМ, електроенергия
</t>
        </r>
      </text>
    </comment>
    <comment ref="D48" authorId="0" shapeId="0" xr:uid="{00000000-0006-0000-0400-00000F000000}">
      <text>
        <r>
          <rPr>
            <b/>
            <sz val="9"/>
            <color indexed="81"/>
            <rFont val="Tahoma"/>
            <family val="2"/>
            <charset val="204"/>
          </rPr>
          <t>Автор:</t>
        </r>
        <r>
          <rPr>
            <sz val="9"/>
            <color indexed="81"/>
            <rFont val="Tahoma"/>
            <family val="2"/>
            <charset val="204"/>
          </rPr>
          <t xml:space="preserve">
тело за Тягач
</t>
        </r>
      </text>
    </comment>
    <comment ref="E48" authorId="0" shapeId="0" xr:uid="{00000000-0006-0000-0400-000010000000}">
      <text>
        <r>
          <rPr>
            <b/>
            <sz val="9"/>
            <color indexed="81"/>
            <rFont val="Tahoma"/>
            <family val="2"/>
            <charset val="204"/>
          </rPr>
          <t>Автор:</t>
        </r>
        <r>
          <rPr>
            <sz val="9"/>
            <color indexed="81"/>
            <rFont val="Tahoma"/>
            <family val="2"/>
            <charset val="204"/>
          </rPr>
          <t xml:space="preserve">
Тело за тягач</t>
        </r>
      </text>
    </comment>
    <comment ref="I48" authorId="0" shapeId="0" xr:uid="{00000000-0006-0000-0400-000011000000}">
      <text>
        <r>
          <rPr>
            <b/>
            <sz val="9"/>
            <color indexed="81"/>
            <rFont val="Tahoma"/>
            <family val="2"/>
            <charset val="204"/>
          </rPr>
          <t>Автор:</t>
        </r>
        <r>
          <rPr>
            <sz val="9"/>
            <color indexed="81"/>
            <rFont val="Tahoma"/>
            <family val="2"/>
            <charset val="204"/>
          </rPr>
          <t xml:space="preserve">
Тело тягача </t>
        </r>
      </text>
    </comment>
    <comment ref="J48" authorId="0" shapeId="0" xr:uid="{00000000-0006-0000-0400-000012000000}">
      <text>
        <r>
          <rPr>
            <b/>
            <sz val="9"/>
            <color indexed="81"/>
            <rFont val="Tahoma"/>
            <family val="2"/>
            <charset val="204"/>
          </rPr>
          <t>Автор:</t>
        </r>
        <r>
          <rPr>
            <sz val="9"/>
            <color indexed="81"/>
            <rFont val="Tahoma"/>
            <family val="2"/>
            <charset val="204"/>
          </rPr>
          <t xml:space="preserve">
лизинг</t>
        </r>
      </text>
    </comment>
    <comment ref="AC48" authorId="0" shapeId="0" xr:uid="{00000000-0006-0000-0400-000013000000}">
      <text>
        <r>
          <rPr>
            <b/>
            <sz val="9"/>
            <color indexed="81"/>
            <rFont val="Tahoma"/>
            <family val="2"/>
            <charset val="204"/>
          </rPr>
          <t>Автор:</t>
        </r>
        <r>
          <rPr>
            <sz val="9"/>
            <color indexed="81"/>
            <rFont val="Tahoma"/>
            <family val="2"/>
            <charset val="204"/>
          </rPr>
          <t xml:space="preserve">
возврат партнеру вклада в МАН 5
</t>
        </r>
      </text>
    </comment>
    <comment ref="E49" authorId="0" shapeId="0" xr:uid="{00000000-0006-0000-0400-000014000000}">
      <text>
        <r>
          <rPr>
            <b/>
            <sz val="9"/>
            <color indexed="81"/>
            <rFont val="Tahoma"/>
            <family val="2"/>
            <charset val="204"/>
          </rPr>
          <t>Автор:</t>
        </r>
        <r>
          <rPr>
            <sz val="9"/>
            <color indexed="81"/>
            <rFont val="Tahoma"/>
            <family val="2"/>
            <charset val="204"/>
          </rPr>
          <t xml:space="preserve">
покупа листогубочного станка</t>
        </r>
      </text>
    </comment>
    <comment ref="I49" authorId="0" shapeId="0" xr:uid="{00000000-0006-0000-0400-000015000000}">
      <text>
        <r>
          <rPr>
            <b/>
            <sz val="9"/>
            <color indexed="81"/>
            <rFont val="Tahoma"/>
            <family val="2"/>
            <charset val="204"/>
          </rPr>
          <t>Автор:</t>
        </r>
        <r>
          <rPr>
            <sz val="9"/>
            <color indexed="81"/>
            <rFont val="Tahoma"/>
            <family val="2"/>
            <charset val="204"/>
          </rPr>
          <t xml:space="preserve">
Тягач 2016  MAN_ масловоз  2010
Тягач 2016  MAN_ ADR 
Цистерна BURG 2004 
Тягач 2016  MAN_ масловоз  2010_ДОПЛАТА
4817650-ф1</t>
        </r>
      </text>
    </comment>
    <comment ref="J49" authorId="0" shapeId="0" xr:uid="{00000000-0006-0000-0400-000016000000}">
      <text>
        <r>
          <rPr>
            <b/>
            <sz val="9"/>
            <color indexed="81"/>
            <rFont val="Tahoma"/>
            <family val="2"/>
            <charset val="204"/>
          </rPr>
          <t>Автор:</t>
        </r>
        <r>
          <rPr>
            <sz val="9"/>
            <color indexed="81"/>
            <rFont val="Tahoma"/>
            <family val="2"/>
            <charset val="204"/>
          </rPr>
          <t xml:space="preserve">
оплата за масловозы</t>
        </r>
      </text>
    </comment>
    <comment ref="D50" authorId="0" shapeId="0" xr:uid="{00000000-0006-0000-0400-000017000000}">
      <text>
        <r>
          <rPr>
            <b/>
            <sz val="9"/>
            <color indexed="81"/>
            <rFont val="Tahoma"/>
            <family val="2"/>
            <charset val="204"/>
          </rPr>
          <t>Автор:</t>
        </r>
        <r>
          <rPr>
            <sz val="9"/>
            <color indexed="81"/>
            <rFont val="Tahoma"/>
            <family val="2"/>
            <charset val="204"/>
          </rPr>
          <t xml:space="preserve">
2609-краскопульт</t>
        </r>
      </text>
    </comment>
    <comment ref="E50" authorId="0" shapeId="0" xr:uid="{00000000-0006-0000-0400-000018000000}">
      <text>
        <r>
          <rPr>
            <b/>
            <sz val="9"/>
            <color indexed="81"/>
            <rFont val="Tahoma"/>
            <family val="2"/>
            <charset val="204"/>
          </rPr>
          <t>Автор:</t>
        </r>
        <r>
          <rPr>
            <sz val="9"/>
            <color indexed="81"/>
            <rFont val="Tahoma"/>
            <family val="2"/>
            <charset val="204"/>
          </rPr>
          <t xml:space="preserve">
23 310-вышка тура
147 660-фарбувальний агрегат</t>
        </r>
      </text>
    </comment>
    <comment ref="J50" authorId="0" shapeId="0" xr:uid="{00000000-0006-0000-0400-000019000000}">
      <text>
        <r>
          <rPr>
            <b/>
            <sz val="9"/>
            <color indexed="81"/>
            <rFont val="Tahoma"/>
            <family val="2"/>
            <charset val="204"/>
          </rPr>
          <t>Автор:</t>
        </r>
        <r>
          <rPr>
            <sz val="9"/>
            <color indexed="81"/>
            <rFont val="Tahoma"/>
            <family val="2"/>
            <charset val="204"/>
          </rPr>
          <t xml:space="preserve">
Мини АЗС</t>
        </r>
      </text>
    </comment>
    <comment ref="D51" authorId="0" shapeId="0" xr:uid="{00000000-0006-0000-0400-00001A000000}">
      <text>
        <r>
          <rPr>
            <b/>
            <sz val="9"/>
            <color indexed="81"/>
            <rFont val="Tahoma"/>
            <family val="2"/>
            <charset val="204"/>
          </rPr>
          <t>Автор:</t>
        </r>
        <r>
          <rPr>
            <sz val="9"/>
            <color indexed="81"/>
            <rFont val="Tahoma"/>
            <family val="2"/>
            <charset val="204"/>
          </rPr>
          <t xml:space="preserve">
83399,96-БФП Canon Дог. пост№10012021-3 від 10.01.22</t>
        </r>
      </text>
    </comment>
    <comment ref="E51" authorId="0" shapeId="0" xr:uid="{00000000-0006-0000-0400-00001B000000}">
      <text>
        <r>
          <rPr>
            <b/>
            <sz val="9"/>
            <color indexed="81"/>
            <rFont val="Tahoma"/>
            <family val="2"/>
            <charset val="204"/>
          </rPr>
          <t>Автор:</t>
        </r>
        <r>
          <rPr>
            <sz val="9"/>
            <color indexed="81"/>
            <rFont val="Tahoma"/>
            <family val="2"/>
            <charset val="204"/>
          </rPr>
          <t xml:space="preserve">
6976-маршрутизатор в офис</t>
        </r>
      </text>
    </comment>
    <comment ref="K53" authorId="0" shapeId="0" xr:uid="{00000000-0006-0000-0400-00001C000000}">
      <text>
        <r>
          <rPr>
            <b/>
            <sz val="9"/>
            <color indexed="81"/>
            <rFont val="Tahoma"/>
            <family val="2"/>
            <charset val="204"/>
          </rPr>
          <t>Автор:</t>
        </r>
        <r>
          <rPr>
            <sz val="9"/>
            <color indexed="81"/>
            <rFont val="Tahoma"/>
            <family val="2"/>
            <charset val="204"/>
          </rPr>
          <t xml:space="preserve">
лизинг
</t>
        </r>
      </text>
    </comment>
    <comment ref="L53" authorId="0" shapeId="0" xr:uid="{00000000-0006-0000-0400-00001D000000}">
      <text>
        <r>
          <rPr>
            <b/>
            <sz val="9"/>
            <color indexed="81"/>
            <rFont val="Tahoma"/>
            <family val="2"/>
            <charset val="204"/>
          </rPr>
          <t>Автор:</t>
        </r>
        <r>
          <rPr>
            <sz val="9"/>
            <color indexed="81"/>
            <rFont val="Tahoma"/>
            <family val="2"/>
            <charset val="204"/>
          </rPr>
          <t xml:space="preserve">
лизинг
</t>
        </r>
      </text>
    </comment>
    <comment ref="N53" authorId="0" shapeId="0" xr:uid="{00000000-0006-0000-0400-00001E000000}">
      <text>
        <r>
          <rPr>
            <b/>
            <sz val="9"/>
            <color indexed="81"/>
            <rFont val="Tahoma"/>
            <family val="2"/>
            <charset val="204"/>
          </rPr>
          <t>Автор:</t>
        </r>
        <r>
          <rPr>
            <sz val="9"/>
            <color indexed="81"/>
            <rFont val="Tahoma"/>
            <family val="2"/>
            <charset val="204"/>
          </rPr>
          <t xml:space="preserve">
лизинг
</t>
        </r>
      </text>
    </comment>
    <comment ref="N54" authorId="0" shapeId="0" xr:uid="{00000000-0006-0000-0400-00001F000000}">
      <text>
        <r>
          <rPr>
            <b/>
            <sz val="9"/>
            <color indexed="81"/>
            <rFont val="Tahoma"/>
            <family val="2"/>
            <charset val="204"/>
          </rPr>
          <t>Автор:</t>
        </r>
        <r>
          <rPr>
            <sz val="9"/>
            <color indexed="81"/>
            <rFont val="Tahoma"/>
            <family val="2"/>
            <charset val="204"/>
          </rPr>
          <t xml:space="preserve">
Ф1 по МАН 5
за счет Логистики 50% стоимости бралась фин помощь с Индастриала потом вернули
</t>
        </r>
      </text>
    </comment>
    <comment ref="O54" authorId="0" shapeId="0" xr:uid="{00000000-0006-0000-0400-000020000000}">
      <text>
        <r>
          <rPr>
            <b/>
            <sz val="9"/>
            <color indexed="81"/>
            <rFont val="Tahoma"/>
            <family val="2"/>
            <charset val="204"/>
          </rPr>
          <t>Автор:</t>
        </r>
        <r>
          <rPr>
            <sz val="9"/>
            <color indexed="81"/>
            <rFont val="Tahoma"/>
            <family val="2"/>
            <charset val="204"/>
          </rPr>
          <t xml:space="preserve">
прицеп на Форд
</t>
        </r>
      </text>
    </comment>
    <comment ref="Z56" authorId="0" shapeId="0" xr:uid="{00000000-0006-0000-0400-000021000000}">
      <text>
        <r>
          <rPr>
            <b/>
            <sz val="9"/>
            <color indexed="81"/>
            <rFont val="Tahoma"/>
            <family val="2"/>
            <charset val="204"/>
          </rPr>
          <t>Автор:</t>
        </r>
        <r>
          <rPr>
            <sz val="9"/>
            <color indexed="81"/>
            <rFont val="Tahoma"/>
            <family val="2"/>
            <charset val="204"/>
          </rPr>
          <t xml:space="preserve">
проект</t>
        </r>
      </text>
    </comment>
    <comment ref="AB56" authorId="0" shapeId="0" xr:uid="{00000000-0006-0000-0400-000022000000}">
      <text>
        <r>
          <rPr>
            <b/>
            <sz val="9"/>
            <color indexed="81"/>
            <rFont val="Tahoma"/>
            <family val="2"/>
            <charset val="204"/>
          </rPr>
          <t>Автор:</t>
        </r>
        <r>
          <rPr>
            <sz val="9"/>
            <color indexed="81"/>
            <rFont val="Tahoma"/>
            <family val="2"/>
            <charset val="204"/>
          </rPr>
          <t xml:space="preserve">
прект
</t>
        </r>
      </text>
    </comment>
    <comment ref="AC56" authorId="0" shapeId="0" xr:uid="{00000000-0006-0000-0400-000023000000}">
      <text>
        <r>
          <rPr>
            <b/>
            <sz val="9"/>
            <color indexed="81"/>
            <rFont val="Tahoma"/>
            <family val="2"/>
            <charset val="204"/>
          </rPr>
          <t>Автор:</t>
        </r>
        <r>
          <rPr>
            <sz val="9"/>
            <color indexed="81"/>
            <rFont val="Tahoma"/>
            <family val="2"/>
            <charset val="204"/>
          </rPr>
          <t xml:space="preserve">
ключи на Кайлос
</t>
        </r>
      </text>
    </comment>
    <comment ref="S58" authorId="0" shapeId="0" xr:uid="{00000000-0006-0000-0400-000024000000}">
      <text>
        <r>
          <rPr>
            <b/>
            <sz val="9"/>
            <color indexed="81"/>
            <rFont val="Tahoma"/>
            <family val="2"/>
            <charset val="204"/>
          </rPr>
          <t>Автор:</t>
        </r>
        <r>
          <rPr>
            <sz val="9"/>
            <color indexed="81"/>
            <rFont val="Tahoma"/>
            <family val="2"/>
            <charset val="204"/>
          </rPr>
          <t xml:space="preserve">
100 000 пополнение уставного капитапа
</t>
        </r>
      </text>
    </comment>
    <comment ref="S61" authorId="0" shapeId="0" xr:uid="{00000000-0006-0000-0400-000025000000}">
      <text>
        <r>
          <rPr>
            <b/>
            <sz val="9"/>
            <color indexed="81"/>
            <rFont val="Tahoma"/>
            <family val="2"/>
            <charset val="204"/>
          </rPr>
          <t>Автор:</t>
        </r>
        <r>
          <rPr>
            <sz val="9"/>
            <color indexed="81"/>
            <rFont val="Tahoma"/>
            <family val="2"/>
            <charset val="204"/>
          </rPr>
          <t xml:space="preserve">
18 000 дивиденды
21 400 страховка Мерседес</t>
        </r>
      </text>
    </comment>
    <comment ref="U61" authorId="0" shapeId="0" xr:uid="{00000000-0006-0000-0400-000026000000}">
      <text>
        <r>
          <rPr>
            <b/>
            <sz val="9"/>
            <color indexed="81"/>
            <rFont val="Tahoma"/>
            <family val="2"/>
            <charset val="204"/>
          </rPr>
          <t>Автор:</t>
        </r>
        <r>
          <rPr>
            <sz val="9"/>
            <color indexed="81"/>
            <rFont val="Tahoma"/>
            <family val="2"/>
            <charset val="204"/>
          </rPr>
          <t xml:space="preserve">
Mercedes GLS
</t>
        </r>
      </text>
    </comment>
    <comment ref="Y61" authorId="0" shapeId="0" xr:uid="{00000000-0006-0000-0400-000027000000}">
      <text>
        <r>
          <rPr>
            <b/>
            <sz val="9"/>
            <color indexed="81"/>
            <rFont val="Tahoma"/>
            <family val="2"/>
            <charset val="204"/>
          </rPr>
          <t>Автор:</t>
        </r>
        <r>
          <rPr>
            <sz val="9"/>
            <color indexed="81"/>
            <rFont val="Tahoma"/>
            <family val="2"/>
            <charset val="204"/>
          </rPr>
          <t xml:space="preserve">
ГСМ + ТО + страховка
+ Голосеево
</t>
        </r>
      </text>
    </comment>
    <comment ref="Z61" authorId="0" shapeId="0" xr:uid="{00000000-0006-0000-0400-000028000000}">
      <text>
        <r>
          <rPr>
            <b/>
            <sz val="9"/>
            <color indexed="81"/>
            <rFont val="Tahoma"/>
            <family val="2"/>
            <charset val="204"/>
          </rPr>
          <t>Автор:</t>
        </r>
        <r>
          <rPr>
            <sz val="9"/>
            <color indexed="81"/>
            <rFont val="Tahoma"/>
            <family val="2"/>
            <charset val="204"/>
          </rPr>
          <t xml:space="preserve">
ГСМ + Голосеево
</t>
        </r>
      </text>
    </comment>
    <comment ref="AA61" authorId="0" shapeId="0" xr:uid="{00000000-0006-0000-0400-000029000000}">
      <text>
        <r>
          <rPr>
            <b/>
            <sz val="9"/>
            <color indexed="81"/>
            <rFont val="Tahoma"/>
            <family val="2"/>
            <charset val="204"/>
          </rPr>
          <t>Автор:</t>
        </r>
        <r>
          <rPr>
            <sz val="9"/>
            <color indexed="81"/>
            <rFont val="Tahoma"/>
            <family val="2"/>
            <charset val="204"/>
          </rPr>
          <t xml:space="preserve">
ГСМ</t>
        </r>
      </text>
    </comment>
    <comment ref="AB61" authorId="0" shapeId="0" xr:uid="{00000000-0006-0000-0400-00002A000000}">
      <text>
        <r>
          <rPr>
            <b/>
            <sz val="9"/>
            <color indexed="81"/>
            <rFont val="Tahoma"/>
            <family val="2"/>
            <charset val="204"/>
          </rPr>
          <t>Автор:</t>
        </r>
        <r>
          <rPr>
            <sz val="9"/>
            <color indexed="81"/>
            <rFont val="Tahoma"/>
            <family val="2"/>
            <charset val="204"/>
          </rPr>
          <t xml:space="preserve">
ГСМ</t>
        </r>
      </text>
    </comment>
    <comment ref="AC61" authorId="0" shapeId="0" xr:uid="{00000000-0006-0000-0400-00002B000000}">
      <text>
        <r>
          <rPr>
            <b/>
            <sz val="9"/>
            <color indexed="81"/>
            <rFont val="Tahoma"/>
            <family val="2"/>
            <charset val="204"/>
          </rPr>
          <t>Автор:</t>
        </r>
        <r>
          <rPr>
            <sz val="9"/>
            <color indexed="81"/>
            <rFont val="Tahoma"/>
            <family val="2"/>
            <charset val="204"/>
          </rPr>
          <t xml:space="preserve">
ГСМ + страховка Е220</t>
        </r>
      </text>
    </comment>
    <comment ref="N63" authorId="0" shapeId="0" xr:uid="{00000000-0006-0000-0400-00002C000000}">
      <text>
        <r>
          <rPr>
            <b/>
            <sz val="9"/>
            <color indexed="81"/>
            <rFont val="Tahoma"/>
            <family val="2"/>
            <charset val="204"/>
          </rPr>
          <t>Автор:</t>
        </r>
        <r>
          <rPr>
            <sz val="9"/>
            <color indexed="81"/>
            <rFont val="Tahoma"/>
            <family val="2"/>
            <charset val="204"/>
          </rPr>
          <t xml:space="preserve">
дивиденды за генераторы
</t>
        </r>
      </text>
    </comment>
    <comment ref="O63" authorId="0" shapeId="0" xr:uid="{00000000-0006-0000-0400-00002D000000}">
      <text>
        <r>
          <rPr>
            <b/>
            <sz val="9"/>
            <color indexed="81"/>
            <rFont val="Tahoma"/>
            <family val="2"/>
            <charset val="204"/>
          </rPr>
          <t>Автор:</t>
        </r>
        <r>
          <rPr>
            <sz val="9"/>
            <color indexed="81"/>
            <rFont val="Tahoma"/>
            <family val="2"/>
            <charset val="204"/>
          </rPr>
          <t xml:space="preserve">
Mercedes E 220</t>
        </r>
      </text>
    </comment>
    <comment ref="AA63" authorId="0" shapeId="0" xr:uid="{00000000-0006-0000-0400-00002E000000}">
      <text>
        <r>
          <rPr>
            <b/>
            <sz val="9"/>
            <color indexed="81"/>
            <rFont val="Tahoma"/>
            <family val="2"/>
            <charset val="204"/>
          </rPr>
          <t>Автор:</t>
        </r>
        <r>
          <rPr>
            <sz val="9"/>
            <color indexed="81"/>
            <rFont val="Tahoma"/>
            <family val="2"/>
            <charset val="204"/>
          </rPr>
          <t xml:space="preserve">
Голосеево
</t>
        </r>
      </text>
    </comment>
    <comment ref="AB63" authorId="0" shapeId="0" xr:uid="{00000000-0006-0000-0400-00002F000000}">
      <text>
        <r>
          <rPr>
            <b/>
            <sz val="9"/>
            <color indexed="81"/>
            <rFont val="Tahoma"/>
            <family val="2"/>
            <charset val="204"/>
          </rPr>
          <t>Автор:</t>
        </r>
        <r>
          <rPr>
            <sz val="9"/>
            <color indexed="81"/>
            <rFont val="Tahoma"/>
            <family val="2"/>
            <charset val="204"/>
          </rPr>
          <t xml:space="preserve">
Голосеево
</t>
        </r>
      </text>
    </comment>
    <comment ref="AC63" authorId="0" shapeId="0" xr:uid="{00000000-0006-0000-0400-000030000000}">
      <text>
        <r>
          <rPr>
            <b/>
            <sz val="9"/>
            <color indexed="81"/>
            <rFont val="Tahoma"/>
            <family val="2"/>
            <charset val="204"/>
          </rPr>
          <t>Автор:</t>
        </r>
        <r>
          <rPr>
            <sz val="9"/>
            <color indexed="81"/>
            <rFont val="Tahoma"/>
            <family val="2"/>
            <charset val="204"/>
          </rPr>
          <t xml:space="preserve">
Голосеевский
</t>
        </r>
      </text>
    </comment>
    <comment ref="N67" authorId="0" shapeId="0" xr:uid="{00000000-0006-0000-0400-000031000000}">
      <text>
        <r>
          <rPr>
            <b/>
            <sz val="9"/>
            <color indexed="81"/>
            <rFont val="Tahoma"/>
            <family val="2"/>
            <charset val="204"/>
          </rPr>
          <t>Автор:</t>
        </r>
        <r>
          <rPr>
            <sz val="9"/>
            <color indexed="81"/>
            <rFont val="Tahoma"/>
            <family val="2"/>
            <charset val="204"/>
          </rPr>
          <t xml:space="preserve">
дивиденды за генераторы
</t>
        </r>
      </text>
    </comment>
    <comment ref="O67" authorId="0" shapeId="0" xr:uid="{00000000-0006-0000-0400-000032000000}">
      <text>
        <r>
          <rPr>
            <b/>
            <sz val="9"/>
            <color indexed="81"/>
            <rFont val="Tahoma"/>
            <family val="2"/>
            <charset val="204"/>
          </rPr>
          <t>Автор:</t>
        </r>
        <r>
          <rPr>
            <sz val="9"/>
            <color indexed="81"/>
            <rFont val="Tahoma"/>
            <family val="2"/>
            <charset val="204"/>
          </rPr>
          <t xml:space="preserve">
ман 5
Мерседес и налог
</t>
        </r>
      </text>
    </comment>
    <comment ref="P67" authorId="0" shapeId="0" xr:uid="{00000000-0006-0000-0400-000033000000}">
      <text>
        <r>
          <rPr>
            <b/>
            <sz val="9"/>
            <color indexed="81"/>
            <rFont val="Tahoma"/>
            <family val="2"/>
            <charset val="204"/>
          </rPr>
          <t>Автор:</t>
        </r>
        <r>
          <rPr>
            <sz val="9"/>
            <color indexed="81"/>
            <rFont val="Tahoma"/>
            <family val="2"/>
            <charset val="204"/>
          </rPr>
          <t xml:space="preserve">
200 000 строительство
41 545 Ман 5
159 192 Генераторы
21 400 страховка Mercedesc E 220</t>
        </r>
      </text>
    </comment>
    <comment ref="Q67" authorId="0" shapeId="0" xr:uid="{00000000-0006-0000-0400-000034000000}">
      <text>
        <r>
          <rPr>
            <b/>
            <sz val="9"/>
            <color indexed="81"/>
            <rFont val="Tahoma"/>
            <family val="2"/>
            <charset val="204"/>
          </rPr>
          <t>Автор:</t>
        </r>
        <r>
          <rPr>
            <sz val="9"/>
            <color indexed="81"/>
            <rFont val="Tahoma"/>
            <family val="2"/>
            <charset val="204"/>
          </rPr>
          <t xml:space="preserve">
MAN 5
</t>
        </r>
      </text>
    </comment>
    <comment ref="S67" authorId="0" shapeId="0" xr:uid="{00000000-0006-0000-0400-000035000000}">
      <text>
        <r>
          <rPr>
            <b/>
            <sz val="9"/>
            <color indexed="81"/>
            <rFont val="Tahoma"/>
            <family val="2"/>
            <charset val="204"/>
          </rPr>
          <t>Автор:</t>
        </r>
        <r>
          <rPr>
            <sz val="9"/>
            <color indexed="81"/>
            <rFont val="Tahoma"/>
            <family val="2"/>
            <charset val="204"/>
          </rPr>
          <t xml:space="preserve">
18 000 строительство
100 000 пополнение уставного капилала И.П.С
21400 -страховка Mercedes E 220</t>
        </r>
      </text>
    </comment>
    <comment ref="T67" authorId="0" shapeId="0" xr:uid="{00000000-0006-0000-0400-000036000000}">
      <text>
        <r>
          <rPr>
            <b/>
            <sz val="9"/>
            <color indexed="81"/>
            <rFont val="Tahoma"/>
            <family val="2"/>
            <charset val="204"/>
          </rPr>
          <t>Автор:</t>
        </r>
        <r>
          <rPr>
            <sz val="9"/>
            <color indexed="81"/>
            <rFont val="Tahoma"/>
            <family val="2"/>
            <charset val="204"/>
          </rPr>
          <t xml:space="preserve">
1 578 000 - И.П.С.
3 888 639 - Mercedes GLS
400 000 - ДИВИДЕНДЫ</t>
        </r>
      </text>
    </comment>
    <comment ref="U67" authorId="0" shapeId="0" xr:uid="{00000000-0006-0000-0400-000037000000}">
      <text>
        <r>
          <rPr>
            <b/>
            <sz val="9"/>
            <color indexed="81"/>
            <rFont val="Tahoma"/>
            <family val="2"/>
            <charset val="204"/>
          </rPr>
          <t>Автор:</t>
        </r>
        <r>
          <rPr>
            <sz val="9"/>
            <color indexed="81"/>
            <rFont val="Tahoma"/>
            <family val="2"/>
            <charset val="204"/>
          </rPr>
          <t xml:space="preserve">
38 620 - зашли на карту от Львовбуд
162 026,62 - налог по Мercedes GlS
1 104 300 - И.П.С.</t>
        </r>
      </text>
    </comment>
    <comment ref="S68" authorId="0" shapeId="0" xr:uid="{00000000-0006-0000-0400-000038000000}">
      <text>
        <r>
          <rPr>
            <b/>
            <sz val="9"/>
            <color indexed="81"/>
            <rFont val="Tahoma"/>
            <family val="2"/>
            <charset val="204"/>
          </rPr>
          <t>Автор:</t>
        </r>
        <r>
          <rPr>
            <sz val="9"/>
            <color indexed="81"/>
            <rFont val="Tahoma"/>
            <family val="2"/>
            <charset val="204"/>
          </rPr>
          <t xml:space="preserve">
18 000 дивиденды
21 400 страховка Мерседес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E4" authorId="0" shapeId="0" xr:uid="{00000000-0006-0000-0900-000001000000}">
      <text>
        <r>
          <rPr>
            <b/>
            <sz val="9"/>
            <color indexed="81"/>
            <rFont val="Tahoma"/>
            <family val="2"/>
            <charset val="204"/>
          </rPr>
          <t xml:space="preserve">Козин в бюджете учи уже 15% в сумме ф2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C28" authorId="0" shapeId="0" xr:uid="{00000000-0006-0000-1500-000001000000}">
      <text>
        <r>
          <rPr>
            <b/>
            <sz val="9"/>
            <color indexed="81"/>
            <rFont val="Tahoma"/>
            <family val="2"/>
            <charset val="204"/>
          </rPr>
          <t>Автор:</t>
        </r>
        <r>
          <rPr>
            <sz val="9"/>
            <color indexed="81"/>
            <rFont val="Tahoma"/>
            <family val="2"/>
            <charset val="204"/>
          </rPr>
          <t xml:space="preserve">
11900-медосмотр</t>
        </r>
      </text>
    </comment>
    <comment ref="C36" authorId="0" shapeId="0" xr:uid="{00000000-0006-0000-1500-000002000000}">
      <text>
        <r>
          <rPr>
            <b/>
            <sz val="9"/>
            <color indexed="81"/>
            <rFont val="Tahoma"/>
            <family val="2"/>
            <charset val="204"/>
          </rPr>
          <t>Автор:</t>
        </r>
        <r>
          <rPr>
            <sz val="9"/>
            <color indexed="81"/>
            <rFont val="Tahoma"/>
            <family val="2"/>
            <charset val="204"/>
          </rPr>
          <t xml:space="preserve">
спецодежда</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C28" authorId="0" shapeId="0" xr:uid="{00000000-0006-0000-1600-000001000000}">
      <text>
        <r>
          <rPr>
            <b/>
            <sz val="9"/>
            <color indexed="81"/>
            <rFont val="Tahoma"/>
            <family val="2"/>
            <charset val="204"/>
          </rPr>
          <t>Автор:</t>
        </r>
        <r>
          <rPr>
            <sz val="9"/>
            <color indexed="81"/>
            <rFont val="Tahoma"/>
            <family val="2"/>
            <charset val="204"/>
          </rPr>
          <t xml:space="preserve">
спецодежда
</t>
        </r>
      </text>
    </comment>
    <comment ref="D28" authorId="0" shapeId="0" xr:uid="{00000000-0006-0000-1600-000002000000}">
      <text>
        <r>
          <rPr>
            <b/>
            <sz val="9"/>
            <color indexed="81"/>
            <rFont val="Tahoma"/>
            <family val="2"/>
            <charset val="204"/>
          </rPr>
          <t>Автор:</t>
        </r>
        <r>
          <rPr>
            <sz val="9"/>
            <color indexed="81"/>
            <rFont val="Tahoma"/>
            <family val="2"/>
            <charset val="204"/>
          </rPr>
          <t xml:space="preserve">
уборка помещения</t>
        </r>
      </text>
    </comment>
    <comment ref="D43" authorId="0" shapeId="0" xr:uid="{00000000-0006-0000-1600-000003000000}">
      <text>
        <r>
          <rPr>
            <b/>
            <sz val="9"/>
            <color indexed="81"/>
            <rFont val="Tahoma"/>
            <family val="2"/>
            <charset val="204"/>
          </rPr>
          <t>Автор:</t>
        </r>
        <r>
          <rPr>
            <sz val="9"/>
            <color indexed="81"/>
            <rFont val="Tahoma"/>
            <family val="2"/>
            <charset val="204"/>
          </rPr>
          <t xml:space="preserve">
бытовая химия и хозтовары</t>
        </r>
      </text>
    </comment>
    <comment ref="C69" authorId="0" shapeId="0" xr:uid="{00000000-0006-0000-1600-000004000000}">
      <text>
        <r>
          <rPr>
            <b/>
            <sz val="9"/>
            <color indexed="81"/>
            <rFont val="Tahoma"/>
            <family val="2"/>
            <charset val="204"/>
          </rPr>
          <t>Автор:</t>
        </r>
        <r>
          <rPr>
            <sz val="9"/>
            <color indexed="81"/>
            <rFont val="Tahoma"/>
            <family val="2"/>
            <charset val="204"/>
          </rPr>
          <t xml:space="preserve">
3500-медосмотр</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L6" authorId="0" shapeId="0" xr:uid="{00000000-0006-0000-1D00-000001000000}">
      <text>
        <r>
          <rPr>
            <b/>
            <sz val="9"/>
            <color indexed="81"/>
            <rFont val="Tahoma"/>
            <family val="2"/>
            <charset val="204"/>
          </rPr>
          <t>Автор:</t>
        </r>
        <r>
          <rPr>
            <sz val="9"/>
            <color indexed="81"/>
            <rFont val="Tahoma"/>
            <family val="2"/>
            <charset val="204"/>
          </rPr>
          <t xml:space="preserve">
согласно 361 счета за январь</t>
        </r>
      </text>
    </comment>
    <comment ref="Q6" authorId="0" shapeId="0" xr:uid="{00000000-0006-0000-1D00-000002000000}">
      <text>
        <r>
          <rPr>
            <b/>
            <sz val="9"/>
            <color indexed="81"/>
            <rFont val="Tahoma"/>
            <family val="2"/>
            <charset val="204"/>
          </rPr>
          <t>Автор:</t>
        </r>
        <r>
          <rPr>
            <sz val="9"/>
            <color indexed="81"/>
            <rFont val="Tahoma"/>
            <family val="2"/>
            <charset val="204"/>
          </rPr>
          <t xml:space="preserve">
согласно 361 счета за январь</t>
        </r>
      </text>
    </comment>
    <comment ref="V6" authorId="0" shapeId="0" xr:uid="{00000000-0006-0000-1D00-000003000000}">
      <text>
        <r>
          <rPr>
            <b/>
            <sz val="9"/>
            <color indexed="81"/>
            <rFont val="Tahoma"/>
            <family val="2"/>
            <charset val="204"/>
          </rPr>
          <t>Автор:</t>
        </r>
        <r>
          <rPr>
            <sz val="9"/>
            <color indexed="81"/>
            <rFont val="Tahoma"/>
            <family val="2"/>
            <charset val="204"/>
          </rPr>
          <t xml:space="preserve">
согласно 361 счета за январь</t>
        </r>
      </text>
    </comment>
    <comment ref="M16" authorId="0" shapeId="0" xr:uid="{00000000-0006-0000-1D00-000004000000}">
      <text>
        <r>
          <rPr>
            <b/>
            <sz val="9"/>
            <color indexed="81"/>
            <rFont val="Tahoma"/>
            <family val="2"/>
            <charset val="204"/>
          </rPr>
          <t>Автор:</t>
        </r>
        <r>
          <rPr>
            <sz val="9"/>
            <color indexed="81"/>
            <rFont val="Tahoma"/>
            <family val="2"/>
            <charset val="204"/>
          </rPr>
          <t xml:space="preserve">
на актах проставила отметку "январь", вошли работы декабря, так как в декабре закрывали акт ноября</t>
        </r>
      </text>
    </comment>
    <comment ref="L18" authorId="0" shapeId="0" xr:uid="{00000000-0006-0000-1D00-000005000000}">
      <text>
        <r>
          <rPr>
            <b/>
            <sz val="9"/>
            <color indexed="81"/>
            <rFont val="Tahoma"/>
            <family val="2"/>
            <charset val="204"/>
          </rPr>
          <t>Автор:</t>
        </r>
        <r>
          <rPr>
            <sz val="9"/>
            <color indexed="81"/>
            <rFont val="Tahoma"/>
            <family val="2"/>
            <charset val="204"/>
          </rPr>
          <t xml:space="preserve">
включена металлизация, 
</t>
        </r>
      </text>
    </comment>
    <comment ref="L25" authorId="0" shapeId="0" xr:uid="{00000000-0006-0000-1D00-000006000000}">
      <text>
        <r>
          <rPr>
            <b/>
            <sz val="9"/>
            <color indexed="81"/>
            <rFont val="Tahoma"/>
            <family val="2"/>
            <charset val="204"/>
          </rPr>
          <t>Автор:</t>
        </r>
        <r>
          <rPr>
            <sz val="9"/>
            <color indexed="81"/>
            <rFont val="Tahoma"/>
            <family val="2"/>
            <charset val="204"/>
          </rPr>
          <t xml:space="preserve">
данные из передачи материалов по кредиту 221 сч. (склад Пологи)
9351,78 - чнварские списано в декабре (список Оксаны)</t>
        </r>
      </text>
    </comment>
    <comment ref="L26" authorId="0" shapeId="0" xr:uid="{00000000-0006-0000-1D00-000007000000}">
      <text>
        <r>
          <rPr>
            <b/>
            <sz val="9"/>
            <color indexed="81"/>
            <rFont val="Tahoma"/>
            <family val="2"/>
            <charset val="204"/>
          </rPr>
          <t>Автор:</t>
        </r>
        <r>
          <rPr>
            <sz val="9"/>
            <color indexed="81"/>
            <rFont val="Tahoma"/>
            <family val="2"/>
            <charset val="204"/>
          </rPr>
          <t xml:space="preserve">
списание под акт согласно комментариев, склада обмена нет</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X6" authorId="0" shapeId="0" xr:uid="{00000000-0006-0000-4100-000001000000}">
      <text>
        <r>
          <rPr>
            <b/>
            <sz val="9"/>
            <color indexed="81"/>
            <rFont val="Tahoma"/>
            <family val="2"/>
            <charset val="204"/>
          </rPr>
          <t>Автор:</t>
        </r>
        <r>
          <rPr>
            <sz val="9"/>
            <color indexed="81"/>
            <rFont val="Tahoma"/>
            <family val="2"/>
            <charset val="204"/>
          </rPr>
          <t xml:space="preserve">
в казне 11500 грн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AF9" authorId="0" shapeId="0" xr:uid="{00000000-0006-0000-4200-000001000000}">
      <text>
        <r>
          <rPr>
            <b/>
            <sz val="9"/>
            <color indexed="81"/>
            <rFont val="Tahoma"/>
            <family val="2"/>
            <charset val="204"/>
          </rPr>
          <t>Автор:</t>
        </r>
        <r>
          <rPr>
            <sz val="9"/>
            <color indexed="81"/>
            <rFont val="Tahoma"/>
            <family val="2"/>
            <charset val="204"/>
          </rPr>
          <t xml:space="preserve">
22 дня будут списана поотчетным лицом в январе 2023</t>
        </r>
      </text>
    </comment>
    <comment ref="AF29" authorId="0" shapeId="0" xr:uid="{00000000-0006-0000-4200-000002000000}">
      <text>
        <r>
          <rPr>
            <b/>
            <sz val="9"/>
            <color indexed="81"/>
            <rFont val="Tahoma"/>
            <family val="2"/>
            <charset val="204"/>
          </rPr>
          <t>Автор:</t>
        </r>
        <r>
          <rPr>
            <sz val="9"/>
            <color indexed="81"/>
            <rFont val="Tahoma"/>
            <family val="2"/>
            <charset val="204"/>
          </rPr>
          <t xml:space="preserve">
20 дня будут списана поотчетным лицом в январе 2023</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I6" authorId="0" shapeId="0" xr:uid="{00000000-0006-0000-4300-000001000000}">
      <text>
        <r>
          <rPr>
            <b/>
            <sz val="9"/>
            <color indexed="81"/>
            <rFont val="Tahoma"/>
            <family val="2"/>
            <charset val="204"/>
          </rPr>
          <t>Автор:</t>
        </r>
        <r>
          <rPr>
            <sz val="9"/>
            <color indexed="81"/>
            <rFont val="Tahoma"/>
            <family val="2"/>
            <charset val="204"/>
          </rPr>
          <t xml:space="preserve">
в казне 82 563 грн
</t>
        </r>
      </text>
    </comment>
    <comment ref="AF9" authorId="0" shapeId="0" xr:uid="{00000000-0006-0000-4300-000002000000}">
      <text>
        <r>
          <rPr>
            <b/>
            <sz val="9"/>
            <color indexed="81"/>
            <rFont val="Tahoma"/>
            <family val="2"/>
            <charset val="204"/>
          </rPr>
          <t>Автор:</t>
        </r>
        <r>
          <rPr>
            <sz val="9"/>
            <color indexed="81"/>
            <rFont val="Tahoma"/>
            <family val="2"/>
            <charset val="204"/>
          </rPr>
          <t xml:space="preserve">
22 дня будут списана поотчетным лицом в январе 2023</t>
        </r>
      </text>
    </comment>
    <comment ref="AF29" authorId="0" shapeId="0" xr:uid="{00000000-0006-0000-4300-000003000000}">
      <text>
        <r>
          <rPr>
            <b/>
            <sz val="9"/>
            <color indexed="81"/>
            <rFont val="Tahoma"/>
            <family val="2"/>
            <charset val="204"/>
          </rPr>
          <t>Автор:</t>
        </r>
        <r>
          <rPr>
            <sz val="9"/>
            <color indexed="81"/>
            <rFont val="Tahoma"/>
            <family val="2"/>
            <charset val="204"/>
          </rPr>
          <t xml:space="preserve">
20 дня будут списана поотчетным лицом в январе 2023</t>
        </r>
      </text>
    </comment>
    <comment ref="C32" authorId="0" shapeId="0" xr:uid="{00000000-0006-0000-4300-000004000000}">
      <text>
        <r>
          <rPr>
            <b/>
            <sz val="9"/>
            <color indexed="81"/>
            <rFont val="Tahoma"/>
            <family val="2"/>
            <charset val="204"/>
          </rPr>
          <t>Автор:</t>
        </r>
        <r>
          <rPr>
            <sz val="9"/>
            <color indexed="81"/>
            <rFont val="Tahoma"/>
            <family val="2"/>
            <charset val="204"/>
          </rPr>
          <t xml:space="preserve">
8534 с Джи Три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AF9" authorId="0" shapeId="0" xr:uid="{00000000-0006-0000-4400-000001000000}">
      <text>
        <r>
          <rPr>
            <b/>
            <sz val="9"/>
            <color indexed="81"/>
            <rFont val="Tahoma"/>
            <family val="2"/>
            <charset val="204"/>
          </rPr>
          <t>Автор:</t>
        </r>
        <r>
          <rPr>
            <sz val="9"/>
            <color indexed="81"/>
            <rFont val="Tahoma"/>
            <family val="2"/>
            <charset val="204"/>
          </rPr>
          <t xml:space="preserve">
22 дня будут списана поотчетным лицом в январе 2023</t>
        </r>
      </text>
    </comment>
    <comment ref="AB29" authorId="0" shapeId="0" xr:uid="{00000000-0006-0000-4400-000002000000}">
      <text>
        <r>
          <rPr>
            <b/>
            <sz val="9"/>
            <color indexed="81"/>
            <rFont val="Tahoma"/>
            <family val="2"/>
            <charset val="204"/>
          </rPr>
          <t>Автор:</t>
        </r>
        <r>
          <rPr>
            <sz val="9"/>
            <color indexed="81"/>
            <rFont val="Tahoma"/>
            <family val="2"/>
            <charset val="204"/>
          </rPr>
          <t xml:space="preserve">
простой 22дня</t>
        </r>
      </text>
    </comment>
    <comment ref="AF29" authorId="0" shapeId="0" xr:uid="{00000000-0006-0000-4400-000003000000}">
      <text>
        <r>
          <rPr>
            <b/>
            <sz val="9"/>
            <color indexed="81"/>
            <rFont val="Tahoma"/>
            <family val="2"/>
            <charset val="204"/>
          </rPr>
          <t>Автор:</t>
        </r>
        <r>
          <rPr>
            <sz val="9"/>
            <color indexed="81"/>
            <rFont val="Tahoma"/>
            <family val="2"/>
            <charset val="204"/>
          </rPr>
          <t xml:space="preserve">
22 дня будут списана поотчетным лицом в январе 2023</t>
        </r>
      </text>
    </comment>
    <comment ref="C32" authorId="0" shapeId="0" xr:uid="{00000000-0006-0000-4400-000004000000}">
      <text>
        <r>
          <rPr>
            <b/>
            <sz val="9"/>
            <color indexed="81"/>
            <rFont val="Tahoma"/>
            <family val="2"/>
            <charset val="204"/>
          </rPr>
          <t>Автор:</t>
        </r>
        <r>
          <rPr>
            <sz val="9"/>
            <color indexed="81"/>
            <rFont val="Tahoma"/>
            <family val="2"/>
            <charset val="204"/>
          </rPr>
          <t xml:space="preserve">
Джи Три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AB28" authorId="0" shapeId="0" xr:uid="{00000000-0006-0000-4500-000001000000}">
      <text>
        <r>
          <rPr>
            <b/>
            <sz val="9"/>
            <color indexed="81"/>
            <rFont val="Tahoma"/>
            <family val="2"/>
            <charset val="204"/>
          </rPr>
          <t>Автор:</t>
        </r>
        <r>
          <rPr>
            <sz val="9"/>
            <color indexed="81"/>
            <rFont val="Tahoma"/>
            <family val="2"/>
            <charset val="204"/>
          </rPr>
          <t xml:space="preserve">
4696,25  PETROL OFISI A.S., DUZCE</t>
        </r>
      </text>
    </comment>
    <comment ref="AB29" authorId="0" shapeId="0" xr:uid="{00000000-0006-0000-4500-000002000000}">
      <text>
        <r>
          <rPr>
            <b/>
            <sz val="9"/>
            <color indexed="81"/>
            <rFont val="Tahoma"/>
            <family val="2"/>
            <charset val="204"/>
          </rPr>
          <t>Автор:</t>
        </r>
        <r>
          <rPr>
            <sz val="9"/>
            <color indexed="81"/>
            <rFont val="Tahoma"/>
            <family val="2"/>
            <charset val="204"/>
          </rPr>
          <t xml:space="preserve">
простой 22дня</t>
        </r>
      </text>
    </comment>
    <comment ref="AF29" authorId="0" shapeId="0" xr:uid="{00000000-0006-0000-4500-000003000000}">
      <text>
        <r>
          <rPr>
            <b/>
            <sz val="9"/>
            <color indexed="81"/>
            <rFont val="Tahoma"/>
            <family val="2"/>
            <charset val="204"/>
          </rPr>
          <t>Автор:</t>
        </r>
        <r>
          <rPr>
            <sz val="9"/>
            <color indexed="81"/>
            <rFont val="Tahoma"/>
            <family val="2"/>
            <charset val="204"/>
          </rPr>
          <t xml:space="preserve">
22 дня будут списана поотчетным лицом в январе 2023</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E4" authorId="0" shapeId="0" xr:uid="{00000000-0006-0000-4700-000001000000}">
      <text>
        <r>
          <rPr>
            <b/>
            <sz val="9"/>
            <color indexed="81"/>
            <rFont val="Tahoma"/>
            <family val="2"/>
            <charset val="204"/>
          </rPr>
          <t xml:space="preserve">Козин в бюджете учи уже 15% в сумме ф2
</t>
        </r>
      </text>
    </comment>
    <comment ref="M79" authorId="0" shapeId="0" xr:uid="{00000000-0006-0000-4700-000002000000}">
      <text>
        <r>
          <rPr>
            <b/>
            <sz val="9"/>
            <color indexed="81"/>
            <rFont val="Tahoma"/>
            <family val="2"/>
            <charset val="204"/>
          </rPr>
          <t>Автор:</t>
        </r>
        <r>
          <rPr>
            <sz val="9"/>
            <color indexed="81"/>
            <rFont val="Tahoma"/>
            <family val="2"/>
            <charset val="204"/>
          </rPr>
          <t xml:space="preserve">
в июле выплачено</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AB26" authorId="0" shapeId="0" xr:uid="{00000000-0006-0000-4800-000001000000}">
      <text>
        <r>
          <rPr>
            <b/>
            <sz val="9"/>
            <color indexed="81"/>
            <rFont val="Tahoma"/>
            <family val="2"/>
            <charset val="204"/>
          </rPr>
          <t>Автор:</t>
        </r>
        <r>
          <rPr>
            <sz val="9"/>
            <color indexed="81"/>
            <rFont val="Tahoma"/>
            <family val="2"/>
            <charset val="204"/>
          </rPr>
          <t xml:space="preserve">
Сетка для футеровки(выставить заказчику)</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Автор</author>
  </authors>
  <commentList>
    <comment ref="L6" authorId="0" shapeId="0" xr:uid="{00000000-0006-0000-4C00-000001000000}">
      <text>
        <r>
          <rPr>
            <b/>
            <sz val="9"/>
            <color indexed="81"/>
            <rFont val="Tahoma"/>
            <family val="2"/>
            <charset val="204"/>
          </rPr>
          <t>Автор:</t>
        </r>
        <r>
          <rPr>
            <sz val="9"/>
            <color indexed="81"/>
            <rFont val="Tahoma"/>
            <family val="2"/>
            <charset val="204"/>
          </rPr>
          <t xml:space="preserve">
КМД ФАСАД СОЛЮШЕНС ТОВ</t>
        </r>
      </text>
    </comment>
    <comment ref="Q6" authorId="0" shapeId="0" xr:uid="{00000000-0006-0000-4C00-000002000000}">
      <text>
        <r>
          <rPr>
            <b/>
            <sz val="9"/>
            <color indexed="81"/>
            <rFont val="Tahoma"/>
            <family val="2"/>
            <charset val="204"/>
          </rPr>
          <t>Автор:</t>
        </r>
        <r>
          <rPr>
            <sz val="9"/>
            <color indexed="81"/>
            <rFont val="Tahoma"/>
            <family val="2"/>
            <charset val="204"/>
          </rPr>
          <t xml:space="preserve">
КМД ФАСАД СОЛЮШЕНС ТОВ</t>
        </r>
      </text>
    </comment>
    <comment ref="V6" authorId="0" shapeId="0" xr:uid="{00000000-0006-0000-4C00-000003000000}">
      <text>
        <r>
          <rPr>
            <b/>
            <sz val="9"/>
            <color indexed="81"/>
            <rFont val="Tahoma"/>
            <family val="2"/>
            <charset val="204"/>
          </rPr>
          <t>Автор:</t>
        </r>
        <r>
          <rPr>
            <sz val="9"/>
            <color indexed="81"/>
            <rFont val="Tahoma"/>
            <family val="2"/>
            <charset val="204"/>
          </rPr>
          <t xml:space="preserve">
КМД ФАСАД СОЛЮШЕНС ТОВ</t>
        </r>
      </text>
    </comment>
    <comment ref="M16" authorId="0" shapeId="0" xr:uid="{00000000-0006-0000-4C00-000004000000}">
      <text>
        <r>
          <rPr>
            <b/>
            <sz val="9"/>
            <color indexed="81"/>
            <rFont val="Tahoma"/>
            <family val="2"/>
            <charset val="204"/>
          </rPr>
          <t>Автор:</t>
        </r>
        <r>
          <rPr>
            <sz val="9"/>
            <color indexed="81"/>
            <rFont val="Tahoma"/>
            <family val="2"/>
            <charset val="204"/>
          </rPr>
          <t xml:space="preserve">
на актах пометка "январь", так как работы с заказчиком закрыты в январе</t>
        </r>
      </text>
    </comment>
    <comment ref="AZ25" authorId="0" shapeId="0" xr:uid="{00000000-0006-0000-4C00-000005000000}">
      <text>
        <r>
          <rPr>
            <b/>
            <sz val="9"/>
            <color indexed="81"/>
            <rFont val="Tahoma"/>
            <family val="2"/>
            <charset val="204"/>
          </rPr>
          <t>Автор:</t>
        </r>
        <r>
          <rPr>
            <sz val="9"/>
            <color indexed="81"/>
            <rFont val="Tahoma"/>
            <family val="2"/>
            <charset val="204"/>
          </rPr>
          <t xml:space="preserve">
отняла 268,26 калькулятор
склад обмена</t>
        </r>
      </text>
    </comment>
    <comment ref="L26" authorId="0" shapeId="0" xr:uid="{00000000-0006-0000-4C00-000006000000}">
      <text>
        <r>
          <rPr>
            <b/>
            <sz val="9"/>
            <color indexed="81"/>
            <rFont val="Tahoma"/>
            <family val="2"/>
            <charset val="204"/>
          </rPr>
          <t>Автор:</t>
        </r>
        <r>
          <rPr>
            <sz val="9"/>
            <color indexed="81"/>
            <rFont val="Tahoma"/>
            <family val="2"/>
            <charset val="204"/>
          </rPr>
          <t xml:space="preserve">
согласно комментариев  требованиях-накладных по складу "Харьков", склад обмена отсутствует</t>
        </r>
      </text>
    </comment>
    <comment ref="Q26" authorId="0" shapeId="0" xr:uid="{00000000-0006-0000-4C00-000007000000}">
      <text>
        <r>
          <rPr>
            <b/>
            <sz val="9"/>
            <color indexed="81"/>
            <rFont val="Tahoma"/>
            <family val="2"/>
            <charset val="204"/>
          </rPr>
          <t>Автор:</t>
        </r>
        <r>
          <rPr>
            <sz val="9"/>
            <color indexed="81"/>
            <rFont val="Tahoma"/>
            <family val="2"/>
            <charset val="204"/>
          </rPr>
          <t xml:space="preserve">
согласно комментариев  требованиях-накладных по складу "Харьков", склад обмена отсутствует</t>
        </r>
      </text>
    </comment>
    <comment ref="AZ48" authorId="0" shapeId="0" xr:uid="{00000000-0006-0000-4C00-000008000000}">
      <text>
        <r>
          <rPr>
            <b/>
            <sz val="9"/>
            <color indexed="81"/>
            <rFont val="Tahoma"/>
            <family val="2"/>
            <charset val="204"/>
          </rPr>
          <t>Автор:</t>
        </r>
        <r>
          <rPr>
            <sz val="9"/>
            <color indexed="81"/>
            <rFont val="Tahoma"/>
            <family val="2"/>
            <charset val="204"/>
          </rPr>
          <t xml:space="preserve">
268,26 в 1С Бух сидит в МШП 221сч</t>
        </r>
      </text>
    </comment>
    <comment ref="AQ79" authorId="0" shapeId="0" xr:uid="{00000000-0006-0000-4C00-000009000000}">
      <text>
        <r>
          <rPr>
            <b/>
            <sz val="9"/>
            <color indexed="81"/>
            <rFont val="Tahoma"/>
            <family val="2"/>
            <charset val="204"/>
          </rPr>
          <t>Автор:</t>
        </r>
        <r>
          <rPr>
            <sz val="9"/>
            <color indexed="81"/>
            <rFont val="Tahoma"/>
            <family val="2"/>
            <charset val="204"/>
          </rPr>
          <t xml:space="preserve">
выплачено в августе</t>
        </r>
      </text>
    </comment>
  </commentList>
</comments>
</file>

<file path=xl/sharedStrings.xml><?xml version="1.0" encoding="utf-8"?>
<sst xmlns="http://schemas.openxmlformats.org/spreadsheetml/2006/main" count="8985" uniqueCount="2211">
  <si>
    <t>Услуги сторонних организаций</t>
  </si>
  <si>
    <t>Административные затраты</t>
  </si>
  <si>
    <t>Разрешительная документация</t>
  </si>
  <si>
    <t>Услуги</t>
  </si>
  <si>
    <t>Налоги и сборы</t>
  </si>
  <si>
    <t>Услуги банков</t>
  </si>
  <si>
    <t>Затраты по корпоративной культуре</t>
  </si>
  <si>
    <t>Благоустройство офиса</t>
  </si>
  <si>
    <t>Питьевая вода</t>
  </si>
  <si>
    <t>Финансовая деятельность</t>
  </si>
  <si>
    <t>Операционный доход</t>
  </si>
  <si>
    <t>Статья</t>
  </si>
  <si>
    <t>Прибыль после вычета финансовых затрат</t>
  </si>
  <si>
    <t>Прибыль до вычета налогов</t>
  </si>
  <si>
    <t xml:space="preserve">Чистый доход </t>
  </si>
  <si>
    <t>Канцтовары</t>
  </si>
  <si>
    <t>Себестоимость проданой продукции (переменные производственные затраты)</t>
  </si>
  <si>
    <t>Выручка от продаж (товаров, работ, услуг)</t>
  </si>
  <si>
    <t xml:space="preserve">Сумма по Ф2, грн </t>
  </si>
  <si>
    <t>Комментарии</t>
  </si>
  <si>
    <t>ЗП подсобников</t>
  </si>
  <si>
    <t>Оплата за выполненные работы</t>
  </si>
  <si>
    <t>Премия производственного персонала</t>
  </si>
  <si>
    <t>Логистические затраты</t>
  </si>
  <si>
    <t>МШП</t>
  </si>
  <si>
    <t>Ремонты</t>
  </si>
  <si>
    <t>Общепроизводственные затраты</t>
  </si>
  <si>
    <t>Хозтовары и материалы</t>
  </si>
  <si>
    <t>ИТ расходы</t>
  </si>
  <si>
    <t>Охрана офиса и пожарная сигнализация</t>
  </si>
  <si>
    <t>Курьерские и почтовые</t>
  </si>
  <si>
    <t>Командировочные производственного персонала</t>
  </si>
  <si>
    <t>Премия управленческого персонала</t>
  </si>
  <si>
    <t>Телекомуникационные услуги</t>
  </si>
  <si>
    <t>Транспортные затраты производственного персонала</t>
  </si>
  <si>
    <t>Транспортные затраты управленческого персонала</t>
  </si>
  <si>
    <t>Затраты на коммандировки управленческого персонала</t>
  </si>
  <si>
    <t>Юридические услуги</t>
  </si>
  <si>
    <t>Затраты на налог на прибыль</t>
  </si>
  <si>
    <t>Сумма итого, грн</t>
  </si>
  <si>
    <t>% суммы затрат в общем объеме</t>
  </si>
  <si>
    <t>Доход от прочей операционной деятельности</t>
  </si>
  <si>
    <t>Затраты на обучение персонала</t>
  </si>
  <si>
    <t xml:space="preserve">Финансовый доход </t>
  </si>
  <si>
    <t>Дивиденды</t>
  </si>
  <si>
    <t>Строительные материалы</t>
  </si>
  <si>
    <t>Маржинальный доход, грн</t>
  </si>
  <si>
    <t>Маржинальный доход, %</t>
  </si>
  <si>
    <t>Операционная прибыль, грн</t>
  </si>
  <si>
    <t>Операционная прибыль, %</t>
  </si>
  <si>
    <t>Прибыль в распоряжении компании (нераспределенная прибыль), грн</t>
  </si>
  <si>
    <t>Рентабельность продукции, %</t>
  </si>
  <si>
    <t>Прочие производственные затраты</t>
  </si>
  <si>
    <t>Аренда строительного оборудования</t>
  </si>
  <si>
    <t>План итого</t>
  </si>
  <si>
    <r>
      <t xml:space="preserve">Сумма по Ф1, грн </t>
    </r>
    <r>
      <rPr>
        <b/>
        <i/>
        <sz val="10"/>
        <color indexed="18"/>
        <rFont val="Times New Roman"/>
        <family val="1"/>
        <charset val="204"/>
      </rPr>
      <t xml:space="preserve"> </t>
    </r>
  </si>
  <si>
    <t>Итого затрат</t>
  </si>
  <si>
    <t>Аренда опалубки</t>
  </si>
  <si>
    <t>Арена техники</t>
  </si>
  <si>
    <t>Маркетинговые затраты</t>
  </si>
  <si>
    <t>Реклама</t>
  </si>
  <si>
    <t>Прочие маркетинговые затраты</t>
  </si>
  <si>
    <t>Аренда квартиры с коммунальными платежами</t>
  </si>
  <si>
    <t>Аренда офиса с коммунальными платежами</t>
  </si>
  <si>
    <t>НДС/ Прочие налоги</t>
  </si>
  <si>
    <t>Начисления на зарплату PM</t>
  </si>
  <si>
    <t>Удержание с зарплаты РМ</t>
  </si>
  <si>
    <t xml:space="preserve">ЗП РМ </t>
  </si>
  <si>
    <t>Удержание с зарплаты управленческого персонала</t>
  </si>
  <si>
    <t>Начисления на зарплату производственного персонала</t>
  </si>
  <si>
    <t>Начисления на зарплату ИТР</t>
  </si>
  <si>
    <t>Удержание с зарплаты ИТР</t>
  </si>
  <si>
    <t>Удержание с зарплаты производственного персонала</t>
  </si>
  <si>
    <t xml:space="preserve">Зарплата ИТР </t>
  </si>
  <si>
    <t xml:space="preserve">ЗП производственного персонала </t>
  </si>
  <si>
    <t xml:space="preserve">Представительские затраты </t>
  </si>
  <si>
    <t xml:space="preserve">Начисления на управленчискую зарплату </t>
  </si>
  <si>
    <t>ЗП управленческого персонала</t>
  </si>
  <si>
    <t>Штраф</t>
  </si>
  <si>
    <t xml:space="preserve">Финансовые расходы </t>
  </si>
  <si>
    <t>Дополнительные  расходы</t>
  </si>
  <si>
    <t>Расход от ивест. Деятельности (ОС)</t>
  </si>
  <si>
    <t>Январь 2020</t>
  </si>
  <si>
    <t>Остаток PL  январь 2020</t>
  </si>
  <si>
    <t xml:space="preserve">PL Пуща -Водица </t>
  </si>
  <si>
    <t>PL Козин</t>
  </si>
  <si>
    <t>Комментарий</t>
  </si>
  <si>
    <t>приезд на объект 5 чел по 500 грн - 2 500 грн
Проезд на работу  - 2 300 грн</t>
  </si>
  <si>
    <t>Стариков С</t>
  </si>
  <si>
    <t xml:space="preserve">за январь </t>
  </si>
  <si>
    <t>матрацы, кастрюли, аккумулятор для раций</t>
  </si>
  <si>
    <t xml:space="preserve">Стариков С 20 л бензина,  360 л топливо </t>
  </si>
  <si>
    <t>списанные МШП</t>
  </si>
  <si>
    <t xml:space="preserve">Аренда квартиры бр Пономаренки 13 150 грн январь 
</t>
  </si>
  <si>
    <t xml:space="preserve">Суточные бр Пономаренки  - 10 000 грн
</t>
  </si>
  <si>
    <t>Стариков С  - 7 500 грн январь+ 1983 ком.услуги 
Гостинница  1250 грн
Услуги риелтора  - 4 000 грн
Суточные Стариков С -4 680 грн</t>
  </si>
  <si>
    <t>Монтаж РДК -15 000 грн
КМД - 18 830 грн</t>
  </si>
  <si>
    <t>нет списаний</t>
  </si>
  <si>
    <t>Проживание бригад - январь</t>
  </si>
  <si>
    <t>Суточные Жук, Перкатый - январь</t>
  </si>
  <si>
    <t xml:space="preserve">нет актов </t>
  </si>
  <si>
    <t>Бондарук П январь в т ч  отпускные - 1541,30 грн</t>
  </si>
  <si>
    <t>Бондарук 99 л  - 2 711,61 грн</t>
  </si>
  <si>
    <t xml:space="preserve">Проезд на работу   16 грн/день - 3648 грн
Перкатый 70 л - 1 968 грн
Ширшов 100 л - 2 739 грн
</t>
  </si>
  <si>
    <t>УШМ - 1920 грн
Перфоратор - 2 660 грн
Шуруповерт - 1 320 грн</t>
  </si>
  <si>
    <t xml:space="preserve">3 чел бр Перкатого 
9 чел бр Жук
</t>
  </si>
  <si>
    <t>Ширшов</t>
  </si>
  <si>
    <t>Февраль 2020</t>
  </si>
  <si>
    <t xml:space="preserve">5 чел бр Пономаренки </t>
  </si>
  <si>
    <t xml:space="preserve">270 грн - распечатка КМД
600 грн - заправка баллонов пропаном </t>
  </si>
  <si>
    <t xml:space="preserve">Бр Пономаренки </t>
  </si>
  <si>
    <t>7 500 грн - аренда квартиры Пономаренки февраль</t>
  </si>
  <si>
    <t>Стариков С 
суточные - 3 120 грн
аренда квартиры февраль  - 7 500 грн + 2325 грн ком.услуги</t>
  </si>
  <si>
    <t>бр Пономаренки, Перкатого</t>
  </si>
  <si>
    <t xml:space="preserve">Стариков С февраль </t>
  </si>
  <si>
    <t>КМД</t>
  </si>
  <si>
    <t>PL Щедро</t>
  </si>
  <si>
    <t>Акт 6, 7,8</t>
  </si>
  <si>
    <t>9 чел бр Жук
3 чел бр Перкатого</t>
  </si>
  <si>
    <t xml:space="preserve">Ширшов февраль </t>
  </si>
  <si>
    <t>600 гн Акол - перебазировка</t>
  </si>
  <si>
    <t>Будпрокат - обогреватель - закрыто актами</t>
  </si>
  <si>
    <t>Уют компени - за февраль - закрыто актами</t>
  </si>
  <si>
    <t>Ремонт перфоратора Интерскоп - 1 265 грн
Ремонт виброплиты  - 14 019,66 грн</t>
  </si>
  <si>
    <t>40 000 грн - самосвал Абу-закрыто актами
2 400 грн - автокран Акол- закрыто актами 
Экскаватор САТ  221 ч*331,24 грн = 73 204 грн</t>
  </si>
  <si>
    <t xml:space="preserve">списаный материал </t>
  </si>
  <si>
    <t xml:space="preserve">943 грн - бензин и масло для трамбовки 
75 грн - батарейки </t>
  </si>
  <si>
    <t xml:space="preserve">бр Жук, Перкатый </t>
  </si>
  <si>
    <t xml:space="preserve">амортизация авто Перкатого </t>
  </si>
  <si>
    <t xml:space="preserve">Бондарук П февраль </t>
  </si>
  <si>
    <t>Бондарук - 2 061 грн</t>
  </si>
  <si>
    <t>Бр Жук - 145 166 грн
бр Перкатый  - 47 817 грн</t>
  </si>
  <si>
    <t>Ширшов  - 2 179,20 грн
Перкатый  - 1 399,5 грн
ф2 - проезд на работу  в т ч уезд с обїекта бр Перкатого - 1600 грн</t>
  </si>
  <si>
    <t>PL Нежин</t>
  </si>
  <si>
    <t xml:space="preserve">Новая почта </t>
  </si>
  <si>
    <t>2019</t>
  </si>
  <si>
    <t>Март 2020</t>
  </si>
  <si>
    <t>акт 1</t>
  </si>
  <si>
    <t>зп бр.Пономаренко 5чел - 34 212,5
зп бр.Перкатогот 2 чел - 13 685</t>
  </si>
  <si>
    <t xml:space="preserve">Перкатый Пономаренки </t>
  </si>
  <si>
    <t xml:space="preserve">Демонтаж РДК </t>
  </si>
  <si>
    <t xml:space="preserve">долг аренда квартир Пономаренки </t>
  </si>
  <si>
    <t>РДК 250 135ч =35 664 в т ч 8848-22ч</t>
  </si>
  <si>
    <t xml:space="preserve">Доставка м/к Альфа-бизнес груп  </t>
  </si>
  <si>
    <t>за минусом спецодежды механизатора -2 442,99</t>
  </si>
  <si>
    <t xml:space="preserve">заправка баллонов </t>
  </si>
  <si>
    <t xml:space="preserve">такси </t>
  </si>
  <si>
    <t>РДК 158 ч*264,18+109 ч для 8848</t>
  </si>
  <si>
    <t>РДК 250 (наш)  = 105*264,18 грн= 27 739 грн+77 ч 8848</t>
  </si>
  <si>
    <t>Суточные проезды</t>
  </si>
  <si>
    <t>Стариков март</t>
  </si>
  <si>
    <t xml:space="preserve">Топливо Стариков </t>
  </si>
  <si>
    <t xml:space="preserve">суточные, проезд </t>
  </si>
  <si>
    <t>Альфа бизнес групп</t>
  </si>
  <si>
    <t xml:space="preserve"> </t>
  </si>
  <si>
    <t>Акты 9-13</t>
  </si>
  <si>
    <t>Зп Перкатого</t>
  </si>
  <si>
    <t>Зп бр.Перкатого= 134 472грн.
зп бр.Жука= 35 324 грн.</t>
  </si>
  <si>
    <t xml:space="preserve">Экскаватор САТ наш 8ч= 2 649,92
АБУ самосвалы  = 19 600 грн закрыто актами
АБУ экскаваторы  = 22 000 грн - закрыто актами
Трест Буд - 9 900 грн  - бетононасос
Акол - 2 400 грн - автокран 
</t>
  </si>
  <si>
    <t xml:space="preserve">Будпрокат , аренда вибратора </t>
  </si>
  <si>
    <t xml:space="preserve">Уют компани, закрыто актами </t>
  </si>
  <si>
    <t>Сантел Украина закрыто актами  (ремонт инструмента)</t>
  </si>
  <si>
    <t>Транспортные Альфабизнесгрупп, акол закрыто актами   
ф2 перебазировка инструмента бр Перкатого согласовано с директором+ акт</t>
  </si>
  <si>
    <t xml:space="preserve">списанные МШП </t>
  </si>
  <si>
    <t>бр.Жука-9 900грн.,не планир бр.Перкатого- 7 600грн.,бр.Вектор- 900грн</t>
  </si>
  <si>
    <t xml:space="preserve">Зп Ширшова апрель </t>
  </si>
  <si>
    <t>Бондарук П март</t>
  </si>
  <si>
    <t xml:space="preserve">
Бондарук 125,01=2 957,98
</t>
  </si>
  <si>
    <t xml:space="preserve">ф2-30л бензина Перкатому проезд домой (согласовано с директором)
Ширшов 40л=959,60
Перкатый 65л=1 640,35
приезд на обьект бр.Жука 9 чел (из-за не загруженности по работе согласовано с директором) - 4 470грн
уезд с обьекта 9чел- 2374грн
проезд на работу - -3 553,18
</t>
  </si>
  <si>
    <t xml:space="preserve">20 л бензина,виброплащадка,трамбовка дороги =560грн
грабли мет.черенки(по 5 шт)=500грн
</t>
  </si>
  <si>
    <t xml:space="preserve">Накопительный PL </t>
  </si>
  <si>
    <t xml:space="preserve">Гсм + проезды </t>
  </si>
  <si>
    <t>интернет , заправка картриджа</t>
  </si>
  <si>
    <t>спецодежда  42 507</t>
  </si>
  <si>
    <t>314640- аренда нежелых помещений</t>
  </si>
  <si>
    <t>офис</t>
  </si>
  <si>
    <t>PL Приднепровский МЭЗ</t>
  </si>
  <si>
    <t>Накопительный PL  январь-март 2020</t>
  </si>
  <si>
    <t>за минусом 572 000 грн не оплатили</t>
  </si>
  <si>
    <t xml:space="preserve">бонусы Ширшов </t>
  </si>
  <si>
    <t>доставка металлоконструкций Альфабизнесгрупп 3 ходки + 15 000 грн перебазировка СБМУ</t>
  </si>
  <si>
    <t>Июнь  2020</t>
  </si>
  <si>
    <t>PL Сватово очередь 2</t>
  </si>
  <si>
    <t>Аренда квартиры</t>
  </si>
  <si>
    <t>1820-  Терещенко
400 -Гончаренко</t>
  </si>
  <si>
    <t xml:space="preserve"> Терещенко на обьект Нежин-Киев-Сватово+ такси
</t>
  </si>
  <si>
    <t>600грн - налаживание отношений сэкскаваторщиками
 600грн. - взятка трактаристу за неделю
700грн. - первый бетон бр.Сватовские (традиция)</t>
  </si>
  <si>
    <t>0,5 мес Сватовские</t>
  </si>
  <si>
    <t>Терещенко</t>
  </si>
  <si>
    <t>согласно списания</t>
  </si>
  <si>
    <t>PL Королевка</t>
  </si>
  <si>
    <t>в т ч Козин (приходная часть+расходная часть)</t>
  </si>
  <si>
    <t>Июль  2020</t>
  </si>
  <si>
    <t xml:space="preserve">бр Жуки, Сватовские, Терещенко </t>
  </si>
  <si>
    <t>директор - 600 грн</t>
  </si>
  <si>
    <t xml:space="preserve">2700 - приезд бриг жука 4 чел (563 гр. Поезд киев-сватово+ проезд нежин - киев бла-блакар, доставка людей с инструментом на объект на такси 2*50 5 чел)
Такси  -800 грн
 </t>
  </si>
  <si>
    <t>гостинец сватовским(рабочим) 390грн., налаживание отнош.с руководящими сотрудниками завода.</t>
  </si>
  <si>
    <t>резиновые сапоги 4 пары=950 грн</t>
  </si>
  <si>
    <t>аренда трамбовки</t>
  </si>
  <si>
    <t xml:space="preserve">Терещенко А июль </t>
  </si>
  <si>
    <t>Первый бетон бр.Жука 4 чел *75грн</t>
  </si>
  <si>
    <t>ДХ Транс Украина  -  43 399,99 грн</t>
  </si>
  <si>
    <t xml:space="preserve">PL Пологи </t>
  </si>
  <si>
    <t>Август   2020</t>
  </si>
  <si>
    <t xml:space="preserve">сувениры день строителя </t>
  </si>
  <si>
    <t>Изготовление добора "цинк" для бункеров приема  и кровли цеха грануляции - 3 400 грн+ изготовление доп стропов, услуги электрика
Цех металлоконструкций - Цех грануляции лузги  - 48,79*14000= 683 060грн</t>
  </si>
  <si>
    <t>День Строителя на обьекте -4 000,00</t>
  </si>
  <si>
    <t>Уезд с обьекта 4чел бр.Жука -1 200,00
Приезд бр.на проф лист 3 чел (топливо) -750,00
приезд монтажников  силоса  5  чел -2 100,00
Проезд Голубева И согласно билетам -957,50
Приезд на обьект Воликова -350,00
Приезд  на обьект Чешко Сиряченко ( заправка топливо) -1 000,00</t>
  </si>
  <si>
    <t xml:space="preserve">Терещенко  - 3 250 грн
Бр Жук, Гончаренко  </t>
  </si>
  <si>
    <t>директор- 600 грн
Голубев И  - 400 грн</t>
  </si>
  <si>
    <t>лекарства для рабочего -120,00</t>
  </si>
  <si>
    <t>доставка мшп</t>
  </si>
  <si>
    <t>ремонт лебедки -650,00</t>
  </si>
  <si>
    <t>работа токаря -200,00</t>
  </si>
  <si>
    <t>Автокран XCMG - 155 767 ,11</t>
  </si>
  <si>
    <t xml:space="preserve">бр Сватовские </t>
  </si>
  <si>
    <t>Терещенко А за минусом штрафа 3 000 грн</t>
  </si>
  <si>
    <t>Автокран ХСМG  - (285*459,49)= 130 954,65
Автокран закрыто актами  - 5 017,27 грн
Перебазировка Автокран ХСМG  = 818км*27,42 грн = 22 429,56 грн</t>
  </si>
  <si>
    <t>Сентябрь  2020</t>
  </si>
  <si>
    <t>2 Акта ( проведены бух учет в октябре)</t>
  </si>
  <si>
    <t>4 чел бр.Сватовские</t>
  </si>
  <si>
    <t xml:space="preserve">в т ч металл для изготовления м/к цеха = 411 865,41 грн с НДС
за минусом склада обмена 118 884,07 грн
</t>
  </si>
  <si>
    <t xml:space="preserve">аренда квартиры 3500 Терещенко + к/у 800 грн за август </t>
  </si>
  <si>
    <t>без к/у, квартира в счет посл месяца</t>
  </si>
  <si>
    <t>Чешко,Сиряченко уезд с обьекта (газ на машину) -500,00</t>
  </si>
  <si>
    <t>ф1 - ИТР - 4 550 
Гончаренко - 3 500 + 400грн Голубев
ф2 - бр.Чешко 2 чел = 3000</t>
  </si>
  <si>
    <t xml:space="preserve">суточные Стариков </t>
  </si>
  <si>
    <t>РКО за переч.дс за акты -1 040,50
РКО за отправку пистолета для хим анкера на Сватово -230,00</t>
  </si>
  <si>
    <t>Новая почта  -2 504,50</t>
  </si>
  <si>
    <t>Виктория Макс - ремонт инструмента 
ф2 -Ремонт отбойника -400,00</t>
  </si>
  <si>
    <t>выдал Воронцов А.В - аванс Вектор -150 000,00</t>
  </si>
  <si>
    <t>карандаш строительный, прочие 
Бытовые покупки ( одеяло для Терещенко А) -305,00</t>
  </si>
  <si>
    <t>Терещенко сентябрь за минусом штрафа 1 000 грн</t>
  </si>
  <si>
    <t>PL Волчанск</t>
  </si>
  <si>
    <t xml:space="preserve">Штраф/ мат помощь </t>
  </si>
  <si>
    <t>Сборная - 56 250 грн
Харьковские - 9 340 грн 
Жук - 36 695 грн
Сватовские  - 178 352 грн</t>
  </si>
  <si>
    <t>Октябрь  2020</t>
  </si>
  <si>
    <t>14 800,00 - БЕЛЕС ТРАНС"ПП</t>
  </si>
  <si>
    <t>К/у Терещенко за октябрь -550,00</t>
  </si>
  <si>
    <t>Проезд Голубева по подотчету Киев-Сватово -810,38
Проезд Терещенко  по городу ( магазины, рынок) -260,00
Проезд Терещенко  Сватово-Киев- Кривой Рог -1 000,00</t>
  </si>
  <si>
    <t>Терещенко - 910грн
Гончаренко - 2 100</t>
  </si>
  <si>
    <t xml:space="preserve">РКО за перевод дс на карты </t>
  </si>
  <si>
    <t>ф2 - мшп + доставка Терещенко</t>
  </si>
  <si>
    <t>заправка баллона газом</t>
  </si>
  <si>
    <t>бр.Сватовские</t>
  </si>
  <si>
    <t>47520 - Чешко
34695 - Жук
164209,14 - Сватовские</t>
  </si>
  <si>
    <t>Горич</t>
  </si>
  <si>
    <t>Цех:</t>
  </si>
  <si>
    <t>Бутов Олександр</t>
  </si>
  <si>
    <t>Пономаренко Олександр</t>
  </si>
  <si>
    <t>Скрипник Сергій</t>
  </si>
  <si>
    <t>остальные</t>
  </si>
  <si>
    <t>Козин</t>
  </si>
  <si>
    <t>ЗП + Козин</t>
  </si>
  <si>
    <t>галер</t>
  </si>
  <si>
    <t>ЖД</t>
  </si>
  <si>
    <t>Всего</t>
  </si>
  <si>
    <t>в т.ч. комиссия</t>
  </si>
  <si>
    <t>удельный вес комиссии</t>
  </si>
  <si>
    <t>1. Расчет комиссии ФА:</t>
  </si>
  <si>
    <t xml:space="preserve">2. </t>
  </si>
  <si>
    <t>Чистая прибыль:</t>
  </si>
  <si>
    <t>Дивиденды выплачены</t>
  </si>
  <si>
    <t>Покупка ОС</t>
  </si>
  <si>
    <t>в т.ч.:</t>
  </si>
  <si>
    <t>техника</t>
  </si>
  <si>
    <t>фин.помощь,поплн.капит.</t>
  </si>
  <si>
    <t>ПК, ПО</t>
  </si>
  <si>
    <t>производственные ОС</t>
  </si>
  <si>
    <t>Платежное поручение исходящее 9463 от 28.01.2020 0:00:00</t>
  </si>
  <si>
    <t>РДК 250</t>
  </si>
  <si>
    <t>-246 540,00</t>
  </si>
  <si>
    <t>Платежное поручение исходящее 9502 от 31.01.2020 0:00:00</t>
  </si>
  <si>
    <t>Гусиничные экскаватор</t>
  </si>
  <si>
    <t>-750 000,00</t>
  </si>
  <si>
    <t>Расходный кассовый ордер N00017577 от 04.02.2020 12:00:04</t>
  </si>
  <si>
    <t>покупка экскаватора JCB 220 34 400 $</t>
  </si>
  <si>
    <t>-852 432,00</t>
  </si>
  <si>
    <t>Расходный кассовый ордер N00016963 от 05.02.2020 15:05:30</t>
  </si>
  <si>
    <t>Покупка гусенничного экскаватора (33 300 $)</t>
  </si>
  <si>
    <t>-833 215,00</t>
  </si>
  <si>
    <t>Платежное поручение исходящее 9657 от 14.02.2020 0:00:00</t>
  </si>
  <si>
    <t>-221 175,00</t>
  </si>
  <si>
    <t>Платежное поручение исходящее 9816 от 18.02.2020 0:00:00</t>
  </si>
  <si>
    <t>доплата за экскаватор 220</t>
  </si>
  <si>
    <t>-108 395,00</t>
  </si>
  <si>
    <t>Платежное поручение исходящее 000000513 от 31.03.2020 0:00:00</t>
  </si>
  <si>
    <t>-562 600,00</t>
  </si>
  <si>
    <t>Расходный кассовый ордер N00018123 от 31.03.2020 17:57:36</t>
  </si>
  <si>
    <t>покупка экскаватора JCB 3Cх 16 650$</t>
  </si>
  <si>
    <t>-466 200,00</t>
  </si>
  <si>
    <t>Расходный кассовый ордер N00018408 от 17.04.2020 15:28:32</t>
  </si>
  <si>
    <t>доплата за экскаватор 9000 $ 8350 - по курсу 28 грн - 233 800 + 300 по курсу 27,3 - 8 190 грн 350 по курсу 27,35 - 9572,5</t>
  </si>
  <si>
    <t>-251 562,50</t>
  </si>
  <si>
    <t>Платежное поручение исходящее 000001247 от 30.04.2020 11:19:10</t>
  </si>
  <si>
    <t>покупка автокрана</t>
  </si>
  <si>
    <t>-2 062 500,00</t>
  </si>
  <si>
    <t>Расходный кассовый ордер N00018609 от 30.04.2020 11:23:57</t>
  </si>
  <si>
    <t>Автокран 70 100$ курс 27 грн</t>
  </si>
  <si>
    <t>-1 892 700,00</t>
  </si>
  <si>
    <t>Платежное поручение исходящее 000001416 от 07.05.2020 12:50:04</t>
  </si>
  <si>
    <t>Тахеометр -1 шт, штатив дер. с клипсами -1 шт , минипризма -1 шт, стикир для отбивки а-4 -1 шт</t>
  </si>
  <si>
    <t>-104 364,00</t>
  </si>
  <si>
    <t>Платежное поручение исходящее 000001870 от 26.05.2020 0:00:00</t>
  </si>
  <si>
    <t>-134 425,00</t>
  </si>
  <si>
    <t>Платежное поручение исходящее 000002737 от 25.06.2020 0:00:00</t>
  </si>
  <si>
    <t>Покупка нового автокрана</t>
  </si>
  <si>
    <t>-272 442,00</t>
  </si>
  <si>
    <t>Платежное поручение исходящее 000002951 от 03.07.2020 0:00:00</t>
  </si>
  <si>
    <t>самосвал</t>
  </si>
  <si>
    <t>-137 500,00</t>
  </si>
  <si>
    <t>Расходный кассовый ордер N00019738 от 03.07.2020 17:29:02</t>
  </si>
  <si>
    <t>покупка самосвала 25000$*27,05</t>
  </si>
  <si>
    <t>-676 250,00</t>
  </si>
  <si>
    <t>Расходный кассовый ордер N00019737 от 03.07.2020 17:29:43</t>
  </si>
  <si>
    <t>покупка автокрана 54800$*27,05</t>
  </si>
  <si>
    <t>-1 482 340,00</t>
  </si>
  <si>
    <t>Платежное поручение исходящее 000003272 от 14.07.2020 0:00:00</t>
  </si>
  <si>
    <t>налоги за покупку камаза</t>
  </si>
  <si>
    <t>-2 205,88</t>
  </si>
  <si>
    <t>Платежное поручение исходящее 000003274 от 14.07.2020 0:00:00</t>
  </si>
  <si>
    <t>за покупку камаза</t>
  </si>
  <si>
    <t>-7 352,94</t>
  </si>
  <si>
    <t>Платежное поручение исходящее 000003506 от 24.07.2020 10:52:58</t>
  </si>
  <si>
    <t>автонавантажувач</t>
  </si>
  <si>
    <t>-1 210 170,00</t>
  </si>
  <si>
    <t>Платежное поручение исходящее 000004799 от 08.09.2020 13:24:04</t>
  </si>
  <si>
    <t>Аванс телескоп 2 000 $ *27.77</t>
  </si>
  <si>
    <t>-55 540,00</t>
  </si>
  <si>
    <t>Платежное поручение исходящее 000005108 от 15.09.2020 15:52:23</t>
  </si>
  <si>
    <t>Комплекс електродугової металізації КЕМ-1 (мод. 03-01) - 1 шт.</t>
  </si>
  <si>
    <t>-220 026,00</t>
  </si>
  <si>
    <t>Платежное поручение исходящее 000005107 от 15.09.2020 15:52:31</t>
  </si>
  <si>
    <t>Компресор А-1808 стаціонарний електричний гвинтовий - 1 шт; Система дистанційного керування - 1 шт; Повітряний рукав для дихання 9мм х 15мм, 40м - 1 шт; AirFlex-32 Повітряний рукав ID=32мм, бухта 40м - 0,125 шт; Фітинг Ду.32 DKR (1,1/4``-11) - 2 шт; Хомут для рукава 1.1/4" з захисними затискачами - 2 шт; Ресивер РВ 500.600-37 - 1 шт; Фильтр ФСВ -О-140 - 1 шт.</t>
  </si>
  <si>
    <t>-188 332,02</t>
  </si>
  <si>
    <t>Платежное поручение исходящее 000005470 от 29.09.2020 11:30:56</t>
  </si>
  <si>
    <t>кабеля для станка метализации и компрессора нового</t>
  </si>
  <si>
    <t>-13 993,25</t>
  </si>
  <si>
    <t>Платежное поручение исходящее 000005610 от 30.09.2020 11:29:08</t>
  </si>
  <si>
    <t>доплата телескоп 4 ( 46 100$ * 28.35)</t>
  </si>
  <si>
    <t>-1 306 935,00</t>
  </si>
  <si>
    <t>Платежное поручение исходящее 000005839 от 09.10.2020 9:37:38</t>
  </si>
  <si>
    <t>Аванс XCMG 55 73 000 евро *33,36 + 0,65 % РКО</t>
  </si>
  <si>
    <t>-2 451 109,32</t>
  </si>
  <si>
    <t>Платежное поручение исходящее 000005905 от 09.10.2020 13:00:39</t>
  </si>
  <si>
    <t>АВАНС 2000 дол.</t>
  </si>
  <si>
    <t>-56 520,00</t>
  </si>
  <si>
    <t>Платежное поручение исходящее 000006053 от 15.10.2020 14:40:09</t>
  </si>
  <si>
    <t>XCMG 55 = 69 500 евро *33,36+0,65 % РКО</t>
  </si>
  <si>
    <t>-2 333 590,38</t>
  </si>
  <si>
    <t>Платежное поручение исходящее 000006054 от 15.10.2020 14:45:16</t>
  </si>
  <si>
    <t>Полная оплата 49 500 *28, 35</t>
  </si>
  <si>
    <t>-1 403 505,00</t>
  </si>
  <si>
    <t>Автомобіль Renauit Kangoo</t>
  </si>
  <si>
    <t>не проведен:</t>
  </si>
  <si>
    <t>Ноябрь  2020</t>
  </si>
  <si>
    <t>на 30.10.2020</t>
  </si>
  <si>
    <t>ТОВ Вектор перевод Европочтой -147 000,00</t>
  </si>
  <si>
    <t>бр.Сватовские, 1 половина ноября</t>
  </si>
  <si>
    <t>2992 - Сватовские
15600 - Хрьковские
13739,36 - бр.Михальского</t>
  </si>
  <si>
    <t>11 500,00 - БЕЛЕС ТРАНС"ПП</t>
  </si>
  <si>
    <t>Пологи</t>
  </si>
  <si>
    <t>Приднепровский</t>
  </si>
  <si>
    <t>Декабрь  2020</t>
  </si>
  <si>
    <t>PL Харьов</t>
  </si>
  <si>
    <t>PL Беловоды</t>
  </si>
  <si>
    <t>сувениры на НГ</t>
  </si>
  <si>
    <t>Штраф/мат.помощь</t>
  </si>
  <si>
    <t>Мат.помощь Чайковскому Р. -10 000,00</t>
  </si>
  <si>
    <t>Обучение прораба Чайковского  -6 400,00</t>
  </si>
  <si>
    <t>Горич - 1839,95</t>
  </si>
  <si>
    <t>Заправка картриджа -460,00</t>
  </si>
  <si>
    <t xml:space="preserve">канцтовари  -1 391,58
клей ПВА, ножницы,расспечатка графика -112,00 </t>
  </si>
  <si>
    <t>Щетки, крючки, ведра, кисти, кислород, газ,Пленка, дюбеля, шайбы</t>
  </si>
  <si>
    <t xml:space="preserve">оплата охраннику за включение тепловых пушек 3 дня -300,00 </t>
  </si>
  <si>
    <t>Чайковский</t>
  </si>
  <si>
    <t>Компенсация прорабу -25 000,00</t>
  </si>
  <si>
    <t>Приезд на обьект бр.Логвиненко 5чел. -2 500,00
проезд за мшп -48,00
Кухар - Билет Киев-Харьк-Киев 677,66грн.+автостоянка- 80грн.,метро в Харькове- 16грн. -774,00
Проезд бр.Блудова 6чел.*500грн. -3 000,00
Проезд Чайковского Р -730,00</t>
  </si>
  <si>
    <t>бр.Логвиненко - 8000
бр.Блудова - 14 400
бр.Блудова -1 500,00</t>
  </si>
  <si>
    <t>Наша техника - Телескоп №2  - 174*393,70
4200 - Послуги із використанням техніки автокр.  СПЕЦТЕХБЕТОН ТОВ
80530 - СПЕЦТЕХБЕТОН ТОВ  услуги экскаватора</t>
  </si>
  <si>
    <t>700 - медосмотр
240 - Шатовська Анастасія Валентинівна ФОП Доставка Рощинська вода (бут)
ф2:
Таблички на вагон 4 шт -1 200,00 градусник -50,00 пирометр для измерения температуры -450,00</t>
  </si>
  <si>
    <t>34 000 + 29 000 - Белес транс
300 - ГЛОБАЛ РЕНТ УКРАИНА ТОВ  доставка нагрівача
920 - доставка пушки дизельн. 44кВт
951 - Технопідйом ТОВ доставка підйомника</t>
  </si>
  <si>
    <t>920 - ГЛОБАЛ РЕНТ УКРАИНА ТОВ  Оренда нагрівача
2760 - Оренда пушки дизельн. 44кВт Давидова Олена Юріївна ФОП
15400,80 - Технопідйом ТОВ Оренда підйомника</t>
  </si>
  <si>
    <t>3214 - ремонт підйомника Технопідйом ТОВ</t>
  </si>
  <si>
    <t>87 700 - БЕЛЕС ТРАНС"ПП</t>
  </si>
  <si>
    <t>Поздравление бригад с НГ -1 800,00</t>
  </si>
  <si>
    <t>Квартира Ромны ул.Щучки,1 30 дней+ залог за к/у -13000
Квартира Беловоды первый месяц+последний+залог за к/у -12 000,00
Квартира ИТР -9 000,00 (без залога)+2639 (ИТР гостиница) = 11639
Беловоды Дом первый +послед месяц -16 000,00</t>
  </si>
  <si>
    <t xml:space="preserve">Обуч.проф.бетонцик 6 чел.  -12240
Обуч.проф.монтажник Годунко, Ковтун  -4 080,00
Допуск до работ на высоте  монтажники Ковтун, Годунко  -1 400,00
</t>
  </si>
  <si>
    <t>Проезд бригад запавка газом - 2 250
Проезд Комлака газ 20л - 890
бр.Жука - приезд 3500+300грн проезд по городу
бр.Ковтуна - приезд 1000грн+300грн проезд по городу</t>
  </si>
  <si>
    <t>ф1 - бр.Ковтуна - 2чел
бр.Жука - 6чел
Грич,Комлак
ф2 - Кучма С с 10-28.12.2020 -1 900,00(бр.Жука)
Водитель- 200грн.</t>
  </si>
  <si>
    <t>Горич - 1839,95
Комлак  - 489,80
ф2 - Комлак 120 л по 12,5 грн -1 500,00</t>
  </si>
  <si>
    <t>канцтовари  -1 810,02</t>
  </si>
  <si>
    <t>Вода 10 бут, 10 бут тара , 3 помпы  -2 520,00</t>
  </si>
  <si>
    <t>Кофе+сахар -300,00</t>
  </si>
  <si>
    <t>ф2 - Покупка бочек металических 3 шт,стрейч пленка, перчатки - 1570</t>
  </si>
  <si>
    <t>Поддоны -4 500,00 
Щебень 2142т  -400 000,00</t>
  </si>
  <si>
    <t>Медосмотр Горич С.Г. -700,00
Медосмотр геодезиста Комлак  -700,00
48796,62 - спецодежда
Ф2:
725 - спецодежда
Обогреватель+чайники+переноска -2 621,00
 Таблички на вагон 4 шт -1 200,00</t>
  </si>
  <si>
    <t xml:space="preserve">Наша техника:
Телескоп №1  - 182*393,70
Экскаватор JCB 220 - 141,5*728,43
МАЗ 264 - 193*243,17
Виброкаток -  1*437,17+11*2000 простой 
Самосвал Камаз  - 125*251,16 
9 240 - РОМНИКОМУНТЕПЛО РОМЕНСЬКОЇ МІСЬКОЇ РАДИ КП  Послуги автокрану 
27 000,00 - ГРУЗОВИКТРАНС-СЕРВІС
Ф2:
автокран разгрузка катка -1 800,00 </t>
  </si>
  <si>
    <t>Комлак</t>
  </si>
  <si>
    <t>тягач в январе</t>
  </si>
  <si>
    <t>резервный фонд (ф1 и Ф2 кроме ячейки согласно фиксов)</t>
  </si>
  <si>
    <t>Штраф/мат помощь</t>
  </si>
  <si>
    <t>Заказчик</t>
  </si>
  <si>
    <t>Название заказа</t>
  </si>
  <si>
    <t>Ссылка</t>
  </si>
  <si>
    <t>Количество</t>
  </si>
  <si>
    <t>Номенклатура</t>
  </si>
  <si>
    <t>Примечание номенклатура</t>
  </si>
  <si>
    <t>Староконстантинов</t>
  </si>
  <si>
    <t>Галерея Староконстантинов- 3</t>
  </si>
  <si>
    <t>Отгрузка продукции 000000039 от 02.11.2020 17:10:01</t>
  </si>
  <si>
    <t>Галерея Староконстантинов - 3</t>
  </si>
  <si>
    <t>Галерея Староконстантинов- 4</t>
  </si>
  <si>
    <t>Отгрузка продукции 000000040 от 05.11.2020 10:23:54</t>
  </si>
  <si>
    <t>Галерея Староконстантинов - 4</t>
  </si>
  <si>
    <t>Галерея Староконстантинов- 5</t>
  </si>
  <si>
    <t>Отгрузка продукции 000000042 от 10.11.2020 16:45:28</t>
  </si>
  <si>
    <t>Галерея Староконстантинов - 5</t>
  </si>
  <si>
    <t>ЖД "Староконстантинов" - 10</t>
  </si>
  <si>
    <t>Отгрузка продукции 000000046 от 24.11.2020 13:44:28</t>
  </si>
  <si>
    <t>м/к Жд Староконстантинов - 10</t>
  </si>
  <si>
    <t>ЖД "Староконстантинов" - 11</t>
  </si>
  <si>
    <t>Отгрузка продукции 000000048 от 28.11.2020 11:17:08</t>
  </si>
  <si>
    <t>м/к Жд Староконстантинов - 11</t>
  </si>
  <si>
    <t>ЖД "Староконстантинов" - 12</t>
  </si>
  <si>
    <t>Отгрузка продукции 000000049 от 01.12.2020 18:00:00</t>
  </si>
  <si>
    <t>м/к Жд Староконстантинов - 12</t>
  </si>
  <si>
    <t>ЖД "Староконстантинов" - 13</t>
  </si>
  <si>
    <t>Отгрузка продукции 000000050 от 07.12.2020 17:00:00</t>
  </si>
  <si>
    <t>м/к Жд Староконстантинов - 13</t>
  </si>
  <si>
    <t>ЖД "Староконстантинов" - 14</t>
  </si>
  <si>
    <t>Отгрузка продукции 000000051 от 09.12.2020 14:34:11</t>
  </si>
  <si>
    <t>м/к Жд Староконстантинов - 14</t>
  </si>
  <si>
    <t>ЖД "Староконстантинов" - 15</t>
  </si>
  <si>
    <t>Отгрузка продукции 000000052 от 11.12.2020 12:00:00</t>
  </si>
  <si>
    <t>м/к Жд Староконстантинов - 15</t>
  </si>
  <si>
    <t>ЖД "Староконстантинов" - 16</t>
  </si>
  <si>
    <t>Отгрузка продукции 000000053 от 17.12.2020 9:13:18</t>
  </si>
  <si>
    <t>м/к Жд Староконстантинов - 16</t>
  </si>
  <si>
    <t>ЖД "Староконстантинов" - 17</t>
  </si>
  <si>
    <t>Отгрузка продукции 000000054 от 21.12.2020 13:47:28</t>
  </si>
  <si>
    <t>м/к Жд Староконстантинов - 17</t>
  </si>
  <si>
    <t>ЖД "Староконстантинов" - 18</t>
  </si>
  <si>
    <t>Отгрузка продукции 000000055 от 25.12.2020 12:20:00</t>
  </si>
  <si>
    <t>м/к Жд Староконстантинов - 18</t>
  </si>
  <si>
    <t>ЖД "Староконстантинов" - 6</t>
  </si>
  <si>
    <t>Отгрузка продукции 000000037 от 05.11.2020 9:48:50</t>
  </si>
  <si>
    <t>м/к Жд Староконстантинов - 6</t>
  </si>
  <si>
    <t>ЖД "Староконстантинов" - 7</t>
  </si>
  <si>
    <t>Отгрузка продукции 000000041 от 10.11.2020 16:44:43</t>
  </si>
  <si>
    <t>м/к Жд Староконстантинов - 7</t>
  </si>
  <si>
    <t>ЖД "Староконстантинов" - 8</t>
  </si>
  <si>
    <t>Отгрузка продукции 000000043 от 14.11.2020 12:20:36</t>
  </si>
  <si>
    <t>м/к Жд Староконстантинов - 8</t>
  </si>
  <si>
    <t>ЖД "Староконстантинов" - 9</t>
  </si>
  <si>
    <t>Отгрузка продукции 000000045 от 18.11.2020 13:56:54</t>
  </si>
  <si>
    <t>м/к Жд Староконстантинов - 9</t>
  </si>
  <si>
    <t>Инструменталка</t>
  </si>
  <si>
    <t>Отгрузка продукции 000000044 от 14.11.2020 12:21:53</t>
  </si>
  <si>
    <t>Инструменталка 2000*2500мм</t>
  </si>
  <si>
    <t>Харьков</t>
  </si>
  <si>
    <t>Бытовка</t>
  </si>
  <si>
    <t>Отгрузка продукции 000000047 от 25.11.2020 12:00:00</t>
  </si>
  <si>
    <t>Итого</t>
  </si>
  <si>
    <t xml:space="preserve">2020 PL </t>
  </si>
  <si>
    <t>Январь  2021</t>
  </si>
  <si>
    <t>PL Олияр</t>
  </si>
  <si>
    <t>PL Яр Вал</t>
  </si>
  <si>
    <t>PL Форд Тягач</t>
  </si>
  <si>
    <t>Накопительный PL объекта</t>
  </si>
  <si>
    <t>Гриценко</t>
  </si>
  <si>
    <t>Стариков</t>
  </si>
  <si>
    <t>Горич 50%</t>
  </si>
  <si>
    <t>15 179 Величковский</t>
  </si>
  <si>
    <t>19 796,82 Иванчиков
5 000 - Кроль</t>
  </si>
  <si>
    <t>Ф2:
11 312,19 - Гуртовой 
15 117 - Хомич</t>
  </si>
  <si>
    <t>Ф2:
10 179 - Комлак
25 000 - Чайковский</t>
  </si>
  <si>
    <t>Жук, Ковтун</t>
  </si>
  <si>
    <t>ул.Харьковских Дивизий,4/2 кв.12 -7 500,00(январь+февраль)
пр.Юбилейний 32/186 кв.128 -6 500,00(январь+февраль)
Квартира РМ 1/2 первій+последниймесяц+риалтор -10 500,00
К/у бр.Блудова -1 460,00
К/у бр.Логвиненко -1 520,00</t>
  </si>
  <si>
    <t>Тарасенко С  -400,00
Воронцов АВ  -400,00
ф2 - бр.Блудова 6чел*34дн*100грн(планир 11 дней)</t>
  </si>
  <si>
    <t>кофе,чай,сахар</t>
  </si>
  <si>
    <t>Дюбель-гвоздь 6*60 - 1000шт*0,5=500грн, шайба 1000*4=400грн, круг отр 125 5*10=50 грн, круг шлиф 125 5*20=100 грн, стекло защитное для сварки 6*20= 120грн, личинка на замок = 150 грн, угольник = 130 грн, перчатки 4 пары*10 грн= 40грн, держак 500А - 150 грн¶
замок на вагончик замена 
замок,навесы</t>
  </si>
  <si>
    <t>а/к ул.Щучки,1 январь -5 000,00
А/к Беловод (механизаторы) январь -5 000,00
Дом Беловоды (бр.Жука) январь -8 000,00
А/к ИТР Чайковского первый+последний месяц -12 000,00
Квартира РМ 1/2 первій+последниймесяц+риалтор -10 500,00
дом Ромни  Овсиенко,19 -9 000,00
к/у ул.Щучки,1 доплата за декабрь -800,00
К/у Беловод (механизаторы) доплата за декабрь -1 560,00
К/у за дом (бр.Жука) декабрь -4 000,00
дом Ромни Овсиенко,19 залог за коммунальные платежи -3 000,00</t>
  </si>
  <si>
    <t>ф2 Чайковский ИТР(21день*130грн)+ Кучма (21дн*100грн)
ф1 - РМ-2600 (20дней) , геодедист - 2730 (21д) + 10чел*21д+4чел*7дн</t>
  </si>
  <si>
    <t>2337,25 - ГСМ Горич
Компенсация проезда Кухар С. согласно билета и подотчета -867,00</t>
  </si>
  <si>
    <t>Проезд Чайковского -500,00
Приезд бр.Жука 5чел -2 500,00
Проезд бригад заправка газом -4 878
Комлак- 499,80,Горич - 2337,25
Заправка трамбовки - 499,80грн
ф2 - Газ Комлак -1 500,00</t>
  </si>
  <si>
    <t>НП</t>
  </si>
  <si>
    <t xml:space="preserve">Ф2 Строительный фен+мшп -3 500,00 </t>
  </si>
  <si>
    <t>Оплата за вывоз грунта -57 116,90
Оплата за вывоз грунта (70 824,66) -1 558,44</t>
  </si>
  <si>
    <t>ф1 - Гриценко 
ф2 бр. Колесника - 9600 ( 24дня)
Командировочние бр. Иршадова 2чел*7дн*100грн -1 400,00</t>
  </si>
  <si>
    <t>2176,59 - ГСМ Гриценко
проезд соискателя на собеседование к Гриценко -630,00
 Приезд уезд бр. Иршадова 2 чел по 500грн -2 000,00</t>
  </si>
  <si>
    <t>Ф2: Фитинги для ремонта трубопровода -1 660,00
Уголок 45*45*3 (16 м.п.) для бытовки -920,00</t>
  </si>
  <si>
    <t>Аренда машин для вывоза мусора (185 тон) под акт №56 январь -31 905,00</t>
  </si>
  <si>
    <t>Наша техника:
Экскаватор 3сх 2008 - 94*409,71</t>
  </si>
  <si>
    <t>А/к ИТР 1 (живут механизаторы) -4 000,00
ИТР 2  -4 000,00
21073 - к/у</t>
  </si>
  <si>
    <t>представительские забрал Вороонцов -15 000,00</t>
  </si>
  <si>
    <t>выдано Воронцову АВ -2 800,00</t>
  </si>
  <si>
    <t>250 - заправка артриджа</t>
  </si>
  <si>
    <t>бумага для принтера -247,00
ручка 10 шт-209грн., маркет 4шт- 60грн. -269,00</t>
  </si>
  <si>
    <t>100 - респираторы
3 353,05 - колено,тройник,щетки для болгарки,шурупы,шпилька,гайки,шайбы,электроды,ревизия,трап</t>
  </si>
  <si>
    <t>260 - цемент</t>
  </si>
  <si>
    <t>6000 - Козеев
500 - Исычко</t>
  </si>
  <si>
    <t>ГСМ Стариков, Гуртовой, трамбовка
проезд бригад</t>
  </si>
  <si>
    <t>Наша техника:
Телескоп № 4 - 179*393,7
Экскаватор JCB 2013 - 154*409,71
Маз 265 - 44*243,17
Автокран Клинцы - 65*405,2
500 - Аренда крана
450 - Аренда погрузчика 3 часа(наш погрузчик сломался)</t>
  </si>
  <si>
    <t>Аренда гостиницы Стариков С -600,00
ИТР - 2730
бр.Пономарева</t>
  </si>
  <si>
    <t>Представительские начальнику охраны -168,00</t>
  </si>
  <si>
    <t>доставка матрацов НП -69,00</t>
  </si>
  <si>
    <t>бытовая химия+принадлежности -311,40
300 - кофе, чай</t>
  </si>
  <si>
    <t>3451,70 - биты,распираторы,замок,брелки,саморезы,гвозди,сверла,очки
1469,30 - Лента самоклейка-61,30грн., зуболо-4шт- 794грн., мел,универс.клюк-195грн.,болты,гайки,шайбы,провод-419грн.</t>
  </si>
  <si>
    <t>разработка КМД(услуги сторонних организаций) -19 900,00
Оплата электрику за подключение вагончиков + за сбор эл.щитов 3шт -900,00
Изготовления ППР -3 015,08</t>
  </si>
  <si>
    <t>250 - Залог за пропуска ИТР
300 - залог за пропуск бр.Пономаренко
503 - Чашки для кофе-63грн.,распечатка ППР-440грн.</t>
  </si>
  <si>
    <t xml:space="preserve">3613,76 - ГСМ Стариков 50%
Приезд на объект бр. Пономарева -3 200,00
Приезд ИТР Величковского на обьект -380,00
Проезд на обьект ИТР и рабочих -200,00
Приезд ИТР Кроль НА на обьект и проезд до конца месяца -1 005,00
150 - такси на объект ИТР
доставка скоб такелажных на обьект -100,00 </t>
  </si>
  <si>
    <t>Проживание 2х чел*6дн*60грн -720,00
Проживание Бондарука 19-23.01.2021 -2 000,00
Проживание Петрова Д перечисление на карты по указанию директора -300,00</t>
  </si>
  <si>
    <t xml:space="preserve">Бондарук ПГ  -600,00
бр Олейник 2*5 дн*100=1000,00 грн; -1 000,00 
Суточные Петрова Д перечисление на карты по указанию директора -600,00 </t>
  </si>
  <si>
    <t>кофе чай -500,00</t>
  </si>
  <si>
    <t>Премия Сычу -28 000,00</t>
  </si>
  <si>
    <t xml:space="preserve">3748,5 - ГСМ Бондарук
отъезд бр.Жука 5чел * 400 -2 000,00
отъезд бр.Олейника 5чел * 350 -1 750,00
Приезд 2х чел , отъезд 2х чел -1 800,00
Ввоз-вывоз инструментов,перевозка людей -400,00
Проезд Петрова Д перечисление на карты по указанию директора -90,00
машина за доставку баллонов -200,00 </t>
  </si>
  <si>
    <t>бр.Жука 43 730
бр.Исичко 223 236,53
бр.Козеева 310 564,04</t>
  </si>
  <si>
    <t>6 100 - БЕЛЕС ТРАНС"ПП
1 500 - ЮГКОМ ТОВ
350,40 - Пологпостач ТДВ
2 190 - ГРАДОЛІТ"ТОВ
3 000 - Олександрівськ ТД ТОВ</t>
  </si>
  <si>
    <t>5 184 - ПРОКАТОФФ ТОВ аренда отбойного молота
1 500 - Пологпостач ТДВ
аренда отбойного молота по месту 2 дня -600,00</t>
  </si>
  <si>
    <t>1 494 - ПРОКАТОФФ ТОВ Ремонт віброплити</t>
  </si>
  <si>
    <t>бр.Шкуркина 99 181,65
бр.Косенко 29 256
бр.Логвиненко 82 449,20
бр.Блудова 245 103,60</t>
  </si>
  <si>
    <t>24 000 - БЕЛЕС ТРАНС"ПП</t>
  </si>
  <si>
    <t>Наша техника: 
Телескоп №2 - 213*393,70
Экскаватор 3сх 2008 - 105*409,71
4480,01 - СПЕЦТЕХБЕТОН ТОВ аренда самосвала
951 - Технопідйом ТОВ
14 731,12 - Технопідйом ТОВ аренда подъмника</t>
  </si>
  <si>
    <t xml:space="preserve">300 - ГЛОБАЛ РЕНТ УКРАИНА ТОВ
300 - Кріотехгаз УПК ТОВ
4080 - ГУБІН АНДРІЙ СЕРГІЙОВИЧ ФОП аренда гидромолота
4 800 - ГЛОБАЛ РЕНТ УКРАИНА ТОВ аренда нагревателя
2 310 - Кріотехгаз УПК ТОВ аренда баллонов
Аренда домкрата -8 000,00 </t>
  </si>
  <si>
    <t>3062 - МЕТІНВЕСТ-СМЦ ТОВ порезка металлопрката
раскладушка для механизаторов -950,00 
Табличка металева під срібло  з інвентаризац.номером 200 х 150 мм - 3 шт. (на Харків КМД -1 шт. інв.№001172 та на Олія - 2 шт. (інв.номер уточнюється)  -712,80</t>
  </si>
  <si>
    <t>Наша техника: 
МАЗ 265 - с Полг на Беловоды 570*16,08(перегон)
Виброкаток - 12*2000 простой
Телескоп №1 - 145*393,7
Экскаватор JCB 220 - 69*728,43
Маз 264 - 127*243,17 
Маз 265 - 93*243,17
Самосвал Камаз - 78*251,16
Виброкаток - 23*437,17
15 840 - РОМНИКОМУНТЕПЛО РОМЕНСЬКОЇ МІСЬКОЇ РАДИ КП автокран</t>
  </si>
  <si>
    <t>34 100 - БЕЛЕС ТРАНС"ПП
200 - АТЛАНТ БУД СХІД"ТОВ доставка плиты
36 500 - МЕТІНВЕСТ-СМЦ ТОВ</t>
  </si>
  <si>
    <t>47 552 - Пері Україна ТОВ</t>
  </si>
  <si>
    <t>57,00 - МЕТІНВЕСТ-СМЦ ТОВ Порізка металопрокату</t>
  </si>
  <si>
    <t>44,27 - Пері Україна ТОВ</t>
  </si>
  <si>
    <t>702 - ДНІПРОПРОМСІНТЕЗ" ТОВ аренда баллонов</t>
  </si>
  <si>
    <t>14 280 - БУДМАШОСНОВА"НКЦ ТОВ
7 250 - ФАХІВЕЦЬ ОЦ"ТОВ</t>
  </si>
  <si>
    <t>5 600 - Медпроф ТОВ медосмотр</t>
  </si>
  <si>
    <t>4200 - БЕЛЕС ТРАНС"ПП</t>
  </si>
  <si>
    <t>700 - Медпроф ТОВ</t>
  </si>
  <si>
    <t>7 900 - КИЇВСЬКИЙ НВК"ТОВ профобучение</t>
  </si>
  <si>
    <t>1 224 885,44 - металлизация 1558,2 м.кв. * 786,09
437 157,60 - ЕЛЕКТРОСЕРВІС-М"ТОВ  электромонтажные работы
2000 - изготовление отливов 50 м.п. на насосную</t>
  </si>
  <si>
    <t>4030 - Нагорний Юрій Володимирович ФОП Послуги перебазування</t>
  </si>
  <si>
    <t>21 975 - Нагорний Юрій Володимирович ФОП Послуги із використанням техніки автокр., екскаватор;
1400 - Кран на бытовки с Кропивницкого 06-07.01</t>
  </si>
  <si>
    <t>27 грн *518,54 км Форд Тягач
104 937,50 - БУДКОМПЛЕКТ КР" ТОВ аренда экскаватора
2600 - (Кран отгрузка люльки и колокольчика на Кр. Рог - 1200Кран отгрузка бытовок на Кр. Рог- 1400 )</t>
  </si>
  <si>
    <t>Из бр Козеев:
1. Михальчук В.;
2. Хаванский В.</t>
  </si>
  <si>
    <t xml:space="preserve"> бр.Козеева 
1. 3чел*13дней*100грн. = 3900грн (ф2)
2. 11918 - проживание в хостеле
ф21
3.(2чел*2дня+2чел*14дн)*100грн</t>
  </si>
  <si>
    <t>1. Козеев (2 чел из бригады на Яр Вал работают), 2.Исичко</t>
  </si>
  <si>
    <t>Дельта:</t>
  </si>
  <si>
    <t>Февраль  2021</t>
  </si>
  <si>
    <t>рко</t>
  </si>
  <si>
    <t>Бригада Колесник, согласно акта</t>
  </si>
  <si>
    <t xml:space="preserve">Аренда квартиры февраль (Независимости 40). </t>
  </si>
  <si>
    <t>РМ -200</t>
  </si>
  <si>
    <t xml:space="preserve">
ф2 - бр.Колесни 4чел*24 дня(поанир 18дне)*100грн</t>
  </si>
  <si>
    <t>акустична система (по распоряжению директора)</t>
  </si>
  <si>
    <t>Будівельний двір</t>
  </si>
  <si>
    <t>бр. Козеева</t>
  </si>
  <si>
    <t>обучение Стожко И.</t>
  </si>
  <si>
    <t>Стожко И</t>
  </si>
  <si>
    <t>арендасторонней техники (кран манипулятор) - 11 180</t>
  </si>
  <si>
    <t>трансп.послуги Вишневе-Київ</t>
  </si>
  <si>
    <r>
      <rPr>
        <u/>
        <sz val="11"/>
        <rFont val="Times New Roman"/>
        <family val="1"/>
        <charset val="204"/>
      </rPr>
      <t>Из бр Козеев:</t>
    </r>
    <r>
      <rPr>
        <sz val="11"/>
        <rFont val="Times New Roman"/>
        <family val="1"/>
        <charset val="204"/>
      </rPr>
      <t xml:space="preserve">
1. Михальчук В.;
2. Хаванский Владимир;</t>
    </r>
  </si>
  <si>
    <t>бр.Гура = 88 349,5;
бр. Шух = 34 752;
бр. Логвиненко = 35 484;
бр. Блудов = 101 123,95грн</t>
  </si>
  <si>
    <t>бр. Пономарев</t>
  </si>
  <si>
    <t>Аренда кввартирі ИТР и бр.Пономаренко+коммунальные</t>
  </si>
  <si>
    <t>РКО</t>
  </si>
  <si>
    <t>Заправка и ремонт катриджа -300,00</t>
  </si>
  <si>
    <t xml:space="preserve">НП-2502,10
Ф2 - Доставка насоса и отбойного молотка(нп) -150,00 </t>
  </si>
  <si>
    <t>кофе,сахар</t>
  </si>
  <si>
    <t>1540-Ремонт отбойного молотка МАКИТА</t>
  </si>
  <si>
    <t>45- Распечатка графика в типографии 50 - Залог на пропуска Крановщикам на МКГ (залоговая сумма) = 50*2 = 100грн -100,00
Залог за насос для откачки воды(МИТЕК) -2 300,00
800-сумка для ноутбука Величковский,кабель</t>
  </si>
  <si>
    <t>Премия за первый бетон бригада Пономарев -1 000,00</t>
  </si>
  <si>
    <t>6чел по ЦПФ бр. Пономарева</t>
  </si>
  <si>
    <t>Пери Украина = 18 961,44</t>
  </si>
  <si>
    <t>605 (ф2) - щетки по металлу,стрейч пленка,уголки</t>
  </si>
  <si>
    <t>белый маркер</t>
  </si>
  <si>
    <t>за минусом перемещения на ЦЕХ 78 426,1</t>
  </si>
  <si>
    <r>
      <t xml:space="preserve">350-Оренда отбойного молотка ДЕВОЛЬТ
</t>
    </r>
    <r>
      <rPr>
        <sz val="11"/>
        <rFont val="Times New Roman"/>
        <family val="1"/>
        <charset val="204"/>
      </rPr>
      <t xml:space="preserve">1512 - Оренда балонів: Кисень - 9 бал., </t>
    </r>
  </si>
  <si>
    <t>1800-Аренда гостиницы Стариков С
 926,68 - Проезд Кухар С на обьект инвентаризация
ф1-400грн суточные Кухар</t>
  </si>
  <si>
    <t>Гриценко А.В. 50%</t>
  </si>
  <si>
    <t xml:space="preserve">квартира РМ - 4000;
к/у пр.Ювилейный 32/186 кв.128 -1 215,00
К/у вул.Харковской Дивизии 4/2 кв.12 -1 280,00
</t>
  </si>
  <si>
    <t>Проезд Кухара С на инвентаризацию -1 094,00</t>
  </si>
  <si>
    <t>бр.Блудова 6чел*28дн*100грн</t>
  </si>
  <si>
    <t>ГСМ (топливо) - Горич С. 50%</t>
  </si>
  <si>
    <t>Вода - 24 шт</t>
  </si>
  <si>
    <t>ф1- Цех-10,8 * 14 000 = 151 200грн
ф2 -  бурение скважин -20 000,00 грн</t>
  </si>
  <si>
    <t xml:space="preserve">ЗП ИТР Иванчиков
</t>
  </si>
  <si>
    <t>Квартира Беловод механизаторы 6 чел -6 000,00
дом Беловоды бр.Жука -8 000,00
Дом Ромны ул.Щучки,1 -5 000,00
Квартира ИТР Ромни 3й переул.Маяковского 3 -6 000,00
бр Ковтуна проживание 14дн*2чел*50грн -1 400,00
дом м.Ромни вул. Овсієнко,19 -9 000,00
РМ-Горич -4 000,00
К/у Беловод механизаторы 6 чел за январь -3 254,00
К/у дом Беловоды бр.Жука за январь -6 000,00
Дом Ромны ул.Щучки,1 за январь -3 386,00
Квартира ИТР Ромни 3й переул.Маяковского 3 за январь -2 812,00</t>
  </si>
  <si>
    <t>Получение проф.бетонщика Кучма С.  -2 040,00
Допуск высота бетонщик Кучма С.  -700,00</t>
  </si>
  <si>
    <r>
      <rPr>
        <u/>
        <sz val="11"/>
        <rFont val="Times New Roman"/>
        <family val="1"/>
        <charset val="204"/>
      </rPr>
      <t xml:space="preserve">Суточные:
</t>
    </r>
    <r>
      <rPr>
        <sz val="11"/>
        <rFont val="Times New Roman"/>
        <family val="1"/>
        <charset val="204"/>
      </rPr>
      <t>ф1-45000
ф2-бр.Жука,бр.Ковтуна,бр.Бехбудова,ИТР Чайсковский=9940</t>
    </r>
  </si>
  <si>
    <t xml:space="preserve">
ф1 - бр.Козеева
ф2 - бр Козеева 2ч*7дн*100=1400,Бодюл 1 400грн</t>
  </si>
  <si>
    <t>приезд на объект бр.Козеева 8 февраля -435,00</t>
  </si>
  <si>
    <t xml:space="preserve">
ф1 Суточные - Кроль,Величковский
ф2 Суточные- бр.Пономарева</t>
  </si>
  <si>
    <r>
      <t xml:space="preserve">
</t>
    </r>
    <r>
      <rPr>
        <sz val="11"/>
        <rFont val="Times New Roman"/>
        <family val="1"/>
        <charset val="204"/>
      </rPr>
      <t>2769,25-ГСМ Кроль (ф1)
Кроль
заправка топлива по чеку (не было рядом заправки) -200(ф2)
Проезд бр. Пономарева -700 (ф2)</t>
    </r>
    <r>
      <rPr>
        <sz val="11"/>
        <color rgb="FFFF0000"/>
        <rFont val="Times New Roman"/>
        <family val="1"/>
        <charset val="204"/>
      </rPr>
      <t xml:space="preserve">
</t>
    </r>
  </si>
  <si>
    <r>
      <rPr>
        <u/>
        <sz val="11"/>
        <color rgb="FFFF0000"/>
        <rFont val="Times New Roman"/>
        <family val="1"/>
        <charset val="204"/>
      </rPr>
      <t xml:space="preserve">Наша техника: </t>
    </r>
    <r>
      <rPr>
        <sz val="11"/>
        <color rgb="FFFF0000"/>
        <rFont val="Times New Roman"/>
        <family val="1"/>
        <charset val="204"/>
      </rPr>
      <t xml:space="preserve">
Тячгач Форд = 17 172
Телескоп №2 - 88 583
Экскаватор 2008 - 91 365</t>
    </r>
    <r>
      <rPr>
        <sz val="11"/>
        <rFont val="Times New Roman"/>
        <family val="1"/>
        <charset val="204"/>
      </rPr>
      <t xml:space="preserve">
Сторонняя техника Спецехбетон:
Автокран = 7800
Самосвал = 11 200
Технопойом = аренда подйомникам = 54 746
</t>
    </r>
    <r>
      <rPr>
        <u/>
        <sz val="11"/>
        <rFont val="Times New Roman"/>
        <family val="1"/>
        <charset val="204"/>
      </rPr>
      <t/>
    </r>
  </si>
  <si>
    <r>
      <rPr>
        <sz val="11"/>
        <color rgb="FFFF0000"/>
        <rFont val="Times New Roman"/>
        <family val="1"/>
        <charset val="204"/>
      </rPr>
      <t xml:space="preserve">
</t>
    </r>
    <r>
      <rPr>
        <sz val="11"/>
        <rFont val="Times New Roman"/>
        <family val="1"/>
        <charset val="204"/>
      </rPr>
      <t>Спецтехбетон = 780
Криотехгаз = 1500
ХС Груп = 3 200
Техноподйом = 4800</t>
    </r>
  </si>
  <si>
    <t>порезка метала Метинвест</t>
  </si>
  <si>
    <t>913-диагностика оборудования (Виктория Макс)</t>
  </si>
  <si>
    <t>Наша техника:
Телескоп №4 - 71 063
Автокран Клинцы - 40520
ф2 - Аренда погрузчика(аренда техники) наш на ремонте</t>
  </si>
  <si>
    <t>2500 - БЕЛЕС ТРАНС"ПП
5500-Вартис</t>
  </si>
  <si>
    <t>47 000 - БЕЛЕС ТРАНС"ПП
2 790-Рубин
200-Атлант Буд</t>
  </si>
  <si>
    <t>129 862,6 - Пері Україна ТОВ</t>
  </si>
  <si>
    <t>6700-ремонт арендного оборудования Рудик ФОП
1480-Ремонт зварювального апарату - Виктория Макс
627,98 Ремонт+з/ч Шліфмашина кутова GA 9020 MAKITA  - Виктория Макс</t>
  </si>
  <si>
    <t xml:space="preserve">Наша техника:
Телескоп №1 - 85 464
Экскаватор 220 - 45 891
МАЗ 264 - 52 749
Автокран Клинцы - 27 554
Экскаватор 2013- 63 381
МАЗ 265 - 47 399
Самосвал Камаз - 9 293
Виброкаток - 34 492
</t>
  </si>
  <si>
    <t>ЦЕХ = 31,18*14 000 = 436 520грн
Оплата за работу електрика за переподключение крана -350,00 (ф2)
Доставка лаборатории для обследования металла -1 700,00 (ф2)
13 000-резка метала Метинвест</t>
  </si>
  <si>
    <r>
      <rPr>
        <sz val="11"/>
        <rFont val="Times New Roman"/>
        <family val="1"/>
        <charset val="204"/>
      </rPr>
      <t>Услуги екскаватора - 228 650 - Будкомплект</t>
    </r>
    <r>
      <rPr>
        <sz val="11"/>
        <color rgb="FFFF0000"/>
        <rFont val="Times New Roman"/>
        <family val="1"/>
        <charset val="204"/>
      </rPr>
      <t xml:space="preserve">
</t>
    </r>
    <r>
      <rPr>
        <sz val="11"/>
        <rFont val="Times New Roman"/>
        <family val="1"/>
        <charset val="204"/>
      </rPr>
      <t>Услуги самосвала - 124 125 - Будкомплект
услуги автотранспорта - 36 000 - Будкомплект КР
Форд Тягач = 27 243грн (1009км)</t>
    </r>
    <r>
      <rPr>
        <sz val="11"/>
        <color rgb="FFFF0000"/>
        <rFont val="Times New Roman"/>
        <family val="1"/>
        <charset val="204"/>
      </rPr>
      <t xml:space="preserve">
</t>
    </r>
  </si>
  <si>
    <t>РКО -26,84</t>
  </si>
  <si>
    <t>кофе,чай сахар</t>
  </si>
  <si>
    <t xml:space="preserve">5090- Порубка та загиб металу (завод Кобзаренко)
доставка компресору з SAT -400,00 </t>
  </si>
  <si>
    <r>
      <t xml:space="preserve">80л газ-1000грн.,заправка баллонов 2*20=40грн. -1 040,00
60л газ-870грн.,заправка баллонов 2*20=40грн. -910,00
2 436 (ф2) - шланги, кровати, лопаты
</t>
    </r>
    <r>
      <rPr>
        <u/>
        <sz val="11"/>
        <rFont val="Times New Roman"/>
        <family val="1"/>
        <charset val="204"/>
      </rPr>
      <t>ф1</t>
    </r>
    <r>
      <rPr>
        <sz val="11"/>
        <rFont val="Times New Roman"/>
        <family val="1"/>
        <charset val="204"/>
      </rPr>
      <t xml:space="preserve">
Медосмотр -- 1900
Допуск высота бетонщик Кучма С. = 700грн</t>
    </r>
    <r>
      <rPr>
        <sz val="11"/>
        <color rgb="FFFF0000"/>
        <rFont val="Times New Roman"/>
        <family val="1"/>
        <charset val="204"/>
      </rPr>
      <t xml:space="preserve">
</t>
    </r>
    <r>
      <rPr>
        <sz val="11"/>
        <rFont val="Times New Roman"/>
        <family val="1"/>
        <charset val="204"/>
      </rPr>
      <t>Залог за мойку высокого давления  -7 000,00
746,4-вибротрамбовка</t>
    </r>
  </si>
  <si>
    <t>Приезд Пахмова+Семенченко, проезд бригад -2 626,00
542*3чел (проезд бригад) - 4 878 грн
геодезист Гучук -приезд 500 грн 
приезд Бехбудов 3чел. -1 500,00 грн
геодезист Гучук - 1000 газ топливо февраль -1 000,00
ГСМ (топливо) Комлак = 509,8(20Л)</t>
  </si>
  <si>
    <r>
      <rPr>
        <sz val="11"/>
        <rFont val="Times New Roman"/>
        <family val="1"/>
        <charset val="204"/>
      </rPr>
      <t>Комлак -за февраль;</t>
    </r>
    <r>
      <rPr>
        <sz val="11"/>
        <color rgb="FFFF0000"/>
        <rFont val="Times New Roman"/>
        <family val="1"/>
        <charset val="204"/>
      </rPr>
      <t xml:space="preserve">
</t>
    </r>
    <r>
      <rPr>
        <sz val="11"/>
        <rFont val="Times New Roman"/>
        <family val="1"/>
        <charset val="204"/>
      </rPr>
      <t>Чайковский - 25000 (ф2)+налоги;
Гучук,Скалий</t>
    </r>
  </si>
  <si>
    <t>за квартиры бр.Исичко и бр.Козеева + коммунальные</t>
  </si>
  <si>
    <t>бр. Козеева и бр. Исички</t>
  </si>
  <si>
    <t>ф1 - Бондаренко по билетам  -922,09
ф1-ГСМ Топливо (Стариков) =3488  (50%)</t>
  </si>
  <si>
    <r>
      <rPr>
        <sz val="11"/>
        <rFont val="Times New Roman"/>
        <family val="1"/>
        <charset val="204"/>
      </rPr>
      <t xml:space="preserve">
ф1-ГСМ  Гуртовой -1 677,37грн, </t>
    </r>
    <r>
      <rPr>
        <sz val="11"/>
        <color rgb="FFFF0000"/>
        <rFont val="Times New Roman"/>
        <family val="1"/>
        <charset val="204"/>
      </rPr>
      <t xml:space="preserve">
</t>
    </r>
    <r>
      <rPr>
        <sz val="11"/>
        <rFont val="Times New Roman"/>
        <family val="1"/>
        <charset val="204"/>
      </rPr>
      <t xml:space="preserve">2950 -ф2 - Проезд бр. Исычко,бр Козеева  на работу </t>
    </r>
  </si>
  <si>
    <t>ф2 - Труба 50 мм(материалы) -453,00
Отводы 50 мм -2шт, 89 мм - 4шт, 108мм - 3 шт, 65мм -7 шт(материалы) -1 575,00</t>
  </si>
  <si>
    <t>Гуртовой,Хомич,Козеев</t>
  </si>
  <si>
    <t>Стариков С.за февраль  50%</t>
  </si>
  <si>
    <r>
      <t xml:space="preserve">179 500-Електромонтажні роботи СК ДП Буд
3400,07-дослідження зразків бетону "Стандарт трейдинг"
</t>
    </r>
    <r>
      <rPr>
        <u/>
        <sz val="11"/>
        <rFont val="Times New Roman"/>
        <family val="1"/>
        <charset val="204"/>
      </rPr>
      <t>Ф2</t>
    </r>
    <r>
      <rPr>
        <sz val="11"/>
        <rFont val="Times New Roman"/>
        <family val="1"/>
        <charset val="204"/>
      </rPr>
      <t xml:space="preserve">
устройство врезок В1 ,В6 -9 000,00
приезд и отьезд при устройстве врезок -1 000,00
Расточка сверел и коробок под насосы. Услуги токаря. -200,00</t>
    </r>
  </si>
  <si>
    <r>
      <t xml:space="preserve">
</t>
    </r>
    <r>
      <rPr>
        <sz val="11"/>
        <rFont val="Times New Roman"/>
        <family val="1"/>
        <charset val="204"/>
      </rPr>
      <t>Ф1-750 - Пологпостач ТДВ
аренда баллонов
Ф2-залог за фасонные изделия для врезки (возврат после оплаты) -4 858,00
Залог за трубу для водопровода в ЛОС -3 000,00</t>
    </r>
  </si>
  <si>
    <r>
      <t xml:space="preserve">
</t>
    </r>
    <r>
      <rPr>
        <sz val="11"/>
        <rFont val="Times New Roman"/>
        <family val="1"/>
        <charset val="204"/>
      </rPr>
      <t>Гидромолот - 4ч 22.02.21  -4 080,00
ф2 - Оренда балонів 3+2 Договір №2-ОР від 10.12.2020  -510,00</t>
    </r>
    <r>
      <rPr>
        <sz val="11"/>
        <color rgb="FFFF0000"/>
        <rFont val="Times New Roman"/>
        <family val="1"/>
        <charset val="204"/>
      </rPr>
      <t xml:space="preserve">
</t>
    </r>
  </si>
  <si>
    <t>бензин на бензорезчик -99,95
Бензин в швонарезчик 5л -114,00
Ф1-Аренда баллонов риотехгаз = 1800</t>
  </si>
  <si>
    <t xml:space="preserve">
 ф2 - розетка,стрейч пленка, саморезы,диск по бетону,полутер пенопластов -567,00 грн</t>
  </si>
  <si>
    <t>Аренда сторонней техники</t>
  </si>
  <si>
    <t>Аренда техники</t>
  </si>
  <si>
    <t>Величковский,Кроль</t>
  </si>
  <si>
    <t>Март 2021</t>
  </si>
  <si>
    <t>1. комунальні квартира Квартира вул. Харківських Дивізій, 4/2 кв.12 -2 434,00;
2. залог на апрель квартира Квартира вул. Харківських Дивізій, 4/2 кв.12 -7 500,00
3. Квартира РМ 50% на одном объекте -4 000,00</t>
  </si>
  <si>
    <t>Проезд Кухара С на инвентаризацию(по билетам) -865,00
Компенсация проезда Кухар С на инвентаризацию -872,00</t>
  </si>
  <si>
    <t>ф1 - бр.Ковтуна
ф2 - бр.Блудов</t>
  </si>
  <si>
    <t>ГСМ (топливо) - Горич С. 50%
20 л ДТ заправка РМ (соглас с Манжулой не было денег на карте) -599,80</t>
  </si>
  <si>
    <t>3сх 2008 - 38 103
Телескоп №2 - 122 834</t>
  </si>
  <si>
    <t>Аренда вагончика</t>
  </si>
  <si>
    <t>Оренда ножничного підйомника - 15 змін (продовження)  -19 530,00
Оренда 2-го ножничного підйомника - 6 змін  -9 300,00
Оренда 2-го ножничного підйомника - 20 змін  -34 600,00</t>
  </si>
  <si>
    <t>Оплата доставки смазочн. Материалов -71,00 (ф2)</t>
  </si>
  <si>
    <t xml:space="preserve">
ф1-ГСМ Топливо (Стариков) =4665  (50%)</t>
  </si>
  <si>
    <t>топливо Гриценко А.В.</t>
  </si>
  <si>
    <t>Стариков С.за март</t>
  </si>
  <si>
    <t>Гриценко А.В. 50% за март</t>
  </si>
  <si>
    <t>Горич 50% за март</t>
  </si>
  <si>
    <t>Величковский,Кроль, Хомич</t>
  </si>
  <si>
    <t xml:space="preserve">ЗП ИТР Иванчиков за март
</t>
  </si>
  <si>
    <r>
      <t xml:space="preserve">
</t>
    </r>
    <r>
      <rPr>
        <sz val="11"/>
        <rFont val="Times New Roman"/>
        <family val="1"/>
        <charset val="204"/>
      </rPr>
      <t>Чайковский - 25000 (ф2)+ф1 отсутствует;
Гучук = 19210,14 (ф2)</t>
    </r>
  </si>
  <si>
    <t>Жук</t>
  </si>
  <si>
    <t>бр Козеев</t>
  </si>
  <si>
    <r>
      <rPr>
        <b/>
        <u/>
        <sz val="11"/>
        <color indexed="18"/>
        <rFont val="Times New Roman"/>
        <family val="1"/>
        <charset val="204"/>
      </rPr>
      <t xml:space="preserve">
Ф2:</t>
    </r>
    <r>
      <rPr>
        <sz val="11"/>
        <color indexed="18"/>
        <rFont val="Times New Roman"/>
        <family val="1"/>
        <charset val="204"/>
      </rPr>
      <t xml:space="preserve">
25-Хомут 10х16 5 шт на резак
100-пена монтажная</t>
    </r>
  </si>
  <si>
    <r>
      <t xml:space="preserve">500 (ф2) - оплата погрузки вагончика манипулятором
</t>
    </r>
    <r>
      <rPr>
        <b/>
        <u/>
        <sz val="11"/>
        <rFont val="Times New Roman"/>
        <family val="1"/>
        <charset val="204"/>
      </rPr>
      <t>ф1:</t>
    </r>
    <r>
      <rPr>
        <sz val="11"/>
        <rFont val="Times New Roman"/>
        <family val="1"/>
        <charset val="204"/>
      </rPr>
      <t xml:space="preserve">
14 533,01-спецтехбетон;
21700-ФОП Старченко-услуги екскаватора;
12 800-услуги катка (ДОРТЕХСТРОЙ)
</t>
    </r>
  </si>
  <si>
    <t xml:space="preserve">ф2-Пленка стрейчевая на обмотку пекинески
ф1-Оренда балонів 3+(2+7) Договір №2-ОР від 10.12.2020  -1 500,00
ф1-5235-кислородные баллоны
</t>
  </si>
  <si>
    <t>перебазировки
ф2:
перевозка раскладушек и строй оборудования</t>
  </si>
  <si>
    <t>обучение по охране труда</t>
  </si>
  <si>
    <t>жилет сигнальный, лопата, очки защитные, рулетка</t>
  </si>
  <si>
    <t>Гуртовой</t>
  </si>
  <si>
    <t>1. Дудуков = 20 193;
2. Подсобники (бетонщики) = 112 957;
3. Козеев = 178 632,32;
4. Исичко = 115 570</t>
  </si>
  <si>
    <t>бр.Козеев, Ковтун</t>
  </si>
  <si>
    <t>Бригада Жука</t>
  </si>
  <si>
    <t>Дом Ромны ул.Овсиенка,19 -9 000,00( переходящий месяц на апрель)
РМ-Горич -4 000,00+коммунальные согласно счетчиков</t>
  </si>
  <si>
    <t>проезд бригад</t>
  </si>
  <si>
    <t>ф1-ГСМ (топливо) - Горич С. 50%
ф2-поездка в Беловод. Заправка газом Игоря (водителя) для командировки -800,00
Гучук газ - 1500</t>
  </si>
  <si>
    <t xml:space="preserve">РКО </t>
  </si>
  <si>
    <t>ф1: 45-батарейка крона;
550-гвозди;
320,42-круг алмазный, шпатель;
202-распиратор.</t>
  </si>
  <si>
    <t>ф2 - техноплекс -177,00 
ЦПС 4мешка -280,00</t>
  </si>
  <si>
    <t>Автокран Клинцы - 68 479
Экскаватор 2013 - 79 915
Телескоп № 1 - 39008</t>
  </si>
  <si>
    <t>доплата за февраль мойка высокого давления 1 сутки</t>
  </si>
  <si>
    <t>Атлант Буд=166,67
Белес = 14 583, 33
Рубин = 2325</t>
  </si>
  <si>
    <t>Будпрокат=5 416,67 (аренда минимойки)</t>
  </si>
  <si>
    <t>Виктория Макс: 685,33-ремонт перфоратора;
983,33-ремонт сварочного аппарата;
739,17-ремонт шлифмашинки.</t>
  </si>
  <si>
    <t>Краш Груп - устройство пройома в армованом бетоне</t>
  </si>
  <si>
    <t>Медосмотр подсобных рабочих
масло моторное "вертолет"
правило 2,5м+буры 6мм
сетка для отсечки бетона;
2454-заправка трамбовки
816,67-маркер белый
125-маркер черный</t>
  </si>
  <si>
    <t>1700-обучение монтаж. Біловоди
1400-охрана труда</t>
  </si>
  <si>
    <t>Гриценко-400;
Горич- 400</t>
  </si>
  <si>
    <t>охрана труда</t>
  </si>
  <si>
    <t>Ар Нуво+Натхнення</t>
  </si>
  <si>
    <t>аренда квартиры механизаторов за февраль -2460
бр.Козеева -8 000,00
аренда квартиры итр 2 -4 000,00
Аренда квартиры бр. Отделочников Дудуков -1000
+коммунальные за март</t>
  </si>
  <si>
    <r>
      <rPr>
        <sz val="11"/>
        <rFont val="Times New Roman"/>
        <family val="1"/>
        <charset val="204"/>
      </rPr>
      <t xml:space="preserve">
ф1-ГСМ  Гуртовой -6 106,62грн, 
ф2-отьезд с объекта бр. Исичко 5 чел -2 500,00, подвоз сотр на работу</t>
    </r>
    <r>
      <rPr>
        <sz val="11"/>
        <color rgb="FFFF0000"/>
        <rFont val="Times New Roman"/>
        <family val="1"/>
        <charset val="204"/>
      </rPr>
      <t xml:space="preserve">
</t>
    </r>
  </si>
  <si>
    <t>Тарасенко-суточные;
2620-Проживание директора,водителя</t>
  </si>
  <si>
    <t>250-заправка картриджа</t>
  </si>
  <si>
    <t>бумага А4</t>
  </si>
  <si>
    <t>ф2-муфты на генератор 16 шт., веник 4шт, Кран шаравой 32мм-2шт, Гайка М24 64шт, маркировочнын бирки на кабеля, саморезы, промывка для пены, Биты, очки, круг алмазный,буры по бетону, Дюбель молли, Демферная лента 60 м.п. для полов из топинга, Веревка, валик, сверло, лента малярная, Круги по бетону, перчатки, герметик, крестики, клинья, колодки, вилки, маркера, ППС 2м2, сетка фасадная 30м2, нитки 2шт(материал)</t>
  </si>
  <si>
    <t xml:space="preserve">ф2 - образцы плитки -86,00 </t>
  </si>
  <si>
    <t>Телескоп №4 - 34646</t>
  </si>
  <si>
    <t>ф1-Белес Транс - транспортно-експедиторские
ф2-Доставка сетки 5Вр1 из Запорожья в Пологи -1 000,00</t>
  </si>
  <si>
    <t>ф1-аренда баллонов
Уголок для откосов, шпатель -192,00
Матрац надувной в квартиру Козеева -786,00
Пистолет для пены -323,00</t>
  </si>
  <si>
    <t>ф1-Електросервис --Електромонтажні роботи_ПОЛОГИ_ АКТ№5= 142 305;
Електросервис - -Електромонтажні роботи_ПОЛОГИ_ АКТ№6=32 060
Електросервис --Електромонтажні роботи_ПОЛОГИ_ АКТ№7= 14 400
Електросерваис - -Електромонтажні роботи_ПОЛОГИ_ АКТ№8=40 090
2100-Изготовление спецпланок 42 м.п.
1200-Изготовление спецпланок на насосную 24м.п.*50=1200грн(услуги сторонних организвций)</t>
  </si>
  <si>
    <t>перебазировка</t>
  </si>
  <si>
    <t>Услуги крана манипулятора Сантранс</t>
  </si>
  <si>
    <t>вывоз мусора</t>
  </si>
  <si>
    <t>трансп.послуги Бровари-Київ</t>
  </si>
  <si>
    <t>1. Пономарев = 171217,5;
2. Беркаш = 19 800;
3. Бурлачук = 27070;
4.Исичко = 186 598</t>
  </si>
  <si>
    <t>Пери Украина = 56 884,32</t>
  </si>
  <si>
    <t>Аренда квартиры Исички -5 000,00
А/к ИТР -5 000,00
А/к бетонщиков  Пономарева -4 000,00
А/к сварщиков Исичко (залоговый месяц) -5 000,00
+коммунальные = 6751</t>
  </si>
  <si>
    <r>
      <t xml:space="preserve">
</t>
    </r>
    <r>
      <rPr>
        <sz val="11"/>
        <rFont val="Times New Roman"/>
        <family val="1"/>
        <charset val="204"/>
      </rPr>
      <t xml:space="preserve">2699-ГСМ Кроль (ф1)
Подвоз сотрудников-ф2
Приезд на объект бр. Демонтажников -2 100,00
</t>
    </r>
  </si>
  <si>
    <t>200-Кухар (суточные)
Аренда гостиницы Стариков С-1800</t>
  </si>
  <si>
    <t>Бригада Бурлачук А
Маляра
Бригада Пономарьова М
ІТР
ф2 - бетонщики,бр.Пономарева</t>
  </si>
  <si>
    <t xml:space="preserve">
ф1-ГСМ Топливо (Стариков) =4665  (50%)
Заправка авто Старикова не было дс на топливной карте -900,00</t>
  </si>
  <si>
    <t>бумага А4 -120,00</t>
  </si>
  <si>
    <t>Ремонт электрощитка -100,00</t>
  </si>
  <si>
    <t xml:space="preserve">ф1
Ультразвукова дифектоскопия=3600
Цех МК=68,315т*14000Оплата за изготовление 
ф2: 
КМД(услуги сторонних организаций) -24 875,00 
Проточка сверла 5 шт -1 050,00 
Буріння отворів під анкера М48 4шт диам 60мм -3 600,00 
Подключение компрессора 380вольт -150,00 </t>
  </si>
  <si>
    <t>Телескоп №4-49606</t>
  </si>
  <si>
    <t>30 375-аренда автокрана "Будкомплект"; 
5 000-услуги самосвала "Будкомплект"
3 750-услуги самосвала; 
6 416,67-услуги екскаватора;
51 375-услуги автокрана;
14 250-услуги екскаватора
5 041,67-услуги самосвала;
8250-услуги екскаватора
47250-услуги крана МКГ
ф2- Аренда минигидромолота, минипогрузчика камаз 15 т ,екскаватор повноповоротний колісний ,Гідромолот</t>
  </si>
  <si>
    <t>2039-Акумулятор DeWALT DCB184 Li-lon, 18В, 5А/r
1395-аренда баллонов
653=замок навесной,пена монтажная 2 баллона,Кисень - 6 бал.,Краска, средство для удаления ржавчины
ф2=Заправка на виброплиту -517,80</t>
  </si>
  <si>
    <t>Премия ИТР -1 500,00</t>
  </si>
  <si>
    <t>К/у Независимости,40а за 10 дней марта -2 300,00</t>
  </si>
  <si>
    <t xml:space="preserve">
ф2 - бр.Колесник 2 чел</t>
  </si>
  <si>
    <t>Анкера и сверло для монтажа пробоотборника -834,24</t>
  </si>
  <si>
    <t xml:space="preserve">ф2 - материалы, саморезы, пленка, мембрана,бур, анкера -3 170,00 
Материалы для КНС (счет куплены за наличные) -4 060,00 </t>
  </si>
  <si>
    <t>ф1 - Хаванский,Ковтун,Годунко
ф2 -Бодюл</t>
  </si>
  <si>
    <t>первый+последний месяц+услуги риелтора+ проживание 2 чел -400,00
проживание Ковтун -1 200,00</t>
  </si>
  <si>
    <t>Приезд на объет Ковтун - 2 человека -1 000,00</t>
  </si>
  <si>
    <t>за минусом выполненных работ по металлизации</t>
  </si>
  <si>
    <t>перечисление на карту Дяченко А 1 200,00 -за выполненные работы</t>
  </si>
  <si>
    <t>за щебень( не успели догрузить)  218,64</t>
  </si>
  <si>
    <t>Заправка авто юриста, поездка в суд -1 027,00</t>
  </si>
  <si>
    <t>Пери = 55 645,38</t>
  </si>
  <si>
    <t>Пери=1004,03</t>
  </si>
  <si>
    <t>1. Гура = 17 376,90;
2. Шух = 26829,60;
3. Блудов = 54 365,70;
4. Ковтун = 13 244,54;
5. Шкуркин = 191 344,4</t>
  </si>
  <si>
    <t>бр. Исичко</t>
  </si>
  <si>
    <t>Апрель 2021</t>
  </si>
  <si>
    <t>Апрель  2021</t>
  </si>
  <si>
    <t>50% ЗП за апрель Горич С.</t>
  </si>
  <si>
    <t>50% ЗП за апрель Стариков С.</t>
  </si>
  <si>
    <t>ЗП Чайковский за апрель за минусом 10 000грн за ноутбук</t>
  </si>
  <si>
    <t xml:space="preserve">ЗП Иванчиков за апрель </t>
  </si>
  <si>
    <t>ЗП за апрель Хомич+Козеев (ф1+ф2 бригадирские)</t>
  </si>
  <si>
    <t>ЗП за апрель Величковский, Кроль</t>
  </si>
  <si>
    <t>Бр.Пономаренки, Бр.Козеева</t>
  </si>
  <si>
    <t>Бр.Жука</t>
  </si>
  <si>
    <t>Бр. Козеев</t>
  </si>
  <si>
    <t>Бр.Козеева, Бр.Ковтуна</t>
  </si>
  <si>
    <t>НП за апрель</t>
  </si>
  <si>
    <t xml:space="preserve">50% топливо Старикова за апрель </t>
  </si>
  <si>
    <t>50% топливо Горич за апрель</t>
  </si>
  <si>
    <t>ф2-Севастьянов</t>
  </si>
  <si>
    <t>Кухар - суточные</t>
  </si>
  <si>
    <t>50% топливо Горич за апрель
ф2=1035 - проезд Кухаря
80-парковка Кухаря на инвентаризации</t>
  </si>
  <si>
    <t>кофе</t>
  </si>
  <si>
    <t>ф2-шпильки</t>
  </si>
  <si>
    <t>устройство бетонных полов, геодезия, геодезист нивелировка рельса</t>
  </si>
  <si>
    <t>Телескоп №2 237 ч</t>
  </si>
  <si>
    <t>ф1-логистические услуги Криотехгаз, Гордеев, Техноподьем
ф2-200-Возврат глубинного вибратора. Оплата проезда, для возврата</t>
  </si>
  <si>
    <t>аренда подемника Техноподьем</t>
  </si>
  <si>
    <t>аренда строительной бытовки</t>
  </si>
  <si>
    <t>ремонт и обслуживание виброплиты</t>
  </si>
  <si>
    <t>виски технадзору</t>
  </si>
  <si>
    <t>Экскаватор погр JCB 2013 - 251 ч
МАЗ 265 - 243 ч
Клинцы 168 ч</t>
  </si>
  <si>
    <t>ф1
2131,20-аренда балонов
6 719,928-заправка оборудования и трамбовки</t>
  </si>
  <si>
    <t>535,85-заправка трамбовки</t>
  </si>
  <si>
    <t>Белес</t>
  </si>
  <si>
    <t>Аренда опалубки Пери</t>
  </si>
  <si>
    <t>16 350-Випробування на буд.об'єкті (зразків бетону пружності грунту)
20778-Визначення міцності бетону</t>
  </si>
  <si>
    <t>Ремонт кут. шліфмашини з з/п</t>
  </si>
  <si>
    <t>375-аренда балонов</t>
  </si>
  <si>
    <t>1392-аренда отбойного молотка</t>
  </si>
  <si>
    <t>заправка картриджа</t>
  </si>
  <si>
    <t>133-бытовая химия
150-хоз товары</t>
  </si>
  <si>
    <t>ф2 2890-кисточки, алмазные диски, перчатки, маркера, рулетка и прочее</t>
  </si>
  <si>
    <t>10 202,99-САТ, Белес
600-доставка материалов по месту</t>
  </si>
  <si>
    <t>250-ремонт керхера</t>
  </si>
  <si>
    <t>38 475-Акварум "Монтажні та пусконалагоджувальні роботи"
24 000-Платинум "Електромонтажні роботи"
ф2-30 000 Оплата работ по устройству пожводопровода</t>
  </si>
  <si>
    <t>аренда погрузчика, автокрана</t>
  </si>
  <si>
    <t>карандаш</t>
  </si>
  <si>
    <t>Пери Украина</t>
  </si>
  <si>
    <t>Пери</t>
  </si>
  <si>
    <t>Люба Корчагина</t>
  </si>
  <si>
    <t>ф1=1815,72 -топливо Кроль за апрель
ГСМ новый прораб, = 1800
100-такси по Кривому Рогу</t>
  </si>
  <si>
    <t>1200-аренда гостиници Стариков</t>
  </si>
  <si>
    <t>50% топливо Старикова за апрель 
160-паркова Кухара</t>
  </si>
  <si>
    <t>ф2-2600-цемент 1 т</t>
  </si>
  <si>
    <t>Телескоп.погр№4 - 189 ч
№ 2 - 23 ч</t>
  </si>
  <si>
    <t>54 000-Оплата за изготовление КМД
100-услуги электрика
ф1-ЦЕХ = 46,065*14 000=644 910
ф1-6400-услуги Метинвест</t>
  </si>
  <si>
    <t>ф2-гайки, зажимы для троса, пластификатор для раствора, корректор</t>
  </si>
  <si>
    <t>ф1-аренда баллонов=1620
861-ремкомплект
маркера для производственных целей</t>
  </si>
  <si>
    <t>Ковтун = 53 802,6
Шкуркин = 77 930,70</t>
  </si>
  <si>
    <t>Май 2021</t>
  </si>
  <si>
    <t>Бурлачук = 82110
Беркаш = 32 675
Исичко = 150 000</t>
  </si>
  <si>
    <r>
      <rPr>
        <b/>
        <u/>
        <sz val="11"/>
        <color indexed="18"/>
        <rFont val="Times New Roman"/>
        <family val="1"/>
        <charset val="204"/>
      </rPr>
      <t xml:space="preserve">ф1:
</t>
    </r>
    <r>
      <rPr>
        <sz val="11"/>
        <color indexed="18"/>
        <rFont val="Times New Roman"/>
        <family val="1"/>
        <charset val="204"/>
      </rPr>
      <t>самосвал, кран,МКГ</t>
    </r>
    <r>
      <rPr>
        <b/>
        <u/>
        <sz val="11"/>
        <color indexed="18"/>
        <rFont val="Times New Roman"/>
        <family val="1"/>
        <charset val="204"/>
      </rPr>
      <t xml:space="preserve">
ф2:</t>
    </r>
    <r>
      <rPr>
        <sz val="11"/>
        <color indexed="18"/>
        <rFont val="Times New Roman"/>
        <family val="1"/>
        <charset val="204"/>
      </rPr>
      <t xml:space="preserve">
5760-Аренда мини погрузчика 8 часов(подача кирпича и цемента в цех)
6480-Аренда мини погрузчика 9 часов(подача бетона в цех для электрощитовой)</t>
    </r>
  </si>
  <si>
    <t>21 200 - БЕЛЕС ТРАНС"ПП
4 500 - ВАРТІС ТОВ 
20 000 - БУДКОМПЛЕКТ КР" ТОВ
4200-Вартис</t>
  </si>
  <si>
    <r>
      <rPr>
        <sz val="11"/>
        <rFont val="Times New Roman"/>
        <family val="1"/>
        <charset val="204"/>
      </rPr>
      <t xml:space="preserve">780 - перебазировка екскаватора Будкомплект
600-Промспецлис
28 200-трансп.послуги Б.Церква-Кривий Ріг
8000-ВАРТІС ТОВ 
8 400-доставка цемент Кривой Рог цемнт
20 534-Метинвест (лежит на цеху)
</t>
    </r>
    <r>
      <rPr>
        <sz val="11"/>
        <color rgb="FFFF0000"/>
        <rFont val="Times New Roman"/>
        <family val="1"/>
        <charset val="204"/>
      </rPr>
      <t xml:space="preserve">
</t>
    </r>
  </si>
  <si>
    <t>Май  2021</t>
  </si>
  <si>
    <t>Бр. Жука</t>
  </si>
  <si>
    <t>ЗП Иванчиков за май</t>
  </si>
  <si>
    <t>1/3 Горич</t>
  </si>
  <si>
    <t>1/2 Харченко</t>
  </si>
  <si>
    <t>Харченко</t>
  </si>
  <si>
    <t>1/2 Стариков</t>
  </si>
  <si>
    <t xml:space="preserve">ф1 - Дорощенко офиц
ф2 - Заправка прораба Дорощенко(не работала карта)
</t>
  </si>
  <si>
    <t>зп Чайковского за май 28000
ЗП геодезиста 12000</t>
  </si>
  <si>
    <t xml:space="preserve">
Величковский, Дорощенко за май 
</t>
  </si>
  <si>
    <t>Сидоренко</t>
  </si>
  <si>
    <t>Бр.Козеева (Куценко)</t>
  </si>
  <si>
    <t>Бр.Пономаренки, Козеев (монтажники)</t>
  </si>
  <si>
    <t>доход от сдачи в аренду JCB 3CX</t>
  </si>
  <si>
    <t xml:space="preserve">Пащера = 42 000
Козеев = 43 918,11
</t>
  </si>
  <si>
    <t>Смаль = 15 841,20
Жук = 97 705,84</t>
  </si>
  <si>
    <t>Ковтун = 36220
Шкуркин = 94 048,81
Ширшов = 10 320</t>
  </si>
  <si>
    <t>ф2-640м2*125грн устройство бетонных полов</t>
  </si>
  <si>
    <t>280-доставка краски</t>
  </si>
  <si>
    <t>премия сс бр.Ковтуна</t>
  </si>
  <si>
    <t>маркер</t>
  </si>
  <si>
    <t xml:space="preserve">500-Сплата авнсового внеску,викон.док Наказ госп.суд Кіровоградської обл. по справі ТОВ "МЕГАБУД-БК" </t>
  </si>
  <si>
    <t>700-медосмотр</t>
  </si>
  <si>
    <t>Воронцов</t>
  </si>
  <si>
    <t>15600-самосвал
10229-экскаватор</t>
  </si>
  <si>
    <t>ф1:
2176,27-топливо на оборудование
761-брелок, маркер, табличка
216-аренда баллонов</t>
  </si>
  <si>
    <t>Штраф/Мат.помощь</t>
  </si>
  <si>
    <t>мат помощь бетонщик из бр.Жука Коваленко</t>
  </si>
  <si>
    <t>Услуги экскаватора 3ч*600грн
Услуги автокрана 3ч*500грн</t>
  </si>
  <si>
    <t>Экскаватор 2013 238ч
МАЗ 265 166ч
Виброкаток 8ч</t>
  </si>
  <si>
    <t>Киев-Беловоды (Белес)</t>
  </si>
  <si>
    <t>заправка трамбовки</t>
  </si>
  <si>
    <t>120-доставка дверной ручки,доставка материалов</t>
  </si>
  <si>
    <t>электромонтажные работы ТОВ "Платинум"</t>
  </si>
  <si>
    <t>Кухар, Стариков-проживание
200-суточные Кухар</t>
  </si>
  <si>
    <t>Воронцов А.</t>
  </si>
  <si>
    <t>ЦЕХ=12,125*14 000=169 750</t>
  </si>
  <si>
    <t>Самосвал = 56 100
Услуги крана МКГ=98 100
Автокран = 32 000</t>
  </si>
  <si>
    <t>Ф1:
1674-аренда баллонов
611-табличка по охране труда
ф2 - Заправка прораба Дорощенко(не работала карта)</t>
  </si>
  <si>
    <t>разгрузка  плитки и клея</t>
  </si>
  <si>
    <t>Приезд+объезд Бр 4 чел;   отьезд 1 бр</t>
  </si>
  <si>
    <t>Проживание 1 бр (4чел) - 80 грн/сутки</t>
  </si>
  <si>
    <t>4 чел на 150грн/сутки</t>
  </si>
  <si>
    <t>Штраф/Мат помощь</t>
  </si>
  <si>
    <t>экскаватор ФОП Пилипенко</t>
  </si>
  <si>
    <t>Июнь 2021</t>
  </si>
  <si>
    <t>Июнь  2021</t>
  </si>
  <si>
    <t>медосмотр для пропусков Севастьянов, Багмет, Омеляненко, Саньков, Щербак</t>
  </si>
  <si>
    <t>4800-Услуги экскаватора 8ч*600грн;
2000-Услуги автокрана 4ч*500грн</t>
  </si>
  <si>
    <t>50% ЗП Горич</t>
  </si>
  <si>
    <t>Жук Олександр 7 451,08
Зубов Олександр 7 451,08
Коваленко Андрій 7 451,08
Лисенко Артем 19 304,87
Овсянніков Іван 7 451,08</t>
  </si>
  <si>
    <t>1218-Ремонт перфоратора
1620-Ремонт кутов.шліфмашини</t>
  </si>
  <si>
    <t>1059,20-Оборудование, трамбовка</t>
  </si>
  <si>
    <t>Горич С. (суточные)</t>
  </si>
  <si>
    <t>Экскаватор 2013 = 69 650,7
МАЗ 265 = 33 071,12</t>
  </si>
  <si>
    <t>Куценко А.</t>
  </si>
  <si>
    <t>аренда автокрана 1ч*20грн=погрузка монтажки. 
аренда автокрана 2ч*400грн+1ч*200грн+2ч*400грн</t>
  </si>
  <si>
    <t>700-доставка материала на Пологи</t>
  </si>
  <si>
    <t>1000-Изготовление спецпланок для ворот</t>
  </si>
  <si>
    <t>маркер, пакеты</t>
  </si>
  <si>
    <t>маркер черный</t>
  </si>
  <si>
    <t>Июль 2021</t>
  </si>
  <si>
    <t>Стариков С.</t>
  </si>
  <si>
    <t>Величковский, Дорощенко (Величковский ф2)</t>
  </si>
  <si>
    <t>520-проживание Тарасенко
1088-проезд Кухар
Ф1:
400-суточные Тарасенко
400-суточные Кухар</t>
  </si>
  <si>
    <t>уборка помещений</t>
  </si>
  <si>
    <t>ф2-200-доставка материалов</t>
  </si>
  <si>
    <t>Клинцы = 15 802,80
Телескоп №4=92 913,2</t>
  </si>
  <si>
    <t>6500-Послуги котка дорожного
118 800-Послуги крана МКГ</t>
  </si>
  <si>
    <t>1950-Ремонт компрессора
5003,96-Ремонт електроінструмента
100-ремонт силового кабеля</t>
  </si>
  <si>
    <t xml:space="preserve">11 000 - Монтаж секції стріли крана МКГ
38 000-балка зварна
15 540-обустройство фальшпола </t>
  </si>
  <si>
    <t>Бр. Пономаренки, Бр. Козеев, Бр.Чешко</t>
  </si>
  <si>
    <t>Хомич О. (70%)</t>
  </si>
  <si>
    <t>Акт №1 монтаж технолог.обладнання</t>
  </si>
  <si>
    <t>выдано Воронцову А.</t>
  </si>
  <si>
    <t>Ф1:
топливо Горич (50%)
Ф2:
280-проезд Горича (маршрутка)
936-зправка Горича</t>
  </si>
  <si>
    <t>топливо Стариков С.</t>
  </si>
  <si>
    <t>Топливо Дорощенко = 2701</t>
  </si>
  <si>
    <t>алименты Чайковского (часть на Нежин-2)
18 000 геодезист</t>
  </si>
  <si>
    <t>Козеев = 234196,58
Разнорабочие = 100 460
Исичко = 344 073
Беркаш = 125 140</t>
  </si>
  <si>
    <t>Сиряченко = 62 938
Левченко (разнорабочие)= 59100
Козеев = 35 241,41
Исичко = 212 596
Беркаш = 124 725</t>
  </si>
  <si>
    <t>Дудка = 123 000
Козеев = 106 127,36</t>
  </si>
  <si>
    <t>Коробка Руслан</t>
  </si>
  <si>
    <t>Акт №10,11</t>
  </si>
  <si>
    <t>205 254-Акт №1 монтаж зовнішніх мереж протипожежного водопроводу
45 087-Акт №2 монтаж зовнішніх мереж протипожежного водопроводу</t>
  </si>
  <si>
    <t>Данные услуги также относятся,  Акту №12 на сумму 45 087, который закроется в августе = 287 000грн</t>
  </si>
  <si>
    <t>работа техники в июне, которая будет закрыта в Акте №12 августом</t>
  </si>
  <si>
    <t>услуги самосвала и экскаватора</t>
  </si>
  <si>
    <t>аренда лесов 3дня</t>
  </si>
  <si>
    <t>оплата подрядчикам монтажники кран-балки 2выезда</t>
  </si>
  <si>
    <t>жилеты сигнальные 30шт</t>
  </si>
  <si>
    <t>2039-Шліфмашина кутова GA 9020
1620-Оренда балонів у червні 
6498,92-жилеты сигнальные
Ф2:
900-Шланг для мойки Керхер</t>
  </si>
  <si>
    <t>Июль  2021</t>
  </si>
  <si>
    <t>Величковский Д.</t>
  </si>
  <si>
    <t>Бр.Жука, Бр.Пономаренки, Бр.Козеев, Бр.Чешко</t>
  </si>
  <si>
    <t>ГСМ Стариков за июль</t>
  </si>
  <si>
    <t>аренда экскаватора</t>
  </si>
  <si>
    <t>ксерокопия исполнительной документации(1500экз)</t>
  </si>
  <si>
    <t>Суточные Горич С.</t>
  </si>
  <si>
    <t>1. Жук = 34 403,25
2. Сиряченко = 36 418
3. Исичко = 44 800</t>
  </si>
  <si>
    <t>командировочные Стариков</t>
  </si>
  <si>
    <t>обучение по ОТ</t>
  </si>
  <si>
    <t>Телескоп №4</t>
  </si>
  <si>
    <t>услуги самосвала, услуги экскаватора, услуги виброкатка, услуги МКГ</t>
  </si>
  <si>
    <t xml:space="preserve">аренда баллонов </t>
  </si>
  <si>
    <t>ремонт электроинструмента = 1179,99
ремонт компрессора = 1941,99</t>
  </si>
  <si>
    <t>200-суточные Глузд
проживание Стариков - 350</t>
  </si>
  <si>
    <t>аренда виброплиты</t>
  </si>
  <si>
    <t>Август 2021</t>
  </si>
  <si>
    <t>Штраф, материальная помощь</t>
  </si>
  <si>
    <t>проживание работников</t>
  </si>
  <si>
    <t>400-Гриценко суточные
680-Гриценко проживание</t>
  </si>
  <si>
    <t>600-погрузка бытовки</t>
  </si>
  <si>
    <t>аренда автокрана</t>
  </si>
  <si>
    <t>Вектор</t>
  </si>
  <si>
    <t>доставка лесов на нп</t>
  </si>
  <si>
    <t>Август  2021</t>
  </si>
  <si>
    <t>Чайковский Р. (алименты)</t>
  </si>
  <si>
    <t>Сиряченко Д.</t>
  </si>
  <si>
    <t>PL Турбина</t>
  </si>
  <si>
    <t>510-Чайковский</t>
  </si>
  <si>
    <t>300-ремонт болгарки</t>
  </si>
  <si>
    <t>743-доставка спец планки</t>
  </si>
  <si>
    <t>1000-Устранение замечаний по оцинкованному настилу. Оплата работ сварщика</t>
  </si>
  <si>
    <t>на дорогу прораба и 2-х подсобников( на машине) + оплата за работу 2-х подсобников 1430 грн с Ладыжина в Пологи и Обратно, для того чтобы мы вывезли все наши ОС</t>
  </si>
  <si>
    <t>Ротор 58ч</t>
  </si>
  <si>
    <t>Услуги МГК-Б</t>
  </si>
  <si>
    <t>96-аренда баллонов</t>
  </si>
  <si>
    <t>516,67-Ремонт перфоратора</t>
  </si>
  <si>
    <t>Вектор- Акт №4</t>
  </si>
  <si>
    <t>232 166,40-Електромонтажні роботи_ПОЛОГИ_ АКТ№9
383 967, 60-Електромонтажні роботи_ПОЛОГИ_ АКТ№10
11326,8-+Електромонтажні роботи_ПОЛОГИ_ АКТ№11
22014-+Електромонтажні роботи_ПОЛОГИ_ АКТ№12
Ф2:
50 000-Лелюк разработка КМД(чертежи)
150-Послуги електрика (підключення станка для гнуття арматури, краскопульту)</t>
  </si>
  <si>
    <t>Бр.Ляхов</t>
  </si>
  <si>
    <t>Бр.Дудка = 28 960</t>
  </si>
  <si>
    <t>PL Кривой Рог</t>
  </si>
  <si>
    <t>Сентябрь 2021</t>
  </si>
  <si>
    <t>PL Славута</t>
  </si>
  <si>
    <t>Акт 8, Акт 7, Акт 6, Акт 5</t>
  </si>
  <si>
    <t>Акт 12</t>
  </si>
  <si>
    <t>300-Глузд Д.</t>
  </si>
  <si>
    <t>97 782-Пенетрон 
11000-пожводопровод</t>
  </si>
  <si>
    <t>Исичко</t>
  </si>
  <si>
    <t>3600-погрузка оборудования Исичко
3000-материалы для швов топинга</t>
  </si>
  <si>
    <t xml:space="preserve">676,80- ТОВ "Епіцентр" Кронтейн - труби метал.бел-12шт. </t>
  </si>
  <si>
    <t>Изготовление ППСР 5000грн Сертификат проектировщика ППР 2000грн. Согласованно Воронцовым по письму</t>
  </si>
  <si>
    <t>Чешко = 16 920
Козеев = 54000
Исичко = 4000
Беркаш = 111 000</t>
  </si>
  <si>
    <t>Бр.Марио</t>
  </si>
  <si>
    <t>Мексика</t>
  </si>
  <si>
    <t>разработа проектной документации Шабанов (сумма в сентябре)</t>
  </si>
  <si>
    <t>маркера (сумма сентября)</t>
  </si>
  <si>
    <t>Робота автокрану ЗИЛ 10т (сентябрь)</t>
  </si>
  <si>
    <t>капитальные инвестиции</t>
  </si>
  <si>
    <t>НДС</t>
  </si>
  <si>
    <t>Бригады</t>
  </si>
  <si>
    <t>Расхождения между МШП и Стройматералами</t>
  </si>
  <si>
    <t xml:space="preserve">Услуги сторонних организаций </t>
  </si>
  <si>
    <t xml:space="preserve">Комиссия </t>
  </si>
  <si>
    <t>не учтены 3% в PL</t>
  </si>
  <si>
    <t>в PL на данную сумму меньше</t>
  </si>
  <si>
    <t>Буду проверять по Контрагентам, по кому не идет</t>
  </si>
  <si>
    <t>Разница между отчетами потому что в PL считается по факту, а в CF до лета считалось по 15%</t>
  </si>
  <si>
    <t>МШП и Стройматериалы</t>
  </si>
  <si>
    <t>Октябрь 2021</t>
  </si>
  <si>
    <t>PL Приднепровский МЄЗ 2</t>
  </si>
  <si>
    <t>PL Печановка</t>
  </si>
  <si>
    <t>PL Техника</t>
  </si>
  <si>
    <t xml:space="preserve">PL Цех </t>
  </si>
  <si>
    <t>выдано Воронцову</t>
  </si>
  <si>
    <t>Ноябрь 2021</t>
  </si>
  <si>
    <t>Глухов</t>
  </si>
  <si>
    <t>проживание в гостинице 2 дня</t>
  </si>
  <si>
    <t>штереверля, ковтун</t>
  </si>
  <si>
    <t>Подгорцы</t>
  </si>
  <si>
    <t>Годунко, Ковтун, Хаванский</t>
  </si>
  <si>
    <t>Декабрь 2021</t>
  </si>
  <si>
    <t>Зоря Р.</t>
  </si>
  <si>
    <t>досписание со склада обмена</t>
  </si>
  <si>
    <t xml:space="preserve">
</t>
  </si>
  <si>
    <t>Красноармейская</t>
  </si>
  <si>
    <t>Декабрь  2021</t>
  </si>
  <si>
    <t>Хаванский</t>
  </si>
  <si>
    <t>PL Ладыжин</t>
  </si>
  <si>
    <t>списание по распоряжению Воронцова А.</t>
  </si>
  <si>
    <t>662-ключи ЕЦП
3004-медок
70,10-РКО</t>
  </si>
  <si>
    <t>нотариальные действия</t>
  </si>
  <si>
    <t>Величковский</t>
  </si>
  <si>
    <t>1380-Послуги автокрану (маш.год)-ноябрь
4800-Послуги автокрану (маш.год)-ноябрь
21900-услуги авокрана (декабрь)</t>
  </si>
  <si>
    <t>канцтовары, крейда, маркера, мешки</t>
  </si>
  <si>
    <t>Ремонт електроінструменту, Ремонт електроінструменту</t>
  </si>
  <si>
    <t>почему по 23 больше</t>
  </si>
  <si>
    <t>Январь 2022</t>
  </si>
  <si>
    <t>% по лизингу</t>
  </si>
  <si>
    <t>Бр.Берест = 96 015</t>
  </si>
  <si>
    <t>Переходящяя Чистая прибыль за минусом CAPEX и Фин деятельности на 31.12.2021г.</t>
  </si>
  <si>
    <t xml:space="preserve">Сумма по Ф1, грн  </t>
  </si>
  <si>
    <t>Итоги 2021</t>
  </si>
  <si>
    <t>Январь  2022</t>
  </si>
  <si>
    <t>№1 дата акта не согласована</t>
  </si>
  <si>
    <t xml:space="preserve">Жорж А. </t>
  </si>
  <si>
    <t>Гуртовой А.</t>
  </si>
  <si>
    <t>Глухов =12,435 = 174 090
Старкон = 29,09=407 260</t>
  </si>
  <si>
    <t>Бутенко, Пономаренко, Аксенчиков</t>
  </si>
  <si>
    <t>Терещенко, Хомич, Сидоренко (только ф2)</t>
  </si>
  <si>
    <t>Величковский, Олейник, Латиш, Козеев</t>
  </si>
  <si>
    <t>ГСМ Топливо - Гриценко А.</t>
  </si>
  <si>
    <t>ГСМ Топливо Жорж = 5378,30</t>
  </si>
  <si>
    <t>ЦЕХ= 15,215т*14 000=213 010
ЦЕХ январь 2022 =12,435 = 174 090
4000-Випробування на буд.об'єкті (ущільнення грунту)
Разработка КМД – 27тн*450грн= 12 150 грн  (Ф2);</t>
  </si>
  <si>
    <t>проживание рабочих</t>
  </si>
  <si>
    <t>Проживание и суточные Жорж А.</t>
  </si>
  <si>
    <t>540-шиномонтаж ГАЗель</t>
  </si>
  <si>
    <r>
      <t>3955-пропан для резака, Услуги электрика: прогревание бетона+обучение рабочих процессу. Устное согласование Воронцов
937-</t>
    </r>
    <r>
      <rPr>
        <b/>
        <sz val="11"/>
        <color theme="3"/>
        <rFont val="Times New Roman"/>
        <family val="1"/>
        <charset val="204"/>
      </rPr>
      <t>пропан для резака</t>
    </r>
  </si>
  <si>
    <t>аренда автокрана местного</t>
  </si>
  <si>
    <t>аренда квартирі Береста</t>
  </si>
  <si>
    <t>суточные Горич С.</t>
  </si>
  <si>
    <t>уборка помещения</t>
  </si>
  <si>
    <t>ГСМ Топливо:
4061,81-Гуртовой
930,18-проезд Глузд Д.</t>
  </si>
  <si>
    <t>2400-проживание Глузд Д.
800-суточные Илюхин, Глузд, Гриценко С.</t>
  </si>
  <si>
    <t>Аренда крана.</t>
  </si>
  <si>
    <t>Організація атестації зварників</t>
  </si>
  <si>
    <t>медосмотр механизаторов</t>
  </si>
  <si>
    <t>8848 =499 816 за аренду техники</t>
  </si>
  <si>
    <t>бр.Пономарев</t>
  </si>
  <si>
    <r>
      <t xml:space="preserve">76 500-списание в ноябре
</t>
    </r>
    <r>
      <rPr>
        <sz val="9"/>
        <color theme="3" tint="-0.499984740745262"/>
        <rFont val="Times New Roman"/>
        <family val="1"/>
        <charset val="204"/>
      </rPr>
      <t>350-Транспортные расходы по доставке ОСБ с Глухова на объект 
доставка оборудования для Випробування на буд.об'єкті (ущільнення грунту)
Белес -76 000грн
25 999,99-январь 2022</t>
    </r>
  </si>
  <si>
    <t>38 494,16-Пери декабрь 2021
8174,33-Пери январь 2022</t>
  </si>
  <si>
    <r>
      <t xml:space="preserve">130 635,68-списание в ноябре
</t>
    </r>
    <r>
      <rPr>
        <sz val="9"/>
        <color theme="3"/>
        <rFont val="Times New Roman"/>
        <family val="1"/>
        <charset val="204"/>
      </rPr>
      <t>263 565-Экскаватор  JCB 278 ч.Ротор Пегасус 218 ч.МАЗ 264 8 ч.Виброкаток 29 ч.
Отчет по Форду  -26 919,00
Январь = 105 377
Экскватор JCB, Ротор Пегасус, Виброаток, Тягач</t>
    </r>
  </si>
  <si>
    <t>150-аренда баллонов</t>
  </si>
  <si>
    <t>1700грн -услуги автокрана - Хоменко</t>
  </si>
  <si>
    <t>ГСМ Топливо Олейник = 2427,39грн
792-аренда балонов</t>
  </si>
  <si>
    <t>ремонт электроинструмента</t>
  </si>
  <si>
    <t>подключение+ услуга интернета за январь</t>
  </si>
  <si>
    <t>150-gps
674-страховка
27 103,58-ТО 
2520-тех контроль</t>
  </si>
  <si>
    <t>2100-gps
9000-проведение ТО оборудования
1210-ТО автомобіля JCB 3CX 2008
4000-ТО+шиномонтаж   JCB 3СХ 2008</t>
  </si>
  <si>
    <t>29785,48-Ремонт+з/п  JCB 3СХ 2008
2 861,29-Ремонт+ зап.частини JCB 220 LC</t>
  </si>
  <si>
    <t>% по лизингу Тягач</t>
  </si>
  <si>
    <t>схемы МК затраты января</t>
  </si>
  <si>
    <t>механизатор ф2</t>
  </si>
  <si>
    <t xml:space="preserve">199 387-Топливо </t>
  </si>
  <si>
    <t xml:space="preserve">ГСМ Топливо = Пономаренко Ю. = 4439,90
1440-аренда балонов
780-заправка баллонов
150-gps
91680-аренда ЦЕХа
58034-компенсация электроенергии
11144-топливо Телескоп№3
</t>
  </si>
  <si>
    <t>45 944-топливо</t>
  </si>
  <si>
    <t>Илюхин, Гриценко</t>
  </si>
  <si>
    <t>Февраль-Июнь  2022</t>
  </si>
  <si>
    <t>Февраль-Июнь 2022</t>
  </si>
  <si>
    <t>Февраль-Июнь   2022</t>
  </si>
  <si>
    <t>Февраль-июнь 2022</t>
  </si>
  <si>
    <t>Горич С. за февраль</t>
  </si>
  <si>
    <t>Берест</t>
  </si>
  <si>
    <t>3000-Горич С. суточные
5400-гостиница Старикова в июне</t>
  </si>
  <si>
    <t>Гуртовой А. за февраль</t>
  </si>
  <si>
    <t>5697-проживание Стариков, Воронцов А., Шкурат
1000-суточные</t>
  </si>
  <si>
    <t>400-уборка помещения</t>
  </si>
  <si>
    <t>ф1-Олейник, Латыш (февраль), Хомич
ф2-Латыш, Олейник-май, июнь</t>
  </si>
  <si>
    <t>Жорж А.</t>
  </si>
  <si>
    <t>ф1-Сидоренко, Терещенко, Хомич за февраль
ф2-аванс Терещенко, Сидоренко</t>
  </si>
  <si>
    <t>10 116,71-заправка Газели
пропан, новый замок в бытовку</t>
  </si>
  <si>
    <t>950-интернет</t>
  </si>
  <si>
    <t>1300-уборка помещения
662-Лицензиция Медок Индеп Стил
4282,80-списание суммы с Подотчета Пономаренко Ю.</t>
  </si>
  <si>
    <t>ф1-Бутенко, Аксенчиков, Пономаренко 
ф2-ЗП Бутенко, Аксенчиков, Терещенко (март-май)</t>
  </si>
  <si>
    <t>доставка вагончика, Доставка остатков из магазин (для модульного дома)</t>
  </si>
  <si>
    <t>услуга электрика</t>
  </si>
  <si>
    <t>1444,52-февраль</t>
  </si>
  <si>
    <t>9232,30-февраль
92,5-апрель
2589-май</t>
  </si>
  <si>
    <t>3829,65-февраль
168-апрель
235,03-июнь</t>
  </si>
  <si>
    <t>9674,89-февраль 2022
483-май 
256-июнь</t>
  </si>
  <si>
    <t>% по тягачу за 5мес</t>
  </si>
  <si>
    <t>Ротор Пегасус (февраль)</t>
  </si>
  <si>
    <t>Акт 3/5, 7/5, 3/7, 3/3, 5/1, 5/7, 3/4, 6/4, 9/3, 7/3, 5/2, 11/1, 5/8, 3/3, 7/6, 7/11, 5/1, 7/9, 5/9, 3/8, 6/2, 6/5, 6/6, 7/7, 10/1, 7/5-2</t>
  </si>
  <si>
    <t>Акт 16-20</t>
  </si>
  <si>
    <t>7984-Страховка цивіл. MAN 1 прицеп, Страховка цивіл. MAN 1, Страховка цивіл. XCMG QY25K-5  КА2204ВС
2324-Оплата Ресурса OLX реклама техники</t>
  </si>
  <si>
    <t>трансп.послуги Глухів-Київ Ротор</t>
  </si>
  <si>
    <t>услуги автокрана</t>
  </si>
  <si>
    <t>проживание Жорж А.</t>
  </si>
  <si>
    <t>182,50-маркеры строительные
500,04-аренда баллонов</t>
  </si>
  <si>
    <t>843,50-маркеры строительные
2640-аренда баллонов
1076-распиратор</t>
  </si>
  <si>
    <t>Перевезення вантажу Зимня вода-Ставчани</t>
  </si>
  <si>
    <t>10 573,33-Контроль якості зварних з'єднань
исполнительные схемы трубопровода, экспертиза МК,</t>
  </si>
  <si>
    <t>4833,32-Послуги Автокрана
3000-услуги крана</t>
  </si>
  <si>
    <t>ф1-ремонт электроинструмента, ремонт КШМ
ф2-ремонт и запчасти на Газель</t>
  </si>
  <si>
    <t>Ремонт Крана XCMG 55 (Шланги)
2600 Ремонт Ротора в Глухове(работа+запчасти)¶840 Масло в гидравлику 
4166,67-Ремонт МАЗ 265
Ремонт пальцев кузова¶
1200-МАЗ Патрубок</t>
  </si>
  <si>
    <t>ГСМ (топливо) Жорж А.</t>
  </si>
  <si>
    <t>ГСМ топливо - Олейник В.</t>
  </si>
  <si>
    <t>ГСМ топливо -Гуртовой А. Стариков С (50%)</t>
  </si>
  <si>
    <t>ГСМ топливо = Пономарено Ю.</t>
  </si>
  <si>
    <t xml:space="preserve">Бр.Штереверля </t>
  </si>
  <si>
    <t>Акт 18,19,20,21 (акт прошлого года). Списание было проведено по нему в прошлом периоде</t>
  </si>
  <si>
    <t>Бр. Берест</t>
  </si>
  <si>
    <t>Топливо Старикова - июнь</t>
  </si>
  <si>
    <t>ЦЕХ=0,606т=8484грн</t>
  </si>
  <si>
    <r>
      <t xml:space="preserve">Бр.Геворкян = 86180
Бр.Тугай = 116 760
Бр.Андреев = 100 400
Бр.Исичко = 209 817,68
Бр.Ставицкий = 62 155
</t>
    </r>
    <r>
      <rPr>
        <sz val="11"/>
        <color theme="3"/>
        <rFont val="Times New Roman"/>
        <family val="1"/>
        <charset val="204"/>
      </rPr>
      <t>Бр.Сало = 73 559,71</t>
    </r>
    <r>
      <rPr>
        <sz val="11"/>
        <color theme="3" tint="-0.249977111117893"/>
        <rFont val="Times New Roman"/>
        <family val="1"/>
        <charset val="204"/>
      </rPr>
      <t xml:space="preserve">
Бр.Козеев = 172 365,92грн
Бр.Петренко = 313 004</t>
    </r>
  </si>
  <si>
    <t>механизатор = 15 137,80 + часть по ф1)
19 840-Искрицкий, Скрипник (май)</t>
  </si>
  <si>
    <t>Пономарев</t>
  </si>
  <si>
    <t>мойка, стоянка, ad blue
ф1-топливо</t>
  </si>
  <si>
    <t xml:space="preserve">290 090-топливо
587,7-вахтовые журналы, журналы машиниста
13 949-муфта, рукав, нипель, фильтра
2750грн-омыватель
2663-прочие затраті
175- Предохранители, жидкость для клемм </t>
  </si>
  <si>
    <r>
      <rPr>
        <b/>
        <sz val="11"/>
        <color theme="3" tint="-0.499984740745262"/>
        <rFont val="Times New Roman"/>
        <family val="1"/>
        <charset val="204"/>
      </rPr>
      <t>Затраты января 2022=195 025,37</t>
    </r>
    <r>
      <rPr>
        <sz val="11"/>
        <color theme="3" tint="-0.499984740745262"/>
        <rFont val="Times New Roman"/>
        <family val="1"/>
        <charset val="204"/>
      </rPr>
      <t xml:space="preserve">
Телескоп 5 = 58 171,47
РДК 250№2=63 353,94
Автокран 55 = 73 500
</t>
    </r>
    <r>
      <rPr>
        <b/>
        <sz val="11"/>
        <color theme="3" tint="-0.499984740745262"/>
        <rFont val="Times New Roman"/>
        <family val="1"/>
        <charset val="204"/>
      </rPr>
      <t xml:space="preserve">Февраль 2022=240 329
</t>
    </r>
    <r>
      <rPr>
        <sz val="11"/>
        <color theme="3" tint="-0.499984740745262"/>
        <rFont val="Times New Roman"/>
        <family val="1"/>
        <charset val="204"/>
      </rPr>
      <t xml:space="preserve">Телескоп 5=47 592
Автокран 55 = 162 000
РДК 250=30 738
</t>
    </r>
  </si>
  <si>
    <r>
      <t xml:space="preserve">15 252-Старкон (внутр заказчик)
</t>
    </r>
    <r>
      <rPr>
        <b/>
        <sz val="11"/>
        <color indexed="18"/>
        <rFont val="Times New Roman"/>
        <family val="1"/>
        <charset val="204"/>
      </rPr>
      <t>Сторонний заказчик = 418 500грн</t>
    </r>
    <r>
      <rPr>
        <sz val="11"/>
        <color indexed="18"/>
        <rFont val="Times New Roman"/>
        <family val="1"/>
        <charset val="204"/>
      </rPr>
      <t xml:space="preserve">
29000-Аква Алекс
33500-Гелиос Транс
96000-БСК Логистик
40000-Крупський Р.
45 000-Логістік Трейд
12 000-Вікант
41000-ММС
48 000-ОЛ-Транс
30000-Олді
29 000-Тек Лев Транс
15 000-Ложістік Дніпро</t>
    </r>
  </si>
  <si>
    <t xml:space="preserve">Зоря Руслан
</t>
  </si>
  <si>
    <r>
      <rPr>
        <b/>
        <sz val="11"/>
        <color indexed="18"/>
        <rFont val="Times New Roman"/>
        <family val="1"/>
        <charset val="204"/>
      </rPr>
      <t>1. Внутренний контрагент =</t>
    </r>
    <r>
      <rPr>
        <sz val="11"/>
        <color indexed="18"/>
        <rFont val="Times New Roman"/>
        <family val="1"/>
        <charset val="204"/>
      </rPr>
      <t xml:space="preserve"> </t>
    </r>
    <r>
      <rPr>
        <b/>
        <sz val="11"/>
        <color indexed="18"/>
        <rFont val="Times New Roman"/>
        <family val="1"/>
        <charset val="204"/>
      </rPr>
      <t>715 207грн
2. от Приднепровского за услуги МА3 265=161 100</t>
    </r>
    <r>
      <rPr>
        <sz val="11"/>
        <color indexed="18"/>
        <rFont val="Times New Roman"/>
        <family val="1"/>
        <charset val="204"/>
      </rPr>
      <t xml:space="preserve">
6000-Голд Мандарин-Автокран XCMG
5200-МетТранс - Автокран XCMG
20 800-Прилуки Спецбуд
110 500-Тіларм -Автокран XCMG
46 200-ЮВА Енерджи -JCB 220</t>
    </r>
  </si>
  <si>
    <t>200-ТО
640-gps февраль-май
1700-оплата диспетчера, погрузка опалубки</t>
  </si>
  <si>
    <t>№2 дата акта не согласована</t>
  </si>
  <si>
    <t>64 195грн-модульный дом</t>
  </si>
  <si>
    <t xml:space="preserve">307 331,64-Акт 1, Акт 2
</t>
  </si>
  <si>
    <r>
      <rPr>
        <sz val="11"/>
        <color theme="3"/>
        <rFont val="Times New Roman"/>
        <family val="1"/>
        <charset val="204"/>
      </rPr>
      <t>8960-gps (за минусом Тягач)
5000-Оплата за осмотр  цистерн  в Виннице (4 шт)</t>
    </r>
    <r>
      <rPr>
        <sz val="11"/>
        <color indexed="18"/>
        <rFont val="Times New Roman"/>
        <family val="1"/>
        <charset val="204"/>
      </rPr>
      <t xml:space="preserve">
3850-шиномонтаж 11 колес
1320-Тех контроль автокран КА2204ВС
425-ТО автомобіля JCB 3CX 2008
3030-Обовязковий технічний огляд МАН
4000грн -Проведення ТО (самохідний ножнич.підйомник), проведення ТО РДК 2
38000-постановка на учет, пропарка бочки</t>
    </r>
  </si>
  <si>
    <t>Июль 2022</t>
  </si>
  <si>
    <t>проживание Вануш, Стариков</t>
  </si>
  <si>
    <t>Геворкян</t>
  </si>
  <si>
    <t>Оренда балонів, шт</t>
  </si>
  <si>
    <t>Август 2022</t>
  </si>
  <si>
    <t>июль 2022</t>
  </si>
  <si>
    <r>
      <rPr>
        <b/>
        <sz val="11"/>
        <color indexed="18"/>
        <rFont val="Times New Roman"/>
        <family val="1"/>
        <charset val="204"/>
      </rPr>
      <t>128,871тонн</t>
    </r>
    <r>
      <rPr>
        <sz val="11"/>
        <color indexed="18"/>
        <rFont val="Times New Roman"/>
        <family val="1"/>
        <charset val="204"/>
      </rPr>
      <t xml:space="preserve">
Старкон =16,535т.=231 490грн
Приднепровский-метал= 111,73тонн= 1 564 220
Глухов=0,606т=8484грн
Подгорцы = 2 бытовки = 200 000грн </t>
    </r>
    <r>
      <rPr>
        <sz val="11"/>
        <color theme="3"/>
        <rFont val="Times New Roman"/>
        <family val="1"/>
        <charset val="204"/>
      </rPr>
      <t xml:space="preserve">
Поступление от Глухов за переходы = 46 500грн</t>
    </r>
    <r>
      <rPr>
        <sz val="11"/>
        <color rgb="FFFF0000"/>
        <rFont val="Times New Roman"/>
        <family val="1"/>
        <charset val="204"/>
      </rPr>
      <t xml:space="preserve">
</t>
    </r>
    <r>
      <rPr>
        <sz val="11"/>
        <color theme="3"/>
        <rFont val="Times New Roman"/>
        <family val="1"/>
        <charset val="204"/>
      </rPr>
      <t>365 014,80-модульный дом</t>
    </r>
  </si>
  <si>
    <t>представительские за 3 дома</t>
  </si>
  <si>
    <t>установка кондиционера, оплата электрика</t>
  </si>
  <si>
    <t>ГСМ (топливо) Манжула М., Гриценко А.</t>
  </si>
  <si>
    <t>Гриценко А., Бутенко М., Аксенчиков С.</t>
  </si>
  <si>
    <t>ЗП Июль: Манжула М. (50%), Скоропатская (1/3), Рубец О. (50%), Климович (1/3), Гурник (1/3)</t>
  </si>
  <si>
    <t>3304-МЕДОК
3500-услги за сайт 50%</t>
  </si>
  <si>
    <t>аренда автокрана для погрузки модульных домов</t>
  </si>
  <si>
    <t>эдиный налог 2% на июнь</t>
  </si>
  <si>
    <t>30 465,4грн -переходы 30шт для Глухов
Материалы под изготовление металоконструкций = 328 981,81
Материалы за 1ый домик = 155 941,459</t>
  </si>
  <si>
    <t>27 961,10-затраты на изготовление роспашных ворот
135613,52*2=271 227,04-сс 2 модульных домов
7500 кондиционер</t>
  </si>
  <si>
    <t>4004-электроенергия за июль (казна)
3336-заправка Телескоп 3
50 424-аренда цеха июль (казна)</t>
  </si>
  <si>
    <t>11 000-Ринг Транс БЦ-Запорожье (достава ворот)</t>
  </si>
  <si>
    <t>3600-аренда баллонов
722-маркер строительный
аренда цеха+коммунальные (казна)</t>
  </si>
  <si>
    <t>41 600-за изготовление модульных домов 2,3
6080-за изготовление металла на Приднепровский-металл</t>
  </si>
  <si>
    <t>Телескоп 3-Вербицкий</t>
  </si>
  <si>
    <t>Ф1 Індастриалбуд - 18 000 грн
Даником груп - 28 000 грн
Экокомпаунд - 8 000 грн
Західторгресурс - 25 000 грн
Папакарло - 18 000 грн
КІА ТК - 40 000 грн
Укртраксгруп - 7 000 грн
ЮНАЙТЕД ТРАНСПОРТ СЕРВІС - 44 000 грн
Ф2 ФОП Климак - 25 000 грн
БСК Логистик - 38 000 грн
Західторгресурс - 9 906 грн</t>
  </si>
  <si>
    <t>Зоря Руслан - 10 рейсов</t>
  </si>
  <si>
    <t xml:space="preserve">ТО </t>
  </si>
  <si>
    <t>страховка</t>
  </si>
  <si>
    <t>штраф за нарушение ПДД</t>
  </si>
  <si>
    <t>PL MAN Blue KA1783HI</t>
  </si>
  <si>
    <t>Нежинжиркомбинат - 207 922 грн
ТОР Логистик - 111 375 грн</t>
  </si>
  <si>
    <t>сертификат + ЕКМТ</t>
  </si>
  <si>
    <t>PL MAN green KA2790IE</t>
  </si>
  <si>
    <t>Нежинжиркомбинат - 279 984 грн
ТОР Логистик - 35 296 грн</t>
  </si>
  <si>
    <t>Кочет Виктор - 4 рейса</t>
  </si>
  <si>
    <t>GPS+установка+ТО</t>
  </si>
  <si>
    <t>PL MAN №3 white KA7837HO</t>
  </si>
  <si>
    <t>PL MAN №4 white KA3597HO</t>
  </si>
  <si>
    <t>PL Логистика</t>
  </si>
  <si>
    <t>Нова Пошта</t>
  </si>
  <si>
    <t>Аулова - 4 140,01 + 6 754,3; Голомбек Н - 5 506,44 + 6 993,56 (1/2) ; Гриценко С - 9 660,00+15 340; Илюхин О - 10 143,00; Климович О - 987,63 + 4171,1 (1/3); Манжула М - 5 737,68 +14075,61 (1/2); Рубец О - 1 018,29 + 6379,19 (1/4); Скоропадска О - 826,63+1713,05 + 1 427,83 (1/3); Шарова О - 2 865,96 + 701,05; Гурник Артем (1/3 Ф2) - 3968,25; Глузд Д -7016,6 (Ф2); Илюхин - 19 857 (Ф2)</t>
  </si>
  <si>
    <t>телефон -2 400 грн
МЕДОК - 3 304 грн</t>
  </si>
  <si>
    <t>топливо Гриценко С; Илюхин; Манжула
Ф2 - такси Илюхин</t>
  </si>
  <si>
    <t>Илюхин</t>
  </si>
  <si>
    <t>ворк юа</t>
  </si>
  <si>
    <t>866,78 военный сбор; НДФЛ - 10 401,42; НДС - 23 668,91</t>
  </si>
  <si>
    <t>Илюхин А.</t>
  </si>
  <si>
    <r>
      <t xml:space="preserve">Романенко Игорь - 1 рейс
Сыч Андрей 
</t>
    </r>
    <r>
      <rPr>
        <i/>
        <sz val="9"/>
        <color rgb="FFC00000"/>
        <rFont val="Times New Roman"/>
        <family val="1"/>
        <charset val="204"/>
      </rPr>
      <t>*сумма превышает 1200грн за рейс с учетом увольнительных Романенко и.</t>
    </r>
  </si>
  <si>
    <t>Проезд Гриценко С.</t>
  </si>
  <si>
    <t>стоянка цистерна МАН 4 - 5 дней</t>
  </si>
  <si>
    <t>оплата водителю  за перегон Хмельницкий-Киев</t>
  </si>
  <si>
    <t>постановка на учет</t>
  </si>
  <si>
    <t>200-стоянка;
33800-топливо</t>
  </si>
  <si>
    <t>топливо: МАЗ 265 - 89419,91 грн; МАЗ 264 - 5 724,5 грн; Екскаватор JCB 220 - 24 210,72 грн; XCMG25 - 31764,96 грн; Екскаватор JCB 535-140 № 4 - 8049,6 грн; Екскаватор JCB 540-170 № 5 -20 870,14 грн</t>
  </si>
  <si>
    <t>МАЗ 264,МАЗ 265, Авторан XCMG, Эскаватор 220, Телескоп 4</t>
  </si>
  <si>
    <t>39 160-изготовление розпашных ворот
2877-за продажу остатков металла
670 930,56- 2 модульных дома
Приднепровский-метал = 14,165*14 000=198 310грн
СП Металинвест = 30181,50 (продажа метала)</t>
  </si>
  <si>
    <t xml:space="preserve">Приднепровський ОЭЗ - 421 800 грн (самосвал МАЗ 5550С3 - 265)
Тиларм секюрити - 168 000 грн ( XCMG QY 25K-5 м,)
Юва Енерджи - 18 200 грн (навантажувач JCB-220)
</t>
  </si>
  <si>
    <t>ремонт КАМАЗа</t>
  </si>
  <si>
    <t>188 000 грн - форд
319 297 грн - ман 1
315 280 грн - ман 2
72 906 грн - форд (ф2)
Спец техника = 608 000</t>
  </si>
  <si>
    <t>Латиш (июль)</t>
  </si>
  <si>
    <t>Андреев, Григорьев, Чайкин (июль)</t>
  </si>
  <si>
    <t xml:space="preserve">163 530,72 грн топливо на 2 655 л на 8 099 км 32,8 л/100 км
70 620 грн - шины
План топливо: 18,54грн на 1км. Факт 20,19грн на 1км
План прочие: 1 грн на 1 км. = 8099грн  </t>
  </si>
  <si>
    <t>100 434,24 грн топливо на 1 622 л на 4 691 км 34,6 л/100 км
План топливо:18,54грн на 1 км. Факт: 21,4грн на 1км</t>
  </si>
  <si>
    <t>Андреев, Григорьев, Данилов, Николанко</t>
  </si>
  <si>
    <t>Акт 9/4, 3/6</t>
  </si>
  <si>
    <t>Бр.Геворкян = 35 070грн
Бр.Андреев = 34 800</t>
  </si>
  <si>
    <t>в т.ч досписание к июню в июле</t>
  </si>
  <si>
    <t>TO</t>
  </si>
  <si>
    <t>125 965,09 грн топливо на 2 405,32 л на 6 307 км 38,1 л/100 км
План топливо:18,54грн на 1 км. Факт: 19,97 грн на 1км (ДУТ установлен с 15.07)</t>
  </si>
  <si>
    <t>к акту июля - материал заказчика Акт 9/4
К акту 3/6 материал весь списан (в декабре)</t>
  </si>
  <si>
    <t>ремонт КАМАЗ</t>
  </si>
  <si>
    <t xml:space="preserve">План 6,591 на 1км факт 17,79 грн/км
Ф1 - ТО ФОРД + (GPS +ТО) MAN 2
27643,03 грн Запчасти от Индастриалбуд
</t>
  </si>
  <si>
    <t>Ф1 Лардитранс -500 грн
транспортные услуги - 3000 грн
паливны картки - 360 грн
Топливо: План 18,54 на 1км Факт 22,19 грн/км
Прочие: 1 грн на 1км Факт 11,56 грн/км</t>
  </si>
  <si>
    <t>PL Ретал</t>
  </si>
  <si>
    <t>PL МХП3</t>
  </si>
  <si>
    <t>СТРОИТЕЛЬСТВО</t>
  </si>
  <si>
    <t>ЛОГИСТИКА</t>
  </si>
  <si>
    <t>ПРОИЗВОДСТВО</t>
  </si>
  <si>
    <t>АКТ 21, АКТ 1</t>
  </si>
  <si>
    <t>списание к Акту №21</t>
  </si>
  <si>
    <t>списание остатков закрытого объекта</t>
  </si>
  <si>
    <t>досписание</t>
  </si>
  <si>
    <t>випробування контрольных образц</t>
  </si>
  <si>
    <t>Август</t>
  </si>
  <si>
    <t>ремонты ушм</t>
  </si>
  <si>
    <r>
      <rPr>
        <sz val="11"/>
        <color theme="3"/>
        <rFont val="Times New Roman"/>
        <family val="1"/>
        <charset val="204"/>
      </rPr>
      <t>1 694,05 к АВР 1 = 153 387</t>
    </r>
    <r>
      <rPr>
        <sz val="11"/>
        <color indexed="18"/>
        <rFont val="Times New Roman"/>
        <family val="1"/>
        <charset val="204"/>
      </rPr>
      <t xml:space="preserve">
45 289  АВР 21 = 95 690
(списание в июле)</t>
    </r>
  </si>
  <si>
    <t>отьезд Андреев и Чешко</t>
  </si>
  <si>
    <t>1. Бр.Андреев=36 823,42
2. Чешко =  34 000</t>
  </si>
  <si>
    <t>Сентябрь 2022</t>
  </si>
  <si>
    <t>Мовчан; Мокранский</t>
  </si>
  <si>
    <t>ГСМ 
6767 км, 17,1 грн/км
Ф2 стоянки, ОТК, АдБлю</t>
  </si>
  <si>
    <t xml:space="preserve">% по лизингу+комиссия </t>
  </si>
  <si>
    <t>Рманенко; Сич ЗП + суточні</t>
  </si>
  <si>
    <t>ГСМ
5589 км 17,75 грн/км;
Ф2 мойки, стоянки</t>
  </si>
  <si>
    <t>Гордиенко; Кочет</t>
  </si>
  <si>
    <t>ГСМ
9564 км 16,11 грн/км
Ф2 мойки, стоянки</t>
  </si>
  <si>
    <t>1500 грн ЕКМТ; 17000 грн постановка на учет</t>
  </si>
  <si>
    <t>Зоря</t>
  </si>
  <si>
    <t>установка GPS и тарировочніх линееек</t>
  </si>
  <si>
    <t>ТО цистерни</t>
  </si>
  <si>
    <t>ГСМ
3739 км 16,75 грн/км
Ф2 мойки, стоянки</t>
  </si>
  <si>
    <t>страхування + ОТК; 17000 грн - постановка на учет</t>
  </si>
  <si>
    <t>ТО</t>
  </si>
  <si>
    <t>ГСМ
4355 км 18,04 грн/км
Ф2 стоянка</t>
  </si>
  <si>
    <t>страхування + ОТК; 17000 грн - постановка на учет; 2500 грн - ЕКМТ; 200 грн - ОТК</t>
  </si>
  <si>
    <t xml:space="preserve">Староконстантинов - 95444,93 грн
Ретал - 212309,65 грн
Електросвіт - 11600 грн XCMG QY25K-5
Придніпровський ОЕЗ - 406 800 грн Самоскид МАЗ 5550С3
Тіларм Секюріті - 19500 грн автокран XCMG QY25K-5
Юва Енержди - 9 800 грн навантажувач JCB-220 </t>
  </si>
  <si>
    <t>Автокран XCMG; Автокран Клинцы; МАЗ 264; МАЗ 265; Самосвал Камаз; Телескоп JCB 535-140 (№4); Телескоп JCB 540-170 №5; Экскаватор  JCB; Экскаватор  JCB 3CX 2008</t>
  </si>
  <si>
    <t>Шланг гидравлический Автокран Клинцы</t>
  </si>
  <si>
    <t>топливо Автокран Клинцы - 11708,64 грн; МАЗ 265 - 77972,69 грн; Самосвал Камаз - 14902,31 грн + 11492 грн (Ф2); Телескоп 1 - 7,99 грн; Телескоп JCB 540-170 №5 - 30 736,16 грн; Экскаватор  JCB 3CX 2008 - 40840,44 грн; 2429 грн - мойка, шиномонтаж</t>
  </si>
  <si>
    <t>Экскаватор  JCB 3CX 2008 - 1200 грн (Обухов); Самосвал Камаз - 440 грн (Киев); МАЗ 265 - 4 500 грн + 830 грн (Кировоград)</t>
  </si>
  <si>
    <t>Автокран Клинцы - 1500 грн;
МАЗ 265 - 4685,18 грн
Самосвал Камаз - 1760 грн;
Телескоп JCB 540-170 №5 - 1500 грн;
Экскаватор  JCB 3CX 2008 - 850 грн.</t>
  </si>
  <si>
    <t>Ф2 - Автокран Клинцы -1500грн; Самосвал Камаз - 500 грн (ОТК);
Ф1 - Самосвал Камаз - 4001 грн; Экскаватор JCB - 1170 грн</t>
  </si>
  <si>
    <t>Самосвал Камаз</t>
  </si>
  <si>
    <t xml:space="preserve">сторонні перевізники 
1) Індастріал 33 000 грн - Хоміц 18 500 грн
2) Індастріал 48 000 грн - Карго Еволюшн 31 200 грн
3) Тіларм Секюріті 9 750 грн - Загоруйко 5 300 грн
Староконстантинов - 95444,93 грн
Ретал - 212309,65 грн
Електросвіт - 11600 грн XCMG QY25K-5
Придніпровський ОЕЗ - 406 800 грн Самоскид МАЗ 5550С3
Тіларм Секюріті - 19500 грн автокран XCMG QY25K-5
Юва Енержди - 9 800 грн навантажувач JCB-220 </t>
  </si>
  <si>
    <t>5100 грн - установка GPS; 14 892*1,2=17870,4 грн - мойка цистерн</t>
  </si>
  <si>
    <t>Загоруйко 5 300 грн;
Хоміц 18 500 грн;
Карго Еволюшн - 31200 грн;
Перевезення паливних бочок 3 000 грн</t>
  </si>
  <si>
    <t>1920 штамп; 4128,24 спецодежда; замки на баки; расходники
Шланг гидравлический Автокран Клинцы</t>
  </si>
  <si>
    <t>ТО МАН 3 и МАН 4; ремонт подьемника Haulotte №1</t>
  </si>
  <si>
    <t>Ларди Транс 500 грн
ГСМ 30014 км 17,0 грн/км;
АдБлю 5011,56 грн Ф2;
стоянки; мойики; пломби та штамп; топливо Автокран Клинцы - 11708,64 грн; МАЗ 265 - 77972,69 грн; Самосвал Камаз - 14902,31 грн + 11492 грн (Ф2); Телескоп 1 - 7,99 грн; Телескоп JCB 540-170 №5 - 30 736,16 грн; Экскаватор  JCB 3CX 2008 - 40840,44 грн; 2429 грн - мойка, шиномонтаж</t>
  </si>
  <si>
    <t>страховки; міжнародні сертифікати; ОТК; 200 грн - ШЛЯХ; 10800 грн -чип карти запасні; ЕКМТ; постановка на облік
Ф2 - Автокран Клинцы -1500грн; Самосвал Камаз - 500 грн (ОТК);
Ф1 - Самосвал Камаз - 4001 грн; Экскаватор JCB - 1170 грн</t>
  </si>
  <si>
    <t>прибирання офісу</t>
  </si>
  <si>
    <t>7325,01 грн. комплект тонерів (50%); 3482,76 грн хозтовари (50%); 140 грн батарейки</t>
  </si>
  <si>
    <t>2200 грн - Жук; 16206,95 грн - Борщ, Обслуговування поштового серверу і т.д.</t>
  </si>
  <si>
    <t>вода (50%)</t>
  </si>
  <si>
    <t>2482,89 грн концтовари (50%); 137,4 грн бланки CMR</t>
  </si>
  <si>
    <t>Глузд Д, Антонович Т., Илюхин А., Аулова М., Гриценко С., Шарова Е, Соломоненко А., Климович Е., Голомбек Н., Рубец О., Манжула М.</t>
  </si>
  <si>
    <t>2847,42 грн моб.связь, 461,50 грн интернет; 2250 грн - посилювач WiFi (50%)</t>
  </si>
  <si>
    <t>затрати на ГСМ упр.персоналу
Ілюхін, Гриценко</t>
  </si>
  <si>
    <t>зміна КВЕД по Джи Три</t>
  </si>
  <si>
    <t>консультаційні послуги організації обліку</t>
  </si>
  <si>
    <t>рко Транс + Джи Три</t>
  </si>
  <si>
    <t>1730,84 военный сбор; НДФЛ - 20 769,97; НДС - 13299,09</t>
  </si>
  <si>
    <t>% по лізингу</t>
  </si>
  <si>
    <t>50 000-доход за обслуживание спецтехники</t>
  </si>
  <si>
    <t>Лізінговий платіж- ТЕЛО</t>
  </si>
  <si>
    <t>Аксенчиков А.; Бутенко М</t>
  </si>
  <si>
    <t>Ф2 - Металлоконструкции 90586 грн
Ф2 - МД 70176 грн
Ф2 - механизатор 9800 грн
Факт Ф1+Ф2 ЗП металлоконструкции 4707,36 грн/т - план 5 880,95 грн/т; МД 23782 грн/МД - план 26640 грн/МД</t>
  </si>
  <si>
    <t>доставка матеріалів</t>
  </si>
  <si>
    <t>штамп - 504,61 грн.;
МШП для металоконструкций и МД - 21517,83 грн.
план МШП для металоконструкцій 3359,4 грн/т (або 87630 рн для 26,085 т)</t>
  </si>
  <si>
    <t>Ф2 -3 839,70 - заправка Газель и Телескоп в 1 пол августа; 1900 грн - вывоз мусора; 800 грн - шиномонтаж</t>
  </si>
  <si>
    <t>Антоновит Т (50%); Бабошина О (1/3); Климович О (1/3); Манжула (50%); Рубец О. (25%); Соломоненко А (50%); Шарова Е (1/3); Гриценко А;</t>
  </si>
  <si>
    <t>интернет - 1440 грн; мобильная связь - 835 грн</t>
  </si>
  <si>
    <t>коммунальніе - 11410 грн; аренда за август - 50424 грн</t>
  </si>
  <si>
    <t>командировка БЦ-Мощун личным транспортом Скрыпник Сергей</t>
  </si>
  <si>
    <t>Единый 75723,42 грн; ВЗ 980,76 грн; НДФЛ 11 769,17 грн</t>
  </si>
  <si>
    <t>Староконстантинов 6,075 т - 85 050 грн
Приднепровский металл 20,01 т - 280 140 грн
2 МД - 898 892,4 грн
Ф2 - реализация 0,515 т</t>
  </si>
  <si>
    <t>287136,66 - материалы для изготовления 2 МД
факт 143 568,33 грн/МД - план 142 978,43 грн/мд</t>
  </si>
  <si>
    <t>18000 - плата за проект Бутенко, Аксенчиков
3400 - элекрик - план 1500 грн/МД
оплата Ф.И.Л.</t>
  </si>
  <si>
    <t>Сентябрь</t>
  </si>
  <si>
    <t>3934,50 грн комунальні (50%); 484,41 грн - охрана</t>
  </si>
  <si>
    <t>ремонт подьемника Haulotte №1
680-680-ремонт рукава гідравлічного</t>
  </si>
  <si>
    <t>Сенетябрь 2022</t>
  </si>
  <si>
    <t>Изготовление документов по охране труда -1 000,00</t>
  </si>
  <si>
    <t>Аренда погрузчика для подключения вагончика -500,00
Аренда гидромолота -8 500,00
аренда самосвала -3 000,00
Аренда экскаватора (7 год*1500 грн екскаватор/5год*1700 грн гідромолот) -10 500,00
Аренда погрузчика -400,00</t>
  </si>
  <si>
    <t>Аренда вибротрамбовки 8 год*62,5 грн¶ -500,00
Аренда трамбовки 2 дня -1 000,00</t>
  </si>
  <si>
    <t>Кабель для подключения вагончика 9 (чек) -583,00
Вязальная проволока (чек) -1 267,00
Диск по бетону, электроды (чек) -1 361,00
Ножовка (Чек) -298,00
Цементно-песчаная смесь(чек) -155,00
Миксер(чек) -72,00</t>
  </si>
  <si>
    <t>Акт №3/9  Договір  № 23122020 від 23.12.2020 р. списания не будет (виготовлення та монтаж металоконструкцій)</t>
  </si>
  <si>
    <t>Хомич Олександр Віталійович ---трудова книжка</t>
  </si>
  <si>
    <t xml:space="preserve">Экскаватор  JCB </t>
  </si>
  <si>
    <t xml:space="preserve">Аренда квартиры ИТР(первый+последний месяц, риелторские) -15 000,00
Аренда квартиры рабочих -5 000,00
Аренда квартиры рабочих з 22.09-30.09.22 р. (4 особи*60 грн/сутки*9 діб) по ул Привокзальная2, кв 3 (аарендодавець Михайлик Наталія Зіновіївна) -2 160,00
Оплата коммунальных платежей -350,00
</t>
  </si>
  <si>
    <t>Приезд бр. Жука- Сова -1 004,00
Приезд бр. Жука- Лысенко -699,00
Приезд бр. Жука- Жук -812,00
Приезд бр. Жука- Блоха -500,00
Отъезд бр. Жука(будет билет) -1 000,00
Заправка трамбовки А95 (чек) -282,00
Заправка бензина в трамбовку -250,00
Ф1- ГСМ Ширшов-5320</t>
  </si>
  <si>
    <t xml:space="preserve">Ф1. Старіков
Ф2. Аренда гостиницы Стариков -700,00
Аренда гостиницы Стариков -700,00
Аренда гостиницы Стариков(чек) 28.09.22 -700,00
</t>
  </si>
  <si>
    <t>Ширшов О.Л.</t>
  </si>
  <si>
    <t>"Ганас Юрій Володимирович ФОП
Договір рухомого майна №05/11 від 05.11.2021 р."</t>
  </si>
  <si>
    <t>"ТРАНСПОРТНО-ЕКСПЕДИЦІЙНА КОМПАНІЯ АБ-ГРУП"" ТОВ
Договір №15/08/2022 на транспортне обслуговування"</t>
  </si>
  <si>
    <t>Услуги КС 43-742</t>
  </si>
  <si>
    <t>ЦЕХ- 27 т отгрузка  *14 000=378 000
Оплата изготовления КМД -9 347,00
Погрузка вагончика в Славуте (2 человека) -1 000,00
Подключение вагончика и электрощитка -300,00</t>
  </si>
  <si>
    <t>Староконстантинов (телескоп 1) - 3 146,56 грн
Приднепровский МЭЗ-2 (Экскаватор  JCB 2013; МАЗ 265) - 79 328,61 грн
Приднепровский-металл (Телескоп 2) - 38 938,68 грн
Ретал (Автокран Клинцы; Самасвал Камаз; Экскаватор  JCB 3CX 2008; Телескоп JCB 540-170 №5) - 290 476,33 грн.;
Биогаз (Экскаватор  JCB) - 11 056,23 грн.;
МХП-3 (Экскаватор  JCB) - 4 913,88 грн
Юва Енержди (навантажувач JCB-220) - 1 400 грн</t>
  </si>
  <si>
    <t>за обслуживание техники от Индастриала</t>
  </si>
  <si>
    <t>Телескоп 1; Автокран Клинцы; Телескоп JCB 540-170 №5; Самосвал Камаз; Экскаватор  JCB 2013; Телескоп 2; Экскаватор  JCB 3CX 2008; МАЗ 265; Экскаватор  JCB</t>
  </si>
  <si>
    <t xml:space="preserve">Телескоп JCB 540-170 №5; Haulotte №1; Экскаватор  JCB 3CX 2008; Автокран Клинцы; Телескоп JCB 533-105 № 3; Телескоп  JCB 535-140 № 4; Самосвал Камаз; Экскаватор JCB 220 </t>
  </si>
  <si>
    <t>Ф1 ГСМ (Телескоп 2 - 11 199 грн; Телескоп JCB 540-170 №5 - 42 742 грн; Экскаватор  JCB 3CX 2008 - 31 757,96 грн; Экскаватор JCB - 4 704 грн.;  Экскаватор  JCB 2013 -13 004 грн; МАЗ 265 - 5200 грн; Самосвал Камаз - 20 800 грн; Автокран Клинцы - 12 060 грн); масла на все единицы - 21 620,45 грн
Ф2 Шиномонтаж (Телескоп JCB 540-170 №5 - 600 грн; Экскаватор  JCB 3CX 2008 - 1600 грн)</t>
  </si>
  <si>
    <t>Аренда квартиры Кировоград МАЗ 265 + комунальные</t>
  </si>
  <si>
    <t>МАЗ 265 -1914,93 грн;
Самоосвал Камаз - 1750 грн</t>
  </si>
  <si>
    <t>Кропивницкий - Визирка (49 692 грн);
Никюп-Измит-Запорожье (346 482,51 грн)</t>
  </si>
  <si>
    <t>Кочет, Ли</t>
  </si>
  <si>
    <t>Ф1 GPS+пропарка бочки
Ф2 мойки и сан обработка бочки по рейсу Запорожье-Никюп-Измит-Запорожье</t>
  </si>
  <si>
    <t>кришка бака для AdBlue</t>
  </si>
  <si>
    <t>Ф1 ГСМ + AdBlue + затраты по международному рейсу (9900 грн);
Ф2 стоянки и все затраты по международному рейсу Запорожье-Никюп-Измит-Запорожье</t>
  </si>
  <si>
    <t>гостиница Ли перед сменой водителя</t>
  </si>
  <si>
    <t>страховки</t>
  </si>
  <si>
    <t>Ф2 3 рейса Кривой Рог - Южное; 1 рейс Кривой Рог - Рени
Ф1 Бандурка - Рени (59 904 грн); 10 рейсов Кернел Черноморск-Черноморск (72 989 грн)</t>
  </si>
  <si>
    <t>GPS + пропарка бочки</t>
  </si>
  <si>
    <t>ремонт радиатора</t>
  </si>
  <si>
    <t>Ф1 ГСМ + AdBlue;
Ф2 стоянки и система ШЛЯХ</t>
  </si>
  <si>
    <t>Проезд Зори до места стоянки авто</t>
  </si>
  <si>
    <t>Ф2 комисия за пересылку</t>
  </si>
  <si>
    <r>
      <t>4 рейса Бандурка-Рени (230 435 грн);
 Запорожье-Рени (100 086 грн); 
Бандурка-Визирка (35 898,10 грн); 
4 рейса Черноморск-Визирка (60 099,37 грн); 
Бандурка-Рени (61 214,9 грн)</t>
    </r>
    <r>
      <rPr>
        <sz val="11"/>
        <color rgb="FFFF0000"/>
        <rFont val="Times New Roman"/>
        <family val="1"/>
        <charset val="204"/>
      </rPr>
      <t/>
    </r>
  </si>
  <si>
    <t>Ф1 расчетные Гордиенко и Орел; Мовчан
Ф2 Орел; Мовчан</t>
  </si>
  <si>
    <t xml:space="preserve">Ф1 ГСМ + AdBlue
Ф2 стоянки </t>
  </si>
  <si>
    <t>Бандурка - Визирка (31 122 грн); 
Запорожье - Рени (98 196 грн); 
Запорожье - Ямбол (196 177 грн)</t>
  </si>
  <si>
    <t>Кононенко, расчетные Сыч</t>
  </si>
  <si>
    <t>GPS + мойка бочки</t>
  </si>
  <si>
    <t>ремонт бочки; нипель</t>
  </si>
  <si>
    <t>Ф1 ГСМ + AdBlue
Ф2 стоянки</t>
  </si>
  <si>
    <t>Ф1 - 7 рейсов
Ф2 - 3 рейса</t>
  </si>
  <si>
    <t>Мовчан, Романюк</t>
  </si>
  <si>
    <t>GPS</t>
  </si>
  <si>
    <t>Ф1 ГСМ;
Ф2 стоянки</t>
  </si>
  <si>
    <t>страховой случай по лизингу</t>
  </si>
  <si>
    <t>ЦО Логистика</t>
  </si>
  <si>
    <t>экспедиция
по логистическим затратм оплачено исполнителю 56 600 грн</t>
  </si>
  <si>
    <t>GPS + Ларди транс</t>
  </si>
  <si>
    <t>экспедици оплата исполнителмя перевозок</t>
  </si>
  <si>
    <t>оплата Т1</t>
  </si>
  <si>
    <t>Ф1 EORI;
Ф2 оплата ЧИП карт Глузд и Мовчан</t>
  </si>
  <si>
    <t>оплата тент МД</t>
  </si>
  <si>
    <t>уборка офиса</t>
  </si>
  <si>
    <t>на 3 направления: Жук, почтовый сервер; сервер 1С; обслуживание офисной техники</t>
  </si>
  <si>
    <t>НП и марки</t>
  </si>
  <si>
    <t>Антонович, Гриценко С., Глузд (ЗП, бонусы, премия), Илюхин, Голомбек, Рубец, Климович, Манжула, Соломоненко, Аулова, Шарова</t>
  </si>
  <si>
    <t>мобильная связь
Глузд, Илюхин, Гриценко, Манжула</t>
  </si>
  <si>
    <t>топливо упр.персонала Илюхин, Гриценко</t>
  </si>
  <si>
    <t>карточки от входных дверей</t>
  </si>
  <si>
    <t>нотариальная доверенность и оформление аренды авто Гриценка</t>
  </si>
  <si>
    <t>Лига-Закон</t>
  </si>
  <si>
    <t>1964,77 военный сбор; НДФЛ - 23 577,16; НДС - 40 848,23</t>
  </si>
  <si>
    <t>отгружено 11 МД (4 963 227 грн);
Приднепровский металл 25,506 т (357 644 грн);
МХП-3 27 т (378 000 грн)</t>
  </si>
  <si>
    <t>Аксенчиков, Бутенко, Житнюк</t>
  </si>
  <si>
    <t>За изготовление МД 380 133 грн; МК 206 766,47 грн; буржуйки - 8 470 грн; облаштування цеху - 6480 грн</t>
  </si>
  <si>
    <t>Ф.И.Л. - 804 765 грн; элекрик</t>
  </si>
  <si>
    <t>доставка МД до Мощуна</t>
  </si>
  <si>
    <t>списание Индастриала за пол года по результатам инвентаризации
по Стилу Ф1 - 2942,38; Ф2 - 1691 грн</t>
  </si>
  <si>
    <t>недостоющий профлист перед монтажом</t>
  </si>
  <si>
    <t>вывоз мусора; ГСМ</t>
  </si>
  <si>
    <t>Антонович, Гриценко О, Рубец, Климович, Бабошина, Манжула, Соломоненко, Шарова</t>
  </si>
  <si>
    <t>моб.связь</t>
  </si>
  <si>
    <t>компенсация электроэнергии и аренда; карточки от входных дверей</t>
  </si>
  <si>
    <t>переодика + Лига-Закон</t>
  </si>
  <si>
    <t>Единый 412 864,46 грн; НДФЛ 26 759,46 грн; ВЗ 2 229,96 грн</t>
  </si>
  <si>
    <t>Октябрь 2022</t>
  </si>
  <si>
    <t>Автокран XCMG - 103 627 грн; Автокран Клинцы - 62 288,42 грн; МАЗ 264 - 28 430 грн; МАЗ 265 - 9 595 грн; РДК 250 - 34 977 грн; Самосвал Камаз - 106 133 грн;  Телескоп 1 - 43 957 грн; Телескоп 2 - 107 087 грн; Телескоп JCB 540-170 №5 - 115 505 грн; Экскаватор  JCB - 105 349 грн; Экскаватор  JCB 2013 - 82 987 грн; Экскаватор  JCB 220 - 85 653 грн; Экскаватор  JCB 3CX 2008 - 117 772 грн; сторонний заказчик - 3 100 грн</t>
  </si>
  <si>
    <t>за обслуживание технки; возврат за смарт-карты СанОил</t>
  </si>
  <si>
    <t xml:space="preserve">аренда квартиры Кировоград + коммунальные </t>
  </si>
  <si>
    <t>проживание в комманидировках Илюхина</t>
  </si>
  <si>
    <t>проезд механизаторов</t>
  </si>
  <si>
    <t>Телескоп 1; Экскаватор JCB 2013; Экскаватор  JCB; Телескоп 2; МАЗ 265; МАЗ 264; РДК 250; Экскаватор  JCB 220; Автокран XCMG; Самосвал Камаз; Автокран Клинцы; Экскаватор  JCB 3CX 2008; Телескоп JCB 540-170 №5</t>
  </si>
  <si>
    <t>Телескоп 1; Телескоп JCB 533-105 (№3); Экскаватор  JCB; Телескоп 2; Ротор Пегасус</t>
  </si>
  <si>
    <t>Ф1 м асло, масло гидравлическое; 
Ф2 шнур-спасаель, шиномонтаж, колесо б/у</t>
  </si>
  <si>
    <t>перевозка ротор Катериновка-Киев</t>
  </si>
  <si>
    <t>GPS мониторинг</t>
  </si>
  <si>
    <t>Лампочки</t>
  </si>
  <si>
    <t>проезд Зори и Кононенко до/от места смены водителя</t>
  </si>
  <si>
    <t>рко за перечисление ДС</t>
  </si>
  <si>
    <t>Ф2 проживание Илюхина</t>
  </si>
  <si>
    <t>Жук С. (10год.*600 грн) 1/3</t>
  </si>
  <si>
    <t>уборка</t>
  </si>
  <si>
    <t>коммунальные офіс</t>
  </si>
  <si>
    <t>сигнализация</t>
  </si>
  <si>
    <t>интернет</t>
  </si>
  <si>
    <t>ГСМ Илюхин + Гриценко С.</t>
  </si>
  <si>
    <t>консультации по веденибю бух.учета; лицензия МЕДок; Ворк; Работа</t>
  </si>
  <si>
    <t>заправка картриджа и тонеры, канцтовары, CRM</t>
  </si>
  <si>
    <t>110 000 грн возврат инвестору за топливо</t>
  </si>
  <si>
    <t>рко и курсовая разница; комиссия по финАгенту</t>
  </si>
  <si>
    <t>Жук С. (10год.*600 грн) 1/3, поштовий сервер, сервер 1С; Борщ;
интернет; модем; покупка ПО BAS 1/2</t>
  </si>
  <si>
    <t>Рейс Киев-Киев</t>
  </si>
  <si>
    <t>рейс КривойРог-Дулибы; Николаев- Вышгород</t>
  </si>
  <si>
    <t>Ф1 - 2 рейса Измаил-Южное; Измит(Турция)-Запорожье(Украина);
Ф2 - Запорожье-Южное; Власовка (Украина)-Пловдив(Болгария)</t>
  </si>
  <si>
    <t>Ф1 - рейс Черноморск-Визирка; Мироновка-Черноморск; Ерки-Черноморск; Измаил-Южное;
Ф2 - Запорожье -Южное; Власовка (Украина) - Пловдив (Болгария)</t>
  </si>
  <si>
    <t>НДФЛ- 23 849,23грн; ВЗ-1 067,02 грн; НДС положительный</t>
  </si>
  <si>
    <t>экспедиция БЦ-Ладыжин (20000); БЦ - Ладыжин (20000); БЦ - Кропивницкий (24000)</t>
  </si>
  <si>
    <t>Ф1 оплата перевозчику БЦ-Ладыжин (15000); БЦ - Ладыжин (15000); БЦ - Кропивницкий (15500)</t>
  </si>
  <si>
    <t>мойки цистерн; GPS</t>
  </si>
  <si>
    <t>Кононенко</t>
  </si>
  <si>
    <t>Кочет; Мовчан</t>
  </si>
  <si>
    <t>Ли</t>
  </si>
  <si>
    <t>Романюк расчет перед увольнением</t>
  </si>
  <si>
    <t>Ф1 - AdBlue; 475л*52грн/л 49,17 л/км</t>
  </si>
  <si>
    <t>Ф1 - AdBlue; 404л*52грн/л 41,87 л/100км
Ф2 - Стоянки, дисцилированная вода</t>
  </si>
  <si>
    <t>Ф1 - AdBlue; 2177л*52грн/л 33,52 л/100км
Ф2 - Добавление в ситему ШЛЯХ</t>
  </si>
  <si>
    <t>Ф1 - AdBlue; 2219 л*52 грн/л 35,89 л/100км
Ф2 - затраты по рейсу Запорожье-Ямбол-Измит-Запорожье</t>
  </si>
  <si>
    <t>Ф1 - AdBlue, топливо 629л*52грн/л 37,98 л/100км</t>
  </si>
  <si>
    <t>Ф1 22 МД, МК 1,06 т на Староконстантинов; 
Ф2 - 4 буржуйки (2 продано, 2 благотворительность)</t>
  </si>
  <si>
    <t>МШП та спецодяг</t>
  </si>
  <si>
    <t>перевозки БЦ-Мощун</t>
  </si>
  <si>
    <t>услуги крана при установке МД</t>
  </si>
  <si>
    <t>ремонт инструмента</t>
  </si>
  <si>
    <t>аренда территории и компенсация электроэнергии</t>
  </si>
  <si>
    <t>аренда баллонов</t>
  </si>
  <si>
    <t>рко + курсовые разницы при обмене валюты</t>
  </si>
  <si>
    <t>НДФЛ - 37 574,77; Единый - 53 861; ВЗ - 3 131,25; ФОП Воронцов 2% 21 880</t>
  </si>
  <si>
    <t>Гриценко А, Манжула М</t>
  </si>
  <si>
    <t>2 буржуйки благотворительность</t>
  </si>
  <si>
    <t>Жук; сервер 1С; Борщ</t>
  </si>
  <si>
    <t>НП; ценный письма</t>
  </si>
  <si>
    <t>Ф.И.Л.</t>
  </si>
  <si>
    <t>включают в себя доставку
Ф2 довоз недостоющего душевого поддона перед устаовкой</t>
  </si>
  <si>
    <t>Ф1 вывоз мусора;
Ф2 монтаж электрики в МД, изготовление завесов для буржуек, наточка цепи</t>
  </si>
  <si>
    <t>2 буржуйки дивиденды</t>
  </si>
  <si>
    <t>консультация по валютным операциям и ведению бух учета</t>
  </si>
  <si>
    <t>кава</t>
  </si>
  <si>
    <t xml:space="preserve">Изготовление МД 20 ед; изготовление МК 1,06т; монтаж МД 22 ед; ремонт 3-х бытовак ддля Индастриалбуд; </t>
  </si>
  <si>
    <t>Аксенчиков (8 291,50/9 708,50); Бутенко (8 291,50/14 708,50); Житнюк (10 384,50/7 615,50)</t>
  </si>
  <si>
    <t>Антонович (4 991/10 009); Бабошина (5 155,59/7 344,45); Гриценко А (5 313/12 101,67); Климович (3 488,34/4 845); Малогловец (351,39/); Манжула (6 625,43/7 674,98); Рубец (5 838,24/9 698,44); Соломоненко (6 460,13/6 039,88); Шарова (2 856,42/4 810,28)</t>
  </si>
  <si>
    <t>Октябрь</t>
  </si>
  <si>
    <t xml:space="preserve">Ф.1
+ АКТ №3   Договір №  №27/09/21--ГП  від 27.09.2021 треб .№181. №182 1 429 039,38
+ АКТ №72    Проектні роботи  №15/09-2021 від 15.09.2021  Агроінжинірінг прих 1336 410 000,00
+ АКТ №72    Проектні роботи  №15/09-2021 від 15.09.2021   Агроінжинірінг 90 000,00
</t>
  </si>
  <si>
    <t>Ф.1
к Акту №3 Договору генерального підряду №27/09-2021 від 27.09.2021 р.сумма акта 1429039,38  269 598,01</t>
  </si>
  <si>
    <t xml:space="preserve">Ф.1
+ АКТ№1  Договір №2608/22/Л/ВКВК від 26.08.2022 р. треб 180 спис.м/к№195 затр.цеха №196 2 616 925,91
 +  АКТ №3   Договір №2608/22/Л/ВКВК від 26.08.2022 р.спис.№193 58 567,46
 +  АКТ№2   Договір №2608/22/Л/ВКВК від 26.08.2022 р.спис.№192 мшп№43 334 480,16
</t>
  </si>
  <si>
    <t xml:space="preserve">Ф.1
Автокран XCMG " 2 смен 8 448
Ф.2
Аренда виброкатка
</t>
  </si>
  <si>
    <t xml:space="preserve">Ф.2
Саморезы 07.10.2022 -130,00
Круг зачистной 06.10.2022 -96,00
Валики, кисточки.Чек. -1 030,00
Ручка для валика -92,00
Сверло -98,00
Валик 2 шт -289,00
Гайка М16 -180,00
Веник -75,00
Шнур отбивочный -65,00
</t>
  </si>
  <si>
    <t>Ф.1
Вінницька птахофабрика ВКВК к  акту №1 виготовлення навісу_2616925,91 131 398,59
Вінницька птахофабрика ВКВК к  акту №1_2616925,91 981 267,66
Вінницька птахофабрика ВКВК к  акту №2_334480,16 56 285,73
Вінницька птахофабрика ВКВК к  акту №3_58567,46 24 094,48
затраты цеха   Вінницька птахофабрика ВКВК к  акту №1 виготовлення навісу_ акту №1_2616925,91 13 324,80
мінус переміщення --144723,39</t>
  </si>
  <si>
    <t>Ф.2
Ремонт УШМ</t>
  </si>
  <si>
    <t xml:space="preserve">Ф.1 
Старіков Сергій Вікторович  -200,00
Ширшов Олександр Леонідович  -3 120,00
ШКУРАТ ІГОР МИКОЛАЙОВИЧ  -400,00
Ф.2
Аренда квартиры рабочих с 01.10-15.10 -3 600,00
Аренда гостиницы Стариков-700, Аренда квартиры ИТР-6000, Аренда квартиры рабочих-3600_МХП-3_Аренда квартиры -10 300,00
Аренда квартиры рабочих с 16.10 по 30.10 -3 600,00
Ф.2
Коммунальные платежи квартира ИТР -490,00
Коммунальные платежи квартира сварщиков -580,00
</t>
  </si>
  <si>
    <t>Ф.2
заправка картриджа</t>
  </si>
  <si>
    <t>Ф.2
РКО от суммы_58 972,00_ -589,72
РКО (Аренда квартиры рабочих с 16.10 по 30.10 -156,00
Комиссия от суммы 81 МХП3 -120,00</t>
  </si>
  <si>
    <t xml:space="preserve">Ф.1
+Акт № 6   _Договір підряду в капітальному будівництві №406-10 спис№188 мшп№42 171 954,72
+Акт №1   _Договір підряду в капітальному будівництві №406-10 Доп Угода №1 демонтаж.р-ты списания не будет 7 474,94
</t>
  </si>
  <si>
    <t>Ф.1
Акт №6 Договір підряду в капітальному будівництві №406-10 від 02.06.2021р сумма акта 171954,72 14 636,22</t>
  </si>
  <si>
    <t>Гуртовой, списание долга по согласованию с Воронцовым А.. из которых 27 900грн выплачено отпускные и за аренду авто. Сумма по факту оприходована в кассу</t>
  </si>
  <si>
    <t>15 252-Старкон (внутр заказчик)
Сторонний заказчик = 418 500грн
29000-Аква Алекс
33500-Гелиос Транс
96000-БСК Логистик
40000-Крупський Р.
45 000-Логістік Трейд
12 000-Вікант
41000-ММС
48 000-ОЛ-Транс
30000-Олді
29 000-Тек Лев Транс
15 000-Ложістік Дніпро</t>
  </si>
  <si>
    <t>Ноябрь 2022</t>
  </si>
  <si>
    <t>---</t>
  </si>
  <si>
    <t>Ноябрь</t>
  </si>
  <si>
    <t>ЗП -Ширшов Олександр Леонидович/ зарплата за листопад 2022</t>
  </si>
  <si>
    <t>Ф.1
АКТ№1    Договір №2608/22/Л/ВКВК від 26.08.2022 р. спис.№212 мшп№50
АКТ№4   Договір №2608/22/Л/ВКВК від 26.08.2022 р.спис.№211 мшп№50</t>
  </si>
  <si>
    <t>відсутні підписані АВР</t>
  </si>
  <si>
    <t>Послуги транспортно-експедиційні   16 666,67</t>
  </si>
  <si>
    <t>Телескоп 1 - 72 483; Экскаватор JCB 2013 - 43730;  Экскаватор JCB - 140631; Телескоп 2 - 69677; Ротор Пегасус - 81831; Экскаватор JCB 220 - 21911; Автокран XCMG - 69272; Автокран Клинцы - 107411; Самосвал КАМАЗ - 6463; Экскаватор JCB 2008 - 76030; Телескоп 5 - 130936; Haulotte - 20874; 47500 за обслуживание спецтехники; 1900 сторонняя аренда Экскаватор jcb 2013; 77800 стороння аренда Экскаватор  jcb 220</t>
  </si>
  <si>
    <t>Горячий, Болох, Сахневич, Скоц, Бунтило, Мисюрко, Поддубний, Косик, Карбунар, Мусиенко, Борисенко, Вандяк</t>
  </si>
  <si>
    <t>шиномонтаж</t>
  </si>
  <si>
    <t>топливо Телескоп 1 - 674 л; Экскаватор JCB 2013 - 110 л;  Экскаватор JCB - 838 л; Телескоп 2 - 230 л; Ротор Пегасус - 346 л; Экскаватор JCB 220 - 131 л; Автокран XCMG - 174 л; Автокран Клинцы - 538 л; Самосвал КАМАЗ - 142 л; Экскаватор JCB 2008 - 365 л; Телескоп 5 - 657 л</t>
  </si>
  <si>
    <t>проезд Бунтило, Борисенко, Якубовский, Ковальчук, Вандяк</t>
  </si>
  <si>
    <t>960 навчання Борисенко; по 1872 страховки  Телескоп 4,  JCB 3CX 2008</t>
  </si>
  <si>
    <t xml:space="preserve">21 000 - Ладыжин-Бровары; 14000 - ЮЦ-Кропивницький; 21000 - Ладыжин-Киев; 33000-Киев-Ладыжин; 21000 Бровары-Староконстантинов; 30000 * 2 - БЦ-Староконстантинов
1 525 508,47 - Оптимус Трейд </t>
  </si>
  <si>
    <t>Ф1 - 2000- Сертификат соотвествия нормама безопасности прицепа; 850 - мойка авто; 1125+960 - gps мониторинг; 3030 - ОТК</t>
  </si>
  <si>
    <t>логистические услуги</t>
  </si>
  <si>
    <t xml:space="preserve"> Уборка офиса 3000</t>
  </si>
  <si>
    <t>Ф1 25000 - 1С
Ф2 - 952,33 - сервер 1С
3901,5 - почтовы сервер; 1800 - Жук (9*600=5400/3=1800)</t>
  </si>
  <si>
    <t>штампы+тонер в принтер+канцтовары</t>
  </si>
  <si>
    <t>Ф1/Ф2 Гголомбек 1/3 (3 706,97/6939,54), Климович 1/3 (3 488,34/4845,00), Рубець 1/4 (4 787,41/7267,60), Шарова 1/3 (2 786,26/5 547,07), Манжула 1/2 (10 561,60/14 408,89), Антонович 1/2 (4 991,00/10 009,00), Аулова (9 982,00/15 018,00), Глузд (9 982,00/5 018,00), Гриценко С (11 994,50/10 993,00), Илюхин (9 156,87/21 434,38), Соломоненко (6 480,25/6 039,88), Бонусы логист (7 406,00)</t>
  </si>
  <si>
    <t>Киевстар, интернет</t>
  </si>
  <si>
    <t>коммунальные офис</t>
  </si>
  <si>
    <t>нотариус</t>
  </si>
  <si>
    <t>ворк и работа 1/2</t>
  </si>
  <si>
    <t>1972 - ЄСВ; 23665,5 - НДФЛ; 89 117,60 - обязательство по НДС</t>
  </si>
  <si>
    <t>Ф2 поступления от продажи полуприцепа 2200*40.25_88 550 грн_Джи</t>
  </si>
  <si>
    <t>Мовчан</t>
  </si>
  <si>
    <t>Ф1 - 500 омыватель для стекла; 227 л *52,53 грн/л
Ф2 5000 сняте в с учета полуприцепа, 1500 консультация специалиста при выборе полуприцепа, стоянки</t>
  </si>
  <si>
    <t>Ф2 34 000 постановка на учет 2 компании, 200 прохождение ОТК</t>
  </si>
  <si>
    <t>Ф2 - (13 600$*40,51=550 936)+(2 200$*40,25=88 550)=639 485,00 / 15 800$</t>
  </si>
  <si>
    <t>оплаиа гостинниц Илюхина при выборе нового полуприцепа</t>
  </si>
  <si>
    <t>346 311,84 Измит-Запорожье</t>
  </si>
  <si>
    <t>Ф1 - пропарка цистерны;
Ф 2 - мойка в Турции</t>
  </si>
  <si>
    <t>Ф1 - шиномонтаж;
Ф2 - выездной шиномонтаж за границей</t>
  </si>
  <si>
    <t>суточные</t>
  </si>
  <si>
    <t>336 772,55 Измит-Запорожье</t>
  </si>
  <si>
    <t>Кочет</t>
  </si>
  <si>
    <t>Ф 1 - пропарка цистерны;
Ф2 - мойка Турция</t>
  </si>
  <si>
    <t>346 744,73 - Измит - Запорожье</t>
  </si>
  <si>
    <t>Ф 1 пропарка цистерны
Ф2 мойка бочки в Турции</t>
  </si>
  <si>
    <t>346 167,54 Измит-Запорожье</t>
  </si>
  <si>
    <t>Ф1 4800 - мойка цистерны
Ф2 мойка бочки в Турции</t>
  </si>
  <si>
    <t xml:space="preserve">Ф1 - Австрия-Полтава
Ф2 Киев-Полтава 14 700; Полтава - Вена 154 900; </t>
  </si>
  <si>
    <t>Кустра</t>
  </si>
  <si>
    <t>% на остаток на счете</t>
  </si>
  <si>
    <r>
      <t xml:space="preserve">Сумма по Ф1, грн </t>
    </r>
    <r>
      <rPr>
        <b/>
        <i/>
        <sz val="10"/>
        <rFont val="Times New Roman"/>
        <family val="1"/>
        <charset val="204"/>
      </rPr>
      <t xml:space="preserve"> </t>
    </r>
  </si>
  <si>
    <t>Ф.2
Щетки на УШМ Макита -40,00
Наколенники -340,00
Растворитель -123,00</t>
  </si>
  <si>
    <t>Ф.1
Ширшов Олександр Леонідович</t>
  </si>
  <si>
    <t>Ф.2
Аренда квартиры рабочих 31.10-14.11 -3 600,00</t>
  </si>
  <si>
    <t>Ф.2
Отъезд бр. Жука -2 000,00
Приезд сварщиков -2 000,00
Отъезд бр. Зеленько -1 500,00</t>
  </si>
  <si>
    <t>Ф.2
Представительские_Ладыжин_3 -3 500,00</t>
  </si>
  <si>
    <t>Ф.2
послуги РКО</t>
  </si>
  <si>
    <t xml:space="preserve">"ІНДЕП ТРАНС ТОВ
дог. 20.07.22 від 20.07.2022" 231 16 666,67 </t>
  </si>
  <si>
    <t>Ф1 % на остаток на счете;
Ф2 доход от Буржуйки Горич, списано как ФинПомощь</t>
  </si>
  <si>
    <t>26 чел</t>
  </si>
  <si>
    <t>Ф1/Ф2 Аксенчиков (8 291,50/9 708,50); Бутенко (8 291,50/14 708,50); Житнюк (10 384,50/7 615,50)</t>
  </si>
  <si>
    <t>Ф2 услуги электрика для 30 МД</t>
  </si>
  <si>
    <t>Ф1 аренда баллонов
Ф2 аренда генератора</t>
  </si>
  <si>
    <t>Ф2 - хомуты, тройник, шланг для компрессора</t>
  </si>
  <si>
    <t>Ф2 -2 051 530,00 Ф.И.Л. за 30 МД; 8422 - таблички на МД, доставка, масло для генератора, реклама на ОЛХ, ремонт козлового крана, трактор в с.Мощун</t>
  </si>
  <si>
    <t>проживание персонала 60 грн/сутки * 30 суток * 17 чел</t>
  </si>
  <si>
    <t>автомобильный аккумулятор и заряжное устройство для него</t>
  </si>
  <si>
    <t>Жук 9 ч * 600 грн/ч =5400 грн /3 = 1800 грн; сервер 1С 1/3</t>
  </si>
  <si>
    <t>обжслуживание принтера и картриджи</t>
  </si>
  <si>
    <t>Ф1/Ф2 Бабошина 1/2 (5 232,50/7 267,50); Климович 1/3 (3 488,33/4 845,00); Рубец 1/4 (3 177,41/7 267,60); Шарова 1/3 (2 786,27/5 547,07); Гриценко О. (8 533,00/28 247,00); Манжула 1/2 (3 320,62/14 408,89); Антонович 1/2 (4 991,00/10 009,00); Соломоненко 1/2 (6 440,00/6 039,88); Ф1 - инвалид 409,45</t>
  </si>
  <si>
    <t>720 - интернет; 1908 - мобильная связь</t>
  </si>
  <si>
    <t>топливо упр.персонала + генератор</t>
  </si>
  <si>
    <t>43072,77 коммунальные Цех
100848 аренда цеха</t>
  </si>
  <si>
    <t>нотариальные услуги</t>
  </si>
  <si>
    <t>106794,26 - Единый налог 2% ; 594,32 НДФЛ; 49,5 ВЗ</t>
  </si>
  <si>
    <t>Буржуйка Горич</t>
  </si>
  <si>
    <t>MAN №5 Тент МД</t>
  </si>
  <si>
    <t>5586,03 - ремни, стяжки, уголок, накладка;</t>
  </si>
  <si>
    <t>Ф1 2970,72 - AdBlue, 500 - омыватель стекла; 21660,62 - затраты по международным рейсам; топливо 1547 л * 52,53 грн/л
Ф2 - стоянки</t>
  </si>
  <si>
    <t>Ф1 - 31 000 шины 2 шт; 1635,33 - AdBlue; 500 - омыватель стекла; 14159,8 - затраты по международному рейсу; топливо - 957 л*52,53 грн/л
Ф2 - затраты по международному рейсу</t>
  </si>
  <si>
    <t>Ф1 - 190,87 лапа; 2440,27 - AdBlue; 500 - омыватель стекла; 14348,79 - затраты по международному рейсу; топливо 940 л *52,53 грн/л
Ф2 - затраты по международному рейсу</t>
  </si>
  <si>
    <t>Ф1 786,87 - зарядний пристырй та продувочний пыстолет; 17471 - аккумулятор 2 шт; 2892,56 - AdBlue; 500 - омыватель для стекла; 14694,29 - затраты по международному рейсу; топливо 866 л * 52,53 грн/л
Ф2 затраты ао международному рейсу</t>
  </si>
  <si>
    <t>Ф1 - 1876,7 лампа и продувочный пистолет; 5743 - AdBlue, 500 - омывател  стекла; 871,28 - антифриз; 13456,01 - затраты по международному рейсу; топливо 889 л*52,53 грн/л
Ф2 14938,5 затраты по международному рейсу; 1600 грн AdBlue</t>
  </si>
  <si>
    <t>16000 - Ладыжин-Броворы;16000 - Ладыжин-Киев; 10000 - БЦ-Кропивницький; 26000 Киев-Ладыжин; 16000 Броворы - Староконстантинов; 28000*2 БЦ-Староконстантинов;м 264930 - перевозка масла; 69103,9 - перевозка масла; 208890 - перевозка масла; 73612 - перевозка масла; 691104 -перевозка масла выставленная в декабре</t>
  </si>
  <si>
    <t>Ф1 - 3647,19 оплата платных дорог; 
Ф2 - 87176 грн Ф.И.Л. Оплачено в декабре</t>
  </si>
  <si>
    <t>Днепр-Бузеу с простоями</t>
  </si>
  <si>
    <r>
      <t>Антонович (4991/10 009); Аулова (9 982/15 018); Воронцов (7 158,90); Глузд (9 982/5 018);</t>
    </r>
    <r>
      <rPr>
        <sz val="9"/>
        <color rgb="FFFF0000"/>
        <rFont val="Times New Roman"/>
        <family val="1"/>
        <charset val="204"/>
      </rPr>
      <t xml:space="preserve"> Голомбек (5 635,00/6 865,00);</t>
    </r>
    <r>
      <rPr>
        <sz val="9"/>
        <color indexed="18"/>
        <rFont val="Times New Roman"/>
        <family val="1"/>
        <charset val="204"/>
      </rPr>
      <t xml:space="preserve"> Гриценко С. (9 982/14 011,75); </t>
    </r>
    <r>
      <rPr>
        <sz val="9"/>
        <color rgb="FFFF0000"/>
        <rFont val="Times New Roman"/>
        <family val="1"/>
        <charset val="204"/>
      </rPr>
      <t>Илюхин ( 10 465/21 535);</t>
    </r>
    <r>
      <rPr>
        <sz val="9"/>
        <color indexed="18"/>
        <rFont val="Times New Roman"/>
        <family val="1"/>
        <charset val="204"/>
      </rPr>
      <t xml:space="preserve"> Климович ( 3 488,33/4 845); </t>
    </r>
    <r>
      <rPr>
        <sz val="9"/>
        <color rgb="FFFF0000"/>
        <rFont val="Times New Roman"/>
        <family val="1"/>
        <charset val="204"/>
      </rPr>
      <t xml:space="preserve">Малогловець (351,39/); </t>
    </r>
    <r>
      <rPr>
        <sz val="9"/>
        <color indexed="18"/>
        <rFont val="Times New Roman"/>
        <family val="1"/>
        <charset val="204"/>
      </rPr>
      <t xml:space="preserve">Манжула (6 625,43/7 674,98); Рубец (5 838,24/9 698,43); Соломоненко (6 460,12/6 039,87); </t>
    </r>
    <r>
      <rPr>
        <sz val="9"/>
        <color rgb="FFFF0000"/>
        <rFont val="Times New Roman"/>
        <family val="1"/>
        <charset val="204"/>
      </rPr>
      <t>Шарова (2 856,41/4 810,26);</t>
    </r>
    <r>
      <rPr>
        <sz val="9"/>
        <color indexed="18"/>
        <rFont val="Times New Roman"/>
        <family val="1"/>
        <charset val="204"/>
      </rPr>
      <t xml:space="preserve"> Бонусы Глузд 5 778,00</t>
    </r>
  </si>
  <si>
    <t>Ф1 - отгружено 29 МД по бух.  237148 грн - за генераторы
Ф2 - продаж буржуйки</t>
  </si>
  <si>
    <t>Ф2 - 19 600 грн - разработка КМД 7; 8760 грн - ремонт МД 1;488224 грн - МД 22 ед. (22192грн/МД СС граничная 27 716,04 грн/МД); 5109 грн - ремонт МД 56, 58, 60</t>
  </si>
  <si>
    <t>стройматериалы для 24 МД (148906,73 грн/МД по СС 180 271 грн/МД); 127 800 грн генераторы; 21700 доставка стройматериалов</t>
  </si>
  <si>
    <t>"ІНДЕП ТРАНС ТОВ
трансп.послуги - м.Київ - м. Ладижин, авто АА6818ЕК
трансп.послуги - м.Ладижин- м. Бровари, DAF AH9525KB н.п. SCHMITZ AH4467XM, водій Малюкин С.В.</t>
  </si>
  <si>
    <t>"Коломієць Станіслав Миколайович ФОП
Договір послуг техніки № 10 від 01.05.2021 р." послги будівельної техніки
Послуги автокрана 20Т-С, КРАЗ 250 КТА-28</t>
  </si>
  <si>
    <t>Декабрь 2022</t>
  </si>
  <si>
    <t>Экспедиторские Ромны -Едирне</t>
  </si>
  <si>
    <t xml:space="preserve"> Кодима-Мерсин</t>
  </si>
  <si>
    <t>суточные (9+22)</t>
  </si>
  <si>
    <t>суточные (23-7, 19)</t>
  </si>
  <si>
    <t xml:space="preserve">Ф2: Крышка бака с замком                Ф1:Предохранитель ремня, стяжка груза 5т 10м, лампа Н4/Н7, гайковерт, порошковый огнетушитель, шланг подкачки шин,авто аптечка, набор отверток, набор ключей, </t>
  </si>
  <si>
    <t>Набор предохранителей,. разьем аварийный, пасатижи, молоток слюсарный, реверсивная отвертка, набор ключей шестигранных, перчатки рабочие, провод для прикуривания, автолампы Н4/Н7</t>
  </si>
  <si>
    <t>премия к НГ</t>
  </si>
  <si>
    <t>Зоря + 22дня простоя</t>
  </si>
  <si>
    <t>Набор предохранителей,. разьем аварийный, гайковерт скоростной,домкрат 32т гидравлический,отвертка реверсионная, набор ключей шестигранных, набор отверток, набор ключей комбинированых, перчатки рабочие, набор ключей TORX, провод для прикуривания, автолампы Н4/Н7</t>
  </si>
  <si>
    <t>Премия к НГ</t>
  </si>
  <si>
    <t>Кочет + 20дня простоя</t>
  </si>
  <si>
    <t>суточные (11+20)</t>
  </si>
  <si>
    <r>
      <rPr>
        <sz val="9"/>
        <color indexed="18"/>
        <rFont val="Times New Roman"/>
        <family val="1"/>
        <charset val="204"/>
      </rPr>
      <t>Набор предохранителей, разьем аварийный, гайковерт скоростной</t>
    </r>
    <r>
      <rPr>
        <b/>
        <sz val="9"/>
        <color indexed="18"/>
        <rFont val="Times New Roman"/>
        <family val="1"/>
        <charset val="204"/>
      </rPr>
      <t>,</t>
    </r>
    <r>
      <rPr>
        <sz val="9"/>
        <color indexed="18"/>
        <rFont val="Times New Roman"/>
        <family val="1"/>
        <charset val="204"/>
      </rPr>
      <t xml:space="preserve"> набор ключей комбинированых, перчатки рабочие</t>
    </r>
    <r>
      <rPr>
        <b/>
        <sz val="9"/>
        <color indexed="18"/>
        <rFont val="Times New Roman"/>
        <family val="1"/>
        <charset val="204"/>
      </rPr>
      <t xml:space="preserve">, </t>
    </r>
    <r>
      <rPr>
        <sz val="9"/>
        <color indexed="18"/>
        <rFont val="Times New Roman"/>
        <family val="1"/>
        <charset val="204"/>
      </rPr>
      <t>набор ключей TORX, провода для прикуривания</t>
    </r>
    <r>
      <rPr>
        <b/>
        <sz val="9"/>
        <color indexed="18"/>
        <rFont val="Times New Roman"/>
        <family val="1"/>
        <charset val="204"/>
      </rPr>
      <t xml:space="preserve">, </t>
    </r>
    <r>
      <rPr>
        <sz val="9"/>
        <color indexed="18"/>
        <rFont val="Times New Roman"/>
        <family val="1"/>
        <charset val="204"/>
      </rPr>
      <t>автолампы Н4/Н7</t>
    </r>
    <r>
      <rPr>
        <b/>
        <sz val="9"/>
        <color indexed="18"/>
        <rFont val="Times New Roman"/>
        <family val="1"/>
        <charset val="204"/>
      </rPr>
      <t>,</t>
    </r>
    <r>
      <rPr>
        <sz val="9"/>
        <color indexed="18"/>
        <rFont val="Times New Roman"/>
        <family val="1"/>
        <charset val="204"/>
      </rPr>
      <t xml:space="preserve"> щетки стеклоочистителя, шланг подкачки шин</t>
    </r>
  </si>
  <si>
    <t>Кононенко + 20дня простоя</t>
  </si>
  <si>
    <r>
      <rPr>
        <sz val="9"/>
        <color indexed="18"/>
        <rFont val="Times New Roman"/>
        <family val="1"/>
        <charset val="204"/>
      </rPr>
      <t>Набор предохранителей,</t>
    </r>
    <r>
      <rPr>
        <b/>
        <sz val="9"/>
        <color indexed="18"/>
        <rFont val="Times New Roman"/>
        <family val="1"/>
        <charset val="204"/>
      </rPr>
      <t xml:space="preserve"> </t>
    </r>
    <r>
      <rPr>
        <sz val="9"/>
        <color indexed="18"/>
        <rFont val="Times New Roman"/>
        <family val="1"/>
        <charset val="204"/>
      </rPr>
      <t>разьем аварийный, порошковый огнетушитель, гайковерт скоростной, набор ключей комбинированых, перчатки рабочие,</t>
    </r>
    <r>
      <rPr>
        <b/>
        <sz val="9"/>
        <color indexed="18"/>
        <rFont val="Times New Roman"/>
        <family val="1"/>
        <charset val="204"/>
      </rPr>
      <t xml:space="preserve"> </t>
    </r>
    <r>
      <rPr>
        <sz val="9"/>
        <color indexed="18"/>
        <rFont val="Times New Roman"/>
        <family val="1"/>
        <charset val="204"/>
      </rPr>
      <t>провода для прикуривания, автолампы Н4/Н7,</t>
    </r>
    <r>
      <rPr>
        <b/>
        <sz val="9"/>
        <color indexed="18"/>
        <rFont val="Times New Roman"/>
        <family val="1"/>
        <charset val="204"/>
      </rPr>
      <t xml:space="preserve"> </t>
    </r>
    <r>
      <rPr>
        <sz val="9"/>
        <color indexed="18"/>
        <rFont val="Times New Roman"/>
        <family val="1"/>
        <charset val="204"/>
      </rPr>
      <t>пасатижи, молоток слюсарний, отвертка реверсионная,</t>
    </r>
  </si>
  <si>
    <r>
      <rPr>
        <u/>
        <sz val="9"/>
        <color indexed="18"/>
        <rFont val="Times New Roman"/>
        <family val="1"/>
        <charset val="204"/>
      </rPr>
      <t>Ф1:</t>
    </r>
    <r>
      <rPr>
        <sz val="9"/>
        <color indexed="18"/>
        <rFont val="Times New Roman"/>
        <family val="1"/>
        <charset val="204"/>
      </rPr>
      <t xml:space="preserve">  Разьем аварийный, гайковерт скоростной,</t>
    </r>
    <r>
      <rPr>
        <b/>
        <sz val="9"/>
        <color indexed="18"/>
        <rFont val="Times New Roman"/>
        <family val="1"/>
        <charset val="204"/>
      </rPr>
      <t xml:space="preserve"> </t>
    </r>
    <r>
      <rPr>
        <sz val="9"/>
        <color indexed="18"/>
        <rFont val="Times New Roman"/>
        <family val="1"/>
        <charset val="204"/>
      </rPr>
      <t>набор ключей комбинированых/шестигранных, перчатки рабочие,</t>
    </r>
    <r>
      <rPr>
        <b/>
        <sz val="9"/>
        <color indexed="18"/>
        <rFont val="Times New Roman"/>
        <family val="1"/>
        <charset val="204"/>
      </rPr>
      <t xml:space="preserve"> </t>
    </r>
    <r>
      <rPr>
        <sz val="9"/>
        <color indexed="18"/>
        <rFont val="Times New Roman"/>
        <family val="1"/>
        <charset val="204"/>
      </rPr>
      <t xml:space="preserve">пассатижи, молоток слюсарный, отвертка реверсионная                            </t>
    </r>
    <r>
      <rPr>
        <u/>
        <sz val="9"/>
        <color indexed="18"/>
        <rFont val="Times New Roman"/>
        <family val="1"/>
        <charset val="204"/>
      </rPr>
      <t>Ф2:</t>
    </r>
    <r>
      <rPr>
        <sz val="9"/>
        <color indexed="18"/>
        <rFont val="Times New Roman"/>
        <family val="1"/>
        <charset val="204"/>
      </rPr>
      <t xml:space="preserve">  МШП для выезда за границу ( Резинки, маркировочные заки, средство ВАБКо, лампочки)</t>
    </r>
  </si>
  <si>
    <t>Хотяновка - Попенхаузен (3300евро*38,9437грн)</t>
  </si>
  <si>
    <t>Ф1:  Проверка ЕКМТ; Сертификат МСТО; KOGEL страховка; Техпаспорт прицепа.                                          Ф2: Накладные CMR</t>
  </si>
  <si>
    <r>
      <rPr>
        <u/>
        <sz val="9"/>
        <color indexed="18"/>
        <rFont val="Times New Roman"/>
        <family val="1"/>
        <charset val="204"/>
      </rPr>
      <t>Ф1:</t>
    </r>
    <r>
      <rPr>
        <sz val="9"/>
        <color indexed="18"/>
        <rFont val="Times New Roman"/>
        <family val="1"/>
        <charset val="204"/>
      </rPr>
      <t xml:space="preserve">  8625 Ремонт тента; 24 057,24 рихтовка прицепа                  </t>
    </r>
    <r>
      <rPr>
        <u/>
        <sz val="9"/>
        <color indexed="18"/>
        <rFont val="Times New Roman"/>
        <family val="1"/>
        <charset val="204"/>
      </rPr>
      <t xml:space="preserve"> Ф2:</t>
    </r>
    <r>
      <rPr>
        <sz val="9"/>
        <color indexed="18"/>
        <rFont val="Times New Roman"/>
        <family val="1"/>
        <charset val="204"/>
      </rPr>
      <t xml:space="preserve">  Шиномонтаж рулевые колеса+балансировка</t>
    </r>
  </si>
  <si>
    <t>Ф2 136 000 грн - рейс Ромны-Едирне ( 3500 дол)  по курсу 40,6 грн на 20.12;                      Ф2 127 890 грн - рейс Стамбул- Кривой Рог (3150 у.е.)  по курсу 40,6                     Ф1 40 000грн - рейс Стамбул- Кривой Рог</t>
  </si>
  <si>
    <t>к НГ</t>
  </si>
  <si>
    <t xml:space="preserve"> Уборка офиса</t>
  </si>
  <si>
    <t xml:space="preserve">новогодний стол 50 % логистика </t>
  </si>
  <si>
    <t>Оптимус</t>
  </si>
  <si>
    <r>
      <rPr>
        <u/>
        <sz val="11"/>
        <color indexed="18"/>
        <rFont val="Times New Roman"/>
        <family val="1"/>
        <charset val="204"/>
      </rPr>
      <t>Ф2:</t>
    </r>
    <r>
      <rPr>
        <sz val="11"/>
        <color indexed="18"/>
        <rFont val="Times New Roman"/>
        <family val="1"/>
        <charset val="204"/>
      </rPr>
      <t xml:space="preserve"> ФИЛ Оптимус</t>
    </r>
  </si>
  <si>
    <t>хозтовары, кофе, чай</t>
  </si>
  <si>
    <r>
      <rPr>
        <u/>
        <sz val="9"/>
        <color indexed="18"/>
        <rFont val="Times New Roman"/>
        <family val="1"/>
        <charset val="204"/>
      </rPr>
      <t>Ф1:</t>
    </r>
    <r>
      <rPr>
        <sz val="9"/>
        <color indexed="18"/>
        <rFont val="Times New Roman"/>
        <family val="1"/>
        <charset val="204"/>
      </rPr>
      <t xml:space="preserve"> 23800 - настройка сервера 1С                                     </t>
    </r>
    <r>
      <rPr>
        <u/>
        <sz val="9"/>
        <color indexed="18"/>
        <rFont val="Times New Roman"/>
        <family val="1"/>
        <charset val="204"/>
      </rPr>
      <t xml:space="preserve">Ф2: </t>
    </r>
    <r>
      <rPr>
        <sz val="9"/>
        <color indexed="18"/>
        <rFont val="Times New Roman"/>
        <family val="1"/>
        <charset val="204"/>
      </rPr>
      <t>976,67 - сервер 1С
3901,50 - почтовы сервер; 2300 - Жук; 16500 - Борщ за 11-12.22</t>
    </r>
  </si>
  <si>
    <t>2541 - А4</t>
  </si>
  <si>
    <t>Укрпочта</t>
  </si>
  <si>
    <t>Горячий, Болох, Сахневич, Скоц, Мисюрко, Косик, Карбунар, Мусиенко, Ковальчук, Борисенко</t>
  </si>
  <si>
    <t>проезд Бунтило, Мусиенко, Якубовский, Трохименко, Борисенко, Карбунар</t>
  </si>
  <si>
    <t xml:space="preserve"> 1943,71 - ВС;  23324,58 - НДФЛ; 29119,81 - ЄСВ</t>
  </si>
  <si>
    <r>
      <rPr>
        <u/>
        <sz val="9"/>
        <color indexed="18"/>
        <rFont val="Times New Roman"/>
        <family val="1"/>
        <charset val="204"/>
      </rPr>
      <t>Ф1:</t>
    </r>
    <r>
      <rPr>
        <sz val="9"/>
        <color indexed="18"/>
        <rFont val="Times New Roman"/>
        <family val="1"/>
        <charset val="204"/>
      </rPr>
      <t xml:space="preserve"> 3720 - диагностика подъемник Haulotte №1;  11 405,59 - Сервіс JCB 2008; 146 240,68 - ремонт Телескоп 2; 51 662,88 - ремонт КАМАЗ;                                                       </t>
    </r>
    <r>
      <rPr>
        <u/>
        <sz val="9"/>
        <color indexed="18"/>
        <rFont val="Times New Roman"/>
        <family val="1"/>
        <charset val="204"/>
      </rPr>
      <t>Ф2:</t>
    </r>
    <r>
      <rPr>
        <sz val="9"/>
        <color indexed="18"/>
        <rFont val="Times New Roman"/>
        <family val="1"/>
        <charset val="204"/>
      </rPr>
      <t xml:space="preserve"> 1400 - стартер Клинцы; 1900 - колеса Телескоп 2; 3165,36 - Экскаватор JCB 2013 ремонт гидрошлангов 610 ремонт генератора; 2500 - ремонт гидроцилиндров Камаз;</t>
    </r>
  </si>
  <si>
    <t>Ф1:7937,96 - AdBlue;  топливо 1672 л * 54 грн/л; 16099,71 - затраты ао международному рейсу ; АКБ</t>
  </si>
  <si>
    <t>Ф1:7374,4 - AdBlue;  топливо  1766л * 54 грн/л;  8762,25 - затраты по международному рейсу;</t>
  </si>
  <si>
    <t>Ф1:7374,4 - AdBlue;  топливо 1815 л * 54 грн/л;  8695,96 - затраты по международному рейсу;</t>
  </si>
  <si>
    <r>
      <rPr>
        <u/>
        <sz val="9"/>
        <color indexed="18"/>
        <rFont val="Times New Roman"/>
        <family val="1"/>
        <charset val="204"/>
      </rPr>
      <t>Ф1:</t>
    </r>
    <r>
      <rPr>
        <sz val="9"/>
        <color indexed="18"/>
        <rFont val="Times New Roman"/>
        <family val="1"/>
        <charset val="204"/>
      </rPr>
      <t xml:space="preserve">  Шины 2шт; топливо 847 л * 54 грн/л; 1585 - AdBlue 44л; 4967,63 - затраты по международному рейсу;                              </t>
    </r>
    <r>
      <rPr>
        <u/>
        <sz val="9"/>
        <color indexed="18"/>
        <rFont val="Times New Roman"/>
        <family val="1"/>
        <charset val="204"/>
      </rPr>
      <t>Ф2:</t>
    </r>
    <r>
      <rPr>
        <sz val="9"/>
        <color indexed="18"/>
        <rFont val="Times New Roman"/>
        <family val="1"/>
        <charset val="204"/>
      </rPr>
      <t xml:space="preserve"> проверка/лента ТАХО; Резина на прицеп 1шт б/у; Стоянка 8 дней; Добавление в ШЛЯХ; Проезд</t>
    </r>
  </si>
  <si>
    <t>проживание персонала 60 грн/сутки * 31 суток * 17 чел</t>
  </si>
  <si>
    <t>Поздравления сотрудников банка с  НГ.</t>
  </si>
  <si>
    <t>подготовить на 21.12 +20 тыс с прошлого месяца</t>
  </si>
  <si>
    <r>
      <t xml:space="preserve">Ф1: 7007,58 - AdBlue;  топливо 1690л * 54 грн/л; 15083,24 - затраты по рейсу;       Ф2: 11301,01 - затраты по рейсу Стамбул - Кривой Рог;
</t>
    </r>
    <r>
      <rPr>
        <sz val="9"/>
        <color rgb="FFFF0000"/>
        <rFont val="Times New Roman"/>
        <family val="1"/>
        <charset val="204"/>
      </rPr>
      <t>4 592 км  - средний расход 36,8 л/100 км вместо заявленных 32 л/100 км</t>
    </r>
  </si>
  <si>
    <t>50 % маржи партнеру, без комиссии т.к. рейсы по Ф2</t>
  </si>
  <si>
    <t>Ли Ф2 не платили - бросил авто</t>
  </si>
  <si>
    <t>Ф1: 6212 - AdBlue, топливо 1784*54 грн/л; 8892,22 - затраты по рейсу Кодима-Мерсин
4 853 км - расход 36,8 л/100 км</t>
  </si>
  <si>
    <t>Топливо Гриценко, Илюхин</t>
  </si>
  <si>
    <r>
      <rPr>
        <u/>
        <sz val="9"/>
        <color theme="3"/>
        <rFont val="Times New Roman"/>
        <family val="1"/>
        <charset val="204"/>
      </rPr>
      <t>Ф1:</t>
    </r>
    <r>
      <rPr>
        <sz val="9"/>
        <color theme="3"/>
        <rFont val="Times New Roman"/>
        <family val="1"/>
        <charset val="204"/>
      </rPr>
      <t xml:space="preserve"> 2534,57 - Екскаватор  JCB 220 фильтра топливные;
</t>
    </r>
    <r>
      <rPr>
        <u/>
        <sz val="9"/>
        <color theme="3"/>
        <rFont val="Times New Roman"/>
        <family val="1"/>
        <charset val="204"/>
      </rPr>
      <t>Ф2:</t>
    </r>
    <r>
      <rPr>
        <sz val="9"/>
        <color theme="3"/>
        <rFont val="Times New Roman"/>
        <family val="1"/>
        <charset val="204"/>
      </rPr>
      <t xml:space="preserve"> 720 - Экскаватор  JCB пистолет для подкачки;</t>
    </r>
  </si>
  <si>
    <r>
      <t>50 000 грн - за обслуживание техники с Индастриала; Староконстантинов - 394 355 грн (Телескоп 1 - 225 ч; Телескоп 4 - 146 ч; Экскаватор JCB 220 - 86 ч; Автокран XCMG - 174 ч; МАЗ 264 - 53 ч; Виброкаток - 8 ч); Приднепровский металл - 35 632,46 грн (Телескоп 2 - 5 ч; Экскаватор JCB 2013 - 67 ч); Ретал - 307 641,8 грн (Телескоп 5 - 232 ч; Экскаватор JCB 2008 - 196 ч; Haulotte - 18 ч; Автокран Клинці - 178 ч); Биогаз - 342 317,91 грн(Ротор Пегасус - 225 ч; Виброкаток - 29 ч; Самосвао Камаз - 77 ч; Экскаватор JCB - 289 ч; Автокран XCMG - 29ч); Приднепровский МЕЗ СЕТИ  - 100 083,35 грн (Экскаватор JCB 2013 - 144 ч; Телескоп 2 - 61 ч);</t>
    </r>
    <r>
      <rPr>
        <u/>
        <sz val="8"/>
        <color theme="3" tint="-0.249977111117893"/>
        <rFont val="Times New Roman"/>
        <family val="1"/>
        <charset val="204"/>
      </rPr>
      <t xml:space="preserve"> сторонняя аренда</t>
    </r>
    <r>
      <rPr>
        <sz val="8"/>
        <color theme="3" tint="-0.249977111117893"/>
        <rFont val="Times New Roman"/>
        <family val="1"/>
        <charset val="204"/>
      </rPr>
      <t xml:space="preserve"> (Виброкаток 25 600; Телескоп 1 - 10 400 грн)</t>
    </r>
  </si>
  <si>
    <t>АКТ №22     ДОГ. 18/05/2021 генерального підряду  треб.№183,252</t>
  </si>
  <si>
    <r>
      <rPr>
        <u/>
        <sz val="9"/>
        <color theme="3" tint="-0.249977111117893"/>
        <rFont val="Times New Roman"/>
        <family val="1"/>
        <charset val="204"/>
      </rPr>
      <t>Ф2:</t>
    </r>
    <r>
      <rPr>
        <sz val="9"/>
        <color theme="3" tint="-0.249977111117893"/>
        <rFont val="Times New Roman"/>
        <family val="1"/>
        <charset val="204"/>
      </rPr>
      <t xml:space="preserve"> изгот 20 МД и 54,5т МК + монтаж 22 МД; 13200 - Ремонт бытовки</t>
    </r>
  </si>
  <si>
    <r>
      <rPr>
        <u/>
        <sz val="9"/>
        <color theme="3" tint="-0.249977111117893"/>
        <rFont val="Times New Roman"/>
        <family val="1"/>
        <charset val="204"/>
      </rPr>
      <t>Ф2:</t>
    </r>
    <r>
      <rPr>
        <sz val="9"/>
        <color theme="3" tint="-0.249977111117893"/>
        <rFont val="Times New Roman"/>
        <family val="1"/>
        <charset val="204"/>
      </rPr>
      <t xml:space="preserve"> Житнюк, Бутенко, Аксенчиков</t>
    </r>
  </si>
  <si>
    <r>
      <rPr>
        <u/>
        <sz val="9"/>
        <color theme="3" tint="-0.249977111117893"/>
        <rFont val="Times New Roman"/>
        <family val="1"/>
        <charset val="204"/>
      </rPr>
      <t>Ф2:</t>
    </r>
    <r>
      <rPr>
        <sz val="9"/>
        <color theme="3" tint="-0.249977111117893"/>
        <rFont val="Times New Roman"/>
        <family val="1"/>
        <charset val="204"/>
      </rPr>
      <t xml:space="preserve"> 25500 - монтаж электрики МД 0,3(67-83); 8000 - разработка и планировка новых МД.</t>
    </r>
  </si>
  <si>
    <r>
      <rPr>
        <u/>
        <sz val="9"/>
        <color theme="3" tint="-0.249977111117893"/>
        <rFont val="Times New Roman"/>
        <family val="1"/>
        <charset val="204"/>
      </rPr>
      <t>Ф2:</t>
    </r>
    <r>
      <rPr>
        <sz val="9"/>
        <color theme="3" tint="-0.249977111117893"/>
        <rFont val="Times New Roman"/>
        <family val="1"/>
        <charset val="204"/>
      </rPr>
      <t xml:space="preserve"> аренда генератора 300*31</t>
    </r>
  </si>
  <si>
    <t>40000 - автокран 16т, 18000 - машина с бортом, 14400 - манипулятор</t>
  </si>
  <si>
    <r>
      <rPr>
        <u/>
        <sz val="9"/>
        <color theme="3" tint="-0.249977111117893"/>
        <rFont val="Times New Roman"/>
        <family val="1"/>
        <charset val="204"/>
      </rPr>
      <t>Ф2:</t>
    </r>
    <r>
      <rPr>
        <sz val="9"/>
        <color theme="3" tint="-0.249977111117893"/>
        <rFont val="Times New Roman"/>
        <family val="1"/>
        <charset val="204"/>
      </rPr>
      <t xml:space="preserve"> 2000 - Ремонт козлового крана </t>
    </r>
  </si>
  <si>
    <t>доставка МД</t>
  </si>
  <si>
    <t>Generator ruris r-power ge 7000</t>
  </si>
  <si>
    <t>Кофе, фильтр</t>
  </si>
  <si>
    <t>720 - интернет; 247,5 - мобильная связь</t>
  </si>
  <si>
    <t>26303 коммунальные Цех
100848 аренда цеха</t>
  </si>
  <si>
    <t>Ісаєнко О. В. приватний нотаріус</t>
  </si>
  <si>
    <r>
      <rPr>
        <u/>
        <sz val="9"/>
        <color indexed="18"/>
        <rFont val="Times New Roman"/>
        <family val="1"/>
        <charset val="204"/>
      </rPr>
      <t xml:space="preserve">Ф1: </t>
    </r>
    <r>
      <rPr>
        <sz val="9"/>
        <color indexed="18"/>
        <rFont val="Times New Roman"/>
        <family val="1"/>
        <charset val="204"/>
      </rPr>
      <t xml:space="preserve">2 959,49 - масло; Телескоп 1 - 526 л; Экскаватор  JCB 2013 - 279 л; Экскаватор  JCB - 853 л;  Телескоп 2 - 247 л; Ротор Пегасус - 1382 л; Виброкаток - 163 л; Экскаватор  JCB 220  - 1053 л; Автокран XCMG - 607 л; Автокран Клинцы - 517 л; Самосвал Камаз - 224 л; Телескоп JCB 535-140 (№4) - 330 л; Экскаватор  JCB 3CX 2008 - 676 л; Телескоп JCB 540-170 №5 - 853 л
</t>
    </r>
    <r>
      <rPr>
        <u/>
        <sz val="9"/>
        <color indexed="18"/>
        <rFont val="Times New Roman"/>
        <family val="1"/>
        <charset val="204"/>
      </rPr>
      <t>Ф2:</t>
    </r>
    <r>
      <rPr>
        <sz val="9"/>
        <color indexed="18"/>
        <rFont val="Times New Roman"/>
        <family val="1"/>
        <charset val="204"/>
      </rPr>
      <t xml:space="preserve"> 2400 - Масло моторное и гидравлические Ротор пегасус; 35100 - Заправка из кубышки (Экскаватор  JCB 160 л *52 грн/л, Ротор Пегасус 150 л *52 грн/л, Камаз 365 л *52 грн/л); Запчасти Камаз 407,96; 7200 палец Подъемник Haulotte №1;Антифриз 10л 1514; 500 - перегон Камаза по Хмельницкому.   </t>
    </r>
    <r>
      <rPr>
        <u/>
        <sz val="9"/>
        <color indexed="18"/>
        <rFont val="Times New Roman"/>
        <family val="1"/>
        <charset val="204"/>
      </rPr>
      <t/>
    </r>
  </si>
  <si>
    <t>31 чел</t>
  </si>
  <si>
    <r>
      <rPr>
        <u/>
        <sz val="9"/>
        <color theme="3" tint="-0.249977111117893"/>
        <rFont val="Times New Roman"/>
        <family val="1"/>
        <charset val="204"/>
      </rPr>
      <t>Ф1:</t>
    </r>
    <r>
      <rPr>
        <sz val="9"/>
        <color theme="3" tint="-0.249977111117893"/>
        <rFont val="Times New Roman"/>
        <family val="1"/>
        <charset val="204"/>
      </rPr>
      <t xml:space="preserve"> для изготовления МК и МД</t>
    </r>
    <r>
      <rPr>
        <u/>
        <sz val="9"/>
        <color theme="3" tint="-0.249977111117893"/>
        <rFont val="Times New Roman"/>
        <family val="1"/>
        <charset val="204"/>
      </rPr>
      <t xml:space="preserve">
Ф2:</t>
    </r>
    <r>
      <rPr>
        <sz val="9"/>
        <color theme="3" tint="-0.249977111117893"/>
        <rFont val="Times New Roman"/>
        <family val="1"/>
        <charset val="204"/>
      </rPr>
      <t xml:space="preserve"> маркер, шкурка тканевая 200 мм </t>
    </r>
  </si>
  <si>
    <t>3 064 082,28 - стройматериалы для МД; 6012 - доставка</t>
  </si>
  <si>
    <r>
      <rPr>
        <u/>
        <sz val="9"/>
        <color theme="3" tint="-0.249977111117893"/>
        <rFont val="Times New Roman"/>
        <family val="1"/>
        <charset val="204"/>
      </rPr>
      <t>Ф1:</t>
    </r>
    <r>
      <rPr>
        <sz val="9"/>
        <color theme="3" tint="-0.249977111117893"/>
        <rFont val="Times New Roman"/>
        <family val="1"/>
        <charset val="204"/>
      </rPr>
      <t xml:space="preserve"> 9045 - топливо для генератора; 31200 - смесь для сварки; 5610 - СО2
</t>
    </r>
    <r>
      <rPr>
        <u/>
        <sz val="9"/>
        <color theme="3" tint="-0.249977111117893"/>
        <rFont val="Times New Roman"/>
        <family val="1"/>
        <charset val="204"/>
      </rPr>
      <t>Ф2:</t>
    </r>
    <r>
      <rPr>
        <sz val="9"/>
        <color theme="3" tint="-0.249977111117893"/>
        <rFont val="Times New Roman"/>
        <family val="1"/>
        <charset val="204"/>
      </rPr>
      <t xml:space="preserve"> 1 367 780 - Ф.И.Л. за МД 61-80.</t>
    </r>
  </si>
  <si>
    <r>
      <rPr>
        <u/>
        <sz val="9"/>
        <color theme="3" tint="-0.249977111117893"/>
        <rFont val="Times New Roman"/>
        <family val="1"/>
        <charset val="204"/>
      </rPr>
      <t>Ф1:</t>
    </r>
    <r>
      <rPr>
        <sz val="9"/>
        <color theme="3" tint="-0.249977111117893"/>
        <rFont val="Times New Roman"/>
        <family val="1"/>
        <charset val="204"/>
      </rPr>
      <t xml:space="preserve"> 23800 - настройка сервера 1С         
</t>
    </r>
    <r>
      <rPr>
        <u/>
        <sz val="9"/>
        <color theme="3" tint="-0.249977111117893"/>
        <rFont val="Times New Roman"/>
        <family val="1"/>
        <charset val="204"/>
      </rPr>
      <t>Ф2:</t>
    </r>
    <r>
      <rPr>
        <sz val="9"/>
        <color theme="3" tint="-0.249977111117893"/>
        <rFont val="Times New Roman"/>
        <family val="1"/>
        <charset val="204"/>
      </rPr>
      <t xml:space="preserve"> 2300 - Жук; 976,67 - Сервер 1С; 2800 - Борщ за 11-12.22</t>
    </r>
  </si>
  <si>
    <t>упр персонал</t>
  </si>
  <si>
    <t>Ф1 % на остаток на счете</t>
  </si>
  <si>
    <t>АКТ - бр. Зеленько - 87 948,00
АКТ - бр. Жука - 50 847,40</t>
  </si>
  <si>
    <t>АКТ - бр. Зеленько - 19 007,20
АКТ - бр. Зеленько - 71 620,00
АКТ - бр. Зеленько - 26 160,00</t>
  </si>
  <si>
    <t>Вода питьевая Кришталь</t>
  </si>
  <si>
    <t>комиссия при перечислении нал</t>
  </si>
  <si>
    <t>Ширшов Олександр Леонидович; Потьомко</t>
  </si>
  <si>
    <t>Потьомко Михайло Володимирович
Ширшов Олександр</t>
  </si>
  <si>
    <t>Послуги траеспортно-експедиційні: м. Ладижин - м. Біла Цервка, а/м Вольво Ка9971ВЕ/АІ5268ХІ, водій Данічев О. - 11 000,0; Послуги транспортно-експедиційні: м.Старокостянтинів (Хмельницька обл.) - м.Ладижин а/м Вольво КА9971ВЕ/АІ5268ХІ, водій Данічев О. - 11 000,0</t>
  </si>
  <si>
    <t>досписання у зв'язку з закриттям об'єкту = 38 008,94 - 205сч;</t>
  </si>
  <si>
    <t>Коммунальные платежи квартира монтажников за октябрь-3 500,0; Коммунальные платежи квартира ИТР Ширшов за октябрь - 890,0; Коммунальные платежи квартира монтажников за октябрь - 1500,0</t>
  </si>
  <si>
    <t>наличные за коммуналку</t>
  </si>
  <si>
    <t>досписание в связи с закрытием объекта</t>
  </si>
  <si>
    <t>Розробка проектної документації - Шабанов Андрій Сергійович ФОП</t>
  </si>
  <si>
    <t>Маркер, списание в связи с закрытием</t>
  </si>
  <si>
    <t>Списание</t>
  </si>
  <si>
    <t>досписання у зв'язку з закриттям об'єкту</t>
  </si>
  <si>
    <t>Январь 2023</t>
  </si>
  <si>
    <t>АКТ №1 Монтаж ворот з докшелтерами і доклевеллерами - 687 983,93
АКТ №3 Оздоблювальні роботи АБК- 495 158,69
АКТ №2 Вентиляция цехсубподрядчик ПП Кліматспейс 00000000074-97524,01/в акте клиента работи - 1 353 191,2
АКТ №5 Ремонт покрівлі та світлоаераційних ліхтарів - 101 104,0
АКТ №2  Демонтаж фасадного остіклення - 462 147,01
АКТ №4  Влаштування підлог  - 569 352,10
АКТ №5  Влаштування підлог - 131 347,91
АКТ №5 Демонтаж приміщень в галереї - 10 268,0
АКТ №5  ТП12 - 201 315,97
АКТ №1  Вентиляція АБК 00000000214 (Кліматспейс -133 526,18) - 459 352,26
АКТ №1  Холодний контур (вода) - 1 425 420,20
АКТ №3  Електромонтажні роботи АБК - 160 676,44
АКТ №5  Оздоблювальні роботи АБК - 232 179,71
АКТ №7  Оздоблення блок Б - 90 921,44
АКТ №3  Фасад - 237 729,71
АКТ №4  Оздоблювальні роботи АБК - 228 771,60
АКТ №6  Оздоблювальні роботи блок Б - 296 195,12
АКТ №7  Влаштування перегородок блок А - 114 264,22
АКТ №5  Влаштування перегородок блок Б - 1 318 038,58
АКТ №6  Монтаж воріт - 188 115,88
АКТ №1 Монтаж транспортно-підіймального обладнання /акт на работы - 457 996,0
АКТ №6  Ремонт покрівлі та світлоаераційних ліхтарів - 16 851,20
АКТ №1  Заземлення - 226 420,38
АКТ №2  Освітлення блок А (субподрядчик Платінум Електрік 00000000177-  87098,04 грн) - 288 485,74
АКТ №1  Влаштування перегородок метал цех, покрівля, майданчик для миття контейнерів - 367 472,02</t>
  </si>
  <si>
    <t>Бондар Микола Васильович
Вірко Євген Григорович
Геворкян Вануш Георгієвич
Голуб Олександр
Гузей Олександр Володимирович
Єрьоменко Григорій Якович
Клименко Олександр Сергійович
Козаченко Владислав Адамович
Козаченко Михайло Русланович
Козаченко Руслан Адамович
Козеев Роман
Костів Олег Богданович
Кочкин Руслан Вікторович
Леміш Олександр Володимирович
Лисенко Ігор
Лобода Руслан
Нарижний Олександр Васильович
Невмержицький Віктор Володимирович
Овсянніков Іван
Павлов Станіслав
Чайкін Олександр Віталійович
Чешко Сергій
Шавкун Максим Анатолійович
Шкраб Олександр Анатолійович</t>
  </si>
  <si>
    <t>Демедюк Юрій
Хурсін Тарас</t>
  </si>
  <si>
    <t>Отделочники Литвин- 27 045,20; подрядчики по стяжке - 33 405,0; Оконщики - 42 288,52; Монтажники Фасадчики - 36 633,49, 1 800,0; Козеев - 56 334,90; Электрики - 13 410,0; Сантехники - 1 080,0(остальное на февраль); Чешко - 89 609,49; Геворкян - 98 948,15; Отделочники Литвин - 92 800,0(остальное на февраль); Жук - 23 346,16; Отделочники Литвин - 69 539,0(остальное на февраль); Монтажники Фасадчики - 1 540,0(остальное на февраль); Сантехники - 44 135,0</t>
  </si>
  <si>
    <t>Телескоп 5 - 166; Экскаватор JCB 2008 - 148; Haulotte - 20 см; Клинцы - 99</t>
  </si>
  <si>
    <t>Требования по всем актам, данные из таблицы - Акты; Ф2: Гайки, бур по бетону - 873,0; диски Алмазные Эпицентр - 2 058,0</t>
  </si>
  <si>
    <t>Требования по всем актам, данные из таблицы - Акты; 318 148,23 - акты субподрядчиков</t>
  </si>
  <si>
    <t>Латыш - 910,0; Демедюк - 3 640,0; Хурсин - 2 990,0; Ф2 - 561,59 - отъезд с объекта Латыша; 5 865,14грн. - Проезд бр. Жука 4 челов, бр. Фасадчиков – 5чел. Жорж написал письмо на доп.согласование Старикову</t>
  </si>
  <si>
    <t xml:space="preserve">Роксоляни 57, за январь - 16 000,0; Хостел - 4 чел месяц -15 000,0; Шевченко 1 - 10 000,0; Городоцька - 12 000,0; Варшавська - 14 000,0; Шевченка 2 - 9 000,0; 4 чел. За 2 недели - 6 000 (доп. Бригада не учтено бюджетом) - дополнительно согласовано Стариковым; По плану: 4 кв по 2 500,0. По факту: Городоцька - 3 907,44; Роксоляны - 2 588,80; Шевченка,2 - 2 589,78; Варшавська - 4 481,0; Шевченка 2 - 3 527,0; </t>
  </si>
  <si>
    <t>Представительские - 200 + 100 тыс.; 1 700,0 - 13/01/23 по согласованию</t>
  </si>
  <si>
    <t>Жорж Олександр</t>
  </si>
  <si>
    <t>Лечение Ярового Р.П. составило 2 месяца по 5 тыс = 10 000,0 - доп. Согласование</t>
  </si>
  <si>
    <t>послуги РКО при переведенні коштів</t>
  </si>
  <si>
    <t>Коммунальные за квартиру ИТР за декабрь 2022 - 1 800,0; за квартиру рабочих за декабрь 2022 - 3 700,0</t>
  </si>
  <si>
    <t>Проживання Воронцов</t>
  </si>
  <si>
    <t>Градирня 3-х секційна ЗНМР (20х20) (в комплекті)</t>
  </si>
  <si>
    <t>ДАЛГАКИРАН КОМПРЕСОР УКРАЇНА ТОВ - покупка Градирни</t>
  </si>
  <si>
    <t>Декабрь</t>
  </si>
  <si>
    <t>Хурсин, Жорж</t>
  </si>
  <si>
    <r>
      <rPr>
        <u/>
        <sz val="9"/>
        <color theme="3" tint="-0.249977111117893"/>
        <rFont val="Times New Roman"/>
        <family val="1"/>
        <charset val="204"/>
      </rPr>
      <t>Ф1:</t>
    </r>
    <r>
      <rPr>
        <sz val="9"/>
        <color theme="3" tint="-0.249977111117893"/>
        <rFont val="Times New Roman"/>
        <family val="1"/>
        <charset val="204"/>
      </rPr>
      <t xml:space="preserve">  10952628,96 - за 24 МД; 710 430-МК5</t>
    </r>
  </si>
  <si>
    <t xml:space="preserve">(274 122,37-29 988,4=244 134)  - Единый налог 2% - за генераторы </t>
  </si>
  <si>
    <t>4 000 - Перевозка топливных бочек Белая Церковь - Квитневе</t>
  </si>
  <si>
    <t>Запорожье-Рени</t>
  </si>
  <si>
    <t>Проживання Воронцов - 1 300,0; Командировочные Воронцов - 200,0; Жорж - 5 800,0; Проживание ДНИСТЕР</t>
  </si>
  <si>
    <t>Февраль 2023</t>
  </si>
  <si>
    <t>Демедюк Юрій - 3 594
Хурсін Тарас + 19 500</t>
  </si>
  <si>
    <t>Литвин - 28 265,0 + 72 269,75 + 60 685,0; Сантехники - 22 259,0 + 32 340,0; Подрядчики по стяжке - 14 820,0; Геворкян - 88 145,0;  Фасадчики - 20 205,0; Козеев - 21 156,0; Чешко = 19 872,18; Отделочники - 34 171,20; ЖУК - 30 080,0; Кровельщики - 9 000,0; Электрики - 5 550,0</t>
  </si>
  <si>
    <t>Телескоп 5 - 209,00
Экскаватор JCB 2008 - 115,00
Haulotte - 20,00</t>
  </si>
  <si>
    <t>МШП за февраль согласно чеков - 3 316,90; Колир - 820,98; Салфетки - 45,0; Полироль - 60,0</t>
  </si>
  <si>
    <t>728 379,96 - досписания за прошлые периоды</t>
  </si>
  <si>
    <t>Хурсин, Демедюк</t>
  </si>
  <si>
    <t>Аренда квартиры: ул.Роксоляны - 16 000,0; Хостел - 14 000,0; ул. Варшавская - 14 000,0. ВСЕГО = 44 000,0; ул. Городоцька - 12 000,0; Хостел 01-15.03.23 - 4 чел. - 7 000,0</t>
  </si>
  <si>
    <t>Представительские</t>
  </si>
  <si>
    <t>Кришталь</t>
  </si>
  <si>
    <t>800 - Воронцов, Шкурат Суточные; 3 600,0 - Жорж Суточные; Ретал_Билеты на поезд на инвентаризацию (Зеленков Антон) - 1 069; Воронцов проживание 2 дня = 2 017*2</t>
  </si>
  <si>
    <t>Климатспейс</t>
  </si>
  <si>
    <t>Досписания за прошлые периоды - Проведены в феврале</t>
  </si>
  <si>
    <t>Акт №9 договір підряду №12-10/21 від 12.10.2021 р.Улаштування збірних з.б. лотків,зг.креслень 248001-КЖ7 лист 10-11; Акт №1 . зг.рахунка 30 від 06.02.2023 Влаштування збірних з.б. лотків, згідно креслень 248001-КЖ7 лист 10-11; Акт №10 договір підряду №12-10/21 від 12.10.2021 р.Улаштування збірних з.б. лотків,зг.креслень 248001-КЖ7</t>
  </si>
  <si>
    <t>Списание к акту №9</t>
  </si>
  <si>
    <t>Штраф по потере пропусков - платил Стариков</t>
  </si>
  <si>
    <t>Будут досписания</t>
  </si>
  <si>
    <t>АКТ 1</t>
  </si>
  <si>
    <t>АКТ 10</t>
  </si>
  <si>
    <t>ВСЕГО</t>
  </si>
  <si>
    <t>ТРАНСПОРТНО-ЕКСПЕДИЦІЙНА КОМПАНІЯ АБ-ГРУП" ТОВ - Послуги транспортно-експедиційні: м. Біла Церква - м.Запоріжжя, а/м Мерседес ВК 6093 СК</t>
  </si>
  <si>
    <t>Ф1 - ТО, GPS+установка, ремни для тента, наборные доски;</t>
  </si>
  <si>
    <t>Ф1 72л*52грн/л 45,86 л/100км;
Ф2 Перегон, аренда ямы для GPS, TAXO, ШЛЯХ</t>
  </si>
  <si>
    <t>Ф1 - ТО, ОТК, Страховка;
Ф2 - ЕКМТ+ОТК, 2 техпаспорта</t>
  </si>
  <si>
    <t>покупка Ман 5</t>
  </si>
  <si>
    <t>Крафт</t>
  </si>
  <si>
    <t>Не подписаны акты с субподрядчиками</t>
  </si>
  <si>
    <t>Март 2023</t>
  </si>
  <si>
    <t>Ларди</t>
  </si>
  <si>
    <t>24 105,86 - затраты по международным рейсам
43 291,57 - топливо (917 л / 2271 км = 40,4 л/ 100км)
25 000 - партнерский тент</t>
  </si>
  <si>
    <t>Продажа ТМЦ - в 1С март - переносится на Апрель</t>
  </si>
  <si>
    <t>Укрпочта - 40 - отправка Турбина Запорожье - Игорь Шкурат</t>
  </si>
  <si>
    <t>АКТ №4   Договір №  №27/09/21--ГП  від 27.09.2021 по почте треб.87,88+мшп40,41</t>
  </si>
  <si>
    <t>Макухин - 74 250,0; Макухин - акт  42 750,0; оплатили - 35 000,0; Сазонов - акт 25 200,0; оплатили - 20 000,0.</t>
  </si>
  <si>
    <t>Проектні роботи по об'єкту "Будівництво силосного складу зберігання зерна на 5200 куб.м в селі Катеринівка, Сумської області"</t>
  </si>
  <si>
    <t xml:space="preserve"> Акт №11 договір підряду №12-10/21 від 12.10.2021 р.Влашт.  з.б.конструкцій допоміжних фунд. треб.97+мшп50+спис.93
 Акт №12 договір підряду №12-10/21 від 12.10.2021 р.Дод. угода №6  Влашт. отворів під інж. комунікації ( немає оригінала) треб.108</t>
  </si>
  <si>
    <t>Емельянов - 6 400,0; Семенченко - 13 080,0</t>
  </si>
  <si>
    <t>АМБІТ-С ТОВ - Демонтаж бетонного покриття; Розробка грунту вручную</t>
  </si>
  <si>
    <t>54 711,58 - списание марта; 4 078,20 - списание к февральским актам</t>
  </si>
  <si>
    <t>Будут досписания в апреле</t>
  </si>
  <si>
    <t>АКТ №5  договір 28/07/22 від 28.07.2022 року Влашт. перег. метал цех, покрівля, майд. для миття конт. треб.91+мшп44+спис.87
АКТ №4  договір 28/07/22 від 28.07.2022 року Влашт. перег. метал цех, покрівля, майд. для миття конт. треб.90+мшп43
АКТ №8  договір 28/07/22 від 28.07.2022 року Оздоблювальні роботи АБК треб.92+мшп45+спис.88
АКТ №1  договір 28/07/22 від 28.07.2022 року Фасад наземного переходу треб. 95+мшп48+спис.91
АКТ №3  договір 28/07/22 від 28.07.2022 року Освітлення блок А треб.93+мшп46+спис.89
АКТ №3  договір 28/07/22 від 28.07.2022 року Монтаж водостоку треб.89+мшп42+спис.86
АКТ №2  договір 28/07/22 від 28.07.2022 року Підсилення колон ворота треб.94+мшп47+спис.90
АКТ №9  договір 28/07/22 від 28.07.2022 року Оздоблення АБК треб.112+мшп57+спис.95
АКТ №6  договір 28/07/22 від 28.07.2022 року майданчик для миття контейнерів, покрівля треб.113+мшп58+спис.96
АКТ №7  договір 28/07/22 від 28.07.2022 року майданчик для миття контейнерів, покрівля треб.114+мшп59
АКТ №10  договір 28/07/22 від 28.07.2022 року Оздоблення АБК треб.115+мшп60+спис.97
АКТ №8  договір 28/07/22 від 28.07.2022 року майданчик для миття контейнерів, покрівля треб.116+мшп61+спис.98
АКТ №2  договір 28/07/22 від 28.07.2022 року Фасад Дорога між галереями треб.117+мшп62+спис.99
АКТ №4  договір 28/07/22 від 28.07.2022 року Монтаж водостоку треб.118+мшп63+спис.100
АКТ №9  договір 28/07/22 від 28.07.2022 року майданчик для миття контейнерів, покрівля треб.119+мшп64+спис.101
АКТ №5  договір 28/07/22 від 28.07.2022 року Підсилення колон треб.120+мшп65
АКТ №3  договір 28/07/22 від 28.07.2022 року Водомірний вузол треб.121+мшп66+спис.102
АКТ №3  договір 28/07/22 від 28.07.2022 року Фасад Дорога між галереями треб.122+мшп67
АКТ №11  договір 28/07/22 від 28.07.2022 року Оздоблення АБК треб.123+мшп68</t>
  </si>
  <si>
    <t xml:space="preserve">Отделочники АБК-2,3 - 2 700,0 (Всего акт = 82 465,0 остальное акты апреля); Маляра - 23 835,0; кровельщики - акт 43 110,0 - 25 209,45 март, 17 900,55 - апрель; Бетонщики Жук - 20 281,35; Установка кабинок в санузлах - 8 000,0; Чешко - 37 872,82; Литвин - 58 918,80; Колпак - 42 460,0; Чешко - 77 630,80; </t>
  </si>
  <si>
    <t>Телескоп 5 - 213
Экскаватор JCB - 46
Haulotte - 26
Экскаватор JCB 2008 - 20
Виброкаток - 16; Камаз - 138</t>
  </si>
  <si>
    <t>ремонт повелительного насоса воды Грюнфас - 1 450,0</t>
  </si>
  <si>
    <t>Демедюк Юрій Юрійович  -3 900,00; Хурсін Тарас Євгенійович  -3 120,0</t>
  </si>
  <si>
    <t>Оплата за оренду квартири ІТР(Роксоляни) - Отримувач платежу - КОВАЛИК МАР'ЯНА АНДРІЇВНА - 16 000,0; Аренда квартиры Варшавская - 14 000,0; Городоцька - 12 000,0; Хостел за 15-31.03.23 - 6 000,0; Хостел - 27.03-27.04 бр. Семенченко - 13 000,0; Коммунальные платежи - Шевченко,2 - 5 398,0; Варшавська - 4 059,27; Коммунальные Роксоляны - 2 567,0; Городоцька - 3 455,19; Роксоляны - 2 550,0.</t>
  </si>
  <si>
    <t>Воронцов Олександр Володимирович  -200,00; Жорж Олександр Сергійович  -6 000,00; Н.П.Б. ТОВ - 2 167,0</t>
  </si>
  <si>
    <t>И.П.С.</t>
  </si>
  <si>
    <t>Апрель 2023</t>
  </si>
  <si>
    <t>АКТ №9  договір 28/07/22 від 28.07.2022 року Оздоблення АБК треб.140+мшп83+спис.143
АКТ №12  договір 28/07/22 від 28.07.2022 року Оздоблення АБК , блок адмін приміщень №2 без спис./економія
АКТ №10  договір 28/07/22 від 28.07.2022 року Влаштування перегородок метал цех, покрівля, майданчик для миття контейнерів треб.132+мшп76+спис.135
АКТ №11  договір 28/07/22 від 28.07.2022 року Влаштування перегородок метал цех, покрівля, майданчик для миття контейнерів треб.131+мшп75+спис.134
АКТ №8  договір 28/07/22 від 28.07.2022 року Оздоблення АБК треб.130+мшп74+спис.133
АКТ №7  договір 28/07/22 від 28.07.2022 року Підсилення колон ворот треб.147
АКТ №6  договір 28/07/22 від 28.07.2022 року Монтаж водостоку цех треб.133+мшп77+спис.136
АКТ №4  договір 28/07/22 від 28.07.2022 року Дорога між галереями треб.134+мшп78+спис.137
АКТ №5  договір 28/07/22 від 28.07.2022 року Дорога між галереями треб.142
АКТ №4  договір 28/07/22 від 28.07.2022 року Дорога між галереями треб.135+мшп79+спис.138
АКТ №1  договір 28/07/22 від 28.07.2022 року ТП 11  ТП12 Влаштування діафрагмами треб.139+мшп82+спис.142
АКТ №2  договір 28/07/22 від 28.07.2022 року Влаштування благоустрою треб.138+спис.141
АКТ №6  договір 28/07/22 від 28.07.2022 року Фасад наземного перехода треб.136+мшп80+спис.139
АКТ №6  договір 28/07/22 від 28.07.2022 року Блок С, перегородки треб.137+мшп81+спис.140</t>
  </si>
  <si>
    <t>Демедюк Юрій
Сикал Павло Анатолійович
Хурсін Тарас</t>
  </si>
  <si>
    <t>Чешко - 21 136,10; Жук - 17 276,71; Кровельщики - 17 900,55; кровельщики Семенченко - 35 085,0; монтажкики Рибитва - 25 800,0; бетонщики Товстюк - 10 950,0; отделочники АБК-2,3 - 79 765,0; отделочники АБК-2,3 - 35 185,0; Чешко - 11 348,30; бетонщики Товстюк - 39 550,0; монтажники Семенченко - 7 453,65; бетонщики Товстюк - 7 500,0; отделочники АБК-2,3 - 7 140,0; маляра Кушнир - 19 600,0; монтажкики Рибитва - 25 000,0</t>
  </si>
  <si>
    <t>Телескоп 5 - 232
Экскаватор JCB - 197
Haulotte - 14
Виброкаток - 29; Камаз - 141</t>
  </si>
  <si>
    <t>Эпицентр - 525; Шпак Роман Ігорович ФОП - 41 400,0; РЯБУШИН Василь Володимирович ФОП - 9 000,0; ФОП ЛАЦИК МИХАЙЛО МИХАЙЛОВИЧ - 6 000,0</t>
  </si>
  <si>
    <t>Тимощук Святослав Євгенович ФОП - ремонт электроинструмента - 10 939,43</t>
  </si>
  <si>
    <t>Бензоинструмент - 8 235,82</t>
  </si>
  <si>
    <t>Демедюк - 3 640,0; Сикал - 910,0; Хурсин - 3 640,0</t>
  </si>
  <si>
    <t>Хостелл - 12 000,0; Роксоляны - 16 000,0; Варшавська - 14 000,0; Аренда Городоцька - 12 000,0; Варшавська за березень - 3 494,79; Коммунальные Роксоляны - 2 281,10; Коммуналка - Городоцька, дом.311 - всего 2 619,82 - Распределение газа - 29,91(хозяйка не брала в расчет) = 2 589,91 грн</t>
  </si>
  <si>
    <t>бр.Жука - 2 чел - 359,30 + 318,63 = 677,93; Сикал, Шкраб(отьезд), Наріжний, Гуменюк - 1 327,33</t>
  </si>
  <si>
    <t>Ревизия ретал Зеленков А - 1 268,0; Суточные : Воронцов - 800,0; Шкурат - 400,0; Жорж - 5 200,0; Зеленков - 400,0; Ковалець Володимир Миколайович ФОП (проживание Воронцов)- 750,0; Н.П.Б. ТОВ (проживание Воронцов) - 4 134,0 + 4 000,50</t>
  </si>
  <si>
    <t>Коцар</t>
  </si>
  <si>
    <t>Семенченко - ЗП по акту выплачена в апреле</t>
  </si>
  <si>
    <t>Бюджет</t>
  </si>
  <si>
    <t>CF_Глухов_Эксель</t>
  </si>
  <si>
    <t>500 000 за проектные работы</t>
  </si>
  <si>
    <t>только в CF, возврат от поставщиков стройматериалов за излишне оплаченные деньги</t>
  </si>
  <si>
    <t>Прочие налоги</t>
  </si>
  <si>
    <t xml:space="preserve">Долги </t>
  </si>
  <si>
    <t xml:space="preserve">ФОП Васильев </t>
  </si>
  <si>
    <t>ТОВ "ПЕРІ Україна"</t>
  </si>
  <si>
    <t>ТОВ "САНТЕЛ УКРАЇНА"</t>
  </si>
  <si>
    <t>ТОВ "ТОРГОВИЙ ДІМ "СПЕКТР ХІМ"</t>
  </si>
  <si>
    <t>ЗП акты</t>
  </si>
  <si>
    <t>Долги</t>
  </si>
  <si>
    <t>Продажа ТМЦ - в 1С апреля - переносится на МАЙ</t>
  </si>
  <si>
    <t>УКРЕНЕРГОБУДСЕРВІС"ТОВ - Виготовлення проектної документації на нестандартне приєднання до електричних мереж об'єкта; Заключення договору з розподілу електричної енергії з ПрАТ "ДТЕК КИЇВСЬКІ ЕЛЕКТРОМЕРЕЖІ" та договору  про постачання електричної енергії з ТОВ "КИЇВСЬКІ  ЕНЕРГЕТИЧНІ ПОСЛУГИ" Об'єкта замовника</t>
  </si>
  <si>
    <t>Оплата за витяга з Державного реєстру речових прав (7651409) - для анализа какие участки находятся под ипотекой, а какие нет. КГ "Подгорцы"; На руки Гурнику Артему.</t>
  </si>
  <si>
    <t>PL ООН Черниговская обл.</t>
  </si>
  <si>
    <t>Май 2023</t>
  </si>
  <si>
    <t>Хомич</t>
  </si>
  <si>
    <t>PL Щедро лапша</t>
  </si>
  <si>
    <t>прочие налоги 3%</t>
  </si>
  <si>
    <t>Продажа</t>
  </si>
  <si>
    <t>Компресор "Ураган 356-50" 81-180 MIOL; Компресор Metabo Basic 250-50W; Мікрохвильова піч  GRUNHELM</t>
  </si>
  <si>
    <t>3% налог</t>
  </si>
  <si>
    <t>апрель 2023</t>
  </si>
  <si>
    <t>Разница</t>
  </si>
  <si>
    <t>CF</t>
  </si>
  <si>
    <t>Стройматериалы</t>
  </si>
  <si>
    <t>2023</t>
  </si>
  <si>
    <t xml:space="preserve">2022 PL </t>
  </si>
  <si>
    <t>АКТ № 2     договір 28/07/22 від 28.07.2022 року без спис.
АКТ № 9    договір 28/07/22 від 28.07.2022 року Фасад галереї, дороги треб.174+мшп105+спис.171
АКТ № 4    договір 28/07/22 від 28.07.2022 року ДУ 6  Покрівля, перегородки треб.176+мшп107+спис.174
АКТ № 3    договір 28/07/22 від 28.07.2022 року ДУ 7 Підлога, колесо, відбійник треб.178+мшп109+спис.176
АКТ № 7    договір 28/07/22 від 28.07.2022 року Фасад галереї, дороги треб.173+мшп113+спис.179
АКТ № 1    договір 28/07/22 від 28.07.2022 року ДУ 8, Дорога КТП1, КПТ2 треб.181+мшп112+спис.178
АКТ № 2    договір 28/07/22 від 28.07.2022 року ДУ 6  Покрівля, перегородки треб.177+мшп108+спис.175
АКТ № 8    договір 28/07/22 від 28.07.2022 року Шви, вікна тех майданчика, двері ТП11, ТП12 треб.180+мшп111
АКТ № 3    договір 28/07/22 від 28.07.2022 року ДУ 6  Покрівля, перегородки треб.175+мшп106+спис.173
АКТ № 4    договір 28/07/22 від 28.07.2022 року ДУ 7, Блок С треб.179+мшп110+спис.177</t>
  </si>
  <si>
    <t>Бондар Микола Васильович
Глупак Микола
Зубов А.В.
Костів Олег Богданович
Кругляк В.В.
Семенченко Роман Олександрович
Супрун Олександр Вікторович
Чайкін Олександр Віталійович
Чешко Сергій</t>
  </si>
  <si>
    <t>Кушнир - 45 500,0; Товстюк - 45 990,0; Семенченко - 21 776,35; Товстюк - 25 780,0; Чешко - 102 134,70; Кушнир - 45 430 + 9 000,0; Рыбитва - 52 170,0; Войтович - 69 300,0; Рибитва - 10 962,0; Литвин - 34 185,0; Войтович - 15 000,0; Семенченко - 8 499,68</t>
  </si>
  <si>
    <t>Телескоп 5 - 224
Экскаватор JCB - 120; Экскаватор JCB 2008 - 67
Haulotte - 14
Виброкаток - 47; Камаз - 156</t>
  </si>
  <si>
    <t>ГрузавтоТранс - 5 760,0; Эпицентр - 1 995,0; Ромб - 24 500,0; ВАРТІС ТОВ  - 4 000,0; ЛАЦИК МИХАЙЛО МИХАЙЛОВИЧ ФОП - 9 600,0</t>
  </si>
  <si>
    <t>574 608,63 - перемещение с Биогаза</t>
  </si>
  <si>
    <t>Демедюк-3380; Сикал-3250; Хурсин - 4 550,0</t>
  </si>
  <si>
    <t>аренда квартиры Роксоляны – 16 000; аренда Хостела – 25 000; аренда квартиры  Варшавская – 14 000; Коммунальные платежи - ул. Варшавская, 64 - 4221,04; Роксоляны - 133,69; Городоцька - 2 015,88 (чеки + интернет)</t>
  </si>
  <si>
    <t>Ф2 - 590,5 - Чай, кофе</t>
  </si>
  <si>
    <t>Ф1 - Жорж - 6400,0; Зеленков - 400,0; Ф2 - Проезд Зеленков - 1028</t>
  </si>
  <si>
    <t>2022 PL</t>
  </si>
  <si>
    <t>Ф2 - 7 500,0 - водоканал</t>
  </si>
  <si>
    <t>витяги по двом ФОПам Гаврилюк та Мельник, які необхідні для ТОВ ДНІПРОМЕТАЛСЕРВІС</t>
  </si>
  <si>
    <t>Виконання ремонтно-відновлювальних робіт житлового будинку с.Іванівка вул.Дружби,21 (Акт від 28.04.2023) треб.170+мшп98
Виконання ремонтно-відновлювальних робіт житлового будинку с.Лукашівка вул.Папанінців,91 (Акт від 28.04.2023) треб. 171+мшп99</t>
  </si>
  <si>
    <t>бр.Кобринчук - 100 085,0; бр.Сидорко - 123 520,0</t>
  </si>
  <si>
    <t>2021 PL</t>
  </si>
  <si>
    <t xml:space="preserve"> Акт №13 договір підряду №12-10/21 від 12.10.2021 р. Влашт. отворів під інж. комунікації ( немає оригінала) треб.182+мшп114</t>
  </si>
  <si>
    <t>Перемещнние металла с Приднепровский МЕЗ-2 на Приднепровский МЕЗ-Сети - 1 980,0</t>
  </si>
  <si>
    <t>4 320,0 - М-400 услуги бетономешалки</t>
  </si>
  <si>
    <t>ГСМ</t>
  </si>
  <si>
    <t>РАЗНИЦА</t>
  </si>
  <si>
    <t>май 2023</t>
  </si>
  <si>
    <t>Налог 3%</t>
  </si>
  <si>
    <t>долги перед поставщиками</t>
  </si>
  <si>
    <t>Комиссия фин агентам</t>
  </si>
  <si>
    <t>Разница итог</t>
  </si>
  <si>
    <t>сумма которую оплатят после подписания акта зауважень</t>
  </si>
  <si>
    <t>ДАЛГОКЕРАН</t>
  </si>
  <si>
    <t>Июнь 2023</t>
  </si>
  <si>
    <t>июнь 2023</t>
  </si>
  <si>
    <t>ТОП МЕТАЛЛ -  Акт 1 немає оригіналу треб.251+мшп165+спис.227
 АКТ № 5   договір 28/07/22 від 28.07.2022 року ДУ 7 треб.248+мшп162+спис.224
 АКТ № 2   договір 28/07/22 від 28.07.2022 року ДУ 8 Блок С треб.249+мшп163+спис.225
 АКТ № 5   договір 28/07/22 від 28.07.2022 року ДУ 6 треб.246+мшп160+спис.222
 АКТ № 6  договір 28/07/22 від 28.07.2022 року ДУ 7 треб.250+мшп164+спис.226
 АКТ № 6  договір 28/07/22 від 28.07.2022 року ДУ 6 треб.247+мшп161+спис.223
 АКТ № 3  договір 28/07/22 від 28.07.2022 року ДУ 8 треб.241+мшп155+спис.217
 АКТ № 4  договір 28/07/22 від 28.07.2022 року ДУ 8 треб.242+мшп156+спис.218
 АКТ № 5  договір 28/07/22 від 28.07.2022 року ДУ 8 треб.243+мшп157+спис.219
 АКТ № 7  договір 28/07/22 від 28.07.2022 року ДУ 6 треб.245+мшп159+спис.221
 АКТ № 8  договір 28/07/22 від 28.07.2022 року ДУ 6 треб.244+мшп158+спис.220
АКТ № 7  договір 28/07/22 від 28.07.2022 року ДУ 7 треб.240+мшп154+спис.216
 АКТ № 3   договір 28/07/22 від 28.07.2022 року без спис.</t>
  </si>
  <si>
    <t>Матвиюк - 55 080,0</t>
  </si>
  <si>
    <t>Семенченко - 34 910,32; Кушнир - 23 040 + 95 958,56; Чешко - 141 797,40; Товстюк - 76 579; Рыбитва - 12 364; Товстюк -10 540; Рыбитва - 24 563; Семенченко - 18 100; Жук - 38 291,70; Товстюк - 58 049,0; Войтович - 25 751; Литвин - 82 298; Колпак - 140 140,0; Чешко - 100 541,30</t>
  </si>
  <si>
    <t>Экскаватор JCB 2008 - 178
Haulotte - 27
Виброкаток - 11; Камаз - 109</t>
  </si>
  <si>
    <t>Глупак Микола
Зубов А.В.
Костів Олег Богданович
Кругляк В.В.
Семенченко Роман Олександрович
Супрун Олександр Вікторович
Чайкін Олександр Віталійович
Чешко Сергій</t>
  </si>
  <si>
    <t>Аренда квартиры за июнь Роксоляни 57 - 16 000,0; Аренда: Варшавська - 14 000,0; Городоцька - 12 000,0; Хостел - 13 000,0. ВСЕГО = 39 000,0; Коммунальные Варшавська - 2 823,88 грн; Коммунальные Роксоляни (по квитанциям + 150,0 интернет)- 1638,06; Коммуналка - Городоцкая - 1 776,41</t>
  </si>
  <si>
    <t>Представительские Ретал - по согласованию с Воронцовым - 200 000,0; Благотворительный взнос в МЧС - 12 000,0</t>
  </si>
  <si>
    <t>ПРОЧИЕ ЮР.УСЛУГИ - Компенсация затрат на оформление у нотариуса документов для аренды транспортного средства - 1 300,0</t>
  </si>
  <si>
    <t>725,50 - чай, кофе</t>
  </si>
  <si>
    <t>Согласовано Воронцовым - аренда трамбовки, при устройстве фундаментов - 500,0 грн.</t>
  </si>
  <si>
    <t>різниця по курсу дол.  3250*39,81=129382,50 грн ; 3250*37,28=121160,00 ( 8222,50); обмен валюты  200 у..е оприходовано по 40 грн/у.е. обмен по 37,10 грн/у.е.  курсовая разница 580 грн + 1 800 у.е. оприходоваено по курсу 39,81 грн/у.е. обмен по курсу 37, 10 грн/у.е. курсовая разница 4 878 грн</t>
  </si>
  <si>
    <t>Командировочные - Воронцов, Гриценко, Жорж, Зеленков. Проезд - Ревизия ретал Зеленков А - 1 500,0; з/д квитки Киев - Львов - Киев Воронцов А. - 2 633,04</t>
  </si>
  <si>
    <t xml:space="preserve">Вывоз мусора - ІВАНІВСЬКЕ КП </t>
  </si>
  <si>
    <t>2200 - аренда биотуалета; 9910,78 - ГСМ бензоинструмент</t>
  </si>
  <si>
    <t>3460 - Викант торг + 360; ВАРТІС ТОВ  - 2000</t>
  </si>
  <si>
    <t>Чернієнко Віктор Володимирович ФОП - Обстеження сведловини води с.Красилівка, Броварський р-н - 30 000,0;Інженерні вишукування ТОВ - Інженерно-геодезичні вишукування с.Красилівка - 16 000,0; УКРАЇНСЬКА ГЕОЛОГІЧНА КОМПАНІЯ ДП - анализ воды - 3 321,40</t>
  </si>
  <si>
    <t>Дубиняк Ігор Михайлович Підприємець - Відшкодування витрат - 17 250</t>
  </si>
  <si>
    <t>Перемещение стройматериалов на ООН Киевская обл в июле</t>
  </si>
  <si>
    <t>янв.23</t>
  </si>
  <si>
    <t>фев.23</t>
  </si>
  <si>
    <t>март 23</t>
  </si>
  <si>
    <t>апр.23</t>
  </si>
  <si>
    <t>май 23</t>
  </si>
  <si>
    <t>авг.23</t>
  </si>
  <si>
    <t>июн.23</t>
  </si>
  <si>
    <t>июл.23</t>
  </si>
  <si>
    <t>дрель, шуруповерт, шлифмашинка, цепочная пила, дисковая пила, паяльник для труб, ручной насос для опресовывания, стремянки</t>
  </si>
  <si>
    <t>лестница, нивелир, прожектор, сейф</t>
  </si>
  <si>
    <t>Логистика</t>
  </si>
  <si>
    <t>Покупка ОС (CAPEX) или инвестиции</t>
  </si>
  <si>
    <t>Расшифровка Дивидендов</t>
  </si>
  <si>
    <t>р/с</t>
  </si>
  <si>
    <t>ИБ ОТП</t>
  </si>
  <si>
    <t>ИБ Приват</t>
  </si>
  <si>
    <t>ИБ КА</t>
  </si>
  <si>
    <t>ДТ ОТП</t>
  </si>
  <si>
    <t>ДТ Приват</t>
  </si>
  <si>
    <t>ДТ КА</t>
  </si>
  <si>
    <t>ИТ</t>
  </si>
  <si>
    <t>ИС грн.</t>
  </si>
  <si>
    <t>ФОП Воронцов</t>
  </si>
  <si>
    <t>Кассы</t>
  </si>
  <si>
    <t>Резерв</t>
  </si>
  <si>
    <t>Строительство</t>
  </si>
  <si>
    <t>Строительство подотчеты</t>
  </si>
  <si>
    <t>Производство</t>
  </si>
  <si>
    <t>Производство подотчеты</t>
  </si>
  <si>
    <t>Логистика подотчеты</t>
  </si>
  <si>
    <t>ИПС</t>
  </si>
  <si>
    <t>Свободные ДС</t>
  </si>
  <si>
    <t>разница</t>
  </si>
  <si>
    <t>Прибыль по отчету</t>
  </si>
  <si>
    <t>ДС в пути</t>
  </si>
  <si>
    <t>PnL по направлениям</t>
  </si>
  <si>
    <t>ЛОГИСТИКА+спецтехника</t>
  </si>
  <si>
    <t>PnL</t>
  </si>
  <si>
    <t>инвестиции</t>
  </si>
  <si>
    <t>дивиденды</t>
  </si>
  <si>
    <t>Июль 2023</t>
  </si>
  <si>
    <t>АКТ № 8   договір 28/07/22 від 28.07.2022 року акт субподряда от ДП СК БУД
АКТ № 9   договір 28/07/22 від 28.07.2022 року треб.5+мшп5 в новій базі
АКТ № 8   договір 28/07/22 від 28.07.2022 року треб.4+мшп4+спис.4 в новій базі
АКТ № 6   договір 28/07/22 від 28.07.2022 року треб.1+мшп1+спис.1 в новій базі
АКТ № 9   договір 28/07/22 від 28.07.2022 року треб.3+мшп3+спис.3 в новій базі
АКТ № 7   договір 28/07/22 від 28.07.2022 року  треб.2+мшп2+спис.2 в новій базі</t>
  </si>
  <si>
    <t>Глупак Микола
Костів Олег Богданович
Кругляк В.В.
Нарижний Олександр Васильович
Супрун Олександр Вікторович
Чайкін Олександр Віталійович
Чешко Сергій</t>
  </si>
  <si>
    <t>Демедюк Юрій</t>
  </si>
  <si>
    <t>Кушнир - 60 006,0; Колпак - 116 550,0; Чешко - 81 250</t>
  </si>
  <si>
    <t>Экскаватор JCB 2008 - 42
Haulotte - 22
Камаз - 4</t>
  </si>
  <si>
    <t>Харів О.Р. ФОП -аренда автовышки - 2 700,0;  Престиж Буд Стиль- услуги автокрана - 6 000,0; ЕКСКАВАТОР СПЕЦСЕРВІС - экскаватор с гидромолотом - 13 440,0</t>
  </si>
  <si>
    <t>Ромб = - 3 500,0; БМВ Торговий дім  ПП - 35 000; РІЛАЙБЛТРАНС - 88 000,0; Демчук Богдан Петрович ФОП - 36 000,0</t>
  </si>
  <si>
    <t>Лук'ян Михайло Федорович ФОП - 630,0; Тимощук Святослав Євгенович ФОП - 7 660,33</t>
  </si>
  <si>
    <t xml:space="preserve">Демедюк - 910; </t>
  </si>
  <si>
    <t>Отъезд с объекта Демедюк - 469,0 грн;</t>
  </si>
  <si>
    <t>Прелставительские</t>
  </si>
  <si>
    <t>780,07 - НП; 43 - укрпошта письмо на ДП СК БУД</t>
  </si>
  <si>
    <t xml:space="preserve"> Акт №14 договір підряду №12-10/21 від 12.10.2021 р. Влашт. фундаментів + ТР/Н-318 + МШП-200 + СПИС-288
 Акт №15 договір підряду №12-10/21 від 12.10.2021 р.    ( немає оригінала) треб.301+мшп187
Акт №16 договір підряду №12-10/21 від 12.10.2021 р.   ДУ№7 ТР/Н-319 + МШП-201</t>
  </si>
  <si>
    <t>Платинум - 2 трансформатора 450 тыс * 1,2 = 540 000,0; АВМ Ампер - 3 шт с НДС - 132 885,0 * 1,2 = 159 462,0 + 3 шт без НДС - 132 885,0</t>
  </si>
  <si>
    <t>ДОЛГИ</t>
  </si>
  <si>
    <t>P&amp;L</t>
  </si>
  <si>
    <t>5 больш Польск</t>
  </si>
  <si>
    <t>2 Харвест</t>
  </si>
  <si>
    <t>5+2 МД03</t>
  </si>
  <si>
    <t>админ+общепроизв</t>
  </si>
  <si>
    <t>доход с МК</t>
  </si>
  <si>
    <t>июль 2023</t>
  </si>
  <si>
    <t>Итог</t>
  </si>
  <si>
    <t>2+7 мал Польские</t>
  </si>
  <si>
    <t>Лебедевка</t>
  </si>
  <si>
    <t>Аренда квартиры Роксоляны за июль - 16 000,0; Комунальные Роксоляны за июнь- 1 610,0; Роксоляны 57 - комунальные платежи за юинь и июль - 3 752,92; Коммунальные Городоцька - 1 718,18; Интернет за 10 мес - 1 500,0. ВСЕГО = 3 218,18</t>
  </si>
  <si>
    <t>Акт №8 від 26.07 договір 28/07/22 від 28.07.2022  Сума 171 900,58
Акт №6 від 26.07 договір 28/07/22 від 28.07.2022  Сума 72 872,11
Акт №7 від 26.07 договір 28/07/22 від 28.07.2022  Сума 139 771,18
Акт №9 від 26.07 договір 28/07/22 від 28.07.2022  Сума 487 834,48
Акт №9 від 26.07 договір 28/07/22 від 28.07.2022  Сума 153 545,98</t>
  </si>
  <si>
    <t>Списание по актам -8861,16*1,2</t>
  </si>
  <si>
    <t>Зеленков - 400; Воронцов - 2 167,0 + 400,0; Проезд - Ревизия ретал Зеленков А - 1 430,0; Жорж - 3 800,0</t>
  </si>
  <si>
    <t>проект ДП Буд</t>
  </si>
  <si>
    <t xml:space="preserve">АКТ1 від 15.09.22 договір 28/07/22 від 28.07.2022 року (Демонтаж ліхтарів) треб149+ списа16
АКТ1 від 15.09.22 договір 28/07/22 від 28.07.2022 року (Демонтаж трубопроводів улаштув вентиляціїї) треб150+ спис17
АКТ1 від 15.09.22 договір 28/07/22 від 28.07.2022 року (Демонтаж трубопроводів електромонтажні роботиї) треб146+списание13
АКТ1 від 15.09.22 договір 28/07/22 від 28.07.2022 року (Демонтажніі роботиї) треб147+ списание 14
АКТ1 від 15.09.22 договір 28/07/22 від 28.07.2022 року (02-01-01 на Блок А влаштування плити) треб148+списание15
АКТ1 від 15.09.22 договір 28/07/22 від 28.07.2022 року (02-01-01 на Блок А влаштування підлог) треб145+списание12
АКТ  від 26.09.22 договір 28/07/22 від 28.07.2022 року  списания не будет субподряд № 887 от30.09.22 (електромонтажні роботи)
</t>
  </si>
  <si>
    <t xml:space="preserve">Ф.1
+  АКТ №1  договір 28/07/22 від 28.07.2022 року в акте  нет материалов мшп№28 268 727,58
+  АКТ №1  договір 28/07/22 від 28.07.2022 року  в акте нет матер.мшп№33 27 784,30
+  АКТ №1  договір 28/07/22 від 28.07.2022 року  спис.№167 мшп№29 478 043,99
+  АКТ №2  договір 28/07/22 від 28.07.2022 року  нет материала мшп№36 41 408,18
+  АКТ №2  договір 28/07/22 від 28.07.2022 року  в спис.нет материалов мшп№35 280 794,26
+  АКТ №2  договір 28/07/22 від 28.07.2022 року  в спис.нет матер мшп№34 66 543,36
+  АКТ №1  договір 28/07/22 від 28.07.2022 року  спис.№170 мшп№41 879 022,68
+  АКТ №1  договір 28/07/22 від 28.07.2022 року  спис.№169 мшп№32 1 868 643,97
+  АКТ №1  договір 28/07/22 від 28.07.2022 року  спис №172 мшп№39 772 154,46
+  АКТ №1  договір 28/07/22 від 28.07.2022 року  спис№171 мшп№40 1 645 605,38
+  АКТ №1  договір 28/07/22 від 28.07.2022 року  спис.№168 мшп№30,31 818 796,61
+  АКТ №1  договір 28/07/22 від 28.07.2022 року  спис.№173 мшп№38 345 684,04
+  АКТ №1  договір 28/07/22 від 28.07.2022 року  спис.№166 мщп№27 933 739,40
+  АКТ №2  договір 28/07/22 від 28.07.2022 року  спис.№174 мшп№37 1 256 045,63
+  АКТ №1  договір 28/07/22 від 28.07.2022 року  Проектные работы Агроінжинірінг)(прихAS000001260 от 10.10.2022) 386 400,00
</t>
  </si>
  <si>
    <t xml:space="preserve">  АКТ №2  договір 28/07/22 від 28.07.2022 року  спис№203 Влаштування підлог блок Б, МШП 52
  АКТ №2  договір 28/07/22 від 28.07.2022 року  спис№205 Влаштування  майданчика для розміщення технологічного обладнання МШП 50
  АКТ №3  договір 28/07/22 від 28.07.2022 року  спи№206 Влаштування підлог Блок А МШП 49
  АКТ №1  договір 28/07/22 від 28.07.2022 року  спис№207  Додаткові роботи на влаштування підлоги МШП 48
  АКТ №2  договір 28/07/22 від 28.07.2022 року  спис №208   Влаштування перегородок блок А МШП 47
  АКТ №2  договір 28/07/22 від 28.07.2022 року  в акте нет материалов МШП 46
  АКТ №3  договір 28/07/22 від 28.07.2022 року  ( в акте нет материалов) МШП 56
  АКТ №2  договір 28/07/22 від 28.07.2022 року  спис№200   Влаштування технологічного майданчика для розміщення чилерів та драйвкулерів" МШП 55            
  АКТ №2  договір 28/07/22 від 28.07.2022 року  спис№202 Оздоблювальні роботи блок Б МШП 53
  АКТ №2  договір 28/07/22 від 28.07.2022 року  спис №213 , мшп №59
  АКТ №2  договір 28/07/22 від 28.07.2022 року  спис№199 (благоустрій) МШП 57
  АКТ №1  договір 28/07/22 від 28.07.2022 року  спис№204 ТП 11 МШП 51
  АКТ №2  договір 28/07/22 від 28.07.2022 року  спис№201 Оздоблювальні роботи Блок А МШП 54
  АКТ №1  договір 28/07/22 від 28.07.2022 року  Електромонтаж.р-ти материал подрядчика ПП «Енерготрансрембуд»-4 581 890,00
</t>
  </si>
  <si>
    <t xml:space="preserve">Ф.1
Андрєєв В.В
Бондар Микола Васильович
Вакуленко Костянтин Борисович
Вірко Євген Григорович
Гайворонський Владислав Вікторович
Геворкян Вануш Георгієвич
Голуб Олександр
Гузей Олександр Володимирович
Ємельянов Вадим Леонідович
Єрьоменко Григорій Якович 
Жук Олександр
Клименко Олександр Сергійович
Козеев Роман
Костів Олег Богданович
Кочкин Руслан Вікторович
Кошлатий Віталій Миколайович
Леміш Олександр Володимирович
Лисенко Ігор
Лобода Руслан
Овсянніков Іван
Петров Дмитро Олександрович
Семенченко Роман Олександрович 
Соколов Олександр
Строгонов Сергій Олександрович
Супрун Олександр Вікторович
Чайкін Олександр Віталійович
Чешко Сергій
Шевцов Сергій Віталійович
Яровий Ростислав Петрович
</t>
  </si>
  <si>
    <t>Ф.1
Бондар Микола Васильович 7 953,40
Вакуленко Костянтин Борисович 760,57
Вірко Євген Григорович 7 953,40
Гайворонський Владислав Вікторович 4 131,02
Геворкян Вануш Георгієвич 7 647,50
Голуб Олександр 7 953,40
Гузей Олександр Володимирович 7 953,40
Єрьоменко Григорій Якович 6 507,33
Клименко Олександр Сергійович 7 647,50
Козеев Роман 8 855,00
Костів Олег Богданович 7 953,40
Кочкин Руслан Вікторович 7 647,50
Кошлатий Віталій Миколайович 7 953,40
Леміш Олександр Володимирович 7 953,40
Лисенко Ігор 7 953,40
Лобода Руслан 7 953,40
Овсянніков Іван 7 953,40
Супрун Олександр Вікторович 7 953,40
Чайкін Олександр Віталійович 7 953,40
Чешко Сергій 7 953,40
Шевцов Сергій Віталійович 4 131,02
Яровий Ростислав Петрович 7 953,40</t>
  </si>
  <si>
    <t xml:space="preserve">Латиш, Хурсин, Демидюк за август </t>
  </si>
  <si>
    <t>Демедюк зарплата за сентябрь 2022 -19 664,50
Хурсин зарплата за сентябрь 2022 -17 664,50
Латиш Сергій Володимирович/ зарплата за сентябрь 2022 -17 664,50</t>
  </si>
  <si>
    <t>Демедюк Юрій
Латиш Сергій Володимирович
Хурсін Тарас</t>
  </si>
  <si>
    <t>Демедюк Юрій 6 846,78
Латиш Сергій Володимирович 10 465,00
Хурсін Тарас 10 465,00</t>
  </si>
  <si>
    <t>Демидюк, Латиш, Хурсын</t>
  </si>
  <si>
    <t>акт 1 03.09-06.09 - разнорабочие - 1 500,00
акт 8 15.09-17.09 - разнорабочие - 2 778,00
акт 8 03.09-07.09 - разнорабочие - 500,00
акт 8 19.09-23.09 - разнорабочие - 5 666,61
акт 8 28.09-30.09 - разнорабочие - 2 999,97</t>
  </si>
  <si>
    <t>Ф.2
подосбники 2 чело 6 дней, 1 человек 1,5 дгя (АКТ) -6 700,00
ЗП підсобники за жовтень 2022 -5 500,00
ЗП підсобники за жовтень 2022 -8 500,00</t>
  </si>
  <si>
    <t>24 чел/см робота підсобних робітників згідно АЗ від 14.11.22 -11 900,00
13 чел/см робота підсобних робітників згідно АЗ від 21.11.22 -6 500,00
5 людино/змін робота підсобних робітників -2 500,00</t>
  </si>
  <si>
    <t>акт 1 02.08-25.08 - бр.Жук = 6 197 грн
акь 1 02.08-25.08 - бр.Жук = 39 396,65 грн
акт 2 22.08-29.08 - бр.Жук = 52 892 грн
акт 4 30.08-18.09 - бр.Жук = 79 611 грн
акт 5 20.09-01.10 - бр.Жук = 52 193 грн
акт 1 02.08-25.08 - бр. Козеева = 19 919,53 грн
акт 1 02.08-25.08 - бр. Козеева = 30 163 грн
акт 1 20.09-24.09 - бр. Козеева = 32 510 грн
акт № 1 09.08-25.08 - бр.Семенчено = 36 631,3 грн;
акт № 1 09.08-25.08 - бр.Семенчено = 12 271,44 грн;
акт № 3 26.09-04.10 - бр.Семенчено = 31 350 грн;
акт № 1 05.09-25.09 - бр.Чешко = 73 684грн</t>
  </si>
  <si>
    <t>акт 5 01.10-20.10 - бр. Жук - 36 544,43
акт 3 26.08-25.09 - бр. Семенченко - 45 959,00
акт 3 05.10-25.10 - бр.Семенченко - 55 217,00
акт   02.08-25.08 - бр. Войтович - 117 000,00
акт 1 02.08-25.08 - бр.Войтович - 32 500,00
акт 2 25.09 -25.10 - бр. Чешко - 139 188,00
акт 1 02.08-25.08 - бр. Геворкян - 17 743,40
акт 2 25.08-25.09 - бр. Геворкян - 74 833,00 
акт 2 26.09 - 25.10 - бр. Геворкян - 56 823,00
акт 1 01.10-03.10 - бр. Шевцов - 5 520,00
акт 2 05.10-14.10 - бр. Шевцов - 15 420,00
акт 2 19.10-24.10 - бр.Шевцов - 13 146,00
акт 3 26.08-19.09 - бр.Козеев - 140 626,00
акт 4 20.09-19.10 - бр.Козеев - 64 749,00
гипсокартонщики 15.10-22.10 - 27 200,00
стяжка 22.10-22.10 - 11 340,00</t>
  </si>
  <si>
    <t>акт 4 20.10-22.11 - бр. Козеева - 93 556,00
акт 4 20.10-31.10 - бр.Козеева - 157 400,00
акт 5 20.11-30.11 - бр.Козеева - 34 920,00
акт 5 20.10-22.11 - бр.Жук - 30 458,40
акт3 25.10-22.11 - бр.Чешко - 92 450,00
акт 3 25.10-12.11 - бр. Шевцов - 39 041,00 
акт 4 26.10-22.11 - бр. Геворкян - 136 158,00
акт 2 28.10-06.11 - бр.Геворкян - 12 160,00
акт 1 24.10-28.10 - бр.маляра - 18 321,00
акт 2 29.10-17.11 - бр.маляра - 29 669,98
акт 1 10.11-25.11 - бр. маляра - 23 920,36 
акт 3 18.11-25.11 - бр.маляра - 10 880,61
акт 2 22.10-22.11 - електрики - 27 748,00
акт 2 22.10-22.11 - отделочники - 129 444,10
акт 11/11 25.11-08.11 - отделочники - 45 827,00
акт 2 31.10-09.11 - гипсокартонщики - 8 500,00
акт 2 31.10-09.11 - гипсокартонщики - 24 200,00
акт 2 02.11-03.11 - подрядщики по стяжке - 28 920,00</t>
  </si>
  <si>
    <t>акт 4 20.10-28.10 - бр.Семенченко - 22 500,00
акт 3 22.12-10.01 - бр.отделочники - 2805,00+1450,8+3012+34160+37660+3229,2
акт 3 01.12-01.11 - бр. отделочники - 12 936,00
акт 4 22.11-22.12 - бр.отделочники - 60 140,00
акт 1 17.11-26.12 - бр.отделочники - 25 762,65
акт 2 23.12 - 29.12 - бр.отделочники - 26 781,20
акт 3 22.11-22.12 - бр.отделочники - 15 769,00
акт 6 26.12 - бр.Козеева - 5 025,00
акт 5 01.12-26.12 - бр.Козеева - 25 009,15
акт 1 26.12-28.12 - бр.електрики - 24 528,00
акт 2 02.11-30.11 - бр.сантехники - 54 500,00
акт 2 01.12-29.12 - бр.сантехники - 56 051,00
акт 4 01.12-15.12 - бр.маляра - 19 285,00
акт 5 23.11-28.12 - бр.маляра Геворкян - 119 915,36
акт 5 23.11-26.12 - бр.Невмещинський - 48 259,54
акт 6 26.12-15.01 - бр.Невмещинський - 25 582,82
акт 5 21.12-24ю12 - бр.бентонщ.Шматюк - 35 005,20
акт 2 15.12-25.12 - бр.стяжка - 1 020,00
акт 4 23.11-27.12 - бр.Чешко - 104 236,95
акт 7 23.11-28.11.22 - бр.Жук - 19 672,12</t>
  </si>
  <si>
    <t>Первый бетон. Согласовано со Стариковым</t>
  </si>
  <si>
    <t xml:space="preserve">Автокран Клинцы 70598,76
Самосвал Камаз 18334,68
Телескоп JCB 540-170 №5 53098,2
Экскаватор  JCB 3CX 2008 93773,21
Телескоп JCB 540-170 №5 54671,48
</t>
  </si>
  <si>
    <t xml:space="preserve">Ф.1
Телескоп 5 280 год. 130 936
Экскаватор JCB 2008 153 год. 76 030
Haulotte 26 год. 20 874
Клинцы 219 год. 107 411
</t>
  </si>
  <si>
    <t>Телескоп 5 - 232 ч; Экскаватор JCB 2008 - 196 ч; Haulotte - 18 ч; Автокран Клинці - 178 ч</t>
  </si>
  <si>
    <t>Бокорезы, плоскогубцы</t>
  </si>
  <si>
    <t>краг отрезной по аллюминию, согласно чека эпицентр. -267,00
Ремень на трамбовку -270,00
Батарейки для нівіліра -111,00
Покупка свечей для швонарезчика -150,00
Ф1. МШП по КТ 221 сч.</t>
  </si>
  <si>
    <t>болты, гайки</t>
  </si>
  <si>
    <t>саморізи так лак для підлоги -5 600,00</t>
  </si>
  <si>
    <t>МШП - 163,47 грн - чай, сахар; 110,0 грн - жидкое мыло - отчет Жорж - 19.12-26.12.2022     Ф1 - Бутыль для воды и помпа; Списание МШП = 73 169,95</t>
  </si>
  <si>
    <t xml:space="preserve">Ф.1
№1 Оздоб.р-ти блок А _933739,40
№4 Ремонт покрівлі та світлоаерац.ліхтарів _478 043,99
№5 Влаш.тех. майд для розміщ.чилерів та драйвкулерів _818 796,61
№7 Влаш.майд.для розм.тех.облад._1868643,97
№3 Блок Б._879022,68
№6  Влаштування перегородок Блок А._1 645 605,38
№8  Влашт.перегор.Блок Б._772154,46
№10  Благоустрій._345684,04
№14  Блок А._1 256045,63
</t>
  </si>
  <si>
    <t xml:space="preserve">Ф.1
687 960,69 +  АКТ №2  договір 28/07/22 від 28.07.2022 року  спис№205 Влаштування  майданчика для розміщення технологічного обладнання МШП 50
742 701,02 +  АКТ №3  договір 28/07/22 від 28.07.2022 року  спи№206 Влаштування підлог Блок А МШП 49
174 633,99 +  АКТ №1  договір 28/07/22 від 28.07.2022 року  спис№207  Додаткові роботи на влаштування підлоги МШП 48
1 013 911,58 +  АКТ №2  договір 28/07/22 від 28.07.2022 року  спис №208   Влаштування перегородок блок А МШП 47
156 377,38 +  АКТ №2  договір 28/07/22 від 28.07.2022 року  спис№200   Влаштування технологічного майданчика для розміщення чилерів та драйвкулерів" МШП 55            
43 227,08 +  АКТ №2  договір 28/07/22 від 28.07.2022 року  спис№202 Оздоблювальні роботи блок Б МШП 53
423 209,96 +  АКТ №2  договір 28/07/22 від 28.07.2022 року  спис №213 , мшп №59
89 324,53 +  АКТ №2  договір 28/07/22 від 28.07.2022 року  спис№199 (благоустрій) МШП 57
52 641,17 +  АКТ №1  договір 28/07/22 від 28.07.2022 року  спис№204 ТП 11 МШП 51
12 480,00 +  АКТ №2  договір 28/07/22 від 28.07.2022 року  спис№201 Оздоблювальні роботи Блок А МШП 54
</t>
  </si>
  <si>
    <t>ИТР</t>
  </si>
  <si>
    <t>Ф1. Суточные Демедюк, Латыш, Хурсин</t>
  </si>
  <si>
    <t>проїзд вінниця-Львів - 240; проїзд вж/д вокзал таксі  - 250,0; приезд новой бригады 4 человека - 5 320,0; від'їзд Осянніков - 545,69; Проезд бр.Бетонщики - 855,0; Ф1 - 11 310 - суточные Латыш, Демедюк, Хурсин</t>
  </si>
  <si>
    <t>Аренда квартири Стариков, Юрист - 600
Аренда квартири Юрист 2.08 - 600
проживание Старикова с 2-6.08 - 3100
аренда 4 квартир+услуги риалторов - 149 000
аренда квартири первый и последний месяц. + 10000 риаотро - 34000
доплата за хостел август - 10000
проживание Стариков с 9-12.08.2022 (600грн*4дня) - 2400
Гостиница Жорж (г.Ровно) из-за позднего выезда с Киева - 966,25</t>
  </si>
  <si>
    <t xml:space="preserve">Аренда квартири Стариков, Воронцов -3 400,00
Шевченка за сентябрь -10 000,00
Роксоляны за сентябрь -16 000,00
Варшавская за сентябрь -14 000,00
Шевченка-2 за сентябрь и последний месяц -18 000,00
Хостел за первую половину сентября -12 500,00
Городецкого за сентябрь -12 000,00
Хостел за вторую половину сентября -12 500,00
аренда квартир Стариков -2 400,00
Комунальні: 
Варшавская за август -2 298,00
Хостел за август -1 000,00
Городецкого за август 2022 -1 482,00
Роксоляны  за август 2022 -1 245,00
Комунальные платежи за сентябрь -2 260,00
Оплата к.у. за вересень - 1120
</t>
  </si>
  <si>
    <t>Оренда квартири за жовтень_Віра Василівна(хостел)_10 осіб -25 000,00
Оренда квартири за жовтень 2022_Строцький О.М._6 осіб -9 000,00
Оренда квартири за жовтень 2022_Ноздріна А.С._ 4 особи. -12 000,00
Аренда квартиры за октябрь ул. Варшавская_ -14 000,00
Аренда квартиры за октябрь Ковалик І.О. вул. Роксоляни_Ретал_ -16 000,00
Львів, вул.Шевченка, 376 кв 11 за жовтень22 -10 000,00
03/10/22_Аренда квартиры_Ретал_Старіков -700,00
04/10/22_Аренда квартиры_Ретал_Старіков -800,00
Хостел за вересень 2022 комунальні платежі - 1000
Комунальні платежі // Львів, вул.Шевченка, 376 кв 11-- за вересень 2022 - 4000
Оплату комунальних за вересень по вул. Городецька 311, кв. 5. _Ретал - 2060</t>
  </si>
  <si>
    <t>Аренда квартиры_ за ноябрь 2022 -16 000,00
Ретал_Аренда квартиры_5168 7574 0429 3096 Ноздріна Алла, хозяйка квартиры на Городоцкой. оплата за ноябрь_12 000 грн -12 000,00
14000._Ретал_Аренда квартиры_Ж.В.П. Аренда за ноябрь ул. Варшавская_ -14 000,00
Ретал_Аренда квартиры_4149 6090 0940 0468 ПриватБанк  Строцький О.М/. Вул. Шевченко 2 -9 000,00
Оренда квартири, Львів, вул.Шевченка, 376 кв 11 за листопад 22 -10 000,00
Оренда квартири за листопад_Віра Василівна(хостел)_10 осіб -25 000,00
4 054,38_Ретал_Коммунальные платежи_Ж.В.П. КУ за октябрь.  ул. Варшавская -4 040,00
3885_Ретал_Коммунальные платежи_4149 6090 0940 0468 ПриватБанк  Строцький О.М. КУ по вул. Шевченка 2 -3 885,00
Комунальні, Львів, вул.Шевченка, 376 кв 11 за листопад 22 -1 420,00</t>
  </si>
  <si>
    <t>Аренда квартиры - 25 000,0; Аренда квартиры - 16 000,0; Аренда квартиры_за грудень шевченко 370. відправити 2 платежами по 4500грн. - 9 000,0; Аренда квартиры - 14 000,0; Аренда квартиры - 12 000,0; Прочие затраты Аренда квартиры - 1 500,0; Оплата аренды за декабрь. ул. Шевченко - 10 000,0; Коммунальные Городоцька  - 2 385,0; КП за листопад. шевченко 317 - 3 710,0; за ноябрь. ул. Шевченка - 2 585,0; КУ ул. Городоцкая 311/5 - 3 090,0; Ком платежи - 7 014,06</t>
  </si>
  <si>
    <t xml:space="preserve">Проезд ИТР и бригада Жук 5чел. - 4310
Приезд бр. Козеева на объект 8 чел. - 3858
Приезд бр. Семенченко - 4 чел (в рамках СС) 500грн на чел в одну сторону  - 1400
</t>
  </si>
  <si>
    <t>презд бр. Чешка(2 чел.), перелимит по данной статье затрат будет удержан с зарплатного акта бригады -4 000,00
Приезд бр. Маляров -2 150,00
Ф1. ГСМ Хурсин -3696,31</t>
  </si>
  <si>
    <t>Квитки бр. Швецов 29.09.22 (чек) - 424</t>
  </si>
  <si>
    <t>доставка материалов -1 500,00
Оплата за місце вивантаження сміття у мішках за 1 машину -500,00</t>
  </si>
  <si>
    <t>Воронцов АВ</t>
  </si>
  <si>
    <t>проведення генератор по Шаранде згідно розпорядження АВ -33 800,00</t>
  </si>
  <si>
    <t>по распоряжению
Ф1 Оплата зг. Дог. 16/11-1 від 16.11.2022 та рах. № 260 від 16.11.22 за Інвертор мережевий Solis S5-GR3P15K (15 кВт, 3 фази, 2 MPPT), у т.ч. з ПДВ 12 666,67</t>
  </si>
  <si>
    <t>Еврокуб 2 шт</t>
  </si>
  <si>
    <t>Ф.1 Скіф Інвест ТОВ- монтажно-тяговий механізм</t>
  </si>
  <si>
    <t xml:space="preserve">Ф.2  оплата за розміщення оголошення з пошуку персоналу -120
</t>
  </si>
  <si>
    <t>кофе - 179
Ведро, веник, швабра - 414</t>
  </si>
  <si>
    <t>Чай, кава, молоко</t>
  </si>
  <si>
    <t>чай, кава, цукор (чек) -502,00</t>
  </si>
  <si>
    <t>Средство для мытья посуды</t>
  </si>
  <si>
    <t>ТОВ "НОВА ПОШТА"</t>
  </si>
  <si>
    <t>НП; доставка материалов НП - 150 грн - отчет Жорж 19.12-26.12.2022</t>
  </si>
  <si>
    <t>Ф.1 Канцтовари</t>
  </si>
  <si>
    <t>ЗП Жорж А. за август</t>
  </si>
  <si>
    <t>Жорж А. зарплата за сентябрь 2022</t>
  </si>
  <si>
    <t>Жорж О.</t>
  </si>
  <si>
    <t>Жорж</t>
  </si>
  <si>
    <t>1373-компенсация за проезд Гурник А.
660-Кухар С.
ГСМ топливо - Жорж А., Кухар С.</t>
  </si>
  <si>
    <t>ф1. ГСМ Жорж 5648,43</t>
  </si>
  <si>
    <t>Жорж, Хурін</t>
  </si>
  <si>
    <t>ф1-суточные Жорж А, Стариков, Гурник А., Кухар С.</t>
  </si>
  <si>
    <t>ф1. Суточные Воронцов, Жорж, Стариков
1800-готель Воронцов О,Старіков С, Шкурат І</t>
  </si>
  <si>
    <t>проживание в отелях Стариков, Воронцов, Шкурат (Ровно, Львов, Винница). Ужин - 12 885,0; Ф1 Суточные - 8 200 - Воронцов, Стариков, Шкурат, 2 550,0 - проезд Воронцов, Стариков</t>
  </si>
  <si>
    <t>витрати на лікування співробітника, що зазнав травми (погоджено Старіковим на пошті 12.12.22)</t>
  </si>
  <si>
    <t>Альцест - 11 375</t>
  </si>
  <si>
    <t xml:space="preserve">Грінейра - 472,42
660-Аренда баллонов
4400-услуги по аренде и обслуживанию биотуалетов
4418,36-ГСМ топливо Хурсин
Ф2 1150-оплата за печать и чертежи
2056 - заправка балонов пропаном
</t>
  </si>
  <si>
    <t>МС Україна 3 000,0</t>
  </si>
  <si>
    <t>Пери Украина 1851,26 + 37 264</t>
  </si>
  <si>
    <t>ПЕЛЕ-ІНЖИНІРИНГ - 45 500; Денбетон ТОВ - 54 810; Вікант - 2260</t>
  </si>
  <si>
    <t>Перри опалубка 10 510,94</t>
  </si>
  <si>
    <t>Грінейра - 1 889,69 + 250, обслуживание битуалета 4 400</t>
  </si>
  <si>
    <t>Пери Украина 21 180</t>
  </si>
  <si>
    <t>Пери Украина 3 415,26</t>
  </si>
  <si>
    <t>Ромб 2250</t>
  </si>
  <si>
    <t>Ромб 3000+3000+1800+6000+4000+3000+3000+4000+9000+16000</t>
  </si>
  <si>
    <t>испытания ручной инструмент 1752</t>
  </si>
  <si>
    <t>Ромб доставка 18 000 + 12 000 + 3000 + 4000 + 6000 + 1500</t>
  </si>
  <si>
    <t>Ромб 3500+6000</t>
  </si>
  <si>
    <t>Щетінін В.П. ФОП - 16 700,0; ЄВРО ІНВЕСТ БУД БК ТОВ - 10 400; Шпак Роман Ігорович ФОП - 7 200,0; Епіцентр К ТОВ - 675,0; ВАРТІС ТОВ - 23 000,05; Черник П.П. ФОП - 17 000,0</t>
  </si>
  <si>
    <t>аренда генератора 7 400 + 5060
виброплита 4320+5400</t>
  </si>
  <si>
    <t>Ромб автокран 6750 + 14 000
МТ Спецтранс погрузчик - 23000*2
Сигма Екскаватор - 13000+8100+9000</t>
  </si>
  <si>
    <t>Ромб автокран 14000
МТ Спецтранс - погрузчик 23 000*2+6900
Сигма Екскаватор - 17 400</t>
  </si>
  <si>
    <t>бетононасос - 11 000</t>
  </si>
  <si>
    <t xml:space="preserve">Тедарент подъемник 39 200+33046; 3500 + 21 250,0  + 13 750 + 5000 Ромб - аренда самосвала; Биляк - 6 600,0 самосвал; Эфе бетон (услуги бетононасоса) - 12 600,0 </t>
  </si>
  <si>
    <t>обучения рабочих</t>
  </si>
  <si>
    <t>Грабчак исследования - 16270
1000-оплата за погрузку ТМЦ Ладыжин</t>
  </si>
  <si>
    <t>Автокран Клинцы = 38 302,1
Камаз - 192
Экскаватор 2008= 88859
Телескоп 5 = 84 957</t>
  </si>
  <si>
    <t>Престижбуд автокран - 12 960+10800+5400+6480
Брокинвест Екскаватор - 116 100
Матвієнко КАМАЗ - 18 200+9800+11200, автокран 4800</t>
  </si>
  <si>
    <t>Белес Трнас - 8 200*3+20000 , Индеп Транс 48 000+33000, Премьер Тайм - 1200; АБ Групп 26 000</t>
  </si>
  <si>
    <t>Ф1. Испытания беона - 7890; Грабчак Исследования - 6390; бурение 3000
Ф2. ППР -5 000,00</t>
  </si>
  <si>
    <t>Масюк кран - 1500; МТ-СПЕЦТРАНС 23 000*2 мінінавантажувача; Сігма-Інжиніринг - 12 000,00+10800 екскаватора
Ф.2 Оренда пилосмока KARHER 22.09.22 -600,00</t>
  </si>
  <si>
    <t>Ф1 Жлоб - 6000; АБ Групп 3200
Ф2 Доставка керхера в ремонт</t>
  </si>
  <si>
    <t>Ремонт шииного моста - 15 023,52
Керхер ремонт -600,00</t>
  </si>
  <si>
    <t xml:space="preserve">Ф2. услуги электрика по подключению бытового городка и строй. Площадки. Согласовано со Стариковым -500,00; заправка балонов пропан -979,80; услуги заправщика за заправку балогонов пропаном -60,00
ф1.Грінейра - 94+250;  обслуживание биотуалетов 4 400; Заправка инстументов -16158, Оренда балонів = 792, 1000-Корочки на  бр. Семенченко 3 людини - 1000 грн
</t>
  </si>
  <si>
    <t>шурупокрут -7800, перфоратор -7400,  шліфмашинка-2200,  міксер -2900,</t>
  </si>
  <si>
    <t>бетононасос - 10 000*2
бетономешалка - 2820+1200</t>
  </si>
  <si>
    <t xml:space="preserve">Грабчак - 3 725 + 5 480; Монол-Буд Влаштування підлоги - 186 065;  БК ГМС - 35001; Бевза 4500
</t>
  </si>
  <si>
    <t>Диагностка електроинструменту - 400,02 + 345 + 200 +400 + 1801 + 1856 + 2126
масло на копресоры, ремени на компресор и трамбовку</t>
  </si>
  <si>
    <t>Ромб оборудование 500+2000
бетономешалка - 1500+4500+3000</t>
  </si>
  <si>
    <t>ЕНЕРГОТРАНСРЕМБУД" ПП = 4 581 890
Бевза - 3600
Грабчак 3900</t>
  </si>
  <si>
    <t>Ф.1 Добові при відрядженнях співробітників</t>
  </si>
  <si>
    <t>Ромб вивоз сміття - 4000+3000; Грінейра - 1889,69+250; обслуживание биотуалета 4400
Прочие затраты  по чекам от 07.11.22</t>
  </si>
  <si>
    <r>
      <t xml:space="preserve">АКТ №2  договір 28/07/22 від 28.07.2022 року  Проектные работы АгроінжинірінгAS000001260-50%
АКТ №2  договір 28/07/22 від 28.07.2022 року  ТП11 ТП 12 МШП68+треб227
АКТ №3  договір 28/07/22 від 28.07.2022 року  Влаштування майданчика для розміщення технологічного обладнання треб.242+спис. мшп72
АКТ №1  договір 28/07/22 від 28.07.2022 року  Монтаж транспортно-підіймального обладнання треб 221
АКТ №1  договір 28/07/22 від 28.07.2022 року  Влаштування живлення обладнання МШП70+треб229
АКТ №3  договір 28/07/22 від 28.07.2022 року  Влаштування перегородок блок А МШП66+треб225
АКТ №1  договір 28/07/22 від 28.07.2022 року  Електромонтажні роботи АБК МШП 71+треб230
АКТ №1  договір 28/07/22 від 28.07.2022 року  Ремонт покрівлі та світлоаераційних ліхтарів МШП63+треб222
АКТ №3  договір 28/07/22 від 28.07.2022 року  Оздоблювальні роботи блок А МШП65+треб224
АКТ №3  договір 28/07/22 від 28.07.2022 року  Влаштування офісно-побутових приміщень МШП62+треб220
АКТ №3  договір 28/07/22 від 28.07.2022 року  Влаштування технологічного майданчика для розміщення чилерів та драйвкулерів МШП69+треб228
АКТ №3  договір 28/07/22 від 28.07.2022 року  Благоустрій треб219+231
АКТ №1  договір 28/07/22 від 28.07.2022 року  Освітлення блок А субподряд AS000001922 Платинум треб.241
АКТ №1  договір 28/07/22 від 28.07.2022 року  Оздоблення блок Б МШП67+треб.226
АКТ №3  договір 28/07/22 від 28.07.2022 року  Оздоблювальні роботи блок Б МШП64+треб223
АКТ №3  договір 28/07/22 від 28.07.2022 року Монтаж покриття з профнастилу
АКТ №2  договір 28/07/22 від 28.07.2022 року Електромонтажні роботи РПпр-6 кВ прих AS000002058 Енерготрансрембуд на 13 475 765,20
АКТ №6  договір 28/07/22 від 28.07.2022 року Влаштування перегородок блок А треб258+мшп80+спис245
АКТ №3  договір 28/07/22 від 28.07.2022 року Влаштування перегородок блок Б кош02-01-01 треб.260+мшп82+спис.247
АКТ №1  договір 28/07/22 від 28.07.2022 року Влаштування перегородок ДУ 02-01-01 треб.263+мшп85+спис250
АКТ №1  договір 28/07/22 від 28.07.2022 року Блок адміністративних приміщень 1 треб.269+мшп88+спис.256
АКТ №2 договір 28/07/22 від 28.07.2022 року Блок адміністративних приміщень 1, Оздоблювальні роботи АБК треб.271+мшп90+спис258
АКТ №4 договір 28/07/22 від 28.07.2022 року Влаштування технологічного майданчика для розміщення чилерів та драйвкулерів треб.261+мшп83+спис248
АКТ №4 договір 28/07/22 від 28.07.2022 року Влаштування перегородок Блок Б треб.262+мшп84+спис.249
АКТ №3 договір 28/07/22 від 28.07.2022 року Влаштування майданчика для розміщення технологічного обладнання мшп 78
АКТ №4 договір 28/07/22 від 28.07.2022 року Влаштування перегородок блокА треб257+мшп79+спис244
АКТ №5 договір 28/07/22 від 28.07.2022 року Влаштування перегородок блокА (монтаж спецпланок) треб.259+мшп81+спис246
АКТ №4 договір 28/07/22 від 28.07.2022 року Ремонт покрівлі та світлоаераційних ліхтарів треб.256+мшп77+спис.243
АКТ №5 договір 28/07/22 від 28.07.2022 року Благоустрій треб.268+спис.255
АКТ №4 договір 28/07/22 від 28.07.2022 року Благоустрій (бетонування плити зони розвантаж.) треб.267+спис.254
АКТ №4 договір 28/07/22 від 28.07.2022 року Оздоблювальні роботи блок Б треб.270+мшп89+257
АКТ №5 договір 28/07/22 від 28.07.2022 року Додаткові об'єми Оздоблювальні роботи блок Б оздоблення внутрішніх поверхонь треб 254+мшп73+спис.241
АКТ №4 договір 28/07/22 від 28.07.2022 року Оздоблювання  внутрішніх поверхонь стін та стелі блок А треб 253+мшп75+спис.240
АКТ №3 договір 28/07/22 від 28.07.2022 року Монтаж покриття з профнастілу треб.277+спис.264
АКТ №4 договір 28/07/22 від 28.07.2022 року Демонтаж побутових приміщень треб.264+спис.251
АКТ №1 договір 28/07/22 від 28.07.2022 року Вентиляція Цех субподряд AS000001957 Кліматспейс на сумму 2 678 867,90
АКТ №4 договір 28/07/22 від 28.07.2022 року ТП11 ТП12 треб.265+мшп86+спис.252
АКТ №2 договір 28/07/22 від 28.07.2022 року Влаштування живлення треб.274+спис.261 субподряд СК ДП Буд AS000002059 - 351 164,96
АКТ №1 договір 28/07/22 від 28.07.2022 року Електромонтажні роботи треб.272+спис259
АКТ №1 договір 28/07/22 від 28.07.2022 року Фасад монтаж профнастила треб.266+мшп87+спис.253
АКТ №3 договір 28/07/22 від 28.07.2022 року Влаштування підлог Блок Б треб.276+мшп76+спис.242
АКТ №4 договір 28/07/22 від 28.07.2022 року Влаштування підлог Блок А треб.255+мшп92+спис.263
АКТ №1 договір 28/07/22 від 28.07.2022 року Опалення АБК треб.273+мшп91+спис.260
АКТ №1 договір 28/07/22 від 28.07.2022 року Водопостачання та водовідведення АБК треб.275+спис.262; </t>
    </r>
    <r>
      <rPr>
        <b/>
        <sz val="11"/>
        <color rgb="FF002060"/>
        <rFont val="Times New Roman"/>
        <family val="1"/>
        <charset val="204"/>
      </rPr>
      <t>генпордяд работі субподряда нет - 300 000,0 Скидка</t>
    </r>
  </si>
  <si>
    <r>
      <t>Львівський хімічний завод АТ - аренда баллонов - 792; Випробування електроінструменту - 1 752;</t>
    </r>
    <r>
      <rPr>
        <sz val="11"/>
        <color rgb="FF002060"/>
        <rFont val="Times New Roman"/>
        <family val="1"/>
        <charset val="204"/>
      </rPr>
      <t xml:space="preserve"> Киъвський завод ПТО - 38 520,0 + 40450 *1,2 монтаж крана + 313 740 кран; АГРО-ІНЖИНІРИНГ"ТОВ 196 000 грн (проектные работы), Климатспейс -2 678 867,90, Єнерготрансрембуд 13 475 765,20; Кендл Груп - 504, Спейбудизол - 74 266,25; СК ДП Буд = 351 165; Платинум Електрик - 361 835,83</t>
    </r>
  </si>
  <si>
    <t>Ромб оборудование 428,64
Бетономешалка - 3000+720
Бетононасос - 11 000</t>
  </si>
  <si>
    <t>Ромб автокран 10 500, каток 9200, подьемник - 54 000</t>
  </si>
  <si>
    <t>Расшифровка к актам в файле Акты
Убрала Климат Спейс</t>
  </si>
  <si>
    <t>Грінейра - 1889,69+250, обслуживание биотуалета 4 400
экспертиза 1 500
чай, сахар = 249,92 + 79,99 + 110; доставка материалов - 300,0 грн</t>
  </si>
  <si>
    <t>Кендл Груп - 16 580,84; Климатспейс 97 524,01 + 133 526,18;  Бевза - 2000; Платинум Електрик - 87 098</t>
  </si>
  <si>
    <t>Сігма єкскаватор - 5000</t>
  </si>
  <si>
    <t>Грінейра - 1889,69+250; обслуживание биотуалета 4 400; Львівський хімічний завод АТ - аренда баллонов - 792,0; Ф2: услуги заправщика при заправке газ баллона - 80,0;</t>
  </si>
  <si>
    <t>Ножичного підйомника - 5 200,0; Евро инвест Буд -автовішка - 10 150+7700; РОМБ -манипулятор 2 750 +5700+1500, екскаватора - 6 600,0; Самосвал МАЗ - 1 500,0; Сигма екскаватор - 6175</t>
  </si>
  <si>
    <t>Бepeзкa C.Б . - 2 300,0; Послуга перевезення РОМБ - 6 000,0</t>
  </si>
  <si>
    <t>Грінейра - 2599,26; Биотуалет - 3 520,0; Аренда мусорного бака - 250,0</t>
  </si>
  <si>
    <t>Грабчак Н.В. 10 960; СК ДП БУД - 148 391,88 + 142 173 + 28 078,18</t>
  </si>
  <si>
    <t>Шпак Роман Ігорович ФОП - 5 500 + 6 300 + 5 500 + 12 600; ЄВРО ІНВЕСТ БУД БК ТОВ - 21 600; Сігма-Інжиніринг ТОВ 22 200 + 10 000 + 9 500 ; Ромб - 1 700,0; Савченко С.І. ФОП - 9 500,0</t>
  </si>
  <si>
    <t>Львівський хімічний завод АТ - аренда баллонов;ГРІНЕРА УКРАЇНА - 1 417,27 + 250</t>
  </si>
  <si>
    <t>ТЕДАРЕНТ ТОВ - 30 400,0; Капіталпромбуд самосвал - 4000+8400+1300; Рябець О.А. ФОП - 27 000,0; Сігма-Інжиніринг ТОВ 10 500 + 25 050 +6500</t>
  </si>
  <si>
    <t>ИНДЕПТ СТИЛЛ (Цех) - 3,058 * 20 тыс = 61 160; Денбетон - 37 700 + 58 000+101500; ЕКОТОП ТОВ - Розробка та підготовка проєкту оуінки впливу на довкілля ОВД - 90 000,0</t>
  </si>
  <si>
    <t>Тимощук Святослав Євгенович ФОП - 4366,21; ГЕОСЕРВІС УКРАЇНА"ВЦ"ТОВ - 3 828</t>
  </si>
  <si>
    <t>Львівський хімічний завод АТ - аренда баллонов - 792,0; Биотуалет - 2 200,0; Гринера - вывоз мусора - 1889,69+4724;  Аренда мусорных баков - 500</t>
  </si>
  <si>
    <t xml:space="preserve"> Эфе Бетон 12 600*3</t>
  </si>
  <si>
    <t>9 800,0 - Сигма екскаватор; Престиж Буд Стиль - Послуги автокрана - 4000 + 4500 + 6000; ТЕДАРЕНТ ТОВ Оренда колінчастого підйомника Z45/25JDC - 30800</t>
  </si>
  <si>
    <t>Лук'ян Михайло Федорович ФОП - 2460 + 2931 + 3120; Тимощук Святослав Євгенович ФОП - 460+876+8497</t>
  </si>
  <si>
    <t>ПроЭко Сервис - 1490,31 - аренда биотуалета; Гринера - вывоз мусора - (1 417,27 + 250) *2</t>
  </si>
  <si>
    <t>добавить вливания инвестора по направлениям</t>
  </si>
  <si>
    <t>Август 2023</t>
  </si>
  <si>
    <t>Хурсин Тарас</t>
  </si>
  <si>
    <t>4 205,0 - Денбетон; 40 365 - Политранс - Виготовлення  відбійника L=3000mm  H=150mm; Изопол - 244 589,63; Климатспейс - 46 496,89+21 372,98+29 180; ДП СК БУД - 220 620,89+275 431,7</t>
  </si>
  <si>
    <t>ИндептТранс - 22 000,0</t>
  </si>
  <si>
    <t>Рыбак А.В. - 7 920,0 - вывоз мусора</t>
  </si>
  <si>
    <t>Варшавська - 10 000,0</t>
  </si>
  <si>
    <t>Огирчук, Зеленков</t>
  </si>
  <si>
    <t>МЕТАЛЕВІ КОНСТРУКЦІЇ СТРОНГ" ТОВ -  30 638,3 грн с НДС (Заблокирован НДС)</t>
  </si>
  <si>
    <t>12 мал Польские</t>
  </si>
  <si>
    <t>7 больш Польск</t>
  </si>
  <si>
    <t>Отправка писем</t>
  </si>
  <si>
    <t>Надання послуг з обстеження будівлі,що розташована на земельній ділянці з кадастровим номером: 3221284401:01:060:0134 (адреса: Київська область,Броварський район, с.Красилівка, вул.Київська,2)</t>
  </si>
  <si>
    <t>РДК 250 (2) - 138,0; Экскаватор JCB 2013 - 36,0</t>
  </si>
  <si>
    <t>Тужиков - 4 394,70; Башмаков - 18 000,0</t>
  </si>
  <si>
    <t>PL Печановка-2</t>
  </si>
  <si>
    <t>АГРОЛІДЕР СХІД ТОВ</t>
  </si>
  <si>
    <t>Козеев - 25 395,0 - сентябрь</t>
  </si>
  <si>
    <t>Бытовки Биогаз и Ретал</t>
  </si>
  <si>
    <t>Доход от доставки Казармы</t>
  </si>
  <si>
    <t>Вдовиченко Т.І.ФОП - Послуга перевезення екскаватора Кропивницький - Підгірці - 20 000</t>
  </si>
  <si>
    <t>НП - документы - 135,01; Деливери - 353,0</t>
  </si>
  <si>
    <t>ИТОГ</t>
  </si>
  <si>
    <t>август 2023</t>
  </si>
  <si>
    <t>Прочий налог</t>
  </si>
  <si>
    <t>Дом инструктора</t>
  </si>
  <si>
    <t>Смен в месяце</t>
  </si>
  <si>
    <t>Длительность смены</t>
  </si>
  <si>
    <t>Подразделение в Казне</t>
  </si>
  <si>
    <t>Лист в бюджете</t>
  </si>
  <si>
    <t>Госномер</t>
  </si>
  <si>
    <t>Серийный номер</t>
  </si>
  <si>
    <t>Год выпуска</t>
  </si>
  <si>
    <t>Топливный бак, л.</t>
  </si>
  <si>
    <t>Код подразделения в казне</t>
  </si>
  <si>
    <t>Цена за 1 час до 30.09.</t>
  </si>
  <si>
    <t>Цена за 1 час после 01.10.</t>
  </si>
  <si>
    <t>В месяц по ставки до 01.10</t>
  </si>
  <si>
    <t>В месяц по ставки после 01.10</t>
  </si>
  <si>
    <t>Часов работы в месяце</t>
  </si>
  <si>
    <t>Телескоп 1</t>
  </si>
  <si>
    <t>Телескоп №1</t>
  </si>
  <si>
    <t>16871АІ</t>
  </si>
  <si>
    <t>JCB5ANTGL81510876</t>
  </si>
  <si>
    <t>00-000171</t>
  </si>
  <si>
    <t>Телескоп 2</t>
  </si>
  <si>
    <t>Телескоп №2</t>
  </si>
  <si>
    <t>24257АІ</t>
  </si>
  <si>
    <t>JCB5ANSGE01524978</t>
  </si>
  <si>
    <t>00-000180</t>
  </si>
  <si>
    <t>Телескоп JCB 533-105 (№3)</t>
  </si>
  <si>
    <t>Телескоп №3</t>
  </si>
  <si>
    <t>74869АА</t>
  </si>
  <si>
    <t>JCB5AHTGK02146340</t>
  </si>
  <si>
    <t>00-000206</t>
  </si>
  <si>
    <t>Телескоп JCB 535-140 (№4)</t>
  </si>
  <si>
    <t>76330АА</t>
  </si>
  <si>
    <t>JCB5APWGL02176323</t>
  </si>
  <si>
    <t>00-000208</t>
  </si>
  <si>
    <t>Телескоп JCB 540-170 №5</t>
  </si>
  <si>
    <t>Телескоп №5</t>
  </si>
  <si>
    <t>79905АА</t>
  </si>
  <si>
    <t>5APXGJ02174932</t>
  </si>
  <si>
    <t>00-000219</t>
  </si>
  <si>
    <t>Виброкаток</t>
  </si>
  <si>
    <t>26123АІ</t>
  </si>
  <si>
    <t>H1890380</t>
  </si>
  <si>
    <t>00-000191</t>
  </si>
  <si>
    <t>Ротор Пегасус</t>
  </si>
  <si>
    <t>25685АІ</t>
  </si>
  <si>
    <t>HVL1561265</t>
  </si>
  <si>
    <t>00-000182</t>
  </si>
  <si>
    <t>Экскаватор  JCB</t>
  </si>
  <si>
    <t>Экскаватор JCB 2007</t>
  </si>
  <si>
    <t>23510АІ</t>
  </si>
  <si>
    <t>JCB3CX4TP70978367</t>
  </si>
  <si>
    <t>00-000179</t>
  </si>
  <si>
    <t>Экскаватор  JCB 3CX 2008</t>
  </si>
  <si>
    <t>76742АА</t>
  </si>
  <si>
    <t>JCB3CX4TL81343587</t>
  </si>
  <si>
    <t>00-000210</t>
  </si>
  <si>
    <t>Экскаватор  JCB 2013</t>
  </si>
  <si>
    <t>Экскаватор JCB 2013</t>
  </si>
  <si>
    <t>74303АА</t>
  </si>
  <si>
    <t>JCB3CX4TC02112313</t>
  </si>
  <si>
    <t>00-000198</t>
  </si>
  <si>
    <t xml:space="preserve">Экскаватор  JCB 220 </t>
  </si>
  <si>
    <t>Экскаватор JCB 220</t>
  </si>
  <si>
    <t>72992АА</t>
  </si>
  <si>
    <t>JCBJS22EV02135397</t>
  </si>
  <si>
    <t>00-000195</t>
  </si>
  <si>
    <t>МАЗ 264</t>
  </si>
  <si>
    <t>АА9157КМ</t>
  </si>
  <si>
    <t>Y3M5550C3K0000264</t>
  </si>
  <si>
    <t>00-000189</t>
  </si>
  <si>
    <t>МАЗ 265</t>
  </si>
  <si>
    <t>АА9158КМ</t>
  </si>
  <si>
    <t>Y3M5550C3K0000265</t>
  </si>
  <si>
    <t>00-000190</t>
  </si>
  <si>
    <t>00-000193</t>
  </si>
  <si>
    <t>РДК 250-3№2</t>
  </si>
  <si>
    <t>РДК 250 (2)</t>
  </si>
  <si>
    <t>00-000218</t>
  </si>
  <si>
    <t>Самосвал камаз</t>
  </si>
  <si>
    <t>КА2057АМ</t>
  </si>
  <si>
    <t>XTC53215R92363382</t>
  </si>
  <si>
    <t>00-000204</t>
  </si>
  <si>
    <t>Автокран XCMG</t>
  </si>
  <si>
    <t>КА2204ВС</t>
  </si>
  <si>
    <t>LXGCPA291GA008030</t>
  </si>
  <si>
    <t>00-000199</t>
  </si>
  <si>
    <t>Автокран XCMG QAY55</t>
  </si>
  <si>
    <t>Автокран XCMG 55</t>
  </si>
  <si>
    <t>75855АА</t>
  </si>
  <si>
    <t>LXGCPA364EA015832</t>
  </si>
  <si>
    <t>00-000209</t>
  </si>
  <si>
    <t>Автокран Клинцы</t>
  </si>
  <si>
    <t>Автокран клинцы</t>
  </si>
  <si>
    <t>КА6916АР</t>
  </si>
  <si>
    <t>XTC55111R82327398</t>
  </si>
  <si>
    <t>00-000205</t>
  </si>
  <si>
    <t>Подъемник Haulotte №1</t>
  </si>
  <si>
    <t>79025АА</t>
  </si>
  <si>
    <t>CD109095</t>
  </si>
  <si>
    <t>00-000217</t>
  </si>
  <si>
    <t>ЗА 1 день (без  оператора и топлива)</t>
  </si>
  <si>
    <t>Сентябрь 2023</t>
  </si>
  <si>
    <t xml:space="preserve">Досписання Акт №13 від 11.05.23  дог підр №12-10/21 від 12.10.2021 р. Влашт. отворів під інж. комунікації </t>
  </si>
  <si>
    <t>сентябрь 2023</t>
  </si>
  <si>
    <t>і</t>
  </si>
  <si>
    <t>2684 грн. - Компенсанция судебного сбора (ТОВ Солома);
3 054,62 грн. - проценты банка;</t>
  </si>
  <si>
    <t>ОІЛ ПАРТНЕР ТОВ МАН3:
1) за маршрутом: Tuzla, Turkey - ПП Порубне (Україна), 
2) вантажу за маршрутом: ПП Порубне (Україна) - м. Кривий Ріг (Україна).</t>
  </si>
  <si>
    <t>27 мал Польские</t>
  </si>
  <si>
    <t>10 больш Польск</t>
  </si>
  <si>
    <t>сент.23</t>
  </si>
  <si>
    <t>Переплата Трансу</t>
  </si>
  <si>
    <t>вернуть в октябре</t>
  </si>
  <si>
    <t>ЦО распределить Строительстов 2/ Производство 1</t>
  </si>
  <si>
    <t>Октябрь 2023</t>
  </si>
  <si>
    <t>Ноябрь 2023</t>
  </si>
  <si>
    <t>ТОП Метал+ Ретал + Єнерготрансрембуд</t>
  </si>
  <si>
    <t>ТОВ "БУДПРОКАТ-УКРАЇНА" - 5 000,0 (Повернення гарантiйного платежу); 7200 приход с магазина, возврат залога</t>
  </si>
  <si>
    <t>ф.2
генератор</t>
  </si>
  <si>
    <t>ТОВ "Київський завод ПТО"</t>
  </si>
  <si>
    <t>Веста ТОВ</t>
  </si>
  <si>
    <t>41 200 - возврат залоговой суммы</t>
  </si>
  <si>
    <t>перемещение в цех</t>
  </si>
  <si>
    <t>10 Лед ламп продажа на ЦЕХ</t>
  </si>
  <si>
    <t>ХАРКІВПРОМБУД ТОВ - 489 920,66; 176 054,59 - Климатспейс; Крафт Инновейшн - 18 000</t>
  </si>
  <si>
    <r>
      <t xml:space="preserve">ХАРКІВПРОМБУД ТОВ - 37 262,26; ДП СК БУД - 20 000,0; </t>
    </r>
    <r>
      <rPr>
        <sz val="11"/>
        <color rgb="FFFF0000"/>
        <rFont val="Times New Roman"/>
        <family val="1"/>
        <charset val="204"/>
      </rPr>
      <t>Спецтехинвест - 47 096,2 - проведено сентябрем</t>
    </r>
    <r>
      <rPr>
        <sz val="11"/>
        <rFont val="Times New Roman"/>
        <family val="1"/>
        <charset val="204"/>
      </rPr>
      <t>; Вогнеборець - 4 401,67; ИндептСтил - 55 871,20 - ремонт вагончиков;  ИндептТранс - 24 900,0 - ремонт подъемника Houlotte в сентябре</t>
    </r>
  </si>
  <si>
    <r>
      <t>Спецтехинвест - 47 096,2; Крафт Иновейшн - 963 638,29;</t>
    </r>
    <r>
      <rPr>
        <b/>
        <sz val="11"/>
        <color rgb="FFFF0000"/>
        <rFont val="Times New Roman"/>
        <family val="1"/>
        <charset val="204"/>
      </rPr>
      <t xml:space="preserve"> БетонБУД - 1 325 409,74; КонкретБУД - 399 999,99; ИндептТранс - 24 900,0 - ремонт подъемника Houlotte в сентябре</t>
    </r>
  </si>
  <si>
    <t>"Пері Україна ТОВ 67 100,43</t>
  </si>
  <si>
    <t>Пері Україна  опалубка 62 928</t>
  </si>
  <si>
    <t>МШП (досписание) - 2 983,37; МШП по доп.акту - 95 337,94</t>
  </si>
  <si>
    <t>Досписание - 487 685,52; Перемещение в ЦЕХ + Приднепровский-Металл- 684 120,85; Списание по доп.акту - 1 546 137,41</t>
  </si>
  <si>
    <t>приезд новой бригады 4 человека. погоджено директором по будівництву - 5 320; Проезд бр.Бетонщики - 855,0; Шкурат - проїзд вінниця-Львів 240,0; проїзд вж/д вокзал таксі - 250,0; Проезд Овсянников - 545,69 грн</t>
  </si>
  <si>
    <t>561,59 - отъезд с объекта Латыша; 5 865,14грн. - Проезд бр. Жука 4 челов, бр. Фасадчиков – 5чел. Жорж написал письмо на доп.согласование Старикову</t>
  </si>
  <si>
    <t>Досписание - 880,8; Списание по доп.акту - 6 883,68</t>
  </si>
  <si>
    <t>БетонБУД - 1 325 409,74</t>
  </si>
  <si>
    <t>Перемещение в ЦЕХ + Приднепровский-Металл- 684 120,85</t>
  </si>
  <si>
    <t>Климатспейс - 239 546,93</t>
  </si>
  <si>
    <t>КрафтІнновейшн</t>
  </si>
  <si>
    <t>* оплатили 22/09 - 382 217,04; оплатили 28/09 - 47 911,65; после регистрации НДС - 169 567,46</t>
  </si>
  <si>
    <t>* оплатили 14/09 - 8 000,0; После регистрации НДС - 2 000,0</t>
  </si>
  <si>
    <t>Гаврилюк Олександр Володимирович ФОП - 316 360 + 3 720; Мельник  Сергій Вікторович ФОП - 69 350</t>
  </si>
  <si>
    <t>PL Старкон Убежище</t>
  </si>
  <si>
    <t>АКТ</t>
  </si>
  <si>
    <t xml:space="preserve">Ф1: 5 000,0 - Будпрокат (возврат гарантийного платежа); 27 986,0 - Киевский завод ПТО (Гарантійні зобов"язання по монтажних та пусконалагоджувальних роботах згідно договору 290822-71 від 29.08.2022) ; 18 000,0 - Веста ТОВ (Гарантійні зобов"язання по згідно договору 30/08/2021 від 30.08.2021); 4 750,0 - Стил (10 ламп); Ф2: 7 200,0 - возврат залога с магазина; 33 800,0 - генератор; 41 200,0 - залоговая сумма за квартиры; </t>
  </si>
  <si>
    <t>Козеев</t>
  </si>
  <si>
    <t>Матвиюк - за работы в июле. Акты поданы в октябре, выплачены в ноябре</t>
  </si>
  <si>
    <t>КОЗЛЕНКО ІГОР ІВАНОВИЧ ФОП - Розробка проектної документації - 54 672,0</t>
  </si>
  <si>
    <t>октябрь 2023</t>
  </si>
  <si>
    <t>окт.23</t>
  </si>
  <si>
    <t>ДС к распределению</t>
  </si>
  <si>
    <t>Резервный фонд</t>
  </si>
  <si>
    <t>ИБ ОТП Депозит</t>
  </si>
  <si>
    <t>ИС у.е. - 30 000</t>
  </si>
  <si>
    <t>И.П.С. Трейд</t>
  </si>
  <si>
    <t>ДД</t>
  </si>
  <si>
    <t>Інструмент для гнуття арматури до 16 мм</t>
  </si>
  <si>
    <t>Аренда баллонов</t>
  </si>
  <si>
    <t>Кайлас</t>
  </si>
  <si>
    <t>Ассетс ВФ</t>
  </si>
  <si>
    <t>Декабрь 2023</t>
  </si>
  <si>
    <t>отправка писем ина Далгакиран</t>
  </si>
  <si>
    <t>Diff</t>
  </si>
  <si>
    <t>Diff CF - PnL</t>
  </si>
  <si>
    <t>Или была большая предоплата на начало 2023 года, или сейчас большая КЗ</t>
  </si>
  <si>
    <t>??? Задолженность на начало периода</t>
  </si>
  <si>
    <t xml:space="preserve">??? Задолженность на начало периода </t>
  </si>
  <si>
    <t>Финансовая помощь по CF</t>
  </si>
  <si>
    <t>Разница по оплате фин.агенту по CF</t>
  </si>
  <si>
    <t>Доход CF</t>
  </si>
  <si>
    <t>CF 2023</t>
  </si>
  <si>
    <t>Премия Гриценко в Админ персонале</t>
  </si>
  <si>
    <t>- 327К молниезащита
- 100К аренда цеха в марте 23
-137,5К - электроэнергия цеха
-67К - услуги автротранспорта</t>
  </si>
  <si>
    <t>Транспортніе расході
67К - отраженые в услугах сторонних оранизаций</t>
  </si>
  <si>
    <t>327К - Молниезащита (прошла в CF в услугах сторонних организаций)</t>
  </si>
  <si>
    <t>С Премией Гриценко А.</t>
  </si>
  <si>
    <t>100 848 грн. - стоит в марте 23 в услугах сторонних организаций; 137,5К - електроенергия - в CF стоит в услугах сторонних организаций</t>
  </si>
  <si>
    <t>ИБ корпоративная карта</t>
  </si>
  <si>
    <t>Спецодежда</t>
  </si>
  <si>
    <t>ГСМ (топливо)</t>
  </si>
  <si>
    <t>Периодика</t>
  </si>
  <si>
    <t>План по СС</t>
  </si>
  <si>
    <t>НП, Укрпочта</t>
  </si>
  <si>
    <t>Два рейса: собственный груз (БЦ-Запорожье, Запорожье-Бровары)</t>
  </si>
  <si>
    <t>Водитель: Коваль Валерій Васильович (1254 км.)</t>
  </si>
  <si>
    <t>Топливо - 400 л (1254 км. Пробег), EcoBlue и AdBlue ( грн.);
ср.расход - 17,54 грн/км, рідина</t>
  </si>
  <si>
    <t>9 196,00 грн. - страховка; 4400 грн. - Організація робіт по отриманню протокола обов’язкового технічного контролю транспортних
засобів</t>
  </si>
  <si>
    <t>2024</t>
  </si>
  <si>
    <t>Три рейса (собственный груз)</t>
  </si>
  <si>
    <t>Водитель: Громов Юрий (940 км.)</t>
  </si>
  <si>
    <t>Топливо - 305 л (940 км. Пробег), EcoBlue и AdBlue ( грн.);
ср.расход - 17,88 грн/км, рідина</t>
  </si>
  <si>
    <t>Організація робіт по отриманню протокола обов’язкового технічного контролю транспортних
засобів</t>
  </si>
  <si>
    <t>Обслуживание ноутбука</t>
  </si>
  <si>
    <t>Новая почта (50%) - за январь 2024</t>
  </si>
  <si>
    <t>Заец Алексей</t>
  </si>
  <si>
    <t>Киевстар - компенсация за простой связи в декабре 2023</t>
  </si>
  <si>
    <t>6964,50 - винагорода виконавця, 7300,00 грн – витрати на правничу допомогу, судовий збір -2684,00 грн, витрати 569грн</t>
  </si>
  <si>
    <t>В т.ч. штраф - 77 178,50 грн.</t>
  </si>
  <si>
    <t>Накопительный PL (Октябрь 2023 - Январь 2024)</t>
  </si>
  <si>
    <t>Факт PnL на 01.02.2024</t>
  </si>
  <si>
    <t>Накопительный PL (Январь 2022 - Январь 2024)</t>
  </si>
  <si>
    <t>50 000 - за обслуживание спецтехники;
1) 40 563 - Староконстантинов (76706,4 наработка - ПММ и ЗП - 36143,2);
2) 123 623 - Крушинка (442 383 наработка - ПММ и ЗП - 318760 грн.);
3) 199 800 - Подгорцы (199 800 наработка);
4) 8 291 - Турбина-2 (15 341 наработка - ПММ и ЗП - 7 050);
5) 102 032 - Ладыжин-3 (222 845 наработка - ПММ и ЗП - 120 814);
6) 29 420 - Флекситанки (54 437  наработка - ПММ и ЗП -25016);</t>
  </si>
  <si>
    <t>2635,28 грн. - Судебный сбор по Металургбуд, 88 900 грн. - АКИМ</t>
  </si>
  <si>
    <t>Ф1 - ЗП механихаторов по КГ Подгорцы;
Ф2 - ЗП механизаторов по Ф2 (за январь 2024 г.)</t>
  </si>
  <si>
    <t>Ф1 - ЗП механихаторов по КГ Подгорцы;</t>
  </si>
  <si>
    <t>GPS - 2 400 (15 единиц спец.техники по 160 грн.)</t>
  </si>
  <si>
    <t>Экскаватор  JCB 3CX 2008 - 4 684 грн.
Автокран Клинцы - 266 грн.</t>
  </si>
  <si>
    <t>Автокран Клинцы - 38 016 грн.</t>
  </si>
  <si>
    <t>Экскаватор  JCB 3CX 2008 - 7 275 грн.
Телескоп 1 - 7 060 грн.
Телескоп 2 - 5 200 грн.
МАЗ 265 - 3 730 грн.
МАЗ 264 - 2 570 грн.
Подъемник Haulotte №1 - 1 940 грн.
Телескоп 5 - 1 200 грн.
Экскаватор  JCB 220  - 800 грн.
Камаз - 492 грн.
Ротор Пегасус - 400 грн.
РДК 250-3№2 - 351 грн.
САМОСВАЛ МАЗ - 200 грн.
Автокран XCMG QAY55 - 200 грн.
Телескоп 3 - 200 грн.
Телескоп 4 - 200 грн.
Виброкаток - 200 грн.
Экскаватор  JCB 2013 - 200 грн.
РДК 250 - 200 грн.
Автокран XCMG - 200 грн.
Экскаватор JCB 2007 - 200 грн.</t>
  </si>
  <si>
    <t>Два ноутбука (обслуживание)</t>
  </si>
  <si>
    <t>Гриценко С., Соколенко Т,</t>
  </si>
  <si>
    <t>Топливо Гриценко С.</t>
  </si>
  <si>
    <t>РКО Ф1 + Ф2</t>
  </si>
  <si>
    <t>1 827,31 - проценты банка</t>
  </si>
  <si>
    <t>PL МК Щедро. Флекситанки</t>
  </si>
  <si>
    <t>СС МК Щедро. Флекситанки</t>
  </si>
  <si>
    <t>PL МК Шаблон</t>
  </si>
  <si>
    <t>СС МК Шаблон</t>
  </si>
  <si>
    <t>Доставка</t>
  </si>
  <si>
    <t>ЗП МК Шедро</t>
  </si>
  <si>
    <t>за КМД</t>
  </si>
  <si>
    <t>1) 2 580,73 - доставка Новая Почта</t>
  </si>
  <si>
    <t>Январь 2024</t>
  </si>
  <si>
    <t>Февраль 2024</t>
  </si>
  <si>
    <t>Март 2024</t>
  </si>
  <si>
    <t>Налог на прибыль</t>
  </si>
  <si>
    <t>операционная прибыль по компании 2022 - 2024г.</t>
  </si>
  <si>
    <t xml:space="preserve">ЗП Коваль лютий 5074 км </t>
  </si>
  <si>
    <t>15 рейсов в т ч  10 собственный груз. 5074 км</t>
  </si>
  <si>
    <t xml:space="preserve">
GPS - 160 грн</t>
  </si>
  <si>
    <t>Минимакс БЦ- проведение то</t>
  </si>
  <si>
    <t>15 рейсов  в т ч 4 постороних грузов (4640 км)</t>
  </si>
  <si>
    <t>Громов  4926 км в т ч корректировка января 286 км (2860 грн)</t>
  </si>
  <si>
    <t>Топливо 1 609л(5074 км пробег)  + EcoBlue и AdBlue  2936 грн 16,85 грн /км 
ф2 парковка- 500 грн, отк-500 грн</t>
  </si>
  <si>
    <t>1973,26 грн - проценты банка</t>
  </si>
  <si>
    <t>Киевстар</t>
  </si>
  <si>
    <t>Новая почта, Укрпочта</t>
  </si>
  <si>
    <t>мышка 229 грн
Обслуживание ноутбуков - 350 грн</t>
  </si>
  <si>
    <t xml:space="preserve">Долг перед Оптимус по представительским 88 986 грн - 1% комиссии = 88 100 на карту </t>
  </si>
  <si>
    <t>Топливо - 1704 л (4926), EcoBlue и AdBlue ( 3 418,08 грн.); ср расход 17.5 гр/км
ф2 - парковка, отк</t>
  </si>
  <si>
    <t>Факт PnL на 01.03.2024</t>
  </si>
  <si>
    <t>29,677*21530грн+63600 доставка</t>
  </si>
  <si>
    <t>Устранение замечений по покраски</t>
  </si>
  <si>
    <t>Списание МПН (документі в 1С: СТ00-000011, СТ00-000012, СТ00-000013</t>
  </si>
  <si>
    <t>50 000 - за обслуживание спецтехники;
1) 82 749,16 - Староконстантинов (156 876,96 наработка - ПММ и ЗП - 74 127,81 грн);
2)201 309,35 - Крушинка (496 407,08 наработка - ПММ и ЗП - 295 097,73 грн.);
3) 115 200 - Подгорцы  наработка
4)73 259,11 - Флекситанки (99 965,76 наработка - ПММ и ЗП -26 706,65)
5) 47 612,38 - Ладыжин-3 (106 588,98 наработка - ПММ и ЗП -58 976,66);
6) 16 198,88 Нежин  (78 071,95  наработка - ПММ и ЗП -61 873,07)</t>
  </si>
  <si>
    <t>ф1 Трохименко, Трубилко (Подгорцы)
ф2 - зп механизаторы</t>
  </si>
  <si>
    <t>Телескоп 5 - 6 600 грн эвакуатор 
Экскаватор 220 -14 400 грн эвакуатор
Экскаватор  JCB 3CX 2008 - 7968 грн диагностика
Автокран XCMG - 9 372 грн диагностика
GPS - 2 400 (15 единиц спец.техники по 160 грн.)</t>
  </si>
  <si>
    <t>Экскававтор JCB 220 - 115 021,76грн
Телескоп  1 - 12 241,97 грн
РДК 2  - 47 070  грн
Телескоп 5 - 21 875,45 грн 
Автокран XCMG QAY55  - 49 900 ремонт электрики
Экскаватор  JCB 3CX 2008 - 26 207,04 грн
Ремонт подъемника  електрооборудование</t>
  </si>
  <si>
    <t xml:space="preserve">Экскаватор  JCB 2013 - 3 835,01 грн шиномонтаж, масло
Телескоп 2 - 69 280 грн шины
Телескоп 5 - 600 грн 
Экскаватор JCB - 13 400 грн шины
Телескоп 1 - 512,4 грн 
Экскаватор JCB - 1024,8 грн
Экскаватор JCB 2013 Подгорцы топливо- 25 434,7
1400 НП доставка акб, шины
вахтовый журнал - 3 780 грн
ф2 - проезды, шиномонтаж </t>
  </si>
  <si>
    <t>Гриценко, Соколенко, Борецька</t>
  </si>
  <si>
    <t xml:space="preserve"> Заец, Борецкая
</t>
  </si>
  <si>
    <t>Прибыль в распоряжении компании на 1.03.2024г. Минус Фин деятельность, Инвест деятельности</t>
  </si>
  <si>
    <t xml:space="preserve"> 14 рейсов  в т ч  7 собственный груз 3007 км </t>
  </si>
  <si>
    <t xml:space="preserve">ЗП Коваль март  3007 км </t>
  </si>
  <si>
    <t>Валоис 1990 грн  обслуговування тахографа
GPS - 160 грн</t>
  </si>
  <si>
    <t>Трак тир - 8561,48 грн ремонт стартера</t>
  </si>
  <si>
    <t>ТОВ Аким - 960 грн мойка
Топливо 982 км (3007 км пробег) - 16.09 грн/км</t>
  </si>
  <si>
    <t>6 рейсов 1924 км</t>
  </si>
  <si>
    <t>Голуб, Громов</t>
  </si>
  <si>
    <t>GPS - 160 грн</t>
  </si>
  <si>
    <t>Минимакс БЦ- 36 773,62 грн
Технічне накриття - 7056 грн (ремонт тента)</t>
  </si>
  <si>
    <t>Топливо 693 л (1924 км) ср расход 17,75 грн/км</t>
  </si>
  <si>
    <t>Обслуживание ноутбуков - 700 грн</t>
  </si>
  <si>
    <t xml:space="preserve"> проценты банка</t>
  </si>
  <si>
    <t>Накопительный PL (Июль 2022 - Март 2024)</t>
  </si>
  <si>
    <t>Накопительный PL (Сентябрь 2022 - Март 2024)</t>
  </si>
  <si>
    <t>Накопительный PL (Октябрь 2023 - Март 2024)</t>
  </si>
  <si>
    <t>50 000 - за обслуживание спецтехники;
1) 41 897,7- Староконстантинов (78 246,3 грн  наработка - ПММ и ЗП -36 348,6 грн);
2)409 484,08 Крушинка (646 272,98 грн  наработка - ПММ и ЗП -236 788,9 грн);
3) 35 874,65 грн -Флекситанки ( 55 426,56 грн  наработка -  ПММ и ЗП - 19 551,91 грн)
4) 36 280,48 -Ладыжин-3 (90 684,87 грн  наработка -  ПММ и ЗП - 54 404,39 грн)
5)212 005,37 грн -Нежин (512 256,3грн  наработка -  ПММ и ЗП - 300 250,93грн)
66 375 грн - Аким РДК2</t>
  </si>
  <si>
    <t>зп механизаторов за  март</t>
  </si>
  <si>
    <t>зарядное устройство гриценко -420 грн
Два ноутбука (обслуживание) - 700 грн</t>
  </si>
  <si>
    <t>Страховка МАЗ  264 -4 882 грн
МАЗ 265 - 4 882 грн</t>
  </si>
  <si>
    <t>Компенсация проеда Якубовский</t>
  </si>
  <si>
    <t xml:space="preserve">Ремонт Колес, шиномонтаж (Маз 264 - 300 грн, Телескоп 1 - 1100 грн, Камаз -1 750 грн, Автокран XCMG-650 грн,Экскаватор JCB 2013-1900 грн)
Монтаж демонтаж, подкачка колес (5 050 грн МАЗ 264,  5050 МАЗ 265)
Телескоп 1 - 2640 грн
Ротор шины - 107 502 грн
Телескоп 4 - 1900 грн
Экскаватор JCB 2008- 3840 грн
Камаз - 1000 грн
</t>
  </si>
  <si>
    <t>Экскававтор JCB 220  - 252 010,84 грн
Телескоп 5 - 39 614,23 грн
Телескоп  2 - 54 175,75грн
Камаз 8650 грн
Телескоп  4 - 68 328,05 грн
РДК -2 - 169 400 грн покраска
Экскаватор JCB 2008 - 13910 грн ( то в т ч АКБ)
Подъемник Haulotte №1 Розьем штиревой на 37 контактов-4 920 грн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</si>
</sst>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4" formatCode="_-* #,##0.00\ &quot;₽&quot;_-;\-* #,##0.00\ &quot;₽&quot;_-;_-* &quot;-&quot;??\ &quot;₽&quot;_-;_-@_-"/>
    <numFmt numFmtId="164" formatCode="_-* #,##0.00_₴_-;\-* #,##0.00_₴_-;_-* &quot;-&quot;??_₴_-;_-@_-"/>
    <numFmt numFmtId="165" formatCode="_-* #,##0.00\ _₽_-;\-* #,##0.00\ _₽_-;_-* &quot;-&quot;??\ _₽_-;_-@_-"/>
    <numFmt numFmtId="166" formatCode="_-* #,##0.00\ _₴_-;\-* #,##0.00\ _₴_-;_-* &quot;-&quot;??\ _₴_-;_-@_-"/>
    <numFmt numFmtId="167" formatCode="_-* #,##0\ _₴_-;\-* #,##0\ _₴_-;_-* &quot;-&quot;??\ _₴_-;_-@_-"/>
    <numFmt numFmtId="168" formatCode="0.0"/>
    <numFmt numFmtId="169" formatCode="#,##0.0"/>
    <numFmt numFmtId="171" formatCode="#,##0.00_ ;\-#,##0.00\ "/>
    <numFmt numFmtId="172" formatCode="#,##0.00000"/>
    <numFmt numFmtId="173" formatCode="_-* #,##0.00\ &quot;грн.&quot;_-;\-* #,##0.00\ &quot;грн.&quot;_-;_-* &quot;-&quot;??\ &quot;грн.&quot;_-;_-@_-"/>
    <numFmt numFmtId="174" formatCode="_-* #,##0.00_р_._-;\-* #,##0.00_р_._-;_-* &quot;-&quot;??_р_._-;_-@_-"/>
    <numFmt numFmtId="175" formatCode="0.000"/>
    <numFmt numFmtId="176" formatCode="_-* #,##0.00\ _г_р_н_._-;\-* #,##0.00\ _г_р_н_._-;_-* &quot;-&quot;??\ _г_р_н_._-;_-@_-"/>
    <numFmt numFmtId="177" formatCode="[$-419]mmmm\ yyyy;@"/>
    <numFmt numFmtId="178" formatCode="#,##0.00_ ;[Red]\-#,##0.00\ "/>
  </numFmts>
  <fonts count="193"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Tahoma"/>
      <family val="2"/>
      <charset val="204"/>
    </font>
    <font>
      <sz val="11"/>
      <color theme="1"/>
      <name val="Times New Roman"/>
      <family val="1"/>
      <charset val="204"/>
    </font>
    <font>
      <b/>
      <sz val="11"/>
      <color theme="1"/>
      <name val="Times New Roman"/>
      <family val="1"/>
      <charset val="204"/>
    </font>
    <font>
      <sz val="11"/>
      <name val="Times New Roman"/>
      <family val="1"/>
      <charset val="204"/>
    </font>
    <font>
      <b/>
      <sz val="10"/>
      <color indexed="18"/>
      <name val="Tahoma"/>
      <family val="2"/>
      <charset val="204"/>
    </font>
    <font>
      <sz val="10"/>
      <name val="Arial"/>
      <family val="2"/>
      <charset val="204"/>
    </font>
    <font>
      <sz val="11"/>
      <color indexed="8"/>
      <name val="Times New Roman"/>
      <family val="1"/>
      <charset val="204"/>
    </font>
    <font>
      <b/>
      <sz val="11"/>
      <color theme="4" tint="-0.499984740745262"/>
      <name val="Times New Roman"/>
      <family val="1"/>
      <charset val="204"/>
    </font>
    <font>
      <b/>
      <sz val="11"/>
      <color indexed="18"/>
      <name val="Times New Roman"/>
      <family val="1"/>
      <charset val="204"/>
    </font>
    <font>
      <sz val="11"/>
      <color indexed="18"/>
      <name val="Times New Roman"/>
      <family val="1"/>
      <charset val="204"/>
    </font>
    <font>
      <sz val="11"/>
      <color rgb="FFFF0000"/>
      <name val="Times New Roman"/>
      <family val="1"/>
      <charset val="204"/>
    </font>
    <font>
      <sz val="11"/>
      <color theme="3" tint="-0.499984740745262"/>
      <name val="Times New Roman"/>
      <family val="1"/>
      <charset val="204"/>
    </font>
    <font>
      <b/>
      <sz val="11"/>
      <color indexed="56"/>
      <name val="Times New Roman"/>
      <family val="1"/>
      <charset val="204"/>
    </font>
    <font>
      <b/>
      <i/>
      <sz val="9"/>
      <color indexed="18"/>
      <name val="Times New Roman"/>
      <family val="1"/>
      <charset val="204"/>
    </font>
    <font>
      <sz val="9"/>
      <color rgb="FFFF0000"/>
      <name val="Tahoma"/>
      <family val="2"/>
      <charset val="204"/>
    </font>
    <font>
      <sz val="11"/>
      <color theme="1"/>
      <name val="Calibri"/>
      <family val="2"/>
      <scheme val="minor"/>
    </font>
    <font>
      <b/>
      <sz val="10"/>
      <color indexed="43"/>
      <name val="Times New Roman"/>
      <family val="1"/>
      <charset val="204"/>
    </font>
    <font>
      <b/>
      <sz val="10"/>
      <color indexed="18"/>
      <name val="Times New Roman"/>
      <family val="1"/>
      <charset val="204"/>
    </font>
    <font>
      <b/>
      <i/>
      <sz val="10"/>
      <color indexed="18"/>
      <name val="Times New Roman"/>
      <family val="1"/>
      <charset val="204"/>
    </font>
    <font>
      <b/>
      <sz val="10"/>
      <color rgb="FFFF0000"/>
      <name val="Tahoma"/>
      <family val="2"/>
      <charset val="204"/>
    </font>
    <font>
      <b/>
      <i/>
      <sz val="9"/>
      <color theme="3" tint="-0.499984740745262"/>
      <name val="Times New Roman"/>
      <family val="1"/>
      <charset val="204"/>
    </font>
    <font>
      <b/>
      <i/>
      <sz val="9"/>
      <color indexed="18"/>
      <name val="Tahoma"/>
      <family val="2"/>
      <charset val="204"/>
    </font>
    <font>
      <b/>
      <i/>
      <sz val="9"/>
      <color indexed="56"/>
      <name val="Times New Roman"/>
      <family val="1"/>
      <charset val="204"/>
    </font>
    <font>
      <b/>
      <i/>
      <sz val="9"/>
      <color rgb="FFFF0000"/>
      <name val="Times New Roman"/>
      <family val="1"/>
      <charset val="204"/>
    </font>
    <font>
      <b/>
      <i/>
      <sz val="9"/>
      <name val="Times New Roman"/>
      <family val="1"/>
      <charset val="204"/>
    </font>
    <font>
      <b/>
      <i/>
      <sz val="9"/>
      <name val="Tahoma"/>
      <family val="2"/>
      <charset val="204"/>
    </font>
    <font>
      <b/>
      <sz val="8"/>
      <color indexed="18"/>
      <name val="Times New Roman"/>
      <family val="1"/>
      <charset val="204"/>
    </font>
    <font>
      <sz val="8"/>
      <color theme="1"/>
      <name val="Arial"/>
      <family val="2"/>
      <charset val="204"/>
    </font>
    <font>
      <b/>
      <sz val="9"/>
      <color indexed="81"/>
      <name val="Tahoma"/>
      <family val="2"/>
      <charset val="204"/>
    </font>
    <font>
      <i/>
      <sz val="9"/>
      <color theme="3" tint="-0.499984740745262"/>
      <name val="Times New Roman"/>
      <family val="1"/>
      <charset val="204"/>
    </font>
    <font>
      <i/>
      <sz val="9"/>
      <color rgb="FFFF0000"/>
      <name val="Times New Roman"/>
      <family val="1"/>
      <charset val="204"/>
    </font>
    <font>
      <i/>
      <sz val="9"/>
      <color indexed="18"/>
      <name val="Times New Roman"/>
      <family val="1"/>
      <charset val="204"/>
    </font>
    <font>
      <i/>
      <sz val="9"/>
      <color indexed="18"/>
      <name val="Tahoma"/>
      <family val="2"/>
      <charset val="204"/>
    </font>
    <font>
      <i/>
      <sz val="9"/>
      <color indexed="56"/>
      <name val="Times New Roman"/>
      <family val="1"/>
      <charset val="204"/>
    </font>
    <font>
      <sz val="9"/>
      <color indexed="81"/>
      <name val="Tahoma"/>
      <family val="2"/>
      <charset val="204"/>
    </font>
    <font>
      <sz val="8"/>
      <color indexed="8"/>
      <name val="Calibri"/>
      <family val="2"/>
      <charset val="204"/>
    </font>
    <font>
      <sz val="8"/>
      <color rgb="FF4D4D4D"/>
      <name val="Arial"/>
      <family val="2"/>
      <charset val="204"/>
    </font>
    <font>
      <b/>
      <sz val="14"/>
      <color rgb="FFFF0000"/>
      <name val="Calibri"/>
      <family val="2"/>
      <charset val="204"/>
      <scheme val="minor"/>
    </font>
    <font>
      <b/>
      <sz val="11"/>
      <color rgb="FFFF0000"/>
      <name val="Calibri"/>
      <family val="2"/>
      <charset val="204"/>
      <scheme val="minor"/>
    </font>
    <font>
      <b/>
      <sz val="11"/>
      <color theme="1"/>
      <name val="Calibri"/>
      <family val="2"/>
      <charset val="204"/>
      <scheme val="minor"/>
    </font>
    <font>
      <b/>
      <i/>
      <sz val="11"/>
      <color theme="1"/>
      <name val="Calibri"/>
      <family val="2"/>
      <charset val="204"/>
      <scheme val="minor"/>
    </font>
    <font>
      <i/>
      <sz val="9"/>
      <color theme="1"/>
      <name val="Calibri"/>
      <family val="2"/>
      <charset val="204"/>
      <scheme val="minor"/>
    </font>
    <font>
      <sz val="8"/>
      <color theme="1"/>
      <name val="Calibri"/>
      <family val="2"/>
      <charset val="204"/>
      <scheme val="minor"/>
    </font>
    <font>
      <sz val="8"/>
      <name val="Calibri"/>
      <family val="2"/>
      <charset val="204"/>
      <scheme val="minor"/>
    </font>
    <font>
      <b/>
      <sz val="10"/>
      <color rgb="FF003F2F"/>
      <name val="Arial"/>
      <family val="2"/>
      <charset val="204"/>
    </font>
    <font>
      <b/>
      <i/>
      <u/>
      <sz val="14"/>
      <color theme="1"/>
      <name val="Calibri"/>
      <family val="2"/>
      <charset val="204"/>
      <scheme val="minor"/>
    </font>
    <font>
      <sz val="8"/>
      <color rgb="FFFF0000"/>
      <name val="Tahoma"/>
      <family val="2"/>
      <charset val="204"/>
    </font>
    <font>
      <sz val="10"/>
      <color rgb="FFFF0000"/>
      <name val="Tahoma"/>
      <family val="2"/>
      <charset val="204"/>
    </font>
    <font>
      <sz val="11"/>
      <color theme="3"/>
      <name val="Times New Roman"/>
      <family val="1"/>
      <charset val="204"/>
    </font>
    <font>
      <b/>
      <sz val="11"/>
      <color rgb="FFFF0000"/>
      <name val="Times New Roman"/>
      <family val="1"/>
      <charset val="204"/>
    </font>
    <font>
      <sz val="9"/>
      <name val="Times New Roman"/>
      <family val="1"/>
      <charset val="204"/>
    </font>
    <font>
      <sz val="9"/>
      <color rgb="FFFF0000"/>
      <name val="Times New Roman"/>
      <family val="1"/>
      <charset val="204"/>
    </font>
    <font>
      <b/>
      <sz val="9"/>
      <color rgb="FFFF0000"/>
      <name val="Times New Roman"/>
      <family val="1"/>
      <charset val="204"/>
    </font>
    <font>
      <sz val="9"/>
      <name val="Tahoma"/>
      <family val="2"/>
      <charset val="204"/>
    </font>
    <font>
      <sz val="9"/>
      <color theme="3" tint="-0.499984740745262"/>
      <name val="Times New Roman"/>
      <family val="1"/>
      <charset val="204"/>
    </font>
    <font>
      <b/>
      <sz val="9"/>
      <color indexed="18"/>
      <name val="Times New Roman"/>
      <family val="1"/>
      <charset val="204"/>
    </font>
    <font>
      <b/>
      <sz val="9"/>
      <color indexed="18"/>
      <name val="Tahoma"/>
      <family val="2"/>
      <charset val="204"/>
    </font>
    <font>
      <b/>
      <sz val="9"/>
      <color indexed="56"/>
      <name val="Times New Roman"/>
      <family val="1"/>
      <charset val="204"/>
    </font>
    <font>
      <u/>
      <sz val="11"/>
      <name val="Times New Roman"/>
      <family val="1"/>
      <charset val="204"/>
    </font>
    <font>
      <u/>
      <sz val="11"/>
      <color rgb="FFFF0000"/>
      <name val="Times New Roman"/>
      <family val="1"/>
      <charset val="204"/>
    </font>
    <font>
      <sz val="11"/>
      <color indexed="63"/>
      <name val="Times New Roman"/>
      <family val="1"/>
      <charset val="204"/>
    </font>
    <font>
      <sz val="11"/>
      <color indexed="10"/>
      <name val="Times New Roman"/>
      <family val="1"/>
      <charset val="204"/>
    </font>
    <font>
      <sz val="9"/>
      <color indexed="10"/>
      <name val="Tahoma"/>
      <family val="2"/>
      <charset val="204"/>
    </font>
    <font>
      <b/>
      <i/>
      <sz val="9"/>
      <color indexed="63"/>
      <name val="Times New Roman"/>
      <family val="1"/>
      <charset val="204"/>
    </font>
    <font>
      <b/>
      <u/>
      <sz val="11"/>
      <name val="Times New Roman"/>
      <family val="1"/>
      <charset val="204"/>
    </font>
    <font>
      <sz val="10"/>
      <name val="Times New Roman"/>
      <family val="1"/>
      <charset val="204"/>
    </font>
    <font>
      <b/>
      <u/>
      <sz val="11"/>
      <color indexed="18"/>
      <name val="Times New Roman"/>
      <family val="1"/>
      <charset val="204"/>
    </font>
    <font>
      <i/>
      <sz val="9"/>
      <color rgb="FFC00000"/>
      <name val="Calibri"/>
      <family val="2"/>
      <charset val="204"/>
      <scheme val="minor"/>
    </font>
    <font>
      <sz val="11"/>
      <color theme="4" tint="-0.499984740745262"/>
      <name val="Times New Roman"/>
      <family val="1"/>
      <charset val="204"/>
    </font>
    <font>
      <sz val="10"/>
      <color theme="0" tint="-0.14999847407452621"/>
      <name val="Tahoma"/>
      <family val="2"/>
      <charset val="204"/>
    </font>
    <font>
      <sz val="10"/>
      <color theme="0" tint="-0.499984740745262"/>
      <name val="Tahoma"/>
      <family val="2"/>
      <charset val="204"/>
    </font>
    <font>
      <sz val="11"/>
      <color theme="3" tint="-0.249977111117893"/>
      <name val="Times New Roman"/>
      <family val="1"/>
      <charset val="204"/>
    </font>
    <font>
      <sz val="10"/>
      <color rgb="FFC00000"/>
      <name val="Tahoma"/>
      <family val="2"/>
      <charset val="204"/>
    </font>
    <font>
      <b/>
      <i/>
      <sz val="9"/>
      <color theme="1"/>
      <name val="Calibri"/>
      <family val="2"/>
      <charset val="204"/>
      <scheme val="minor"/>
    </font>
    <font>
      <b/>
      <sz val="10"/>
      <name val="Tahoma"/>
      <family val="2"/>
      <charset val="204"/>
    </font>
    <font>
      <b/>
      <sz val="10"/>
      <color theme="3" tint="-0.499984740745262"/>
      <name val="Tahoma"/>
      <family val="2"/>
      <charset val="204"/>
    </font>
    <font>
      <b/>
      <sz val="11"/>
      <color theme="3" tint="-0.499984740745262"/>
      <name val="Times New Roman"/>
      <family val="1"/>
      <charset val="204"/>
    </font>
    <font>
      <b/>
      <sz val="12"/>
      <color theme="1"/>
      <name val="Calibri"/>
      <family val="2"/>
      <charset val="204"/>
      <scheme val="minor"/>
    </font>
    <font>
      <b/>
      <sz val="10"/>
      <color theme="1"/>
      <name val="Calibri"/>
      <family val="2"/>
      <charset val="204"/>
      <scheme val="minor"/>
    </font>
    <font>
      <b/>
      <sz val="9"/>
      <color theme="1"/>
      <name val="Calibri"/>
      <family val="2"/>
      <charset val="204"/>
      <scheme val="minor"/>
    </font>
    <font>
      <sz val="9"/>
      <color theme="3"/>
      <name val="Times New Roman"/>
      <family val="1"/>
      <charset val="204"/>
    </font>
    <font>
      <sz val="9"/>
      <color theme="3" tint="-0.249977111117893"/>
      <name val="Times New Roman"/>
      <family val="1"/>
      <charset val="204"/>
    </font>
    <font>
      <b/>
      <i/>
      <sz val="9"/>
      <color theme="3" tint="-0.249977111117893"/>
      <name val="Times New Roman"/>
      <family val="1"/>
      <charset val="204"/>
    </font>
    <font>
      <b/>
      <sz val="11"/>
      <color theme="3" tint="-0.249977111117893"/>
      <name val="Times New Roman"/>
      <family val="1"/>
      <charset val="204"/>
    </font>
    <font>
      <b/>
      <sz val="10"/>
      <color theme="3" tint="-0.249977111117893"/>
      <name val="Tahoma"/>
      <family val="2"/>
      <charset val="204"/>
    </font>
    <font>
      <b/>
      <sz val="11"/>
      <color theme="3"/>
      <name val="Times New Roman"/>
      <family val="1"/>
      <charset val="204"/>
    </font>
    <font>
      <sz val="10"/>
      <color theme="3" tint="-0.249977111117893"/>
      <name val="Times New Roman"/>
      <family val="1"/>
      <charset val="204"/>
    </font>
    <font>
      <b/>
      <sz val="11"/>
      <name val="Times New Roman"/>
      <family val="1"/>
      <charset val="204"/>
    </font>
    <font>
      <i/>
      <sz val="9"/>
      <color rgb="FFC00000"/>
      <name val="Times New Roman"/>
      <family val="1"/>
      <charset val="204"/>
    </font>
    <font>
      <sz val="11"/>
      <color rgb="FF002060"/>
      <name val="Times New Roman"/>
      <family val="1"/>
      <charset val="204"/>
    </font>
    <font>
      <i/>
      <sz val="11"/>
      <color indexed="18"/>
      <name val="Times New Roman"/>
      <family val="1"/>
      <charset val="204"/>
    </font>
    <font>
      <i/>
      <sz val="8"/>
      <color indexed="18"/>
      <name val="Times New Roman"/>
      <family val="1"/>
      <charset val="204"/>
    </font>
    <font>
      <sz val="8"/>
      <name val="Arial"/>
      <family val="2"/>
    </font>
    <font>
      <sz val="9"/>
      <color indexed="18"/>
      <name val="Times New Roman"/>
      <family val="1"/>
      <charset val="204"/>
    </font>
    <font>
      <sz val="11"/>
      <color rgb="FF3333FF"/>
      <name val="Times New Roman"/>
      <family val="1"/>
      <charset val="204"/>
    </font>
    <font>
      <sz val="8"/>
      <color theme="3" tint="-0.499984740745262"/>
      <name val="Times New Roman"/>
      <family val="1"/>
      <charset val="204"/>
    </font>
    <font>
      <sz val="10"/>
      <color indexed="18"/>
      <name val="Times New Roman"/>
      <family val="1"/>
      <charset val="204"/>
    </font>
    <font>
      <sz val="9"/>
      <color rgb="FF0033CC"/>
      <name val="Times New Roman"/>
      <family val="1"/>
      <charset val="204"/>
    </font>
    <font>
      <sz val="8"/>
      <color rgb="FF0033CC"/>
      <name val="Times New Roman"/>
      <family val="1"/>
      <charset val="204"/>
    </font>
    <font>
      <sz val="11"/>
      <color rgb="FF0033CC"/>
      <name val="Times New Roman"/>
      <family val="1"/>
      <charset val="204"/>
    </font>
    <font>
      <sz val="10"/>
      <color rgb="FF0033CC"/>
      <name val="Times New Roman"/>
      <family val="1"/>
      <charset val="204"/>
    </font>
    <font>
      <sz val="10"/>
      <color theme="0" tint="-0.249977111117893"/>
      <name val="Tahoma"/>
      <family val="2"/>
      <charset val="204"/>
    </font>
    <font>
      <b/>
      <sz val="10"/>
      <name val="Times New Roman"/>
      <family val="1"/>
      <charset val="204"/>
    </font>
    <font>
      <b/>
      <i/>
      <sz val="10"/>
      <name val="Times New Roman"/>
      <family val="1"/>
      <charset val="204"/>
    </font>
    <font>
      <b/>
      <sz val="8"/>
      <name val="Times New Roman"/>
      <family val="1"/>
      <charset val="204"/>
    </font>
    <font>
      <b/>
      <sz val="9"/>
      <name val="Times New Roman"/>
      <family val="1"/>
      <charset val="204"/>
    </font>
    <font>
      <sz val="10"/>
      <color theme="0"/>
      <name val="Tahoma"/>
      <family val="2"/>
      <charset val="204"/>
    </font>
    <font>
      <sz val="9"/>
      <color theme="0"/>
      <name val="Tahoma"/>
      <family val="2"/>
      <charset val="204"/>
    </font>
    <font>
      <b/>
      <sz val="10"/>
      <color theme="0"/>
      <name val="Tahoma"/>
      <family val="2"/>
      <charset val="204"/>
    </font>
    <font>
      <u/>
      <sz val="9"/>
      <color indexed="18"/>
      <name val="Times New Roman"/>
      <family val="1"/>
      <charset val="204"/>
    </font>
    <font>
      <u/>
      <sz val="11"/>
      <color indexed="18"/>
      <name val="Times New Roman"/>
      <family val="1"/>
      <charset val="204"/>
    </font>
    <font>
      <u/>
      <sz val="9"/>
      <color theme="3"/>
      <name val="Times New Roman"/>
      <family val="1"/>
      <charset val="204"/>
    </font>
    <font>
      <sz val="8"/>
      <color theme="3" tint="-0.249977111117893"/>
      <name val="Times New Roman"/>
      <family val="1"/>
      <charset val="204"/>
    </font>
    <font>
      <u/>
      <sz val="8"/>
      <color theme="3" tint="-0.249977111117893"/>
      <name val="Times New Roman"/>
      <family val="1"/>
      <charset val="204"/>
    </font>
    <font>
      <u/>
      <sz val="9"/>
      <color theme="3" tint="-0.249977111117893"/>
      <name val="Times New Roman"/>
      <family val="1"/>
      <charset val="204"/>
    </font>
    <font>
      <sz val="9"/>
      <color theme="4" tint="-0.499984740745262"/>
      <name val="Times New Roman"/>
      <family val="1"/>
      <charset val="204"/>
    </font>
    <font>
      <b/>
      <i/>
      <sz val="9"/>
      <color theme="4" tint="-0.499984740745262"/>
      <name val="Times New Roman"/>
      <family val="1"/>
      <charset val="204"/>
    </font>
    <font>
      <b/>
      <sz val="10"/>
      <color indexed="21"/>
      <name val="Arial"/>
      <family val="2"/>
      <charset val="204"/>
    </font>
    <font>
      <b/>
      <sz val="9"/>
      <name val="Tahoma"/>
      <family val="2"/>
      <charset val="204"/>
    </font>
    <font>
      <b/>
      <sz val="11"/>
      <color theme="0"/>
      <name val="Times New Roman"/>
      <family val="1"/>
      <charset val="204"/>
    </font>
    <font>
      <sz val="9"/>
      <color theme="1"/>
      <name val="Times New Roman"/>
      <family val="1"/>
      <charset val="204"/>
    </font>
    <font>
      <sz val="10"/>
      <color theme="0" tint="-4.9989318521683403E-2"/>
      <name val="Tahoma"/>
      <family val="2"/>
      <charset val="204"/>
    </font>
    <font>
      <sz val="11"/>
      <color theme="4" tint="-0.249977111117893"/>
      <name val="Times New Roman"/>
      <family val="1"/>
      <charset val="204"/>
    </font>
    <font>
      <b/>
      <sz val="10"/>
      <name val="Arial"/>
      <family val="2"/>
      <charset val="204"/>
    </font>
    <font>
      <sz val="8"/>
      <name val="Arial"/>
      <family val="2"/>
      <charset val="204"/>
    </font>
    <font>
      <sz val="12"/>
      <name val="新細明體"/>
      <charset val="136"/>
    </font>
    <font>
      <sz val="10"/>
      <name val="Arial Cyr"/>
      <charset val="204"/>
    </font>
    <font>
      <sz val="10"/>
      <color rgb="FF000000"/>
      <name val="Arial"/>
      <family val="2"/>
      <charset val="204"/>
    </font>
    <font>
      <sz val="10"/>
      <name val="Arial"/>
      <family val="2"/>
    </font>
    <font>
      <sz val="11"/>
      <color theme="1"/>
      <name val="Times New Roman"/>
      <family val="2"/>
      <charset val="204"/>
    </font>
    <font>
      <b/>
      <sz val="10"/>
      <color rgb="FF000000"/>
      <name val="Arial"/>
      <family val="2"/>
      <charset val="204"/>
    </font>
    <font>
      <sz val="8"/>
      <color rgb="FF000000"/>
      <name val="Arial"/>
      <family val="2"/>
      <charset val="204"/>
    </font>
    <font>
      <b/>
      <sz val="8"/>
      <color rgb="FF000000"/>
      <name val="Arial"/>
      <family val="2"/>
      <charset val="204"/>
    </font>
    <font>
      <b/>
      <u/>
      <sz val="8"/>
      <color rgb="FF000000"/>
      <name val="Arial"/>
      <family val="2"/>
      <charset val="204"/>
    </font>
    <font>
      <b/>
      <i/>
      <sz val="10"/>
      <color rgb="FF000000"/>
      <name val="Arial"/>
      <family val="2"/>
      <charset val="204"/>
    </font>
    <font>
      <u/>
      <sz val="8"/>
      <color rgb="FF000000"/>
      <name val="Arial"/>
      <family val="2"/>
      <charset val="204"/>
    </font>
    <font>
      <b/>
      <i/>
      <sz val="8"/>
      <color rgb="FF000000"/>
      <name val="Arial"/>
      <family val="2"/>
      <charset val="204"/>
    </font>
    <font>
      <sz val="8"/>
      <color indexed="8"/>
      <name val="Arial"/>
      <family val="2"/>
      <charset val="204"/>
    </font>
    <font>
      <b/>
      <sz val="8"/>
      <color indexed="8"/>
      <name val="Arial"/>
      <family val="2"/>
      <charset val="204"/>
    </font>
    <font>
      <sz val="11"/>
      <color rgb="FF000000"/>
      <name val="Calibri"/>
      <family val="2"/>
      <charset val="204"/>
    </font>
    <font>
      <sz val="10"/>
      <color rgb="FF000000"/>
      <name val="Arial Cyr"/>
      <charset val="204"/>
    </font>
    <font>
      <sz val="11"/>
      <color indexed="8"/>
      <name val="Calibri"/>
      <family val="2"/>
      <charset val="204"/>
    </font>
    <font>
      <sz val="12"/>
      <color indexed="8"/>
      <name val="Verdana"/>
      <family val="2"/>
      <charset val="204"/>
    </font>
    <font>
      <sz val="11"/>
      <color indexed="8"/>
      <name val="Calibri"/>
      <family val="2"/>
    </font>
    <font>
      <sz val="10"/>
      <name val="Arial Cyr"/>
      <family val="2"/>
      <charset val="204"/>
    </font>
    <font>
      <sz val="11"/>
      <color theme="1"/>
      <name val="Calibri"/>
      <family val="2"/>
      <charset val="204"/>
    </font>
    <font>
      <sz val="11"/>
      <color theme="1"/>
      <name val="Calibri"/>
      <family val="2"/>
      <charset val="1"/>
      <scheme val="minor"/>
    </font>
    <font>
      <sz val="11"/>
      <name val="Calibri"/>
      <family val="2"/>
      <scheme val="minor"/>
    </font>
    <font>
      <sz val="10"/>
      <color indexed="18"/>
      <name val="Tahoma"/>
      <family val="2"/>
      <charset val="204"/>
    </font>
    <font>
      <b/>
      <i/>
      <sz val="10"/>
      <name val="Tahoma"/>
      <family val="2"/>
      <charset val="204"/>
    </font>
    <font>
      <i/>
      <sz val="10"/>
      <name val="Tahoma"/>
      <family val="2"/>
      <charset val="204"/>
    </font>
    <font>
      <b/>
      <i/>
      <sz val="10"/>
      <color theme="6" tint="-0.249977111117893"/>
      <name val="Tahoma"/>
      <family val="2"/>
      <charset val="204"/>
    </font>
    <font>
      <sz val="11"/>
      <name val="Calibri"/>
      <family val="2"/>
      <charset val="204"/>
      <scheme val="minor"/>
    </font>
    <font>
      <sz val="9"/>
      <color theme="0"/>
      <name val="Times New Roman"/>
      <family val="1"/>
      <charset val="204"/>
    </font>
    <font>
      <sz val="9"/>
      <color theme="1"/>
      <name val="Calibri"/>
      <family val="2"/>
      <scheme val="minor"/>
    </font>
    <font>
      <i/>
      <sz val="11"/>
      <color theme="1"/>
      <name val="Calibri"/>
      <family val="2"/>
      <charset val="204"/>
      <scheme val="minor"/>
    </font>
    <font>
      <i/>
      <sz val="10"/>
      <color theme="1"/>
      <name val="Calibri"/>
      <family val="2"/>
      <charset val="204"/>
      <scheme val="minor"/>
    </font>
    <font>
      <sz val="11"/>
      <color rgb="FFFF0000"/>
      <name val="Calibri"/>
      <family val="2"/>
      <scheme val="minor"/>
    </font>
    <font>
      <b/>
      <sz val="11"/>
      <name val="Tahoma"/>
      <family val="2"/>
      <charset val="204"/>
    </font>
    <font>
      <i/>
      <sz val="11"/>
      <color theme="0"/>
      <name val="Calibri"/>
      <family val="2"/>
      <charset val="204"/>
      <scheme val="minor"/>
    </font>
    <font>
      <b/>
      <i/>
      <sz val="9"/>
      <color rgb="FF002060"/>
      <name val="Times New Roman"/>
      <family val="1"/>
      <charset val="204"/>
    </font>
    <font>
      <sz val="9"/>
      <color rgb="FF002060"/>
      <name val="Times New Roman"/>
      <family val="1"/>
      <charset val="204"/>
    </font>
    <font>
      <sz val="10"/>
      <color rgb="FF002060"/>
      <name val="Times New Roman"/>
      <family val="1"/>
      <charset val="204"/>
    </font>
    <font>
      <b/>
      <sz val="11"/>
      <color rgb="FF002060"/>
      <name val="Times New Roman"/>
      <family val="1"/>
      <charset val="204"/>
    </font>
    <font>
      <i/>
      <sz val="11"/>
      <color rgb="FFFF0000"/>
      <name val="Calibri"/>
      <family val="2"/>
      <scheme val="minor"/>
    </font>
    <font>
      <sz val="8"/>
      <color indexed="18"/>
      <name val="Times New Roman"/>
      <family val="1"/>
      <charset val="204"/>
    </font>
    <font>
      <sz val="8"/>
      <color indexed="18"/>
      <name val="Tahoma"/>
      <family val="2"/>
      <charset val="204"/>
    </font>
    <font>
      <sz val="8"/>
      <name val="Tahoma"/>
      <family val="2"/>
      <charset val="204"/>
    </font>
    <font>
      <b/>
      <sz val="8"/>
      <name val="Tahoma"/>
      <family val="2"/>
      <charset val="204"/>
    </font>
    <font>
      <b/>
      <sz val="10"/>
      <color rgb="FFFF0000"/>
      <name val="Calibri"/>
      <family val="2"/>
      <scheme val="minor"/>
    </font>
    <font>
      <i/>
      <sz val="11"/>
      <color rgb="FFFF0000"/>
      <name val="Calibri"/>
      <family val="2"/>
      <charset val="204"/>
      <scheme val="minor"/>
    </font>
    <font>
      <sz val="11"/>
      <color theme="1"/>
      <name val="Times New Roman"/>
      <family val="2"/>
      <charset val="1"/>
    </font>
    <font>
      <sz val="10"/>
      <color theme="3" tint="-0.499984740745262"/>
      <name val="Times New Roman"/>
      <family val="1"/>
      <charset val="204"/>
    </font>
    <font>
      <sz val="10"/>
      <color theme="3"/>
      <name val="Times New Roman"/>
      <family val="1"/>
      <charset val="204"/>
    </font>
    <font>
      <sz val="10"/>
      <color rgb="FFFF0000"/>
      <name val="Times New Roman"/>
      <family val="1"/>
      <charset val="204"/>
    </font>
    <font>
      <sz val="10"/>
      <color theme="4" tint="-0.499984740745262"/>
      <name val="Times New Roman"/>
      <family val="1"/>
      <charset val="204"/>
    </font>
    <font>
      <b/>
      <sz val="10"/>
      <color indexed="56"/>
      <name val="Times New Roman"/>
      <family val="1"/>
      <charset val="204"/>
    </font>
  </fonts>
  <fills count="50">
    <fill>
      <patternFill patternType="none"/>
    </fill>
    <fill>
      <patternFill patternType="gray125"/>
    </fill>
    <fill>
      <patternFill patternType="solid">
        <fgColor theme="0" tint="-0.14999847407452621"/>
        <bgColor indexed="64"/>
      </patternFill>
    </fill>
    <fill>
      <patternFill patternType="solid">
        <fgColor rgb="FFCCFF99"/>
        <bgColor indexed="64"/>
      </patternFill>
    </fill>
    <fill>
      <patternFill patternType="solid">
        <fgColor theme="0" tint="-0.249977111117893"/>
        <bgColor indexed="64"/>
      </patternFill>
    </fill>
    <fill>
      <patternFill patternType="solid">
        <fgColor indexed="9"/>
        <bgColor indexed="64"/>
      </patternFill>
    </fill>
    <fill>
      <patternFill patternType="solid">
        <fgColor theme="8" tint="0.39997558519241921"/>
        <bgColor indexed="64"/>
      </patternFill>
    </fill>
    <fill>
      <patternFill patternType="solid">
        <fgColor theme="3" tint="0.59999389629810485"/>
        <bgColor indexed="64"/>
      </patternFill>
    </fill>
    <fill>
      <patternFill patternType="solid">
        <fgColor theme="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FF0000"/>
        <bgColor indexed="64"/>
      </patternFill>
    </fill>
    <fill>
      <patternFill patternType="solid">
        <fgColor rgb="FFD6E5CB"/>
        <bgColor indexed="64"/>
      </patternFill>
    </fill>
    <fill>
      <patternFill patternType="solid">
        <fgColor rgb="FFE4F0DD"/>
        <bgColor indexed="64"/>
      </patternFill>
    </fill>
    <fill>
      <patternFill patternType="solid">
        <fgColor rgb="FF00FF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rgb="FFDCE6F1"/>
        <bgColor indexed="64"/>
      </patternFill>
    </fill>
    <fill>
      <patternFill patternType="solid">
        <fgColor rgb="FF92CDDC"/>
        <bgColor indexed="64"/>
      </patternFill>
    </fill>
    <fill>
      <patternFill patternType="solid">
        <fgColor rgb="FFBFBFBF"/>
        <bgColor indexed="64"/>
      </patternFill>
    </fill>
    <fill>
      <patternFill patternType="solid">
        <fgColor rgb="FFFFFFFF"/>
        <bgColor indexed="64"/>
      </patternFill>
    </fill>
    <fill>
      <patternFill patternType="solid">
        <fgColor rgb="FFF2F2F2"/>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bgColor indexed="64"/>
      </patternFill>
    </fill>
    <fill>
      <patternFill patternType="solid">
        <fgColor theme="7"/>
        <bgColor indexed="64"/>
      </patternFill>
    </fill>
    <fill>
      <patternFill patternType="solid">
        <fgColor theme="3" tint="0.39997558519241921"/>
        <bgColor indexed="64"/>
      </patternFill>
    </fill>
    <fill>
      <patternFill patternType="solid">
        <fgColor theme="7" tint="0.39997558519241921"/>
        <bgColor indexed="64"/>
      </patternFill>
    </fill>
    <fill>
      <patternFill patternType="solid">
        <fgColor theme="6"/>
        <bgColor indexed="64"/>
      </patternFill>
    </fill>
    <fill>
      <patternFill patternType="solid">
        <fgColor theme="8"/>
        <bgColor indexed="64"/>
      </patternFill>
    </fill>
    <fill>
      <patternFill patternType="solid">
        <fgColor rgb="FF7030A0"/>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rgb="FF0070C0"/>
        <bgColor indexed="64"/>
      </patternFill>
    </fill>
  </fills>
  <borders count="258">
    <border>
      <left/>
      <right/>
      <top/>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style="medium">
        <color indexed="64"/>
      </right>
      <top style="thin">
        <color indexed="64"/>
      </top>
      <bottom style="medium">
        <color indexed="64"/>
      </bottom>
      <diagonal/>
    </border>
    <border>
      <left style="medium">
        <color rgb="FFACC8BD"/>
      </left>
      <right style="medium">
        <color rgb="FFACC8BD"/>
      </right>
      <top style="medium">
        <color rgb="FFACC8BD"/>
      </top>
      <bottom style="medium">
        <color rgb="FFACC8BD"/>
      </bottom>
      <diagonal/>
    </border>
    <border>
      <left/>
      <right style="medium">
        <color indexed="64"/>
      </right>
      <top/>
      <bottom/>
      <diagonal/>
    </border>
    <border>
      <left style="medium">
        <color rgb="FFE6E6E6"/>
      </left>
      <right style="medium">
        <color rgb="FFE6E6E6"/>
      </right>
      <top style="medium">
        <color rgb="FFE6E6E6"/>
      </top>
      <bottom style="medium">
        <color rgb="FFE6E6E6"/>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rgb="FFA0A0A0"/>
      </left>
      <right style="medium">
        <color rgb="FFA0A0A0"/>
      </right>
      <top style="medium">
        <color rgb="FFA0A0A0"/>
      </top>
      <bottom style="medium">
        <color rgb="FFA0A0A0"/>
      </bottom>
      <diagonal/>
    </border>
    <border>
      <left style="medium">
        <color rgb="FFA0A0A0"/>
      </left>
      <right style="medium">
        <color rgb="FFA0A0A0"/>
      </right>
      <top style="medium">
        <color rgb="FFA0A0A0"/>
      </top>
      <bottom/>
      <diagonal/>
    </border>
    <border>
      <left style="medium">
        <color rgb="FFA0A0A0"/>
      </left>
      <right style="medium">
        <color rgb="FFA0A0A0"/>
      </right>
      <top/>
      <bottom style="medium">
        <color rgb="FFA0A0A0"/>
      </bottom>
      <diagonal/>
    </border>
    <border>
      <left style="medium">
        <color rgb="FFA0A0A0"/>
      </left>
      <right/>
      <top style="medium">
        <color rgb="FFA0A0A0"/>
      </top>
      <bottom style="medium">
        <color rgb="FFA0A0A0"/>
      </bottom>
      <diagonal/>
    </border>
    <border>
      <left/>
      <right style="medium">
        <color rgb="FFA0A0A0"/>
      </right>
      <top style="medium">
        <color rgb="FFA0A0A0"/>
      </top>
      <bottom style="medium">
        <color rgb="FFA0A0A0"/>
      </bottom>
      <diagonal/>
    </border>
    <border>
      <left style="medium">
        <color rgb="FFACC8BD"/>
      </left>
      <right/>
      <top style="medium">
        <color rgb="FFACC8BD"/>
      </top>
      <bottom style="medium">
        <color rgb="FFACC8BD"/>
      </bottom>
      <diagonal/>
    </border>
    <border>
      <left/>
      <right style="medium">
        <color rgb="FFACC8BD"/>
      </right>
      <top style="medium">
        <color rgb="FFACC8BD"/>
      </top>
      <bottom style="medium">
        <color rgb="FFACC8BD"/>
      </bottom>
      <diagonal/>
    </border>
    <border>
      <left/>
      <right/>
      <top style="medium">
        <color rgb="FFA0A0A0"/>
      </top>
      <bottom style="medium">
        <color rgb="FFA0A0A0"/>
      </bottom>
      <diagonal/>
    </border>
    <border>
      <left style="medium">
        <color rgb="FFACC8BD"/>
      </left>
      <right/>
      <top style="medium">
        <color rgb="FFACC8BD"/>
      </top>
      <bottom style="medium">
        <color rgb="FFA0A0A0"/>
      </bottom>
      <diagonal/>
    </border>
    <border>
      <left/>
      <right style="medium">
        <color rgb="FFACC8BD"/>
      </right>
      <top style="medium">
        <color rgb="FFACC8BD"/>
      </top>
      <bottom style="medium">
        <color rgb="FFA0A0A0"/>
      </bottom>
      <diagonal/>
    </border>
    <border>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right style="medium">
        <color auto="1"/>
      </right>
      <top style="thin">
        <color auto="1"/>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thin">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indexed="64"/>
      </right>
      <top/>
      <bottom style="thin">
        <color auto="1"/>
      </bottom>
      <diagonal/>
    </border>
    <border>
      <left/>
      <right/>
      <top/>
      <bottom style="thin">
        <color indexed="64"/>
      </bottom>
      <diagonal/>
    </border>
    <border>
      <left/>
      <right style="medium">
        <color auto="1"/>
      </right>
      <top/>
      <bottom style="thin">
        <color auto="1"/>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auto="1"/>
      </bottom>
      <diagonal/>
    </border>
    <border>
      <left style="medium">
        <color indexed="64"/>
      </left>
      <right/>
      <top/>
      <bottom style="thin">
        <color indexed="64"/>
      </bottom>
      <diagonal/>
    </border>
    <border>
      <left style="thin">
        <color auto="1"/>
      </left>
      <right style="thin">
        <color auto="1"/>
      </right>
      <top style="medium">
        <color indexed="64"/>
      </top>
      <bottom style="thin">
        <color auto="1"/>
      </bottom>
      <diagonal/>
    </border>
    <border>
      <left/>
      <right/>
      <top style="thin">
        <color indexed="64"/>
      </top>
      <bottom style="thin">
        <color indexed="64"/>
      </bottom>
      <diagonal/>
    </border>
    <border>
      <left style="medium">
        <color auto="1"/>
      </left>
      <right style="medium">
        <color auto="1"/>
      </right>
      <top style="thin">
        <color auto="1"/>
      </top>
      <bottom/>
      <diagonal/>
    </border>
    <border>
      <left style="medium">
        <color indexed="64"/>
      </left>
      <right/>
      <top style="thin">
        <color indexed="64"/>
      </top>
      <bottom/>
      <diagonal/>
    </border>
    <border>
      <left/>
      <right/>
      <top style="thin">
        <color indexed="64"/>
      </top>
      <bottom style="medium">
        <color indexed="64"/>
      </bottom>
      <diagonal/>
    </border>
    <border>
      <left/>
      <right/>
      <top style="thin">
        <color indexed="64"/>
      </top>
      <bottom/>
      <diagonal/>
    </border>
    <border>
      <left/>
      <right style="medium">
        <color indexed="64"/>
      </right>
      <top style="thin">
        <color indexed="64"/>
      </top>
      <bottom/>
      <diagonal/>
    </border>
    <border>
      <left/>
      <right style="medium">
        <color auto="1"/>
      </right>
      <top style="thin">
        <color auto="1"/>
      </top>
      <bottom style="medium">
        <color indexed="64"/>
      </bottom>
      <diagonal/>
    </border>
    <border>
      <left style="medium">
        <color indexed="64"/>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top style="thin">
        <color indexed="64"/>
      </top>
      <bottom style="medium">
        <color indexed="64"/>
      </bottom>
      <diagonal/>
    </border>
    <border>
      <left style="thin">
        <color auto="1"/>
      </left>
      <right/>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indexed="64"/>
      </right>
      <top style="thin">
        <color indexed="64"/>
      </top>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right style="medium">
        <color indexed="64"/>
      </right>
      <top style="thin">
        <color indexed="64"/>
      </top>
      <bottom style="medium">
        <color indexed="64"/>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style="thin">
        <color indexed="60"/>
      </left>
      <right style="thin">
        <color indexed="60"/>
      </right>
      <top style="thin">
        <color indexed="60"/>
      </top>
      <bottom style="thin">
        <color indexed="60"/>
      </bottom>
      <diagonal/>
    </border>
    <border>
      <left style="thin">
        <color auto="1"/>
      </left>
      <right style="thin">
        <color auto="1"/>
      </right>
      <top style="thin">
        <color auto="1"/>
      </top>
      <bottom style="medium">
        <color indexed="64"/>
      </bottom>
      <diagonal/>
    </border>
    <border>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medium">
        <color auto="1"/>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medium">
        <color rgb="FF000000"/>
      </right>
      <top/>
      <bottom/>
      <diagonal/>
    </border>
    <border>
      <left/>
      <right style="medium">
        <color rgb="FF000000"/>
      </right>
      <top/>
      <bottom style="thin">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dotted">
        <color rgb="FF000000"/>
      </bottom>
      <diagonal/>
    </border>
    <border>
      <left style="thin">
        <color rgb="FF000000"/>
      </left>
      <right style="thin">
        <color rgb="FF000000"/>
      </right>
      <top style="dotted">
        <color rgb="FF000000"/>
      </top>
      <bottom style="dotted">
        <color rgb="FF000000"/>
      </bottom>
      <diagonal/>
    </border>
    <border>
      <left style="thin">
        <color rgb="FF000000"/>
      </left>
      <right style="thin">
        <color rgb="FF000000"/>
      </right>
      <top style="dotted">
        <color rgb="FF000000"/>
      </top>
      <bottom/>
      <diagonal/>
    </border>
    <border>
      <left style="medium">
        <color auto="1"/>
      </left>
      <right style="medium">
        <color auto="1"/>
      </right>
      <top style="thin">
        <color auto="1"/>
      </top>
      <bottom style="medium">
        <color auto="1"/>
      </bottom>
      <diagonal/>
    </border>
    <border>
      <left/>
      <right style="medium">
        <color auto="1"/>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right/>
      <top style="thin">
        <color indexed="64"/>
      </top>
      <bottom style="medium">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auto="1"/>
      </right>
      <top style="thin">
        <color auto="1"/>
      </top>
      <bottom style="medium">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style="thin">
        <color indexed="64"/>
      </bottom>
      <diagonal/>
    </border>
    <border>
      <left/>
      <right/>
      <top style="thin">
        <color indexed="64"/>
      </top>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indexed="64"/>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thin">
        <color indexed="22"/>
      </left>
      <right style="thin">
        <color indexed="22"/>
      </right>
      <top style="thin">
        <color indexed="22"/>
      </top>
      <bottom style="thin">
        <color indexed="22"/>
      </bottom>
      <diagonal/>
    </border>
    <border>
      <left/>
      <right/>
      <top style="thin">
        <color indexed="64"/>
      </top>
      <bottom style="medium">
        <color indexed="64"/>
      </bottom>
      <diagonal/>
    </border>
    <border>
      <left/>
      <right style="medium">
        <color auto="1"/>
      </right>
      <top style="thin">
        <color auto="1"/>
      </top>
      <bottom style="medium">
        <color auto="1"/>
      </bottom>
      <diagonal/>
    </border>
    <border>
      <left/>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thin">
        <color auto="1"/>
      </right>
      <top style="thin">
        <color auto="1"/>
      </top>
      <bottom style="thin">
        <color auto="1"/>
      </bottom>
      <diagonal/>
    </border>
    <border>
      <left style="hair">
        <color auto="1"/>
      </left>
      <right style="hair">
        <color auto="1"/>
      </right>
      <top style="hair">
        <color auto="1"/>
      </top>
      <bottom style="medium">
        <color indexed="64"/>
      </bottom>
      <diagonal/>
    </border>
    <border>
      <left style="hair">
        <color auto="1"/>
      </left>
      <right style="hair">
        <color auto="1"/>
      </right>
      <top/>
      <bottom style="hair">
        <color auto="1"/>
      </bottom>
      <diagonal/>
    </border>
    <border>
      <left style="hair">
        <color auto="1"/>
      </left>
      <right style="hair">
        <color auto="1"/>
      </right>
      <top/>
      <bottom/>
      <diagonal/>
    </border>
    <border>
      <left style="hair">
        <color auto="1"/>
      </left>
      <right style="hair">
        <color auto="1"/>
      </right>
      <top style="hair">
        <color auto="1"/>
      </top>
      <bottom style="hair">
        <color auto="1"/>
      </bottom>
      <diagonal/>
    </border>
    <border>
      <left style="hair">
        <color auto="1"/>
      </left>
      <right/>
      <top/>
      <bottom/>
      <diagonal/>
    </border>
    <border>
      <left/>
      <right style="medium">
        <color indexed="64"/>
      </right>
      <top style="thin">
        <color indexed="64"/>
      </top>
      <bottom/>
      <diagonal/>
    </border>
    <border>
      <left/>
      <right/>
      <top style="thin">
        <color indexed="64"/>
      </top>
      <bottom/>
      <diagonal/>
    </border>
    <border>
      <left style="thin">
        <color auto="1"/>
      </left>
      <right style="thin">
        <color auto="1"/>
      </right>
      <top style="thin">
        <color auto="1"/>
      </top>
      <bottom/>
      <diagonal/>
    </border>
    <border>
      <left style="thin">
        <color auto="1"/>
      </left>
      <right style="medium">
        <color indexed="64"/>
      </right>
      <top style="thin">
        <color auto="1"/>
      </top>
      <bottom/>
      <diagonal/>
    </border>
    <border>
      <left style="thin">
        <color auto="1"/>
      </left>
      <right/>
      <top style="thin">
        <color auto="1"/>
      </top>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right style="medium">
        <color indexed="64"/>
      </right>
      <top style="thin">
        <color indexed="64"/>
      </top>
      <bottom style="thin">
        <color indexed="64"/>
      </bottom>
      <diagonal/>
    </border>
    <border>
      <left style="medium">
        <color auto="1"/>
      </left>
      <right/>
      <top style="thin">
        <color auto="1"/>
      </top>
      <bottom style="thin">
        <color auto="1"/>
      </bottom>
      <diagonal/>
    </border>
    <border>
      <left style="medium">
        <color indexed="64"/>
      </left>
      <right/>
      <top style="thin">
        <color indexed="64"/>
      </top>
      <bottom/>
      <diagonal/>
    </border>
    <border>
      <left/>
      <right/>
      <top style="thin">
        <color indexed="64"/>
      </top>
      <bottom style="thin">
        <color indexed="64"/>
      </bottom>
      <diagonal/>
    </border>
    <border>
      <left style="medium">
        <color auto="1"/>
      </left>
      <right style="medium">
        <color auto="1"/>
      </right>
      <top style="thin">
        <color auto="1"/>
      </top>
      <bottom style="thin">
        <color auto="1"/>
      </bottom>
      <diagonal/>
    </border>
    <border>
      <left style="medium">
        <color indexed="64"/>
      </left>
      <right style="medium">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thin">
        <color auto="1"/>
      </top>
      <bottom style="medium">
        <color indexed="64"/>
      </bottom>
      <diagonal/>
    </border>
    <border>
      <left style="medium">
        <color indexed="64"/>
      </left>
      <right style="thin">
        <color auto="1"/>
      </right>
      <top style="thin">
        <color auto="1"/>
      </top>
      <bottom/>
      <diagonal/>
    </border>
    <border>
      <left/>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thin">
        <color auto="1"/>
      </top>
      <bottom style="medium">
        <color indexed="64"/>
      </bottom>
      <diagonal/>
    </border>
    <border>
      <left/>
      <right/>
      <top style="thin">
        <color indexed="64"/>
      </top>
      <bottom style="thin">
        <color indexed="64"/>
      </bottom>
      <diagonal/>
    </border>
    <border>
      <left/>
      <right/>
      <top style="thin">
        <color indexed="64"/>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style="thin">
        <color indexed="64"/>
      </top>
      <bottom style="medium">
        <color indexed="64"/>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s>
  <cellStyleXfs count="8868">
    <xf numFmtId="0" fontId="0" fillId="0" borderId="0"/>
    <xf numFmtId="0" fontId="16" fillId="0" borderId="0"/>
    <xf numFmtId="0" fontId="15" fillId="0" borderId="0"/>
    <xf numFmtId="0" fontId="21" fillId="0" borderId="0"/>
    <xf numFmtId="0" fontId="21" fillId="0" borderId="0"/>
    <xf numFmtId="9" fontId="21" fillId="0" borderId="0" applyFont="0" applyFill="0" applyBorder="0" applyAlignment="0" applyProtection="0"/>
    <xf numFmtId="166" fontId="31" fillId="0" borderId="0" applyFont="0" applyFill="0" applyBorder="0" applyAlignment="0" applyProtection="0"/>
    <xf numFmtId="9" fontId="31" fillId="0" borderId="0" applyFont="0" applyFill="0" applyBorder="0" applyAlignment="0" applyProtection="0"/>
    <xf numFmtId="164" fontId="31" fillId="0" borderId="0" applyFont="0" applyFill="0" applyBorder="0" applyAlignment="0" applyProtection="0"/>
    <xf numFmtId="0" fontId="108" fillId="0" borderId="0"/>
    <xf numFmtId="0" fontId="14" fillId="0" borderId="0"/>
    <xf numFmtId="0" fontId="13"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8" fillId="0" borderId="0"/>
    <xf numFmtId="0" fontId="108" fillId="0" borderId="0"/>
    <xf numFmtId="0" fontId="31" fillId="0" borderId="0"/>
    <xf numFmtId="0" fontId="9" fillId="0" borderId="0"/>
    <xf numFmtId="0" fontId="9" fillId="0" borderId="0"/>
    <xf numFmtId="0" fontId="108" fillId="0" borderId="0"/>
    <xf numFmtId="0" fontId="9" fillId="0" borderId="0"/>
    <xf numFmtId="0" fontId="9" fillId="0" borderId="0"/>
    <xf numFmtId="9" fontId="31" fillId="0" borderId="0" applyFont="0" applyFill="0" applyBorder="0" applyAlignment="0" applyProtection="0"/>
    <xf numFmtId="0" fontId="9" fillId="0" borderId="0"/>
    <xf numFmtId="0" fontId="9" fillId="0" borderId="0"/>
    <xf numFmtId="0" fontId="2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0" fillId="0" borderId="0">
      <alignment horizontal="left"/>
    </xf>
    <xf numFmtId="0" fontId="140" fillId="0" borderId="0">
      <alignment horizontal="left"/>
    </xf>
    <xf numFmtId="0" fontId="140" fillId="0" borderId="0">
      <alignment horizontal="left"/>
    </xf>
    <xf numFmtId="0" fontId="140" fillId="0" borderId="0">
      <alignment horizontal="left"/>
    </xf>
    <xf numFmtId="0" fontId="140" fillId="0" borderId="0">
      <alignment horizontal="left"/>
    </xf>
    <xf numFmtId="0" fontId="140" fillId="0" borderId="0">
      <alignment horizontal="left"/>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0" fillId="0" borderId="0">
      <alignment horizontal="left"/>
    </xf>
    <xf numFmtId="0" fontId="140" fillId="0" borderId="0">
      <alignment horizontal="left"/>
    </xf>
    <xf numFmtId="0" fontId="140" fillId="0" borderId="0">
      <alignment horizontal="left"/>
    </xf>
    <xf numFmtId="0" fontId="140" fillId="0" borderId="0">
      <alignment horizontal="left"/>
    </xf>
    <xf numFmtId="0" fontId="140" fillId="0" borderId="0">
      <alignment horizontal="left"/>
    </xf>
    <xf numFmtId="0" fontId="140" fillId="0" borderId="0">
      <alignment horizontal="left"/>
    </xf>
    <xf numFmtId="0" fontId="21" fillId="0" borderId="0"/>
    <xf numFmtId="0" fontId="140" fillId="0" borderId="0">
      <alignment horizontal="left"/>
    </xf>
    <xf numFmtId="0" fontId="140" fillId="0" borderId="0">
      <alignment horizontal="left"/>
    </xf>
    <xf numFmtId="0" fontId="140" fillId="0" borderId="0">
      <alignment horizontal="left"/>
    </xf>
    <xf numFmtId="0" fontId="140" fillId="0" borderId="0">
      <alignment horizontal="left"/>
    </xf>
    <xf numFmtId="0" fontId="140" fillId="0" borderId="0">
      <alignment horizontal="left"/>
    </xf>
    <xf numFmtId="0" fontId="140" fillId="0" borderId="0">
      <alignment horizontal="left"/>
    </xf>
    <xf numFmtId="0" fontId="21" fillId="0" borderId="0"/>
    <xf numFmtId="0" fontId="140" fillId="0" borderId="0">
      <alignment horizontal="left"/>
    </xf>
    <xf numFmtId="0" fontId="140" fillId="0" borderId="0">
      <alignment horizontal="left"/>
    </xf>
    <xf numFmtId="0" fontId="21" fillId="0" borderId="0"/>
    <xf numFmtId="0" fontId="21" fillId="0" borderId="0"/>
    <xf numFmtId="0" fontId="141" fillId="0" borderId="0"/>
    <xf numFmtId="173" fontId="142" fillId="0" borderId="0" applyFont="0" applyFill="0" applyBorder="0" applyAlignment="0" applyProtection="0"/>
    <xf numFmtId="0" fontId="143" fillId="0" borderId="0"/>
    <xf numFmtId="165" fontId="9" fillId="0" borderId="0" applyFont="0" applyFill="0" applyBorder="0" applyAlignment="0" applyProtection="0"/>
    <xf numFmtId="9" fontId="9" fillId="0" borderId="0" applyFont="0" applyFill="0" applyBorder="0" applyAlignment="0" applyProtection="0"/>
    <xf numFmtId="0" fontId="139" fillId="0" borderId="0" applyNumberFormat="0" applyFont="0" applyFill="0" applyBorder="0" applyAlignment="0">
      <alignment horizontal="center" vertical="center"/>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165" fontId="108" fillId="0" borderId="0" applyFont="0" applyFill="0" applyBorder="0" applyAlignment="0" applyProtection="0"/>
    <xf numFmtId="0" fontId="9" fillId="0" borderId="0"/>
    <xf numFmtId="0" fontId="9" fillId="0" borderId="0"/>
    <xf numFmtId="0" fontId="140" fillId="0" borderId="0"/>
    <xf numFmtId="0" fontId="14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140" fillId="0" borderId="0"/>
    <xf numFmtId="0" fontId="9" fillId="0" borderId="0"/>
    <xf numFmtId="0" fontId="10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31" fillId="0" borderId="0"/>
    <xf numFmtId="0" fontId="142" fillId="0" borderId="0"/>
    <xf numFmtId="0" fontId="9" fillId="0" borderId="0"/>
    <xf numFmtId="165" fontId="9" fillId="0" borderId="0" applyFont="0" applyFill="0" applyBorder="0" applyAlignment="0" applyProtection="0"/>
    <xf numFmtId="0" fontId="31" fillId="0" borderId="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0" fontId="21" fillId="0" borderId="0"/>
    <xf numFmtId="0" fontId="21"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31" fillId="0" borderId="0"/>
    <xf numFmtId="0" fontId="21" fillId="0" borderId="0"/>
    <xf numFmtId="0" fontId="9" fillId="0" borderId="0"/>
    <xf numFmtId="0" fontId="145" fillId="0" borderId="0"/>
    <xf numFmtId="165" fontId="9" fillId="0" borderId="0" applyFont="0" applyFill="0" applyBorder="0" applyAlignment="0" applyProtection="0"/>
    <xf numFmtId="0" fontId="9" fillId="0" borderId="0"/>
    <xf numFmtId="49" fontId="146" fillId="0" borderId="0">
      <alignment horizontal="left" vertical="center" wrapText="1"/>
    </xf>
    <xf numFmtId="0" fontId="147" fillId="0" borderId="128">
      <alignment horizontal="left" vertical="center" wrapText="1"/>
    </xf>
    <xf numFmtId="0" fontId="147" fillId="0" borderId="129">
      <alignment horizontal="left" vertical="center" wrapText="1"/>
    </xf>
    <xf numFmtId="0" fontId="147" fillId="0" borderId="130">
      <alignment horizontal="center" vertical="center" wrapText="1"/>
    </xf>
    <xf numFmtId="0" fontId="147" fillId="0" borderId="130">
      <alignment horizontal="right" vertical="center" wrapText="1"/>
    </xf>
    <xf numFmtId="49" fontId="147" fillId="0" borderId="131">
      <alignment horizontal="right" vertical="top" wrapText="1"/>
    </xf>
    <xf numFmtId="0" fontId="148" fillId="0" borderId="130">
      <alignment horizontal="center" vertical="center" wrapText="1"/>
    </xf>
    <xf numFmtId="49" fontId="148" fillId="0" borderId="130">
      <alignment horizontal="left" vertical="center" wrapText="1"/>
    </xf>
    <xf numFmtId="49" fontId="148" fillId="0" borderId="129">
      <alignment horizontal="left" vertical="center" wrapText="1"/>
    </xf>
    <xf numFmtId="0" fontId="148" fillId="0" borderId="130">
      <alignment horizontal="right" vertical="center" wrapText="1"/>
    </xf>
    <xf numFmtId="49" fontId="148" fillId="0" borderId="130">
      <alignment horizontal="right" vertical="center" wrapText="1"/>
    </xf>
    <xf numFmtId="0" fontId="148" fillId="0" borderId="130">
      <alignment horizontal="left" vertical="center" wrapText="1"/>
    </xf>
    <xf numFmtId="49" fontId="148" fillId="0" borderId="130">
      <alignment horizontal="center" vertical="center" wrapText="1"/>
    </xf>
    <xf numFmtId="0" fontId="147" fillId="0" borderId="132">
      <alignment horizontal="left" vertical="center" wrapText="1"/>
    </xf>
    <xf numFmtId="49" fontId="148" fillId="0" borderId="133">
      <alignment horizontal="center" vertical="top" wrapText="1"/>
    </xf>
    <xf numFmtId="0" fontId="148" fillId="0" borderId="130">
      <alignment horizontal="left" wrapText="1"/>
    </xf>
    <xf numFmtId="0" fontId="148" fillId="0" borderId="134">
      <alignment horizontal="left" vertical="center" wrapText="1"/>
    </xf>
    <xf numFmtId="49" fontId="148" fillId="0" borderId="129">
      <alignment horizontal="left" vertical="center" wrapText="1"/>
    </xf>
    <xf numFmtId="0" fontId="147" fillId="0" borderId="135">
      <alignment horizontal="left" vertical="center" wrapText="1"/>
    </xf>
    <xf numFmtId="0" fontId="147" fillId="0" borderId="136">
      <alignment horizontal="left" vertical="center" wrapText="1"/>
    </xf>
    <xf numFmtId="49" fontId="148" fillId="0" borderId="130">
      <alignment horizontal="right" vertical="center" wrapText="1"/>
    </xf>
    <xf numFmtId="0" fontId="148" fillId="0" borderId="130">
      <alignment horizontal="left" wrapText="1"/>
    </xf>
    <xf numFmtId="0" fontId="148" fillId="0" borderId="134">
      <alignment horizontal="left" vertical="center" wrapText="1"/>
    </xf>
    <xf numFmtId="49" fontId="149" fillId="0" borderId="137">
      <alignment horizontal="center" vertical="center" wrapText="1"/>
    </xf>
    <xf numFmtId="0" fontId="147" fillId="0" borderId="135">
      <alignment horizontal="left" vertical="center" wrapText="1"/>
    </xf>
    <xf numFmtId="0" fontId="147" fillId="0" borderId="136">
      <alignment horizontal="left" vertical="center" wrapText="1"/>
    </xf>
    <xf numFmtId="0" fontId="147" fillId="0" borderId="134">
      <alignment horizontal="left" vertical="center" wrapText="1"/>
    </xf>
    <xf numFmtId="0" fontId="147" fillId="0" borderId="138">
      <alignment horizontal="left" vertical="center" wrapText="1"/>
    </xf>
    <xf numFmtId="0" fontId="147" fillId="0" borderId="139">
      <alignment horizontal="left" vertical="center" wrapText="1"/>
    </xf>
    <xf numFmtId="49" fontId="148" fillId="0" borderId="140">
      <alignment horizontal="left" vertical="center" wrapText="1"/>
    </xf>
    <xf numFmtId="0" fontId="147" fillId="0" borderId="141">
      <alignment horizontal="left" vertical="center" wrapText="1"/>
    </xf>
    <xf numFmtId="0" fontId="147" fillId="0" borderId="142">
      <alignment horizontal="left" vertical="center" wrapText="1"/>
    </xf>
    <xf numFmtId="49" fontId="148" fillId="0" borderId="138">
      <alignment horizontal="right" vertical="center" wrapText="1"/>
    </xf>
    <xf numFmtId="0" fontId="148" fillId="0" borderId="138">
      <alignment horizontal="left" vertical="center" wrapText="1"/>
    </xf>
    <xf numFmtId="49" fontId="147" fillId="0" borderId="143">
      <alignment horizontal="center" vertical="center" wrapText="1"/>
    </xf>
    <xf numFmtId="0" fontId="148" fillId="0" borderId="144">
      <alignment horizontal="left" vertical="center" wrapText="1"/>
    </xf>
    <xf numFmtId="49" fontId="148" fillId="0" borderId="144">
      <alignment horizontal="left" wrapText="1"/>
    </xf>
    <xf numFmtId="0" fontId="147" fillId="0" borderId="145">
      <alignment horizontal="left" vertical="center" wrapText="1"/>
    </xf>
    <xf numFmtId="0" fontId="147" fillId="0" borderId="146">
      <alignment horizontal="left" vertical="center" wrapText="1"/>
    </xf>
    <xf numFmtId="49" fontId="148" fillId="0" borderId="147">
      <alignment horizontal="right" vertical="center" wrapText="1"/>
    </xf>
    <xf numFmtId="0" fontId="148" fillId="0" borderId="148">
      <alignment horizontal="left" vertical="center" wrapText="1"/>
    </xf>
    <xf numFmtId="0" fontId="147" fillId="0" borderId="144">
      <alignment horizontal="left" vertical="center" wrapText="1"/>
    </xf>
    <xf numFmtId="49" fontId="148" fillId="0" borderId="134">
      <alignment horizontal="right" vertical="center" wrapText="1"/>
    </xf>
    <xf numFmtId="0" fontId="148" fillId="0" borderId="149">
      <alignment horizontal="left" vertical="center" wrapText="1"/>
    </xf>
    <xf numFmtId="49" fontId="148" fillId="0" borderId="149">
      <alignment horizontal="left" vertical="center" wrapText="1"/>
    </xf>
    <xf numFmtId="49" fontId="148" fillId="0" borderId="129">
      <alignment horizontal="center" vertical="center" wrapText="1"/>
    </xf>
    <xf numFmtId="0" fontId="148" fillId="0" borderId="150">
      <alignment horizontal="left" vertical="center" wrapText="1"/>
    </xf>
    <xf numFmtId="0" fontId="148" fillId="0" borderId="151">
      <alignment horizontal="left" vertical="center" wrapText="1"/>
    </xf>
    <xf numFmtId="0" fontId="148" fillId="0" borderId="137">
      <alignment horizontal="right" vertical="center" wrapText="1"/>
    </xf>
    <xf numFmtId="0" fontId="148" fillId="0" borderId="152">
      <alignment horizontal="left" vertical="center" wrapText="1"/>
    </xf>
    <xf numFmtId="49" fontId="147" fillId="0" borderId="153">
      <alignment horizontal="left" vertical="center" wrapText="1"/>
    </xf>
    <xf numFmtId="0" fontId="147" fillId="0" borderId="154">
      <alignment horizontal="left" vertical="center" wrapText="1"/>
    </xf>
    <xf numFmtId="49" fontId="147" fillId="0" borderId="155">
      <alignment horizontal="right" vertical="center" wrapText="1"/>
    </xf>
    <xf numFmtId="49" fontId="147" fillId="0" borderId="131">
      <alignment horizontal="left" vertical="center" wrapText="1"/>
    </xf>
    <xf numFmtId="49" fontId="147" fillId="0" borderId="134">
      <alignment horizontal="right" vertical="center" wrapText="1"/>
    </xf>
    <xf numFmtId="0" fontId="148" fillId="0" borderId="135">
      <alignment horizontal="left" vertical="center" wrapText="1"/>
    </xf>
    <xf numFmtId="0" fontId="147" fillId="0" borderId="150">
      <alignment horizontal="center" vertical="center" wrapText="1"/>
    </xf>
    <xf numFmtId="0" fontId="148" fillId="0" borderId="136">
      <alignment horizontal="left" vertical="center" wrapText="1"/>
    </xf>
    <xf numFmtId="0" fontId="148" fillId="0" borderId="135">
      <alignment horizontal="left" vertical="center" wrapText="1"/>
    </xf>
    <xf numFmtId="0" fontId="148" fillId="0" borderId="136">
      <alignment horizontal="left" vertical="center" wrapText="1"/>
    </xf>
    <xf numFmtId="49" fontId="148" fillId="0" borderId="134">
      <alignment horizontal="right" vertical="center" wrapText="1"/>
    </xf>
    <xf numFmtId="0" fontId="148" fillId="0" borderId="129">
      <alignment horizontal="left" vertical="center" wrapText="1"/>
    </xf>
    <xf numFmtId="0" fontId="147" fillId="0" borderId="150">
      <alignment horizontal="left" vertical="center" wrapText="1"/>
    </xf>
    <xf numFmtId="49" fontId="147" fillId="0" borderId="0">
      <alignment horizontal="left" vertical="center"/>
    </xf>
    <xf numFmtId="0" fontId="147" fillId="0" borderId="0">
      <alignment horizontal="left" vertical="center"/>
    </xf>
    <xf numFmtId="0" fontId="147" fillId="0" borderId="151">
      <alignment horizontal="center" vertical="center" wrapText="1"/>
    </xf>
    <xf numFmtId="0" fontId="147" fillId="0" borderId="153">
      <alignment horizontal="left" vertical="center" wrapText="1"/>
    </xf>
    <xf numFmtId="49" fontId="148" fillId="0" borderId="133">
      <alignment horizontal="center" vertical="center" wrapText="1"/>
    </xf>
    <xf numFmtId="0" fontId="147" fillId="0" borderId="156">
      <alignment horizontal="center" vertical="center" wrapText="1"/>
    </xf>
    <xf numFmtId="0" fontId="147" fillId="0" borderId="0">
      <alignment horizontal="left" vertical="center" wrapText="1"/>
    </xf>
    <xf numFmtId="0" fontId="147" fillId="0" borderId="157">
      <alignment horizontal="left" vertical="center" wrapText="1"/>
    </xf>
    <xf numFmtId="0" fontId="147" fillId="0" borderId="158">
      <alignment horizontal="left" vertical="center" wrapText="1"/>
    </xf>
    <xf numFmtId="0" fontId="147" fillId="0" borderId="131">
      <alignment horizontal="left" vertical="center" wrapText="1"/>
    </xf>
    <xf numFmtId="49" fontId="147" fillId="0" borderId="130">
      <alignment horizontal="center" vertical="center" wrapText="1"/>
    </xf>
    <xf numFmtId="49" fontId="147" fillId="0" borderId="134">
      <alignment horizontal="center" vertical="center" wrapText="1"/>
    </xf>
    <xf numFmtId="49" fontId="147" fillId="0" borderId="129">
      <alignment horizontal="center" vertical="center" wrapText="1"/>
    </xf>
    <xf numFmtId="0" fontId="147" fillId="0" borderId="131">
      <alignment horizontal="center" vertical="center" wrapText="1"/>
    </xf>
    <xf numFmtId="0" fontId="148" fillId="0" borderId="130">
      <alignment horizontal="center" vertical="center" wrapText="1"/>
    </xf>
    <xf numFmtId="49" fontId="148" fillId="0" borderId="130">
      <alignment horizontal="left" vertical="center" wrapText="1"/>
    </xf>
    <xf numFmtId="0" fontId="148" fillId="0" borderId="135">
      <alignment horizontal="center" vertical="center" wrapText="1"/>
    </xf>
    <xf numFmtId="49" fontId="150" fillId="0" borderId="0">
      <alignment horizontal="center" vertical="center" wrapText="1"/>
    </xf>
    <xf numFmtId="0" fontId="148" fillId="0" borderId="135">
      <alignment horizontal="right" vertical="center" wrapText="1"/>
    </xf>
    <xf numFmtId="0" fontId="148" fillId="0" borderId="136">
      <alignment horizontal="right" vertical="center" wrapText="1"/>
    </xf>
    <xf numFmtId="0" fontId="148" fillId="0" borderId="134">
      <alignment horizontal="right" vertical="center" wrapText="1"/>
    </xf>
    <xf numFmtId="0" fontId="148" fillId="0" borderId="129">
      <alignment horizontal="left" vertical="center" wrapText="1"/>
    </xf>
    <xf numFmtId="0" fontId="148" fillId="0" borderId="130">
      <alignment horizontal="right" vertical="center" wrapText="1"/>
    </xf>
    <xf numFmtId="0" fontId="148" fillId="0" borderId="130">
      <alignment horizontal="left" vertical="center" wrapText="1"/>
    </xf>
    <xf numFmtId="0" fontId="148" fillId="0" borderId="130">
      <alignment horizontal="center" vertical="center" wrapText="1"/>
    </xf>
    <xf numFmtId="49" fontId="148" fillId="0" borderId="130">
      <alignment horizontal="left" vertical="center" wrapText="1"/>
    </xf>
    <xf numFmtId="0" fontId="148" fillId="0" borderId="135">
      <alignment horizontal="center" vertical="center" wrapText="1"/>
    </xf>
    <xf numFmtId="0" fontId="148" fillId="0" borderId="135">
      <alignment horizontal="right" vertical="center" wrapText="1"/>
    </xf>
    <xf numFmtId="49" fontId="147" fillId="0" borderId="0">
      <alignment horizontal="left" vertical="center" wrapText="1"/>
    </xf>
    <xf numFmtId="0" fontId="148" fillId="0" borderId="136">
      <alignment horizontal="right" vertical="center" wrapText="1"/>
    </xf>
    <xf numFmtId="0" fontId="148" fillId="0" borderId="134">
      <alignment horizontal="right" vertical="center" wrapText="1"/>
    </xf>
    <xf numFmtId="0" fontId="148" fillId="0" borderId="129">
      <alignment horizontal="left" vertical="center" wrapText="1"/>
    </xf>
    <xf numFmtId="0" fontId="148" fillId="0" borderId="130">
      <alignment horizontal="right" vertical="center" wrapText="1"/>
    </xf>
    <xf numFmtId="0" fontId="148" fillId="0" borderId="130">
      <alignment horizontal="left" vertical="center" wrapText="1"/>
    </xf>
    <xf numFmtId="49" fontId="147" fillId="0" borderId="130">
      <alignment horizontal="center" vertical="center" wrapText="1"/>
    </xf>
    <xf numFmtId="49" fontId="147" fillId="0" borderId="130">
      <alignment horizontal="left" vertical="center" wrapText="1"/>
    </xf>
    <xf numFmtId="49" fontId="147" fillId="0" borderId="149">
      <alignment horizontal="left" vertical="center" wrapText="1"/>
    </xf>
    <xf numFmtId="49" fontId="147" fillId="0" borderId="130">
      <alignment horizontal="right" vertical="center" wrapText="1"/>
    </xf>
    <xf numFmtId="49" fontId="151" fillId="0" borderId="149">
      <alignment horizontal="center" wrapText="1"/>
    </xf>
    <xf numFmtId="49" fontId="146" fillId="0" borderId="0">
      <alignment horizontal="center" vertical="center" wrapText="1"/>
    </xf>
    <xf numFmtId="49" fontId="151" fillId="0" borderId="137">
      <alignment horizontal="center" wrapText="1"/>
    </xf>
    <xf numFmtId="49" fontId="147" fillId="0" borderId="129">
      <alignment horizontal="left" vertical="center" wrapText="1"/>
    </xf>
    <xf numFmtId="0" fontId="147" fillId="0" borderId="130">
      <alignment horizontal="left" vertical="center" wrapText="1"/>
    </xf>
    <xf numFmtId="49" fontId="147" fillId="0" borderId="131">
      <alignment horizontal="center" vertical="top" wrapText="1"/>
    </xf>
    <xf numFmtId="49" fontId="147" fillId="0" borderId="133">
      <alignment horizontal="center" vertical="top" wrapText="1"/>
    </xf>
    <xf numFmtId="0" fontId="147" fillId="0" borderId="159">
      <alignment horizontal="left" vertical="center" wrapText="1"/>
    </xf>
    <xf numFmtId="0" fontId="147" fillId="0" borderId="131">
      <alignment horizontal="left" vertical="center" wrapText="1"/>
    </xf>
    <xf numFmtId="0" fontId="147" fillId="0" borderId="131">
      <alignment horizontal="right" vertical="top" wrapText="1"/>
    </xf>
    <xf numFmtId="0" fontId="147" fillId="0" borderId="133">
      <alignment horizontal="left" vertical="center" wrapText="1"/>
    </xf>
    <xf numFmtId="0" fontId="147" fillId="0" borderId="160">
      <alignment horizontal="left" vertical="center" wrapText="1"/>
    </xf>
    <xf numFmtId="0" fontId="146" fillId="0" borderId="0">
      <alignment horizontal="center" vertical="center" wrapText="1"/>
    </xf>
    <xf numFmtId="49" fontId="147" fillId="0" borderId="149">
      <alignment horizontal="center" vertical="center" wrapText="1"/>
    </xf>
    <xf numFmtId="49" fontId="147" fillId="0" borderId="149">
      <alignment horizontal="right" vertical="center" wrapText="1"/>
    </xf>
    <xf numFmtId="49" fontId="147" fillId="0" borderId="152">
      <alignment horizontal="left" vertical="center" wrapText="1"/>
    </xf>
    <xf numFmtId="0" fontId="147" fillId="0" borderId="149">
      <alignment horizontal="left" vertical="center" wrapText="1"/>
    </xf>
    <xf numFmtId="49" fontId="147" fillId="0" borderId="153">
      <alignment horizontal="center" vertical="top" wrapText="1"/>
    </xf>
    <xf numFmtId="49" fontId="147" fillId="0" borderId="155">
      <alignment horizontal="center" vertical="top" wrapText="1"/>
    </xf>
    <xf numFmtId="0" fontId="147" fillId="0" borderId="153">
      <alignment horizontal="right" vertical="top" wrapText="1"/>
    </xf>
    <xf numFmtId="0" fontId="147" fillId="0" borderId="155">
      <alignment horizontal="left" vertical="center" wrapText="1"/>
    </xf>
    <xf numFmtId="0" fontId="147" fillId="0" borderId="131">
      <alignment horizontal="center" vertical="center" wrapText="1"/>
    </xf>
    <xf numFmtId="0" fontId="147" fillId="0" borderId="131">
      <alignment horizontal="right" vertical="center" wrapText="1"/>
    </xf>
    <xf numFmtId="0" fontId="147" fillId="0" borderId="0">
      <alignment horizontal="center" vertical="center" wrapText="1"/>
    </xf>
    <xf numFmtId="0" fontId="147" fillId="0" borderId="133">
      <alignment horizontal="right" vertical="center" wrapText="1"/>
    </xf>
    <xf numFmtId="49" fontId="147" fillId="0" borderId="160">
      <alignment horizontal="left" vertical="center" wrapText="1"/>
    </xf>
    <xf numFmtId="49" fontId="147" fillId="0" borderId="131">
      <alignment horizontal="center" vertical="center" wrapText="1"/>
    </xf>
    <xf numFmtId="49" fontId="147" fillId="0" borderId="131">
      <alignment horizontal="right" vertical="center" wrapText="1"/>
    </xf>
    <xf numFmtId="0" fontId="147" fillId="0" borderId="153">
      <alignment horizontal="center" vertical="center" wrapText="1"/>
    </xf>
    <xf numFmtId="0" fontId="147" fillId="0" borderId="153">
      <alignment horizontal="right" vertical="center" wrapText="1"/>
    </xf>
    <xf numFmtId="0" fontId="147" fillId="0" borderId="155">
      <alignment horizontal="right" vertical="center" wrapText="1"/>
    </xf>
    <xf numFmtId="49" fontId="147" fillId="0" borderId="159">
      <alignment horizontal="left" vertical="center" wrapText="1"/>
    </xf>
    <xf numFmtId="49" fontId="147" fillId="0" borderId="153">
      <alignment horizontal="center" vertical="center" wrapText="1"/>
    </xf>
    <xf numFmtId="49" fontId="147" fillId="0" borderId="153">
      <alignment horizontal="right" vertical="center" wrapText="1"/>
    </xf>
    <xf numFmtId="0" fontId="148" fillId="0" borderId="0">
      <alignment horizontal="right" vertical="center" wrapText="1"/>
    </xf>
    <xf numFmtId="0" fontId="148" fillId="0" borderId="150">
      <alignment horizontal="center" vertical="center" wrapText="1"/>
    </xf>
    <xf numFmtId="0" fontId="148" fillId="0" borderId="150">
      <alignment horizontal="right" vertical="center" wrapText="1"/>
    </xf>
    <xf numFmtId="0" fontId="148" fillId="0" borderId="151">
      <alignment horizontal="right" vertical="center" wrapText="1"/>
    </xf>
    <xf numFmtId="49" fontId="149" fillId="0" borderId="137">
      <alignment horizontal="center" wrapText="1"/>
    </xf>
    <xf numFmtId="49" fontId="148" fillId="0" borderId="129">
      <alignment horizontal="left" vertical="center" wrapText="1"/>
    </xf>
    <xf numFmtId="49" fontId="148" fillId="0" borderId="130">
      <alignment horizontal="right" vertical="center" wrapText="1"/>
    </xf>
    <xf numFmtId="0" fontId="147" fillId="0" borderId="132">
      <alignment horizontal="left" vertical="center" wrapText="1"/>
    </xf>
    <xf numFmtId="0" fontId="147" fillId="0" borderId="128">
      <alignment horizontal="left" vertical="center" wrapText="1"/>
    </xf>
    <xf numFmtId="0" fontId="147" fillId="0" borderId="158">
      <alignment horizontal="left" vertical="center" wrapText="1"/>
    </xf>
    <xf numFmtId="49" fontId="148" fillId="0" borderId="133">
      <alignment horizontal="center" vertical="top" wrapText="1"/>
    </xf>
    <xf numFmtId="49" fontId="147" fillId="0" borderId="0">
      <alignment horizontal="right" vertical="center"/>
    </xf>
    <xf numFmtId="0" fontId="147" fillId="0" borderId="157">
      <alignment horizontal="left" vertical="center" wrapText="1"/>
    </xf>
    <xf numFmtId="0" fontId="152" fillId="0" borderId="130">
      <alignment horizontal="center" vertical="center" wrapText="1"/>
    </xf>
    <xf numFmtId="49" fontId="152" fillId="0" borderId="130">
      <alignment horizontal="left" vertical="center" wrapText="1"/>
    </xf>
    <xf numFmtId="0" fontId="152" fillId="0" borderId="135">
      <alignment horizontal="center" vertical="center" wrapText="1"/>
    </xf>
    <xf numFmtId="0" fontId="152" fillId="0" borderId="135">
      <alignment horizontal="right" vertical="center" wrapText="1"/>
    </xf>
    <xf numFmtId="0" fontId="152" fillId="0" borderId="136">
      <alignment horizontal="right" vertical="center" wrapText="1"/>
    </xf>
    <xf numFmtId="0" fontId="152" fillId="0" borderId="134">
      <alignment horizontal="right" vertical="center" wrapText="1"/>
    </xf>
    <xf numFmtId="0" fontId="152" fillId="0" borderId="129">
      <alignment horizontal="left" vertical="center" wrapText="1"/>
    </xf>
    <xf numFmtId="0" fontId="152" fillId="0" borderId="130">
      <alignment horizontal="right" vertical="center" wrapText="1"/>
    </xf>
    <xf numFmtId="0" fontId="152" fillId="0" borderId="130">
      <alignment horizontal="left" vertical="center" wrapText="1"/>
    </xf>
    <xf numFmtId="17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175" fontId="155" fillId="0" borderId="0"/>
    <xf numFmtId="0" fontId="153" fillId="0" borderId="0">
      <alignment horizontal="left" vertical="center"/>
    </xf>
    <xf numFmtId="0" fontId="153" fillId="0" borderId="128">
      <alignment horizontal="right" vertical="center"/>
    </xf>
    <xf numFmtId="0" fontId="153" fillId="0" borderId="128">
      <alignment horizontal="right" vertical="center" wrapText="1"/>
    </xf>
    <xf numFmtId="0" fontId="153" fillId="0" borderId="149">
      <alignment horizontal="center" vertical="center" wrapText="1"/>
    </xf>
    <xf numFmtId="0" fontId="153" fillId="0" borderId="161">
      <alignment horizontal="center" vertical="center" wrapText="1"/>
    </xf>
    <xf numFmtId="0" fontId="153" fillId="0" borderId="130">
      <alignment horizontal="center" vertical="center" wrapText="1"/>
    </xf>
    <xf numFmtId="0" fontId="154" fillId="0" borderId="0">
      <alignment horizontal="left" vertical="center"/>
    </xf>
    <xf numFmtId="0" fontId="153" fillId="0" borderId="149">
      <alignment horizontal="left" vertical="center" wrapText="1"/>
    </xf>
    <xf numFmtId="0" fontId="153" fillId="0" borderId="153">
      <alignment horizontal="left" vertical="center" wrapText="1"/>
    </xf>
    <xf numFmtId="0" fontId="153" fillId="0" borderId="153">
      <alignment horizontal="center" vertical="center" wrapText="1"/>
    </xf>
    <xf numFmtId="0" fontId="153" fillId="0" borderId="153">
      <alignment horizontal="center" vertical="center" wrapText="1"/>
    </xf>
    <xf numFmtId="0" fontId="153" fillId="0" borderId="162">
      <alignment horizontal="left" vertical="center" wrapText="1"/>
    </xf>
    <xf numFmtId="0" fontId="153" fillId="0" borderId="162">
      <alignment horizontal="center" vertical="center" wrapText="1"/>
    </xf>
    <xf numFmtId="0" fontId="153" fillId="0" borderId="162">
      <alignment horizontal="center" vertical="center" wrapText="1"/>
    </xf>
    <xf numFmtId="0" fontId="154" fillId="0" borderId="163">
      <alignment horizontal="left" vertical="center" wrapText="1"/>
    </xf>
    <xf numFmtId="0" fontId="154" fillId="0" borderId="163">
      <alignment horizontal="center" vertical="center" wrapText="1"/>
    </xf>
    <xf numFmtId="0" fontId="154" fillId="0" borderId="163">
      <alignment horizontal="center" vertical="center" wrapText="1"/>
    </xf>
    <xf numFmtId="0" fontId="154" fillId="0" borderId="0">
      <alignment horizontal="right" vertical="center"/>
    </xf>
    <xf numFmtId="0" fontId="153" fillId="0" borderId="164">
      <alignment horizontal="left" vertical="center" wrapText="1"/>
    </xf>
    <xf numFmtId="0" fontId="153" fillId="0" borderId="164">
      <alignment horizontal="center" vertical="center" wrapText="1"/>
    </xf>
    <xf numFmtId="0" fontId="153" fillId="0" borderId="164">
      <alignment horizontal="center" vertical="center" wrapText="1"/>
    </xf>
    <xf numFmtId="0" fontId="153" fillId="0" borderId="131">
      <alignment horizontal="left" vertical="center" wrapText="1"/>
    </xf>
    <xf numFmtId="0" fontId="153" fillId="0" borderId="131">
      <alignment horizontal="center" vertical="center" wrapText="1"/>
    </xf>
    <xf numFmtId="0" fontId="153" fillId="0" borderId="131">
      <alignment horizontal="center" vertical="center" wrapText="1"/>
    </xf>
    <xf numFmtId="0" fontId="153" fillId="0" borderId="150">
      <alignment horizontal="left" vertical="center" wrapText="1"/>
    </xf>
    <xf numFmtId="0" fontId="153" fillId="0" borderId="0">
      <alignment horizontal="left" vertical="center"/>
    </xf>
    <xf numFmtId="0" fontId="153" fillId="0" borderId="0">
      <alignment horizontal="left" vertical="center" wrapText="1"/>
    </xf>
    <xf numFmtId="0" fontId="154" fillId="0" borderId="0">
      <alignment horizontal="left" vertical="center"/>
    </xf>
    <xf numFmtId="0" fontId="153" fillId="0" borderId="0">
      <alignment horizontal="left" vertical="center" wrapText="1"/>
    </xf>
    <xf numFmtId="0" fontId="154" fillId="0" borderId="0">
      <alignment horizontal="center" vertical="center" wrapText="1"/>
    </xf>
    <xf numFmtId="0" fontId="153" fillId="0" borderId="128">
      <alignment horizontal="left" vertical="center"/>
    </xf>
    <xf numFmtId="0" fontId="156" fillId="0" borderId="0"/>
    <xf numFmtId="0" fontId="142" fillId="0" borderId="0"/>
    <xf numFmtId="0" fontId="142" fillId="0" borderId="0"/>
    <xf numFmtId="0" fontId="157" fillId="0" borderId="0"/>
    <xf numFmtId="0" fontId="144" fillId="0" borderId="0"/>
    <xf numFmtId="0" fontId="144" fillId="0" borderId="0"/>
    <xf numFmtId="0" fontId="9" fillId="0" borderId="0"/>
    <xf numFmtId="0" fontId="157" fillId="0" borderId="0"/>
    <xf numFmtId="174" fontId="157" fillId="0" borderId="0" applyFont="0" applyFill="0" applyBorder="0" applyAlignment="0" applyProtection="0"/>
    <xf numFmtId="0" fontId="158" fillId="0" borderId="0" applyNumberFormat="0" applyFill="0" applyBorder="0" applyProtection="0">
      <alignment vertical="top" wrapText="1"/>
    </xf>
    <xf numFmtId="174" fontId="158" fillId="0" borderId="0" applyFont="0" applyFill="0" applyBorder="0" applyAlignment="0" applyProtection="0"/>
    <xf numFmtId="0" fontId="158" fillId="0" borderId="0" applyNumberFormat="0" applyFill="0" applyBorder="0" applyProtection="0">
      <alignment vertical="top" wrapText="1"/>
    </xf>
    <xf numFmtId="0" fontId="158" fillId="0" borderId="0" applyNumberFormat="0" applyFill="0" applyBorder="0" applyProtection="0">
      <alignment vertical="top" wrapText="1"/>
    </xf>
    <xf numFmtId="0" fontId="21" fillId="0" borderId="0"/>
    <xf numFmtId="0" fontId="142" fillId="0" borderId="0"/>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31" fillId="0" borderId="0"/>
    <xf numFmtId="0" fontId="16" fillId="0" borderId="0">
      <alignment vertical="top"/>
    </xf>
    <xf numFmtId="0" fontId="16" fillId="0" borderId="0">
      <alignment vertical="top"/>
    </xf>
    <xf numFmtId="0" fontId="160" fillId="0" borderId="0"/>
    <xf numFmtId="0" fontId="21" fillId="0" borderId="0"/>
    <xf numFmtId="0" fontId="9" fillId="0" borderId="0"/>
    <xf numFmtId="0" fontId="31" fillId="0" borderId="0"/>
    <xf numFmtId="176" fontId="159" fillId="0" borderId="0" applyFont="0" applyFill="0" applyBorder="0" applyAlignment="0" applyProtection="0"/>
    <xf numFmtId="176" fontId="159" fillId="0" borderId="0" applyFont="0" applyFill="0" applyBorder="0" applyAlignment="0" applyProtection="0"/>
    <xf numFmtId="0" fontId="9" fillId="0" borderId="0"/>
    <xf numFmtId="174" fontId="142"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0" fontId="9" fillId="0" borderId="0"/>
    <xf numFmtId="164"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9" fillId="0" borderId="0"/>
    <xf numFmtId="9" fontId="142" fillId="0" borderId="0" applyFont="0" applyFill="0" applyBorder="0" applyAlignment="0" applyProtection="0"/>
    <xf numFmtId="164" fontId="9" fillId="0" borderId="0" applyFont="0" applyFill="0" applyBorder="0" applyAlignment="0" applyProtection="0"/>
    <xf numFmtId="0" fontId="21" fillId="0" borderId="0"/>
    <xf numFmtId="0" fontId="31" fillId="0" borderId="0"/>
    <xf numFmtId="176" fontId="159"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161" fillId="0" borderId="0"/>
    <xf numFmtId="0" fontId="9" fillId="0" borderId="0"/>
    <xf numFmtId="0" fontId="162" fillId="0" borderId="0"/>
    <xf numFmtId="0" fontId="9" fillId="0" borderId="0"/>
    <xf numFmtId="0" fontId="9" fillId="0" borderId="0"/>
    <xf numFmtId="164" fontId="15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9" fillId="0" borderId="0"/>
    <xf numFmtId="165" fontId="9" fillId="0" borderId="0" applyFont="0" applyFill="0" applyBorder="0" applyAlignment="0" applyProtection="0"/>
    <xf numFmtId="0" fontId="21" fillId="0" borderId="0"/>
    <xf numFmtId="0" fontId="9" fillId="0" borderId="0"/>
    <xf numFmtId="165" fontId="9" fillId="0" borderId="0" applyFont="0" applyFill="0" applyBorder="0" applyAlignment="0" applyProtection="0"/>
    <xf numFmtId="0" fontId="9" fillId="0" borderId="0"/>
    <xf numFmtId="174"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0" fontId="9" fillId="0" borderId="0"/>
    <xf numFmtId="164"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165"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143" fillId="0" borderId="0"/>
    <xf numFmtId="165" fontId="142"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10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65" fontId="9" fillId="0" borderId="0" applyFont="0" applyFill="0" applyBorder="0" applyAlignment="0" applyProtection="0"/>
    <xf numFmtId="0" fontId="9" fillId="0" borderId="0"/>
    <xf numFmtId="0" fontId="9"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143"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0" fontId="9" fillId="0" borderId="0"/>
    <xf numFmtId="0" fontId="9" fillId="0" borderId="0"/>
    <xf numFmtId="165" fontId="162" fillId="0" borderId="0" applyFont="0" applyFill="0" applyBorder="0" applyAlignment="0" applyProtection="0"/>
    <xf numFmtId="9" fontId="162" fillId="0" borderId="0" applyFont="0" applyFill="0" applyBorder="0" applyAlignment="0" applyProtection="0"/>
    <xf numFmtId="0" fontId="16" fillId="0" borderId="0"/>
    <xf numFmtId="44" fontId="108" fillId="0" borderId="0" applyFont="0" applyFill="0" applyBorder="0" applyAlignment="0" applyProtection="0"/>
    <xf numFmtId="165" fontId="108"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44" fontId="108"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165" fontId="108"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165" fontId="108"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65"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0" fontId="142" fillId="0" borderId="0"/>
    <xf numFmtId="0" fontId="9" fillId="0" borderId="0"/>
    <xf numFmtId="165" fontId="9" fillId="0" borderId="0" applyFont="0" applyFill="0" applyBorder="0" applyAlignment="0" applyProtection="0"/>
    <xf numFmtId="0" fontId="31"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0" fontId="21" fillId="0" borderId="0"/>
    <xf numFmtId="0" fontId="21" fillId="0" borderId="0"/>
    <xf numFmtId="0" fontId="21" fillId="0" borderId="0"/>
    <xf numFmtId="0" fontId="9" fillId="0" borderId="0"/>
    <xf numFmtId="0" fontId="145" fillId="0" borderId="0"/>
    <xf numFmtId="165" fontId="145" fillId="0" borderId="0" applyFont="0" applyFill="0" applyBorder="0" applyAlignment="0" applyProtection="0"/>
    <xf numFmtId="0" fontId="9" fillId="0" borderId="0"/>
    <xf numFmtId="164" fontId="9" fillId="0" borderId="0" applyFont="0" applyFill="0" applyBorder="0" applyAlignment="0" applyProtection="0"/>
    <xf numFmtId="0" fontId="142" fillId="0" borderId="0"/>
    <xf numFmtId="0" fontId="144" fillId="0" borderId="0"/>
    <xf numFmtId="0" fontId="9" fillId="0" borderId="0"/>
    <xf numFmtId="174" fontId="157" fillId="0" borderId="0" applyFont="0" applyFill="0" applyBorder="0" applyAlignment="0" applyProtection="0"/>
    <xf numFmtId="0" fontId="158" fillId="0" borderId="0" applyNumberFormat="0" applyFill="0" applyBorder="0" applyProtection="0">
      <alignment vertical="top" wrapText="1"/>
    </xf>
    <xf numFmtId="0" fontId="16" fillId="0" borderId="0">
      <alignment vertical="top"/>
    </xf>
    <xf numFmtId="0" fontId="16" fillId="0" borderId="0">
      <alignment vertical="top"/>
    </xf>
    <xf numFmtId="0" fontId="31" fillId="0" borderId="0"/>
    <xf numFmtId="0" fontId="16" fillId="0" borderId="0">
      <alignment vertical="top"/>
    </xf>
    <xf numFmtId="0" fontId="16" fillId="0" borderId="0">
      <alignment vertical="top"/>
    </xf>
    <xf numFmtId="0" fontId="21" fillId="0" borderId="0"/>
    <xf numFmtId="176" fontId="159" fillId="0" borderId="0" applyFont="0" applyFill="0" applyBorder="0" applyAlignment="0" applyProtection="0"/>
    <xf numFmtId="0" fontId="9" fillId="0" borderId="0"/>
    <xf numFmtId="174" fontId="142" fillId="0" borderId="0" applyFont="0" applyFill="0" applyBorder="0" applyAlignment="0" applyProtection="0"/>
    <xf numFmtId="164" fontId="9"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0" fontId="21" fillId="0" borderId="0"/>
    <xf numFmtId="165"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165" fontId="9" fillId="0" borderId="0" applyFont="0" applyFill="0" applyBorder="0" applyAlignment="0" applyProtection="0"/>
    <xf numFmtId="0" fontId="21"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5" fontId="9" fillId="0" borderId="0" applyFont="0" applyFill="0" applyBorder="0" applyAlignment="0" applyProtection="0"/>
    <xf numFmtId="164" fontId="9" fillId="0" borderId="0" applyFont="0" applyFill="0" applyBorder="0" applyAlignment="0" applyProtection="0"/>
    <xf numFmtId="164" fontId="9" fillId="0" borderId="0" applyFont="0" applyFill="0" applyBorder="0" applyAlignment="0" applyProtection="0"/>
    <xf numFmtId="165" fontId="9" fillId="0" borderId="0" applyFont="0" applyFill="0" applyBorder="0" applyAlignment="0" applyProtection="0"/>
    <xf numFmtId="0" fontId="9" fillId="0" borderId="0"/>
    <xf numFmtId="164" fontId="9" fillId="0" borderId="0" applyFont="0" applyFill="0" applyBorder="0" applyAlignment="0" applyProtection="0"/>
    <xf numFmtId="0" fontId="143" fillId="0" borderId="0"/>
    <xf numFmtId="165" fontId="142"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0" fontId="108"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165" fontId="9" fillId="0" borderId="0" applyFont="0" applyFill="0" applyBorder="0" applyAlignment="0" applyProtection="0"/>
    <xf numFmtId="165" fontId="108" fillId="0" borderId="0" applyFont="0" applyFill="0" applyBorder="0" applyAlignment="0" applyProtection="0"/>
    <xf numFmtId="44" fontId="108" fillId="0" borderId="0" applyFont="0" applyFill="0" applyBorder="0" applyAlignment="0" applyProtection="0"/>
    <xf numFmtId="0" fontId="140" fillId="0" borderId="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40" fillId="0" borderId="0"/>
    <xf numFmtId="0" fontId="143" fillId="0" borderId="0"/>
    <xf numFmtId="165" fontId="142"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165" fontId="142" fillId="0" borderId="0" applyFont="0" applyFill="0" applyBorder="0" applyAlignment="0" applyProtection="0"/>
    <xf numFmtId="0" fontId="9" fillId="0" borderId="0"/>
    <xf numFmtId="164" fontId="9" fillId="0" borderId="0" applyFont="0" applyFill="0" applyBorder="0" applyAlignment="0" applyProtection="0"/>
    <xf numFmtId="0" fontId="9" fillId="0" borderId="0"/>
    <xf numFmtId="0" fontId="9" fillId="0" borderId="0"/>
    <xf numFmtId="164"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140" fillId="0" borderId="0"/>
    <xf numFmtId="0" fontId="140" fillId="0" borderId="0"/>
    <xf numFmtId="0" fontId="7" fillId="0" borderId="0"/>
    <xf numFmtId="0" fontId="7" fillId="0" borderId="0"/>
    <xf numFmtId="0" fontId="108" fillId="0" borderId="0"/>
    <xf numFmtId="0" fontId="6" fillId="0" borderId="0"/>
    <xf numFmtId="0" fontId="108" fillId="0" borderId="0"/>
    <xf numFmtId="0" fontId="5" fillId="0" borderId="0"/>
    <xf numFmtId="9"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1" fillId="0" borderId="0"/>
    <xf numFmtId="0" fontId="31" fillId="0" borderId="0"/>
    <xf numFmtId="0" fontId="3" fillId="0" borderId="0"/>
    <xf numFmtId="0" fontId="3" fillId="0" borderId="0"/>
    <xf numFmtId="0" fontId="3" fillId="0" borderId="0"/>
    <xf numFmtId="0" fontId="187" fillId="0" borderId="0"/>
    <xf numFmtId="0" fontId="3" fillId="0" borderId="0"/>
    <xf numFmtId="0" fontId="3" fillId="0" borderId="0"/>
    <xf numFmtId="0" fontId="156" fillId="0" borderId="0"/>
    <xf numFmtId="0" fontId="3" fillId="0" borderId="0"/>
    <xf numFmtId="0" fontId="3" fillId="0" borderId="0"/>
    <xf numFmtId="0" fontId="21" fillId="0" borderId="0"/>
    <xf numFmtId="0" fontId="21" fillId="0" borderId="0"/>
    <xf numFmtId="0" fontId="3" fillId="0" borderId="0"/>
    <xf numFmtId="0" fontId="31" fillId="0" borderId="0"/>
    <xf numFmtId="0" fontId="3" fillId="0" borderId="0"/>
    <xf numFmtId="0" fontId="3" fillId="0" borderId="0"/>
    <xf numFmtId="0" fontId="3" fillId="0" borderId="0"/>
    <xf numFmtId="0" fontId="31" fillId="0" borderId="0"/>
    <xf numFmtId="0" fontId="31" fillId="0" borderId="0"/>
    <xf numFmtId="0" fontId="3" fillId="0" borderId="0"/>
    <xf numFmtId="0" fontId="31" fillId="0" borderId="0"/>
    <xf numFmtId="0" fontId="3" fillId="0" borderId="0"/>
    <xf numFmtId="0" fontId="31" fillId="0" borderId="0"/>
    <xf numFmtId="0" fontId="3" fillId="0" borderId="0"/>
    <xf numFmtId="0" fontId="31" fillId="0" borderId="0"/>
    <xf numFmtId="0" fontId="3" fillId="0" borderId="0"/>
    <xf numFmtId="0" fontId="3" fillId="0" borderId="0"/>
    <xf numFmtId="0" fontId="3" fillId="0" borderId="0"/>
    <xf numFmtId="0" fontId="31" fillId="0" borderId="0"/>
    <xf numFmtId="0" fontId="3" fillId="0" borderId="0"/>
    <xf numFmtId="0" fontId="31" fillId="0" borderId="0"/>
    <xf numFmtId="0" fontId="3" fillId="0" borderId="0"/>
    <xf numFmtId="0" fontId="31" fillId="0" borderId="0"/>
    <xf numFmtId="165" fontId="3" fillId="0" borderId="0" applyFont="0" applyFill="0" applyBorder="0" applyAlignment="0" applyProtection="0"/>
    <xf numFmtId="165" fontId="3" fillId="0" borderId="0" applyFont="0" applyFill="0" applyBorder="0" applyAlignment="0" applyProtection="0"/>
    <xf numFmtId="0" fontId="3" fillId="0" borderId="0"/>
    <xf numFmtId="165" fontId="31" fillId="0" borderId="0" applyFont="0" applyFill="0" applyBorder="0" applyAlignment="0" applyProtection="0"/>
    <xf numFmtId="0" fontId="2" fillId="0" borderId="0"/>
    <xf numFmtId="0" fontId="2" fillId="0" borderId="0"/>
    <xf numFmtId="0" fontId="2" fillId="0" borderId="0"/>
    <xf numFmtId="0" fontId="140" fillId="0" borderId="0">
      <alignment horizontal="left"/>
    </xf>
    <xf numFmtId="0" fontId="2" fillId="0" borderId="0"/>
    <xf numFmtId="0" fontId="108" fillId="0" borderId="0"/>
    <xf numFmtId="9" fontId="21" fillId="0" borderId="0" applyFont="0" applyFill="0" applyBorder="0" applyAlignment="0" applyProtection="0"/>
    <xf numFmtId="166" fontId="31" fillId="0" borderId="0" applyFont="0" applyFill="0" applyBorder="0" applyAlignment="0" applyProtection="0"/>
    <xf numFmtId="0" fontId="1" fillId="0" borderId="0"/>
    <xf numFmtId="0" fontId="1" fillId="0" borderId="0"/>
    <xf numFmtId="0" fontId="1" fillId="0" borderId="0"/>
  </cellStyleXfs>
  <cellXfs count="4415">
    <xf numFmtId="0" fontId="0" fillId="0" borderId="0" xfId="0"/>
    <xf numFmtId="0" fontId="16" fillId="0" borderId="0" xfId="1"/>
    <xf numFmtId="0" fontId="20" fillId="0" borderId="0" xfId="1" applyFont="1"/>
    <xf numFmtId="0" fontId="23" fillId="0" borderId="6" xfId="0" applyFont="1" applyBorder="1" applyAlignment="1">
      <alignment horizontal="center" vertical="center" textRotation="90"/>
    </xf>
    <xf numFmtId="0" fontId="23" fillId="0" borderId="7" xfId="0" applyFont="1" applyBorder="1" applyAlignment="1">
      <alignment horizontal="center" vertical="center" textRotation="90"/>
    </xf>
    <xf numFmtId="0" fontId="17" fillId="0" borderId="25" xfId="0" applyFont="1" applyBorder="1" applyAlignment="1">
      <alignment horizontal="center" vertical="center"/>
    </xf>
    <xf numFmtId="0" fontId="19" fillId="0" borderId="18" xfId="1" applyFont="1" applyBorder="1" applyAlignment="1">
      <alignment vertical="center"/>
    </xf>
    <xf numFmtId="0" fontId="19" fillId="0" borderId="16" xfId="1" applyFont="1" applyBorder="1" applyAlignment="1">
      <alignment vertical="center"/>
    </xf>
    <xf numFmtId="0" fontId="16" fillId="0" borderId="0" xfId="1" applyAlignment="1">
      <alignment vertical="center"/>
    </xf>
    <xf numFmtId="0" fontId="19" fillId="0" borderId="33" xfId="1" applyFont="1" applyBorder="1" applyAlignment="1">
      <alignment vertical="center"/>
    </xf>
    <xf numFmtId="0" fontId="19" fillId="0" borderId="29" xfId="1" applyFont="1" applyBorder="1" applyAlignment="1">
      <alignment horizontal="left" vertical="center"/>
    </xf>
    <xf numFmtId="0" fontId="22" fillId="0" borderId="6" xfId="1" applyFont="1" applyBorder="1" applyAlignment="1">
      <alignment horizontal="center" vertical="center"/>
    </xf>
    <xf numFmtId="0" fontId="19" fillId="0" borderId="19" xfId="1" applyFont="1" applyBorder="1" applyAlignment="1">
      <alignment horizontal="left" vertical="center"/>
    </xf>
    <xf numFmtId="0" fontId="24" fillId="4" borderId="24" xfId="1" applyFont="1" applyFill="1" applyBorder="1" applyAlignment="1">
      <alignment vertical="center"/>
    </xf>
    <xf numFmtId="0" fontId="19" fillId="0" borderId="32" xfId="1" applyFont="1" applyBorder="1" applyAlignment="1">
      <alignment horizontal="left" vertical="center"/>
    </xf>
    <xf numFmtId="0" fontId="24" fillId="3" borderId="19" xfId="1" applyFont="1" applyFill="1" applyBorder="1" applyAlignment="1">
      <alignment vertical="center"/>
    </xf>
    <xf numFmtId="0" fontId="24" fillId="0" borderId="32" xfId="1" applyFont="1" applyFill="1" applyBorder="1" applyAlignment="1">
      <alignment vertical="center"/>
    </xf>
    <xf numFmtId="0" fontId="24" fillId="4" borderId="19" xfId="1" applyFont="1" applyFill="1" applyBorder="1" applyAlignment="1">
      <alignment vertical="center"/>
    </xf>
    <xf numFmtId="0" fontId="19" fillId="0" borderId="24" xfId="1" applyFont="1" applyFill="1" applyBorder="1" applyAlignment="1">
      <alignment vertical="center"/>
    </xf>
    <xf numFmtId="0" fontId="19" fillId="0" borderId="24" xfId="1" applyFont="1" applyFill="1" applyBorder="1" applyAlignment="1">
      <alignment horizontal="left" vertical="center"/>
    </xf>
    <xf numFmtId="0" fontId="24" fillId="0" borderId="7" xfId="1" applyFont="1" applyBorder="1" applyAlignment="1">
      <alignment vertical="center"/>
    </xf>
    <xf numFmtId="0" fontId="19" fillId="0" borderId="32" xfId="1" applyFont="1" applyBorder="1" applyAlignment="1">
      <alignment vertical="center"/>
    </xf>
    <xf numFmtId="0" fontId="24" fillId="4" borderId="33" xfId="1" applyFont="1" applyFill="1" applyBorder="1" applyAlignment="1">
      <alignment vertical="center"/>
    </xf>
    <xf numFmtId="0" fontId="24" fillId="6" borderId="2" xfId="1" applyFont="1" applyFill="1" applyBorder="1" applyAlignment="1">
      <alignment vertical="center"/>
    </xf>
    <xf numFmtId="0" fontId="19" fillId="0" borderId="21" xfId="1" applyFont="1" applyBorder="1" applyAlignment="1">
      <alignment vertical="center"/>
    </xf>
    <xf numFmtId="0" fontId="19" fillId="0" borderId="21" xfId="1" applyFont="1" applyBorder="1" applyAlignment="1">
      <alignment horizontal="left" vertical="center"/>
    </xf>
    <xf numFmtId="0" fontId="23" fillId="0" borderId="7" xfId="1" applyFont="1" applyBorder="1" applyAlignment="1">
      <alignment horizontal="center" vertical="center"/>
    </xf>
    <xf numFmtId="0" fontId="24" fillId="4" borderId="31" xfId="1" applyFont="1" applyFill="1" applyBorder="1" applyAlignment="1">
      <alignment vertical="center"/>
    </xf>
    <xf numFmtId="0" fontId="24" fillId="6" borderId="21" xfId="1" applyFont="1" applyFill="1" applyBorder="1" applyAlignment="1">
      <alignment vertical="center"/>
    </xf>
    <xf numFmtId="0" fontId="24" fillId="3" borderId="32" xfId="1" applyFont="1" applyFill="1" applyBorder="1" applyAlignment="1">
      <alignment vertical="center"/>
    </xf>
    <xf numFmtId="0" fontId="19" fillId="0" borderId="0" xfId="1" applyFont="1" applyAlignment="1">
      <alignment vertical="center"/>
    </xf>
    <xf numFmtId="0" fontId="19" fillId="0" borderId="23" xfId="1" applyFont="1" applyBorder="1" applyAlignment="1">
      <alignment vertical="center"/>
    </xf>
    <xf numFmtId="0" fontId="19" fillId="0" borderId="27" xfId="1" applyFont="1" applyBorder="1" applyAlignment="1">
      <alignment vertical="center"/>
    </xf>
    <xf numFmtId="0" fontId="24" fillId="0" borderId="25" xfId="1" applyFont="1" applyBorder="1" applyAlignment="1">
      <alignment horizontal="center" vertical="center"/>
    </xf>
    <xf numFmtId="0" fontId="24" fillId="6" borderId="1" xfId="1" applyFont="1" applyFill="1" applyBorder="1" applyAlignment="1">
      <alignment vertical="center"/>
    </xf>
    <xf numFmtId="0" fontId="19" fillId="0" borderId="29" xfId="1" applyFont="1" applyFill="1" applyBorder="1" applyAlignment="1">
      <alignment vertical="center"/>
    </xf>
    <xf numFmtId="0" fontId="24" fillId="3" borderId="18" xfId="1" applyFont="1" applyFill="1" applyBorder="1" applyAlignment="1">
      <alignment vertical="center"/>
    </xf>
    <xf numFmtId="0" fontId="24" fillId="6" borderId="24" xfId="1" applyFont="1" applyFill="1" applyBorder="1" applyAlignment="1">
      <alignment vertical="center" wrapText="1"/>
    </xf>
    <xf numFmtId="4" fontId="16" fillId="0" borderId="0" xfId="1" applyNumberFormat="1" applyAlignment="1">
      <alignment horizontal="center" vertical="center"/>
    </xf>
    <xf numFmtId="4" fontId="25" fillId="0" borderId="30" xfId="1" applyNumberFormat="1" applyFont="1" applyFill="1" applyBorder="1" applyAlignment="1">
      <alignment horizontal="center" vertical="center"/>
    </xf>
    <xf numFmtId="4" fontId="25" fillId="0" borderId="28" xfId="1" applyNumberFormat="1" applyFont="1" applyFill="1" applyBorder="1" applyAlignment="1">
      <alignment horizontal="center" vertical="center"/>
    </xf>
    <xf numFmtId="166" fontId="27" fillId="0" borderId="23" xfId="6" applyFont="1" applyFill="1" applyBorder="1" applyAlignment="1">
      <alignment horizontal="center" vertical="center"/>
    </xf>
    <xf numFmtId="9" fontId="27" fillId="0" borderId="30" xfId="7" applyFont="1" applyFill="1" applyBorder="1" applyAlignment="1">
      <alignment horizontal="center" vertical="center"/>
    </xf>
    <xf numFmtId="4" fontId="27" fillId="0" borderId="21" xfId="1" applyNumberFormat="1" applyFont="1" applyFill="1" applyBorder="1" applyAlignment="1">
      <alignment horizontal="center" vertical="center"/>
    </xf>
    <xf numFmtId="10" fontId="27" fillId="0" borderId="16" xfId="1" applyNumberFormat="1" applyFont="1" applyFill="1" applyBorder="1" applyAlignment="1">
      <alignment horizontal="center" vertical="center"/>
    </xf>
    <xf numFmtId="0" fontId="27" fillId="0" borderId="14" xfId="1" applyNumberFormat="1" applyFont="1" applyFill="1" applyBorder="1" applyAlignment="1">
      <alignment horizontal="center" vertical="center"/>
    </xf>
    <xf numFmtId="4" fontId="26" fillId="0" borderId="18" xfId="1" applyNumberFormat="1" applyFont="1" applyFill="1" applyBorder="1" applyAlignment="1">
      <alignment horizontal="center" vertical="center"/>
    </xf>
    <xf numFmtId="4" fontId="26" fillId="0" borderId="15" xfId="1" applyNumberFormat="1" applyFont="1" applyFill="1" applyBorder="1" applyAlignment="1">
      <alignment horizontal="center" vertical="center"/>
    </xf>
    <xf numFmtId="10" fontId="26" fillId="0" borderId="13" xfId="1" applyNumberFormat="1" applyFont="1" applyFill="1" applyBorder="1" applyAlignment="1">
      <alignment horizontal="center" vertical="center"/>
    </xf>
    <xf numFmtId="4" fontId="27" fillId="0" borderId="16" xfId="1" applyNumberFormat="1" applyFont="1" applyFill="1" applyBorder="1" applyAlignment="1">
      <alignment horizontal="center" vertical="center"/>
    </xf>
    <xf numFmtId="4" fontId="27" fillId="0" borderId="31" xfId="1" applyNumberFormat="1" applyFont="1" applyFill="1" applyBorder="1" applyAlignment="1">
      <alignment horizontal="center" vertical="center"/>
    </xf>
    <xf numFmtId="4" fontId="27" fillId="0" borderId="17" xfId="1" applyNumberFormat="1" applyFont="1" applyFill="1" applyBorder="1" applyAlignment="1">
      <alignment horizontal="center" vertical="center"/>
    </xf>
    <xf numFmtId="10" fontId="27" fillId="0" borderId="34" xfId="1" applyNumberFormat="1" applyFont="1" applyFill="1" applyBorder="1" applyAlignment="1">
      <alignment horizontal="center" vertical="center"/>
    </xf>
    <xf numFmtId="4" fontId="20" fillId="6" borderId="25" xfId="1" applyNumberFormat="1" applyFont="1" applyFill="1" applyBorder="1" applyAlignment="1">
      <alignment horizontal="center" vertical="center"/>
    </xf>
    <xf numFmtId="10" fontId="24" fillId="3" borderId="18" xfId="1" applyNumberFormat="1" applyFont="1" applyFill="1" applyBorder="1" applyAlignment="1">
      <alignment horizontal="center" vertical="center"/>
    </xf>
    <xf numFmtId="10" fontId="24" fillId="3" borderId="15" xfId="1" applyNumberFormat="1" applyFont="1" applyFill="1" applyBorder="1" applyAlignment="1">
      <alignment horizontal="center" vertical="center"/>
    </xf>
    <xf numFmtId="10" fontId="24" fillId="0" borderId="31" xfId="1" applyNumberFormat="1" applyFont="1" applyFill="1" applyBorder="1" applyAlignment="1">
      <alignment horizontal="center" vertical="center"/>
    </xf>
    <xf numFmtId="10" fontId="24" fillId="0" borderId="17" xfId="1" applyNumberFormat="1" applyFont="1" applyFill="1" applyBorder="1" applyAlignment="1">
      <alignment horizontal="center" vertical="center"/>
    </xf>
    <xf numFmtId="10" fontId="24" fillId="0" borderId="34" xfId="1" applyNumberFormat="1" applyFont="1" applyFill="1" applyBorder="1" applyAlignment="1">
      <alignment horizontal="center" vertical="center"/>
    </xf>
    <xf numFmtId="4" fontId="24" fillId="4" borderId="18" xfId="1" applyNumberFormat="1" applyFont="1" applyFill="1" applyBorder="1" applyAlignment="1">
      <alignment horizontal="center" vertical="center"/>
    </xf>
    <xf numFmtId="4" fontId="24" fillId="4" borderId="15" xfId="1" applyNumberFormat="1" applyFont="1" applyFill="1" applyBorder="1" applyAlignment="1">
      <alignment horizontal="center" vertical="center"/>
    </xf>
    <xf numFmtId="10" fontId="26" fillId="5" borderId="34" xfId="1" applyNumberFormat="1" applyFont="1" applyFill="1" applyBorder="1" applyAlignment="1">
      <alignment horizontal="center" vertical="center"/>
    </xf>
    <xf numFmtId="10" fontId="26" fillId="5" borderId="14" xfId="1" applyNumberFormat="1" applyFont="1" applyFill="1" applyBorder="1" applyAlignment="1">
      <alignment horizontal="center" vertical="center"/>
    </xf>
    <xf numFmtId="10" fontId="24" fillId="4" borderId="14" xfId="1" applyNumberFormat="1" applyFont="1" applyFill="1" applyBorder="1" applyAlignment="1">
      <alignment horizontal="center" vertical="center"/>
    </xf>
    <xf numFmtId="10" fontId="26" fillId="0" borderId="34" xfId="1" applyNumberFormat="1" applyFont="1" applyFill="1" applyBorder="1" applyAlignment="1">
      <alignment horizontal="center" vertical="center"/>
    </xf>
    <xf numFmtId="4" fontId="24" fillId="6" borderId="2" xfId="1" applyNumberFormat="1" applyFont="1" applyFill="1" applyBorder="1" applyAlignment="1">
      <alignment horizontal="center" vertical="center"/>
    </xf>
    <xf numFmtId="4" fontId="24" fillId="6" borderId="25" xfId="1" applyNumberFormat="1" applyFont="1" applyFill="1" applyBorder="1" applyAlignment="1">
      <alignment horizontal="center" vertical="center"/>
    </xf>
    <xf numFmtId="4" fontId="24" fillId="4" borderId="17" xfId="1" applyNumberFormat="1" applyFont="1" applyFill="1" applyBorder="1" applyAlignment="1">
      <alignment horizontal="center" vertical="center"/>
    </xf>
    <xf numFmtId="10" fontId="27" fillId="0" borderId="13" xfId="1" applyNumberFormat="1" applyFont="1" applyFill="1" applyBorder="1" applyAlignment="1">
      <alignment horizontal="center" vertical="center"/>
    </xf>
    <xf numFmtId="10" fontId="26" fillId="0" borderId="14" xfId="1" applyNumberFormat="1" applyFont="1" applyFill="1" applyBorder="1" applyAlignment="1">
      <alignment horizontal="center" vertical="center"/>
    </xf>
    <xf numFmtId="4" fontId="28" fillId="6" borderId="16" xfId="1" applyNumberFormat="1" applyFont="1" applyFill="1" applyBorder="1" applyAlignment="1">
      <alignment horizontal="center" vertical="center"/>
    </xf>
    <xf numFmtId="10" fontId="27" fillId="0" borderId="30" xfId="1" applyNumberFormat="1" applyFont="1" applyFill="1" applyBorder="1" applyAlignment="1">
      <alignment horizontal="center" vertical="center"/>
    </xf>
    <xf numFmtId="4" fontId="24" fillId="6" borderId="21" xfId="1" applyNumberFormat="1" applyFont="1" applyFill="1" applyBorder="1" applyAlignment="1">
      <alignment horizontal="center" vertical="center"/>
    </xf>
    <xf numFmtId="4" fontId="24" fillId="6" borderId="16" xfId="1" applyNumberFormat="1" applyFont="1" applyFill="1" applyBorder="1" applyAlignment="1">
      <alignment horizontal="center" vertical="center"/>
    </xf>
    <xf numFmtId="10" fontId="24" fillId="3" borderId="31" xfId="1" applyNumberFormat="1" applyFont="1" applyFill="1" applyBorder="1" applyAlignment="1">
      <alignment horizontal="center" vertical="center"/>
    </xf>
    <xf numFmtId="10" fontId="24" fillId="3" borderId="17" xfId="1" applyNumberFormat="1" applyFont="1" applyFill="1" applyBorder="1" applyAlignment="1">
      <alignment horizontal="center" vertical="center"/>
    </xf>
    <xf numFmtId="4" fontId="19" fillId="0" borderId="0" xfId="1" applyNumberFormat="1" applyFont="1" applyAlignment="1">
      <alignment horizontal="center" vertical="center"/>
    </xf>
    <xf numFmtId="0" fontId="16" fillId="0" borderId="0" xfId="1" applyAlignment="1">
      <alignment horizontal="center" vertical="center"/>
    </xf>
    <xf numFmtId="166" fontId="27" fillId="0" borderId="16" xfId="6" applyFont="1" applyFill="1" applyBorder="1" applyAlignment="1">
      <alignment horizontal="center" vertical="center"/>
    </xf>
    <xf numFmtId="9" fontId="27" fillId="0" borderId="14" xfId="7" applyFont="1" applyFill="1" applyBorder="1" applyAlignment="1">
      <alignment horizontal="center" vertical="center"/>
    </xf>
    <xf numFmtId="10" fontId="24" fillId="0" borderId="28" xfId="1" applyNumberFormat="1" applyFont="1" applyFill="1" applyBorder="1" applyAlignment="1">
      <alignment horizontal="center" vertical="center"/>
    </xf>
    <xf numFmtId="10" fontId="26" fillId="5" borderId="28" xfId="1" applyNumberFormat="1" applyFont="1" applyFill="1" applyBorder="1" applyAlignment="1">
      <alignment horizontal="center" vertical="center"/>
    </xf>
    <xf numFmtId="4" fontId="24" fillId="8" borderId="27" xfId="1" applyNumberFormat="1" applyFont="1" applyFill="1" applyBorder="1" applyAlignment="1">
      <alignment horizontal="center" vertical="center"/>
    </xf>
    <xf numFmtId="0" fontId="24" fillId="11" borderId="5" xfId="1" applyFont="1" applyFill="1" applyBorder="1" applyAlignment="1">
      <alignment horizontal="center" vertical="center"/>
    </xf>
    <xf numFmtId="0" fontId="24" fillId="11" borderId="2" xfId="1" applyFont="1" applyFill="1" applyBorder="1" applyAlignment="1">
      <alignment vertical="center"/>
    </xf>
    <xf numFmtId="4" fontId="24" fillId="11" borderId="2" xfId="1" applyNumberFormat="1" applyFont="1" applyFill="1" applyBorder="1" applyAlignment="1">
      <alignment horizontal="center" vertical="center"/>
    </xf>
    <xf numFmtId="4" fontId="24" fillId="11" borderId="25" xfId="1" applyNumberFormat="1" applyFont="1" applyFill="1" applyBorder="1" applyAlignment="1">
      <alignment horizontal="center" vertical="center"/>
    </xf>
    <xf numFmtId="4" fontId="24" fillId="11" borderId="11" xfId="1" applyNumberFormat="1" applyFont="1" applyFill="1" applyBorder="1" applyAlignment="1">
      <alignment horizontal="center" vertical="center"/>
    </xf>
    <xf numFmtId="0" fontId="20" fillId="11" borderId="0" xfId="1" applyFont="1" applyFill="1"/>
    <xf numFmtId="0" fontId="24" fillId="11" borderId="24" xfId="1" applyFont="1" applyFill="1" applyBorder="1" applyAlignment="1">
      <alignment vertical="center"/>
    </xf>
    <xf numFmtId="4" fontId="24" fillId="11" borderId="21" xfId="1" applyNumberFormat="1" applyFont="1" applyFill="1" applyBorder="1" applyAlignment="1">
      <alignment horizontal="center" vertical="center"/>
    </xf>
    <xf numFmtId="4" fontId="24" fillId="11" borderId="16" xfId="1" applyNumberFormat="1" applyFont="1" applyFill="1" applyBorder="1" applyAlignment="1">
      <alignment horizontal="center" vertical="center"/>
    </xf>
    <xf numFmtId="0" fontId="32" fillId="12" borderId="25" xfId="1" applyFont="1" applyFill="1" applyBorder="1" applyAlignment="1">
      <alignment horizontal="center" vertical="center"/>
    </xf>
    <xf numFmtId="0" fontId="33" fillId="12" borderId="1" xfId="1" applyFont="1" applyFill="1" applyBorder="1" applyAlignment="1">
      <alignment horizontal="center" vertical="center" wrapText="1"/>
    </xf>
    <xf numFmtId="0" fontId="33" fillId="12" borderId="2" xfId="1" applyFont="1" applyFill="1" applyBorder="1" applyAlignment="1">
      <alignment horizontal="center" vertical="center" wrapText="1"/>
    </xf>
    <xf numFmtId="0" fontId="33" fillId="12" borderId="25" xfId="1" applyFont="1" applyFill="1" applyBorder="1" applyAlignment="1">
      <alignment horizontal="center" vertical="center" wrapText="1"/>
    </xf>
    <xf numFmtId="10" fontId="26" fillId="0" borderId="15" xfId="1" applyNumberFormat="1" applyFont="1" applyFill="1" applyBorder="1" applyAlignment="1">
      <alignment horizontal="center" vertical="center"/>
    </xf>
    <xf numFmtId="0" fontId="27" fillId="0" borderId="16" xfId="1" applyNumberFormat="1" applyFont="1" applyFill="1" applyBorder="1" applyAlignment="1">
      <alignment horizontal="center" vertical="center"/>
    </xf>
    <xf numFmtId="10" fontId="27" fillId="0" borderId="17" xfId="1" applyNumberFormat="1" applyFont="1" applyFill="1" applyBorder="1" applyAlignment="1">
      <alignment horizontal="center" vertical="center"/>
    </xf>
    <xf numFmtId="10" fontId="24" fillId="4" borderId="16" xfId="1" applyNumberFormat="1" applyFont="1" applyFill="1" applyBorder="1" applyAlignment="1">
      <alignment horizontal="center" vertical="center"/>
    </xf>
    <xf numFmtId="10" fontId="26" fillId="0" borderId="17" xfId="1" applyNumberFormat="1" applyFont="1" applyFill="1" applyBorder="1" applyAlignment="1">
      <alignment horizontal="center" vertical="center"/>
    </xf>
    <xf numFmtId="0" fontId="27" fillId="0" borderId="30" xfId="1" applyNumberFormat="1" applyFont="1" applyFill="1" applyBorder="1" applyAlignment="1">
      <alignment horizontal="center" vertical="center"/>
    </xf>
    <xf numFmtId="0" fontId="27" fillId="0" borderId="13" xfId="1" applyNumberFormat="1" applyFont="1" applyFill="1" applyBorder="1" applyAlignment="1">
      <alignment horizontal="center" vertical="center"/>
    </xf>
    <xf numFmtId="166" fontId="27" fillId="0" borderId="14" xfId="6" applyFont="1" applyFill="1" applyBorder="1" applyAlignment="1">
      <alignment horizontal="center" vertical="center"/>
    </xf>
    <xf numFmtId="3" fontId="25" fillId="0" borderId="26" xfId="1" applyNumberFormat="1" applyFont="1" applyFill="1" applyBorder="1" applyAlignment="1">
      <alignment horizontal="center" vertical="center"/>
    </xf>
    <xf numFmtId="3" fontId="25" fillId="0" borderId="23" xfId="1" applyNumberFormat="1" applyFont="1" applyFill="1" applyBorder="1" applyAlignment="1">
      <alignment horizontal="center" vertical="center"/>
    </xf>
    <xf numFmtId="3" fontId="27" fillId="0" borderId="23" xfId="6" applyNumberFormat="1" applyFont="1" applyFill="1" applyBorder="1" applyAlignment="1">
      <alignment horizontal="center" vertical="center"/>
    </xf>
    <xf numFmtId="3" fontId="25" fillId="0" borderId="22" xfId="1" applyNumberFormat="1" applyFont="1" applyFill="1" applyBorder="1" applyAlignment="1">
      <alignment horizontal="center" vertical="center"/>
    </xf>
    <xf numFmtId="3" fontId="25" fillId="0" borderId="27" xfId="1" applyNumberFormat="1" applyFont="1" applyFill="1" applyBorder="1" applyAlignment="1">
      <alignment horizontal="center" vertical="center"/>
    </xf>
    <xf numFmtId="3" fontId="24" fillId="11" borderId="2" xfId="1" applyNumberFormat="1" applyFont="1" applyFill="1" applyBorder="1" applyAlignment="1">
      <alignment horizontal="center" vertical="center"/>
    </xf>
    <xf numFmtId="3" fontId="24" fillId="11" borderId="25" xfId="1" applyNumberFormat="1" applyFont="1" applyFill="1" applyBorder="1" applyAlignment="1">
      <alignment horizontal="center" vertical="center"/>
    </xf>
    <xf numFmtId="3" fontId="27" fillId="0" borderId="33" xfId="1" applyNumberFormat="1" applyFont="1" applyFill="1" applyBorder="1" applyAlignment="1">
      <alignment horizontal="center" vertical="center"/>
    </xf>
    <xf numFmtId="3" fontId="27" fillId="0" borderId="26" xfId="1" applyNumberFormat="1" applyFont="1" applyFill="1" applyBorder="1" applyAlignment="1">
      <alignment horizontal="center" vertical="center"/>
    </xf>
    <xf numFmtId="3" fontId="27" fillId="0" borderId="21" xfId="1" applyNumberFormat="1" applyFont="1" applyFill="1" applyBorder="1" applyAlignment="1">
      <alignment horizontal="center" vertical="center"/>
    </xf>
    <xf numFmtId="3" fontId="27" fillId="0" borderId="24" xfId="1" applyNumberFormat="1" applyFont="1" applyFill="1" applyBorder="1" applyAlignment="1">
      <alignment horizontal="center" vertical="center"/>
    </xf>
    <xf numFmtId="3" fontId="27" fillId="0" borderId="29" xfId="1" applyNumberFormat="1" applyFont="1" applyFill="1" applyBorder="1" applyAlignment="1">
      <alignment horizontal="center" vertical="center"/>
    </xf>
    <xf numFmtId="3" fontId="27" fillId="0" borderId="22" xfId="1" applyNumberFormat="1" applyFont="1" applyFill="1" applyBorder="1" applyAlignment="1">
      <alignment horizontal="center" vertical="center"/>
    </xf>
    <xf numFmtId="3" fontId="24" fillId="4" borderId="26" xfId="1" applyNumberFormat="1" applyFont="1" applyFill="1" applyBorder="1" applyAlignment="1">
      <alignment horizontal="center" vertical="center"/>
    </xf>
    <xf numFmtId="3" fontId="24" fillId="4" borderId="23" xfId="1" applyNumberFormat="1" applyFont="1" applyFill="1" applyBorder="1" applyAlignment="1">
      <alignment horizontal="center" vertical="center"/>
    </xf>
    <xf numFmtId="3" fontId="27" fillId="0" borderId="16" xfId="1" applyNumberFormat="1" applyFont="1" applyFill="1" applyBorder="1" applyAlignment="1">
      <alignment horizontal="center" vertical="center"/>
    </xf>
    <xf numFmtId="3" fontId="27" fillId="0" borderId="16" xfId="6" applyNumberFormat="1" applyFont="1" applyFill="1" applyBorder="1" applyAlignment="1">
      <alignment horizontal="center" vertical="center"/>
    </xf>
    <xf numFmtId="3" fontId="27" fillId="0" borderId="27" xfId="1" applyNumberFormat="1" applyFont="1" applyFill="1" applyBorder="1" applyAlignment="1">
      <alignment horizontal="center" vertical="center"/>
    </xf>
    <xf numFmtId="3" fontId="27" fillId="0" borderId="28" xfId="1" applyNumberFormat="1" applyFont="1" applyFill="1" applyBorder="1" applyAlignment="1">
      <alignment horizontal="center" vertical="center"/>
    </xf>
    <xf numFmtId="3" fontId="24" fillId="4" borderId="18" xfId="1" applyNumberFormat="1" applyFont="1" applyFill="1" applyBorder="1" applyAlignment="1">
      <alignment horizontal="center" vertical="center"/>
    </xf>
    <xf numFmtId="3" fontId="26" fillId="5" borderId="31" xfId="1" applyNumberFormat="1" applyFont="1" applyFill="1" applyBorder="1" applyAlignment="1">
      <alignment horizontal="center" vertical="center"/>
    </xf>
    <xf numFmtId="3" fontId="26" fillId="5" borderId="17" xfId="1" applyNumberFormat="1" applyFont="1" applyFill="1" applyBorder="1" applyAlignment="1">
      <alignment horizontal="center" vertical="center"/>
    </xf>
    <xf numFmtId="3" fontId="26" fillId="5" borderId="34" xfId="1" applyNumberFormat="1" applyFont="1" applyFill="1" applyBorder="1" applyAlignment="1">
      <alignment horizontal="center" vertical="center"/>
    </xf>
    <xf numFmtId="3" fontId="24" fillId="4" borderId="15" xfId="1" applyNumberFormat="1" applyFont="1" applyFill="1" applyBorder="1" applyAlignment="1">
      <alignment horizontal="center" vertical="center"/>
    </xf>
    <xf numFmtId="3" fontId="27" fillId="5" borderId="16" xfId="1" applyNumberFormat="1" applyFont="1" applyFill="1" applyBorder="1" applyAlignment="1">
      <alignment horizontal="center" vertical="center"/>
    </xf>
    <xf numFmtId="3" fontId="27" fillId="5" borderId="21" xfId="1" applyNumberFormat="1" applyFont="1" applyFill="1" applyBorder="1" applyAlignment="1">
      <alignment horizontal="center" vertical="center"/>
    </xf>
    <xf numFmtId="3" fontId="26" fillId="5" borderId="21" xfId="1" applyNumberFormat="1" applyFont="1" applyFill="1" applyBorder="1" applyAlignment="1">
      <alignment horizontal="center" vertical="center"/>
    </xf>
    <xf numFmtId="3" fontId="26" fillId="5" borderId="16" xfId="1" applyNumberFormat="1" applyFont="1" applyFill="1" applyBorder="1" applyAlignment="1">
      <alignment horizontal="center" vertical="center"/>
    </xf>
    <xf numFmtId="3" fontId="24" fillId="4" borderId="21" xfId="1" applyNumberFormat="1" applyFont="1" applyFill="1" applyBorder="1" applyAlignment="1">
      <alignment horizontal="center" vertical="center"/>
    </xf>
    <xf numFmtId="3" fontId="24" fillId="4" borderId="16" xfId="1" applyNumberFormat="1" applyFont="1" applyFill="1" applyBorder="1" applyAlignment="1">
      <alignment horizontal="center" vertical="center"/>
    </xf>
    <xf numFmtId="3" fontId="26" fillId="0" borderId="31" xfId="1" applyNumberFormat="1" applyFont="1" applyFill="1" applyBorder="1" applyAlignment="1">
      <alignment horizontal="center" vertical="center"/>
    </xf>
    <xf numFmtId="3" fontId="26" fillId="0" borderId="17" xfId="1" applyNumberFormat="1" applyFont="1" applyFill="1" applyBorder="1" applyAlignment="1">
      <alignment horizontal="center" vertical="center"/>
    </xf>
    <xf numFmtId="3" fontId="26" fillId="0" borderId="34" xfId="1" applyNumberFormat="1" applyFont="1" applyFill="1" applyBorder="1" applyAlignment="1">
      <alignment horizontal="center" vertical="center"/>
    </xf>
    <xf numFmtId="3" fontId="24" fillId="6" borderId="2" xfId="1" applyNumberFormat="1" applyFont="1" applyFill="1" applyBorder="1" applyAlignment="1">
      <alignment horizontal="center" vertical="center"/>
    </xf>
    <xf numFmtId="3" fontId="24" fillId="6" borderId="25" xfId="1" applyNumberFormat="1" applyFont="1" applyFill="1" applyBorder="1" applyAlignment="1">
      <alignment horizontal="center" vertical="center"/>
    </xf>
    <xf numFmtId="3" fontId="24" fillId="4" borderId="31" xfId="1" applyNumberFormat="1" applyFont="1" applyFill="1" applyBorder="1" applyAlignment="1">
      <alignment horizontal="center" vertical="center"/>
    </xf>
    <xf numFmtId="3" fontId="24" fillId="4" borderId="17" xfId="1" applyNumberFormat="1" applyFont="1" applyFill="1" applyBorder="1" applyAlignment="1">
      <alignment horizontal="center" vertical="center"/>
    </xf>
    <xf numFmtId="3" fontId="27" fillId="0" borderId="18" xfId="1" applyNumberFormat="1" applyFont="1" applyFill="1" applyBorder="1" applyAlignment="1">
      <alignment horizontal="center" vertical="center"/>
    </xf>
    <xf numFmtId="3" fontId="27" fillId="0" borderId="15" xfId="1" applyNumberFormat="1" applyFont="1" applyFill="1" applyBorder="1" applyAlignment="1">
      <alignment horizontal="center" vertical="center"/>
    </xf>
    <xf numFmtId="3" fontId="26" fillId="0" borderId="21" xfId="1" applyNumberFormat="1" applyFont="1" applyFill="1" applyBorder="1" applyAlignment="1">
      <alignment horizontal="center" vertical="center"/>
    </xf>
    <xf numFmtId="3" fontId="26" fillId="0" borderId="16" xfId="1" applyNumberFormat="1" applyFont="1" applyFill="1" applyBorder="1" applyAlignment="1">
      <alignment horizontal="center" vertical="center"/>
    </xf>
    <xf numFmtId="3" fontId="26" fillId="0" borderId="14" xfId="1" applyNumberFormat="1" applyFont="1" applyFill="1" applyBorder="1" applyAlignment="1">
      <alignment horizontal="center" vertical="center"/>
    </xf>
    <xf numFmtId="3" fontId="27" fillId="0" borderId="13" xfId="1" applyNumberFormat="1" applyFont="1" applyFill="1" applyBorder="1" applyAlignment="1">
      <alignment horizontal="center" vertical="center"/>
    </xf>
    <xf numFmtId="3" fontId="28" fillId="6" borderId="21" xfId="1" applyNumberFormat="1" applyFont="1" applyFill="1" applyBorder="1" applyAlignment="1">
      <alignment horizontal="center" vertical="center"/>
    </xf>
    <xf numFmtId="3" fontId="28" fillId="6" borderId="16" xfId="1" applyNumberFormat="1" applyFont="1" applyFill="1" applyBorder="1" applyAlignment="1">
      <alignment horizontal="center" vertical="center"/>
    </xf>
    <xf numFmtId="3" fontId="24" fillId="6" borderId="21" xfId="1" applyNumberFormat="1" applyFont="1" applyFill="1" applyBorder="1" applyAlignment="1">
      <alignment horizontal="center" vertical="center"/>
    </xf>
    <xf numFmtId="3" fontId="24" fillId="6" borderId="16" xfId="1" applyNumberFormat="1" applyFont="1" applyFill="1" applyBorder="1" applyAlignment="1">
      <alignment horizontal="center" vertical="center"/>
    </xf>
    <xf numFmtId="3" fontId="24" fillId="3" borderId="31" xfId="1" applyNumberFormat="1" applyFont="1" applyFill="1" applyBorder="1" applyAlignment="1">
      <alignment horizontal="center" vertical="center"/>
    </xf>
    <xf numFmtId="3" fontId="19" fillId="0" borderId="0" xfId="1" applyNumberFormat="1" applyFont="1" applyAlignment="1">
      <alignment horizontal="center" vertical="center"/>
    </xf>
    <xf numFmtId="3" fontId="16" fillId="0" borderId="0" xfId="1" applyNumberFormat="1" applyAlignment="1">
      <alignment horizontal="center" vertical="center"/>
    </xf>
    <xf numFmtId="3" fontId="30" fillId="12" borderId="0" xfId="6" applyNumberFormat="1" applyFont="1" applyFill="1" applyAlignment="1">
      <alignment horizontal="center" vertical="center"/>
    </xf>
    <xf numFmtId="9" fontId="24" fillId="3" borderId="31" xfId="7" applyFont="1" applyFill="1" applyBorder="1" applyAlignment="1">
      <alignment horizontal="center" vertical="center"/>
    </xf>
    <xf numFmtId="9" fontId="24" fillId="3" borderId="17" xfId="7" applyFont="1" applyFill="1" applyBorder="1" applyAlignment="1">
      <alignment horizontal="center" vertical="center"/>
    </xf>
    <xf numFmtId="9" fontId="24" fillId="3" borderId="18" xfId="7" applyFont="1" applyFill="1" applyBorder="1" applyAlignment="1">
      <alignment horizontal="center" vertical="center"/>
    </xf>
    <xf numFmtId="9" fontId="24" fillId="3" borderId="15" xfId="7" applyFont="1" applyFill="1" applyBorder="1" applyAlignment="1">
      <alignment horizontal="center" vertical="center"/>
    </xf>
    <xf numFmtId="3" fontId="26" fillId="5" borderId="24" xfId="1" applyNumberFormat="1" applyFont="1" applyFill="1" applyBorder="1" applyAlignment="1">
      <alignment horizontal="center" vertical="center"/>
    </xf>
    <xf numFmtId="166" fontId="26" fillId="5" borderId="14" xfId="6" applyFont="1" applyFill="1" applyBorder="1" applyAlignment="1">
      <alignment horizontal="center" vertical="center"/>
    </xf>
    <xf numFmtId="167" fontId="27" fillId="0" borderId="14" xfId="6" applyNumberFormat="1" applyFont="1" applyFill="1" applyBorder="1" applyAlignment="1">
      <alignment horizontal="center" vertical="center"/>
    </xf>
    <xf numFmtId="167" fontId="26" fillId="5" borderId="14" xfId="6" applyNumberFormat="1" applyFont="1" applyFill="1" applyBorder="1" applyAlignment="1">
      <alignment horizontal="center" vertical="center"/>
    </xf>
    <xf numFmtId="167" fontId="27" fillId="0" borderId="30" xfId="6" applyNumberFormat="1" applyFont="1" applyFill="1" applyBorder="1" applyAlignment="1">
      <alignment horizontal="center" vertical="center"/>
    </xf>
    <xf numFmtId="9" fontId="36" fillId="11" borderId="11" xfId="7" applyFont="1" applyFill="1" applyBorder="1" applyAlignment="1">
      <alignment horizontal="center" vertical="center"/>
    </xf>
    <xf numFmtId="4" fontId="29" fillId="11" borderId="16" xfId="1" applyNumberFormat="1" applyFont="1" applyFill="1" applyBorder="1" applyAlignment="1">
      <alignment horizontal="center" vertical="center"/>
    </xf>
    <xf numFmtId="4" fontId="37" fillId="6" borderId="25" xfId="1" applyNumberFormat="1" applyFont="1" applyFill="1" applyBorder="1" applyAlignment="1">
      <alignment horizontal="center" vertical="center"/>
    </xf>
    <xf numFmtId="10" fontId="29" fillId="3" borderId="15" xfId="1" applyNumberFormat="1" applyFont="1" applyFill="1" applyBorder="1" applyAlignment="1">
      <alignment horizontal="center" vertical="center"/>
    </xf>
    <xf numFmtId="10" fontId="29" fillId="0" borderId="34" xfId="1" applyNumberFormat="1" applyFont="1" applyFill="1" applyBorder="1" applyAlignment="1">
      <alignment horizontal="center" vertical="center"/>
    </xf>
    <xf numFmtId="9" fontId="36" fillId="4" borderId="14" xfId="7" applyFont="1" applyFill="1" applyBorder="1" applyAlignment="1">
      <alignment horizontal="center" vertical="center"/>
    </xf>
    <xf numFmtId="9" fontId="36" fillId="4" borderId="13" xfId="7" applyFont="1" applyFill="1" applyBorder="1" applyAlignment="1">
      <alignment horizontal="center" vertical="center"/>
    </xf>
    <xf numFmtId="9" fontId="36" fillId="4" borderId="30" xfId="7" applyFont="1" applyFill="1" applyBorder="1" applyAlignment="1">
      <alignment horizontal="center" vertical="center"/>
    </xf>
    <xf numFmtId="4" fontId="29" fillId="6" borderId="25" xfId="1" applyNumberFormat="1" applyFont="1" applyFill="1" applyBorder="1" applyAlignment="1">
      <alignment horizontal="center" vertical="center"/>
    </xf>
    <xf numFmtId="4" fontId="29" fillId="4" borderId="17" xfId="1" applyNumberFormat="1" applyFont="1" applyFill="1" applyBorder="1" applyAlignment="1">
      <alignment horizontal="center" vertical="center"/>
    </xf>
    <xf numFmtId="4" fontId="38" fillId="6" borderId="16" xfId="1" applyNumberFormat="1" applyFont="1" applyFill="1" applyBorder="1" applyAlignment="1">
      <alignment horizontal="center" vertical="center"/>
    </xf>
    <xf numFmtId="4" fontId="29" fillId="6" borderId="16" xfId="1" applyNumberFormat="1" applyFont="1" applyFill="1" applyBorder="1" applyAlignment="1">
      <alignment horizontal="center" vertical="center"/>
    </xf>
    <xf numFmtId="10" fontId="29" fillId="3" borderId="17" xfId="1" applyNumberFormat="1" applyFont="1" applyFill="1" applyBorder="1" applyAlignment="1">
      <alignment horizontal="center" vertical="center"/>
    </xf>
    <xf numFmtId="9" fontId="36" fillId="0" borderId="30" xfId="7" applyFont="1" applyFill="1" applyBorder="1" applyAlignment="1">
      <alignment horizontal="center" vertical="center"/>
    </xf>
    <xf numFmtId="9" fontId="36" fillId="0" borderId="14" xfId="7" applyFont="1" applyFill="1" applyBorder="1" applyAlignment="1">
      <alignment horizontal="center" vertical="center"/>
    </xf>
    <xf numFmtId="10" fontId="39" fillId="0" borderId="13" xfId="1" applyNumberFormat="1" applyFont="1" applyFill="1" applyBorder="1" applyAlignment="1">
      <alignment horizontal="center" vertical="center"/>
    </xf>
    <xf numFmtId="0" fontId="36" fillId="0" borderId="14" xfId="1" applyNumberFormat="1" applyFont="1" applyFill="1" applyBorder="1" applyAlignment="1">
      <alignment horizontal="center" vertical="center"/>
    </xf>
    <xf numFmtId="10" fontId="36" fillId="0" borderId="34" xfId="1" applyNumberFormat="1" applyFont="1" applyFill="1" applyBorder="1" applyAlignment="1">
      <alignment horizontal="center" vertical="center"/>
    </xf>
    <xf numFmtId="10" fontId="36" fillId="0" borderId="28" xfId="1" applyNumberFormat="1" applyFont="1" applyFill="1" applyBorder="1" applyAlignment="1">
      <alignment horizontal="center" vertical="center"/>
    </xf>
    <xf numFmtId="10" fontId="39" fillId="5" borderId="34" xfId="1" applyNumberFormat="1" applyFont="1" applyFill="1" applyBorder="1" applyAlignment="1">
      <alignment horizontal="center" vertical="center"/>
    </xf>
    <xf numFmtId="9" fontId="36" fillId="0" borderId="28" xfId="7" applyFont="1" applyFill="1" applyBorder="1" applyAlignment="1">
      <alignment horizontal="center" vertical="center"/>
    </xf>
    <xf numFmtId="10" fontId="39" fillId="0" borderId="34" xfId="1" applyNumberFormat="1" applyFont="1" applyFill="1" applyBorder="1" applyAlignment="1">
      <alignment horizontal="center" vertical="center"/>
    </xf>
    <xf numFmtId="10" fontId="36" fillId="0" borderId="13" xfId="1" applyNumberFormat="1" applyFont="1" applyFill="1" applyBorder="1" applyAlignment="1">
      <alignment horizontal="center" vertical="center"/>
    </xf>
    <xf numFmtId="10" fontId="39" fillId="0" borderId="14" xfId="1" applyNumberFormat="1" applyFont="1" applyFill="1" applyBorder="1" applyAlignment="1">
      <alignment horizontal="center" vertical="center"/>
    </xf>
    <xf numFmtId="4" fontId="40" fillId="0" borderId="0" xfId="1" applyNumberFormat="1" applyFont="1" applyAlignment="1">
      <alignment horizontal="center" vertical="center"/>
    </xf>
    <xf numFmtId="4" fontId="41" fillId="0" borderId="0" xfId="1" applyNumberFormat="1" applyFont="1" applyAlignment="1">
      <alignment horizontal="center" vertical="center"/>
    </xf>
    <xf numFmtId="9" fontId="29" fillId="11" borderId="16" xfId="7" applyFont="1" applyFill="1" applyBorder="1" applyAlignment="1">
      <alignment horizontal="center" vertical="center"/>
    </xf>
    <xf numFmtId="9" fontId="37" fillId="6" borderId="25" xfId="7" applyFont="1" applyFill="1" applyBorder="1" applyAlignment="1">
      <alignment horizontal="center" vertical="center"/>
    </xf>
    <xf numFmtId="9" fontId="29" fillId="3" borderId="23" xfId="7" applyFont="1" applyFill="1" applyBorder="1" applyAlignment="1">
      <alignment horizontal="center" vertical="center"/>
    </xf>
    <xf numFmtId="9" fontId="29" fillId="0" borderId="28" xfId="7" applyFont="1" applyFill="1" applyBorder="1" applyAlignment="1">
      <alignment horizontal="center" vertical="center"/>
    </xf>
    <xf numFmtId="9" fontId="29" fillId="4" borderId="14" xfId="7" applyFont="1" applyFill="1" applyBorder="1" applyAlignment="1">
      <alignment horizontal="center" vertical="center"/>
    </xf>
    <xf numFmtId="9" fontId="29" fillId="6" borderId="6" xfId="7" applyFont="1" applyFill="1" applyBorder="1" applyAlignment="1">
      <alignment horizontal="center" vertical="center"/>
    </xf>
    <xf numFmtId="9" fontId="29" fillId="3" borderId="15" xfId="7" applyFont="1" applyFill="1" applyBorder="1" applyAlignment="1">
      <alignment horizontal="center" vertical="center"/>
    </xf>
    <xf numFmtId="9" fontId="29" fillId="4" borderId="17" xfId="7" applyFont="1" applyFill="1" applyBorder="1" applyAlignment="1">
      <alignment horizontal="center" vertical="center"/>
    </xf>
    <xf numFmtId="9" fontId="29" fillId="4" borderId="27" xfId="7" applyFont="1" applyFill="1" applyBorder="1" applyAlignment="1">
      <alignment horizontal="center" vertical="center"/>
    </xf>
    <xf numFmtId="9" fontId="38" fillId="6" borderId="16" xfId="7" applyFont="1" applyFill="1" applyBorder="1" applyAlignment="1">
      <alignment horizontal="center" vertical="center"/>
    </xf>
    <xf numFmtId="9" fontId="29" fillId="6" borderId="16" xfId="7" applyFont="1" applyFill="1" applyBorder="1" applyAlignment="1">
      <alignment horizontal="center" vertical="center"/>
    </xf>
    <xf numFmtId="9" fontId="29" fillId="3" borderId="17" xfId="7" applyFont="1" applyFill="1" applyBorder="1" applyAlignment="1">
      <alignment horizontal="center" vertical="center"/>
    </xf>
    <xf numFmtId="9" fontId="39" fillId="0" borderId="13" xfId="7" applyFont="1" applyFill="1" applyBorder="1" applyAlignment="1">
      <alignment horizontal="center" vertical="center"/>
    </xf>
    <xf numFmtId="9" fontId="36" fillId="0" borderId="34" xfId="7" applyFont="1" applyFill="1" applyBorder="1" applyAlignment="1">
      <alignment horizontal="center" vertical="center"/>
    </xf>
    <xf numFmtId="9" fontId="39" fillId="5" borderId="28" xfId="7" applyFont="1" applyFill="1" applyBorder="1" applyAlignment="1">
      <alignment horizontal="center" vertical="center"/>
    </xf>
    <xf numFmtId="9" fontId="39" fillId="5" borderId="14" xfId="7" applyFont="1" applyFill="1" applyBorder="1" applyAlignment="1">
      <alignment horizontal="center" vertical="center"/>
    </xf>
    <xf numFmtId="9" fontId="39" fillId="0" borderId="34" xfId="7" applyFont="1" applyFill="1" applyBorder="1" applyAlignment="1">
      <alignment horizontal="center" vertical="center"/>
    </xf>
    <xf numFmtId="9" fontId="39" fillId="0" borderId="14" xfId="7" applyFont="1" applyFill="1" applyBorder="1" applyAlignment="1">
      <alignment horizontal="center" vertical="center"/>
    </xf>
    <xf numFmtId="9" fontId="40" fillId="0" borderId="0" xfId="7" applyFont="1" applyAlignment="1">
      <alignment horizontal="center" vertical="center"/>
    </xf>
    <xf numFmtId="0" fontId="42" fillId="12" borderId="25" xfId="1" applyFont="1" applyFill="1" applyBorder="1" applyAlignment="1">
      <alignment horizontal="center" vertical="center" wrapText="1"/>
    </xf>
    <xf numFmtId="3" fontId="25" fillId="0" borderId="30" xfId="1" applyNumberFormat="1" applyFont="1" applyFill="1" applyBorder="1" applyAlignment="1">
      <alignment horizontal="center" vertical="center"/>
    </xf>
    <xf numFmtId="0" fontId="24" fillId="8" borderId="22" xfId="1" applyFont="1" applyFill="1" applyBorder="1" applyAlignment="1">
      <alignment vertical="center"/>
    </xf>
    <xf numFmtId="3" fontId="24" fillId="8" borderId="22" xfId="1" applyNumberFormat="1" applyFont="1" applyFill="1" applyBorder="1" applyAlignment="1">
      <alignment horizontal="center" vertical="center"/>
    </xf>
    <xf numFmtId="3" fontId="24" fillId="8" borderId="27" xfId="1" applyNumberFormat="1" applyFont="1" applyFill="1" applyBorder="1" applyAlignment="1">
      <alignment horizontal="center" vertical="center"/>
    </xf>
    <xf numFmtId="4" fontId="29" fillId="8" borderId="27" xfId="1" applyNumberFormat="1" applyFont="1" applyFill="1" applyBorder="1" applyAlignment="1">
      <alignment horizontal="center" vertical="center"/>
    </xf>
    <xf numFmtId="9" fontId="29" fillId="8" borderId="27" xfId="7" applyFont="1" applyFill="1" applyBorder="1" applyAlignment="1">
      <alignment horizontal="center" vertical="center"/>
    </xf>
    <xf numFmtId="0" fontId="19" fillId="0" borderId="19" xfId="1" applyFont="1" applyBorder="1" applyAlignment="1">
      <alignment vertical="center"/>
    </xf>
    <xf numFmtId="0" fontId="36" fillId="0" borderId="13" xfId="1" applyNumberFormat="1" applyFont="1" applyFill="1" applyBorder="1" applyAlignment="1">
      <alignment horizontal="center" vertical="center"/>
    </xf>
    <xf numFmtId="9" fontId="36" fillId="0" borderId="13" xfId="7" applyFont="1" applyFill="1" applyBorder="1" applyAlignment="1">
      <alignment horizontal="center" vertical="center"/>
    </xf>
    <xf numFmtId="3" fontId="27" fillId="0" borderId="15" xfId="6" applyNumberFormat="1" applyFont="1" applyFill="1" applyBorder="1" applyAlignment="1">
      <alignment horizontal="center" vertical="center"/>
    </xf>
    <xf numFmtId="3" fontId="25" fillId="0" borderId="13" xfId="1" applyNumberFormat="1" applyFont="1" applyFill="1" applyBorder="1" applyAlignment="1">
      <alignment horizontal="center" vertical="center"/>
    </xf>
    <xf numFmtId="0" fontId="35" fillId="0" borderId="0" xfId="1" applyFont="1" applyAlignment="1">
      <alignment horizontal="center" vertical="center"/>
    </xf>
    <xf numFmtId="166" fontId="27" fillId="0" borderId="17" xfId="6" applyFont="1" applyFill="1" applyBorder="1" applyAlignment="1">
      <alignment horizontal="center" vertical="center"/>
    </xf>
    <xf numFmtId="166" fontId="27" fillId="0" borderId="34" xfId="6" applyFont="1" applyFill="1" applyBorder="1" applyAlignment="1">
      <alignment horizontal="center" vertical="center"/>
    </xf>
    <xf numFmtId="3" fontId="27" fillId="0" borderId="14" xfId="1" applyNumberFormat="1" applyFont="1" applyFill="1" applyBorder="1" applyAlignment="1">
      <alignment horizontal="center" vertical="center"/>
    </xf>
    <xf numFmtId="0" fontId="19" fillId="0" borderId="21" xfId="1" applyFont="1" applyFill="1" applyBorder="1" applyAlignment="1">
      <alignment vertical="center"/>
    </xf>
    <xf numFmtId="0" fontId="20" fillId="0" borderId="0" xfId="1" applyFont="1" applyFill="1"/>
    <xf numFmtId="0" fontId="43" fillId="0" borderId="0" xfId="0" applyFont="1" applyAlignment="1">
      <alignment vertical="center" wrapText="1"/>
    </xf>
    <xf numFmtId="0" fontId="43" fillId="0" borderId="35" xfId="0" applyFont="1" applyBorder="1" applyAlignment="1">
      <alignment vertical="top" wrapText="1" indent="4"/>
    </xf>
    <xf numFmtId="0" fontId="24" fillId="0" borderId="5" xfId="1" applyFont="1" applyBorder="1" applyAlignment="1">
      <alignment horizontal="center" vertical="center"/>
    </xf>
    <xf numFmtId="0" fontId="24" fillId="0" borderId="6" xfId="1" applyFont="1" applyBorder="1" applyAlignment="1">
      <alignment horizontal="center" vertical="center"/>
    </xf>
    <xf numFmtId="0" fontId="24" fillId="0" borderId="7" xfId="1" applyFont="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24" fillId="0" borderId="6" xfId="1" applyFont="1" applyFill="1" applyBorder="1" applyAlignment="1">
      <alignment horizontal="center" vertical="center"/>
    </xf>
    <xf numFmtId="0" fontId="16" fillId="0" borderId="0" xfId="1" applyFill="1"/>
    <xf numFmtId="0" fontId="24" fillId="0" borderId="5" xfId="1" applyFont="1" applyBorder="1" applyAlignment="1">
      <alignment vertical="center"/>
    </xf>
    <xf numFmtId="0" fontId="24" fillId="0" borderId="6" xfId="1" applyFont="1" applyBorder="1" applyAlignment="1">
      <alignment vertical="center"/>
    </xf>
    <xf numFmtId="0" fontId="24" fillId="0" borderId="6" xfId="1" applyFont="1" applyFill="1" applyBorder="1" applyAlignment="1">
      <alignment vertical="center"/>
    </xf>
    <xf numFmtId="0" fontId="33" fillId="11" borderId="2" xfId="1" applyFont="1" applyFill="1" applyBorder="1" applyAlignment="1">
      <alignment horizontal="center" vertical="center" wrapText="1"/>
    </xf>
    <xf numFmtId="0" fontId="33" fillId="11" borderId="25" xfId="1" applyFont="1" applyFill="1" applyBorder="1" applyAlignment="1">
      <alignment horizontal="center" vertical="center" wrapText="1"/>
    </xf>
    <xf numFmtId="0" fontId="42" fillId="12" borderId="2" xfId="1" applyFont="1" applyFill="1" applyBorder="1" applyAlignment="1">
      <alignment horizontal="center" vertical="center" wrapText="1"/>
    </xf>
    <xf numFmtId="9" fontId="36" fillId="11" borderId="1" xfId="7" applyFont="1" applyFill="1" applyBorder="1" applyAlignment="1">
      <alignment horizontal="center" vertical="center"/>
    </xf>
    <xf numFmtId="9" fontId="29" fillId="11" borderId="21" xfId="7" applyFont="1" applyFill="1" applyBorder="1" applyAlignment="1">
      <alignment horizontal="center" vertical="center"/>
    </xf>
    <xf numFmtId="9" fontId="29" fillId="3" borderId="26" xfId="7" applyFont="1" applyFill="1" applyBorder="1" applyAlignment="1">
      <alignment horizontal="center" vertical="center"/>
    </xf>
    <xf numFmtId="9" fontId="36" fillId="4" borderId="33" xfId="7" applyFont="1" applyFill="1" applyBorder="1" applyAlignment="1">
      <alignment horizontal="center" vertical="center"/>
    </xf>
    <xf numFmtId="9" fontId="36" fillId="4" borderId="19" xfId="7" applyFont="1" applyFill="1" applyBorder="1" applyAlignment="1">
      <alignment horizontal="center" vertical="center"/>
    </xf>
    <xf numFmtId="9" fontId="39" fillId="5" borderId="36" xfId="7" applyFont="1" applyFill="1" applyBorder="1" applyAlignment="1">
      <alignment horizontal="center" vertical="center"/>
    </xf>
    <xf numFmtId="9" fontId="39" fillId="5" borderId="30" xfId="7" applyFont="1" applyFill="1" applyBorder="1" applyAlignment="1">
      <alignment horizontal="center" vertical="center"/>
    </xf>
    <xf numFmtId="9" fontId="29" fillId="4" borderId="29" xfId="7" applyFont="1" applyFill="1" applyBorder="1" applyAlignment="1">
      <alignment horizontal="center" vertical="center"/>
    </xf>
    <xf numFmtId="9" fontId="29" fillId="6" borderId="4" xfId="7" applyFont="1" applyFill="1" applyBorder="1" applyAlignment="1">
      <alignment horizontal="center" vertical="center"/>
    </xf>
    <xf numFmtId="9" fontId="29" fillId="3" borderId="18" xfId="7" applyFont="1" applyFill="1" applyBorder="1" applyAlignment="1">
      <alignment horizontal="center" vertical="center"/>
    </xf>
    <xf numFmtId="9" fontId="29" fillId="4" borderId="31" xfId="7" applyFont="1" applyFill="1" applyBorder="1" applyAlignment="1">
      <alignment horizontal="center" vertical="center"/>
    </xf>
    <xf numFmtId="9" fontId="29" fillId="4" borderId="22" xfId="7" applyFont="1" applyFill="1" applyBorder="1" applyAlignment="1">
      <alignment horizontal="center" vertical="center"/>
    </xf>
    <xf numFmtId="9" fontId="36" fillId="0" borderId="33" xfId="7" applyFont="1" applyFill="1" applyBorder="1" applyAlignment="1">
      <alignment horizontal="center" vertical="center"/>
    </xf>
    <xf numFmtId="9" fontId="38" fillId="6" borderId="21" xfId="7" applyFont="1" applyFill="1" applyBorder="1" applyAlignment="1">
      <alignment horizontal="center" vertical="center"/>
    </xf>
    <xf numFmtId="9" fontId="29" fillId="8" borderId="22" xfId="7" applyFont="1" applyFill="1" applyBorder="1" applyAlignment="1">
      <alignment horizontal="center" vertical="center"/>
    </xf>
    <xf numFmtId="9" fontId="29" fillId="6" borderId="21" xfId="7" applyFont="1" applyFill="1" applyBorder="1" applyAlignment="1">
      <alignment horizontal="center" vertical="center"/>
    </xf>
    <xf numFmtId="9" fontId="29" fillId="3" borderId="31" xfId="7" applyFont="1" applyFill="1" applyBorder="1" applyAlignment="1">
      <alignment horizontal="center" vertical="center"/>
    </xf>
    <xf numFmtId="9" fontId="26" fillId="0" borderId="14" xfId="7" applyFont="1" applyFill="1" applyBorder="1" applyAlignment="1">
      <alignment horizontal="center" vertical="center"/>
    </xf>
    <xf numFmtId="9" fontId="27" fillId="0" borderId="33" xfId="7" applyFont="1" applyFill="1" applyBorder="1" applyAlignment="1">
      <alignment horizontal="center" vertical="center"/>
    </xf>
    <xf numFmtId="9" fontId="27" fillId="0" borderId="30" xfId="7" applyFont="1" applyFill="1" applyBorder="1" applyAlignment="1">
      <alignment horizontal="center" vertical="center" wrapText="1"/>
    </xf>
    <xf numFmtId="0" fontId="19" fillId="0" borderId="16" xfId="1" applyFont="1" applyFill="1" applyBorder="1" applyAlignment="1">
      <alignment vertical="center"/>
    </xf>
    <xf numFmtId="4" fontId="25" fillId="11" borderId="11" xfId="1" applyNumberFormat="1" applyFont="1" applyFill="1" applyBorder="1" applyAlignment="1">
      <alignment horizontal="center" vertical="center"/>
    </xf>
    <xf numFmtId="9" fontId="45" fillId="11" borderId="1" xfId="7" applyFont="1" applyFill="1" applyBorder="1" applyAlignment="1">
      <alignment horizontal="center" vertical="center"/>
    </xf>
    <xf numFmtId="9" fontId="45" fillId="0" borderId="30" xfId="7" applyFont="1" applyFill="1" applyBorder="1" applyAlignment="1">
      <alignment horizontal="center" vertical="center"/>
    </xf>
    <xf numFmtId="9" fontId="46" fillId="0" borderId="13" xfId="7" applyFont="1" applyFill="1" applyBorder="1" applyAlignment="1">
      <alignment horizontal="center" vertical="center"/>
    </xf>
    <xf numFmtId="9" fontId="47" fillId="11" borderId="21" xfId="7" applyFont="1" applyFill="1" applyBorder="1" applyAlignment="1">
      <alignment horizontal="center" vertical="center"/>
    </xf>
    <xf numFmtId="9" fontId="45" fillId="0" borderId="34" xfId="7" applyFont="1" applyFill="1" applyBorder="1" applyAlignment="1">
      <alignment horizontal="center" vertical="center"/>
    </xf>
    <xf numFmtId="9" fontId="48" fillId="6" borderId="25" xfId="7" applyFont="1" applyFill="1" applyBorder="1" applyAlignment="1">
      <alignment horizontal="center" vertical="center"/>
    </xf>
    <xf numFmtId="9" fontId="47" fillId="3" borderId="26" xfId="7" applyFont="1" applyFill="1" applyBorder="1" applyAlignment="1">
      <alignment horizontal="center" vertical="center"/>
    </xf>
    <xf numFmtId="9" fontId="47" fillId="0" borderId="28" xfId="7" applyFont="1" applyFill="1" applyBorder="1" applyAlignment="1">
      <alignment horizontal="center" vertical="center"/>
    </xf>
    <xf numFmtId="9" fontId="45" fillId="4" borderId="33" xfId="7" applyFont="1" applyFill="1" applyBorder="1" applyAlignment="1">
      <alignment horizontal="center" vertical="center"/>
    </xf>
    <xf numFmtId="9" fontId="45" fillId="0" borderId="36" xfId="7" applyFont="1" applyFill="1" applyBorder="1" applyAlignment="1">
      <alignment horizontal="center" vertical="center"/>
    </xf>
    <xf numFmtId="9" fontId="45" fillId="4" borderId="19" xfId="7" applyFont="1" applyFill="1" applyBorder="1" applyAlignment="1">
      <alignment horizontal="center" vertical="center"/>
    </xf>
    <xf numFmtId="9" fontId="46" fillId="5" borderId="36" xfId="7" applyFont="1" applyFill="1" applyBorder="1" applyAlignment="1">
      <alignment horizontal="center" vertical="center"/>
    </xf>
    <xf numFmtId="9" fontId="46" fillId="5" borderId="30" xfId="7" applyFont="1" applyFill="1" applyBorder="1" applyAlignment="1">
      <alignment horizontal="center" vertical="center"/>
    </xf>
    <xf numFmtId="9" fontId="47" fillId="4" borderId="29" xfId="7" applyFont="1" applyFill="1" applyBorder="1" applyAlignment="1">
      <alignment horizontal="center" vertical="center"/>
    </xf>
    <xf numFmtId="9" fontId="46" fillId="0" borderId="34" xfId="7" applyFont="1" applyFill="1" applyBorder="1" applyAlignment="1">
      <alignment horizontal="center" vertical="center"/>
    </xf>
    <xf numFmtId="9" fontId="47" fillId="6" borderId="4" xfId="7" applyFont="1" applyFill="1" applyBorder="1" applyAlignment="1">
      <alignment horizontal="center" vertical="center"/>
    </xf>
    <xf numFmtId="9" fontId="47" fillId="3" borderId="18" xfId="7" applyFont="1" applyFill="1" applyBorder="1" applyAlignment="1">
      <alignment horizontal="center" vertical="center"/>
    </xf>
    <xf numFmtId="9" fontId="47" fillId="4" borderId="31" xfId="7" applyFont="1" applyFill="1" applyBorder="1" applyAlignment="1">
      <alignment horizontal="center" vertical="center"/>
    </xf>
    <xf numFmtId="9" fontId="46" fillId="0" borderId="14" xfId="7" applyFont="1" applyFill="1" applyBorder="1" applyAlignment="1">
      <alignment horizontal="center" vertical="center"/>
    </xf>
    <xf numFmtId="9" fontId="47" fillId="4" borderId="22" xfId="7" applyFont="1" applyFill="1" applyBorder="1" applyAlignment="1">
      <alignment horizontal="center" vertical="center"/>
    </xf>
    <xf numFmtId="9" fontId="45" fillId="0" borderId="33" xfId="7" applyFont="1" applyFill="1" applyBorder="1" applyAlignment="1">
      <alignment horizontal="center" vertical="center"/>
    </xf>
    <xf numFmtId="9" fontId="49" fillId="6" borderId="21" xfId="7" applyFont="1" applyFill="1" applyBorder="1" applyAlignment="1">
      <alignment horizontal="center" vertical="center"/>
    </xf>
    <xf numFmtId="9" fontId="47" fillId="8" borderId="22" xfId="7" applyFont="1" applyFill="1" applyBorder="1" applyAlignment="1">
      <alignment horizontal="center" vertical="center"/>
    </xf>
    <xf numFmtId="9" fontId="45" fillId="0" borderId="13" xfId="7" applyFont="1" applyFill="1" applyBorder="1" applyAlignment="1">
      <alignment horizontal="center" vertical="center"/>
    </xf>
    <xf numFmtId="9" fontId="47" fillId="6" borderId="21" xfId="7" applyFont="1" applyFill="1" applyBorder="1" applyAlignment="1">
      <alignment horizontal="center" vertical="center"/>
    </xf>
    <xf numFmtId="9" fontId="47" fillId="3" borderId="31" xfId="7" applyFont="1" applyFill="1" applyBorder="1" applyAlignment="1">
      <alignment horizontal="center" vertical="center"/>
    </xf>
    <xf numFmtId="1" fontId="45" fillId="0" borderId="30" xfId="7" applyNumberFormat="1" applyFont="1" applyFill="1" applyBorder="1" applyAlignment="1">
      <alignment horizontal="center" vertical="center" wrapText="1"/>
    </xf>
    <xf numFmtId="1" fontId="27" fillId="0" borderId="30" xfId="7" applyNumberFormat="1" applyFont="1" applyFill="1" applyBorder="1" applyAlignment="1">
      <alignment horizontal="center" vertical="center" wrapText="1"/>
    </xf>
    <xf numFmtId="3" fontId="24" fillId="0" borderId="6" xfId="1" applyNumberFormat="1" applyFont="1" applyFill="1" applyBorder="1" applyAlignment="1">
      <alignment vertical="center"/>
    </xf>
    <xf numFmtId="0" fontId="24" fillId="0" borderId="5" xfId="1" applyFont="1" applyBorder="1" applyAlignment="1">
      <alignment horizontal="center" vertical="center"/>
    </xf>
    <xf numFmtId="0" fontId="24" fillId="0" borderId="6" xfId="1" applyFont="1" applyBorder="1" applyAlignment="1">
      <alignment horizontal="center" vertical="center"/>
    </xf>
    <xf numFmtId="0" fontId="24" fillId="0" borderId="7" xfId="1" applyFont="1" applyBorder="1" applyAlignment="1">
      <alignment horizontal="center" vertical="center"/>
    </xf>
    <xf numFmtId="9" fontId="36" fillId="4" borderId="19" xfId="7" applyFont="1" applyFill="1" applyBorder="1" applyAlignment="1">
      <alignment horizontal="center" vertical="center" wrapText="1"/>
    </xf>
    <xf numFmtId="9" fontId="39" fillId="5" borderId="36" xfId="7" applyFont="1" applyFill="1" applyBorder="1" applyAlignment="1">
      <alignment horizontal="center" vertical="center" wrapText="1"/>
    </xf>
    <xf numFmtId="9" fontId="29" fillId="6" borderId="4" xfId="7" applyFont="1" applyFill="1" applyBorder="1" applyAlignment="1">
      <alignment horizontal="center" vertical="center" wrapText="1"/>
    </xf>
    <xf numFmtId="0" fontId="24" fillId="0" borderId="29" xfId="1" applyFont="1" applyFill="1" applyBorder="1" applyAlignment="1">
      <alignment vertical="center"/>
    </xf>
    <xf numFmtId="10" fontId="24" fillId="0" borderId="22" xfId="1" applyNumberFormat="1" applyFont="1" applyFill="1" applyBorder="1" applyAlignment="1">
      <alignment horizontal="center" vertical="center"/>
    </xf>
    <xf numFmtId="10" fontId="24" fillId="0" borderId="27" xfId="1" applyNumberFormat="1" applyFont="1" applyFill="1" applyBorder="1" applyAlignment="1">
      <alignment horizontal="center" vertical="center"/>
    </xf>
    <xf numFmtId="10" fontId="29" fillId="0" borderId="28" xfId="1" applyNumberFormat="1" applyFont="1" applyFill="1" applyBorder="1" applyAlignment="1">
      <alignment horizontal="center" vertical="center"/>
    </xf>
    <xf numFmtId="0" fontId="19" fillId="0" borderId="29" xfId="1" applyFont="1" applyFill="1" applyBorder="1" applyAlignment="1">
      <alignment horizontal="left" vertical="center"/>
    </xf>
    <xf numFmtId="3" fontId="26" fillId="0" borderId="8" xfId="1" applyNumberFormat="1" applyFont="1" applyFill="1" applyBorder="1" applyAlignment="1">
      <alignment horizontal="center" vertical="center"/>
    </xf>
    <xf numFmtId="3" fontId="26" fillId="0" borderId="7" xfId="1" applyNumberFormat="1" applyFont="1" applyFill="1" applyBorder="1" applyAlignment="1">
      <alignment horizontal="center" vertical="center"/>
    </xf>
    <xf numFmtId="3" fontId="26" fillId="0" borderId="20" xfId="1" applyNumberFormat="1" applyFont="1" applyFill="1" applyBorder="1" applyAlignment="1">
      <alignment horizontal="center" vertical="center"/>
    </xf>
    <xf numFmtId="10" fontId="39" fillId="0" borderId="20" xfId="1" applyNumberFormat="1" applyFont="1" applyFill="1" applyBorder="1" applyAlignment="1">
      <alignment horizontal="center" vertical="center"/>
    </xf>
    <xf numFmtId="0" fontId="19" fillId="0" borderId="26" xfId="1" applyFont="1" applyBorder="1" applyAlignment="1">
      <alignment vertical="center"/>
    </xf>
    <xf numFmtId="3" fontId="24" fillId="4" borderId="19" xfId="1" applyNumberFormat="1" applyFont="1" applyFill="1" applyBorder="1" applyAlignment="1">
      <alignment horizontal="center" vertical="center"/>
    </xf>
    <xf numFmtId="3" fontId="27" fillId="0" borderId="23" xfId="1" applyNumberFormat="1" applyFont="1" applyFill="1" applyBorder="1" applyAlignment="1">
      <alignment horizontal="center" vertical="center"/>
    </xf>
    <xf numFmtId="0" fontId="19" fillId="0" borderId="33" xfId="1" applyFont="1" applyFill="1" applyBorder="1" applyAlignment="1">
      <alignment vertical="center"/>
    </xf>
    <xf numFmtId="0" fontId="24" fillId="4" borderId="2" xfId="1" applyFont="1" applyFill="1" applyBorder="1" applyAlignment="1">
      <alignment vertical="center"/>
    </xf>
    <xf numFmtId="3" fontId="24" fillId="4" borderId="2" xfId="1" applyNumberFormat="1" applyFont="1" applyFill="1" applyBorder="1" applyAlignment="1">
      <alignment horizontal="center" vertical="center"/>
    </xf>
    <xf numFmtId="3" fontId="24" fillId="4" borderId="25" xfId="1" applyNumberFormat="1" applyFont="1" applyFill="1" applyBorder="1" applyAlignment="1">
      <alignment horizontal="center" vertical="center"/>
    </xf>
    <xf numFmtId="9" fontId="36" fillId="4" borderId="11"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43" fillId="0" borderId="0" xfId="0" applyFont="1" applyFill="1" applyAlignment="1">
      <alignment vertical="center" wrapText="1"/>
    </xf>
    <xf numFmtId="0" fontId="24" fillId="0" borderId="7" xfId="1" applyFont="1" applyFill="1" applyBorder="1" applyAlignment="1">
      <alignment vertical="center"/>
    </xf>
    <xf numFmtId="0" fontId="24" fillId="0" borderId="5" xfId="1" applyFont="1" applyFill="1" applyBorder="1" applyAlignment="1">
      <alignment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24" fillId="0" borderId="6" xfId="1" applyNumberFormat="1" applyFont="1" applyFill="1" applyBorder="1" applyAlignment="1">
      <alignment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3" fontId="27" fillId="0" borderId="30" xfId="1" applyNumberFormat="1" applyFont="1" applyFill="1" applyBorder="1" applyAlignment="1">
      <alignment horizontal="center" vertical="center"/>
    </xf>
    <xf numFmtId="0" fontId="36" fillId="0" borderId="30" xfId="1"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36" fillId="0" borderId="14" xfId="7" applyNumberFormat="1" applyFont="1" applyFill="1" applyBorder="1" applyAlignment="1">
      <alignment horizontal="center" vertical="center"/>
    </xf>
    <xf numFmtId="0" fontId="52" fillId="0" borderId="37" xfId="0" applyFont="1" applyBorder="1" applyAlignment="1">
      <alignment vertical="top" wrapText="1" indent="1"/>
    </xf>
    <xf numFmtId="0" fontId="43" fillId="0" borderId="0" xfId="0" applyFont="1" applyFill="1" applyBorder="1" applyAlignment="1">
      <alignment vertical="center" wrapText="1"/>
    </xf>
    <xf numFmtId="4" fontId="0" fillId="0" borderId="0" xfId="0" applyNumberFormat="1"/>
    <xf numFmtId="2" fontId="27" fillId="0" borderId="14" xfId="1" applyNumberFormat="1" applyFont="1" applyFill="1" applyBorder="1" applyAlignment="1">
      <alignment horizontal="center" vertical="center"/>
    </xf>
    <xf numFmtId="4" fontId="53" fillId="0" borderId="0" xfId="0" applyNumberFormat="1" applyFont="1"/>
    <xf numFmtId="0" fontId="54" fillId="0" borderId="0" xfId="0" applyFont="1"/>
    <xf numFmtId="0" fontId="43" fillId="0" borderId="35" xfId="0" applyFont="1" applyBorder="1" applyAlignment="1">
      <alignment horizontal="right" vertical="top" wrapText="1"/>
    </xf>
    <xf numFmtId="10" fontId="0" fillId="0" borderId="0" xfId="7" applyNumberFormat="1" applyFont="1"/>
    <xf numFmtId="10" fontId="0" fillId="0" borderId="0" xfId="0" applyNumberFormat="1"/>
    <xf numFmtId="3" fontId="0" fillId="0" borderId="0" xfId="0" applyNumberFormat="1"/>
    <xf numFmtId="10" fontId="56" fillId="0" borderId="0" xfId="0" applyNumberFormat="1" applyFont="1"/>
    <xf numFmtId="0" fontId="43" fillId="0" borderId="35" xfId="0" applyFont="1" applyBorder="1" applyAlignment="1">
      <alignment vertical="top" wrapText="1" indent="3"/>
    </xf>
    <xf numFmtId="0" fontId="43" fillId="0" borderId="35" xfId="0" applyFont="1" applyBorder="1" applyAlignment="1">
      <alignment vertical="top" wrapText="1"/>
    </xf>
    <xf numFmtId="4" fontId="55" fillId="0" borderId="0" xfId="0" applyNumberFormat="1" applyFont="1"/>
    <xf numFmtId="3" fontId="56" fillId="0" borderId="0" xfId="0" applyNumberFormat="1" applyFont="1"/>
    <xf numFmtId="0" fontId="55" fillId="0" borderId="0" xfId="0" applyFont="1"/>
    <xf numFmtId="3" fontId="57" fillId="0" borderId="0" xfId="0" applyNumberFormat="1" applyFont="1"/>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3" fontId="51" fillId="0" borderId="38" xfId="0" applyNumberFormat="1" applyFont="1" applyFill="1" applyBorder="1" applyAlignment="1" applyProtection="1">
      <alignment horizontal="center" vertical="center"/>
    </xf>
    <xf numFmtId="3" fontId="51" fillId="0" borderId="39" xfId="0" applyNumberFormat="1" applyFont="1" applyFill="1" applyBorder="1" applyAlignment="1" applyProtection="1">
      <alignment horizontal="center" vertical="center" wrapText="1"/>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3" fontId="58" fillId="0" borderId="40" xfId="1" applyNumberFormat="1" applyFont="1" applyFill="1" applyBorder="1" applyAlignment="1">
      <alignment horizontal="center" vertical="center" wrapText="1"/>
    </xf>
    <xf numFmtId="3" fontId="59" fillId="8" borderId="40" xfId="0" applyNumberFormat="1" applyFont="1" applyFill="1" applyBorder="1" applyAlignment="1">
      <alignment horizontal="center" vertical="center"/>
    </xf>
    <xf numFmtId="0" fontId="58" fillId="0" borderId="40" xfId="1" applyFont="1" applyFill="1" applyBorder="1" applyAlignment="1">
      <alignment horizontal="center" vertical="center" wrapText="1"/>
    </xf>
    <xf numFmtId="166" fontId="17" fillId="0" borderId="14" xfId="6" applyFont="1" applyFill="1" applyBorder="1" applyAlignment="1">
      <alignment horizontal="center" vertical="center"/>
    </xf>
    <xf numFmtId="0" fontId="0" fillId="0" borderId="0" xfId="0" applyAlignment="1">
      <alignment wrapText="1"/>
    </xf>
    <xf numFmtId="0" fontId="60" fillId="15" borderId="41" xfId="0" applyFont="1" applyFill="1" applyBorder="1" applyAlignment="1">
      <alignment vertical="top" wrapText="1"/>
    </xf>
    <xf numFmtId="0" fontId="60" fillId="16" borderId="35" xfId="0" applyFont="1" applyFill="1" applyBorder="1" applyAlignment="1">
      <alignment vertical="top" wrapText="1"/>
    </xf>
    <xf numFmtId="0" fontId="60" fillId="16" borderId="35" xfId="0" applyFont="1" applyFill="1" applyBorder="1" applyAlignment="1">
      <alignment horizontal="right" vertical="top" wrapText="1"/>
    </xf>
    <xf numFmtId="0" fontId="43" fillId="0" borderId="35" xfId="0" applyFont="1" applyBorder="1" applyAlignment="1">
      <alignment vertical="top" wrapText="1" indent="1"/>
    </xf>
    <xf numFmtId="0" fontId="60" fillId="15" borderId="41" xfId="0" applyFont="1" applyFill="1" applyBorder="1" applyAlignment="1">
      <alignment horizontal="right" vertical="top" wrapText="1"/>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25" fillId="0" borderId="30" xfId="1" applyNumberFormat="1" applyFont="1" applyFill="1" applyBorder="1" applyAlignment="1">
      <alignment horizontal="center" vertical="center" wrapText="1"/>
    </xf>
    <xf numFmtId="9" fontId="27" fillId="0" borderId="14" xfId="7" applyFont="1" applyFill="1" applyBorder="1" applyAlignment="1">
      <alignment horizontal="center" vertical="center" wrapText="1"/>
    </xf>
    <xf numFmtId="3" fontId="61" fillId="0" borderId="0" xfId="0" applyNumberFormat="1" applyFont="1"/>
    <xf numFmtId="169" fontId="30" fillId="12" borderId="0" xfId="6" applyNumberFormat="1" applyFont="1" applyFill="1" applyAlignment="1">
      <alignment horizontal="center" vertical="center"/>
    </xf>
    <xf numFmtId="4" fontId="30" fillId="12" borderId="0" xfId="6" applyNumberFormat="1" applyFont="1" applyFill="1" applyAlignment="1">
      <alignment horizontal="center" vertical="center"/>
    </xf>
    <xf numFmtId="4" fontId="62" fillId="0" borderId="0" xfId="1" applyNumberFormat="1" applyFont="1" applyAlignment="1">
      <alignment horizontal="center" vertical="center"/>
    </xf>
    <xf numFmtId="4" fontId="27" fillId="0" borderId="14" xfId="1" applyNumberFormat="1" applyFont="1" applyFill="1" applyBorder="1" applyAlignment="1">
      <alignment horizontal="center" vertical="center"/>
    </xf>
    <xf numFmtId="4" fontId="63" fillId="0" borderId="0" xfId="1" applyNumberFormat="1" applyFont="1" applyAlignment="1">
      <alignment horizontal="center" vertical="center"/>
    </xf>
    <xf numFmtId="0" fontId="55" fillId="2" borderId="32" xfId="0" applyFont="1" applyFill="1" applyBorder="1"/>
    <xf numFmtId="3" fontId="56" fillId="2" borderId="32" xfId="0" applyNumberFormat="1" applyFont="1" applyFill="1" applyBorder="1"/>
    <xf numFmtId="3" fontId="55" fillId="2" borderId="32" xfId="0" applyNumberFormat="1" applyFont="1" applyFill="1" applyBorder="1"/>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9" fontId="26" fillId="0" borderId="30" xfId="7" applyFont="1" applyFill="1" applyBorder="1" applyAlignment="1">
      <alignment horizontal="center" vertical="center" wrapText="1"/>
    </xf>
    <xf numFmtId="9" fontId="26" fillId="0" borderId="30" xfId="7" applyFont="1" applyFill="1" applyBorder="1" applyAlignment="1">
      <alignment horizontal="center" vertical="center"/>
    </xf>
    <xf numFmtId="9" fontId="26" fillId="0" borderId="14" xfId="7" applyFont="1" applyFill="1" applyBorder="1" applyAlignment="1">
      <alignment horizontal="center" vertical="center" wrapText="1"/>
    </xf>
    <xf numFmtId="4" fontId="65" fillId="11" borderId="16" xfId="1" applyNumberFormat="1" applyFont="1" applyFill="1" applyBorder="1" applyAlignment="1">
      <alignment horizontal="center" vertical="center"/>
    </xf>
    <xf numFmtId="0" fontId="26" fillId="0" borderId="14" xfId="1" applyNumberFormat="1" applyFont="1" applyFill="1" applyBorder="1" applyAlignment="1">
      <alignment horizontal="center" vertical="center"/>
    </xf>
    <xf numFmtId="4" fontId="35" fillId="6" borderId="25" xfId="1" applyNumberFormat="1" applyFont="1" applyFill="1" applyBorder="1" applyAlignment="1">
      <alignment horizontal="center" vertical="center"/>
    </xf>
    <xf numFmtId="10" fontId="65" fillId="3" borderId="15" xfId="1" applyNumberFormat="1" applyFont="1" applyFill="1" applyBorder="1" applyAlignment="1">
      <alignment horizontal="center" vertical="center"/>
    </xf>
    <xf numFmtId="10" fontId="65" fillId="0" borderId="34" xfId="1" applyNumberFormat="1" applyFont="1" applyFill="1" applyBorder="1" applyAlignment="1">
      <alignment horizontal="center" vertical="center"/>
    </xf>
    <xf numFmtId="4" fontId="65" fillId="4" borderId="15" xfId="1" applyNumberFormat="1" applyFont="1" applyFill="1" applyBorder="1" applyAlignment="1">
      <alignment horizontal="center" vertical="center"/>
    </xf>
    <xf numFmtId="10" fontId="65" fillId="4" borderId="14" xfId="1" applyNumberFormat="1" applyFont="1" applyFill="1" applyBorder="1" applyAlignment="1">
      <alignment horizontal="center" vertical="center"/>
    </xf>
    <xf numFmtId="4" fontId="65" fillId="6" borderId="25" xfId="1" applyNumberFormat="1" applyFont="1" applyFill="1" applyBorder="1" applyAlignment="1">
      <alignment horizontal="center" vertical="center"/>
    </xf>
    <xf numFmtId="4" fontId="26" fillId="0" borderId="28" xfId="1" applyNumberFormat="1" applyFont="1" applyFill="1" applyBorder="1" applyAlignment="1">
      <alignment horizontal="center" vertical="center"/>
    </xf>
    <xf numFmtId="4" fontId="65" fillId="11" borderId="11" xfId="1" applyNumberFormat="1" applyFont="1" applyFill="1" applyBorder="1" applyAlignment="1">
      <alignment horizontal="center" vertical="center"/>
    </xf>
    <xf numFmtId="4" fontId="65" fillId="4" borderId="17" xfId="1" applyNumberFormat="1" applyFont="1" applyFill="1" applyBorder="1" applyAlignment="1">
      <alignment horizontal="center" vertical="center"/>
    </xf>
    <xf numFmtId="9" fontId="19" fillId="0" borderId="14" xfId="7" applyFont="1" applyFill="1" applyBorder="1" applyAlignment="1">
      <alignment horizontal="center" vertical="center"/>
    </xf>
    <xf numFmtId="9" fontId="19" fillId="0" borderId="30" xfId="7" applyFont="1" applyFill="1" applyBorder="1" applyAlignment="1">
      <alignment horizontal="center" vertical="center"/>
    </xf>
    <xf numFmtId="9" fontId="19" fillId="0" borderId="30" xfId="7" applyFont="1" applyFill="1" applyBorder="1" applyAlignment="1">
      <alignment horizontal="center" vertical="center" wrapText="1"/>
    </xf>
    <xf numFmtId="9" fontId="66" fillId="0" borderId="14" xfId="7" applyFont="1" applyFill="1" applyBorder="1" applyAlignment="1">
      <alignment horizontal="center" vertical="center" wrapText="1"/>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9" fontId="67" fillId="0" borderId="14" xfId="7" applyFont="1" applyFill="1" applyBorder="1" applyAlignment="1">
      <alignment horizontal="center" vertical="center"/>
    </xf>
    <xf numFmtId="9" fontId="66" fillId="0" borderId="30" xfId="7" applyFont="1" applyFill="1" applyBorder="1" applyAlignment="1">
      <alignment horizontal="center" vertical="center" wrapText="1"/>
    </xf>
    <xf numFmtId="4" fontId="67" fillId="0" borderId="0" xfId="1" applyNumberFormat="1" applyFont="1" applyAlignment="1">
      <alignment horizontal="center" vertical="center"/>
    </xf>
    <xf numFmtId="4" fontId="30" fillId="0" borderId="0" xfId="1" applyNumberFormat="1" applyFont="1" applyAlignment="1">
      <alignment horizontal="center" vertical="center"/>
    </xf>
    <xf numFmtId="4" fontId="69" fillId="0" borderId="0" xfId="1" applyNumberFormat="1" applyFont="1" applyAlignment="1">
      <alignment horizontal="center" vertical="center"/>
    </xf>
    <xf numFmtId="9" fontId="67" fillId="0" borderId="30"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9" fontId="67" fillId="0" borderId="30" xfId="7" applyFont="1" applyFill="1" applyBorder="1" applyAlignment="1">
      <alignment horizontal="center" vertical="center" wrapText="1"/>
    </xf>
    <xf numFmtId="9" fontId="66" fillId="0" borderId="14" xfId="7" applyFont="1" applyFill="1" applyBorder="1" applyAlignment="1">
      <alignment horizontal="center" vertical="center"/>
    </xf>
    <xf numFmtId="9" fontId="70" fillId="0" borderId="14" xfId="7" applyFont="1" applyFill="1" applyBorder="1" applyAlignment="1">
      <alignment horizontal="center" vertical="center"/>
    </xf>
    <xf numFmtId="9" fontId="66" fillId="0" borderId="30" xfId="7" applyFont="1" applyFill="1" applyBorder="1" applyAlignment="1">
      <alignment horizontal="center" vertical="center"/>
    </xf>
    <xf numFmtId="0" fontId="26" fillId="0" borderId="30" xfId="1" applyNumberFormat="1" applyFont="1" applyFill="1" applyBorder="1" applyAlignment="1">
      <alignment horizontal="center" vertical="center"/>
    </xf>
    <xf numFmtId="4" fontId="65" fillId="6" borderId="16" xfId="1" applyNumberFormat="1" applyFont="1" applyFill="1" applyBorder="1" applyAlignment="1">
      <alignment horizontal="center" vertical="center"/>
    </xf>
    <xf numFmtId="4" fontId="65" fillId="8" borderId="27" xfId="1" applyNumberFormat="1" applyFont="1" applyFill="1" applyBorder="1" applyAlignment="1">
      <alignment horizontal="center" vertical="center"/>
    </xf>
    <xf numFmtId="0" fontId="26" fillId="0" borderId="13" xfId="1" applyNumberFormat="1" applyFont="1" applyFill="1" applyBorder="1" applyAlignment="1">
      <alignment horizontal="center" vertical="center"/>
    </xf>
    <xf numFmtId="10" fontId="65" fillId="3" borderId="17" xfId="1" applyNumberFormat="1" applyFont="1" applyFill="1" applyBorder="1" applyAlignment="1">
      <alignment horizontal="center" vertical="center"/>
    </xf>
    <xf numFmtId="4" fontId="26" fillId="0" borderId="0" xfId="1" applyNumberFormat="1" applyFont="1" applyAlignment="1">
      <alignment horizontal="center" vertical="center"/>
    </xf>
    <xf numFmtId="9" fontId="19" fillId="0" borderId="14" xfId="7" applyFont="1" applyFill="1" applyBorder="1" applyAlignment="1">
      <alignment horizontal="center" vertical="center" wrapText="1"/>
    </xf>
    <xf numFmtId="4" fontId="26" fillId="0" borderId="30" xfId="1" applyNumberFormat="1" applyFont="1" applyFill="1" applyBorder="1" applyAlignment="1">
      <alignment horizontal="center" vertical="center" wrapText="1"/>
    </xf>
    <xf numFmtId="9" fontId="70" fillId="0" borderId="14" xfId="7" applyFont="1" applyFill="1" applyBorder="1" applyAlignment="1">
      <alignment horizontal="center" vertical="center" wrapText="1"/>
    </xf>
    <xf numFmtId="1" fontId="19" fillId="0" borderId="30" xfId="7" applyNumberFormat="1" applyFont="1" applyFill="1" applyBorder="1" applyAlignment="1">
      <alignment horizontal="center" vertical="center" wrapText="1"/>
    </xf>
    <xf numFmtId="3" fontId="25" fillId="0" borderId="30" xfId="1" applyNumberFormat="1" applyFont="1" applyFill="1" applyBorder="1" applyAlignment="1">
      <alignment horizontal="center" vertical="center" wrapText="1"/>
    </xf>
    <xf numFmtId="10" fontId="0" fillId="0" borderId="0" xfId="7" applyNumberFormat="1" applyFont="1" applyFill="1"/>
    <xf numFmtId="3" fontId="27" fillId="0" borderId="59" xfId="1" applyNumberFormat="1" applyFont="1" applyFill="1" applyBorder="1" applyAlignment="1">
      <alignment horizontal="center" vertical="center"/>
    </xf>
    <xf numFmtId="3" fontId="27" fillId="0" borderId="53" xfId="6" applyNumberFormat="1" applyFont="1" applyFill="1" applyBorder="1" applyAlignment="1">
      <alignment horizontal="center" vertical="center"/>
    </xf>
    <xf numFmtId="9" fontId="36" fillId="0" borderId="52" xfId="7" applyFont="1" applyFill="1" applyBorder="1" applyAlignment="1">
      <alignment horizontal="center" vertical="center"/>
    </xf>
    <xf numFmtId="167" fontId="27" fillId="0" borderId="57" xfId="6" applyNumberFormat="1" applyFont="1" applyFill="1" applyBorder="1" applyAlignment="1">
      <alignment horizontal="center" vertical="center"/>
    </xf>
    <xf numFmtId="166" fontId="27" fillId="0" borderId="53" xfId="6" applyFont="1" applyFill="1" applyBorder="1" applyAlignment="1">
      <alignment horizontal="center" vertical="center"/>
    </xf>
    <xf numFmtId="9" fontId="36" fillId="0" borderId="57" xfId="7" applyFont="1" applyFill="1" applyBorder="1" applyAlignment="1">
      <alignment horizontal="center" vertical="center"/>
    </xf>
    <xf numFmtId="1" fontId="27" fillId="0" borderId="52" xfId="7" applyNumberFormat="1" applyFont="1" applyFill="1" applyBorder="1" applyAlignment="1">
      <alignment horizontal="center" vertical="center" wrapText="1"/>
    </xf>
    <xf numFmtId="4" fontId="25" fillId="0" borderId="52" xfId="1" applyNumberFormat="1" applyFont="1" applyFill="1" applyBorder="1" applyAlignment="1">
      <alignment horizontal="center" vertical="center"/>
    </xf>
    <xf numFmtId="3" fontId="25" fillId="0" borderId="52" xfId="1" applyNumberFormat="1" applyFont="1" applyFill="1" applyBorder="1" applyAlignment="1">
      <alignment horizontal="center" vertical="center"/>
    </xf>
    <xf numFmtId="9" fontId="27" fillId="0" borderId="52" xfId="7" applyFont="1" applyFill="1" applyBorder="1" applyAlignment="1">
      <alignment horizontal="center" vertical="center" wrapText="1"/>
    </xf>
    <xf numFmtId="9" fontId="19" fillId="0" borderId="52" xfId="7" applyFont="1" applyFill="1" applyBorder="1" applyAlignment="1">
      <alignment horizontal="center" vertical="center" wrapText="1"/>
    </xf>
    <xf numFmtId="9" fontId="27" fillId="0" borderId="52" xfId="7" applyFont="1" applyFill="1" applyBorder="1" applyAlignment="1">
      <alignment horizontal="center" vertical="center"/>
    </xf>
    <xf numFmtId="166" fontId="27" fillId="0" borderId="52" xfId="6" applyFont="1" applyFill="1" applyBorder="1" applyAlignment="1">
      <alignment horizontal="center" vertical="center"/>
    </xf>
    <xf numFmtId="4" fontId="25" fillId="0" borderId="52" xfId="1" applyNumberFormat="1" applyFont="1" applyFill="1" applyBorder="1" applyAlignment="1">
      <alignment horizontal="center" vertical="center" wrapText="1"/>
    </xf>
    <xf numFmtId="4" fontId="26" fillId="0" borderId="52" xfId="1" applyNumberFormat="1" applyFont="1" applyFill="1" applyBorder="1" applyAlignment="1">
      <alignment horizontal="center" vertical="center" wrapText="1"/>
    </xf>
    <xf numFmtId="9" fontId="19" fillId="0" borderId="52" xfId="7" applyFont="1" applyFill="1" applyBorder="1" applyAlignment="1">
      <alignment horizontal="center" vertical="center"/>
    </xf>
    <xf numFmtId="9" fontId="66" fillId="0" borderId="52" xfId="7" applyFont="1" applyFill="1" applyBorder="1" applyAlignment="1">
      <alignment horizontal="center" vertical="center" wrapText="1"/>
    </xf>
    <xf numFmtId="9" fontId="26" fillId="0" borderId="52" xfId="7" applyFont="1" applyFill="1" applyBorder="1" applyAlignment="1">
      <alignment horizontal="center" vertical="center" wrapText="1"/>
    </xf>
    <xf numFmtId="9" fontId="67" fillId="0" borderId="52" xfId="7" applyFont="1" applyFill="1" applyBorder="1" applyAlignment="1">
      <alignment horizontal="center" vertical="center" wrapText="1"/>
    </xf>
    <xf numFmtId="9" fontId="67" fillId="0" borderId="52" xfId="7" applyFont="1" applyFill="1" applyBorder="1" applyAlignment="1">
      <alignment horizontal="center" vertical="center"/>
    </xf>
    <xf numFmtId="9" fontId="26" fillId="0" borderId="52"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3" fontId="25" fillId="20" borderId="30" xfId="1" applyNumberFormat="1" applyFont="1" applyFill="1" applyBorder="1" applyAlignment="1">
      <alignment horizontal="center" vertical="center"/>
    </xf>
    <xf numFmtId="0" fontId="19" fillId="0" borderId="60" xfId="1" applyFont="1" applyBorder="1" applyAlignment="1">
      <alignment vertical="center"/>
    </xf>
    <xf numFmtId="9" fontId="70" fillId="0" borderId="30" xfId="7" applyFont="1" applyFill="1" applyBorder="1" applyAlignment="1">
      <alignment horizontal="center" vertical="center" wrapText="1"/>
    </xf>
    <xf numFmtId="0" fontId="19" fillId="0" borderId="33" xfId="1" applyFont="1" applyBorder="1" applyAlignment="1">
      <alignment horizontal="left" vertical="center"/>
    </xf>
    <xf numFmtId="4" fontId="26" fillId="0" borderId="64" xfId="1" applyNumberFormat="1" applyFont="1" applyFill="1" applyBorder="1" applyAlignment="1">
      <alignment horizontal="center" vertical="center"/>
    </xf>
    <xf numFmtId="4" fontId="26" fillId="0" borderId="53" xfId="1" applyNumberFormat="1" applyFont="1" applyFill="1" applyBorder="1" applyAlignment="1">
      <alignment horizontal="center" vertical="center"/>
    </xf>
    <xf numFmtId="10" fontId="26" fillId="0" borderId="52" xfId="1" applyNumberFormat="1" applyFont="1" applyFill="1" applyBorder="1" applyAlignment="1">
      <alignment horizontal="center" vertical="center"/>
    </xf>
    <xf numFmtId="10" fontId="39" fillId="0" borderId="52" xfId="1" applyNumberFormat="1" applyFont="1" applyFill="1" applyBorder="1" applyAlignment="1">
      <alignment horizontal="center" vertical="center"/>
    </xf>
    <xf numFmtId="10" fontId="26" fillId="0" borderId="53" xfId="1" applyNumberFormat="1" applyFont="1" applyFill="1" applyBorder="1" applyAlignment="1">
      <alignment horizontal="center" vertical="center"/>
    </xf>
    <xf numFmtId="9" fontId="39" fillId="0" borderId="52" xfId="7" applyFont="1" applyFill="1" applyBorder="1" applyAlignment="1">
      <alignment horizontal="center" vertical="center"/>
    </xf>
    <xf numFmtId="9" fontId="46" fillId="0" borderId="52" xfId="7" applyFont="1" applyFill="1" applyBorder="1" applyAlignment="1">
      <alignment horizontal="center" vertical="center"/>
    </xf>
    <xf numFmtId="0" fontId="19" fillId="0" borderId="63" xfId="1" applyFont="1" applyBorder="1" applyAlignment="1">
      <alignment vertical="center"/>
    </xf>
    <xf numFmtId="3" fontId="27" fillId="0" borderId="19" xfId="1" applyNumberFormat="1" applyFont="1" applyFill="1" applyBorder="1" applyAlignment="1">
      <alignment horizontal="center" vertical="center"/>
    </xf>
    <xf numFmtId="3" fontId="27" fillId="0" borderId="62" xfId="1" applyNumberFormat="1" applyFont="1" applyFill="1" applyBorder="1" applyAlignment="1">
      <alignment horizontal="center" vertical="center"/>
    </xf>
    <xf numFmtId="3" fontId="27" fillId="0" borderId="63" xfId="6" applyNumberFormat="1" applyFont="1" applyFill="1" applyBorder="1" applyAlignment="1">
      <alignment horizontal="center" vertical="center"/>
    </xf>
    <xf numFmtId="9" fontId="36" fillId="0" borderId="58" xfId="7" applyFont="1" applyFill="1" applyBorder="1" applyAlignment="1">
      <alignment horizontal="center" vertical="center"/>
    </xf>
    <xf numFmtId="166" fontId="27" fillId="0" borderId="63" xfId="6" applyFont="1" applyFill="1" applyBorder="1" applyAlignment="1">
      <alignment horizontal="center" vertical="center"/>
    </xf>
    <xf numFmtId="3" fontId="51" fillId="0" borderId="63" xfId="0" applyNumberFormat="1" applyFont="1" applyFill="1" applyBorder="1" applyAlignment="1" applyProtection="1">
      <alignment horizontal="center" vertical="center" wrapText="1"/>
    </xf>
    <xf numFmtId="4" fontId="25" fillId="0" borderId="58" xfId="1" applyNumberFormat="1" applyFont="1" applyFill="1" applyBorder="1" applyAlignment="1">
      <alignment horizontal="center" vertical="center"/>
    </xf>
    <xf numFmtId="3" fontId="25" fillId="0" borderId="58" xfId="1" applyNumberFormat="1" applyFont="1" applyFill="1" applyBorder="1" applyAlignment="1">
      <alignment horizontal="center" vertical="center"/>
    </xf>
    <xf numFmtId="9" fontId="27" fillId="0" borderId="58" xfId="7" applyFont="1" applyFill="1" applyBorder="1" applyAlignment="1">
      <alignment horizontal="center" vertical="center"/>
    </xf>
    <xf numFmtId="9" fontId="19" fillId="0" borderId="58" xfId="7" applyFont="1" applyFill="1" applyBorder="1" applyAlignment="1">
      <alignment horizontal="center" vertical="center"/>
    </xf>
    <xf numFmtId="0" fontId="19" fillId="0" borderId="53" xfId="1" applyFont="1" applyBorder="1" applyAlignment="1">
      <alignment vertical="center"/>
    </xf>
    <xf numFmtId="3" fontId="27" fillId="0" borderId="64" xfId="1" applyNumberFormat="1" applyFont="1" applyFill="1" applyBorder="1" applyAlignment="1">
      <alignment horizontal="center" vertical="center"/>
    </xf>
    <xf numFmtId="3" fontId="51" fillId="0" borderId="60" xfId="0" applyNumberFormat="1" applyFont="1" applyFill="1" applyBorder="1" applyAlignment="1" applyProtection="1">
      <alignment horizontal="center" vertical="center" wrapText="1"/>
    </xf>
    <xf numFmtId="4" fontId="19" fillId="0" borderId="52" xfId="1" applyNumberFormat="1" applyFont="1" applyFill="1" applyBorder="1" applyAlignment="1">
      <alignment horizontal="center" vertical="center"/>
    </xf>
    <xf numFmtId="0" fontId="19" fillId="0" borderId="60" xfId="1" applyFont="1" applyFill="1" applyBorder="1" applyAlignment="1">
      <alignment vertical="center"/>
    </xf>
    <xf numFmtId="1" fontId="19" fillId="0" borderId="52" xfId="7" applyNumberFormat="1" applyFont="1" applyFill="1" applyBorder="1" applyAlignment="1">
      <alignment horizontal="center" vertical="center" wrapText="1"/>
    </xf>
    <xf numFmtId="9" fontId="27" fillId="0" borderId="57" xfId="7" applyFont="1" applyFill="1" applyBorder="1" applyAlignment="1">
      <alignment horizontal="center" vertical="center"/>
    </xf>
    <xf numFmtId="0" fontId="19" fillId="0" borderId="60" xfId="1" applyFont="1" applyBorder="1" applyAlignment="1">
      <alignment vertical="center" wrapText="1"/>
    </xf>
    <xf numFmtId="3" fontId="27" fillId="0" borderId="60" xfId="1" applyNumberFormat="1" applyFont="1" applyFill="1" applyBorder="1" applyAlignment="1">
      <alignment horizontal="center" vertical="center"/>
    </xf>
    <xf numFmtId="0" fontId="19" fillId="0" borderId="67" xfId="1" applyFont="1" applyBorder="1" applyAlignment="1">
      <alignment vertical="center"/>
    </xf>
    <xf numFmtId="1" fontId="45" fillId="0" borderId="52" xfId="7" applyNumberFormat="1" applyFont="1" applyFill="1" applyBorder="1" applyAlignment="1">
      <alignment horizontal="center" vertical="center" wrapText="1"/>
    </xf>
    <xf numFmtId="9" fontId="26" fillId="0" borderId="57" xfId="7" applyFont="1" applyFill="1" applyBorder="1" applyAlignment="1">
      <alignment horizontal="center" vertical="center"/>
    </xf>
    <xf numFmtId="0" fontId="19" fillId="0" borderId="66" xfId="1" applyFont="1" applyBorder="1" applyAlignment="1">
      <alignment vertical="center"/>
    </xf>
    <xf numFmtId="3" fontId="27" fillId="0" borderId="32" xfId="1" applyNumberFormat="1" applyFont="1" applyFill="1" applyBorder="1" applyAlignment="1">
      <alignment horizontal="center" vertical="center"/>
    </xf>
    <xf numFmtId="3" fontId="27" fillId="0" borderId="65" xfId="1" applyNumberFormat="1" applyFont="1" applyFill="1" applyBorder="1" applyAlignment="1">
      <alignment horizontal="center" vertical="center"/>
    </xf>
    <xf numFmtId="3" fontId="27" fillId="0" borderId="7" xfId="6" applyNumberFormat="1" applyFont="1" applyFill="1" applyBorder="1" applyAlignment="1">
      <alignment horizontal="center" vertical="center"/>
    </xf>
    <xf numFmtId="9" fontId="36" fillId="0" borderId="61" xfId="7" applyFont="1" applyFill="1" applyBorder="1" applyAlignment="1">
      <alignment horizontal="center" vertical="center"/>
    </xf>
    <xf numFmtId="167" fontId="27" fillId="0" borderId="61" xfId="6" applyNumberFormat="1" applyFont="1" applyFill="1" applyBorder="1" applyAlignment="1">
      <alignment horizontal="center" vertical="center"/>
    </xf>
    <xf numFmtId="166" fontId="27" fillId="0" borderId="7" xfId="6" applyFont="1" applyFill="1" applyBorder="1" applyAlignment="1">
      <alignment horizontal="center" vertical="center"/>
    </xf>
    <xf numFmtId="1" fontId="27" fillId="0" borderId="20" xfId="7" applyNumberFormat="1" applyFont="1" applyFill="1" applyBorder="1" applyAlignment="1">
      <alignment horizontal="center" vertical="center" wrapText="1"/>
    </xf>
    <xf numFmtId="4" fontId="25" fillId="0" borderId="20" xfId="1" applyNumberFormat="1" applyFont="1" applyFill="1" applyBorder="1" applyAlignment="1">
      <alignment horizontal="center" vertical="center"/>
    </xf>
    <xf numFmtId="3" fontId="25" fillId="0" borderId="20" xfId="1" applyNumberFormat="1" applyFont="1" applyFill="1" applyBorder="1" applyAlignment="1">
      <alignment horizontal="center" vertical="center"/>
    </xf>
    <xf numFmtId="9" fontId="27" fillId="0" borderId="61" xfId="7" applyFont="1" applyFill="1" applyBorder="1" applyAlignment="1">
      <alignment horizontal="center" vertical="center"/>
    </xf>
    <xf numFmtId="9" fontId="26" fillId="0" borderId="61" xfId="7" applyFont="1" applyFill="1" applyBorder="1" applyAlignment="1">
      <alignment horizontal="center" vertical="center"/>
    </xf>
    <xf numFmtId="9" fontId="27" fillId="0" borderId="58" xfId="7" applyFont="1" applyFill="1" applyBorder="1" applyAlignment="1">
      <alignment horizontal="center" vertical="center" wrapText="1"/>
    </xf>
    <xf numFmtId="9" fontId="19" fillId="0" borderId="58" xfId="7" applyFont="1" applyFill="1" applyBorder="1" applyAlignment="1">
      <alignment horizontal="center" vertical="center" wrapText="1"/>
    </xf>
    <xf numFmtId="9" fontId="19" fillId="0" borderId="57" xfId="7" applyFont="1" applyFill="1" applyBorder="1" applyAlignment="1">
      <alignment horizontal="center" vertical="center"/>
    </xf>
    <xf numFmtId="9" fontId="27" fillId="0" borderId="57" xfId="7" applyFont="1" applyFill="1" applyBorder="1" applyAlignment="1">
      <alignment horizontal="center" vertical="center" wrapText="1"/>
    </xf>
    <xf numFmtId="9" fontId="19" fillId="0" borderId="57" xfId="7" applyFont="1" applyFill="1" applyBorder="1" applyAlignment="1">
      <alignment horizontal="center" vertical="center" wrapText="1"/>
    </xf>
    <xf numFmtId="9" fontId="26" fillId="0" borderId="57" xfId="7" applyFont="1" applyFill="1" applyBorder="1" applyAlignment="1">
      <alignment horizontal="center" vertical="center" wrapText="1"/>
    </xf>
    <xf numFmtId="4" fontId="25" fillId="0" borderId="28" xfId="1" applyNumberFormat="1" applyFont="1" applyFill="1" applyBorder="1" applyAlignment="1">
      <alignment horizontal="center" vertical="center" wrapText="1"/>
    </xf>
    <xf numFmtId="166" fontId="26" fillId="0" borderId="34" xfId="6" applyFont="1" applyFill="1" applyBorder="1" applyAlignment="1">
      <alignment horizontal="center" vertical="center"/>
    </xf>
    <xf numFmtId="4" fontId="57" fillId="0" borderId="0" xfId="0" applyNumberFormat="1" applyFont="1" applyFill="1"/>
    <xf numFmtId="4" fontId="0" fillId="0" borderId="0" xfId="0" applyNumberFormat="1" applyFill="1"/>
    <xf numFmtId="0" fontId="0" fillId="0" borderId="0" xfId="0" applyFill="1"/>
    <xf numFmtId="166" fontId="19" fillId="0" borderId="34" xfId="6" applyFont="1" applyFill="1" applyBorder="1" applyAlignment="1">
      <alignment horizontal="center" vertical="center"/>
    </xf>
    <xf numFmtId="0" fontId="55" fillId="2" borderId="32" xfId="0" applyFont="1" applyFill="1" applyBorder="1" applyAlignment="1">
      <alignment wrapText="1"/>
    </xf>
    <xf numFmtId="3" fontId="55" fillId="2" borderId="32" xfId="0" applyNumberFormat="1" applyFont="1" applyFill="1" applyBorder="1" applyAlignment="1">
      <alignment horizontal="right" vertical="center"/>
    </xf>
    <xf numFmtId="9" fontId="36" fillId="11" borderId="14" xfId="7" applyFont="1" applyFill="1" applyBorder="1" applyAlignment="1">
      <alignment horizontal="center" vertical="center"/>
    </xf>
    <xf numFmtId="9" fontId="36" fillId="7" borderId="14" xfId="7" applyFont="1" applyFill="1" applyBorder="1" applyAlignment="1">
      <alignment horizontal="center" vertical="center"/>
    </xf>
    <xf numFmtId="9" fontId="36" fillId="26" borderId="14" xfId="7" applyFont="1" applyFill="1" applyBorder="1" applyAlignment="1">
      <alignment horizontal="center" vertical="center"/>
    </xf>
    <xf numFmtId="49" fontId="18" fillId="27" borderId="3" xfId="0" applyNumberFormat="1" applyFont="1" applyFill="1" applyBorder="1" applyAlignment="1">
      <alignment horizontal="center" vertical="center"/>
    </xf>
    <xf numFmtId="49" fontId="18" fillId="27" borderId="9" xfId="0" applyNumberFormat="1" applyFont="1" applyFill="1" applyBorder="1" applyAlignment="1">
      <alignment horizontal="center" vertical="center"/>
    </xf>
    <xf numFmtId="4" fontId="25" fillId="0" borderId="36" xfId="1" applyNumberFormat="1" applyFont="1" applyFill="1" applyBorder="1" applyAlignment="1">
      <alignment horizontal="center" vertical="center"/>
    </xf>
    <xf numFmtId="4" fontId="24" fillId="11" borderId="59" xfId="1" applyNumberFormat="1" applyFont="1" applyFill="1" applyBorder="1" applyAlignment="1">
      <alignment horizontal="center" vertical="center"/>
    </xf>
    <xf numFmtId="4" fontId="24" fillId="8" borderId="67" xfId="1" applyNumberFormat="1" applyFont="1" applyFill="1" applyBorder="1" applyAlignment="1">
      <alignment horizontal="center" vertical="center"/>
    </xf>
    <xf numFmtId="4" fontId="24" fillId="6" borderId="60" xfId="1" applyNumberFormat="1" applyFont="1" applyFill="1" applyBorder="1" applyAlignment="1">
      <alignment horizontal="center" vertical="center"/>
    </xf>
    <xf numFmtId="10" fontId="24" fillId="3" borderId="65" xfId="1" applyNumberFormat="1" applyFont="1" applyFill="1" applyBorder="1" applyAlignment="1">
      <alignment horizontal="center" vertical="center"/>
    </xf>
    <xf numFmtId="4" fontId="25" fillId="0" borderId="33" xfId="1" applyNumberFormat="1" applyFont="1" applyFill="1" applyBorder="1" applyAlignment="1">
      <alignment horizontal="center" vertical="center"/>
    </xf>
    <xf numFmtId="9" fontId="36" fillId="0" borderId="68" xfId="7" applyFont="1" applyFill="1" applyBorder="1" applyAlignment="1">
      <alignment horizontal="center" vertical="center"/>
    </xf>
    <xf numFmtId="9" fontId="36" fillId="0" borderId="70" xfId="7" applyFont="1" applyFill="1" applyBorder="1" applyAlignment="1">
      <alignment horizontal="center" vertical="center"/>
    </xf>
    <xf numFmtId="10" fontId="26" fillId="0" borderId="19" xfId="1" applyNumberFormat="1" applyFont="1" applyFill="1" applyBorder="1" applyAlignment="1">
      <alignment horizontal="center" vertical="center"/>
    </xf>
    <xf numFmtId="4" fontId="25" fillId="0" borderId="0" xfId="1" applyNumberFormat="1" applyFont="1" applyFill="1" applyBorder="1" applyAlignment="1">
      <alignment horizontal="center" vertical="center"/>
    </xf>
    <xf numFmtId="9" fontId="27" fillId="0" borderId="24" xfId="7" applyFont="1" applyFill="1" applyBorder="1" applyAlignment="1">
      <alignment horizontal="center" vertical="center"/>
    </xf>
    <xf numFmtId="9" fontId="36" fillId="29" borderId="12" xfId="7" applyFont="1" applyFill="1" applyBorder="1" applyAlignment="1">
      <alignment horizontal="center" vertical="center"/>
    </xf>
    <xf numFmtId="3" fontId="24" fillId="4" borderId="64" xfId="1" applyNumberFormat="1" applyFont="1" applyFill="1" applyBorder="1" applyAlignment="1">
      <alignment horizontal="center" vertical="center"/>
    </xf>
    <xf numFmtId="4" fontId="24" fillId="4" borderId="53" xfId="1" applyNumberFormat="1" applyFont="1" applyFill="1" applyBorder="1" applyAlignment="1">
      <alignment horizontal="center" vertical="center"/>
    </xf>
    <xf numFmtId="9" fontId="36" fillId="29" borderId="36" xfId="7" applyFont="1" applyFill="1" applyBorder="1" applyAlignment="1">
      <alignment horizontal="center" vertical="center"/>
    </xf>
    <xf numFmtId="9" fontId="36" fillId="29" borderId="20" xfId="7" applyFont="1" applyFill="1" applyBorder="1" applyAlignment="1">
      <alignment horizontal="center" vertical="center"/>
    </xf>
    <xf numFmtId="10" fontId="27" fillId="0" borderId="19" xfId="1" applyNumberFormat="1" applyFont="1" applyFill="1" applyBorder="1" applyAlignment="1">
      <alignment horizontal="center" vertical="center"/>
    </xf>
    <xf numFmtId="10" fontId="26" fillId="0" borderId="24" xfId="1" applyNumberFormat="1" applyFont="1" applyFill="1" applyBorder="1" applyAlignment="1">
      <alignment horizontal="center" vertical="center"/>
    </xf>
    <xf numFmtId="4" fontId="25" fillId="0" borderId="66" xfId="1" applyNumberFormat="1" applyFont="1" applyFill="1" applyBorder="1" applyAlignment="1">
      <alignment horizontal="center" vertical="center"/>
    </xf>
    <xf numFmtId="4" fontId="25" fillId="0" borderId="61" xfId="1" applyNumberFormat="1" applyFont="1" applyFill="1" applyBorder="1" applyAlignment="1">
      <alignment horizontal="center" vertical="center"/>
    </xf>
    <xf numFmtId="3" fontId="24" fillId="4" borderId="8" xfId="1" applyNumberFormat="1" applyFont="1" applyFill="1" applyBorder="1" applyAlignment="1">
      <alignment horizontal="center" vertical="center"/>
    </xf>
    <xf numFmtId="10" fontId="24" fillId="4" borderId="52" xfId="1" applyNumberFormat="1" applyFont="1" applyFill="1" applyBorder="1" applyAlignment="1">
      <alignment horizontal="center" vertical="center"/>
    </xf>
    <xf numFmtId="4" fontId="25" fillId="0" borderId="60" xfId="1" applyNumberFormat="1" applyFont="1" applyFill="1" applyBorder="1" applyAlignment="1">
      <alignment horizontal="center" vertical="center"/>
    </xf>
    <xf numFmtId="4" fontId="25" fillId="0" borderId="57" xfId="1" applyNumberFormat="1" applyFont="1" applyFill="1" applyBorder="1" applyAlignment="1">
      <alignment horizontal="center" vertical="center"/>
    </xf>
    <xf numFmtId="3" fontId="27" fillId="0" borderId="60" xfId="6" applyNumberFormat="1" applyFont="1" applyFill="1" applyBorder="1" applyAlignment="1">
      <alignment horizontal="center" vertical="center"/>
    </xf>
    <xf numFmtId="4" fontId="25" fillId="0" borderId="53" xfId="1" applyNumberFormat="1" applyFont="1" applyFill="1" applyBorder="1" applyAlignment="1">
      <alignment horizontal="center" vertical="center"/>
    </xf>
    <xf numFmtId="4" fontId="29" fillId="8" borderId="67" xfId="1" applyNumberFormat="1" applyFont="1" applyFill="1" applyBorder="1" applyAlignment="1">
      <alignment horizontal="center" vertical="center"/>
    </xf>
    <xf numFmtId="3" fontId="24" fillId="8" borderId="67" xfId="1" applyNumberFormat="1" applyFont="1" applyFill="1" applyBorder="1" applyAlignment="1">
      <alignment horizontal="center" vertical="center"/>
    </xf>
    <xf numFmtId="9" fontId="36" fillId="0" borderId="12" xfId="7" applyFont="1" applyFill="1" applyBorder="1" applyAlignment="1">
      <alignment horizontal="center" vertical="center"/>
    </xf>
    <xf numFmtId="3" fontId="27" fillId="0" borderId="63" xfId="1" applyNumberFormat="1" applyFont="1" applyFill="1" applyBorder="1" applyAlignment="1">
      <alignment horizontal="center" vertical="center"/>
    </xf>
    <xf numFmtId="3" fontId="27" fillId="0" borderId="58" xfId="1" applyNumberFormat="1" applyFont="1" applyFill="1" applyBorder="1" applyAlignment="1">
      <alignment horizontal="center" vertical="center"/>
    </xf>
    <xf numFmtId="0" fontId="27" fillId="0" borderId="58" xfId="1" applyNumberFormat="1" applyFont="1" applyFill="1" applyBorder="1" applyAlignment="1">
      <alignment horizontal="center" vertical="center"/>
    </xf>
    <xf numFmtId="9" fontId="36" fillId="0" borderId="58" xfId="7" applyFont="1" applyFill="1" applyBorder="1" applyAlignment="1">
      <alignment horizontal="center" vertical="center" wrapText="1"/>
    </xf>
    <xf numFmtId="9" fontId="36" fillId="0" borderId="51" xfId="7" applyFont="1" applyFill="1" applyBorder="1" applyAlignment="1">
      <alignment horizontal="center" vertical="center"/>
    </xf>
    <xf numFmtId="3" fontId="24" fillId="6" borderId="60" xfId="1" applyNumberFormat="1" applyFont="1" applyFill="1" applyBorder="1" applyAlignment="1">
      <alignment horizontal="center" vertical="center"/>
    </xf>
    <xf numFmtId="4" fontId="29" fillId="6" borderId="60" xfId="1" applyNumberFormat="1" applyFont="1" applyFill="1" applyBorder="1" applyAlignment="1">
      <alignment horizontal="center" vertical="center"/>
    </xf>
    <xf numFmtId="4" fontId="24" fillId="6" borderId="59" xfId="1" applyNumberFormat="1" applyFont="1" applyFill="1" applyBorder="1" applyAlignment="1">
      <alignment horizontal="center" vertical="center"/>
    </xf>
    <xf numFmtId="9" fontId="36" fillId="28" borderId="51" xfId="7" applyFont="1" applyFill="1" applyBorder="1" applyAlignment="1">
      <alignment horizontal="center" vertical="center"/>
    </xf>
    <xf numFmtId="9" fontId="24" fillId="3" borderId="65" xfId="7" applyFont="1" applyFill="1" applyBorder="1" applyAlignment="1">
      <alignment horizontal="center" vertical="center"/>
    </xf>
    <xf numFmtId="3" fontId="24" fillId="3" borderId="65" xfId="1" applyNumberFormat="1" applyFont="1" applyFill="1" applyBorder="1" applyAlignment="1">
      <alignment horizontal="center" vertical="center"/>
    </xf>
    <xf numFmtId="9" fontId="24" fillId="3" borderId="66" xfId="7" applyFont="1" applyFill="1" applyBorder="1" applyAlignment="1">
      <alignment horizontal="center" vertical="center"/>
    </xf>
    <xf numFmtId="10" fontId="24" fillId="3" borderId="66" xfId="1" applyNumberFormat="1" applyFont="1" applyFill="1" applyBorder="1" applyAlignment="1">
      <alignment horizontal="center" vertical="center"/>
    </xf>
    <xf numFmtId="9" fontId="36" fillId="11" borderId="51" xfId="7" applyFont="1" applyFill="1" applyBorder="1" applyAlignment="1">
      <alignment horizontal="center" vertical="center"/>
    </xf>
    <xf numFmtId="3" fontId="24" fillId="4" borderId="62" xfId="1" applyNumberFormat="1" applyFont="1" applyFill="1" applyBorder="1" applyAlignment="1">
      <alignment horizontal="center" vertical="center"/>
    </xf>
    <xf numFmtId="3" fontId="24" fillId="4" borderId="63" xfId="1" applyNumberFormat="1" applyFont="1" applyFill="1" applyBorder="1" applyAlignment="1">
      <alignment horizontal="center" vertical="center"/>
    </xf>
    <xf numFmtId="9" fontId="36" fillId="4" borderId="58" xfId="7" applyFont="1" applyFill="1" applyBorder="1" applyAlignment="1">
      <alignment horizontal="center" vertical="center"/>
    </xf>
    <xf numFmtId="4" fontId="24" fillId="4" borderId="63" xfId="1" applyNumberFormat="1" applyFont="1" applyFill="1" applyBorder="1" applyAlignment="1">
      <alignment horizontal="center" vertical="center"/>
    </xf>
    <xf numFmtId="3" fontId="27" fillId="5" borderId="60" xfId="1" applyNumberFormat="1" applyFont="1" applyFill="1" applyBorder="1" applyAlignment="1">
      <alignment horizontal="center" vertical="center"/>
    </xf>
    <xf numFmtId="9" fontId="36" fillId="0" borderId="54" xfId="7" applyFont="1" applyFill="1" applyBorder="1" applyAlignment="1">
      <alignment horizontal="center" vertical="center"/>
    </xf>
    <xf numFmtId="3" fontId="24" fillId="4" borderId="59" xfId="1" applyNumberFormat="1" applyFont="1" applyFill="1" applyBorder="1" applyAlignment="1">
      <alignment horizontal="center" vertical="center"/>
    </xf>
    <xf numFmtId="9" fontId="36" fillId="4" borderId="52" xfId="7" applyFont="1" applyFill="1" applyBorder="1" applyAlignment="1">
      <alignment horizontal="center" vertical="center"/>
    </xf>
    <xf numFmtId="10" fontId="24" fillId="4" borderId="57" xfId="1" applyNumberFormat="1" applyFont="1" applyFill="1" applyBorder="1" applyAlignment="1">
      <alignment horizontal="center" vertical="center"/>
    </xf>
    <xf numFmtId="3" fontId="24" fillId="4" borderId="65" xfId="1" applyNumberFormat="1" applyFont="1" applyFill="1" applyBorder="1" applyAlignment="1">
      <alignment horizontal="center" vertical="center"/>
    </xf>
    <xf numFmtId="10" fontId="26" fillId="0" borderId="61" xfId="1" applyNumberFormat="1" applyFont="1" applyFill="1" applyBorder="1" applyAlignment="1">
      <alignment horizontal="center" vertical="center"/>
    </xf>
    <xf numFmtId="3" fontId="24" fillId="8" borderId="66" xfId="1" applyNumberFormat="1" applyFont="1" applyFill="1" applyBorder="1" applyAlignment="1">
      <alignment horizontal="center" vertical="center"/>
    </xf>
    <xf numFmtId="3" fontId="25" fillId="0" borderId="61" xfId="1" applyNumberFormat="1" applyFont="1" applyFill="1" applyBorder="1" applyAlignment="1">
      <alignment horizontal="center" vertical="center"/>
    </xf>
    <xf numFmtId="4" fontId="65" fillId="4" borderId="62" xfId="1" applyNumberFormat="1" applyFont="1" applyFill="1" applyBorder="1" applyAlignment="1">
      <alignment horizontal="center" vertical="center"/>
    </xf>
    <xf numFmtId="3" fontId="25" fillId="0" borderId="33" xfId="1" applyNumberFormat="1" applyFont="1" applyFill="1" applyBorder="1" applyAlignment="1">
      <alignment horizontal="center" vertical="center"/>
    </xf>
    <xf numFmtId="3" fontId="25" fillId="0" borderId="19" xfId="1" applyNumberFormat="1" applyFont="1" applyFill="1" applyBorder="1" applyAlignment="1">
      <alignment horizontal="center" vertical="center"/>
    </xf>
    <xf numFmtId="3" fontId="25" fillId="0" borderId="9" xfId="1" applyNumberFormat="1" applyFont="1" applyFill="1" applyBorder="1" applyAlignment="1">
      <alignment horizontal="center" vertical="center"/>
    </xf>
    <xf numFmtId="9" fontId="36" fillId="0" borderId="60" xfId="7" applyFont="1" applyFill="1" applyBorder="1" applyAlignment="1">
      <alignment horizontal="center" vertical="center"/>
    </xf>
    <xf numFmtId="9" fontId="36" fillId="0" borderId="66" xfId="7" applyFont="1" applyFill="1" applyBorder="1" applyAlignment="1">
      <alignment horizontal="center" vertical="center"/>
    </xf>
    <xf numFmtId="3" fontId="25" fillId="0" borderId="60" xfId="1" applyNumberFormat="1" applyFont="1" applyFill="1" applyBorder="1" applyAlignment="1">
      <alignment horizontal="center" vertical="center"/>
    </xf>
    <xf numFmtId="3" fontId="25" fillId="0" borderId="24" xfId="1" applyNumberFormat="1" applyFont="1" applyFill="1" applyBorder="1" applyAlignment="1">
      <alignment horizontal="center" vertical="center"/>
    </xf>
    <xf numFmtId="3" fontId="25" fillId="0" borderId="57" xfId="1" applyNumberFormat="1" applyFont="1" applyFill="1" applyBorder="1" applyAlignment="1">
      <alignment horizontal="center" vertical="center" wrapText="1"/>
    </xf>
    <xf numFmtId="4" fontId="25" fillId="0" borderId="7" xfId="1" applyNumberFormat="1" applyFont="1" applyFill="1" applyBorder="1" applyAlignment="1">
      <alignment horizontal="center" vertical="center"/>
    </xf>
    <xf numFmtId="3" fontId="25" fillId="0" borderId="33" xfId="1" applyNumberFormat="1" applyFont="1" applyFill="1" applyBorder="1" applyAlignment="1">
      <alignment horizontal="center" vertical="center" wrapText="1"/>
    </xf>
    <xf numFmtId="3" fontId="27" fillId="0" borderId="52" xfId="6" applyNumberFormat="1" applyFont="1" applyFill="1" applyBorder="1" applyAlignment="1">
      <alignment horizontal="center" vertical="center"/>
    </xf>
    <xf numFmtId="10" fontId="26" fillId="0" borderId="32" xfId="1" applyNumberFormat="1" applyFont="1" applyFill="1" applyBorder="1" applyAlignment="1">
      <alignment horizontal="center" vertical="center"/>
    </xf>
    <xf numFmtId="4" fontId="25" fillId="0" borderId="6" xfId="1" applyNumberFormat="1" applyFont="1" applyFill="1" applyBorder="1" applyAlignment="1">
      <alignment horizontal="center" vertical="center"/>
    </xf>
    <xf numFmtId="3" fontId="24" fillId="4" borderId="52" xfId="1" applyNumberFormat="1" applyFont="1" applyFill="1" applyBorder="1" applyAlignment="1">
      <alignment horizontal="center" vertical="center"/>
    </xf>
    <xf numFmtId="10" fontId="27" fillId="0" borderId="61" xfId="1" applyNumberFormat="1" applyFont="1" applyFill="1" applyBorder="1" applyAlignment="1">
      <alignment horizontal="center" vertical="center"/>
    </xf>
    <xf numFmtId="10" fontId="65" fillId="4" borderId="52" xfId="1" applyNumberFormat="1" applyFont="1" applyFill="1" applyBorder="1" applyAlignment="1">
      <alignment horizontal="center" vertical="center"/>
    </xf>
    <xf numFmtId="10" fontId="26" fillId="0" borderId="20" xfId="1" applyNumberFormat="1" applyFont="1" applyFill="1" applyBorder="1" applyAlignment="1">
      <alignment horizontal="center" vertical="center"/>
    </xf>
    <xf numFmtId="4" fontId="27" fillId="27" borderId="21" xfId="1" applyNumberFormat="1" applyFont="1" applyFill="1" applyBorder="1" applyAlignment="1">
      <alignment horizontal="center" vertical="center"/>
    </xf>
    <xf numFmtId="4" fontId="25" fillId="27" borderId="30" xfId="1" applyNumberFormat="1" applyFont="1" applyFill="1" applyBorder="1" applyAlignment="1">
      <alignment horizontal="center" vertical="center"/>
    </xf>
    <xf numFmtId="0" fontId="19" fillId="0" borderId="64" xfId="1" applyFont="1" applyBorder="1" applyAlignment="1">
      <alignment vertical="center"/>
    </xf>
    <xf numFmtId="4" fontId="25" fillId="0" borderId="54" xfId="1"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0" fontId="19" fillId="0" borderId="24" xfId="1" applyFont="1" applyFill="1" applyBorder="1" applyAlignment="1">
      <alignment horizontal="left" vertical="center" wrapText="1"/>
    </xf>
    <xf numFmtId="4" fontId="26" fillId="0" borderId="34" xfId="1" applyNumberFormat="1" applyFont="1" applyFill="1" applyBorder="1" applyAlignment="1">
      <alignment horizontal="center" vertical="center"/>
    </xf>
    <xf numFmtId="0" fontId="24" fillId="11" borderId="55" xfId="1" applyFont="1" applyFill="1" applyBorder="1" applyAlignment="1">
      <alignment vertical="center"/>
    </xf>
    <xf numFmtId="3" fontId="24" fillId="11" borderId="55" xfId="1" applyNumberFormat="1" applyFont="1" applyFill="1" applyBorder="1" applyAlignment="1">
      <alignment horizontal="center" vertical="center"/>
    </xf>
    <xf numFmtId="3" fontId="24" fillId="11" borderId="56" xfId="1" applyNumberFormat="1" applyFont="1" applyFill="1" applyBorder="1" applyAlignment="1">
      <alignment horizontal="center" vertical="center"/>
    </xf>
    <xf numFmtId="4" fontId="24" fillId="11" borderId="51" xfId="1" applyNumberFormat="1" applyFont="1" applyFill="1" applyBorder="1" applyAlignment="1">
      <alignment horizontal="center" vertical="center"/>
    </xf>
    <xf numFmtId="3" fontId="25" fillId="0" borderId="67" xfId="1" applyNumberFormat="1" applyFont="1" applyFill="1" applyBorder="1" applyAlignment="1">
      <alignment horizontal="center" vertical="center"/>
    </xf>
    <xf numFmtId="3" fontId="27" fillId="0" borderId="6" xfId="6" applyNumberFormat="1" applyFont="1" applyFill="1" applyBorder="1" applyAlignment="1">
      <alignment horizontal="center" vertical="center"/>
    </xf>
    <xf numFmtId="1" fontId="27" fillId="0" borderId="36" xfId="7" applyNumberFormat="1" applyFont="1" applyFill="1" applyBorder="1" applyAlignment="1">
      <alignment horizontal="center" vertical="center" wrapText="1"/>
    </xf>
    <xf numFmtId="9" fontId="36" fillId="0" borderId="72" xfId="7" applyFont="1" applyFill="1" applyBorder="1" applyAlignment="1">
      <alignment horizontal="center" vertical="center"/>
    </xf>
    <xf numFmtId="1" fontId="27" fillId="11" borderId="51" xfId="7" applyNumberFormat="1" applyFont="1" applyFill="1" applyBorder="1" applyAlignment="1">
      <alignment horizontal="center" vertical="center" wrapText="1"/>
    </xf>
    <xf numFmtId="9" fontId="16" fillId="0" borderId="0" xfId="7" applyFont="1" applyAlignment="1">
      <alignment horizontal="center" vertical="center"/>
    </xf>
    <xf numFmtId="49" fontId="18" fillId="27" borderId="3" xfId="0" applyNumberFormat="1" applyFont="1" applyFill="1" applyBorder="1" applyAlignment="1">
      <alignment horizontal="center" vertical="center"/>
    </xf>
    <xf numFmtId="49" fontId="18" fillId="27" borderId="9" xfId="0" applyNumberFormat="1" applyFont="1" applyFill="1" applyBorder="1" applyAlignment="1">
      <alignment horizontal="center" vertical="center"/>
    </xf>
    <xf numFmtId="0" fontId="16" fillId="0" borderId="0" xfId="1" applyAlignment="1">
      <alignment horizontal="right" vertical="center"/>
    </xf>
    <xf numFmtId="49" fontId="18" fillId="27" borderId="3" xfId="0" applyNumberFormat="1" applyFont="1" applyFill="1" applyBorder="1" applyAlignment="1">
      <alignment horizontal="center" vertical="center"/>
    </xf>
    <xf numFmtId="49" fontId="18" fillId="27" borderId="9" xfId="0" applyNumberFormat="1" applyFont="1" applyFill="1" applyBorder="1" applyAlignment="1">
      <alignment horizontal="center" vertical="center"/>
    </xf>
    <xf numFmtId="0" fontId="33" fillId="12" borderId="55" xfId="1" applyFont="1" applyFill="1" applyBorder="1" applyAlignment="1">
      <alignment horizontal="center" vertical="center" wrapText="1"/>
    </xf>
    <xf numFmtId="4" fontId="24" fillId="11" borderId="1" xfId="1" applyNumberFormat="1" applyFont="1" applyFill="1" applyBorder="1" applyAlignment="1">
      <alignment horizontal="center" vertical="center"/>
    </xf>
    <xf numFmtId="4" fontId="65" fillId="11" borderId="59" xfId="1" applyNumberFormat="1" applyFont="1" applyFill="1" applyBorder="1" applyAlignment="1">
      <alignment horizontal="center" vertical="center"/>
    </xf>
    <xf numFmtId="10" fontId="26" fillId="0" borderId="36" xfId="1" applyNumberFormat="1" applyFont="1" applyFill="1" applyBorder="1" applyAlignment="1">
      <alignment horizontal="center" vertical="center"/>
    </xf>
    <xf numFmtId="4" fontId="35" fillId="6" borderId="56" xfId="1" applyNumberFormat="1" applyFont="1" applyFill="1" applyBorder="1" applyAlignment="1">
      <alignment horizontal="center" vertical="center"/>
    </xf>
    <xf numFmtId="10" fontId="65" fillId="0" borderId="61" xfId="1" applyNumberFormat="1" applyFont="1" applyFill="1" applyBorder="1" applyAlignment="1">
      <alignment horizontal="center" vertical="center"/>
    </xf>
    <xf numFmtId="10" fontId="26" fillId="5" borderId="36" xfId="1" applyNumberFormat="1" applyFont="1" applyFill="1" applyBorder="1" applyAlignment="1">
      <alignment horizontal="center" vertical="center"/>
    </xf>
    <xf numFmtId="10" fontId="24" fillId="3" borderId="62" xfId="1" applyNumberFormat="1" applyFont="1" applyFill="1" applyBorder="1" applyAlignment="1">
      <alignment horizontal="center" vertical="center"/>
    </xf>
    <xf numFmtId="4" fontId="24" fillId="4" borderId="65" xfId="1" applyNumberFormat="1" applyFont="1" applyFill="1" applyBorder="1" applyAlignment="1">
      <alignment horizontal="center" vertical="center"/>
    </xf>
    <xf numFmtId="10" fontId="27" fillId="0" borderId="52" xfId="1" applyNumberFormat="1" applyFont="1" applyFill="1" applyBorder="1" applyAlignment="1">
      <alignment horizontal="center" vertical="center"/>
    </xf>
    <xf numFmtId="0" fontId="27" fillId="0" borderId="52" xfId="1" applyNumberFormat="1" applyFont="1" applyFill="1" applyBorder="1" applyAlignment="1">
      <alignment horizontal="center" vertical="center"/>
    </xf>
    <xf numFmtId="4" fontId="28" fillId="6" borderId="59" xfId="1" applyNumberFormat="1" applyFont="1" applyFill="1" applyBorder="1" applyAlignment="1">
      <alignment horizontal="center" vertical="center"/>
    </xf>
    <xf numFmtId="0" fontId="19" fillId="0" borderId="23" xfId="1" applyFont="1" applyFill="1" applyBorder="1" applyAlignment="1">
      <alignment vertical="center"/>
    </xf>
    <xf numFmtId="10" fontId="24" fillId="4" borderId="29" xfId="1" applyNumberFormat="1" applyFont="1" applyFill="1" applyBorder="1" applyAlignment="1">
      <alignment horizontal="center" vertical="center"/>
    </xf>
    <xf numFmtId="4" fontId="24" fillId="6" borderId="55" xfId="1" applyNumberFormat="1" applyFont="1" applyFill="1" applyBorder="1" applyAlignment="1">
      <alignment horizontal="center" vertical="center"/>
    </xf>
    <xf numFmtId="10" fontId="27" fillId="0" borderId="36" xfId="1" applyNumberFormat="1" applyFont="1" applyFill="1" applyBorder="1" applyAlignment="1">
      <alignment horizontal="center" vertical="center"/>
    </xf>
    <xf numFmtId="4" fontId="20" fillId="6" borderId="56" xfId="1" applyNumberFormat="1" applyFont="1" applyFill="1" applyBorder="1" applyAlignment="1">
      <alignment horizontal="center" vertical="center"/>
    </xf>
    <xf numFmtId="10" fontId="24" fillId="0" borderId="61" xfId="1" applyNumberFormat="1" applyFont="1" applyFill="1" applyBorder="1" applyAlignment="1">
      <alignment horizontal="center" vertical="center"/>
    </xf>
    <xf numFmtId="4" fontId="24" fillId="4" borderId="64" xfId="1" applyNumberFormat="1" applyFont="1" applyFill="1" applyBorder="1" applyAlignment="1">
      <alignment horizontal="center" vertical="center"/>
    </xf>
    <xf numFmtId="9" fontId="36" fillId="11" borderId="12" xfId="7" applyFont="1" applyFill="1" applyBorder="1" applyAlignment="1">
      <alignment horizontal="center" vertical="center"/>
    </xf>
    <xf numFmtId="4" fontId="24" fillId="4" borderId="62" xfId="1" applyNumberFormat="1" applyFont="1" applyFill="1" applyBorder="1" applyAlignment="1">
      <alignment horizontal="center" vertical="center"/>
    </xf>
    <xf numFmtId="0" fontId="33" fillId="12" borderId="56" xfId="1" applyFont="1" applyFill="1" applyBorder="1" applyAlignment="1">
      <alignment horizontal="center" vertical="center" wrapText="1"/>
    </xf>
    <xf numFmtId="0" fontId="42" fillId="12" borderId="56" xfId="1" applyFont="1" applyFill="1" applyBorder="1" applyAlignment="1">
      <alignment horizontal="center" vertical="center" wrapText="1"/>
    </xf>
    <xf numFmtId="4" fontId="24" fillId="11" borderId="56" xfId="1" applyNumberFormat="1" applyFont="1" applyFill="1" applyBorder="1" applyAlignment="1">
      <alignment horizontal="center" vertical="center"/>
    </xf>
    <xf numFmtId="4" fontId="65" fillId="11" borderId="51" xfId="1" applyNumberFormat="1" applyFont="1" applyFill="1" applyBorder="1" applyAlignment="1">
      <alignment horizontal="center" vertical="center"/>
    </xf>
    <xf numFmtId="10" fontId="26" fillId="0" borderId="58" xfId="1" applyNumberFormat="1" applyFont="1" applyFill="1" applyBorder="1" applyAlignment="1">
      <alignment horizontal="center" vertical="center"/>
    </xf>
    <xf numFmtId="4" fontId="24" fillId="11" borderId="60" xfId="1" applyNumberFormat="1" applyFont="1" applyFill="1" applyBorder="1" applyAlignment="1">
      <alignment horizontal="center" vertical="center"/>
    </xf>
    <xf numFmtId="4" fontId="65" fillId="11" borderId="60" xfId="1" applyNumberFormat="1" applyFont="1" applyFill="1" applyBorder="1" applyAlignment="1">
      <alignment horizontal="center" vertical="center"/>
    </xf>
    <xf numFmtId="10" fontId="24" fillId="3" borderId="63" xfId="1" applyNumberFormat="1" applyFont="1" applyFill="1" applyBorder="1" applyAlignment="1">
      <alignment horizontal="center" vertical="center"/>
    </xf>
    <xf numFmtId="10" fontId="65" fillId="3" borderId="63" xfId="1" applyNumberFormat="1" applyFont="1" applyFill="1" applyBorder="1" applyAlignment="1">
      <alignment horizontal="center" vertical="center"/>
    </xf>
    <xf numFmtId="10" fontId="24" fillId="0" borderId="66" xfId="1" applyNumberFormat="1" applyFont="1" applyFill="1" applyBorder="1" applyAlignment="1">
      <alignment horizontal="center" vertical="center"/>
    </xf>
    <xf numFmtId="3" fontId="24" fillId="4" borderId="53" xfId="1" applyNumberFormat="1" applyFont="1" applyFill="1" applyBorder="1" applyAlignment="1">
      <alignment horizontal="center" vertical="center"/>
    </xf>
    <xf numFmtId="9" fontId="36" fillId="4" borderId="57" xfId="7" applyFont="1" applyFill="1" applyBorder="1" applyAlignment="1">
      <alignment horizontal="center" vertical="center"/>
    </xf>
    <xf numFmtId="4" fontId="65" fillId="4" borderId="63" xfId="1" applyNumberFormat="1" applyFont="1" applyFill="1" applyBorder="1" applyAlignment="1">
      <alignment horizontal="center" vertical="center"/>
    </xf>
    <xf numFmtId="9" fontId="67" fillId="0" borderId="57" xfId="7" applyFont="1" applyFill="1" applyBorder="1" applyAlignment="1">
      <alignment horizontal="center" vertical="center"/>
    </xf>
    <xf numFmtId="4" fontId="68" fillId="4" borderId="63" xfId="1" applyNumberFormat="1" applyFont="1" applyFill="1" applyBorder="1" applyAlignment="1">
      <alignment horizontal="center" vertical="center"/>
    </xf>
    <xf numFmtId="10" fontId="26" fillId="5" borderId="61" xfId="1" applyNumberFormat="1" applyFont="1" applyFill="1" applyBorder="1" applyAlignment="1">
      <alignment horizontal="center" vertical="center"/>
    </xf>
    <xf numFmtId="3" fontId="25" fillId="0" borderId="53" xfId="1" applyNumberFormat="1" applyFont="1" applyFill="1" applyBorder="1" applyAlignment="1">
      <alignment horizontal="center" vertical="center"/>
    </xf>
    <xf numFmtId="3" fontId="24" fillId="6" borderId="56" xfId="1" applyNumberFormat="1" applyFont="1" applyFill="1" applyBorder="1" applyAlignment="1">
      <alignment horizontal="center" vertical="center"/>
    </xf>
    <xf numFmtId="4" fontId="24" fillId="6" borderId="56" xfId="1" applyNumberFormat="1" applyFont="1" applyFill="1" applyBorder="1" applyAlignment="1">
      <alignment horizontal="center" vertical="center"/>
    </xf>
    <xf numFmtId="4" fontId="68" fillId="6" borderId="56" xfId="1" applyNumberFormat="1" applyFont="1" applyFill="1" applyBorder="1" applyAlignment="1">
      <alignment horizontal="center" vertical="center"/>
    </xf>
    <xf numFmtId="10" fontId="68" fillId="3" borderId="63" xfId="1" applyNumberFormat="1" applyFont="1" applyFill="1" applyBorder="1" applyAlignment="1">
      <alignment horizontal="center" vertical="center"/>
    </xf>
    <xf numFmtId="3" fontId="24" fillId="4" borderId="66" xfId="1" applyNumberFormat="1" applyFont="1" applyFill="1" applyBorder="1" applyAlignment="1">
      <alignment horizontal="center" vertical="center"/>
    </xf>
    <xf numFmtId="4" fontId="24" fillId="4" borderId="66" xfId="1" applyNumberFormat="1" applyFont="1" applyFill="1" applyBorder="1" applyAlignment="1">
      <alignment horizontal="center" vertical="center"/>
    </xf>
    <xf numFmtId="10" fontId="27" fillId="0" borderId="58" xfId="1" applyNumberFormat="1" applyFont="1" applyFill="1" applyBorder="1" applyAlignment="1">
      <alignment horizontal="center" vertical="center"/>
    </xf>
    <xf numFmtId="10" fontId="67" fillId="0" borderId="58" xfId="1" applyNumberFormat="1" applyFont="1" applyFill="1" applyBorder="1" applyAlignment="1">
      <alignment horizontal="center" vertical="center"/>
    </xf>
    <xf numFmtId="10" fontId="26" fillId="0" borderId="57" xfId="1" applyNumberFormat="1" applyFont="1" applyFill="1" applyBorder="1" applyAlignment="1">
      <alignment horizontal="center" vertical="center"/>
    </xf>
    <xf numFmtId="3" fontId="28" fillId="6" borderId="59" xfId="1" applyNumberFormat="1" applyFont="1" applyFill="1" applyBorder="1" applyAlignment="1">
      <alignment horizontal="center" vertical="center"/>
    </xf>
    <xf numFmtId="3" fontId="28" fillId="6" borderId="60" xfId="1" applyNumberFormat="1" applyFont="1" applyFill="1" applyBorder="1" applyAlignment="1">
      <alignment horizontal="center" vertical="center"/>
    </xf>
    <xf numFmtId="4" fontId="28" fillId="6" borderId="60" xfId="1" applyNumberFormat="1" applyFont="1" applyFill="1" applyBorder="1" applyAlignment="1">
      <alignment horizontal="center" vertical="center"/>
    </xf>
    <xf numFmtId="4" fontId="25" fillId="0" borderId="36" xfId="1" applyNumberFormat="1" applyFont="1" applyFill="1" applyBorder="1" applyAlignment="1">
      <alignment horizontal="center" vertical="center" wrapText="1"/>
    </xf>
    <xf numFmtId="9" fontId="36" fillId="0" borderId="20" xfId="7" applyFont="1" applyFill="1" applyBorder="1" applyAlignment="1">
      <alignment horizontal="center" vertical="center"/>
    </xf>
    <xf numFmtId="4" fontId="24" fillId="11" borderId="55" xfId="1" applyNumberFormat="1" applyFont="1" applyFill="1" applyBorder="1" applyAlignment="1">
      <alignment horizontal="center" vertical="center"/>
    </xf>
    <xf numFmtId="0" fontId="35" fillId="0" borderId="0" xfId="1" applyFont="1"/>
    <xf numFmtId="4" fontId="85" fillId="0" borderId="0" xfId="1" applyNumberFormat="1" applyFont="1" applyAlignment="1">
      <alignment horizontal="center" vertical="center"/>
    </xf>
    <xf numFmtId="4" fontId="86" fillId="0" borderId="0" xfId="1" applyNumberFormat="1" applyFont="1" applyAlignment="1">
      <alignment horizontal="center" vertical="center"/>
    </xf>
    <xf numFmtId="3" fontId="16" fillId="0" borderId="0" xfId="1" applyNumberFormat="1"/>
    <xf numFmtId="49" fontId="18" fillId="32" borderId="3" xfId="0" applyNumberFormat="1" applyFont="1" applyFill="1" applyBorder="1" applyAlignment="1">
      <alignment horizontal="center" vertical="center"/>
    </xf>
    <xf numFmtId="49" fontId="18" fillId="32" borderId="9" xfId="0" applyNumberFormat="1" applyFont="1" applyFill="1" applyBorder="1" applyAlignment="1">
      <alignment horizontal="center" vertical="center"/>
    </xf>
    <xf numFmtId="49" fontId="18" fillId="33" borderId="3" xfId="0" applyNumberFormat="1" applyFont="1" applyFill="1" applyBorder="1" applyAlignment="1">
      <alignment horizontal="center" vertical="center"/>
    </xf>
    <xf numFmtId="49" fontId="18" fillId="33" borderId="9" xfId="0" applyNumberFormat="1" applyFont="1" applyFill="1" applyBorder="1" applyAlignment="1">
      <alignment horizontal="center" vertical="center"/>
    </xf>
    <xf numFmtId="0" fontId="27" fillId="0" borderId="57" xfId="1" applyNumberFormat="1" applyFont="1" applyFill="1" applyBorder="1" applyAlignment="1">
      <alignment horizontal="center" vertical="center"/>
    </xf>
    <xf numFmtId="0" fontId="42" fillId="12" borderId="51" xfId="1" applyFont="1" applyFill="1" applyBorder="1" applyAlignment="1">
      <alignment horizontal="center" vertical="center" wrapText="1"/>
    </xf>
    <xf numFmtId="4" fontId="24" fillId="11" borderId="57" xfId="1" applyNumberFormat="1" applyFont="1" applyFill="1" applyBorder="1" applyAlignment="1">
      <alignment horizontal="center" vertical="center"/>
    </xf>
    <xf numFmtId="4" fontId="20" fillId="6" borderId="51" xfId="1" applyNumberFormat="1" applyFont="1" applyFill="1" applyBorder="1" applyAlignment="1">
      <alignment horizontal="center" vertical="center"/>
    </xf>
    <xf numFmtId="10" fontId="24" fillId="3" borderId="58" xfId="1" applyNumberFormat="1" applyFont="1" applyFill="1" applyBorder="1" applyAlignment="1">
      <alignment horizontal="center" vertical="center"/>
    </xf>
    <xf numFmtId="4" fontId="24" fillId="4" borderId="58" xfId="1" applyNumberFormat="1" applyFont="1" applyFill="1" applyBorder="1" applyAlignment="1">
      <alignment horizontal="center" vertical="center"/>
    </xf>
    <xf numFmtId="4" fontId="24" fillId="6" borderId="51" xfId="1" applyNumberFormat="1" applyFont="1" applyFill="1" applyBorder="1" applyAlignment="1">
      <alignment horizontal="center" vertical="center"/>
    </xf>
    <xf numFmtId="4" fontId="24" fillId="4" borderId="61" xfId="1" applyNumberFormat="1" applyFont="1" applyFill="1" applyBorder="1" applyAlignment="1">
      <alignment horizontal="center" vertical="center"/>
    </xf>
    <xf numFmtId="4" fontId="28" fillId="6" borderId="57" xfId="1" applyNumberFormat="1" applyFont="1" applyFill="1" applyBorder="1" applyAlignment="1">
      <alignment horizontal="center" vertical="center"/>
    </xf>
    <xf numFmtId="4" fontId="24" fillId="8" borderId="54" xfId="1" applyNumberFormat="1" applyFont="1" applyFill="1" applyBorder="1" applyAlignment="1">
      <alignment horizontal="center" vertical="center"/>
    </xf>
    <xf numFmtId="4" fontId="24" fillId="6" borderId="57" xfId="1" applyNumberFormat="1" applyFont="1" applyFill="1" applyBorder="1" applyAlignment="1">
      <alignment horizontal="center" vertical="center"/>
    </xf>
    <xf numFmtId="9" fontId="24" fillId="3" borderId="7" xfId="7" applyFont="1" applyFill="1" applyBorder="1" applyAlignment="1">
      <alignment horizontal="center" vertical="center"/>
    </xf>
    <xf numFmtId="3" fontId="25" fillId="0" borderId="63" xfId="1" applyNumberFormat="1" applyFont="1" applyFill="1" applyBorder="1" applyAlignment="1">
      <alignment horizontal="center" vertical="center"/>
    </xf>
    <xf numFmtId="3" fontId="25" fillId="0" borderId="7" xfId="1" applyNumberFormat="1" applyFont="1" applyFill="1" applyBorder="1" applyAlignment="1">
      <alignment horizontal="center" vertical="center"/>
    </xf>
    <xf numFmtId="10" fontId="27" fillId="0" borderId="66" xfId="1" applyNumberFormat="1" applyFont="1" applyFill="1" applyBorder="1" applyAlignment="1">
      <alignment horizontal="center" vertical="center"/>
    </xf>
    <xf numFmtId="10" fontId="26" fillId="5" borderId="66" xfId="1" applyNumberFormat="1" applyFont="1" applyFill="1" applyBorder="1" applyAlignment="1">
      <alignment horizontal="center" vertical="center"/>
    </xf>
    <xf numFmtId="166" fontId="26" fillId="0" borderId="66" xfId="6" applyFont="1" applyFill="1" applyBorder="1" applyAlignment="1">
      <alignment horizontal="center" vertical="center"/>
    </xf>
    <xf numFmtId="10" fontId="27" fillId="0" borderId="63" xfId="1" applyNumberFormat="1" applyFont="1" applyFill="1" applyBorder="1" applyAlignment="1">
      <alignment horizontal="center" vertical="center"/>
    </xf>
    <xf numFmtId="10" fontId="26" fillId="0" borderId="60" xfId="1" applyNumberFormat="1" applyFont="1" applyFill="1" applyBorder="1" applyAlignment="1">
      <alignment horizontal="center" vertical="center"/>
    </xf>
    <xf numFmtId="3" fontId="24" fillId="6" borderId="66" xfId="1" applyNumberFormat="1" applyFont="1" applyFill="1" applyBorder="1" applyAlignment="1">
      <alignment horizontal="center" vertical="center"/>
    </xf>
    <xf numFmtId="4" fontId="25" fillId="27" borderId="52" xfId="1" applyNumberFormat="1" applyFont="1" applyFill="1" applyBorder="1" applyAlignment="1">
      <alignment horizontal="center" vertical="center"/>
    </xf>
    <xf numFmtId="3" fontId="25" fillId="0" borderId="52" xfId="1" applyNumberFormat="1" applyFont="1" applyFill="1" applyBorder="1" applyAlignment="1">
      <alignment horizontal="center" vertical="center" wrapText="1"/>
    </xf>
    <xf numFmtId="3" fontId="25" fillId="0" borderId="36" xfId="1" applyNumberFormat="1" applyFont="1" applyFill="1" applyBorder="1" applyAlignment="1">
      <alignment horizontal="center" vertical="center" wrapText="1"/>
    </xf>
    <xf numFmtId="10" fontId="65" fillId="3" borderId="62" xfId="1" applyNumberFormat="1" applyFont="1" applyFill="1" applyBorder="1" applyAlignment="1">
      <alignment horizontal="center" vertical="center"/>
    </xf>
    <xf numFmtId="3" fontId="25" fillId="0" borderId="0" xfId="1" applyNumberFormat="1" applyFont="1" applyFill="1" applyBorder="1" applyAlignment="1">
      <alignment horizontal="center" vertical="center" wrapText="1"/>
    </xf>
    <xf numFmtId="10" fontId="26" fillId="0" borderId="9" xfId="1" applyNumberFormat="1" applyFont="1" applyFill="1" applyBorder="1" applyAlignment="1">
      <alignment horizontal="center" vertical="center"/>
    </xf>
    <xf numFmtId="0" fontId="26" fillId="0" borderId="52" xfId="1" applyNumberFormat="1" applyFont="1" applyFill="1" applyBorder="1" applyAlignment="1">
      <alignment horizontal="center" vertical="center"/>
    </xf>
    <xf numFmtId="3" fontId="25" fillId="27" borderId="52" xfId="1" applyNumberFormat="1" applyFont="1" applyFill="1" applyBorder="1" applyAlignment="1">
      <alignment horizontal="center" vertical="center" wrapText="1"/>
    </xf>
    <xf numFmtId="0" fontId="86" fillId="0" borderId="0" xfId="1" applyFont="1" applyAlignment="1">
      <alignment horizontal="right" vertical="center"/>
    </xf>
    <xf numFmtId="4" fontId="88" fillId="0" borderId="0" xfId="1" applyNumberFormat="1" applyFont="1" applyAlignment="1">
      <alignment horizontal="left" vertical="center"/>
    </xf>
    <xf numFmtId="0" fontId="86" fillId="0" borderId="0" xfId="1" applyFont="1" applyAlignment="1">
      <alignment horizontal="right" vertical="center" wrapText="1"/>
    </xf>
    <xf numFmtId="0" fontId="32" fillId="12" borderId="56" xfId="1" applyFont="1" applyFill="1" applyBorder="1" applyAlignment="1">
      <alignment horizontal="center" vertical="center"/>
    </xf>
    <xf numFmtId="0" fontId="33" fillId="11" borderId="55" xfId="1" applyFont="1" applyFill="1" applyBorder="1" applyAlignment="1">
      <alignment horizontal="center" vertical="center" wrapText="1"/>
    </xf>
    <xf numFmtId="0" fontId="33" fillId="11" borderId="56" xfId="1" applyFont="1" applyFill="1" applyBorder="1" applyAlignment="1">
      <alignment horizontal="center" vertical="center" wrapText="1"/>
    </xf>
    <xf numFmtId="3" fontId="25" fillId="0" borderId="64" xfId="1" applyNumberFormat="1" applyFont="1" applyFill="1" applyBorder="1" applyAlignment="1">
      <alignment horizontal="center" vertical="center"/>
    </xf>
    <xf numFmtId="4" fontId="25" fillId="0" borderId="20" xfId="1" applyNumberFormat="1" applyFont="1" applyFill="1" applyBorder="1" applyAlignment="1">
      <alignment horizontal="center" vertical="center" wrapText="1"/>
    </xf>
    <xf numFmtId="4" fontId="25" fillId="0" borderId="29" xfId="1" applyNumberFormat="1" applyFont="1" applyFill="1" applyBorder="1" applyAlignment="1">
      <alignment horizontal="center" vertical="center"/>
    </xf>
    <xf numFmtId="4" fontId="25" fillId="0" borderId="33" xfId="1" applyNumberFormat="1" applyFont="1" applyFill="1" applyBorder="1" applyAlignment="1">
      <alignment horizontal="center" vertical="center" wrapText="1"/>
    </xf>
    <xf numFmtId="9" fontId="26" fillId="0" borderId="24" xfId="7" applyFont="1" applyFill="1" applyBorder="1" applyAlignment="1">
      <alignment horizontal="center" vertical="center"/>
    </xf>
    <xf numFmtId="0" fontId="26" fillId="0" borderId="24" xfId="1" applyNumberFormat="1" applyFont="1" applyFill="1" applyBorder="1" applyAlignment="1">
      <alignment horizontal="center" vertical="center"/>
    </xf>
    <xf numFmtId="4" fontId="35" fillId="6" borderId="55" xfId="1" applyNumberFormat="1" applyFont="1" applyFill="1" applyBorder="1" applyAlignment="1">
      <alignment horizontal="center" vertical="center"/>
    </xf>
    <xf numFmtId="10" fontId="65" fillId="0" borderId="32" xfId="1" applyNumberFormat="1" applyFont="1" applyFill="1" applyBorder="1" applyAlignment="1">
      <alignment horizontal="center" vertical="center"/>
    </xf>
    <xf numFmtId="10" fontId="26" fillId="5" borderId="32" xfId="1" applyNumberFormat="1" applyFont="1" applyFill="1" applyBorder="1" applyAlignment="1">
      <alignment horizontal="center" vertical="center"/>
    </xf>
    <xf numFmtId="9" fontId="19" fillId="0" borderId="24" xfId="7" applyFont="1" applyFill="1" applyBorder="1" applyAlignment="1">
      <alignment horizontal="center" vertical="center"/>
    </xf>
    <xf numFmtId="10" fontId="65" fillId="4" borderId="24" xfId="1" applyNumberFormat="1" applyFont="1" applyFill="1" applyBorder="1" applyAlignment="1">
      <alignment horizontal="center" vertical="center"/>
    </xf>
    <xf numFmtId="4" fontId="65" fillId="6" borderId="55" xfId="1" applyNumberFormat="1" applyFont="1" applyFill="1" applyBorder="1" applyAlignment="1">
      <alignment horizontal="center" vertical="center"/>
    </xf>
    <xf numFmtId="4" fontId="65" fillId="4" borderId="65" xfId="1" applyNumberFormat="1" applyFont="1" applyFill="1" applyBorder="1" applyAlignment="1">
      <alignment horizontal="center" vertical="center"/>
    </xf>
    <xf numFmtId="0" fontId="26" fillId="0" borderId="33" xfId="1" applyNumberFormat="1" applyFont="1" applyFill="1" applyBorder="1" applyAlignment="1">
      <alignment horizontal="center" vertical="center"/>
    </xf>
    <xf numFmtId="4" fontId="65" fillId="6" borderId="59" xfId="1" applyNumberFormat="1" applyFont="1" applyFill="1" applyBorder="1" applyAlignment="1">
      <alignment horizontal="center" vertical="center"/>
    </xf>
    <xf numFmtId="4" fontId="65" fillId="8" borderId="22" xfId="1" applyNumberFormat="1" applyFont="1" applyFill="1" applyBorder="1" applyAlignment="1">
      <alignment horizontal="center" vertical="center"/>
    </xf>
    <xf numFmtId="0" fontId="26" fillId="0" borderId="19" xfId="1" applyNumberFormat="1" applyFont="1" applyFill="1" applyBorder="1" applyAlignment="1">
      <alignment horizontal="center" vertical="center"/>
    </xf>
    <xf numFmtId="10" fontId="65" fillId="3" borderId="65" xfId="1" applyNumberFormat="1" applyFont="1" applyFill="1" applyBorder="1" applyAlignment="1">
      <alignment horizontal="center" vertical="center"/>
    </xf>
    <xf numFmtId="0" fontId="26" fillId="0" borderId="57" xfId="1" applyNumberFormat="1" applyFont="1" applyFill="1" applyBorder="1" applyAlignment="1">
      <alignment horizontal="center" vertical="center"/>
    </xf>
    <xf numFmtId="10" fontId="65" fillId="4" borderId="57" xfId="1" applyNumberFormat="1" applyFont="1" applyFill="1" applyBorder="1" applyAlignment="1">
      <alignment horizontal="center" vertical="center"/>
    </xf>
    <xf numFmtId="166" fontId="19" fillId="0" borderId="61" xfId="6" applyFont="1" applyFill="1" applyBorder="1" applyAlignment="1">
      <alignment horizontal="center" vertical="center"/>
    </xf>
    <xf numFmtId="4" fontId="65" fillId="6" borderId="56" xfId="1" applyNumberFormat="1" applyFont="1" applyFill="1" applyBorder="1" applyAlignment="1">
      <alignment horizontal="center" vertical="center"/>
    </xf>
    <xf numFmtId="4" fontId="65" fillId="4" borderId="66" xfId="1" applyNumberFormat="1" applyFont="1" applyFill="1" applyBorder="1" applyAlignment="1">
      <alignment horizontal="center" vertical="center"/>
    </xf>
    <xf numFmtId="4" fontId="65" fillId="6" borderId="60" xfId="1" applyNumberFormat="1" applyFont="1" applyFill="1" applyBorder="1" applyAlignment="1">
      <alignment horizontal="center" vertical="center"/>
    </xf>
    <xf numFmtId="4" fontId="65" fillId="8" borderId="67" xfId="1" applyNumberFormat="1" applyFont="1" applyFill="1" applyBorder="1" applyAlignment="1">
      <alignment horizontal="center" vertical="center"/>
    </xf>
    <xf numFmtId="0" fontId="26" fillId="0" borderId="58" xfId="1" applyNumberFormat="1" applyFont="1" applyFill="1" applyBorder="1" applyAlignment="1">
      <alignment horizontal="center" vertical="center"/>
    </xf>
    <xf numFmtId="10" fontId="65" fillId="3" borderId="66" xfId="1" applyNumberFormat="1" applyFont="1" applyFill="1" applyBorder="1" applyAlignment="1">
      <alignment horizontal="center" vertical="center"/>
    </xf>
    <xf numFmtId="17" fontId="55" fillId="0" borderId="0" xfId="0" applyNumberFormat="1" applyFont="1" applyAlignment="1">
      <alignment horizontal="center" vertical="center"/>
    </xf>
    <xf numFmtId="3" fontId="89" fillId="0" borderId="0" xfId="0" applyNumberFormat="1" applyFont="1" applyAlignment="1">
      <alignment horizontal="center" vertical="center"/>
    </xf>
    <xf numFmtId="4" fontId="90" fillId="0" borderId="0" xfId="1" applyNumberFormat="1" applyFont="1" applyAlignment="1">
      <alignment horizontal="center" vertical="center"/>
    </xf>
    <xf numFmtId="49" fontId="18" fillId="34" borderId="3" xfId="0" applyNumberFormat="1" applyFont="1" applyFill="1" applyBorder="1" applyAlignment="1">
      <alignment horizontal="center" vertical="center"/>
    </xf>
    <xf numFmtId="49" fontId="18" fillId="34" borderId="9" xfId="0" applyNumberFormat="1" applyFont="1" applyFill="1" applyBorder="1" applyAlignment="1">
      <alignment horizontal="center" vertical="center"/>
    </xf>
    <xf numFmtId="3" fontId="25" fillId="0" borderId="68" xfId="1" applyNumberFormat="1" applyFont="1" applyFill="1" applyBorder="1" applyAlignment="1">
      <alignment horizontal="center" vertical="center" wrapText="1"/>
    </xf>
    <xf numFmtId="4" fontId="91" fillId="6" borderId="56" xfId="1" applyNumberFormat="1" applyFont="1" applyFill="1" applyBorder="1" applyAlignment="1">
      <alignment horizontal="center" vertical="center"/>
    </xf>
    <xf numFmtId="10" fontId="92" fillId="3" borderId="62" xfId="1" applyNumberFormat="1" applyFont="1" applyFill="1" applyBorder="1" applyAlignment="1">
      <alignment horizontal="center" vertical="center"/>
    </xf>
    <xf numFmtId="10" fontId="92" fillId="0" borderId="61" xfId="1" applyNumberFormat="1" applyFont="1" applyFill="1" applyBorder="1" applyAlignment="1">
      <alignment horizontal="center" vertical="center"/>
    </xf>
    <xf numFmtId="4" fontId="92" fillId="4" borderId="62" xfId="1" applyNumberFormat="1" applyFont="1" applyFill="1" applyBorder="1" applyAlignment="1">
      <alignment horizontal="center" vertical="center"/>
    </xf>
    <xf numFmtId="10" fontId="26" fillId="0" borderId="33" xfId="1" applyNumberFormat="1" applyFont="1" applyFill="1" applyBorder="1" applyAlignment="1">
      <alignment horizontal="center" vertical="center"/>
    </xf>
    <xf numFmtId="10" fontId="26" fillId="0" borderId="0" xfId="1" applyNumberFormat="1" applyFont="1" applyFill="1" applyBorder="1" applyAlignment="1">
      <alignment horizontal="center" vertical="center"/>
    </xf>
    <xf numFmtId="4" fontId="91" fillId="6" borderId="55" xfId="1" applyNumberFormat="1" applyFont="1" applyFill="1" applyBorder="1" applyAlignment="1">
      <alignment horizontal="center" vertical="center"/>
    </xf>
    <xf numFmtId="10" fontId="92" fillId="0" borderId="32" xfId="1" applyNumberFormat="1" applyFont="1" applyFill="1" applyBorder="1" applyAlignment="1">
      <alignment horizontal="center" vertical="center"/>
    </xf>
    <xf numFmtId="3" fontId="25" fillId="0" borderId="73" xfId="1" applyNumberFormat="1" applyFont="1" applyFill="1" applyBorder="1" applyAlignment="1">
      <alignment horizontal="center" vertical="center" wrapText="1"/>
    </xf>
    <xf numFmtId="10" fontId="26" fillId="5" borderId="0" xfId="1" applyNumberFormat="1" applyFont="1" applyFill="1" applyBorder="1" applyAlignment="1">
      <alignment horizontal="center" vertical="center"/>
    </xf>
    <xf numFmtId="9" fontId="26" fillId="0" borderId="33" xfId="7" applyFont="1" applyFill="1" applyBorder="1" applyAlignment="1">
      <alignment horizontal="center" vertical="center"/>
    </xf>
    <xf numFmtId="10" fontId="27" fillId="0" borderId="33" xfId="1" applyNumberFormat="1" applyFont="1" applyFill="1" applyBorder="1" applyAlignment="1">
      <alignment horizontal="center" vertical="center"/>
    </xf>
    <xf numFmtId="0" fontId="27" fillId="0" borderId="33" xfId="1" applyNumberFormat="1" applyFont="1" applyFill="1" applyBorder="1" applyAlignment="1">
      <alignment horizontal="center" vertical="center"/>
    </xf>
    <xf numFmtId="4" fontId="24" fillId="8" borderId="22" xfId="1" applyNumberFormat="1" applyFont="1" applyFill="1" applyBorder="1" applyAlignment="1">
      <alignment horizontal="center" vertical="center"/>
    </xf>
    <xf numFmtId="0" fontId="33" fillId="12" borderId="51" xfId="1" applyFont="1" applyFill="1" applyBorder="1" applyAlignment="1">
      <alignment horizontal="center" vertical="center" wrapText="1"/>
    </xf>
    <xf numFmtId="4" fontId="65" fillId="11" borderId="24" xfId="1" applyNumberFormat="1" applyFont="1" applyFill="1" applyBorder="1" applyAlignment="1">
      <alignment horizontal="center" vertical="center"/>
    </xf>
    <xf numFmtId="4" fontId="35" fillId="6" borderId="51" xfId="1" applyNumberFormat="1" applyFont="1" applyFill="1" applyBorder="1" applyAlignment="1">
      <alignment horizontal="center" vertical="center"/>
    </xf>
    <xf numFmtId="10" fontId="65" fillId="3" borderId="19" xfId="1" applyNumberFormat="1" applyFont="1" applyFill="1" applyBorder="1" applyAlignment="1">
      <alignment horizontal="center" vertical="center"/>
    </xf>
    <xf numFmtId="4" fontId="65" fillId="4" borderId="19" xfId="1" applyNumberFormat="1" applyFont="1" applyFill="1" applyBorder="1" applyAlignment="1">
      <alignment horizontal="center" vertical="center"/>
    </xf>
    <xf numFmtId="4" fontId="24" fillId="6" borderId="1" xfId="1" applyNumberFormat="1" applyFont="1" applyFill="1" applyBorder="1" applyAlignment="1">
      <alignment horizontal="center" vertical="center"/>
    </xf>
    <xf numFmtId="10" fontId="24" fillId="3" borderId="19" xfId="1" applyNumberFormat="1" applyFont="1" applyFill="1" applyBorder="1" applyAlignment="1">
      <alignment horizontal="center" vertical="center"/>
    </xf>
    <xf numFmtId="4" fontId="24" fillId="4" borderId="32" xfId="1" applyNumberFormat="1" applyFont="1" applyFill="1" applyBorder="1" applyAlignment="1">
      <alignment horizontal="center" vertical="center"/>
    </xf>
    <xf numFmtId="4" fontId="28" fillId="6" borderId="24" xfId="1" applyNumberFormat="1" applyFont="1" applyFill="1" applyBorder="1" applyAlignment="1">
      <alignment horizontal="center" vertical="center"/>
    </xf>
    <xf numFmtId="10" fontId="24" fillId="3" borderId="32" xfId="1" applyNumberFormat="1" applyFont="1" applyFill="1" applyBorder="1" applyAlignment="1">
      <alignment horizontal="center" vertical="center"/>
    </xf>
    <xf numFmtId="4" fontId="25" fillId="0" borderId="53" xfId="1" applyNumberFormat="1" applyFont="1" applyFill="1" applyBorder="1" applyAlignment="1">
      <alignment horizontal="center" vertical="center" wrapText="1"/>
    </xf>
    <xf numFmtId="3" fontId="25" fillId="0" borderId="53" xfId="1" applyNumberFormat="1" applyFont="1" applyFill="1" applyBorder="1" applyAlignment="1">
      <alignment horizontal="center" vertical="center" wrapText="1"/>
    </xf>
    <xf numFmtId="9" fontId="26" fillId="0" borderId="53" xfId="7" applyFont="1" applyFill="1" applyBorder="1" applyAlignment="1">
      <alignment horizontal="center" vertical="center"/>
    </xf>
    <xf numFmtId="3" fontId="25" fillId="0" borderId="6" xfId="1" applyNumberFormat="1" applyFont="1" applyFill="1" applyBorder="1" applyAlignment="1">
      <alignment horizontal="center" vertical="center" wrapText="1"/>
    </xf>
    <xf numFmtId="10" fontId="26" fillId="0" borderId="6" xfId="1" applyNumberFormat="1" applyFont="1" applyFill="1" applyBorder="1" applyAlignment="1">
      <alignment horizontal="center" vertical="center"/>
    </xf>
    <xf numFmtId="10" fontId="92" fillId="3" borderId="63" xfId="1" applyNumberFormat="1" applyFont="1" applyFill="1" applyBorder="1" applyAlignment="1">
      <alignment horizontal="center" vertical="center"/>
    </xf>
    <xf numFmtId="10" fontId="92" fillId="0" borderId="66" xfId="1" applyNumberFormat="1" applyFont="1" applyFill="1" applyBorder="1" applyAlignment="1">
      <alignment horizontal="center" vertical="center"/>
    </xf>
    <xf numFmtId="4" fontId="92" fillId="4" borderId="63" xfId="1" applyNumberFormat="1" applyFont="1" applyFill="1" applyBorder="1" applyAlignment="1">
      <alignment horizontal="center" vertical="center"/>
    </xf>
    <xf numFmtId="10" fontId="26" fillId="0" borderId="7" xfId="1" applyNumberFormat="1" applyFont="1" applyFill="1" applyBorder="1" applyAlignment="1">
      <alignment horizontal="center" vertical="center"/>
    </xf>
    <xf numFmtId="0" fontId="26" fillId="0" borderId="53" xfId="1" applyNumberFormat="1" applyFont="1" applyFill="1" applyBorder="1" applyAlignment="1">
      <alignment horizontal="center" vertical="center"/>
    </xf>
    <xf numFmtId="10" fontId="26" fillId="5" borderId="6" xfId="1" applyNumberFormat="1" applyFont="1" applyFill="1" applyBorder="1" applyAlignment="1">
      <alignment horizontal="center" vertical="center"/>
    </xf>
    <xf numFmtId="9" fontId="27" fillId="0" borderId="53" xfId="7" applyFont="1" applyFill="1" applyBorder="1" applyAlignment="1">
      <alignment horizontal="center" vertical="center"/>
    </xf>
    <xf numFmtId="10" fontId="24" fillId="4" borderId="67" xfId="1" applyNumberFormat="1" applyFont="1" applyFill="1" applyBorder="1" applyAlignment="1">
      <alignment horizontal="center" vertical="center"/>
    </xf>
    <xf numFmtId="10" fontId="27" fillId="0" borderId="53" xfId="1" applyNumberFormat="1" applyFont="1" applyFill="1" applyBorder="1" applyAlignment="1">
      <alignment horizontal="center" vertical="center"/>
    </xf>
    <xf numFmtId="0" fontId="27" fillId="0" borderId="53" xfId="1" applyNumberFormat="1" applyFont="1" applyFill="1" applyBorder="1" applyAlignment="1">
      <alignment horizontal="center" vertical="center"/>
    </xf>
    <xf numFmtId="0" fontId="19" fillId="0" borderId="63" xfId="1" applyFont="1" applyBorder="1" applyAlignment="1">
      <alignment vertical="center" wrapText="1"/>
    </xf>
    <xf numFmtId="0" fontId="19" fillId="0" borderId="53" xfId="1" applyFont="1" applyBorder="1" applyAlignment="1">
      <alignment vertical="center" wrapText="1"/>
    </xf>
    <xf numFmtId="49" fontId="18" fillId="34" borderId="12" xfId="0" applyNumberFormat="1" applyFont="1" applyFill="1" applyBorder="1" applyAlignment="1">
      <alignment horizontal="center" vertical="center"/>
    </xf>
    <xf numFmtId="49" fontId="18" fillId="34" borderId="20" xfId="0" applyNumberFormat="1" applyFont="1" applyFill="1" applyBorder="1" applyAlignment="1">
      <alignment horizontal="center" vertical="center"/>
    </xf>
    <xf numFmtId="3" fontId="25" fillId="0" borderId="24" xfId="1" applyNumberFormat="1" applyFont="1" applyFill="1" applyBorder="1" applyAlignment="1">
      <alignment horizontal="center" vertical="center" wrapText="1"/>
    </xf>
    <xf numFmtId="9" fontId="26" fillId="0" borderId="32" xfId="7" applyFont="1" applyFill="1" applyBorder="1" applyAlignment="1">
      <alignment horizontal="center" vertical="center"/>
    </xf>
    <xf numFmtId="10" fontId="24" fillId="4" borderId="24" xfId="1" applyNumberFormat="1" applyFont="1" applyFill="1" applyBorder="1" applyAlignment="1">
      <alignment horizontal="center" vertical="center"/>
    </xf>
    <xf numFmtId="0" fontId="27" fillId="0" borderId="24" xfId="1" applyNumberFormat="1" applyFont="1" applyFill="1" applyBorder="1" applyAlignment="1">
      <alignment horizontal="center" vertical="center"/>
    </xf>
    <xf numFmtId="0" fontId="27" fillId="0" borderId="19" xfId="1" applyNumberFormat="1" applyFont="1" applyFill="1" applyBorder="1" applyAlignment="1">
      <alignment horizontal="center" vertical="center"/>
    </xf>
    <xf numFmtId="4" fontId="91" fillId="6" borderId="51" xfId="1" applyNumberFormat="1" applyFont="1" applyFill="1" applyBorder="1" applyAlignment="1">
      <alignment horizontal="center" vertical="center"/>
    </xf>
    <xf numFmtId="10" fontId="92" fillId="3" borderId="19" xfId="1" applyNumberFormat="1" applyFont="1" applyFill="1" applyBorder="1" applyAlignment="1">
      <alignment horizontal="center" vertical="center"/>
    </xf>
    <xf numFmtId="4" fontId="92" fillId="4" borderId="19" xfId="1" applyNumberFormat="1" applyFont="1" applyFill="1" applyBorder="1" applyAlignment="1">
      <alignment horizontal="center" vertical="center"/>
    </xf>
    <xf numFmtId="3" fontId="25" fillId="0" borderId="74" xfId="1" applyNumberFormat="1" applyFont="1" applyFill="1" applyBorder="1" applyAlignment="1">
      <alignment horizontal="center" vertical="center" wrapText="1"/>
    </xf>
    <xf numFmtId="4" fontId="65" fillId="11" borderId="57" xfId="1" applyNumberFormat="1" applyFont="1" applyFill="1" applyBorder="1" applyAlignment="1">
      <alignment horizontal="center" vertical="center"/>
    </xf>
    <xf numFmtId="10" fontId="65" fillId="3" borderId="58" xfId="1" applyNumberFormat="1" applyFont="1" applyFill="1" applyBorder="1" applyAlignment="1">
      <alignment horizontal="center" vertical="center"/>
    </xf>
    <xf numFmtId="4" fontId="65" fillId="4" borderId="58" xfId="1" applyNumberFormat="1" applyFont="1" applyFill="1" applyBorder="1" applyAlignment="1">
      <alignment horizontal="center" vertical="center"/>
    </xf>
    <xf numFmtId="3" fontId="25" fillId="0" borderId="4" xfId="1" applyNumberFormat="1" applyFont="1" applyFill="1" applyBorder="1" applyAlignment="1">
      <alignment horizontal="center" vertical="center" wrapText="1"/>
    </xf>
    <xf numFmtId="3" fontId="25" fillId="0" borderId="69" xfId="1" applyNumberFormat="1" applyFont="1" applyFill="1" applyBorder="1" applyAlignment="1">
      <alignment horizontal="center" vertical="center" wrapText="1"/>
    </xf>
    <xf numFmtId="10" fontId="26" fillId="0" borderId="8" xfId="1" applyNumberFormat="1" applyFont="1" applyFill="1" applyBorder="1" applyAlignment="1">
      <alignment horizontal="center" vertical="center"/>
    </xf>
    <xf numFmtId="10" fontId="24" fillId="4" borderId="22" xfId="1" applyNumberFormat="1" applyFont="1" applyFill="1" applyBorder="1" applyAlignment="1">
      <alignment horizontal="center" vertical="center"/>
    </xf>
    <xf numFmtId="10" fontId="24" fillId="4" borderId="54" xfId="1" applyNumberFormat="1" applyFont="1" applyFill="1" applyBorder="1" applyAlignment="1">
      <alignment horizontal="center" vertical="center"/>
    </xf>
    <xf numFmtId="10" fontId="24" fillId="3" borderId="61" xfId="1" applyNumberFormat="1" applyFont="1" applyFill="1" applyBorder="1" applyAlignment="1">
      <alignment horizontal="center" vertical="center"/>
    </xf>
    <xf numFmtId="0" fontId="22" fillId="0" borderId="5" xfId="1" applyFont="1" applyBorder="1" applyAlignment="1">
      <alignment horizontal="center" vertical="center"/>
    </xf>
    <xf numFmtId="0" fontId="22" fillId="0" borderId="7" xfId="1" applyFont="1" applyBorder="1" applyAlignment="1">
      <alignment horizontal="center" vertical="center"/>
    </xf>
    <xf numFmtId="0" fontId="19" fillId="0" borderId="32" xfId="1" applyFont="1" applyFill="1" applyBorder="1" applyAlignment="1">
      <alignment vertical="center"/>
    </xf>
    <xf numFmtId="3" fontId="27" fillId="0" borderId="66" xfId="1" applyNumberFormat="1" applyFont="1" applyFill="1" applyBorder="1" applyAlignment="1">
      <alignment horizontal="center" vertical="center"/>
    </xf>
    <xf numFmtId="3" fontId="27" fillId="0" borderId="61" xfId="1" applyNumberFormat="1" applyFont="1" applyFill="1" applyBorder="1" applyAlignment="1">
      <alignment horizontal="center" vertical="center"/>
    </xf>
    <xf numFmtId="10" fontId="36" fillId="0" borderId="61" xfId="1" applyNumberFormat="1" applyFont="1" applyFill="1" applyBorder="1" applyAlignment="1">
      <alignment horizontal="center" vertical="center"/>
    </xf>
    <xf numFmtId="9" fontId="36" fillId="0" borderId="20" xfId="7" applyFont="1" applyFill="1" applyBorder="1" applyAlignment="1">
      <alignment horizontal="center" vertical="center" wrapText="1"/>
    </xf>
    <xf numFmtId="4" fontId="16" fillId="0" borderId="0" xfId="1" applyNumberFormat="1" applyAlignment="1">
      <alignment horizontal="left" vertical="center"/>
    </xf>
    <xf numFmtId="0" fontId="19" fillId="0" borderId="29" xfId="1" applyFont="1" applyBorder="1" applyAlignment="1">
      <alignment horizontal="left" vertical="center" wrapText="1"/>
    </xf>
    <xf numFmtId="0" fontId="24" fillId="11" borderId="2" xfId="1" applyFont="1" applyFill="1" applyBorder="1" applyAlignment="1">
      <alignment vertical="center" wrapText="1"/>
    </xf>
    <xf numFmtId="0" fontId="19" fillId="0" borderId="23" xfId="1" applyFont="1" applyBorder="1" applyAlignment="1">
      <alignment vertical="center" wrapText="1"/>
    </xf>
    <xf numFmtId="0" fontId="55" fillId="12" borderId="32" xfId="0" applyFont="1" applyFill="1" applyBorder="1" applyAlignment="1">
      <alignment wrapText="1"/>
    </xf>
    <xf numFmtId="3" fontId="55" fillId="12" borderId="32" xfId="0" applyNumberFormat="1" applyFont="1" applyFill="1" applyBorder="1" applyAlignment="1">
      <alignment horizontal="right" vertical="center"/>
    </xf>
    <xf numFmtId="4" fontId="25" fillId="0" borderId="72" xfId="1" applyNumberFormat="1" applyFont="1" applyFill="1" applyBorder="1" applyAlignment="1">
      <alignment horizontal="center" vertical="center"/>
    </xf>
    <xf numFmtId="4" fontId="84" fillId="0" borderId="52" xfId="1" applyNumberFormat="1" applyFont="1" applyFill="1" applyBorder="1" applyAlignment="1">
      <alignment horizontal="center" vertical="center"/>
    </xf>
    <xf numFmtId="3" fontId="24" fillId="4" borderId="55" xfId="1" applyNumberFormat="1" applyFont="1" applyFill="1" applyBorder="1" applyAlignment="1">
      <alignment horizontal="center" vertical="center"/>
    </xf>
    <xf numFmtId="4" fontId="24" fillId="4" borderId="56" xfId="1" applyNumberFormat="1" applyFont="1" applyFill="1" applyBorder="1" applyAlignment="1">
      <alignment horizontal="center" vertical="center"/>
    </xf>
    <xf numFmtId="9" fontId="36" fillId="4" borderId="51" xfId="7" applyFont="1" applyFill="1" applyBorder="1" applyAlignment="1">
      <alignment horizontal="center" vertical="center"/>
    </xf>
    <xf numFmtId="166" fontId="24" fillId="4" borderId="51" xfId="6" applyFont="1" applyFill="1" applyBorder="1" applyAlignment="1">
      <alignment horizontal="center" vertical="center"/>
    </xf>
    <xf numFmtId="10" fontId="24" fillId="4" borderId="51" xfId="1" applyNumberFormat="1" applyFont="1" applyFill="1" applyBorder="1" applyAlignment="1">
      <alignment horizontal="center" vertical="center"/>
    </xf>
    <xf numFmtId="166" fontId="19" fillId="0" borderId="20" xfId="6" applyFont="1" applyFill="1" applyBorder="1" applyAlignment="1">
      <alignment horizontal="center" vertical="center"/>
    </xf>
    <xf numFmtId="4" fontId="20" fillId="0" borderId="0" xfId="1" applyNumberFormat="1" applyFont="1"/>
    <xf numFmtId="3" fontId="24" fillId="4" borderId="56" xfId="1" applyNumberFormat="1" applyFont="1" applyFill="1" applyBorder="1" applyAlignment="1">
      <alignment horizontal="center" vertical="center"/>
    </xf>
    <xf numFmtId="4" fontId="86" fillId="0" borderId="0" xfId="1" applyNumberFormat="1" applyFont="1" applyAlignment="1">
      <alignment horizontal="left" vertical="center"/>
    </xf>
    <xf numFmtId="49" fontId="18" fillId="36" borderId="3" xfId="0" applyNumberFormat="1" applyFont="1" applyFill="1" applyBorder="1" applyAlignment="1">
      <alignment horizontal="center" vertical="center"/>
    </xf>
    <xf numFmtId="49" fontId="18" fillId="36" borderId="9" xfId="0" applyNumberFormat="1" applyFont="1" applyFill="1" applyBorder="1" applyAlignment="1">
      <alignment horizontal="center" vertical="center"/>
    </xf>
    <xf numFmtId="0" fontId="19" fillId="0" borderId="22" xfId="1" applyFont="1" applyBorder="1" applyAlignment="1">
      <alignment horizontal="left" vertical="center"/>
    </xf>
    <xf numFmtId="9" fontId="26" fillId="0" borderId="7" xfId="7" applyFont="1" applyFill="1" applyBorder="1" applyAlignment="1">
      <alignment horizontal="center" vertical="center"/>
    </xf>
    <xf numFmtId="3" fontId="25" fillId="0" borderId="20" xfId="1" applyNumberFormat="1" applyFont="1" applyFill="1" applyBorder="1" applyAlignment="1">
      <alignment horizontal="center" vertical="center" wrapText="1"/>
    </xf>
    <xf numFmtId="9" fontId="26" fillId="0" borderId="20" xfId="7" applyFont="1" applyFill="1" applyBorder="1" applyAlignment="1">
      <alignment horizontal="center" vertical="center"/>
    </xf>
    <xf numFmtId="9" fontId="36" fillId="0" borderId="36" xfId="7"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3" fontId="64" fillId="0" borderId="30" xfId="1" applyNumberFormat="1" applyFont="1" applyFill="1" applyBorder="1" applyAlignment="1">
      <alignment horizontal="center" vertical="center" wrapText="1"/>
    </xf>
    <xf numFmtId="9" fontId="64" fillId="0" borderId="14" xfId="7"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9" fontId="64" fillId="0" borderId="14" xfId="7" applyFont="1" applyFill="1" applyBorder="1" applyAlignment="1">
      <alignment horizontal="center" vertical="center" wrapText="1"/>
    </xf>
    <xf numFmtId="9" fontId="96" fillId="0" borderId="52" xfId="7" applyFont="1" applyFill="1" applyBorder="1" applyAlignment="1">
      <alignment horizontal="center" vertical="center" wrapText="1"/>
    </xf>
    <xf numFmtId="3" fontId="25" fillId="0" borderId="58" xfId="1" applyNumberFormat="1" applyFont="1" applyFill="1" applyBorder="1" applyAlignment="1">
      <alignment horizontal="center" vertical="center" wrapText="1"/>
    </xf>
    <xf numFmtId="9" fontId="66" fillId="0" borderId="57" xfId="7" applyFont="1" applyFill="1" applyBorder="1" applyAlignment="1">
      <alignment horizontal="center" vertical="center" wrapText="1"/>
    </xf>
    <xf numFmtId="9" fontId="27" fillId="0" borderId="20" xfId="7" applyFont="1" applyFill="1" applyBorder="1" applyAlignment="1">
      <alignment horizontal="center" vertical="center" wrapText="1"/>
    </xf>
    <xf numFmtId="9" fontId="26" fillId="0" borderId="20" xfId="7" applyFont="1" applyFill="1" applyBorder="1" applyAlignment="1">
      <alignment horizontal="center" vertical="center" wrapText="1"/>
    </xf>
    <xf numFmtId="9" fontId="36" fillId="11" borderId="57" xfId="7" applyFont="1" applyFill="1" applyBorder="1" applyAlignment="1">
      <alignment horizontal="center" vertical="center"/>
    </xf>
    <xf numFmtId="9" fontId="66" fillId="0" borderId="61" xfId="7" applyFont="1" applyFill="1" applyBorder="1" applyAlignment="1">
      <alignment horizontal="center" vertical="center" wrapText="1"/>
    </xf>
    <xf numFmtId="4" fontId="25" fillId="8" borderId="20" xfId="1" applyNumberFormat="1" applyFont="1" applyFill="1" applyBorder="1" applyAlignment="1">
      <alignment horizontal="center" vertical="center"/>
    </xf>
    <xf numFmtId="4" fontId="65" fillId="4" borderId="53" xfId="1" applyNumberFormat="1" applyFont="1" applyFill="1" applyBorder="1" applyAlignment="1">
      <alignment horizontal="center" vertical="center"/>
    </xf>
    <xf numFmtId="0" fontId="24" fillId="6" borderId="55" xfId="1" applyFont="1" applyFill="1" applyBorder="1" applyAlignment="1">
      <alignment vertical="center"/>
    </xf>
    <xf numFmtId="4" fontId="37" fillId="6" borderId="56" xfId="1" applyNumberFormat="1" applyFont="1" applyFill="1" applyBorder="1" applyAlignment="1">
      <alignment horizontal="center" vertical="center"/>
    </xf>
    <xf numFmtId="0" fontId="24" fillId="3" borderId="62" xfId="1" applyFont="1" applyFill="1" applyBorder="1" applyAlignment="1">
      <alignment vertical="center"/>
    </xf>
    <xf numFmtId="9" fontId="24" fillId="3" borderId="62" xfId="7" applyFont="1" applyFill="1" applyBorder="1" applyAlignment="1">
      <alignment horizontal="center" vertical="center"/>
    </xf>
    <xf numFmtId="9" fontId="24" fillId="3" borderId="63" xfId="7" applyFont="1" applyFill="1" applyBorder="1" applyAlignment="1">
      <alignment horizontal="center" vertical="center"/>
    </xf>
    <xf numFmtId="10" fontId="29" fillId="3" borderId="63" xfId="1" applyNumberFormat="1" applyFont="1" applyFill="1" applyBorder="1" applyAlignment="1">
      <alignment horizontal="center" vertical="center"/>
    </xf>
    <xf numFmtId="9" fontId="36" fillId="26" borderId="57" xfId="7" applyFont="1" applyFill="1" applyBorder="1" applyAlignment="1">
      <alignment horizontal="center" vertical="center"/>
    </xf>
    <xf numFmtId="10" fontId="24" fillId="0" borderId="65" xfId="1" applyNumberFormat="1" applyFont="1" applyFill="1" applyBorder="1" applyAlignment="1">
      <alignment horizontal="center" vertical="center"/>
    </xf>
    <xf numFmtId="10" fontId="29" fillId="0" borderId="61" xfId="1" applyNumberFormat="1" applyFont="1" applyFill="1" applyBorder="1" applyAlignment="1">
      <alignment horizontal="center" vertical="center"/>
    </xf>
    <xf numFmtId="4" fontId="25" fillId="0" borderId="58" xfId="1" applyNumberFormat="1" applyFont="1" applyFill="1" applyBorder="1" applyAlignment="1">
      <alignment horizontal="center" vertical="center" wrapText="1"/>
    </xf>
    <xf numFmtId="0" fontId="24" fillId="11" borderId="10" xfId="1" applyFont="1" applyFill="1" applyBorder="1" applyAlignment="1">
      <alignment vertical="center"/>
    </xf>
    <xf numFmtId="3" fontId="24" fillId="11" borderId="10" xfId="1" applyNumberFormat="1" applyFont="1" applyFill="1" applyBorder="1" applyAlignment="1">
      <alignment horizontal="center" vertical="center"/>
    </xf>
    <xf numFmtId="3" fontId="24" fillId="11" borderId="5" xfId="1" applyNumberFormat="1" applyFont="1" applyFill="1" applyBorder="1" applyAlignment="1">
      <alignment horizontal="center" vertical="center"/>
    </xf>
    <xf numFmtId="4" fontId="24" fillId="11" borderId="12" xfId="1" applyNumberFormat="1" applyFont="1" applyFill="1" applyBorder="1" applyAlignment="1">
      <alignment horizontal="center" vertical="center"/>
    </xf>
    <xf numFmtId="4" fontId="29" fillId="11" borderId="60" xfId="1" applyNumberFormat="1" applyFont="1" applyFill="1" applyBorder="1" applyAlignment="1">
      <alignment horizontal="center" vertical="center"/>
    </xf>
    <xf numFmtId="4" fontId="27" fillId="27" borderId="59" xfId="1" applyNumberFormat="1" applyFont="1" applyFill="1" applyBorder="1" applyAlignment="1">
      <alignment horizontal="center" vertical="center"/>
    </xf>
    <xf numFmtId="4" fontId="27" fillId="0" borderId="60" xfId="1" applyNumberFormat="1" applyFont="1" applyFill="1" applyBorder="1" applyAlignment="1">
      <alignment horizontal="center" vertical="center"/>
    </xf>
    <xf numFmtId="4" fontId="27" fillId="0" borderId="65" xfId="1" applyNumberFormat="1" applyFont="1" applyFill="1" applyBorder="1" applyAlignment="1">
      <alignment horizontal="center" vertical="center"/>
    </xf>
    <xf numFmtId="4" fontId="27" fillId="0" borderId="66" xfId="1" applyNumberFormat="1" applyFont="1" applyFill="1" applyBorder="1" applyAlignment="1">
      <alignment horizontal="center" vertical="center"/>
    </xf>
    <xf numFmtId="0" fontId="24" fillId="0" borderId="56" xfId="1" applyFont="1" applyBorder="1" applyAlignment="1">
      <alignment horizontal="center" vertical="center"/>
    </xf>
    <xf numFmtId="9" fontId="36" fillId="7" borderId="57" xfId="7" applyFont="1" applyFill="1" applyBorder="1" applyAlignment="1">
      <alignment horizontal="center" vertical="center"/>
    </xf>
    <xf numFmtId="4" fontId="25" fillId="0" borderId="19" xfId="1" applyNumberFormat="1" applyFont="1" applyFill="1" applyBorder="1" applyAlignment="1">
      <alignment horizontal="center" vertical="center" wrapText="1"/>
    </xf>
    <xf numFmtId="4" fontId="25" fillId="0" borderId="63" xfId="1" applyNumberFormat="1" applyFont="1" applyFill="1" applyBorder="1" applyAlignment="1">
      <alignment horizontal="center" vertical="center"/>
    </xf>
    <xf numFmtId="9" fontId="64" fillId="0" borderId="52" xfId="7" applyFont="1" applyFill="1" applyBorder="1" applyAlignment="1">
      <alignment horizontal="center" vertical="center"/>
    </xf>
    <xf numFmtId="9" fontId="64" fillId="0" borderId="52" xfId="7" applyFont="1" applyFill="1" applyBorder="1" applyAlignment="1">
      <alignment horizontal="center" vertical="center" wrapText="1"/>
    </xf>
    <xf numFmtId="9" fontId="96" fillId="0" borderId="52" xfId="7" applyFont="1" applyFill="1" applyBorder="1" applyAlignment="1">
      <alignment horizontal="center" vertical="center"/>
    </xf>
    <xf numFmtId="9" fontId="64" fillId="0" borderId="57" xfId="7" applyFont="1" applyFill="1" applyBorder="1" applyAlignment="1">
      <alignment horizontal="center" vertical="center"/>
    </xf>
    <xf numFmtId="9" fontId="64" fillId="0" borderId="57" xfId="7" applyFont="1" applyFill="1" applyBorder="1" applyAlignment="1">
      <alignment horizontal="center" vertical="center" wrapText="1"/>
    </xf>
    <xf numFmtId="9" fontId="64" fillId="0" borderId="61" xfId="7" applyFont="1" applyFill="1" applyBorder="1" applyAlignment="1">
      <alignment horizontal="center" vertical="center" wrapText="1"/>
    </xf>
    <xf numFmtId="9" fontId="27" fillId="0" borderId="54" xfId="7" applyFont="1" applyFill="1" applyBorder="1" applyAlignment="1">
      <alignment horizontal="center" vertical="center"/>
    </xf>
    <xf numFmtId="9" fontId="26" fillId="0" borderId="54" xfId="7" applyFont="1" applyFill="1" applyBorder="1" applyAlignment="1">
      <alignment horizontal="center" vertical="center"/>
    </xf>
    <xf numFmtId="9" fontId="26" fillId="0" borderId="29" xfId="7" applyFont="1" applyFill="1" applyBorder="1" applyAlignment="1">
      <alignment horizontal="center" vertical="center"/>
    </xf>
    <xf numFmtId="0" fontId="19" fillId="0" borderId="64" xfId="1" applyFont="1" applyFill="1" applyBorder="1" applyAlignment="1">
      <alignment vertical="center"/>
    </xf>
    <xf numFmtId="0" fontId="24" fillId="4" borderId="55" xfId="1" applyFont="1" applyFill="1" applyBorder="1" applyAlignment="1">
      <alignment vertical="center"/>
    </xf>
    <xf numFmtId="10" fontId="65" fillId="4" borderId="51" xfId="1" applyNumberFormat="1" applyFont="1" applyFill="1" applyBorder="1" applyAlignment="1">
      <alignment horizontal="center" vertical="center"/>
    </xf>
    <xf numFmtId="10" fontId="65" fillId="4" borderId="1" xfId="1" applyNumberFormat="1" applyFont="1" applyFill="1" applyBorder="1" applyAlignment="1">
      <alignment horizontal="center" vertical="center"/>
    </xf>
    <xf numFmtId="9" fontId="36" fillId="0" borderId="6" xfId="7" applyFont="1" applyFill="1" applyBorder="1" applyAlignment="1">
      <alignment horizontal="center" vertical="center"/>
    </xf>
    <xf numFmtId="9" fontId="36" fillId="0" borderId="53" xfId="7" applyFont="1" applyFill="1" applyBorder="1" applyAlignment="1">
      <alignment horizontal="center" vertical="center"/>
    </xf>
    <xf numFmtId="9" fontId="36" fillId="11" borderId="56" xfId="7" applyFont="1" applyFill="1" applyBorder="1" applyAlignment="1">
      <alignment horizontal="center" vertical="center"/>
    </xf>
    <xf numFmtId="9" fontId="26" fillId="0" borderId="9" xfId="7" applyFont="1" applyFill="1" applyBorder="1" applyAlignment="1">
      <alignment horizontal="center" vertical="center"/>
    </xf>
    <xf numFmtId="4" fontId="35" fillId="6" borderId="1" xfId="1" applyNumberFormat="1" applyFont="1" applyFill="1" applyBorder="1" applyAlignment="1">
      <alignment horizontal="center" vertical="center"/>
    </xf>
    <xf numFmtId="4" fontId="24" fillId="8" borderId="29" xfId="1" applyNumberFormat="1" applyFont="1" applyFill="1" applyBorder="1" applyAlignment="1">
      <alignment horizontal="center" vertical="center"/>
    </xf>
    <xf numFmtId="4" fontId="24" fillId="6" borderId="24" xfId="1" applyNumberFormat="1" applyFont="1" applyFill="1" applyBorder="1" applyAlignment="1">
      <alignment horizontal="center" vertical="center"/>
    </xf>
    <xf numFmtId="9" fontId="27" fillId="0" borderId="20" xfId="7" applyFont="1" applyFill="1" applyBorder="1" applyAlignment="1">
      <alignment horizontal="center" vertical="center"/>
    </xf>
    <xf numFmtId="3" fontId="25" fillId="0" borderId="36" xfId="1" applyNumberFormat="1" applyFont="1" applyFill="1" applyBorder="1" applyAlignment="1">
      <alignment horizontal="center" vertical="center"/>
    </xf>
    <xf numFmtId="10" fontId="24" fillId="4" borderId="56" xfId="1" applyNumberFormat="1" applyFont="1" applyFill="1" applyBorder="1" applyAlignment="1">
      <alignment horizontal="center" vertical="center"/>
    </xf>
    <xf numFmtId="4" fontId="20" fillId="0" borderId="0" xfId="1" applyNumberFormat="1" applyFont="1" applyFill="1"/>
    <xf numFmtId="0" fontId="0" fillId="0" borderId="0" xfId="0" applyAlignment="1">
      <alignment horizontal="left" vertical="center"/>
    </xf>
    <xf numFmtId="0" fontId="20" fillId="11" borderId="0" xfId="1" applyFont="1" applyFill="1" applyAlignment="1">
      <alignment horizontal="center" vertical="center"/>
    </xf>
    <xf numFmtId="0" fontId="20" fillId="0" borderId="0" xfId="1" applyFont="1" applyAlignment="1">
      <alignment horizontal="center" vertical="center"/>
    </xf>
    <xf numFmtId="4" fontId="20" fillId="0" borderId="0" xfId="1" applyNumberFormat="1" applyFont="1" applyAlignment="1">
      <alignment horizontal="center" vertical="center"/>
    </xf>
    <xf numFmtId="4" fontId="35" fillId="0" borderId="0" xfId="1" applyNumberFormat="1" applyFont="1" applyAlignment="1">
      <alignment horizontal="center" vertical="center"/>
    </xf>
    <xf numFmtId="0" fontId="20" fillId="0" borderId="0" xfId="1" applyFont="1" applyFill="1" applyAlignment="1">
      <alignment horizontal="center" vertical="center"/>
    </xf>
    <xf numFmtId="0" fontId="16" fillId="0" borderId="0" xfId="1" applyFill="1" applyAlignment="1">
      <alignment horizontal="center" vertical="center"/>
    </xf>
    <xf numFmtId="0" fontId="20" fillId="19" borderId="0" xfId="1" applyFont="1" applyFill="1" applyAlignment="1">
      <alignment horizontal="center" vertical="center"/>
    </xf>
    <xf numFmtId="4" fontId="20" fillId="0" borderId="0" xfId="1" applyNumberFormat="1" applyFont="1" applyFill="1" applyAlignment="1">
      <alignment horizontal="center" vertical="center"/>
    </xf>
    <xf numFmtId="4" fontId="35" fillId="19" borderId="0" xfId="1" applyNumberFormat="1" applyFont="1" applyFill="1" applyAlignment="1">
      <alignment horizontal="center" vertical="center"/>
    </xf>
    <xf numFmtId="4" fontId="16" fillId="0" borderId="0" xfId="1" applyNumberFormat="1" applyAlignment="1">
      <alignment horizontal="center" vertical="center" wrapText="1"/>
    </xf>
    <xf numFmtId="4" fontId="16" fillId="0" borderId="0" xfId="1" applyNumberFormat="1"/>
    <xf numFmtId="4" fontId="20" fillId="11" borderId="0" xfId="1" applyNumberFormat="1" applyFont="1" applyFill="1"/>
    <xf numFmtId="4" fontId="16" fillId="0" borderId="0" xfId="1" applyNumberFormat="1" applyFill="1"/>
    <xf numFmtId="9" fontId="37" fillId="6" borderId="56" xfId="7" applyFont="1" applyFill="1" applyBorder="1" applyAlignment="1">
      <alignment horizontal="center" vertical="center"/>
    </xf>
    <xf numFmtId="4" fontId="25" fillId="19" borderId="52" xfId="1" applyNumberFormat="1" applyFont="1" applyFill="1" applyBorder="1" applyAlignment="1">
      <alignment horizontal="center" vertical="center"/>
    </xf>
    <xf numFmtId="3" fontId="20" fillId="0" borderId="0" xfId="1" applyNumberFormat="1" applyFont="1"/>
    <xf numFmtId="9" fontId="87" fillId="0" borderId="57" xfId="7" applyFont="1" applyFill="1" applyBorder="1" applyAlignment="1">
      <alignment horizontal="center" vertical="center"/>
    </xf>
    <xf numFmtId="9" fontId="24" fillId="4" borderId="17" xfId="7" applyFont="1" applyFill="1" applyBorder="1" applyAlignment="1">
      <alignment horizontal="center" vertical="center"/>
    </xf>
    <xf numFmtId="9" fontId="97" fillId="0" borderId="14" xfId="7" applyFont="1" applyFill="1" applyBorder="1" applyAlignment="1">
      <alignment horizontal="center" vertical="center"/>
    </xf>
    <xf numFmtId="4" fontId="25" fillId="0" borderId="9" xfId="1" applyNumberFormat="1" applyFont="1" applyFill="1" applyBorder="1" applyAlignment="1">
      <alignment horizontal="center" vertical="center"/>
    </xf>
    <xf numFmtId="9" fontId="37" fillId="6" borderId="56" xfId="7" applyFont="1" applyFill="1" applyBorder="1" applyAlignment="1">
      <alignment horizontal="center" vertical="center" wrapText="1"/>
    </xf>
    <xf numFmtId="9" fontId="36" fillId="7" borderId="51" xfId="7" applyFont="1" applyFill="1" applyBorder="1" applyAlignment="1">
      <alignment horizontal="center" vertical="center"/>
    </xf>
    <xf numFmtId="4" fontId="20" fillId="6" borderId="55" xfId="1" applyNumberFormat="1" applyFont="1" applyFill="1" applyBorder="1" applyAlignment="1">
      <alignment horizontal="center" vertical="center"/>
    </xf>
    <xf numFmtId="3" fontId="27" fillId="0" borderId="72" xfId="6" applyNumberFormat="1" applyFont="1" applyFill="1" applyBorder="1" applyAlignment="1">
      <alignment horizontal="center" vertical="center"/>
    </xf>
    <xf numFmtId="9" fontId="27" fillId="0" borderId="75" xfId="7" applyFont="1" applyFill="1" applyBorder="1" applyAlignment="1">
      <alignment horizontal="center" vertical="center"/>
    </xf>
    <xf numFmtId="9" fontId="36" fillId="4" borderId="51" xfId="7" applyFont="1" applyFill="1" applyBorder="1" applyAlignment="1">
      <alignment horizontal="center" vertical="center" wrapText="1"/>
    </xf>
    <xf numFmtId="9" fontId="36" fillId="29" borderId="51" xfId="7" applyFont="1" applyFill="1" applyBorder="1" applyAlignment="1">
      <alignment horizontal="center" vertical="center"/>
    </xf>
    <xf numFmtId="4" fontId="24" fillId="4" borderId="55" xfId="1" applyNumberFormat="1" applyFont="1" applyFill="1" applyBorder="1" applyAlignment="1">
      <alignment horizontal="center" vertical="center"/>
    </xf>
    <xf numFmtId="0" fontId="19" fillId="0" borderId="62" xfId="1" applyFont="1" applyBorder="1" applyAlignment="1">
      <alignment vertical="center"/>
    </xf>
    <xf numFmtId="4" fontId="25" fillId="20" borderId="52" xfId="1"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 fontId="25" fillId="19" borderId="52" xfId="1" applyNumberFormat="1" applyFont="1" applyFill="1" applyBorder="1" applyAlignment="1">
      <alignment horizontal="center" vertical="center" wrapText="1"/>
    </xf>
    <xf numFmtId="166" fontId="19" fillId="0" borderId="52" xfId="6" applyFont="1" applyFill="1" applyBorder="1" applyAlignment="1">
      <alignment horizontal="center" vertical="center"/>
    </xf>
    <xf numFmtId="3" fontId="99" fillId="0" borderId="6" xfId="1" applyNumberFormat="1" applyFont="1" applyFill="1" applyBorder="1" applyAlignment="1">
      <alignment vertical="center"/>
    </xf>
    <xf numFmtId="0" fontId="100" fillId="0" borderId="0" xfId="1" applyFont="1" applyFill="1"/>
    <xf numFmtId="0" fontId="42" fillId="12" borderId="55" xfId="1" applyFont="1" applyFill="1" applyBorder="1" applyAlignment="1">
      <alignment horizontal="center" vertical="center" wrapText="1"/>
    </xf>
    <xf numFmtId="4" fontId="29" fillId="11" borderId="59" xfId="1" applyNumberFormat="1" applyFont="1" applyFill="1" applyBorder="1" applyAlignment="1">
      <alignment horizontal="center" vertical="center"/>
    </xf>
    <xf numFmtId="10" fontId="36" fillId="0" borderId="36" xfId="1" applyNumberFormat="1" applyFont="1" applyFill="1" applyBorder="1" applyAlignment="1">
      <alignment horizontal="center" vertical="center"/>
    </xf>
    <xf numFmtId="10" fontId="29" fillId="3" borderId="62" xfId="1" applyNumberFormat="1" applyFont="1" applyFill="1" applyBorder="1" applyAlignment="1">
      <alignment horizontal="center" vertical="center"/>
    </xf>
    <xf numFmtId="0" fontId="36" fillId="0" borderId="52" xfId="1" applyNumberFormat="1" applyFont="1" applyFill="1" applyBorder="1" applyAlignment="1">
      <alignment horizontal="center" vertical="center"/>
    </xf>
    <xf numFmtId="10" fontId="39" fillId="5" borderId="36" xfId="1" applyNumberFormat="1" applyFont="1" applyFill="1" applyBorder="1" applyAlignment="1">
      <alignment horizontal="center" vertical="center"/>
    </xf>
    <xf numFmtId="9" fontId="36" fillId="4" borderId="0" xfId="7" applyFont="1" applyFill="1" applyBorder="1" applyAlignment="1">
      <alignment horizontal="center" vertical="center"/>
    </xf>
    <xf numFmtId="10" fontId="39" fillId="0" borderId="36" xfId="1" applyNumberFormat="1" applyFont="1" applyFill="1" applyBorder="1" applyAlignment="1">
      <alignment horizontal="center" vertical="center"/>
    </xf>
    <xf numFmtId="4" fontId="29" fillId="6" borderId="55" xfId="1" applyNumberFormat="1" applyFont="1" applyFill="1" applyBorder="1" applyAlignment="1">
      <alignment horizontal="center" vertical="center"/>
    </xf>
    <xf numFmtId="4" fontId="29" fillId="4" borderId="65" xfId="1" applyNumberFormat="1" applyFont="1" applyFill="1" applyBorder="1" applyAlignment="1">
      <alignment horizontal="center" vertical="center"/>
    </xf>
    <xf numFmtId="10" fontId="36" fillId="0" borderId="52" xfId="1" applyNumberFormat="1" applyFont="1" applyFill="1" applyBorder="1" applyAlignment="1">
      <alignment horizontal="center" vertical="center"/>
    </xf>
    <xf numFmtId="4" fontId="38" fillId="6" borderId="59" xfId="1" applyNumberFormat="1" applyFont="1" applyFill="1" applyBorder="1" applyAlignment="1">
      <alignment horizontal="center" vertical="center"/>
    </xf>
    <xf numFmtId="10" fontId="29" fillId="3" borderId="65" xfId="1" applyNumberFormat="1" applyFont="1" applyFill="1" applyBorder="1" applyAlignment="1">
      <alignment horizontal="center" vertical="center"/>
    </xf>
    <xf numFmtId="4" fontId="29" fillId="6" borderId="56" xfId="1" applyNumberFormat="1" applyFont="1" applyFill="1" applyBorder="1" applyAlignment="1">
      <alignment horizontal="center" vertical="center"/>
    </xf>
    <xf numFmtId="10" fontId="36" fillId="0" borderId="20" xfId="1" applyNumberFormat="1" applyFont="1" applyFill="1" applyBorder="1" applyAlignment="1">
      <alignment horizontal="center" vertical="center"/>
    </xf>
    <xf numFmtId="9" fontId="36" fillId="4" borderId="1" xfId="7" applyFont="1" applyFill="1" applyBorder="1" applyAlignment="1">
      <alignment horizontal="center" vertical="center"/>
    </xf>
    <xf numFmtId="0" fontId="24" fillId="11" borderId="1" xfId="1" applyFont="1" applyFill="1" applyBorder="1" applyAlignment="1">
      <alignment vertical="center"/>
    </xf>
    <xf numFmtId="0" fontId="19" fillId="0" borderId="58" xfId="1" applyFont="1" applyBorder="1" applyAlignment="1">
      <alignment vertical="center"/>
    </xf>
    <xf numFmtId="0" fontId="19" fillId="0" borderId="36" xfId="1" applyFont="1" applyBorder="1" applyAlignment="1">
      <alignment vertical="center"/>
    </xf>
    <xf numFmtId="0" fontId="19" fillId="0" borderId="20" xfId="1" applyFont="1" applyBorder="1" applyAlignment="1">
      <alignment vertical="center"/>
    </xf>
    <xf numFmtId="3" fontId="24" fillId="11" borderId="1" xfId="1" applyNumberFormat="1" applyFont="1" applyFill="1" applyBorder="1" applyAlignment="1">
      <alignment horizontal="center" vertical="center"/>
    </xf>
    <xf numFmtId="0" fontId="24" fillId="11" borderId="51" xfId="1" applyFont="1" applyFill="1" applyBorder="1" applyAlignment="1">
      <alignment vertical="center"/>
    </xf>
    <xf numFmtId="0" fontId="19" fillId="0" borderId="36" xfId="1" applyFont="1" applyBorder="1" applyAlignment="1">
      <alignment horizontal="left" vertical="center"/>
    </xf>
    <xf numFmtId="0" fontId="24" fillId="11" borderId="56" xfId="1" applyFont="1" applyFill="1" applyBorder="1" applyAlignment="1">
      <alignment vertical="center"/>
    </xf>
    <xf numFmtId="0" fontId="24" fillId="6" borderId="51" xfId="1" applyFont="1" applyFill="1" applyBorder="1" applyAlignment="1">
      <alignment vertical="center"/>
    </xf>
    <xf numFmtId="0" fontId="24" fillId="3" borderId="58" xfId="1" applyFont="1" applyFill="1" applyBorder="1" applyAlignment="1">
      <alignment vertical="center"/>
    </xf>
    <xf numFmtId="0" fontId="24" fillId="4" borderId="58" xfId="1" applyFont="1" applyFill="1" applyBorder="1" applyAlignment="1">
      <alignment vertical="center"/>
    </xf>
    <xf numFmtId="0" fontId="24" fillId="6" borderId="56" xfId="1" applyFont="1" applyFill="1" applyBorder="1" applyAlignment="1">
      <alignment vertical="center"/>
    </xf>
    <xf numFmtId="0" fontId="24" fillId="3" borderId="63" xfId="1" applyFont="1" applyFill="1" applyBorder="1" applyAlignment="1">
      <alignment vertical="center"/>
    </xf>
    <xf numFmtId="9" fontId="36" fillId="11" borderId="3" xfId="7" applyFont="1" applyFill="1" applyBorder="1" applyAlignment="1">
      <alignment horizontal="center" vertical="center"/>
    </xf>
    <xf numFmtId="0" fontId="27" fillId="0" borderId="23" xfId="6" applyNumberFormat="1" applyFont="1" applyFill="1" applyBorder="1" applyAlignment="1">
      <alignment horizontal="center" vertical="center"/>
    </xf>
    <xf numFmtId="9" fontId="26" fillId="0" borderId="58" xfId="7" applyFont="1" applyFill="1" applyBorder="1" applyAlignment="1">
      <alignment horizontal="center" vertical="center" wrapText="1"/>
    </xf>
    <xf numFmtId="4" fontId="25" fillId="0" borderId="12" xfId="1" applyNumberFormat="1" applyFont="1" applyFill="1" applyBorder="1" applyAlignment="1">
      <alignment horizontal="center" vertical="center" wrapText="1"/>
    </xf>
    <xf numFmtId="0" fontId="17" fillId="0" borderId="56" xfId="0" applyFont="1" applyBorder="1" applyAlignment="1">
      <alignment horizontal="center" vertical="center"/>
    </xf>
    <xf numFmtId="4" fontId="24" fillId="4" borderId="5" xfId="1" applyNumberFormat="1" applyFont="1" applyFill="1" applyBorder="1" applyAlignment="1">
      <alignment horizontal="center" vertical="center"/>
    </xf>
    <xf numFmtId="9" fontId="27" fillId="0" borderId="63" xfId="7" applyFont="1" applyFill="1" applyBorder="1" applyAlignment="1">
      <alignment horizontal="center" vertical="center"/>
    </xf>
    <xf numFmtId="0" fontId="24" fillId="0" borderId="56" xfId="1" applyFont="1" applyBorder="1" applyAlignment="1">
      <alignment vertical="center"/>
    </xf>
    <xf numFmtId="10" fontId="68" fillId="4" borderId="51" xfId="1" applyNumberFormat="1" applyFont="1" applyFill="1" applyBorder="1" applyAlignment="1">
      <alignment horizontal="center" vertical="center"/>
    </xf>
    <xf numFmtId="4" fontId="26" fillId="0" borderId="20" xfId="1" applyNumberFormat="1" applyFont="1" applyFill="1" applyBorder="1" applyAlignment="1">
      <alignment horizontal="center" vertical="center"/>
    </xf>
    <xf numFmtId="0" fontId="24" fillId="4" borderId="63" xfId="1" applyFont="1" applyFill="1" applyBorder="1" applyAlignment="1">
      <alignment vertical="center"/>
    </xf>
    <xf numFmtId="10" fontId="36" fillId="0" borderId="58" xfId="1" applyNumberFormat="1" applyFont="1" applyFill="1" applyBorder="1" applyAlignment="1">
      <alignment horizontal="center" vertical="center"/>
    </xf>
    <xf numFmtId="0" fontId="19" fillId="0" borderId="7" xfId="1" applyFont="1" applyFill="1" applyBorder="1" applyAlignment="1">
      <alignment vertical="center"/>
    </xf>
    <xf numFmtId="0" fontId="24" fillId="4" borderId="56" xfId="1" applyFont="1" applyFill="1" applyBorder="1" applyAlignment="1">
      <alignment vertical="center"/>
    </xf>
    <xf numFmtId="3" fontId="27" fillId="0" borderId="4" xfId="6" applyNumberFormat="1" applyFont="1" applyFill="1" applyBorder="1" applyAlignment="1">
      <alignment horizontal="center" vertical="center"/>
    </xf>
    <xf numFmtId="3" fontId="27" fillId="0" borderId="8" xfId="6" applyNumberFormat="1" applyFont="1" applyFill="1" applyBorder="1" applyAlignment="1">
      <alignment horizontal="center" vertical="center"/>
    </xf>
    <xf numFmtId="3" fontId="24" fillId="6" borderId="55" xfId="1" applyNumberFormat="1" applyFont="1" applyFill="1" applyBorder="1" applyAlignment="1">
      <alignment horizontal="center" vertical="center"/>
    </xf>
    <xf numFmtId="9" fontId="36" fillId="0" borderId="7" xfId="7" applyFont="1" applyFill="1" applyBorder="1" applyAlignment="1">
      <alignment horizontal="center" vertical="center"/>
    </xf>
    <xf numFmtId="0" fontId="19" fillId="0" borderId="10" xfId="1" applyFont="1" applyBorder="1" applyAlignment="1">
      <alignment vertical="center"/>
    </xf>
    <xf numFmtId="3" fontId="27" fillId="0" borderId="10" xfId="1" applyNumberFormat="1" applyFont="1" applyFill="1" applyBorder="1" applyAlignment="1">
      <alignment horizontal="center" vertical="center"/>
    </xf>
    <xf numFmtId="3" fontId="27" fillId="0" borderId="5" xfId="1" applyNumberFormat="1" applyFont="1" applyFill="1" applyBorder="1" applyAlignment="1">
      <alignment horizontal="center" vertical="center"/>
    </xf>
    <xf numFmtId="3" fontId="27" fillId="0" borderId="12" xfId="1" applyNumberFormat="1" applyFont="1" applyFill="1" applyBorder="1" applyAlignment="1">
      <alignment horizontal="center" vertical="center"/>
    </xf>
    <xf numFmtId="0" fontId="36" fillId="0" borderId="36" xfId="1" applyNumberFormat="1" applyFont="1" applyFill="1" applyBorder="1" applyAlignment="1">
      <alignment horizontal="center" vertical="center"/>
    </xf>
    <xf numFmtId="0" fontId="27" fillId="0" borderId="36" xfId="1" applyNumberFormat="1" applyFont="1" applyFill="1" applyBorder="1" applyAlignment="1">
      <alignment horizontal="center" vertical="center"/>
    </xf>
    <xf numFmtId="0" fontId="24" fillId="6" borderId="62" xfId="1" applyFont="1" applyFill="1" applyBorder="1" applyAlignment="1">
      <alignment vertical="center"/>
    </xf>
    <xf numFmtId="3" fontId="28" fillId="6" borderId="62" xfId="1" applyNumberFormat="1" applyFont="1" applyFill="1" applyBorder="1" applyAlignment="1">
      <alignment horizontal="center" vertical="center"/>
    </xf>
    <xf numFmtId="4" fontId="38" fillId="6" borderId="63" xfId="1" applyNumberFormat="1" applyFont="1" applyFill="1" applyBorder="1" applyAlignment="1">
      <alignment horizontal="center" vertical="center"/>
    </xf>
    <xf numFmtId="3" fontId="28" fillId="6" borderId="63" xfId="1" applyNumberFormat="1" applyFont="1" applyFill="1" applyBorder="1" applyAlignment="1">
      <alignment horizontal="center" vertical="center"/>
    </xf>
    <xf numFmtId="4" fontId="38" fillId="6" borderId="62" xfId="1" applyNumberFormat="1" applyFont="1" applyFill="1" applyBorder="1" applyAlignment="1">
      <alignment horizontal="center" vertical="center"/>
    </xf>
    <xf numFmtId="4" fontId="28" fillId="6" borderId="63" xfId="1" applyNumberFormat="1" applyFont="1" applyFill="1" applyBorder="1" applyAlignment="1">
      <alignment horizontal="center" vertical="center"/>
    </xf>
    <xf numFmtId="0" fontId="24" fillId="4" borderId="1" xfId="1" applyFont="1" applyFill="1" applyBorder="1" applyAlignment="1">
      <alignment vertical="center"/>
    </xf>
    <xf numFmtId="0" fontId="24" fillId="0" borderId="56" xfId="1" applyFont="1" applyFill="1" applyBorder="1" applyAlignment="1">
      <alignment vertical="center"/>
    </xf>
    <xf numFmtId="4" fontId="25" fillId="8" borderId="36" xfId="1" applyNumberFormat="1" applyFont="1" applyFill="1" applyBorder="1" applyAlignment="1">
      <alignment horizontal="center" vertical="center"/>
    </xf>
    <xf numFmtId="4" fontId="26" fillId="0" borderId="62" xfId="1" applyNumberFormat="1" applyFont="1" applyFill="1" applyBorder="1" applyAlignment="1">
      <alignment horizontal="center" vertical="center"/>
    </xf>
    <xf numFmtId="4" fontId="26" fillId="0" borderId="63" xfId="1" applyNumberFormat="1" applyFont="1" applyFill="1" applyBorder="1" applyAlignment="1">
      <alignment horizontal="center" vertical="center"/>
    </xf>
    <xf numFmtId="10" fontId="39" fillId="0" borderId="58" xfId="1" applyNumberFormat="1" applyFont="1" applyFill="1" applyBorder="1" applyAlignment="1">
      <alignment horizontal="center" vertical="center"/>
    </xf>
    <xf numFmtId="0" fontId="36" fillId="0" borderId="58" xfId="1" applyNumberFormat="1" applyFont="1" applyFill="1" applyBorder="1" applyAlignment="1">
      <alignment horizontal="center" vertical="center"/>
    </xf>
    <xf numFmtId="166" fontId="26" fillId="0" borderId="20" xfId="6" applyFont="1" applyFill="1" applyBorder="1" applyAlignment="1">
      <alignment horizontal="center" vertical="center"/>
    </xf>
    <xf numFmtId="9" fontId="26" fillId="0" borderId="60" xfId="7" applyFont="1" applyFill="1" applyBorder="1" applyAlignment="1">
      <alignment horizontal="center" vertical="center"/>
    </xf>
    <xf numFmtId="3" fontId="25" fillId="0" borderId="57" xfId="1" applyNumberFormat="1" applyFont="1" applyFill="1" applyBorder="1" applyAlignment="1">
      <alignment horizontal="center" vertical="center"/>
    </xf>
    <xf numFmtId="0" fontId="0" fillId="0" borderId="0" xfId="0" applyAlignment="1">
      <alignment horizontal="right"/>
    </xf>
    <xf numFmtId="3" fontId="25" fillId="0" borderId="62" xfId="1" applyNumberFormat="1" applyFont="1" applyFill="1" applyBorder="1" applyAlignment="1">
      <alignment horizontal="center" vertical="center"/>
    </xf>
    <xf numFmtId="9" fontId="36" fillId="0" borderId="63" xfId="7" applyFont="1" applyFill="1" applyBorder="1" applyAlignment="1">
      <alignment horizontal="center" vertical="center"/>
    </xf>
    <xf numFmtId="9" fontId="36" fillId="26" borderId="51" xfId="7" applyFont="1" applyFill="1" applyBorder="1" applyAlignment="1">
      <alignment horizontal="center" vertical="center"/>
    </xf>
    <xf numFmtId="9" fontId="36" fillId="30" borderId="51" xfId="7" applyFont="1" applyFill="1" applyBorder="1" applyAlignment="1">
      <alignment horizontal="center" vertical="center"/>
    </xf>
    <xf numFmtId="0" fontId="0" fillId="0" borderId="0" xfId="0" applyAlignment="1">
      <alignment horizontal="right" vertical="center"/>
    </xf>
    <xf numFmtId="9" fontId="26" fillId="0" borderId="77" xfId="7" applyFont="1" applyFill="1" applyBorder="1" applyAlignment="1">
      <alignment horizontal="center" vertical="center"/>
    </xf>
    <xf numFmtId="4" fontId="25" fillId="0" borderId="77" xfId="1" applyNumberFormat="1" applyFont="1" applyFill="1" applyBorder="1" applyAlignment="1">
      <alignment horizontal="center" vertical="center" wrapText="1"/>
    </xf>
    <xf numFmtId="3" fontId="25" fillId="0" borderId="77" xfId="1" applyNumberFormat="1" applyFont="1" applyFill="1" applyBorder="1" applyAlignment="1">
      <alignment horizontal="center" vertical="center"/>
    </xf>
    <xf numFmtId="3" fontId="25" fillId="0" borderId="79"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xf>
    <xf numFmtId="4" fontId="25" fillId="0" borderId="76" xfId="1" applyNumberFormat="1" applyFont="1" applyFill="1" applyBorder="1" applyAlignment="1">
      <alignment horizontal="center" vertical="center"/>
    </xf>
    <xf numFmtId="10" fontId="26" fillId="0" borderId="76" xfId="1" applyNumberFormat="1" applyFont="1" applyFill="1" applyBorder="1" applyAlignment="1">
      <alignment horizontal="center" vertical="center"/>
    </xf>
    <xf numFmtId="4" fontId="25" fillId="0" borderId="78" xfId="1" applyNumberFormat="1" applyFont="1" applyFill="1" applyBorder="1" applyAlignment="1">
      <alignment horizontal="center" vertical="center"/>
    </xf>
    <xf numFmtId="10" fontId="26" fillId="0" borderId="77" xfId="1" applyNumberFormat="1" applyFont="1" applyFill="1" applyBorder="1" applyAlignment="1">
      <alignment horizontal="center" vertical="center"/>
    </xf>
    <xf numFmtId="10" fontId="24" fillId="0" borderId="78" xfId="1" applyNumberFormat="1" applyFont="1" applyFill="1" applyBorder="1" applyAlignment="1">
      <alignment horizontal="center" vertical="center"/>
    </xf>
    <xf numFmtId="3" fontId="24" fillId="4" borderId="80" xfId="1" applyNumberFormat="1" applyFont="1" applyFill="1" applyBorder="1" applyAlignment="1">
      <alignment horizontal="center" vertical="center"/>
    </xf>
    <xf numFmtId="3" fontId="24" fillId="4" borderId="79" xfId="1" applyNumberFormat="1" applyFont="1" applyFill="1" applyBorder="1" applyAlignment="1">
      <alignment horizontal="center" vertical="center"/>
    </xf>
    <xf numFmtId="4" fontId="25" fillId="27" borderId="77" xfId="1" applyNumberFormat="1" applyFont="1" applyFill="1" applyBorder="1" applyAlignment="1">
      <alignment horizontal="center" vertical="center"/>
    </xf>
    <xf numFmtId="3" fontId="24" fillId="4" borderId="1" xfId="1" applyNumberFormat="1" applyFont="1" applyFill="1" applyBorder="1" applyAlignment="1">
      <alignment horizontal="center" vertical="center"/>
    </xf>
    <xf numFmtId="3" fontId="24" fillId="4" borderId="78" xfId="1" applyNumberFormat="1" applyFont="1" applyFill="1" applyBorder="1" applyAlignment="1">
      <alignment horizontal="center" vertical="center"/>
    </xf>
    <xf numFmtId="3" fontId="24" fillId="8" borderId="78" xfId="1" applyNumberFormat="1" applyFont="1" applyFill="1" applyBorder="1" applyAlignment="1">
      <alignment horizontal="center" vertical="center"/>
    </xf>
    <xf numFmtId="9" fontId="24" fillId="3" borderId="78" xfId="7" applyFont="1" applyFill="1" applyBorder="1" applyAlignment="1">
      <alignment horizontal="center" vertical="center"/>
    </xf>
    <xf numFmtId="4" fontId="30" fillId="0" borderId="0" xfId="1" applyNumberFormat="1" applyFont="1" applyFill="1" applyAlignment="1">
      <alignment horizontal="center" vertical="center"/>
    </xf>
    <xf numFmtId="3" fontId="27" fillId="0" borderId="76" xfId="1" applyNumberFormat="1" applyFont="1" applyFill="1" applyBorder="1" applyAlignment="1">
      <alignment horizontal="center" vertical="center"/>
    </xf>
    <xf numFmtId="3" fontId="27" fillId="0" borderId="80" xfId="1" applyNumberFormat="1" applyFont="1" applyFill="1" applyBorder="1" applyAlignment="1">
      <alignment horizontal="center" vertical="center"/>
    </xf>
    <xf numFmtId="9" fontId="36" fillId="0" borderId="77" xfId="7" applyFont="1" applyFill="1" applyBorder="1" applyAlignment="1">
      <alignment horizontal="center" vertical="center"/>
    </xf>
    <xf numFmtId="3" fontId="25" fillId="0" borderId="76" xfId="1" applyNumberFormat="1" applyFont="1" applyFill="1" applyBorder="1" applyAlignment="1">
      <alignment horizontal="center" vertical="center"/>
    </xf>
    <xf numFmtId="9" fontId="67" fillId="0" borderId="77" xfId="7" applyFont="1" applyFill="1" applyBorder="1" applyAlignment="1">
      <alignment horizontal="center" vertical="center"/>
    </xf>
    <xf numFmtId="9" fontId="70" fillId="0" borderId="77" xfId="7" applyFont="1" applyFill="1" applyBorder="1" applyAlignment="1">
      <alignment horizontal="center" vertical="center" wrapText="1"/>
    </xf>
    <xf numFmtId="9" fontId="27" fillId="0" borderId="77" xfId="7" applyFont="1" applyFill="1" applyBorder="1" applyAlignment="1">
      <alignment horizontal="center" vertical="center"/>
    </xf>
    <xf numFmtId="9" fontId="36" fillId="0" borderId="78" xfId="7" applyFont="1" applyFill="1" applyBorder="1" applyAlignment="1">
      <alignment horizontal="center" vertical="center"/>
    </xf>
    <xf numFmtId="9" fontId="26" fillId="0" borderId="77" xfId="7" applyFont="1" applyFill="1" applyBorder="1" applyAlignment="1">
      <alignment horizontal="center" vertical="center" wrapText="1"/>
    </xf>
    <xf numFmtId="4" fontId="24" fillId="4" borderId="78" xfId="1" applyNumberFormat="1" applyFont="1" applyFill="1" applyBorder="1" applyAlignment="1">
      <alignment horizontal="center" vertical="center"/>
    </xf>
    <xf numFmtId="0" fontId="27" fillId="0" borderId="77" xfId="1" applyNumberFormat="1" applyFont="1" applyFill="1" applyBorder="1" applyAlignment="1">
      <alignment horizontal="center" vertical="center"/>
    </xf>
    <xf numFmtId="10" fontId="24" fillId="3" borderId="78" xfId="1" applyNumberFormat="1" applyFont="1" applyFill="1" applyBorder="1" applyAlignment="1">
      <alignment horizontal="center" vertical="center"/>
    </xf>
    <xf numFmtId="9" fontId="19" fillId="0" borderId="77" xfId="7" applyFont="1" applyFill="1" applyBorder="1" applyAlignment="1">
      <alignment horizontal="center" vertical="center" wrapText="1"/>
    </xf>
    <xf numFmtId="0" fontId="19" fillId="0" borderId="76" xfId="1" applyFont="1" applyBorder="1" applyAlignment="1">
      <alignment vertical="center"/>
    </xf>
    <xf numFmtId="0" fontId="19" fillId="0" borderId="80" xfId="1" applyFont="1" applyBorder="1" applyAlignment="1">
      <alignment vertical="center"/>
    </xf>
    <xf numFmtId="0" fontId="19" fillId="0" borderId="76" xfId="1" applyFont="1" applyBorder="1" applyAlignment="1">
      <alignment horizontal="left" vertical="center"/>
    </xf>
    <xf numFmtId="0" fontId="24" fillId="4" borderId="76" xfId="1" applyFont="1" applyFill="1" applyBorder="1" applyAlignment="1">
      <alignment vertical="center"/>
    </xf>
    <xf numFmtId="9" fontId="66" fillId="0" borderId="77" xfId="7" applyFont="1" applyFill="1" applyBorder="1" applyAlignment="1">
      <alignment horizontal="center" vertical="center" wrapText="1"/>
    </xf>
    <xf numFmtId="9" fontId="67" fillId="0" borderId="77" xfId="7" applyFont="1" applyFill="1" applyBorder="1" applyAlignment="1">
      <alignment horizontal="center" vertical="center" wrapText="1"/>
    </xf>
    <xf numFmtId="10" fontId="71" fillId="3" borderId="63" xfId="1" applyNumberFormat="1" applyFont="1" applyFill="1" applyBorder="1" applyAlignment="1">
      <alignment horizontal="center" vertical="center"/>
    </xf>
    <xf numFmtId="4" fontId="71" fillId="4" borderId="63" xfId="1" applyNumberFormat="1" applyFont="1" applyFill="1" applyBorder="1" applyAlignment="1">
      <alignment horizontal="center" vertical="center"/>
    </xf>
    <xf numFmtId="4" fontId="71" fillId="6" borderId="56" xfId="1" applyNumberFormat="1" applyFont="1" applyFill="1" applyBorder="1" applyAlignment="1">
      <alignment horizontal="center" vertical="center"/>
    </xf>
    <xf numFmtId="9" fontId="27" fillId="0" borderId="77" xfId="7" applyFont="1" applyFill="1" applyBorder="1" applyAlignment="1">
      <alignment horizontal="center" vertical="center" wrapText="1"/>
    </xf>
    <xf numFmtId="9" fontId="27" fillId="0" borderId="79" xfId="7" applyFont="1" applyFill="1" applyBorder="1" applyAlignment="1">
      <alignment horizontal="center" vertical="center"/>
    </xf>
    <xf numFmtId="4" fontId="24" fillId="4" borderId="79" xfId="1" applyNumberFormat="1" applyFont="1" applyFill="1" applyBorder="1" applyAlignment="1">
      <alignment horizontal="center" vertical="center"/>
    </xf>
    <xf numFmtId="3" fontId="27" fillId="0" borderId="80" xfId="6" applyNumberFormat="1" applyFont="1" applyFill="1" applyBorder="1" applyAlignment="1">
      <alignment horizontal="center" vertical="center"/>
    </xf>
    <xf numFmtId="0" fontId="27" fillId="0" borderId="79" xfId="1" applyNumberFormat="1" applyFont="1" applyFill="1" applyBorder="1" applyAlignment="1">
      <alignment horizontal="center" vertical="center"/>
    </xf>
    <xf numFmtId="166" fontId="27" fillId="0" borderId="79" xfId="6" applyFont="1" applyFill="1" applyBorder="1" applyAlignment="1">
      <alignment horizontal="center" vertical="center"/>
    </xf>
    <xf numFmtId="4" fontId="16" fillId="0" borderId="0" xfId="1" applyNumberFormat="1" applyAlignment="1">
      <alignment horizontal="right" vertical="center"/>
    </xf>
    <xf numFmtId="9" fontId="36" fillId="0" borderId="81" xfId="7" applyFont="1" applyFill="1" applyBorder="1" applyAlignment="1">
      <alignment horizontal="center" vertical="center"/>
    </xf>
    <xf numFmtId="0" fontId="19" fillId="0" borderId="79" xfId="1" applyFont="1" applyBorder="1" applyAlignment="1">
      <alignment vertical="center"/>
    </xf>
    <xf numFmtId="0" fontId="19" fillId="0" borderId="78" xfId="1" applyFont="1" applyBorder="1" applyAlignment="1">
      <alignment vertical="center"/>
    </xf>
    <xf numFmtId="4" fontId="25" fillId="27" borderId="79" xfId="1" applyNumberFormat="1" applyFont="1" applyFill="1" applyBorder="1" applyAlignment="1">
      <alignment horizontal="center" vertical="center"/>
    </xf>
    <xf numFmtId="0" fontId="19" fillId="0" borderId="80" xfId="1" applyFont="1" applyFill="1" applyBorder="1" applyAlignment="1">
      <alignment vertical="center"/>
    </xf>
    <xf numFmtId="4" fontId="68" fillId="4" borderId="78" xfId="1" applyNumberFormat="1" applyFont="1" applyFill="1" applyBorder="1" applyAlignment="1">
      <alignment horizontal="center" vertical="center"/>
    </xf>
    <xf numFmtId="0" fontId="67" fillId="0" borderId="77" xfId="1" applyNumberFormat="1" applyFont="1" applyFill="1" applyBorder="1" applyAlignment="1">
      <alignment horizontal="center" vertical="center"/>
    </xf>
    <xf numFmtId="4" fontId="24" fillId="8" borderId="78" xfId="1" applyNumberFormat="1" applyFont="1" applyFill="1" applyBorder="1" applyAlignment="1">
      <alignment horizontal="center" vertical="center"/>
    </xf>
    <xf numFmtId="4" fontId="68" fillId="8" borderId="78" xfId="1" applyNumberFormat="1" applyFont="1" applyFill="1" applyBorder="1" applyAlignment="1">
      <alignment horizontal="center" vertical="center"/>
    </xf>
    <xf numFmtId="10" fontId="68" fillId="3" borderId="78" xfId="1" applyNumberFormat="1" applyFont="1" applyFill="1" applyBorder="1" applyAlignment="1">
      <alignment horizontal="center" vertical="center"/>
    </xf>
    <xf numFmtId="3" fontId="25" fillId="0" borderId="80" xfId="1" applyNumberFormat="1" applyFont="1" applyFill="1" applyBorder="1" applyAlignment="1">
      <alignment horizontal="center" vertical="center"/>
    </xf>
    <xf numFmtId="0" fontId="19" fillId="0" borderId="79" xfId="1" applyFont="1" applyBorder="1" applyAlignment="1">
      <alignment horizontal="left" vertical="center"/>
    </xf>
    <xf numFmtId="4" fontId="26" fillId="0" borderId="80" xfId="1" applyNumberFormat="1" applyFont="1" applyFill="1" applyBorder="1" applyAlignment="1">
      <alignment horizontal="center" vertical="center"/>
    </xf>
    <xf numFmtId="4" fontId="26" fillId="0" borderId="79" xfId="1" applyNumberFormat="1" applyFont="1" applyFill="1" applyBorder="1" applyAlignment="1">
      <alignment horizontal="center" vertical="center"/>
    </xf>
    <xf numFmtId="10" fontId="39" fillId="0" borderId="77" xfId="1" applyNumberFormat="1" applyFont="1" applyFill="1" applyBorder="1" applyAlignment="1">
      <alignment horizontal="center" vertical="center"/>
    </xf>
    <xf numFmtId="9" fontId="36" fillId="0" borderId="79" xfId="7" applyFont="1" applyFill="1" applyBorder="1" applyAlignment="1">
      <alignment horizontal="center" vertical="center"/>
    </xf>
    <xf numFmtId="0" fontId="19" fillId="0" borderId="78" xfId="1" applyFont="1" applyBorder="1" applyAlignment="1">
      <alignment horizontal="left" vertical="center"/>
    </xf>
    <xf numFmtId="4" fontId="27" fillId="0" borderId="78" xfId="1" applyNumberFormat="1" applyFont="1" applyFill="1" applyBorder="1" applyAlignment="1">
      <alignment horizontal="center" vertical="center"/>
    </xf>
    <xf numFmtId="9" fontId="25" fillId="0" borderId="77" xfId="7" applyFont="1" applyFill="1" applyBorder="1" applyAlignment="1">
      <alignment horizontal="center" vertical="center" wrapText="1"/>
    </xf>
    <xf numFmtId="3" fontId="26" fillId="5" borderId="78" xfId="1" applyNumberFormat="1" applyFont="1" applyFill="1" applyBorder="1" applyAlignment="1">
      <alignment horizontal="center" vertical="center"/>
    </xf>
    <xf numFmtId="10" fontId="26" fillId="5" borderId="78" xfId="1" applyNumberFormat="1" applyFont="1" applyFill="1" applyBorder="1" applyAlignment="1">
      <alignment horizontal="center" vertical="center"/>
    </xf>
    <xf numFmtId="0" fontId="24" fillId="4" borderId="78" xfId="1" applyFont="1" applyFill="1" applyBorder="1" applyAlignment="1">
      <alignment vertical="center"/>
    </xf>
    <xf numFmtId="4" fontId="29" fillId="4" borderId="78" xfId="1" applyNumberFormat="1" applyFont="1" applyFill="1" applyBorder="1" applyAlignment="1">
      <alignment horizontal="center" vertical="center"/>
    </xf>
    <xf numFmtId="0" fontId="24" fillId="8" borderId="78" xfId="1" applyFont="1" applyFill="1" applyBorder="1" applyAlignment="1">
      <alignment vertical="center"/>
    </xf>
    <xf numFmtId="4" fontId="29" fillId="8" borderId="78" xfId="1" applyNumberFormat="1" applyFont="1" applyFill="1" applyBorder="1" applyAlignment="1">
      <alignment horizontal="center" vertical="center"/>
    </xf>
    <xf numFmtId="3" fontId="27" fillId="0" borderId="79" xfId="1" applyNumberFormat="1" applyFont="1" applyFill="1" applyBorder="1" applyAlignment="1">
      <alignment horizontal="center" vertical="center"/>
    </xf>
    <xf numFmtId="3" fontId="27" fillId="0" borderId="77" xfId="1" applyNumberFormat="1" applyFont="1" applyFill="1" applyBorder="1" applyAlignment="1">
      <alignment horizontal="center" vertical="center"/>
    </xf>
    <xf numFmtId="0" fontId="36" fillId="0" borderId="77" xfId="1" applyNumberFormat="1" applyFont="1" applyFill="1" applyBorder="1" applyAlignment="1">
      <alignment horizontal="center" vertical="center"/>
    </xf>
    <xf numFmtId="0" fontId="24" fillId="3" borderId="78" xfId="1" applyFont="1" applyFill="1" applyBorder="1" applyAlignment="1">
      <alignment vertical="center"/>
    </xf>
    <xf numFmtId="10" fontId="29" fillId="3" borderId="78" xfId="1" applyNumberFormat="1" applyFont="1" applyFill="1" applyBorder="1" applyAlignment="1">
      <alignment horizontal="center" vertical="center"/>
    </xf>
    <xf numFmtId="3" fontId="24" fillId="3" borderId="78" xfId="1" applyNumberFormat="1" applyFont="1" applyFill="1" applyBorder="1" applyAlignment="1">
      <alignment horizontal="center" vertical="center"/>
    </xf>
    <xf numFmtId="9" fontId="87" fillId="0" borderId="77" xfId="7" applyFont="1" applyFill="1" applyBorder="1" applyAlignment="1">
      <alignment horizontal="center" vertical="center" wrapText="1"/>
    </xf>
    <xf numFmtId="9" fontId="36" fillId="4" borderId="76" xfId="7" applyFont="1" applyFill="1" applyBorder="1" applyAlignment="1">
      <alignment horizontal="center" vertical="center"/>
    </xf>
    <xf numFmtId="3" fontId="27" fillId="5" borderId="80" xfId="1" applyNumberFormat="1" applyFont="1" applyFill="1" applyBorder="1" applyAlignment="1">
      <alignment horizontal="center" vertical="center"/>
    </xf>
    <xf numFmtId="10" fontId="36" fillId="0" borderId="77" xfId="1" applyNumberFormat="1" applyFont="1" applyFill="1" applyBorder="1" applyAlignment="1">
      <alignment horizontal="center" vertical="center"/>
    </xf>
    <xf numFmtId="3" fontId="27" fillId="0" borderId="82" xfId="1" applyNumberFormat="1" applyFont="1" applyFill="1" applyBorder="1" applyAlignment="1">
      <alignment horizontal="center" vertical="center"/>
    </xf>
    <xf numFmtId="0" fontId="19" fillId="0" borderId="83" xfId="1" applyFont="1" applyBorder="1" applyAlignment="1">
      <alignment vertical="center"/>
    </xf>
    <xf numFmtId="3" fontId="27" fillId="0" borderId="84" xfId="1" applyNumberFormat="1" applyFont="1" applyFill="1" applyBorder="1" applyAlignment="1">
      <alignment horizontal="center" vertical="center"/>
    </xf>
    <xf numFmtId="3" fontId="27" fillId="0" borderId="85" xfId="1" applyNumberFormat="1" applyFont="1" applyFill="1" applyBorder="1" applyAlignment="1">
      <alignment horizontal="center" vertical="center"/>
    </xf>
    <xf numFmtId="0" fontId="24" fillId="11" borderId="82" xfId="1" applyFont="1" applyFill="1" applyBorder="1" applyAlignment="1">
      <alignment vertical="center"/>
    </xf>
    <xf numFmtId="0" fontId="19" fillId="0" borderId="82" xfId="1" applyFont="1" applyFill="1" applyBorder="1" applyAlignment="1">
      <alignment horizontal="left" vertical="center"/>
    </xf>
    <xf numFmtId="0" fontId="19" fillId="0" borderId="85" xfId="1" applyFont="1" applyBorder="1" applyAlignment="1">
      <alignment horizontal="left" vertical="center"/>
    </xf>
    <xf numFmtId="0" fontId="19" fillId="0" borderId="86" xfId="1" applyFont="1" applyFill="1" applyBorder="1" applyAlignment="1">
      <alignment vertical="center"/>
    </xf>
    <xf numFmtId="3" fontId="27" fillId="0" borderId="87" xfId="1" applyNumberFormat="1" applyFont="1" applyFill="1" applyBorder="1" applyAlignment="1">
      <alignment horizontal="center" vertical="center"/>
    </xf>
    <xf numFmtId="10" fontId="36" fillId="0" borderId="87" xfId="1" applyNumberFormat="1" applyFont="1" applyFill="1" applyBorder="1" applyAlignment="1">
      <alignment horizontal="center" vertical="center"/>
    </xf>
    <xf numFmtId="9" fontId="36" fillId="0" borderId="87" xfId="7" applyFont="1" applyFill="1" applyBorder="1" applyAlignment="1">
      <alignment horizontal="center" vertical="center"/>
    </xf>
    <xf numFmtId="0" fontId="19" fillId="0" borderId="86" xfId="1" applyFont="1" applyFill="1" applyBorder="1" applyAlignment="1">
      <alignment horizontal="left" vertical="center"/>
    </xf>
    <xf numFmtId="3" fontId="26" fillId="5" borderId="86" xfId="1" applyNumberFormat="1" applyFont="1" applyFill="1" applyBorder="1" applyAlignment="1">
      <alignment horizontal="center" vertical="center"/>
    </xf>
    <xf numFmtId="9" fontId="27" fillId="0" borderId="87" xfId="7" applyFont="1" applyFill="1" applyBorder="1" applyAlignment="1">
      <alignment horizontal="center" vertical="center"/>
    </xf>
    <xf numFmtId="0" fontId="19" fillId="0" borderId="86" xfId="1" applyFont="1" applyBorder="1" applyAlignment="1">
      <alignment horizontal="left" vertical="center"/>
    </xf>
    <xf numFmtId="3" fontId="27" fillId="0" borderId="86" xfId="1" applyNumberFormat="1" applyFont="1" applyFill="1" applyBorder="1" applyAlignment="1">
      <alignment horizontal="center" vertical="center"/>
    </xf>
    <xf numFmtId="9" fontId="26" fillId="0" borderId="86" xfId="7" applyFont="1" applyFill="1" applyBorder="1" applyAlignment="1">
      <alignment horizontal="center" vertical="center"/>
    </xf>
    <xf numFmtId="4" fontId="19" fillId="0" borderId="87" xfId="1" applyNumberFormat="1" applyFont="1" applyFill="1" applyBorder="1" applyAlignment="1">
      <alignment horizontal="center" vertical="center"/>
    </xf>
    <xf numFmtId="10" fontId="24" fillId="0" borderId="87" xfId="1" applyNumberFormat="1" applyFont="1" applyFill="1" applyBorder="1" applyAlignment="1">
      <alignment horizontal="center" vertical="center"/>
    </xf>
    <xf numFmtId="10" fontId="29" fillId="0" borderId="87" xfId="1" applyNumberFormat="1" applyFont="1" applyFill="1" applyBorder="1" applyAlignment="1">
      <alignment horizontal="center" vertical="center"/>
    </xf>
    <xf numFmtId="9" fontId="67" fillId="0" borderId="87" xfId="7" applyFont="1" applyFill="1" applyBorder="1" applyAlignment="1">
      <alignment horizontal="center" vertical="center"/>
    </xf>
    <xf numFmtId="4" fontId="25" fillId="8" borderId="77" xfId="1" applyNumberFormat="1" applyFont="1" applyFill="1" applyBorder="1" applyAlignment="1">
      <alignment horizontal="center" vertical="center"/>
    </xf>
    <xf numFmtId="3" fontId="87" fillId="0" borderId="76" xfId="1" applyNumberFormat="1" applyFont="1" applyFill="1" applyBorder="1" applyAlignment="1">
      <alignment horizontal="center" vertical="center"/>
    </xf>
    <xf numFmtId="3" fontId="87" fillId="0" borderId="79" xfId="6" applyNumberFormat="1" applyFont="1" applyFill="1" applyBorder="1" applyAlignment="1">
      <alignment horizontal="center" vertical="center"/>
    </xf>
    <xf numFmtId="9" fontId="98" fillId="0" borderId="77" xfId="7" applyFont="1" applyFill="1" applyBorder="1" applyAlignment="1">
      <alignment horizontal="center" vertical="center"/>
    </xf>
    <xf numFmtId="4" fontId="87" fillId="0" borderId="77" xfId="1" applyNumberFormat="1" applyFont="1" applyFill="1" applyBorder="1" applyAlignment="1">
      <alignment horizontal="center" vertical="center"/>
    </xf>
    <xf numFmtId="3" fontId="87" fillId="0" borderId="77" xfId="1" applyNumberFormat="1" applyFont="1" applyFill="1" applyBorder="1" applyAlignment="1">
      <alignment horizontal="center" vertical="center"/>
    </xf>
    <xf numFmtId="4" fontId="87" fillId="0" borderId="77" xfId="1" applyNumberFormat="1" applyFont="1" applyFill="1" applyBorder="1" applyAlignment="1">
      <alignment horizontal="center" vertical="center" wrapText="1"/>
    </xf>
    <xf numFmtId="166" fontId="87" fillId="0" borderId="77" xfId="6" applyFont="1" applyFill="1" applyBorder="1" applyAlignment="1">
      <alignment horizontal="center" vertical="center"/>
    </xf>
    <xf numFmtId="49" fontId="25" fillId="0" borderId="77" xfId="1" applyNumberFormat="1" applyFont="1" applyFill="1" applyBorder="1" applyAlignment="1">
      <alignment horizontal="center" vertical="center" wrapText="1"/>
    </xf>
    <xf numFmtId="9" fontId="66" fillId="0" borderId="87" xfId="7" applyFont="1" applyFill="1" applyBorder="1" applyAlignment="1">
      <alignment horizontal="center" vertical="center" wrapText="1"/>
    </xf>
    <xf numFmtId="10" fontId="27" fillId="0" borderId="87" xfId="1" applyNumberFormat="1" applyFont="1" applyFill="1" applyBorder="1" applyAlignment="1">
      <alignment horizontal="center" vertical="center"/>
    </xf>
    <xf numFmtId="0" fontId="24" fillId="3" borderId="80" xfId="1" applyFont="1" applyFill="1" applyBorder="1" applyAlignment="1">
      <alignment vertical="center"/>
    </xf>
    <xf numFmtId="9" fontId="24" fillId="3" borderId="80" xfId="7" applyFont="1" applyFill="1" applyBorder="1" applyAlignment="1">
      <alignment horizontal="center" vertical="center"/>
    </xf>
    <xf numFmtId="9" fontId="24" fillId="3" borderId="79" xfId="7" applyFont="1" applyFill="1" applyBorder="1" applyAlignment="1">
      <alignment horizontal="center" vertical="center"/>
    </xf>
    <xf numFmtId="10" fontId="29" fillId="3" borderId="79" xfId="1" applyNumberFormat="1" applyFont="1" applyFill="1" applyBorder="1" applyAlignment="1">
      <alignment horizontal="center" vertical="center"/>
    </xf>
    <xf numFmtId="10" fontId="24" fillId="3" borderId="80" xfId="1" applyNumberFormat="1" applyFont="1" applyFill="1" applyBorder="1" applyAlignment="1">
      <alignment horizontal="center" vertical="center"/>
    </xf>
    <xf numFmtId="10" fontId="24" fillId="3" borderId="79" xfId="1" applyNumberFormat="1" applyFont="1" applyFill="1" applyBorder="1" applyAlignment="1">
      <alignment horizontal="center" vertical="center"/>
    </xf>
    <xf numFmtId="10" fontId="29" fillId="3" borderId="80" xfId="1" applyNumberFormat="1" applyFont="1" applyFill="1" applyBorder="1" applyAlignment="1">
      <alignment horizontal="center" vertical="center"/>
    </xf>
    <xf numFmtId="9" fontId="36" fillId="26" borderId="77" xfId="7" applyFont="1" applyFill="1" applyBorder="1" applyAlignment="1">
      <alignment horizontal="center" vertical="center"/>
    </xf>
    <xf numFmtId="0" fontId="24" fillId="4" borderId="80" xfId="1" applyFont="1" applyFill="1" applyBorder="1" applyAlignment="1">
      <alignment vertical="center"/>
    </xf>
    <xf numFmtId="3" fontId="27" fillId="0" borderId="78" xfId="1" applyNumberFormat="1" applyFont="1" applyFill="1" applyBorder="1" applyAlignment="1">
      <alignment horizontal="center" vertical="center"/>
    </xf>
    <xf numFmtId="9" fontId="36" fillId="4" borderId="77" xfId="7" applyFont="1" applyFill="1" applyBorder="1" applyAlignment="1">
      <alignment horizontal="center" vertical="center"/>
    </xf>
    <xf numFmtId="4" fontId="65" fillId="4" borderId="79" xfId="1" applyNumberFormat="1" applyFont="1" applyFill="1" applyBorder="1" applyAlignment="1">
      <alignment horizontal="center" vertical="center"/>
    </xf>
    <xf numFmtId="3" fontId="25" fillId="8" borderId="77" xfId="1" applyNumberFormat="1" applyFont="1" applyFill="1" applyBorder="1" applyAlignment="1">
      <alignment horizontal="center" vertical="center"/>
    </xf>
    <xf numFmtId="4" fontId="25" fillId="20" borderId="77" xfId="1" applyNumberFormat="1" applyFont="1" applyFill="1" applyBorder="1" applyAlignment="1">
      <alignment horizontal="center" vertical="center"/>
    </xf>
    <xf numFmtId="4" fontId="25" fillId="0" borderId="87" xfId="1" applyNumberFormat="1" applyFont="1" applyFill="1" applyBorder="1" applyAlignment="1">
      <alignment horizontal="center" vertical="center" wrapText="1"/>
    </xf>
    <xf numFmtId="9" fontId="87" fillId="0" borderId="77" xfId="7" applyFont="1" applyFill="1" applyBorder="1" applyAlignment="1">
      <alignment horizontal="center" vertical="center"/>
    </xf>
    <xf numFmtId="4" fontId="87" fillId="0" borderId="87" xfId="1" applyNumberFormat="1" applyFont="1" applyFill="1" applyBorder="1" applyAlignment="1">
      <alignment horizontal="center" vertical="center" wrapText="1"/>
    </xf>
    <xf numFmtId="49" fontId="27" fillId="0" borderId="77" xfId="7" applyNumberFormat="1" applyFont="1" applyFill="1" applyBorder="1" applyAlignment="1">
      <alignment horizontal="center" vertical="center" wrapText="1"/>
    </xf>
    <xf numFmtId="4" fontId="36" fillId="0" borderId="58" xfId="1" applyNumberFormat="1" applyFont="1" applyFill="1" applyBorder="1" applyAlignment="1">
      <alignment horizontal="center" vertical="center"/>
    </xf>
    <xf numFmtId="4" fontId="36" fillId="0" borderId="77" xfId="1" applyNumberFormat="1" applyFont="1" applyFill="1" applyBorder="1" applyAlignment="1">
      <alignment horizontal="center" vertical="center"/>
    </xf>
    <xf numFmtId="0" fontId="19" fillId="0" borderId="79" xfId="1" applyFont="1" applyBorder="1" applyAlignment="1">
      <alignment vertical="center" wrapText="1"/>
    </xf>
    <xf numFmtId="0" fontId="19" fillId="0" borderId="76" xfId="1" applyFont="1" applyFill="1" applyBorder="1" applyAlignment="1">
      <alignment vertical="center"/>
    </xf>
    <xf numFmtId="0" fontId="19" fillId="0" borderId="76" xfId="1" applyFont="1" applyFill="1" applyBorder="1" applyAlignment="1">
      <alignment horizontal="left" vertical="center"/>
    </xf>
    <xf numFmtId="3" fontId="27" fillId="5" borderId="79" xfId="1" applyNumberFormat="1" applyFont="1" applyFill="1" applyBorder="1" applyAlignment="1">
      <alignment horizontal="center" vertical="center"/>
    </xf>
    <xf numFmtId="167" fontId="27" fillId="0" borderId="77" xfId="6" applyNumberFormat="1" applyFont="1" applyFill="1" applyBorder="1" applyAlignment="1">
      <alignment horizontal="center" vertical="center"/>
    </xf>
    <xf numFmtId="9" fontId="39" fillId="0" borderId="77" xfId="7" applyFont="1" applyFill="1" applyBorder="1" applyAlignment="1">
      <alignment horizontal="center" vertical="center"/>
    </xf>
    <xf numFmtId="9" fontId="29" fillId="3" borderId="79" xfId="7" applyFont="1" applyFill="1" applyBorder="1" applyAlignment="1">
      <alignment horizontal="center" vertical="center"/>
    </xf>
    <xf numFmtId="9" fontId="29" fillId="3" borderId="63" xfId="7" applyFont="1" applyFill="1" applyBorder="1" applyAlignment="1">
      <alignment horizontal="center" vertical="center"/>
    </xf>
    <xf numFmtId="0" fontId="16" fillId="0" borderId="0" xfId="1" applyFont="1" applyAlignment="1">
      <alignment vertical="center"/>
    </xf>
    <xf numFmtId="0" fontId="16" fillId="0" borderId="0" xfId="1" applyFont="1"/>
    <xf numFmtId="4" fontId="25" fillId="0" borderId="88" xfId="1" applyNumberFormat="1" applyFont="1" applyFill="1" applyBorder="1" applyAlignment="1">
      <alignment horizontal="center" vertical="center"/>
    </xf>
    <xf numFmtId="4" fontId="27" fillId="0" borderId="79" xfId="6" applyNumberFormat="1" applyFont="1" applyFill="1" applyBorder="1" applyAlignment="1">
      <alignment horizontal="center" vertical="center"/>
    </xf>
    <xf numFmtId="9" fontId="36" fillId="0" borderId="88" xfId="7" applyFont="1" applyFill="1" applyBorder="1" applyAlignment="1">
      <alignment horizontal="center" vertical="center"/>
    </xf>
    <xf numFmtId="9" fontId="27" fillId="0" borderId="88" xfId="7" applyFont="1" applyFill="1" applyBorder="1" applyAlignment="1">
      <alignment horizontal="center" vertical="center"/>
    </xf>
    <xf numFmtId="10" fontId="27" fillId="0" borderId="88" xfId="1" applyNumberFormat="1" applyFont="1" applyFill="1" applyBorder="1" applyAlignment="1">
      <alignment horizontal="center" vertical="center"/>
    </xf>
    <xf numFmtId="10" fontId="24" fillId="0" borderId="88" xfId="1" applyNumberFormat="1" applyFont="1" applyFill="1" applyBorder="1" applyAlignment="1">
      <alignment horizontal="center" vertical="center"/>
    </xf>
    <xf numFmtId="10" fontId="26" fillId="5" borderId="88" xfId="1" applyNumberFormat="1" applyFont="1" applyFill="1" applyBorder="1" applyAlignment="1">
      <alignment horizontal="center" vertical="center"/>
    </xf>
    <xf numFmtId="3" fontId="24" fillId="4" borderId="89" xfId="1" applyNumberFormat="1" applyFont="1" applyFill="1" applyBorder="1" applyAlignment="1">
      <alignment horizontal="center" vertical="center"/>
    </xf>
    <xf numFmtId="1" fontId="27" fillId="0" borderId="58" xfId="7" applyNumberFormat="1" applyFont="1" applyFill="1" applyBorder="1" applyAlignment="1">
      <alignment horizontal="center" vertical="center"/>
    </xf>
    <xf numFmtId="9" fontId="24" fillId="3" borderId="89" xfId="7" applyFont="1" applyFill="1" applyBorder="1" applyAlignment="1">
      <alignment horizontal="center" vertical="center"/>
    </xf>
    <xf numFmtId="3" fontId="24" fillId="3" borderId="89" xfId="1" applyNumberFormat="1" applyFont="1" applyFill="1" applyBorder="1" applyAlignment="1">
      <alignment horizontal="center" vertical="center"/>
    </xf>
    <xf numFmtId="3" fontId="27" fillId="0" borderId="63" xfId="7" applyNumberFormat="1" applyFont="1" applyFill="1" applyBorder="1" applyAlignment="1">
      <alignment horizontal="center" vertical="center"/>
    </xf>
    <xf numFmtId="4" fontId="117" fillId="0" borderId="0" xfId="1" applyNumberFormat="1" applyFont="1" applyAlignment="1">
      <alignment horizontal="center" vertical="center"/>
    </xf>
    <xf numFmtId="49" fontId="18" fillId="27" borderId="3" xfId="0" applyNumberFormat="1" applyFont="1" applyFill="1" applyBorder="1" applyAlignment="1">
      <alignment horizontal="center" vertical="center"/>
    </xf>
    <xf numFmtId="49" fontId="18" fillId="27" borderId="9" xfId="0" applyNumberFormat="1" applyFont="1" applyFill="1" applyBorder="1" applyAlignment="1">
      <alignment horizontal="center" vertical="center"/>
    </xf>
    <xf numFmtId="4" fontId="25" fillId="0" borderId="77" xfId="1" applyNumberFormat="1" applyFont="1" applyFill="1" applyBorder="1" applyAlignment="1">
      <alignment horizontal="center" vertical="center"/>
    </xf>
    <xf numFmtId="4" fontId="25" fillId="0" borderId="87" xfId="1" applyNumberFormat="1" applyFont="1" applyFill="1" applyBorder="1" applyAlignment="1">
      <alignment horizontal="center" vertical="center"/>
    </xf>
    <xf numFmtId="3" fontId="27" fillId="0" borderId="79" xfId="6" applyNumberFormat="1" applyFont="1" applyFill="1" applyBorder="1" applyAlignment="1">
      <alignment horizontal="center" vertical="center"/>
    </xf>
    <xf numFmtId="9" fontId="26" fillId="0" borderId="88" xfId="7" applyFont="1" applyFill="1" applyBorder="1" applyAlignment="1">
      <alignment horizontal="center" vertical="center"/>
    </xf>
    <xf numFmtId="10" fontId="26" fillId="0" borderId="88" xfId="1" applyNumberFormat="1" applyFont="1" applyFill="1" applyBorder="1" applyAlignment="1">
      <alignment horizontal="center" vertical="center"/>
    </xf>
    <xf numFmtId="10" fontId="65" fillId="0" borderId="88" xfId="1" applyNumberFormat="1" applyFont="1" applyFill="1" applyBorder="1" applyAlignment="1">
      <alignment horizontal="center" vertical="center"/>
    </xf>
    <xf numFmtId="10" fontId="24" fillId="0" borderId="85" xfId="1" applyNumberFormat="1" applyFont="1" applyFill="1" applyBorder="1" applyAlignment="1">
      <alignment horizontal="center" vertical="center"/>
    </xf>
    <xf numFmtId="0" fontId="19" fillId="0" borderId="82" xfId="1" applyFont="1" applyFill="1" applyBorder="1" applyAlignment="1">
      <alignment vertical="center"/>
    </xf>
    <xf numFmtId="10" fontId="67" fillId="0" borderId="88" xfId="1" applyNumberFormat="1" applyFont="1" applyFill="1" applyBorder="1" applyAlignment="1">
      <alignment horizontal="center" vertical="center"/>
    </xf>
    <xf numFmtId="0" fontId="19" fillId="0" borderId="85" xfId="1" applyFont="1" applyBorder="1" applyAlignment="1">
      <alignment vertical="center"/>
    </xf>
    <xf numFmtId="10" fontId="67" fillId="5" borderId="88" xfId="1" applyNumberFormat="1" applyFont="1" applyFill="1" applyBorder="1" applyAlignment="1">
      <alignment horizontal="center" vertical="center"/>
    </xf>
    <xf numFmtId="0" fontId="24" fillId="4" borderId="89" xfId="1" applyFont="1" applyFill="1" applyBorder="1" applyAlignment="1">
      <alignment vertical="center"/>
    </xf>
    <xf numFmtId="3" fontId="103" fillId="4" borderId="89" xfId="1" applyNumberFormat="1" applyFont="1" applyFill="1" applyBorder="1" applyAlignment="1">
      <alignment horizontal="center" vertical="center"/>
    </xf>
    <xf numFmtId="0" fontId="24" fillId="8" borderId="89" xfId="1" applyFont="1" applyFill="1" applyBorder="1" applyAlignment="1">
      <alignment vertical="center"/>
    </xf>
    <xf numFmtId="3" fontId="24" fillId="8" borderId="89" xfId="1" applyNumberFormat="1" applyFont="1" applyFill="1" applyBorder="1" applyAlignment="1">
      <alignment horizontal="center" vertical="center"/>
    </xf>
    <xf numFmtId="0" fontId="24" fillId="6" borderId="82" xfId="1" applyFont="1" applyFill="1" applyBorder="1" applyAlignment="1">
      <alignment vertical="center" wrapText="1"/>
    </xf>
    <xf numFmtId="0" fontId="24" fillId="3" borderId="85" xfId="1" applyFont="1" applyFill="1" applyBorder="1" applyAlignment="1">
      <alignment vertical="center"/>
    </xf>
    <xf numFmtId="9" fontId="103" fillId="3" borderId="89" xfId="7" applyFont="1" applyFill="1" applyBorder="1" applyAlignment="1">
      <alignment horizontal="center" vertical="center"/>
    </xf>
    <xf numFmtId="3" fontId="103" fillId="3" borderId="89" xfId="1" applyNumberFormat="1" applyFont="1" applyFill="1" applyBorder="1" applyAlignment="1">
      <alignment horizontal="center" vertical="center"/>
    </xf>
    <xf numFmtId="0" fontId="19" fillId="0" borderId="83" xfId="1" applyFont="1" applyBorder="1" applyAlignment="1">
      <alignment horizontal="left" vertical="center"/>
    </xf>
    <xf numFmtId="3" fontId="25" fillId="0" borderId="84" xfId="1" applyNumberFormat="1" applyFont="1" applyFill="1" applyBorder="1" applyAlignment="1">
      <alignment horizontal="center" vertical="center"/>
    </xf>
    <xf numFmtId="3" fontId="25" fillId="0" borderId="83" xfId="1" applyNumberFormat="1" applyFont="1" applyFill="1" applyBorder="1" applyAlignment="1">
      <alignment horizontal="center" vertical="center"/>
    </xf>
    <xf numFmtId="4" fontId="25" fillId="0" borderId="83" xfId="1" applyNumberFormat="1" applyFont="1" applyFill="1" applyBorder="1" applyAlignment="1">
      <alignment horizontal="center" vertical="center"/>
    </xf>
    <xf numFmtId="3" fontId="27" fillId="0" borderId="89" xfId="1" applyNumberFormat="1" applyFont="1" applyFill="1" applyBorder="1" applyAlignment="1">
      <alignment horizontal="center" vertical="center"/>
    </xf>
    <xf numFmtId="4" fontId="27" fillId="0" borderId="89" xfId="1" applyNumberFormat="1" applyFont="1" applyFill="1" applyBorder="1" applyAlignment="1">
      <alignment horizontal="center" vertical="center"/>
    </xf>
    <xf numFmtId="10" fontId="36" fillId="0" borderId="88" xfId="1" applyNumberFormat="1" applyFont="1" applyFill="1" applyBorder="1" applyAlignment="1">
      <alignment horizontal="center" vertical="center"/>
    </xf>
    <xf numFmtId="10" fontId="27" fillId="0" borderId="85" xfId="1" applyNumberFormat="1" applyFont="1" applyFill="1" applyBorder="1" applyAlignment="1">
      <alignment horizontal="center" vertical="center"/>
    </xf>
    <xf numFmtId="0" fontId="24" fillId="0" borderId="83" xfId="1" applyFont="1" applyFill="1" applyBorder="1" applyAlignment="1">
      <alignment vertical="center"/>
    </xf>
    <xf numFmtId="10" fontId="24" fillId="0" borderId="84" xfId="1" applyNumberFormat="1" applyFont="1" applyFill="1" applyBorder="1" applyAlignment="1">
      <alignment horizontal="center" vertical="center"/>
    </xf>
    <xf numFmtId="10" fontId="24" fillId="0" borderId="83" xfId="1" applyNumberFormat="1" applyFont="1" applyFill="1" applyBorder="1" applyAlignment="1">
      <alignment horizontal="center" vertical="center"/>
    </xf>
    <xf numFmtId="0" fontId="19" fillId="0" borderId="83" xfId="1" applyFont="1" applyFill="1" applyBorder="1" applyAlignment="1">
      <alignment vertical="center"/>
    </xf>
    <xf numFmtId="3" fontId="27" fillId="0" borderId="83" xfId="1" applyNumberFormat="1" applyFont="1" applyFill="1" applyBorder="1" applyAlignment="1">
      <alignment horizontal="center" vertical="center"/>
    </xf>
    <xf numFmtId="3" fontId="26" fillId="5" borderId="89" xfId="1" applyNumberFormat="1" applyFont="1" applyFill="1" applyBorder="1" applyAlignment="1">
      <alignment horizontal="center" vertical="center"/>
    </xf>
    <xf numFmtId="3" fontId="26" fillId="5" borderId="88" xfId="1" applyNumberFormat="1" applyFont="1" applyFill="1" applyBorder="1" applyAlignment="1">
      <alignment horizontal="center" vertical="center"/>
    </xf>
    <xf numFmtId="10" fontId="39" fillId="5" borderId="88" xfId="1" applyNumberFormat="1" applyFont="1" applyFill="1" applyBorder="1" applyAlignment="1">
      <alignment horizontal="center" vertical="center"/>
    </xf>
    <xf numFmtId="10" fontId="26" fillId="5" borderId="85" xfId="1" applyNumberFormat="1" applyFont="1" applyFill="1" applyBorder="1" applyAlignment="1">
      <alignment horizontal="center" vertical="center"/>
    </xf>
    <xf numFmtId="0" fontId="19" fillId="0" borderId="83" xfId="1" applyFont="1" applyFill="1" applyBorder="1" applyAlignment="1">
      <alignment horizontal="left" vertical="center"/>
    </xf>
    <xf numFmtId="3" fontId="26" fillId="5" borderId="84" xfId="1" applyNumberFormat="1" applyFont="1" applyFill="1" applyBorder="1" applyAlignment="1">
      <alignment horizontal="center" vertical="center"/>
    </xf>
    <xf numFmtId="3" fontId="26" fillId="5" borderId="83" xfId="1" applyNumberFormat="1" applyFont="1" applyFill="1" applyBorder="1" applyAlignment="1">
      <alignment horizontal="center" vertical="center"/>
    </xf>
    <xf numFmtId="9" fontId="36" fillId="0" borderId="83" xfId="7" applyFont="1" applyFill="1" applyBorder="1" applyAlignment="1">
      <alignment horizontal="center" vertical="center"/>
    </xf>
    <xf numFmtId="3" fontId="24" fillId="8" borderId="83" xfId="1" applyNumberFormat="1" applyFont="1" applyFill="1" applyBorder="1" applyAlignment="1">
      <alignment horizontal="center" vertical="center"/>
    </xf>
    <xf numFmtId="10" fontId="26" fillId="0" borderId="82" xfId="1" applyNumberFormat="1" applyFont="1" applyFill="1" applyBorder="1" applyAlignment="1">
      <alignment horizontal="center" vertical="center"/>
    </xf>
    <xf numFmtId="4" fontId="69" fillId="0" borderId="0" xfId="1" applyNumberFormat="1" applyFont="1" applyFill="1" applyAlignment="1">
      <alignment horizontal="center" vertical="center"/>
    </xf>
    <xf numFmtId="3" fontId="25" fillId="0" borderId="88" xfId="1" applyNumberFormat="1" applyFont="1" applyFill="1" applyBorder="1" applyAlignment="1">
      <alignment horizontal="center" vertical="center"/>
    </xf>
    <xf numFmtId="3" fontId="16" fillId="0" borderId="0" xfId="1" applyNumberFormat="1" applyFont="1" applyAlignment="1">
      <alignment horizontal="center" vertical="center"/>
    </xf>
    <xf numFmtId="0" fontId="90" fillId="0" borderId="0" xfId="1" applyFont="1"/>
    <xf numFmtId="0" fontId="24" fillId="0" borderId="85" xfId="1" applyFont="1" applyFill="1" applyBorder="1" applyAlignment="1">
      <alignment vertical="center"/>
    </xf>
    <xf numFmtId="10" fontId="24" fillId="0" borderId="89" xfId="1" applyNumberFormat="1" applyFont="1" applyFill="1" applyBorder="1" applyAlignment="1">
      <alignment horizontal="center" vertical="center"/>
    </xf>
    <xf numFmtId="10" fontId="29" fillId="0" borderId="88" xfId="1" applyNumberFormat="1" applyFont="1" applyFill="1" applyBorder="1" applyAlignment="1">
      <alignment horizontal="center" vertical="center"/>
    </xf>
    <xf numFmtId="0" fontId="19" fillId="0" borderId="82" xfId="1" applyFont="1" applyFill="1" applyBorder="1" applyAlignment="1">
      <alignment horizontal="left" vertical="center" wrapText="1"/>
    </xf>
    <xf numFmtId="4" fontId="29" fillId="4" borderId="89" xfId="1" applyNumberFormat="1" applyFont="1" applyFill="1" applyBorder="1" applyAlignment="1">
      <alignment horizontal="center" vertical="center"/>
    </xf>
    <xf numFmtId="10" fontId="29" fillId="3" borderId="89" xfId="1" applyNumberFormat="1" applyFont="1" applyFill="1" applyBorder="1" applyAlignment="1">
      <alignment horizontal="center" vertical="center"/>
    </xf>
    <xf numFmtId="9" fontId="26" fillId="0" borderId="91" xfId="7" applyFont="1" applyFill="1" applyBorder="1" applyAlignment="1">
      <alignment horizontal="center" vertical="center"/>
    </xf>
    <xf numFmtId="9" fontId="36" fillId="4" borderId="92" xfId="7" applyFont="1" applyFill="1" applyBorder="1" applyAlignment="1">
      <alignment horizontal="center" vertical="center"/>
    </xf>
    <xf numFmtId="3" fontId="27" fillId="0" borderId="93" xfId="1" applyNumberFormat="1" applyFont="1" applyFill="1" applyBorder="1" applyAlignment="1">
      <alignment horizontal="center" vertical="center"/>
    </xf>
    <xf numFmtId="3" fontId="27" fillId="0" borderId="94" xfId="1" applyNumberFormat="1" applyFont="1" applyFill="1" applyBorder="1" applyAlignment="1">
      <alignment horizontal="center" vertical="center"/>
    </xf>
    <xf numFmtId="3" fontId="27" fillId="0" borderId="94" xfId="6" applyNumberFormat="1" applyFont="1" applyFill="1" applyBorder="1" applyAlignment="1">
      <alignment horizontal="center" vertical="center"/>
    </xf>
    <xf numFmtId="9" fontId="36" fillId="0" borderId="92" xfId="7" applyFont="1" applyFill="1" applyBorder="1" applyAlignment="1">
      <alignment horizontal="center" vertical="center"/>
    </xf>
    <xf numFmtId="9" fontId="27" fillId="0" borderId="92" xfId="7" applyFont="1" applyFill="1" applyBorder="1" applyAlignment="1">
      <alignment horizontal="center" vertical="center"/>
    </xf>
    <xf numFmtId="9" fontId="26" fillId="0" borderId="92" xfId="7" applyFont="1" applyFill="1" applyBorder="1" applyAlignment="1">
      <alignment horizontal="center" vertical="center"/>
    </xf>
    <xf numFmtId="0" fontId="36" fillId="0" borderId="92" xfId="1" applyNumberFormat="1" applyFont="1" applyFill="1" applyBorder="1" applyAlignment="1">
      <alignment horizontal="center" vertical="center"/>
    </xf>
    <xf numFmtId="0" fontId="27" fillId="0" borderId="92" xfId="1" applyNumberFormat="1" applyFont="1" applyFill="1" applyBorder="1" applyAlignment="1">
      <alignment horizontal="center" vertical="center"/>
    </xf>
    <xf numFmtId="0" fontId="26" fillId="0" borderId="92" xfId="1" applyNumberFormat="1" applyFont="1" applyFill="1" applyBorder="1" applyAlignment="1">
      <alignment horizontal="center" vertical="center"/>
    </xf>
    <xf numFmtId="3" fontId="27" fillId="5" borderId="94" xfId="1" applyNumberFormat="1" applyFont="1" applyFill="1" applyBorder="1" applyAlignment="1">
      <alignment horizontal="center" vertical="center"/>
    </xf>
    <xf numFmtId="3" fontId="27" fillId="5" borderId="93" xfId="1" applyNumberFormat="1" applyFont="1" applyFill="1" applyBorder="1" applyAlignment="1">
      <alignment horizontal="center" vertical="center"/>
    </xf>
    <xf numFmtId="0" fontId="19" fillId="0" borderId="93" xfId="1" applyFont="1" applyBorder="1" applyAlignment="1">
      <alignment vertical="center"/>
    </xf>
    <xf numFmtId="0" fontId="19" fillId="0" borderId="93" xfId="1" applyFont="1" applyBorder="1" applyAlignment="1">
      <alignment horizontal="left" vertical="center"/>
    </xf>
    <xf numFmtId="3" fontId="26" fillId="0" borderId="93" xfId="1" applyNumberFormat="1" applyFont="1" applyFill="1" applyBorder="1" applyAlignment="1">
      <alignment horizontal="center" vertical="center"/>
    </xf>
    <xf numFmtId="3" fontId="26" fillId="0" borderId="94" xfId="1" applyNumberFormat="1" applyFont="1" applyFill="1" applyBorder="1" applyAlignment="1">
      <alignment horizontal="center" vertical="center"/>
    </xf>
    <xf numFmtId="3" fontId="26" fillId="0" borderId="92" xfId="1" applyNumberFormat="1" applyFont="1" applyFill="1" applyBorder="1" applyAlignment="1">
      <alignment horizontal="center" vertical="center"/>
    </xf>
    <xf numFmtId="10" fontId="39" fillId="0" borderId="92" xfId="1" applyNumberFormat="1" applyFont="1" applyFill="1" applyBorder="1" applyAlignment="1">
      <alignment horizontal="center" vertical="center"/>
    </xf>
    <xf numFmtId="10" fontId="26" fillId="0" borderId="92" xfId="1" applyNumberFormat="1" applyFont="1" applyFill="1" applyBorder="1" applyAlignment="1">
      <alignment horizontal="center" vertical="center"/>
    </xf>
    <xf numFmtId="0" fontId="24" fillId="6" borderId="93" xfId="1" applyFont="1" applyFill="1" applyBorder="1" applyAlignment="1">
      <alignment vertical="center"/>
    </xf>
    <xf numFmtId="3" fontId="28" fillId="6" borderId="93" xfId="1" applyNumberFormat="1" applyFont="1" applyFill="1" applyBorder="1" applyAlignment="1">
      <alignment horizontal="center" vertical="center"/>
    </xf>
    <xf numFmtId="4" fontId="38" fillId="6" borderId="94" xfId="1" applyNumberFormat="1" applyFont="1" applyFill="1" applyBorder="1" applyAlignment="1">
      <alignment horizontal="center" vertical="center"/>
    </xf>
    <xf numFmtId="3" fontId="28" fillId="6" borderId="94" xfId="1" applyNumberFormat="1" applyFont="1" applyFill="1" applyBorder="1" applyAlignment="1">
      <alignment horizontal="center" vertical="center"/>
    </xf>
    <xf numFmtId="4" fontId="28" fillId="6" borderId="94" xfId="1" applyNumberFormat="1" applyFont="1" applyFill="1" applyBorder="1" applyAlignment="1">
      <alignment horizontal="center" vertical="center"/>
    </xf>
    <xf numFmtId="4" fontId="38" fillId="6" borderId="93" xfId="1" applyNumberFormat="1" applyFont="1" applyFill="1" applyBorder="1" applyAlignment="1">
      <alignment horizontal="center" vertical="center"/>
    </xf>
    <xf numFmtId="3" fontId="24" fillId="6" borderId="93" xfId="1" applyNumberFormat="1" applyFont="1" applyFill="1" applyBorder="1" applyAlignment="1">
      <alignment horizontal="center" vertical="center"/>
    </xf>
    <xf numFmtId="3" fontId="24" fillId="6" borderId="94" xfId="1" applyNumberFormat="1" applyFont="1" applyFill="1" applyBorder="1" applyAlignment="1">
      <alignment horizontal="center" vertical="center"/>
    </xf>
    <xf numFmtId="4" fontId="29" fillId="6" borderId="94" xfId="1" applyNumberFormat="1" applyFont="1" applyFill="1" applyBorder="1" applyAlignment="1">
      <alignment horizontal="center" vertical="center"/>
    </xf>
    <xf numFmtId="4" fontId="24" fillId="6" borderId="94" xfId="1" applyNumberFormat="1" applyFont="1" applyFill="1" applyBorder="1" applyAlignment="1">
      <alignment horizontal="center" vertical="center"/>
    </xf>
    <xf numFmtId="0" fontId="19" fillId="0" borderId="94" xfId="1" applyFont="1" applyBorder="1" applyAlignment="1">
      <alignment vertical="center"/>
    </xf>
    <xf numFmtId="0" fontId="19" fillId="0" borderId="94" xfId="1" applyFont="1" applyFill="1" applyBorder="1" applyAlignment="1">
      <alignment vertical="center"/>
    </xf>
    <xf numFmtId="4" fontId="24" fillId="11" borderId="93" xfId="1" applyNumberFormat="1" applyFont="1" applyFill="1" applyBorder="1" applyAlignment="1">
      <alignment horizontal="center" vertical="center"/>
    </xf>
    <xf numFmtId="4" fontId="24" fillId="11" borderId="94" xfId="1" applyNumberFormat="1" applyFont="1" applyFill="1" applyBorder="1" applyAlignment="1">
      <alignment horizontal="center" vertical="center"/>
    </xf>
    <xf numFmtId="4" fontId="29" fillId="11" borderId="94" xfId="1" applyNumberFormat="1" applyFont="1" applyFill="1" applyBorder="1" applyAlignment="1">
      <alignment horizontal="center" vertical="center"/>
    </xf>
    <xf numFmtId="4" fontId="29" fillId="11" borderId="93" xfId="1" applyNumberFormat="1" applyFont="1" applyFill="1" applyBorder="1" applyAlignment="1">
      <alignment horizontal="center" vertical="center"/>
    </xf>
    <xf numFmtId="4" fontId="65" fillId="11" borderId="94" xfId="1" applyNumberFormat="1" applyFont="1" applyFill="1" applyBorder="1" applyAlignment="1">
      <alignment horizontal="center" vertical="center"/>
    </xf>
    <xf numFmtId="4" fontId="27" fillId="0" borderId="93" xfId="1" applyNumberFormat="1" applyFont="1" applyFill="1" applyBorder="1" applyAlignment="1">
      <alignment horizontal="center" vertical="center"/>
    </xf>
    <xf numFmtId="4" fontId="27" fillId="0" borderId="94" xfId="1" applyNumberFormat="1" applyFont="1" applyFill="1" applyBorder="1" applyAlignment="1">
      <alignment horizontal="center" vertical="center"/>
    </xf>
    <xf numFmtId="9" fontId="36" fillId="0" borderId="94" xfId="7" applyFont="1" applyFill="1" applyBorder="1" applyAlignment="1">
      <alignment horizontal="center" vertical="center"/>
    </xf>
    <xf numFmtId="0" fontId="24" fillId="11" borderId="94" xfId="1" applyFont="1" applyFill="1" applyBorder="1" applyAlignment="1">
      <alignment vertical="center"/>
    </xf>
    <xf numFmtId="0" fontId="19" fillId="0" borderId="94" xfId="1" applyFont="1" applyFill="1" applyBorder="1" applyAlignment="1">
      <alignment horizontal="left" vertical="center"/>
    </xf>
    <xf numFmtId="10" fontId="27" fillId="0" borderId="94" xfId="1" applyNumberFormat="1" applyFont="1" applyFill="1" applyBorder="1" applyAlignment="1">
      <alignment horizontal="center" vertical="center"/>
    </xf>
    <xf numFmtId="0" fontId="24" fillId="4" borderId="94" xfId="1" applyFont="1" applyFill="1" applyBorder="1" applyAlignment="1">
      <alignment vertical="center"/>
    </xf>
    <xf numFmtId="3" fontId="24" fillId="4" borderId="93" xfId="1" applyNumberFormat="1" applyFont="1" applyFill="1" applyBorder="1" applyAlignment="1">
      <alignment horizontal="center" vertical="center"/>
    </xf>
    <xf numFmtId="3" fontId="24" fillId="4" borderId="94" xfId="1" applyNumberFormat="1" applyFont="1" applyFill="1" applyBorder="1" applyAlignment="1">
      <alignment horizontal="center" vertical="center"/>
    </xf>
    <xf numFmtId="9" fontId="36" fillId="4" borderId="94" xfId="7" applyFont="1" applyFill="1" applyBorder="1" applyAlignment="1">
      <alignment horizontal="center" vertical="center"/>
    </xf>
    <xf numFmtId="9" fontId="67" fillId="0" borderId="92" xfId="7" applyFont="1" applyFill="1" applyBorder="1" applyAlignment="1">
      <alignment horizontal="center" vertical="center"/>
    </xf>
    <xf numFmtId="9" fontId="66" fillId="0" borderId="92" xfId="7" applyFont="1" applyFill="1" applyBorder="1" applyAlignment="1">
      <alignment horizontal="center" vertical="center"/>
    </xf>
    <xf numFmtId="0" fontId="67" fillId="0" borderId="92" xfId="1" applyNumberFormat="1" applyFont="1" applyFill="1" applyBorder="1" applyAlignment="1">
      <alignment horizontal="center" vertical="center"/>
    </xf>
    <xf numFmtId="4" fontId="81" fillId="0" borderId="95" xfId="0" applyNumberFormat="1" applyFont="1" applyFill="1" applyBorder="1" applyAlignment="1" applyProtection="1">
      <alignment horizontal="center" vertical="center"/>
    </xf>
    <xf numFmtId="4" fontId="81" fillId="0" borderId="96" xfId="0" applyNumberFormat="1" applyFont="1" applyFill="1" applyBorder="1" applyAlignment="1" applyProtection="1">
      <alignment horizontal="center" vertical="center"/>
    </xf>
    <xf numFmtId="9" fontId="27" fillId="0" borderId="92" xfId="7" applyFont="1" applyFill="1" applyBorder="1" applyAlignment="1">
      <alignment horizontal="center" vertical="center" wrapText="1"/>
    </xf>
    <xf numFmtId="0" fontId="19" fillId="0" borderId="94" xfId="1" applyFont="1" applyBorder="1" applyAlignment="1">
      <alignment horizontal="left" vertical="center"/>
    </xf>
    <xf numFmtId="10" fontId="26" fillId="0" borderId="94" xfId="1" applyNumberFormat="1" applyFont="1" applyFill="1" applyBorder="1" applyAlignment="1">
      <alignment horizontal="center" vertical="center"/>
    </xf>
    <xf numFmtId="10" fontId="67" fillId="0" borderId="92" xfId="1" applyNumberFormat="1" applyFont="1" applyFill="1" applyBorder="1" applyAlignment="1">
      <alignment horizontal="center" vertical="center"/>
    </xf>
    <xf numFmtId="0" fontId="24" fillId="6" borderId="94" xfId="1" applyFont="1" applyFill="1" applyBorder="1" applyAlignment="1">
      <alignment vertical="center"/>
    </xf>
    <xf numFmtId="4" fontId="68" fillId="6" borderId="94" xfId="1" applyNumberFormat="1" applyFont="1" applyFill="1" applyBorder="1" applyAlignment="1">
      <alignment horizontal="center" vertical="center"/>
    </xf>
    <xf numFmtId="0" fontId="24" fillId="6" borderId="94" xfId="1" applyFont="1" applyFill="1" applyBorder="1" applyAlignment="1">
      <alignment vertical="center" wrapText="1"/>
    </xf>
    <xf numFmtId="0" fontId="19" fillId="0" borderId="84" xfId="1" applyFont="1" applyBorder="1" applyAlignment="1">
      <alignment horizontal="left" vertical="center"/>
    </xf>
    <xf numFmtId="0" fontId="87" fillId="0" borderId="94" xfId="1" applyFont="1" applyFill="1" applyBorder="1" applyAlignment="1">
      <alignment vertical="center"/>
    </xf>
    <xf numFmtId="3" fontId="87" fillId="0" borderId="93" xfId="1" applyNumberFormat="1" applyFont="1" applyFill="1" applyBorder="1" applyAlignment="1">
      <alignment horizontal="center" vertical="center"/>
    </xf>
    <xf numFmtId="9" fontId="98" fillId="0" borderId="92" xfId="7" applyFont="1" applyFill="1" applyBorder="1" applyAlignment="1">
      <alignment horizontal="center" vertical="center"/>
    </xf>
    <xf numFmtId="9" fontId="36" fillId="11" borderId="92" xfId="7" applyFont="1" applyFill="1" applyBorder="1" applyAlignment="1">
      <alignment horizontal="center" vertical="center"/>
    </xf>
    <xf numFmtId="4" fontId="27" fillId="0" borderId="84" xfId="1" applyNumberFormat="1" applyFont="1" applyFill="1" applyBorder="1" applyAlignment="1">
      <alignment horizontal="center" vertical="center"/>
    </xf>
    <xf numFmtId="4" fontId="27" fillId="0" borderId="83" xfId="1" applyNumberFormat="1" applyFont="1" applyFill="1" applyBorder="1" applyAlignment="1">
      <alignment horizontal="center" vertical="center"/>
    </xf>
    <xf numFmtId="0" fontId="24" fillId="0" borderId="89" xfId="1" applyFont="1" applyFill="1" applyBorder="1" applyAlignment="1">
      <alignment vertical="center"/>
    </xf>
    <xf numFmtId="0" fontId="19" fillId="0" borderId="93" xfId="1" applyFont="1" applyFill="1" applyBorder="1" applyAlignment="1">
      <alignment vertical="center"/>
    </xf>
    <xf numFmtId="0" fontId="19" fillId="0" borderId="93" xfId="1" applyFont="1" applyFill="1" applyBorder="1" applyAlignment="1">
      <alignment horizontal="left" vertical="center"/>
    </xf>
    <xf numFmtId="0" fontId="19" fillId="0" borderId="89" xfId="1" applyFont="1" applyFill="1" applyBorder="1" applyAlignment="1">
      <alignment vertical="center"/>
    </xf>
    <xf numFmtId="3" fontId="27" fillId="0" borderId="88" xfId="1" applyNumberFormat="1" applyFont="1" applyFill="1" applyBorder="1" applyAlignment="1">
      <alignment horizontal="center" vertical="center"/>
    </xf>
    <xf numFmtId="9" fontId="70" fillId="0" borderId="92" xfId="7" applyFont="1" applyFill="1" applyBorder="1" applyAlignment="1">
      <alignment horizontal="center" vertical="center"/>
    </xf>
    <xf numFmtId="9" fontId="70" fillId="0" borderId="92" xfId="7" applyFont="1" applyFill="1" applyBorder="1" applyAlignment="1">
      <alignment horizontal="center" vertical="center" wrapText="1"/>
    </xf>
    <xf numFmtId="17" fontId="27" fillId="0" borderId="92" xfId="7" applyNumberFormat="1" applyFont="1" applyFill="1" applyBorder="1" applyAlignment="1">
      <alignment horizontal="center" vertical="center"/>
    </xf>
    <xf numFmtId="3" fontId="26" fillId="0" borderId="84" xfId="1" applyNumberFormat="1" applyFont="1" applyFill="1" applyBorder="1" applyAlignment="1">
      <alignment horizontal="center" vertical="center"/>
    </xf>
    <xf numFmtId="3" fontId="26" fillId="0" borderId="83" xfId="1" applyNumberFormat="1" applyFont="1" applyFill="1" applyBorder="1" applyAlignment="1">
      <alignment horizontal="center" vertical="center"/>
    </xf>
    <xf numFmtId="4" fontId="25" fillId="0" borderId="94" xfId="1" applyNumberFormat="1" applyFont="1" applyFill="1" applyBorder="1" applyAlignment="1">
      <alignment horizontal="center" vertical="center" wrapText="1"/>
    </xf>
    <xf numFmtId="0" fontId="19" fillId="0" borderId="94" xfId="1" applyFont="1" applyBorder="1" applyAlignment="1">
      <alignment vertical="center" wrapText="1"/>
    </xf>
    <xf numFmtId="9" fontId="70" fillId="0" borderId="88" xfId="7" applyFont="1" applyFill="1" applyBorder="1" applyAlignment="1">
      <alignment horizontal="center" vertical="center"/>
    </xf>
    <xf numFmtId="4" fontId="36" fillId="0" borderId="92" xfId="1" applyNumberFormat="1" applyFont="1" applyFill="1" applyBorder="1" applyAlignment="1">
      <alignment horizontal="center" vertical="center"/>
    </xf>
    <xf numFmtId="0" fontId="24" fillId="8" borderId="84" xfId="1" applyFont="1" applyFill="1" applyBorder="1" applyAlignment="1">
      <alignment vertical="center"/>
    </xf>
    <xf numFmtId="3" fontId="24" fillId="8" borderId="84" xfId="1" applyNumberFormat="1" applyFont="1" applyFill="1" applyBorder="1" applyAlignment="1">
      <alignment horizontal="center" vertical="center"/>
    </xf>
    <xf numFmtId="4" fontId="29" fillId="8" borderId="83" xfId="1" applyNumberFormat="1" applyFont="1" applyFill="1" applyBorder="1" applyAlignment="1">
      <alignment horizontal="center" vertical="center"/>
    </xf>
    <xf numFmtId="4" fontId="24" fillId="8" borderId="83" xfId="1" applyNumberFormat="1" applyFont="1" applyFill="1" applyBorder="1" applyAlignment="1">
      <alignment horizontal="center" vertical="center"/>
    </xf>
    <xf numFmtId="0" fontId="0" fillId="0" borderId="0" xfId="0"/>
    <xf numFmtId="9" fontId="27" fillId="0" borderId="36" xfId="7" applyFont="1" applyFill="1" applyBorder="1" applyAlignment="1">
      <alignment horizontal="center" vertical="center"/>
    </xf>
    <xf numFmtId="166" fontId="27" fillId="0" borderId="77" xfId="6" applyFont="1" applyFill="1" applyBorder="1" applyAlignment="1">
      <alignment horizontal="center" vertical="center"/>
    </xf>
    <xf numFmtId="4" fontId="20" fillId="6" borderId="51" xfId="1" applyNumberFormat="1" applyFont="1" applyFill="1" applyBorder="1" applyAlignment="1">
      <alignment horizontal="center" vertical="center"/>
    </xf>
    <xf numFmtId="10" fontId="26" fillId="5" borderId="36" xfId="1" applyNumberFormat="1" applyFont="1" applyFill="1" applyBorder="1" applyAlignment="1">
      <alignment horizontal="center" vertical="center"/>
    </xf>
    <xf numFmtId="4" fontId="24" fillId="4" borderId="80" xfId="1" applyNumberFormat="1" applyFont="1" applyFill="1" applyBorder="1" applyAlignment="1">
      <alignment horizontal="center" vertical="center"/>
    </xf>
    <xf numFmtId="4" fontId="24" fillId="6" borderId="1" xfId="1" applyNumberFormat="1" applyFont="1" applyFill="1" applyBorder="1" applyAlignment="1">
      <alignment horizontal="center" vertical="center"/>
    </xf>
    <xf numFmtId="10" fontId="24" fillId="3" borderId="19" xfId="1" applyNumberFormat="1" applyFont="1" applyFill="1" applyBorder="1" applyAlignment="1">
      <alignment horizontal="center" vertical="center"/>
    </xf>
    <xf numFmtId="9" fontId="26" fillId="0" borderId="20" xfId="7" applyFont="1" applyFill="1" applyBorder="1" applyAlignment="1">
      <alignment horizontal="center" vertical="center"/>
    </xf>
    <xf numFmtId="4" fontId="24" fillId="4" borderId="19" xfId="1" applyNumberFormat="1" applyFont="1" applyFill="1" applyBorder="1" applyAlignment="1">
      <alignment horizontal="center" vertical="center"/>
    </xf>
    <xf numFmtId="4" fontId="24" fillId="4" borderId="1" xfId="1" applyNumberFormat="1" applyFont="1" applyFill="1" applyBorder="1" applyAlignment="1">
      <alignment horizontal="center" vertical="center"/>
    </xf>
    <xf numFmtId="166" fontId="27" fillId="0" borderId="77" xfId="6" applyFont="1" applyFill="1" applyBorder="1" applyAlignment="1">
      <alignment horizontal="center" vertical="center" wrapText="1"/>
    </xf>
    <xf numFmtId="4" fontId="24" fillId="4" borderId="76" xfId="1" applyNumberFormat="1" applyFont="1" applyFill="1" applyBorder="1" applyAlignment="1">
      <alignment horizontal="center" vertical="center"/>
    </xf>
    <xf numFmtId="4" fontId="109" fillId="0" borderId="77" xfId="1" applyNumberFormat="1" applyFont="1" applyFill="1" applyBorder="1" applyAlignment="1">
      <alignment horizontal="center" vertical="center" wrapText="1"/>
    </xf>
    <xf numFmtId="4" fontId="27" fillId="0" borderId="77" xfId="7" applyNumberFormat="1" applyFont="1" applyFill="1" applyBorder="1" applyAlignment="1">
      <alignment horizontal="center" vertical="center"/>
    </xf>
    <xf numFmtId="4" fontId="27" fillId="0" borderId="77" xfId="6" applyNumberFormat="1" applyFont="1" applyFill="1" applyBorder="1" applyAlignment="1">
      <alignment horizontal="center" vertical="center" wrapText="1"/>
    </xf>
    <xf numFmtId="4" fontId="27" fillId="0" borderId="77" xfId="7" applyNumberFormat="1" applyFont="1" applyFill="1" applyBorder="1" applyAlignment="1">
      <alignment horizontal="center" vertical="center" wrapText="1"/>
    </xf>
    <xf numFmtId="4" fontId="26" fillId="0" borderId="77" xfId="7" applyNumberFormat="1" applyFont="1" applyFill="1" applyBorder="1" applyAlignment="1">
      <alignment horizontal="center" vertical="center"/>
    </xf>
    <xf numFmtId="4" fontId="19" fillId="0" borderId="77" xfId="7" applyNumberFormat="1" applyFont="1" applyFill="1" applyBorder="1" applyAlignment="1">
      <alignment horizontal="center" vertical="center"/>
    </xf>
    <xf numFmtId="4" fontId="26" fillId="0" borderId="77" xfId="7" applyNumberFormat="1" applyFont="1" applyFill="1" applyBorder="1" applyAlignment="1">
      <alignment horizontal="center" vertical="center" wrapText="1"/>
    </xf>
    <xf numFmtId="4" fontId="19" fillId="0" borderId="77" xfId="7" applyNumberFormat="1" applyFont="1" applyFill="1" applyBorder="1" applyAlignment="1">
      <alignment horizontal="center" vertical="center" wrapText="1"/>
    </xf>
    <xf numFmtId="4" fontId="26" fillId="0" borderId="20" xfId="7" applyNumberFormat="1" applyFont="1" applyFill="1" applyBorder="1" applyAlignment="1">
      <alignment horizontal="center" vertical="center"/>
    </xf>
    <xf numFmtId="166" fontId="24" fillId="4" borderId="55" xfId="1" applyNumberFormat="1" applyFont="1" applyFill="1" applyBorder="1" applyAlignment="1">
      <alignment horizontal="center" vertical="center"/>
    </xf>
    <xf numFmtId="4" fontId="117" fillId="0" borderId="0" xfId="1" applyNumberFormat="1" applyFont="1" applyAlignment="1">
      <alignment horizontal="left" vertical="center"/>
    </xf>
    <xf numFmtId="4" fontId="27" fillId="19" borderId="77" xfId="6" applyNumberFormat="1" applyFont="1" applyFill="1" applyBorder="1" applyAlignment="1">
      <alignment horizontal="center" vertical="center" wrapText="1"/>
    </xf>
    <xf numFmtId="0" fontId="122" fillId="0" borderId="0" xfId="1" applyFont="1" applyAlignment="1">
      <alignment vertical="center"/>
    </xf>
    <xf numFmtId="4" fontId="122" fillId="0" borderId="0" xfId="1" applyNumberFormat="1" applyFont="1" applyAlignment="1">
      <alignment horizontal="center" vertical="center"/>
    </xf>
    <xf numFmtId="4" fontId="123" fillId="0" borderId="0" xfId="1" applyNumberFormat="1" applyFont="1" applyAlignment="1">
      <alignment horizontal="center" vertical="center"/>
    </xf>
    <xf numFmtId="0" fontId="124" fillId="0" borderId="0" xfId="1" applyFont="1"/>
    <xf numFmtId="0" fontId="122" fillId="0" borderId="0" xfId="1" applyFont="1"/>
    <xf numFmtId="3" fontId="122" fillId="0" borderId="0" xfId="1" applyNumberFormat="1" applyFont="1" applyAlignment="1">
      <alignment horizontal="center" vertical="center"/>
    </xf>
    <xf numFmtId="4" fontId="123" fillId="0" borderId="0" xfId="1" applyNumberFormat="1" applyFont="1" applyFill="1" applyAlignment="1">
      <alignment horizontal="center" vertical="center"/>
    </xf>
    <xf numFmtId="9" fontId="122" fillId="0" borderId="0" xfId="7" applyFont="1" applyAlignment="1">
      <alignment horizontal="center" vertical="center"/>
    </xf>
    <xf numFmtId="0" fontId="122" fillId="0" borderId="0" xfId="1" applyFont="1" applyAlignment="1">
      <alignment horizontal="right" vertical="center"/>
    </xf>
    <xf numFmtId="3" fontId="26" fillId="0" borderId="63" xfId="6" applyNumberFormat="1" applyFont="1" applyFill="1" applyBorder="1" applyAlignment="1">
      <alignment horizontal="center" vertical="center"/>
    </xf>
    <xf numFmtId="4" fontId="25" fillId="19" borderId="79" xfId="1" applyNumberFormat="1" applyFont="1" applyFill="1" applyBorder="1" applyAlignment="1">
      <alignment horizontal="center" vertical="center"/>
    </xf>
    <xf numFmtId="4" fontId="0" fillId="19" borderId="0" xfId="0" applyNumberFormat="1" applyFill="1"/>
    <xf numFmtId="3" fontId="63" fillId="0" borderId="0" xfId="1" applyNumberFormat="1" applyFont="1" applyAlignment="1">
      <alignment horizontal="center" vertical="center"/>
    </xf>
    <xf numFmtId="9" fontId="36" fillId="0" borderId="106" xfId="7" applyFont="1" applyFill="1" applyBorder="1" applyAlignment="1">
      <alignment horizontal="center" vertical="center"/>
    </xf>
    <xf numFmtId="9" fontId="36" fillId="29" borderId="1" xfId="7" applyFont="1" applyFill="1" applyBorder="1" applyAlignment="1">
      <alignment horizontal="center" vertical="center"/>
    </xf>
    <xf numFmtId="9" fontId="36" fillId="29" borderId="0" xfId="7" applyFont="1" applyFill="1" applyBorder="1" applyAlignment="1">
      <alignment horizontal="center" vertical="center"/>
    </xf>
    <xf numFmtId="9" fontId="36" fillId="29" borderId="3" xfId="7" applyFont="1" applyFill="1" applyBorder="1" applyAlignment="1">
      <alignment horizontal="center" vertical="center"/>
    </xf>
    <xf numFmtId="9" fontId="36" fillId="0" borderId="9" xfId="7" applyFont="1" applyFill="1" applyBorder="1" applyAlignment="1">
      <alignment horizontal="center" vertical="center"/>
    </xf>
    <xf numFmtId="1" fontId="27" fillId="0" borderId="77" xfId="7" applyNumberFormat="1" applyFont="1" applyFill="1" applyBorder="1" applyAlignment="1">
      <alignment horizontal="center" vertical="center"/>
    </xf>
    <xf numFmtId="4" fontId="19" fillId="13" borderId="77" xfId="1" applyNumberFormat="1" applyFont="1" applyFill="1" applyBorder="1" applyAlignment="1">
      <alignment horizontal="center" vertical="center"/>
    </xf>
    <xf numFmtId="3" fontId="19" fillId="13" borderId="79" xfId="6" applyNumberFormat="1" applyFont="1" applyFill="1" applyBorder="1" applyAlignment="1">
      <alignment horizontal="center" vertical="center"/>
    </xf>
    <xf numFmtId="4" fontId="19" fillId="13" borderId="77" xfId="1" applyNumberFormat="1" applyFont="1" applyFill="1" applyBorder="1" applyAlignment="1">
      <alignment horizontal="center" vertical="center" wrapText="1"/>
    </xf>
    <xf numFmtId="4" fontId="87" fillId="13" borderId="77" xfId="1" applyNumberFormat="1" applyFont="1" applyFill="1" applyBorder="1" applyAlignment="1">
      <alignment horizontal="center" vertical="center"/>
    </xf>
    <xf numFmtId="3" fontId="87" fillId="13" borderId="79" xfId="6" applyNumberFormat="1" applyFont="1" applyFill="1" applyBorder="1" applyAlignment="1">
      <alignment horizontal="center" vertical="center"/>
    </xf>
    <xf numFmtId="4" fontId="87" fillId="13" borderId="77" xfId="1" applyNumberFormat="1" applyFont="1" applyFill="1" applyBorder="1" applyAlignment="1">
      <alignment horizontal="center" vertical="center" wrapText="1"/>
    </xf>
    <xf numFmtId="4" fontId="19" fillId="13" borderId="79" xfId="1" applyNumberFormat="1" applyFont="1" applyFill="1" applyBorder="1" applyAlignment="1">
      <alignment horizontal="center" vertical="center"/>
    </xf>
    <xf numFmtId="4" fontId="87" fillId="13" borderId="79" xfId="1" applyNumberFormat="1" applyFont="1" applyFill="1" applyBorder="1" applyAlignment="1">
      <alignment horizontal="center" vertical="center"/>
    </xf>
    <xf numFmtId="9" fontId="19" fillId="0" borderId="77" xfId="7" applyFont="1" applyFill="1" applyBorder="1" applyAlignment="1">
      <alignment horizontal="center" vertical="center" wrapText="1"/>
    </xf>
    <xf numFmtId="4" fontId="27" fillId="0" borderId="78" xfId="1" applyNumberFormat="1" applyFont="1" applyFill="1" applyBorder="1" applyAlignment="1">
      <alignment horizontal="center" vertical="center"/>
    </xf>
    <xf numFmtId="10" fontId="24" fillId="0" borderId="78" xfId="1" applyNumberFormat="1" applyFont="1" applyFill="1" applyBorder="1" applyAlignment="1">
      <alignment horizontal="center" vertical="center"/>
    </xf>
    <xf numFmtId="4" fontId="24" fillId="4" borderId="78" xfId="1" applyNumberFormat="1" applyFont="1" applyFill="1" applyBorder="1" applyAlignment="1">
      <alignment horizontal="center" vertical="center"/>
    </xf>
    <xf numFmtId="10" fontId="24" fillId="3" borderId="78" xfId="1" applyNumberFormat="1" applyFont="1" applyFill="1" applyBorder="1" applyAlignment="1">
      <alignment horizontal="center" vertical="center"/>
    </xf>
    <xf numFmtId="10" fontId="27" fillId="0" borderId="78" xfId="1" applyNumberFormat="1" applyFont="1" applyFill="1" applyBorder="1" applyAlignment="1">
      <alignment horizontal="center" vertical="center"/>
    </xf>
    <xf numFmtId="3" fontId="26" fillId="5" borderId="78" xfId="1" applyNumberFormat="1" applyFont="1" applyFill="1" applyBorder="1" applyAlignment="1">
      <alignment horizontal="center" vertical="center"/>
    </xf>
    <xf numFmtId="3" fontId="26" fillId="0" borderId="78" xfId="1" applyNumberFormat="1" applyFont="1" applyFill="1" applyBorder="1" applyAlignment="1">
      <alignment horizontal="center" vertical="center"/>
    </xf>
    <xf numFmtId="3" fontId="24" fillId="4" borderId="78" xfId="1" applyNumberFormat="1" applyFont="1" applyFill="1" applyBorder="1" applyAlignment="1">
      <alignment horizontal="center" vertical="center"/>
    </xf>
    <xf numFmtId="9" fontId="24" fillId="3" borderId="78" xfId="7" applyFont="1" applyFill="1" applyBorder="1" applyAlignment="1">
      <alignment horizontal="center" vertical="center"/>
    </xf>
    <xf numFmtId="4" fontId="29" fillId="4" borderId="78" xfId="1" applyNumberFormat="1" applyFont="1" applyFill="1" applyBorder="1" applyAlignment="1">
      <alignment horizontal="center" vertical="center"/>
    </xf>
    <xf numFmtId="10" fontId="29" fillId="3" borderId="78" xfId="1" applyNumberFormat="1" applyFont="1" applyFill="1" applyBorder="1" applyAlignment="1">
      <alignment horizontal="center" vertical="center"/>
    </xf>
    <xf numFmtId="4" fontId="65" fillId="4" borderId="78" xfId="1" applyNumberFormat="1" applyFont="1" applyFill="1" applyBorder="1" applyAlignment="1">
      <alignment horizontal="center" vertical="center"/>
    </xf>
    <xf numFmtId="10" fontId="65" fillId="3" borderId="78" xfId="1" applyNumberFormat="1" applyFont="1" applyFill="1" applyBorder="1" applyAlignment="1">
      <alignment horizontal="center" vertical="center"/>
    </xf>
    <xf numFmtId="0" fontId="19" fillId="0" borderId="78" xfId="1" applyFont="1" applyBorder="1" applyAlignment="1">
      <alignment vertical="center"/>
    </xf>
    <xf numFmtId="4" fontId="25" fillId="0" borderId="78" xfId="1" applyNumberFormat="1" applyFont="1" applyFill="1" applyBorder="1" applyAlignment="1">
      <alignment horizontal="center" vertical="center"/>
    </xf>
    <xf numFmtId="3" fontId="24" fillId="8" borderId="78" xfId="1" applyNumberFormat="1" applyFont="1" applyFill="1" applyBorder="1" applyAlignment="1">
      <alignment horizontal="center" vertical="center"/>
    </xf>
    <xf numFmtId="10" fontId="26" fillId="5" borderId="78" xfId="1" applyNumberFormat="1" applyFont="1" applyFill="1" applyBorder="1" applyAlignment="1">
      <alignment horizontal="center" vertical="center"/>
    </xf>
    <xf numFmtId="10" fontId="29" fillId="0" borderId="78" xfId="1" applyNumberFormat="1" applyFont="1" applyFill="1" applyBorder="1" applyAlignment="1">
      <alignment horizontal="center" vertical="center"/>
    </xf>
    <xf numFmtId="4" fontId="68" fillId="4" borderId="78" xfId="1" applyNumberFormat="1" applyFont="1" applyFill="1" applyBorder="1" applyAlignment="1">
      <alignment horizontal="center" vertical="center"/>
    </xf>
    <xf numFmtId="4" fontId="24" fillId="8" borderId="78" xfId="1" applyNumberFormat="1" applyFont="1" applyFill="1" applyBorder="1" applyAlignment="1">
      <alignment horizontal="center" vertical="center"/>
    </xf>
    <xf numFmtId="4" fontId="68" fillId="8" borderId="78" xfId="1" applyNumberFormat="1" applyFont="1" applyFill="1" applyBorder="1" applyAlignment="1">
      <alignment horizontal="center" vertical="center"/>
    </xf>
    <xf numFmtId="10" fontId="68" fillId="3" borderId="78" xfId="1" applyNumberFormat="1" applyFont="1" applyFill="1" applyBorder="1" applyAlignment="1">
      <alignment horizontal="center" vertical="center"/>
    </xf>
    <xf numFmtId="10" fontId="103" fillId="0" borderId="78" xfId="1" applyNumberFormat="1" applyFont="1" applyFill="1" applyBorder="1" applyAlignment="1">
      <alignment horizontal="center" vertical="center"/>
    </xf>
    <xf numFmtId="3" fontId="103" fillId="4" borderId="78" xfId="1" applyNumberFormat="1" applyFont="1" applyFill="1" applyBorder="1" applyAlignment="1">
      <alignment horizontal="center" vertical="center"/>
    </xf>
    <xf numFmtId="4" fontId="103" fillId="4" borderId="78" xfId="1" applyNumberFormat="1" applyFont="1" applyFill="1" applyBorder="1" applyAlignment="1">
      <alignment horizontal="center" vertical="center"/>
    </xf>
    <xf numFmtId="4" fontId="121" fillId="4" borderId="78" xfId="1" applyNumberFormat="1" applyFont="1" applyFill="1" applyBorder="1" applyAlignment="1">
      <alignment horizontal="center" vertical="center"/>
    </xf>
    <xf numFmtId="3" fontId="103" fillId="8" borderId="78" xfId="1" applyNumberFormat="1" applyFont="1" applyFill="1" applyBorder="1" applyAlignment="1">
      <alignment horizontal="center" vertical="center"/>
    </xf>
    <xf numFmtId="4" fontId="103" fillId="8" borderId="78" xfId="1" applyNumberFormat="1" applyFont="1" applyFill="1" applyBorder="1" applyAlignment="1">
      <alignment horizontal="center" vertical="center"/>
    </xf>
    <xf numFmtId="4" fontId="121" fillId="8" borderId="78" xfId="1" applyNumberFormat="1" applyFont="1" applyFill="1" applyBorder="1" applyAlignment="1">
      <alignment horizontal="center" vertical="center"/>
    </xf>
    <xf numFmtId="9" fontId="103" fillId="3" borderId="78" xfId="7" applyFont="1" applyFill="1" applyBorder="1" applyAlignment="1">
      <alignment horizontal="center" vertical="center"/>
    </xf>
    <xf numFmtId="10" fontId="103" fillId="3" borderId="78" xfId="1" applyNumberFormat="1" applyFont="1" applyFill="1" applyBorder="1" applyAlignment="1">
      <alignment horizontal="center" vertical="center"/>
    </xf>
    <xf numFmtId="10" fontId="121" fillId="3" borderId="78" xfId="1" applyNumberFormat="1" applyFont="1" applyFill="1" applyBorder="1" applyAlignment="1">
      <alignment horizontal="center" vertical="center"/>
    </xf>
    <xf numFmtId="9" fontId="26" fillId="0" borderId="77" xfId="7" applyFont="1" applyFill="1" applyBorder="1" applyAlignment="1">
      <alignment horizontal="center" vertical="center" wrapText="1"/>
    </xf>
    <xf numFmtId="0" fontId="16" fillId="0" borderId="0" xfId="1"/>
    <xf numFmtId="0" fontId="20" fillId="0" borderId="0" xfId="1" applyFont="1"/>
    <xf numFmtId="0" fontId="23" fillId="0" borderId="6" xfId="0" applyFont="1" applyBorder="1" applyAlignment="1">
      <alignment horizontal="center" vertical="center" textRotation="90"/>
    </xf>
    <xf numFmtId="0" fontId="23" fillId="0" borderId="7" xfId="0" applyFont="1" applyBorder="1" applyAlignment="1">
      <alignment horizontal="center" vertical="center" textRotation="90"/>
    </xf>
    <xf numFmtId="0" fontId="17" fillId="0" borderId="56" xfId="0" applyFont="1" applyBorder="1" applyAlignment="1">
      <alignment horizontal="center" vertical="center"/>
    </xf>
    <xf numFmtId="0" fontId="19" fillId="0" borderId="62" xfId="1" applyFont="1" applyBorder="1" applyAlignment="1">
      <alignment vertical="center"/>
    </xf>
    <xf numFmtId="0" fontId="19" fillId="0" borderId="101" xfId="1" applyFont="1" applyBorder="1" applyAlignment="1">
      <alignment vertical="center"/>
    </xf>
    <xf numFmtId="0" fontId="16" fillId="0" borderId="0" xfId="1" applyAlignment="1">
      <alignment vertical="center"/>
    </xf>
    <xf numFmtId="0" fontId="19" fillId="0" borderId="76" xfId="1" applyFont="1" applyBorder="1" applyAlignment="1">
      <alignment vertical="center"/>
    </xf>
    <xf numFmtId="0" fontId="19" fillId="0" borderId="86" xfId="1" applyFont="1" applyBorder="1" applyAlignment="1">
      <alignment horizontal="left" vertical="center"/>
    </xf>
    <xf numFmtId="0" fontId="22" fillId="0" borderId="6" xfId="1" applyFont="1" applyBorder="1" applyAlignment="1">
      <alignment horizontal="center" vertical="center"/>
    </xf>
    <xf numFmtId="0" fontId="24" fillId="4" borderId="102" xfId="1" applyFont="1" applyFill="1" applyBorder="1" applyAlignment="1">
      <alignment vertical="center"/>
    </xf>
    <xf numFmtId="0" fontId="19" fillId="0" borderId="105" xfId="1" applyFont="1" applyBorder="1" applyAlignment="1">
      <alignment horizontal="left" vertical="center"/>
    </xf>
    <xf numFmtId="0" fontId="24" fillId="3" borderId="19" xfId="1" applyFont="1" applyFill="1" applyBorder="1" applyAlignment="1">
      <alignment vertical="center"/>
    </xf>
    <xf numFmtId="0" fontId="24" fillId="0" borderId="105" xfId="1" applyFont="1" applyFill="1" applyBorder="1" applyAlignment="1">
      <alignment vertical="center"/>
    </xf>
    <xf numFmtId="0" fontId="24" fillId="4" borderId="19" xfId="1" applyFont="1" applyFill="1" applyBorder="1" applyAlignment="1">
      <alignment vertical="center"/>
    </xf>
    <xf numFmtId="0" fontId="19" fillId="0" borderId="102" xfId="1" applyFont="1" applyFill="1" applyBorder="1" applyAlignment="1">
      <alignment vertical="center"/>
    </xf>
    <xf numFmtId="0" fontId="19" fillId="0" borderId="102" xfId="1" applyFont="1" applyFill="1" applyBorder="1" applyAlignment="1">
      <alignment horizontal="left" vertical="center"/>
    </xf>
    <xf numFmtId="0" fontId="24" fillId="0" borderId="7" xfId="1" applyFont="1" applyBorder="1" applyAlignment="1">
      <alignment vertical="center"/>
    </xf>
    <xf numFmtId="0" fontId="19" fillId="0" borderId="105" xfId="1" applyFont="1" applyBorder="1" applyAlignment="1">
      <alignment vertical="center"/>
    </xf>
    <xf numFmtId="0" fontId="24" fillId="4" borderId="76" xfId="1" applyFont="1" applyFill="1" applyBorder="1" applyAlignment="1">
      <alignment vertical="center"/>
    </xf>
    <xf numFmtId="0" fontId="24" fillId="6" borderId="55" xfId="1" applyFont="1" applyFill="1" applyBorder="1" applyAlignment="1">
      <alignment vertical="center"/>
    </xf>
    <xf numFmtId="0" fontId="19" fillId="0" borderId="93" xfId="1" applyFont="1" applyBorder="1" applyAlignment="1">
      <alignment vertical="center"/>
    </xf>
    <xf numFmtId="0" fontId="19" fillId="0" borderId="93" xfId="1" applyFont="1" applyBorder="1" applyAlignment="1">
      <alignment horizontal="left" vertical="center"/>
    </xf>
    <xf numFmtId="0" fontId="23" fillId="0" borderId="7" xfId="1" applyFont="1" applyBorder="1" applyAlignment="1">
      <alignment horizontal="center" vertical="center"/>
    </xf>
    <xf numFmtId="0" fontId="24" fillId="4" borderId="90" xfId="1" applyFont="1" applyFill="1" applyBorder="1" applyAlignment="1">
      <alignment vertical="center"/>
    </xf>
    <xf numFmtId="0" fontId="24" fillId="6" borderId="93" xfId="1" applyFont="1" applyFill="1" applyBorder="1" applyAlignment="1">
      <alignment vertical="center"/>
    </xf>
    <xf numFmtId="0" fontId="24" fillId="3" borderId="105" xfId="1" applyFont="1" applyFill="1" applyBorder="1" applyAlignment="1">
      <alignment vertical="center"/>
    </xf>
    <xf numFmtId="0" fontId="19" fillId="0" borderId="0" xfId="1" applyFont="1" applyAlignment="1">
      <alignment vertical="center"/>
    </xf>
    <xf numFmtId="0" fontId="19" fillId="0" borderId="79" xfId="1" applyFont="1" applyBorder="1" applyAlignment="1">
      <alignment vertical="center"/>
    </xf>
    <xf numFmtId="0" fontId="19" fillId="0" borderId="103" xfId="1" applyFont="1" applyBorder="1" applyAlignment="1">
      <alignment vertical="center"/>
    </xf>
    <xf numFmtId="0" fontId="24" fillId="0" borderId="56" xfId="1" applyFont="1" applyBorder="1" applyAlignment="1">
      <alignment horizontal="center" vertical="center"/>
    </xf>
    <xf numFmtId="0" fontId="24" fillId="6" borderId="1" xfId="1" applyFont="1" applyFill="1" applyBorder="1" applyAlignment="1">
      <alignment vertical="center"/>
    </xf>
    <xf numFmtId="0" fontId="19" fillId="0" borderId="86" xfId="1" applyFont="1" applyFill="1" applyBorder="1" applyAlignment="1">
      <alignment vertical="center"/>
    </xf>
    <xf numFmtId="0" fontId="24" fillId="3" borderId="62" xfId="1" applyFont="1" applyFill="1" applyBorder="1" applyAlignment="1">
      <alignment vertical="center"/>
    </xf>
    <xf numFmtId="0" fontId="24" fillId="6" borderId="102" xfId="1" applyFont="1" applyFill="1" applyBorder="1" applyAlignment="1">
      <alignment vertical="center" wrapText="1"/>
    </xf>
    <xf numFmtId="4" fontId="16" fillId="0" borderId="0" xfId="1" applyNumberFormat="1" applyAlignment="1">
      <alignment horizontal="center" vertical="center"/>
    </xf>
    <xf numFmtId="4" fontId="25" fillId="0" borderId="77" xfId="1" applyNumberFormat="1" applyFont="1" applyFill="1" applyBorder="1" applyAlignment="1">
      <alignment horizontal="center" vertical="center"/>
    </xf>
    <xf numFmtId="4" fontId="25" fillId="0" borderId="104" xfId="1" applyNumberFormat="1" applyFont="1" applyFill="1" applyBorder="1" applyAlignment="1">
      <alignment horizontal="center" vertical="center"/>
    </xf>
    <xf numFmtId="9" fontId="27" fillId="0" borderId="77" xfId="7" applyFont="1" applyFill="1" applyBorder="1" applyAlignment="1">
      <alignment horizontal="center" vertical="center"/>
    </xf>
    <xf numFmtId="0" fontId="27" fillId="0" borderId="100" xfId="1" applyNumberFormat="1" applyFont="1" applyFill="1" applyBorder="1" applyAlignment="1">
      <alignment horizontal="center" vertical="center"/>
    </xf>
    <xf numFmtId="10" fontId="26" fillId="0" borderId="58" xfId="1" applyNumberFormat="1" applyFont="1" applyFill="1" applyBorder="1" applyAlignment="1">
      <alignment horizontal="center" vertical="center"/>
    </xf>
    <xf numFmtId="4" fontId="27" fillId="0" borderId="101" xfId="1" applyNumberFormat="1" applyFont="1" applyFill="1" applyBorder="1" applyAlignment="1">
      <alignment horizontal="center" vertical="center"/>
    </xf>
    <xf numFmtId="4" fontId="27" fillId="0" borderId="90" xfId="1" applyNumberFormat="1" applyFont="1" applyFill="1" applyBorder="1" applyAlignment="1">
      <alignment horizontal="center" vertical="center"/>
    </xf>
    <xf numFmtId="10" fontId="27" fillId="0" borderId="91" xfId="1" applyNumberFormat="1" applyFont="1" applyFill="1" applyBorder="1" applyAlignment="1">
      <alignment horizontal="center" vertical="center"/>
    </xf>
    <xf numFmtId="4" fontId="20" fillId="6" borderId="56" xfId="1" applyNumberFormat="1" applyFont="1" applyFill="1" applyBorder="1" applyAlignment="1">
      <alignment horizontal="center" vertical="center"/>
    </xf>
    <xf numFmtId="10" fontId="24" fillId="3" borderId="62" xfId="1" applyNumberFormat="1" applyFont="1" applyFill="1" applyBorder="1" applyAlignment="1">
      <alignment horizontal="center" vertical="center"/>
    </xf>
    <xf numFmtId="10" fontId="24" fillId="3" borderId="63" xfId="1" applyNumberFormat="1" applyFont="1" applyFill="1" applyBorder="1" applyAlignment="1">
      <alignment horizontal="center" vertical="center"/>
    </xf>
    <xf numFmtId="10" fontId="24" fillId="0" borderId="90" xfId="1" applyNumberFormat="1" applyFont="1" applyFill="1" applyBorder="1" applyAlignment="1">
      <alignment horizontal="center" vertical="center"/>
    </xf>
    <xf numFmtId="10" fontId="24" fillId="0" borderId="91" xfId="1" applyNumberFormat="1" applyFont="1" applyFill="1" applyBorder="1" applyAlignment="1">
      <alignment horizontal="center" vertical="center"/>
    </xf>
    <xf numFmtId="4" fontId="24" fillId="4" borderId="62" xfId="1" applyNumberFormat="1" applyFont="1" applyFill="1" applyBorder="1" applyAlignment="1">
      <alignment horizontal="center" vertical="center"/>
    </xf>
    <xf numFmtId="4" fontId="24" fillId="4" borderId="63" xfId="1" applyNumberFormat="1" applyFont="1" applyFill="1" applyBorder="1" applyAlignment="1">
      <alignment horizontal="center" vertical="center"/>
    </xf>
    <xf numFmtId="10" fontId="26" fillId="5" borderId="91" xfId="1" applyNumberFormat="1" applyFont="1" applyFill="1" applyBorder="1" applyAlignment="1">
      <alignment horizontal="center" vertical="center"/>
    </xf>
    <xf numFmtId="10" fontId="24" fillId="4" borderId="100" xfId="1" applyNumberFormat="1" applyFont="1" applyFill="1" applyBorder="1" applyAlignment="1">
      <alignment horizontal="center" vertical="center"/>
    </xf>
    <xf numFmtId="10" fontId="26" fillId="0" borderId="91" xfId="1" applyNumberFormat="1" applyFont="1" applyFill="1" applyBorder="1" applyAlignment="1">
      <alignment horizontal="center" vertical="center"/>
    </xf>
    <xf numFmtId="4" fontId="24" fillId="6" borderId="55" xfId="1" applyNumberFormat="1" applyFont="1" applyFill="1" applyBorder="1" applyAlignment="1">
      <alignment horizontal="center" vertical="center"/>
    </xf>
    <xf numFmtId="4" fontId="24" fillId="6" borderId="56" xfId="1" applyNumberFormat="1" applyFont="1" applyFill="1" applyBorder="1" applyAlignment="1">
      <alignment horizontal="center" vertical="center"/>
    </xf>
    <xf numFmtId="10" fontId="27" fillId="0" borderId="58" xfId="1" applyNumberFormat="1" applyFont="1" applyFill="1" applyBorder="1" applyAlignment="1">
      <alignment horizontal="center" vertical="center"/>
    </xf>
    <xf numFmtId="10" fontId="26" fillId="0" borderId="100" xfId="1" applyNumberFormat="1" applyFont="1" applyFill="1" applyBorder="1" applyAlignment="1">
      <alignment horizontal="center" vertical="center"/>
    </xf>
    <xf numFmtId="4" fontId="28" fillId="6" borderId="101" xfId="1" applyNumberFormat="1" applyFont="1" applyFill="1" applyBorder="1" applyAlignment="1">
      <alignment horizontal="center" vertical="center"/>
    </xf>
    <xf numFmtId="4" fontId="24" fillId="6" borderId="93" xfId="1" applyNumberFormat="1" applyFont="1" applyFill="1" applyBorder="1" applyAlignment="1">
      <alignment horizontal="center" vertical="center"/>
    </xf>
    <xf numFmtId="4" fontId="24" fillId="6" borderId="101" xfId="1" applyNumberFormat="1" applyFont="1" applyFill="1" applyBorder="1" applyAlignment="1">
      <alignment horizontal="center" vertical="center"/>
    </xf>
    <xf numFmtId="10" fontId="24" fillId="3" borderId="90" xfId="1" applyNumberFormat="1" applyFont="1" applyFill="1" applyBorder="1" applyAlignment="1">
      <alignment horizontal="center" vertical="center"/>
    </xf>
    <xf numFmtId="4" fontId="19" fillId="0" borderId="0" xfId="1" applyNumberFormat="1" applyFont="1" applyAlignment="1">
      <alignment horizontal="center" vertical="center"/>
    </xf>
    <xf numFmtId="0" fontId="16" fillId="0" borderId="0" xfId="1" applyAlignment="1">
      <alignment horizontal="center" vertical="center"/>
    </xf>
    <xf numFmtId="9" fontId="27" fillId="0" borderId="100" xfId="7" applyFont="1" applyFill="1" applyBorder="1" applyAlignment="1">
      <alignment horizontal="center" vertical="center"/>
    </xf>
    <xf numFmtId="4" fontId="24" fillId="8" borderId="103" xfId="1" applyNumberFormat="1" applyFont="1" applyFill="1" applyBorder="1" applyAlignment="1">
      <alignment horizontal="center" vertical="center"/>
    </xf>
    <xf numFmtId="0" fontId="24" fillId="11" borderId="5" xfId="1" applyFont="1" applyFill="1" applyBorder="1" applyAlignment="1">
      <alignment horizontal="center" vertical="center"/>
    </xf>
    <xf numFmtId="0" fontId="24" fillId="11" borderId="55" xfId="1" applyFont="1" applyFill="1" applyBorder="1" applyAlignment="1">
      <alignment vertical="center"/>
    </xf>
    <xf numFmtId="4" fontId="24" fillId="11" borderId="55" xfId="1" applyNumberFormat="1" applyFont="1" applyFill="1" applyBorder="1" applyAlignment="1">
      <alignment horizontal="center" vertical="center"/>
    </xf>
    <xf numFmtId="4" fontId="24" fillId="11" borderId="56" xfId="1" applyNumberFormat="1" applyFont="1" applyFill="1" applyBorder="1" applyAlignment="1">
      <alignment horizontal="center" vertical="center"/>
    </xf>
    <xf numFmtId="4" fontId="24" fillId="11" borderId="51" xfId="1" applyNumberFormat="1" applyFont="1" applyFill="1" applyBorder="1" applyAlignment="1">
      <alignment horizontal="center" vertical="center"/>
    </xf>
    <xf numFmtId="0" fontId="20" fillId="11" borderId="0" xfId="1" applyFont="1" applyFill="1"/>
    <xf numFmtId="0" fontId="24" fillId="11" borderId="102" xfId="1" applyFont="1" applyFill="1" applyBorder="1" applyAlignment="1">
      <alignment vertical="center"/>
    </xf>
    <xf numFmtId="4" fontId="24" fillId="11" borderId="93" xfId="1" applyNumberFormat="1" applyFont="1" applyFill="1" applyBorder="1" applyAlignment="1">
      <alignment horizontal="center" vertical="center"/>
    </xf>
    <xf numFmtId="4" fontId="24" fillId="11" borderId="101" xfId="1" applyNumberFormat="1" applyFont="1" applyFill="1" applyBorder="1" applyAlignment="1">
      <alignment horizontal="center" vertical="center"/>
    </xf>
    <xf numFmtId="0" fontId="32" fillId="12" borderId="56" xfId="1" applyFont="1" applyFill="1" applyBorder="1" applyAlignment="1">
      <alignment horizontal="center" vertical="center"/>
    </xf>
    <xf numFmtId="0" fontId="33" fillId="12" borderId="1" xfId="1" applyFont="1" applyFill="1" applyBorder="1" applyAlignment="1">
      <alignment horizontal="center" vertical="center" wrapText="1"/>
    </xf>
    <xf numFmtId="0" fontId="33" fillId="12" borderId="55" xfId="1" applyFont="1" applyFill="1" applyBorder="1" applyAlignment="1">
      <alignment horizontal="center" vertical="center" wrapText="1"/>
    </xf>
    <xf numFmtId="0" fontId="33" fillId="12" borderId="56" xfId="1" applyFont="1" applyFill="1" applyBorder="1" applyAlignment="1">
      <alignment horizontal="center" vertical="center" wrapText="1"/>
    </xf>
    <xf numFmtId="0" fontId="27" fillId="0" borderId="101" xfId="1" applyNumberFormat="1" applyFont="1" applyFill="1" applyBorder="1" applyAlignment="1">
      <alignment horizontal="center" vertical="center"/>
    </xf>
    <xf numFmtId="0" fontId="27" fillId="0" borderId="77" xfId="1" applyNumberFormat="1" applyFont="1" applyFill="1" applyBorder="1" applyAlignment="1">
      <alignment horizontal="center" vertical="center"/>
    </xf>
    <xf numFmtId="0" fontId="27" fillId="0" borderId="58" xfId="1" applyNumberFormat="1" applyFont="1" applyFill="1" applyBorder="1" applyAlignment="1">
      <alignment horizontal="center" vertical="center"/>
    </xf>
    <xf numFmtId="3" fontId="25" fillId="0" borderId="80" xfId="1" applyNumberFormat="1" applyFont="1" applyFill="1" applyBorder="1" applyAlignment="1">
      <alignment horizontal="center" vertical="center"/>
    </xf>
    <xf numFmtId="3" fontId="25" fillId="0" borderId="79" xfId="1" applyNumberFormat="1" applyFont="1" applyFill="1" applyBorder="1" applyAlignment="1">
      <alignment horizontal="center" vertical="center"/>
    </xf>
    <xf numFmtId="3" fontId="27" fillId="0" borderId="79" xfId="6" applyNumberFormat="1" applyFont="1" applyFill="1" applyBorder="1" applyAlignment="1">
      <alignment horizontal="center" vertical="center"/>
    </xf>
    <xf numFmtId="3" fontId="25" fillId="0" borderId="84" xfId="1" applyNumberFormat="1" applyFont="1" applyFill="1" applyBorder="1" applyAlignment="1">
      <alignment horizontal="center" vertical="center"/>
    </xf>
    <xf numFmtId="3" fontId="25" fillId="0" borderId="103" xfId="1" applyNumberFormat="1" applyFont="1" applyFill="1" applyBorder="1" applyAlignment="1">
      <alignment horizontal="center" vertical="center"/>
    </xf>
    <xf numFmtId="3" fontId="24" fillId="11" borderId="55" xfId="1" applyNumberFormat="1" applyFont="1" applyFill="1" applyBorder="1" applyAlignment="1">
      <alignment horizontal="center" vertical="center"/>
    </xf>
    <xf numFmtId="3" fontId="24" fillId="11" borderId="56" xfId="1" applyNumberFormat="1" applyFont="1" applyFill="1" applyBorder="1" applyAlignment="1">
      <alignment horizontal="center" vertical="center"/>
    </xf>
    <xf numFmtId="3" fontId="27" fillId="0" borderId="76" xfId="1" applyNumberFormat="1" applyFont="1" applyFill="1" applyBorder="1" applyAlignment="1">
      <alignment horizontal="center" vertical="center"/>
    </xf>
    <xf numFmtId="3" fontId="27" fillId="0" borderId="80" xfId="1" applyNumberFormat="1" applyFont="1" applyFill="1" applyBorder="1" applyAlignment="1">
      <alignment horizontal="center" vertical="center"/>
    </xf>
    <xf numFmtId="3" fontId="27" fillId="0" borderId="93" xfId="1" applyNumberFormat="1" applyFont="1" applyFill="1" applyBorder="1" applyAlignment="1">
      <alignment horizontal="center" vertical="center"/>
    </xf>
    <xf numFmtId="3" fontId="27" fillId="0" borderId="102" xfId="1" applyNumberFormat="1" applyFont="1" applyFill="1" applyBorder="1" applyAlignment="1">
      <alignment horizontal="center" vertical="center"/>
    </xf>
    <xf numFmtId="3" fontId="27" fillId="0" borderId="86" xfId="1" applyNumberFormat="1" applyFont="1" applyFill="1" applyBorder="1" applyAlignment="1">
      <alignment horizontal="center" vertical="center"/>
    </xf>
    <xf numFmtId="3" fontId="27" fillId="0" borderId="84" xfId="1" applyNumberFormat="1" applyFont="1" applyFill="1" applyBorder="1" applyAlignment="1">
      <alignment horizontal="center" vertical="center"/>
    </xf>
    <xf numFmtId="3" fontId="24" fillId="4" borderId="80" xfId="1" applyNumberFormat="1" applyFont="1" applyFill="1" applyBorder="1" applyAlignment="1">
      <alignment horizontal="center" vertical="center"/>
    </xf>
    <xf numFmtId="3" fontId="24" fillId="4" borderId="79" xfId="1" applyNumberFormat="1" applyFont="1" applyFill="1" applyBorder="1" applyAlignment="1">
      <alignment horizontal="center" vertical="center"/>
    </xf>
    <xf numFmtId="3" fontId="27" fillId="0" borderId="101" xfId="1" applyNumberFormat="1" applyFont="1" applyFill="1" applyBorder="1" applyAlignment="1">
      <alignment horizontal="center" vertical="center"/>
    </xf>
    <xf numFmtId="3" fontId="27" fillId="0" borderId="101" xfId="6" applyNumberFormat="1" applyFont="1" applyFill="1" applyBorder="1" applyAlignment="1">
      <alignment horizontal="center" vertical="center"/>
    </xf>
    <xf numFmtId="3" fontId="27" fillId="0" borderId="103" xfId="1" applyNumberFormat="1" applyFont="1" applyFill="1" applyBorder="1" applyAlignment="1">
      <alignment horizontal="center" vertical="center"/>
    </xf>
    <xf numFmtId="3" fontId="27" fillId="0" borderId="104" xfId="1" applyNumberFormat="1" applyFont="1" applyFill="1" applyBorder="1" applyAlignment="1">
      <alignment horizontal="center" vertical="center"/>
    </xf>
    <xf numFmtId="3" fontId="24" fillId="4" borderId="62" xfId="1" applyNumberFormat="1" applyFont="1" applyFill="1" applyBorder="1" applyAlignment="1">
      <alignment horizontal="center" vertical="center"/>
    </xf>
    <xf numFmtId="3" fontId="26" fillId="5" borderId="90" xfId="1" applyNumberFormat="1" applyFont="1" applyFill="1" applyBorder="1" applyAlignment="1">
      <alignment horizontal="center" vertical="center"/>
    </xf>
    <xf numFmtId="3" fontId="26" fillId="5" borderId="91" xfId="1" applyNumberFormat="1" applyFont="1" applyFill="1" applyBorder="1" applyAlignment="1">
      <alignment horizontal="center" vertical="center"/>
    </xf>
    <xf numFmtId="3" fontId="24" fillId="4" borderId="63" xfId="1" applyNumberFormat="1" applyFont="1" applyFill="1" applyBorder="1" applyAlignment="1">
      <alignment horizontal="center" vertical="center"/>
    </xf>
    <xf numFmtId="3" fontId="27" fillId="5" borderId="101" xfId="1" applyNumberFormat="1" applyFont="1" applyFill="1" applyBorder="1" applyAlignment="1">
      <alignment horizontal="center" vertical="center"/>
    </xf>
    <xf numFmtId="3" fontId="26" fillId="5" borderId="93" xfId="1" applyNumberFormat="1" applyFont="1" applyFill="1" applyBorder="1" applyAlignment="1">
      <alignment horizontal="center" vertical="center"/>
    </xf>
    <xf numFmtId="3" fontId="26" fillId="5" borderId="101" xfId="1" applyNumberFormat="1" applyFont="1" applyFill="1" applyBorder="1" applyAlignment="1">
      <alignment horizontal="center" vertical="center"/>
    </xf>
    <xf numFmtId="3" fontId="24" fillId="4" borderId="93" xfId="1" applyNumberFormat="1" applyFont="1" applyFill="1" applyBorder="1" applyAlignment="1">
      <alignment horizontal="center" vertical="center"/>
    </xf>
    <xf numFmtId="3" fontId="24" fillId="4" borderId="101" xfId="1" applyNumberFormat="1" applyFont="1" applyFill="1" applyBorder="1" applyAlignment="1">
      <alignment horizontal="center" vertical="center"/>
    </xf>
    <xf numFmtId="3" fontId="26" fillId="0" borderId="91" xfId="1" applyNumberFormat="1" applyFont="1" applyFill="1" applyBorder="1" applyAlignment="1">
      <alignment horizontal="center" vertical="center"/>
    </xf>
    <xf numFmtId="3" fontId="24" fillId="6" borderId="55" xfId="1" applyNumberFormat="1" applyFont="1" applyFill="1" applyBorder="1" applyAlignment="1">
      <alignment horizontal="center" vertical="center"/>
    </xf>
    <xf numFmtId="3" fontId="24" fillId="6" borderId="56" xfId="1" applyNumberFormat="1" applyFont="1" applyFill="1" applyBorder="1" applyAlignment="1">
      <alignment horizontal="center" vertical="center"/>
    </xf>
    <xf numFmtId="3" fontId="24" fillId="4" borderId="90" xfId="1" applyNumberFormat="1" applyFont="1" applyFill="1" applyBorder="1" applyAlignment="1">
      <alignment horizontal="center" vertical="center"/>
    </xf>
    <xf numFmtId="3" fontId="27" fillId="0" borderId="62" xfId="1" applyNumberFormat="1" applyFont="1" applyFill="1" applyBorder="1" applyAlignment="1">
      <alignment horizontal="center" vertical="center"/>
    </xf>
    <xf numFmtId="3" fontId="27" fillId="0" borderId="63" xfId="1" applyNumberFormat="1" applyFont="1" applyFill="1" applyBorder="1" applyAlignment="1">
      <alignment horizontal="center" vertical="center"/>
    </xf>
    <xf numFmtId="3" fontId="26" fillId="0" borderId="93" xfId="1" applyNumberFormat="1" applyFont="1" applyFill="1" applyBorder="1" applyAlignment="1">
      <alignment horizontal="center" vertical="center"/>
    </xf>
    <xf numFmtId="3" fontId="26" fillId="0" borderId="101" xfId="1" applyNumberFormat="1" applyFont="1" applyFill="1" applyBorder="1" applyAlignment="1">
      <alignment horizontal="center" vertical="center"/>
    </xf>
    <xf numFmtId="3" fontId="26" fillId="0" borderId="100" xfId="1" applyNumberFormat="1" applyFont="1" applyFill="1" applyBorder="1" applyAlignment="1">
      <alignment horizontal="center" vertical="center"/>
    </xf>
    <xf numFmtId="3" fontId="27" fillId="0" borderId="58" xfId="1" applyNumberFormat="1" applyFont="1" applyFill="1" applyBorder="1" applyAlignment="1">
      <alignment horizontal="center" vertical="center"/>
    </xf>
    <xf numFmtId="3" fontId="28" fillId="6" borderId="93" xfId="1" applyNumberFormat="1" applyFont="1" applyFill="1" applyBorder="1" applyAlignment="1">
      <alignment horizontal="center" vertical="center"/>
    </xf>
    <xf numFmtId="3" fontId="28" fillId="6" borderId="101" xfId="1" applyNumberFormat="1" applyFont="1" applyFill="1" applyBorder="1" applyAlignment="1">
      <alignment horizontal="center" vertical="center"/>
    </xf>
    <xf numFmtId="3" fontId="24" fillId="6" borderId="93" xfId="1" applyNumberFormat="1" applyFont="1" applyFill="1" applyBorder="1" applyAlignment="1">
      <alignment horizontal="center" vertical="center"/>
    </xf>
    <xf numFmtId="3" fontId="24" fillId="6" borderId="101" xfId="1" applyNumberFormat="1" applyFont="1" applyFill="1" applyBorder="1" applyAlignment="1">
      <alignment horizontal="center" vertical="center"/>
    </xf>
    <xf numFmtId="3" fontId="24" fillId="3" borderId="90" xfId="1" applyNumberFormat="1" applyFont="1" applyFill="1" applyBorder="1" applyAlignment="1">
      <alignment horizontal="center" vertical="center"/>
    </xf>
    <xf numFmtId="3" fontId="19" fillId="0" borderId="0" xfId="1" applyNumberFormat="1" applyFont="1" applyAlignment="1">
      <alignment horizontal="center" vertical="center"/>
    </xf>
    <xf numFmtId="3" fontId="16" fillId="0" borderId="0" xfId="1" applyNumberFormat="1" applyAlignment="1">
      <alignment horizontal="center" vertical="center"/>
    </xf>
    <xf numFmtId="3" fontId="30" fillId="12" borderId="0" xfId="6" applyNumberFormat="1" applyFont="1" applyFill="1" applyAlignment="1">
      <alignment horizontal="center" vertical="center"/>
    </xf>
    <xf numFmtId="9" fontId="24" fillId="3" borderId="90" xfId="7" applyFont="1" applyFill="1" applyBorder="1" applyAlignment="1">
      <alignment horizontal="center" vertical="center"/>
    </xf>
    <xf numFmtId="9" fontId="24" fillId="3" borderId="62" xfId="7" applyFont="1" applyFill="1" applyBorder="1" applyAlignment="1">
      <alignment horizontal="center" vertical="center"/>
    </xf>
    <xf numFmtId="9" fontId="24" fillId="3" borderId="63" xfId="7" applyFont="1" applyFill="1" applyBorder="1" applyAlignment="1">
      <alignment horizontal="center" vertical="center"/>
    </xf>
    <xf numFmtId="3" fontId="26" fillId="5" borderId="102" xfId="1" applyNumberFormat="1" applyFont="1" applyFill="1" applyBorder="1" applyAlignment="1">
      <alignment horizontal="center" vertical="center"/>
    </xf>
    <xf numFmtId="9" fontId="36" fillId="11" borderId="51" xfId="7" applyFont="1" applyFill="1" applyBorder="1" applyAlignment="1">
      <alignment horizontal="center" vertical="center"/>
    </xf>
    <xf numFmtId="4" fontId="29" fillId="11" borderId="101" xfId="1" applyNumberFormat="1" applyFont="1" applyFill="1" applyBorder="1" applyAlignment="1">
      <alignment horizontal="center" vertical="center"/>
    </xf>
    <xf numFmtId="4" fontId="37" fillId="6" borderId="56" xfId="1" applyNumberFormat="1" applyFont="1" applyFill="1" applyBorder="1" applyAlignment="1">
      <alignment horizontal="center" vertical="center"/>
    </xf>
    <xf numFmtId="10" fontId="29" fillId="3" borderId="63" xfId="1" applyNumberFormat="1" applyFont="1" applyFill="1" applyBorder="1" applyAlignment="1">
      <alignment horizontal="center" vertical="center"/>
    </xf>
    <xf numFmtId="10" fontId="29" fillId="0" borderId="91" xfId="1" applyNumberFormat="1" applyFont="1" applyFill="1" applyBorder="1" applyAlignment="1">
      <alignment horizontal="center" vertical="center"/>
    </xf>
    <xf numFmtId="9" fontId="36" fillId="4" borderId="100" xfId="7" applyFont="1" applyFill="1" applyBorder="1" applyAlignment="1">
      <alignment horizontal="center" vertical="center"/>
    </xf>
    <xf numFmtId="9" fontId="36" fillId="4" borderId="58" xfId="7" applyFont="1" applyFill="1" applyBorder="1" applyAlignment="1">
      <alignment horizontal="center" vertical="center"/>
    </xf>
    <xf numFmtId="9" fontId="36" fillId="4" borderId="77" xfId="7" applyFont="1" applyFill="1" applyBorder="1" applyAlignment="1">
      <alignment horizontal="center" vertical="center"/>
    </xf>
    <xf numFmtId="4" fontId="29" fillId="6" borderId="56" xfId="1" applyNumberFormat="1" applyFont="1" applyFill="1" applyBorder="1" applyAlignment="1">
      <alignment horizontal="center" vertical="center"/>
    </xf>
    <xf numFmtId="4" fontId="38" fillId="6" borderId="101" xfId="1" applyNumberFormat="1" applyFont="1" applyFill="1" applyBorder="1" applyAlignment="1">
      <alignment horizontal="center" vertical="center"/>
    </xf>
    <xf numFmtId="4" fontId="29" fillId="6" borderId="101" xfId="1" applyNumberFormat="1" applyFont="1" applyFill="1" applyBorder="1" applyAlignment="1">
      <alignment horizontal="center" vertical="center"/>
    </xf>
    <xf numFmtId="9" fontId="36" fillId="0" borderId="77" xfId="7" applyFont="1" applyFill="1" applyBorder="1" applyAlignment="1">
      <alignment horizontal="center" vertical="center"/>
    </xf>
    <xf numFmtId="9" fontId="36" fillId="0" borderId="100" xfId="7" applyFont="1" applyFill="1" applyBorder="1" applyAlignment="1">
      <alignment horizontal="center" vertical="center"/>
    </xf>
    <xf numFmtId="0" fontId="36" fillId="0" borderId="100" xfId="1" applyNumberFormat="1" applyFont="1" applyFill="1" applyBorder="1" applyAlignment="1">
      <alignment horizontal="center" vertical="center"/>
    </xf>
    <xf numFmtId="10" fontId="36" fillId="0" borderId="91" xfId="1" applyNumberFormat="1" applyFont="1" applyFill="1" applyBorder="1" applyAlignment="1">
      <alignment horizontal="center" vertical="center"/>
    </xf>
    <xf numFmtId="10" fontId="36" fillId="0" borderId="104" xfId="1" applyNumberFormat="1" applyFont="1" applyFill="1" applyBorder="1" applyAlignment="1">
      <alignment horizontal="center" vertical="center"/>
    </xf>
    <xf numFmtId="10" fontId="39" fillId="5" borderId="91" xfId="1" applyNumberFormat="1" applyFont="1" applyFill="1" applyBorder="1" applyAlignment="1">
      <alignment horizontal="center" vertical="center"/>
    </xf>
    <xf numFmtId="9" fontId="36" fillId="0" borderId="104" xfId="7" applyFont="1" applyFill="1" applyBorder="1" applyAlignment="1">
      <alignment horizontal="center" vertical="center"/>
    </xf>
    <xf numFmtId="10" fontId="39" fillId="0" borderId="91" xfId="1" applyNumberFormat="1" applyFont="1" applyFill="1" applyBorder="1" applyAlignment="1">
      <alignment horizontal="center" vertical="center"/>
    </xf>
    <xf numFmtId="10" fontId="36" fillId="0" borderId="58" xfId="1" applyNumberFormat="1" applyFont="1" applyFill="1" applyBorder="1" applyAlignment="1">
      <alignment horizontal="center" vertical="center"/>
    </xf>
    <xf numFmtId="10" fontId="39" fillId="0" borderId="100" xfId="1" applyNumberFormat="1" applyFont="1" applyFill="1" applyBorder="1" applyAlignment="1">
      <alignment horizontal="center" vertical="center"/>
    </xf>
    <xf numFmtId="4" fontId="40" fillId="0" borderId="0" xfId="1" applyNumberFormat="1" applyFont="1" applyAlignment="1">
      <alignment horizontal="center" vertical="center"/>
    </xf>
    <xf numFmtId="9" fontId="36" fillId="0" borderId="91" xfId="7" applyFont="1" applyFill="1" applyBorder="1" applyAlignment="1">
      <alignment horizontal="center" vertical="center"/>
    </xf>
    <xf numFmtId="0" fontId="42" fillId="12" borderId="56" xfId="1" applyFont="1" applyFill="1" applyBorder="1" applyAlignment="1">
      <alignment horizontal="center" vertical="center" wrapText="1"/>
    </xf>
    <xf numFmtId="3" fontId="25" fillId="0" borderId="77" xfId="1" applyNumberFormat="1" applyFont="1" applyFill="1" applyBorder="1" applyAlignment="1">
      <alignment horizontal="center" vertical="center"/>
    </xf>
    <xf numFmtId="0" fontId="24" fillId="8" borderId="84" xfId="1" applyFont="1" applyFill="1" applyBorder="1" applyAlignment="1">
      <alignment vertical="center"/>
    </xf>
    <xf numFmtId="3" fontId="24" fillId="8" borderId="84" xfId="1" applyNumberFormat="1" applyFont="1" applyFill="1" applyBorder="1" applyAlignment="1">
      <alignment horizontal="center" vertical="center"/>
    </xf>
    <xf numFmtId="3" fontId="24" fillId="8" borderId="103" xfId="1" applyNumberFormat="1" applyFont="1" applyFill="1" applyBorder="1" applyAlignment="1">
      <alignment horizontal="center" vertical="center"/>
    </xf>
    <xf numFmtId="4" fontId="29" fillId="8" borderId="103" xfId="1" applyNumberFormat="1" applyFont="1" applyFill="1" applyBorder="1" applyAlignment="1">
      <alignment horizontal="center" vertical="center"/>
    </xf>
    <xf numFmtId="0" fontId="19" fillId="0" borderId="19" xfId="1" applyFont="1" applyBorder="1" applyAlignment="1">
      <alignment vertical="center"/>
    </xf>
    <xf numFmtId="0" fontId="36" fillId="0" borderId="58" xfId="1" applyNumberFormat="1" applyFont="1" applyFill="1" applyBorder="1" applyAlignment="1">
      <alignment horizontal="center" vertical="center"/>
    </xf>
    <xf numFmtId="9" fontId="36" fillId="0" borderId="58" xfId="7" applyFont="1" applyFill="1" applyBorder="1" applyAlignment="1">
      <alignment horizontal="center" vertical="center"/>
    </xf>
    <xf numFmtId="3" fontId="27" fillId="0" borderId="63" xfId="6" applyNumberFormat="1" applyFont="1" applyFill="1" applyBorder="1" applyAlignment="1">
      <alignment horizontal="center" vertical="center"/>
    </xf>
    <xf numFmtId="3" fontId="25" fillId="0" borderId="58" xfId="1" applyNumberFormat="1" applyFont="1" applyFill="1" applyBorder="1" applyAlignment="1">
      <alignment horizontal="center" vertical="center"/>
    </xf>
    <xf numFmtId="0" fontId="35" fillId="0" borderId="0" xfId="1" applyFont="1" applyAlignment="1">
      <alignment horizontal="center" vertical="center"/>
    </xf>
    <xf numFmtId="0" fontId="19" fillId="0" borderId="93" xfId="1" applyFont="1" applyFill="1" applyBorder="1" applyAlignment="1">
      <alignment vertical="center"/>
    </xf>
    <xf numFmtId="0" fontId="20" fillId="0" borderId="0" xfId="1" applyFont="1" applyFill="1"/>
    <xf numFmtId="0" fontId="24" fillId="0" borderId="5" xfId="1" applyFont="1" applyBorder="1" applyAlignment="1">
      <alignment horizontal="center" vertical="center"/>
    </xf>
    <xf numFmtId="0" fontId="24" fillId="0" borderId="6" xfId="1" applyFont="1" applyBorder="1" applyAlignment="1">
      <alignment horizontal="center" vertical="center"/>
    </xf>
    <xf numFmtId="0" fontId="24" fillId="0" borderId="7" xfId="1" applyFont="1" applyBorder="1" applyAlignment="1">
      <alignment horizontal="center" vertical="center"/>
    </xf>
    <xf numFmtId="0" fontId="24" fillId="0" borderId="6" xfId="1" applyFont="1" applyFill="1" applyBorder="1" applyAlignment="1">
      <alignment horizontal="center" vertical="center"/>
    </xf>
    <xf numFmtId="0" fontId="16" fillId="0" borderId="0" xfId="1" applyFill="1"/>
    <xf numFmtId="0" fontId="24" fillId="0" borderId="5" xfId="1" applyFont="1" applyBorder="1" applyAlignment="1">
      <alignment vertical="center"/>
    </xf>
    <xf numFmtId="0" fontId="24" fillId="0" borderId="6" xfId="1" applyFont="1" applyBorder="1" applyAlignment="1">
      <alignment vertical="center"/>
    </xf>
    <xf numFmtId="0" fontId="24" fillId="0" borderId="6" xfId="1" applyFont="1" applyFill="1" applyBorder="1" applyAlignment="1">
      <alignment vertical="center"/>
    </xf>
    <xf numFmtId="0" fontId="33" fillId="11" borderId="55" xfId="1" applyFont="1" applyFill="1" applyBorder="1" applyAlignment="1">
      <alignment horizontal="center" vertical="center" wrapText="1"/>
    </xf>
    <xf numFmtId="0" fontId="33" fillId="11" borderId="56" xfId="1" applyFont="1" applyFill="1" applyBorder="1" applyAlignment="1">
      <alignment horizontal="center" vertical="center" wrapText="1"/>
    </xf>
    <xf numFmtId="0" fontId="42" fillId="12" borderId="55" xfId="1" applyFont="1" applyFill="1" applyBorder="1" applyAlignment="1">
      <alignment horizontal="center" vertical="center" wrapText="1"/>
    </xf>
    <xf numFmtId="9" fontId="36" fillId="11" borderId="1" xfId="7" applyFont="1" applyFill="1" applyBorder="1" applyAlignment="1">
      <alignment horizontal="center" vertical="center"/>
    </xf>
    <xf numFmtId="9" fontId="36" fillId="4" borderId="76" xfId="7" applyFont="1" applyFill="1" applyBorder="1" applyAlignment="1">
      <alignment horizontal="center" vertical="center"/>
    </xf>
    <xf numFmtId="9" fontId="36" fillId="4" borderId="19" xfId="7" applyFont="1" applyFill="1" applyBorder="1" applyAlignment="1">
      <alignment horizontal="center" vertical="center"/>
    </xf>
    <xf numFmtId="9" fontId="26" fillId="0" borderId="100" xfId="7" applyFont="1" applyFill="1" applyBorder="1" applyAlignment="1">
      <alignment horizontal="center" vertical="center"/>
    </xf>
    <xf numFmtId="9" fontId="27" fillId="0" borderId="58" xfId="7" applyFont="1" applyFill="1" applyBorder="1" applyAlignment="1">
      <alignment horizontal="center" vertical="center"/>
    </xf>
    <xf numFmtId="9" fontId="27" fillId="0" borderId="77" xfId="7" applyFont="1" applyFill="1" applyBorder="1" applyAlignment="1">
      <alignment horizontal="center" vertical="center" wrapText="1"/>
    </xf>
    <xf numFmtId="0" fontId="19" fillId="0" borderId="101" xfId="1" applyFont="1" applyFill="1" applyBorder="1" applyAlignment="1">
      <alignment vertical="center"/>
    </xf>
    <xf numFmtId="3" fontId="24" fillId="0" borderId="6" xfId="1" applyNumberFormat="1" applyFont="1" applyFill="1" applyBorder="1" applyAlignment="1">
      <alignment vertical="center"/>
    </xf>
    <xf numFmtId="3" fontId="24" fillId="4" borderId="55" xfId="1" applyNumberFormat="1" applyFont="1" applyFill="1" applyBorder="1" applyAlignment="1">
      <alignment horizontal="center" vertical="center"/>
    </xf>
    <xf numFmtId="0" fontId="24" fillId="0" borderId="7" xfId="1" applyFont="1" applyFill="1" applyBorder="1" applyAlignment="1">
      <alignment vertical="center"/>
    </xf>
    <xf numFmtId="4" fontId="16" fillId="0" borderId="0" xfId="1" applyNumberFormat="1" applyFont="1" applyAlignment="1">
      <alignment horizontal="center" vertical="center"/>
    </xf>
    <xf numFmtId="0" fontId="36" fillId="0" borderId="77" xfId="1" applyNumberFormat="1" applyFont="1" applyFill="1" applyBorder="1" applyAlignment="1">
      <alignment horizontal="center" vertical="center"/>
    </xf>
    <xf numFmtId="49" fontId="18" fillId="17" borderId="12" xfId="0" applyNumberFormat="1" applyFont="1" applyFill="1" applyBorder="1" applyAlignment="1">
      <alignment horizontal="center" vertical="center"/>
    </xf>
    <xf numFmtId="49" fontId="18" fillId="17" borderId="20" xfId="0" applyNumberFormat="1" applyFont="1" applyFill="1" applyBorder="1" applyAlignment="1">
      <alignment horizontal="center" vertical="center"/>
    </xf>
    <xf numFmtId="4" fontId="25" fillId="0" borderId="77" xfId="1" applyNumberFormat="1" applyFont="1" applyFill="1" applyBorder="1" applyAlignment="1">
      <alignment horizontal="center" vertical="center" wrapText="1"/>
    </xf>
    <xf numFmtId="9" fontId="27" fillId="0" borderId="100" xfId="7" applyFont="1" applyFill="1" applyBorder="1" applyAlignment="1">
      <alignment horizontal="center" vertical="center" wrapText="1"/>
    </xf>
    <xf numFmtId="4" fontId="63" fillId="0" borderId="0" xfId="1" applyNumberFormat="1" applyFont="1" applyAlignment="1">
      <alignment horizontal="center" vertical="center"/>
    </xf>
    <xf numFmtId="9" fontId="26" fillId="0" borderId="77" xfId="7" applyFont="1" applyFill="1" applyBorder="1" applyAlignment="1">
      <alignment horizontal="center" vertical="center"/>
    </xf>
    <xf numFmtId="0" fontId="26" fillId="0" borderId="100" xfId="1" applyNumberFormat="1" applyFont="1" applyFill="1" applyBorder="1" applyAlignment="1">
      <alignment horizontal="center" vertical="center"/>
    </xf>
    <xf numFmtId="4" fontId="35" fillId="6" borderId="56" xfId="1" applyNumberFormat="1" applyFont="1" applyFill="1" applyBorder="1" applyAlignment="1">
      <alignment horizontal="center" vertical="center"/>
    </xf>
    <xf numFmtId="10" fontId="65" fillId="3" borderId="63" xfId="1" applyNumberFormat="1" applyFont="1" applyFill="1" applyBorder="1" applyAlignment="1">
      <alignment horizontal="center" vertical="center"/>
    </xf>
    <xf numFmtId="10" fontId="65" fillId="0" borderId="91" xfId="1" applyNumberFormat="1" applyFont="1" applyFill="1" applyBorder="1" applyAlignment="1">
      <alignment horizontal="center" vertical="center"/>
    </xf>
    <xf numFmtId="4" fontId="65" fillId="4" borderId="63" xfId="1" applyNumberFormat="1" applyFont="1" applyFill="1" applyBorder="1" applyAlignment="1">
      <alignment horizontal="center" vertical="center"/>
    </xf>
    <xf numFmtId="4" fontId="65" fillId="6" borderId="56" xfId="1" applyNumberFormat="1" applyFont="1" applyFill="1" applyBorder="1" applyAlignment="1">
      <alignment horizontal="center" vertical="center"/>
    </xf>
    <xf numFmtId="4" fontId="65" fillId="11" borderId="51" xfId="1" applyNumberFormat="1" applyFont="1" applyFill="1" applyBorder="1" applyAlignment="1">
      <alignment horizontal="center" vertical="center"/>
    </xf>
    <xf numFmtId="9" fontId="19" fillId="0" borderId="100" xfId="7" applyFont="1" applyFill="1" applyBorder="1" applyAlignment="1">
      <alignment horizontal="center" vertical="center"/>
    </xf>
    <xf numFmtId="9" fontId="19" fillId="0" borderId="77" xfId="7" applyFont="1" applyFill="1" applyBorder="1" applyAlignment="1">
      <alignment horizontal="center" vertical="center"/>
    </xf>
    <xf numFmtId="9" fontId="67" fillId="0" borderId="100" xfId="7" applyFont="1" applyFill="1" applyBorder="1" applyAlignment="1">
      <alignment horizontal="center" vertical="center"/>
    </xf>
    <xf numFmtId="9" fontId="66" fillId="0" borderId="77" xfId="7" applyFont="1" applyFill="1" applyBorder="1" applyAlignment="1">
      <alignment horizontal="center" vertical="center" wrapText="1"/>
    </xf>
    <xf numFmtId="4" fontId="67" fillId="0" borderId="0" xfId="1" applyNumberFormat="1" applyFont="1" applyAlignment="1">
      <alignment horizontal="center" vertical="center"/>
    </xf>
    <xf numFmtId="4" fontId="30" fillId="0" borderId="0" xfId="1" applyNumberFormat="1" applyFont="1" applyAlignment="1">
      <alignment horizontal="center" vertical="center"/>
    </xf>
    <xf numFmtId="4" fontId="69" fillId="0" borderId="0" xfId="1" applyNumberFormat="1" applyFont="1" applyAlignment="1">
      <alignment horizontal="center" vertical="center"/>
    </xf>
    <xf numFmtId="9" fontId="67" fillId="0" borderId="77" xfId="7" applyFont="1" applyFill="1" applyBorder="1" applyAlignment="1">
      <alignment horizontal="center" vertical="center"/>
    </xf>
    <xf numFmtId="9" fontId="66" fillId="0" borderId="100" xfId="7" applyFont="1" applyFill="1" applyBorder="1" applyAlignment="1">
      <alignment horizontal="center" vertical="center"/>
    </xf>
    <xf numFmtId="9" fontId="70" fillId="0" borderId="100" xfId="7" applyFont="1" applyFill="1" applyBorder="1" applyAlignment="1">
      <alignment horizontal="center" vertical="center"/>
    </xf>
    <xf numFmtId="4" fontId="66" fillId="0" borderId="0" xfId="1" applyNumberFormat="1" applyFont="1" applyAlignment="1">
      <alignment horizontal="center" vertical="center"/>
    </xf>
    <xf numFmtId="0" fontId="26" fillId="0" borderId="77" xfId="1" applyNumberFormat="1" applyFont="1" applyFill="1" applyBorder="1" applyAlignment="1">
      <alignment horizontal="center" vertical="center"/>
    </xf>
    <xf numFmtId="4" fontId="26" fillId="0" borderId="0" xfId="1" applyNumberFormat="1" applyFont="1" applyAlignment="1">
      <alignment horizontal="center" vertical="center"/>
    </xf>
    <xf numFmtId="9" fontId="70" fillId="0" borderId="100" xfId="7" applyFont="1" applyFill="1" applyBorder="1" applyAlignment="1">
      <alignment horizontal="center" vertical="center" wrapText="1"/>
    </xf>
    <xf numFmtId="9" fontId="70" fillId="0" borderId="77" xfId="7" applyFont="1" applyFill="1" applyBorder="1" applyAlignment="1">
      <alignment horizontal="center" vertical="center" wrapText="1"/>
    </xf>
    <xf numFmtId="0" fontId="19" fillId="0" borderId="76" xfId="1" applyFont="1" applyBorder="1" applyAlignment="1">
      <alignment horizontal="left" vertical="center"/>
    </xf>
    <xf numFmtId="4" fontId="26" fillId="0" borderId="80" xfId="1" applyNumberFormat="1" applyFont="1" applyFill="1" applyBorder="1" applyAlignment="1">
      <alignment horizontal="center" vertical="center"/>
    </xf>
    <xf numFmtId="4" fontId="26" fillId="0" borderId="79" xfId="1" applyNumberFormat="1" applyFont="1" applyFill="1" applyBorder="1" applyAlignment="1">
      <alignment horizontal="center" vertical="center"/>
    </xf>
    <xf numFmtId="10" fontId="26" fillId="0" borderId="77" xfId="1" applyNumberFormat="1" applyFont="1" applyFill="1" applyBorder="1" applyAlignment="1">
      <alignment horizontal="center" vertical="center"/>
    </xf>
    <xf numFmtId="10" fontId="39" fillId="0" borderId="77" xfId="1" applyNumberFormat="1" applyFont="1" applyFill="1" applyBorder="1" applyAlignment="1">
      <alignment horizontal="center" vertical="center"/>
    </xf>
    <xf numFmtId="10" fontId="26" fillId="0" borderId="79" xfId="1" applyNumberFormat="1" applyFont="1" applyFill="1" applyBorder="1" applyAlignment="1">
      <alignment horizontal="center" vertical="center"/>
    </xf>
    <xf numFmtId="0" fontId="19" fillId="0" borderId="63" xfId="1" applyFont="1" applyBorder="1" applyAlignment="1">
      <alignment vertical="center"/>
    </xf>
    <xf numFmtId="3" fontId="27" fillId="0" borderId="19" xfId="1" applyNumberFormat="1" applyFont="1" applyFill="1" applyBorder="1" applyAlignment="1">
      <alignment horizontal="center" vertical="center"/>
    </xf>
    <xf numFmtId="4" fontId="25" fillId="0" borderId="58" xfId="1" applyNumberFormat="1" applyFont="1" applyFill="1" applyBorder="1" applyAlignment="1">
      <alignment horizontal="center" vertical="center"/>
    </xf>
    <xf numFmtId="4" fontId="19" fillId="0" borderId="77" xfId="1" applyNumberFormat="1" applyFont="1" applyFill="1" applyBorder="1" applyAlignment="1">
      <alignment horizontal="center" vertical="center"/>
    </xf>
    <xf numFmtId="3" fontId="27" fillId="0" borderId="105" xfId="1" applyNumberFormat="1" applyFont="1" applyFill="1" applyBorder="1" applyAlignment="1">
      <alignment horizontal="center" vertical="center"/>
    </xf>
    <xf numFmtId="3" fontId="27" fillId="0" borderId="90" xfId="1" applyNumberFormat="1" applyFont="1" applyFill="1" applyBorder="1" applyAlignment="1">
      <alignment horizontal="center" vertical="center"/>
    </xf>
    <xf numFmtId="3" fontId="27" fillId="0" borderId="7" xfId="6" applyNumberFormat="1" applyFont="1" applyFill="1" applyBorder="1" applyAlignment="1">
      <alignment horizontal="center" vertical="center"/>
    </xf>
    <xf numFmtId="4" fontId="25" fillId="0" borderId="20" xfId="1" applyNumberFormat="1" applyFont="1" applyFill="1" applyBorder="1" applyAlignment="1">
      <alignment horizontal="center" vertical="center"/>
    </xf>
    <xf numFmtId="3" fontId="25" fillId="0" borderId="20" xfId="1" applyNumberFormat="1" applyFont="1" applyFill="1" applyBorder="1" applyAlignment="1">
      <alignment horizontal="center" vertical="center"/>
    </xf>
    <xf numFmtId="9" fontId="27" fillId="0" borderId="91" xfId="7" applyFont="1" applyFill="1" applyBorder="1" applyAlignment="1">
      <alignment horizontal="center" vertical="center"/>
    </xf>
    <xf numFmtId="4" fontId="25" fillId="0" borderId="104" xfId="1" applyNumberFormat="1" applyFont="1" applyFill="1" applyBorder="1" applyAlignment="1">
      <alignment horizontal="center" vertical="center" wrapText="1"/>
    </xf>
    <xf numFmtId="9" fontId="36" fillId="11" borderId="100" xfId="7" applyFont="1" applyFill="1" applyBorder="1" applyAlignment="1">
      <alignment horizontal="center" vertical="center"/>
    </xf>
    <xf numFmtId="9" fontId="36" fillId="7" borderId="100" xfId="7" applyFont="1" applyFill="1" applyBorder="1" applyAlignment="1">
      <alignment horizontal="center" vertical="center"/>
    </xf>
    <xf numFmtId="9" fontId="36" fillId="26" borderId="100" xfId="7" applyFont="1" applyFill="1" applyBorder="1" applyAlignment="1">
      <alignment horizontal="center" vertical="center"/>
    </xf>
    <xf numFmtId="4" fontId="25" fillId="0" borderId="36" xfId="1" applyNumberFormat="1" applyFont="1" applyFill="1" applyBorder="1" applyAlignment="1">
      <alignment horizontal="center" vertical="center"/>
    </xf>
    <xf numFmtId="4" fontId="25" fillId="0" borderId="76" xfId="1" applyNumberFormat="1" applyFont="1" applyFill="1" applyBorder="1" applyAlignment="1">
      <alignment horizontal="center" vertical="center"/>
    </xf>
    <xf numFmtId="9" fontId="36" fillId="0" borderId="97" xfId="7" applyFont="1" applyFill="1" applyBorder="1" applyAlignment="1">
      <alignment horizontal="center" vertical="center"/>
    </xf>
    <xf numFmtId="9" fontId="36" fillId="0" borderId="98" xfId="7" applyFont="1" applyFill="1" applyBorder="1" applyAlignment="1">
      <alignment horizontal="center" vertical="center"/>
    </xf>
    <xf numFmtId="4" fontId="25" fillId="0" borderId="97" xfId="1" applyNumberFormat="1" applyFont="1" applyFill="1" applyBorder="1" applyAlignment="1">
      <alignment horizontal="center" vertical="center"/>
    </xf>
    <xf numFmtId="10" fontId="27" fillId="0" borderId="19" xfId="1" applyNumberFormat="1" applyFont="1" applyFill="1" applyBorder="1" applyAlignment="1">
      <alignment horizontal="center" vertical="center"/>
    </xf>
    <xf numFmtId="10" fontId="26" fillId="0" borderId="102" xfId="1" applyNumberFormat="1" applyFont="1" applyFill="1" applyBorder="1" applyAlignment="1">
      <alignment horizontal="center" vertical="center"/>
    </xf>
    <xf numFmtId="4" fontId="25" fillId="0" borderId="91"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xf>
    <xf numFmtId="3" fontId="25" fillId="0" borderId="76" xfId="1" applyNumberFormat="1" applyFont="1" applyFill="1" applyBorder="1" applyAlignment="1">
      <alignment horizontal="center" vertical="center"/>
    </xf>
    <xf numFmtId="4" fontId="25" fillId="0" borderId="7" xfId="1" applyNumberFormat="1" applyFont="1" applyFill="1" applyBorder="1" applyAlignment="1">
      <alignment horizontal="center" vertical="center"/>
    </xf>
    <xf numFmtId="4" fontId="25" fillId="0" borderId="6" xfId="1" applyNumberFormat="1" applyFont="1" applyFill="1" applyBorder="1" applyAlignment="1">
      <alignment horizontal="center" vertical="center"/>
    </xf>
    <xf numFmtId="10" fontId="26" fillId="0" borderId="20" xfId="1" applyNumberFormat="1" applyFont="1" applyFill="1" applyBorder="1" applyAlignment="1">
      <alignment horizontal="center" vertical="center"/>
    </xf>
    <xf numFmtId="4" fontId="27" fillId="27" borderId="93" xfId="1" applyNumberFormat="1" applyFont="1" applyFill="1" applyBorder="1" applyAlignment="1">
      <alignment horizontal="center" vertical="center"/>
    </xf>
    <xf numFmtId="4" fontId="25" fillId="27" borderId="77" xfId="1" applyNumberFormat="1" applyFont="1" applyFill="1" applyBorder="1" applyAlignment="1">
      <alignment horizontal="center" vertical="center"/>
    </xf>
    <xf numFmtId="9" fontId="36" fillId="0" borderId="102" xfId="7" applyFont="1" applyFill="1" applyBorder="1" applyAlignment="1">
      <alignment horizontal="center" vertical="center"/>
    </xf>
    <xf numFmtId="4" fontId="26" fillId="0" borderId="91" xfId="1" applyNumberFormat="1" applyFont="1" applyFill="1" applyBorder="1" applyAlignment="1">
      <alignment horizontal="center" vertical="center"/>
    </xf>
    <xf numFmtId="3" fontId="27" fillId="0" borderId="6" xfId="6" applyNumberFormat="1" applyFont="1" applyFill="1" applyBorder="1" applyAlignment="1">
      <alignment horizontal="center" vertical="center"/>
    </xf>
    <xf numFmtId="9" fontId="16" fillId="0" borderId="0" xfId="7" applyFont="1" applyAlignment="1">
      <alignment horizontal="center" vertical="center"/>
    </xf>
    <xf numFmtId="0" fontId="16" fillId="0" borderId="0" xfId="1" applyAlignment="1">
      <alignment horizontal="right" vertical="center"/>
    </xf>
    <xf numFmtId="4" fontId="24" fillId="11" borderId="1" xfId="1" applyNumberFormat="1" applyFont="1" applyFill="1" applyBorder="1" applyAlignment="1">
      <alignment horizontal="center" vertical="center"/>
    </xf>
    <xf numFmtId="4" fontId="24" fillId="4" borderId="90" xfId="1" applyNumberFormat="1" applyFont="1" applyFill="1" applyBorder="1" applyAlignment="1">
      <alignment horizontal="center" vertical="center"/>
    </xf>
    <xf numFmtId="4" fontId="28" fillId="6" borderId="93" xfId="1" applyNumberFormat="1" applyFont="1" applyFill="1" applyBorder="1" applyAlignment="1">
      <alignment horizontal="center" vertical="center"/>
    </xf>
    <xf numFmtId="4" fontId="68" fillId="4" borderId="63" xfId="1" applyNumberFormat="1" applyFont="1" applyFill="1" applyBorder="1" applyAlignment="1">
      <alignment horizontal="center" vertical="center"/>
    </xf>
    <xf numFmtId="4" fontId="68" fillId="6" borderId="56" xfId="1" applyNumberFormat="1" applyFont="1" applyFill="1" applyBorder="1" applyAlignment="1">
      <alignment horizontal="center" vertical="center"/>
    </xf>
    <xf numFmtId="10" fontId="68" fillId="3" borderId="63" xfId="1" applyNumberFormat="1" applyFont="1" applyFill="1" applyBorder="1" applyAlignment="1">
      <alignment horizontal="center" vertical="center"/>
    </xf>
    <xf numFmtId="10" fontId="67" fillId="0" borderId="58" xfId="1" applyNumberFormat="1" applyFont="1" applyFill="1" applyBorder="1" applyAlignment="1">
      <alignment horizontal="center" vertical="center"/>
    </xf>
    <xf numFmtId="4" fontId="25" fillId="0" borderId="36" xfId="1" applyNumberFormat="1" applyFont="1" applyFill="1" applyBorder="1" applyAlignment="1">
      <alignment horizontal="center" vertical="center" wrapText="1"/>
    </xf>
    <xf numFmtId="9" fontId="36" fillId="0" borderId="20" xfId="7" applyFont="1" applyFill="1" applyBorder="1" applyAlignment="1">
      <alignment horizontal="center" vertical="center"/>
    </xf>
    <xf numFmtId="0" fontId="35" fillId="0" borderId="0" xfId="1" applyFont="1"/>
    <xf numFmtId="4" fontId="85" fillId="0" borderId="0" xfId="1" applyNumberFormat="1" applyFont="1" applyAlignment="1">
      <alignment horizontal="center" vertical="center"/>
    </xf>
    <xf numFmtId="3" fontId="25" fillId="0" borderId="63" xfId="1" applyNumberFormat="1" applyFont="1" applyFill="1" applyBorder="1" applyAlignment="1">
      <alignment horizontal="center" vertical="center"/>
    </xf>
    <xf numFmtId="3" fontId="25" fillId="0" borderId="7" xfId="1" applyNumberFormat="1" applyFont="1" applyFill="1" applyBorder="1" applyAlignment="1">
      <alignment horizontal="center" vertical="center"/>
    </xf>
    <xf numFmtId="10" fontId="27" fillId="0" borderId="63" xfId="1" applyNumberFormat="1" applyFont="1" applyFill="1" applyBorder="1" applyAlignment="1">
      <alignment horizontal="center" vertical="center"/>
    </xf>
    <xf numFmtId="10" fontId="26" fillId="0" borderId="101" xfId="1" applyNumberFormat="1" applyFont="1" applyFill="1" applyBorder="1" applyAlignment="1">
      <alignment horizontal="center" vertical="center"/>
    </xf>
    <xf numFmtId="10" fontId="26" fillId="0" borderId="9" xfId="1" applyNumberFormat="1" applyFont="1" applyFill="1" applyBorder="1" applyAlignment="1">
      <alignment horizontal="center" vertical="center"/>
    </xf>
    <xf numFmtId="9" fontId="87" fillId="0" borderId="100" xfId="7" applyFont="1" applyFill="1" applyBorder="1" applyAlignment="1">
      <alignment horizontal="center" vertical="center"/>
    </xf>
    <xf numFmtId="0" fontId="24" fillId="11" borderId="55" xfId="1" applyFont="1" applyFill="1" applyBorder="1" applyAlignment="1">
      <alignment vertical="center" wrapText="1"/>
    </xf>
    <xf numFmtId="4" fontId="26" fillId="0" borderId="77" xfId="1" applyNumberFormat="1" applyFont="1" applyFill="1" applyBorder="1" applyAlignment="1">
      <alignment horizontal="center" vertical="center"/>
    </xf>
    <xf numFmtId="4" fontId="25" fillId="0" borderId="20" xfId="1" applyNumberFormat="1" applyFont="1" applyFill="1" applyBorder="1" applyAlignment="1">
      <alignment horizontal="center" vertical="center" wrapText="1"/>
    </xf>
    <xf numFmtId="4" fontId="25" fillId="0" borderId="86" xfId="1" applyNumberFormat="1" applyFont="1" applyFill="1" applyBorder="1" applyAlignment="1">
      <alignment horizontal="center" vertical="center"/>
    </xf>
    <xf numFmtId="10" fontId="26" fillId="5" borderId="105" xfId="1" applyNumberFormat="1" applyFont="1" applyFill="1" applyBorder="1" applyAlignment="1">
      <alignment horizontal="center" vertical="center"/>
    </xf>
    <xf numFmtId="4" fontId="16" fillId="0" borderId="0" xfId="1" applyNumberFormat="1" applyFill="1" applyAlignment="1">
      <alignment horizontal="center" vertical="center"/>
    </xf>
    <xf numFmtId="3" fontId="24" fillId="11" borderId="8" xfId="1" applyNumberFormat="1" applyFont="1" applyFill="1" applyBorder="1" applyAlignment="1">
      <alignment horizontal="center" vertical="center"/>
    </xf>
    <xf numFmtId="10" fontId="26" fillId="0" borderId="76" xfId="1" applyNumberFormat="1" applyFont="1" applyFill="1" applyBorder="1" applyAlignment="1">
      <alignment horizontal="center" vertical="center"/>
    </xf>
    <xf numFmtId="0" fontId="27" fillId="0" borderId="76" xfId="1" applyNumberFormat="1" applyFont="1" applyFill="1" applyBorder="1" applyAlignment="1">
      <alignment horizontal="center" vertical="center"/>
    </xf>
    <xf numFmtId="4" fontId="24" fillId="8" borderId="84"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wrapText="1"/>
    </xf>
    <xf numFmtId="10" fontId="26" fillId="0" borderId="7" xfId="1" applyNumberFormat="1" applyFont="1" applyFill="1" applyBorder="1" applyAlignment="1">
      <alignment horizontal="center" vertical="center"/>
    </xf>
    <xf numFmtId="0" fontId="27" fillId="0" borderId="79" xfId="1" applyNumberFormat="1" applyFont="1" applyFill="1" applyBorder="1" applyAlignment="1">
      <alignment horizontal="center" vertical="center"/>
    </xf>
    <xf numFmtId="0" fontId="27" fillId="0" borderId="102" xfId="1" applyNumberFormat="1" applyFont="1" applyFill="1" applyBorder="1" applyAlignment="1">
      <alignment horizontal="center" vertical="center"/>
    </xf>
    <xf numFmtId="0" fontId="27" fillId="0" borderId="19" xfId="1" applyNumberFormat="1" applyFont="1" applyFill="1" applyBorder="1" applyAlignment="1">
      <alignment horizontal="center" vertical="center"/>
    </xf>
    <xf numFmtId="4" fontId="24" fillId="4" borderId="56" xfId="1" applyNumberFormat="1" applyFont="1" applyFill="1" applyBorder="1" applyAlignment="1">
      <alignment horizontal="center" vertical="center"/>
    </xf>
    <xf numFmtId="10" fontId="24" fillId="4" borderId="51" xfId="1" applyNumberFormat="1" applyFont="1" applyFill="1" applyBorder="1" applyAlignment="1">
      <alignment horizontal="center" vertical="center"/>
    </xf>
    <xf numFmtId="9" fontId="36" fillId="0" borderId="36" xfId="7" applyFont="1" applyFill="1" applyBorder="1" applyAlignment="1">
      <alignment horizontal="center" vertical="center"/>
    </xf>
    <xf numFmtId="4" fontId="25" fillId="8" borderId="20" xfId="1" applyNumberFormat="1" applyFont="1" applyFill="1" applyBorder="1" applyAlignment="1">
      <alignment horizontal="center" vertical="center"/>
    </xf>
    <xf numFmtId="10" fontId="27" fillId="0" borderId="104" xfId="1" applyNumberFormat="1" applyFont="1" applyFill="1" applyBorder="1" applyAlignment="1">
      <alignment horizontal="center" vertical="center"/>
    </xf>
    <xf numFmtId="4" fontId="65" fillId="4" borderId="79" xfId="1" applyNumberFormat="1" applyFont="1" applyFill="1" applyBorder="1" applyAlignment="1">
      <alignment horizontal="center" vertical="center"/>
    </xf>
    <xf numFmtId="4" fontId="25" fillId="0" borderId="58" xfId="1" applyNumberFormat="1" applyFont="1" applyFill="1" applyBorder="1" applyAlignment="1">
      <alignment horizontal="center" vertical="center" wrapText="1"/>
    </xf>
    <xf numFmtId="4" fontId="25" fillId="0" borderId="63" xfId="1" applyNumberFormat="1" applyFont="1" applyFill="1" applyBorder="1" applyAlignment="1">
      <alignment horizontal="center" vertical="center"/>
    </xf>
    <xf numFmtId="9" fontId="27" fillId="0" borderId="104" xfId="7" applyFont="1" applyFill="1" applyBorder="1" applyAlignment="1">
      <alignment horizontal="center" vertical="center"/>
    </xf>
    <xf numFmtId="10" fontId="65" fillId="4" borderId="51" xfId="1" applyNumberFormat="1" applyFont="1" applyFill="1" applyBorder="1" applyAlignment="1">
      <alignment horizontal="center" vertical="center"/>
    </xf>
    <xf numFmtId="9" fontId="36" fillId="0" borderId="6" xfId="7" applyFont="1" applyFill="1" applyBorder="1" applyAlignment="1">
      <alignment horizontal="center" vertical="center"/>
    </xf>
    <xf numFmtId="9" fontId="36" fillId="0" borderId="79" xfId="7" applyFont="1" applyFill="1" applyBorder="1" applyAlignment="1">
      <alignment horizontal="center" vertical="center"/>
    </xf>
    <xf numFmtId="3" fontId="25" fillId="0" borderId="36" xfId="1" applyNumberFormat="1" applyFont="1" applyFill="1" applyBorder="1" applyAlignment="1">
      <alignment horizontal="center" vertical="center"/>
    </xf>
    <xf numFmtId="4" fontId="19" fillId="0" borderId="20" xfId="1" applyNumberFormat="1" applyFont="1" applyFill="1" applyBorder="1" applyAlignment="1">
      <alignment horizontal="center" vertical="center"/>
    </xf>
    <xf numFmtId="10" fontId="24" fillId="4" borderId="56" xfId="1" applyNumberFormat="1" applyFont="1" applyFill="1" applyBorder="1" applyAlignment="1">
      <alignment horizontal="center" vertical="center"/>
    </xf>
    <xf numFmtId="9" fontId="25" fillId="0" borderId="77" xfId="7" applyFont="1" applyFill="1" applyBorder="1" applyAlignment="1">
      <alignment horizontal="center" vertical="center" wrapText="1"/>
    </xf>
    <xf numFmtId="10" fontId="24" fillId="4" borderId="1" xfId="1" applyNumberFormat="1" applyFont="1" applyFill="1" applyBorder="1" applyAlignment="1">
      <alignment horizontal="center" vertical="center"/>
    </xf>
    <xf numFmtId="9" fontId="36" fillId="7" borderId="51" xfId="7" applyFont="1" applyFill="1" applyBorder="1" applyAlignment="1">
      <alignment horizontal="center" vertical="center"/>
    </xf>
    <xf numFmtId="4" fontId="20" fillId="6" borderId="55" xfId="1" applyNumberFormat="1" applyFont="1" applyFill="1" applyBorder="1" applyAlignment="1">
      <alignment horizontal="center" vertical="center"/>
    </xf>
    <xf numFmtId="4" fontId="29" fillId="11" borderId="93" xfId="1" applyNumberFormat="1" applyFont="1" applyFill="1" applyBorder="1" applyAlignment="1">
      <alignment horizontal="center" vertical="center"/>
    </xf>
    <xf numFmtId="10" fontId="36" fillId="0" borderId="36" xfId="1" applyNumberFormat="1" applyFont="1" applyFill="1" applyBorder="1" applyAlignment="1">
      <alignment horizontal="center" vertical="center"/>
    </xf>
    <xf numFmtId="10" fontId="29" fillId="3" borderId="62" xfId="1" applyNumberFormat="1" applyFont="1" applyFill="1" applyBorder="1" applyAlignment="1">
      <alignment horizontal="center" vertical="center"/>
    </xf>
    <xf numFmtId="10" fontId="39" fillId="5" borderId="36" xfId="1" applyNumberFormat="1" applyFont="1" applyFill="1" applyBorder="1" applyAlignment="1">
      <alignment horizontal="center" vertical="center"/>
    </xf>
    <xf numFmtId="9" fontId="36" fillId="4" borderId="0" xfId="7" applyFont="1" applyFill="1" applyBorder="1" applyAlignment="1">
      <alignment horizontal="center" vertical="center"/>
    </xf>
    <xf numFmtId="10" fontId="39" fillId="0" borderId="36" xfId="1" applyNumberFormat="1" applyFont="1" applyFill="1" applyBorder="1" applyAlignment="1">
      <alignment horizontal="center" vertical="center"/>
    </xf>
    <xf numFmtId="4" fontId="29" fillId="6" borderId="55" xfId="1" applyNumberFormat="1" applyFont="1" applyFill="1" applyBorder="1" applyAlignment="1">
      <alignment horizontal="center" vertical="center"/>
    </xf>
    <xf numFmtId="4" fontId="29" fillId="4" borderId="90" xfId="1" applyNumberFormat="1" applyFont="1" applyFill="1" applyBorder="1" applyAlignment="1">
      <alignment horizontal="center" vertical="center"/>
    </xf>
    <xf numFmtId="10" fontId="36" fillId="0" borderId="77" xfId="1" applyNumberFormat="1" applyFont="1" applyFill="1" applyBorder="1" applyAlignment="1">
      <alignment horizontal="center" vertical="center"/>
    </xf>
    <xf numFmtId="4" fontId="38" fillId="6" borderId="93" xfId="1" applyNumberFormat="1" applyFont="1" applyFill="1" applyBorder="1" applyAlignment="1">
      <alignment horizontal="center" vertical="center"/>
    </xf>
    <xf numFmtId="10" fontId="29" fillId="3" borderId="90" xfId="1" applyNumberFormat="1" applyFont="1" applyFill="1" applyBorder="1" applyAlignment="1">
      <alignment horizontal="center" vertical="center"/>
    </xf>
    <xf numFmtId="10" fontId="39" fillId="0" borderId="79" xfId="1" applyNumberFormat="1" applyFont="1" applyFill="1" applyBorder="1" applyAlignment="1">
      <alignment horizontal="center" vertical="center"/>
    </xf>
    <xf numFmtId="10" fontId="36" fillId="0" borderId="6" xfId="1" applyNumberFormat="1" applyFont="1" applyFill="1" applyBorder="1" applyAlignment="1">
      <alignment horizontal="center" vertical="center"/>
    </xf>
    <xf numFmtId="9" fontId="36" fillId="4" borderId="62" xfId="7" applyFont="1" applyFill="1" applyBorder="1" applyAlignment="1">
      <alignment horizontal="center" vertical="center"/>
    </xf>
    <xf numFmtId="0" fontId="36" fillId="0" borderId="79" xfId="1" applyNumberFormat="1" applyFont="1" applyFill="1" applyBorder="1" applyAlignment="1">
      <alignment horizontal="center" vertical="center"/>
    </xf>
    <xf numFmtId="10" fontId="39" fillId="5" borderId="6" xfId="1" applyNumberFormat="1" applyFont="1" applyFill="1" applyBorder="1" applyAlignment="1">
      <alignment horizontal="center" vertical="center"/>
    </xf>
    <xf numFmtId="9" fontId="36" fillId="4" borderId="4" xfId="7" applyFont="1" applyFill="1" applyBorder="1" applyAlignment="1">
      <alignment horizontal="center" vertical="center"/>
    </xf>
    <xf numFmtId="9" fontId="36" fillId="4" borderId="36" xfId="7" applyFont="1" applyFill="1" applyBorder="1" applyAlignment="1">
      <alignment horizontal="center" vertical="center"/>
    </xf>
    <xf numFmtId="10" fontId="39" fillId="0" borderId="6" xfId="1" applyNumberFormat="1" applyFont="1" applyFill="1" applyBorder="1" applyAlignment="1">
      <alignment horizontal="center" vertical="center"/>
    </xf>
    <xf numFmtId="4" fontId="19" fillId="0" borderId="77" xfId="1" applyNumberFormat="1" applyFont="1" applyFill="1" applyBorder="1" applyAlignment="1">
      <alignment horizontal="center" vertical="center" wrapText="1"/>
    </xf>
    <xf numFmtId="4" fontId="25" fillId="0" borderId="12" xfId="1" applyNumberFormat="1" applyFont="1" applyFill="1" applyBorder="1" applyAlignment="1">
      <alignment horizontal="center" vertical="center" wrapText="1"/>
    </xf>
    <xf numFmtId="10" fontId="19" fillId="0" borderId="91" xfId="1" applyNumberFormat="1" applyFont="1" applyFill="1" applyBorder="1" applyAlignment="1">
      <alignment horizontal="center" vertical="center"/>
    </xf>
    <xf numFmtId="4" fontId="25" fillId="0" borderId="103" xfId="1" applyNumberFormat="1" applyFont="1" applyFill="1" applyBorder="1" applyAlignment="1">
      <alignment horizontal="center" vertical="center"/>
    </xf>
    <xf numFmtId="9" fontId="36" fillId="0" borderId="105" xfId="7" applyFont="1" applyFill="1" applyBorder="1" applyAlignment="1">
      <alignment horizontal="center" vertical="center"/>
    </xf>
    <xf numFmtId="9" fontId="27" fillId="0" borderId="101" xfId="7" applyFont="1" applyFill="1" applyBorder="1" applyAlignment="1">
      <alignment horizontal="center" vertical="center"/>
    </xf>
    <xf numFmtId="10" fontId="68" fillId="4" borderId="51" xfId="1" applyNumberFormat="1" applyFont="1" applyFill="1" applyBorder="1" applyAlignment="1">
      <alignment horizontal="center" vertical="center"/>
    </xf>
    <xf numFmtId="3" fontId="24" fillId="8" borderId="90" xfId="1" applyNumberFormat="1" applyFont="1" applyFill="1" applyBorder="1" applyAlignment="1">
      <alignment horizontal="center" vertical="center"/>
    </xf>
    <xf numFmtId="4" fontId="26" fillId="0" borderId="20" xfId="1" applyNumberFormat="1" applyFont="1" applyFill="1" applyBorder="1" applyAlignment="1">
      <alignment horizontal="center" vertical="center"/>
    </xf>
    <xf numFmtId="0" fontId="26" fillId="0" borderId="36" xfId="1" applyNumberFormat="1" applyFont="1" applyFill="1" applyBorder="1" applyAlignment="1">
      <alignment horizontal="center" vertical="center"/>
    </xf>
    <xf numFmtId="4" fontId="65" fillId="6" borderId="63" xfId="1" applyNumberFormat="1" applyFont="1" applyFill="1" applyBorder="1" applyAlignment="1">
      <alignment horizontal="center" vertical="center"/>
    </xf>
    <xf numFmtId="4" fontId="65" fillId="4" borderId="56" xfId="1" applyNumberFormat="1" applyFont="1" applyFill="1" applyBorder="1" applyAlignment="1">
      <alignment horizontal="center" vertical="center"/>
    </xf>
    <xf numFmtId="4" fontId="25" fillId="8" borderId="36" xfId="1" applyNumberFormat="1" applyFont="1" applyFill="1" applyBorder="1" applyAlignment="1">
      <alignment horizontal="center" vertical="center"/>
    </xf>
    <xf numFmtId="166" fontId="26" fillId="0" borderId="20" xfId="6" applyFont="1" applyFill="1" applyBorder="1" applyAlignment="1">
      <alignment horizontal="center" vertical="center"/>
    </xf>
    <xf numFmtId="4" fontId="25" fillId="0" borderId="8" xfId="1" applyNumberFormat="1" applyFont="1" applyFill="1" applyBorder="1" applyAlignment="1">
      <alignment horizontal="center" vertical="center"/>
    </xf>
    <xf numFmtId="4" fontId="25" fillId="0" borderId="4" xfId="1" applyNumberFormat="1" applyFont="1" applyFill="1" applyBorder="1" applyAlignment="1">
      <alignment horizontal="center" vertical="center"/>
    </xf>
    <xf numFmtId="9" fontId="36" fillId="0" borderId="19" xfId="7" applyFont="1" applyFill="1" applyBorder="1" applyAlignment="1">
      <alignment horizontal="center" vertical="center"/>
    </xf>
    <xf numFmtId="4" fontId="25" fillId="0" borderId="5" xfId="1" applyNumberFormat="1" applyFont="1" applyFill="1" applyBorder="1" applyAlignment="1">
      <alignment horizontal="center" vertical="center" wrapText="1"/>
    </xf>
    <xf numFmtId="0" fontId="27" fillId="0" borderId="63" xfId="1" applyNumberFormat="1" applyFont="1" applyFill="1" applyBorder="1" applyAlignment="1">
      <alignment horizontal="center" vertical="center"/>
    </xf>
    <xf numFmtId="0" fontId="42" fillId="12" borderId="1" xfId="1" applyFont="1" applyFill="1" applyBorder="1" applyAlignment="1">
      <alignment horizontal="center" vertical="center" wrapText="1"/>
    </xf>
    <xf numFmtId="4" fontId="25" fillId="0" borderId="80" xfId="1" applyNumberFormat="1" applyFont="1" applyFill="1" applyBorder="1" applyAlignment="1">
      <alignment horizontal="center" vertical="center"/>
    </xf>
    <xf numFmtId="10" fontId="19" fillId="0" borderId="20" xfId="1" applyNumberFormat="1" applyFont="1" applyFill="1" applyBorder="1" applyAlignment="1">
      <alignment horizontal="center" vertical="center"/>
    </xf>
    <xf numFmtId="0" fontId="67" fillId="0" borderId="77" xfId="1" applyNumberFormat="1" applyFont="1" applyFill="1" applyBorder="1" applyAlignment="1">
      <alignment horizontal="center" vertical="center"/>
    </xf>
    <xf numFmtId="4" fontId="25" fillId="0" borderId="77" xfId="1" applyNumberFormat="1" applyFont="1" applyFill="1" applyBorder="1" applyAlignment="1">
      <alignment horizontal="left" vertical="center"/>
    </xf>
    <xf numFmtId="4" fontId="19" fillId="0" borderId="104" xfId="1" applyNumberFormat="1" applyFont="1" applyFill="1" applyBorder="1" applyAlignment="1">
      <alignment horizontal="center" vertical="center"/>
    </xf>
    <xf numFmtId="4" fontId="25" fillId="8" borderId="77" xfId="1" applyNumberFormat="1" applyFont="1" applyFill="1" applyBorder="1" applyAlignment="1">
      <alignment horizontal="center" vertical="center"/>
    </xf>
    <xf numFmtId="4" fontId="87" fillId="0" borderId="77" xfId="1" applyNumberFormat="1" applyFont="1" applyFill="1" applyBorder="1" applyAlignment="1">
      <alignment horizontal="center" vertical="center"/>
    </xf>
    <xf numFmtId="3" fontId="87" fillId="0" borderId="77" xfId="1" applyNumberFormat="1" applyFont="1" applyFill="1" applyBorder="1" applyAlignment="1">
      <alignment horizontal="center" vertical="center"/>
    </xf>
    <xf numFmtId="4" fontId="87" fillId="0" borderId="77" xfId="1" applyNumberFormat="1" applyFont="1" applyFill="1" applyBorder="1" applyAlignment="1">
      <alignment horizontal="center" vertical="center" wrapText="1"/>
    </xf>
    <xf numFmtId="10" fontId="24" fillId="3" borderId="80" xfId="1" applyNumberFormat="1" applyFont="1" applyFill="1" applyBorder="1" applyAlignment="1">
      <alignment horizontal="center" vertical="center"/>
    </xf>
    <xf numFmtId="10" fontId="24" fillId="3" borderId="79" xfId="1" applyNumberFormat="1" applyFont="1" applyFill="1" applyBorder="1" applyAlignment="1">
      <alignment horizontal="center" vertical="center"/>
    </xf>
    <xf numFmtId="9" fontId="36" fillId="26" borderId="77" xfId="7" applyFont="1" applyFill="1" applyBorder="1" applyAlignment="1">
      <alignment horizontal="center" vertical="center"/>
    </xf>
    <xf numFmtId="4" fontId="87" fillId="0" borderId="104" xfId="1" applyNumberFormat="1" applyFont="1" applyFill="1" applyBorder="1" applyAlignment="1">
      <alignment horizontal="center" vertical="center" wrapText="1"/>
    </xf>
    <xf numFmtId="3" fontId="87" fillId="0" borderId="79" xfId="1" applyNumberFormat="1" applyFont="1" applyFill="1" applyBorder="1" applyAlignment="1">
      <alignment horizontal="center" vertical="center"/>
    </xf>
    <xf numFmtId="9" fontId="36" fillId="0" borderId="86" xfId="7" applyFont="1" applyFill="1" applyBorder="1" applyAlignment="1">
      <alignment horizontal="center" vertical="center"/>
    </xf>
    <xf numFmtId="3" fontId="19" fillId="0" borderId="58" xfId="1" applyNumberFormat="1" applyFont="1" applyFill="1" applyBorder="1" applyAlignment="1">
      <alignment horizontal="center" vertical="center"/>
    </xf>
    <xf numFmtId="4" fontId="110" fillId="0" borderId="77" xfId="1" applyNumberFormat="1" applyFont="1" applyFill="1" applyBorder="1" applyAlignment="1">
      <alignment horizontal="center" vertical="center" wrapText="1"/>
    </xf>
    <xf numFmtId="4" fontId="110" fillId="0" borderId="79" xfId="1" applyNumberFormat="1" applyFont="1" applyFill="1" applyBorder="1" applyAlignment="1">
      <alignment horizontal="center" vertical="center"/>
    </xf>
    <xf numFmtId="4" fontId="110" fillId="0" borderId="77" xfId="1" applyNumberFormat="1" applyFont="1" applyFill="1" applyBorder="1" applyAlignment="1">
      <alignment horizontal="center" vertical="center"/>
    </xf>
    <xf numFmtId="3" fontId="19" fillId="0" borderId="79" xfId="6" applyNumberFormat="1" applyFont="1" applyFill="1" applyBorder="1" applyAlignment="1">
      <alignment horizontal="center" vertical="center"/>
    </xf>
    <xf numFmtId="10" fontId="19" fillId="0" borderId="100" xfId="1" applyNumberFormat="1" applyFont="1" applyFill="1" applyBorder="1" applyAlignment="1">
      <alignment horizontal="center" vertical="center"/>
    </xf>
    <xf numFmtId="0" fontId="118" fillId="12" borderId="55" xfId="1" applyFont="1" applyFill="1" applyBorder="1" applyAlignment="1">
      <alignment horizontal="center" vertical="center" wrapText="1"/>
    </xf>
    <xf numFmtId="0" fontId="118" fillId="12" borderId="56" xfId="1" applyFont="1" applyFill="1" applyBorder="1" applyAlignment="1">
      <alignment horizontal="center" vertical="center" wrapText="1"/>
    </xf>
    <xf numFmtId="0" fontId="120" fillId="12" borderId="56" xfId="1" applyFont="1" applyFill="1" applyBorder="1" applyAlignment="1">
      <alignment horizontal="center" vertical="center" wrapText="1"/>
    </xf>
    <xf numFmtId="4" fontId="103" fillId="11" borderId="56" xfId="1" applyNumberFormat="1" applyFont="1" applyFill="1" applyBorder="1" applyAlignment="1">
      <alignment horizontal="center" vertical="center"/>
    </xf>
    <xf numFmtId="4" fontId="103" fillId="11" borderId="51" xfId="1" applyNumberFormat="1" applyFont="1" applyFill="1" applyBorder="1" applyAlignment="1">
      <alignment horizontal="center" vertical="center"/>
    </xf>
    <xf numFmtId="4" fontId="19" fillId="0" borderId="79" xfId="1" applyNumberFormat="1" applyFont="1" applyFill="1" applyBorder="1" applyAlignment="1">
      <alignment horizontal="center" vertical="center"/>
    </xf>
    <xf numFmtId="3" fontId="103" fillId="11" borderId="55" xfId="1" applyNumberFormat="1" applyFont="1" applyFill="1" applyBorder="1" applyAlignment="1">
      <alignment horizontal="center" vertical="center"/>
    </xf>
    <xf numFmtId="3" fontId="103" fillId="11" borderId="56" xfId="1" applyNumberFormat="1" applyFont="1" applyFill="1" applyBorder="1" applyAlignment="1">
      <alignment horizontal="center" vertical="center"/>
    </xf>
    <xf numFmtId="9" fontId="40" fillId="11" borderId="51" xfId="7" applyFont="1" applyFill="1" applyBorder="1" applyAlignment="1">
      <alignment horizontal="center" vertical="center"/>
    </xf>
    <xf numFmtId="3" fontId="19" fillId="0" borderId="77" xfId="1" applyNumberFormat="1" applyFont="1" applyFill="1" applyBorder="1" applyAlignment="1">
      <alignment horizontal="center" vertical="center"/>
    </xf>
    <xf numFmtId="9" fontId="40" fillId="0" borderId="100" xfId="7" applyFont="1" applyFill="1" applyBorder="1" applyAlignment="1">
      <alignment horizontal="center" vertical="center"/>
    </xf>
    <xf numFmtId="4" fontId="19" fillId="0" borderId="7" xfId="1" applyNumberFormat="1" applyFont="1" applyFill="1" applyBorder="1" applyAlignment="1">
      <alignment horizontal="center" vertical="center"/>
    </xf>
    <xf numFmtId="3" fontId="19" fillId="0" borderId="20" xfId="1" applyNumberFormat="1" applyFont="1" applyFill="1" applyBorder="1" applyAlignment="1">
      <alignment horizontal="center" vertical="center"/>
    </xf>
    <xf numFmtId="9" fontId="40" fillId="0" borderId="91" xfId="7" applyFont="1" applyFill="1" applyBorder="1" applyAlignment="1">
      <alignment horizontal="center" vertical="center"/>
    </xf>
    <xf numFmtId="10" fontId="19" fillId="0" borderId="77" xfId="1" applyNumberFormat="1" applyFont="1" applyFill="1" applyBorder="1" applyAlignment="1">
      <alignment horizontal="center" vertical="center"/>
    </xf>
    <xf numFmtId="9" fontId="40" fillId="0" borderId="77" xfId="7" applyFont="1" applyFill="1" applyBorder="1" applyAlignment="1">
      <alignment horizontal="center" vertical="center"/>
    </xf>
    <xf numFmtId="4" fontId="103" fillId="11" borderId="93" xfId="1" applyNumberFormat="1" applyFont="1" applyFill="1" applyBorder="1" applyAlignment="1">
      <alignment horizontal="center" vertical="center"/>
    </xf>
    <xf numFmtId="4" fontId="103" fillId="11" borderId="101" xfId="1" applyNumberFormat="1" applyFont="1" applyFill="1" applyBorder="1" applyAlignment="1">
      <alignment horizontal="center" vertical="center"/>
    </xf>
    <xf numFmtId="0" fontId="19" fillId="0" borderId="100" xfId="1" applyNumberFormat="1" applyFont="1" applyFill="1" applyBorder="1" applyAlignment="1">
      <alignment horizontal="center" vertical="center"/>
    </xf>
    <xf numFmtId="4" fontId="90" fillId="6" borderId="56" xfId="1" applyNumberFormat="1" applyFont="1" applyFill="1" applyBorder="1" applyAlignment="1">
      <alignment horizontal="center" vertical="center"/>
    </xf>
    <xf numFmtId="10" fontId="103" fillId="3" borderId="62" xfId="1" applyNumberFormat="1" applyFont="1" applyFill="1" applyBorder="1" applyAlignment="1">
      <alignment horizontal="center" vertical="center"/>
    </xf>
    <xf numFmtId="10" fontId="103" fillId="3" borderId="63" xfId="1" applyNumberFormat="1" applyFont="1" applyFill="1" applyBorder="1" applyAlignment="1">
      <alignment horizontal="center" vertical="center"/>
    </xf>
    <xf numFmtId="10" fontId="24" fillId="0" borderId="105" xfId="1" applyNumberFormat="1" applyFont="1" applyFill="1" applyBorder="1" applyAlignment="1">
      <alignment horizontal="center" vertical="center"/>
    </xf>
    <xf numFmtId="10" fontId="103" fillId="0" borderId="91" xfId="1" applyNumberFormat="1" applyFont="1" applyFill="1" applyBorder="1" applyAlignment="1">
      <alignment horizontal="center" vertical="center"/>
    </xf>
    <xf numFmtId="3" fontId="103" fillId="4" borderId="80" xfId="1" applyNumberFormat="1" applyFont="1" applyFill="1" applyBorder="1" applyAlignment="1">
      <alignment horizontal="center" vertical="center"/>
    </xf>
    <xf numFmtId="3" fontId="103" fillId="4" borderId="79" xfId="1" applyNumberFormat="1" applyFont="1" applyFill="1" applyBorder="1" applyAlignment="1">
      <alignment horizontal="center" vertical="center"/>
    </xf>
    <xf numFmtId="9" fontId="40" fillId="4" borderId="100" xfId="7" applyFont="1" applyFill="1" applyBorder="1" applyAlignment="1">
      <alignment horizontal="center" vertical="center"/>
    </xf>
    <xf numFmtId="4" fontId="103" fillId="4" borderId="63" xfId="1" applyNumberFormat="1" applyFont="1" applyFill="1" applyBorder="1" applyAlignment="1">
      <alignment horizontal="center" vertical="center"/>
    </xf>
    <xf numFmtId="3" fontId="103" fillId="4" borderId="62" xfId="1" applyNumberFormat="1" applyFont="1" applyFill="1" applyBorder="1" applyAlignment="1">
      <alignment horizontal="center" vertical="center"/>
    </xf>
    <xf numFmtId="4" fontId="121" fillId="4" borderId="63" xfId="1" applyNumberFormat="1" applyFont="1" applyFill="1" applyBorder="1" applyAlignment="1">
      <alignment horizontal="center" vertical="center"/>
    </xf>
    <xf numFmtId="10" fontId="19" fillId="5" borderId="91" xfId="1" applyNumberFormat="1" applyFont="1" applyFill="1" applyBorder="1" applyAlignment="1">
      <alignment horizontal="center" vertical="center"/>
    </xf>
    <xf numFmtId="3" fontId="19" fillId="0" borderId="79" xfId="1" applyNumberFormat="1" applyFont="1" applyFill="1" applyBorder="1" applyAlignment="1">
      <alignment horizontal="center" vertical="center"/>
    </xf>
    <xf numFmtId="3" fontId="19" fillId="0" borderId="7" xfId="6" applyNumberFormat="1" applyFont="1" applyFill="1" applyBorder="1" applyAlignment="1">
      <alignment horizontal="center" vertical="center"/>
    </xf>
    <xf numFmtId="3" fontId="103" fillId="4" borderId="55" xfId="1" applyNumberFormat="1" applyFont="1" applyFill="1" applyBorder="1" applyAlignment="1">
      <alignment horizontal="center" vertical="center"/>
    </xf>
    <xf numFmtId="4" fontId="103" fillId="4" borderId="56" xfId="1" applyNumberFormat="1" applyFont="1" applyFill="1" applyBorder="1" applyAlignment="1">
      <alignment horizontal="center" vertical="center"/>
    </xf>
    <xf numFmtId="10" fontId="103" fillId="4" borderId="51" xfId="1" applyNumberFormat="1" applyFont="1" applyFill="1" applyBorder="1" applyAlignment="1">
      <alignment horizontal="center" vertical="center"/>
    </xf>
    <xf numFmtId="10" fontId="121" fillId="4" borderId="51" xfId="1" applyNumberFormat="1" applyFont="1" applyFill="1" applyBorder="1" applyAlignment="1">
      <alignment horizontal="center" vertical="center"/>
    </xf>
    <xf numFmtId="4" fontId="103" fillId="6" borderId="55" xfId="1" applyNumberFormat="1" applyFont="1" applyFill="1" applyBorder="1" applyAlignment="1">
      <alignment horizontal="center" vertical="center"/>
    </xf>
    <xf numFmtId="3" fontId="103" fillId="6" borderId="56" xfId="1" applyNumberFormat="1" applyFont="1" applyFill="1" applyBorder="1" applyAlignment="1">
      <alignment horizontal="center" vertical="center"/>
    </xf>
    <xf numFmtId="4" fontId="103" fillId="6" borderId="56" xfId="1" applyNumberFormat="1" applyFont="1" applyFill="1" applyBorder="1" applyAlignment="1">
      <alignment horizontal="center" vertical="center"/>
    </xf>
    <xf numFmtId="4" fontId="121" fillId="6" borderId="56" xfId="1" applyNumberFormat="1" applyFont="1" applyFill="1" applyBorder="1" applyAlignment="1">
      <alignment horizontal="center" vertical="center"/>
    </xf>
    <xf numFmtId="10" fontId="121" fillId="3" borderId="63" xfId="1" applyNumberFormat="1" applyFont="1" applyFill="1" applyBorder="1" applyAlignment="1">
      <alignment horizontal="center" vertical="center"/>
    </xf>
    <xf numFmtId="3" fontId="103" fillId="4" borderId="90" xfId="1" applyNumberFormat="1" applyFont="1" applyFill="1" applyBorder="1" applyAlignment="1">
      <alignment horizontal="center" vertical="center"/>
    </xf>
    <xf numFmtId="10" fontId="19" fillId="0" borderId="58" xfId="1" applyNumberFormat="1" applyFont="1" applyFill="1" applyBorder="1" applyAlignment="1">
      <alignment horizontal="center" vertical="center"/>
    </xf>
    <xf numFmtId="10" fontId="66" fillId="0" borderId="58" xfId="1" applyNumberFormat="1" applyFont="1" applyFill="1" applyBorder="1" applyAlignment="1">
      <alignment horizontal="center" vertical="center"/>
    </xf>
    <xf numFmtId="0" fontId="19" fillId="0" borderId="77" xfId="1" applyNumberFormat="1" applyFont="1" applyFill="1" applyBorder="1" applyAlignment="1">
      <alignment horizontal="center" vertical="center"/>
    </xf>
    <xf numFmtId="0" fontId="66" fillId="0" borderId="77" xfId="1" applyNumberFormat="1" applyFont="1" applyFill="1" applyBorder="1" applyAlignment="1">
      <alignment horizontal="center" vertical="center"/>
    </xf>
    <xf numFmtId="3" fontId="103" fillId="6" borderId="93" xfId="1" applyNumberFormat="1" applyFont="1" applyFill="1" applyBorder="1" applyAlignment="1">
      <alignment horizontal="center" vertical="center"/>
    </xf>
    <xf numFmtId="3" fontId="103" fillId="6" borderId="101" xfId="1" applyNumberFormat="1" applyFont="1" applyFill="1" applyBorder="1" applyAlignment="1">
      <alignment horizontal="center" vertical="center"/>
    </xf>
    <xf numFmtId="4" fontId="103" fillId="6" borderId="101" xfId="1" applyNumberFormat="1" applyFont="1" applyFill="1" applyBorder="1" applyAlignment="1">
      <alignment horizontal="center" vertical="center"/>
    </xf>
    <xf numFmtId="9" fontId="103" fillId="3" borderId="90" xfId="7" applyFont="1" applyFill="1" applyBorder="1" applyAlignment="1">
      <alignment horizontal="center" vertical="center"/>
    </xf>
    <xf numFmtId="3" fontId="103" fillId="3" borderId="90" xfId="1" applyNumberFormat="1" applyFont="1" applyFill="1" applyBorder="1" applyAlignment="1">
      <alignment horizontal="center" vertical="center"/>
    </xf>
    <xf numFmtId="3" fontId="69" fillId="12" borderId="0" xfId="6" applyNumberFormat="1" applyFont="1" applyFill="1" applyAlignment="1">
      <alignment horizontal="center" vertical="center"/>
    </xf>
    <xf numFmtId="4" fontId="19" fillId="0" borderId="58" xfId="1" applyNumberFormat="1" applyFont="1" applyFill="1" applyBorder="1" applyAlignment="1">
      <alignment horizontal="center" vertical="center"/>
    </xf>
    <xf numFmtId="9" fontId="40" fillId="0" borderId="58" xfId="7" applyFont="1" applyFill="1" applyBorder="1" applyAlignment="1">
      <alignment horizontal="center" vertical="center"/>
    </xf>
    <xf numFmtId="10" fontId="27" fillId="0" borderId="105" xfId="1" applyNumberFormat="1" applyFont="1" applyFill="1" applyBorder="1" applyAlignment="1">
      <alignment horizontal="center" vertical="center"/>
    </xf>
    <xf numFmtId="4" fontId="19" fillId="0" borderId="6" xfId="1" applyNumberFormat="1" applyFont="1" applyFill="1" applyBorder="1" applyAlignment="1">
      <alignment horizontal="center" vertical="center"/>
    </xf>
    <xf numFmtId="4" fontId="19" fillId="0" borderId="36" xfId="1" applyNumberFormat="1" applyFont="1" applyFill="1" applyBorder="1" applyAlignment="1">
      <alignment horizontal="center" vertical="center"/>
    </xf>
    <xf numFmtId="3" fontId="19" fillId="0" borderId="6" xfId="6" applyNumberFormat="1" applyFont="1" applyFill="1" applyBorder="1" applyAlignment="1">
      <alignment horizontal="center" vertical="center"/>
    </xf>
    <xf numFmtId="9" fontId="40" fillId="0" borderId="104" xfId="7" applyFont="1" applyFill="1" applyBorder="1" applyAlignment="1">
      <alignment horizontal="center" vertical="center"/>
    </xf>
    <xf numFmtId="9" fontId="40" fillId="0" borderId="20" xfId="7" applyFont="1" applyFill="1" applyBorder="1" applyAlignment="1">
      <alignment horizontal="center" vertical="center"/>
    </xf>
    <xf numFmtId="4" fontId="19" fillId="0" borderId="20" xfId="1" applyNumberFormat="1" applyFont="1" applyFill="1" applyBorder="1" applyAlignment="1">
      <alignment horizontal="center" vertical="center" wrapText="1"/>
    </xf>
    <xf numFmtId="9" fontId="19" fillId="0" borderId="104" xfId="7" applyFont="1" applyFill="1" applyBorder="1" applyAlignment="1">
      <alignment horizontal="center" vertical="center"/>
    </xf>
    <xf numFmtId="9" fontId="98" fillId="0" borderId="100" xfId="7" applyFont="1" applyFill="1" applyBorder="1" applyAlignment="1">
      <alignment horizontal="center" vertical="center"/>
    </xf>
    <xf numFmtId="4" fontId="19" fillId="8" borderId="77" xfId="1" applyNumberFormat="1" applyFont="1" applyFill="1" applyBorder="1" applyAlignment="1">
      <alignment horizontal="center" vertical="center"/>
    </xf>
    <xf numFmtId="4" fontId="19" fillId="8" borderId="36" xfId="1" applyNumberFormat="1" applyFont="1" applyFill="1" applyBorder="1" applyAlignment="1">
      <alignment horizontal="center" vertical="center"/>
    </xf>
    <xf numFmtId="3" fontId="19" fillId="0" borderId="36" xfId="1" applyNumberFormat="1" applyFont="1" applyFill="1" applyBorder="1" applyAlignment="1">
      <alignment horizontal="center" vertical="center"/>
    </xf>
    <xf numFmtId="4" fontId="19" fillId="0" borderId="36" xfId="1" applyNumberFormat="1" applyFont="1" applyFill="1" applyBorder="1" applyAlignment="1">
      <alignment horizontal="center" vertical="center" wrapText="1"/>
    </xf>
    <xf numFmtId="9" fontId="40" fillId="11" borderId="100" xfId="7" applyFont="1" applyFill="1" applyBorder="1" applyAlignment="1">
      <alignment horizontal="center" vertical="center"/>
    </xf>
    <xf numFmtId="10" fontId="19" fillId="0" borderId="104" xfId="1" applyNumberFormat="1" applyFont="1" applyFill="1" applyBorder="1" applyAlignment="1">
      <alignment horizontal="center" vertical="center"/>
    </xf>
    <xf numFmtId="9" fontId="40" fillId="7" borderId="51" xfId="7" applyFont="1" applyFill="1" applyBorder="1" applyAlignment="1">
      <alignment horizontal="center" vertical="center"/>
    </xf>
    <xf numFmtId="10" fontId="103" fillId="3" borderId="80" xfId="1" applyNumberFormat="1" applyFont="1" applyFill="1" applyBorder="1" applyAlignment="1">
      <alignment horizontal="center" vertical="center"/>
    </xf>
    <xf numFmtId="10" fontId="103" fillId="3" borderId="79" xfId="1" applyNumberFormat="1" applyFont="1" applyFill="1" applyBorder="1" applyAlignment="1">
      <alignment horizontal="center" vertical="center"/>
    </xf>
    <xf numFmtId="9" fontId="40" fillId="26" borderId="77" xfId="7" applyFont="1" applyFill="1" applyBorder="1" applyAlignment="1">
      <alignment horizontal="center" vertical="center"/>
    </xf>
    <xf numFmtId="4" fontId="19" fillId="8" borderId="20" xfId="1" applyNumberFormat="1" applyFont="1" applyFill="1" applyBorder="1" applyAlignment="1">
      <alignment horizontal="center" vertical="center"/>
    </xf>
    <xf numFmtId="9" fontId="40" fillId="4" borderId="77" xfId="7" applyFont="1" applyFill="1" applyBorder="1" applyAlignment="1">
      <alignment horizontal="center" vertical="center"/>
    </xf>
    <xf numFmtId="4" fontId="103" fillId="4" borderId="79" xfId="1" applyNumberFormat="1" applyFont="1" applyFill="1" applyBorder="1" applyAlignment="1">
      <alignment horizontal="center" vertical="center"/>
    </xf>
    <xf numFmtId="0" fontId="19" fillId="0" borderId="58" xfId="1" applyNumberFormat="1" applyFont="1" applyFill="1" applyBorder="1" applyAlignment="1">
      <alignment horizontal="center" vertical="center"/>
    </xf>
    <xf numFmtId="3" fontId="103" fillId="8" borderId="90" xfId="1" applyNumberFormat="1" applyFont="1" applyFill="1" applyBorder="1" applyAlignment="1">
      <alignment horizontal="center" vertical="center"/>
    </xf>
    <xf numFmtId="4" fontId="25" fillId="0" borderId="103" xfId="1" applyNumberFormat="1" applyFont="1" applyFill="1" applyBorder="1" applyAlignment="1">
      <alignment horizontal="center" vertical="center" wrapText="1"/>
    </xf>
    <xf numFmtId="9" fontId="36" fillId="0" borderId="95" xfId="7" applyFont="1" applyFill="1" applyBorder="1" applyAlignment="1">
      <alignment horizontal="center" vertical="center"/>
    </xf>
    <xf numFmtId="9" fontId="98" fillId="0" borderId="102" xfId="7" applyFont="1" applyFill="1" applyBorder="1" applyAlignment="1">
      <alignment horizontal="center" vertical="center"/>
    </xf>
    <xf numFmtId="4" fontId="87" fillId="0" borderId="103" xfId="1" applyNumberFormat="1" applyFont="1" applyFill="1" applyBorder="1" applyAlignment="1">
      <alignment horizontal="center" vertical="center" wrapText="1"/>
    </xf>
    <xf numFmtId="9" fontId="98" fillId="0" borderId="97" xfId="7" applyFont="1" applyFill="1" applyBorder="1" applyAlignment="1">
      <alignment horizontal="center" vertical="center"/>
    </xf>
    <xf numFmtId="9" fontId="98" fillId="0" borderId="95" xfId="7" applyFont="1" applyFill="1" applyBorder="1" applyAlignment="1">
      <alignment horizontal="center" vertical="center"/>
    </xf>
    <xf numFmtId="4" fontId="25" fillId="0" borderId="101" xfId="1" applyNumberFormat="1" applyFont="1" applyFill="1" applyBorder="1" applyAlignment="1">
      <alignment horizontal="center" vertical="center" wrapText="1"/>
    </xf>
    <xf numFmtId="9" fontId="36" fillId="0" borderId="99" xfId="7" applyFont="1" applyFill="1" applyBorder="1" applyAlignment="1">
      <alignment horizontal="center" vertical="center"/>
    </xf>
    <xf numFmtId="9" fontId="36" fillId="4" borderId="102" xfId="7" applyFont="1" applyFill="1" applyBorder="1" applyAlignment="1">
      <alignment horizontal="center" vertical="center"/>
    </xf>
    <xf numFmtId="9" fontId="27" fillId="0" borderId="103" xfId="7" applyFont="1" applyFill="1" applyBorder="1" applyAlignment="1">
      <alignment horizontal="center" vertical="center"/>
    </xf>
    <xf numFmtId="4" fontId="122" fillId="0" borderId="0" xfId="1" applyNumberFormat="1" applyFont="1" applyAlignment="1">
      <alignment horizontal="center" vertical="center"/>
    </xf>
    <xf numFmtId="4" fontId="123" fillId="0" borderId="0" xfId="1" applyNumberFormat="1" applyFont="1" applyAlignment="1">
      <alignment horizontal="center" vertical="center"/>
    </xf>
    <xf numFmtId="3" fontId="26" fillId="0" borderId="79" xfId="6" applyNumberFormat="1" applyFont="1" applyFill="1" applyBorder="1" applyAlignment="1">
      <alignment horizontal="center" vertical="center"/>
    </xf>
    <xf numFmtId="3" fontId="19" fillId="0" borderId="63" xfId="6" applyNumberFormat="1" applyFont="1" applyFill="1" applyBorder="1" applyAlignment="1">
      <alignment horizontal="center" vertical="center"/>
    </xf>
    <xf numFmtId="9" fontId="97" fillId="0" borderId="79" xfId="7" applyFont="1" applyFill="1" applyBorder="1" applyAlignment="1">
      <alignment horizontal="center" vertical="center"/>
    </xf>
    <xf numFmtId="9" fontId="97" fillId="0" borderId="79" xfId="7" applyFont="1" applyFill="1" applyBorder="1" applyAlignment="1">
      <alignment horizontal="center" vertical="center" wrapText="1"/>
    </xf>
    <xf numFmtId="9" fontId="97" fillId="0" borderId="7" xfId="7" applyFont="1" applyFill="1" applyBorder="1" applyAlignment="1">
      <alignment horizontal="center" vertical="center"/>
    </xf>
    <xf numFmtId="9" fontId="97" fillId="0" borderId="63" xfId="7" applyFont="1" applyFill="1" applyBorder="1" applyAlignment="1">
      <alignment horizontal="center" vertical="center"/>
    </xf>
    <xf numFmtId="166" fontId="27" fillId="0" borderId="79" xfId="6" applyFont="1" applyFill="1" applyBorder="1" applyAlignment="1">
      <alignment horizontal="center" vertical="center" wrapText="1"/>
    </xf>
    <xf numFmtId="9" fontId="27" fillId="0" borderId="7" xfId="7" applyFont="1" applyFill="1" applyBorder="1" applyAlignment="1">
      <alignment horizontal="center" vertical="center"/>
    </xf>
    <xf numFmtId="9" fontId="130" fillId="0" borderId="79" xfId="7" applyFont="1" applyFill="1" applyBorder="1" applyAlignment="1">
      <alignment horizontal="center" vertical="center" wrapText="1"/>
    </xf>
    <xf numFmtId="4" fontId="19" fillId="9" borderId="79" xfId="1" applyNumberFormat="1" applyFont="1" applyFill="1" applyBorder="1" applyAlignment="1">
      <alignment horizontal="center" vertical="center"/>
    </xf>
    <xf numFmtId="4" fontId="19" fillId="9" borderId="77" xfId="1" applyNumberFormat="1" applyFont="1" applyFill="1" applyBorder="1" applyAlignment="1">
      <alignment horizontal="center" vertical="center" wrapText="1"/>
    </xf>
    <xf numFmtId="4" fontId="25" fillId="9" borderId="79" xfId="1" applyNumberFormat="1" applyFont="1" applyFill="1" applyBorder="1" applyAlignment="1">
      <alignment horizontal="center" vertical="center"/>
    </xf>
    <xf numFmtId="3" fontId="27" fillId="9" borderId="79" xfId="6" applyNumberFormat="1" applyFont="1" applyFill="1" applyBorder="1" applyAlignment="1">
      <alignment horizontal="center" vertical="center"/>
    </xf>
    <xf numFmtId="4" fontId="25" fillId="9" borderId="77" xfId="1" applyNumberFormat="1" applyFont="1" applyFill="1" applyBorder="1" applyAlignment="1">
      <alignment horizontal="center" vertical="center" wrapText="1"/>
    </xf>
    <xf numFmtId="4" fontId="25" fillId="9" borderId="77" xfId="1" applyNumberFormat="1" applyFont="1" applyFill="1" applyBorder="1" applyAlignment="1">
      <alignment horizontal="center" vertical="center"/>
    </xf>
    <xf numFmtId="3" fontId="25" fillId="9" borderId="77" xfId="1" applyNumberFormat="1" applyFont="1" applyFill="1" applyBorder="1" applyAlignment="1">
      <alignment horizontal="center" vertical="center"/>
    </xf>
    <xf numFmtId="10" fontId="67" fillId="0" borderId="91" xfId="1" applyNumberFormat="1" applyFont="1" applyFill="1" applyBorder="1" applyAlignment="1">
      <alignment horizontal="center" vertical="center"/>
    </xf>
    <xf numFmtId="10" fontId="66" fillId="0" borderId="91" xfId="1" applyNumberFormat="1" applyFont="1" applyFill="1" applyBorder="1" applyAlignment="1">
      <alignment horizontal="center" vertical="center"/>
    </xf>
    <xf numFmtId="10" fontId="67" fillId="5" borderId="91" xfId="1" applyNumberFormat="1" applyFont="1" applyFill="1" applyBorder="1" applyAlignment="1">
      <alignment horizontal="center" vertical="center"/>
    </xf>
    <xf numFmtId="10" fontId="66" fillId="5" borderId="91" xfId="1" applyNumberFormat="1" applyFont="1" applyFill="1" applyBorder="1" applyAlignment="1">
      <alignment horizontal="center" vertical="center"/>
    </xf>
    <xf numFmtId="9" fontId="36" fillId="0" borderId="107" xfId="7" applyFont="1" applyFill="1" applyBorder="1" applyAlignment="1">
      <alignment horizontal="center" vertical="center"/>
    </xf>
    <xf numFmtId="9" fontId="40" fillId="0" borderId="107" xfId="7" applyFont="1" applyFill="1" applyBorder="1" applyAlignment="1">
      <alignment horizontal="center" vertical="center"/>
    </xf>
    <xf numFmtId="4" fontId="110" fillId="9" borderId="79" xfId="1" applyNumberFormat="1" applyFont="1" applyFill="1" applyBorder="1" applyAlignment="1">
      <alignment horizontal="center" vertical="center"/>
    </xf>
    <xf numFmtId="9" fontId="26" fillId="0" borderId="107" xfId="7" applyFont="1" applyFill="1" applyBorder="1" applyAlignment="1">
      <alignment horizontal="center" vertical="center"/>
    </xf>
    <xf numFmtId="9" fontId="19" fillId="0" borderId="107" xfId="7" applyFont="1" applyFill="1" applyBorder="1" applyAlignment="1">
      <alignment horizontal="center" vertical="center"/>
    </xf>
    <xf numFmtId="4" fontId="24" fillId="11" borderId="108" xfId="1" applyNumberFormat="1" applyFont="1" applyFill="1" applyBorder="1" applyAlignment="1">
      <alignment horizontal="center" vertical="center"/>
    </xf>
    <xf numFmtId="4" fontId="24" fillId="11" borderId="109" xfId="1" applyNumberFormat="1" applyFont="1" applyFill="1" applyBorder="1" applyAlignment="1">
      <alignment horizontal="center" vertical="center"/>
    </xf>
    <xf numFmtId="4" fontId="65" fillId="11" borderId="109" xfId="1" applyNumberFormat="1" applyFont="1" applyFill="1" applyBorder="1" applyAlignment="1">
      <alignment horizontal="center" vertical="center"/>
    </xf>
    <xf numFmtId="4" fontId="103" fillId="11" borderId="108" xfId="1" applyNumberFormat="1" applyFont="1" applyFill="1" applyBorder="1" applyAlignment="1">
      <alignment horizontal="center" vertical="center"/>
    </xf>
    <xf numFmtId="4" fontId="103" fillId="11" borderId="109" xfId="1" applyNumberFormat="1" applyFont="1" applyFill="1" applyBorder="1" applyAlignment="1">
      <alignment horizontal="center" vertical="center"/>
    </xf>
    <xf numFmtId="0" fontId="26" fillId="0" borderId="107" xfId="1" applyNumberFormat="1" applyFont="1" applyFill="1" applyBorder="1" applyAlignment="1">
      <alignment horizontal="center" vertical="center"/>
    </xf>
    <xf numFmtId="9" fontId="36" fillId="4" borderId="107" xfId="7" applyFont="1" applyFill="1" applyBorder="1" applyAlignment="1">
      <alignment horizontal="center" vertical="center"/>
    </xf>
    <xf numFmtId="9" fontId="40" fillId="4" borderId="107" xfId="7" applyFont="1" applyFill="1" applyBorder="1" applyAlignment="1">
      <alignment horizontal="center" vertical="center"/>
    </xf>
    <xf numFmtId="9" fontId="98" fillId="13" borderId="107" xfId="7" applyFont="1" applyFill="1" applyBorder="1" applyAlignment="1">
      <alignment horizontal="center" vertical="center"/>
    </xf>
    <xf numFmtId="9" fontId="36" fillId="0" borderId="110" xfId="7" applyFont="1" applyFill="1" applyBorder="1" applyAlignment="1">
      <alignment horizontal="center" vertical="center"/>
    </xf>
    <xf numFmtId="9" fontId="40" fillId="0" borderId="110" xfId="7" applyFont="1" applyFill="1" applyBorder="1" applyAlignment="1">
      <alignment horizontal="center" vertical="center"/>
    </xf>
    <xf numFmtId="0" fontId="27" fillId="0" borderId="107" xfId="1" applyNumberFormat="1" applyFont="1" applyFill="1" applyBorder="1" applyAlignment="1">
      <alignment horizontal="center" vertical="center"/>
    </xf>
    <xf numFmtId="10" fontId="26" fillId="0" borderId="107" xfId="1" applyNumberFormat="1" applyFont="1" applyFill="1" applyBorder="1" applyAlignment="1">
      <alignment horizontal="center" vertical="center"/>
    </xf>
    <xf numFmtId="10" fontId="19" fillId="0" borderId="107" xfId="1" applyNumberFormat="1" applyFont="1" applyFill="1" applyBorder="1" applyAlignment="1">
      <alignment horizontal="center" vertical="center"/>
    </xf>
    <xf numFmtId="3" fontId="28" fillId="6" borderId="108" xfId="1" applyNumberFormat="1" applyFont="1" applyFill="1" applyBorder="1" applyAlignment="1">
      <alignment horizontal="center" vertical="center"/>
    </xf>
    <xf numFmtId="3" fontId="28" fillId="6" borderId="109" xfId="1" applyNumberFormat="1" applyFont="1" applyFill="1" applyBorder="1" applyAlignment="1">
      <alignment horizontal="center" vertical="center"/>
    </xf>
    <xf numFmtId="4" fontId="28" fillId="6" borderId="109" xfId="1" applyNumberFormat="1" applyFont="1" applyFill="1" applyBorder="1" applyAlignment="1">
      <alignment horizontal="center" vertical="center"/>
    </xf>
    <xf numFmtId="4" fontId="65" fillId="6" borderId="109" xfId="1" applyNumberFormat="1" applyFont="1" applyFill="1" applyBorder="1" applyAlignment="1">
      <alignment horizontal="center" vertical="center"/>
    </xf>
    <xf numFmtId="3" fontId="103" fillId="6" borderId="108" xfId="1" applyNumberFormat="1" applyFont="1" applyFill="1" applyBorder="1" applyAlignment="1">
      <alignment horizontal="center" vertical="center"/>
    </xf>
    <xf numFmtId="3" fontId="103" fillId="6" borderId="109" xfId="1" applyNumberFormat="1" applyFont="1" applyFill="1" applyBorder="1" applyAlignment="1">
      <alignment horizontal="center" vertical="center"/>
    </xf>
    <xf numFmtId="4" fontId="103" fillId="6" borderId="109" xfId="1" applyNumberFormat="1" applyFont="1" applyFill="1" applyBorder="1" applyAlignment="1">
      <alignment horizontal="center" vertical="center"/>
    </xf>
    <xf numFmtId="3" fontId="24" fillId="6" borderId="109" xfId="1" applyNumberFormat="1" applyFont="1" applyFill="1" applyBorder="1" applyAlignment="1">
      <alignment horizontal="center" vertical="center"/>
    </xf>
    <xf numFmtId="4" fontId="24" fillId="6" borderId="109" xfId="1" applyNumberFormat="1" applyFont="1" applyFill="1" applyBorder="1" applyAlignment="1">
      <alignment horizontal="center" vertical="center"/>
    </xf>
    <xf numFmtId="4" fontId="25" fillId="0" borderId="110" xfId="1" applyNumberFormat="1" applyFont="1" applyFill="1" applyBorder="1" applyAlignment="1">
      <alignment horizontal="center" vertical="center"/>
    </xf>
    <xf numFmtId="4" fontId="19" fillId="0" borderId="110" xfId="1" applyNumberFormat="1" applyFont="1" applyFill="1" applyBorder="1" applyAlignment="1">
      <alignment horizontal="center" vertical="center"/>
    </xf>
    <xf numFmtId="9" fontId="36" fillId="9" borderId="107" xfId="7" applyFont="1" applyFill="1" applyBorder="1" applyAlignment="1">
      <alignment horizontal="center" vertical="center"/>
    </xf>
    <xf numFmtId="9" fontId="67" fillId="9" borderId="77" xfId="7" applyFont="1" applyFill="1" applyBorder="1" applyAlignment="1">
      <alignment vertical="center"/>
    </xf>
    <xf numFmtId="4" fontId="19" fillId="9" borderId="20" xfId="1" applyNumberFormat="1" applyFont="1" applyFill="1" applyBorder="1" applyAlignment="1">
      <alignment horizontal="center" vertical="center"/>
    </xf>
    <xf numFmtId="9" fontId="19" fillId="0" borderId="91" xfId="7" applyFont="1" applyFill="1" applyBorder="1" applyAlignment="1">
      <alignment horizontal="center" vertical="center" wrapText="1"/>
    </xf>
    <xf numFmtId="9" fontId="40" fillId="13" borderId="107" xfId="7" applyFont="1" applyFill="1" applyBorder="1" applyAlignment="1">
      <alignment horizontal="center" vertical="center"/>
    </xf>
    <xf numFmtId="9" fontId="67" fillId="0" borderId="107" xfId="7" applyFont="1" applyFill="1" applyBorder="1" applyAlignment="1">
      <alignment horizontal="center" vertical="center"/>
    </xf>
    <xf numFmtId="9" fontId="66" fillId="0" borderId="107" xfId="7" applyFont="1" applyFill="1" applyBorder="1" applyAlignment="1">
      <alignment horizontal="center" vertical="center"/>
    </xf>
    <xf numFmtId="0" fontId="67" fillId="0" borderId="107" xfId="1" applyNumberFormat="1" applyFont="1" applyFill="1" applyBorder="1" applyAlignment="1">
      <alignment horizontal="center" vertical="center"/>
    </xf>
    <xf numFmtId="0" fontId="66" fillId="0" borderId="107" xfId="1" applyNumberFormat="1" applyFont="1" applyFill="1" applyBorder="1" applyAlignment="1">
      <alignment horizontal="center" vertical="center"/>
    </xf>
    <xf numFmtId="4" fontId="81" fillId="0" borderId="108" xfId="0" applyNumberFormat="1" applyFont="1" applyFill="1" applyBorder="1" applyAlignment="1" applyProtection="1">
      <alignment horizontal="center" vertical="center"/>
    </xf>
    <xf numFmtId="4" fontId="81" fillId="0" borderId="111" xfId="0" applyNumberFormat="1" applyFont="1" applyFill="1" applyBorder="1" applyAlignment="1" applyProtection="1">
      <alignment horizontal="center" vertical="center"/>
    </xf>
    <xf numFmtId="9" fontId="67" fillId="0" borderId="110" xfId="7" applyFont="1" applyFill="1" applyBorder="1" applyAlignment="1">
      <alignment horizontal="center" vertical="center"/>
    </xf>
    <xf numFmtId="9" fontId="66" fillId="0" borderId="110" xfId="7" applyFont="1" applyFill="1" applyBorder="1" applyAlignment="1">
      <alignment horizontal="center" vertical="center"/>
    </xf>
    <xf numFmtId="10" fontId="67" fillId="0" borderId="107" xfId="1" applyNumberFormat="1" applyFont="1" applyFill="1" applyBorder="1" applyAlignment="1">
      <alignment horizontal="center" vertical="center"/>
    </xf>
    <xf numFmtId="10" fontId="66" fillId="0" borderId="107" xfId="1" applyNumberFormat="1" applyFont="1" applyFill="1" applyBorder="1" applyAlignment="1">
      <alignment horizontal="center" vertical="center"/>
    </xf>
    <xf numFmtId="4" fontId="68" fillId="6" borderId="109" xfId="1" applyNumberFormat="1" applyFont="1" applyFill="1" applyBorder="1" applyAlignment="1">
      <alignment horizontal="center" vertical="center"/>
    </xf>
    <xf numFmtId="4" fontId="121" fillId="6" borderId="109" xfId="1" applyNumberFormat="1" applyFont="1" applyFill="1" applyBorder="1" applyAlignment="1">
      <alignment horizontal="center" vertical="center"/>
    </xf>
    <xf numFmtId="9" fontId="98" fillId="0" borderId="107" xfId="7" applyFont="1" applyFill="1" applyBorder="1" applyAlignment="1">
      <alignment horizontal="center" vertical="center"/>
    </xf>
    <xf numFmtId="9" fontId="36" fillId="11" borderId="107" xfId="7" applyFont="1" applyFill="1" applyBorder="1" applyAlignment="1">
      <alignment horizontal="center" vertical="center"/>
    </xf>
    <xf numFmtId="10" fontId="27" fillId="0" borderId="110" xfId="1" applyNumberFormat="1" applyFont="1" applyFill="1" applyBorder="1" applyAlignment="1">
      <alignment horizontal="center" vertical="center"/>
    </xf>
    <xf numFmtId="9" fontId="27" fillId="0" borderId="107" xfId="7" applyFont="1" applyFill="1" applyBorder="1" applyAlignment="1">
      <alignment horizontal="center" vertical="center"/>
    </xf>
    <xf numFmtId="9" fontId="27" fillId="0" borderId="110" xfId="7" applyFont="1" applyFill="1" applyBorder="1" applyAlignment="1">
      <alignment horizontal="center" vertical="center"/>
    </xf>
    <xf numFmtId="4" fontId="25" fillId="0" borderId="110" xfId="1" applyNumberFormat="1" applyFont="1" applyFill="1" applyBorder="1" applyAlignment="1">
      <alignment horizontal="center" vertical="center" wrapText="1"/>
    </xf>
    <xf numFmtId="9" fontId="36" fillId="0" borderId="112" xfId="7" applyFont="1" applyFill="1" applyBorder="1" applyAlignment="1">
      <alignment horizontal="center" vertical="center"/>
    </xf>
    <xf numFmtId="9" fontId="98" fillId="0" borderId="112" xfId="7" applyFont="1" applyFill="1" applyBorder="1" applyAlignment="1">
      <alignment horizontal="center" vertical="center"/>
    </xf>
    <xf numFmtId="4" fontId="87" fillId="0" borderId="110" xfId="1" applyNumberFormat="1" applyFont="1" applyFill="1" applyBorder="1" applyAlignment="1">
      <alignment horizontal="center" vertical="center" wrapText="1"/>
    </xf>
    <xf numFmtId="9" fontId="36" fillId="9" borderId="112" xfId="7" applyFont="1" applyFill="1" applyBorder="1" applyAlignment="1">
      <alignment horizontal="center" vertical="center"/>
    </xf>
    <xf numFmtId="4" fontId="25" fillId="9" borderId="110" xfId="1" applyNumberFormat="1" applyFont="1" applyFill="1" applyBorder="1" applyAlignment="1">
      <alignment horizontal="center" vertical="center" wrapText="1"/>
    </xf>
    <xf numFmtId="4" fontId="25" fillId="0" borderId="109" xfId="1" applyNumberFormat="1" applyFont="1" applyFill="1" applyBorder="1" applyAlignment="1">
      <alignment horizontal="center" vertical="center" wrapText="1"/>
    </xf>
    <xf numFmtId="9" fontId="27" fillId="9" borderId="107" xfId="7" applyFont="1" applyFill="1" applyBorder="1" applyAlignment="1">
      <alignment horizontal="left" vertical="center"/>
    </xf>
    <xf numFmtId="3" fontId="24" fillId="8" borderId="113" xfId="1" applyNumberFormat="1" applyFont="1" applyFill="1" applyBorder="1" applyAlignment="1">
      <alignment horizontal="center" vertical="center"/>
    </xf>
    <xf numFmtId="4" fontId="24" fillId="8" borderId="113" xfId="1" applyNumberFormat="1" applyFont="1" applyFill="1" applyBorder="1" applyAlignment="1">
      <alignment horizontal="center" vertical="center"/>
    </xf>
    <xf numFmtId="9" fontId="36" fillId="7" borderId="107" xfId="7" applyFont="1" applyFill="1" applyBorder="1" applyAlignment="1">
      <alignment horizontal="center" vertical="center"/>
    </xf>
    <xf numFmtId="9" fontId="36" fillId="26" borderId="107" xfId="7" applyFont="1" applyFill="1" applyBorder="1" applyAlignment="1">
      <alignment horizontal="center" vertical="center"/>
    </xf>
    <xf numFmtId="9" fontId="70" fillId="0" borderId="107" xfId="7" applyFont="1" applyFill="1" applyBorder="1" applyAlignment="1">
      <alignment horizontal="center" vertical="center" wrapText="1"/>
    </xf>
    <xf numFmtId="9" fontId="27" fillId="0" borderId="107" xfId="7" applyFont="1" applyFill="1" applyBorder="1" applyAlignment="1">
      <alignment horizontal="center" vertical="center" wrapText="1"/>
    </xf>
    <xf numFmtId="10" fontId="24" fillId="4" borderId="107" xfId="1" applyNumberFormat="1" applyFont="1" applyFill="1" applyBorder="1" applyAlignment="1">
      <alignment horizontal="center" vertical="center"/>
    </xf>
    <xf numFmtId="9" fontId="66" fillId="0" borderId="107" xfId="7" applyFont="1" applyFill="1" applyBorder="1" applyAlignment="1">
      <alignment horizontal="center" vertical="center" wrapText="1"/>
    </xf>
    <xf numFmtId="9" fontId="66" fillId="9" borderId="107" xfId="7" applyFont="1" applyFill="1" applyBorder="1" applyAlignment="1">
      <alignment horizontal="center" vertical="center" wrapText="1"/>
    </xf>
    <xf numFmtId="9" fontId="70" fillId="0" borderId="107" xfId="7" applyFont="1" applyFill="1" applyBorder="1" applyAlignment="1">
      <alignment horizontal="center" vertical="center"/>
    </xf>
    <xf numFmtId="166" fontId="19" fillId="0" borderId="91" xfId="6" applyFont="1" applyFill="1" applyBorder="1" applyAlignment="1">
      <alignment horizontal="center" vertical="center"/>
    </xf>
    <xf numFmtId="4" fontId="65" fillId="8" borderId="113" xfId="1" applyNumberFormat="1" applyFont="1" applyFill="1" applyBorder="1" applyAlignment="1">
      <alignment horizontal="center" vertical="center"/>
    </xf>
    <xf numFmtId="9" fontId="27" fillId="0" borderId="77" xfId="7" applyFont="1" applyFill="1" applyBorder="1" applyAlignment="1">
      <alignment horizontal="left" vertical="center"/>
    </xf>
    <xf numFmtId="9" fontId="24" fillId="4" borderId="78" xfId="7" applyFont="1" applyFill="1" applyBorder="1" applyAlignment="1">
      <alignment horizontal="center" vertical="center"/>
    </xf>
    <xf numFmtId="4" fontId="81" fillId="0" borderId="111" xfId="0" applyNumberFormat="1" applyFont="1" applyFill="1" applyBorder="1" applyAlignment="1" applyProtection="1">
      <alignment horizontal="center" vertical="center"/>
    </xf>
    <xf numFmtId="4" fontId="16" fillId="0" borderId="0" xfId="1" applyNumberFormat="1" applyAlignment="1">
      <alignment horizontal="center" vertical="center"/>
    </xf>
    <xf numFmtId="4" fontId="24" fillId="6" borderId="56" xfId="1" applyNumberFormat="1" applyFont="1" applyFill="1" applyBorder="1" applyAlignment="1">
      <alignment horizontal="center" vertical="center"/>
    </xf>
    <xf numFmtId="4" fontId="19" fillId="0" borderId="0" xfId="1" applyNumberFormat="1" applyFont="1" applyAlignment="1">
      <alignment horizontal="center" vertical="center"/>
    </xf>
    <xf numFmtId="4" fontId="24" fillId="11" borderId="56" xfId="1" applyNumberFormat="1" applyFont="1" applyFill="1" applyBorder="1" applyAlignment="1">
      <alignment horizontal="center" vertical="center"/>
    </xf>
    <xf numFmtId="0" fontId="33" fillId="12" borderId="55" xfId="1" applyFont="1" applyFill="1" applyBorder="1" applyAlignment="1">
      <alignment horizontal="center" vertical="center" wrapText="1"/>
    </xf>
    <xf numFmtId="3" fontId="24" fillId="11" borderId="55" xfId="1" applyNumberFormat="1" applyFont="1" applyFill="1" applyBorder="1" applyAlignment="1">
      <alignment horizontal="center" vertical="center"/>
    </xf>
    <xf numFmtId="3" fontId="24" fillId="6" borderId="55" xfId="1" applyNumberFormat="1" applyFont="1" applyFill="1" applyBorder="1" applyAlignment="1">
      <alignment horizontal="center" vertical="center"/>
    </xf>
    <xf numFmtId="3" fontId="24" fillId="4" borderId="90" xfId="1" applyNumberFormat="1" applyFont="1" applyFill="1" applyBorder="1" applyAlignment="1">
      <alignment horizontal="center" vertical="center"/>
    </xf>
    <xf numFmtId="3" fontId="30" fillId="12" borderId="0" xfId="6" applyNumberFormat="1" applyFont="1" applyFill="1" applyAlignment="1">
      <alignment horizontal="center" vertical="center"/>
    </xf>
    <xf numFmtId="9" fontId="24" fillId="3" borderId="90" xfId="7" applyFont="1" applyFill="1" applyBorder="1" applyAlignment="1">
      <alignment horizontal="center" vertical="center"/>
    </xf>
    <xf numFmtId="0" fontId="42" fillId="12" borderId="56" xfId="1" applyFont="1" applyFill="1" applyBorder="1" applyAlignment="1">
      <alignment horizontal="center" vertical="center" wrapText="1"/>
    </xf>
    <xf numFmtId="4" fontId="69" fillId="0" borderId="0" xfId="1" applyNumberFormat="1" applyFont="1" applyAlignment="1">
      <alignment horizontal="center" vertical="center"/>
    </xf>
    <xf numFmtId="3" fontId="27" fillId="0" borderId="19" xfId="1" applyNumberFormat="1" applyFont="1" applyFill="1" applyBorder="1" applyAlignment="1">
      <alignment horizontal="center" vertical="center"/>
    </xf>
    <xf numFmtId="10" fontId="27" fillId="0" borderId="19" xfId="1" applyNumberFormat="1" applyFont="1" applyFill="1" applyBorder="1" applyAlignment="1">
      <alignment horizontal="center" vertical="center"/>
    </xf>
    <xf numFmtId="4" fontId="24" fillId="11" borderId="1" xfId="1" applyNumberFormat="1" applyFont="1" applyFill="1" applyBorder="1" applyAlignment="1">
      <alignment horizontal="center" vertical="center"/>
    </xf>
    <xf numFmtId="10" fontId="27" fillId="0" borderId="63" xfId="1" applyNumberFormat="1" applyFont="1" applyFill="1" applyBorder="1" applyAlignment="1">
      <alignment horizontal="center" vertical="center"/>
    </xf>
    <xf numFmtId="0" fontId="27" fillId="0" borderId="79" xfId="1" applyNumberFormat="1" applyFont="1" applyFill="1" applyBorder="1" applyAlignment="1">
      <alignment horizontal="center" vertical="center"/>
    </xf>
    <xf numFmtId="9" fontId="36" fillId="11" borderId="56" xfId="7" applyFont="1" applyFill="1" applyBorder="1" applyAlignment="1">
      <alignment horizontal="center" vertical="center"/>
    </xf>
    <xf numFmtId="10" fontId="24" fillId="4" borderId="56" xfId="1" applyNumberFormat="1" applyFont="1" applyFill="1" applyBorder="1" applyAlignment="1">
      <alignment horizontal="center" vertical="center"/>
    </xf>
    <xf numFmtId="4" fontId="24" fillId="4" borderId="55" xfId="1" applyNumberFormat="1" applyFont="1" applyFill="1" applyBorder="1" applyAlignment="1">
      <alignment horizontal="center" vertical="center"/>
    </xf>
    <xf numFmtId="9" fontId="36" fillId="0" borderId="7" xfId="7" applyFont="1" applyFill="1" applyBorder="1" applyAlignment="1">
      <alignment horizontal="center" vertical="center"/>
    </xf>
    <xf numFmtId="4" fontId="122" fillId="0" borderId="0" xfId="1" applyNumberFormat="1" applyFont="1" applyAlignment="1">
      <alignment horizontal="center" vertical="center"/>
    </xf>
    <xf numFmtId="3" fontId="25" fillId="0" borderId="80" xfId="1" applyNumberFormat="1" applyFont="1" applyFill="1" applyBorder="1" applyAlignment="1">
      <alignment horizontal="center" vertical="center"/>
    </xf>
    <xf numFmtId="3" fontId="24" fillId="4" borderId="63" xfId="1" applyNumberFormat="1" applyFont="1" applyFill="1" applyBorder="1" applyAlignment="1">
      <alignment horizontal="center" vertical="center"/>
    </xf>
    <xf numFmtId="9" fontId="36" fillId="0" borderId="77" xfId="7" applyFont="1" applyFill="1" applyBorder="1" applyAlignment="1">
      <alignment horizontal="center" vertical="center"/>
    </xf>
    <xf numFmtId="9" fontId="67" fillId="0" borderId="107" xfId="7" applyFont="1" applyFill="1" applyBorder="1" applyAlignment="1">
      <alignment horizontal="center" vertical="center"/>
    </xf>
    <xf numFmtId="9" fontId="66" fillId="0" borderId="107" xfId="7" applyFont="1" applyFill="1" applyBorder="1" applyAlignment="1">
      <alignment horizontal="center" vertical="center"/>
    </xf>
    <xf numFmtId="4" fontId="25" fillId="0" borderId="76" xfId="1" applyNumberFormat="1" applyFont="1" applyFill="1" applyBorder="1" applyAlignment="1">
      <alignment horizontal="center" vertical="center"/>
    </xf>
    <xf numFmtId="4" fontId="25" fillId="0" borderId="0" xfId="1" applyNumberFormat="1" applyFont="1" applyFill="1" applyBorder="1" applyAlignment="1">
      <alignment horizontal="center" vertical="center"/>
    </xf>
    <xf numFmtId="3" fontId="27" fillId="0" borderId="80" xfId="6" applyNumberFormat="1" applyFont="1" applyFill="1" applyBorder="1" applyAlignment="1">
      <alignment horizontal="center" vertical="center"/>
    </xf>
    <xf numFmtId="3" fontId="25" fillId="0" borderId="76" xfId="1" applyNumberFormat="1" applyFont="1" applyFill="1" applyBorder="1" applyAlignment="1">
      <alignment horizontal="center" vertical="center"/>
    </xf>
    <xf numFmtId="3" fontId="25" fillId="0" borderId="9" xfId="1" applyNumberFormat="1" applyFont="1" applyFill="1" applyBorder="1" applyAlignment="1">
      <alignment horizontal="center" vertical="center"/>
    </xf>
    <xf numFmtId="4" fontId="68" fillId="4" borderId="63" xfId="1" applyNumberFormat="1" applyFont="1" applyFill="1" applyBorder="1" applyAlignment="1">
      <alignment horizontal="center" vertical="center"/>
    </xf>
    <xf numFmtId="10" fontId="26" fillId="0" borderId="76" xfId="1" applyNumberFormat="1" applyFont="1" applyFill="1" applyBorder="1" applyAlignment="1">
      <alignment horizontal="center" vertical="center"/>
    </xf>
    <xf numFmtId="9" fontId="36" fillId="0" borderId="79" xfId="7" applyFont="1" applyFill="1" applyBorder="1" applyAlignment="1">
      <alignment horizontal="center" vertical="center"/>
    </xf>
    <xf numFmtId="4" fontId="25" fillId="0" borderId="9" xfId="1" applyNumberFormat="1" applyFont="1" applyFill="1" applyBorder="1" applyAlignment="1">
      <alignment horizontal="center" vertical="center"/>
    </xf>
    <xf numFmtId="4" fontId="20" fillId="6" borderId="55" xfId="1" applyNumberFormat="1" applyFont="1" applyFill="1" applyBorder="1" applyAlignment="1">
      <alignment horizontal="center" vertical="center"/>
    </xf>
    <xf numFmtId="3" fontId="27" fillId="0" borderId="4" xfId="6" applyNumberFormat="1" applyFont="1" applyFill="1" applyBorder="1" applyAlignment="1">
      <alignment horizontal="center" vertical="center"/>
    </xf>
    <xf numFmtId="9" fontId="67" fillId="0" borderId="110" xfId="7" applyFont="1" applyFill="1" applyBorder="1" applyAlignment="1">
      <alignment horizontal="center" vertical="center"/>
    </xf>
    <xf numFmtId="9" fontId="40" fillId="0" borderId="77" xfId="7" applyFont="1" applyFill="1" applyBorder="1" applyAlignment="1">
      <alignment horizontal="center" vertical="center"/>
    </xf>
    <xf numFmtId="9" fontId="27" fillId="0" borderId="107" xfId="7" applyFont="1" applyFill="1" applyBorder="1" applyAlignment="1">
      <alignment horizontal="center" vertical="center"/>
    </xf>
    <xf numFmtId="4" fontId="84" fillId="0" borderId="77" xfId="1" applyNumberFormat="1" applyFont="1" applyFill="1" applyBorder="1" applyAlignment="1">
      <alignment horizontal="center" vertical="center"/>
    </xf>
    <xf numFmtId="4" fontId="84" fillId="0" borderId="77" xfId="1" applyNumberFormat="1" applyFont="1" applyFill="1" applyBorder="1" applyAlignment="1">
      <alignment horizontal="center" vertical="center" wrapText="1"/>
    </xf>
    <xf numFmtId="4" fontId="84" fillId="0" borderId="58" xfId="1" applyNumberFormat="1" applyFont="1" applyFill="1" applyBorder="1" applyAlignment="1">
      <alignment horizontal="center" vertical="center"/>
    </xf>
    <xf numFmtId="3" fontId="84" fillId="0" borderId="58" xfId="1" applyNumberFormat="1" applyFont="1" applyFill="1" applyBorder="1" applyAlignment="1">
      <alignment horizontal="center" vertical="center"/>
    </xf>
    <xf numFmtId="3" fontId="84" fillId="0" borderId="77" xfId="1" applyNumberFormat="1" applyFont="1" applyFill="1" applyBorder="1" applyAlignment="1">
      <alignment horizontal="center" vertical="center"/>
    </xf>
    <xf numFmtId="4" fontId="84" fillId="0" borderId="58" xfId="1" applyNumberFormat="1" applyFont="1" applyFill="1" applyBorder="1" applyAlignment="1">
      <alignment horizontal="center" vertical="center" wrapText="1"/>
    </xf>
    <xf numFmtId="9" fontId="132" fillId="0" borderId="58" xfId="7" applyFont="1" applyFill="1" applyBorder="1" applyAlignment="1">
      <alignment horizontal="center" vertical="center"/>
    </xf>
    <xf numFmtId="4" fontId="84" fillId="0" borderId="79" xfId="1" applyNumberFormat="1" applyFont="1" applyFill="1" applyBorder="1" applyAlignment="1">
      <alignment horizontal="center" vertical="center"/>
    </xf>
    <xf numFmtId="10" fontId="27" fillId="0" borderId="117" xfId="1" applyNumberFormat="1" applyFont="1" applyFill="1" applyBorder="1" applyAlignment="1">
      <alignment horizontal="center" vertical="center"/>
    </xf>
    <xf numFmtId="4" fontId="20" fillId="6" borderId="56" xfId="1" applyNumberFormat="1" applyFont="1" applyFill="1" applyBorder="1" applyAlignment="1">
      <alignment horizontal="center" vertical="center"/>
    </xf>
    <xf numFmtId="10" fontId="24" fillId="3" borderId="62" xfId="1" applyNumberFormat="1" applyFont="1" applyFill="1" applyBorder="1" applyAlignment="1">
      <alignment horizontal="center" vertical="center"/>
    </xf>
    <xf numFmtId="10" fontId="24" fillId="3" borderId="63" xfId="1" applyNumberFormat="1" applyFont="1" applyFill="1" applyBorder="1" applyAlignment="1">
      <alignment horizontal="center" vertical="center"/>
    </xf>
    <xf numFmtId="10" fontId="24" fillId="0" borderId="117" xfId="1" applyNumberFormat="1" applyFont="1" applyFill="1" applyBorder="1" applyAlignment="1">
      <alignment horizontal="center" vertical="center"/>
    </xf>
    <xf numFmtId="4" fontId="24" fillId="4" borderId="63" xfId="1" applyNumberFormat="1" applyFont="1" applyFill="1" applyBorder="1" applyAlignment="1">
      <alignment horizontal="center" vertical="center"/>
    </xf>
    <xf numFmtId="10" fontId="26" fillId="5" borderId="117" xfId="1" applyNumberFormat="1" applyFont="1" applyFill="1" applyBorder="1" applyAlignment="1">
      <alignment horizontal="center" vertical="center"/>
    </xf>
    <xf numFmtId="10" fontId="26" fillId="0" borderId="117" xfId="1" applyNumberFormat="1" applyFont="1" applyFill="1" applyBorder="1" applyAlignment="1">
      <alignment horizontal="center" vertical="center"/>
    </xf>
    <xf numFmtId="4" fontId="24" fillId="11" borderId="108" xfId="1" applyNumberFormat="1" applyFont="1" applyFill="1" applyBorder="1" applyAlignment="1">
      <alignment horizontal="center" vertical="center"/>
    </xf>
    <xf numFmtId="4" fontId="24" fillId="11" borderId="109" xfId="1" applyNumberFormat="1" applyFont="1" applyFill="1" applyBorder="1" applyAlignment="1">
      <alignment horizontal="center" vertical="center"/>
    </xf>
    <xf numFmtId="3" fontId="25" fillId="0" borderId="79" xfId="1" applyNumberFormat="1" applyFont="1" applyFill="1" applyBorder="1" applyAlignment="1">
      <alignment horizontal="center" vertical="center"/>
    </xf>
    <xf numFmtId="3" fontId="27" fillId="0" borderId="79" xfId="6" applyNumberFormat="1" applyFont="1" applyFill="1" applyBorder="1" applyAlignment="1">
      <alignment horizontal="center" vertical="center"/>
    </xf>
    <xf numFmtId="3" fontId="24" fillId="4" borderId="80" xfId="1" applyNumberFormat="1" applyFont="1" applyFill="1" applyBorder="1" applyAlignment="1">
      <alignment horizontal="center" vertical="center"/>
    </xf>
    <xf numFmtId="3" fontId="24" fillId="4" borderId="79" xfId="1" applyNumberFormat="1" applyFont="1" applyFill="1" applyBorder="1" applyAlignment="1">
      <alignment horizontal="center" vertical="center"/>
    </xf>
    <xf numFmtId="3" fontId="24" fillId="4" borderId="62" xfId="1" applyNumberFormat="1" applyFont="1" applyFill="1" applyBorder="1" applyAlignment="1">
      <alignment horizontal="center" vertical="center"/>
    </xf>
    <xf numFmtId="9" fontId="36" fillId="4" borderId="107" xfId="7" applyFont="1" applyFill="1" applyBorder="1" applyAlignment="1">
      <alignment horizontal="center" vertical="center"/>
    </xf>
    <xf numFmtId="9" fontId="36" fillId="0" borderId="110" xfId="7" applyFont="1" applyFill="1" applyBorder="1" applyAlignment="1">
      <alignment horizontal="center" vertical="center"/>
    </xf>
    <xf numFmtId="9" fontId="36" fillId="0" borderId="117" xfId="7" applyFont="1" applyFill="1" applyBorder="1" applyAlignment="1">
      <alignment horizontal="center" vertical="center"/>
    </xf>
    <xf numFmtId="9" fontId="26" fillId="0" borderId="107" xfId="7" applyFont="1" applyFill="1" applyBorder="1" applyAlignment="1">
      <alignment horizontal="center" vertical="center"/>
    </xf>
    <xf numFmtId="0" fontId="26" fillId="0" borderId="107" xfId="1" applyNumberFormat="1" applyFont="1" applyFill="1" applyBorder="1" applyAlignment="1">
      <alignment horizontal="center" vertical="center"/>
    </xf>
    <xf numFmtId="4" fontId="35" fillId="6" borderId="56" xfId="1" applyNumberFormat="1" applyFont="1" applyFill="1" applyBorder="1" applyAlignment="1">
      <alignment horizontal="center" vertical="center"/>
    </xf>
    <xf numFmtId="10" fontId="65" fillId="3" borderId="63" xfId="1" applyNumberFormat="1" applyFont="1" applyFill="1" applyBorder="1" applyAlignment="1">
      <alignment horizontal="center" vertical="center"/>
    </xf>
    <xf numFmtId="4" fontId="65" fillId="4" borderId="63" xfId="1" applyNumberFormat="1" applyFont="1" applyFill="1" applyBorder="1" applyAlignment="1">
      <alignment horizontal="center" vertical="center"/>
    </xf>
    <xf numFmtId="10" fontId="26" fillId="0" borderId="77" xfId="1" applyNumberFormat="1" applyFont="1" applyFill="1" applyBorder="1" applyAlignment="1">
      <alignment horizontal="center" vertical="center"/>
    </xf>
    <xf numFmtId="4" fontId="25" fillId="0" borderId="20" xfId="1" applyNumberFormat="1" applyFont="1" applyFill="1" applyBorder="1" applyAlignment="1">
      <alignment horizontal="center" vertical="center"/>
    </xf>
    <xf numFmtId="3" fontId="25" fillId="0" borderId="20" xfId="1" applyNumberFormat="1" applyFont="1" applyFill="1" applyBorder="1" applyAlignment="1">
      <alignment horizontal="center" vertical="center"/>
    </xf>
    <xf numFmtId="4" fontId="25" fillId="0" borderId="36" xfId="1" applyNumberFormat="1" applyFont="1" applyFill="1" applyBorder="1" applyAlignment="1">
      <alignment horizontal="center" vertical="center"/>
    </xf>
    <xf numFmtId="4" fontId="25" fillId="0" borderId="7" xfId="1" applyNumberFormat="1" applyFont="1" applyFill="1" applyBorder="1" applyAlignment="1">
      <alignment horizontal="center" vertical="center"/>
    </xf>
    <xf numFmtId="4" fontId="25" fillId="0" borderId="6" xfId="1" applyNumberFormat="1" applyFont="1" applyFill="1" applyBorder="1" applyAlignment="1">
      <alignment horizontal="center" vertical="center"/>
    </xf>
    <xf numFmtId="3" fontId="27" fillId="0" borderId="6" xfId="6" applyNumberFormat="1" applyFont="1" applyFill="1" applyBorder="1" applyAlignment="1">
      <alignment horizontal="center" vertical="center"/>
    </xf>
    <xf numFmtId="9" fontId="26" fillId="0" borderId="110" xfId="7" applyFont="1" applyFill="1" applyBorder="1" applyAlignment="1">
      <alignment horizontal="center" vertical="center"/>
    </xf>
    <xf numFmtId="4" fontId="19" fillId="0" borderId="20" xfId="1" applyNumberFormat="1" applyFont="1" applyFill="1" applyBorder="1" applyAlignment="1">
      <alignment horizontal="center" vertical="center"/>
    </xf>
    <xf numFmtId="3" fontId="19" fillId="0" borderId="79" xfId="6" applyNumberFormat="1" applyFont="1" applyFill="1" applyBorder="1" applyAlignment="1">
      <alignment horizontal="center" vertical="center"/>
    </xf>
    <xf numFmtId="10" fontId="19" fillId="0" borderId="77" xfId="1" applyNumberFormat="1" applyFont="1" applyFill="1" applyBorder="1" applyAlignment="1">
      <alignment horizontal="center" vertical="center"/>
    </xf>
    <xf numFmtId="4" fontId="90" fillId="6" borderId="56" xfId="1" applyNumberFormat="1" applyFont="1" applyFill="1" applyBorder="1" applyAlignment="1">
      <alignment horizontal="center" vertical="center"/>
    </xf>
    <xf numFmtId="10" fontId="103" fillId="3" borderId="62" xfId="1" applyNumberFormat="1" applyFont="1" applyFill="1" applyBorder="1" applyAlignment="1">
      <alignment horizontal="center" vertical="center"/>
    </xf>
    <xf numFmtId="10" fontId="103" fillId="3" borderId="63" xfId="1" applyNumberFormat="1" applyFont="1" applyFill="1" applyBorder="1" applyAlignment="1">
      <alignment horizontal="center" vertical="center"/>
    </xf>
    <xf numFmtId="3" fontId="103" fillId="4" borderId="80" xfId="1" applyNumberFormat="1" applyFont="1" applyFill="1" applyBorder="1" applyAlignment="1">
      <alignment horizontal="center" vertical="center"/>
    </xf>
    <xf numFmtId="4" fontId="103" fillId="4" borderId="63" xfId="1" applyNumberFormat="1" applyFont="1" applyFill="1" applyBorder="1" applyAlignment="1">
      <alignment horizontal="center" vertical="center"/>
    </xf>
    <xf numFmtId="3" fontId="103" fillId="4" borderId="62" xfId="1" applyNumberFormat="1" applyFont="1" applyFill="1" applyBorder="1" applyAlignment="1">
      <alignment horizontal="center" vertical="center"/>
    </xf>
    <xf numFmtId="3" fontId="19" fillId="0" borderId="79" xfId="1" applyNumberFormat="1" applyFont="1" applyFill="1" applyBorder="1" applyAlignment="1">
      <alignment horizontal="center" vertical="center"/>
    </xf>
    <xf numFmtId="4" fontId="19" fillId="0" borderId="36" xfId="1" applyNumberFormat="1" applyFont="1" applyFill="1" applyBorder="1" applyAlignment="1">
      <alignment horizontal="center" vertical="center"/>
    </xf>
    <xf numFmtId="4" fontId="25" fillId="0" borderId="77" xfId="1" applyNumberFormat="1" applyFont="1" applyFill="1" applyBorder="1" applyAlignment="1">
      <alignment horizontal="center" vertical="center"/>
    </xf>
    <xf numFmtId="9" fontId="36" fillId="0" borderId="107" xfId="7" applyFont="1" applyFill="1" applyBorder="1" applyAlignment="1">
      <alignment horizontal="center" vertical="center"/>
    </xf>
    <xf numFmtId="3" fontId="25" fillId="0" borderId="77" xfId="1" applyNumberFormat="1" applyFont="1" applyFill="1" applyBorder="1" applyAlignment="1">
      <alignment horizontal="center" vertical="center"/>
    </xf>
    <xf numFmtId="4" fontId="25" fillId="0" borderId="77" xfId="1" applyNumberFormat="1" applyFont="1" applyFill="1" applyBorder="1" applyAlignment="1">
      <alignment horizontal="center" vertical="center" wrapText="1"/>
    </xf>
    <xf numFmtId="9" fontId="66" fillId="0" borderId="77" xfId="7" applyFont="1" applyFill="1" applyBorder="1" applyAlignment="1">
      <alignment horizontal="center" vertical="center" wrapText="1"/>
    </xf>
    <xf numFmtId="9" fontId="67" fillId="0" borderId="77" xfId="7" applyFont="1" applyFill="1" applyBorder="1" applyAlignment="1">
      <alignment horizontal="center" vertical="center"/>
    </xf>
    <xf numFmtId="9" fontId="66" fillId="0" borderId="77" xfId="7" applyFont="1" applyFill="1" applyBorder="1" applyAlignment="1">
      <alignment horizontal="center" vertical="center"/>
    </xf>
    <xf numFmtId="4" fontId="19" fillId="0" borderId="77" xfId="1" applyNumberFormat="1" applyFont="1" applyFill="1" applyBorder="1" applyAlignment="1">
      <alignment horizontal="center" vertical="center"/>
    </xf>
    <xf numFmtId="4" fontId="25" fillId="0" borderId="79" xfId="1" applyNumberFormat="1" applyFont="1" applyFill="1" applyBorder="1" applyAlignment="1">
      <alignment horizontal="center" vertical="center"/>
    </xf>
    <xf numFmtId="4" fontId="25" fillId="0" borderId="80" xfId="1" applyNumberFormat="1" applyFont="1" applyFill="1" applyBorder="1" applyAlignment="1">
      <alignment horizontal="center" vertical="center"/>
    </xf>
    <xf numFmtId="4" fontId="110" fillId="0" borderId="77" xfId="1" applyNumberFormat="1" applyFont="1" applyFill="1" applyBorder="1" applyAlignment="1">
      <alignment horizontal="center" vertical="center" wrapText="1"/>
    </xf>
    <xf numFmtId="4" fontId="110" fillId="0" borderId="79" xfId="1" applyNumberFormat="1" applyFont="1" applyFill="1" applyBorder="1" applyAlignment="1">
      <alignment horizontal="center" vertical="center"/>
    </xf>
    <xf numFmtId="4" fontId="19" fillId="0" borderId="77" xfId="1" applyNumberFormat="1" applyFont="1" applyFill="1" applyBorder="1" applyAlignment="1">
      <alignment horizontal="center" vertical="center" wrapText="1"/>
    </xf>
    <xf numFmtId="4" fontId="19" fillId="0" borderId="79" xfId="1" applyNumberFormat="1" applyFont="1" applyFill="1" applyBorder="1" applyAlignment="1">
      <alignment horizontal="center" vertical="center"/>
    </xf>
    <xf numFmtId="3" fontId="19" fillId="0" borderId="77" xfId="1" applyNumberFormat="1" applyFont="1" applyFill="1" applyBorder="1" applyAlignment="1">
      <alignment horizontal="center" vertical="center"/>
    </xf>
    <xf numFmtId="9" fontId="40" fillId="0" borderId="107" xfId="7" applyFont="1" applyFill="1" applyBorder="1" applyAlignment="1">
      <alignment horizontal="center" vertical="center"/>
    </xf>
    <xf numFmtId="4" fontId="25" fillId="13" borderId="79" xfId="1" applyNumberFormat="1" applyFont="1" applyFill="1" applyBorder="1" applyAlignment="1">
      <alignment horizontal="center" vertical="center"/>
    </xf>
    <xf numFmtId="4" fontId="25" fillId="13" borderId="77" xfId="1" applyNumberFormat="1" applyFont="1" applyFill="1" applyBorder="1" applyAlignment="1">
      <alignment horizontal="center" vertical="center"/>
    </xf>
    <xf numFmtId="9" fontId="36" fillId="13" borderId="107" xfId="7" applyFont="1" applyFill="1" applyBorder="1" applyAlignment="1">
      <alignment horizontal="center" vertical="center"/>
    </xf>
    <xf numFmtId="4" fontId="25" fillId="13" borderId="77" xfId="1" applyNumberFormat="1" applyFont="1" applyFill="1" applyBorder="1" applyAlignment="1">
      <alignment horizontal="center" vertical="center" wrapText="1"/>
    </xf>
    <xf numFmtId="3" fontId="25" fillId="13" borderId="77" xfId="1" applyNumberFormat="1" applyFont="1" applyFill="1" applyBorder="1" applyAlignment="1">
      <alignment horizontal="center" vertical="center"/>
    </xf>
    <xf numFmtId="9" fontId="131" fillId="13" borderId="77" xfId="7" applyFont="1" applyFill="1" applyBorder="1" applyAlignment="1">
      <alignment horizontal="center" vertical="center" wrapText="1"/>
    </xf>
    <xf numFmtId="4" fontId="84" fillId="13" borderId="77" xfId="1" applyNumberFormat="1" applyFont="1" applyFill="1" applyBorder="1" applyAlignment="1">
      <alignment horizontal="center" vertical="center" wrapText="1"/>
    </xf>
    <xf numFmtId="4" fontId="84" fillId="13" borderId="79" xfId="1" applyNumberFormat="1" applyFont="1" applyFill="1" applyBorder="1" applyAlignment="1">
      <alignment horizontal="center" vertical="center"/>
    </xf>
    <xf numFmtId="3" fontId="84" fillId="13" borderId="77" xfId="1" applyNumberFormat="1" applyFont="1" applyFill="1" applyBorder="1" applyAlignment="1">
      <alignment horizontal="center" vertical="center"/>
    </xf>
    <xf numFmtId="9" fontId="132" fillId="13" borderId="107" xfId="7" applyFont="1" applyFill="1" applyBorder="1" applyAlignment="1">
      <alignment horizontal="center" vertical="center"/>
    </xf>
    <xf numFmtId="4" fontId="84" fillId="13" borderId="77" xfId="1" applyNumberFormat="1" applyFont="1" applyFill="1" applyBorder="1" applyAlignment="1">
      <alignment horizontal="center" vertical="center"/>
    </xf>
    <xf numFmtId="9" fontId="67" fillId="13" borderId="77" xfId="7" applyFont="1" applyFill="1" applyBorder="1" applyAlignment="1">
      <alignment horizontal="center" vertical="center"/>
    </xf>
    <xf numFmtId="4" fontId="25" fillId="13" borderId="80" xfId="1" applyNumberFormat="1" applyFont="1" applyFill="1" applyBorder="1" applyAlignment="1">
      <alignment horizontal="center" vertical="center"/>
    </xf>
    <xf numFmtId="9" fontId="26" fillId="13" borderId="77" xfId="7" applyFont="1" applyFill="1" applyBorder="1" applyAlignment="1">
      <alignment horizontal="center" vertical="center"/>
    </xf>
    <xf numFmtId="9" fontId="84" fillId="13" borderId="77" xfId="7" applyFont="1" applyFill="1" applyBorder="1" applyAlignment="1">
      <alignment horizontal="center" vertical="center"/>
    </xf>
    <xf numFmtId="9" fontId="131" fillId="13" borderId="77" xfId="7" quotePrefix="1" applyFont="1" applyFill="1" applyBorder="1" applyAlignment="1">
      <alignment horizontal="center" vertical="center" wrapText="1"/>
    </xf>
    <xf numFmtId="3" fontId="24" fillId="4" borderId="114" xfId="1" applyNumberFormat="1" applyFont="1" applyFill="1" applyBorder="1" applyAlignment="1">
      <alignment horizontal="center" vertical="center"/>
    </xf>
    <xf numFmtId="4" fontId="24" fillId="4" borderId="114" xfId="1" applyNumberFormat="1" applyFont="1" applyFill="1" applyBorder="1" applyAlignment="1">
      <alignment horizontal="center" vertical="center"/>
    </xf>
    <xf numFmtId="3" fontId="24" fillId="8" borderId="114" xfId="1" applyNumberFormat="1" applyFont="1" applyFill="1" applyBorder="1" applyAlignment="1">
      <alignment horizontal="center" vertical="center"/>
    </xf>
    <xf numFmtId="4" fontId="24" fillId="8" borderId="114" xfId="1" applyNumberFormat="1" applyFont="1" applyFill="1" applyBorder="1" applyAlignment="1">
      <alignment horizontal="center" vertical="center"/>
    </xf>
    <xf numFmtId="9" fontId="24" fillId="3" borderId="114" xfId="7" applyFont="1" applyFill="1" applyBorder="1" applyAlignment="1">
      <alignment horizontal="center" vertical="center"/>
    </xf>
    <xf numFmtId="10" fontId="24" fillId="3" borderId="114" xfId="1" applyNumberFormat="1" applyFont="1" applyFill="1" applyBorder="1" applyAlignment="1">
      <alignment horizontal="center" vertical="center"/>
    </xf>
    <xf numFmtId="4" fontId="25" fillId="0" borderId="114" xfId="1" applyNumberFormat="1" applyFont="1" applyFill="1" applyBorder="1" applyAlignment="1">
      <alignment horizontal="center" vertical="center"/>
    </xf>
    <xf numFmtId="4" fontId="25" fillId="0" borderId="117" xfId="1" applyNumberFormat="1" applyFont="1" applyFill="1" applyBorder="1" applyAlignment="1">
      <alignment horizontal="center" vertical="center"/>
    </xf>
    <xf numFmtId="4" fontId="84" fillId="0" borderId="63" xfId="1" applyNumberFormat="1" applyFont="1" applyFill="1" applyBorder="1" applyAlignment="1">
      <alignment horizontal="center" vertical="center"/>
    </xf>
    <xf numFmtId="3" fontId="25" fillId="0" borderId="117" xfId="1" applyNumberFormat="1" applyFont="1" applyFill="1" applyBorder="1" applyAlignment="1">
      <alignment horizontal="center" vertical="center"/>
    </xf>
    <xf numFmtId="9" fontId="27" fillId="0" borderId="117" xfId="7" applyFont="1" applyFill="1" applyBorder="1" applyAlignment="1">
      <alignment horizontal="center" vertical="center"/>
    </xf>
    <xf numFmtId="4" fontId="25" fillId="0" borderId="117" xfId="1" applyNumberFormat="1" applyFont="1" applyFill="1" applyBorder="1" applyAlignment="1">
      <alignment horizontal="center" vertical="center" wrapText="1"/>
    </xf>
    <xf numFmtId="3" fontId="27" fillId="0" borderId="114" xfId="6" applyNumberFormat="1" applyFont="1" applyFill="1" applyBorder="1" applyAlignment="1">
      <alignment horizontal="center" vertical="center"/>
    </xf>
    <xf numFmtId="9" fontId="19" fillId="0" borderId="102" xfId="7" applyFont="1" applyFill="1" applyBorder="1" applyAlignment="1">
      <alignment horizontal="center" vertical="center"/>
    </xf>
    <xf numFmtId="3" fontId="24" fillId="8" borderId="116" xfId="1" applyNumberFormat="1" applyFont="1" applyFill="1" applyBorder="1" applyAlignment="1">
      <alignment horizontal="center" vertical="center"/>
    </xf>
    <xf numFmtId="10" fontId="24" fillId="0" borderId="110" xfId="1" applyNumberFormat="1" applyFont="1" applyFill="1" applyBorder="1" applyAlignment="1">
      <alignment horizontal="center" vertical="center"/>
    </xf>
    <xf numFmtId="9" fontId="70" fillId="0" borderId="79" xfId="7" applyFont="1" applyFill="1" applyBorder="1" applyAlignment="1">
      <alignment horizontal="center" vertical="center" wrapText="1"/>
    </xf>
    <xf numFmtId="3" fontId="24" fillId="4" borderId="116" xfId="1" applyNumberFormat="1" applyFont="1" applyFill="1" applyBorder="1" applyAlignment="1">
      <alignment horizontal="center" vertical="center"/>
    </xf>
    <xf numFmtId="3" fontId="24" fillId="4" borderId="119" xfId="1" applyNumberFormat="1" applyFont="1" applyFill="1" applyBorder="1" applyAlignment="1">
      <alignment horizontal="center" vertical="center"/>
    </xf>
    <xf numFmtId="4" fontId="24" fillId="4" borderId="116" xfId="1" applyNumberFormat="1" applyFont="1" applyFill="1" applyBorder="1" applyAlignment="1">
      <alignment horizontal="center" vertical="center"/>
    </xf>
    <xf numFmtId="9" fontId="24" fillId="3" borderId="116" xfId="7" applyFont="1" applyFill="1" applyBorder="1" applyAlignment="1">
      <alignment horizontal="center" vertical="center"/>
    </xf>
    <xf numFmtId="9" fontId="24" fillId="3" borderId="119" xfId="7" applyFont="1" applyFill="1" applyBorder="1" applyAlignment="1">
      <alignment horizontal="center" vertical="center"/>
    </xf>
    <xf numFmtId="10" fontId="24" fillId="3" borderId="116" xfId="1" applyNumberFormat="1" applyFont="1" applyFill="1" applyBorder="1" applyAlignment="1">
      <alignment horizontal="center" vertical="center"/>
    </xf>
    <xf numFmtId="3" fontId="27" fillId="0" borderId="106" xfId="6" applyNumberFormat="1" applyFont="1" applyFill="1" applyBorder="1" applyAlignment="1">
      <alignment horizontal="center" vertical="center"/>
    </xf>
    <xf numFmtId="9" fontId="36" fillId="4" borderId="63" xfId="7" applyFont="1" applyFill="1" applyBorder="1" applyAlignment="1">
      <alignment horizontal="center" vertical="center"/>
    </xf>
    <xf numFmtId="4" fontId="25" fillId="0" borderId="116" xfId="1" applyNumberFormat="1" applyFont="1" applyFill="1" applyBorder="1" applyAlignment="1">
      <alignment horizontal="center" vertical="center"/>
    </xf>
    <xf numFmtId="3" fontId="24" fillId="3" borderId="119" xfId="1" applyNumberFormat="1" applyFont="1" applyFill="1" applyBorder="1" applyAlignment="1">
      <alignment horizontal="center" vertical="center"/>
    </xf>
    <xf numFmtId="4" fontId="25" fillId="0" borderId="115" xfId="1" applyNumberFormat="1" applyFont="1" applyFill="1" applyBorder="1" applyAlignment="1">
      <alignment horizontal="center" vertical="center"/>
    </xf>
    <xf numFmtId="4" fontId="133" fillId="5" borderId="120" xfId="27" applyNumberFormat="1" applyFont="1" applyFill="1" applyBorder="1" applyAlignment="1">
      <alignment horizontal="right" vertical="top"/>
    </xf>
    <xf numFmtId="9" fontId="131" fillId="0" borderId="77" xfId="7" applyFont="1" applyFill="1" applyBorder="1" applyAlignment="1">
      <alignment horizontal="center" vertical="center" wrapText="1"/>
    </xf>
    <xf numFmtId="4" fontId="87" fillId="0" borderId="79" xfId="1" applyNumberFormat="1" applyFont="1" applyFill="1" applyBorder="1" applyAlignment="1">
      <alignment horizontal="center" vertical="center"/>
    </xf>
    <xf numFmtId="9" fontId="131" fillId="0" borderId="77" xfId="7" applyFont="1" applyFill="1" applyBorder="1" applyAlignment="1">
      <alignment horizontal="center" vertical="center"/>
    </xf>
    <xf numFmtId="4" fontId="16" fillId="0" borderId="0" xfId="1" applyNumberFormat="1" applyFont="1" applyAlignment="1">
      <alignment horizontal="left" vertical="center"/>
    </xf>
    <xf numFmtId="4" fontId="84" fillId="0" borderId="7" xfId="1" applyNumberFormat="1" applyFont="1" applyFill="1" applyBorder="1" applyAlignment="1">
      <alignment horizontal="center" vertical="center"/>
    </xf>
    <xf numFmtId="172" fontId="69" fillId="0" borderId="0" xfId="1" applyNumberFormat="1" applyFont="1" applyAlignment="1">
      <alignment horizontal="center" vertical="center"/>
    </xf>
    <xf numFmtId="4" fontId="69" fillId="0" borderId="0" xfId="1" applyNumberFormat="1" applyFont="1" applyAlignment="1">
      <alignment horizontal="right" vertical="center"/>
    </xf>
    <xf numFmtId="4" fontId="134" fillId="0" borderId="0" xfId="1" applyNumberFormat="1" applyFont="1" applyAlignment="1">
      <alignment horizontal="center" vertical="center"/>
    </xf>
    <xf numFmtId="9" fontId="36" fillId="0" borderId="121" xfId="7" applyFont="1" applyFill="1" applyBorder="1" applyAlignment="1">
      <alignment horizontal="center" vertical="center"/>
    </xf>
    <xf numFmtId="2" fontId="27" fillId="0" borderId="58" xfId="7" applyNumberFormat="1" applyFont="1" applyFill="1" applyBorder="1" applyAlignment="1">
      <alignment horizontal="center" vertical="center"/>
    </xf>
    <xf numFmtId="2" fontId="27" fillId="0" borderId="58" xfId="1" applyNumberFormat="1" applyFont="1" applyFill="1" applyBorder="1" applyAlignment="1">
      <alignment horizontal="center" vertical="center"/>
    </xf>
    <xf numFmtId="2" fontId="27" fillId="0" borderId="79" xfId="6" applyNumberFormat="1" applyFont="1" applyFill="1" applyBorder="1" applyAlignment="1">
      <alignment horizontal="center" vertical="center"/>
    </xf>
    <xf numFmtId="2" fontId="27" fillId="0" borderId="107" xfId="7" applyNumberFormat="1" applyFont="1" applyFill="1" applyBorder="1" applyAlignment="1">
      <alignment horizontal="center" vertical="center"/>
    </xf>
    <xf numFmtId="9" fontId="17" fillId="0" borderId="77" xfId="7" applyFont="1" applyFill="1" applyBorder="1" applyAlignment="1">
      <alignment horizontal="center" vertical="center"/>
    </xf>
    <xf numFmtId="9" fontId="66" fillId="0" borderId="79" xfId="7" applyFont="1" applyFill="1" applyBorder="1" applyAlignment="1">
      <alignment horizontal="center" vertical="center" wrapText="1"/>
    </xf>
    <xf numFmtId="4" fontId="137" fillId="0" borderId="0" xfId="1" applyNumberFormat="1" applyFont="1" applyAlignment="1">
      <alignment horizontal="center" vertical="center"/>
    </xf>
    <xf numFmtId="9" fontId="36" fillId="0" borderId="122" xfId="7" applyFont="1" applyFill="1" applyBorder="1" applyAlignment="1">
      <alignment horizontal="center" vertical="center"/>
    </xf>
    <xf numFmtId="9" fontId="26" fillId="0" borderId="122" xfId="7" applyFont="1" applyFill="1" applyBorder="1" applyAlignment="1">
      <alignment horizontal="center" vertical="center"/>
    </xf>
    <xf numFmtId="9" fontId="36" fillId="4" borderId="122" xfId="7" applyFont="1" applyFill="1" applyBorder="1" applyAlignment="1">
      <alignment horizontal="center" vertical="center"/>
    </xf>
    <xf numFmtId="9" fontId="27" fillId="0" borderId="122" xfId="7" applyFont="1" applyFill="1" applyBorder="1" applyAlignment="1">
      <alignment horizontal="center" vertical="center"/>
    </xf>
    <xf numFmtId="0" fontId="0" fillId="0" borderId="0" xfId="0"/>
    <xf numFmtId="3" fontId="27" fillId="0" borderId="63" xfId="6" applyNumberFormat="1" applyFont="1" applyFill="1" applyBorder="1" applyAlignment="1">
      <alignment horizontal="center" vertical="center"/>
    </xf>
    <xf numFmtId="3" fontId="57" fillId="0" borderId="0" xfId="0" applyNumberFormat="1" applyFont="1" applyFill="1"/>
    <xf numFmtId="2" fontId="66" fillId="0" borderId="77" xfId="7" applyNumberFormat="1" applyFont="1" applyFill="1" applyBorder="1" applyAlignment="1">
      <alignment horizontal="center" vertical="center" wrapText="1"/>
    </xf>
    <xf numFmtId="10" fontId="29" fillId="0" borderId="110" xfId="1" applyNumberFormat="1" applyFont="1" applyFill="1" applyBorder="1" applyAlignment="1">
      <alignment horizontal="center" vertical="center"/>
    </xf>
    <xf numFmtId="3" fontId="27" fillId="0" borderId="110" xfId="1" applyNumberFormat="1" applyFont="1" applyFill="1" applyBorder="1" applyAlignment="1">
      <alignment horizontal="center" vertical="center"/>
    </xf>
    <xf numFmtId="10" fontId="36" fillId="0" borderId="110" xfId="1" applyNumberFormat="1" applyFont="1" applyFill="1" applyBorder="1" applyAlignment="1">
      <alignment horizontal="center" vertical="center"/>
    </xf>
    <xf numFmtId="9" fontId="110" fillId="0" borderId="122" xfId="7" applyFont="1" applyFill="1" applyBorder="1" applyAlignment="1">
      <alignment horizontal="center" vertical="center"/>
    </xf>
    <xf numFmtId="9" fontId="19" fillId="0" borderId="122" xfId="7" applyFont="1" applyFill="1" applyBorder="1" applyAlignment="1">
      <alignment horizontal="center" vertical="center"/>
    </xf>
    <xf numFmtId="9" fontId="36" fillId="0" borderId="125" xfId="7" applyFont="1" applyFill="1" applyBorder="1" applyAlignment="1">
      <alignment horizontal="center" vertical="center"/>
    </xf>
    <xf numFmtId="9" fontId="27" fillId="0" borderId="125" xfId="7" applyFont="1" applyFill="1" applyBorder="1" applyAlignment="1">
      <alignment horizontal="center" vertical="center"/>
    </xf>
    <xf numFmtId="9" fontId="26" fillId="0" borderId="125" xfId="7" applyFont="1" applyFill="1" applyBorder="1" applyAlignment="1">
      <alignment horizontal="center" vertical="center"/>
    </xf>
    <xf numFmtId="9" fontId="64" fillId="0" borderId="122" xfId="7" applyFont="1" applyFill="1" applyBorder="1" applyAlignment="1">
      <alignment horizontal="center" vertical="center"/>
    </xf>
    <xf numFmtId="9" fontId="24" fillId="3" borderId="165" xfId="7" applyFont="1" applyFill="1" applyBorder="1" applyAlignment="1">
      <alignment horizontal="center" vertical="center"/>
    </xf>
    <xf numFmtId="9" fontId="132" fillId="13" borderId="122" xfId="7" applyFont="1" applyFill="1" applyBorder="1" applyAlignment="1">
      <alignment horizontal="center" vertical="center"/>
    </xf>
    <xf numFmtId="9" fontId="36" fillId="0" borderId="166" xfId="7" applyFont="1" applyFill="1" applyBorder="1" applyAlignment="1">
      <alignment horizontal="center" vertical="center"/>
    </xf>
    <xf numFmtId="3" fontId="27" fillId="0" borderId="167" xfId="1" applyNumberFormat="1" applyFont="1" applyFill="1" applyBorder="1" applyAlignment="1">
      <alignment horizontal="center" vertical="center"/>
    </xf>
    <xf numFmtId="9" fontId="27" fillId="0" borderId="166" xfId="7" applyFont="1" applyFill="1" applyBorder="1" applyAlignment="1">
      <alignment horizontal="center" vertical="center"/>
    </xf>
    <xf numFmtId="3" fontId="27" fillId="0" borderId="168" xfId="1" applyNumberFormat="1" applyFont="1" applyFill="1" applyBorder="1" applyAlignment="1">
      <alignment horizontal="center" vertical="center"/>
    </xf>
    <xf numFmtId="9" fontId="26" fillId="0" borderId="166" xfId="7" applyFont="1" applyFill="1" applyBorder="1" applyAlignment="1">
      <alignment horizontal="center" vertical="center"/>
    </xf>
    <xf numFmtId="9" fontId="19" fillId="0" borderId="166" xfId="7" applyFont="1" applyFill="1" applyBorder="1" applyAlignment="1">
      <alignment horizontal="center" vertical="center"/>
    </xf>
    <xf numFmtId="3" fontId="27" fillId="0" borderId="169" xfId="1" applyNumberFormat="1" applyFont="1" applyFill="1" applyBorder="1" applyAlignment="1">
      <alignment horizontal="center" vertical="center"/>
    </xf>
    <xf numFmtId="0" fontId="24" fillId="11" borderId="167" xfId="1" applyFont="1" applyFill="1" applyBorder="1" applyAlignment="1">
      <alignment vertical="center"/>
    </xf>
    <xf numFmtId="0" fontId="19" fillId="0" borderId="167" xfId="1" applyFont="1" applyFill="1" applyBorder="1" applyAlignment="1">
      <alignment horizontal="left" vertical="center"/>
    </xf>
    <xf numFmtId="0" fontId="27" fillId="0" borderId="166" xfId="1" applyNumberFormat="1" applyFont="1" applyFill="1" applyBorder="1" applyAlignment="1">
      <alignment horizontal="center" vertical="center"/>
    </xf>
    <xf numFmtId="0" fontId="26" fillId="0" borderId="166" xfId="1" applyNumberFormat="1" applyFont="1" applyFill="1" applyBorder="1" applyAlignment="1">
      <alignment horizontal="center" vertical="center"/>
    </xf>
    <xf numFmtId="0" fontId="19" fillId="0" borderId="169" xfId="1" applyFont="1" applyBorder="1" applyAlignment="1">
      <alignment horizontal="left" vertical="center"/>
    </xf>
    <xf numFmtId="0" fontId="16" fillId="0" borderId="0" xfId="1054" applyAlignment="1">
      <alignment vertical="center"/>
    </xf>
    <xf numFmtId="4" fontId="16" fillId="0" borderId="0" xfId="1054" applyNumberFormat="1" applyAlignment="1">
      <alignment horizontal="center" vertical="center"/>
    </xf>
    <xf numFmtId="0" fontId="16" fillId="0" borderId="0" xfId="1054" applyFont="1" applyAlignment="1">
      <alignment horizontal="center" vertical="center"/>
    </xf>
    <xf numFmtId="0" fontId="16" fillId="0" borderId="0" xfId="1054" applyFont="1"/>
    <xf numFmtId="0" fontId="16" fillId="0" borderId="0" xfId="1054"/>
    <xf numFmtId="49" fontId="18" fillId="40" borderId="0" xfId="0" applyNumberFormat="1" applyFont="1" applyFill="1" applyBorder="1" applyAlignment="1">
      <alignment horizontal="center" vertical="center"/>
    </xf>
    <xf numFmtId="0" fontId="32" fillId="12" borderId="56" xfId="1054" applyFont="1" applyFill="1" applyBorder="1" applyAlignment="1">
      <alignment horizontal="center" vertical="center"/>
    </xf>
    <xf numFmtId="0" fontId="33" fillId="12" borderId="1" xfId="1054" applyFont="1" applyFill="1" applyBorder="1" applyAlignment="1">
      <alignment horizontal="center" vertical="center" wrapText="1"/>
    </xf>
    <xf numFmtId="0" fontId="33" fillId="11" borderId="55" xfId="1054" applyFont="1" applyFill="1" applyBorder="1" applyAlignment="1">
      <alignment horizontal="center" vertical="center" wrapText="1"/>
    </xf>
    <xf numFmtId="0" fontId="33" fillId="11" borderId="56" xfId="1054" applyFont="1" applyFill="1" applyBorder="1" applyAlignment="1">
      <alignment horizontal="center" vertical="center" wrapText="1"/>
    </xf>
    <xf numFmtId="0" fontId="42" fillId="12" borderId="56" xfId="1054" applyFont="1" applyFill="1" applyBorder="1" applyAlignment="1">
      <alignment horizontal="center" vertical="center" wrapText="1"/>
    </xf>
    <xf numFmtId="0" fontId="33" fillId="12" borderId="55" xfId="1054" applyFont="1" applyFill="1" applyBorder="1" applyAlignment="1">
      <alignment horizontal="center" vertical="center" wrapText="1"/>
    </xf>
    <xf numFmtId="0" fontId="33" fillId="12" borderId="56" xfId="1054" applyFont="1" applyFill="1" applyBorder="1" applyAlignment="1">
      <alignment horizontal="center" vertical="center" wrapText="1"/>
    </xf>
    <xf numFmtId="0" fontId="42" fillId="12" borderId="55" xfId="1054" applyFont="1" applyFill="1" applyBorder="1" applyAlignment="1">
      <alignment horizontal="center" vertical="center" wrapText="1"/>
    </xf>
    <xf numFmtId="0" fontId="33" fillId="12" borderId="0" xfId="1054" applyFont="1" applyFill="1" applyBorder="1" applyAlignment="1">
      <alignment horizontal="center" vertical="center" wrapText="1"/>
    </xf>
    <xf numFmtId="0" fontId="163" fillId="0" borderId="0" xfId="0" applyFont="1" applyAlignment="1">
      <alignment horizontal="center" vertical="center"/>
    </xf>
    <xf numFmtId="0" fontId="24" fillId="11" borderId="5" xfId="1054" applyFont="1" applyFill="1" applyBorder="1" applyAlignment="1">
      <alignment horizontal="center" vertical="center"/>
    </xf>
    <xf numFmtId="0" fontId="24" fillId="11" borderId="55" xfId="1054" applyFont="1" applyFill="1" applyBorder="1" applyAlignment="1">
      <alignment vertical="center"/>
    </xf>
    <xf numFmtId="4" fontId="24" fillId="11" borderId="55" xfId="1054" applyNumberFormat="1" applyFont="1" applyFill="1" applyBorder="1" applyAlignment="1">
      <alignment horizontal="center" vertical="center"/>
    </xf>
    <xf numFmtId="4" fontId="24" fillId="11" borderId="56" xfId="1054" applyNumberFormat="1" applyFont="1" applyFill="1" applyBorder="1" applyAlignment="1">
      <alignment horizontal="center" vertical="center"/>
    </xf>
    <xf numFmtId="4" fontId="24" fillId="11" borderId="51" xfId="1054" applyNumberFormat="1" applyFont="1" applyFill="1" applyBorder="1" applyAlignment="1">
      <alignment horizontal="center" vertical="center"/>
    </xf>
    <xf numFmtId="4" fontId="24" fillId="11" borderId="1" xfId="1054" applyNumberFormat="1" applyFont="1" applyFill="1" applyBorder="1" applyAlignment="1">
      <alignment horizontal="center" vertical="center"/>
    </xf>
    <xf numFmtId="4" fontId="24" fillId="11" borderId="0" xfId="1054" applyNumberFormat="1" applyFont="1" applyFill="1" applyBorder="1" applyAlignment="1">
      <alignment horizontal="center" vertical="center"/>
    </xf>
    <xf numFmtId="0" fontId="16" fillId="11" borderId="0" xfId="1054" applyFont="1" applyFill="1" applyAlignment="1">
      <alignment horizontal="center" vertical="center"/>
    </xf>
    <xf numFmtId="0" fontId="164" fillId="11" borderId="0" xfId="1054" applyFont="1" applyFill="1"/>
    <xf numFmtId="0" fontId="20" fillId="11" borderId="0" xfId="1054" applyFont="1" applyFill="1"/>
    <xf numFmtId="4" fontId="24" fillId="0" borderId="6" xfId="1054" applyNumberFormat="1" applyFont="1" applyFill="1" applyBorder="1" applyAlignment="1">
      <alignment vertical="center"/>
    </xf>
    <xf numFmtId="0" fontId="19" fillId="0" borderId="76" xfId="1054" applyFont="1" applyBorder="1" applyAlignment="1">
      <alignment vertical="center"/>
    </xf>
    <xf numFmtId="3" fontId="25" fillId="0" borderId="80" xfId="1054" applyNumberFormat="1" applyFont="1" applyFill="1" applyBorder="1" applyAlignment="1">
      <alignment horizontal="center" vertical="center"/>
    </xf>
    <xf numFmtId="3" fontId="25" fillId="0" borderId="79" xfId="1054" applyNumberFormat="1" applyFont="1" applyFill="1" applyBorder="1" applyAlignment="1">
      <alignment horizontal="center" vertical="center"/>
    </xf>
    <xf numFmtId="3" fontId="27" fillId="0" borderId="79" xfId="128" applyNumberFormat="1" applyFont="1" applyFill="1" applyBorder="1" applyAlignment="1">
      <alignment horizontal="center" vertical="center"/>
    </xf>
    <xf numFmtId="4" fontId="25" fillId="0" borderId="77" xfId="1054" applyNumberFormat="1" applyFont="1" applyFill="1" applyBorder="1" applyAlignment="1">
      <alignment horizontal="center" vertical="center"/>
    </xf>
    <xf numFmtId="4" fontId="64" fillId="0" borderId="77" xfId="1054" applyNumberFormat="1" applyFont="1" applyFill="1" applyBorder="1" applyAlignment="1">
      <alignment horizontal="center" vertical="center"/>
    </xf>
    <xf numFmtId="4" fontId="25" fillId="0" borderId="76" xfId="1054" applyNumberFormat="1" applyFont="1" applyFill="1" applyBorder="1" applyAlignment="1">
      <alignment horizontal="center" vertical="center"/>
    </xf>
    <xf numFmtId="4" fontId="25" fillId="0" borderId="79" xfId="1054" applyNumberFormat="1" applyFont="1" applyFill="1" applyBorder="1" applyAlignment="1">
      <alignment horizontal="center" vertical="center"/>
    </xf>
    <xf numFmtId="4" fontId="110" fillId="0" borderId="79" xfId="1054" applyNumberFormat="1" applyFont="1" applyFill="1" applyBorder="1" applyAlignment="1">
      <alignment horizontal="center" vertical="center"/>
    </xf>
    <xf numFmtId="4" fontId="110" fillId="0" borderId="77" xfId="1054" applyNumberFormat="1" applyFont="1" applyFill="1" applyBorder="1" applyAlignment="1">
      <alignment horizontal="center" vertical="center" wrapText="1"/>
    </xf>
    <xf numFmtId="4" fontId="25" fillId="0" borderId="77" xfId="1054" applyNumberFormat="1" applyFont="1" applyFill="1" applyBorder="1" applyAlignment="1">
      <alignment horizontal="center" vertical="center" wrapText="1"/>
    </xf>
    <xf numFmtId="4" fontId="25" fillId="0" borderId="0" xfId="1054" applyNumberFormat="1" applyFont="1" applyFill="1" applyBorder="1" applyAlignment="1">
      <alignment horizontal="center" vertical="center"/>
    </xf>
    <xf numFmtId="3" fontId="16" fillId="9" borderId="0" xfId="1054" applyNumberFormat="1" applyFont="1" applyFill="1" applyAlignment="1">
      <alignment horizontal="center" vertical="center"/>
    </xf>
    <xf numFmtId="4" fontId="81" fillId="0" borderId="0" xfId="1054" applyNumberFormat="1" applyFont="1" applyFill="1" applyAlignment="1">
      <alignment horizontal="center" vertical="center"/>
    </xf>
    <xf numFmtId="0" fontId="164" fillId="0" borderId="0" xfId="1054" applyFont="1"/>
    <xf numFmtId="0" fontId="20" fillId="0" borderId="0" xfId="1054" applyFont="1"/>
    <xf numFmtId="0" fontId="24" fillId="0" borderId="6" xfId="1054" applyFont="1" applyFill="1" applyBorder="1" applyAlignment="1">
      <alignment vertical="center"/>
    </xf>
    <xf numFmtId="0" fontId="19" fillId="0" borderId="86" xfId="1054" applyFont="1" applyBorder="1" applyAlignment="1">
      <alignment horizontal="left" vertical="center"/>
    </xf>
    <xf numFmtId="3" fontId="25" fillId="0" borderId="126" xfId="1054" applyNumberFormat="1" applyFont="1" applyFill="1" applyBorder="1" applyAlignment="1">
      <alignment horizontal="center" vertical="center"/>
    </xf>
    <xf numFmtId="3" fontId="25" fillId="0" borderId="127" xfId="1054" applyNumberFormat="1" applyFont="1" applyFill="1" applyBorder="1" applyAlignment="1">
      <alignment horizontal="center" vertical="center"/>
    </xf>
    <xf numFmtId="4" fontId="25" fillId="0" borderId="110" xfId="1054" applyNumberFormat="1" applyFont="1" applyFill="1" applyBorder="1" applyAlignment="1">
      <alignment horizontal="center" vertical="center"/>
    </xf>
    <xf numFmtId="4" fontId="25" fillId="0" borderId="36" xfId="1054" applyNumberFormat="1" applyFont="1" applyFill="1" applyBorder="1" applyAlignment="1">
      <alignment horizontal="center" vertical="center"/>
    </xf>
    <xf numFmtId="4" fontId="25" fillId="0" borderId="86" xfId="1054" applyNumberFormat="1" applyFont="1" applyFill="1" applyBorder="1" applyAlignment="1">
      <alignment horizontal="center" vertical="center"/>
    </xf>
    <xf numFmtId="3" fontId="16" fillId="0" borderId="0" xfId="1054" applyNumberFormat="1" applyFont="1" applyAlignment="1">
      <alignment horizontal="center" vertical="center"/>
    </xf>
    <xf numFmtId="3" fontId="24" fillId="11" borderId="55" xfId="1054" applyNumberFormat="1" applyFont="1" applyFill="1" applyBorder="1" applyAlignment="1">
      <alignment horizontal="center" vertical="center"/>
    </xf>
    <xf numFmtId="3" fontId="24" fillId="11" borderId="56" xfId="1054" applyNumberFormat="1" applyFont="1" applyFill="1" applyBorder="1" applyAlignment="1">
      <alignment horizontal="center" vertical="center"/>
    </xf>
    <xf numFmtId="0" fontId="19" fillId="0" borderId="63" xfId="1054" applyFont="1" applyBorder="1" applyAlignment="1">
      <alignment vertical="center"/>
    </xf>
    <xf numFmtId="3" fontId="27" fillId="0" borderId="19" xfId="1054" applyNumberFormat="1" applyFont="1" applyFill="1" applyBorder="1" applyAlignment="1">
      <alignment horizontal="center" vertical="center"/>
    </xf>
    <xf numFmtId="3" fontId="27" fillId="0" borderId="62" xfId="1054" applyNumberFormat="1" applyFont="1" applyFill="1" applyBorder="1" applyAlignment="1">
      <alignment horizontal="center" vertical="center"/>
    </xf>
    <xf numFmtId="3" fontId="27" fillId="0" borderId="63" xfId="128" applyNumberFormat="1" applyFont="1" applyFill="1" applyBorder="1" applyAlignment="1">
      <alignment horizontal="center" vertical="center"/>
    </xf>
    <xf numFmtId="4" fontId="25" fillId="0" borderId="58" xfId="1054" applyNumberFormat="1" applyFont="1" applyFill="1" applyBorder="1" applyAlignment="1">
      <alignment horizontal="center" vertical="center"/>
    </xf>
    <xf numFmtId="3" fontId="25" fillId="0" borderId="58" xfId="1054" applyNumberFormat="1" applyFont="1" applyFill="1" applyBorder="1" applyAlignment="1">
      <alignment horizontal="center" vertical="center"/>
    </xf>
    <xf numFmtId="4" fontId="25" fillId="0" borderId="58" xfId="1054" applyNumberFormat="1" applyFont="1" applyFill="1" applyBorder="1" applyAlignment="1">
      <alignment horizontal="center" vertical="center" wrapText="1"/>
    </xf>
    <xf numFmtId="4" fontId="25" fillId="0" borderId="19" xfId="1054" applyNumberFormat="1" applyFont="1" applyFill="1" applyBorder="1" applyAlignment="1">
      <alignment horizontal="center" vertical="center" wrapText="1"/>
    </xf>
    <xf numFmtId="4" fontId="25" fillId="0" borderId="63" xfId="1054" applyNumberFormat="1" applyFont="1" applyFill="1" applyBorder="1" applyAlignment="1">
      <alignment horizontal="center" vertical="center"/>
    </xf>
    <xf numFmtId="3" fontId="25" fillId="0" borderId="77" xfId="1054" applyNumberFormat="1" applyFont="1" applyFill="1" applyBorder="1" applyAlignment="1">
      <alignment horizontal="center" vertical="center"/>
    </xf>
    <xf numFmtId="9" fontId="27" fillId="0" borderId="0" xfId="7" applyFont="1" applyFill="1" applyBorder="1" applyAlignment="1">
      <alignment horizontal="center" vertical="center"/>
    </xf>
    <xf numFmtId="0" fontId="19" fillId="0" borderId="79" xfId="1054" applyFont="1" applyBorder="1" applyAlignment="1">
      <alignment vertical="center"/>
    </xf>
    <xf numFmtId="3" fontId="27" fillId="0" borderId="76" xfId="1054" applyNumberFormat="1" applyFont="1" applyFill="1" applyBorder="1" applyAlignment="1">
      <alignment horizontal="center" vertical="center"/>
    </xf>
    <xf numFmtId="3" fontId="27" fillId="0" borderId="80" xfId="1054" applyNumberFormat="1" applyFont="1" applyFill="1" applyBorder="1" applyAlignment="1">
      <alignment horizontal="center" vertical="center"/>
    </xf>
    <xf numFmtId="4" fontId="25" fillId="0" borderId="76" xfId="1054" applyNumberFormat="1" applyFont="1" applyFill="1" applyBorder="1" applyAlignment="1">
      <alignment horizontal="center" vertical="center" wrapText="1"/>
    </xf>
    <xf numFmtId="0" fontId="19" fillId="0" borderId="124" xfId="1054" applyFont="1" applyBorder="1" applyAlignment="1">
      <alignment vertical="center"/>
    </xf>
    <xf numFmtId="3" fontId="27" fillId="0" borderId="123" xfId="1054" applyNumberFormat="1" applyFont="1" applyFill="1" applyBorder="1" applyAlignment="1">
      <alignment horizontal="center" vertical="center"/>
    </xf>
    <xf numFmtId="3" fontId="24" fillId="0" borderId="6" xfId="1054" applyNumberFormat="1" applyFont="1" applyFill="1" applyBorder="1" applyAlignment="1">
      <alignment vertical="center"/>
    </xf>
    <xf numFmtId="4" fontId="84" fillId="13" borderId="79" xfId="1054" applyNumberFormat="1" applyFont="1" applyFill="1" applyBorder="1" applyAlignment="1">
      <alignment horizontal="center" vertical="center"/>
    </xf>
    <xf numFmtId="4" fontId="84" fillId="13" borderId="77" xfId="1054" applyNumberFormat="1" applyFont="1" applyFill="1" applyBorder="1" applyAlignment="1">
      <alignment horizontal="center" vertical="center"/>
    </xf>
    <xf numFmtId="3" fontId="84" fillId="13" borderId="77" xfId="1054" applyNumberFormat="1" applyFont="1" applyFill="1" applyBorder="1" applyAlignment="1">
      <alignment horizontal="center" vertical="center"/>
    </xf>
    <xf numFmtId="4" fontId="84" fillId="13" borderId="77" xfId="1054" applyNumberFormat="1" applyFont="1" applyFill="1" applyBorder="1" applyAlignment="1">
      <alignment horizontal="center" vertical="center" wrapText="1"/>
    </xf>
    <xf numFmtId="3" fontId="16" fillId="19" borderId="0" xfId="1054" applyNumberFormat="1" applyFont="1" applyFill="1" applyAlignment="1">
      <alignment horizontal="center" vertical="center"/>
    </xf>
    <xf numFmtId="4" fontId="81" fillId="34" borderId="0" xfId="1054" applyNumberFormat="1" applyFont="1" applyFill="1" applyAlignment="1">
      <alignment horizontal="center" vertical="center"/>
    </xf>
    <xf numFmtId="3" fontId="27" fillId="0" borderId="102" xfId="1054" applyNumberFormat="1" applyFont="1" applyFill="1" applyBorder="1" applyAlignment="1">
      <alignment horizontal="center" vertical="center"/>
    </xf>
    <xf numFmtId="4" fontId="16" fillId="0" borderId="0" xfId="1054" applyNumberFormat="1" applyFont="1" applyAlignment="1">
      <alignment horizontal="center" vertical="center"/>
    </xf>
    <xf numFmtId="4" fontId="110" fillId="9" borderId="79" xfId="1054" applyNumberFormat="1" applyFont="1" applyFill="1" applyBorder="1" applyAlignment="1">
      <alignment horizontal="center" vertical="center"/>
    </xf>
    <xf numFmtId="4" fontId="164" fillId="0" borderId="0" xfId="1054" applyNumberFormat="1" applyFont="1"/>
    <xf numFmtId="0" fontId="19" fillId="0" borderId="124" xfId="1054" applyFont="1" applyFill="1" applyBorder="1" applyAlignment="1">
      <alignment vertical="center"/>
    </xf>
    <xf numFmtId="3" fontId="16" fillId="0" borderId="0" xfId="1054" applyNumberFormat="1" applyFont="1" applyFill="1" applyAlignment="1">
      <alignment horizontal="center" vertical="center"/>
    </xf>
    <xf numFmtId="0" fontId="164" fillId="0" borderId="0" xfId="1054" applyFont="1" applyFill="1"/>
    <xf numFmtId="0" fontId="20" fillId="0" borderId="0" xfId="1054" applyFont="1" applyFill="1"/>
    <xf numFmtId="3" fontId="27" fillId="5" borderId="124" xfId="1054" applyNumberFormat="1" applyFont="1" applyFill="1" applyBorder="1" applyAlignment="1">
      <alignment horizontal="center" vertical="center"/>
    </xf>
    <xf numFmtId="0" fontId="19" fillId="0" borderId="127" xfId="1054" applyFont="1" applyBorder="1" applyAlignment="1">
      <alignment vertical="center"/>
    </xf>
    <xf numFmtId="3" fontId="27" fillId="0" borderId="86" xfId="1054" applyNumberFormat="1" applyFont="1" applyFill="1" applyBorder="1" applyAlignment="1">
      <alignment horizontal="center" vertical="center"/>
    </xf>
    <xf numFmtId="3" fontId="27" fillId="0" borderId="126" xfId="1054" applyNumberFormat="1" applyFont="1" applyFill="1" applyBorder="1" applyAlignment="1">
      <alignment horizontal="center" vertical="center"/>
    </xf>
    <xf numFmtId="9" fontId="26" fillId="0" borderId="102" xfId="7" applyFont="1" applyFill="1" applyBorder="1" applyAlignment="1">
      <alignment horizontal="center" vertical="center"/>
    </xf>
    <xf numFmtId="0" fontId="19" fillId="0" borderId="165" xfId="1054" applyFont="1" applyBorder="1" applyAlignment="1">
      <alignment vertical="center"/>
    </xf>
    <xf numFmtId="3" fontId="27" fillId="0" borderId="118" xfId="1054" applyNumberFormat="1" applyFont="1" applyFill="1" applyBorder="1" applyAlignment="1">
      <alignment horizontal="center" vertical="center"/>
    </xf>
    <xf numFmtId="3" fontId="27" fillId="0" borderId="119" xfId="1054" applyNumberFormat="1" applyFont="1" applyFill="1" applyBorder="1" applyAlignment="1">
      <alignment horizontal="center" vertical="center"/>
    </xf>
    <xf numFmtId="3" fontId="27" fillId="0" borderId="7" xfId="128" applyNumberFormat="1" applyFont="1" applyFill="1" applyBorder="1" applyAlignment="1">
      <alignment horizontal="center" vertical="center"/>
    </xf>
    <xf numFmtId="4" fontId="25" fillId="0" borderId="20" xfId="1054" applyNumberFormat="1" applyFont="1" applyFill="1" applyBorder="1" applyAlignment="1">
      <alignment horizontal="center" vertical="center"/>
    </xf>
    <xf numFmtId="3" fontId="25" fillId="0" borderId="20" xfId="1054" applyNumberFormat="1" applyFont="1" applyFill="1" applyBorder="1" applyAlignment="1">
      <alignment horizontal="center" vertical="center"/>
    </xf>
    <xf numFmtId="9" fontId="26" fillId="0" borderId="118" xfId="7" applyFont="1" applyFill="1" applyBorder="1" applyAlignment="1">
      <alignment horizontal="center" vertical="center"/>
    </xf>
    <xf numFmtId="4" fontId="25" fillId="0" borderId="7" xfId="1054" applyNumberFormat="1" applyFont="1" applyFill="1" applyBorder="1" applyAlignment="1">
      <alignment horizontal="center" vertical="center"/>
    </xf>
    <xf numFmtId="4" fontId="25" fillId="0" borderId="165" xfId="1054" applyNumberFormat="1" applyFont="1" applyFill="1" applyBorder="1" applyAlignment="1">
      <alignment horizontal="center" vertical="center"/>
    </xf>
    <xf numFmtId="4" fontId="25" fillId="0" borderId="125" xfId="1054" applyNumberFormat="1" applyFont="1" applyFill="1" applyBorder="1" applyAlignment="1">
      <alignment horizontal="center" vertical="center"/>
    </xf>
    <xf numFmtId="3" fontId="25" fillId="0" borderId="125" xfId="1054" applyNumberFormat="1" applyFont="1" applyFill="1" applyBorder="1" applyAlignment="1">
      <alignment horizontal="center" vertical="center"/>
    </xf>
    <xf numFmtId="0" fontId="19" fillId="0" borderId="76" xfId="1054" applyFont="1" applyBorder="1" applyAlignment="1">
      <alignment horizontal="left" vertical="center"/>
    </xf>
    <xf numFmtId="4" fontId="26" fillId="0" borderId="80" xfId="1054" applyNumberFormat="1" applyFont="1" applyFill="1" applyBorder="1" applyAlignment="1">
      <alignment horizontal="center" vertical="center"/>
    </xf>
    <xf numFmtId="4" fontId="26" fillId="0" borderId="79" xfId="1054" applyNumberFormat="1" applyFont="1" applyFill="1" applyBorder="1" applyAlignment="1">
      <alignment horizontal="center" vertical="center"/>
    </xf>
    <xf numFmtId="10" fontId="26" fillId="0" borderId="77" xfId="1054" applyNumberFormat="1" applyFont="1" applyFill="1" applyBorder="1" applyAlignment="1">
      <alignment horizontal="center" vertical="center"/>
    </xf>
    <xf numFmtId="10" fontId="39" fillId="0" borderId="77" xfId="1054" applyNumberFormat="1" applyFont="1" applyFill="1" applyBorder="1" applyAlignment="1">
      <alignment horizontal="center" vertical="center"/>
    </xf>
    <xf numFmtId="10" fontId="26" fillId="0" borderId="76" xfId="1054" applyNumberFormat="1" applyFont="1" applyFill="1" applyBorder="1" applyAlignment="1">
      <alignment horizontal="center" vertical="center"/>
    </xf>
    <xf numFmtId="10" fontId="26" fillId="0" borderId="0" xfId="1054" applyNumberFormat="1" applyFont="1" applyFill="1" applyBorder="1" applyAlignment="1">
      <alignment horizontal="center" vertical="center"/>
    </xf>
    <xf numFmtId="0" fontId="24" fillId="11" borderId="102" xfId="1054" applyFont="1" applyFill="1" applyBorder="1" applyAlignment="1">
      <alignment vertical="center"/>
    </xf>
    <xf numFmtId="4" fontId="24" fillId="11" borderId="123" xfId="1054" applyNumberFormat="1" applyFont="1" applyFill="1" applyBorder="1" applyAlignment="1">
      <alignment horizontal="center" vertical="center"/>
    </xf>
    <xf numFmtId="4" fontId="24" fillId="11" borderId="124" xfId="1054" applyNumberFormat="1" applyFont="1" applyFill="1" applyBorder="1" applyAlignment="1">
      <alignment horizontal="center" vertical="center"/>
    </xf>
    <xf numFmtId="4" fontId="29" fillId="11" borderId="124" xfId="1054" applyNumberFormat="1" applyFont="1" applyFill="1" applyBorder="1" applyAlignment="1">
      <alignment horizontal="center" vertical="center"/>
    </xf>
    <xf numFmtId="4" fontId="65" fillId="11" borderId="124" xfId="1054" applyNumberFormat="1" applyFont="1" applyFill="1" applyBorder="1" applyAlignment="1">
      <alignment horizontal="center" vertical="center"/>
    </xf>
    <xf numFmtId="4" fontId="29" fillId="11" borderId="123" xfId="1054" applyNumberFormat="1" applyFont="1" applyFill="1" applyBorder="1" applyAlignment="1">
      <alignment horizontal="center" vertical="center"/>
    </xf>
    <xf numFmtId="4" fontId="65" fillId="11" borderId="123" xfId="1054" applyNumberFormat="1" applyFont="1" applyFill="1" applyBorder="1" applyAlignment="1">
      <alignment horizontal="center" vertical="center"/>
    </xf>
    <xf numFmtId="4" fontId="16" fillId="11" borderId="0" xfId="1054" applyNumberFormat="1" applyFont="1" applyFill="1" applyAlignment="1">
      <alignment horizontal="center" vertical="center"/>
    </xf>
    <xf numFmtId="0" fontId="19" fillId="0" borderId="102" xfId="1054" applyFont="1" applyFill="1" applyBorder="1" applyAlignment="1">
      <alignment horizontal="left" vertical="center"/>
    </xf>
    <xf numFmtId="4" fontId="27" fillId="0" borderId="123" xfId="1054" applyNumberFormat="1" applyFont="1" applyFill="1" applyBorder="1" applyAlignment="1">
      <alignment horizontal="center" vertical="center"/>
    </xf>
    <xf numFmtId="4" fontId="27" fillId="0" borderId="124" xfId="1054" applyNumberFormat="1" applyFont="1" applyFill="1" applyBorder="1" applyAlignment="1">
      <alignment horizontal="center" vertical="center"/>
    </xf>
    <xf numFmtId="0" fontId="26" fillId="0" borderId="122" xfId="1054" applyNumberFormat="1" applyFont="1" applyFill="1" applyBorder="1" applyAlignment="1">
      <alignment horizontal="center" vertical="center"/>
    </xf>
    <xf numFmtId="0" fontId="26" fillId="0" borderId="102" xfId="1054" applyNumberFormat="1" applyFont="1" applyFill="1" applyBorder="1" applyAlignment="1">
      <alignment horizontal="center" vertical="center"/>
    </xf>
    <xf numFmtId="0" fontId="27" fillId="0" borderId="122" xfId="1054" applyNumberFormat="1" applyFont="1" applyFill="1" applyBorder="1" applyAlignment="1">
      <alignment horizontal="center" vertical="center"/>
    </xf>
    <xf numFmtId="0" fontId="27" fillId="0" borderId="0" xfId="1054" applyNumberFormat="1" applyFont="1" applyFill="1" applyBorder="1" applyAlignment="1">
      <alignment horizontal="center" vertical="center"/>
    </xf>
    <xf numFmtId="0" fontId="16" fillId="0" borderId="0" xfId="1054" applyFont="1" applyFill="1" applyAlignment="1">
      <alignment horizontal="center" vertical="center"/>
    </xf>
    <xf numFmtId="4" fontId="16" fillId="0" borderId="0" xfId="1054" applyNumberFormat="1" applyFont="1" applyFill="1" applyAlignment="1">
      <alignment horizontal="center" vertical="center"/>
    </xf>
    <xf numFmtId="0" fontId="19" fillId="0" borderId="118" xfId="1054" applyFont="1" applyBorder="1" applyAlignment="1">
      <alignment horizontal="left" vertical="center"/>
    </xf>
    <xf numFmtId="4" fontId="27" fillId="0" borderId="119" xfId="1054" applyNumberFormat="1" applyFont="1" applyFill="1" applyBorder="1" applyAlignment="1">
      <alignment horizontal="center" vertical="center"/>
    </xf>
    <xf numFmtId="4" fontId="27" fillId="0" borderId="165" xfId="1054" applyNumberFormat="1" applyFont="1" applyFill="1" applyBorder="1" applyAlignment="1">
      <alignment horizontal="center" vertical="center"/>
    </xf>
    <xf numFmtId="10" fontId="27" fillId="0" borderId="125" xfId="1054" applyNumberFormat="1" applyFont="1" applyFill="1" applyBorder="1" applyAlignment="1">
      <alignment horizontal="center" vertical="center"/>
    </xf>
    <xf numFmtId="10" fontId="36" fillId="0" borderId="125" xfId="1054" applyNumberFormat="1" applyFont="1" applyFill="1" applyBorder="1" applyAlignment="1">
      <alignment horizontal="center" vertical="center"/>
    </xf>
    <xf numFmtId="10" fontId="26" fillId="0" borderId="125" xfId="1054" applyNumberFormat="1" applyFont="1" applyFill="1" applyBorder="1" applyAlignment="1">
      <alignment horizontal="center" vertical="center"/>
    </xf>
    <xf numFmtId="10" fontId="36" fillId="0" borderId="36" xfId="1054" applyNumberFormat="1" applyFont="1" applyFill="1" applyBorder="1" applyAlignment="1">
      <alignment horizontal="center" vertical="center"/>
    </xf>
    <xf numFmtId="10" fontId="26" fillId="0" borderId="118" xfId="1054" applyNumberFormat="1" applyFont="1" applyFill="1" applyBorder="1" applyAlignment="1">
      <alignment horizontal="center" vertical="center"/>
    </xf>
    <xf numFmtId="10" fontId="27" fillId="0" borderId="0" xfId="1054" applyNumberFormat="1" applyFont="1" applyFill="1" applyBorder="1" applyAlignment="1">
      <alignment horizontal="center" vertical="center"/>
    </xf>
    <xf numFmtId="0" fontId="24" fillId="0" borderId="56" xfId="1054" applyFont="1" applyBorder="1" applyAlignment="1">
      <alignment horizontal="center" vertical="center"/>
    </xf>
    <xf numFmtId="0" fontId="24" fillId="6" borderId="1" xfId="1054" applyFont="1" applyFill="1" applyBorder="1" applyAlignment="1">
      <alignment vertical="center"/>
    </xf>
    <xf numFmtId="4" fontId="20" fillId="6" borderId="56" xfId="1054" applyNumberFormat="1" applyFont="1" applyFill="1" applyBorder="1" applyAlignment="1">
      <alignment horizontal="center" vertical="center"/>
    </xf>
    <xf numFmtId="4" fontId="37" fillId="6" borderId="56" xfId="1054" applyNumberFormat="1" applyFont="1" applyFill="1" applyBorder="1" applyAlignment="1">
      <alignment horizontal="center" vertical="center"/>
    </xf>
    <xf numFmtId="4" fontId="35" fillId="6" borderId="56" xfId="1054" applyNumberFormat="1" applyFont="1" applyFill="1" applyBorder="1" applyAlignment="1">
      <alignment horizontal="center" vertical="center"/>
    </xf>
    <xf numFmtId="4" fontId="35" fillId="6" borderId="55" xfId="1054" applyNumberFormat="1" applyFont="1" applyFill="1" applyBorder="1" applyAlignment="1">
      <alignment horizontal="center" vertical="center"/>
    </xf>
    <xf numFmtId="4" fontId="20" fillId="6" borderId="0" xfId="1054" applyNumberFormat="1" applyFont="1" applyFill="1" applyBorder="1" applyAlignment="1">
      <alignment horizontal="center" vertical="center"/>
    </xf>
    <xf numFmtId="0" fontId="24" fillId="0" borderId="5" xfId="1054" applyFont="1" applyBorder="1" applyAlignment="1">
      <alignment horizontal="center" vertical="center"/>
    </xf>
    <xf numFmtId="0" fontId="24" fillId="3" borderId="19" xfId="1054" applyFont="1" applyFill="1" applyBorder="1" applyAlignment="1">
      <alignment vertical="center"/>
    </xf>
    <xf numFmtId="10" fontId="29" fillId="3" borderId="63" xfId="1054" applyNumberFormat="1" applyFont="1" applyFill="1" applyBorder="1" applyAlignment="1">
      <alignment horizontal="center" vertical="center"/>
    </xf>
    <xf numFmtId="10" fontId="24" fillId="3" borderId="62" xfId="1054" applyNumberFormat="1" applyFont="1" applyFill="1" applyBorder="1" applyAlignment="1">
      <alignment horizontal="center" vertical="center"/>
    </xf>
    <xf numFmtId="10" fontId="24" fillId="3" borderId="63" xfId="1054" applyNumberFormat="1" applyFont="1" applyFill="1" applyBorder="1" applyAlignment="1">
      <alignment horizontal="center" vertical="center"/>
    </xf>
    <xf numFmtId="10" fontId="65" fillId="3" borderId="63" xfId="1054" applyNumberFormat="1" applyFont="1" applyFill="1" applyBorder="1" applyAlignment="1">
      <alignment horizontal="center" vertical="center"/>
    </xf>
    <xf numFmtId="10" fontId="29" fillId="3" borderId="62" xfId="1054" applyNumberFormat="1" applyFont="1" applyFill="1" applyBorder="1" applyAlignment="1">
      <alignment horizontal="center" vertical="center"/>
    </xf>
    <xf numFmtId="10" fontId="65" fillId="3" borderId="62" xfId="1054" applyNumberFormat="1" applyFont="1" applyFill="1" applyBorder="1" applyAlignment="1">
      <alignment horizontal="center" vertical="center"/>
    </xf>
    <xf numFmtId="10" fontId="24" fillId="3" borderId="0" xfId="1054" applyNumberFormat="1" applyFont="1" applyFill="1" applyBorder="1" applyAlignment="1">
      <alignment horizontal="center" vertical="center"/>
    </xf>
    <xf numFmtId="0" fontId="24" fillId="0" borderId="7" xfId="1054" applyFont="1" applyBorder="1" applyAlignment="1">
      <alignment horizontal="center" vertical="center"/>
    </xf>
    <xf numFmtId="0" fontId="24" fillId="0" borderId="118" xfId="1054" applyFont="1" applyFill="1" applyBorder="1" applyAlignment="1">
      <alignment vertical="center"/>
    </xf>
    <xf numFmtId="10" fontId="24" fillId="0" borderId="119" xfId="1054" applyNumberFormat="1" applyFont="1" applyFill="1" applyBorder="1" applyAlignment="1">
      <alignment horizontal="center" vertical="center"/>
    </xf>
    <xf numFmtId="10" fontId="24" fillId="0" borderId="165" xfId="1054" applyNumberFormat="1" applyFont="1" applyFill="1" applyBorder="1" applyAlignment="1">
      <alignment horizontal="center" vertical="center"/>
    </xf>
    <xf numFmtId="10" fontId="24" fillId="0" borderId="125" xfId="1054" applyNumberFormat="1" applyFont="1" applyFill="1" applyBorder="1" applyAlignment="1">
      <alignment horizontal="center" vertical="center"/>
    </xf>
    <xf numFmtId="10" fontId="29" fillId="0" borderId="125" xfId="1054" applyNumberFormat="1" applyFont="1" applyFill="1" applyBorder="1" applyAlignment="1">
      <alignment horizontal="center" vertical="center"/>
    </xf>
    <xf numFmtId="10" fontId="65" fillId="0" borderId="125" xfId="1054" applyNumberFormat="1" applyFont="1" applyFill="1" applyBorder="1" applyAlignment="1">
      <alignment horizontal="center" vertical="center"/>
    </xf>
    <xf numFmtId="10" fontId="65" fillId="0" borderId="118" xfId="1054" applyNumberFormat="1" applyFont="1" applyFill="1" applyBorder="1" applyAlignment="1">
      <alignment horizontal="center" vertical="center"/>
    </xf>
    <xf numFmtId="10" fontId="24" fillId="0" borderId="0" xfId="1054" applyNumberFormat="1" applyFont="1" applyFill="1" applyBorder="1" applyAlignment="1">
      <alignment horizontal="center" vertical="center"/>
    </xf>
    <xf numFmtId="0" fontId="22" fillId="0" borderId="6" xfId="1054" applyFont="1" applyBorder="1" applyAlignment="1">
      <alignment horizontal="center" vertical="center"/>
    </xf>
    <xf numFmtId="0" fontId="24" fillId="4" borderId="76" xfId="1054" applyFont="1" applyFill="1" applyBorder="1" applyAlignment="1">
      <alignment vertical="center"/>
    </xf>
    <xf numFmtId="3" fontId="24" fillId="4" borderId="80" xfId="1054" applyNumberFormat="1" applyFont="1" applyFill="1" applyBorder="1" applyAlignment="1">
      <alignment horizontal="center" vertical="center"/>
    </xf>
    <xf numFmtId="3" fontId="24" fillId="4" borderId="79" xfId="1054" applyNumberFormat="1" applyFont="1" applyFill="1" applyBorder="1" applyAlignment="1">
      <alignment horizontal="center" vertical="center"/>
    </xf>
    <xf numFmtId="4" fontId="65" fillId="4" borderId="63" xfId="1054" applyNumberFormat="1" applyFont="1" applyFill="1" applyBorder="1" applyAlignment="1">
      <alignment horizontal="center" vertical="center"/>
    </xf>
    <xf numFmtId="4" fontId="65" fillId="4" borderId="62" xfId="1054" applyNumberFormat="1" applyFont="1" applyFill="1" applyBorder="1" applyAlignment="1">
      <alignment horizontal="center" vertical="center"/>
    </xf>
    <xf numFmtId="4" fontId="24" fillId="4" borderId="63" xfId="1054" applyNumberFormat="1" applyFont="1" applyFill="1" applyBorder="1" applyAlignment="1">
      <alignment horizontal="center" vertical="center"/>
    </xf>
    <xf numFmtId="4" fontId="24" fillId="4" borderId="0" xfId="1054" applyNumberFormat="1" applyFont="1" applyFill="1" applyBorder="1" applyAlignment="1">
      <alignment horizontal="center" vertical="center"/>
    </xf>
    <xf numFmtId="0" fontId="19" fillId="0" borderId="102" xfId="1054" applyFont="1" applyFill="1" applyBorder="1" applyAlignment="1">
      <alignment vertical="center"/>
    </xf>
    <xf numFmtId="3" fontId="27" fillId="0" borderId="124" xfId="1054" applyNumberFormat="1" applyFont="1" applyFill="1" applyBorder="1" applyAlignment="1">
      <alignment horizontal="center" vertical="center"/>
    </xf>
    <xf numFmtId="3" fontId="27" fillId="0" borderId="124" xfId="128" applyNumberFormat="1" applyFont="1" applyFill="1" applyBorder="1" applyAlignment="1">
      <alignment horizontal="center" vertical="center"/>
    </xf>
    <xf numFmtId="3" fontId="84" fillId="13" borderId="79" xfId="128" applyNumberFormat="1" applyFont="1" applyFill="1" applyBorder="1" applyAlignment="1">
      <alignment horizontal="center" vertical="center"/>
    </xf>
    <xf numFmtId="9" fontId="84" fillId="13" borderId="122" xfId="7" applyFont="1" applyFill="1" applyBorder="1" applyAlignment="1">
      <alignment horizontal="center" vertical="center"/>
    </xf>
    <xf numFmtId="4" fontId="110" fillId="0" borderId="77" xfId="1054" applyNumberFormat="1" applyFont="1" applyFill="1" applyBorder="1" applyAlignment="1">
      <alignment horizontal="center" vertical="center"/>
    </xf>
    <xf numFmtId="0" fontId="19" fillId="0" borderId="86" xfId="1054" applyFont="1" applyFill="1" applyBorder="1" applyAlignment="1">
      <alignment vertical="center"/>
    </xf>
    <xf numFmtId="3" fontId="27" fillId="0" borderId="127" xfId="1054" applyNumberFormat="1" applyFont="1" applyFill="1" applyBorder="1" applyAlignment="1">
      <alignment horizontal="center" vertical="center"/>
    </xf>
    <xf numFmtId="3" fontId="27" fillId="0" borderId="110" xfId="1054" applyNumberFormat="1" applyFont="1" applyFill="1" applyBorder="1" applyAlignment="1">
      <alignment horizontal="center" vertical="center"/>
    </xf>
    <xf numFmtId="10" fontId="36" fillId="0" borderId="110" xfId="1054" applyNumberFormat="1" applyFont="1" applyFill="1" applyBorder="1" applyAlignment="1">
      <alignment horizontal="center" vertical="center"/>
    </xf>
    <xf numFmtId="0" fontId="24" fillId="4" borderId="19" xfId="1054" applyFont="1" applyFill="1" applyBorder="1" applyAlignment="1">
      <alignment vertical="center"/>
    </xf>
    <xf numFmtId="3" fontId="24" fillId="4" borderId="62" xfId="1054" applyNumberFormat="1" applyFont="1" applyFill="1" applyBorder="1" applyAlignment="1">
      <alignment horizontal="center" vertical="center"/>
    </xf>
    <xf numFmtId="0" fontId="24" fillId="0" borderId="6" xfId="1054" applyFont="1" applyFill="1" applyBorder="1" applyAlignment="1">
      <alignment horizontal="center" vertical="center"/>
    </xf>
    <xf numFmtId="0" fontId="36" fillId="0" borderId="122" xfId="1054" applyNumberFormat="1" applyFont="1" applyFill="1" applyBorder="1" applyAlignment="1">
      <alignment horizontal="center" vertical="center"/>
    </xf>
    <xf numFmtId="0" fontId="36" fillId="0" borderId="77" xfId="1054" applyNumberFormat="1" applyFont="1" applyFill="1" applyBorder="1" applyAlignment="1">
      <alignment horizontal="center" vertical="center"/>
    </xf>
    <xf numFmtId="0" fontId="16" fillId="0" borderId="0" xfId="1054" applyFont="1" applyFill="1"/>
    <xf numFmtId="0" fontId="16" fillId="0" borderId="0" xfId="1054" applyFill="1"/>
    <xf numFmtId="0" fontId="24" fillId="0" borderId="7" xfId="1054" applyFont="1" applyBorder="1" applyAlignment="1">
      <alignment vertical="center"/>
    </xf>
    <xf numFmtId="0" fontId="19" fillId="0" borderId="118" xfId="1054" applyFont="1" applyBorder="1" applyAlignment="1">
      <alignment vertical="center"/>
    </xf>
    <xf numFmtId="3" fontId="26" fillId="5" borderId="119" xfId="1054" applyNumberFormat="1" applyFont="1" applyFill="1" applyBorder="1" applyAlignment="1">
      <alignment horizontal="center" vertical="center"/>
    </xf>
    <xf numFmtId="3" fontId="26" fillId="5" borderId="165" xfId="1054" applyNumberFormat="1" applyFont="1" applyFill="1" applyBorder="1" applyAlignment="1">
      <alignment horizontal="center" vertical="center"/>
    </xf>
    <xf numFmtId="3" fontId="26" fillId="5" borderId="125" xfId="1054" applyNumberFormat="1" applyFont="1" applyFill="1" applyBorder="1" applyAlignment="1">
      <alignment horizontal="center" vertical="center"/>
    </xf>
    <xf numFmtId="10" fontId="39" fillId="5" borderId="125" xfId="1054" applyNumberFormat="1" applyFont="1" applyFill="1" applyBorder="1" applyAlignment="1">
      <alignment horizontal="center" vertical="center"/>
    </xf>
    <xf numFmtId="10" fontId="26" fillId="5" borderId="125" xfId="1054" applyNumberFormat="1" applyFont="1" applyFill="1" applyBorder="1" applyAlignment="1">
      <alignment horizontal="center" vertical="center"/>
    </xf>
    <xf numFmtId="10" fontId="39" fillId="5" borderId="36" xfId="1054" applyNumberFormat="1" applyFont="1" applyFill="1" applyBorder="1" applyAlignment="1">
      <alignment horizontal="center" vertical="center"/>
    </xf>
    <xf numFmtId="10" fontId="26" fillId="5" borderId="118" xfId="1054" applyNumberFormat="1" applyFont="1" applyFill="1" applyBorder="1" applyAlignment="1">
      <alignment horizontal="center" vertical="center"/>
    </xf>
    <xf numFmtId="10" fontId="26" fillId="5" borderId="0" xfId="1054" applyNumberFormat="1" applyFont="1" applyFill="1" applyBorder="1" applyAlignment="1">
      <alignment horizontal="center" vertical="center"/>
    </xf>
    <xf numFmtId="0" fontId="24" fillId="0" borderId="5" xfId="1054" applyFont="1" applyBorder="1" applyAlignment="1">
      <alignment vertical="center"/>
    </xf>
    <xf numFmtId="3" fontId="24" fillId="4" borderId="63" xfId="1054" applyNumberFormat="1" applyFont="1" applyFill="1" applyBorder="1" applyAlignment="1">
      <alignment horizontal="center" vertical="center"/>
    </xf>
    <xf numFmtId="0" fontId="24" fillId="0" borderId="6" xfId="1054" applyFont="1" applyBorder="1" applyAlignment="1">
      <alignment vertical="center"/>
    </xf>
    <xf numFmtId="0" fontId="19" fillId="0" borderId="102" xfId="1054" applyFont="1" applyFill="1" applyBorder="1" applyAlignment="1">
      <alignment horizontal="left" vertical="center" wrapText="1"/>
    </xf>
    <xf numFmtId="3" fontId="27" fillId="5" borderId="123" xfId="1054" applyNumberFormat="1" applyFont="1" applyFill="1" applyBorder="1" applyAlignment="1">
      <alignment horizontal="center" vertical="center"/>
    </xf>
    <xf numFmtId="0" fontId="19" fillId="0" borderId="86" xfId="1054" applyFont="1" applyFill="1" applyBorder="1" applyAlignment="1">
      <alignment horizontal="left" vertical="center"/>
    </xf>
    <xf numFmtId="3" fontId="26" fillId="5" borderId="126" xfId="1054" applyNumberFormat="1" applyFont="1" applyFill="1" applyBorder="1" applyAlignment="1">
      <alignment horizontal="center" vertical="center"/>
    </xf>
    <xf numFmtId="3" fontId="26" fillId="5" borderId="127" xfId="1054" applyNumberFormat="1" applyFont="1" applyFill="1" applyBorder="1" applyAlignment="1">
      <alignment horizontal="center" vertical="center"/>
    </xf>
    <xf numFmtId="3" fontId="26" fillId="5" borderId="86" xfId="1054" applyNumberFormat="1" applyFont="1" applyFill="1" applyBorder="1" applyAlignment="1">
      <alignment horizontal="center" vertical="center"/>
    </xf>
    <xf numFmtId="3" fontId="27" fillId="0" borderId="6" xfId="128" applyNumberFormat="1" applyFont="1" applyFill="1" applyBorder="1" applyAlignment="1">
      <alignment horizontal="center" vertical="center"/>
    </xf>
    <xf numFmtId="4" fontId="25" fillId="0" borderId="6" xfId="1054" applyNumberFormat="1" applyFont="1" applyFill="1" applyBorder="1" applyAlignment="1">
      <alignment horizontal="center" vertical="center"/>
    </xf>
    <xf numFmtId="0" fontId="24" fillId="4" borderId="55" xfId="1054" applyFont="1" applyFill="1" applyBorder="1" applyAlignment="1">
      <alignment vertical="center"/>
    </xf>
    <xf numFmtId="3" fontId="24" fillId="4" borderId="55" xfId="1054" applyNumberFormat="1" applyFont="1" applyFill="1" applyBorder="1" applyAlignment="1">
      <alignment horizontal="center" vertical="center"/>
    </xf>
    <xf numFmtId="3" fontId="24" fillId="4" borderId="56" xfId="1054" applyNumberFormat="1" applyFont="1" applyFill="1" applyBorder="1" applyAlignment="1">
      <alignment horizontal="center" vertical="center"/>
    </xf>
    <xf numFmtId="10" fontId="24" fillId="4" borderId="51" xfId="1054" applyNumberFormat="1" applyFont="1" applyFill="1" applyBorder="1" applyAlignment="1">
      <alignment horizontal="center" vertical="center"/>
    </xf>
    <xf numFmtId="4" fontId="24" fillId="4" borderId="56" xfId="1054" applyNumberFormat="1" applyFont="1" applyFill="1" applyBorder="1" applyAlignment="1">
      <alignment horizontal="center" vertical="center"/>
    </xf>
    <xf numFmtId="10" fontId="65" fillId="4" borderId="51" xfId="1054" applyNumberFormat="1" applyFont="1" applyFill="1" applyBorder="1" applyAlignment="1">
      <alignment horizontal="center" vertical="center"/>
    </xf>
    <xf numFmtId="10" fontId="65" fillId="4" borderId="1" xfId="1054" applyNumberFormat="1" applyFont="1" applyFill="1" applyBorder="1" applyAlignment="1">
      <alignment horizontal="center" vertical="center"/>
    </xf>
    <xf numFmtId="10" fontId="24" fillId="4" borderId="0" xfId="1054" applyNumberFormat="1" applyFont="1" applyFill="1" applyBorder="1" applyAlignment="1">
      <alignment horizontal="center" vertical="center"/>
    </xf>
    <xf numFmtId="0" fontId="19" fillId="0" borderId="80" xfId="1054" applyFont="1" applyFill="1" applyBorder="1" applyAlignment="1">
      <alignment vertical="center"/>
    </xf>
    <xf numFmtId="3" fontId="27" fillId="5" borderId="80" xfId="1054" applyNumberFormat="1" applyFont="1" applyFill="1" applyBorder="1" applyAlignment="1">
      <alignment horizontal="center" vertical="center"/>
    </xf>
    <xf numFmtId="3" fontId="26" fillId="0" borderId="7" xfId="1054" applyNumberFormat="1" applyFont="1" applyFill="1" applyBorder="1" applyAlignment="1">
      <alignment horizontal="center" vertical="center"/>
    </xf>
    <xf numFmtId="3" fontId="26" fillId="0" borderId="20" xfId="1054" applyNumberFormat="1" applyFont="1" applyFill="1" applyBorder="1" applyAlignment="1">
      <alignment horizontal="center" vertical="center"/>
    </xf>
    <xf numFmtId="10" fontId="39" fillId="0" borderId="20" xfId="1054" applyNumberFormat="1" applyFont="1" applyFill="1" applyBorder="1" applyAlignment="1">
      <alignment horizontal="center" vertical="center"/>
    </xf>
    <xf numFmtId="165" fontId="19" fillId="0" borderId="20" xfId="128" applyFont="1" applyFill="1" applyBorder="1" applyAlignment="1">
      <alignment horizontal="center" vertical="center"/>
    </xf>
    <xf numFmtId="10" fontId="26" fillId="0" borderId="20" xfId="1054" applyNumberFormat="1" applyFont="1" applyFill="1" applyBorder="1" applyAlignment="1">
      <alignment horizontal="center" vertical="center"/>
    </xf>
    <xf numFmtId="10" fontId="39" fillId="0" borderId="36" xfId="1054" applyNumberFormat="1" applyFont="1" applyFill="1" applyBorder="1" applyAlignment="1">
      <alignment horizontal="center" vertical="center"/>
    </xf>
    <xf numFmtId="10" fontId="26" fillId="0" borderId="9" xfId="1054" applyNumberFormat="1" applyFont="1" applyFill="1" applyBorder="1" applyAlignment="1">
      <alignment horizontal="center" vertical="center"/>
    </xf>
    <xf numFmtId="0" fontId="24" fillId="6" borderId="55" xfId="1054" applyFont="1" applyFill="1" applyBorder="1" applyAlignment="1">
      <alignment vertical="center"/>
    </xf>
    <xf numFmtId="3" fontId="24" fillId="6" borderId="55" xfId="1054" applyNumberFormat="1" applyFont="1" applyFill="1" applyBorder="1" applyAlignment="1">
      <alignment horizontal="center" vertical="center"/>
    </xf>
    <xf numFmtId="3" fontId="24" fillId="6" borderId="56" xfId="1054" applyNumberFormat="1" applyFont="1" applyFill="1" applyBorder="1" applyAlignment="1">
      <alignment horizontal="center" vertical="center"/>
    </xf>
    <xf numFmtId="4" fontId="29" fillId="6" borderId="56" xfId="1054" applyNumberFormat="1" applyFont="1" applyFill="1" applyBorder="1" applyAlignment="1">
      <alignment horizontal="center" vertical="center"/>
    </xf>
    <xf numFmtId="4" fontId="24" fillId="6" borderId="55" xfId="1054" applyNumberFormat="1" applyFont="1" applyFill="1" applyBorder="1" applyAlignment="1">
      <alignment horizontal="center" vertical="center"/>
    </xf>
    <xf numFmtId="4" fontId="24" fillId="6" borderId="56" xfId="1054" applyNumberFormat="1" applyFont="1" applyFill="1" applyBorder="1" applyAlignment="1">
      <alignment horizontal="center" vertical="center"/>
    </xf>
    <xf numFmtId="4" fontId="65" fillId="6" borderId="56" xfId="1054" applyNumberFormat="1" applyFont="1" applyFill="1" applyBorder="1" applyAlignment="1">
      <alignment horizontal="center" vertical="center"/>
    </xf>
    <xf numFmtId="4" fontId="29" fillId="6" borderId="55" xfId="1054" applyNumberFormat="1" applyFont="1" applyFill="1" applyBorder="1" applyAlignment="1">
      <alignment horizontal="center" vertical="center"/>
    </xf>
    <xf numFmtId="4" fontId="65" fillId="6" borderId="55" xfId="1054" applyNumberFormat="1" applyFont="1" applyFill="1" applyBorder="1" applyAlignment="1">
      <alignment horizontal="center" vertical="center"/>
    </xf>
    <xf numFmtId="4" fontId="24" fillId="6" borderId="0" xfId="1054" applyNumberFormat="1" applyFont="1" applyFill="1" applyBorder="1" applyAlignment="1">
      <alignment horizontal="center" vertical="center"/>
    </xf>
    <xf numFmtId="0" fontId="24" fillId="0" borderId="6" xfId="1054" applyFont="1" applyBorder="1" applyAlignment="1">
      <alignment horizontal="center" vertical="center"/>
    </xf>
    <xf numFmtId="0" fontId="24" fillId="3" borderId="62" xfId="1054" applyFont="1" applyFill="1" applyBorder="1" applyAlignment="1">
      <alignment vertical="center"/>
    </xf>
    <xf numFmtId="0" fontId="24" fillId="4" borderId="119" xfId="1054" applyFont="1" applyFill="1" applyBorder="1" applyAlignment="1">
      <alignment vertical="center"/>
    </xf>
    <xf numFmtId="3" fontId="24" fillId="4" borderId="119" xfId="1054" applyNumberFormat="1" applyFont="1" applyFill="1" applyBorder="1" applyAlignment="1">
      <alignment horizontal="center" vertical="center"/>
    </xf>
    <xf numFmtId="3" fontId="24" fillId="4" borderId="165" xfId="1054" applyNumberFormat="1" applyFont="1" applyFill="1" applyBorder="1" applyAlignment="1">
      <alignment horizontal="center" vertical="center"/>
    </xf>
    <xf numFmtId="4" fontId="29" fillId="4" borderId="165" xfId="1054" applyNumberFormat="1" applyFont="1" applyFill="1" applyBorder="1" applyAlignment="1">
      <alignment horizontal="center" vertical="center"/>
    </xf>
    <xf numFmtId="4" fontId="24" fillId="4" borderId="165" xfId="1054" applyNumberFormat="1" applyFont="1" applyFill="1" applyBorder="1" applyAlignment="1">
      <alignment horizontal="center" vertical="center"/>
    </xf>
    <xf numFmtId="4" fontId="65" fillId="4" borderId="165" xfId="1054" applyNumberFormat="1" applyFont="1" applyFill="1" applyBorder="1" applyAlignment="1">
      <alignment horizontal="center" vertical="center"/>
    </xf>
    <xf numFmtId="4" fontId="29" fillId="4" borderId="119" xfId="1054" applyNumberFormat="1" applyFont="1" applyFill="1" applyBorder="1" applyAlignment="1">
      <alignment horizontal="center" vertical="center"/>
    </xf>
    <xf numFmtId="4" fontId="65" fillId="4" borderId="119" xfId="1054" applyNumberFormat="1" applyFont="1" applyFill="1" applyBorder="1" applyAlignment="1">
      <alignment horizontal="center" vertical="center"/>
    </xf>
    <xf numFmtId="0" fontId="19" fillId="0" borderId="62" xfId="1054" applyFont="1" applyBorder="1" applyAlignment="1">
      <alignment vertical="center"/>
    </xf>
    <xf numFmtId="3" fontId="27" fillId="0" borderId="63" xfId="1054" applyNumberFormat="1" applyFont="1" applyFill="1" applyBorder="1" applyAlignment="1">
      <alignment horizontal="center" vertical="center"/>
    </xf>
    <xf numFmtId="10" fontId="36" fillId="0" borderId="58" xfId="1054" applyNumberFormat="1" applyFont="1" applyFill="1" applyBorder="1" applyAlignment="1">
      <alignment horizontal="center" vertical="center"/>
    </xf>
    <xf numFmtId="10" fontId="27" fillId="0" borderId="58" xfId="1054" applyNumberFormat="1" applyFont="1" applyFill="1" applyBorder="1" applyAlignment="1">
      <alignment horizontal="center" vertical="center"/>
    </xf>
    <xf numFmtId="10" fontId="26" fillId="0" borderId="58" xfId="1054" applyNumberFormat="1" applyFont="1" applyFill="1" applyBorder="1" applyAlignment="1">
      <alignment horizontal="center" vertical="center"/>
    </xf>
    <xf numFmtId="10" fontId="36" fillId="0" borderId="77" xfId="1054" applyNumberFormat="1" applyFont="1" applyFill="1" applyBorder="1" applyAlignment="1">
      <alignment horizontal="center" vertical="center"/>
    </xf>
    <xf numFmtId="10" fontId="26" fillId="0" borderId="19" xfId="1054" applyNumberFormat="1" applyFont="1" applyFill="1" applyBorder="1" applyAlignment="1">
      <alignment horizontal="center" vertical="center"/>
    </xf>
    <xf numFmtId="0" fontId="19" fillId="0" borderId="123" xfId="1054" applyFont="1" applyBorder="1" applyAlignment="1">
      <alignment vertical="center"/>
    </xf>
    <xf numFmtId="0" fontId="19" fillId="0" borderId="123" xfId="1054" applyFont="1" applyBorder="1" applyAlignment="1">
      <alignment horizontal="left" vertical="center"/>
    </xf>
    <xf numFmtId="3" fontId="26" fillId="0" borderId="123" xfId="1054" applyNumberFormat="1" applyFont="1" applyFill="1" applyBorder="1" applyAlignment="1">
      <alignment horizontal="center" vertical="center"/>
    </xf>
    <xf numFmtId="3" fontId="26" fillId="0" borderId="124" xfId="1054" applyNumberFormat="1" applyFont="1" applyFill="1" applyBorder="1" applyAlignment="1">
      <alignment horizontal="center" vertical="center"/>
    </xf>
    <xf numFmtId="3" fontId="26" fillId="0" borderId="122" xfId="1054" applyNumberFormat="1" applyFont="1" applyFill="1" applyBorder="1" applyAlignment="1">
      <alignment horizontal="center" vertical="center"/>
    </xf>
    <xf numFmtId="10" fontId="39" fillId="0" borderId="122" xfId="1054" applyNumberFormat="1" applyFont="1" applyFill="1" applyBorder="1" applyAlignment="1">
      <alignment horizontal="center" vertical="center"/>
    </xf>
    <xf numFmtId="10" fontId="26" fillId="0" borderId="122" xfId="1054" applyNumberFormat="1" applyFont="1" applyFill="1" applyBorder="1" applyAlignment="1">
      <alignment horizontal="center" vertical="center"/>
    </xf>
    <xf numFmtId="10" fontId="26" fillId="0" borderId="102" xfId="1054" applyNumberFormat="1" applyFont="1" applyFill="1" applyBorder="1" applyAlignment="1">
      <alignment horizontal="center" vertical="center"/>
    </xf>
    <xf numFmtId="0" fontId="23" fillId="0" borderId="7" xfId="1054" applyFont="1" applyBorder="1" applyAlignment="1">
      <alignment horizontal="center" vertical="center"/>
    </xf>
    <xf numFmtId="3" fontId="27" fillId="0" borderId="58" xfId="1054" applyNumberFormat="1" applyFont="1" applyFill="1" applyBorder="1" applyAlignment="1">
      <alignment horizontal="center" vertical="center"/>
    </xf>
    <xf numFmtId="0" fontId="27" fillId="0" borderId="77" xfId="1054" applyNumberFormat="1" applyFont="1" applyFill="1" applyBorder="1" applyAlignment="1">
      <alignment horizontal="center" vertical="center"/>
    </xf>
    <xf numFmtId="0" fontId="26" fillId="0" borderId="77" xfId="1054" applyNumberFormat="1" applyFont="1" applyFill="1" applyBorder="1" applyAlignment="1">
      <alignment horizontal="center" vertical="center"/>
    </xf>
    <xf numFmtId="0" fontId="26" fillId="0" borderId="76" xfId="1054" applyNumberFormat="1" applyFont="1" applyFill="1" applyBorder="1" applyAlignment="1">
      <alignment horizontal="center" vertical="center"/>
    </xf>
    <xf numFmtId="0" fontId="24" fillId="6" borderId="123" xfId="1054" applyFont="1" applyFill="1" applyBorder="1" applyAlignment="1">
      <alignment vertical="center"/>
    </xf>
    <xf numFmtId="3" fontId="28" fillId="6" borderId="123" xfId="1054" applyNumberFormat="1" applyFont="1" applyFill="1" applyBorder="1" applyAlignment="1">
      <alignment horizontal="center" vertical="center"/>
    </xf>
    <xf numFmtId="4" fontId="38" fillId="6" borderId="124" xfId="1054" applyNumberFormat="1" applyFont="1" applyFill="1" applyBorder="1" applyAlignment="1">
      <alignment horizontal="center" vertical="center"/>
    </xf>
    <xf numFmtId="3" fontId="28" fillId="6" borderId="124" xfId="1054" applyNumberFormat="1" applyFont="1" applyFill="1" applyBorder="1" applyAlignment="1">
      <alignment horizontal="center" vertical="center"/>
    </xf>
    <xf numFmtId="4" fontId="28" fillId="6" borderId="124" xfId="1054" applyNumberFormat="1" applyFont="1" applyFill="1" applyBorder="1" applyAlignment="1">
      <alignment horizontal="center" vertical="center"/>
    </xf>
    <xf numFmtId="4" fontId="65" fillId="6" borderId="124" xfId="1054" applyNumberFormat="1" applyFont="1" applyFill="1" applyBorder="1" applyAlignment="1">
      <alignment horizontal="center" vertical="center"/>
    </xf>
    <xf numFmtId="4" fontId="38" fillId="6" borderId="123" xfId="1054" applyNumberFormat="1" applyFont="1" applyFill="1" applyBorder="1" applyAlignment="1">
      <alignment horizontal="center" vertical="center"/>
    </xf>
    <xf numFmtId="4" fontId="65" fillId="6" borderId="123" xfId="1054" applyNumberFormat="1" applyFont="1" applyFill="1" applyBorder="1" applyAlignment="1">
      <alignment horizontal="center" vertical="center"/>
    </xf>
    <xf numFmtId="4" fontId="28" fillId="6" borderId="0" xfId="1054" applyNumberFormat="1" applyFont="1" applyFill="1" applyBorder="1" applyAlignment="1">
      <alignment horizontal="center" vertical="center"/>
    </xf>
    <xf numFmtId="0" fontId="22" fillId="0" borderId="7" xfId="1054" applyFont="1" applyBorder="1" applyAlignment="1">
      <alignment horizontal="center" vertical="center"/>
    </xf>
    <xf numFmtId="0" fontId="24" fillId="8" borderId="119" xfId="1054" applyFont="1" applyFill="1" applyBorder="1" applyAlignment="1">
      <alignment vertical="center"/>
    </xf>
    <xf numFmtId="3" fontId="24" fillId="8" borderId="119" xfId="1054" applyNumberFormat="1" applyFont="1" applyFill="1" applyBorder="1" applyAlignment="1">
      <alignment horizontal="center" vertical="center"/>
    </xf>
    <xf numFmtId="4" fontId="29" fillId="8" borderId="165" xfId="1054" applyNumberFormat="1" applyFont="1" applyFill="1" applyBorder="1" applyAlignment="1">
      <alignment horizontal="center" vertical="center"/>
    </xf>
    <xf numFmtId="3" fontId="24" fillId="8" borderId="165" xfId="1054" applyNumberFormat="1" applyFont="1" applyFill="1" applyBorder="1" applyAlignment="1">
      <alignment horizontal="center" vertical="center"/>
    </xf>
    <xf numFmtId="4" fontId="24" fillId="8" borderId="165" xfId="1054" applyNumberFormat="1" applyFont="1" applyFill="1" applyBorder="1" applyAlignment="1">
      <alignment horizontal="center" vertical="center"/>
    </xf>
    <xf numFmtId="4" fontId="65" fillId="8" borderId="165" xfId="1054" applyNumberFormat="1" applyFont="1" applyFill="1" applyBorder="1" applyAlignment="1">
      <alignment horizontal="center" vertical="center"/>
    </xf>
    <xf numFmtId="4" fontId="65" fillId="8" borderId="119" xfId="1054" applyNumberFormat="1" applyFont="1" applyFill="1" applyBorder="1" applyAlignment="1">
      <alignment horizontal="center" vertical="center"/>
    </xf>
    <xf numFmtId="4" fontId="24" fillId="8" borderId="0" xfId="1054" applyNumberFormat="1" applyFont="1" applyFill="1" applyBorder="1" applyAlignment="1">
      <alignment horizontal="center" vertical="center"/>
    </xf>
    <xf numFmtId="3" fontId="27" fillId="0" borderId="79" xfId="1054" applyNumberFormat="1" applyFont="1" applyFill="1" applyBorder="1" applyAlignment="1">
      <alignment horizontal="center" vertical="center"/>
    </xf>
    <xf numFmtId="3" fontId="27" fillId="0" borderId="77" xfId="1054" applyNumberFormat="1" applyFont="1" applyFill="1" applyBorder="1" applyAlignment="1">
      <alignment horizontal="center" vertical="center"/>
    </xf>
    <xf numFmtId="0" fontId="24" fillId="6" borderId="102" xfId="1054" applyFont="1" applyFill="1" applyBorder="1" applyAlignment="1">
      <alignment vertical="center" wrapText="1"/>
    </xf>
    <xf numFmtId="3" fontId="24" fillId="6" borderId="123" xfId="1054" applyNumberFormat="1" applyFont="1" applyFill="1" applyBorder="1" applyAlignment="1">
      <alignment horizontal="center" vertical="center"/>
    </xf>
    <xf numFmtId="3" fontId="24" fillId="6" borderId="124" xfId="1054" applyNumberFormat="1" applyFont="1" applyFill="1" applyBorder="1" applyAlignment="1">
      <alignment horizontal="center" vertical="center"/>
    </xf>
    <xf numFmtId="4" fontId="29" fillId="6" borderId="124" xfId="1054" applyNumberFormat="1" applyFont="1" applyFill="1" applyBorder="1" applyAlignment="1">
      <alignment horizontal="center" vertical="center"/>
    </xf>
    <xf numFmtId="4" fontId="24" fillId="6" borderId="124" xfId="1054" applyNumberFormat="1" applyFont="1" applyFill="1" applyBorder="1" applyAlignment="1">
      <alignment horizontal="center" vertical="center"/>
    </xf>
    <xf numFmtId="0" fontId="24" fillId="3" borderId="118" xfId="1054" applyFont="1" applyFill="1" applyBorder="1" applyAlignment="1">
      <alignment vertical="center"/>
    </xf>
    <xf numFmtId="3" fontId="24" fillId="3" borderId="119" xfId="1054" applyNumberFormat="1" applyFont="1" applyFill="1" applyBorder="1" applyAlignment="1">
      <alignment horizontal="center" vertical="center"/>
    </xf>
    <xf numFmtId="10" fontId="29" fillId="3" borderId="165" xfId="1054" applyNumberFormat="1" applyFont="1" applyFill="1" applyBorder="1" applyAlignment="1">
      <alignment horizontal="center" vertical="center"/>
    </xf>
    <xf numFmtId="10" fontId="24" fillId="3" borderId="165" xfId="1054" applyNumberFormat="1" applyFont="1" applyFill="1" applyBorder="1" applyAlignment="1">
      <alignment horizontal="center" vertical="center"/>
    </xf>
    <xf numFmtId="10" fontId="65" fillId="3" borderId="165" xfId="1054" applyNumberFormat="1" applyFont="1" applyFill="1" applyBorder="1" applyAlignment="1">
      <alignment horizontal="center" vertical="center"/>
    </xf>
    <xf numFmtId="10" fontId="29" fillId="3" borderId="119" xfId="1054" applyNumberFormat="1" applyFont="1" applyFill="1" applyBorder="1" applyAlignment="1">
      <alignment horizontal="center" vertical="center"/>
    </xf>
    <xf numFmtId="10" fontId="65" fillId="3" borderId="119" xfId="1054" applyNumberFormat="1" applyFont="1" applyFill="1" applyBorder="1" applyAlignment="1">
      <alignment horizontal="center" vertical="center"/>
    </xf>
    <xf numFmtId="0" fontId="19" fillId="0" borderId="0" xfId="1054" applyFont="1" applyAlignment="1">
      <alignment vertical="center"/>
    </xf>
    <xf numFmtId="3" fontId="19" fillId="0" borderId="0" xfId="1054" applyNumberFormat="1" applyFont="1" applyAlignment="1">
      <alignment horizontal="center" vertical="center"/>
    </xf>
    <xf numFmtId="4" fontId="40" fillId="0" borderId="0" xfId="1054" applyNumberFormat="1" applyFont="1" applyAlignment="1">
      <alignment horizontal="center" vertical="center"/>
    </xf>
    <xf numFmtId="4" fontId="19" fillId="0" borderId="0" xfId="1054" applyNumberFormat="1" applyFont="1" applyAlignment="1">
      <alignment horizontal="center" vertical="center"/>
    </xf>
    <xf numFmtId="4" fontId="26" fillId="0" borderId="0" xfId="1054" applyNumberFormat="1" applyFont="1" applyAlignment="1">
      <alignment horizontal="center" vertical="center"/>
    </xf>
    <xf numFmtId="0" fontId="35" fillId="0" borderId="0" xfId="1054" applyFont="1" applyAlignment="1">
      <alignment horizontal="center" vertical="center"/>
    </xf>
    <xf numFmtId="3" fontId="16" fillId="0" borderId="0" xfId="1054" applyNumberFormat="1" applyAlignment="1">
      <alignment horizontal="center" vertical="center"/>
    </xf>
    <xf numFmtId="3" fontId="30" fillId="12" borderId="0" xfId="128" applyNumberFormat="1" applyFont="1" applyFill="1" applyAlignment="1">
      <alignment horizontal="center" vertical="center"/>
    </xf>
    <xf numFmtId="4" fontId="41" fillId="0" borderId="0" xfId="1054" applyNumberFormat="1" applyFont="1" applyAlignment="1">
      <alignment horizontal="center" vertical="center"/>
    </xf>
    <xf numFmtId="4" fontId="63" fillId="0" borderId="0" xfId="1054" applyNumberFormat="1" applyFont="1" applyAlignment="1">
      <alignment horizontal="center" vertical="center"/>
    </xf>
    <xf numFmtId="0" fontId="122" fillId="0" borderId="0" xfId="1054" applyFont="1" applyAlignment="1">
      <alignment vertical="center"/>
    </xf>
    <xf numFmtId="3" fontId="122" fillId="0" borderId="0" xfId="1054" applyNumberFormat="1" applyFont="1" applyAlignment="1">
      <alignment horizontal="center" vertical="center"/>
    </xf>
    <xf numFmtId="4" fontId="122" fillId="0" borderId="0" xfId="1054" applyNumberFormat="1" applyFont="1" applyAlignment="1">
      <alignment horizontal="center" vertical="center"/>
    </xf>
    <xf numFmtId="0" fontId="122" fillId="0" borderId="0" xfId="1054" applyFont="1"/>
    <xf numFmtId="0" fontId="124" fillId="0" borderId="0" xfId="1054" applyFont="1"/>
    <xf numFmtId="0" fontId="122" fillId="0" borderId="0" xfId="1054" applyFont="1" applyAlignment="1">
      <alignment horizontal="right" vertical="center"/>
    </xf>
    <xf numFmtId="0" fontId="16" fillId="0" borderId="0" xfId="1054" applyAlignment="1">
      <alignment horizontal="right" vertical="center"/>
    </xf>
    <xf numFmtId="0" fontId="16" fillId="0" borderId="0" xfId="1054" applyAlignment="1">
      <alignment horizontal="center" vertical="center"/>
    </xf>
    <xf numFmtId="4" fontId="16" fillId="0" borderId="0" xfId="1" applyNumberFormat="1" applyFont="1"/>
    <xf numFmtId="4" fontId="16" fillId="0" borderId="0" xfId="1" applyNumberFormat="1" applyFont="1" applyAlignment="1">
      <alignment horizontal="center" vertical="center" wrapText="1"/>
    </xf>
    <xf numFmtId="9" fontId="36" fillId="4" borderId="166" xfId="7" applyFont="1" applyFill="1" applyBorder="1" applyAlignment="1">
      <alignment horizontal="center" vertical="center"/>
    </xf>
    <xf numFmtId="10" fontId="26" fillId="0" borderId="166" xfId="1" applyNumberFormat="1" applyFont="1" applyFill="1" applyBorder="1" applyAlignment="1">
      <alignment horizontal="center" vertical="center"/>
    </xf>
    <xf numFmtId="0" fontId="20" fillId="11" borderId="0" xfId="1" applyFont="1" applyFill="1"/>
    <xf numFmtId="4" fontId="25" fillId="0" borderId="58" xfId="1" applyNumberFormat="1" applyFont="1" applyFill="1" applyBorder="1" applyAlignment="1">
      <alignment horizontal="center" vertical="center"/>
    </xf>
    <xf numFmtId="4" fontId="122" fillId="0" borderId="0" xfId="1" applyNumberFormat="1" applyFont="1" applyAlignment="1">
      <alignment horizontal="center" vertical="center"/>
    </xf>
    <xf numFmtId="0" fontId="124" fillId="0" borderId="0" xfId="1" applyFont="1"/>
    <xf numFmtId="0" fontId="122" fillId="0" borderId="0" xfId="1" applyFont="1"/>
    <xf numFmtId="3" fontId="16" fillId="0" borderId="0" xfId="1" applyNumberFormat="1" applyFont="1"/>
    <xf numFmtId="4" fontId="165" fillId="0" borderId="0" xfId="1" applyNumberFormat="1" applyFont="1" applyAlignment="1">
      <alignment horizontal="center" vertical="center"/>
    </xf>
    <xf numFmtId="4" fontId="166" fillId="0" borderId="0" xfId="1" applyNumberFormat="1" applyFont="1" applyAlignment="1">
      <alignment horizontal="left" vertical="center"/>
    </xf>
    <xf numFmtId="4" fontId="166" fillId="0" borderId="0" xfId="1" applyNumberFormat="1" applyFont="1" applyAlignment="1">
      <alignment horizontal="center" vertical="center"/>
    </xf>
    <xf numFmtId="0" fontId="19" fillId="0" borderId="77" xfId="1" applyFont="1" applyBorder="1" applyAlignment="1">
      <alignment vertical="center"/>
    </xf>
    <xf numFmtId="4" fontId="167" fillId="0" borderId="0" xfId="1" applyNumberFormat="1" applyFont="1" applyAlignment="1">
      <alignment horizontal="center" vertical="center"/>
    </xf>
    <xf numFmtId="0" fontId="19" fillId="0" borderId="168" xfId="1" applyFont="1" applyBorder="1" applyAlignment="1">
      <alignment horizontal="left" vertical="center"/>
    </xf>
    <xf numFmtId="3" fontId="25" fillId="0" borderId="170" xfId="1" applyNumberFormat="1" applyFont="1" applyFill="1" applyBorder="1" applyAlignment="1">
      <alignment horizontal="center" vertical="center"/>
    </xf>
    <xf numFmtId="3" fontId="25" fillId="0" borderId="171" xfId="1" applyNumberFormat="1" applyFont="1" applyFill="1" applyBorder="1" applyAlignment="1">
      <alignment horizontal="center" vertical="center"/>
    </xf>
    <xf numFmtId="3" fontId="27" fillId="19" borderId="79" xfId="6" applyNumberFormat="1" applyFont="1" applyFill="1" applyBorder="1" applyAlignment="1">
      <alignment horizontal="center" vertical="center"/>
    </xf>
    <xf numFmtId="3" fontId="25" fillId="19" borderId="77" xfId="1" applyNumberFormat="1" applyFont="1" applyFill="1" applyBorder="1" applyAlignment="1">
      <alignment horizontal="center" vertical="center"/>
    </xf>
    <xf numFmtId="3" fontId="27" fillId="0" borderId="170" xfId="1" applyNumberFormat="1" applyFont="1" applyFill="1" applyBorder="1" applyAlignment="1">
      <alignment horizontal="center" vertical="center"/>
    </xf>
    <xf numFmtId="0" fontId="24" fillId="0" borderId="169" xfId="1" applyFont="1" applyFill="1" applyBorder="1" applyAlignment="1">
      <alignment vertical="center"/>
    </xf>
    <xf numFmtId="0" fontId="19" fillId="0" borderId="167" xfId="1" applyFont="1" applyFill="1" applyBorder="1" applyAlignment="1">
      <alignment vertical="center"/>
    </xf>
    <xf numFmtId="0" fontId="19" fillId="0" borderId="168" xfId="1" applyFont="1" applyFill="1" applyBorder="1" applyAlignment="1">
      <alignment vertical="center"/>
    </xf>
    <xf numFmtId="3" fontId="27" fillId="0" borderId="171" xfId="1" applyNumberFormat="1" applyFont="1" applyFill="1" applyBorder="1" applyAlignment="1">
      <alignment horizontal="center" vertical="center"/>
    </xf>
    <xf numFmtId="0" fontId="36" fillId="0" borderId="166" xfId="1" applyNumberFormat="1" applyFont="1" applyFill="1" applyBorder="1" applyAlignment="1">
      <alignment horizontal="center" vertical="center"/>
    </xf>
    <xf numFmtId="9" fontId="27" fillId="0" borderId="166" xfId="7" applyFont="1" applyFill="1" applyBorder="1" applyAlignment="1">
      <alignment horizontal="center" vertical="center" wrapText="1"/>
    </xf>
    <xf numFmtId="0" fontId="19" fillId="0" borderId="167" xfId="1" applyFont="1" applyFill="1" applyBorder="1" applyAlignment="1">
      <alignment horizontal="left" vertical="center" wrapText="1"/>
    </xf>
    <xf numFmtId="0" fontId="19" fillId="0" borderId="168" xfId="1" applyFont="1" applyFill="1" applyBorder="1" applyAlignment="1">
      <alignment horizontal="left" vertical="center"/>
    </xf>
    <xf numFmtId="3" fontId="26" fillId="5" borderId="170" xfId="1" applyNumberFormat="1" applyFont="1" applyFill="1" applyBorder="1" applyAlignment="1">
      <alignment horizontal="center" vertical="center"/>
    </xf>
    <xf numFmtId="3" fontId="26" fillId="5" borderId="171" xfId="1" applyNumberFormat="1" applyFont="1" applyFill="1" applyBorder="1" applyAlignment="1">
      <alignment horizontal="center" vertical="center"/>
    </xf>
    <xf numFmtId="3" fontId="26" fillId="5" borderId="168" xfId="1" applyNumberFormat="1" applyFont="1" applyFill="1" applyBorder="1" applyAlignment="1">
      <alignment horizontal="center" vertical="center"/>
    </xf>
    <xf numFmtId="3" fontId="26" fillId="0" borderId="166" xfId="1" applyNumberFormat="1" applyFont="1" applyFill="1" applyBorder="1" applyAlignment="1">
      <alignment horizontal="center" vertical="center"/>
    </xf>
    <xf numFmtId="10" fontId="39" fillId="0" borderId="166" xfId="1" applyNumberFormat="1" applyFont="1" applyFill="1" applyBorder="1" applyAlignment="1">
      <alignment horizontal="center" vertical="center"/>
    </xf>
    <xf numFmtId="0" fontId="24" fillId="6" borderId="167" xfId="1" applyFont="1" applyFill="1" applyBorder="1" applyAlignment="1">
      <alignment vertical="center" wrapText="1"/>
    </xf>
    <xf numFmtId="0" fontId="24" fillId="3" borderId="169" xfId="1" applyFont="1" applyFill="1" applyBorder="1" applyAlignment="1">
      <alignment vertical="center"/>
    </xf>
    <xf numFmtId="4" fontId="24" fillId="11" borderId="173" xfId="1" applyNumberFormat="1" applyFont="1" applyFill="1" applyBorder="1" applyAlignment="1">
      <alignment horizontal="center" vertical="center"/>
    </xf>
    <xf numFmtId="10" fontId="24" fillId="0" borderId="172" xfId="1" applyNumberFormat="1" applyFont="1" applyFill="1" applyBorder="1" applyAlignment="1">
      <alignment horizontal="center" vertical="center"/>
    </xf>
    <xf numFmtId="10" fontId="26" fillId="5" borderId="7" xfId="1" applyNumberFormat="1" applyFont="1" applyFill="1" applyBorder="1" applyAlignment="1">
      <alignment horizontal="center" vertical="center"/>
    </xf>
    <xf numFmtId="3" fontId="24" fillId="8" borderId="175" xfId="1" applyNumberFormat="1" applyFont="1" applyFill="1" applyBorder="1" applyAlignment="1">
      <alignment horizontal="center" vertical="center"/>
    </xf>
    <xf numFmtId="4" fontId="24" fillId="8" borderId="175" xfId="1" applyNumberFormat="1" applyFont="1" applyFill="1" applyBorder="1" applyAlignment="1">
      <alignment horizontal="center" vertical="center"/>
    </xf>
    <xf numFmtId="4" fontId="140" fillId="0" borderId="51" xfId="8807" applyNumberFormat="1" applyFont="1" applyBorder="1" applyAlignment="1">
      <alignment vertical="top" wrapText="1"/>
    </xf>
    <xf numFmtId="4" fontId="25" fillId="0" borderId="175" xfId="1" applyNumberFormat="1" applyFont="1" applyFill="1" applyBorder="1" applyAlignment="1">
      <alignment horizontal="center" vertical="center"/>
    </xf>
    <xf numFmtId="4" fontId="25" fillId="0" borderId="172" xfId="1" applyNumberFormat="1" applyFont="1" applyFill="1" applyBorder="1" applyAlignment="1">
      <alignment horizontal="center" vertical="center"/>
    </xf>
    <xf numFmtId="3" fontId="27" fillId="0" borderId="176" xfId="1" applyNumberFormat="1" applyFont="1" applyFill="1" applyBorder="1" applyAlignment="1">
      <alignment horizontal="center" vertical="center"/>
    </xf>
    <xf numFmtId="9" fontId="36" fillId="0" borderId="172" xfId="7" applyFont="1" applyFill="1" applyBorder="1" applyAlignment="1">
      <alignment horizontal="center" vertical="center"/>
    </xf>
    <xf numFmtId="9" fontId="27" fillId="0" borderId="172" xfId="7" applyFont="1" applyFill="1" applyBorder="1" applyAlignment="1">
      <alignment horizontal="center" vertical="center"/>
    </xf>
    <xf numFmtId="4" fontId="24" fillId="11" borderId="176" xfId="1" applyNumberFormat="1" applyFont="1" applyFill="1" applyBorder="1" applyAlignment="1">
      <alignment horizontal="center" vertical="center"/>
    </xf>
    <xf numFmtId="4" fontId="65" fillId="11" borderId="176" xfId="1" applyNumberFormat="1" applyFont="1" applyFill="1" applyBorder="1" applyAlignment="1">
      <alignment horizontal="center" vertical="center"/>
    </xf>
    <xf numFmtId="10" fontId="27" fillId="0" borderId="172" xfId="1" applyNumberFormat="1" applyFont="1" applyFill="1" applyBorder="1" applyAlignment="1">
      <alignment horizontal="center" vertical="center"/>
    </xf>
    <xf numFmtId="10" fontId="26" fillId="0" borderId="172" xfId="1" applyNumberFormat="1" applyFont="1" applyFill="1" applyBorder="1" applyAlignment="1">
      <alignment horizontal="center" vertical="center"/>
    </xf>
    <xf numFmtId="10" fontId="24" fillId="0" borderId="175" xfId="1" applyNumberFormat="1" applyFont="1" applyFill="1" applyBorder="1" applyAlignment="1">
      <alignment horizontal="center" vertical="center"/>
    </xf>
    <xf numFmtId="10" fontId="65" fillId="0" borderId="172" xfId="1" applyNumberFormat="1" applyFont="1" applyFill="1" applyBorder="1" applyAlignment="1">
      <alignment horizontal="center" vertical="center"/>
    </xf>
    <xf numFmtId="10" fontId="67" fillId="0" borderId="172" xfId="1" applyNumberFormat="1" applyFont="1" applyFill="1" applyBorder="1" applyAlignment="1">
      <alignment horizontal="center" vertical="center"/>
    </xf>
    <xf numFmtId="0" fontId="67" fillId="0" borderId="166" xfId="1" applyNumberFormat="1" applyFont="1" applyFill="1" applyBorder="1" applyAlignment="1">
      <alignment horizontal="center" vertical="center"/>
    </xf>
    <xf numFmtId="10" fontId="26" fillId="5" borderId="172" xfId="1" applyNumberFormat="1" applyFont="1" applyFill="1" applyBorder="1" applyAlignment="1">
      <alignment horizontal="center" vertical="center"/>
    </xf>
    <xf numFmtId="10" fontId="67" fillId="5" borderId="172" xfId="1" applyNumberFormat="1" applyFont="1" applyFill="1" applyBorder="1" applyAlignment="1">
      <alignment horizontal="center" vertical="center"/>
    </xf>
    <xf numFmtId="3" fontId="24" fillId="4" borderId="174" xfId="1" applyNumberFormat="1" applyFont="1" applyFill="1" applyBorder="1" applyAlignment="1">
      <alignment horizontal="center" vertical="center"/>
    </xf>
    <xf numFmtId="3" fontId="24" fillId="4" borderId="175" xfId="1" applyNumberFormat="1" applyFont="1" applyFill="1" applyBorder="1" applyAlignment="1">
      <alignment horizontal="center" vertical="center"/>
    </xf>
    <xf numFmtId="4" fontId="24" fillId="4" borderId="175" xfId="1" applyNumberFormat="1" applyFont="1" applyFill="1" applyBorder="1" applyAlignment="1">
      <alignment horizontal="center" vertical="center"/>
    </xf>
    <xf numFmtId="4" fontId="68" fillId="4" borderId="175" xfId="1" applyNumberFormat="1" applyFont="1" applyFill="1" applyBorder="1" applyAlignment="1">
      <alignment horizontal="center" vertical="center"/>
    </xf>
    <xf numFmtId="10" fontId="67" fillId="0" borderId="166" xfId="1" applyNumberFormat="1" applyFont="1" applyFill="1" applyBorder="1" applyAlignment="1">
      <alignment horizontal="center" vertical="center"/>
    </xf>
    <xf numFmtId="3" fontId="28" fillId="6" borderId="173" xfId="1" applyNumberFormat="1" applyFont="1" applyFill="1" applyBorder="1" applyAlignment="1">
      <alignment horizontal="center" vertical="center"/>
    </xf>
    <xf numFmtId="3" fontId="28" fillId="6" borderId="176" xfId="1" applyNumberFormat="1" applyFont="1" applyFill="1" applyBorder="1" applyAlignment="1">
      <alignment horizontal="center" vertical="center"/>
    </xf>
    <xf numFmtId="4" fontId="28" fillId="6" borderId="176" xfId="1" applyNumberFormat="1" applyFont="1" applyFill="1" applyBorder="1" applyAlignment="1">
      <alignment horizontal="center" vertical="center"/>
    </xf>
    <xf numFmtId="4" fontId="68" fillId="6" borderId="176" xfId="1" applyNumberFormat="1" applyFont="1" applyFill="1" applyBorder="1" applyAlignment="1">
      <alignment horizontal="center" vertical="center"/>
    </xf>
    <xf numFmtId="4" fontId="68" fillId="8" borderId="175" xfId="1" applyNumberFormat="1" applyFont="1" applyFill="1" applyBorder="1" applyAlignment="1">
      <alignment horizontal="center" vertical="center"/>
    </xf>
    <xf numFmtId="3" fontId="24" fillId="6" borderId="176" xfId="1" applyNumberFormat="1" applyFont="1" applyFill="1" applyBorder="1" applyAlignment="1">
      <alignment horizontal="center" vertical="center"/>
    </xf>
    <xf numFmtId="4" fontId="24" fillId="6" borderId="176" xfId="1" applyNumberFormat="1" applyFont="1" applyFill="1" applyBorder="1" applyAlignment="1">
      <alignment horizontal="center" vertical="center"/>
    </xf>
    <xf numFmtId="9" fontId="24" fillId="3" borderId="174" xfId="7" applyFont="1" applyFill="1" applyBorder="1" applyAlignment="1">
      <alignment horizontal="center" vertical="center"/>
    </xf>
    <xf numFmtId="3" fontId="24" fillId="3" borderId="174" xfId="1" applyNumberFormat="1" applyFont="1" applyFill="1" applyBorder="1" applyAlignment="1">
      <alignment horizontal="center" vertical="center"/>
    </xf>
    <xf numFmtId="9" fontId="24" fillId="3" borderId="175" xfId="7" applyFont="1" applyFill="1" applyBorder="1" applyAlignment="1">
      <alignment horizontal="center" vertical="center"/>
    </xf>
    <xf numFmtId="10" fontId="24" fillId="3" borderId="175" xfId="1" applyNumberFormat="1" applyFont="1" applyFill="1" applyBorder="1" applyAlignment="1">
      <alignment horizontal="center" vertical="center"/>
    </xf>
    <xf numFmtId="10" fontId="68" fillId="3" borderId="175" xfId="1" applyNumberFormat="1" applyFont="1" applyFill="1" applyBorder="1" applyAlignment="1">
      <alignment horizontal="center" vertical="center"/>
    </xf>
    <xf numFmtId="4" fontId="84" fillId="0" borderId="19" xfId="1" applyNumberFormat="1" applyFont="1" applyFill="1" applyBorder="1" applyAlignment="1">
      <alignment horizontal="center" vertical="center"/>
    </xf>
    <xf numFmtId="9" fontId="132" fillId="0" borderId="63" xfId="7" applyFont="1" applyFill="1" applyBorder="1" applyAlignment="1">
      <alignment horizontal="center" vertical="center"/>
    </xf>
    <xf numFmtId="9" fontId="131" fillId="0" borderId="58" xfId="7" applyFont="1" applyFill="1" applyBorder="1" applyAlignment="1">
      <alignment horizontal="center" vertical="center"/>
    </xf>
    <xf numFmtId="4" fontId="84" fillId="0" borderId="76" xfId="1" applyNumberFormat="1" applyFont="1" applyFill="1" applyBorder="1" applyAlignment="1">
      <alignment horizontal="center" vertical="center"/>
    </xf>
    <xf numFmtId="9" fontId="26" fillId="0" borderId="172" xfId="7" applyFont="1" applyFill="1" applyBorder="1" applyAlignment="1">
      <alignment horizontal="center" vertical="center"/>
    </xf>
    <xf numFmtId="3" fontId="25" fillId="0" borderId="172" xfId="1" applyNumberFormat="1" applyFont="1" applyFill="1" applyBorder="1" applyAlignment="1">
      <alignment horizontal="center" vertical="center"/>
    </xf>
    <xf numFmtId="4" fontId="87" fillId="0" borderId="76" xfId="1" applyNumberFormat="1" applyFont="1" applyFill="1" applyBorder="1" applyAlignment="1">
      <alignment horizontal="center" vertical="center"/>
    </xf>
    <xf numFmtId="3" fontId="24" fillId="8" borderId="174" xfId="1" applyNumberFormat="1" applyFont="1" applyFill="1" applyBorder="1" applyAlignment="1">
      <alignment horizontal="center" vertical="center"/>
    </xf>
    <xf numFmtId="3" fontId="24" fillId="6" borderId="173" xfId="1" applyNumberFormat="1" applyFont="1" applyFill="1" applyBorder="1" applyAlignment="1">
      <alignment horizontal="center" vertical="center"/>
    </xf>
    <xf numFmtId="9" fontId="36" fillId="0" borderId="76" xfId="7" applyFont="1" applyFill="1" applyBorder="1" applyAlignment="1">
      <alignment horizontal="center" vertical="center"/>
    </xf>
    <xf numFmtId="0" fontId="18" fillId="7" borderId="5" xfId="1" applyFont="1" applyFill="1" applyBorder="1" applyAlignment="1">
      <alignment horizontal="center" vertical="center" wrapText="1"/>
    </xf>
    <xf numFmtId="4" fontId="29" fillId="11" borderId="176" xfId="1" applyNumberFormat="1" applyFont="1" applyFill="1" applyBorder="1" applyAlignment="1">
      <alignment horizontal="center" vertical="center"/>
    </xf>
    <xf numFmtId="9" fontId="36" fillId="4" borderId="79" xfId="7" applyFont="1" applyFill="1" applyBorder="1" applyAlignment="1">
      <alignment horizontal="center" vertical="center"/>
    </xf>
    <xf numFmtId="9" fontId="36" fillId="4" borderId="56" xfId="7" applyFont="1" applyFill="1" applyBorder="1" applyAlignment="1">
      <alignment horizontal="center" vertical="center"/>
    </xf>
    <xf numFmtId="4" fontId="29" fillId="4" borderId="175" xfId="1" applyNumberFormat="1" applyFont="1" applyFill="1" applyBorder="1" applyAlignment="1">
      <alignment horizontal="center" vertical="center"/>
    </xf>
    <xf numFmtId="4" fontId="65" fillId="4" borderId="175" xfId="1" applyNumberFormat="1" applyFont="1" applyFill="1" applyBorder="1" applyAlignment="1">
      <alignment horizontal="center" vertical="center"/>
    </xf>
    <xf numFmtId="10" fontId="36" fillId="0" borderId="79" xfId="1" applyNumberFormat="1" applyFont="1" applyFill="1" applyBorder="1" applyAlignment="1">
      <alignment horizontal="center" vertical="center"/>
    </xf>
    <xf numFmtId="4" fontId="38" fillId="6" borderId="176" xfId="1" applyNumberFormat="1" applyFont="1" applyFill="1" applyBorder="1" applyAlignment="1">
      <alignment horizontal="center" vertical="center"/>
    </xf>
    <xf numFmtId="4" fontId="29" fillId="8" borderId="175" xfId="1" applyNumberFormat="1" applyFont="1" applyFill="1" applyBorder="1" applyAlignment="1">
      <alignment horizontal="center" vertical="center"/>
    </xf>
    <xf numFmtId="4" fontId="65" fillId="8" borderId="175" xfId="1" applyNumberFormat="1" applyFont="1" applyFill="1" applyBorder="1" applyAlignment="1">
      <alignment horizontal="center" vertical="center"/>
    </xf>
    <xf numFmtId="4" fontId="29" fillId="6" borderId="176" xfId="1" applyNumberFormat="1" applyFont="1" applyFill="1" applyBorder="1" applyAlignment="1">
      <alignment horizontal="center" vertical="center"/>
    </xf>
    <xf numFmtId="4" fontId="65" fillId="6" borderId="176" xfId="1" applyNumberFormat="1" applyFont="1" applyFill="1" applyBorder="1" applyAlignment="1">
      <alignment horizontal="center" vertical="center"/>
    </xf>
    <xf numFmtId="10" fontId="29" fillId="3" borderId="175" xfId="1" applyNumberFormat="1" applyFont="1" applyFill="1" applyBorder="1" applyAlignment="1">
      <alignment horizontal="center" vertical="center"/>
    </xf>
    <xf numFmtId="10" fontId="65" fillId="3" borderId="175" xfId="1" applyNumberFormat="1" applyFont="1" applyFill="1" applyBorder="1" applyAlignment="1">
      <alignment horizontal="center" vertical="center"/>
    </xf>
    <xf numFmtId="0" fontId="19" fillId="0" borderId="176" xfId="1" applyFont="1" applyBorder="1" applyAlignment="1">
      <alignment vertical="center"/>
    </xf>
    <xf numFmtId="3" fontId="27" fillId="0" borderId="173" xfId="1" applyNumberFormat="1" applyFont="1" applyFill="1" applyBorder="1" applyAlignment="1">
      <alignment horizontal="center" vertical="center"/>
    </xf>
    <xf numFmtId="0" fontId="19" fillId="0" borderId="176" xfId="1" applyFont="1" applyFill="1" applyBorder="1" applyAlignment="1">
      <alignment vertical="center"/>
    </xf>
    <xf numFmtId="3" fontId="27" fillId="5" borderId="176" xfId="1" applyNumberFormat="1" applyFont="1" applyFill="1" applyBorder="1" applyAlignment="1">
      <alignment horizontal="center" vertical="center"/>
    </xf>
    <xf numFmtId="0" fontId="19" fillId="0" borderId="171" xfId="1" applyFont="1" applyBorder="1" applyAlignment="1">
      <alignment vertical="center"/>
    </xf>
    <xf numFmtId="0" fontId="19" fillId="0" borderId="175" xfId="1" applyFont="1" applyBorder="1" applyAlignment="1">
      <alignment vertical="center"/>
    </xf>
    <xf numFmtId="3" fontId="27" fillId="0" borderId="174" xfId="1" applyNumberFormat="1" applyFont="1" applyFill="1" applyBorder="1" applyAlignment="1">
      <alignment horizontal="center" vertical="center"/>
    </xf>
    <xf numFmtId="4" fontId="27" fillId="0" borderId="173" xfId="1" applyNumberFormat="1" applyFont="1" applyFill="1" applyBorder="1" applyAlignment="1">
      <alignment horizontal="center" vertical="center"/>
    </xf>
    <xf numFmtId="4" fontId="27" fillId="0" borderId="176" xfId="1" applyNumberFormat="1" applyFont="1" applyFill="1" applyBorder="1" applyAlignment="1">
      <alignment horizontal="center" vertical="center"/>
    </xf>
    <xf numFmtId="4" fontId="27" fillId="0" borderId="174" xfId="1" applyNumberFormat="1" applyFont="1" applyFill="1" applyBorder="1" applyAlignment="1">
      <alignment horizontal="center" vertical="center"/>
    </xf>
    <xf numFmtId="4" fontId="27" fillId="0" borderId="175" xfId="1" applyNumberFormat="1" applyFont="1" applyFill="1" applyBorder="1" applyAlignment="1">
      <alignment horizontal="center" vertical="center"/>
    </xf>
    <xf numFmtId="10" fontId="36" fillId="0" borderId="172" xfId="1" applyNumberFormat="1" applyFont="1" applyFill="1" applyBorder="1" applyAlignment="1">
      <alignment horizontal="center" vertical="center"/>
    </xf>
    <xf numFmtId="10" fontId="24" fillId="0" borderId="174" xfId="1" applyNumberFormat="1" applyFont="1" applyFill="1" applyBorder="1" applyAlignment="1">
      <alignment horizontal="center" vertical="center"/>
    </xf>
    <xf numFmtId="10" fontId="29" fillId="0" borderId="172" xfId="1" applyNumberFormat="1" applyFont="1" applyFill="1" applyBorder="1" applyAlignment="1">
      <alignment horizontal="center" vertical="center"/>
    </xf>
    <xf numFmtId="3" fontId="27" fillId="0" borderId="176" xfId="6" applyNumberFormat="1" applyFont="1" applyFill="1" applyBorder="1" applyAlignment="1">
      <alignment horizontal="center" vertical="center"/>
    </xf>
    <xf numFmtId="0" fontId="19" fillId="0" borderId="169" xfId="1" applyFont="1" applyBorder="1" applyAlignment="1">
      <alignment vertical="center"/>
    </xf>
    <xf numFmtId="3" fontId="26" fillId="5" borderId="174" xfId="1" applyNumberFormat="1" applyFont="1" applyFill="1" applyBorder="1" applyAlignment="1">
      <alignment horizontal="center" vertical="center"/>
    </xf>
    <xf numFmtId="3" fontId="26" fillId="5" borderId="175" xfId="1" applyNumberFormat="1" applyFont="1" applyFill="1" applyBorder="1" applyAlignment="1">
      <alignment horizontal="center" vertical="center"/>
    </xf>
    <xf numFmtId="3" fontId="26" fillId="5" borderId="172" xfId="1" applyNumberFormat="1" applyFont="1" applyFill="1" applyBorder="1" applyAlignment="1">
      <alignment horizontal="center" vertical="center"/>
    </xf>
    <xf numFmtId="10" fontId="39" fillId="5" borderId="172" xfId="1" applyNumberFormat="1" applyFont="1" applyFill="1" applyBorder="1" applyAlignment="1">
      <alignment horizontal="center" vertical="center"/>
    </xf>
    <xf numFmtId="3" fontId="27" fillId="5" borderId="173" xfId="1" applyNumberFormat="1" applyFont="1" applyFill="1" applyBorder="1" applyAlignment="1">
      <alignment horizontal="center" vertical="center"/>
    </xf>
    <xf numFmtId="49" fontId="19" fillId="0" borderId="166" xfId="7" applyNumberFormat="1" applyFont="1" applyFill="1" applyBorder="1" applyAlignment="1">
      <alignment horizontal="center" vertical="center" wrapText="1"/>
    </xf>
    <xf numFmtId="0" fontId="24" fillId="4" borderId="174" xfId="1" applyFont="1" applyFill="1" applyBorder="1" applyAlignment="1">
      <alignment vertical="center"/>
    </xf>
    <xf numFmtId="0" fontId="19" fillId="0" borderId="173" xfId="1" applyFont="1" applyBorder="1" applyAlignment="1">
      <alignment vertical="center"/>
    </xf>
    <xf numFmtId="0" fontId="19" fillId="0" borderId="173" xfId="1" applyFont="1" applyBorder="1" applyAlignment="1">
      <alignment horizontal="left" vertical="center"/>
    </xf>
    <xf numFmtId="3" fontId="26" fillId="0" borderId="173" xfId="1" applyNumberFormat="1" applyFont="1" applyFill="1" applyBorder="1" applyAlignment="1">
      <alignment horizontal="center" vertical="center"/>
    </xf>
    <xf numFmtId="3" fontId="26" fillId="0" borderId="176" xfId="1" applyNumberFormat="1" applyFont="1" applyFill="1" applyBorder="1" applyAlignment="1">
      <alignment horizontal="center" vertical="center"/>
    </xf>
    <xf numFmtId="0" fontId="24" fillId="6" borderId="173" xfId="1" applyFont="1" applyFill="1" applyBorder="1" applyAlignment="1">
      <alignment vertical="center"/>
    </xf>
    <xf numFmtId="0" fontId="24" fillId="8" borderId="174" xfId="1" applyFont="1" applyFill="1" applyBorder="1" applyAlignment="1">
      <alignment vertical="center"/>
    </xf>
    <xf numFmtId="0" fontId="19" fillId="0" borderId="171" xfId="1" applyFont="1" applyBorder="1" applyAlignment="1">
      <alignment horizontal="left" vertical="center"/>
    </xf>
    <xf numFmtId="0" fontId="24" fillId="11" borderId="176" xfId="1" applyFont="1" applyFill="1" applyBorder="1" applyAlignment="1">
      <alignment vertical="center"/>
    </xf>
    <xf numFmtId="0" fontId="19" fillId="0" borderId="176" xfId="1" applyFont="1" applyFill="1" applyBorder="1" applyAlignment="1">
      <alignment horizontal="left" vertical="center"/>
    </xf>
    <xf numFmtId="0" fontId="19" fillId="0" borderId="175" xfId="1" applyFont="1" applyBorder="1" applyAlignment="1">
      <alignment horizontal="left" vertical="center"/>
    </xf>
    <xf numFmtId="0" fontId="24" fillId="0" borderId="171" xfId="1" applyFont="1" applyFill="1" applyBorder="1" applyAlignment="1">
      <alignment vertical="center"/>
    </xf>
    <xf numFmtId="10" fontId="24" fillId="0" borderId="170" xfId="1" applyNumberFormat="1" applyFont="1" applyFill="1" applyBorder="1" applyAlignment="1">
      <alignment horizontal="center" vertical="center"/>
    </xf>
    <xf numFmtId="10" fontId="24" fillId="0" borderId="171" xfId="1" applyNumberFormat="1" applyFont="1" applyFill="1" applyBorder="1" applyAlignment="1">
      <alignment horizontal="center" vertical="center"/>
    </xf>
    <xf numFmtId="0" fontId="24" fillId="4" borderId="176" xfId="1" applyFont="1" applyFill="1" applyBorder="1" applyAlignment="1">
      <alignment vertical="center"/>
    </xf>
    <xf numFmtId="3" fontId="24" fillId="4" borderId="173" xfId="1" applyNumberFormat="1" applyFont="1" applyFill="1" applyBorder="1" applyAlignment="1">
      <alignment horizontal="center" vertical="center"/>
    </xf>
    <xf numFmtId="3" fontId="24" fillId="4" borderId="176" xfId="1" applyNumberFormat="1" applyFont="1" applyFill="1" applyBorder="1" applyAlignment="1">
      <alignment horizontal="center" vertical="center"/>
    </xf>
    <xf numFmtId="0" fontId="19" fillId="0" borderId="171" xfId="1" applyFont="1" applyFill="1" applyBorder="1" applyAlignment="1">
      <alignment vertical="center"/>
    </xf>
    <xf numFmtId="0" fontId="19" fillId="0" borderId="171" xfId="1" applyFont="1" applyFill="1" applyBorder="1" applyAlignment="1">
      <alignment horizontal="left" vertical="center"/>
    </xf>
    <xf numFmtId="0" fontId="24" fillId="4" borderId="175" xfId="1" applyFont="1" applyFill="1" applyBorder="1" applyAlignment="1">
      <alignment vertical="center"/>
    </xf>
    <xf numFmtId="0" fontId="19" fillId="0" borderId="176" xfId="1" applyFont="1" applyBorder="1" applyAlignment="1">
      <alignment horizontal="left" vertical="center"/>
    </xf>
    <xf numFmtId="0" fontId="24" fillId="6" borderId="176" xfId="1" applyFont="1" applyFill="1" applyBorder="1" applyAlignment="1">
      <alignment vertical="center"/>
    </xf>
    <xf numFmtId="0" fontId="24" fillId="8" borderId="175" xfId="1" applyFont="1" applyFill="1" applyBorder="1" applyAlignment="1">
      <alignment vertical="center"/>
    </xf>
    <xf numFmtId="0" fontId="24" fillId="6" borderId="176" xfId="1" applyFont="1" applyFill="1" applyBorder="1" applyAlignment="1">
      <alignment vertical="center" wrapText="1"/>
    </xf>
    <xf numFmtId="0" fontId="24" fillId="3" borderId="175" xfId="1" applyFont="1" applyFill="1" applyBorder="1" applyAlignment="1">
      <alignment vertical="center"/>
    </xf>
    <xf numFmtId="0" fontId="18" fillId="7" borderId="7" xfId="1" applyFont="1" applyFill="1" applyBorder="1" applyAlignment="1">
      <alignment horizontal="center" vertical="center" wrapText="1"/>
    </xf>
    <xf numFmtId="0" fontId="36" fillId="0" borderId="6" xfId="1" applyNumberFormat="1" applyFont="1" applyFill="1" applyBorder="1" applyAlignment="1">
      <alignment horizontal="center" vertical="center"/>
    </xf>
    <xf numFmtId="4" fontId="18" fillId="7" borderId="5" xfId="1" applyNumberFormat="1" applyFont="1" applyFill="1" applyBorder="1" applyAlignment="1">
      <alignment horizontal="center" vertical="center" wrapText="1"/>
    </xf>
    <xf numFmtId="4" fontId="18" fillId="7" borderId="7" xfId="1" applyNumberFormat="1" applyFont="1" applyFill="1" applyBorder="1" applyAlignment="1">
      <alignment horizontal="center" vertical="center" wrapText="1"/>
    </xf>
    <xf numFmtId="4" fontId="42" fillId="12" borderId="56" xfId="1" applyNumberFormat="1" applyFont="1" applyFill="1" applyBorder="1" applyAlignment="1">
      <alignment horizontal="center" vertical="center" wrapText="1"/>
    </xf>
    <xf numFmtId="4" fontId="36" fillId="11" borderId="56" xfId="7" applyNumberFormat="1" applyFont="1" applyFill="1" applyBorder="1" applyAlignment="1">
      <alignment horizontal="center" vertical="center"/>
    </xf>
    <xf numFmtId="4" fontId="36" fillId="0" borderId="63" xfId="7" applyNumberFormat="1" applyFont="1" applyFill="1" applyBorder="1" applyAlignment="1">
      <alignment horizontal="center" vertical="center"/>
    </xf>
    <xf numFmtId="4" fontId="36" fillId="0" borderId="79" xfId="7" applyNumberFormat="1" applyFont="1" applyFill="1" applyBorder="1" applyAlignment="1">
      <alignment horizontal="center" vertical="center"/>
    </xf>
    <xf numFmtId="4" fontId="36" fillId="0" borderId="7" xfId="7" applyNumberFormat="1" applyFont="1" applyFill="1" applyBorder="1" applyAlignment="1">
      <alignment horizontal="center" vertical="center"/>
    </xf>
    <xf numFmtId="4" fontId="39" fillId="0" borderId="79" xfId="1" applyNumberFormat="1" applyFont="1" applyFill="1" applyBorder="1" applyAlignment="1">
      <alignment horizontal="center" vertical="center"/>
    </xf>
    <xf numFmtId="4" fontId="36" fillId="0" borderId="6" xfId="1" applyNumberFormat="1" applyFont="1" applyFill="1" applyBorder="1" applyAlignment="1">
      <alignment horizontal="center" vertical="center"/>
    </xf>
    <xf numFmtId="4" fontId="29" fillId="3" borderId="63" xfId="1" applyNumberFormat="1" applyFont="1" applyFill="1" applyBorder="1" applyAlignment="1">
      <alignment horizontal="center" vertical="center"/>
    </xf>
    <xf numFmtId="4" fontId="36" fillId="4" borderId="79" xfId="7" applyNumberFormat="1" applyFont="1" applyFill="1" applyBorder="1" applyAlignment="1">
      <alignment horizontal="center" vertical="center"/>
    </xf>
    <xf numFmtId="4" fontId="36" fillId="4" borderId="63" xfId="7" applyNumberFormat="1" applyFont="1" applyFill="1" applyBorder="1" applyAlignment="1">
      <alignment horizontal="center" vertical="center"/>
    </xf>
    <xf numFmtId="4" fontId="36" fillId="0" borderId="79" xfId="1" applyNumberFormat="1" applyFont="1" applyFill="1" applyBorder="1" applyAlignment="1">
      <alignment horizontal="center" vertical="center"/>
    </xf>
    <xf numFmtId="4" fontId="39" fillId="5" borderId="6" xfId="1" applyNumberFormat="1" applyFont="1" applyFill="1" applyBorder="1" applyAlignment="1">
      <alignment horizontal="center" vertical="center"/>
    </xf>
    <xf numFmtId="4" fontId="36" fillId="0" borderId="6" xfId="7" applyNumberFormat="1" applyFont="1" applyFill="1" applyBorder="1" applyAlignment="1">
      <alignment horizontal="center" vertical="center"/>
    </xf>
    <xf numFmtId="4" fontId="36" fillId="4" borderId="56" xfId="7" applyNumberFormat="1" applyFont="1" applyFill="1" applyBorder="1" applyAlignment="1">
      <alignment horizontal="center" vertical="center"/>
    </xf>
    <xf numFmtId="4" fontId="39" fillId="0" borderId="6" xfId="1" applyNumberFormat="1" applyFont="1" applyFill="1" applyBorder="1" applyAlignment="1">
      <alignment horizontal="center" vertical="center"/>
    </xf>
    <xf numFmtId="4" fontId="20" fillId="11" borderId="0" xfId="1" applyNumberFormat="1" applyFont="1" applyFill="1" applyAlignment="1">
      <alignment horizontal="center" vertical="center"/>
    </xf>
    <xf numFmtId="3" fontId="20" fillId="0" borderId="0" xfId="1" applyNumberFormat="1" applyFont="1" applyAlignment="1">
      <alignment horizontal="center" vertical="center"/>
    </xf>
    <xf numFmtId="0" fontId="122" fillId="0" borderId="0" xfId="1" applyFont="1" applyAlignment="1">
      <alignment horizontal="center" vertical="center"/>
    </xf>
    <xf numFmtId="0" fontId="124" fillId="0" borderId="0" xfId="1" applyFont="1" applyAlignment="1">
      <alignment horizontal="center" vertical="center"/>
    </xf>
    <xf numFmtId="4" fontId="6" fillId="0" borderId="0" xfId="8808" applyNumberFormat="1"/>
    <xf numFmtId="4" fontId="6" fillId="0" borderId="0" xfId="8808" applyNumberFormat="1"/>
    <xf numFmtId="4" fontId="6" fillId="0" borderId="0" xfId="8808" applyNumberFormat="1"/>
    <xf numFmtId="4" fontId="6" fillId="0" borderId="0" xfId="8808" applyNumberFormat="1"/>
    <xf numFmtId="4" fontId="165" fillId="0" borderId="0" xfId="1" applyNumberFormat="1" applyFont="1" applyAlignment="1">
      <alignment horizontal="left" vertical="center"/>
    </xf>
    <xf numFmtId="4" fontId="90" fillId="0" borderId="0" xfId="1" applyNumberFormat="1" applyFont="1" applyAlignment="1">
      <alignment horizontal="left" vertical="center"/>
    </xf>
    <xf numFmtId="4" fontId="168" fillId="0" borderId="0" xfId="0" applyNumberFormat="1" applyFont="1"/>
    <xf numFmtId="0" fontId="169" fillId="0" borderId="166" xfId="1" applyNumberFormat="1" applyFont="1" applyFill="1" applyBorder="1" applyAlignment="1">
      <alignment horizontal="center" vertical="center"/>
    </xf>
    <xf numFmtId="0" fontId="0" fillId="30" borderId="0" xfId="0" applyFill="1"/>
    <xf numFmtId="3" fontId="57" fillId="30" borderId="0" xfId="0" applyNumberFormat="1" applyFont="1" applyFill="1"/>
    <xf numFmtId="0" fontId="0" fillId="42" borderId="0" xfId="0" applyFill="1"/>
    <xf numFmtId="17" fontId="55" fillId="42" borderId="0" xfId="0" applyNumberFormat="1" applyFont="1" applyFill="1" applyAlignment="1">
      <alignment horizontal="center" vertical="center"/>
    </xf>
    <xf numFmtId="0" fontId="55" fillId="42" borderId="0" xfId="0" applyFont="1" applyFill="1"/>
    <xf numFmtId="3" fontId="57" fillId="42" borderId="0" xfId="0" applyNumberFormat="1" applyFont="1" applyFill="1"/>
    <xf numFmtId="3" fontId="83" fillId="42" borderId="0" xfId="0" applyNumberFormat="1" applyFont="1" applyFill="1"/>
    <xf numFmtId="0" fontId="55" fillId="44" borderId="0" xfId="0" applyFont="1" applyFill="1"/>
    <xf numFmtId="3" fontId="57" fillId="44" borderId="0" xfId="0" applyNumberFormat="1" applyFont="1" applyFill="1"/>
    <xf numFmtId="3" fontId="89" fillId="44" borderId="0" xfId="0" applyNumberFormat="1" applyFont="1" applyFill="1" applyAlignment="1">
      <alignment horizontal="center" vertical="center"/>
    </xf>
    <xf numFmtId="0" fontId="93" fillId="30" borderId="0" xfId="0" applyFont="1" applyFill="1"/>
    <xf numFmtId="3" fontId="95" fillId="30" borderId="0" xfId="0" applyNumberFormat="1" applyFont="1" applyFill="1"/>
    <xf numFmtId="3" fontId="170" fillId="30" borderId="0" xfId="0" applyNumberFormat="1" applyFont="1" applyFill="1"/>
    <xf numFmtId="4" fontId="57" fillId="30" borderId="0" xfId="0" applyNumberFormat="1" applyFont="1" applyFill="1"/>
    <xf numFmtId="0" fontId="170" fillId="0" borderId="0" xfId="0" applyFont="1"/>
    <xf numFmtId="4" fontId="170" fillId="0" borderId="0" xfId="0" applyNumberFormat="1" applyFont="1"/>
    <xf numFmtId="0" fontId="55" fillId="2" borderId="0" xfId="0" applyFont="1" applyFill="1"/>
    <xf numFmtId="4" fontId="55" fillId="2" borderId="0" xfId="0" applyNumberFormat="1" applyFont="1" applyFill="1"/>
    <xf numFmtId="0" fontId="171" fillId="0" borderId="0" xfId="0" applyFont="1"/>
    <xf numFmtId="3" fontId="171" fillId="0" borderId="0" xfId="0" applyNumberFormat="1" applyFont="1"/>
    <xf numFmtId="0" fontId="172" fillId="0" borderId="0" xfId="0" applyFont="1"/>
    <xf numFmtId="3" fontId="172" fillId="0" borderId="0" xfId="0" applyNumberFormat="1" applyFont="1"/>
    <xf numFmtId="0" fontId="94" fillId="43" borderId="0" xfId="0" applyFont="1" applyFill="1"/>
    <xf numFmtId="0" fontId="56" fillId="45" borderId="0" xfId="0" applyFont="1" applyFill="1"/>
    <xf numFmtId="0" fontId="56" fillId="45" borderId="0" xfId="0" applyFont="1" applyFill="1" applyAlignment="1">
      <alignment horizontal="center"/>
    </xf>
    <xf numFmtId="3" fontId="56" fillId="45" borderId="0" xfId="0" applyNumberFormat="1" applyFont="1" applyFill="1"/>
    <xf numFmtId="3" fontId="170" fillId="30" borderId="0" xfId="0" applyNumberFormat="1" applyFont="1" applyFill="1" applyAlignment="1">
      <alignment horizontal="center"/>
    </xf>
    <xf numFmtId="3" fontId="170" fillId="19" borderId="0" xfId="0" applyNumberFormat="1" applyFont="1" applyFill="1" applyAlignment="1">
      <alignment horizontal="center"/>
    </xf>
    <xf numFmtId="3" fontId="57" fillId="30" borderId="0" xfId="0" applyNumberFormat="1" applyFont="1" applyFill="1" applyAlignment="1">
      <alignment horizontal="center"/>
    </xf>
    <xf numFmtId="4" fontId="57" fillId="30" borderId="0" xfId="0" applyNumberFormat="1" applyFont="1" applyFill="1" applyAlignment="1">
      <alignment horizontal="center"/>
    </xf>
    <xf numFmtId="0" fontId="0" fillId="30" borderId="0" xfId="0" applyFill="1" applyAlignment="1">
      <alignment horizontal="center"/>
    </xf>
    <xf numFmtId="3" fontId="57" fillId="19" borderId="0" xfId="0" applyNumberFormat="1" applyFont="1" applyFill="1" applyAlignment="1">
      <alignment horizontal="center"/>
    </xf>
    <xf numFmtId="0" fontId="173" fillId="0" borderId="0" xfId="0" applyFont="1"/>
    <xf numFmtId="0" fontId="19" fillId="0" borderId="177" xfId="1" applyFont="1" applyBorder="1" applyAlignment="1">
      <alignment horizontal="left" vertical="center"/>
    </xf>
    <xf numFmtId="3" fontId="25" fillId="0" borderId="178" xfId="1" applyNumberFormat="1" applyFont="1" applyFill="1" applyBorder="1" applyAlignment="1">
      <alignment horizontal="center" vertical="center"/>
    </xf>
    <xf numFmtId="3" fontId="25" fillId="0" borderId="177" xfId="1" applyNumberFormat="1" applyFont="1" applyFill="1" applyBorder="1" applyAlignment="1">
      <alignment horizontal="center" vertical="center"/>
    </xf>
    <xf numFmtId="4" fontId="25" fillId="0" borderId="179" xfId="1" applyNumberFormat="1" applyFont="1" applyFill="1" applyBorder="1" applyAlignment="1">
      <alignment horizontal="center" vertical="center"/>
    </xf>
    <xf numFmtId="4" fontId="19" fillId="0" borderId="179" xfId="1" applyNumberFormat="1" applyFont="1" applyFill="1" applyBorder="1" applyAlignment="1">
      <alignment horizontal="center" vertical="center"/>
    </xf>
    <xf numFmtId="9" fontId="36" fillId="0" borderId="181" xfId="7" applyFont="1" applyFill="1" applyBorder="1" applyAlignment="1">
      <alignment horizontal="center" vertical="center"/>
    </xf>
    <xf numFmtId="9" fontId="27" fillId="0" borderId="181" xfId="7" applyFont="1" applyFill="1" applyBorder="1" applyAlignment="1">
      <alignment horizontal="center" vertical="center"/>
    </xf>
    <xf numFmtId="3" fontId="27" fillId="0" borderId="182" xfId="1" applyNumberFormat="1" applyFont="1" applyFill="1" applyBorder="1" applyAlignment="1">
      <alignment horizontal="center" vertical="center"/>
    </xf>
    <xf numFmtId="3" fontId="27" fillId="0" borderId="183" xfId="1" applyNumberFormat="1" applyFont="1" applyFill="1" applyBorder="1" applyAlignment="1">
      <alignment horizontal="center" vertical="center"/>
    </xf>
    <xf numFmtId="3" fontId="27" fillId="0" borderId="184" xfId="1" applyNumberFormat="1" applyFont="1" applyFill="1" applyBorder="1" applyAlignment="1">
      <alignment horizontal="center" vertical="center"/>
    </xf>
    <xf numFmtId="3" fontId="27" fillId="0" borderId="178" xfId="1" applyNumberFormat="1" applyFont="1" applyFill="1" applyBorder="1" applyAlignment="1">
      <alignment horizontal="center" vertical="center"/>
    </xf>
    <xf numFmtId="3" fontId="27" fillId="0" borderId="186" xfId="1" applyNumberFormat="1" applyFont="1" applyFill="1" applyBorder="1" applyAlignment="1">
      <alignment horizontal="center" vertical="center"/>
    </xf>
    <xf numFmtId="3" fontId="27" fillId="0" borderId="187" xfId="1" applyNumberFormat="1" applyFont="1" applyFill="1" applyBorder="1" applyAlignment="1">
      <alignment horizontal="center" vertical="center"/>
    </xf>
    <xf numFmtId="9" fontId="36" fillId="0" borderId="188" xfId="7" applyFont="1" applyFill="1" applyBorder="1" applyAlignment="1">
      <alignment horizontal="center" vertical="center"/>
    </xf>
    <xf numFmtId="4" fontId="25" fillId="0" borderId="185" xfId="1" applyNumberFormat="1" applyFont="1" applyFill="1" applyBorder="1" applyAlignment="1">
      <alignment horizontal="center" vertical="center"/>
    </xf>
    <xf numFmtId="4" fontId="25" fillId="0" borderId="188" xfId="1" applyNumberFormat="1" applyFont="1" applyFill="1" applyBorder="1" applyAlignment="1">
      <alignment horizontal="center" vertical="center"/>
    </xf>
    <xf numFmtId="3" fontId="25" fillId="0" borderId="188" xfId="1" applyNumberFormat="1" applyFont="1" applyFill="1" applyBorder="1" applyAlignment="1">
      <alignment horizontal="center" vertical="center"/>
    </xf>
    <xf numFmtId="9" fontId="27" fillId="0" borderId="188" xfId="7" applyFont="1" applyFill="1" applyBorder="1" applyAlignment="1">
      <alignment horizontal="center" vertical="center"/>
    </xf>
    <xf numFmtId="0" fontId="24" fillId="11" borderId="180" xfId="1" applyFont="1" applyFill="1" applyBorder="1" applyAlignment="1">
      <alignment vertical="center"/>
    </xf>
    <xf numFmtId="4" fontId="24" fillId="11" borderId="182" xfId="1" applyNumberFormat="1" applyFont="1" applyFill="1" applyBorder="1" applyAlignment="1">
      <alignment horizontal="center" vertical="center"/>
    </xf>
    <xf numFmtId="4" fontId="24" fillId="11" borderId="180" xfId="1" applyNumberFormat="1" applyFont="1" applyFill="1" applyBorder="1" applyAlignment="1">
      <alignment horizontal="center" vertical="center"/>
    </xf>
    <xf numFmtId="4" fontId="29" fillId="11" borderId="180" xfId="1" applyNumberFormat="1" applyFont="1" applyFill="1" applyBorder="1" applyAlignment="1">
      <alignment horizontal="center" vertical="center"/>
    </xf>
    <xf numFmtId="4" fontId="65" fillId="11" borderId="180" xfId="1" applyNumberFormat="1" applyFont="1" applyFill="1" applyBorder="1" applyAlignment="1">
      <alignment horizontal="center" vertical="center"/>
    </xf>
    <xf numFmtId="0" fontId="19" fillId="0" borderId="180" xfId="1" applyFont="1" applyFill="1" applyBorder="1" applyAlignment="1">
      <alignment horizontal="left" vertical="center"/>
    </xf>
    <xf numFmtId="4" fontId="27" fillId="0" borderId="182" xfId="1" applyNumberFormat="1" applyFont="1" applyFill="1" applyBorder="1" applyAlignment="1">
      <alignment horizontal="center" vertical="center"/>
    </xf>
    <xf numFmtId="4" fontId="27" fillId="0" borderId="180" xfId="1" applyNumberFormat="1" applyFont="1" applyFill="1" applyBorder="1" applyAlignment="1">
      <alignment horizontal="center" vertical="center"/>
    </xf>
    <xf numFmtId="0" fontId="36" fillId="0" borderId="181" xfId="1" applyNumberFormat="1" applyFont="1" applyFill="1" applyBorder="1" applyAlignment="1">
      <alignment horizontal="center" vertical="center"/>
    </xf>
    <xf numFmtId="0" fontId="27" fillId="0" borderId="181" xfId="1" applyNumberFormat="1" applyFont="1" applyFill="1" applyBorder="1" applyAlignment="1">
      <alignment horizontal="center" vertical="center"/>
    </xf>
    <xf numFmtId="0" fontId="19" fillId="0" borderId="185" xfId="1" applyFont="1" applyBorder="1" applyAlignment="1">
      <alignment horizontal="left" vertical="center"/>
    </xf>
    <xf numFmtId="4" fontId="27" fillId="0" borderId="187" xfId="1" applyNumberFormat="1" applyFont="1" applyFill="1" applyBorder="1" applyAlignment="1">
      <alignment horizontal="center" vertical="center"/>
    </xf>
    <xf numFmtId="4" fontId="27" fillId="0" borderId="185" xfId="1" applyNumberFormat="1" applyFont="1" applyFill="1" applyBorder="1" applyAlignment="1">
      <alignment horizontal="center" vertical="center"/>
    </xf>
    <xf numFmtId="10" fontId="27" fillId="0" borderId="188" xfId="1" applyNumberFormat="1" applyFont="1" applyFill="1" applyBorder="1" applyAlignment="1">
      <alignment horizontal="center" vertical="center"/>
    </xf>
    <xf numFmtId="10" fontId="36" fillId="0" borderId="188" xfId="1" applyNumberFormat="1" applyFont="1" applyFill="1" applyBorder="1" applyAlignment="1">
      <alignment horizontal="center" vertical="center"/>
    </xf>
    <xf numFmtId="10" fontId="26" fillId="0" borderId="188" xfId="1" applyNumberFormat="1" applyFont="1" applyFill="1" applyBorder="1" applyAlignment="1">
      <alignment horizontal="center" vertical="center"/>
    </xf>
    <xf numFmtId="0" fontId="24" fillId="0" borderId="177" xfId="1" applyFont="1" applyFill="1" applyBorder="1" applyAlignment="1">
      <alignment vertical="center"/>
    </xf>
    <xf numFmtId="10" fontId="24" fillId="0" borderId="178" xfId="1" applyNumberFormat="1" applyFont="1" applyFill="1" applyBorder="1" applyAlignment="1">
      <alignment horizontal="center" vertical="center"/>
    </xf>
    <xf numFmtId="10" fontId="24" fillId="0" borderId="177" xfId="1" applyNumberFormat="1" applyFont="1" applyFill="1" applyBorder="1" applyAlignment="1">
      <alignment horizontal="center" vertical="center"/>
    </xf>
    <xf numFmtId="10" fontId="24" fillId="0" borderId="179" xfId="1" applyNumberFormat="1" applyFont="1" applyFill="1" applyBorder="1" applyAlignment="1">
      <alignment horizontal="center" vertical="center"/>
    </xf>
    <xf numFmtId="10" fontId="29" fillId="0" borderId="179" xfId="1" applyNumberFormat="1" applyFont="1" applyFill="1" applyBorder="1" applyAlignment="1">
      <alignment horizontal="center" vertical="center"/>
    </xf>
    <xf numFmtId="10" fontId="24" fillId="0" borderId="185" xfId="1" applyNumberFormat="1" applyFont="1" applyFill="1" applyBorder="1" applyAlignment="1">
      <alignment horizontal="center" vertical="center"/>
    </xf>
    <xf numFmtId="10" fontId="65" fillId="0" borderId="188" xfId="1" applyNumberFormat="1" applyFont="1" applyFill="1" applyBorder="1" applyAlignment="1">
      <alignment horizontal="center" vertical="center"/>
    </xf>
    <xf numFmtId="10" fontId="24" fillId="0" borderId="188" xfId="1" applyNumberFormat="1" applyFont="1" applyFill="1" applyBorder="1" applyAlignment="1">
      <alignment horizontal="center" vertical="center"/>
    </xf>
    <xf numFmtId="0" fontId="24" fillId="4" borderId="180" xfId="1" applyFont="1" applyFill="1" applyBorder="1" applyAlignment="1">
      <alignment vertical="center"/>
    </xf>
    <xf numFmtId="3" fontId="24" fillId="4" borderId="182" xfId="1" applyNumberFormat="1" applyFont="1" applyFill="1" applyBorder="1" applyAlignment="1">
      <alignment horizontal="center" vertical="center"/>
    </xf>
    <xf numFmtId="3" fontId="24" fillId="4" borderId="180" xfId="1" applyNumberFormat="1" applyFont="1" applyFill="1" applyBorder="1" applyAlignment="1">
      <alignment horizontal="center" vertical="center"/>
    </xf>
    <xf numFmtId="9" fontId="36" fillId="4" borderId="181" xfId="7" applyFont="1" applyFill="1" applyBorder="1" applyAlignment="1">
      <alignment horizontal="center" vertical="center"/>
    </xf>
    <xf numFmtId="0" fontId="19" fillId="0" borderId="180" xfId="1" applyFont="1" applyFill="1" applyBorder="1" applyAlignment="1">
      <alignment vertical="center"/>
    </xf>
    <xf numFmtId="3" fontId="27" fillId="0" borderId="180" xfId="1" applyNumberFormat="1" applyFont="1" applyFill="1" applyBorder="1" applyAlignment="1">
      <alignment horizontal="center" vertical="center"/>
    </xf>
    <xf numFmtId="9" fontId="67" fillId="0" borderId="181" xfId="7" applyFont="1" applyFill="1" applyBorder="1" applyAlignment="1">
      <alignment horizontal="center" vertical="center"/>
    </xf>
    <xf numFmtId="0" fontId="19" fillId="0" borderId="177" xfId="1" applyFont="1" applyFill="1" applyBorder="1" applyAlignment="1">
      <alignment vertical="center"/>
    </xf>
    <xf numFmtId="3" fontId="27" fillId="0" borderId="177" xfId="1" applyNumberFormat="1" applyFont="1" applyFill="1" applyBorder="1" applyAlignment="1">
      <alignment horizontal="center" vertical="center"/>
    </xf>
    <xf numFmtId="3" fontId="27" fillId="0" borderId="179" xfId="1" applyNumberFormat="1" applyFont="1" applyFill="1" applyBorder="1" applyAlignment="1">
      <alignment horizontal="center" vertical="center"/>
    </xf>
    <xf numFmtId="10" fontId="36" fillId="0" borderId="179" xfId="1" applyNumberFormat="1" applyFont="1" applyFill="1" applyBorder="1" applyAlignment="1">
      <alignment horizontal="center" vertical="center"/>
    </xf>
    <xf numFmtId="10" fontId="67" fillId="0" borderId="188" xfId="1" applyNumberFormat="1" applyFont="1" applyFill="1" applyBorder="1" applyAlignment="1">
      <alignment horizontal="center" vertical="center"/>
    </xf>
    <xf numFmtId="0" fontId="67" fillId="0" borderId="181" xfId="1" applyNumberFormat="1" applyFont="1" applyFill="1" applyBorder="1" applyAlignment="1">
      <alignment horizontal="center" vertical="center"/>
    </xf>
    <xf numFmtId="0" fontId="19" fillId="0" borderId="185" xfId="1" applyFont="1" applyBorder="1" applyAlignment="1">
      <alignment vertical="center"/>
    </xf>
    <xf numFmtId="3" fontId="26" fillId="5" borderId="187" xfId="1" applyNumberFormat="1" applyFont="1" applyFill="1" applyBorder="1" applyAlignment="1">
      <alignment horizontal="center" vertical="center"/>
    </xf>
    <xf numFmtId="3" fontId="26" fillId="5" borderId="185" xfId="1" applyNumberFormat="1" applyFont="1" applyFill="1" applyBorder="1" applyAlignment="1">
      <alignment horizontal="center" vertical="center"/>
    </xf>
    <xf numFmtId="3" fontId="26" fillId="5" borderId="188" xfId="1" applyNumberFormat="1" applyFont="1" applyFill="1" applyBorder="1" applyAlignment="1">
      <alignment horizontal="center" vertical="center"/>
    </xf>
    <xf numFmtId="10" fontId="39" fillId="5" borderId="188" xfId="1" applyNumberFormat="1" applyFont="1" applyFill="1" applyBorder="1" applyAlignment="1">
      <alignment horizontal="center" vertical="center"/>
    </xf>
    <xf numFmtId="10" fontId="67" fillId="5" borderId="188" xfId="1" applyNumberFormat="1" applyFont="1" applyFill="1" applyBorder="1" applyAlignment="1">
      <alignment horizontal="center" vertical="center"/>
    </xf>
    <xf numFmtId="10" fontId="26" fillId="5" borderId="188" xfId="1" applyNumberFormat="1" applyFont="1" applyFill="1" applyBorder="1" applyAlignment="1">
      <alignment horizontal="center" vertical="center"/>
    </xf>
    <xf numFmtId="3" fontId="27" fillId="5" borderId="180" xfId="1" applyNumberFormat="1" applyFont="1" applyFill="1" applyBorder="1" applyAlignment="1">
      <alignment horizontal="center" vertical="center"/>
    </xf>
    <xf numFmtId="4" fontId="81" fillId="0" borderId="189" xfId="0" applyNumberFormat="1" applyFont="1" applyFill="1" applyBorder="1" applyAlignment="1" applyProtection="1">
      <alignment horizontal="center" vertical="center"/>
    </xf>
    <xf numFmtId="3" fontId="27" fillId="5" borderId="182" xfId="1" applyNumberFormat="1" applyFont="1" applyFill="1" applyBorder="1" applyAlignment="1">
      <alignment horizontal="center" vertical="center"/>
    </xf>
    <xf numFmtId="4" fontId="81" fillId="0" borderId="190" xfId="0" applyNumberFormat="1" applyFont="1" applyFill="1" applyBorder="1" applyAlignment="1" applyProtection="1">
      <alignment horizontal="center" vertical="center"/>
    </xf>
    <xf numFmtId="9" fontId="27" fillId="0" borderId="181" xfId="7" applyFont="1" applyFill="1" applyBorder="1" applyAlignment="1">
      <alignment horizontal="center" vertical="center" wrapText="1"/>
    </xf>
    <xf numFmtId="9" fontId="36" fillId="0" borderId="179" xfId="7" applyFont="1" applyFill="1" applyBorder="1" applyAlignment="1">
      <alignment horizontal="center" vertical="center"/>
    </xf>
    <xf numFmtId="0" fontId="19" fillId="0" borderId="177" xfId="1" applyFont="1" applyFill="1" applyBorder="1" applyAlignment="1">
      <alignment horizontal="left" vertical="center"/>
    </xf>
    <xf numFmtId="3" fontId="26" fillId="5" borderId="178" xfId="1" applyNumberFormat="1" applyFont="1" applyFill="1" applyBorder="1" applyAlignment="1">
      <alignment horizontal="center" vertical="center"/>
    </xf>
    <xf numFmtId="3" fontId="26" fillId="5" borderId="177" xfId="1" applyNumberFormat="1" applyFont="1" applyFill="1" applyBorder="1" applyAlignment="1">
      <alignment horizontal="center" vertical="center"/>
    </xf>
    <xf numFmtId="3" fontId="26" fillId="5" borderId="184" xfId="1" applyNumberFormat="1" applyFont="1" applyFill="1" applyBorder="1" applyAlignment="1">
      <alignment horizontal="center" vertical="center"/>
    </xf>
    <xf numFmtId="9" fontId="67" fillId="0" borderId="179" xfId="7" applyFont="1" applyFill="1" applyBorder="1" applyAlignment="1">
      <alignment horizontal="center" vertical="center"/>
    </xf>
    <xf numFmtId="9" fontId="27" fillId="0" borderId="179" xfId="7" applyFont="1" applyFill="1" applyBorder="1" applyAlignment="1">
      <alignment horizontal="center" vertical="center"/>
    </xf>
    <xf numFmtId="0" fontId="24" fillId="4" borderId="185" xfId="1" applyFont="1" applyFill="1" applyBorder="1" applyAlignment="1">
      <alignment vertical="center"/>
    </xf>
    <xf numFmtId="3" fontId="24" fillId="4" borderId="187" xfId="1" applyNumberFormat="1" applyFont="1" applyFill="1" applyBorder="1" applyAlignment="1">
      <alignment horizontal="center" vertical="center"/>
    </xf>
    <xf numFmtId="3" fontId="24" fillId="4" borderId="185" xfId="1" applyNumberFormat="1" applyFont="1" applyFill="1" applyBorder="1" applyAlignment="1">
      <alignment horizontal="center" vertical="center"/>
    </xf>
    <xf numFmtId="4" fontId="29" fillId="4" borderId="185" xfId="1" applyNumberFormat="1" applyFont="1" applyFill="1" applyBorder="1" applyAlignment="1">
      <alignment horizontal="center" vertical="center"/>
    </xf>
    <xf numFmtId="4" fontId="24" fillId="4" borderId="185" xfId="1" applyNumberFormat="1" applyFont="1" applyFill="1" applyBorder="1" applyAlignment="1">
      <alignment horizontal="center" vertical="center"/>
    </xf>
    <xf numFmtId="4" fontId="68" fillId="4" borderId="185" xfId="1" applyNumberFormat="1" applyFont="1" applyFill="1" applyBorder="1" applyAlignment="1">
      <alignment horizontal="center" vertical="center"/>
    </xf>
    <xf numFmtId="0" fontId="19" fillId="0" borderId="180" xfId="1" applyFont="1" applyBorder="1" applyAlignment="1">
      <alignment vertical="center"/>
    </xf>
    <xf numFmtId="0" fontId="19" fillId="0" borderId="180" xfId="1" applyFont="1" applyBorder="1" applyAlignment="1">
      <alignment horizontal="left" vertical="center"/>
    </xf>
    <xf numFmtId="3" fontId="26" fillId="0" borderId="182" xfId="1" applyNumberFormat="1" applyFont="1" applyFill="1" applyBorder="1" applyAlignment="1">
      <alignment horizontal="center" vertical="center"/>
    </xf>
    <xf numFmtId="3" fontId="26" fillId="0" borderId="180" xfId="1" applyNumberFormat="1" applyFont="1" applyFill="1" applyBorder="1" applyAlignment="1">
      <alignment horizontal="center" vertical="center"/>
    </xf>
    <xf numFmtId="3" fontId="26" fillId="0" borderId="181" xfId="1" applyNumberFormat="1" applyFont="1" applyFill="1" applyBorder="1" applyAlignment="1">
      <alignment horizontal="center" vertical="center"/>
    </xf>
    <xf numFmtId="10" fontId="39" fillId="0" borderId="181" xfId="1" applyNumberFormat="1" applyFont="1" applyFill="1" applyBorder="1" applyAlignment="1">
      <alignment horizontal="center" vertical="center"/>
    </xf>
    <xf numFmtId="10" fontId="67" fillId="0" borderId="181" xfId="1" applyNumberFormat="1" applyFont="1" applyFill="1" applyBorder="1" applyAlignment="1">
      <alignment horizontal="center" vertical="center"/>
    </xf>
    <xf numFmtId="10" fontId="26" fillId="0" borderId="181" xfId="1" applyNumberFormat="1" applyFont="1" applyFill="1" applyBorder="1" applyAlignment="1">
      <alignment horizontal="center" vertical="center"/>
    </xf>
    <xf numFmtId="0" fontId="24" fillId="6" borderId="180" xfId="1" applyFont="1" applyFill="1" applyBorder="1" applyAlignment="1">
      <alignment vertical="center"/>
    </xf>
    <xf numFmtId="3" fontId="28" fillId="6" borderId="182" xfId="1" applyNumberFormat="1" applyFont="1" applyFill="1" applyBorder="1" applyAlignment="1">
      <alignment horizontal="center" vertical="center"/>
    </xf>
    <xf numFmtId="4" fontId="38" fillId="6" borderId="180" xfId="1" applyNumberFormat="1" applyFont="1" applyFill="1" applyBorder="1" applyAlignment="1">
      <alignment horizontal="center" vertical="center"/>
    </xf>
    <xf numFmtId="3" fontId="28" fillId="6" borderId="180" xfId="1" applyNumberFormat="1" applyFont="1" applyFill="1" applyBorder="1" applyAlignment="1">
      <alignment horizontal="center" vertical="center"/>
    </xf>
    <xf numFmtId="4" fontId="28" fillId="6" borderId="180" xfId="1" applyNumberFormat="1" applyFont="1" applyFill="1" applyBorder="1" applyAlignment="1">
      <alignment horizontal="center" vertical="center"/>
    </xf>
    <xf numFmtId="4" fontId="68" fillId="6" borderId="180" xfId="1" applyNumberFormat="1" applyFont="1" applyFill="1" applyBorder="1" applyAlignment="1">
      <alignment horizontal="center" vertical="center"/>
    </xf>
    <xf numFmtId="0" fontId="24" fillId="8" borderId="185" xfId="1" applyFont="1" applyFill="1" applyBorder="1" applyAlignment="1">
      <alignment vertical="center"/>
    </xf>
    <xf numFmtId="3" fontId="24" fillId="8" borderId="187" xfId="1" applyNumberFormat="1" applyFont="1" applyFill="1" applyBorder="1" applyAlignment="1">
      <alignment horizontal="center" vertical="center"/>
    </xf>
    <xf numFmtId="4" fontId="29" fillId="8" borderId="185" xfId="1" applyNumberFormat="1" applyFont="1" applyFill="1" applyBorder="1" applyAlignment="1">
      <alignment horizontal="center" vertical="center"/>
    </xf>
    <xf numFmtId="3" fontId="24" fillId="8" borderId="185" xfId="1" applyNumberFormat="1" applyFont="1" applyFill="1" applyBorder="1" applyAlignment="1">
      <alignment horizontal="center" vertical="center"/>
    </xf>
    <xf numFmtId="4" fontId="24" fillId="8" borderId="185" xfId="1" applyNumberFormat="1" applyFont="1" applyFill="1" applyBorder="1" applyAlignment="1">
      <alignment horizontal="center" vertical="center"/>
    </xf>
    <xf numFmtId="4" fontId="68" fillId="8" borderId="185" xfId="1" applyNumberFormat="1" applyFont="1" applyFill="1" applyBorder="1" applyAlignment="1">
      <alignment horizontal="center" vertical="center"/>
    </xf>
    <xf numFmtId="0" fontId="24" fillId="6" borderId="180" xfId="1" applyFont="1" applyFill="1" applyBorder="1" applyAlignment="1">
      <alignment vertical="center" wrapText="1"/>
    </xf>
    <xf numFmtId="3" fontId="24" fillId="6" borderId="182" xfId="1" applyNumberFormat="1" applyFont="1" applyFill="1" applyBorder="1" applyAlignment="1">
      <alignment horizontal="center" vertical="center"/>
    </xf>
    <xf numFmtId="3" fontId="24" fillId="6" borderId="180" xfId="1" applyNumberFormat="1" applyFont="1" applyFill="1" applyBorder="1" applyAlignment="1">
      <alignment horizontal="center" vertical="center"/>
    </xf>
    <xf numFmtId="4" fontId="29" fillId="6" borderId="180" xfId="1" applyNumberFormat="1" applyFont="1" applyFill="1" applyBorder="1" applyAlignment="1">
      <alignment horizontal="center" vertical="center"/>
    </xf>
    <xf numFmtId="4" fontId="24" fillId="6" borderId="180" xfId="1" applyNumberFormat="1" applyFont="1" applyFill="1" applyBorder="1" applyAlignment="1">
      <alignment horizontal="center" vertical="center"/>
    </xf>
    <xf numFmtId="0" fontId="24" fillId="3" borderId="185" xfId="1" applyFont="1" applyFill="1" applyBorder="1" applyAlignment="1">
      <alignment vertical="center"/>
    </xf>
    <xf numFmtId="9" fontId="24" fillId="3" borderId="187" xfId="7" applyFont="1" applyFill="1" applyBorder="1" applyAlignment="1">
      <alignment horizontal="center" vertical="center"/>
    </xf>
    <xf numFmtId="3" fontId="24" fillId="3" borderId="187" xfId="1" applyNumberFormat="1" applyFont="1" applyFill="1" applyBorder="1" applyAlignment="1">
      <alignment horizontal="center" vertical="center"/>
    </xf>
    <xf numFmtId="9" fontId="24" fillId="3" borderId="185" xfId="7" applyFont="1" applyFill="1" applyBorder="1" applyAlignment="1">
      <alignment horizontal="center" vertical="center"/>
    </xf>
    <xf numFmtId="10" fontId="29" fillId="3" borderId="185" xfId="1" applyNumberFormat="1" applyFont="1" applyFill="1" applyBorder="1" applyAlignment="1">
      <alignment horizontal="center" vertical="center"/>
    </xf>
    <xf numFmtId="10" fontId="24" fillId="3" borderId="185" xfId="1" applyNumberFormat="1" applyFont="1" applyFill="1" applyBorder="1" applyAlignment="1">
      <alignment horizontal="center" vertical="center"/>
    </xf>
    <xf numFmtId="10" fontId="68" fillId="3" borderId="185" xfId="1" applyNumberFormat="1" applyFont="1" applyFill="1" applyBorder="1" applyAlignment="1">
      <alignment horizontal="center" vertical="center"/>
    </xf>
    <xf numFmtId="0" fontId="19" fillId="0" borderId="177" xfId="1" applyFont="1" applyBorder="1" applyAlignment="1">
      <alignment vertical="center"/>
    </xf>
    <xf numFmtId="3" fontId="27" fillId="0" borderId="180" xfId="6" applyNumberFormat="1" applyFont="1" applyFill="1" applyBorder="1" applyAlignment="1">
      <alignment horizontal="center" vertical="center"/>
    </xf>
    <xf numFmtId="49" fontId="66" fillId="0" borderId="77" xfId="7" applyNumberFormat="1" applyFont="1" applyFill="1" applyBorder="1" applyAlignment="1">
      <alignment horizontal="center" vertical="center" wrapText="1"/>
    </xf>
    <xf numFmtId="4" fontId="174" fillId="0" borderId="0" xfId="1" applyNumberFormat="1" applyFont="1" applyAlignment="1">
      <alignment horizontal="center" vertical="center"/>
    </xf>
    <xf numFmtId="10" fontId="26" fillId="0" borderId="183" xfId="1" applyNumberFormat="1" applyFont="1" applyFill="1" applyBorder="1" applyAlignment="1">
      <alignment horizontal="center" vertical="center"/>
    </xf>
    <xf numFmtId="3" fontId="25" fillId="0" borderId="192" xfId="1" applyNumberFormat="1" applyFont="1" applyFill="1" applyBorder="1" applyAlignment="1">
      <alignment horizontal="center" vertical="center"/>
    </xf>
    <xf numFmtId="3" fontId="25" fillId="0" borderId="193" xfId="1" applyNumberFormat="1" applyFont="1" applyFill="1" applyBorder="1" applyAlignment="1">
      <alignment horizontal="center" vertical="center"/>
    </xf>
    <xf numFmtId="4" fontId="25" fillId="0" borderId="194" xfId="1" applyNumberFormat="1" applyFont="1" applyFill="1" applyBorder="1" applyAlignment="1">
      <alignment horizontal="center" vertical="center"/>
    </xf>
    <xf numFmtId="4" fontId="19" fillId="0" borderId="194" xfId="1" applyNumberFormat="1" applyFont="1" applyFill="1" applyBorder="1" applyAlignment="1">
      <alignment horizontal="center" vertical="center"/>
    </xf>
    <xf numFmtId="9" fontId="36" fillId="0" borderId="195" xfId="7" applyFont="1" applyFill="1" applyBorder="1" applyAlignment="1">
      <alignment horizontal="center" vertical="center"/>
    </xf>
    <xf numFmtId="0" fontId="19" fillId="0" borderId="196" xfId="1" applyFont="1" applyBorder="1" applyAlignment="1">
      <alignment vertical="center"/>
    </xf>
    <xf numFmtId="3" fontId="27" fillId="0" borderId="197" xfId="1" applyNumberFormat="1" applyFont="1" applyFill="1" applyBorder="1" applyAlignment="1">
      <alignment horizontal="center" vertical="center"/>
    </xf>
    <xf numFmtId="0" fontId="19" fillId="0" borderId="196" xfId="1" applyFont="1" applyFill="1" applyBorder="1" applyAlignment="1">
      <alignment vertical="center"/>
    </xf>
    <xf numFmtId="9" fontId="27" fillId="0" borderId="195" xfId="7" applyFont="1" applyFill="1" applyBorder="1" applyAlignment="1">
      <alignment horizontal="center" vertical="center"/>
    </xf>
    <xf numFmtId="3" fontId="27" fillId="5" borderId="196" xfId="1" applyNumberFormat="1" applyFont="1" applyFill="1" applyBorder="1" applyAlignment="1">
      <alignment horizontal="center" vertical="center"/>
    </xf>
    <xf numFmtId="0" fontId="19" fillId="0" borderId="193" xfId="1" applyFont="1" applyBorder="1" applyAlignment="1">
      <alignment vertical="center"/>
    </xf>
    <xf numFmtId="3" fontId="27" fillId="0" borderId="191" xfId="1" applyNumberFormat="1" applyFont="1" applyFill="1" applyBorder="1" applyAlignment="1">
      <alignment horizontal="center" vertical="center"/>
    </xf>
    <xf numFmtId="3" fontId="27" fillId="0" borderId="192" xfId="1" applyNumberFormat="1" applyFont="1" applyFill="1" applyBorder="1" applyAlignment="1">
      <alignment horizontal="center" vertical="center"/>
    </xf>
    <xf numFmtId="4" fontId="24" fillId="11" borderId="197" xfId="1" applyNumberFormat="1" applyFont="1" applyFill="1" applyBorder="1" applyAlignment="1">
      <alignment horizontal="center" vertical="center"/>
    </xf>
    <xf numFmtId="4" fontId="24" fillId="11" borderId="196" xfId="1" applyNumberFormat="1" applyFont="1" applyFill="1" applyBorder="1" applyAlignment="1">
      <alignment horizontal="center" vertical="center"/>
    </xf>
    <xf numFmtId="4" fontId="29" fillId="11" borderId="196" xfId="1" applyNumberFormat="1" applyFont="1" applyFill="1" applyBorder="1" applyAlignment="1">
      <alignment horizontal="center" vertical="center"/>
    </xf>
    <xf numFmtId="4" fontId="65" fillId="11" borderId="196" xfId="1" applyNumberFormat="1" applyFont="1" applyFill="1" applyBorder="1" applyAlignment="1">
      <alignment horizontal="center" vertical="center"/>
    </xf>
    <xf numFmtId="4" fontId="27" fillId="0" borderId="197" xfId="1" applyNumberFormat="1" applyFont="1" applyFill="1" applyBorder="1" applyAlignment="1">
      <alignment horizontal="center" vertical="center"/>
    </xf>
    <xf numFmtId="4" fontId="27" fillId="0" borderId="196" xfId="1" applyNumberFormat="1" applyFont="1" applyFill="1" applyBorder="1" applyAlignment="1">
      <alignment horizontal="center" vertical="center"/>
    </xf>
    <xf numFmtId="0" fontId="27" fillId="0" borderId="195" xfId="1" applyNumberFormat="1" applyFont="1" applyFill="1" applyBorder="1" applyAlignment="1">
      <alignment horizontal="center" vertical="center"/>
    </xf>
    <xf numFmtId="9" fontId="36" fillId="4" borderId="195" xfId="7" applyFont="1" applyFill="1" applyBorder="1" applyAlignment="1">
      <alignment horizontal="center" vertical="center"/>
    </xf>
    <xf numFmtId="3" fontId="27" fillId="0" borderId="196" xfId="1" applyNumberFormat="1" applyFont="1" applyFill="1" applyBorder="1" applyAlignment="1">
      <alignment horizontal="center" vertical="center"/>
    </xf>
    <xf numFmtId="9" fontId="67" fillId="0" borderId="195" xfId="7" applyFont="1" applyFill="1" applyBorder="1" applyAlignment="1">
      <alignment horizontal="center" vertical="center"/>
    </xf>
    <xf numFmtId="3" fontId="27" fillId="0" borderId="193" xfId="1" applyNumberFormat="1" applyFont="1" applyFill="1" applyBorder="1" applyAlignment="1">
      <alignment horizontal="center" vertical="center"/>
    </xf>
    <xf numFmtId="3" fontId="27" fillId="0" borderId="194" xfId="1" applyNumberFormat="1" applyFont="1" applyFill="1" applyBorder="1" applyAlignment="1">
      <alignment horizontal="center" vertical="center"/>
    </xf>
    <xf numFmtId="10" fontId="36" fillId="0" borderId="194" xfId="1" applyNumberFormat="1" applyFont="1" applyFill="1" applyBorder="1" applyAlignment="1">
      <alignment horizontal="center" vertical="center"/>
    </xf>
    <xf numFmtId="0" fontId="36" fillId="0" borderId="195" xfId="1" applyNumberFormat="1" applyFont="1" applyFill="1" applyBorder="1" applyAlignment="1">
      <alignment horizontal="center" vertical="center"/>
    </xf>
    <xf numFmtId="0" fontId="67" fillId="0" borderId="195" xfId="1" applyNumberFormat="1" applyFont="1" applyFill="1" applyBorder="1" applyAlignment="1">
      <alignment horizontal="center" vertical="center"/>
    </xf>
    <xf numFmtId="3" fontId="27" fillId="5" borderId="197" xfId="1" applyNumberFormat="1" applyFont="1" applyFill="1" applyBorder="1" applyAlignment="1">
      <alignment horizontal="center" vertical="center"/>
    </xf>
    <xf numFmtId="9" fontId="27" fillId="0" borderId="195" xfId="7" applyFont="1" applyFill="1" applyBorder="1" applyAlignment="1">
      <alignment horizontal="center" vertical="center" wrapText="1"/>
    </xf>
    <xf numFmtId="9" fontId="36" fillId="0" borderId="194" xfId="7" applyFont="1" applyFill="1" applyBorder="1" applyAlignment="1">
      <alignment horizontal="center" vertical="center"/>
    </xf>
    <xf numFmtId="3" fontId="26" fillId="5" borderId="192" xfId="1" applyNumberFormat="1" applyFont="1" applyFill="1" applyBorder="1" applyAlignment="1">
      <alignment horizontal="center" vertical="center"/>
    </xf>
    <xf numFmtId="3" fontId="26" fillId="5" borderId="193" xfId="1" applyNumberFormat="1" applyFont="1" applyFill="1" applyBorder="1" applyAlignment="1">
      <alignment horizontal="center" vertical="center"/>
    </xf>
    <xf numFmtId="9" fontId="67" fillId="0" borderId="194" xfId="7" applyFont="1" applyFill="1" applyBorder="1" applyAlignment="1">
      <alignment horizontal="center" vertical="center"/>
    </xf>
    <xf numFmtId="9" fontId="27" fillId="0" borderId="194" xfId="7" applyFont="1" applyFill="1" applyBorder="1" applyAlignment="1">
      <alignment horizontal="center" vertical="center"/>
    </xf>
    <xf numFmtId="3" fontId="26" fillId="0" borderId="197" xfId="1" applyNumberFormat="1" applyFont="1" applyFill="1" applyBorder="1" applyAlignment="1">
      <alignment horizontal="center" vertical="center"/>
    </xf>
    <xf numFmtId="3" fontId="26" fillId="0" borderId="196" xfId="1" applyNumberFormat="1" applyFont="1" applyFill="1" applyBorder="1" applyAlignment="1">
      <alignment horizontal="center" vertical="center"/>
    </xf>
    <xf numFmtId="3" fontId="26" fillId="0" borderId="195" xfId="1" applyNumberFormat="1" applyFont="1" applyFill="1" applyBorder="1" applyAlignment="1">
      <alignment horizontal="center" vertical="center"/>
    </xf>
    <xf numFmtId="10" fontId="39" fillId="0" borderId="195" xfId="1" applyNumberFormat="1" applyFont="1" applyFill="1" applyBorder="1" applyAlignment="1">
      <alignment horizontal="center" vertical="center"/>
    </xf>
    <xf numFmtId="10" fontId="26" fillId="0" borderId="195" xfId="1" applyNumberFormat="1" applyFont="1" applyFill="1" applyBorder="1" applyAlignment="1">
      <alignment horizontal="center" vertical="center"/>
    </xf>
    <xf numFmtId="10" fontId="67" fillId="0" borderId="195" xfId="1" applyNumberFormat="1" applyFont="1" applyFill="1" applyBorder="1" applyAlignment="1">
      <alignment horizontal="center" vertical="center"/>
    </xf>
    <xf numFmtId="3" fontId="28" fillId="6" borderId="197" xfId="1" applyNumberFormat="1" applyFont="1" applyFill="1" applyBorder="1" applyAlignment="1">
      <alignment horizontal="center" vertical="center"/>
    </xf>
    <xf numFmtId="4" fontId="38" fillId="6" borderId="196" xfId="1" applyNumberFormat="1" applyFont="1" applyFill="1" applyBorder="1" applyAlignment="1">
      <alignment horizontal="center" vertical="center"/>
    </xf>
    <xf numFmtId="3" fontId="28" fillId="6" borderId="196" xfId="1" applyNumberFormat="1" applyFont="1" applyFill="1" applyBorder="1" applyAlignment="1">
      <alignment horizontal="center" vertical="center"/>
    </xf>
    <xf numFmtId="4" fontId="28" fillId="6" borderId="196" xfId="1" applyNumberFormat="1" applyFont="1" applyFill="1" applyBorder="1" applyAlignment="1">
      <alignment horizontal="center" vertical="center"/>
    </xf>
    <xf numFmtId="4" fontId="68" fillId="6" borderId="196" xfId="1" applyNumberFormat="1" applyFont="1" applyFill="1" applyBorder="1" applyAlignment="1">
      <alignment horizontal="center" vertical="center"/>
    </xf>
    <xf numFmtId="3" fontId="24" fillId="6" borderId="197" xfId="1" applyNumberFormat="1" applyFont="1" applyFill="1" applyBorder="1" applyAlignment="1">
      <alignment horizontal="center" vertical="center"/>
    </xf>
    <xf numFmtId="3" fontId="24" fillId="6" borderId="196" xfId="1" applyNumberFormat="1" applyFont="1" applyFill="1" applyBorder="1" applyAlignment="1">
      <alignment horizontal="center" vertical="center"/>
    </xf>
    <xf numFmtId="4" fontId="29" fillId="6" borderId="196" xfId="1" applyNumberFormat="1" applyFont="1" applyFill="1" applyBorder="1" applyAlignment="1">
      <alignment horizontal="center" vertical="center"/>
    </xf>
    <xf numFmtId="4" fontId="24" fillId="6" borderId="196" xfId="1" applyNumberFormat="1" applyFont="1" applyFill="1" applyBorder="1" applyAlignment="1">
      <alignment horizontal="center" vertical="center"/>
    </xf>
    <xf numFmtId="0" fontId="19" fillId="0" borderId="198" xfId="1" applyFont="1" applyBorder="1" applyAlignment="1">
      <alignment vertical="center"/>
    </xf>
    <xf numFmtId="3" fontId="27" fillId="0" borderId="199" xfId="1" applyNumberFormat="1" applyFont="1" applyFill="1" applyBorder="1" applyAlignment="1">
      <alignment horizontal="center" vertical="center"/>
    </xf>
    <xf numFmtId="4" fontId="25" fillId="0" borderId="198" xfId="1" applyNumberFormat="1" applyFont="1" applyFill="1" applyBorder="1" applyAlignment="1">
      <alignment horizontal="center" vertical="center"/>
    </xf>
    <xf numFmtId="0" fontId="19" fillId="0" borderId="198" xfId="1" applyFont="1" applyBorder="1" applyAlignment="1">
      <alignment horizontal="left" vertical="center"/>
    </xf>
    <xf numFmtId="4" fontId="27" fillId="0" borderId="199" xfId="1" applyNumberFormat="1" applyFont="1" applyFill="1" applyBorder="1" applyAlignment="1">
      <alignment horizontal="center" vertical="center"/>
    </xf>
    <xf numFmtId="4" fontId="27" fillId="0" borderId="198" xfId="1" applyNumberFormat="1" applyFont="1" applyFill="1" applyBorder="1" applyAlignment="1">
      <alignment horizontal="center" vertical="center"/>
    </xf>
    <xf numFmtId="10" fontId="24" fillId="0" borderId="198" xfId="1" applyNumberFormat="1" applyFont="1" applyFill="1" applyBorder="1" applyAlignment="1">
      <alignment horizontal="center" vertical="center"/>
    </xf>
    <xf numFmtId="3" fontId="26" fillId="5" borderId="199" xfId="1" applyNumberFormat="1" applyFont="1" applyFill="1" applyBorder="1" applyAlignment="1">
      <alignment horizontal="center" vertical="center"/>
    </xf>
    <xf numFmtId="3" fontId="26" fillId="5" borderId="198" xfId="1" applyNumberFormat="1" applyFont="1" applyFill="1" applyBorder="1" applyAlignment="1">
      <alignment horizontal="center" vertical="center"/>
    </xf>
    <xf numFmtId="0" fontId="24" fillId="4" borderId="198" xfId="1" applyFont="1" applyFill="1" applyBorder="1" applyAlignment="1">
      <alignment vertical="center"/>
    </xf>
    <xf numFmtId="3" fontId="24" fillId="4" borderId="199" xfId="1" applyNumberFormat="1" applyFont="1" applyFill="1" applyBorder="1" applyAlignment="1">
      <alignment horizontal="center" vertical="center"/>
    </xf>
    <xf numFmtId="3" fontId="24" fillId="4" borderId="198" xfId="1" applyNumberFormat="1" applyFont="1" applyFill="1" applyBorder="1" applyAlignment="1">
      <alignment horizontal="center" vertical="center"/>
    </xf>
    <xf numFmtId="4" fontId="29" fillId="4" borderId="198" xfId="1" applyNumberFormat="1" applyFont="1" applyFill="1" applyBorder="1" applyAlignment="1">
      <alignment horizontal="center" vertical="center"/>
    </xf>
    <xf numFmtId="4" fontId="24" fillId="4" borderId="198" xfId="1" applyNumberFormat="1" applyFont="1" applyFill="1" applyBorder="1" applyAlignment="1">
      <alignment horizontal="center" vertical="center"/>
    </xf>
    <xf numFmtId="4" fontId="68" fillId="4" borderId="198" xfId="1" applyNumberFormat="1" applyFont="1" applyFill="1" applyBorder="1" applyAlignment="1">
      <alignment horizontal="center" vertical="center"/>
    </xf>
    <xf numFmtId="0" fontId="24" fillId="8" borderId="198" xfId="1" applyFont="1" applyFill="1" applyBorder="1" applyAlignment="1">
      <alignment vertical="center"/>
    </xf>
    <xf numFmtId="3" fontId="24" fillId="8" borderId="199" xfId="1" applyNumberFormat="1" applyFont="1" applyFill="1" applyBorder="1" applyAlignment="1">
      <alignment horizontal="center" vertical="center"/>
    </xf>
    <xf numFmtId="4" fontId="29" fillId="8" borderId="198" xfId="1" applyNumberFormat="1" applyFont="1" applyFill="1" applyBorder="1" applyAlignment="1">
      <alignment horizontal="center" vertical="center"/>
    </xf>
    <xf numFmtId="3" fontId="24" fillId="8" borderId="198" xfId="1" applyNumberFormat="1" applyFont="1" applyFill="1" applyBorder="1" applyAlignment="1">
      <alignment horizontal="center" vertical="center"/>
    </xf>
    <xf numFmtId="4" fontId="24" fillId="8" borderId="198" xfId="1" applyNumberFormat="1" applyFont="1" applyFill="1" applyBorder="1" applyAlignment="1">
      <alignment horizontal="center" vertical="center"/>
    </xf>
    <xf numFmtId="4" fontId="68" fillId="8" borderId="198" xfId="1" applyNumberFormat="1" applyFont="1" applyFill="1" applyBorder="1" applyAlignment="1">
      <alignment horizontal="center" vertical="center"/>
    </xf>
    <xf numFmtId="0" fontId="24" fillId="3" borderId="198" xfId="1" applyFont="1" applyFill="1" applyBorder="1" applyAlignment="1">
      <alignment vertical="center"/>
    </xf>
    <xf numFmtId="9" fontId="24" fillId="3" borderId="199" xfId="7" applyFont="1" applyFill="1" applyBorder="1" applyAlignment="1">
      <alignment horizontal="center" vertical="center"/>
    </xf>
    <xf numFmtId="3" fontId="24" fillId="3" borderId="199" xfId="1" applyNumberFormat="1" applyFont="1" applyFill="1" applyBorder="1" applyAlignment="1">
      <alignment horizontal="center" vertical="center"/>
    </xf>
    <xf numFmtId="9" fontId="24" fillId="3" borderId="198" xfId="7" applyFont="1" applyFill="1" applyBorder="1" applyAlignment="1">
      <alignment horizontal="center" vertical="center"/>
    </xf>
    <xf numFmtId="10" fontId="29" fillId="3" borderId="198" xfId="1" applyNumberFormat="1" applyFont="1" applyFill="1" applyBorder="1" applyAlignment="1">
      <alignment horizontal="center" vertical="center"/>
    </xf>
    <xf numFmtId="10" fontId="24" fillId="3" borderId="198" xfId="1" applyNumberFormat="1" applyFont="1" applyFill="1" applyBorder="1" applyAlignment="1">
      <alignment horizontal="center" vertical="center"/>
    </xf>
    <xf numFmtId="10" fontId="68" fillId="3" borderId="198" xfId="1" applyNumberFormat="1" applyFont="1" applyFill="1" applyBorder="1" applyAlignment="1">
      <alignment horizontal="center" vertical="center"/>
    </xf>
    <xf numFmtId="9" fontId="36" fillId="0" borderId="202" xfId="7" applyFont="1" applyFill="1" applyBorder="1" applyAlignment="1">
      <alignment horizontal="center" vertical="center"/>
    </xf>
    <xf numFmtId="9" fontId="26" fillId="0" borderId="202" xfId="7" applyFont="1" applyFill="1" applyBorder="1" applyAlignment="1">
      <alignment horizontal="center" vertical="center"/>
    </xf>
    <xf numFmtId="9" fontId="27" fillId="0" borderId="202" xfId="7" applyFont="1" applyFill="1" applyBorder="1" applyAlignment="1">
      <alignment horizontal="center" vertical="center"/>
    </xf>
    <xf numFmtId="4" fontId="108" fillId="0" borderId="200" xfId="8809" applyNumberFormat="1" applyFont="1" applyBorder="1" applyAlignment="1">
      <alignment horizontal="right" vertical="top"/>
    </xf>
    <xf numFmtId="0" fontId="19" fillId="0" borderId="203" xfId="1" applyFont="1" applyBorder="1" applyAlignment="1">
      <alignment horizontal="left" vertical="center"/>
    </xf>
    <xf numFmtId="3" fontId="25" fillId="0" borderId="204" xfId="1" applyNumberFormat="1" applyFont="1" applyFill="1" applyBorder="1" applyAlignment="1">
      <alignment horizontal="center" vertical="center"/>
    </xf>
    <xf numFmtId="3" fontId="25" fillId="0" borderId="205" xfId="1" applyNumberFormat="1" applyFont="1" applyFill="1" applyBorder="1" applyAlignment="1">
      <alignment horizontal="center" vertical="center"/>
    </xf>
    <xf numFmtId="4" fontId="25" fillId="0" borderId="206" xfId="1" applyNumberFormat="1" applyFont="1" applyFill="1" applyBorder="1" applyAlignment="1">
      <alignment horizontal="center" vertical="center"/>
    </xf>
    <xf numFmtId="4" fontId="19" fillId="0" borderId="206" xfId="1" applyNumberFormat="1" applyFont="1" applyFill="1" applyBorder="1" applyAlignment="1">
      <alignment horizontal="center" vertical="center"/>
    </xf>
    <xf numFmtId="9" fontId="36" fillId="0" borderId="207" xfId="7" applyFont="1" applyFill="1" applyBorder="1" applyAlignment="1">
      <alignment horizontal="center" vertical="center"/>
    </xf>
    <xf numFmtId="9" fontId="132" fillId="0" borderId="207" xfId="7" applyFont="1" applyFill="1" applyBorder="1" applyAlignment="1">
      <alignment horizontal="center" vertical="center"/>
    </xf>
    <xf numFmtId="0" fontId="19" fillId="0" borderId="208" xfId="1" applyFont="1" applyBorder="1" applyAlignment="1">
      <alignment vertical="center"/>
    </xf>
    <xf numFmtId="3" fontId="27" fillId="0" borderId="209" xfId="1" applyNumberFormat="1" applyFont="1" applyFill="1" applyBorder="1" applyAlignment="1">
      <alignment horizontal="center" vertical="center"/>
    </xf>
    <xf numFmtId="3" fontId="58" fillId="0" borderId="210" xfId="47" applyNumberFormat="1" applyFont="1" applyFill="1" applyBorder="1" applyAlignment="1">
      <alignment horizontal="center" vertical="center"/>
    </xf>
    <xf numFmtId="4" fontId="108" fillId="0" borderId="211" xfId="8809" applyNumberFormat="1" applyFont="1" applyBorder="1" applyAlignment="1">
      <alignment horizontal="right" vertical="top"/>
    </xf>
    <xf numFmtId="3" fontId="27" fillId="0" borderId="210" xfId="1" applyNumberFormat="1" applyFont="1" applyFill="1" applyBorder="1" applyAlignment="1">
      <alignment horizontal="center" vertical="center"/>
    </xf>
    <xf numFmtId="4" fontId="108" fillId="0" borderId="211" xfId="8809" applyNumberFormat="1" applyFont="1" applyBorder="1" applyAlignment="1">
      <alignment horizontal="center" vertical="center"/>
    </xf>
    <xf numFmtId="0" fontId="19" fillId="0" borderId="208" xfId="1" applyFont="1" applyFill="1" applyBorder="1" applyAlignment="1">
      <alignment vertical="center"/>
    </xf>
    <xf numFmtId="9" fontId="27" fillId="0" borderId="207" xfId="7" applyFont="1" applyFill="1" applyBorder="1" applyAlignment="1">
      <alignment horizontal="center" vertical="center"/>
    </xf>
    <xf numFmtId="3" fontId="27" fillId="5" borderId="208" xfId="1" applyNumberFormat="1" applyFont="1" applyFill="1" applyBorder="1" applyAlignment="1">
      <alignment horizontal="center" vertical="center"/>
    </xf>
    <xf numFmtId="0" fontId="19" fillId="0" borderId="205" xfId="1" applyFont="1" applyBorder="1" applyAlignment="1">
      <alignment vertical="center"/>
    </xf>
    <xf numFmtId="3" fontId="27" fillId="0" borderId="203" xfId="1" applyNumberFormat="1" applyFont="1" applyFill="1" applyBorder="1" applyAlignment="1">
      <alignment horizontal="center" vertical="center"/>
    </xf>
    <xf numFmtId="3" fontId="27" fillId="0" borderId="204" xfId="1" applyNumberFormat="1" applyFont="1" applyFill="1" applyBorder="1" applyAlignment="1">
      <alignment horizontal="center" vertical="center"/>
    </xf>
    <xf numFmtId="9" fontId="26" fillId="0" borderId="207" xfId="7" applyFont="1" applyFill="1" applyBorder="1" applyAlignment="1">
      <alignment horizontal="center" vertical="center"/>
    </xf>
    <xf numFmtId="0" fontId="19" fillId="0" borderId="212" xfId="1" applyFont="1" applyBorder="1" applyAlignment="1">
      <alignment vertical="center"/>
    </xf>
    <xf numFmtId="3" fontId="27" fillId="0" borderId="213" xfId="1" applyNumberFormat="1" applyFont="1" applyFill="1" applyBorder="1" applyAlignment="1">
      <alignment horizontal="center" vertical="center"/>
    </xf>
    <xf numFmtId="3" fontId="27" fillId="0" borderId="214" xfId="1" applyNumberFormat="1" applyFont="1" applyFill="1" applyBorder="1" applyAlignment="1">
      <alignment horizontal="center" vertical="center"/>
    </xf>
    <xf numFmtId="9" fontId="36" fillId="0" borderId="215" xfId="7" applyFont="1" applyFill="1" applyBorder="1" applyAlignment="1">
      <alignment horizontal="center" vertical="center"/>
    </xf>
    <xf numFmtId="9" fontId="26" fillId="0" borderId="215" xfId="7" applyFont="1" applyFill="1" applyBorder="1" applyAlignment="1">
      <alignment horizontal="center" vertical="center"/>
    </xf>
    <xf numFmtId="4" fontId="25" fillId="0" borderId="212" xfId="1" applyNumberFormat="1" applyFont="1" applyFill="1" applyBorder="1" applyAlignment="1">
      <alignment horizontal="center" vertical="center"/>
    </xf>
    <xf numFmtId="4" fontId="25" fillId="0" borderId="215" xfId="1" applyNumberFormat="1" applyFont="1" applyFill="1" applyBorder="1" applyAlignment="1">
      <alignment horizontal="center" vertical="center"/>
    </xf>
    <xf numFmtId="9" fontId="27" fillId="0" borderId="215" xfId="7" applyFont="1" applyFill="1" applyBorder="1" applyAlignment="1">
      <alignment horizontal="center" vertical="center"/>
    </xf>
    <xf numFmtId="0" fontId="24" fillId="11" borderId="210" xfId="1" applyFont="1" applyFill="1" applyBorder="1" applyAlignment="1">
      <alignment vertical="center"/>
    </xf>
    <xf numFmtId="4" fontId="24" fillId="11" borderId="209" xfId="1" applyNumberFormat="1" applyFont="1" applyFill="1" applyBorder="1" applyAlignment="1">
      <alignment horizontal="center" vertical="center"/>
    </xf>
    <xf numFmtId="4" fontId="24" fillId="11" borderId="208" xfId="1" applyNumberFormat="1" applyFont="1" applyFill="1" applyBorder="1" applyAlignment="1">
      <alignment horizontal="center" vertical="center"/>
    </xf>
    <xf numFmtId="4" fontId="29" fillId="11" borderId="208" xfId="1" applyNumberFormat="1" applyFont="1" applyFill="1" applyBorder="1" applyAlignment="1">
      <alignment horizontal="center" vertical="center"/>
    </xf>
    <xf numFmtId="4" fontId="29" fillId="11" borderId="209" xfId="1" applyNumberFormat="1" applyFont="1" applyFill="1" applyBorder="1" applyAlignment="1">
      <alignment horizontal="center" vertical="center"/>
    </xf>
    <xf numFmtId="4" fontId="65" fillId="11" borderId="208" xfId="1" applyNumberFormat="1" applyFont="1" applyFill="1" applyBorder="1" applyAlignment="1">
      <alignment horizontal="center" vertical="center"/>
    </xf>
    <xf numFmtId="0" fontId="19" fillId="0" borderId="210" xfId="1" applyFont="1" applyFill="1" applyBorder="1" applyAlignment="1">
      <alignment horizontal="left" vertical="center"/>
    </xf>
    <xf numFmtId="4" fontId="27" fillId="0" borderId="209" xfId="1" applyNumberFormat="1" applyFont="1" applyFill="1" applyBorder="1" applyAlignment="1">
      <alignment horizontal="center" vertical="center"/>
    </xf>
    <xf numFmtId="4" fontId="27" fillId="0" borderId="208" xfId="1" applyNumberFormat="1" applyFont="1" applyFill="1" applyBorder="1" applyAlignment="1">
      <alignment horizontal="center" vertical="center"/>
    </xf>
    <xf numFmtId="0" fontId="26" fillId="0" borderId="207" xfId="1" applyNumberFormat="1" applyFont="1" applyFill="1" applyBorder="1" applyAlignment="1">
      <alignment horizontal="center" vertical="center"/>
    </xf>
    <xf numFmtId="0" fontId="27" fillId="0" borderId="207" xfId="1" applyNumberFormat="1" applyFont="1" applyFill="1" applyBorder="1" applyAlignment="1">
      <alignment horizontal="center" vertical="center"/>
    </xf>
    <xf numFmtId="0" fontId="19" fillId="0" borderId="213" xfId="1" applyFont="1" applyBorder="1" applyAlignment="1">
      <alignment horizontal="left" vertical="center"/>
    </xf>
    <xf numFmtId="4" fontId="27" fillId="0" borderId="214" xfId="1" applyNumberFormat="1" applyFont="1" applyFill="1" applyBorder="1" applyAlignment="1">
      <alignment horizontal="center" vertical="center"/>
    </xf>
    <xf numFmtId="4" fontId="27" fillId="0" borderId="212" xfId="1" applyNumberFormat="1" applyFont="1" applyFill="1" applyBorder="1" applyAlignment="1">
      <alignment horizontal="center" vertical="center"/>
    </xf>
    <xf numFmtId="10" fontId="27" fillId="0" borderId="215" xfId="1" applyNumberFormat="1" applyFont="1" applyFill="1" applyBorder="1" applyAlignment="1">
      <alignment horizontal="center" vertical="center"/>
    </xf>
    <xf numFmtId="10" fontId="36" fillId="0" borderId="215" xfId="1" applyNumberFormat="1" applyFont="1" applyFill="1" applyBorder="1" applyAlignment="1">
      <alignment horizontal="center" vertical="center"/>
    </xf>
    <xf numFmtId="10" fontId="26" fillId="0" borderId="215" xfId="1" applyNumberFormat="1" applyFont="1" applyFill="1" applyBorder="1" applyAlignment="1">
      <alignment horizontal="center" vertical="center"/>
    </xf>
    <xf numFmtId="0" fontId="24" fillId="0" borderId="213" xfId="1" applyFont="1" applyFill="1" applyBorder="1" applyAlignment="1">
      <alignment vertical="center"/>
    </xf>
    <xf numFmtId="10" fontId="24" fillId="0" borderId="214" xfId="1" applyNumberFormat="1" applyFont="1" applyFill="1" applyBorder="1" applyAlignment="1">
      <alignment horizontal="center" vertical="center"/>
    </xf>
    <xf numFmtId="10" fontId="24" fillId="0" borderId="212" xfId="1" applyNumberFormat="1" applyFont="1" applyFill="1" applyBorder="1" applyAlignment="1">
      <alignment horizontal="center" vertical="center"/>
    </xf>
    <xf numFmtId="10" fontId="24" fillId="0" borderId="215" xfId="1" applyNumberFormat="1" applyFont="1" applyFill="1" applyBorder="1" applyAlignment="1">
      <alignment horizontal="center" vertical="center"/>
    </xf>
    <xf numFmtId="10" fontId="29" fillId="0" borderId="215" xfId="1" applyNumberFormat="1" applyFont="1" applyFill="1" applyBorder="1" applyAlignment="1">
      <alignment horizontal="center" vertical="center"/>
    </xf>
    <xf numFmtId="10" fontId="65" fillId="0" borderId="215" xfId="1" applyNumberFormat="1" applyFont="1" applyFill="1" applyBorder="1" applyAlignment="1">
      <alignment horizontal="center" vertical="center"/>
    </xf>
    <xf numFmtId="4" fontId="29" fillId="0" borderId="212" xfId="1" applyNumberFormat="1" applyFont="1" applyFill="1" applyBorder="1" applyAlignment="1">
      <alignment horizontal="center" vertical="center"/>
    </xf>
    <xf numFmtId="9" fontId="36" fillId="4" borderId="207" xfId="7" applyFont="1" applyFill="1" applyBorder="1" applyAlignment="1">
      <alignment horizontal="center" vertical="center"/>
    </xf>
    <xf numFmtId="0" fontId="19" fillId="0" borderId="210" xfId="1" applyFont="1" applyFill="1" applyBorder="1" applyAlignment="1">
      <alignment vertical="center"/>
    </xf>
    <xf numFmtId="3" fontId="27" fillId="0" borderId="208" xfId="1" applyNumberFormat="1" applyFont="1" applyFill="1" applyBorder="1" applyAlignment="1">
      <alignment horizontal="center" vertical="center"/>
    </xf>
    <xf numFmtId="3" fontId="27" fillId="0" borderId="208" xfId="6" applyNumberFormat="1" applyFont="1" applyFill="1" applyBorder="1" applyAlignment="1">
      <alignment horizontal="center" vertical="center"/>
    </xf>
    <xf numFmtId="9" fontId="67" fillId="0" borderId="207" xfId="7" applyFont="1" applyFill="1" applyBorder="1" applyAlignment="1">
      <alignment horizontal="center" vertical="center"/>
    </xf>
    <xf numFmtId="0" fontId="19" fillId="0" borderId="203" xfId="1" applyFont="1" applyFill="1" applyBorder="1" applyAlignment="1">
      <alignment vertical="center"/>
    </xf>
    <xf numFmtId="3" fontId="27" fillId="0" borderId="205" xfId="1" applyNumberFormat="1" applyFont="1" applyFill="1" applyBorder="1" applyAlignment="1">
      <alignment horizontal="center" vertical="center"/>
    </xf>
    <xf numFmtId="3" fontId="27" fillId="0" borderId="206" xfId="1" applyNumberFormat="1" applyFont="1" applyFill="1" applyBorder="1" applyAlignment="1">
      <alignment horizontal="center" vertical="center"/>
    </xf>
    <xf numFmtId="10" fontId="36" fillId="0" borderId="206" xfId="1" applyNumberFormat="1" applyFont="1" applyFill="1" applyBorder="1" applyAlignment="1">
      <alignment horizontal="center" vertical="center"/>
    </xf>
    <xf numFmtId="10" fontId="67" fillId="0" borderId="215" xfId="1" applyNumberFormat="1" applyFont="1" applyFill="1" applyBorder="1" applyAlignment="1">
      <alignment horizontal="center" vertical="center"/>
    </xf>
    <xf numFmtId="0" fontId="36" fillId="0" borderId="207" xfId="1" applyNumberFormat="1" applyFont="1" applyFill="1" applyBorder="1" applyAlignment="1">
      <alignment horizontal="center" vertical="center"/>
    </xf>
    <xf numFmtId="0" fontId="67" fillId="0" borderId="207" xfId="1" applyNumberFormat="1" applyFont="1" applyFill="1" applyBorder="1" applyAlignment="1">
      <alignment horizontal="center" vertical="center"/>
    </xf>
    <xf numFmtId="0" fontId="19" fillId="0" borderId="213" xfId="1" applyFont="1" applyBorder="1" applyAlignment="1">
      <alignment vertical="center"/>
    </xf>
    <xf numFmtId="3" fontId="26" fillId="5" borderId="214" xfId="1" applyNumberFormat="1" applyFont="1" applyFill="1" applyBorder="1" applyAlignment="1">
      <alignment horizontal="center" vertical="center"/>
    </xf>
    <xf numFmtId="3" fontId="26" fillId="5" borderId="212" xfId="1" applyNumberFormat="1" applyFont="1" applyFill="1" applyBorder="1" applyAlignment="1">
      <alignment horizontal="center" vertical="center"/>
    </xf>
    <xf numFmtId="3" fontId="26" fillId="5" borderId="215" xfId="1" applyNumberFormat="1" applyFont="1" applyFill="1" applyBorder="1" applyAlignment="1">
      <alignment horizontal="center" vertical="center"/>
    </xf>
    <xf numFmtId="10" fontId="39" fillId="5" borderId="215" xfId="1" applyNumberFormat="1" applyFont="1" applyFill="1" applyBorder="1" applyAlignment="1">
      <alignment horizontal="center" vertical="center"/>
    </xf>
    <xf numFmtId="10" fontId="26" fillId="5" borderId="215" xfId="1" applyNumberFormat="1" applyFont="1" applyFill="1" applyBorder="1" applyAlignment="1">
      <alignment horizontal="center" vertical="center"/>
    </xf>
    <xf numFmtId="10" fontId="67" fillId="5" borderId="215" xfId="1" applyNumberFormat="1" applyFont="1" applyFill="1" applyBorder="1" applyAlignment="1">
      <alignment horizontal="center" vertical="center"/>
    </xf>
    <xf numFmtId="0" fontId="19" fillId="0" borderId="210" xfId="1" applyFont="1" applyFill="1" applyBorder="1" applyAlignment="1">
      <alignment horizontal="left" vertical="center" wrapText="1"/>
    </xf>
    <xf numFmtId="9" fontId="19" fillId="0" borderId="207" xfId="7" applyFont="1" applyFill="1" applyBorder="1" applyAlignment="1">
      <alignment horizontal="center" vertical="center"/>
    </xf>
    <xf numFmtId="3" fontId="27" fillId="5" borderId="209" xfId="1" applyNumberFormat="1" applyFont="1" applyFill="1" applyBorder="1" applyAlignment="1">
      <alignment horizontal="center" vertical="center"/>
    </xf>
    <xf numFmtId="4" fontId="81" fillId="0" borderId="216" xfId="0" applyNumberFormat="1" applyFont="1" applyFill="1" applyBorder="1" applyAlignment="1" applyProtection="1">
      <alignment horizontal="center" vertical="center"/>
    </xf>
    <xf numFmtId="9" fontId="19" fillId="0" borderId="207" xfId="7" applyFont="1" applyFill="1" applyBorder="1" applyAlignment="1">
      <alignment horizontal="center" vertical="center" wrapText="1"/>
    </xf>
    <xf numFmtId="9" fontId="27" fillId="0" borderId="207" xfId="7" applyFont="1" applyFill="1" applyBorder="1" applyAlignment="1">
      <alignment horizontal="center" vertical="center" wrapText="1"/>
    </xf>
    <xf numFmtId="9" fontId="36" fillId="0" borderId="206" xfId="7" applyFont="1" applyFill="1" applyBorder="1" applyAlignment="1">
      <alignment horizontal="center" vertical="center"/>
    </xf>
    <xf numFmtId="4" fontId="36" fillId="0" borderId="208" xfId="7" applyNumberFormat="1" applyFont="1" applyFill="1" applyBorder="1" applyAlignment="1">
      <alignment horizontal="center" vertical="center"/>
    </xf>
    <xf numFmtId="0" fontId="19" fillId="0" borderId="203" xfId="1" applyFont="1" applyFill="1" applyBorder="1" applyAlignment="1">
      <alignment horizontal="left" vertical="center"/>
    </xf>
    <xf numFmtId="3" fontId="26" fillId="5" borderId="204" xfId="1" applyNumberFormat="1" applyFont="1" applyFill="1" applyBorder="1" applyAlignment="1">
      <alignment horizontal="center" vertical="center"/>
    </xf>
    <xf numFmtId="3" fontId="26" fillId="5" borderId="205" xfId="1" applyNumberFormat="1" applyFont="1" applyFill="1" applyBorder="1" applyAlignment="1">
      <alignment horizontal="center" vertical="center"/>
    </xf>
    <xf numFmtId="3" fontId="26" fillId="5" borderId="203" xfId="1" applyNumberFormat="1" applyFont="1" applyFill="1" applyBorder="1" applyAlignment="1">
      <alignment horizontal="center" vertical="center"/>
    </xf>
    <xf numFmtId="9" fontId="67" fillId="0" borderId="206" xfId="7" applyFont="1" applyFill="1" applyBorder="1" applyAlignment="1">
      <alignment horizontal="center" vertical="center"/>
    </xf>
    <xf numFmtId="9" fontId="26" fillId="0" borderId="206" xfId="7" applyFont="1" applyFill="1" applyBorder="1" applyAlignment="1">
      <alignment horizontal="center" vertical="center"/>
    </xf>
    <xf numFmtId="9" fontId="27" fillId="0" borderId="206" xfId="7" applyFont="1" applyFill="1" applyBorder="1" applyAlignment="1">
      <alignment horizontal="center" vertical="center"/>
    </xf>
    <xf numFmtId="0" fontId="24" fillId="4" borderId="214" xfId="1" applyFont="1" applyFill="1" applyBorder="1" applyAlignment="1">
      <alignment vertical="center"/>
    </xf>
    <xf numFmtId="3" fontId="24" fillId="4" borderId="214" xfId="1" applyNumberFormat="1" applyFont="1" applyFill="1" applyBorder="1" applyAlignment="1">
      <alignment horizontal="center" vertical="center"/>
    </xf>
    <xf numFmtId="3" fontId="24" fillId="4" borderId="212" xfId="1" applyNumberFormat="1" applyFont="1" applyFill="1" applyBorder="1" applyAlignment="1">
      <alignment horizontal="center" vertical="center"/>
    </xf>
    <xf numFmtId="4" fontId="29" fillId="4" borderId="212" xfId="1" applyNumberFormat="1" applyFont="1" applyFill="1" applyBorder="1" applyAlignment="1">
      <alignment horizontal="center" vertical="center"/>
    </xf>
    <xf numFmtId="4" fontId="24" fillId="4" borderId="212" xfId="1" applyNumberFormat="1" applyFont="1" applyFill="1" applyBorder="1" applyAlignment="1">
      <alignment horizontal="center" vertical="center"/>
    </xf>
    <xf numFmtId="4" fontId="29" fillId="4" borderId="214" xfId="1" applyNumberFormat="1" applyFont="1" applyFill="1" applyBorder="1" applyAlignment="1">
      <alignment horizontal="center" vertical="center"/>
    </xf>
    <xf numFmtId="4" fontId="68" fillId="4" borderId="212" xfId="1" applyNumberFormat="1" applyFont="1" applyFill="1" applyBorder="1" applyAlignment="1">
      <alignment horizontal="center" vertical="center"/>
    </xf>
    <xf numFmtId="4" fontId="65" fillId="4" borderId="212" xfId="1" applyNumberFormat="1" applyFont="1" applyFill="1" applyBorder="1" applyAlignment="1">
      <alignment horizontal="center" vertical="center"/>
    </xf>
    <xf numFmtId="0" fontId="19" fillId="0" borderId="209" xfId="1" applyFont="1" applyBorder="1" applyAlignment="1">
      <alignment vertical="center"/>
    </xf>
    <xf numFmtId="0" fontId="19" fillId="0" borderId="209" xfId="1" applyFont="1" applyBorder="1" applyAlignment="1">
      <alignment horizontal="left" vertical="center"/>
    </xf>
    <xf numFmtId="3" fontId="26" fillId="0" borderId="209" xfId="1" applyNumberFormat="1" applyFont="1" applyFill="1" applyBorder="1" applyAlignment="1">
      <alignment horizontal="center" vertical="center"/>
    </xf>
    <xf numFmtId="3" fontId="26" fillId="0" borderId="208" xfId="1" applyNumberFormat="1" applyFont="1" applyFill="1" applyBorder="1" applyAlignment="1">
      <alignment horizontal="center" vertical="center"/>
    </xf>
    <xf numFmtId="3" fontId="26" fillId="0" borderId="207" xfId="1" applyNumberFormat="1" applyFont="1" applyFill="1" applyBorder="1" applyAlignment="1">
      <alignment horizontal="center" vertical="center"/>
    </xf>
    <xf numFmtId="10" fontId="39" fillId="0" borderId="207" xfId="1" applyNumberFormat="1" applyFont="1" applyFill="1" applyBorder="1" applyAlignment="1">
      <alignment horizontal="center" vertical="center"/>
    </xf>
    <xf numFmtId="10" fontId="26" fillId="0" borderId="207" xfId="1" applyNumberFormat="1" applyFont="1" applyFill="1" applyBorder="1" applyAlignment="1">
      <alignment horizontal="center" vertical="center"/>
    </xf>
    <xf numFmtId="10" fontId="67" fillId="0" borderId="207" xfId="1" applyNumberFormat="1" applyFont="1" applyFill="1" applyBorder="1" applyAlignment="1">
      <alignment horizontal="center" vertical="center"/>
    </xf>
    <xf numFmtId="0" fontId="24" fillId="6" borderId="209" xfId="1" applyFont="1" applyFill="1" applyBorder="1" applyAlignment="1">
      <alignment vertical="center"/>
    </xf>
    <xf numFmtId="3" fontId="28" fillId="6" borderId="209" xfId="1" applyNumberFormat="1" applyFont="1" applyFill="1" applyBorder="1" applyAlignment="1">
      <alignment horizontal="center" vertical="center"/>
    </xf>
    <xf numFmtId="4" fontId="38" fillId="6" borderId="208" xfId="1" applyNumberFormat="1" applyFont="1" applyFill="1" applyBorder="1" applyAlignment="1">
      <alignment horizontal="center" vertical="center"/>
    </xf>
    <xf numFmtId="3" fontId="28" fillId="6" borderId="208" xfId="1" applyNumberFormat="1" applyFont="1" applyFill="1" applyBorder="1" applyAlignment="1">
      <alignment horizontal="center" vertical="center"/>
    </xf>
    <xf numFmtId="4" fontId="28" fillId="6" borderId="208" xfId="1" applyNumberFormat="1" applyFont="1" applyFill="1" applyBorder="1" applyAlignment="1">
      <alignment horizontal="center" vertical="center"/>
    </xf>
    <xf numFmtId="4" fontId="38" fillId="6" borderId="209" xfId="1" applyNumberFormat="1" applyFont="1" applyFill="1" applyBorder="1" applyAlignment="1">
      <alignment horizontal="center" vertical="center"/>
    </xf>
    <xf numFmtId="4" fontId="68" fillId="6" borderId="208" xfId="1" applyNumberFormat="1" applyFont="1" applyFill="1" applyBorder="1" applyAlignment="1">
      <alignment horizontal="center" vertical="center"/>
    </xf>
    <xf numFmtId="0" fontId="24" fillId="8" borderId="214" xfId="1" applyFont="1" applyFill="1" applyBorder="1" applyAlignment="1">
      <alignment vertical="center"/>
    </xf>
    <xf numFmtId="3" fontId="24" fillId="8" borderId="214" xfId="1" applyNumberFormat="1" applyFont="1" applyFill="1" applyBorder="1" applyAlignment="1">
      <alignment horizontal="center" vertical="center"/>
    </xf>
    <xf numFmtId="4" fontId="29" fillId="8" borderId="212" xfId="1" applyNumberFormat="1" applyFont="1" applyFill="1" applyBorder="1" applyAlignment="1">
      <alignment horizontal="center" vertical="center"/>
    </xf>
    <xf numFmtId="3" fontId="24" fillId="8" borderId="212" xfId="1" applyNumberFormat="1" applyFont="1" applyFill="1" applyBorder="1" applyAlignment="1">
      <alignment horizontal="center" vertical="center"/>
    </xf>
    <xf numFmtId="4" fontId="24" fillId="8" borderId="212" xfId="1" applyNumberFormat="1" applyFont="1" applyFill="1" applyBorder="1" applyAlignment="1">
      <alignment horizontal="center" vertical="center"/>
    </xf>
    <xf numFmtId="4" fontId="68" fillId="8" borderId="212" xfId="1" applyNumberFormat="1" applyFont="1" applyFill="1" applyBorder="1" applyAlignment="1">
      <alignment horizontal="center" vertical="center"/>
    </xf>
    <xf numFmtId="4" fontId="65" fillId="8" borderId="212" xfId="1" applyNumberFormat="1" applyFont="1" applyFill="1" applyBorder="1" applyAlignment="1">
      <alignment horizontal="center" vertical="center"/>
    </xf>
    <xf numFmtId="0" fontId="24" fillId="6" borderId="209" xfId="1" applyFont="1" applyFill="1" applyBorder="1" applyAlignment="1">
      <alignment vertical="center" wrapText="1"/>
    </xf>
    <xf numFmtId="3" fontId="24" fillId="6" borderId="209" xfId="1" applyNumberFormat="1" applyFont="1" applyFill="1" applyBorder="1" applyAlignment="1">
      <alignment horizontal="center" vertical="center"/>
    </xf>
    <xf numFmtId="3" fontId="24" fillId="6" borderId="208" xfId="1" applyNumberFormat="1" applyFont="1" applyFill="1" applyBorder="1" applyAlignment="1">
      <alignment horizontal="center" vertical="center"/>
    </xf>
    <xf numFmtId="4" fontId="29" fillId="6" borderId="208" xfId="1" applyNumberFormat="1" applyFont="1" applyFill="1" applyBorder="1" applyAlignment="1">
      <alignment horizontal="center" vertical="center"/>
    </xf>
    <xf numFmtId="4" fontId="24" fillId="6" borderId="208" xfId="1" applyNumberFormat="1" applyFont="1" applyFill="1" applyBorder="1" applyAlignment="1">
      <alignment horizontal="center" vertical="center"/>
    </xf>
    <xf numFmtId="4" fontId="65" fillId="6" borderId="208" xfId="1" applyNumberFormat="1" applyFont="1" applyFill="1" applyBorder="1" applyAlignment="1">
      <alignment horizontal="center" vertical="center"/>
    </xf>
    <xf numFmtId="0" fontId="24" fillId="3" borderId="213" xfId="1" applyFont="1" applyFill="1" applyBorder="1" applyAlignment="1">
      <alignment vertical="center"/>
    </xf>
    <xf numFmtId="9" fontId="24" fillId="3" borderId="214" xfId="7" applyFont="1" applyFill="1" applyBorder="1" applyAlignment="1">
      <alignment horizontal="center" vertical="center"/>
    </xf>
    <xf numFmtId="3" fontId="24" fillId="3" borderId="214" xfId="1" applyNumberFormat="1" applyFont="1" applyFill="1" applyBorder="1" applyAlignment="1">
      <alignment horizontal="center" vertical="center"/>
    </xf>
    <xf numFmtId="9" fontId="24" fillId="3" borderId="212" xfId="7" applyFont="1" applyFill="1" applyBorder="1" applyAlignment="1">
      <alignment horizontal="center" vertical="center"/>
    </xf>
    <xf numFmtId="10" fontId="29" fillId="3" borderId="212" xfId="1" applyNumberFormat="1" applyFont="1" applyFill="1" applyBorder="1" applyAlignment="1">
      <alignment horizontal="center" vertical="center"/>
    </xf>
    <xf numFmtId="10" fontId="24" fillId="3" borderId="212" xfId="1" applyNumberFormat="1" applyFont="1" applyFill="1" applyBorder="1" applyAlignment="1">
      <alignment horizontal="center" vertical="center"/>
    </xf>
    <xf numFmtId="10" fontId="29" fillId="3" borderId="214" xfId="1" applyNumberFormat="1" applyFont="1" applyFill="1" applyBorder="1" applyAlignment="1">
      <alignment horizontal="center" vertical="center"/>
    </xf>
    <xf numFmtId="10" fontId="68" fillId="3" borderId="212" xfId="1" applyNumberFormat="1" applyFont="1" applyFill="1" applyBorder="1" applyAlignment="1">
      <alignment horizontal="center" vertical="center"/>
    </xf>
    <xf numFmtId="4" fontId="29" fillId="3" borderId="212" xfId="1" applyNumberFormat="1" applyFont="1" applyFill="1" applyBorder="1" applyAlignment="1">
      <alignment horizontal="center" vertical="center"/>
    </xf>
    <xf numFmtId="10" fontId="65" fillId="3" borderId="212" xfId="1" applyNumberFormat="1" applyFont="1" applyFill="1" applyBorder="1" applyAlignment="1">
      <alignment horizontal="center" vertical="center"/>
    </xf>
    <xf numFmtId="3" fontId="25" fillId="0" borderId="215" xfId="1" applyNumberFormat="1" applyFont="1" applyFill="1" applyBorder="1" applyAlignment="1">
      <alignment horizontal="center" vertical="center"/>
    </xf>
    <xf numFmtId="0" fontId="175" fillId="0" borderId="0" xfId="0" applyFont="1"/>
    <xf numFmtId="4" fontId="170" fillId="0" borderId="0" xfId="0" applyNumberFormat="1" applyFont="1" applyFill="1"/>
    <xf numFmtId="3" fontId="170" fillId="42" borderId="0" xfId="0" applyNumberFormat="1" applyFont="1" applyFill="1"/>
    <xf numFmtId="4" fontId="57" fillId="42" borderId="0" xfId="0" applyNumberFormat="1" applyFont="1" applyFill="1"/>
    <xf numFmtId="9" fontId="36" fillId="0" borderId="196" xfId="7" applyFont="1" applyFill="1" applyBorder="1" applyAlignment="1">
      <alignment horizontal="center" vertical="center"/>
    </xf>
    <xf numFmtId="4" fontId="25" fillId="33" borderId="80" xfId="1" applyNumberFormat="1" applyFont="1" applyFill="1" applyBorder="1" applyAlignment="1">
      <alignment horizontal="center" vertical="center"/>
    </xf>
    <xf numFmtId="9" fontId="36" fillId="0" borderId="198" xfId="7" applyFont="1" applyFill="1" applyBorder="1" applyAlignment="1">
      <alignment horizontal="center" vertical="center"/>
    </xf>
    <xf numFmtId="4" fontId="103" fillId="11" borderId="197" xfId="1" applyNumberFormat="1" applyFont="1" applyFill="1" applyBorder="1" applyAlignment="1">
      <alignment horizontal="center" vertical="center"/>
    </xf>
    <xf numFmtId="10" fontId="27" fillId="0" borderId="213" xfId="1" applyNumberFormat="1" applyFont="1" applyFill="1" applyBorder="1" applyAlignment="1">
      <alignment horizontal="center" vertical="center"/>
    </xf>
    <xf numFmtId="10" fontId="19" fillId="0" borderId="215" xfId="1" applyNumberFormat="1" applyFont="1" applyFill="1" applyBorder="1" applyAlignment="1">
      <alignment horizontal="center" vertical="center"/>
    </xf>
    <xf numFmtId="9" fontId="40" fillId="0" borderId="215" xfId="7" applyFont="1" applyFill="1" applyBorder="1" applyAlignment="1">
      <alignment horizontal="center" vertical="center"/>
    </xf>
    <xf numFmtId="10" fontId="24" fillId="0" borderId="213" xfId="1" applyNumberFormat="1" applyFont="1" applyFill="1" applyBorder="1" applyAlignment="1">
      <alignment horizontal="center" vertical="center"/>
    </xf>
    <xf numFmtId="10" fontId="103" fillId="0" borderId="198" xfId="1" applyNumberFormat="1" applyFont="1" applyFill="1" applyBorder="1" applyAlignment="1">
      <alignment horizontal="center" vertical="center"/>
    </xf>
    <xf numFmtId="10" fontId="103" fillId="0" borderId="215" xfId="1" applyNumberFormat="1" applyFont="1" applyFill="1" applyBorder="1" applyAlignment="1">
      <alignment horizontal="center" vertical="center"/>
    </xf>
    <xf numFmtId="9" fontId="36" fillId="4" borderId="196" xfId="7" applyFont="1" applyFill="1" applyBorder="1" applyAlignment="1">
      <alignment horizontal="center" vertical="center"/>
    </xf>
    <xf numFmtId="10" fontId="66" fillId="0" borderId="215" xfId="1" applyNumberFormat="1" applyFont="1" applyFill="1" applyBorder="1" applyAlignment="1">
      <alignment horizontal="center" vertical="center"/>
    </xf>
    <xf numFmtId="10" fontId="26" fillId="5" borderId="213" xfId="1" applyNumberFormat="1" applyFont="1" applyFill="1" applyBorder="1" applyAlignment="1">
      <alignment horizontal="center" vertical="center"/>
    </xf>
    <xf numFmtId="10" fontId="26" fillId="5" borderId="198" xfId="1" applyNumberFormat="1" applyFont="1" applyFill="1" applyBorder="1" applyAlignment="1">
      <alignment horizontal="center" vertical="center"/>
    </xf>
    <xf numFmtId="10" fontId="19" fillId="5" borderId="215" xfId="1" applyNumberFormat="1" applyFont="1" applyFill="1" applyBorder="1" applyAlignment="1">
      <alignment horizontal="center" vertical="center"/>
    </xf>
    <xf numFmtId="10" fontId="66" fillId="5" borderId="215" xfId="1" applyNumberFormat="1" applyFont="1" applyFill="1" applyBorder="1" applyAlignment="1">
      <alignment horizontal="center" vertical="center"/>
    </xf>
    <xf numFmtId="3" fontId="103" fillId="4" borderId="198" xfId="1" applyNumberFormat="1" applyFont="1" applyFill="1" applyBorder="1" applyAlignment="1">
      <alignment horizontal="center" vertical="center"/>
    </xf>
    <xf numFmtId="4" fontId="103" fillId="4" borderId="198" xfId="1" applyNumberFormat="1" applyFont="1" applyFill="1" applyBorder="1" applyAlignment="1">
      <alignment horizontal="center" vertical="center"/>
    </xf>
    <xf numFmtId="4" fontId="121" fillId="4" borderId="198" xfId="1" applyNumberFormat="1" applyFont="1" applyFill="1" applyBorder="1" applyAlignment="1">
      <alignment horizontal="center" vertical="center"/>
    </xf>
    <xf numFmtId="10" fontId="26" fillId="0" borderId="196" xfId="1" applyNumberFormat="1" applyFont="1" applyFill="1" applyBorder="1" applyAlignment="1">
      <alignment horizontal="center" vertical="center"/>
    </xf>
    <xf numFmtId="3" fontId="103" fillId="6" borderId="197" xfId="1" applyNumberFormat="1" applyFont="1" applyFill="1" applyBorder="1" applyAlignment="1">
      <alignment horizontal="center" vertical="center"/>
    </xf>
    <xf numFmtId="3" fontId="103" fillId="6" borderId="196" xfId="1" applyNumberFormat="1" applyFont="1" applyFill="1" applyBorder="1" applyAlignment="1">
      <alignment horizontal="center" vertical="center"/>
    </xf>
    <xf numFmtId="4" fontId="103" fillId="6" borderId="196" xfId="1" applyNumberFormat="1" applyFont="1" applyFill="1" applyBorder="1" applyAlignment="1">
      <alignment horizontal="center" vertical="center"/>
    </xf>
    <xf numFmtId="4" fontId="121" fillId="6" borderId="196" xfId="1" applyNumberFormat="1" applyFont="1" applyFill="1" applyBorder="1" applyAlignment="1">
      <alignment horizontal="center" vertical="center"/>
    </xf>
    <xf numFmtId="3" fontId="103" fillId="8" borderId="198" xfId="1" applyNumberFormat="1" applyFont="1" applyFill="1" applyBorder="1" applyAlignment="1">
      <alignment horizontal="center" vertical="center"/>
    </xf>
    <xf numFmtId="4" fontId="103" fillId="8" borderId="198" xfId="1" applyNumberFormat="1" applyFont="1" applyFill="1" applyBorder="1" applyAlignment="1">
      <alignment horizontal="center" vertical="center"/>
    </xf>
    <xf numFmtId="4" fontId="121" fillId="8" borderId="198" xfId="1" applyNumberFormat="1" applyFont="1" applyFill="1" applyBorder="1" applyAlignment="1">
      <alignment horizontal="center" vertical="center"/>
    </xf>
    <xf numFmtId="3" fontId="24" fillId="3" borderId="198" xfId="1" applyNumberFormat="1" applyFont="1" applyFill="1" applyBorder="1" applyAlignment="1">
      <alignment horizontal="center" vertical="center"/>
    </xf>
    <xf numFmtId="9" fontId="103" fillId="3" borderId="198" xfId="7" applyFont="1" applyFill="1" applyBorder="1" applyAlignment="1">
      <alignment horizontal="center" vertical="center"/>
    </xf>
    <xf numFmtId="10" fontId="103" fillId="3" borderId="198" xfId="1" applyNumberFormat="1" applyFont="1" applyFill="1" applyBorder="1" applyAlignment="1">
      <alignment horizontal="center" vertical="center"/>
    </xf>
    <xf numFmtId="10" fontId="121" fillId="3" borderId="198" xfId="1" applyNumberFormat="1" applyFont="1" applyFill="1" applyBorder="1" applyAlignment="1">
      <alignment horizontal="center" vertical="center"/>
    </xf>
    <xf numFmtId="4" fontId="105" fillId="0" borderId="19" xfId="1" applyNumberFormat="1" applyFont="1" applyFill="1" applyBorder="1" applyAlignment="1">
      <alignment horizontal="center" vertical="center"/>
    </xf>
    <xf numFmtId="4" fontId="105" fillId="0" borderId="63" xfId="1" applyNumberFormat="1" applyFont="1" applyFill="1" applyBorder="1" applyAlignment="1">
      <alignment horizontal="center" vertical="center"/>
    </xf>
    <xf numFmtId="3" fontId="105" fillId="0" borderId="19" xfId="1" applyNumberFormat="1" applyFont="1" applyFill="1" applyBorder="1" applyAlignment="1">
      <alignment horizontal="center" vertical="center"/>
    </xf>
    <xf numFmtId="9" fontId="176" fillId="0" borderId="63" xfId="7" applyFont="1" applyFill="1" applyBorder="1" applyAlignment="1">
      <alignment horizontal="center" vertical="center"/>
    </xf>
    <xf numFmtId="9" fontId="177" fillId="0" borderId="58" xfId="7" applyFont="1" applyFill="1" applyBorder="1" applyAlignment="1">
      <alignment horizontal="center" vertical="center"/>
    </xf>
    <xf numFmtId="4" fontId="105" fillId="0" borderId="76" xfId="1" applyNumberFormat="1" applyFont="1" applyFill="1" applyBorder="1" applyAlignment="1">
      <alignment horizontal="center" vertical="center"/>
    </xf>
    <xf numFmtId="4" fontId="105" fillId="0" borderId="79" xfId="1" applyNumberFormat="1" applyFont="1" applyFill="1" applyBorder="1" applyAlignment="1">
      <alignment horizontal="center" vertical="center"/>
    </xf>
    <xf numFmtId="3" fontId="105" fillId="0" borderId="76" xfId="1" applyNumberFormat="1" applyFont="1" applyFill="1" applyBorder="1" applyAlignment="1">
      <alignment horizontal="center" vertical="center"/>
    </xf>
    <xf numFmtId="9" fontId="176" fillId="0" borderId="196" xfId="7" applyFont="1" applyFill="1" applyBorder="1" applyAlignment="1">
      <alignment horizontal="center" vertical="center"/>
    </xf>
    <xf numFmtId="9" fontId="177" fillId="0" borderId="77" xfId="7" applyFont="1" applyFill="1" applyBorder="1" applyAlignment="1">
      <alignment horizontal="center" vertical="center"/>
    </xf>
    <xf numFmtId="4" fontId="105" fillId="0" borderId="77" xfId="1" applyNumberFormat="1" applyFont="1" applyFill="1" applyBorder="1" applyAlignment="1">
      <alignment horizontal="center" vertical="center" wrapText="1"/>
    </xf>
    <xf numFmtId="10" fontId="105" fillId="0" borderId="213" xfId="1" applyNumberFormat="1" applyFont="1" applyFill="1" applyBorder="1" applyAlignment="1">
      <alignment horizontal="center" vertical="center"/>
    </xf>
    <xf numFmtId="10" fontId="177" fillId="0" borderId="215" xfId="1" applyNumberFormat="1" applyFont="1" applyFill="1" applyBorder="1" applyAlignment="1">
      <alignment horizontal="center" vertical="center"/>
    </xf>
    <xf numFmtId="3" fontId="105" fillId="0" borderId="79" xfId="1" applyNumberFormat="1" applyFont="1" applyFill="1" applyBorder="1" applyAlignment="1">
      <alignment horizontal="center" vertical="center"/>
    </xf>
    <xf numFmtId="4" fontId="178" fillId="0" borderId="190" xfId="0" applyNumberFormat="1" applyFont="1" applyFill="1" applyBorder="1" applyAlignment="1" applyProtection="1">
      <alignment horizontal="center" vertical="center"/>
    </xf>
    <xf numFmtId="4" fontId="105" fillId="0" borderId="77" xfId="1" applyNumberFormat="1" applyFont="1" applyFill="1" applyBorder="1" applyAlignment="1">
      <alignment horizontal="center" vertical="center"/>
    </xf>
    <xf numFmtId="9" fontId="176" fillId="0" borderId="58" xfId="7" applyFont="1" applyFill="1" applyBorder="1" applyAlignment="1">
      <alignment horizontal="center" vertical="center"/>
    </xf>
    <xf numFmtId="4" fontId="105" fillId="0" borderId="58" xfId="1" applyNumberFormat="1" applyFont="1" applyFill="1" applyBorder="1" applyAlignment="1">
      <alignment horizontal="center" vertical="center" wrapText="1"/>
    </xf>
    <xf numFmtId="4" fontId="105" fillId="0" borderId="80" xfId="1" applyNumberFormat="1" applyFont="1" applyFill="1" applyBorder="1" applyAlignment="1">
      <alignment horizontal="center" vertical="center"/>
    </xf>
    <xf numFmtId="4" fontId="105" fillId="0" borderId="76" xfId="1" applyNumberFormat="1" applyFont="1" applyFill="1" applyBorder="1" applyAlignment="1">
      <alignment horizontal="center" vertical="center" wrapText="1"/>
    </xf>
    <xf numFmtId="4" fontId="105" fillId="0" borderId="8" xfId="1" applyNumberFormat="1" applyFont="1" applyFill="1" applyBorder="1" applyAlignment="1">
      <alignment horizontal="center" vertical="center"/>
    </xf>
    <xf numFmtId="4" fontId="105" fillId="0" borderId="7" xfId="1" applyNumberFormat="1" applyFont="1" applyFill="1" applyBorder="1" applyAlignment="1">
      <alignment horizontal="center" vertical="center"/>
    </xf>
    <xf numFmtId="3" fontId="105" fillId="0" borderId="7" xfId="1" applyNumberFormat="1" applyFont="1" applyFill="1" applyBorder="1" applyAlignment="1">
      <alignment horizontal="center" vertical="center"/>
    </xf>
    <xf numFmtId="9" fontId="176" fillId="0" borderId="215" xfId="7" applyFont="1" applyFill="1" applyBorder="1" applyAlignment="1">
      <alignment horizontal="center" vertical="center"/>
    </xf>
    <xf numFmtId="4" fontId="105" fillId="0" borderId="20" xfId="1" applyNumberFormat="1" applyFont="1" applyFill="1" applyBorder="1" applyAlignment="1">
      <alignment horizontal="center" vertical="center" wrapText="1"/>
    </xf>
    <xf numFmtId="3" fontId="105" fillId="0" borderId="80" xfId="1" applyNumberFormat="1" applyFont="1" applyFill="1" applyBorder="1" applyAlignment="1">
      <alignment horizontal="center" vertical="center"/>
    </xf>
    <xf numFmtId="4" fontId="105" fillId="0" borderId="58" xfId="1" applyNumberFormat="1" applyFont="1" applyFill="1" applyBorder="1" applyAlignment="1">
      <alignment horizontal="center" vertical="center"/>
    </xf>
    <xf numFmtId="3" fontId="105" fillId="0" borderId="58" xfId="1" applyNumberFormat="1" applyFont="1" applyFill="1" applyBorder="1" applyAlignment="1">
      <alignment horizontal="center" vertical="center"/>
    </xf>
    <xf numFmtId="3" fontId="105" fillId="0" borderId="77" xfId="1" applyNumberFormat="1" applyFont="1" applyFill="1" applyBorder="1" applyAlignment="1">
      <alignment horizontal="center" vertical="center"/>
    </xf>
    <xf numFmtId="9" fontId="177" fillId="0" borderId="77" xfId="7" applyFont="1" applyFill="1" applyBorder="1" applyAlignment="1">
      <alignment horizontal="center" vertical="center" wrapText="1"/>
    </xf>
    <xf numFmtId="3" fontId="105" fillId="0" borderId="63" xfId="1" applyNumberFormat="1" applyFont="1" applyFill="1" applyBorder="1" applyAlignment="1">
      <alignment horizontal="center" vertical="center"/>
    </xf>
    <xf numFmtId="3" fontId="105" fillId="0" borderId="196" xfId="1" applyNumberFormat="1" applyFont="1" applyFill="1" applyBorder="1" applyAlignment="1">
      <alignment horizontal="center" vertical="center"/>
    </xf>
    <xf numFmtId="4" fontId="105" fillId="0" borderId="198" xfId="1" applyNumberFormat="1" applyFont="1" applyFill="1" applyBorder="1" applyAlignment="1">
      <alignment horizontal="center" vertical="center"/>
    </xf>
    <xf numFmtId="4" fontId="105" fillId="0" borderId="215" xfId="1" applyNumberFormat="1" applyFont="1" applyFill="1" applyBorder="1" applyAlignment="1">
      <alignment horizontal="center" vertical="center"/>
    </xf>
    <xf numFmtId="3" fontId="105" fillId="0" borderId="198" xfId="1" applyNumberFormat="1" applyFont="1" applyFill="1" applyBorder="1" applyAlignment="1">
      <alignment horizontal="center" vertical="center"/>
    </xf>
    <xf numFmtId="4" fontId="105" fillId="0" borderId="215" xfId="1" applyNumberFormat="1" applyFont="1" applyFill="1" applyBorder="1" applyAlignment="1">
      <alignment horizontal="center" vertical="center" wrapText="1"/>
    </xf>
    <xf numFmtId="4" fontId="105" fillId="0" borderId="77" xfId="1" quotePrefix="1" applyNumberFormat="1" applyFont="1" applyFill="1" applyBorder="1" applyAlignment="1">
      <alignment horizontal="center" vertical="center" wrapText="1"/>
    </xf>
    <xf numFmtId="9" fontId="105" fillId="0" borderId="58" xfId="7" applyFont="1" applyFill="1" applyBorder="1" applyAlignment="1">
      <alignment horizontal="center" vertical="center"/>
    </xf>
    <xf numFmtId="4" fontId="105" fillId="0" borderId="20" xfId="1" applyNumberFormat="1" applyFont="1" applyFill="1" applyBorder="1" applyAlignment="1">
      <alignment horizontal="center" vertical="center"/>
    </xf>
    <xf numFmtId="3" fontId="105" fillId="0" borderId="20" xfId="1" applyNumberFormat="1" applyFont="1" applyFill="1" applyBorder="1" applyAlignment="1">
      <alignment horizontal="center" vertical="center"/>
    </xf>
    <xf numFmtId="4" fontId="178" fillId="0" borderId="216" xfId="0" applyNumberFormat="1" applyFont="1" applyFill="1" applyBorder="1" applyAlignment="1" applyProtection="1">
      <alignment horizontal="center" vertical="center"/>
    </xf>
    <xf numFmtId="9" fontId="105" fillId="0" borderId="58" xfId="7" applyFont="1" applyFill="1" applyBorder="1" applyAlignment="1">
      <alignment horizontal="center" vertical="center" wrapText="1"/>
    </xf>
    <xf numFmtId="3" fontId="25" fillId="19" borderId="58" xfId="1" applyNumberFormat="1" applyFont="1" applyFill="1" applyBorder="1" applyAlignment="1">
      <alignment horizontal="center" vertical="center"/>
    </xf>
    <xf numFmtId="3" fontId="25" fillId="43" borderId="77" xfId="1" applyNumberFormat="1" applyFont="1" applyFill="1" applyBorder="1" applyAlignment="1">
      <alignment horizontal="center" vertical="center"/>
    </xf>
    <xf numFmtId="3" fontId="25" fillId="42" borderId="77" xfId="1" applyNumberFormat="1" applyFont="1" applyFill="1" applyBorder="1" applyAlignment="1">
      <alignment horizontal="center" vertical="center"/>
    </xf>
    <xf numFmtId="3" fontId="25" fillId="27" borderId="77" xfId="1" applyNumberFormat="1" applyFont="1" applyFill="1" applyBorder="1" applyAlignment="1">
      <alignment horizontal="center" vertical="center"/>
    </xf>
    <xf numFmtId="0" fontId="180" fillId="0" borderId="0" xfId="0" applyFont="1"/>
    <xf numFmtId="3" fontId="27" fillId="0" borderId="79" xfId="8" applyNumberFormat="1" applyFont="1" applyFill="1" applyBorder="1" applyAlignment="1">
      <alignment horizontal="center" vertical="center"/>
    </xf>
    <xf numFmtId="3" fontId="27" fillId="0" borderId="80" xfId="8" applyNumberFormat="1" applyFont="1" applyFill="1" applyBorder="1" applyAlignment="1">
      <alignment horizontal="center" vertical="center"/>
    </xf>
    <xf numFmtId="3" fontId="105" fillId="0" borderId="79" xfId="8" applyNumberFormat="1" applyFont="1" applyFill="1" applyBorder="1" applyAlignment="1">
      <alignment horizontal="center" vertical="center"/>
    </xf>
    <xf numFmtId="3" fontId="27" fillId="0" borderId="63" xfId="8" applyNumberFormat="1" applyFont="1" applyFill="1" applyBorder="1" applyAlignment="1">
      <alignment horizontal="center" vertical="center"/>
    </xf>
    <xf numFmtId="0" fontId="19" fillId="0" borderId="196" xfId="1" applyFont="1" applyBorder="1" applyAlignment="1">
      <alignment vertical="center" wrapText="1"/>
    </xf>
    <xf numFmtId="9" fontId="132" fillId="0" borderId="196" xfId="7" applyFont="1" applyFill="1" applyBorder="1" applyAlignment="1">
      <alignment horizontal="center" vertical="center"/>
    </xf>
    <xf numFmtId="4" fontId="105" fillId="0" borderId="196" xfId="1" applyNumberFormat="1" applyFont="1" applyFill="1" applyBorder="1" applyAlignment="1">
      <alignment horizontal="center" vertical="center"/>
    </xf>
    <xf numFmtId="0" fontId="19" fillId="0" borderId="196" xfId="1" applyFont="1" applyFill="1" applyBorder="1" applyAlignment="1">
      <alignment vertical="center" wrapText="1"/>
    </xf>
    <xf numFmtId="0" fontId="19" fillId="0" borderId="198" xfId="1" applyFont="1" applyBorder="1" applyAlignment="1">
      <alignment vertical="center" wrapText="1"/>
    </xf>
    <xf numFmtId="3" fontId="27" fillId="0" borderId="7" xfId="8" applyNumberFormat="1" applyFont="1" applyFill="1" applyBorder="1" applyAlignment="1">
      <alignment horizontal="center" vertical="center"/>
    </xf>
    <xf numFmtId="0" fontId="24" fillId="11" borderId="196" xfId="1" applyFont="1" applyFill="1" applyBorder="1" applyAlignment="1">
      <alignment vertical="center"/>
    </xf>
    <xf numFmtId="0" fontId="19" fillId="0" borderId="196" xfId="1" applyFont="1" applyFill="1" applyBorder="1" applyAlignment="1">
      <alignment horizontal="left" vertical="center"/>
    </xf>
    <xf numFmtId="3" fontId="105" fillId="0" borderId="80" xfId="8" applyNumberFormat="1" applyFont="1" applyFill="1" applyBorder="1" applyAlignment="1">
      <alignment horizontal="center" vertical="center"/>
    </xf>
    <xf numFmtId="0" fontId="24" fillId="4" borderId="196" xfId="1" applyFont="1" applyFill="1" applyBorder="1" applyAlignment="1">
      <alignment vertical="center"/>
    </xf>
    <xf numFmtId="3" fontId="24" fillId="4" borderId="197" xfId="1" applyNumberFormat="1" applyFont="1" applyFill="1" applyBorder="1" applyAlignment="1">
      <alignment horizontal="center" vertical="center"/>
    </xf>
    <xf numFmtId="3" fontId="24" fillId="4" borderId="196" xfId="1" applyNumberFormat="1" applyFont="1" applyFill="1" applyBorder="1" applyAlignment="1">
      <alignment horizontal="center" vertical="center"/>
    </xf>
    <xf numFmtId="3" fontId="27" fillId="46" borderId="79" xfId="8" applyNumberFormat="1" applyFont="1" applyFill="1" applyBorder="1" applyAlignment="1">
      <alignment horizontal="center" vertical="center"/>
    </xf>
    <xf numFmtId="3" fontId="87" fillId="0" borderId="80" xfId="8" applyNumberFormat="1" applyFont="1" applyFill="1" applyBorder="1" applyAlignment="1">
      <alignment horizontal="center" vertical="center"/>
    </xf>
    <xf numFmtId="9" fontId="98" fillId="0" borderId="196" xfId="7" applyFont="1" applyFill="1" applyBorder="1" applyAlignment="1">
      <alignment horizontal="center" vertical="center"/>
    </xf>
    <xf numFmtId="10" fontId="105" fillId="0" borderId="215" xfId="1" applyNumberFormat="1" applyFont="1" applyFill="1" applyBorder="1" applyAlignment="1">
      <alignment horizontal="center" vertical="center"/>
    </xf>
    <xf numFmtId="3" fontId="19" fillId="0" borderId="79" xfId="8" applyNumberFormat="1" applyFont="1" applyFill="1" applyBorder="1" applyAlignment="1">
      <alignment horizontal="center" vertical="center"/>
    </xf>
    <xf numFmtId="3" fontId="27" fillId="27" borderId="79" xfId="8" applyNumberFormat="1" applyFont="1" applyFill="1" applyBorder="1" applyAlignment="1">
      <alignment horizontal="center" vertical="center"/>
    </xf>
    <xf numFmtId="3" fontId="27" fillId="0" borderId="4" xfId="8" applyNumberFormat="1" applyFont="1" applyFill="1" applyBorder="1" applyAlignment="1">
      <alignment horizontal="center" vertical="center"/>
    </xf>
    <xf numFmtId="3" fontId="27" fillId="0" borderId="6" xfId="8" applyNumberFormat="1" applyFont="1" applyFill="1" applyBorder="1" applyAlignment="1">
      <alignment horizontal="center" vertical="center"/>
    </xf>
    <xf numFmtId="3" fontId="19" fillId="0" borderId="6" xfId="8" applyNumberFormat="1" applyFont="1" applyFill="1" applyBorder="1" applyAlignment="1">
      <alignment horizontal="center" vertical="center"/>
    </xf>
    <xf numFmtId="3" fontId="27" fillId="0" borderId="8" xfId="8" applyNumberFormat="1" applyFont="1" applyFill="1" applyBorder="1" applyAlignment="1">
      <alignment horizontal="center" vertical="center"/>
    </xf>
    <xf numFmtId="3" fontId="19" fillId="0" borderId="7" xfId="8" applyNumberFormat="1" applyFont="1" applyFill="1" applyBorder="1" applyAlignment="1">
      <alignment horizontal="center" vertical="center"/>
    </xf>
    <xf numFmtId="3" fontId="27" fillId="0" borderId="196" xfId="8" applyNumberFormat="1" applyFont="1" applyFill="1" applyBorder="1" applyAlignment="1">
      <alignment horizontal="center" vertical="center"/>
    </xf>
    <xf numFmtId="0" fontId="19" fillId="0" borderId="196" xfId="1" applyFont="1" applyBorder="1" applyAlignment="1">
      <alignment horizontal="left" vertical="center"/>
    </xf>
    <xf numFmtId="0" fontId="24" fillId="6" borderId="196" xfId="1" applyFont="1" applyFill="1" applyBorder="1" applyAlignment="1">
      <alignment vertical="center"/>
    </xf>
    <xf numFmtId="0" fontId="24" fillId="6" borderId="196" xfId="1" applyFont="1" applyFill="1" applyBorder="1" applyAlignment="1">
      <alignment vertical="center" wrapText="1"/>
    </xf>
    <xf numFmtId="3" fontId="30" fillId="12" borderId="0" xfId="8" applyNumberFormat="1" applyFont="1" applyFill="1" applyAlignment="1">
      <alignment horizontal="center" vertical="center"/>
    </xf>
    <xf numFmtId="3" fontId="69" fillId="12" borderId="0" xfId="8" applyNumberFormat="1" applyFont="1" applyFill="1" applyAlignment="1">
      <alignment horizontal="center" vertical="center"/>
    </xf>
    <xf numFmtId="4" fontId="16" fillId="19" borderId="0" xfId="1" applyNumberFormat="1" applyFill="1" applyAlignment="1">
      <alignment horizontal="center" vertical="center"/>
    </xf>
    <xf numFmtId="4" fontId="24" fillId="11" borderId="77" xfId="1" applyNumberFormat="1" applyFont="1" applyFill="1" applyBorder="1" applyAlignment="1">
      <alignment horizontal="center" vertical="center"/>
    </xf>
    <xf numFmtId="4" fontId="24" fillId="4" borderId="3" xfId="1" applyNumberFormat="1" applyFont="1" applyFill="1" applyBorder="1" applyAlignment="1">
      <alignment horizontal="center" vertical="center"/>
    </xf>
    <xf numFmtId="4" fontId="24" fillId="4" borderId="199" xfId="1" applyNumberFormat="1" applyFont="1" applyFill="1" applyBorder="1" applyAlignment="1">
      <alignment horizontal="center" vertical="center"/>
    </xf>
    <xf numFmtId="10" fontId="24" fillId="3" borderId="199" xfId="1" applyNumberFormat="1" applyFont="1" applyFill="1" applyBorder="1" applyAlignment="1">
      <alignment horizontal="center" vertical="center"/>
    </xf>
    <xf numFmtId="9" fontId="87" fillId="0" borderId="76" xfId="7" applyFont="1" applyFill="1" applyBorder="1" applyAlignment="1">
      <alignment horizontal="center" vertical="center"/>
    </xf>
    <xf numFmtId="4" fontId="24" fillId="11" borderId="76" xfId="1" applyNumberFormat="1" applyFont="1" applyFill="1" applyBorder="1" applyAlignment="1">
      <alignment horizontal="center" vertical="center"/>
    </xf>
    <xf numFmtId="4" fontId="20" fillId="6" borderId="1" xfId="1" applyNumberFormat="1" applyFont="1" applyFill="1" applyBorder="1" applyAlignment="1">
      <alignment horizontal="center" vertical="center"/>
    </xf>
    <xf numFmtId="0" fontId="19" fillId="0" borderId="77" xfId="1" applyFont="1" applyBorder="1" applyAlignment="1">
      <alignment horizontal="left" vertical="center"/>
    </xf>
    <xf numFmtId="0" fontId="19" fillId="0" borderId="199" xfId="1" applyFont="1" applyBorder="1" applyAlignment="1">
      <alignment vertical="center"/>
    </xf>
    <xf numFmtId="9" fontId="87" fillId="0" borderId="20" xfId="7" applyFont="1" applyFill="1" applyBorder="1" applyAlignment="1">
      <alignment horizontal="center" vertical="center"/>
    </xf>
    <xf numFmtId="0" fontId="24" fillId="8" borderId="199" xfId="1" applyFont="1" applyFill="1" applyBorder="1" applyAlignment="1">
      <alignment vertical="center"/>
    </xf>
    <xf numFmtId="4" fontId="65" fillId="0" borderId="77" xfId="1" applyNumberFormat="1" applyFont="1" applyFill="1" applyBorder="1" applyAlignment="1">
      <alignment horizontal="center" vertical="center" wrapText="1"/>
    </xf>
    <xf numFmtId="0" fontId="4" fillId="0" borderId="0" xfId="8818"/>
    <xf numFmtId="0" fontId="55" fillId="0" borderId="217" xfId="8818" applyFont="1" applyBorder="1" applyAlignment="1">
      <alignment vertical="center" wrapText="1"/>
    </xf>
    <xf numFmtId="0" fontId="55" fillId="0" borderId="217" xfId="8818" applyFont="1" applyBorder="1" applyAlignment="1">
      <alignment horizontal="left" vertical="center" wrapText="1"/>
    </xf>
    <xf numFmtId="0" fontId="55" fillId="0" borderId="217" xfId="8818" applyFont="1" applyBorder="1" applyAlignment="1">
      <alignment horizontal="center" vertical="center" wrapText="1"/>
    </xf>
    <xf numFmtId="0" fontId="55" fillId="0" borderId="0" xfId="8818" applyFont="1" applyAlignment="1">
      <alignment vertical="center" wrapText="1"/>
    </xf>
    <xf numFmtId="0" fontId="4" fillId="0" borderId="218" xfId="8818" applyBorder="1"/>
    <xf numFmtId="0" fontId="4" fillId="0" borderId="218" xfId="8818" applyBorder="1" applyAlignment="1">
      <alignment horizontal="center"/>
    </xf>
    <xf numFmtId="0" fontId="4" fillId="0" borderId="219" xfId="8818" applyFill="1" applyBorder="1"/>
    <xf numFmtId="0" fontId="4" fillId="0" borderId="220" xfId="8818" applyBorder="1"/>
    <xf numFmtId="0" fontId="4" fillId="0" borderId="220" xfId="8818" applyBorder="1" applyAlignment="1">
      <alignment horizontal="center"/>
    </xf>
    <xf numFmtId="0" fontId="4" fillId="19" borderId="220" xfId="8818" applyFill="1" applyBorder="1" applyAlignment="1">
      <alignment horizontal="center"/>
    </xf>
    <xf numFmtId="4" fontId="4" fillId="0" borderId="0" xfId="8818" applyNumberFormat="1"/>
    <xf numFmtId="0" fontId="4" fillId="0" borderId="221" xfId="8818" applyFill="1" applyBorder="1"/>
    <xf numFmtId="0" fontId="4" fillId="19" borderId="0" xfId="8818" applyFill="1"/>
    <xf numFmtId="4" fontId="55" fillId="0" borderId="0" xfId="8818" applyNumberFormat="1" applyFont="1"/>
    <xf numFmtId="4" fontId="25" fillId="0" borderId="194" xfId="1" applyNumberFormat="1" applyFont="1" applyFill="1" applyBorder="1" applyAlignment="1">
      <alignment horizontal="center" vertical="center" wrapText="1"/>
    </xf>
    <xf numFmtId="4" fontId="16" fillId="0" borderId="0" xfId="1" applyNumberFormat="1" applyAlignment="1">
      <alignment vertical="center"/>
    </xf>
    <xf numFmtId="178" fontId="16" fillId="0" borderId="0" xfId="1" applyNumberFormat="1" applyAlignment="1">
      <alignment horizontal="center" vertical="center"/>
    </xf>
    <xf numFmtId="4" fontId="182" fillId="0" borderId="0" xfId="1" applyNumberFormat="1" applyFont="1"/>
    <xf numFmtId="4" fontId="181" fillId="0" borderId="4" xfId="1" applyNumberFormat="1" applyFont="1" applyFill="1" applyBorder="1" applyAlignment="1">
      <alignment horizontal="center" vertical="center"/>
    </xf>
    <xf numFmtId="4" fontId="181" fillId="0" borderId="0" xfId="1" applyNumberFormat="1" applyFont="1" applyFill="1" applyBorder="1" applyAlignment="1">
      <alignment horizontal="center" vertical="center"/>
    </xf>
    <xf numFmtId="0" fontId="182" fillId="0" borderId="0" xfId="1" applyFont="1"/>
    <xf numFmtId="4" fontId="183" fillId="0" borderId="0" xfId="1" applyNumberFormat="1" applyFont="1" applyAlignment="1">
      <alignment horizontal="center"/>
    </xf>
    <xf numFmtId="4" fontId="184" fillId="0" borderId="0" xfId="1" applyNumberFormat="1" applyFont="1" applyAlignment="1">
      <alignment horizontal="center"/>
    </xf>
    <xf numFmtId="0" fontId="185" fillId="43" borderId="0" xfId="0" applyFont="1" applyFill="1"/>
    <xf numFmtId="3" fontId="180" fillId="0" borderId="0" xfId="0" applyNumberFormat="1" applyFont="1"/>
    <xf numFmtId="3" fontId="173" fillId="0" borderId="0" xfId="0" applyNumberFormat="1" applyFont="1"/>
    <xf numFmtId="49" fontId="18" fillId="27" borderId="3" xfId="0" applyNumberFormat="1" applyFont="1" applyFill="1" applyBorder="1" applyAlignment="1">
      <alignment horizontal="center" vertical="center"/>
    </xf>
    <xf numFmtId="49" fontId="18" fillId="27" borderId="9" xfId="0" applyNumberFormat="1" applyFont="1" applyFill="1" applyBorder="1" applyAlignment="1">
      <alignment horizontal="center" vertical="center"/>
    </xf>
    <xf numFmtId="0" fontId="19" fillId="0" borderId="193" xfId="1" applyFont="1" applyBorder="1" applyAlignment="1">
      <alignment horizontal="left" vertical="center"/>
    </xf>
    <xf numFmtId="4" fontId="25" fillId="0" borderId="193" xfId="1" applyNumberFormat="1" applyFont="1" applyFill="1" applyBorder="1" applyAlignment="1">
      <alignment horizontal="center" vertical="center"/>
    </xf>
    <xf numFmtId="4" fontId="105" fillId="0" borderId="194" xfId="1" applyNumberFormat="1" applyFont="1" applyFill="1" applyBorder="1" applyAlignment="1">
      <alignment horizontal="center" vertical="center"/>
    </xf>
    <xf numFmtId="9" fontId="176" fillId="0" borderId="195" xfId="7" applyFont="1" applyFill="1" applyBorder="1" applyAlignment="1">
      <alignment horizontal="center" vertical="center"/>
    </xf>
    <xf numFmtId="4" fontId="105" fillId="0" borderId="195" xfId="1" applyNumberFormat="1" applyFont="1" applyFill="1" applyBorder="1" applyAlignment="1">
      <alignment horizontal="center" vertical="center"/>
    </xf>
    <xf numFmtId="3" fontId="105" fillId="0" borderId="195" xfId="1" applyNumberFormat="1" applyFont="1" applyFill="1" applyBorder="1" applyAlignment="1">
      <alignment horizontal="center" vertical="center"/>
    </xf>
    <xf numFmtId="9" fontId="70" fillId="0" borderId="195" xfId="7" applyFont="1" applyFill="1" applyBorder="1" applyAlignment="1">
      <alignment horizontal="center" vertical="center" wrapText="1"/>
    </xf>
    <xf numFmtId="9" fontId="177" fillId="0" borderId="195" xfId="7" applyFont="1" applyFill="1" applyBorder="1" applyAlignment="1">
      <alignment horizontal="center" vertical="center" wrapText="1"/>
    </xf>
    <xf numFmtId="4" fontId="25" fillId="0" borderId="195" xfId="1" applyNumberFormat="1" applyFont="1" applyFill="1" applyBorder="1" applyAlignment="1">
      <alignment horizontal="center" vertical="center"/>
    </xf>
    <xf numFmtId="3" fontId="25" fillId="19" borderId="195" xfId="1" applyNumberFormat="1" applyFont="1" applyFill="1" applyBorder="1" applyAlignment="1">
      <alignment horizontal="center" vertical="center"/>
    </xf>
    <xf numFmtId="9" fontId="132" fillId="0" borderId="195" xfId="7" applyFont="1" applyFill="1" applyBorder="1" applyAlignment="1">
      <alignment horizontal="center" vertical="center"/>
    </xf>
    <xf numFmtId="0" fontId="24" fillId="0" borderId="193" xfId="1" applyFont="1" applyFill="1" applyBorder="1" applyAlignment="1">
      <alignment vertical="center"/>
    </xf>
    <xf numFmtId="10" fontId="24" fillId="0" borderId="192" xfId="1" applyNumberFormat="1" applyFont="1" applyFill="1" applyBorder="1" applyAlignment="1">
      <alignment horizontal="center" vertical="center"/>
    </xf>
    <xf numFmtId="10" fontId="24" fillId="0" borderId="193" xfId="1" applyNumberFormat="1" applyFont="1" applyFill="1" applyBorder="1" applyAlignment="1">
      <alignment horizontal="center" vertical="center"/>
    </xf>
    <xf numFmtId="10" fontId="24" fillId="0" borderId="194" xfId="1" applyNumberFormat="1" applyFont="1" applyFill="1" applyBorder="1" applyAlignment="1">
      <alignment horizontal="center" vertical="center"/>
    </xf>
    <xf numFmtId="10" fontId="29" fillId="0" borderId="194" xfId="1" applyNumberFormat="1" applyFont="1" applyFill="1" applyBorder="1" applyAlignment="1">
      <alignment horizontal="center" vertical="center"/>
    </xf>
    <xf numFmtId="9" fontId="40" fillId="4" borderId="195" xfId="7" applyFont="1" applyFill="1" applyBorder="1" applyAlignment="1">
      <alignment horizontal="center" vertical="center"/>
    </xf>
    <xf numFmtId="9" fontId="177" fillId="0" borderId="195" xfId="7" applyFont="1" applyFill="1" applyBorder="1" applyAlignment="1">
      <alignment horizontal="center" vertical="center"/>
    </xf>
    <xf numFmtId="0" fontId="19" fillId="0" borderId="193" xfId="1" applyFont="1" applyFill="1" applyBorder="1" applyAlignment="1">
      <alignment vertical="center"/>
    </xf>
    <xf numFmtId="9" fontId="40" fillId="0" borderId="195" xfId="7" applyFont="1" applyFill="1" applyBorder="1" applyAlignment="1">
      <alignment horizontal="center" vertical="center"/>
    </xf>
    <xf numFmtId="0" fontId="66" fillId="0" borderId="195" xfId="1" applyNumberFormat="1" applyFont="1" applyFill="1" applyBorder="1" applyAlignment="1">
      <alignment horizontal="center" vertical="center"/>
    </xf>
    <xf numFmtId="9" fontId="105" fillId="0" borderId="195" xfId="7" applyFont="1" applyFill="1" applyBorder="1" applyAlignment="1">
      <alignment horizontal="center" vertical="center" wrapText="1"/>
    </xf>
    <xf numFmtId="0" fontId="19" fillId="0" borderId="193" xfId="1" applyFont="1" applyFill="1" applyBorder="1" applyAlignment="1">
      <alignment horizontal="left" vertical="center"/>
    </xf>
    <xf numFmtId="3" fontId="26" fillId="5" borderId="191" xfId="1" applyNumberFormat="1" applyFont="1" applyFill="1" applyBorder="1" applyAlignment="1">
      <alignment horizontal="center" vertical="center"/>
    </xf>
    <xf numFmtId="9" fontId="36" fillId="0" borderId="193" xfId="7" applyFont="1" applyFill="1" applyBorder="1" applyAlignment="1">
      <alignment horizontal="center" vertical="center"/>
    </xf>
    <xf numFmtId="9" fontId="40" fillId="0" borderId="194" xfId="7" applyFont="1" applyFill="1" applyBorder="1" applyAlignment="1">
      <alignment horizontal="center" vertical="center"/>
    </xf>
    <xf numFmtId="9" fontId="66" fillId="0" borderId="194" xfId="7" applyFont="1" applyFill="1" applyBorder="1" applyAlignment="1">
      <alignment horizontal="center" vertical="center"/>
    </xf>
    <xf numFmtId="3" fontId="103" fillId="4" borderId="214" xfId="1" applyNumberFormat="1" applyFont="1" applyFill="1" applyBorder="1" applyAlignment="1">
      <alignment horizontal="center" vertical="center"/>
    </xf>
    <xf numFmtId="10" fontId="19" fillId="0" borderId="195" xfId="1" applyNumberFormat="1" applyFont="1" applyFill="1" applyBorder="1" applyAlignment="1">
      <alignment horizontal="center" vertical="center"/>
    </xf>
    <xf numFmtId="10" fontId="66" fillId="0" borderId="195" xfId="1" applyNumberFormat="1" applyFont="1" applyFill="1" applyBorder="1" applyAlignment="1">
      <alignment horizontal="center" vertical="center"/>
    </xf>
    <xf numFmtId="9" fontId="103" fillId="3" borderId="214" xfId="7" applyFont="1" applyFill="1" applyBorder="1" applyAlignment="1">
      <alignment horizontal="center" vertical="center"/>
    </xf>
    <xf numFmtId="3" fontId="103" fillId="3" borderId="214" xfId="1" applyNumberFormat="1" applyFont="1" applyFill="1" applyBorder="1" applyAlignment="1">
      <alignment horizontal="center" vertical="center"/>
    </xf>
    <xf numFmtId="3" fontId="27" fillId="9" borderId="79" xfId="8" applyNumberFormat="1" applyFont="1" applyFill="1" applyBorder="1" applyAlignment="1">
      <alignment horizontal="center" vertical="center"/>
    </xf>
    <xf numFmtId="3" fontId="25" fillId="9" borderId="215" xfId="1" applyNumberFormat="1" applyFont="1" applyFill="1" applyBorder="1" applyAlignment="1">
      <alignment horizontal="center" vertical="center"/>
    </xf>
    <xf numFmtId="10" fontId="27" fillId="0" borderId="196" xfId="1" applyNumberFormat="1" applyFont="1" applyFill="1" applyBorder="1" applyAlignment="1">
      <alignment horizontal="center" vertical="center"/>
    </xf>
    <xf numFmtId="3" fontId="27" fillId="19" borderId="7" xfId="8" applyNumberFormat="1" applyFont="1" applyFill="1" applyBorder="1" applyAlignment="1">
      <alignment horizontal="center" vertical="center"/>
    </xf>
    <xf numFmtId="2" fontId="27" fillId="0" borderId="79" xfId="8" applyNumberFormat="1" applyFont="1" applyFill="1" applyBorder="1" applyAlignment="1">
      <alignment horizontal="center" vertical="center"/>
    </xf>
    <xf numFmtId="0" fontId="169" fillId="0" borderId="195" xfId="1" applyNumberFormat="1" applyFont="1" applyFill="1" applyBorder="1" applyAlignment="1">
      <alignment horizontal="center" vertical="center"/>
    </xf>
    <xf numFmtId="3" fontId="27" fillId="0" borderId="198" xfId="6" applyNumberFormat="1" applyFont="1" applyFill="1" applyBorder="1" applyAlignment="1">
      <alignment horizontal="center" vertical="center"/>
    </xf>
    <xf numFmtId="9" fontId="87" fillId="0" borderId="202" xfId="7" applyFont="1" applyFill="1" applyBorder="1" applyAlignment="1">
      <alignment horizontal="center" vertical="center"/>
    </xf>
    <xf numFmtId="4" fontId="183" fillId="0" borderId="0" xfId="1" applyNumberFormat="1" applyFont="1" applyFill="1" applyAlignment="1">
      <alignment horizontal="center"/>
    </xf>
    <xf numFmtId="3" fontId="20" fillId="0" borderId="0" xfId="1" applyNumberFormat="1" applyFont="1" applyFill="1"/>
    <xf numFmtId="0" fontId="20" fillId="0" borderId="0" xfId="1" applyFont="1" applyFill="1" applyAlignment="1">
      <alignment horizontal="left" vertical="center"/>
    </xf>
    <xf numFmtId="0" fontId="16" fillId="0" borderId="0" xfId="1" applyFont="1" applyFill="1"/>
    <xf numFmtId="0" fontId="90" fillId="0" borderId="0" xfId="1" applyFont="1" applyFill="1"/>
    <xf numFmtId="3" fontId="186" fillId="0" borderId="0" xfId="0" applyNumberFormat="1" applyFont="1"/>
    <xf numFmtId="0" fontId="56" fillId="45" borderId="0" xfId="0" applyFont="1" applyFill="1" applyAlignment="1">
      <alignment horizontal="center" wrapText="1"/>
    </xf>
    <xf numFmtId="3" fontId="0" fillId="43" borderId="0" xfId="0" applyNumberFormat="1" applyFill="1"/>
    <xf numFmtId="4" fontId="24" fillId="4" borderId="77" xfId="1" applyNumberFormat="1" applyFont="1" applyFill="1" applyBorder="1" applyAlignment="1">
      <alignment horizontal="center" vertical="center"/>
    </xf>
    <xf numFmtId="0" fontId="0" fillId="0" borderId="0" xfId="0" quotePrefix="1" applyAlignment="1">
      <alignment horizontal="right"/>
    </xf>
    <xf numFmtId="10" fontId="26" fillId="5" borderId="202" xfId="1" applyNumberFormat="1" applyFont="1" applyFill="1" applyBorder="1" applyAlignment="1">
      <alignment horizontal="center" vertical="center"/>
    </xf>
    <xf numFmtId="9" fontId="36" fillId="0" borderId="222" xfId="7" applyFont="1" applyFill="1" applyBorder="1" applyAlignment="1">
      <alignment horizontal="center" vertical="center"/>
    </xf>
    <xf numFmtId="9" fontId="27" fillId="0" borderId="222" xfId="7" applyFont="1" applyFill="1" applyBorder="1" applyAlignment="1">
      <alignment horizontal="center" vertical="center"/>
    </xf>
    <xf numFmtId="0" fontId="20" fillId="14" borderId="0" xfId="1" applyFont="1" applyFill="1"/>
    <xf numFmtId="0" fontId="19" fillId="0" borderId="223" xfId="1" applyFont="1" applyBorder="1" applyAlignment="1">
      <alignment horizontal="left" vertical="center"/>
    </xf>
    <xf numFmtId="0" fontId="20" fillId="19" borderId="0" xfId="1" applyFont="1" applyFill="1"/>
    <xf numFmtId="3" fontId="20" fillId="6" borderId="56" xfId="1" applyNumberFormat="1" applyFont="1" applyFill="1" applyBorder="1" applyAlignment="1">
      <alignment horizontal="center" vertical="center"/>
    </xf>
    <xf numFmtId="10" fontId="24" fillId="4" borderId="223" xfId="1" applyNumberFormat="1" applyFont="1" applyFill="1" applyBorder="1" applyAlignment="1">
      <alignment horizontal="center" vertical="center"/>
    </xf>
    <xf numFmtId="3" fontId="24" fillId="8" borderId="6" xfId="1" applyNumberFormat="1" applyFont="1" applyFill="1" applyBorder="1" applyAlignment="1">
      <alignment horizontal="center" vertical="center"/>
    </xf>
    <xf numFmtId="4" fontId="24" fillId="11" borderId="51" xfId="1" applyNumberFormat="1" applyFont="1" applyFill="1" applyBorder="1" applyAlignment="1">
      <alignment horizontal="center" vertical="center" wrapText="1"/>
    </xf>
    <xf numFmtId="1" fontId="27" fillId="0" borderId="77" xfId="7" applyNumberFormat="1" applyFont="1" applyFill="1" applyBorder="1" applyAlignment="1">
      <alignment horizontal="center" vertical="center" wrapText="1"/>
    </xf>
    <xf numFmtId="9" fontId="87" fillId="0" borderId="79" xfId="7" applyFont="1" applyFill="1" applyBorder="1" applyAlignment="1">
      <alignment horizontal="center" vertical="center"/>
    </xf>
    <xf numFmtId="49" fontId="19" fillId="0" borderId="77" xfId="7" applyNumberFormat="1" applyFont="1" applyFill="1" applyBorder="1" applyAlignment="1">
      <alignment horizontal="center" vertical="center" wrapText="1"/>
    </xf>
    <xf numFmtId="9" fontId="39" fillId="0" borderId="77" xfId="7" applyFont="1" applyFill="1" applyBorder="1" applyAlignment="1">
      <alignment horizontal="center" vertical="center" wrapText="1"/>
    </xf>
    <xf numFmtId="4" fontId="24" fillId="11" borderId="79" xfId="1" applyNumberFormat="1" applyFont="1" applyFill="1" applyBorder="1" applyAlignment="1">
      <alignment horizontal="center" vertical="center"/>
    </xf>
    <xf numFmtId="9" fontId="36" fillId="0" borderId="77" xfId="7" applyFont="1" applyFill="1" applyBorder="1" applyAlignment="1">
      <alignment horizontal="center" vertical="center" wrapText="1"/>
    </xf>
    <xf numFmtId="9" fontId="36" fillId="0" borderId="222" xfId="7" applyFont="1" applyFill="1" applyBorder="1" applyAlignment="1">
      <alignment horizontal="center" vertical="center" wrapText="1"/>
    </xf>
    <xf numFmtId="9" fontId="36" fillId="0" borderId="224" xfId="7" applyFont="1" applyFill="1" applyBorder="1" applyAlignment="1">
      <alignment horizontal="center" vertical="center"/>
    </xf>
    <xf numFmtId="9" fontId="36" fillId="0" borderId="226" xfId="7" applyFont="1" applyFill="1" applyBorder="1" applyAlignment="1">
      <alignment horizontal="center" vertical="center"/>
    </xf>
    <xf numFmtId="9" fontId="29" fillId="3" borderId="80" xfId="7" applyFont="1" applyFill="1" applyBorder="1" applyAlignment="1">
      <alignment horizontal="center" vertical="center" wrapText="1"/>
    </xf>
    <xf numFmtId="9" fontId="29" fillId="0" borderId="222" xfId="7" applyFont="1" applyFill="1" applyBorder="1" applyAlignment="1">
      <alignment horizontal="center" vertical="center"/>
    </xf>
    <xf numFmtId="9" fontId="29" fillId="0" borderId="222" xfId="7" applyFont="1" applyFill="1" applyBorder="1" applyAlignment="1">
      <alignment horizontal="center" vertical="center" wrapText="1"/>
    </xf>
    <xf numFmtId="9" fontId="36" fillId="4" borderId="76" xfId="7" applyFont="1" applyFill="1" applyBorder="1" applyAlignment="1">
      <alignment horizontal="center" vertical="center" wrapText="1"/>
    </xf>
    <xf numFmtId="10" fontId="26" fillId="5" borderId="222" xfId="1" applyNumberFormat="1" applyFont="1" applyFill="1" applyBorder="1" applyAlignment="1">
      <alignment horizontal="center" vertical="center"/>
    </xf>
    <xf numFmtId="9" fontId="39" fillId="5" borderId="222" xfId="7" applyFont="1" applyFill="1" applyBorder="1" applyAlignment="1">
      <alignment horizontal="center" vertical="center"/>
    </xf>
    <xf numFmtId="10" fontId="26" fillId="5" borderId="223" xfId="1" applyNumberFormat="1" applyFont="1" applyFill="1" applyBorder="1" applyAlignment="1">
      <alignment horizontal="center" vertical="center"/>
    </xf>
    <xf numFmtId="9" fontId="39" fillId="5" borderId="77" xfId="7" applyFont="1" applyFill="1" applyBorder="1" applyAlignment="1">
      <alignment horizontal="center" vertical="center" wrapText="1"/>
    </xf>
    <xf numFmtId="9" fontId="29" fillId="4" borderId="223" xfId="7" applyFont="1" applyFill="1" applyBorder="1" applyAlignment="1">
      <alignment horizontal="center" vertical="center" wrapText="1"/>
    </xf>
    <xf numFmtId="10" fontId="24" fillId="4" borderId="77" xfId="1" applyNumberFormat="1" applyFont="1" applyFill="1" applyBorder="1" applyAlignment="1">
      <alignment horizontal="center" vertical="center"/>
    </xf>
    <xf numFmtId="9" fontId="29" fillId="3" borderId="62" xfId="7" applyFont="1" applyFill="1" applyBorder="1" applyAlignment="1">
      <alignment horizontal="center" vertical="center" wrapText="1"/>
    </xf>
    <xf numFmtId="9" fontId="36" fillId="0" borderId="76" xfId="7" applyFont="1" applyFill="1" applyBorder="1" applyAlignment="1">
      <alignment horizontal="center" vertical="center" wrapText="1"/>
    </xf>
    <xf numFmtId="4" fontId="24" fillId="8" borderId="222" xfId="1" applyNumberFormat="1" applyFont="1" applyFill="1" applyBorder="1" applyAlignment="1">
      <alignment horizontal="center" vertical="center"/>
    </xf>
    <xf numFmtId="0" fontId="164" fillId="19" borderId="0" xfId="1" applyFont="1" applyFill="1" applyAlignment="1">
      <alignment vertical="center" wrapText="1"/>
    </xf>
    <xf numFmtId="0" fontId="20" fillId="19" borderId="0" xfId="1" applyFont="1" applyFill="1" applyAlignment="1">
      <alignment vertical="center"/>
    </xf>
    <xf numFmtId="0" fontId="164" fillId="19" borderId="0" xfId="1" applyFont="1" applyFill="1" applyAlignment="1">
      <alignment vertical="center"/>
    </xf>
    <xf numFmtId="0" fontId="16" fillId="19" borderId="0" xfId="1" applyFill="1" applyAlignment="1">
      <alignment vertical="center"/>
    </xf>
    <xf numFmtId="4" fontId="24" fillId="4" borderId="228" xfId="1" applyNumberFormat="1" applyFont="1" applyFill="1" applyBorder="1" applyAlignment="1">
      <alignment horizontal="center" vertical="center"/>
    </xf>
    <xf numFmtId="10" fontId="24" fillId="3" borderId="228" xfId="1"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27" borderId="3" xfId="0" applyNumberFormat="1" applyFont="1" applyFill="1" applyBorder="1" applyAlignment="1">
      <alignment horizontal="center" vertical="center"/>
    </xf>
    <xf numFmtId="49" fontId="18" fillId="27" borderId="9" xfId="0" applyNumberFormat="1" applyFont="1" applyFill="1" applyBorder="1" applyAlignment="1">
      <alignment horizontal="center" vertical="center"/>
    </xf>
    <xf numFmtId="49" fontId="18" fillId="38" borderId="3" xfId="0" applyNumberFormat="1" applyFont="1" applyFill="1" applyBorder="1" applyAlignment="1">
      <alignment horizontal="center" vertical="center"/>
    </xf>
    <xf numFmtId="49" fontId="18" fillId="38" borderId="9" xfId="0" applyNumberFormat="1" applyFont="1" applyFill="1" applyBorder="1" applyAlignment="1">
      <alignment horizontal="center" vertical="center"/>
    </xf>
    <xf numFmtId="49" fontId="18" fillId="33" borderId="3" xfId="0" applyNumberFormat="1" applyFont="1" applyFill="1" applyBorder="1" applyAlignment="1">
      <alignment horizontal="center" vertical="center"/>
    </xf>
    <xf numFmtId="49" fontId="18" fillId="33" borderId="9" xfId="0" applyNumberFormat="1" applyFont="1" applyFill="1" applyBorder="1" applyAlignment="1">
      <alignment horizontal="center" vertical="center"/>
    </xf>
    <xf numFmtId="4" fontId="24" fillId="0" borderId="6" xfId="1" applyNumberFormat="1" applyFont="1" applyBorder="1" applyAlignment="1">
      <alignment vertical="center"/>
    </xf>
    <xf numFmtId="4" fontId="25" fillId="0" borderId="77" xfId="1" applyNumberFormat="1" applyFont="1" applyBorder="1" applyAlignment="1">
      <alignment horizontal="center" vertical="center"/>
    </xf>
    <xf numFmtId="4" fontId="25" fillId="0" borderId="77" xfId="1" applyNumberFormat="1" applyFont="1" applyBorder="1" applyAlignment="1">
      <alignment horizontal="center" vertical="center" wrapText="1"/>
    </xf>
    <xf numFmtId="4" fontId="109" fillId="0" borderId="77" xfId="1" applyNumberFormat="1" applyFont="1" applyBorder="1" applyAlignment="1">
      <alignment horizontal="center" vertical="center" wrapText="1"/>
    </xf>
    <xf numFmtId="4" fontId="25" fillId="0" borderId="222" xfId="1" applyNumberFormat="1" applyFont="1" applyBorder="1" applyAlignment="1">
      <alignment horizontal="center" vertical="center"/>
    </xf>
    <xf numFmtId="4" fontId="25" fillId="0" borderId="36" xfId="1" applyNumberFormat="1" applyFont="1" applyBorder="1" applyAlignment="1">
      <alignment horizontal="center" vertical="center"/>
    </xf>
    <xf numFmtId="4" fontId="25" fillId="0" borderId="63" xfId="1" applyNumberFormat="1" applyFont="1" applyBorder="1" applyAlignment="1">
      <alignment horizontal="center" vertical="center"/>
    </xf>
    <xf numFmtId="4" fontId="25" fillId="0" borderId="58" xfId="1" applyNumberFormat="1" applyFont="1" applyBorder="1" applyAlignment="1">
      <alignment horizontal="center" vertical="center"/>
    </xf>
    <xf numFmtId="3" fontId="25" fillId="0" borderId="58" xfId="1" applyNumberFormat="1" applyFont="1" applyBorder="1" applyAlignment="1">
      <alignment horizontal="center" vertical="center"/>
    </xf>
    <xf numFmtId="4" fontId="25" fillId="0" borderId="58" xfId="1" applyNumberFormat="1" applyFont="1" applyBorder="1" applyAlignment="1">
      <alignment horizontal="center" vertical="center" wrapText="1"/>
    </xf>
    <xf numFmtId="3" fontId="25" fillId="0" borderId="77" xfId="1" applyNumberFormat="1" applyFont="1" applyBorder="1" applyAlignment="1">
      <alignment horizontal="center" vertical="center"/>
    </xf>
    <xf numFmtId="9" fontId="36" fillId="0" borderId="229" xfId="7" applyFont="1" applyFill="1" applyBorder="1" applyAlignment="1">
      <alignment horizontal="center" vertical="center"/>
    </xf>
    <xf numFmtId="4" fontId="87" fillId="0" borderId="77" xfId="1" applyNumberFormat="1" applyFont="1" applyBorder="1" applyAlignment="1">
      <alignment horizontal="center" vertical="center"/>
    </xf>
    <xf numFmtId="3" fontId="87" fillId="0" borderId="77" xfId="1" applyNumberFormat="1" applyFont="1" applyBorder="1" applyAlignment="1">
      <alignment horizontal="center" vertical="center"/>
    </xf>
    <xf numFmtId="4" fontId="87" fillId="0" borderId="77" xfId="1" applyNumberFormat="1" applyFont="1" applyBorder="1" applyAlignment="1">
      <alignment horizontal="center" vertical="center" wrapText="1"/>
    </xf>
    <xf numFmtId="4" fontId="25" fillId="0" borderId="79" xfId="1" applyNumberFormat="1" applyFont="1" applyBorder="1" applyAlignment="1">
      <alignment horizontal="center" vertical="center"/>
    </xf>
    <xf numFmtId="0" fontId="19" fillId="0" borderId="230" xfId="1" applyFont="1" applyBorder="1" applyAlignment="1">
      <alignment vertical="center"/>
    </xf>
    <xf numFmtId="3" fontId="24" fillId="0" borderId="6" xfId="1" applyNumberFormat="1" applyFont="1" applyBorder="1" applyAlignment="1">
      <alignment vertical="center"/>
    </xf>
    <xf numFmtId="4" fontId="97" fillId="0" borderId="77" xfId="1" applyNumberFormat="1" applyFont="1" applyBorder="1" applyAlignment="1">
      <alignment horizontal="center" vertical="center" wrapText="1"/>
    </xf>
    <xf numFmtId="4" fontId="26" fillId="0" borderId="77" xfId="1" applyNumberFormat="1" applyFont="1" applyBorder="1" applyAlignment="1">
      <alignment horizontal="center" vertical="center"/>
    </xf>
    <xf numFmtId="4" fontId="67" fillId="0" borderId="77" xfId="1" applyNumberFormat="1" applyFont="1" applyBorder="1" applyAlignment="1">
      <alignment horizontal="center" vertical="center" wrapText="1"/>
    </xf>
    <xf numFmtId="9" fontId="19" fillId="0" borderId="229" xfId="7" applyFont="1" applyFill="1" applyBorder="1" applyAlignment="1">
      <alignment horizontal="center" vertical="center" wrapText="1"/>
    </xf>
    <xf numFmtId="9" fontId="27" fillId="0" borderId="229" xfId="7" applyFont="1" applyFill="1" applyBorder="1" applyAlignment="1">
      <alignment horizontal="center" vertical="center"/>
    </xf>
    <xf numFmtId="9" fontId="26" fillId="0" borderId="229" xfId="7" applyFont="1" applyFill="1" applyBorder="1" applyAlignment="1">
      <alignment horizontal="center" vertical="center"/>
    </xf>
    <xf numFmtId="9" fontId="87" fillId="0" borderId="229" xfId="7" applyFont="1" applyFill="1" applyBorder="1" applyAlignment="1">
      <alignment horizontal="center" vertical="center"/>
    </xf>
    <xf numFmtId="0" fontId="19" fillId="0" borderId="231" xfId="1" applyFont="1" applyBorder="1" applyAlignment="1">
      <alignment vertical="center"/>
    </xf>
    <xf numFmtId="9" fontId="26" fillId="0" borderId="229" xfId="7" applyFont="1" applyFill="1" applyBorder="1" applyAlignment="1">
      <alignment horizontal="center" vertical="center" wrapText="1"/>
    </xf>
    <xf numFmtId="4" fontId="25" fillId="0" borderId="198" xfId="1" applyNumberFormat="1" applyFont="1" applyBorder="1" applyAlignment="1">
      <alignment horizontal="center" vertical="center"/>
    </xf>
    <xf numFmtId="4" fontId="25" fillId="0" borderId="202" xfId="1" applyNumberFormat="1" applyFont="1" applyBorder="1" applyAlignment="1">
      <alignment horizontal="center" vertical="center"/>
    </xf>
    <xf numFmtId="3" fontId="25" fillId="0" borderId="202" xfId="1" applyNumberFormat="1" applyFont="1" applyBorder="1" applyAlignment="1">
      <alignment horizontal="center" vertical="center"/>
    </xf>
    <xf numFmtId="4" fontId="87" fillId="0" borderId="202" xfId="1" applyNumberFormat="1" applyFont="1" applyBorder="1" applyAlignment="1">
      <alignment horizontal="center" vertical="center"/>
    </xf>
    <xf numFmtId="3" fontId="87" fillId="0" borderId="202" xfId="1" applyNumberFormat="1" applyFont="1" applyBorder="1" applyAlignment="1">
      <alignment horizontal="center" vertical="center"/>
    </xf>
    <xf numFmtId="3" fontId="25" fillId="0" borderId="20" xfId="1" applyNumberFormat="1" applyFont="1" applyBorder="1" applyAlignment="1">
      <alignment horizontal="center" vertical="center"/>
    </xf>
    <xf numFmtId="10" fontId="26" fillId="0" borderId="77" xfId="1" applyNumberFormat="1" applyFont="1" applyBorder="1" applyAlignment="1">
      <alignment horizontal="center" vertical="center"/>
    </xf>
    <xf numFmtId="0" fontId="24" fillId="11" borderId="232" xfId="1" applyFont="1" applyFill="1" applyBorder="1" applyAlignment="1">
      <alignment vertical="center"/>
    </xf>
    <xf numFmtId="4" fontId="24" fillId="11" borderId="230" xfId="1" applyNumberFormat="1" applyFont="1" applyFill="1" applyBorder="1" applyAlignment="1">
      <alignment horizontal="center" vertical="center"/>
    </xf>
    <xf numFmtId="4" fontId="24" fillId="11" borderId="233" xfId="1" applyNumberFormat="1" applyFont="1" applyFill="1" applyBorder="1" applyAlignment="1">
      <alignment horizontal="center" vertical="center"/>
    </xf>
    <xf numFmtId="0" fontId="19" fillId="0" borderId="232" xfId="1" applyFont="1" applyBorder="1" applyAlignment="1">
      <alignment horizontal="left" vertical="center"/>
    </xf>
    <xf numFmtId="0" fontId="27" fillId="0" borderId="229" xfId="1" applyFont="1" applyBorder="1" applyAlignment="1">
      <alignment horizontal="center" vertical="center"/>
    </xf>
    <xf numFmtId="0" fontId="19" fillId="0" borderId="201" xfId="1" applyFont="1" applyBorder="1" applyAlignment="1">
      <alignment horizontal="left" vertical="center"/>
    </xf>
    <xf numFmtId="10" fontId="27" fillId="0" borderId="202" xfId="1" applyNumberFormat="1" applyFont="1" applyBorder="1" applyAlignment="1">
      <alignment horizontal="center" vertical="center"/>
    </xf>
    <xf numFmtId="4" fontId="25" fillId="0" borderId="20" xfId="1" applyNumberFormat="1" applyFont="1" applyBorder="1" applyAlignment="1">
      <alignment horizontal="center" vertical="center"/>
    </xf>
    <xf numFmtId="10" fontId="27" fillId="0" borderId="36" xfId="1" applyNumberFormat="1" applyFont="1" applyBorder="1" applyAlignment="1">
      <alignment horizontal="center" vertical="center"/>
    </xf>
    <xf numFmtId="0" fontId="24" fillId="0" borderId="201" xfId="1" applyFont="1" applyBorder="1" applyAlignment="1">
      <alignment vertical="center"/>
    </xf>
    <xf numFmtId="10" fontId="24" fillId="0" borderId="202" xfId="1" applyNumberFormat="1" applyFont="1" applyBorder="1" applyAlignment="1">
      <alignment horizontal="center" vertical="center"/>
    </xf>
    <xf numFmtId="9" fontId="36" fillId="4" borderId="229" xfId="7" applyFont="1" applyFill="1" applyBorder="1" applyAlignment="1">
      <alignment horizontal="center" vertical="center"/>
    </xf>
    <xf numFmtId="0" fontId="19" fillId="0" borderId="232" xfId="1" applyFont="1" applyBorder="1" applyAlignment="1">
      <alignment vertical="center"/>
    </xf>
    <xf numFmtId="0" fontId="19" fillId="0" borderId="223" xfId="1" applyFont="1" applyBorder="1" applyAlignment="1">
      <alignment vertical="center"/>
    </xf>
    <xf numFmtId="0" fontId="27" fillId="0" borderId="77" xfId="1" applyFont="1" applyBorder="1" applyAlignment="1">
      <alignment horizontal="center" vertical="center"/>
    </xf>
    <xf numFmtId="0" fontId="19" fillId="0" borderId="201" xfId="1" applyFont="1" applyBorder="1" applyAlignment="1">
      <alignment vertical="center"/>
    </xf>
    <xf numFmtId="4" fontId="25" fillId="0" borderId="7" xfId="1" applyNumberFormat="1" applyFont="1" applyBorder="1" applyAlignment="1">
      <alignment horizontal="center" vertical="center"/>
    </xf>
    <xf numFmtId="0" fontId="24" fillId="4" borderId="232" xfId="1" applyFont="1" applyFill="1" applyBorder="1" applyAlignment="1">
      <alignment vertical="center"/>
    </xf>
    <xf numFmtId="10" fontId="24" fillId="4" borderId="229" xfId="1" applyNumberFormat="1" applyFont="1" applyFill="1" applyBorder="1" applyAlignment="1">
      <alignment horizontal="center" vertical="center"/>
    </xf>
    <xf numFmtId="10" fontId="19" fillId="0" borderId="202" xfId="1" applyNumberFormat="1" applyFont="1" applyBorder="1" applyAlignment="1">
      <alignment horizontal="center" vertical="center"/>
    </xf>
    <xf numFmtId="10" fontId="26" fillId="0" borderId="20" xfId="1" applyNumberFormat="1" applyFont="1" applyBorder="1" applyAlignment="1">
      <alignment horizontal="center" vertical="center"/>
    </xf>
    <xf numFmtId="10" fontId="26" fillId="0" borderId="202" xfId="1" applyNumberFormat="1" applyFont="1" applyBorder="1" applyAlignment="1">
      <alignment horizontal="center" vertical="center"/>
    </xf>
    <xf numFmtId="10" fontId="19" fillId="0" borderId="20" xfId="1" applyNumberFormat="1" applyFont="1" applyBorder="1" applyAlignment="1">
      <alignment horizontal="center" vertical="center"/>
    </xf>
    <xf numFmtId="10" fontId="26" fillId="0" borderId="36" xfId="1" applyNumberFormat="1" applyFont="1" applyBorder="1" applyAlignment="1">
      <alignment horizontal="center" vertical="center"/>
    </xf>
    <xf numFmtId="0" fontId="24" fillId="4" borderId="199" xfId="1" applyFont="1" applyFill="1" applyBorder="1" applyAlignment="1">
      <alignment vertical="center"/>
    </xf>
    <xf numFmtId="3" fontId="27" fillId="0" borderId="58" xfId="1" applyNumberFormat="1" applyFont="1" applyBorder="1" applyAlignment="1">
      <alignment horizontal="center" vertical="center"/>
    </xf>
    <xf numFmtId="10" fontId="27" fillId="0" borderId="58" xfId="1" applyNumberFormat="1" applyFont="1" applyBorder="1" applyAlignment="1">
      <alignment horizontal="center" vertical="center"/>
    </xf>
    <xf numFmtId="10" fontId="27" fillId="0" borderId="77" xfId="1" applyNumberFormat="1" applyFont="1" applyBorder="1" applyAlignment="1">
      <alignment horizontal="center" vertical="center"/>
    </xf>
    <xf numFmtId="0" fontId="19" fillId="0" borderId="230" xfId="1" applyFont="1" applyBorder="1" applyAlignment="1">
      <alignment horizontal="left" vertical="center"/>
    </xf>
    <xf numFmtId="10" fontId="26" fillId="0" borderId="229" xfId="1" applyNumberFormat="1" applyFont="1" applyBorder="1" applyAlignment="1">
      <alignment horizontal="center" vertical="center"/>
    </xf>
    <xf numFmtId="0" fontId="24" fillId="6" borderId="230" xfId="1" applyFont="1" applyFill="1" applyBorder="1" applyAlignment="1">
      <alignment vertical="center"/>
    </xf>
    <xf numFmtId="3" fontId="28" fillId="6" borderId="230" xfId="1" applyNumberFormat="1" applyFont="1" applyFill="1" applyBorder="1" applyAlignment="1">
      <alignment horizontal="center" vertical="center"/>
    </xf>
    <xf numFmtId="3" fontId="28" fillId="6" borderId="233" xfId="1" applyNumberFormat="1" applyFont="1" applyFill="1" applyBorder="1" applyAlignment="1">
      <alignment horizontal="center" vertical="center"/>
    </xf>
    <xf numFmtId="4" fontId="28" fillId="6" borderId="233" xfId="1" applyNumberFormat="1" applyFont="1" applyFill="1" applyBorder="1" applyAlignment="1">
      <alignment horizontal="center" vertical="center"/>
    </xf>
    <xf numFmtId="4" fontId="28" fillId="6" borderId="230" xfId="1" applyNumberFormat="1" applyFont="1" applyFill="1" applyBorder="1" applyAlignment="1">
      <alignment horizontal="center" vertical="center"/>
    </xf>
    <xf numFmtId="0" fontId="19" fillId="0" borderId="51" xfId="1" applyFont="1" applyBorder="1" applyAlignment="1">
      <alignment horizontal="center" vertical="center" wrapText="1"/>
    </xf>
    <xf numFmtId="0" fontId="19" fillId="0" borderId="20" xfId="1" applyFont="1" applyBorder="1" applyAlignment="1">
      <alignment horizontal="center" vertical="center" wrapText="1"/>
    </xf>
    <xf numFmtId="3" fontId="24" fillId="8" borderId="234" xfId="1" applyNumberFormat="1" applyFont="1" applyFill="1" applyBorder="1" applyAlignment="1">
      <alignment horizontal="center" vertical="center"/>
    </xf>
    <xf numFmtId="4" fontId="24" fillId="8" borderId="234" xfId="1" applyNumberFormat="1" applyFont="1" applyFill="1" applyBorder="1" applyAlignment="1">
      <alignment horizontal="center" vertical="center"/>
    </xf>
    <xf numFmtId="0" fontId="27" fillId="0" borderId="77" xfId="1" applyFont="1" applyBorder="1" applyAlignment="1">
      <alignment horizontal="center" vertical="center" wrapText="1"/>
    </xf>
    <xf numFmtId="0" fontId="26" fillId="0" borderId="77" xfId="1" applyFont="1" applyBorder="1" applyAlignment="1">
      <alignment horizontal="center" vertical="center" wrapText="1"/>
    </xf>
    <xf numFmtId="0" fontId="19" fillId="0" borderId="77" xfId="1" applyFont="1" applyBorder="1" applyAlignment="1">
      <alignment horizontal="center" vertical="center" wrapText="1"/>
    </xf>
    <xf numFmtId="4" fontId="19" fillId="0" borderId="77" xfId="1" applyNumberFormat="1" applyFont="1" applyBorder="1" applyAlignment="1">
      <alignment horizontal="center" vertical="center"/>
    </xf>
    <xf numFmtId="0" fontId="26" fillId="0" borderId="77" xfId="1" applyFont="1" applyBorder="1" applyAlignment="1">
      <alignment horizontal="center" vertical="center"/>
    </xf>
    <xf numFmtId="0" fontId="19" fillId="0" borderId="77" xfId="1" applyFont="1" applyBorder="1" applyAlignment="1">
      <alignment horizontal="center" vertical="center"/>
    </xf>
    <xf numFmtId="0" fontId="27" fillId="0" borderId="58" xfId="1" applyFont="1" applyBorder="1" applyAlignment="1">
      <alignment horizontal="center" vertical="center"/>
    </xf>
    <xf numFmtId="0" fontId="24" fillId="6" borderId="230" xfId="1" applyFont="1" applyFill="1" applyBorder="1" applyAlignment="1">
      <alignment vertical="center" wrapText="1"/>
    </xf>
    <xf numFmtId="3" fontId="24" fillId="6" borderId="233" xfId="1" applyNumberFormat="1" applyFont="1" applyFill="1" applyBorder="1" applyAlignment="1">
      <alignment horizontal="center" vertical="center"/>
    </xf>
    <xf numFmtId="4" fontId="24" fillId="6" borderId="233" xfId="1" applyNumberFormat="1" applyFont="1" applyFill="1" applyBorder="1" applyAlignment="1">
      <alignment horizontal="center" vertical="center"/>
    </xf>
    <xf numFmtId="0" fontId="24" fillId="3" borderId="199" xfId="1" applyFont="1" applyFill="1" applyBorder="1" applyAlignment="1">
      <alignment vertical="center"/>
    </xf>
    <xf numFmtId="4" fontId="26" fillId="0" borderId="77" xfId="1" applyNumberFormat="1" applyFont="1" applyBorder="1" applyAlignment="1">
      <alignment horizontal="center" vertical="center" wrapText="1"/>
    </xf>
    <xf numFmtId="4" fontId="112" fillId="0" borderId="77" xfId="1" applyNumberFormat="1" applyFont="1" applyBorder="1" applyAlignment="1">
      <alignment horizontal="center" vertical="center" wrapText="1"/>
    </xf>
    <xf numFmtId="4" fontId="47" fillId="0" borderId="77" xfId="1" applyNumberFormat="1" applyFont="1" applyBorder="1" applyAlignment="1">
      <alignment horizontal="center" vertical="center" wrapText="1"/>
    </xf>
    <xf numFmtId="4" fontId="106" fillId="0" borderId="77" xfId="1" applyNumberFormat="1" applyFont="1" applyBorder="1" applyAlignment="1">
      <alignment horizontal="center" vertical="center" wrapText="1"/>
    </xf>
    <xf numFmtId="4" fontId="96" fillId="0" borderId="77" xfId="1" applyNumberFormat="1" applyFont="1" applyBorder="1" applyAlignment="1">
      <alignment horizontal="center" vertical="center" wrapText="1"/>
    </xf>
    <xf numFmtId="3" fontId="25" fillId="0" borderId="36" xfId="1" applyNumberFormat="1" applyFont="1" applyBorder="1" applyAlignment="1">
      <alignment horizontal="center" vertical="center"/>
    </xf>
    <xf numFmtId="4" fontId="87" fillId="0" borderId="20" xfId="1" applyNumberFormat="1" applyFont="1" applyBorder="1" applyAlignment="1">
      <alignment horizontal="center" vertical="center"/>
    </xf>
    <xf numFmtId="3" fontId="87" fillId="0" borderId="20" xfId="1" applyNumberFormat="1" applyFont="1" applyBorder="1" applyAlignment="1">
      <alignment horizontal="center" vertical="center"/>
    </xf>
    <xf numFmtId="10" fontId="26" fillId="0" borderId="58" xfId="1" applyNumberFormat="1" applyFont="1" applyBorder="1" applyAlignment="1">
      <alignment horizontal="center" vertical="center"/>
    </xf>
    <xf numFmtId="3" fontId="27" fillId="0" borderId="63" xfId="1" applyNumberFormat="1" applyFont="1" applyBorder="1" applyAlignment="1">
      <alignment horizontal="center" vertical="center"/>
    </xf>
    <xf numFmtId="3" fontId="27" fillId="0" borderId="77" xfId="1" applyNumberFormat="1" applyFont="1" applyBorder="1" applyAlignment="1">
      <alignment horizontal="center" vertical="center"/>
    </xf>
    <xf numFmtId="0" fontId="24" fillId="8" borderId="231" xfId="1" applyFont="1" applyFill="1" applyBorder="1" applyAlignment="1">
      <alignment vertical="center"/>
    </xf>
    <xf numFmtId="0" fontId="26" fillId="0" borderId="58" xfId="1" applyFont="1" applyBorder="1" applyAlignment="1">
      <alignment horizontal="center" vertical="center" wrapText="1"/>
    </xf>
    <xf numFmtId="0" fontId="19" fillId="0" borderId="58" xfId="1" applyFont="1" applyBorder="1" applyAlignment="1">
      <alignment horizontal="center" vertical="center" wrapText="1"/>
    </xf>
    <xf numFmtId="4" fontId="84" fillId="0" borderId="58" xfId="1" applyNumberFormat="1" applyFont="1" applyBorder="1" applyAlignment="1">
      <alignment horizontal="center" vertical="center"/>
    </xf>
    <xf numFmtId="0" fontId="26" fillId="0" borderId="58" xfId="1" applyFont="1" applyBorder="1" applyAlignment="1">
      <alignment horizontal="center" vertical="center"/>
    </xf>
    <xf numFmtId="4" fontId="19" fillId="0" borderId="58" xfId="1" applyNumberFormat="1" applyFont="1" applyBorder="1" applyAlignment="1">
      <alignment horizontal="center" vertical="center"/>
    </xf>
    <xf numFmtId="4" fontId="102" fillId="0" borderId="77" xfId="1" applyNumberFormat="1" applyFont="1" applyBorder="1" applyAlignment="1">
      <alignment horizontal="center" vertical="center" wrapText="1"/>
    </xf>
    <xf numFmtId="9" fontId="105" fillId="0" borderId="229" xfId="7" applyFont="1" applyFill="1" applyBorder="1" applyAlignment="1">
      <alignment horizontal="center" vertical="center" wrapText="1"/>
    </xf>
    <xf numFmtId="4" fontId="71" fillId="0" borderId="77" xfId="1" applyNumberFormat="1" applyFont="1" applyBorder="1" applyAlignment="1">
      <alignment horizontal="center" vertical="center" wrapText="1"/>
    </xf>
    <xf numFmtId="3" fontId="27" fillId="0" borderId="12" xfId="1" applyNumberFormat="1" applyFont="1" applyBorder="1" applyAlignment="1">
      <alignment horizontal="center" vertical="center"/>
    </xf>
    <xf numFmtId="3" fontId="27" fillId="0" borderId="233" xfId="1" applyNumberFormat="1" applyFont="1" applyBorder="1" applyAlignment="1">
      <alignment horizontal="center" vertical="center"/>
    </xf>
    <xf numFmtId="4" fontId="138" fillId="0" borderId="58" xfId="1" applyNumberFormat="1" applyFont="1" applyBorder="1" applyAlignment="1">
      <alignment horizontal="center" vertical="center"/>
    </xf>
    <xf numFmtId="4" fontId="106" fillId="0" borderId="58" xfId="1" applyNumberFormat="1" applyFont="1" applyBorder="1" applyAlignment="1">
      <alignment horizontal="center" vertical="center" wrapText="1"/>
    </xf>
    <xf numFmtId="4" fontId="66" fillId="0" borderId="77" xfId="1" applyNumberFormat="1" applyFont="1" applyBorder="1" applyAlignment="1">
      <alignment horizontal="center" vertical="center" wrapText="1"/>
    </xf>
    <xf numFmtId="0" fontId="19" fillId="0" borderId="232" xfId="1" applyFont="1" applyBorder="1" applyAlignment="1">
      <alignment horizontal="left" vertical="center" wrapText="1"/>
    </xf>
    <xf numFmtId="4" fontId="26" fillId="0" borderId="58" xfId="1" applyNumberFormat="1" applyFont="1" applyBorder="1" applyAlignment="1">
      <alignment horizontal="center" vertical="center"/>
    </xf>
    <xf numFmtId="4" fontId="25" fillId="19" borderId="77" xfId="1" applyNumberFormat="1" applyFont="1" applyFill="1" applyBorder="1" applyAlignment="1">
      <alignment horizontal="center" vertical="center" wrapText="1"/>
    </xf>
    <xf numFmtId="4" fontId="25" fillId="0" borderId="222" xfId="1" applyNumberFormat="1" applyFont="1" applyBorder="1" applyAlignment="1">
      <alignment horizontal="center" vertical="center" wrapText="1"/>
    </xf>
    <xf numFmtId="4" fontId="109" fillId="0" borderId="222" xfId="1" applyNumberFormat="1" applyFont="1" applyBorder="1" applyAlignment="1">
      <alignment horizontal="center" vertical="center" wrapText="1"/>
    </xf>
    <xf numFmtId="4" fontId="97" fillId="0" borderId="222" xfId="1" applyNumberFormat="1" applyFont="1" applyBorder="1" applyAlignment="1">
      <alignment horizontal="center" vertical="center"/>
    </xf>
    <xf numFmtId="0" fontId="19" fillId="0" borderId="80" xfId="1" applyFont="1" applyBorder="1" applyAlignment="1">
      <alignment vertical="center" wrapText="1"/>
    </xf>
    <xf numFmtId="0" fontId="19" fillId="0" borderId="230" xfId="1" applyFont="1" applyBorder="1" applyAlignment="1">
      <alignment vertical="center" wrapText="1"/>
    </xf>
    <xf numFmtId="9" fontId="27" fillId="0" borderId="229" xfId="7" applyFont="1" applyFill="1" applyBorder="1" applyAlignment="1">
      <alignment horizontal="center" vertical="center" wrapText="1"/>
    </xf>
    <xf numFmtId="0" fontId="24" fillId="11" borderId="229" xfId="1" applyFont="1" applyFill="1" applyBorder="1" applyAlignment="1">
      <alignment vertical="center"/>
    </xf>
    <xf numFmtId="4" fontId="24" fillId="11" borderId="232" xfId="1" applyNumberFormat="1" applyFont="1" applyFill="1" applyBorder="1" applyAlignment="1">
      <alignment horizontal="center" vertical="center"/>
    </xf>
    <xf numFmtId="10" fontId="27" fillId="0" borderId="20" xfId="1" applyNumberFormat="1" applyFont="1" applyBorder="1" applyAlignment="1">
      <alignment horizontal="center" vertical="center"/>
    </xf>
    <xf numFmtId="10" fontId="24" fillId="0" borderId="198" xfId="1" applyNumberFormat="1" applyFont="1" applyBorder="1" applyAlignment="1">
      <alignment horizontal="center" vertical="center"/>
    </xf>
    <xf numFmtId="0" fontId="24" fillId="0" borderId="202" xfId="1" applyFont="1" applyBorder="1" applyAlignment="1">
      <alignment vertical="center"/>
    </xf>
    <xf numFmtId="0" fontId="24" fillId="4" borderId="77" xfId="1" applyFont="1" applyFill="1" applyBorder="1" applyAlignment="1">
      <alignment vertical="center"/>
    </xf>
    <xf numFmtId="3" fontId="24" fillId="4" borderId="76" xfId="1" applyNumberFormat="1" applyFont="1" applyFill="1" applyBorder="1" applyAlignment="1">
      <alignment horizontal="center" vertical="center"/>
    </xf>
    <xf numFmtId="3" fontId="25" fillId="0" borderId="79" xfId="1" applyNumberFormat="1" applyFont="1" applyBorder="1" applyAlignment="1">
      <alignment horizontal="center" vertical="center"/>
    </xf>
    <xf numFmtId="4" fontId="25" fillId="0" borderId="234" xfId="1" applyNumberFormat="1" applyFont="1" applyBorder="1" applyAlignment="1">
      <alignment horizontal="center" vertical="center"/>
    </xf>
    <xf numFmtId="0" fontId="24" fillId="4" borderId="222" xfId="1" applyFont="1" applyFill="1" applyBorder="1" applyAlignment="1">
      <alignment vertical="center"/>
    </xf>
    <xf numFmtId="3" fontId="24" fillId="4" borderId="201" xfId="1" applyNumberFormat="1" applyFont="1" applyFill="1" applyBorder="1" applyAlignment="1">
      <alignment horizontal="center" vertical="center"/>
    </xf>
    <xf numFmtId="2" fontId="27" fillId="0" borderId="58" xfId="1" applyNumberFormat="1" applyFont="1" applyBorder="1" applyAlignment="1">
      <alignment horizontal="center" vertical="center"/>
    </xf>
    <xf numFmtId="0" fontId="24" fillId="6" borderId="233" xfId="1" applyFont="1" applyFill="1" applyBorder="1" applyAlignment="1">
      <alignment vertical="center"/>
    </xf>
    <xf numFmtId="3" fontId="28" fillId="6" borderId="232" xfId="1" applyNumberFormat="1" applyFont="1" applyFill="1" applyBorder="1" applyAlignment="1">
      <alignment horizontal="center" vertical="center"/>
    </xf>
    <xf numFmtId="3" fontId="24" fillId="8" borderId="202" xfId="1" applyNumberFormat="1" applyFont="1" applyFill="1" applyBorder="1" applyAlignment="1">
      <alignment horizontal="center" vertical="center"/>
    </xf>
    <xf numFmtId="4" fontId="84" fillId="0" borderId="77" xfId="1" applyNumberFormat="1" applyFont="1" applyBorder="1" applyAlignment="1">
      <alignment horizontal="center" vertical="center"/>
    </xf>
    <xf numFmtId="0" fontId="24" fillId="6" borderId="229" xfId="1" applyFont="1" applyFill="1" applyBorder="1" applyAlignment="1">
      <alignment vertical="center" wrapText="1"/>
    </xf>
    <xf numFmtId="3" fontId="24" fillId="6" borderId="229" xfId="1" applyNumberFormat="1" applyFont="1" applyFill="1" applyBorder="1" applyAlignment="1">
      <alignment horizontal="center" vertical="center"/>
    </xf>
    <xf numFmtId="0" fontId="24" fillId="3" borderId="202" xfId="1" applyFont="1" applyFill="1" applyBorder="1" applyAlignment="1">
      <alignment vertical="center"/>
    </xf>
    <xf numFmtId="9" fontId="24" fillId="3" borderId="201" xfId="7" applyFont="1" applyFill="1" applyBorder="1" applyAlignment="1">
      <alignment horizontal="center" vertical="center"/>
    </xf>
    <xf numFmtId="4" fontId="87" fillId="0" borderId="198" xfId="1" applyNumberFormat="1" applyFont="1" applyBorder="1" applyAlignment="1">
      <alignment horizontal="center" vertical="center"/>
    </xf>
    <xf numFmtId="4" fontId="113" fillId="0" borderId="77" xfId="1" applyNumberFormat="1" applyFont="1" applyBorder="1" applyAlignment="1">
      <alignment horizontal="center" vertical="center" wrapText="1"/>
    </xf>
    <xf numFmtId="9" fontId="87" fillId="0" borderId="229" xfId="7" applyFont="1" applyFill="1" applyBorder="1" applyAlignment="1">
      <alignment horizontal="center" vertical="center" wrapText="1"/>
    </xf>
    <xf numFmtId="9" fontId="114" fillId="0" borderId="229" xfId="7" applyFont="1" applyFill="1" applyBorder="1" applyAlignment="1">
      <alignment horizontal="center" vertical="center" wrapText="1"/>
    </xf>
    <xf numFmtId="3" fontId="25" fillId="0" borderId="77" xfId="1" applyNumberFormat="1" applyFont="1" applyBorder="1" applyAlignment="1">
      <alignment horizontal="center" vertical="center" wrapText="1"/>
    </xf>
    <xf numFmtId="4" fontId="115" fillId="0" borderId="77" xfId="1" applyNumberFormat="1" applyFont="1" applyBorder="1" applyAlignment="1">
      <alignment horizontal="center" vertical="center"/>
    </xf>
    <xf numFmtId="4" fontId="25" fillId="0" borderId="233" xfId="1" applyNumberFormat="1" applyFont="1" applyBorder="1" applyAlignment="1">
      <alignment horizontal="center" vertical="center"/>
    </xf>
    <xf numFmtId="4" fontId="25" fillId="0" borderId="6" xfId="1" applyNumberFormat="1" applyFont="1" applyBorder="1" applyAlignment="1">
      <alignment horizontal="center" vertical="center"/>
    </xf>
    <xf numFmtId="4" fontId="116" fillId="0" borderId="77" xfId="1" applyNumberFormat="1" applyFont="1" applyBorder="1" applyAlignment="1">
      <alignment horizontal="center" vertical="center" wrapText="1"/>
    </xf>
    <xf numFmtId="10" fontId="19" fillId="0" borderId="229" xfId="1" applyNumberFormat="1" applyFont="1" applyBorder="1" applyAlignment="1">
      <alignment horizontal="center" vertical="center"/>
    </xf>
    <xf numFmtId="4" fontId="107" fillId="0" borderId="77" xfId="1" applyNumberFormat="1" applyFont="1" applyBorder="1" applyAlignment="1">
      <alignment horizontal="center" vertical="center" wrapText="1"/>
    </xf>
    <xf numFmtId="4" fontId="105" fillId="0" borderId="77" xfId="1" applyNumberFormat="1" applyFont="1" applyBorder="1" applyAlignment="1">
      <alignment horizontal="center" vertical="center" wrapText="1"/>
    </xf>
    <xf numFmtId="4" fontId="25" fillId="0" borderId="202" xfId="1" applyNumberFormat="1" applyFont="1" applyBorder="1" applyAlignment="1">
      <alignment horizontal="center" vertical="center" wrapText="1"/>
    </xf>
    <xf numFmtId="4" fontId="25" fillId="0" borderId="198" xfId="1" applyNumberFormat="1" applyFont="1" applyBorder="1" applyAlignment="1">
      <alignment horizontal="center" vertical="center" wrapText="1"/>
    </xf>
    <xf numFmtId="4" fontId="25" fillId="0" borderId="233" xfId="1" applyNumberFormat="1" applyFont="1" applyBorder="1" applyAlignment="1">
      <alignment horizontal="center" vertical="center" wrapText="1"/>
    </xf>
    <xf numFmtId="9" fontId="36" fillId="0" borderId="233" xfId="7" applyFont="1" applyFill="1" applyBorder="1" applyAlignment="1">
      <alignment horizontal="center" vertical="center"/>
    </xf>
    <xf numFmtId="4" fontId="107" fillId="0" borderId="58" xfId="1" applyNumberFormat="1" applyFont="1" applyBorder="1" applyAlignment="1">
      <alignment horizontal="center" vertical="center" wrapText="1"/>
    </xf>
    <xf numFmtId="4" fontId="25" fillId="0" borderId="79" xfId="1" applyNumberFormat="1" applyFont="1" applyBorder="1" applyAlignment="1">
      <alignment horizontal="center" vertical="center" wrapText="1"/>
    </xf>
    <xf numFmtId="4" fontId="25" fillId="0" borderId="76" xfId="1" applyNumberFormat="1" applyFont="1" applyBorder="1" applyAlignment="1">
      <alignment horizontal="center" vertical="center"/>
    </xf>
    <xf numFmtId="3" fontId="27" fillId="0" borderId="19" xfId="1" applyNumberFormat="1" applyFont="1" applyBorder="1" applyAlignment="1">
      <alignment horizontal="center" vertical="center"/>
    </xf>
    <xf numFmtId="3" fontId="24" fillId="8" borderId="222" xfId="1" applyNumberFormat="1" applyFont="1" applyFill="1" applyBorder="1" applyAlignment="1">
      <alignment horizontal="center" vertical="center"/>
    </xf>
    <xf numFmtId="3" fontId="24" fillId="6" borderId="230" xfId="1" applyNumberFormat="1" applyFont="1" applyFill="1" applyBorder="1" applyAlignment="1">
      <alignment horizontal="center" vertical="center"/>
    </xf>
    <xf numFmtId="4" fontId="27" fillId="0" borderId="77" xfId="1" applyNumberFormat="1" applyFont="1" applyBorder="1" applyAlignment="1">
      <alignment horizontal="center" vertical="center"/>
    </xf>
    <xf numFmtId="9" fontId="128" fillId="13" borderId="229" xfId="7" applyFont="1" applyFill="1" applyBorder="1" applyAlignment="1">
      <alignment horizontal="center" vertical="center" wrapText="1"/>
    </xf>
    <xf numFmtId="4" fontId="178" fillId="0" borderId="77" xfId="1" applyNumberFormat="1" applyFont="1" applyBorder="1" applyAlignment="1">
      <alignment horizontal="center" vertical="center" wrapText="1"/>
    </xf>
    <xf numFmtId="4" fontId="177" fillId="0" borderId="77" xfId="1" applyNumberFormat="1" applyFont="1" applyBorder="1" applyAlignment="1">
      <alignment horizontal="center" vertical="center" wrapText="1"/>
    </xf>
    <xf numFmtId="3" fontId="25" fillId="0" borderId="63" xfId="1" applyNumberFormat="1" applyFont="1" applyBorder="1" applyAlignment="1">
      <alignment horizontal="center" vertical="center"/>
    </xf>
    <xf numFmtId="9" fontId="111" fillId="0" borderId="229" xfId="7" applyFont="1" applyFill="1" applyBorder="1" applyAlignment="1">
      <alignment horizontal="center" vertical="center" wrapText="1"/>
    </xf>
    <xf numFmtId="3" fontId="25" fillId="0" borderId="233" xfId="1" applyNumberFormat="1" applyFont="1" applyBorder="1" applyAlignment="1">
      <alignment horizontal="center" vertical="center"/>
    </xf>
    <xf numFmtId="4" fontId="97" fillId="0" borderId="77" xfId="1" applyNumberFormat="1" applyFont="1" applyBorder="1" applyAlignment="1">
      <alignment horizontal="center" vertical="center"/>
    </xf>
    <xf numFmtId="3" fontId="25" fillId="0" borderId="198" xfId="1" applyNumberFormat="1" applyFont="1" applyBorder="1" applyAlignment="1">
      <alignment horizontal="center" vertical="center"/>
    </xf>
    <xf numFmtId="0" fontId="19" fillId="0" borderId="77" xfId="1" applyFont="1" applyBorder="1" applyAlignment="1">
      <alignment horizontal="left" vertical="center" wrapText="1"/>
    </xf>
    <xf numFmtId="10" fontId="84" fillId="0" borderId="20" xfId="1" applyNumberFormat="1" applyFont="1" applyBorder="1" applyAlignment="1">
      <alignment horizontal="center" vertical="center"/>
    </xf>
    <xf numFmtId="4" fontId="84" fillId="0" borderId="20" xfId="1" applyNumberFormat="1" applyFont="1" applyBorder="1" applyAlignment="1">
      <alignment horizontal="center" vertical="center"/>
    </xf>
    <xf numFmtId="0" fontId="24" fillId="6" borderId="232" xfId="1" applyFont="1" applyFill="1" applyBorder="1" applyAlignment="1">
      <alignment vertical="center" wrapText="1"/>
    </xf>
    <xf numFmtId="0" fontId="24" fillId="3" borderId="201" xfId="1" applyFont="1" applyFill="1" applyBorder="1" applyAlignment="1">
      <alignment vertical="center"/>
    </xf>
    <xf numFmtId="40" fontId="24" fillId="11" borderId="56" xfId="1" applyNumberFormat="1" applyFont="1" applyFill="1" applyBorder="1" applyAlignment="1">
      <alignment horizontal="center" vertical="center"/>
    </xf>
    <xf numFmtId="40" fontId="25" fillId="0" borderId="79" xfId="1" applyNumberFormat="1" applyFont="1" applyBorder="1" applyAlignment="1">
      <alignment horizontal="center" vertical="center"/>
    </xf>
    <xf numFmtId="40" fontId="27" fillId="0" borderId="79" xfId="6" applyNumberFormat="1" applyFont="1" applyFill="1" applyBorder="1" applyAlignment="1">
      <alignment horizontal="center" vertical="center"/>
    </xf>
    <xf numFmtId="3" fontId="164" fillId="0" borderId="0" xfId="1" applyNumberFormat="1" applyFont="1" applyAlignment="1">
      <alignment horizontal="center" vertical="center"/>
    </xf>
    <xf numFmtId="0" fontId="19" fillId="0" borderId="233" xfId="1" applyFont="1" applyBorder="1" applyAlignment="1">
      <alignment vertical="center"/>
    </xf>
    <xf numFmtId="9" fontId="67" fillId="0" borderId="229" xfId="7" applyFont="1" applyFill="1" applyBorder="1" applyAlignment="1">
      <alignment horizontal="center" vertical="center"/>
    </xf>
    <xf numFmtId="0" fontId="19" fillId="0" borderId="234" xfId="1" applyFont="1" applyBorder="1" applyAlignment="1">
      <alignment vertical="center"/>
    </xf>
    <xf numFmtId="4" fontId="25" fillId="0" borderId="229" xfId="1" applyNumberFormat="1" applyFont="1" applyBorder="1" applyAlignment="1">
      <alignment horizontal="center" vertical="center"/>
    </xf>
    <xf numFmtId="10" fontId="67" fillId="0" borderId="77" xfId="1" applyNumberFormat="1" applyFont="1" applyBorder="1" applyAlignment="1">
      <alignment horizontal="center" vertical="center"/>
    </xf>
    <xf numFmtId="10" fontId="26" fillId="0" borderId="63" xfId="1" applyNumberFormat="1" applyFont="1" applyBorder="1" applyAlignment="1">
      <alignment horizontal="center" vertical="center"/>
    </xf>
    <xf numFmtId="40" fontId="26" fillId="0" borderId="63" xfId="1" applyNumberFormat="1" applyFont="1" applyBorder="1" applyAlignment="1">
      <alignment horizontal="center" vertical="center"/>
    </xf>
    <xf numFmtId="4" fontId="71" fillId="11" borderId="233" xfId="1" applyNumberFormat="1" applyFont="1" applyFill="1" applyBorder="1" applyAlignment="1">
      <alignment horizontal="center" vertical="center"/>
    </xf>
    <xf numFmtId="4" fontId="71" fillId="11" borderId="230" xfId="1" applyNumberFormat="1" applyFont="1" applyFill="1" applyBorder="1" applyAlignment="1">
      <alignment horizontal="center" vertical="center"/>
    </xf>
    <xf numFmtId="40" fontId="24" fillId="11" borderId="233" xfId="1" applyNumberFormat="1" applyFont="1" applyFill="1" applyBorder="1" applyAlignment="1">
      <alignment horizontal="center" vertical="center"/>
    </xf>
    <xf numFmtId="0" fontId="70" fillId="0" borderId="229" xfId="1" applyFont="1" applyBorder="1" applyAlignment="1">
      <alignment horizontal="center" vertical="center"/>
    </xf>
    <xf numFmtId="0" fontId="70" fillId="0" borderId="77" xfId="1" applyFont="1" applyBorder="1" applyAlignment="1">
      <alignment horizontal="center" vertical="center"/>
    </xf>
    <xf numFmtId="10" fontId="70" fillId="0" borderId="36" xfId="1" applyNumberFormat="1" applyFont="1" applyBorder="1" applyAlignment="1">
      <alignment horizontal="center" vertical="center"/>
    </xf>
    <xf numFmtId="10" fontId="27" fillId="0" borderId="198" xfId="1" applyNumberFormat="1" applyFont="1" applyBorder="1" applyAlignment="1">
      <alignment horizontal="center" vertical="center"/>
    </xf>
    <xf numFmtId="40" fontId="27" fillId="0" borderId="198" xfId="1" applyNumberFormat="1" applyFont="1" applyBorder="1" applyAlignment="1">
      <alignment horizontal="center" vertical="center"/>
    </xf>
    <xf numFmtId="10" fontId="71" fillId="3" borderId="62" xfId="1" applyNumberFormat="1" applyFont="1" applyFill="1" applyBorder="1" applyAlignment="1">
      <alignment horizontal="center" vertical="center"/>
    </xf>
    <xf numFmtId="4" fontId="71" fillId="4" borderId="80" xfId="1" applyNumberFormat="1" applyFont="1" applyFill="1" applyBorder="1" applyAlignment="1">
      <alignment horizontal="center" vertical="center"/>
    </xf>
    <xf numFmtId="9" fontId="70" fillId="0" borderId="229" xfId="7" applyFont="1" applyFill="1" applyBorder="1" applyAlignment="1">
      <alignment horizontal="center" vertical="center"/>
    </xf>
    <xf numFmtId="9" fontId="70" fillId="0" borderId="77" xfId="7" applyFont="1" applyFill="1" applyBorder="1" applyAlignment="1">
      <alignment horizontal="center" vertical="center"/>
    </xf>
    <xf numFmtId="3" fontId="27" fillId="0" borderId="233" xfId="6" applyNumberFormat="1" applyFont="1" applyFill="1" applyBorder="1" applyAlignment="1">
      <alignment horizontal="center" vertical="center"/>
    </xf>
    <xf numFmtId="40" fontId="25" fillId="0" borderId="6" xfId="1" applyNumberFormat="1" applyFont="1" applyBorder="1" applyAlignment="1">
      <alignment horizontal="center" vertical="center"/>
    </xf>
    <xf numFmtId="10" fontId="24" fillId="4" borderId="233" xfId="1" applyNumberFormat="1" applyFont="1" applyFill="1" applyBorder="1" applyAlignment="1">
      <alignment horizontal="center" vertical="center"/>
    </xf>
    <xf numFmtId="4" fontId="24" fillId="4" borderId="233" xfId="1" applyNumberFormat="1" applyFont="1" applyFill="1" applyBorder="1" applyAlignment="1">
      <alignment horizontal="center" vertical="center"/>
    </xf>
    <xf numFmtId="10" fontId="26" fillId="0" borderId="198" xfId="1" applyNumberFormat="1" applyFont="1" applyBorder="1" applyAlignment="1">
      <alignment horizontal="center" vertical="center"/>
    </xf>
    <xf numFmtId="10" fontId="67" fillId="0" borderId="20" xfId="1" applyNumberFormat="1" applyFont="1" applyBorder="1" applyAlignment="1">
      <alignment horizontal="center" vertical="center"/>
    </xf>
    <xf numFmtId="10" fontId="67" fillId="0" borderId="36" xfId="1" applyNumberFormat="1" applyFont="1" applyBorder="1" applyAlignment="1">
      <alignment horizontal="center" vertical="center"/>
    </xf>
    <xf numFmtId="4" fontId="71" fillId="6" borderId="55" xfId="1" applyNumberFormat="1" applyFont="1" applyFill="1" applyBorder="1" applyAlignment="1">
      <alignment horizontal="center" vertical="center"/>
    </xf>
    <xf numFmtId="38" fontId="24" fillId="6" borderId="56" xfId="1" applyNumberFormat="1" applyFont="1" applyFill="1" applyBorder="1" applyAlignment="1">
      <alignment horizontal="center" vertical="center"/>
    </xf>
    <xf numFmtId="4" fontId="71" fillId="4" borderId="198" xfId="1" applyNumberFormat="1" applyFont="1" applyFill="1" applyBorder="1" applyAlignment="1">
      <alignment horizontal="center" vertical="center"/>
    </xf>
    <xf numFmtId="10" fontId="70" fillId="0" borderId="58" xfId="1" applyNumberFormat="1" applyFont="1" applyBorder="1" applyAlignment="1">
      <alignment horizontal="center" vertical="center"/>
    </xf>
    <xf numFmtId="10" fontId="70" fillId="0" borderId="77" xfId="1" applyNumberFormat="1" applyFont="1" applyBorder="1" applyAlignment="1">
      <alignment horizontal="center" vertical="center"/>
    </xf>
    <xf numFmtId="10" fontId="27" fillId="0" borderId="63" xfId="1" applyNumberFormat="1" applyFont="1" applyBorder="1" applyAlignment="1">
      <alignment horizontal="center" vertical="center"/>
    </xf>
    <xf numFmtId="10" fontId="67" fillId="0" borderId="229" xfId="1" applyNumberFormat="1" applyFont="1" applyBorder="1" applyAlignment="1">
      <alignment horizontal="center" vertical="center"/>
    </xf>
    <xf numFmtId="10" fontId="26" fillId="0" borderId="233" xfId="1" applyNumberFormat="1" applyFont="1" applyBorder="1" applyAlignment="1">
      <alignment horizontal="center" vertical="center"/>
    </xf>
    <xf numFmtId="38" fontId="24" fillId="4" borderId="198" xfId="1" applyNumberFormat="1" applyFont="1" applyFill="1" applyBorder="1" applyAlignment="1">
      <alignment horizontal="center" vertical="center"/>
    </xf>
    <xf numFmtId="4" fontId="73" fillId="6" borderId="233" xfId="1" applyNumberFormat="1" applyFont="1" applyFill="1" applyBorder="1" applyAlignment="1">
      <alignment horizontal="center" vertical="center"/>
    </xf>
    <xf numFmtId="4" fontId="73" fillId="6" borderId="230" xfId="1" applyNumberFormat="1" applyFont="1" applyFill="1" applyBorder="1" applyAlignment="1">
      <alignment horizontal="center" vertical="center"/>
    </xf>
    <xf numFmtId="38" fontId="24" fillId="6" borderId="79" xfId="1" applyNumberFormat="1" applyFont="1" applyFill="1" applyBorder="1" applyAlignment="1">
      <alignment horizontal="center" vertical="center"/>
    </xf>
    <xf numFmtId="3" fontId="24" fillId="8" borderId="231" xfId="1" applyNumberFormat="1" applyFont="1" applyFill="1" applyBorder="1" applyAlignment="1">
      <alignment horizontal="center" vertical="center"/>
    </xf>
    <xf numFmtId="4" fontId="71" fillId="8" borderId="198" xfId="1" applyNumberFormat="1" applyFont="1" applyFill="1" applyBorder="1" applyAlignment="1">
      <alignment horizontal="center" vertical="center"/>
    </xf>
    <xf numFmtId="38" fontId="24" fillId="8" borderId="6" xfId="1" applyNumberFormat="1" applyFont="1" applyFill="1" applyBorder="1" applyAlignment="1">
      <alignment horizontal="center" vertical="center"/>
    </xf>
    <xf numFmtId="4" fontId="71" fillId="6" borderId="233" xfId="1" applyNumberFormat="1" applyFont="1" applyFill="1" applyBorder="1" applyAlignment="1">
      <alignment horizontal="center" vertical="center"/>
    </xf>
    <xf numFmtId="10" fontId="71" fillId="3" borderId="198" xfId="1" applyNumberFormat="1" applyFont="1" applyFill="1" applyBorder="1" applyAlignment="1">
      <alignment horizontal="center" vertical="center"/>
    </xf>
    <xf numFmtId="38" fontId="24" fillId="3" borderId="198" xfId="7" applyNumberFormat="1" applyFont="1" applyFill="1" applyBorder="1" applyAlignment="1">
      <alignment horizontal="center" vertical="center"/>
    </xf>
    <xf numFmtId="4" fontId="24" fillId="21" borderId="51" xfId="0" applyNumberFormat="1" applyFont="1" applyFill="1" applyBorder="1" applyAlignment="1">
      <alignment horizontal="center" vertical="center"/>
    </xf>
    <xf numFmtId="0" fontId="20" fillId="0" borderId="0" xfId="1" applyFont="1" applyAlignment="1">
      <alignment vertical="center"/>
    </xf>
    <xf numFmtId="4" fontId="25" fillId="0" borderId="77" xfId="0" applyNumberFormat="1" applyFont="1" applyBorder="1" applyAlignment="1">
      <alignment horizontal="center" vertical="center"/>
    </xf>
    <xf numFmtId="3" fontId="76" fillId="0" borderId="79" xfId="0" applyNumberFormat="1" applyFont="1" applyBorder="1" applyAlignment="1">
      <alignment horizontal="center" vertical="center"/>
    </xf>
    <xf numFmtId="4" fontId="25" fillId="0" borderId="77" xfId="0" applyNumberFormat="1" applyFont="1" applyBorder="1" applyAlignment="1">
      <alignment horizontal="center" vertical="center" wrapText="1"/>
    </xf>
    <xf numFmtId="4" fontId="109" fillId="0" borderId="76" xfId="1" applyNumberFormat="1" applyFont="1" applyBorder="1" applyAlignment="1">
      <alignment horizontal="center" vertical="center" wrapText="1"/>
    </xf>
    <xf numFmtId="178" fontId="25" fillId="0" borderId="79" xfId="1" applyNumberFormat="1" applyFont="1" applyBorder="1" applyAlignment="1">
      <alignment horizontal="center" vertical="center"/>
    </xf>
    <xf numFmtId="4" fontId="25" fillId="0" borderId="36" xfId="0" applyNumberFormat="1" applyFont="1" applyBorder="1" applyAlignment="1">
      <alignment horizontal="center" vertical="center"/>
    </xf>
    <xf numFmtId="3" fontId="76" fillId="0" borderId="6" xfId="0" applyNumberFormat="1" applyFont="1" applyBorder="1" applyAlignment="1">
      <alignment horizontal="center" vertical="center"/>
    </xf>
    <xf numFmtId="4" fontId="25" fillId="0" borderId="222" xfId="0" applyNumberFormat="1" applyFont="1" applyBorder="1" applyAlignment="1">
      <alignment horizontal="center" vertical="center"/>
    </xf>
    <xf numFmtId="4" fontId="97" fillId="0" borderId="36" xfId="1" applyNumberFormat="1" applyFont="1" applyBorder="1" applyAlignment="1">
      <alignment horizontal="center" vertical="center"/>
    </xf>
    <xf numFmtId="4" fontId="25" fillId="0" borderId="0" xfId="1" applyNumberFormat="1" applyFont="1" applyAlignment="1">
      <alignment horizontal="center" vertical="center"/>
    </xf>
    <xf numFmtId="3" fontId="24" fillId="21" borderId="55" xfId="0" applyNumberFormat="1" applyFont="1" applyFill="1" applyBorder="1" applyAlignment="1">
      <alignment horizontal="center" vertical="center"/>
    </xf>
    <xf numFmtId="3" fontId="24" fillId="21" borderId="56" xfId="0" applyNumberFormat="1" applyFont="1" applyFill="1" applyBorder="1" applyAlignment="1">
      <alignment horizontal="center" vertical="center"/>
    </xf>
    <xf numFmtId="9" fontId="79" fillId="21" borderId="51" xfId="0" applyNumberFormat="1" applyFont="1" applyFill="1" applyBorder="1" applyAlignment="1">
      <alignment horizontal="center" vertical="center"/>
    </xf>
    <xf numFmtId="167" fontId="24" fillId="0" borderId="6" xfId="1" applyNumberFormat="1" applyFont="1" applyBorder="1" applyAlignment="1">
      <alignment vertical="center"/>
    </xf>
    <xf numFmtId="3" fontId="27" fillId="0" borderId="80" xfId="1" applyNumberFormat="1" applyFont="1" applyBorder="1" applyAlignment="1">
      <alignment horizontal="center" vertical="center"/>
    </xf>
    <xf numFmtId="3" fontId="25" fillId="0" borderId="77" xfId="0" applyNumberFormat="1" applyFont="1" applyBorder="1" applyAlignment="1">
      <alignment horizontal="center" vertical="center"/>
    </xf>
    <xf numFmtId="9" fontId="79" fillId="0" borderId="77" xfId="0" applyNumberFormat="1" applyFont="1" applyBorder="1" applyAlignment="1">
      <alignment horizontal="center" vertical="center"/>
    </xf>
    <xf numFmtId="9" fontId="76" fillId="0" borderId="77" xfId="0" applyNumberFormat="1" applyFont="1" applyBorder="1" applyAlignment="1">
      <alignment horizontal="center" vertical="center"/>
    </xf>
    <xf numFmtId="3" fontId="25" fillId="0" borderId="71" xfId="1" applyNumberFormat="1" applyFont="1" applyBorder="1" applyAlignment="1">
      <alignment horizontal="center" vertical="center"/>
    </xf>
    <xf numFmtId="9" fontId="36" fillId="0" borderId="235" xfId="7" applyFont="1" applyFill="1" applyBorder="1" applyAlignment="1">
      <alignment horizontal="center" vertical="center"/>
    </xf>
    <xf numFmtId="4" fontId="25" fillId="0" borderId="63" xfId="1" applyNumberFormat="1" applyFont="1" applyBorder="1" applyAlignment="1">
      <alignment horizontal="center" vertical="center" wrapText="1"/>
    </xf>
    <xf numFmtId="9" fontId="36" fillId="0" borderId="236" xfId="7" applyFont="1" applyFill="1" applyBorder="1" applyAlignment="1">
      <alignment horizontal="center" vertical="center"/>
    </xf>
    <xf numFmtId="4" fontId="97" fillId="0" borderId="79" xfId="1" applyNumberFormat="1" applyFont="1" applyBorder="1" applyAlignment="1">
      <alignment horizontal="center" vertical="center" wrapText="1"/>
    </xf>
    <xf numFmtId="3" fontId="25" fillId="0" borderId="80" xfId="1" applyNumberFormat="1" applyFont="1" applyBorder="1" applyAlignment="1">
      <alignment horizontal="center" vertical="center"/>
    </xf>
    <xf numFmtId="4" fontId="66" fillId="0" borderId="79" xfId="1" applyNumberFormat="1" applyFont="1" applyBorder="1" applyAlignment="1">
      <alignment horizontal="center" vertical="center" wrapText="1"/>
    </xf>
    <xf numFmtId="4" fontId="87" fillId="0" borderId="76" xfId="1" applyNumberFormat="1" applyFont="1" applyBorder="1" applyAlignment="1">
      <alignment horizontal="center" vertical="center" wrapText="1"/>
    </xf>
    <xf numFmtId="9" fontId="79" fillId="0" borderId="229" xfId="0" applyNumberFormat="1" applyFont="1" applyBorder="1" applyAlignment="1">
      <alignment horizontal="center" vertical="center"/>
    </xf>
    <xf numFmtId="3" fontId="25" fillId="0" borderId="237" xfId="1" applyNumberFormat="1" applyFont="1" applyBorder="1" applyAlignment="1">
      <alignment horizontal="center" vertical="center"/>
    </xf>
    <xf numFmtId="9" fontId="26" fillId="0" borderId="238" xfId="7" applyFont="1" applyFill="1" applyBorder="1" applyAlignment="1">
      <alignment horizontal="center" vertical="center"/>
    </xf>
    <xf numFmtId="3" fontId="25" fillId="0" borderId="230" xfId="1" applyNumberFormat="1" applyFont="1" applyBorder="1" applyAlignment="1">
      <alignment horizontal="center" vertical="center"/>
    </xf>
    <xf numFmtId="9" fontId="87" fillId="0" borderId="233" xfId="7" applyFont="1" applyFill="1" applyBorder="1" applyAlignment="1">
      <alignment horizontal="center" vertical="center"/>
    </xf>
    <xf numFmtId="9" fontId="76" fillId="0" borderId="77" xfId="0" applyNumberFormat="1" applyFont="1" applyBorder="1" applyAlignment="1">
      <alignment horizontal="center" vertical="center" wrapText="1"/>
    </xf>
    <xf numFmtId="4" fontId="136" fillId="0" borderId="79" xfId="1" applyNumberFormat="1" applyFont="1" applyBorder="1" applyAlignment="1">
      <alignment horizontal="center" vertical="center" wrapText="1"/>
    </xf>
    <xf numFmtId="4" fontId="109" fillId="0" borderId="79" xfId="1" applyNumberFormat="1" applyFont="1" applyBorder="1" applyAlignment="1">
      <alignment horizontal="center" vertical="center" wrapText="1"/>
    </xf>
    <xf numFmtId="167" fontId="27" fillId="0" borderId="229" xfId="6" applyNumberFormat="1" applyFont="1" applyFill="1" applyBorder="1" applyAlignment="1">
      <alignment horizontal="center" vertical="center"/>
    </xf>
    <xf numFmtId="3" fontId="27" fillId="0" borderId="230" xfId="1" applyNumberFormat="1" applyFont="1" applyBorder="1" applyAlignment="1">
      <alignment horizontal="center" vertical="center"/>
    </xf>
    <xf numFmtId="9" fontId="19" fillId="0" borderId="238" xfId="7" applyFont="1" applyFill="1" applyBorder="1" applyAlignment="1">
      <alignment horizontal="center" vertical="center"/>
    </xf>
    <xf numFmtId="4" fontId="136" fillId="0" borderId="77" xfId="1" applyNumberFormat="1" applyFont="1" applyBorder="1" applyAlignment="1">
      <alignment horizontal="center" vertical="center" wrapText="1"/>
    </xf>
    <xf numFmtId="0" fontId="164" fillId="0" borderId="0" xfId="1" quotePrefix="1" applyFont="1" applyAlignment="1">
      <alignment vertical="center" wrapText="1"/>
    </xf>
    <xf numFmtId="9" fontId="27" fillId="0" borderId="238" xfId="7" applyFont="1" applyFill="1" applyBorder="1" applyAlignment="1">
      <alignment horizontal="center" vertical="center"/>
    </xf>
    <xf numFmtId="9" fontId="27" fillId="0" borderId="238" xfId="7" applyFont="1" applyFill="1" applyBorder="1" applyAlignment="1">
      <alignment horizontal="center" vertical="center" wrapText="1"/>
    </xf>
    <xf numFmtId="9" fontId="19" fillId="0" borderId="238" xfId="7" applyFont="1" applyFill="1" applyBorder="1" applyAlignment="1">
      <alignment horizontal="center" vertical="center" wrapText="1"/>
    </xf>
    <xf numFmtId="4" fontId="87" fillId="0" borderId="233" xfId="1" applyNumberFormat="1" applyFont="1" applyBorder="1" applyAlignment="1">
      <alignment horizontal="center" vertical="center"/>
    </xf>
    <xf numFmtId="9" fontId="76" fillId="0" borderId="229" xfId="0" applyNumberFormat="1" applyFont="1" applyBorder="1" applyAlignment="1">
      <alignment horizontal="center" vertical="center"/>
    </xf>
    <xf numFmtId="9" fontId="19" fillId="0" borderId="229" xfId="7" applyFont="1" applyFill="1" applyBorder="1" applyAlignment="1">
      <alignment horizontal="center" vertical="center"/>
    </xf>
    <xf numFmtId="4" fontId="109" fillId="0" borderId="233" xfId="1" applyNumberFormat="1" applyFont="1" applyBorder="1" applyAlignment="1">
      <alignment horizontal="center" vertical="center" wrapText="1"/>
    </xf>
    <xf numFmtId="9" fontId="76" fillId="0" borderId="229" xfId="0" applyNumberFormat="1" applyFont="1" applyBorder="1" applyAlignment="1">
      <alignment horizontal="center" vertical="center" wrapText="1"/>
    </xf>
    <xf numFmtId="3" fontId="27" fillId="0" borderId="231" xfId="1" applyNumberFormat="1" applyFont="1" applyBorder="1" applyAlignment="1">
      <alignment horizontal="center" vertical="center"/>
    </xf>
    <xf numFmtId="4" fontId="97" fillId="0" borderId="76" xfId="1" applyNumberFormat="1" applyFont="1" applyBorder="1" applyAlignment="1">
      <alignment horizontal="center" vertical="center" wrapText="1"/>
    </xf>
    <xf numFmtId="167" fontId="27" fillId="0" borderId="202" xfId="6" applyNumberFormat="1" applyFont="1" applyFill="1" applyBorder="1" applyAlignment="1">
      <alignment horizontal="center" vertical="center"/>
    </xf>
    <xf numFmtId="3" fontId="27" fillId="0" borderId="199" xfId="1" applyNumberFormat="1" applyFont="1" applyBorder="1" applyAlignment="1">
      <alignment horizontal="center" vertical="center"/>
    </xf>
    <xf numFmtId="4" fontId="25" fillId="0" borderId="20" xfId="0" applyNumberFormat="1" applyFont="1" applyBorder="1" applyAlignment="1">
      <alignment horizontal="center" vertical="center"/>
    </xf>
    <xf numFmtId="3" fontId="25" fillId="0" borderId="20" xfId="0" applyNumberFormat="1" applyFont="1" applyBorder="1" applyAlignment="1">
      <alignment horizontal="center" vertical="center"/>
    </xf>
    <xf numFmtId="9" fontId="79" fillId="0" borderId="202" xfId="0" applyNumberFormat="1" applyFont="1" applyBorder="1" applyAlignment="1">
      <alignment horizontal="center" vertical="center"/>
    </xf>
    <xf numFmtId="9" fontId="76" fillId="0" borderId="202" xfId="0" applyNumberFormat="1" applyFont="1" applyBorder="1" applyAlignment="1">
      <alignment horizontal="center" vertical="center"/>
    </xf>
    <xf numFmtId="4" fontId="25" fillId="0" borderId="20" xfId="1" applyNumberFormat="1" applyFont="1" applyBorder="1" applyAlignment="1">
      <alignment horizontal="center" vertical="center" wrapText="1"/>
    </xf>
    <xf numFmtId="4" fontId="25" fillId="0" borderId="201" xfId="1" applyNumberFormat="1" applyFont="1" applyBorder="1" applyAlignment="1">
      <alignment horizontal="center" vertical="center"/>
    </xf>
    <xf numFmtId="3" fontId="25" fillId="0" borderId="239" xfId="1" applyNumberFormat="1" applyFont="1" applyBorder="1" applyAlignment="1">
      <alignment horizontal="center" vertical="center"/>
    </xf>
    <xf numFmtId="9" fontId="36" fillId="0" borderId="240" xfId="7" applyFont="1" applyFill="1" applyBorder="1" applyAlignment="1">
      <alignment horizontal="center" vertical="center"/>
    </xf>
    <xf numFmtId="4" fontId="106" fillId="0" borderId="202" xfId="1" applyNumberFormat="1" applyFont="1" applyBorder="1" applyAlignment="1">
      <alignment horizontal="center" vertical="center" wrapText="1"/>
    </xf>
    <xf numFmtId="4" fontId="25" fillId="0" borderId="9" xfId="1" applyNumberFormat="1" applyFont="1" applyBorder="1" applyAlignment="1">
      <alignment horizontal="center" vertical="center"/>
    </xf>
    <xf numFmtId="9" fontId="26" fillId="0" borderId="241" xfId="7" applyFont="1" applyFill="1" applyBorder="1" applyAlignment="1">
      <alignment horizontal="center" vertical="center"/>
    </xf>
    <xf numFmtId="9" fontId="36" fillId="0" borderId="242" xfId="7" applyFont="1" applyFill="1" applyBorder="1" applyAlignment="1">
      <alignment horizontal="center" vertical="center"/>
    </xf>
    <xf numFmtId="3" fontId="25" fillId="0" borderId="199" xfId="1" applyNumberFormat="1" applyFont="1" applyBorder="1" applyAlignment="1">
      <alignment horizontal="center" vertical="center"/>
    </xf>
    <xf numFmtId="4" fontId="109" fillId="0" borderId="202" xfId="1" applyNumberFormat="1" applyFont="1" applyBorder="1" applyAlignment="1">
      <alignment horizontal="center" vertical="center" wrapText="1"/>
    </xf>
    <xf numFmtId="9" fontId="97" fillId="0" borderId="201" xfId="7" applyFont="1" applyFill="1" applyBorder="1" applyAlignment="1">
      <alignment horizontal="left" vertical="center" wrapText="1"/>
    </xf>
    <xf numFmtId="4" fontId="87" fillId="0" borderId="7" xfId="1" applyNumberFormat="1" applyFont="1" applyBorder="1" applyAlignment="1">
      <alignment horizontal="center" vertical="center"/>
    </xf>
    <xf numFmtId="9" fontId="97" fillId="0" borderId="202" xfId="7" applyFont="1" applyFill="1" applyBorder="1" applyAlignment="1">
      <alignment horizontal="left" vertical="center" wrapText="1"/>
    </xf>
    <xf numFmtId="9" fontId="97" fillId="0" borderId="198" xfId="7" applyFont="1" applyFill="1" applyBorder="1" applyAlignment="1">
      <alignment horizontal="left" vertical="center" wrapText="1"/>
    </xf>
    <xf numFmtId="10" fontId="26" fillId="0" borderId="79" xfId="1" applyNumberFormat="1" applyFont="1" applyBorder="1" applyAlignment="1">
      <alignment horizontal="center" vertical="center"/>
    </xf>
    <xf numFmtId="10" fontId="77" fillId="0" borderId="77" xfId="0" applyNumberFormat="1" applyFont="1" applyBorder="1" applyAlignment="1">
      <alignment horizontal="center" vertical="center"/>
    </xf>
    <xf numFmtId="10" fontId="26" fillId="0" borderId="76" xfId="1" applyNumberFormat="1" applyFont="1" applyBorder="1" applyAlignment="1">
      <alignment horizontal="center" vertical="center"/>
    </xf>
    <xf numFmtId="4" fontId="25" fillId="0" borderId="71" xfId="1" applyNumberFormat="1" applyFont="1" applyBorder="1" applyAlignment="1">
      <alignment horizontal="center" vertical="center"/>
    </xf>
    <xf numFmtId="4" fontId="25" fillId="0" borderId="72" xfId="1" applyNumberFormat="1" applyFont="1" applyBorder="1" applyAlignment="1">
      <alignment horizontal="center" vertical="center"/>
    </xf>
    <xf numFmtId="10" fontId="26" fillId="0" borderId="72" xfId="1" applyNumberFormat="1" applyFont="1" applyBorder="1" applyAlignment="1">
      <alignment horizontal="center" vertical="center"/>
    </xf>
    <xf numFmtId="10" fontId="26" fillId="0" borderId="75" xfId="1" applyNumberFormat="1" applyFont="1" applyBorder="1" applyAlignment="1">
      <alignment horizontal="center" vertical="center"/>
    </xf>
    <xf numFmtId="10" fontId="26" fillId="0" borderId="19" xfId="1" applyNumberFormat="1" applyFont="1" applyBorder="1" applyAlignment="1">
      <alignment horizontal="center" vertical="center"/>
    </xf>
    <xf numFmtId="10" fontId="26" fillId="0" borderId="106" xfId="1" applyNumberFormat="1" applyFont="1" applyBorder="1" applyAlignment="1">
      <alignment horizontal="center" vertical="center"/>
    </xf>
    <xf numFmtId="9" fontId="29" fillId="11" borderId="233" xfId="7" applyFont="1" applyFill="1" applyBorder="1" applyAlignment="1">
      <alignment horizontal="center" vertical="center"/>
    </xf>
    <xf numFmtId="9" fontId="29" fillId="11" borderId="230" xfId="7" applyFont="1" applyFill="1" applyBorder="1" applyAlignment="1">
      <alignment horizontal="center" vertical="center" wrapText="1"/>
    </xf>
    <xf numFmtId="4" fontId="24" fillId="21" borderId="230" xfId="0" applyNumberFormat="1" applyFont="1" applyFill="1" applyBorder="1" applyAlignment="1">
      <alignment horizontal="center" vertical="center"/>
    </xf>
    <xf numFmtId="4" fontId="24" fillId="21" borderId="233" xfId="0" applyNumberFormat="1" applyFont="1" applyFill="1" applyBorder="1" applyAlignment="1">
      <alignment horizontal="center" vertical="center"/>
    </xf>
    <xf numFmtId="4" fontId="24" fillId="11" borderId="237" xfId="1" applyNumberFormat="1" applyFont="1" applyFill="1" applyBorder="1" applyAlignment="1">
      <alignment horizontal="center" vertical="center"/>
    </xf>
    <xf numFmtId="4" fontId="24" fillId="11" borderId="235" xfId="1" applyNumberFormat="1" applyFont="1" applyFill="1" applyBorder="1" applyAlignment="1">
      <alignment horizontal="center" vertical="center"/>
    </xf>
    <xf numFmtId="9" fontId="36" fillId="11" borderId="235" xfId="7" applyFont="1" applyFill="1" applyBorder="1" applyAlignment="1">
      <alignment horizontal="center" vertical="center"/>
    </xf>
    <xf numFmtId="4" fontId="24" fillId="11" borderId="238" xfId="1" applyNumberFormat="1" applyFont="1" applyFill="1" applyBorder="1" applyAlignment="1">
      <alignment horizontal="center" vertical="center"/>
    </xf>
    <xf numFmtId="4" fontId="24" fillId="11" borderId="229" xfId="1" applyNumberFormat="1" applyFont="1" applyFill="1" applyBorder="1" applyAlignment="1">
      <alignment horizontal="center" vertical="center"/>
    </xf>
    <xf numFmtId="9" fontId="36" fillId="11" borderId="236" xfId="7" applyFont="1" applyFill="1" applyBorder="1" applyAlignment="1">
      <alignment horizontal="center" vertical="center"/>
    </xf>
    <xf numFmtId="4" fontId="24" fillId="11" borderId="236" xfId="1" applyNumberFormat="1" applyFont="1" applyFill="1" applyBorder="1" applyAlignment="1">
      <alignment horizontal="center" vertical="center"/>
    </xf>
    <xf numFmtId="0" fontId="27" fillId="0" borderId="233" xfId="1" applyFont="1" applyBorder="1" applyAlignment="1">
      <alignment horizontal="center" vertical="center"/>
    </xf>
    <xf numFmtId="0" fontId="76" fillId="0" borderId="229" xfId="0" applyFont="1" applyBorder="1" applyAlignment="1">
      <alignment horizontal="center" vertical="center"/>
    </xf>
    <xf numFmtId="0" fontId="27" fillId="0" borderId="232" xfId="1" applyFont="1" applyBorder="1" applyAlignment="1">
      <alignment horizontal="center" vertical="center" wrapText="1"/>
    </xf>
    <xf numFmtId="4" fontId="25" fillId="0" borderId="235" xfId="1" applyNumberFormat="1" applyFont="1" applyBorder="1" applyAlignment="1">
      <alignment horizontal="center" vertical="center"/>
    </xf>
    <xf numFmtId="3" fontId="27" fillId="0" borderId="235" xfId="6" applyNumberFormat="1" applyFont="1" applyFill="1" applyBorder="1" applyAlignment="1">
      <alignment horizontal="center" vertical="center"/>
    </xf>
    <xf numFmtId="0" fontId="27" fillId="0" borderId="238" xfId="1" applyFont="1" applyBorder="1" applyAlignment="1">
      <alignment horizontal="center" vertical="center" wrapText="1"/>
    </xf>
    <xf numFmtId="0" fontId="27" fillId="0" borderId="79" xfId="1" applyFont="1" applyBorder="1" applyAlignment="1">
      <alignment horizontal="center" vertical="center" wrapText="1"/>
    </xf>
    <xf numFmtId="0" fontId="27" fillId="0" borderId="76" xfId="1" applyFont="1" applyBorder="1" applyAlignment="1">
      <alignment horizontal="center" vertical="center" wrapText="1"/>
    </xf>
    <xf numFmtId="3" fontId="27" fillId="0" borderId="77" xfId="1" applyNumberFormat="1" applyFont="1" applyBorder="1" applyAlignment="1">
      <alignment horizontal="center" vertical="center" wrapText="1"/>
    </xf>
    <xf numFmtId="3" fontId="27" fillId="0" borderId="236" xfId="6" applyNumberFormat="1" applyFont="1" applyFill="1" applyBorder="1" applyAlignment="1">
      <alignment horizontal="center" vertical="center"/>
    </xf>
    <xf numFmtId="10" fontId="27" fillId="0" borderId="234" xfId="1" applyNumberFormat="1" applyFont="1" applyBorder="1" applyAlignment="1">
      <alignment horizontal="center" vertical="center"/>
    </xf>
    <xf numFmtId="10" fontId="27" fillId="0" borderId="222" xfId="1" applyNumberFormat="1" applyFont="1" applyBorder="1" applyAlignment="1">
      <alignment horizontal="center" vertical="center"/>
    </xf>
    <xf numFmtId="10" fontId="76" fillId="0" borderId="222" xfId="0" applyNumberFormat="1" applyFont="1" applyBorder="1" applyAlignment="1">
      <alignment horizontal="center" vertical="center"/>
    </xf>
    <xf numFmtId="10" fontId="27" fillId="0" borderId="223" xfId="1" applyNumberFormat="1" applyFont="1" applyBorder="1" applyAlignment="1">
      <alignment horizontal="center" vertical="center"/>
    </xf>
    <xf numFmtId="4" fontId="25" fillId="0" borderId="243" xfId="1" applyNumberFormat="1" applyFont="1" applyBorder="1" applyAlignment="1">
      <alignment horizontal="center" vertical="center"/>
    </xf>
    <xf numFmtId="4" fontId="25" fillId="0" borderId="224" xfId="1" applyNumberFormat="1" applyFont="1" applyBorder="1" applyAlignment="1">
      <alignment horizontal="center" vertical="center"/>
    </xf>
    <xf numFmtId="10" fontId="27" fillId="0" borderId="224" xfId="1" applyNumberFormat="1" applyFont="1" applyBorder="1" applyAlignment="1">
      <alignment horizontal="center" vertical="center"/>
    </xf>
    <xf numFmtId="10" fontId="27" fillId="0" borderId="225" xfId="1" applyNumberFormat="1" applyFont="1" applyBorder="1" applyAlignment="1">
      <alignment horizontal="center" vertical="center"/>
    </xf>
    <xf numFmtId="10" fontId="27" fillId="0" borderId="7" xfId="1" applyNumberFormat="1" applyFont="1" applyBorder="1" applyAlignment="1">
      <alignment horizontal="center" vertical="center"/>
    </xf>
    <xf numFmtId="10" fontId="27" fillId="0" borderId="9" xfId="1" applyNumberFormat="1" applyFont="1" applyBorder="1" applyAlignment="1">
      <alignment horizontal="center" vertical="center"/>
    </xf>
    <xf numFmtId="10" fontId="27" fillId="0" borderId="6" xfId="1" applyNumberFormat="1" applyFont="1" applyBorder="1" applyAlignment="1">
      <alignment horizontal="center" vertical="center"/>
    </xf>
    <xf numFmtId="10" fontId="27" fillId="0" borderId="226" xfId="1" applyNumberFormat="1" applyFont="1" applyBorder="1" applyAlignment="1">
      <alignment horizontal="center" vertical="center"/>
    </xf>
    <xf numFmtId="10" fontId="27" fillId="0" borderId="0" xfId="1" applyNumberFormat="1" applyFont="1" applyAlignment="1">
      <alignment horizontal="center" vertical="center"/>
    </xf>
    <xf numFmtId="4" fontId="20" fillId="22" borderId="56" xfId="0" applyNumberFormat="1" applyFont="1" applyFill="1" applyBorder="1" applyAlignment="1">
      <alignment horizontal="center" vertical="center"/>
    </xf>
    <xf numFmtId="10" fontId="24" fillId="3" borderId="62" xfId="0" applyNumberFormat="1" applyFont="1" applyFill="1" applyBorder="1" applyAlignment="1">
      <alignment horizontal="center" vertical="center"/>
    </xf>
    <xf numFmtId="10" fontId="24" fillId="3" borderId="63" xfId="0" applyNumberFormat="1" applyFont="1" applyFill="1" applyBorder="1" applyAlignment="1">
      <alignment horizontal="center" vertical="center"/>
    </xf>
    <xf numFmtId="0" fontId="24" fillId="0" borderId="223" xfId="1" applyFont="1" applyBorder="1" applyAlignment="1">
      <alignment vertical="center"/>
    </xf>
    <xf numFmtId="10" fontId="24" fillId="0" borderId="222" xfId="1" applyNumberFormat="1" applyFont="1" applyBorder="1" applyAlignment="1">
      <alignment horizontal="center" vertical="center"/>
    </xf>
    <xf numFmtId="10" fontId="24" fillId="0" borderId="222" xfId="0" applyNumberFormat="1" applyFont="1" applyBorder="1" applyAlignment="1">
      <alignment horizontal="center" vertical="center"/>
    </xf>
    <xf numFmtId="10" fontId="24" fillId="0" borderId="234" xfId="1" applyNumberFormat="1" applyFont="1" applyBorder="1" applyAlignment="1">
      <alignment horizontal="center" vertical="center"/>
    </xf>
    <xf numFmtId="10" fontId="24" fillId="0" borderId="223" xfId="1" applyNumberFormat="1" applyFont="1" applyBorder="1" applyAlignment="1">
      <alignment horizontal="center" vertical="center"/>
    </xf>
    <xf numFmtId="3" fontId="24" fillId="23" borderId="55" xfId="0" applyNumberFormat="1" applyFont="1" applyFill="1" applyBorder="1" applyAlignment="1">
      <alignment horizontal="center" vertical="center"/>
    </xf>
    <xf numFmtId="3" fontId="24" fillId="23" borderId="56" xfId="0" applyNumberFormat="1" applyFont="1" applyFill="1" applyBorder="1" applyAlignment="1">
      <alignment horizontal="center" vertical="center"/>
    </xf>
    <xf numFmtId="9" fontId="79" fillId="23" borderId="51" xfId="0" applyNumberFormat="1" applyFont="1" applyFill="1" applyBorder="1" applyAlignment="1">
      <alignment horizontal="center" vertical="center"/>
    </xf>
    <xf numFmtId="4" fontId="24" fillId="23" borderId="56" xfId="0" applyNumberFormat="1" applyFont="1" applyFill="1" applyBorder="1" applyAlignment="1">
      <alignment horizontal="center" vertical="center"/>
    </xf>
    <xf numFmtId="166" fontId="27" fillId="0" borderId="233" xfId="6" applyFont="1" applyFill="1" applyBorder="1" applyAlignment="1">
      <alignment horizontal="center" vertical="center"/>
    </xf>
    <xf numFmtId="166" fontId="27" fillId="0" borderId="229" xfId="6" applyFont="1" applyFill="1" applyBorder="1" applyAlignment="1">
      <alignment horizontal="center" vertical="center"/>
    </xf>
    <xf numFmtId="9" fontId="36" fillId="0" borderId="232" xfId="7" applyFont="1" applyFill="1" applyBorder="1" applyAlignment="1">
      <alignment horizontal="center" vertical="center"/>
    </xf>
    <xf numFmtId="9" fontId="27" fillId="0" borderId="233" xfId="7" applyFont="1" applyFill="1" applyBorder="1" applyAlignment="1">
      <alignment horizontal="center" vertical="center"/>
    </xf>
    <xf numFmtId="4" fontId="25" fillId="0" borderId="237" xfId="1" applyNumberFormat="1" applyFont="1" applyBorder="1" applyAlignment="1">
      <alignment horizontal="center" vertical="center"/>
    </xf>
    <xf numFmtId="9" fontId="27" fillId="0" borderId="233" xfId="7" applyFont="1" applyFill="1" applyBorder="1" applyAlignment="1">
      <alignment horizontal="center" vertical="center" wrapText="1"/>
    </xf>
    <xf numFmtId="166" fontId="27" fillId="0" borderId="198" xfId="6" applyFont="1" applyFill="1" applyBorder="1" applyAlignment="1">
      <alignment horizontal="center" vertical="center"/>
    </xf>
    <xf numFmtId="166" fontId="27" fillId="0" borderId="202" xfId="6" applyFont="1" applyFill="1" applyBorder="1" applyAlignment="1">
      <alignment horizontal="center" vertical="center"/>
    </xf>
    <xf numFmtId="10" fontId="76" fillId="0" borderId="202" xfId="0" applyNumberFormat="1" applyFont="1" applyBorder="1" applyAlignment="1">
      <alignment horizontal="center" vertical="center"/>
    </xf>
    <xf numFmtId="9" fontId="36" fillId="0" borderId="201" xfId="7" applyFont="1" applyFill="1" applyBorder="1" applyAlignment="1">
      <alignment horizontal="center" vertical="center"/>
    </xf>
    <xf numFmtId="4" fontId="25" fillId="0" borderId="239" xfId="1" applyNumberFormat="1" applyFont="1" applyBorder="1" applyAlignment="1">
      <alignment horizontal="center" vertical="center"/>
    </xf>
    <xf numFmtId="4" fontId="25" fillId="0" borderId="240" xfId="1" applyNumberFormat="1" applyFont="1" applyBorder="1" applyAlignment="1">
      <alignment horizontal="center" vertical="center"/>
    </xf>
    <xf numFmtId="10" fontId="27" fillId="0" borderId="240" xfId="1" applyNumberFormat="1" applyFont="1" applyBorder="1" applyAlignment="1">
      <alignment horizontal="center" vertical="center"/>
    </xf>
    <xf numFmtId="10" fontId="27" fillId="0" borderId="241" xfId="1" applyNumberFormat="1" applyFont="1" applyBorder="1" applyAlignment="1">
      <alignment horizontal="center" vertical="center"/>
    </xf>
    <xf numFmtId="10" fontId="97" fillId="0" borderId="7" xfId="1" applyNumberFormat="1" applyFont="1" applyBorder="1" applyAlignment="1">
      <alignment horizontal="center" vertical="center"/>
    </xf>
    <xf numFmtId="10" fontId="27" fillId="0" borderId="242" xfId="1" applyNumberFormat="1" applyFont="1" applyBorder="1" applyAlignment="1">
      <alignment horizontal="center" vertical="center"/>
    </xf>
    <xf numFmtId="0" fontId="24" fillId="4" borderId="0" xfId="1" applyFont="1" applyFill="1" applyAlignment="1">
      <alignment vertical="center"/>
    </xf>
    <xf numFmtId="3" fontId="24" fillId="23" borderId="80" xfId="0" applyNumberFormat="1" applyFont="1" applyFill="1" applyBorder="1" applyAlignment="1">
      <alignment horizontal="center" vertical="center"/>
    </xf>
    <xf numFmtId="4" fontId="24" fillId="23" borderId="79" xfId="0" applyNumberFormat="1" applyFont="1" applyFill="1" applyBorder="1" applyAlignment="1">
      <alignment horizontal="center" vertical="center"/>
    </xf>
    <xf numFmtId="0" fontId="27" fillId="0" borderId="79" xfId="1" applyFont="1" applyBorder="1" applyAlignment="1">
      <alignment horizontal="center" vertical="center"/>
    </xf>
    <xf numFmtId="0" fontId="27" fillId="0" borderId="76" xfId="1" applyFont="1" applyBorder="1" applyAlignment="1">
      <alignment horizontal="center" vertical="center"/>
    </xf>
    <xf numFmtId="3" fontId="27" fillId="0" borderId="229" xfId="1" applyNumberFormat="1" applyFont="1" applyBorder="1" applyAlignment="1">
      <alignment horizontal="center" vertical="center"/>
    </xf>
    <xf numFmtId="10" fontId="77" fillId="24" borderId="222" xfId="0" applyNumberFormat="1" applyFont="1" applyFill="1" applyBorder="1" applyAlignment="1">
      <alignment horizontal="center" vertical="center"/>
    </xf>
    <xf numFmtId="10" fontId="26" fillId="5" borderId="234" xfId="1" applyNumberFormat="1" applyFont="1" applyFill="1" applyBorder="1" applyAlignment="1">
      <alignment horizontal="center" vertical="center"/>
    </xf>
    <xf numFmtId="10" fontId="26" fillId="5" borderId="0" xfId="1" applyNumberFormat="1" applyFont="1" applyFill="1" applyAlignment="1">
      <alignment horizontal="center" vertical="center"/>
    </xf>
    <xf numFmtId="3" fontId="24" fillId="23" borderId="62" xfId="0" applyNumberFormat="1" applyFont="1" applyFill="1" applyBorder="1" applyAlignment="1">
      <alignment horizontal="center" vertical="center"/>
    </xf>
    <xf numFmtId="9" fontId="79" fillId="23" borderId="58" xfId="0" applyNumberFormat="1" applyFont="1" applyFill="1" applyBorder="1" applyAlignment="1">
      <alignment horizontal="center" vertical="center"/>
    </xf>
    <xf numFmtId="4" fontId="24" fillId="23" borderId="63" xfId="0" applyNumberFormat="1" applyFont="1" applyFill="1" applyBorder="1" applyAlignment="1">
      <alignment horizontal="center" vertical="center"/>
    </xf>
    <xf numFmtId="0" fontId="19" fillId="0" borderId="233" xfId="1" applyFont="1" applyBorder="1" applyAlignment="1">
      <alignment horizontal="left" vertical="center"/>
    </xf>
    <xf numFmtId="3" fontId="27" fillId="0" borderId="76" xfId="1" applyNumberFormat="1" applyFont="1" applyBorder="1" applyAlignment="1">
      <alignment horizontal="center" vertical="center"/>
    </xf>
    <xf numFmtId="4" fontId="26" fillId="0" borderId="79" xfId="1" applyNumberFormat="1" applyFont="1" applyBorder="1" applyAlignment="1">
      <alignment horizontal="center" vertical="center"/>
    </xf>
    <xf numFmtId="3" fontId="27" fillId="0" borderId="230" xfId="6" applyNumberFormat="1" applyFont="1" applyFill="1" applyBorder="1" applyAlignment="1">
      <alignment horizontal="center" vertical="center"/>
    </xf>
    <xf numFmtId="171" fontId="27" fillId="0" borderId="233" xfId="6" applyNumberFormat="1" applyFont="1" applyFill="1" applyBorder="1" applyAlignment="1">
      <alignment horizontal="center" vertical="center"/>
    </xf>
    <xf numFmtId="166" fontId="26" fillId="5" borderId="229" xfId="6" applyFont="1" applyFill="1" applyBorder="1" applyAlignment="1">
      <alignment horizontal="center" vertical="center"/>
    </xf>
    <xf numFmtId="167" fontId="26" fillId="5" borderId="229" xfId="6" applyNumberFormat="1" applyFont="1" applyFill="1" applyBorder="1" applyAlignment="1">
      <alignment horizontal="center" vertical="center"/>
    </xf>
    <xf numFmtId="10" fontId="26" fillId="5" borderId="229" xfId="1" applyNumberFormat="1" applyFont="1" applyFill="1" applyBorder="1" applyAlignment="1">
      <alignment horizontal="center" vertical="center"/>
    </xf>
    <xf numFmtId="9" fontId="39" fillId="5" borderId="229" xfId="7" applyFont="1" applyFill="1" applyBorder="1" applyAlignment="1">
      <alignment horizontal="center" vertical="center"/>
    </xf>
    <xf numFmtId="9" fontId="36" fillId="0" borderId="234" xfId="7" applyFont="1" applyFill="1" applyBorder="1" applyAlignment="1">
      <alignment horizontal="center" vertical="center"/>
    </xf>
    <xf numFmtId="9" fontId="29" fillId="4" borderId="229" xfId="7" applyFont="1" applyFill="1" applyBorder="1" applyAlignment="1">
      <alignment horizontal="center" vertical="center"/>
    </xf>
    <xf numFmtId="3" fontId="24" fillId="23" borderId="199" xfId="0" applyNumberFormat="1" applyFont="1" applyFill="1" applyBorder="1" applyAlignment="1">
      <alignment horizontal="center" vertical="center"/>
    </xf>
    <xf numFmtId="10" fontId="24" fillId="23" borderId="229" xfId="0" applyNumberFormat="1" applyFont="1" applyFill="1" applyBorder="1" applyAlignment="1">
      <alignment horizontal="center" vertical="center"/>
    </xf>
    <xf numFmtId="9" fontId="39" fillId="0" borderId="202" xfId="7" applyFont="1" applyFill="1" applyBorder="1" applyAlignment="1">
      <alignment horizontal="center" vertical="center"/>
    </xf>
    <xf numFmtId="9" fontId="39" fillId="0" borderId="202" xfId="7" applyFont="1" applyFill="1" applyBorder="1" applyAlignment="1">
      <alignment horizontal="center" vertical="center" wrapText="1"/>
    </xf>
    <xf numFmtId="10" fontId="77" fillId="0" borderId="202" xfId="0" applyNumberFormat="1" applyFont="1" applyBorder="1" applyAlignment="1">
      <alignment horizontal="center" vertical="center"/>
    </xf>
    <xf numFmtId="3" fontId="25" fillId="8" borderId="234" xfId="1" applyNumberFormat="1" applyFont="1" applyFill="1" applyBorder="1" applyAlignment="1">
      <alignment horizontal="center" vertical="center"/>
    </xf>
    <xf numFmtId="4" fontId="25" fillId="0" borderId="80" xfId="1" applyNumberFormat="1" applyFont="1" applyBorder="1" applyAlignment="1">
      <alignment horizontal="center" vertical="center"/>
    </xf>
    <xf numFmtId="3" fontId="25" fillId="8" borderId="231" xfId="1" applyNumberFormat="1" applyFont="1" applyFill="1" applyBorder="1" applyAlignment="1">
      <alignment horizontal="center" vertical="center"/>
    </xf>
    <xf numFmtId="10" fontId="26" fillId="0" borderId="7" xfId="1" applyNumberFormat="1" applyFont="1" applyBorder="1" applyAlignment="1">
      <alignment horizontal="center" vertical="center"/>
    </xf>
    <xf numFmtId="4" fontId="24" fillId="22" borderId="55" xfId="0" applyNumberFormat="1" applyFont="1" applyFill="1" applyBorder="1" applyAlignment="1">
      <alignment horizontal="center" vertical="center"/>
    </xf>
    <xf numFmtId="3" fontId="24" fillId="22" borderId="56" xfId="0" applyNumberFormat="1" applyFont="1" applyFill="1" applyBorder="1" applyAlignment="1">
      <alignment horizontal="center" vertical="center"/>
    </xf>
    <xf numFmtId="4" fontId="24" fillId="22" borderId="56" xfId="0" applyNumberFormat="1" applyFont="1" applyFill="1" applyBorder="1" applyAlignment="1">
      <alignment horizontal="center" vertical="center"/>
    </xf>
    <xf numFmtId="9" fontId="29" fillId="4" borderId="198" xfId="7" applyFont="1" applyFill="1" applyBorder="1" applyAlignment="1">
      <alignment horizontal="center" vertical="center"/>
    </xf>
    <xf numFmtId="9" fontId="29" fillId="4" borderId="199" xfId="7" applyFont="1" applyFill="1" applyBorder="1" applyAlignment="1">
      <alignment horizontal="center" vertical="center" wrapText="1"/>
    </xf>
    <xf numFmtId="3" fontId="24" fillId="23" borderId="198" xfId="0" applyNumberFormat="1" applyFont="1" applyFill="1" applyBorder="1" applyAlignment="1">
      <alignment horizontal="center" vertical="center"/>
    </xf>
    <xf numFmtId="4" fontId="24" fillId="23" borderId="198" xfId="0" applyNumberFormat="1" applyFont="1" applyFill="1" applyBorder="1" applyAlignment="1">
      <alignment horizontal="center" vertical="center"/>
    </xf>
    <xf numFmtId="4" fontId="24" fillId="4" borderId="201" xfId="1" applyNumberFormat="1" applyFont="1" applyFill="1" applyBorder="1" applyAlignment="1">
      <alignment horizontal="center" vertical="center"/>
    </xf>
    <xf numFmtId="10" fontId="76" fillId="0" borderId="58" xfId="0" applyNumberFormat="1" applyFont="1" applyBorder="1" applyAlignment="1">
      <alignment horizontal="center" vertical="center"/>
    </xf>
    <xf numFmtId="10" fontId="27" fillId="0" borderId="76" xfId="1" applyNumberFormat="1" applyFont="1" applyBorder="1" applyAlignment="1">
      <alignment horizontal="center" vertical="center"/>
    </xf>
    <xf numFmtId="10" fontId="27" fillId="0" borderId="19" xfId="1" applyNumberFormat="1" applyFont="1" applyBorder="1" applyAlignment="1">
      <alignment horizontal="center" vertical="center"/>
    </xf>
    <xf numFmtId="168" fontId="27" fillId="0" borderId="229" xfId="1" applyNumberFormat="1" applyFont="1" applyBorder="1" applyAlignment="1">
      <alignment horizontal="center" vertical="center"/>
    </xf>
    <xf numFmtId="9" fontId="39" fillId="0" borderId="229" xfId="7" applyFont="1" applyFill="1" applyBorder="1" applyAlignment="1">
      <alignment horizontal="center" vertical="center"/>
    </xf>
    <xf numFmtId="9" fontId="39" fillId="0" borderId="229" xfId="7" applyFont="1" applyFill="1" applyBorder="1" applyAlignment="1">
      <alignment horizontal="center" vertical="center" wrapText="1"/>
    </xf>
    <xf numFmtId="10" fontId="77" fillId="0" borderId="229" xfId="0" applyNumberFormat="1" applyFont="1" applyBorder="1" applyAlignment="1">
      <alignment horizontal="center" vertical="center"/>
    </xf>
    <xf numFmtId="10" fontId="26" fillId="0" borderId="232" xfId="1" applyNumberFormat="1" applyFont="1" applyBorder="1" applyAlignment="1">
      <alignment horizontal="center" vertical="center"/>
    </xf>
    <xf numFmtId="9" fontId="29" fillId="4" borderId="234" xfId="7" applyFont="1" applyFill="1" applyBorder="1" applyAlignment="1">
      <alignment horizontal="center" vertical="center"/>
    </xf>
    <xf numFmtId="9" fontId="29" fillId="4" borderId="231" xfId="7" applyFont="1" applyFill="1" applyBorder="1" applyAlignment="1">
      <alignment horizontal="center" vertical="center" wrapText="1"/>
    </xf>
    <xf numFmtId="3" fontId="27" fillId="0" borderId="62" xfId="1" applyNumberFormat="1" applyFont="1" applyBorder="1" applyAlignment="1">
      <alignment horizontal="center" vertical="center"/>
    </xf>
    <xf numFmtId="3" fontId="76" fillId="0" borderId="58" xfId="0" applyNumberFormat="1" applyFont="1" applyBorder="1" applyAlignment="1">
      <alignment horizontal="center" vertical="center"/>
    </xf>
    <xf numFmtId="0" fontId="76" fillId="0" borderId="77" xfId="0" applyFont="1" applyBorder="1" applyAlignment="1">
      <alignment horizontal="center" vertical="center"/>
    </xf>
    <xf numFmtId="9" fontId="38" fillId="6" borderId="233" xfId="7" applyFont="1" applyFill="1" applyBorder="1" applyAlignment="1">
      <alignment horizontal="center" vertical="center"/>
    </xf>
    <xf numFmtId="9" fontId="38" fillId="6" borderId="230" xfId="7" applyFont="1" applyFill="1" applyBorder="1" applyAlignment="1">
      <alignment horizontal="center" vertical="center" wrapText="1"/>
    </xf>
    <xf numFmtId="3" fontId="28" fillId="22" borderId="230" xfId="0" applyNumberFormat="1" applyFont="1" applyFill="1" applyBorder="1" applyAlignment="1">
      <alignment horizontal="center" vertical="center"/>
    </xf>
    <xf numFmtId="3" fontId="28" fillId="22" borderId="233" xfId="0" applyNumberFormat="1" applyFont="1" applyFill="1" applyBorder="1" applyAlignment="1">
      <alignment horizontal="center" vertical="center"/>
    </xf>
    <xf numFmtId="4" fontId="28" fillId="22" borderId="233" xfId="0" applyNumberFormat="1" applyFont="1" applyFill="1" applyBorder="1" applyAlignment="1">
      <alignment horizontal="center" vertical="center"/>
    </xf>
    <xf numFmtId="4" fontId="28" fillId="6" borderId="232" xfId="1" applyNumberFormat="1" applyFont="1" applyFill="1" applyBorder="1" applyAlignment="1">
      <alignment horizontal="center" vertical="center"/>
    </xf>
    <xf numFmtId="9" fontId="29" fillId="8" borderId="234" xfId="7" applyFont="1" applyFill="1" applyBorder="1" applyAlignment="1">
      <alignment horizontal="center" vertical="center"/>
    </xf>
    <xf numFmtId="9" fontId="29" fillId="8" borderId="231" xfId="7" applyFont="1" applyFill="1" applyBorder="1" applyAlignment="1">
      <alignment horizontal="center" vertical="center" wrapText="1"/>
    </xf>
    <xf numFmtId="3" fontId="24" fillId="24" borderId="234" xfId="0" applyNumberFormat="1" applyFont="1" applyFill="1" applyBorder="1" applyAlignment="1">
      <alignment horizontal="center" vertical="center"/>
    </xf>
    <xf numFmtId="4" fontId="24" fillId="24" borderId="234" xfId="0" applyNumberFormat="1" applyFont="1" applyFill="1" applyBorder="1" applyAlignment="1">
      <alignment horizontal="center" vertical="center"/>
    </xf>
    <xf numFmtId="4" fontId="24" fillId="8" borderId="199" xfId="1" applyNumberFormat="1" applyFont="1" applyFill="1" applyBorder="1" applyAlignment="1">
      <alignment horizontal="center" vertical="center"/>
    </xf>
    <xf numFmtId="4" fontId="25" fillId="0" borderId="58" xfId="0" applyNumberFormat="1" applyFont="1" applyBorder="1" applyAlignment="1">
      <alignment horizontal="center" vertical="center"/>
    </xf>
    <xf numFmtId="3" fontId="76" fillId="0" borderId="63" xfId="0" applyNumberFormat="1" applyFont="1" applyBorder="1" applyAlignment="1">
      <alignment horizontal="center" vertical="center"/>
    </xf>
    <xf numFmtId="0" fontId="76" fillId="0" borderId="58" xfId="0" applyFont="1" applyBorder="1" applyAlignment="1">
      <alignment horizontal="center" vertical="center"/>
    </xf>
    <xf numFmtId="0" fontId="26" fillId="0" borderId="76" xfId="1" applyFont="1" applyBorder="1" applyAlignment="1">
      <alignment horizontal="center" vertical="center" wrapText="1"/>
    </xf>
    <xf numFmtId="4" fontId="24" fillId="6" borderId="230" xfId="1" applyNumberFormat="1" applyFont="1" applyFill="1" applyBorder="1" applyAlignment="1">
      <alignment horizontal="center" vertical="center"/>
    </xf>
    <xf numFmtId="9" fontId="29" fillId="6" borderId="233" xfId="7" applyFont="1" applyFill="1" applyBorder="1" applyAlignment="1">
      <alignment horizontal="center" vertical="center"/>
    </xf>
    <xf numFmtId="9" fontId="29" fillId="6" borderId="230" xfId="7" applyFont="1" applyFill="1" applyBorder="1" applyAlignment="1">
      <alignment horizontal="center" vertical="center" wrapText="1"/>
    </xf>
    <xf numFmtId="3" fontId="24" fillId="22" borderId="233" xfId="0" applyNumberFormat="1" applyFont="1" applyFill="1" applyBorder="1" applyAlignment="1">
      <alignment horizontal="center" vertical="center"/>
    </xf>
    <xf numFmtId="4" fontId="24" fillId="22" borderId="233" xfId="0" applyNumberFormat="1" applyFont="1" applyFill="1" applyBorder="1" applyAlignment="1">
      <alignment horizontal="center" vertical="center"/>
    </xf>
    <xf numFmtId="4" fontId="24" fillId="6" borderId="229" xfId="1" applyNumberFormat="1" applyFont="1" applyFill="1" applyBorder="1" applyAlignment="1">
      <alignment horizontal="center" vertical="center"/>
    </xf>
    <xf numFmtId="3" fontId="20" fillId="0" borderId="0" xfId="1" applyNumberFormat="1" applyFont="1" applyAlignment="1">
      <alignment vertical="center"/>
    </xf>
    <xf numFmtId="9" fontId="29" fillId="3" borderId="198" xfId="7" applyFont="1" applyFill="1" applyBorder="1" applyAlignment="1">
      <alignment horizontal="center" vertical="center"/>
    </xf>
    <xf numFmtId="9" fontId="29" fillId="3" borderId="199" xfId="7" applyFont="1" applyFill="1" applyBorder="1" applyAlignment="1">
      <alignment horizontal="center" vertical="center" wrapText="1"/>
    </xf>
    <xf numFmtId="9" fontId="24" fillId="3" borderId="199" xfId="0" applyNumberFormat="1" applyFont="1" applyFill="1" applyBorder="1" applyAlignment="1">
      <alignment horizontal="center" vertical="center"/>
    </xf>
    <xf numFmtId="3" fontId="24" fillId="3" borderId="199" xfId="0" applyNumberFormat="1" applyFont="1" applyFill="1" applyBorder="1" applyAlignment="1">
      <alignment horizontal="center" vertical="center"/>
    </xf>
    <xf numFmtId="9" fontId="24" fillId="3" borderId="198" xfId="0" applyNumberFormat="1" applyFont="1" applyFill="1" applyBorder="1" applyAlignment="1">
      <alignment horizontal="center" vertical="center"/>
    </xf>
    <xf numFmtId="10" fontId="24" fillId="3" borderId="198" xfId="0" applyNumberFormat="1" applyFont="1" applyFill="1" applyBorder="1" applyAlignment="1">
      <alignment horizontal="center" vertical="center"/>
    </xf>
    <xf numFmtId="10" fontId="24" fillId="3" borderId="201" xfId="1" applyNumberFormat="1" applyFont="1" applyFill="1" applyBorder="1" applyAlignment="1">
      <alignment horizontal="center" vertical="center"/>
    </xf>
    <xf numFmtId="4" fontId="19" fillId="0" borderId="0" xfId="0" applyNumberFormat="1" applyFont="1" applyAlignment="1">
      <alignment horizontal="center" vertical="center"/>
    </xf>
    <xf numFmtId="3" fontId="78" fillId="25" borderId="0" xfId="0" applyNumberFormat="1" applyFont="1" applyFill="1" applyAlignment="1">
      <alignment horizontal="center" vertical="center"/>
    </xf>
    <xf numFmtId="4" fontId="16" fillId="0" borderId="0" xfId="0" applyNumberFormat="1" applyFont="1" applyAlignment="1">
      <alignment horizontal="center" vertical="center"/>
    </xf>
    <xf numFmtId="49" fontId="18" fillId="33" borderId="3" xfId="0" applyNumberFormat="1" applyFont="1" applyFill="1" applyBorder="1" applyAlignment="1">
      <alignment horizontal="center" vertical="center"/>
    </xf>
    <xf numFmtId="49" fontId="18" fillId="33" borderId="9" xfId="0" applyNumberFormat="1" applyFont="1" applyFill="1" applyBorder="1" applyAlignment="1">
      <alignment horizontal="center" vertical="center"/>
    </xf>
    <xf numFmtId="0" fontId="19" fillId="0" borderId="228" xfId="1" applyFont="1" applyBorder="1" applyAlignment="1">
      <alignment vertical="center"/>
    </xf>
    <xf numFmtId="9" fontId="36" fillId="0" borderId="227" xfId="7" applyFont="1" applyFill="1" applyBorder="1" applyAlignment="1">
      <alignment horizontal="center" vertical="center"/>
    </xf>
    <xf numFmtId="9" fontId="27" fillId="0" borderId="227" xfId="7" applyFont="1" applyFill="1" applyBorder="1" applyAlignment="1">
      <alignment horizontal="center" vertical="center"/>
    </xf>
    <xf numFmtId="9" fontId="87" fillId="0" borderId="227" xfId="7" applyFont="1" applyFill="1" applyBorder="1" applyAlignment="1">
      <alignment horizontal="center" vertical="center"/>
    </xf>
    <xf numFmtId="4" fontId="87" fillId="0" borderId="227" xfId="1" applyNumberFormat="1" applyFont="1" applyBorder="1" applyAlignment="1">
      <alignment horizontal="center" vertical="center"/>
    </xf>
    <xf numFmtId="3" fontId="87" fillId="0" borderId="227" xfId="1" applyNumberFormat="1" applyFont="1" applyBorder="1" applyAlignment="1">
      <alignment horizontal="center" vertical="center"/>
    </xf>
    <xf numFmtId="4" fontId="25" fillId="0" borderId="227" xfId="1" applyNumberFormat="1" applyFont="1" applyBorder="1" applyAlignment="1">
      <alignment horizontal="center" vertical="center"/>
    </xf>
    <xf numFmtId="3" fontId="25" fillId="0" borderId="227" xfId="1" applyNumberFormat="1" applyFont="1" applyBorder="1" applyAlignment="1">
      <alignment horizontal="center" vertical="center"/>
    </xf>
    <xf numFmtId="0" fontId="19" fillId="0" borderId="244" xfId="1" applyFont="1" applyBorder="1" applyAlignment="1">
      <alignment horizontal="left" vertical="center"/>
    </xf>
    <xf numFmtId="10" fontId="27" fillId="0" borderId="227" xfId="1" applyNumberFormat="1" applyFont="1" applyBorder="1" applyAlignment="1">
      <alignment horizontal="center" vertical="center"/>
    </xf>
    <xf numFmtId="0" fontId="24" fillId="0" borderId="244" xfId="1" applyFont="1" applyBorder="1" applyAlignment="1">
      <alignment vertical="center"/>
    </xf>
    <xf numFmtId="10" fontId="24" fillId="0" borderId="227" xfId="1" applyNumberFormat="1" applyFont="1" applyBorder="1" applyAlignment="1">
      <alignment horizontal="center" vertical="center"/>
    </xf>
    <xf numFmtId="0" fontId="19" fillId="0" borderId="244" xfId="1" applyFont="1" applyBorder="1" applyAlignment="1">
      <alignment vertical="center"/>
    </xf>
    <xf numFmtId="10" fontId="26" fillId="5" borderId="227" xfId="1" applyNumberFormat="1" applyFont="1" applyFill="1" applyBorder="1" applyAlignment="1">
      <alignment horizontal="center" vertical="center"/>
    </xf>
    <xf numFmtId="0" fontId="24" fillId="4" borderId="228" xfId="1" applyFont="1" applyFill="1" applyBorder="1" applyAlignment="1">
      <alignment vertical="center"/>
    </xf>
    <xf numFmtId="3" fontId="24" fillId="4" borderId="228" xfId="1" applyNumberFormat="1" applyFont="1" applyFill="1" applyBorder="1" applyAlignment="1">
      <alignment horizontal="center" vertical="center"/>
    </xf>
    <xf numFmtId="0" fontId="24" fillId="3" borderId="228" xfId="1" applyFont="1" applyFill="1" applyBorder="1" applyAlignment="1">
      <alignment vertical="center"/>
    </xf>
    <xf numFmtId="9" fontId="24" fillId="3" borderId="228" xfId="7" applyFont="1" applyFill="1" applyBorder="1" applyAlignment="1">
      <alignment horizontal="center" vertical="center"/>
    </xf>
    <xf numFmtId="3" fontId="24" fillId="3" borderId="228" xfId="1" applyNumberFormat="1" applyFont="1" applyFill="1" applyBorder="1" applyAlignment="1">
      <alignment horizontal="center" vertical="center"/>
    </xf>
    <xf numFmtId="4" fontId="33" fillId="11" borderId="51" xfId="1" applyNumberFormat="1" applyFont="1" applyFill="1" applyBorder="1" applyAlignment="1">
      <alignment horizontal="center" vertical="center"/>
    </xf>
    <xf numFmtId="4" fontId="112" fillId="0" borderId="77" xfId="1" applyNumberFormat="1" applyFont="1" applyBorder="1" applyAlignment="1">
      <alignment horizontal="center" vertical="center"/>
    </xf>
    <xf numFmtId="3" fontId="102" fillId="0" borderId="79" xfId="6" applyNumberFormat="1" applyFont="1" applyFill="1" applyBorder="1" applyAlignment="1">
      <alignment horizontal="center" vertical="center"/>
    </xf>
    <xf numFmtId="9" fontId="97" fillId="0" borderId="229" xfId="7" applyFont="1" applyFill="1" applyBorder="1" applyAlignment="1">
      <alignment horizontal="center" vertical="center" wrapText="1"/>
    </xf>
    <xf numFmtId="3" fontId="188" fillId="0" borderId="79" xfId="6" applyNumberFormat="1" applyFont="1" applyFill="1" applyBorder="1" applyAlignment="1">
      <alignment horizontal="center" vertical="center"/>
    </xf>
    <xf numFmtId="3" fontId="33" fillId="11" borderId="55" xfId="1" applyNumberFormat="1" applyFont="1" applyFill="1" applyBorder="1" applyAlignment="1">
      <alignment horizontal="center" vertical="center"/>
    </xf>
    <xf numFmtId="3" fontId="33" fillId="11" borderId="56" xfId="1" applyNumberFormat="1" applyFont="1" applyFill="1" applyBorder="1" applyAlignment="1">
      <alignment horizontal="center" vertical="center"/>
    </xf>
    <xf numFmtId="4" fontId="112" fillId="0" borderId="58" xfId="1" applyNumberFormat="1" applyFont="1" applyBorder="1" applyAlignment="1">
      <alignment horizontal="center" vertical="center"/>
    </xf>
    <xf numFmtId="3" fontId="112" fillId="0" borderId="58" xfId="1" applyNumberFormat="1" applyFont="1" applyBorder="1" applyAlignment="1">
      <alignment horizontal="center" vertical="center"/>
    </xf>
    <xf numFmtId="9" fontId="188" fillId="0" borderId="229" xfId="7" applyFont="1" applyFill="1" applyBorder="1" applyAlignment="1">
      <alignment horizontal="center" vertical="center" wrapText="1"/>
    </xf>
    <xf numFmtId="3" fontId="112" fillId="0" borderId="77" xfId="1" applyNumberFormat="1" applyFont="1" applyBorder="1" applyAlignment="1">
      <alignment horizontal="center" vertical="center"/>
    </xf>
    <xf numFmtId="9" fontId="188" fillId="0" borderId="77" xfId="7" applyFont="1" applyFill="1" applyBorder="1" applyAlignment="1">
      <alignment horizontal="center" vertical="center"/>
    </xf>
    <xf numFmtId="4" fontId="189" fillId="0" borderId="77" xfId="1" applyNumberFormat="1" applyFont="1" applyBorder="1" applyAlignment="1">
      <alignment horizontal="center" vertical="center" wrapText="1"/>
    </xf>
    <xf numFmtId="9" fontId="190" fillId="0" borderId="77" xfId="7" applyFont="1" applyFill="1" applyBorder="1" applyAlignment="1">
      <alignment horizontal="center" vertical="center" wrapText="1"/>
    </xf>
    <xf numFmtId="9" fontId="190" fillId="0" borderId="77" xfId="7" applyFont="1" applyFill="1" applyBorder="1" applyAlignment="1">
      <alignment horizontal="center" vertical="center"/>
    </xf>
    <xf numFmtId="9" fontId="81" fillId="0" borderId="229" xfId="7" applyFont="1" applyFill="1" applyBorder="1" applyAlignment="1">
      <alignment horizontal="center" vertical="center" wrapText="1"/>
    </xf>
    <xf numFmtId="9" fontId="190" fillId="0" borderId="229" xfId="7" applyFont="1" applyFill="1" applyBorder="1" applyAlignment="1">
      <alignment horizontal="center" vertical="center"/>
    </xf>
    <xf numFmtId="4" fontId="25" fillId="0" borderId="227" xfId="1" applyNumberFormat="1" applyFont="1" applyBorder="1" applyAlignment="1">
      <alignment horizontal="center" vertical="center" wrapText="1"/>
    </xf>
    <xf numFmtId="4" fontId="112" fillId="0" borderId="20" xfId="1" applyNumberFormat="1" applyFont="1" applyBorder="1" applyAlignment="1">
      <alignment horizontal="center" vertical="center"/>
    </xf>
    <xf numFmtId="3" fontId="112" fillId="0" borderId="20" xfId="1" applyNumberFormat="1" applyFont="1" applyBorder="1" applyAlignment="1">
      <alignment horizontal="center" vertical="center"/>
    </xf>
    <xf numFmtId="9" fontId="188" fillId="0" borderId="227" xfId="7" applyFont="1" applyFill="1" applyBorder="1" applyAlignment="1">
      <alignment horizontal="center" vertical="center"/>
    </xf>
    <xf numFmtId="10" fontId="190" fillId="0" borderId="77" xfId="1" applyNumberFormat="1" applyFont="1" applyBorder="1" applyAlignment="1">
      <alignment horizontal="center" vertical="center"/>
    </xf>
    <xf numFmtId="4" fontId="33" fillId="11" borderId="230" xfId="1" applyNumberFormat="1" applyFont="1" applyFill="1" applyBorder="1" applyAlignment="1">
      <alignment horizontal="center" vertical="center"/>
    </xf>
    <xf numFmtId="4" fontId="33" fillId="11" borderId="233" xfId="1" applyNumberFormat="1" applyFont="1" applyFill="1" applyBorder="1" applyAlignment="1">
      <alignment horizontal="center" vertical="center"/>
    </xf>
    <xf numFmtId="0" fontId="188" fillId="0" borderId="229" xfId="1" applyFont="1" applyBorder="1" applyAlignment="1">
      <alignment horizontal="center" vertical="center"/>
    </xf>
    <xf numFmtId="10" fontId="188" fillId="0" borderId="227" xfId="1" applyNumberFormat="1" applyFont="1" applyBorder="1" applyAlignment="1">
      <alignment horizontal="center" vertical="center"/>
    </xf>
    <xf numFmtId="10" fontId="33" fillId="3" borderId="62" xfId="1" applyNumberFormat="1" applyFont="1" applyFill="1" applyBorder="1" applyAlignment="1">
      <alignment horizontal="center" vertical="center"/>
    </xf>
    <xf numFmtId="10" fontId="33" fillId="3" borderId="63" xfId="1" applyNumberFormat="1" applyFont="1" applyFill="1" applyBorder="1" applyAlignment="1">
      <alignment horizontal="center" vertical="center"/>
    </xf>
    <xf numFmtId="0" fontId="24" fillId="0" borderId="227" xfId="1" applyFont="1" applyBorder="1" applyAlignment="1">
      <alignment vertical="center"/>
    </xf>
    <xf numFmtId="10" fontId="33" fillId="0" borderId="227" xfId="1" applyNumberFormat="1" applyFont="1" applyBorder="1" applyAlignment="1">
      <alignment horizontal="center" vertical="center"/>
    </xf>
    <xf numFmtId="3" fontId="33" fillId="4" borderId="80" xfId="1" applyNumberFormat="1" applyFont="1" applyFill="1" applyBorder="1" applyAlignment="1">
      <alignment horizontal="center" vertical="center"/>
    </xf>
    <xf numFmtId="3" fontId="33" fillId="4" borderId="79" xfId="1" applyNumberFormat="1" applyFont="1" applyFill="1" applyBorder="1" applyAlignment="1">
      <alignment horizontal="center" vertical="center"/>
    </xf>
    <xf numFmtId="4" fontId="33" fillId="4" borderId="63" xfId="1" applyNumberFormat="1" applyFont="1" applyFill="1" applyBorder="1" applyAlignment="1">
      <alignment horizontal="center" vertical="center"/>
    </xf>
    <xf numFmtId="9" fontId="188" fillId="0" borderId="229" xfId="7" applyFont="1" applyFill="1" applyBorder="1" applyAlignment="1">
      <alignment horizontal="center" vertical="center"/>
    </xf>
    <xf numFmtId="3" fontId="33" fillId="4" borderId="62" xfId="1" applyNumberFormat="1" applyFont="1" applyFill="1" applyBorder="1" applyAlignment="1">
      <alignment horizontal="center" vertical="center"/>
    </xf>
    <xf numFmtId="10" fontId="190" fillId="5" borderId="227" xfId="1" applyNumberFormat="1" applyFont="1" applyFill="1" applyBorder="1" applyAlignment="1">
      <alignment horizontal="center" vertical="center"/>
    </xf>
    <xf numFmtId="4" fontId="112" fillId="0" borderId="198" xfId="1" applyNumberFormat="1" applyFont="1" applyBorder="1" applyAlignment="1">
      <alignment horizontal="center" vertical="center"/>
    </xf>
    <xf numFmtId="4" fontId="112" fillId="0" borderId="227" xfId="1" applyNumberFormat="1" applyFont="1" applyBorder="1" applyAlignment="1">
      <alignment horizontal="center" vertical="center"/>
    </xf>
    <xf numFmtId="3" fontId="188" fillId="0" borderId="198" xfId="6" applyNumberFormat="1" applyFont="1" applyFill="1" applyBorder="1" applyAlignment="1">
      <alignment horizontal="center" vertical="center"/>
    </xf>
    <xf numFmtId="3" fontId="24" fillId="4" borderId="244" xfId="1" applyNumberFormat="1" applyFont="1" applyFill="1" applyBorder="1" applyAlignment="1">
      <alignment horizontal="center" vertical="center"/>
    </xf>
    <xf numFmtId="3" fontId="33" fillId="4" borderId="55" xfId="1" applyNumberFormat="1" applyFont="1" applyFill="1" applyBorder="1" applyAlignment="1">
      <alignment horizontal="center" vertical="center"/>
    </xf>
    <xf numFmtId="10" fontId="33" fillId="4" borderId="51" xfId="1" applyNumberFormat="1" applyFont="1" applyFill="1" applyBorder="1" applyAlignment="1">
      <alignment horizontal="center" vertical="center"/>
    </xf>
    <xf numFmtId="4" fontId="33" fillId="4" borderId="56" xfId="1" applyNumberFormat="1" applyFont="1" applyFill="1" applyBorder="1" applyAlignment="1">
      <alignment horizontal="center" vertical="center"/>
    </xf>
    <xf numFmtId="10" fontId="26" fillId="0" borderId="227" xfId="1" applyNumberFormat="1" applyFont="1" applyBorder="1" applyAlignment="1">
      <alignment horizontal="center" vertical="center"/>
    </xf>
    <xf numFmtId="10" fontId="84" fillId="0" borderId="227" xfId="1" applyNumberFormat="1" applyFont="1" applyBorder="1" applyAlignment="1">
      <alignment horizontal="center" vertical="center"/>
    </xf>
    <xf numFmtId="10" fontId="191" fillId="0" borderId="20" xfId="1" applyNumberFormat="1" applyFont="1" applyBorder="1" applyAlignment="1">
      <alignment horizontal="center" vertical="center"/>
    </xf>
    <xf numFmtId="10" fontId="190" fillId="0" borderId="20" xfId="1" applyNumberFormat="1" applyFont="1" applyBorder="1" applyAlignment="1">
      <alignment horizontal="center" vertical="center"/>
    </xf>
    <xf numFmtId="4" fontId="33" fillId="6" borderId="55" xfId="1" applyNumberFormat="1" applyFont="1" applyFill="1" applyBorder="1" applyAlignment="1">
      <alignment horizontal="center" vertical="center"/>
    </xf>
    <xf numFmtId="3" fontId="33" fillId="6" borderId="56" xfId="1" applyNumberFormat="1" applyFont="1" applyFill="1" applyBorder="1" applyAlignment="1">
      <alignment horizontal="center" vertical="center"/>
    </xf>
    <xf numFmtId="4" fontId="33" fillId="6" borderId="56" xfId="1" applyNumberFormat="1" applyFont="1" applyFill="1" applyBorder="1" applyAlignment="1">
      <alignment horizontal="center" vertical="center"/>
    </xf>
    <xf numFmtId="3" fontId="33" fillId="4" borderId="228" xfId="1" applyNumberFormat="1" applyFont="1" applyFill="1" applyBorder="1" applyAlignment="1">
      <alignment horizontal="center" vertical="center"/>
    </xf>
    <xf numFmtId="3" fontId="33" fillId="4" borderId="198" xfId="1" applyNumberFormat="1" applyFont="1" applyFill="1" applyBorder="1" applyAlignment="1">
      <alignment horizontal="center" vertical="center"/>
    </xf>
    <xf numFmtId="4" fontId="33" fillId="4" borderId="198" xfId="1" applyNumberFormat="1" applyFont="1" applyFill="1" applyBorder="1" applyAlignment="1">
      <alignment horizontal="center" vertical="center"/>
    </xf>
    <xf numFmtId="10" fontId="188" fillId="0" borderId="58" xfId="1" applyNumberFormat="1" applyFont="1" applyBorder="1" applyAlignment="1">
      <alignment horizontal="center" vertical="center"/>
    </xf>
    <xf numFmtId="10" fontId="190" fillId="0" borderId="229" xfId="1" applyNumberFormat="1" applyFont="1" applyBorder="1" applyAlignment="1">
      <alignment horizontal="center" vertical="center"/>
    </xf>
    <xf numFmtId="3" fontId="188" fillId="0" borderId="58" xfId="1" applyNumberFormat="1" applyFont="1" applyBorder="1" applyAlignment="1">
      <alignment horizontal="center" vertical="center"/>
    </xf>
    <xf numFmtId="0" fontId="188" fillId="0" borderId="77" xfId="1" applyFont="1" applyBorder="1" applyAlignment="1">
      <alignment horizontal="center" vertical="center"/>
    </xf>
    <xf numFmtId="3" fontId="192" fillId="6" borderId="233" xfId="1" applyNumberFormat="1" applyFont="1" applyFill="1" applyBorder="1" applyAlignment="1">
      <alignment horizontal="center" vertical="center"/>
    </xf>
    <xf numFmtId="3" fontId="192" fillId="6" borderId="230" xfId="1" applyNumberFormat="1" applyFont="1" applyFill="1" applyBorder="1" applyAlignment="1">
      <alignment horizontal="center" vertical="center"/>
    </xf>
    <xf numFmtId="4" fontId="192" fillId="6" borderId="233" xfId="1" applyNumberFormat="1" applyFont="1" applyFill="1" applyBorder="1" applyAlignment="1">
      <alignment horizontal="center" vertical="center"/>
    </xf>
    <xf numFmtId="3" fontId="24" fillId="8" borderId="227" xfId="1" applyNumberFormat="1" applyFont="1" applyFill="1" applyBorder="1" applyAlignment="1">
      <alignment horizontal="center" vertical="center"/>
    </xf>
    <xf numFmtId="3" fontId="33" fillId="8" borderId="198" xfId="1" applyNumberFormat="1" applyFont="1" applyFill="1" applyBorder="1" applyAlignment="1">
      <alignment horizontal="center" vertical="center"/>
    </xf>
    <xf numFmtId="4" fontId="33" fillId="8" borderId="198" xfId="1" applyNumberFormat="1" applyFont="1" applyFill="1" applyBorder="1" applyAlignment="1">
      <alignment horizontal="center" vertical="center"/>
    </xf>
    <xf numFmtId="3" fontId="33" fillId="6" borderId="233" xfId="1" applyNumberFormat="1" applyFont="1" applyFill="1" applyBorder="1" applyAlignment="1">
      <alignment horizontal="center" vertical="center"/>
    </xf>
    <xf numFmtId="4" fontId="33" fillId="6" borderId="233" xfId="1" applyNumberFormat="1" applyFont="1" applyFill="1" applyBorder="1" applyAlignment="1">
      <alignment horizontal="center" vertical="center"/>
    </xf>
    <xf numFmtId="0" fontId="24" fillId="3" borderId="244" xfId="1" applyFont="1" applyFill="1" applyBorder="1" applyAlignment="1">
      <alignment vertical="center"/>
    </xf>
    <xf numFmtId="0" fontId="24" fillId="3" borderId="227" xfId="1" applyFont="1" applyFill="1" applyBorder="1" applyAlignment="1">
      <alignment vertical="center"/>
    </xf>
    <xf numFmtId="9" fontId="24" fillId="3" borderId="244" xfId="7" applyFont="1" applyFill="1" applyBorder="1" applyAlignment="1">
      <alignment horizontal="center" vertical="center"/>
    </xf>
    <xf numFmtId="9" fontId="33" fillId="3" borderId="228" xfId="7" applyFont="1" applyFill="1" applyBorder="1" applyAlignment="1">
      <alignment horizontal="center" vertical="center"/>
    </xf>
    <xf numFmtId="3" fontId="33" fillId="3" borderId="228" xfId="1" applyNumberFormat="1" applyFont="1" applyFill="1" applyBorder="1" applyAlignment="1">
      <alignment horizontal="center" vertical="center"/>
    </xf>
    <xf numFmtId="9" fontId="33" fillId="3" borderId="198" xfId="7" applyFont="1" applyFill="1" applyBorder="1" applyAlignment="1">
      <alignment horizontal="center" vertical="center"/>
    </xf>
    <xf numFmtId="10" fontId="33" fillId="3" borderId="198" xfId="1" applyNumberFormat="1" applyFont="1" applyFill="1" applyBorder="1" applyAlignment="1">
      <alignment horizontal="center" vertical="center"/>
    </xf>
    <xf numFmtId="4" fontId="81" fillId="0" borderId="0" xfId="1" applyNumberFormat="1" applyFont="1" applyAlignment="1">
      <alignment horizontal="center" vertical="center"/>
    </xf>
    <xf numFmtId="3" fontId="63" fillId="12" borderId="0" xfId="6" applyNumberFormat="1" applyFont="1" applyFill="1" applyAlignment="1">
      <alignment horizontal="center" vertical="center"/>
    </xf>
    <xf numFmtId="9" fontId="70" fillId="0" borderId="233" xfId="7" applyFont="1" applyFill="1" applyBorder="1" applyAlignment="1">
      <alignment horizontal="center" vertical="center"/>
    </xf>
    <xf numFmtId="4" fontId="25" fillId="0" borderId="229" xfId="1" applyNumberFormat="1" applyFont="1" applyBorder="1" applyAlignment="1">
      <alignment horizontal="center" vertical="center" wrapText="1"/>
    </xf>
    <xf numFmtId="3" fontId="25" fillId="0" borderId="229" xfId="1" applyNumberFormat="1" applyFont="1" applyBorder="1" applyAlignment="1">
      <alignment horizontal="center" vertical="center"/>
    </xf>
    <xf numFmtId="10" fontId="70" fillId="0" borderId="7" xfId="1" applyNumberFormat="1" applyFont="1" applyBorder="1" applyAlignment="1">
      <alignment horizontal="center" vertical="center"/>
    </xf>
    <xf numFmtId="10" fontId="70" fillId="0" borderId="20" xfId="1" applyNumberFormat="1" applyFont="1" applyBorder="1" applyAlignment="1">
      <alignment horizontal="center" vertical="center"/>
    </xf>
    <xf numFmtId="4" fontId="71" fillId="4" borderId="79" xfId="1" applyNumberFormat="1" applyFont="1" applyFill="1" applyBorder="1" applyAlignment="1">
      <alignment horizontal="center" vertical="center"/>
    </xf>
    <xf numFmtId="10" fontId="67" fillId="5" borderId="198" xfId="1" applyNumberFormat="1" applyFont="1" applyFill="1" applyBorder="1" applyAlignment="1">
      <alignment horizontal="center" vertical="center"/>
    </xf>
    <xf numFmtId="0" fontId="24" fillId="4" borderId="8" xfId="1" applyFont="1" applyFill="1" applyBorder="1" applyAlignment="1">
      <alignment vertical="center"/>
    </xf>
    <xf numFmtId="10" fontId="24" fillId="4" borderId="20" xfId="1" applyNumberFormat="1" applyFont="1" applyFill="1" applyBorder="1" applyAlignment="1">
      <alignment horizontal="center" vertical="center"/>
    </xf>
    <xf numFmtId="4" fontId="24" fillId="4" borderId="7" xfId="1" applyNumberFormat="1" applyFont="1" applyFill="1" applyBorder="1" applyAlignment="1">
      <alignment horizontal="center" vertical="center"/>
    </xf>
    <xf numFmtId="10" fontId="71" fillId="4" borderId="20" xfId="1" applyNumberFormat="1" applyFont="1" applyFill="1" applyBorder="1" applyAlignment="1">
      <alignment horizontal="center" vertical="center"/>
    </xf>
    <xf numFmtId="10" fontId="71" fillId="4" borderId="9" xfId="1" applyNumberFormat="1" applyFont="1" applyFill="1" applyBorder="1" applyAlignment="1">
      <alignment horizontal="center" vertical="center"/>
    </xf>
    <xf numFmtId="10" fontId="24" fillId="4" borderId="7" xfId="1" applyNumberFormat="1" applyFont="1" applyFill="1" applyBorder="1" applyAlignment="1">
      <alignment horizontal="center" vertical="center"/>
    </xf>
    <xf numFmtId="9" fontId="70" fillId="0" borderId="202" xfId="7" applyFont="1" applyFill="1" applyBorder="1" applyAlignment="1">
      <alignment horizontal="center" vertical="center"/>
    </xf>
    <xf numFmtId="10" fontId="70" fillId="0" borderId="202" xfId="1" applyNumberFormat="1" applyFont="1" applyBorder="1" applyAlignment="1">
      <alignment horizontal="center" vertical="center"/>
    </xf>
    <xf numFmtId="0" fontId="24" fillId="0" borderId="56" xfId="1" applyFont="1" applyBorder="1" applyAlignment="1">
      <alignment horizontal="center" vertical="center" shrinkToFit="1"/>
    </xf>
    <xf numFmtId="0" fontId="24" fillId="6" borderId="1" xfId="1" applyFont="1" applyFill="1" applyBorder="1" applyAlignment="1">
      <alignment vertical="center" shrinkToFit="1"/>
    </xf>
    <xf numFmtId="4" fontId="20" fillId="6" borderId="56" xfId="1" applyNumberFormat="1" applyFont="1" applyFill="1" applyBorder="1" applyAlignment="1">
      <alignment horizontal="center" vertical="center" shrinkToFit="1"/>
    </xf>
    <xf numFmtId="4" fontId="72" fillId="6" borderId="56" xfId="1" applyNumberFormat="1" applyFont="1" applyFill="1" applyBorder="1" applyAlignment="1">
      <alignment horizontal="center" vertical="center" shrinkToFit="1"/>
    </xf>
    <xf numFmtId="3" fontId="20" fillId="6" borderId="56" xfId="1" applyNumberFormat="1" applyFont="1" applyFill="1" applyBorder="1" applyAlignment="1">
      <alignment horizontal="center" vertical="center" shrinkToFit="1"/>
    </xf>
    <xf numFmtId="0" fontId="16" fillId="0" borderId="0" xfId="1" applyAlignment="1">
      <alignment shrinkToFit="1"/>
    </xf>
    <xf numFmtId="10" fontId="71" fillId="0" borderId="202" xfId="1" applyNumberFormat="1" applyFont="1" applyBorder="1" applyAlignment="1">
      <alignment horizontal="center" vertical="center"/>
    </xf>
    <xf numFmtId="10" fontId="67" fillId="5" borderId="202" xfId="1" applyNumberFormat="1" applyFont="1" applyFill="1" applyBorder="1" applyAlignment="1">
      <alignment horizontal="center" vertical="center"/>
    </xf>
    <xf numFmtId="4" fontId="71" fillId="4" borderId="199" xfId="1" applyNumberFormat="1" applyFont="1" applyFill="1" applyBorder="1" applyAlignment="1">
      <alignment horizontal="center" vertical="center"/>
    </xf>
    <xf numFmtId="10" fontId="71" fillId="3" borderId="199" xfId="1" applyNumberFormat="1" applyFont="1" applyFill="1" applyBorder="1" applyAlignment="1">
      <alignment horizontal="center" vertical="center"/>
    </xf>
    <xf numFmtId="38" fontId="20" fillId="6" borderId="56" xfId="1" applyNumberFormat="1" applyFont="1" applyFill="1" applyBorder="1" applyAlignment="1">
      <alignment horizontal="center" vertical="center" shrinkToFit="1"/>
    </xf>
    <xf numFmtId="3" fontId="16" fillId="0" borderId="0" xfId="1" applyNumberFormat="1" applyAlignment="1">
      <alignment horizontal="center" vertical="center" shrinkToFit="1"/>
    </xf>
    <xf numFmtId="3" fontId="26" fillId="5" borderId="202" xfId="1" applyNumberFormat="1" applyFont="1" applyFill="1" applyBorder="1" applyAlignment="1">
      <alignment horizontal="center" vertical="center"/>
    </xf>
    <xf numFmtId="0" fontId="26" fillId="0" borderId="58" xfId="1" applyFont="1" applyFill="1" applyBorder="1" applyAlignment="1">
      <alignment horizontal="center" vertical="center"/>
    </xf>
    <xf numFmtId="4" fontId="112" fillId="0" borderId="222" xfId="1" applyNumberFormat="1" applyFont="1" applyBorder="1" applyAlignment="1">
      <alignment horizontal="left" vertical="center"/>
    </xf>
    <xf numFmtId="3" fontId="25" fillId="0" borderId="231" xfId="1" applyNumberFormat="1" applyFont="1" applyFill="1" applyBorder="1" applyAlignment="1">
      <alignment horizontal="center" vertical="center"/>
    </xf>
    <xf numFmtId="3" fontId="25" fillId="0" borderId="234" xfId="1" applyNumberFormat="1" applyFont="1" applyFill="1" applyBorder="1" applyAlignment="1">
      <alignment horizontal="center" vertical="center"/>
    </xf>
    <xf numFmtId="4" fontId="25" fillId="0" borderId="222" xfId="1" applyNumberFormat="1" applyFont="1" applyFill="1" applyBorder="1" applyAlignment="1">
      <alignment horizontal="center" vertical="center"/>
    </xf>
    <xf numFmtId="3" fontId="27" fillId="0" borderId="230" xfId="1" applyNumberFormat="1" applyFont="1" applyFill="1" applyBorder="1" applyAlignment="1">
      <alignment horizontal="center" vertical="center"/>
    </xf>
    <xf numFmtId="3" fontId="27" fillId="0" borderId="232" xfId="1" applyNumberFormat="1" applyFont="1" applyFill="1" applyBorder="1" applyAlignment="1">
      <alignment horizontal="center" vertical="center"/>
    </xf>
    <xf numFmtId="3" fontId="27" fillId="0" borderId="223" xfId="1" applyNumberFormat="1" applyFont="1" applyFill="1" applyBorder="1" applyAlignment="1">
      <alignment horizontal="center" vertical="center"/>
    </xf>
    <xf numFmtId="3" fontId="27" fillId="0" borderId="231" xfId="1" applyNumberFormat="1" applyFont="1" applyFill="1" applyBorder="1" applyAlignment="1">
      <alignment horizontal="center" vertical="center"/>
    </xf>
    <xf numFmtId="3" fontId="27" fillId="0" borderId="244" xfId="1" applyNumberFormat="1" applyFont="1" applyFill="1" applyBorder="1" applyAlignment="1">
      <alignment horizontal="center" vertical="center"/>
    </xf>
    <xf numFmtId="4" fontId="25" fillId="0" borderId="202" xfId="1" applyNumberFormat="1" applyFont="1" applyFill="1" applyBorder="1" applyAlignment="1">
      <alignment horizontal="center" vertical="center"/>
    </xf>
    <xf numFmtId="4" fontId="29" fillId="11" borderId="233" xfId="1" applyNumberFormat="1" applyFont="1" applyFill="1" applyBorder="1" applyAlignment="1">
      <alignment horizontal="center" vertical="center"/>
    </xf>
    <xf numFmtId="4" fontId="65" fillId="11" borderId="233" xfId="1" applyNumberFormat="1" applyFont="1" applyFill="1" applyBorder="1" applyAlignment="1">
      <alignment horizontal="center" vertical="center"/>
    </xf>
    <xf numFmtId="4" fontId="29" fillId="11" borderId="230" xfId="1" applyNumberFormat="1" applyFont="1" applyFill="1" applyBorder="1" applyAlignment="1">
      <alignment horizontal="center" vertical="center"/>
    </xf>
    <xf numFmtId="4" fontId="27" fillId="0" borderId="230" xfId="1" applyNumberFormat="1" applyFont="1" applyFill="1" applyBorder="1" applyAlignment="1">
      <alignment horizontal="center" vertical="center"/>
    </xf>
    <xf numFmtId="4" fontId="27" fillId="0" borderId="233" xfId="1" applyNumberFormat="1" applyFont="1" applyFill="1" applyBorder="1" applyAlignment="1">
      <alignment horizontal="center" vertical="center"/>
    </xf>
    <xf numFmtId="0" fontId="36" fillId="0" borderId="229" xfId="1" applyNumberFormat="1" applyFont="1" applyFill="1" applyBorder="1" applyAlignment="1">
      <alignment horizontal="center" vertical="center"/>
    </xf>
    <xf numFmtId="0" fontId="27" fillId="0" borderId="229" xfId="1" applyNumberFormat="1" applyFont="1" applyFill="1" applyBorder="1" applyAlignment="1">
      <alignment horizontal="center" vertical="center"/>
    </xf>
    <xf numFmtId="10" fontId="27" fillId="0" borderId="202" xfId="1" applyNumberFormat="1" applyFont="1" applyFill="1" applyBorder="1" applyAlignment="1">
      <alignment horizontal="center" vertical="center"/>
    </xf>
    <xf numFmtId="10" fontId="36" fillId="0" borderId="202" xfId="1" applyNumberFormat="1" applyFont="1" applyFill="1" applyBorder="1" applyAlignment="1">
      <alignment horizontal="center" vertical="center"/>
    </xf>
    <xf numFmtId="10" fontId="26" fillId="0" borderId="202" xfId="1" applyNumberFormat="1" applyFont="1" applyFill="1" applyBorder="1" applyAlignment="1">
      <alignment horizontal="center" vertical="center"/>
    </xf>
    <xf numFmtId="10" fontId="24" fillId="0" borderId="202" xfId="1" applyNumberFormat="1" applyFont="1" applyFill="1" applyBorder="1" applyAlignment="1">
      <alignment horizontal="center" vertical="center"/>
    </xf>
    <xf numFmtId="10" fontId="65" fillId="0" borderId="202" xfId="1" applyNumberFormat="1" applyFont="1" applyFill="1" applyBorder="1" applyAlignment="1">
      <alignment horizontal="center" vertical="center"/>
    </xf>
    <xf numFmtId="0" fontId="19" fillId="0" borderId="233" xfId="1" applyFont="1" applyFill="1" applyBorder="1" applyAlignment="1">
      <alignment vertical="center"/>
    </xf>
    <xf numFmtId="3" fontId="27" fillId="0" borderId="233" xfId="1" applyNumberFormat="1" applyFont="1" applyFill="1" applyBorder="1" applyAlignment="1">
      <alignment horizontal="center" vertical="center"/>
    </xf>
    <xf numFmtId="3" fontId="27" fillId="0" borderId="234" xfId="1" applyNumberFormat="1" applyFont="1" applyFill="1" applyBorder="1" applyAlignment="1">
      <alignment horizontal="center" vertical="center"/>
    </xf>
    <xf numFmtId="3" fontId="27" fillId="0" borderId="222" xfId="1" applyNumberFormat="1" applyFont="1" applyFill="1" applyBorder="1" applyAlignment="1">
      <alignment horizontal="center" vertical="center"/>
    </xf>
    <xf numFmtId="10" fontId="36" fillId="0" borderId="222" xfId="1" applyNumberFormat="1" applyFont="1" applyFill="1" applyBorder="1" applyAlignment="1">
      <alignment horizontal="center" vertical="center"/>
    </xf>
    <xf numFmtId="10" fontId="67" fillId="0" borderId="202" xfId="1" applyNumberFormat="1" applyFont="1" applyFill="1" applyBorder="1" applyAlignment="1">
      <alignment horizontal="center" vertical="center"/>
    </xf>
    <xf numFmtId="0" fontId="67" fillId="0" borderId="229" xfId="1" applyNumberFormat="1" applyFont="1" applyFill="1" applyBorder="1" applyAlignment="1">
      <alignment horizontal="center" vertical="center"/>
    </xf>
    <xf numFmtId="10" fontId="39" fillId="5" borderId="202" xfId="1" applyNumberFormat="1" applyFont="1" applyFill="1" applyBorder="1" applyAlignment="1">
      <alignment horizontal="center" vertical="center"/>
    </xf>
    <xf numFmtId="3" fontId="27" fillId="5" borderId="233" xfId="1" applyNumberFormat="1" applyFont="1" applyFill="1" applyBorder="1" applyAlignment="1">
      <alignment horizontal="center" vertical="center"/>
    </xf>
    <xf numFmtId="3" fontId="27" fillId="5" borderId="230" xfId="1" applyNumberFormat="1" applyFont="1" applyFill="1" applyBorder="1" applyAlignment="1">
      <alignment horizontal="center" vertical="center"/>
    </xf>
    <xf numFmtId="4" fontId="81" fillId="0" borderId="237" xfId="0" applyNumberFormat="1" applyFont="1" applyFill="1" applyBorder="1" applyAlignment="1" applyProtection="1">
      <alignment horizontal="center" vertical="center"/>
    </xf>
    <xf numFmtId="3" fontId="26" fillId="5" borderId="231" xfId="1" applyNumberFormat="1" applyFont="1" applyFill="1" applyBorder="1" applyAlignment="1">
      <alignment horizontal="center" vertical="center"/>
    </xf>
    <xf numFmtId="3" fontId="26" fillId="5" borderId="234" xfId="1" applyNumberFormat="1" applyFont="1" applyFill="1" applyBorder="1" applyAlignment="1">
      <alignment horizontal="center" vertical="center"/>
    </xf>
    <xf numFmtId="9" fontId="67" fillId="0" borderId="222" xfId="7" applyFont="1" applyFill="1" applyBorder="1" applyAlignment="1">
      <alignment horizontal="center" vertical="center"/>
    </xf>
    <xf numFmtId="4" fontId="29" fillId="4" borderId="199" xfId="1" applyNumberFormat="1" applyFont="1" applyFill="1" applyBorder="1" applyAlignment="1">
      <alignment horizontal="center" vertical="center"/>
    </xf>
    <xf numFmtId="3" fontId="26" fillId="0" borderId="230" xfId="1" applyNumberFormat="1" applyFont="1" applyFill="1" applyBorder="1" applyAlignment="1">
      <alignment horizontal="center" vertical="center"/>
    </xf>
    <xf numFmtId="3" fontId="26" fillId="0" borderId="233" xfId="1" applyNumberFormat="1" applyFont="1" applyFill="1" applyBorder="1" applyAlignment="1">
      <alignment horizontal="center" vertical="center"/>
    </xf>
    <xf numFmtId="3" fontId="26" fillId="0" borderId="229" xfId="1" applyNumberFormat="1" applyFont="1" applyFill="1" applyBorder="1" applyAlignment="1">
      <alignment horizontal="center" vertical="center"/>
    </xf>
    <xf numFmtId="10" fontId="39" fillId="0" borderId="229" xfId="1" applyNumberFormat="1" applyFont="1" applyFill="1" applyBorder="1" applyAlignment="1">
      <alignment horizontal="center" vertical="center"/>
    </xf>
    <xf numFmtId="10" fontId="26" fillId="0" borderId="229" xfId="1" applyNumberFormat="1" applyFont="1" applyFill="1" applyBorder="1" applyAlignment="1">
      <alignment horizontal="center" vertical="center"/>
    </xf>
    <xf numFmtId="10" fontId="67" fillId="0" borderId="229" xfId="1" applyNumberFormat="1" applyFont="1" applyFill="1" applyBorder="1" applyAlignment="1">
      <alignment horizontal="center" vertical="center"/>
    </xf>
    <xf numFmtId="4" fontId="68" fillId="6" borderId="233" xfId="1" applyNumberFormat="1" applyFont="1" applyFill="1" applyBorder="1" applyAlignment="1">
      <alignment horizontal="center" vertical="center"/>
    </xf>
    <xf numFmtId="4" fontId="29" fillId="6" borderId="233" xfId="1" applyNumberFormat="1" applyFont="1" applyFill="1" applyBorder="1" applyAlignment="1">
      <alignment horizontal="center" vertical="center"/>
    </xf>
    <xf numFmtId="10" fontId="29" fillId="3" borderId="199" xfId="1" applyNumberFormat="1" applyFont="1" applyFill="1" applyBorder="1" applyAlignment="1">
      <alignment horizontal="center" vertical="center"/>
    </xf>
    <xf numFmtId="0" fontId="19" fillId="0" borderId="231" xfId="1" applyFont="1" applyBorder="1" applyAlignment="1">
      <alignment horizontal="left" vertical="center"/>
    </xf>
    <xf numFmtId="4" fontId="25" fillId="0" borderId="222" xfId="1" applyNumberFormat="1" applyFont="1" applyFill="1" applyBorder="1" applyAlignment="1">
      <alignment horizontal="left" vertical="center"/>
    </xf>
    <xf numFmtId="4" fontId="25" fillId="0" borderId="222" xfId="1" applyNumberFormat="1" applyFont="1" applyFill="1" applyBorder="1" applyAlignment="1">
      <alignment horizontal="center" vertical="center" wrapText="1"/>
    </xf>
    <xf numFmtId="9" fontId="36" fillId="0" borderId="238" xfId="7" applyFont="1" applyFill="1" applyBorder="1" applyAlignment="1">
      <alignment horizontal="center" vertical="center"/>
    </xf>
    <xf numFmtId="0" fontId="19" fillId="0" borderId="233" xfId="1" applyFont="1" applyBorder="1" applyAlignment="1">
      <alignment vertical="center" wrapText="1"/>
    </xf>
    <xf numFmtId="9" fontId="98" fillId="0" borderId="238" xfId="7" applyFont="1" applyFill="1" applyBorder="1" applyAlignment="1">
      <alignment horizontal="center" vertical="center"/>
    </xf>
    <xf numFmtId="9" fontId="98" fillId="0" borderId="235" xfId="7" applyFont="1" applyFill="1" applyBorder="1" applyAlignment="1">
      <alignment horizontal="center" vertical="center"/>
    </xf>
    <xf numFmtId="4" fontId="87" fillId="0" borderId="222" xfId="1" applyNumberFormat="1" applyFont="1" applyFill="1" applyBorder="1" applyAlignment="1">
      <alignment horizontal="center" vertical="center" wrapText="1"/>
    </xf>
    <xf numFmtId="4" fontId="25" fillId="0" borderId="233" xfId="1" applyNumberFormat="1" applyFont="1" applyFill="1" applyBorder="1" applyAlignment="1">
      <alignment horizontal="center" vertical="center" wrapText="1"/>
    </xf>
    <xf numFmtId="9" fontId="36" fillId="0" borderId="245" xfId="7" applyFont="1" applyFill="1" applyBorder="1" applyAlignment="1">
      <alignment horizontal="center" vertical="center"/>
    </xf>
    <xf numFmtId="9" fontId="36" fillId="0" borderId="246" xfId="7" applyFont="1" applyFill="1" applyBorder="1" applyAlignment="1">
      <alignment horizontal="center" vertical="center"/>
    </xf>
    <xf numFmtId="0" fontId="19" fillId="0" borderId="232" xfId="1" applyFont="1" applyFill="1" applyBorder="1" applyAlignment="1">
      <alignment horizontal="left" vertical="center"/>
    </xf>
    <xf numFmtId="0" fontId="26" fillId="0" borderId="229" xfId="1" applyNumberFormat="1" applyFont="1" applyFill="1" applyBorder="1" applyAlignment="1">
      <alignment horizontal="center" vertical="center"/>
    </xf>
    <xf numFmtId="0" fontId="24" fillId="0" borderId="244" xfId="1" applyFont="1" applyFill="1" applyBorder="1" applyAlignment="1">
      <alignment vertical="center"/>
    </xf>
    <xf numFmtId="10" fontId="24" fillId="0" borderId="199" xfId="1" applyNumberFormat="1" applyFont="1" applyFill="1" applyBorder="1" applyAlignment="1">
      <alignment horizontal="center" vertical="center"/>
    </xf>
    <xf numFmtId="10" fontId="29" fillId="0" borderId="202" xfId="1" applyNumberFormat="1" applyFont="1" applyFill="1" applyBorder="1" applyAlignment="1">
      <alignment horizontal="center" vertical="center"/>
    </xf>
    <xf numFmtId="10" fontId="29" fillId="0" borderId="198" xfId="1" applyNumberFormat="1" applyFont="1" applyFill="1" applyBorder="1" applyAlignment="1">
      <alignment horizontal="center" vertical="center"/>
    </xf>
    <xf numFmtId="0" fontId="19" fillId="0" borderId="232" xfId="1" applyFont="1" applyFill="1" applyBorder="1" applyAlignment="1">
      <alignment vertical="center"/>
    </xf>
    <xf numFmtId="9" fontId="27" fillId="0" borderId="229" xfId="7" applyFont="1" applyFill="1" applyBorder="1" applyAlignment="1">
      <alignment horizontal="left" vertical="center"/>
    </xf>
    <xf numFmtId="0" fontId="19" fillId="0" borderId="223" xfId="1" applyFont="1" applyFill="1" applyBorder="1" applyAlignment="1">
      <alignment vertical="center"/>
    </xf>
    <xf numFmtId="0" fontId="19" fillId="0" borderId="232" xfId="1" applyFont="1" applyFill="1" applyBorder="1" applyAlignment="1">
      <alignment horizontal="left" vertical="center" wrapText="1"/>
    </xf>
    <xf numFmtId="0" fontId="19" fillId="0" borderId="223" xfId="1" applyFont="1" applyFill="1" applyBorder="1" applyAlignment="1">
      <alignment horizontal="left" vertical="center"/>
    </xf>
    <xf numFmtId="3" fontId="26" fillId="5" borderId="223" xfId="1" applyNumberFormat="1" applyFont="1" applyFill="1" applyBorder="1" applyAlignment="1">
      <alignment horizontal="center" vertical="center"/>
    </xf>
    <xf numFmtId="9" fontId="26" fillId="0" borderId="222" xfId="7" applyFont="1" applyFill="1" applyBorder="1" applyAlignment="1">
      <alignment horizontal="center" vertical="center"/>
    </xf>
    <xf numFmtId="4" fontId="65" fillId="4" borderId="198" xfId="1" applyNumberFormat="1" applyFont="1" applyFill="1" applyBorder="1" applyAlignment="1">
      <alignment horizontal="center" vertical="center"/>
    </xf>
    <xf numFmtId="2" fontId="27" fillId="0" borderId="229" xfId="7" applyNumberFormat="1" applyFont="1" applyFill="1" applyBorder="1" applyAlignment="1">
      <alignment horizontal="center" vertical="center"/>
    </xf>
    <xf numFmtId="0" fontId="169" fillId="0" borderId="229" xfId="1" applyNumberFormat="1" applyFont="1" applyFill="1" applyBorder="1" applyAlignment="1">
      <alignment horizontal="center" vertical="center"/>
    </xf>
    <xf numFmtId="0" fontId="36" fillId="0" borderId="222" xfId="1" applyNumberFormat="1" applyFont="1" applyFill="1" applyBorder="1" applyAlignment="1">
      <alignment horizontal="center" vertical="center"/>
    </xf>
    <xf numFmtId="4" fontId="65" fillId="8" borderId="198" xfId="1" applyNumberFormat="1" applyFont="1" applyFill="1" applyBorder="1" applyAlignment="1">
      <alignment horizontal="center" vertical="center"/>
    </xf>
    <xf numFmtId="4" fontId="65" fillId="6" borderId="233" xfId="1" applyNumberFormat="1" applyFont="1" applyFill="1" applyBorder="1" applyAlignment="1">
      <alignment horizontal="center" vertical="center"/>
    </xf>
    <xf numFmtId="10" fontId="65" fillId="3" borderId="198" xfId="1" applyNumberFormat="1" applyFont="1" applyFill="1" applyBorder="1" applyAlignment="1">
      <alignment horizontal="center" vertical="center"/>
    </xf>
    <xf numFmtId="0" fontId="19" fillId="0" borderId="249" xfId="1" applyFont="1" applyBorder="1" applyAlignment="1">
      <alignment vertical="center"/>
    </xf>
    <xf numFmtId="0" fontId="19" fillId="0" borderId="250" xfId="1" applyFont="1" applyBorder="1" applyAlignment="1">
      <alignment vertical="center"/>
    </xf>
    <xf numFmtId="9" fontId="36" fillId="0" borderId="253" xfId="7" applyFont="1" applyFill="1" applyBorder="1" applyAlignment="1">
      <alignment horizontal="center" vertical="center"/>
    </xf>
    <xf numFmtId="9" fontId="27" fillId="0" borderId="253" xfId="7" applyFont="1" applyFill="1" applyBorder="1" applyAlignment="1">
      <alignment horizontal="center" vertical="center"/>
    </xf>
    <xf numFmtId="4" fontId="24" fillId="11" borderId="249" xfId="1" applyNumberFormat="1" applyFont="1" applyFill="1" applyBorder="1" applyAlignment="1">
      <alignment horizontal="center" vertical="center"/>
    </xf>
    <xf numFmtId="3" fontId="27" fillId="0" borderId="249" xfId="6" applyNumberFormat="1" applyFont="1" applyFill="1" applyBorder="1" applyAlignment="1">
      <alignment horizontal="center" vertical="center"/>
    </xf>
    <xf numFmtId="10" fontId="26" fillId="5" borderId="253" xfId="1" applyNumberFormat="1" applyFont="1" applyFill="1" applyBorder="1" applyAlignment="1">
      <alignment horizontal="center" vertical="center"/>
    </xf>
    <xf numFmtId="10" fontId="67" fillId="5" borderId="253" xfId="1" applyNumberFormat="1" applyFont="1" applyFill="1" applyBorder="1" applyAlignment="1">
      <alignment horizontal="center" vertical="center"/>
    </xf>
    <xf numFmtId="3" fontId="24" fillId="4" borderId="252" xfId="1" applyNumberFormat="1" applyFont="1" applyFill="1" applyBorder="1" applyAlignment="1">
      <alignment horizontal="center" vertical="center"/>
    </xf>
    <xf numFmtId="3" fontId="24" fillId="4" borderId="250" xfId="1" applyNumberFormat="1" applyFont="1" applyFill="1" applyBorder="1" applyAlignment="1">
      <alignment horizontal="center" vertical="center"/>
    </xf>
    <xf numFmtId="4" fontId="24" fillId="4" borderId="250" xfId="1" applyNumberFormat="1" applyFont="1" applyFill="1" applyBorder="1" applyAlignment="1">
      <alignment horizontal="center" vertical="center"/>
    </xf>
    <xf numFmtId="3" fontId="28" fillId="6" borderId="249" xfId="1" applyNumberFormat="1" applyFont="1" applyFill="1" applyBorder="1" applyAlignment="1">
      <alignment horizontal="center" vertical="center"/>
    </xf>
    <xf numFmtId="4" fontId="28" fillId="6" borderId="249" xfId="1" applyNumberFormat="1" applyFont="1" applyFill="1" applyBorder="1" applyAlignment="1">
      <alignment horizontal="center" vertical="center"/>
    </xf>
    <xf numFmtId="3" fontId="24" fillId="8" borderId="250" xfId="1" applyNumberFormat="1" applyFont="1" applyFill="1" applyBorder="1" applyAlignment="1">
      <alignment horizontal="center" vertical="center"/>
    </xf>
    <xf numFmtId="4" fontId="24" fillId="8" borderId="250" xfId="1" applyNumberFormat="1" applyFont="1" applyFill="1" applyBorder="1" applyAlignment="1">
      <alignment horizontal="center" vertical="center"/>
    </xf>
    <xf numFmtId="3" fontId="24" fillId="6" borderId="249" xfId="1" applyNumberFormat="1" applyFont="1" applyFill="1" applyBorder="1" applyAlignment="1">
      <alignment horizontal="center" vertical="center"/>
    </xf>
    <xf numFmtId="4" fontId="24" fillId="6" borderId="249" xfId="1" applyNumberFormat="1" applyFont="1" applyFill="1" applyBorder="1" applyAlignment="1">
      <alignment horizontal="center" vertical="center"/>
    </xf>
    <xf numFmtId="9" fontId="24" fillId="3" borderId="252" xfId="7" applyFont="1" applyFill="1" applyBorder="1" applyAlignment="1">
      <alignment horizontal="center" vertical="center"/>
    </xf>
    <xf numFmtId="3" fontId="24" fillId="3" borderId="252" xfId="1" applyNumberFormat="1" applyFont="1" applyFill="1" applyBorder="1" applyAlignment="1">
      <alignment horizontal="center" vertical="center"/>
    </xf>
    <xf numFmtId="9" fontId="24" fillId="3" borderId="250" xfId="7" applyFont="1" applyFill="1" applyBorder="1" applyAlignment="1">
      <alignment horizontal="center" vertical="center"/>
    </xf>
    <xf numFmtId="10" fontId="24" fillId="3" borderId="250" xfId="1" applyNumberFormat="1" applyFont="1" applyFill="1" applyBorder="1" applyAlignment="1">
      <alignment horizontal="center" vertical="center"/>
    </xf>
    <xf numFmtId="3" fontId="27" fillId="0" borderId="249" xfId="1" applyNumberFormat="1" applyFont="1" applyBorder="1" applyAlignment="1">
      <alignment horizontal="center" vertical="center"/>
    </xf>
    <xf numFmtId="9" fontId="36" fillId="0" borderId="256" xfId="7" applyFont="1" applyFill="1" applyBorder="1" applyAlignment="1">
      <alignment horizontal="center" vertical="center"/>
    </xf>
    <xf numFmtId="9" fontId="27" fillId="0" borderId="256" xfId="7" applyFont="1" applyFill="1" applyBorder="1" applyAlignment="1">
      <alignment horizontal="center" vertical="center"/>
    </xf>
    <xf numFmtId="9" fontId="36" fillId="4" borderId="256" xfId="7" applyFont="1" applyFill="1" applyBorder="1" applyAlignment="1">
      <alignment horizontal="center" vertical="center"/>
    </xf>
    <xf numFmtId="9" fontId="67" fillId="0" borderId="256" xfId="7" applyFont="1" applyFill="1" applyBorder="1" applyAlignment="1">
      <alignment horizontal="center" vertical="center"/>
    </xf>
    <xf numFmtId="4" fontId="25" fillId="0" borderId="249" xfId="1" applyNumberFormat="1" applyFont="1" applyBorder="1" applyAlignment="1">
      <alignment horizontal="center" vertical="center"/>
    </xf>
    <xf numFmtId="4" fontId="25" fillId="0" borderId="253" xfId="1" applyNumberFormat="1" applyFont="1" applyBorder="1" applyAlignment="1">
      <alignment horizontal="center" vertical="center"/>
    </xf>
    <xf numFmtId="3" fontId="25" fillId="0" borderId="253" xfId="1" applyNumberFormat="1" applyFont="1" applyBorder="1" applyAlignment="1">
      <alignment horizontal="center" vertical="center"/>
    </xf>
    <xf numFmtId="9" fontId="36" fillId="0" borderId="250" xfId="7" applyFont="1" applyFill="1" applyBorder="1" applyAlignment="1">
      <alignment horizontal="center" vertical="center"/>
    </xf>
    <xf numFmtId="9" fontId="70" fillId="0" borderId="253" xfId="7" applyFont="1" applyFill="1" applyBorder="1" applyAlignment="1">
      <alignment horizontal="center" vertical="center"/>
    </xf>
    <xf numFmtId="4" fontId="25" fillId="0" borderId="250" xfId="1" applyNumberFormat="1" applyFont="1" applyBorder="1" applyAlignment="1">
      <alignment horizontal="center" vertical="center" wrapText="1"/>
    </xf>
    <xf numFmtId="4" fontId="25" fillId="0" borderId="253" xfId="1" applyNumberFormat="1" applyFont="1" applyBorder="1" applyAlignment="1">
      <alignment horizontal="center" vertical="center" wrapText="1"/>
    </xf>
    <xf numFmtId="3" fontId="27" fillId="0" borderId="250" xfId="6" applyNumberFormat="1" applyFont="1" applyFill="1" applyBorder="1" applyAlignment="1">
      <alignment horizontal="center" vertical="center"/>
    </xf>
    <xf numFmtId="4" fontId="25" fillId="0" borderId="250" xfId="1" applyNumberFormat="1" applyFont="1" applyBorder="1" applyAlignment="1">
      <alignment horizontal="center" vertical="center"/>
    </xf>
    <xf numFmtId="4" fontId="71" fillId="11" borderId="249" xfId="1" applyNumberFormat="1" applyFont="1" applyFill="1" applyBorder="1" applyAlignment="1">
      <alignment horizontal="center" vertical="center"/>
    </xf>
    <xf numFmtId="40" fontId="24" fillId="11" borderId="249" xfId="1" applyNumberFormat="1" applyFont="1" applyFill="1" applyBorder="1" applyAlignment="1">
      <alignment horizontal="center" vertical="center"/>
    </xf>
    <xf numFmtId="0" fontId="19" fillId="0" borderId="251" xfId="1" applyFont="1" applyBorder="1" applyAlignment="1">
      <alignment horizontal="left" vertical="center"/>
    </xf>
    <xf numFmtId="10" fontId="27" fillId="0" borderId="253" xfId="1" applyNumberFormat="1" applyFont="1" applyBorder="1" applyAlignment="1">
      <alignment horizontal="center" vertical="center"/>
    </xf>
    <xf numFmtId="10" fontId="70" fillId="0" borderId="253" xfId="1" applyNumberFormat="1" applyFont="1" applyBorder="1" applyAlignment="1">
      <alignment horizontal="center" vertical="center"/>
    </xf>
    <xf numFmtId="10" fontId="27" fillId="0" borderId="250" xfId="1" applyNumberFormat="1" applyFont="1" applyBorder="1" applyAlignment="1">
      <alignment horizontal="center" vertical="center"/>
    </xf>
    <xf numFmtId="40" fontId="27" fillId="0" borderId="250" xfId="1" applyNumberFormat="1" applyFont="1" applyBorder="1" applyAlignment="1">
      <alignment horizontal="center" vertical="center"/>
    </xf>
    <xf numFmtId="0" fontId="24" fillId="0" borderId="251" xfId="1" applyFont="1" applyBorder="1" applyAlignment="1">
      <alignment vertical="center"/>
    </xf>
    <xf numFmtId="10" fontId="24" fillId="0" borderId="253" xfId="1" applyNumberFormat="1" applyFont="1" applyBorder="1" applyAlignment="1">
      <alignment horizontal="center" vertical="center"/>
    </xf>
    <xf numFmtId="10" fontId="71" fillId="0" borderId="253" xfId="1" applyNumberFormat="1" applyFont="1" applyBorder="1" applyAlignment="1">
      <alignment horizontal="center" vertical="center"/>
    </xf>
    <xf numFmtId="10" fontId="24" fillId="0" borderId="250" xfId="1" applyNumberFormat="1" applyFont="1" applyBorder="1" applyAlignment="1">
      <alignment horizontal="center" vertical="center"/>
    </xf>
    <xf numFmtId="9" fontId="70" fillId="0" borderId="249" xfId="7" applyFont="1" applyFill="1" applyBorder="1" applyAlignment="1">
      <alignment horizontal="center" vertical="center"/>
    </xf>
    <xf numFmtId="0" fontId="19" fillId="0" borderId="251" xfId="1" applyFont="1" applyBorder="1" applyAlignment="1">
      <alignment vertical="center"/>
    </xf>
    <xf numFmtId="10" fontId="67" fillId="5" borderId="250" xfId="1" applyNumberFormat="1" applyFont="1" applyFill="1" applyBorder="1" applyAlignment="1">
      <alignment horizontal="center" vertical="center"/>
    </xf>
    <xf numFmtId="10" fontId="26" fillId="5" borderId="250" xfId="1" applyNumberFormat="1" applyFont="1" applyFill="1" applyBorder="1" applyAlignment="1">
      <alignment horizontal="center" vertical="center"/>
    </xf>
    <xf numFmtId="4" fontId="24" fillId="4" borderId="249" xfId="1" applyNumberFormat="1" applyFont="1" applyFill="1" applyBorder="1" applyAlignment="1">
      <alignment horizontal="center" vertical="center"/>
    </xf>
    <xf numFmtId="10" fontId="26" fillId="0" borderId="250" xfId="1" applyNumberFormat="1" applyFont="1" applyBorder="1" applyAlignment="1">
      <alignment horizontal="center" vertical="center"/>
    </xf>
    <xf numFmtId="0" fontId="24" fillId="4" borderId="252" xfId="1" applyFont="1" applyFill="1" applyBorder="1" applyAlignment="1">
      <alignment vertical="center"/>
    </xf>
    <xf numFmtId="4" fontId="71" fillId="4" borderId="250" xfId="1" applyNumberFormat="1" applyFont="1" applyFill="1" applyBorder="1" applyAlignment="1">
      <alignment horizontal="center" vertical="center"/>
    </xf>
    <xf numFmtId="4" fontId="71" fillId="4" borderId="252" xfId="1" applyNumberFormat="1" applyFont="1" applyFill="1" applyBorder="1" applyAlignment="1">
      <alignment horizontal="center" vertical="center"/>
    </xf>
    <xf numFmtId="10" fontId="26" fillId="0" borderId="249" xfId="1" applyNumberFormat="1" applyFont="1" applyBorder="1" applyAlignment="1">
      <alignment horizontal="center" vertical="center"/>
    </xf>
    <xf numFmtId="38" fontId="24" fillId="4" borderId="250" xfId="1" applyNumberFormat="1" applyFont="1" applyFill="1" applyBorder="1" applyAlignment="1">
      <alignment horizontal="center" vertical="center"/>
    </xf>
    <xf numFmtId="4" fontId="73" fillId="6" borderId="249" xfId="1" applyNumberFormat="1" applyFont="1" applyFill="1" applyBorder="1" applyAlignment="1">
      <alignment horizontal="center" vertical="center"/>
    </xf>
    <xf numFmtId="0" fontId="24" fillId="8" borderId="252" xfId="1" applyFont="1" applyFill="1" applyBorder="1" applyAlignment="1">
      <alignment vertical="center"/>
    </xf>
    <xf numFmtId="4" fontId="71" fillId="8" borderId="250" xfId="1" applyNumberFormat="1" applyFont="1" applyFill="1" applyBorder="1" applyAlignment="1">
      <alignment horizontal="center" vertical="center"/>
    </xf>
    <xf numFmtId="4" fontId="71" fillId="6" borderId="249" xfId="1" applyNumberFormat="1" applyFont="1" applyFill="1" applyBorder="1" applyAlignment="1">
      <alignment horizontal="center" vertical="center"/>
    </xf>
    <xf numFmtId="0" fontId="24" fillId="3" borderId="252" xfId="1" applyFont="1" applyFill="1" applyBorder="1" applyAlignment="1">
      <alignment vertical="center"/>
    </xf>
    <xf numFmtId="10" fontId="71" fillId="3" borderId="250" xfId="1" applyNumberFormat="1" applyFont="1" applyFill="1" applyBorder="1" applyAlignment="1">
      <alignment horizontal="center" vertical="center"/>
    </xf>
    <xf numFmtId="10" fontId="71" fillId="3" borderId="252" xfId="1" applyNumberFormat="1" applyFont="1" applyFill="1" applyBorder="1" applyAlignment="1">
      <alignment horizontal="center" vertical="center"/>
    </xf>
    <xf numFmtId="4" fontId="71" fillId="11" borderId="257" xfId="1" applyNumberFormat="1" applyFont="1" applyFill="1" applyBorder="1" applyAlignment="1">
      <alignment horizontal="center" vertical="center"/>
    </xf>
    <xf numFmtId="4" fontId="73" fillId="6" borderId="257" xfId="1" applyNumberFormat="1" applyFont="1" applyFill="1" applyBorder="1" applyAlignment="1">
      <alignment horizontal="center" vertical="center"/>
    </xf>
    <xf numFmtId="3" fontId="25" fillId="0" borderId="79"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4" fontId="35" fillId="0" borderId="0" xfId="1" applyNumberFormat="1" applyFont="1" applyFill="1"/>
    <xf numFmtId="0" fontId="19" fillId="0" borderId="248" xfId="1" applyFont="1" applyBorder="1" applyAlignment="1">
      <alignment horizontal="left" vertical="center"/>
    </xf>
    <xf numFmtId="4" fontId="25" fillId="0" borderId="255" xfId="1" applyNumberFormat="1" applyFont="1" applyBorder="1" applyAlignment="1">
      <alignment horizontal="center" vertical="center"/>
    </xf>
    <xf numFmtId="0" fontId="19" fillId="0" borderId="254" xfId="1" applyFont="1" applyBorder="1" applyAlignment="1">
      <alignment vertical="center"/>
    </xf>
    <xf numFmtId="4" fontId="25" fillId="0" borderId="256" xfId="1" applyNumberFormat="1" applyFont="1" applyBorder="1" applyAlignment="1">
      <alignment horizontal="center" vertical="center"/>
    </xf>
    <xf numFmtId="0" fontId="24" fillId="11" borderId="247" xfId="1" applyFont="1" applyFill="1" applyBorder="1" applyAlignment="1">
      <alignment vertical="center"/>
    </xf>
    <xf numFmtId="4" fontId="24" fillId="11" borderId="257" xfId="1" applyNumberFormat="1" applyFont="1" applyFill="1" applyBorder="1" applyAlignment="1">
      <alignment horizontal="center" vertical="center"/>
    </xf>
    <xf numFmtId="0" fontId="19" fillId="0" borderId="247" xfId="1" applyFont="1" applyBorder="1" applyAlignment="1">
      <alignment horizontal="left" vertical="center"/>
    </xf>
    <xf numFmtId="0" fontId="70" fillId="0" borderId="256" xfId="1" applyFont="1" applyBorder="1" applyAlignment="1">
      <alignment horizontal="center" vertical="center"/>
    </xf>
    <xf numFmtId="0" fontId="27" fillId="0" borderId="256" xfId="1" applyFont="1" applyBorder="1" applyAlignment="1">
      <alignment horizontal="center" vertical="center"/>
    </xf>
    <xf numFmtId="0" fontId="19" fillId="0" borderId="247" xfId="1" applyFont="1" applyBorder="1" applyAlignment="1">
      <alignment vertical="center"/>
    </xf>
    <xf numFmtId="9" fontId="70" fillId="0" borderId="256" xfId="7" applyFont="1" applyFill="1" applyBorder="1" applyAlignment="1">
      <alignment horizontal="center" vertical="center"/>
    </xf>
    <xf numFmtId="4" fontId="25" fillId="0" borderId="256" xfId="1" applyNumberFormat="1" applyFont="1" applyBorder="1" applyAlignment="1">
      <alignment horizontal="center" vertical="center" wrapText="1"/>
    </xf>
    <xf numFmtId="3" fontId="25" fillId="0" borderId="256" xfId="1" applyNumberFormat="1" applyFont="1" applyBorder="1" applyAlignment="1">
      <alignment horizontal="center" vertical="center"/>
    </xf>
    <xf numFmtId="0" fontId="19" fillId="0" borderId="248" xfId="1" applyFont="1" applyBorder="1" applyAlignment="1">
      <alignment vertical="center"/>
    </xf>
    <xf numFmtId="0" fontId="19" fillId="0" borderId="257" xfId="1" applyFont="1" applyBorder="1" applyAlignment="1">
      <alignment horizontal="left" vertical="center"/>
    </xf>
    <xf numFmtId="0" fontId="19" fillId="0" borderId="257" xfId="1" applyFont="1" applyBorder="1" applyAlignment="1">
      <alignment vertical="center"/>
    </xf>
    <xf numFmtId="10" fontId="26" fillId="0" borderId="256" xfId="1" applyNumberFormat="1" applyFont="1" applyBorder="1" applyAlignment="1">
      <alignment horizontal="center" vertical="center"/>
    </xf>
    <xf numFmtId="10" fontId="67" fillId="0" borderId="256" xfId="1" applyNumberFormat="1" applyFont="1" applyBorder="1" applyAlignment="1">
      <alignment horizontal="center" vertical="center"/>
    </xf>
    <xf numFmtId="0" fontId="24" fillId="6" borderId="257" xfId="1" applyFont="1" applyFill="1" applyBorder="1" applyAlignment="1">
      <alignment vertical="center"/>
    </xf>
    <xf numFmtId="3" fontId="28" fillId="6" borderId="257" xfId="1" applyNumberFormat="1" applyFont="1" applyFill="1" applyBorder="1" applyAlignment="1">
      <alignment horizontal="center" vertical="center"/>
    </xf>
    <xf numFmtId="0" fontId="24" fillId="6" borderId="247" xfId="1" applyFont="1" applyFill="1" applyBorder="1" applyAlignment="1">
      <alignment vertical="center" wrapText="1"/>
    </xf>
    <xf numFmtId="3" fontId="1" fillId="0" borderId="0" xfId="8867" applyNumberFormat="1" applyFill="1"/>
    <xf numFmtId="0" fontId="23" fillId="0" borderId="6" xfId="1" applyFont="1" applyBorder="1" applyAlignment="1">
      <alignment horizontal="center" vertical="center" textRotation="90"/>
    </xf>
    <xf numFmtId="0" fontId="18" fillId="7" borderId="10" xfId="1" applyFont="1" applyFill="1" applyBorder="1" applyAlignment="1">
      <alignment horizontal="center" vertical="center" wrapText="1"/>
    </xf>
    <xf numFmtId="0" fontId="18" fillId="7" borderId="3" xfId="1" applyFont="1" applyFill="1" applyBorder="1" applyAlignment="1">
      <alignment horizontal="center" vertical="center" wrapText="1"/>
    </xf>
    <xf numFmtId="0" fontId="18" fillId="7" borderId="12" xfId="1" applyFont="1" applyFill="1" applyBorder="1" applyAlignment="1">
      <alignment horizontal="center" vertical="center" wrapText="1"/>
    </xf>
    <xf numFmtId="49" fontId="18" fillId="13" borderId="10" xfId="0" applyNumberFormat="1" applyFont="1" applyFill="1" applyBorder="1" applyAlignment="1">
      <alignment horizontal="center" vertical="center"/>
    </xf>
    <xf numFmtId="49" fontId="18" fillId="13" borderId="3" xfId="0" applyNumberFormat="1" applyFont="1" applyFill="1" applyBorder="1" applyAlignment="1">
      <alignment horizontal="center" vertical="center"/>
    </xf>
    <xf numFmtId="49" fontId="18" fillId="13" borderId="8" xfId="0" applyNumberFormat="1" applyFont="1" applyFill="1" applyBorder="1" applyAlignment="1">
      <alignment horizontal="center" vertical="center"/>
    </xf>
    <xf numFmtId="49" fontId="18" fillId="13" borderId="9" xfId="0" applyNumberFormat="1" applyFont="1" applyFill="1" applyBorder="1" applyAlignment="1">
      <alignment horizontal="center" vertical="center"/>
    </xf>
    <xf numFmtId="49" fontId="18" fillId="9" borderId="10" xfId="0" applyNumberFormat="1" applyFont="1" applyFill="1" applyBorder="1" applyAlignment="1">
      <alignment horizontal="center" vertical="center"/>
    </xf>
    <xf numFmtId="49" fontId="18" fillId="9" borderId="3" xfId="0" applyNumberFormat="1" applyFont="1" applyFill="1" applyBorder="1" applyAlignment="1">
      <alignment horizontal="center" vertical="center"/>
    </xf>
    <xf numFmtId="49" fontId="18" fillId="9" borderId="12" xfId="0" applyNumberFormat="1" applyFont="1" applyFill="1" applyBorder="1" applyAlignment="1">
      <alignment horizontal="center" vertical="center"/>
    </xf>
    <xf numFmtId="49" fontId="18" fillId="9" borderId="8" xfId="0" applyNumberFormat="1" applyFont="1" applyFill="1" applyBorder="1" applyAlignment="1">
      <alignment horizontal="center" vertical="center"/>
    </xf>
    <xf numFmtId="49" fontId="18" fillId="9" borderId="9" xfId="0" applyNumberFormat="1" applyFont="1" applyFill="1" applyBorder="1" applyAlignment="1">
      <alignment horizontal="center" vertical="center"/>
    </xf>
    <xf numFmtId="49" fontId="18" fillId="9" borderId="20" xfId="0" applyNumberFormat="1" applyFont="1" applyFill="1" applyBorder="1" applyAlignment="1">
      <alignment horizontal="center" vertical="center"/>
    </xf>
    <xf numFmtId="49" fontId="18" fillId="2" borderId="10" xfId="0" applyNumberFormat="1" applyFont="1" applyFill="1" applyBorder="1" applyAlignment="1">
      <alignment horizontal="center" vertical="center"/>
    </xf>
    <xf numFmtId="49" fontId="18" fillId="2" borderId="3" xfId="0" applyNumberFormat="1" applyFont="1" applyFill="1" applyBorder="1" applyAlignment="1">
      <alignment horizontal="center" vertical="center"/>
    </xf>
    <xf numFmtId="49" fontId="18" fillId="2" borderId="12" xfId="0" applyNumberFormat="1" applyFont="1" applyFill="1" applyBorder="1" applyAlignment="1">
      <alignment horizontal="center" vertical="center"/>
    </xf>
    <xf numFmtId="49" fontId="18" fillId="2" borderId="8" xfId="0" applyNumberFormat="1" applyFont="1" applyFill="1" applyBorder="1" applyAlignment="1">
      <alignment horizontal="center" vertical="center"/>
    </xf>
    <xf numFmtId="49" fontId="18" fillId="2" borderId="9" xfId="0" applyNumberFormat="1" applyFont="1" applyFill="1" applyBorder="1" applyAlignment="1">
      <alignment horizontal="center" vertical="center"/>
    </xf>
    <xf numFmtId="49" fontId="18" fillId="2" borderId="20" xfId="0" applyNumberFormat="1" applyFont="1" applyFill="1" applyBorder="1" applyAlignment="1">
      <alignment horizontal="center" vertical="center"/>
    </xf>
    <xf numFmtId="0" fontId="18" fillId="10" borderId="8" xfId="0" applyFont="1" applyFill="1" applyBorder="1" applyAlignment="1">
      <alignment horizontal="center" vertical="center"/>
    </xf>
    <xf numFmtId="0" fontId="18" fillId="10" borderId="9" xfId="0" applyFont="1" applyFill="1" applyBorder="1" applyAlignment="1">
      <alignment horizontal="center" vertical="center"/>
    </xf>
    <xf numFmtId="0" fontId="18" fillId="10" borderId="20" xfId="0" applyFont="1" applyFill="1" applyBorder="1" applyAlignment="1">
      <alignment horizontal="center" vertical="center"/>
    </xf>
    <xf numFmtId="0" fontId="55" fillId="20" borderId="0" xfId="0" applyFont="1" applyFill="1" applyAlignment="1">
      <alignment horizontal="center" vertical="center"/>
    </xf>
    <xf numFmtId="0" fontId="55" fillId="33" borderId="0" xfId="0" applyFont="1" applyFill="1" applyAlignment="1">
      <alignment horizontal="center" vertical="center"/>
    </xf>
    <xf numFmtId="0" fontId="55" fillId="39" borderId="0" xfId="0" applyFont="1" applyFill="1" applyAlignment="1">
      <alignment horizontal="center" vertical="center"/>
    </xf>
    <xf numFmtId="49" fontId="18" fillId="13" borderId="12" xfId="0" applyNumberFormat="1" applyFont="1" applyFill="1" applyBorder="1" applyAlignment="1">
      <alignment horizontal="center" vertical="center"/>
    </xf>
    <xf numFmtId="49" fontId="18" fillId="13" borderId="20" xfId="0" applyNumberFormat="1" applyFont="1" applyFill="1" applyBorder="1" applyAlignment="1">
      <alignment horizontal="center" vertical="center"/>
    </xf>
    <xf numFmtId="49" fontId="18" fillId="38" borderId="10" xfId="0" applyNumberFormat="1" applyFont="1" applyFill="1" applyBorder="1" applyAlignment="1">
      <alignment horizontal="center" vertical="center"/>
    </xf>
    <xf numFmtId="49" fontId="18" fillId="38" borderId="3" xfId="0" applyNumberFormat="1" applyFont="1" applyFill="1" applyBorder="1" applyAlignment="1">
      <alignment horizontal="center" vertical="center"/>
    </xf>
    <xf numFmtId="49" fontId="18" fillId="38" borderId="8" xfId="0" applyNumberFormat="1" applyFont="1" applyFill="1" applyBorder="1" applyAlignment="1">
      <alignment horizontal="center" vertical="center"/>
    </xf>
    <xf numFmtId="49" fontId="18" fillId="38" borderId="9" xfId="0" applyNumberFormat="1" applyFont="1" applyFill="1" applyBorder="1" applyAlignment="1">
      <alignment horizontal="center" vertical="center"/>
    </xf>
    <xf numFmtId="49" fontId="18" fillId="32" borderId="10" xfId="0" applyNumberFormat="1" applyFont="1" applyFill="1" applyBorder="1" applyAlignment="1">
      <alignment horizontal="center" vertical="center"/>
    </xf>
    <xf numFmtId="49" fontId="18" fillId="32" borderId="3" xfId="0" applyNumberFormat="1" applyFont="1" applyFill="1" applyBorder="1" applyAlignment="1">
      <alignment horizontal="center" vertical="center"/>
    </xf>
    <xf numFmtId="49" fontId="18" fillId="32" borderId="12" xfId="0" applyNumberFormat="1" applyFont="1" applyFill="1" applyBorder="1" applyAlignment="1">
      <alignment horizontal="center" vertical="center"/>
    </xf>
    <xf numFmtId="49" fontId="18" fillId="32" borderId="8" xfId="0" applyNumberFormat="1" applyFont="1" applyFill="1" applyBorder="1" applyAlignment="1">
      <alignment horizontal="center" vertical="center"/>
    </xf>
    <xf numFmtId="49" fontId="18" fillId="32" borderId="9" xfId="0" applyNumberFormat="1" applyFont="1" applyFill="1" applyBorder="1" applyAlignment="1">
      <alignment horizontal="center" vertical="center"/>
    </xf>
    <xf numFmtId="49" fontId="18" fillId="32" borderId="20" xfId="0" applyNumberFormat="1" applyFont="1" applyFill="1" applyBorder="1" applyAlignment="1">
      <alignment horizontal="center" vertical="center"/>
    </xf>
    <xf numFmtId="49" fontId="18" fillId="33" borderId="10" xfId="0" applyNumberFormat="1" applyFont="1" applyFill="1" applyBorder="1" applyAlignment="1">
      <alignment horizontal="center" vertical="center"/>
    </xf>
    <xf numFmtId="49" fontId="18" fillId="33" borderId="3" xfId="0" applyNumberFormat="1" applyFont="1" applyFill="1" applyBorder="1" applyAlignment="1">
      <alignment horizontal="center" vertical="center"/>
    </xf>
    <xf numFmtId="49" fontId="18" fillId="33" borderId="12" xfId="0" applyNumberFormat="1" applyFont="1" applyFill="1" applyBorder="1" applyAlignment="1">
      <alignment horizontal="center" vertical="center"/>
    </xf>
    <xf numFmtId="49" fontId="18" fillId="33" borderId="8" xfId="0" applyNumberFormat="1" applyFont="1" applyFill="1" applyBorder="1" applyAlignment="1">
      <alignment horizontal="center" vertical="center"/>
    </xf>
    <xf numFmtId="49" fontId="18" fillId="33" borderId="9" xfId="0" applyNumberFormat="1" applyFont="1" applyFill="1" applyBorder="1" applyAlignment="1">
      <alignment horizontal="center" vertical="center"/>
    </xf>
    <xf numFmtId="49" fontId="18" fillId="33" borderId="20" xfId="0" applyNumberFormat="1" applyFont="1" applyFill="1" applyBorder="1" applyAlignment="1">
      <alignment horizontal="center" vertical="center"/>
    </xf>
    <xf numFmtId="49" fontId="18" fillId="30" borderId="10" xfId="0" applyNumberFormat="1" applyFont="1" applyFill="1" applyBorder="1" applyAlignment="1">
      <alignment horizontal="center" vertical="center"/>
    </xf>
    <xf numFmtId="49" fontId="18" fillId="30" borderId="3" xfId="0" applyNumberFormat="1" applyFont="1" applyFill="1" applyBorder="1" applyAlignment="1">
      <alignment horizontal="center" vertical="center"/>
    </xf>
    <xf numFmtId="49" fontId="18" fillId="30" borderId="12" xfId="0" applyNumberFormat="1" applyFont="1" applyFill="1" applyBorder="1" applyAlignment="1">
      <alignment horizontal="center" vertical="center"/>
    </xf>
    <xf numFmtId="49" fontId="18" fillId="30" borderId="8" xfId="0" applyNumberFormat="1" applyFont="1" applyFill="1" applyBorder="1" applyAlignment="1">
      <alignment horizontal="center" vertical="center"/>
    </xf>
    <xf numFmtId="49" fontId="18" fillId="30" borderId="9" xfId="0" applyNumberFormat="1" applyFont="1" applyFill="1" applyBorder="1" applyAlignment="1">
      <alignment horizontal="center" vertical="center"/>
    </xf>
    <xf numFmtId="49" fontId="18" fillId="30" borderId="20" xfId="0" applyNumberFormat="1" applyFont="1" applyFill="1" applyBorder="1" applyAlignment="1">
      <alignment horizontal="center" vertical="center"/>
    </xf>
    <xf numFmtId="49" fontId="18" fillId="19" borderId="10" xfId="0" applyNumberFormat="1" applyFont="1" applyFill="1" applyBorder="1" applyAlignment="1">
      <alignment horizontal="center" vertical="center"/>
    </xf>
    <xf numFmtId="49" fontId="18" fillId="19" borderId="3" xfId="0" applyNumberFormat="1" applyFont="1" applyFill="1" applyBorder="1" applyAlignment="1">
      <alignment horizontal="center" vertical="center"/>
    </xf>
    <xf numFmtId="49" fontId="18" fillId="19" borderId="12" xfId="0" applyNumberFormat="1" applyFont="1" applyFill="1" applyBorder="1" applyAlignment="1">
      <alignment horizontal="center" vertical="center"/>
    </xf>
    <xf numFmtId="49" fontId="18" fillId="19" borderId="8" xfId="0" applyNumberFormat="1" applyFont="1" applyFill="1" applyBorder="1" applyAlignment="1">
      <alignment horizontal="center" vertical="center"/>
    </xf>
    <xf numFmtId="49" fontId="18" fillId="19" borderId="9" xfId="0" applyNumberFormat="1" applyFont="1" applyFill="1" applyBorder="1" applyAlignment="1">
      <alignment horizontal="center" vertical="center"/>
    </xf>
    <xf numFmtId="49" fontId="18" fillId="19" borderId="20" xfId="0" applyNumberFormat="1" applyFont="1" applyFill="1" applyBorder="1" applyAlignment="1">
      <alignment horizontal="center" vertical="center"/>
    </xf>
    <xf numFmtId="49" fontId="18" fillId="20" borderId="10" xfId="0" applyNumberFormat="1" applyFont="1" applyFill="1" applyBorder="1" applyAlignment="1">
      <alignment horizontal="center" vertical="center"/>
    </xf>
    <xf numFmtId="49" fontId="18" fillId="20" borderId="3" xfId="0" applyNumberFormat="1" applyFont="1" applyFill="1" applyBorder="1" applyAlignment="1">
      <alignment horizontal="center" vertical="center"/>
    </xf>
    <xf numFmtId="49" fontId="18" fillId="20" borderId="12" xfId="0" applyNumberFormat="1" applyFont="1" applyFill="1" applyBorder="1" applyAlignment="1">
      <alignment horizontal="center" vertical="center"/>
    </xf>
    <xf numFmtId="49" fontId="18" fillId="20" borderId="8" xfId="0" applyNumberFormat="1" applyFont="1" applyFill="1" applyBorder="1" applyAlignment="1">
      <alignment horizontal="center" vertical="center"/>
    </xf>
    <xf numFmtId="49" fontId="18" fillId="20" borderId="9" xfId="0" applyNumberFormat="1" applyFont="1" applyFill="1" applyBorder="1" applyAlignment="1">
      <alignment horizontal="center" vertical="center"/>
    </xf>
    <xf numFmtId="49" fontId="18" fillId="20" borderId="20" xfId="0" applyNumberFormat="1" applyFont="1" applyFill="1" applyBorder="1" applyAlignment="1">
      <alignment horizontal="center" vertical="center"/>
    </xf>
    <xf numFmtId="49" fontId="18" fillId="29" borderId="10" xfId="0" applyNumberFormat="1" applyFont="1" applyFill="1" applyBorder="1" applyAlignment="1">
      <alignment horizontal="center" vertical="center"/>
    </xf>
    <xf numFmtId="49" fontId="18" fillId="29" borderId="3" xfId="0" applyNumberFormat="1" applyFont="1" applyFill="1" applyBorder="1" applyAlignment="1">
      <alignment horizontal="center" vertical="center"/>
    </xf>
    <xf numFmtId="49" fontId="18" fillId="29" borderId="12" xfId="0" applyNumberFormat="1" applyFont="1" applyFill="1" applyBorder="1" applyAlignment="1">
      <alignment horizontal="center" vertical="center"/>
    </xf>
    <xf numFmtId="49" fontId="18" fillId="29" borderId="8" xfId="0" applyNumberFormat="1" applyFont="1" applyFill="1" applyBorder="1" applyAlignment="1">
      <alignment horizontal="center" vertical="center"/>
    </xf>
    <xf numFmtId="49" fontId="18" fillId="29" borderId="9" xfId="0" applyNumberFormat="1" applyFont="1" applyFill="1" applyBorder="1" applyAlignment="1">
      <alignment horizontal="center" vertical="center"/>
    </xf>
    <xf numFmtId="49" fontId="18" fillId="29" borderId="20" xfId="0" applyNumberFormat="1" applyFont="1" applyFill="1" applyBorder="1" applyAlignment="1">
      <alignment horizontal="center" vertical="center"/>
    </xf>
    <xf numFmtId="49" fontId="18" fillId="7" borderId="10" xfId="0" applyNumberFormat="1" applyFont="1" applyFill="1" applyBorder="1" applyAlignment="1">
      <alignment horizontal="center" vertical="center"/>
    </xf>
    <xf numFmtId="49" fontId="18" fillId="7" borderId="3" xfId="0" applyNumberFormat="1" applyFont="1" applyFill="1" applyBorder="1" applyAlignment="1">
      <alignment horizontal="center" vertical="center"/>
    </xf>
    <xf numFmtId="49" fontId="18" fillId="7" borderId="12" xfId="0" applyNumberFormat="1" applyFont="1" applyFill="1" applyBorder="1" applyAlignment="1">
      <alignment horizontal="center" vertical="center"/>
    </xf>
    <xf numFmtId="49" fontId="18" fillId="7" borderId="8" xfId="0" applyNumberFormat="1" applyFont="1" applyFill="1" applyBorder="1" applyAlignment="1">
      <alignment horizontal="center" vertical="center"/>
    </xf>
    <xf numFmtId="49" fontId="18" fillId="7" borderId="9" xfId="0" applyNumberFormat="1" applyFont="1" applyFill="1" applyBorder="1" applyAlignment="1">
      <alignment horizontal="center" vertical="center"/>
    </xf>
    <xf numFmtId="49" fontId="18" fillId="7" borderId="20" xfId="0" applyNumberFormat="1" applyFont="1" applyFill="1" applyBorder="1" applyAlignment="1">
      <alignment horizontal="center" vertical="center"/>
    </xf>
    <xf numFmtId="49" fontId="18" fillId="40" borderId="10" xfId="0" applyNumberFormat="1" applyFont="1" applyFill="1" applyBorder="1" applyAlignment="1">
      <alignment horizontal="center" vertical="center"/>
    </xf>
    <xf numFmtId="49" fontId="18" fillId="40" borderId="3" xfId="0" applyNumberFormat="1" applyFont="1" applyFill="1" applyBorder="1" applyAlignment="1">
      <alignment horizontal="center" vertical="center"/>
    </xf>
    <xf numFmtId="49" fontId="18" fillId="40" borderId="12" xfId="0" applyNumberFormat="1" applyFont="1" applyFill="1" applyBorder="1" applyAlignment="1">
      <alignment horizontal="center" vertical="center"/>
    </xf>
    <xf numFmtId="49" fontId="18" fillId="40" borderId="8" xfId="0" applyNumberFormat="1" applyFont="1" applyFill="1" applyBorder="1" applyAlignment="1">
      <alignment horizontal="center" vertical="center"/>
    </xf>
    <xf numFmtId="49" fontId="18" fillId="40" borderId="9" xfId="0" applyNumberFormat="1" applyFont="1" applyFill="1" applyBorder="1" applyAlignment="1">
      <alignment horizontal="center" vertical="center"/>
    </xf>
    <xf numFmtId="49" fontId="18" fillId="40" borderId="20" xfId="0" applyNumberFormat="1" applyFont="1" applyFill="1" applyBorder="1" applyAlignment="1">
      <alignment horizontal="center" vertical="center"/>
    </xf>
    <xf numFmtId="177" fontId="18" fillId="29" borderId="10" xfId="0" applyNumberFormat="1" applyFont="1" applyFill="1" applyBorder="1" applyAlignment="1">
      <alignment horizontal="center" vertical="center"/>
    </xf>
    <xf numFmtId="177" fontId="18" fillId="29" borderId="3" xfId="0" applyNumberFormat="1" applyFont="1" applyFill="1" applyBorder="1" applyAlignment="1">
      <alignment horizontal="center" vertical="center"/>
    </xf>
    <xf numFmtId="177" fontId="18" fillId="29" borderId="12" xfId="0" applyNumberFormat="1" applyFont="1" applyFill="1" applyBorder="1" applyAlignment="1">
      <alignment horizontal="center" vertical="center"/>
    </xf>
    <xf numFmtId="177" fontId="18" fillId="29" borderId="8" xfId="0" applyNumberFormat="1" applyFont="1" applyFill="1" applyBorder="1" applyAlignment="1">
      <alignment horizontal="center" vertical="center"/>
    </xf>
    <xf numFmtId="177" fontId="18" fillId="29" borderId="9" xfId="0" applyNumberFormat="1" applyFont="1" applyFill="1" applyBorder="1" applyAlignment="1">
      <alignment horizontal="center" vertical="center"/>
    </xf>
    <xf numFmtId="177" fontId="18" fillId="29" borderId="20" xfId="0" applyNumberFormat="1" applyFont="1" applyFill="1" applyBorder="1" applyAlignment="1">
      <alignment horizontal="center" vertical="center"/>
    </xf>
    <xf numFmtId="177" fontId="18" fillId="13" borderId="10" xfId="0" applyNumberFormat="1" applyFont="1" applyFill="1" applyBorder="1" applyAlignment="1">
      <alignment horizontal="center" vertical="center"/>
    </xf>
    <xf numFmtId="177" fontId="18" fillId="13" borderId="3" xfId="0" applyNumberFormat="1" applyFont="1" applyFill="1" applyBorder="1" applyAlignment="1">
      <alignment horizontal="center" vertical="center"/>
    </xf>
    <xf numFmtId="177" fontId="18" fillId="13" borderId="12" xfId="0" applyNumberFormat="1" applyFont="1" applyFill="1" applyBorder="1" applyAlignment="1">
      <alignment horizontal="center" vertical="center"/>
    </xf>
    <xf numFmtId="177" fontId="18" fillId="13" borderId="8" xfId="0" applyNumberFormat="1" applyFont="1" applyFill="1" applyBorder="1" applyAlignment="1">
      <alignment horizontal="center" vertical="center"/>
    </xf>
    <xf numFmtId="177" fontId="18" fillId="13" borderId="9" xfId="0" applyNumberFormat="1" applyFont="1" applyFill="1" applyBorder="1" applyAlignment="1">
      <alignment horizontal="center" vertical="center"/>
    </xf>
    <xf numFmtId="177" fontId="18" fillId="13" borderId="20" xfId="0" applyNumberFormat="1" applyFont="1" applyFill="1" applyBorder="1" applyAlignment="1">
      <alignment horizontal="center" vertical="center"/>
    </xf>
    <xf numFmtId="177" fontId="18" fillId="47" borderId="10" xfId="0" applyNumberFormat="1" applyFont="1" applyFill="1" applyBorder="1" applyAlignment="1">
      <alignment horizontal="center" vertical="center"/>
    </xf>
    <xf numFmtId="177" fontId="18" fillId="47" borderId="3" xfId="0" applyNumberFormat="1" applyFont="1" applyFill="1" applyBorder="1" applyAlignment="1">
      <alignment horizontal="center" vertical="center"/>
    </xf>
    <xf numFmtId="177" fontId="18" fillId="47" borderId="12" xfId="0" applyNumberFormat="1" applyFont="1" applyFill="1" applyBorder="1" applyAlignment="1">
      <alignment horizontal="center" vertical="center"/>
    </xf>
    <xf numFmtId="177" fontId="18" fillId="47" borderId="8" xfId="0" applyNumberFormat="1" applyFont="1" applyFill="1" applyBorder="1" applyAlignment="1">
      <alignment horizontal="center" vertical="center"/>
    </xf>
    <xf numFmtId="177" fontId="18" fillId="47" borderId="9" xfId="0" applyNumberFormat="1" applyFont="1" applyFill="1" applyBorder="1" applyAlignment="1">
      <alignment horizontal="center" vertical="center"/>
    </xf>
    <xf numFmtId="177" fontId="18" fillId="47" borderId="20" xfId="0" applyNumberFormat="1" applyFont="1" applyFill="1" applyBorder="1" applyAlignment="1">
      <alignment horizontal="center" vertical="center"/>
    </xf>
    <xf numFmtId="177" fontId="18" fillId="48" borderId="10" xfId="0" applyNumberFormat="1" applyFont="1" applyFill="1" applyBorder="1" applyAlignment="1">
      <alignment horizontal="center" vertical="center"/>
    </xf>
    <xf numFmtId="177" fontId="18" fillId="48" borderId="3" xfId="0" applyNumberFormat="1" applyFont="1" applyFill="1" applyBorder="1" applyAlignment="1">
      <alignment horizontal="center" vertical="center"/>
    </xf>
    <xf numFmtId="177" fontId="18" fillId="48" borderId="12" xfId="0" applyNumberFormat="1" applyFont="1" applyFill="1" applyBorder="1" applyAlignment="1">
      <alignment horizontal="center" vertical="center"/>
    </xf>
    <xf numFmtId="177" fontId="18" fillId="48" borderId="8" xfId="0" applyNumberFormat="1" applyFont="1" applyFill="1" applyBorder="1" applyAlignment="1">
      <alignment horizontal="center" vertical="center"/>
    </xf>
    <xf numFmtId="177" fontId="18" fillId="48" borderId="9" xfId="0" applyNumberFormat="1" applyFont="1" applyFill="1" applyBorder="1" applyAlignment="1">
      <alignment horizontal="center" vertical="center"/>
    </xf>
    <xf numFmtId="177" fontId="18" fillId="48" borderId="20" xfId="0" applyNumberFormat="1" applyFont="1" applyFill="1" applyBorder="1" applyAlignment="1">
      <alignment horizontal="center" vertical="center"/>
    </xf>
    <xf numFmtId="177" fontId="18" fillId="30" borderId="10" xfId="0" applyNumberFormat="1" applyFont="1" applyFill="1" applyBorder="1" applyAlignment="1">
      <alignment horizontal="center" vertical="center"/>
    </xf>
    <xf numFmtId="177" fontId="18" fillId="30" borderId="3" xfId="0" applyNumberFormat="1" applyFont="1" applyFill="1" applyBorder="1" applyAlignment="1">
      <alignment horizontal="center" vertical="center"/>
    </xf>
    <xf numFmtId="177" fontId="18" fillId="30" borderId="12" xfId="0" applyNumberFormat="1" applyFont="1" applyFill="1" applyBorder="1" applyAlignment="1">
      <alignment horizontal="center" vertical="center"/>
    </xf>
    <xf numFmtId="177" fontId="18" fillId="30" borderId="8" xfId="0" applyNumberFormat="1" applyFont="1" applyFill="1" applyBorder="1" applyAlignment="1">
      <alignment horizontal="center" vertical="center"/>
    </xf>
    <xf numFmtId="177" fontId="18" fillId="30" borderId="9" xfId="0" applyNumberFormat="1" applyFont="1" applyFill="1" applyBorder="1" applyAlignment="1">
      <alignment horizontal="center" vertical="center"/>
    </xf>
    <xf numFmtId="177" fontId="18" fillId="30" borderId="20" xfId="0" applyNumberFormat="1" applyFont="1" applyFill="1" applyBorder="1" applyAlignment="1">
      <alignment horizontal="center" vertical="center"/>
    </xf>
    <xf numFmtId="177" fontId="18" fillId="19" borderId="10" xfId="0" applyNumberFormat="1" applyFont="1" applyFill="1" applyBorder="1" applyAlignment="1">
      <alignment horizontal="center" vertical="center"/>
    </xf>
    <xf numFmtId="177" fontId="18" fillId="19" borderId="3" xfId="0" applyNumberFormat="1" applyFont="1" applyFill="1" applyBorder="1" applyAlignment="1">
      <alignment horizontal="center" vertical="center"/>
    </xf>
    <xf numFmtId="177" fontId="18" fillId="19" borderId="12" xfId="0" applyNumberFormat="1" applyFont="1" applyFill="1" applyBorder="1" applyAlignment="1">
      <alignment horizontal="center" vertical="center"/>
    </xf>
    <xf numFmtId="177" fontId="18" fillId="19" borderId="8" xfId="0" applyNumberFormat="1" applyFont="1" applyFill="1" applyBorder="1" applyAlignment="1">
      <alignment horizontal="center" vertical="center"/>
    </xf>
    <xf numFmtId="177" fontId="18" fillId="19" borderId="9" xfId="0" applyNumberFormat="1" applyFont="1" applyFill="1" applyBorder="1" applyAlignment="1">
      <alignment horizontal="center" vertical="center"/>
    </xf>
    <xf numFmtId="177" fontId="18" fillId="19" borderId="20" xfId="0" applyNumberFormat="1" applyFont="1" applyFill="1" applyBorder="1" applyAlignment="1">
      <alignment horizontal="center" vertical="center"/>
    </xf>
    <xf numFmtId="0" fontId="43" fillId="0" borderId="46" xfId="0" applyFont="1" applyBorder="1" applyAlignment="1">
      <alignment vertical="top" wrapText="1"/>
    </xf>
    <xf numFmtId="0" fontId="43" fillId="0" borderId="47" xfId="0" applyFont="1" applyBorder="1" applyAlignment="1">
      <alignment vertical="top" wrapText="1"/>
    </xf>
    <xf numFmtId="0" fontId="43" fillId="0" borderId="49" xfId="0" applyFont="1" applyBorder="1" applyAlignment="1">
      <alignment vertical="top" wrapText="1"/>
    </xf>
    <xf numFmtId="0" fontId="43" fillId="0" borderId="50" xfId="0" applyFont="1" applyBorder="1" applyAlignment="1">
      <alignment vertical="top" wrapText="1"/>
    </xf>
    <xf numFmtId="0" fontId="60" fillId="15" borderId="44" xfId="0" applyFont="1" applyFill="1" applyBorder="1" applyAlignment="1">
      <alignment vertical="top" wrapText="1"/>
    </xf>
    <xf numFmtId="0" fontId="60" fillId="15" borderId="48" xfId="0" applyFont="1" applyFill="1" applyBorder="1" applyAlignment="1">
      <alignment vertical="top" wrapText="1"/>
    </xf>
    <xf numFmtId="0" fontId="60" fillId="15" borderId="45" xfId="0" applyFont="1" applyFill="1" applyBorder="1" applyAlignment="1">
      <alignment vertical="top" wrapText="1"/>
    </xf>
    <xf numFmtId="0" fontId="60" fillId="15" borderId="42" xfId="0" applyFont="1" applyFill="1" applyBorder="1" applyAlignment="1">
      <alignment vertical="center" wrapText="1"/>
    </xf>
    <xf numFmtId="0" fontId="60" fillId="15" borderId="43" xfId="0" applyFont="1" applyFill="1" applyBorder="1" applyAlignment="1">
      <alignment vertical="center" wrapText="1"/>
    </xf>
    <xf numFmtId="49" fontId="18" fillId="27" borderId="10" xfId="0" applyNumberFormat="1" applyFont="1" applyFill="1" applyBorder="1" applyAlignment="1">
      <alignment horizontal="center" vertical="center"/>
    </xf>
    <xf numFmtId="49" fontId="18" fillId="27" borderId="3" xfId="0" applyNumberFormat="1" applyFont="1" applyFill="1" applyBorder="1" applyAlignment="1">
      <alignment horizontal="center" vertical="center"/>
    </xf>
    <xf numFmtId="49" fontId="18" fillId="27" borderId="12" xfId="0" applyNumberFormat="1" applyFont="1" applyFill="1" applyBorder="1" applyAlignment="1">
      <alignment horizontal="center" vertical="center"/>
    </xf>
    <xf numFmtId="49" fontId="18" fillId="27" borderId="8" xfId="0" applyNumberFormat="1" applyFont="1" applyFill="1" applyBorder="1" applyAlignment="1">
      <alignment horizontal="center" vertical="center"/>
    </xf>
    <xf numFmtId="49" fontId="18" fillId="27" borderId="9" xfId="0" applyNumberFormat="1" applyFont="1" applyFill="1" applyBorder="1" applyAlignment="1">
      <alignment horizontal="center" vertical="center"/>
    </xf>
    <xf numFmtId="49" fontId="18" fillId="27" borderId="20" xfId="0" applyNumberFormat="1" applyFont="1" applyFill="1" applyBorder="1" applyAlignment="1">
      <alignment horizontal="center" vertical="center"/>
    </xf>
    <xf numFmtId="49" fontId="18" fillId="38" borderId="12" xfId="0" applyNumberFormat="1" applyFont="1" applyFill="1" applyBorder="1" applyAlignment="1">
      <alignment horizontal="center" vertical="center"/>
    </xf>
    <xf numFmtId="49" fontId="18" fillId="38" borderId="20" xfId="0" applyNumberFormat="1" applyFont="1" applyFill="1" applyBorder="1" applyAlignment="1">
      <alignment horizontal="center" vertical="center"/>
    </xf>
    <xf numFmtId="49" fontId="18" fillId="48" borderId="10" xfId="0" applyNumberFormat="1" applyFont="1" applyFill="1" applyBorder="1" applyAlignment="1">
      <alignment horizontal="center" vertical="center"/>
    </xf>
    <xf numFmtId="49" fontId="18" fillId="48" borderId="3" xfId="0" applyNumberFormat="1" applyFont="1" applyFill="1" applyBorder="1" applyAlignment="1">
      <alignment horizontal="center" vertical="center"/>
    </xf>
    <xf numFmtId="49" fontId="18" fillId="48" borderId="12" xfId="0" applyNumberFormat="1" applyFont="1" applyFill="1" applyBorder="1" applyAlignment="1">
      <alignment horizontal="center" vertical="center"/>
    </xf>
    <xf numFmtId="49" fontId="18" fillId="48" borderId="8" xfId="0" applyNumberFormat="1" applyFont="1" applyFill="1" applyBorder="1" applyAlignment="1">
      <alignment horizontal="center" vertical="center"/>
    </xf>
    <xf numFmtId="49" fontId="18" fillId="48" borderId="9" xfId="0" applyNumberFormat="1" applyFont="1" applyFill="1" applyBorder="1" applyAlignment="1">
      <alignment horizontal="center" vertical="center"/>
    </xf>
    <xf numFmtId="49" fontId="18" fillId="48" borderId="20" xfId="0" applyNumberFormat="1" applyFont="1" applyFill="1" applyBorder="1" applyAlignment="1">
      <alignment horizontal="center" vertical="center"/>
    </xf>
    <xf numFmtId="49" fontId="18" fillId="26" borderId="10" xfId="0" applyNumberFormat="1" applyFont="1" applyFill="1" applyBorder="1" applyAlignment="1">
      <alignment horizontal="center" vertical="center"/>
    </xf>
    <xf numFmtId="49" fontId="18" fillId="26" borderId="3" xfId="0" applyNumberFormat="1" applyFont="1" applyFill="1" applyBorder="1" applyAlignment="1">
      <alignment horizontal="center" vertical="center"/>
    </xf>
    <xf numFmtId="49" fontId="18" fillId="26" borderId="12" xfId="0" applyNumberFormat="1" applyFont="1" applyFill="1" applyBorder="1" applyAlignment="1">
      <alignment horizontal="center" vertical="center"/>
    </xf>
    <xf numFmtId="49" fontId="18" fillId="26" borderId="8" xfId="0" applyNumberFormat="1" applyFont="1" applyFill="1" applyBorder="1" applyAlignment="1">
      <alignment horizontal="center" vertical="center"/>
    </xf>
    <xf numFmtId="49" fontId="18" fillId="26" borderId="9" xfId="0" applyNumberFormat="1" applyFont="1" applyFill="1" applyBorder="1" applyAlignment="1">
      <alignment horizontal="center" vertical="center"/>
    </xf>
    <xf numFmtId="49" fontId="18" fillId="26" borderId="20" xfId="0" applyNumberFormat="1" applyFont="1" applyFill="1" applyBorder="1" applyAlignment="1">
      <alignment horizontal="center" vertical="center"/>
    </xf>
    <xf numFmtId="49" fontId="18" fillId="31" borderId="10" xfId="0" applyNumberFormat="1" applyFont="1" applyFill="1" applyBorder="1" applyAlignment="1">
      <alignment horizontal="center" vertical="center"/>
    </xf>
    <xf numFmtId="49" fontId="18" fillId="31" borderId="3" xfId="0" applyNumberFormat="1" applyFont="1" applyFill="1" applyBorder="1" applyAlignment="1">
      <alignment horizontal="center" vertical="center"/>
    </xf>
    <xf numFmtId="49" fontId="18" fillId="31" borderId="12" xfId="0" applyNumberFormat="1" applyFont="1" applyFill="1" applyBorder="1" applyAlignment="1">
      <alignment horizontal="center" vertical="center"/>
    </xf>
    <xf numFmtId="49" fontId="18" fillId="31" borderId="8" xfId="0" applyNumberFormat="1" applyFont="1" applyFill="1" applyBorder="1" applyAlignment="1">
      <alignment horizontal="center" vertical="center"/>
    </xf>
    <xf numFmtId="49" fontId="18" fillId="31" borderId="9" xfId="0" applyNumberFormat="1" applyFont="1" applyFill="1" applyBorder="1" applyAlignment="1">
      <alignment horizontal="center" vertical="center"/>
    </xf>
    <xf numFmtId="49" fontId="18" fillId="31" borderId="20" xfId="0" applyNumberFormat="1" applyFont="1" applyFill="1" applyBorder="1" applyAlignment="1">
      <alignment horizontal="center" vertical="center"/>
    </xf>
    <xf numFmtId="49" fontId="103" fillId="34" borderId="10" xfId="0" applyNumberFormat="1" applyFont="1" applyFill="1" applyBorder="1" applyAlignment="1">
      <alignment horizontal="center" vertical="center"/>
    </xf>
    <xf numFmtId="49" fontId="103" fillId="34" borderId="3" xfId="0" applyNumberFormat="1" applyFont="1" applyFill="1" applyBorder="1" applyAlignment="1">
      <alignment horizontal="center" vertical="center"/>
    </xf>
    <xf numFmtId="49" fontId="103" fillId="34" borderId="12" xfId="0" applyNumberFormat="1" applyFont="1" applyFill="1" applyBorder="1" applyAlignment="1">
      <alignment horizontal="center" vertical="center"/>
    </xf>
    <xf numFmtId="49" fontId="103" fillId="34" borderId="8" xfId="0" applyNumberFormat="1" applyFont="1" applyFill="1" applyBorder="1" applyAlignment="1">
      <alignment horizontal="center" vertical="center"/>
    </xf>
    <xf numFmtId="49" fontId="103" fillId="34" borderId="9" xfId="0" applyNumberFormat="1" applyFont="1" applyFill="1" applyBorder="1" applyAlignment="1">
      <alignment horizontal="center" vertical="center"/>
    </xf>
    <xf numFmtId="49" fontId="103" fillId="34" borderId="20" xfId="0" applyNumberFormat="1" applyFont="1" applyFill="1" applyBorder="1" applyAlignment="1">
      <alignment horizontal="center" vertical="center"/>
    </xf>
    <xf numFmtId="49" fontId="18" fillId="36" borderId="10" xfId="0" applyNumberFormat="1" applyFont="1" applyFill="1" applyBorder="1" applyAlignment="1">
      <alignment horizontal="center" vertical="center"/>
    </xf>
    <xf numFmtId="49" fontId="18" fillId="36" borderId="3" xfId="0" applyNumberFormat="1" applyFont="1" applyFill="1" applyBorder="1" applyAlignment="1">
      <alignment horizontal="center" vertical="center"/>
    </xf>
    <xf numFmtId="49" fontId="18" fillId="36" borderId="12" xfId="0" applyNumberFormat="1" applyFont="1" applyFill="1" applyBorder="1" applyAlignment="1">
      <alignment horizontal="center" vertical="center"/>
    </xf>
    <xf numFmtId="49" fontId="18" fillId="36" borderId="8" xfId="0" applyNumberFormat="1" applyFont="1" applyFill="1" applyBorder="1" applyAlignment="1">
      <alignment horizontal="center" vertical="center"/>
    </xf>
    <xf numFmtId="49" fontId="18" fillId="36" borderId="9" xfId="0" applyNumberFormat="1" applyFont="1" applyFill="1" applyBorder="1" applyAlignment="1">
      <alignment horizontal="center" vertical="center"/>
    </xf>
    <xf numFmtId="49" fontId="18" fillId="36" borderId="20" xfId="0" applyNumberFormat="1" applyFont="1" applyFill="1" applyBorder="1" applyAlignment="1">
      <alignment horizontal="center" vertical="center"/>
    </xf>
    <xf numFmtId="0" fontId="23" fillId="0" borderId="6" xfId="1054" applyFont="1" applyBorder="1" applyAlignment="1">
      <alignment horizontal="center" vertical="center" textRotation="90"/>
    </xf>
    <xf numFmtId="0" fontId="18" fillId="7" borderId="10" xfId="1054" applyFont="1" applyFill="1" applyBorder="1" applyAlignment="1">
      <alignment horizontal="center" vertical="center" wrapText="1"/>
    </xf>
    <xf numFmtId="0" fontId="18" fillId="7" borderId="3" xfId="1054" applyFont="1" applyFill="1" applyBorder="1" applyAlignment="1">
      <alignment horizontal="center" vertical="center" wrapText="1"/>
    </xf>
    <xf numFmtId="0" fontId="18" fillId="7" borderId="12" xfId="1054" applyFont="1" applyFill="1" applyBorder="1" applyAlignment="1">
      <alignment horizontal="center" vertical="center" wrapText="1"/>
    </xf>
    <xf numFmtId="0" fontId="18" fillId="7" borderId="8" xfId="1054" applyFont="1" applyFill="1" applyBorder="1" applyAlignment="1">
      <alignment horizontal="center" vertical="center" wrapText="1"/>
    </xf>
    <xf numFmtId="0" fontId="18" fillId="7" borderId="9" xfId="1054" applyFont="1" applyFill="1" applyBorder="1" applyAlignment="1">
      <alignment horizontal="center" vertical="center" wrapText="1"/>
    </xf>
    <xf numFmtId="0" fontId="18" fillId="7" borderId="20" xfId="1054" applyFont="1" applyFill="1" applyBorder="1" applyAlignment="1">
      <alignment horizontal="center" vertical="center" wrapText="1"/>
    </xf>
    <xf numFmtId="49" fontId="18" fillId="34" borderId="10" xfId="0" applyNumberFormat="1" applyFont="1" applyFill="1" applyBorder="1" applyAlignment="1">
      <alignment horizontal="center" vertical="center"/>
    </xf>
    <xf numFmtId="49" fontId="18" fillId="34" borderId="3" xfId="0" applyNumberFormat="1" applyFont="1" applyFill="1" applyBorder="1" applyAlignment="1">
      <alignment horizontal="center" vertical="center"/>
    </xf>
    <xf numFmtId="49" fontId="18" fillId="34" borderId="12" xfId="0" applyNumberFormat="1" applyFont="1" applyFill="1" applyBorder="1" applyAlignment="1">
      <alignment horizontal="center" vertical="center"/>
    </xf>
    <xf numFmtId="49" fontId="18" fillId="34" borderId="8" xfId="0" applyNumberFormat="1" applyFont="1" applyFill="1" applyBorder="1" applyAlignment="1">
      <alignment horizontal="center" vertical="center"/>
    </xf>
    <xf numFmtId="49" fontId="18" fillId="34" borderId="9" xfId="0" applyNumberFormat="1" applyFont="1" applyFill="1" applyBorder="1" applyAlignment="1">
      <alignment horizontal="center" vertical="center"/>
    </xf>
    <xf numFmtId="49" fontId="18" fillId="34" borderId="20" xfId="0" applyNumberFormat="1" applyFont="1" applyFill="1" applyBorder="1" applyAlignment="1">
      <alignment horizontal="center" vertical="center"/>
    </xf>
    <xf numFmtId="0" fontId="18" fillId="30" borderId="10" xfId="1" applyFont="1" applyFill="1" applyBorder="1" applyAlignment="1">
      <alignment horizontal="center" vertical="center" wrapText="1"/>
    </xf>
    <xf numFmtId="0" fontId="18" fillId="30" borderId="3" xfId="1" applyFont="1" applyFill="1" applyBorder="1" applyAlignment="1">
      <alignment horizontal="center" vertical="center" wrapText="1"/>
    </xf>
    <xf numFmtId="0" fontId="18" fillId="30" borderId="12" xfId="1" applyFont="1" applyFill="1" applyBorder="1" applyAlignment="1">
      <alignment horizontal="center" vertical="center" wrapText="1"/>
    </xf>
    <xf numFmtId="0" fontId="18" fillId="30" borderId="8" xfId="1" applyFont="1" applyFill="1" applyBorder="1" applyAlignment="1">
      <alignment horizontal="center" vertical="center" wrapText="1"/>
    </xf>
    <xf numFmtId="0" fontId="18" fillId="30" borderId="9" xfId="1" applyFont="1" applyFill="1" applyBorder="1" applyAlignment="1">
      <alignment horizontal="center" vertical="center" wrapText="1"/>
    </xf>
    <xf numFmtId="0" fontId="18" fillId="30" borderId="20" xfId="1" applyFont="1" applyFill="1" applyBorder="1" applyAlignment="1">
      <alignment horizontal="center" vertical="center" wrapText="1"/>
    </xf>
    <xf numFmtId="49" fontId="18" fillId="39" borderId="10" xfId="0" applyNumberFormat="1" applyFont="1" applyFill="1" applyBorder="1" applyAlignment="1">
      <alignment horizontal="center" vertical="center"/>
    </xf>
    <xf numFmtId="49" fontId="18" fillId="39" borderId="3" xfId="0" applyNumberFormat="1" applyFont="1" applyFill="1" applyBorder="1" applyAlignment="1">
      <alignment horizontal="center" vertical="center"/>
    </xf>
    <xf numFmtId="49" fontId="18" fillId="39" borderId="12" xfId="0" applyNumberFormat="1" applyFont="1" applyFill="1" applyBorder="1" applyAlignment="1">
      <alignment horizontal="center" vertical="center"/>
    </xf>
    <xf numFmtId="49" fontId="18" fillId="39" borderId="8" xfId="0" applyNumberFormat="1" applyFont="1" applyFill="1" applyBorder="1" applyAlignment="1">
      <alignment horizontal="center" vertical="center"/>
    </xf>
    <xf numFmtId="49" fontId="18" fillId="39" borderId="9" xfId="0" applyNumberFormat="1" applyFont="1" applyFill="1" applyBorder="1" applyAlignment="1">
      <alignment horizontal="center" vertical="center"/>
    </xf>
    <xf numFmtId="49" fontId="18" fillId="39" borderId="20" xfId="0" applyNumberFormat="1" applyFont="1" applyFill="1" applyBorder="1" applyAlignment="1">
      <alignment horizontal="center" vertical="center"/>
    </xf>
    <xf numFmtId="49" fontId="103" fillId="20" borderId="10" xfId="0" applyNumberFormat="1" applyFont="1" applyFill="1" applyBorder="1" applyAlignment="1">
      <alignment horizontal="center" vertical="center"/>
    </xf>
    <xf numFmtId="49" fontId="103" fillId="20" borderId="3" xfId="0" applyNumberFormat="1" applyFont="1" applyFill="1" applyBorder="1" applyAlignment="1">
      <alignment horizontal="center" vertical="center"/>
    </xf>
    <xf numFmtId="49" fontId="103" fillId="20" borderId="12" xfId="0" applyNumberFormat="1" applyFont="1" applyFill="1" applyBorder="1" applyAlignment="1">
      <alignment horizontal="center" vertical="center"/>
    </xf>
    <xf numFmtId="49" fontId="103" fillId="20" borderId="8" xfId="0" applyNumberFormat="1" applyFont="1" applyFill="1" applyBorder="1" applyAlignment="1">
      <alignment horizontal="center" vertical="center"/>
    </xf>
    <xf numFmtId="49" fontId="103" fillId="20" borderId="9" xfId="0" applyNumberFormat="1" applyFont="1" applyFill="1" applyBorder="1" applyAlignment="1">
      <alignment horizontal="center" vertical="center"/>
    </xf>
    <xf numFmtId="49" fontId="103" fillId="20" borderId="20" xfId="0" applyNumberFormat="1" applyFont="1" applyFill="1" applyBorder="1" applyAlignment="1">
      <alignment horizontal="center" vertical="center"/>
    </xf>
    <xf numFmtId="0" fontId="18" fillId="7" borderId="8" xfId="1" applyFont="1" applyFill="1" applyBorder="1" applyAlignment="1">
      <alignment horizontal="center" vertical="center" wrapText="1"/>
    </xf>
    <xf numFmtId="0" fontId="18" fillId="7" borderId="9" xfId="1" applyFont="1" applyFill="1" applyBorder="1" applyAlignment="1">
      <alignment horizontal="center" vertical="center" wrapText="1"/>
    </xf>
    <xf numFmtId="0" fontId="18" fillId="7" borderId="20" xfId="1" applyFont="1" applyFill="1" applyBorder="1" applyAlignment="1">
      <alignment horizontal="center" vertical="center" wrapText="1"/>
    </xf>
    <xf numFmtId="49" fontId="18" fillId="17" borderId="10" xfId="0" applyNumberFormat="1" applyFont="1" applyFill="1" applyBorder="1" applyAlignment="1">
      <alignment horizontal="center" vertical="center"/>
    </xf>
    <xf numFmtId="49" fontId="18" fillId="17" borderId="3" xfId="0" applyNumberFormat="1" applyFont="1" applyFill="1" applyBorder="1" applyAlignment="1">
      <alignment horizontal="center" vertical="center"/>
    </xf>
    <xf numFmtId="49" fontId="18" fillId="17" borderId="8" xfId="0" applyNumberFormat="1" applyFont="1" applyFill="1" applyBorder="1" applyAlignment="1">
      <alignment horizontal="center" vertical="center"/>
    </xf>
    <xf numFmtId="49" fontId="18" fillId="17" borderId="9" xfId="0" applyNumberFormat="1" applyFont="1" applyFill="1" applyBorder="1" applyAlignment="1">
      <alignment horizontal="center" vertical="center"/>
    </xf>
    <xf numFmtId="49" fontId="18" fillId="41" borderId="10" xfId="0" applyNumberFormat="1" applyFont="1" applyFill="1" applyBorder="1" applyAlignment="1">
      <alignment horizontal="center" vertical="center"/>
    </xf>
    <xf numFmtId="49" fontId="18" fillId="41" borderId="3" xfId="0" applyNumberFormat="1" applyFont="1" applyFill="1" applyBorder="1" applyAlignment="1">
      <alignment horizontal="center" vertical="center"/>
    </xf>
    <xf numFmtId="49" fontId="18" fillId="41" borderId="12" xfId="0" applyNumberFormat="1" applyFont="1" applyFill="1" applyBorder="1" applyAlignment="1">
      <alignment horizontal="center" vertical="center"/>
    </xf>
    <xf numFmtId="49" fontId="18" fillId="41" borderId="8" xfId="0" applyNumberFormat="1" applyFont="1" applyFill="1" applyBorder="1" applyAlignment="1">
      <alignment horizontal="center" vertical="center"/>
    </xf>
    <xf numFmtId="49" fontId="18" fillId="41" borderId="9" xfId="0" applyNumberFormat="1" applyFont="1" applyFill="1" applyBorder="1" applyAlignment="1">
      <alignment horizontal="center" vertical="center"/>
    </xf>
    <xf numFmtId="49" fontId="18" fillId="41" borderId="20" xfId="0" applyNumberFormat="1" applyFont="1" applyFill="1" applyBorder="1" applyAlignment="1">
      <alignment horizontal="center" vertical="center"/>
    </xf>
    <xf numFmtId="0" fontId="0" fillId="0" borderId="12" xfId="0" applyBorder="1" applyAlignment="1">
      <alignment horizontal="center" vertical="center"/>
    </xf>
    <xf numFmtId="0" fontId="0" fillId="0" borderId="20" xfId="0" applyBorder="1" applyAlignment="1">
      <alignment horizontal="center" vertical="center"/>
    </xf>
    <xf numFmtId="49" fontId="18" fillId="37" borderId="10" xfId="0" applyNumberFormat="1" applyFont="1" applyFill="1" applyBorder="1" applyAlignment="1">
      <alignment horizontal="center" vertical="center"/>
    </xf>
    <xf numFmtId="49" fontId="18" fillId="37" borderId="3" xfId="0" applyNumberFormat="1" applyFont="1" applyFill="1" applyBorder="1" applyAlignment="1">
      <alignment horizontal="center" vertical="center"/>
    </xf>
    <xf numFmtId="49" fontId="18" fillId="37" borderId="12" xfId="0" applyNumberFormat="1" applyFont="1" applyFill="1" applyBorder="1" applyAlignment="1">
      <alignment horizontal="center" vertical="center"/>
    </xf>
    <xf numFmtId="49" fontId="18" fillId="37" borderId="8" xfId="0" applyNumberFormat="1" applyFont="1" applyFill="1" applyBorder="1" applyAlignment="1">
      <alignment horizontal="center" vertical="center"/>
    </xf>
    <xf numFmtId="49" fontId="18" fillId="37" borderId="9" xfId="0" applyNumberFormat="1" applyFont="1" applyFill="1" applyBorder="1" applyAlignment="1">
      <alignment horizontal="center" vertical="center"/>
    </xf>
    <xf numFmtId="49" fontId="18" fillId="37" borderId="20" xfId="0" applyNumberFormat="1" applyFont="1" applyFill="1" applyBorder="1" applyAlignment="1">
      <alignment horizontal="center" vertical="center"/>
    </xf>
    <xf numFmtId="49" fontId="103" fillId="37" borderId="10" xfId="0" applyNumberFormat="1" applyFont="1" applyFill="1" applyBorder="1" applyAlignment="1">
      <alignment horizontal="center" vertical="center"/>
    </xf>
    <xf numFmtId="49" fontId="103" fillId="37" borderId="3" xfId="0" applyNumberFormat="1" applyFont="1" applyFill="1" applyBorder="1" applyAlignment="1">
      <alignment horizontal="center" vertical="center"/>
    </xf>
    <xf numFmtId="49" fontId="103" fillId="37" borderId="12" xfId="0" applyNumberFormat="1" applyFont="1" applyFill="1" applyBorder="1" applyAlignment="1">
      <alignment horizontal="center" vertical="center"/>
    </xf>
    <xf numFmtId="49" fontId="103" fillId="37" borderId="8" xfId="0" applyNumberFormat="1" applyFont="1" applyFill="1" applyBorder="1" applyAlignment="1">
      <alignment horizontal="center" vertical="center"/>
    </xf>
    <xf numFmtId="49" fontId="103" fillId="37" borderId="9" xfId="0" applyNumberFormat="1" applyFont="1" applyFill="1" applyBorder="1" applyAlignment="1">
      <alignment horizontal="center" vertical="center"/>
    </xf>
    <xf numFmtId="49" fontId="103" fillId="37" borderId="20" xfId="0" applyNumberFormat="1" applyFont="1" applyFill="1" applyBorder="1" applyAlignment="1">
      <alignment horizontal="center" vertical="center"/>
    </xf>
    <xf numFmtId="49" fontId="103" fillId="19" borderId="10" xfId="0" applyNumberFormat="1" applyFont="1" applyFill="1" applyBorder="1" applyAlignment="1">
      <alignment horizontal="center" vertical="center"/>
    </xf>
    <xf numFmtId="49" fontId="103" fillId="19" borderId="3" xfId="0" applyNumberFormat="1" applyFont="1" applyFill="1" applyBorder="1" applyAlignment="1">
      <alignment horizontal="center" vertical="center"/>
    </xf>
    <xf numFmtId="49" fontId="103" fillId="19" borderId="12" xfId="0" applyNumberFormat="1" applyFont="1" applyFill="1" applyBorder="1" applyAlignment="1">
      <alignment horizontal="center" vertical="center"/>
    </xf>
    <xf numFmtId="49" fontId="103" fillId="19" borderId="8" xfId="0" applyNumberFormat="1" applyFont="1" applyFill="1" applyBorder="1" applyAlignment="1">
      <alignment horizontal="center" vertical="center"/>
    </xf>
    <xf numFmtId="49" fontId="103" fillId="19" borderId="9" xfId="0" applyNumberFormat="1" applyFont="1" applyFill="1" applyBorder="1" applyAlignment="1">
      <alignment horizontal="center" vertical="center"/>
    </xf>
    <xf numFmtId="49" fontId="103" fillId="19" borderId="20" xfId="0" applyNumberFormat="1" applyFont="1" applyFill="1" applyBorder="1" applyAlignment="1">
      <alignment horizontal="center" vertical="center"/>
    </xf>
    <xf numFmtId="49" fontId="18" fillId="40" borderId="5" xfId="0" applyNumberFormat="1" applyFont="1" applyFill="1" applyBorder="1" applyAlignment="1">
      <alignment horizontal="center" vertical="center"/>
    </xf>
    <xf numFmtId="49" fontId="18" fillId="40" borderId="7" xfId="0" applyNumberFormat="1" applyFont="1" applyFill="1" applyBorder="1" applyAlignment="1">
      <alignment horizontal="center" vertical="center"/>
    </xf>
    <xf numFmtId="177" fontId="18" fillId="6" borderId="10" xfId="0" applyNumberFormat="1" applyFont="1" applyFill="1" applyBorder="1" applyAlignment="1">
      <alignment horizontal="center" vertical="center"/>
    </xf>
    <xf numFmtId="177" fontId="18" fillId="6" borderId="3" xfId="0" applyNumberFormat="1" applyFont="1" applyFill="1" applyBorder="1" applyAlignment="1">
      <alignment horizontal="center" vertical="center"/>
    </xf>
    <xf numFmtId="177" fontId="18" fillId="6" borderId="12" xfId="0" applyNumberFormat="1" applyFont="1" applyFill="1" applyBorder="1" applyAlignment="1">
      <alignment horizontal="center" vertical="center"/>
    </xf>
    <xf numFmtId="177" fontId="18" fillId="6" borderId="8" xfId="0" applyNumberFormat="1" applyFont="1" applyFill="1" applyBorder="1" applyAlignment="1">
      <alignment horizontal="center" vertical="center"/>
    </xf>
    <xf numFmtId="177" fontId="18" fillId="6" borderId="9" xfId="0" applyNumberFormat="1" applyFont="1" applyFill="1" applyBorder="1" applyAlignment="1">
      <alignment horizontal="center" vertical="center"/>
    </xf>
    <xf numFmtId="177" fontId="18" fillId="6" borderId="20" xfId="0" applyNumberFormat="1" applyFont="1" applyFill="1" applyBorder="1" applyAlignment="1">
      <alignment horizontal="center" vertical="center"/>
    </xf>
    <xf numFmtId="177" fontId="18" fillId="34" borderId="10" xfId="0" applyNumberFormat="1" applyFont="1" applyFill="1" applyBorder="1" applyAlignment="1">
      <alignment horizontal="center" vertical="center"/>
    </xf>
    <xf numFmtId="177" fontId="18" fillId="34" borderId="3" xfId="0" applyNumberFormat="1" applyFont="1" applyFill="1" applyBorder="1" applyAlignment="1">
      <alignment horizontal="center" vertical="center"/>
    </xf>
    <xf numFmtId="177" fontId="18" fillId="34" borderId="12" xfId="0" applyNumberFormat="1" applyFont="1" applyFill="1" applyBorder="1" applyAlignment="1">
      <alignment horizontal="center" vertical="center"/>
    </xf>
    <xf numFmtId="177" fontId="18" fillId="34" borderId="8" xfId="0" applyNumberFormat="1" applyFont="1" applyFill="1" applyBorder="1" applyAlignment="1">
      <alignment horizontal="center" vertical="center"/>
    </xf>
    <xf numFmtId="177" fontId="18" fillId="34" borderId="9" xfId="0" applyNumberFormat="1" applyFont="1" applyFill="1" applyBorder="1" applyAlignment="1">
      <alignment horizontal="center" vertical="center"/>
    </xf>
    <xf numFmtId="177" fontId="18" fillId="34" borderId="20" xfId="0" applyNumberFormat="1" applyFont="1" applyFill="1" applyBorder="1" applyAlignment="1">
      <alignment horizontal="center" vertical="center"/>
    </xf>
    <xf numFmtId="17" fontId="18" fillId="9" borderId="10" xfId="0" applyNumberFormat="1" applyFont="1" applyFill="1" applyBorder="1" applyAlignment="1">
      <alignment horizontal="center" vertical="center"/>
    </xf>
    <xf numFmtId="49" fontId="18" fillId="42" borderId="10" xfId="0" applyNumberFormat="1" applyFont="1" applyFill="1" applyBorder="1" applyAlignment="1">
      <alignment horizontal="center" vertical="center"/>
    </xf>
    <xf numFmtId="49" fontId="18" fillId="42" borderId="3" xfId="0" applyNumberFormat="1" applyFont="1" applyFill="1" applyBorder="1" applyAlignment="1">
      <alignment horizontal="center" vertical="center"/>
    </xf>
    <xf numFmtId="49" fontId="18" fillId="42" borderId="12" xfId="0" applyNumberFormat="1" applyFont="1" applyFill="1" applyBorder="1" applyAlignment="1">
      <alignment horizontal="center" vertical="center"/>
    </xf>
    <xf numFmtId="49" fontId="18" fillId="42" borderId="8" xfId="0" applyNumberFormat="1" applyFont="1" applyFill="1" applyBorder="1" applyAlignment="1">
      <alignment horizontal="center" vertical="center"/>
    </xf>
    <xf numFmtId="49" fontId="18" fillId="42" borderId="9" xfId="0" applyNumberFormat="1" applyFont="1" applyFill="1" applyBorder="1" applyAlignment="1">
      <alignment horizontal="center" vertical="center"/>
    </xf>
    <xf numFmtId="49" fontId="18" fillId="42" borderId="20" xfId="0" applyNumberFormat="1" applyFont="1" applyFill="1" applyBorder="1" applyAlignment="1">
      <alignment horizontal="center" vertical="center"/>
    </xf>
    <xf numFmtId="177" fontId="18" fillId="44" borderId="10" xfId="0" applyNumberFormat="1" applyFont="1" applyFill="1" applyBorder="1" applyAlignment="1">
      <alignment horizontal="center" vertical="center"/>
    </xf>
    <xf numFmtId="177" fontId="18" fillId="44" borderId="3" xfId="0" applyNumberFormat="1" applyFont="1" applyFill="1" applyBorder="1" applyAlignment="1">
      <alignment horizontal="center" vertical="center"/>
    </xf>
    <xf numFmtId="177" fontId="18" fillId="44" borderId="12" xfId="0" applyNumberFormat="1" applyFont="1" applyFill="1" applyBorder="1" applyAlignment="1">
      <alignment horizontal="center" vertical="center"/>
    </xf>
    <xf numFmtId="177" fontId="18" fillId="44" borderId="8" xfId="0" applyNumberFormat="1" applyFont="1" applyFill="1" applyBorder="1" applyAlignment="1">
      <alignment horizontal="center" vertical="center"/>
    </xf>
    <xf numFmtId="177" fontId="18" fillId="44" borderId="9" xfId="0" applyNumberFormat="1" applyFont="1" applyFill="1" applyBorder="1" applyAlignment="1">
      <alignment horizontal="center" vertical="center"/>
    </xf>
    <xf numFmtId="177" fontId="18" fillId="44" borderId="20" xfId="0" applyNumberFormat="1" applyFont="1" applyFill="1" applyBorder="1" applyAlignment="1">
      <alignment horizontal="center" vertical="center"/>
    </xf>
    <xf numFmtId="17" fontId="135" fillId="36" borderId="10" xfId="0" applyNumberFormat="1" applyFont="1" applyFill="1" applyBorder="1" applyAlignment="1">
      <alignment horizontal="center" vertical="center"/>
    </xf>
    <xf numFmtId="49" fontId="135" fillId="36" borderId="3" xfId="0" applyNumberFormat="1" applyFont="1" applyFill="1" applyBorder="1" applyAlignment="1">
      <alignment horizontal="center" vertical="center"/>
    </xf>
    <xf numFmtId="49" fontId="135" fillId="36" borderId="12" xfId="0" applyNumberFormat="1" applyFont="1" applyFill="1" applyBorder="1" applyAlignment="1">
      <alignment horizontal="center" vertical="center"/>
    </xf>
    <xf numFmtId="49" fontId="135" fillId="36" borderId="8" xfId="0" applyNumberFormat="1" applyFont="1" applyFill="1" applyBorder="1" applyAlignment="1">
      <alignment horizontal="center" vertical="center"/>
    </xf>
    <xf numFmtId="49" fontId="135" fillId="36" borderId="9" xfId="0" applyNumberFormat="1" applyFont="1" applyFill="1" applyBorder="1" applyAlignment="1">
      <alignment horizontal="center" vertical="center"/>
    </xf>
    <xf numFmtId="49" fontId="135" fillId="36" borderId="20" xfId="0" applyNumberFormat="1" applyFont="1" applyFill="1" applyBorder="1" applyAlignment="1">
      <alignment horizontal="center" vertical="center"/>
    </xf>
    <xf numFmtId="4" fontId="16" fillId="14" borderId="9" xfId="1" applyNumberFormat="1" applyFill="1" applyBorder="1" applyAlignment="1">
      <alignment horizontal="center" vertical="center"/>
    </xf>
    <xf numFmtId="17" fontId="103" fillId="20" borderId="10" xfId="0" applyNumberFormat="1" applyFont="1" applyFill="1" applyBorder="1" applyAlignment="1">
      <alignment horizontal="center" vertical="center"/>
    </xf>
    <xf numFmtId="17" fontId="103" fillId="13" borderId="10" xfId="0" applyNumberFormat="1" applyFont="1" applyFill="1" applyBorder="1" applyAlignment="1">
      <alignment horizontal="center" vertical="center"/>
    </xf>
    <xf numFmtId="49" fontId="103" fillId="13" borderId="3" xfId="0" applyNumberFormat="1" applyFont="1" applyFill="1" applyBorder="1" applyAlignment="1">
      <alignment horizontal="center" vertical="center"/>
    </xf>
    <xf numFmtId="49" fontId="103" fillId="13" borderId="12" xfId="0" applyNumberFormat="1" applyFont="1" applyFill="1" applyBorder="1" applyAlignment="1">
      <alignment horizontal="center" vertical="center"/>
    </xf>
    <xf numFmtId="49" fontId="103" fillId="13" borderId="8" xfId="0" applyNumberFormat="1" applyFont="1" applyFill="1" applyBorder="1" applyAlignment="1">
      <alignment horizontal="center" vertical="center"/>
    </xf>
    <xf numFmtId="49" fontId="103" fillId="13" borderId="9" xfId="0" applyNumberFormat="1" applyFont="1" applyFill="1" applyBorder="1" applyAlignment="1">
      <alignment horizontal="center" vertical="center"/>
    </xf>
    <xf numFmtId="49" fontId="103" fillId="13" borderId="20" xfId="0" applyNumberFormat="1" applyFont="1" applyFill="1" applyBorder="1" applyAlignment="1">
      <alignment horizontal="center" vertical="center"/>
    </xf>
    <xf numFmtId="17" fontId="18" fillId="20" borderId="10" xfId="0" applyNumberFormat="1" applyFont="1" applyFill="1" applyBorder="1" applyAlignment="1">
      <alignment horizontal="center" vertical="center"/>
    </xf>
    <xf numFmtId="177" fontId="103" fillId="33" borderId="10" xfId="0" applyNumberFormat="1" applyFont="1" applyFill="1" applyBorder="1" applyAlignment="1">
      <alignment horizontal="center" vertical="center"/>
    </xf>
    <xf numFmtId="177" fontId="103" fillId="33" borderId="3" xfId="0" applyNumberFormat="1" applyFont="1" applyFill="1" applyBorder="1" applyAlignment="1">
      <alignment horizontal="center" vertical="center"/>
    </xf>
    <xf numFmtId="177" fontId="103" fillId="33" borderId="12" xfId="0" applyNumberFormat="1" applyFont="1" applyFill="1" applyBorder="1" applyAlignment="1">
      <alignment horizontal="center" vertical="center"/>
    </xf>
    <xf numFmtId="177" fontId="103" fillId="33" borderId="8" xfId="0" applyNumberFormat="1" applyFont="1" applyFill="1" applyBorder="1" applyAlignment="1">
      <alignment horizontal="center" vertical="center"/>
    </xf>
    <xf numFmtId="177" fontId="103" fillId="33" borderId="9" xfId="0" applyNumberFormat="1" applyFont="1" applyFill="1" applyBorder="1" applyAlignment="1">
      <alignment horizontal="center" vertical="center"/>
    </xf>
    <xf numFmtId="177" fontId="103" fillId="33" borderId="20" xfId="0" applyNumberFormat="1" applyFont="1" applyFill="1" applyBorder="1" applyAlignment="1">
      <alignment horizontal="center" vertical="center"/>
    </xf>
    <xf numFmtId="17" fontId="103" fillId="29" borderId="10" xfId="0" applyNumberFormat="1" applyFont="1" applyFill="1" applyBorder="1" applyAlignment="1">
      <alignment horizontal="center" vertical="center"/>
    </xf>
    <xf numFmtId="49" fontId="103" fillId="29" borderId="3" xfId="0" applyNumberFormat="1" applyFont="1" applyFill="1" applyBorder="1" applyAlignment="1">
      <alignment horizontal="center" vertical="center"/>
    </xf>
    <xf numFmtId="49" fontId="103" fillId="29" borderId="12" xfId="0" applyNumberFormat="1" applyFont="1" applyFill="1" applyBorder="1" applyAlignment="1">
      <alignment horizontal="center" vertical="center"/>
    </xf>
    <xf numFmtId="49" fontId="103" fillId="29" borderId="8" xfId="0" applyNumberFormat="1" applyFont="1" applyFill="1" applyBorder="1" applyAlignment="1">
      <alignment horizontal="center" vertical="center"/>
    </xf>
    <xf numFmtId="49" fontId="103" fillId="29" borderId="9" xfId="0" applyNumberFormat="1" applyFont="1" applyFill="1" applyBorder="1" applyAlignment="1">
      <alignment horizontal="center" vertical="center"/>
    </xf>
    <xf numFmtId="49" fontId="103" fillId="29" borderId="20" xfId="0" applyNumberFormat="1" applyFont="1" applyFill="1" applyBorder="1" applyAlignment="1">
      <alignment horizontal="center" vertical="center"/>
    </xf>
    <xf numFmtId="177" fontId="18" fillId="49" borderId="10" xfId="0" applyNumberFormat="1" applyFont="1" applyFill="1" applyBorder="1" applyAlignment="1">
      <alignment horizontal="center" vertical="center"/>
    </xf>
    <xf numFmtId="177" fontId="18" fillId="49" borderId="3" xfId="0" applyNumberFormat="1" applyFont="1" applyFill="1" applyBorder="1" applyAlignment="1">
      <alignment horizontal="center" vertical="center"/>
    </xf>
    <xf numFmtId="177" fontId="18" fillId="49" borderId="12" xfId="0" applyNumberFormat="1" applyFont="1" applyFill="1" applyBorder="1" applyAlignment="1">
      <alignment horizontal="center" vertical="center"/>
    </xf>
    <xf numFmtId="177" fontId="18" fillId="49" borderId="8" xfId="0" applyNumberFormat="1" applyFont="1" applyFill="1" applyBorder="1" applyAlignment="1">
      <alignment horizontal="center" vertical="center"/>
    </xf>
    <xf numFmtId="177" fontId="18" fillId="49" borderId="9" xfId="0" applyNumberFormat="1" applyFont="1" applyFill="1" applyBorder="1" applyAlignment="1">
      <alignment horizontal="center" vertical="center"/>
    </xf>
    <xf numFmtId="177" fontId="18" fillId="49" borderId="20" xfId="0" applyNumberFormat="1" applyFont="1" applyFill="1" applyBorder="1" applyAlignment="1">
      <alignment horizontal="center" vertical="center"/>
    </xf>
    <xf numFmtId="177" fontId="18" fillId="4" borderId="10" xfId="0" applyNumberFormat="1" applyFont="1" applyFill="1" applyBorder="1" applyAlignment="1">
      <alignment horizontal="center" vertical="center"/>
    </xf>
    <xf numFmtId="177" fontId="18" fillId="4" borderId="3" xfId="0" applyNumberFormat="1" applyFont="1" applyFill="1" applyBorder="1" applyAlignment="1">
      <alignment horizontal="center" vertical="center"/>
    </xf>
    <xf numFmtId="177" fontId="18" fillId="4" borderId="12" xfId="0" applyNumberFormat="1" applyFont="1" applyFill="1" applyBorder="1" applyAlignment="1">
      <alignment horizontal="center" vertical="center"/>
    </xf>
    <xf numFmtId="177" fontId="18" fillId="4" borderId="8" xfId="0" applyNumberFormat="1" applyFont="1" applyFill="1" applyBorder="1" applyAlignment="1">
      <alignment horizontal="center" vertical="center"/>
    </xf>
    <xf numFmtId="177" fontId="18" fillId="4" borderId="9" xfId="0" applyNumberFormat="1" applyFont="1" applyFill="1" applyBorder="1" applyAlignment="1">
      <alignment horizontal="center" vertical="center"/>
    </xf>
    <xf numFmtId="177" fontId="18" fillId="4" borderId="20" xfId="0" applyNumberFormat="1" applyFont="1" applyFill="1" applyBorder="1" applyAlignment="1">
      <alignment horizontal="center" vertical="center"/>
    </xf>
    <xf numFmtId="177" fontId="18" fillId="45" borderId="10" xfId="0" applyNumberFormat="1" applyFont="1" applyFill="1" applyBorder="1" applyAlignment="1">
      <alignment horizontal="center" vertical="center"/>
    </xf>
    <xf numFmtId="177" fontId="18" fillId="45" borderId="3" xfId="0" applyNumberFormat="1" applyFont="1" applyFill="1" applyBorder="1" applyAlignment="1">
      <alignment horizontal="center" vertical="center"/>
    </xf>
    <xf numFmtId="177" fontId="18" fillId="45" borderId="12" xfId="0" applyNumberFormat="1" applyFont="1" applyFill="1" applyBorder="1" applyAlignment="1">
      <alignment horizontal="center" vertical="center"/>
    </xf>
    <xf numFmtId="177" fontId="18" fillId="45" borderId="8" xfId="0" applyNumberFormat="1" applyFont="1" applyFill="1" applyBorder="1" applyAlignment="1">
      <alignment horizontal="center" vertical="center"/>
    </xf>
    <xf numFmtId="177" fontId="18" fillId="45" borderId="9" xfId="0" applyNumberFormat="1" applyFont="1" applyFill="1" applyBorder="1" applyAlignment="1">
      <alignment horizontal="center" vertical="center"/>
    </xf>
    <xf numFmtId="177" fontId="18" fillId="45" borderId="20" xfId="0" applyNumberFormat="1" applyFont="1" applyFill="1" applyBorder="1" applyAlignment="1">
      <alignment horizontal="center" vertical="center"/>
    </xf>
    <xf numFmtId="177" fontId="18" fillId="43" borderId="10" xfId="0" applyNumberFormat="1" applyFont="1" applyFill="1" applyBorder="1" applyAlignment="1">
      <alignment horizontal="center" vertical="center"/>
    </xf>
    <xf numFmtId="177" fontId="18" fillId="43" borderId="3" xfId="0" applyNumberFormat="1" applyFont="1" applyFill="1" applyBorder="1" applyAlignment="1">
      <alignment horizontal="center" vertical="center"/>
    </xf>
    <xf numFmtId="177" fontId="18" fillId="43" borderId="12" xfId="0" applyNumberFormat="1" applyFont="1" applyFill="1" applyBorder="1" applyAlignment="1">
      <alignment horizontal="center" vertical="center"/>
    </xf>
    <xf numFmtId="177" fontId="18" fillId="43" borderId="8" xfId="0" applyNumberFormat="1" applyFont="1" applyFill="1" applyBorder="1" applyAlignment="1">
      <alignment horizontal="center" vertical="center"/>
    </xf>
    <xf numFmtId="177" fontId="18" fillId="43" borderId="9" xfId="0" applyNumberFormat="1" applyFont="1" applyFill="1" applyBorder="1" applyAlignment="1">
      <alignment horizontal="center" vertical="center"/>
    </xf>
    <xf numFmtId="177" fontId="18" fillId="43" borderId="20" xfId="0" applyNumberFormat="1" applyFont="1" applyFill="1" applyBorder="1" applyAlignment="1">
      <alignment horizontal="center" vertical="center"/>
    </xf>
    <xf numFmtId="177" fontId="18" fillId="37" borderId="10" xfId="0" applyNumberFormat="1" applyFont="1" applyFill="1" applyBorder="1" applyAlignment="1">
      <alignment horizontal="center" vertical="center"/>
    </xf>
    <xf numFmtId="177" fontId="18" fillId="37" borderId="3" xfId="0" applyNumberFormat="1" applyFont="1" applyFill="1" applyBorder="1" applyAlignment="1">
      <alignment horizontal="center" vertical="center"/>
    </xf>
    <xf numFmtId="177" fontId="18" fillId="37" borderId="12" xfId="0" applyNumberFormat="1" applyFont="1" applyFill="1" applyBorder="1" applyAlignment="1">
      <alignment horizontal="center" vertical="center"/>
    </xf>
    <xf numFmtId="177" fontId="18" fillId="37" borderId="8" xfId="0" applyNumberFormat="1" applyFont="1" applyFill="1" applyBorder="1" applyAlignment="1">
      <alignment horizontal="center" vertical="center"/>
    </xf>
    <xf numFmtId="177" fontId="18" fillId="37" borderId="9" xfId="0" applyNumberFormat="1" applyFont="1" applyFill="1" applyBorder="1" applyAlignment="1">
      <alignment horizontal="center" vertical="center"/>
    </xf>
    <xf numFmtId="177" fontId="18" fillId="37" borderId="20" xfId="0" applyNumberFormat="1" applyFont="1" applyFill="1" applyBorder="1" applyAlignment="1">
      <alignment horizontal="center" vertical="center"/>
    </xf>
    <xf numFmtId="0" fontId="18" fillId="9" borderId="10" xfId="0" applyFont="1" applyFill="1" applyBorder="1" applyAlignment="1">
      <alignment horizontal="center" vertical="center"/>
    </xf>
    <xf numFmtId="0" fontId="18" fillId="9" borderId="3" xfId="0" applyFont="1" applyFill="1" applyBorder="1" applyAlignment="1">
      <alignment horizontal="center" vertical="center"/>
    </xf>
    <xf numFmtId="0" fontId="18" fillId="9" borderId="12" xfId="0" applyFont="1" applyFill="1" applyBorder="1" applyAlignment="1">
      <alignment horizontal="center" vertical="center"/>
    </xf>
    <xf numFmtId="0" fontId="18" fillId="9" borderId="8" xfId="0" applyFont="1" applyFill="1" applyBorder="1" applyAlignment="1">
      <alignment horizontal="center" vertical="center"/>
    </xf>
    <xf numFmtId="0" fontId="18" fillId="9" borderId="9" xfId="0" applyFont="1" applyFill="1" applyBorder="1" applyAlignment="1">
      <alignment horizontal="center" vertical="center"/>
    </xf>
    <xf numFmtId="0" fontId="18" fillId="9" borderId="20" xfId="0" applyFont="1" applyFill="1" applyBorder="1" applyAlignment="1">
      <alignment horizontal="center" vertical="center"/>
    </xf>
    <xf numFmtId="0" fontId="18" fillId="44" borderId="10" xfId="0" applyFont="1" applyFill="1" applyBorder="1" applyAlignment="1">
      <alignment horizontal="center" vertical="center"/>
    </xf>
    <xf numFmtId="0" fontId="18" fillId="44" borderId="3" xfId="0" applyFont="1" applyFill="1" applyBorder="1" applyAlignment="1">
      <alignment horizontal="center" vertical="center"/>
    </xf>
    <xf numFmtId="0" fontId="18" fillId="44" borderId="12" xfId="0" applyFont="1" applyFill="1" applyBorder="1" applyAlignment="1">
      <alignment horizontal="center" vertical="center"/>
    </xf>
    <xf numFmtId="0" fontId="18" fillId="44" borderId="8" xfId="0" applyFont="1" applyFill="1" applyBorder="1" applyAlignment="1">
      <alignment horizontal="center" vertical="center"/>
    </xf>
    <xf numFmtId="0" fontId="18" fillId="44" borderId="9" xfId="0" applyFont="1" applyFill="1" applyBorder="1" applyAlignment="1">
      <alignment horizontal="center" vertical="center"/>
    </xf>
    <xf numFmtId="0" fontId="18" fillId="44" borderId="20" xfId="0" applyFont="1" applyFill="1" applyBorder="1" applyAlignment="1">
      <alignment horizontal="center" vertical="center"/>
    </xf>
    <xf numFmtId="2" fontId="18" fillId="40" borderId="10" xfId="0" applyNumberFormat="1" applyFont="1" applyFill="1" applyBorder="1" applyAlignment="1">
      <alignment horizontal="center" vertical="center" wrapText="1"/>
    </xf>
    <xf numFmtId="2" fontId="18" fillId="40" borderId="3" xfId="0" applyNumberFormat="1" applyFont="1" applyFill="1" applyBorder="1" applyAlignment="1">
      <alignment horizontal="center" vertical="center" wrapText="1"/>
    </xf>
    <xf numFmtId="2" fontId="18" fillId="40" borderId="12" xfId="0" applyNumberFormat="1" applyFont="1" applyFill="1" applyBorder="1" applyAlignment="1">
      <alignment horizontal="center" vertical="center" wrapText="1"/>
    </xf>
    <xf numFmtId="2" fontId="18" fillId="40" borderId="8" xfId="0" applyNumberFormat="1" applyFont="1" applyFill="1" applyBorder="1" applyAlignment="1">
      <alignment horizontal="center" vertical="center" wrapText="1"/>
    </xf>
    <xf numFmtId="2" fontId="18" fillId="40" borderId="9" xfId="0" applyNumberFormat="1" applyFont="1" applyFill="1" applyBorder="1" applyAlignment="1">
      <alignment horizontal="center" vertical="center" wrapText="1"/>
    </xf>
    <xf numFmtId="2" fontId="18" fillId="40" borderId="20" xfId="0" applyNumberFormat="1" applyFont="1" applyFill="1" applyBorder="1" applyAlignment="1">
      <alignment horizontal="center" vertical="center" wrapText="1"/>
    </xf>
    <xf numFmtId="3" fontId="25" fillId="0" borderId="5" xfId="1" applyNumberFormat="1" applyFont="1" applyBorder="1" applyAlignment="1">
      <alignment horizontal="center" vertical="center"/>
    </xf>
    <xf numFmtId="3" fontId="25" fillId="0" borderId="6" xfId="1" applyNumberFormat="1" applyFont="1" applyBorder="1" applyAlignment="1">
      <alignment horizontal="center" vertical="center"/>
    </xf>
    <xf numFmtId="3" fontId="25" fillId="0" borderId="79" xfId="1" applyNumberFormat="1" applyFont="1" applyBorder="1" applyAlignment="1">
      <alignment horizontal="center" vertical="center"/>
    </xf>
    <xf numFmtId="40" fontId="25" fillId="0" borderId="5" xfId="1" applyNumberFormat="1" applyFont="1" applyBorder="1" applyAlignment="1">
      <alignment horizontal="center" vertical="center"/>
    </xf>
    <xf numFmtId="40" fontId="25" fillId="0" borderId="6" xfId="1" applyNumberFormat="1" applyFont="1" applyBorder="1" applyAlignment="1">
      <alignment horizontal="center" vertical="center"/>
    </xf>
    <xf numFmtId="40" fontId="25" fillId="0" borderId="79" xfId="1" applyNumberFormat="1" applyFont="1" applyBorder="1" applyAlignment="1">
      <alignment horizontal="center" vertical="center"/>
    </xf>
    <xf numFmtId="17" fontId="103" fillId="33" borderId="10" xfId="0" applyNumberFormat="1" applyFont="1" applyFill="1" applyBorder="1" applyAlignment="1">
      <alignment horizontal="center" vertical="center"/>
    </xf>
    <xf numFmtId="49" fontId="103" fillId="33" borderId="3" xfId="0" applyNumberFormat="1" applyFont="1" applyFill="1" applyBorder="1" applyAlignment="1">
      <alignment horizontal="center" vertical="center"/>
    </xf>
    <xf numFmtId="49" fontId="103" fillId="33" borderId="12" xfId="0" applyNumberFormat="1" applyFont="1" applyFill="1" applyBorder="1" applyAlignment="1">
      <alignment horizontal="center" vertical="center"/>
    </xf>
    <xf numFmtId="49" fontId="103" fillId="33" borderId="8" xfId="0" applyNumberFormat="1" applyFont="1" applyFill="1" applyBorder="1" applyAlignment="1">
      <alignment horizontal="center" vertical="center"/>
    </xf>
    <xf numFmtId="49" fontId="103" fillId="33" borderId="9" xfId="0" applyNumberFormat="1" applyFont="1" applyFill="1" applyBorder="1" applyAlignment="1">
      <alignment horizontal="center" vertical="center"/>
    </xf>
    <xf numFmtId="49" fontId="103" fillId="33" borderId="20" xfId="0" applyNumberFormat="1" applyFont="1" applyFill="1" applyBorder="1" applyAlignment="1">
      <alignment horizontal="center" vertical="center"/>
    </xf>
    <xf numFmtId="177" fontId="103" fillId="44" borderId="10" xfId="0" applyNumberFormat="1" applyFont="1" applyFill="1" applyBorder="1" applyAlignment="1">
      <alignment horizontal="center" vertical="center"/>
    </xf>
    <xf numFmtId="177" fontId="103" fillId="44" borderId="3" xfId="0" applyNumberFormat="1" applyFont="1" applyFill="1" applyBorder="1" applyAlignment="1">
      <alignment horizontal="center" vertical="center"/>
    </xf>
    <xf numFmtId="177" fontId="103" fillId="44" borderId="12" xfId="0" applyNumberFormat="1" applyFont="1" applyFill="1" applyBorder="1" applyAlignment="1">
      <alignment horizontal="center" vertical="center"/>
    </xf>
    <xf numFmtId="177" fontId="103" fillId="44" borderId="8" xfId="0" applyNumberFormat="1" applyFont="1" applyFill="1" applyBorder="1" applyAlignment="1">
      <alignment horizontal="center" vertical="center"/>
    </xf>
    <xf numFmtId="177" fontId="103" fillId="44" borderId="9" xfId="0" applyNumberFormat="1" applyFont="1" applyFill="1" applyBorder="1" applyAlignment="1">
      <alignment horizontal="center" vertical="center"/>
    </xf>
    <xf numFmtId="177" fontId="103" fillId="44" borderId="20" xfId="0" applyNumberFormat="1" applyFont="1" applyFill="1" applyBorder="1" applyAlignment="1">
      <alignment horizontal="center" vertical="center"/>
    </xf>
    <xf numFmtId="177" fontId="103" fillId="18" borderId="10" xfId="0" applyNumberFormat="1" applyFont="1" applyFill="1" applyBorder="1" applyAlignment="1">
      <alignment horizontal="center" vertical="center"/>
    </xf>
    <xf numFmtId="177" fontId="103" fillId="18" borderId="3" xfId="0" applyNumberFormat="1" applyFont="1" applyFill="1" applyBorder="1" applyAlignment="1">
      <alignment horizontal="center" vertical="center"/>
    </xf>
    <xf numFmtId="177" fontId="103" fillId="18" borderId="12" xfId="0" applyNumberFormat="1" applyFont="1" applyFill="1" applyBorder="1" applyAlignment="1">
      <alignment horizontal="center" vertical="center"/>
    </xf>
    <xf numFmtId="177" fontId="103" fillId="18" borderId="8" xfId="0" applyNumberFormat="1" applyFont="1" applyFill="1" applyBorder="1" applyAlignment="1">
      <alignment horizontal="center" vertical="center"/>
    </xf>
    <xf numFmtId="177" fontId="103" fillId="18" borderId="9" xfId="0" applyNumberFormat="1" applyFont="1" applyFill="1" applyBorder="1" applyAlignment="1">
      <alignment horizontal="center" vertical="center"/>
    </xf>
    <xf numFmtId="177" fontId="103" fillId="18" borderId="20" xfId="0" applyNumberFormat="1" applyFont="1" applyFill="1" applyBorder="1" applyAlignment="1">
      <alignment horizontal="center" vertical="center"/>
    </xf>
    <xf numFmtId="49" fontId="18" fillId="35" borderId="10" xfId="0" applyNumberFormat="1" applyFont="1" applyFill="1" applyBorder="1" applyAlignment="1">
      <alignment horizontal="center" vertical="center"/>
    </xf>
    <xf numFmtId="49" fontId="18" fillId="35" borderId="3" xfId="0" applyNumberFormat="1" applyFont="1" applyFill="1" applyBorder="1" applyAlignment="1">
      <alignment horizontal="center" vertical="center"/>
    </xf>
    <xf numFmtId="49" fontId="18" fillId="35" borderId="12" xfId="0" applyNumberFormat="1" applyFont="1" applyFill="1" applyBorder="1" applyAlignment="1">
      <alignment horizontal="center" vertical="center"/>
    </xf>
    <xf numFmtId="49" fontId="18" fillId="35" borderId="8" xfId="0" applyNumberFormat="1" applyFont="1" applyFill="1" applyBorder="1" applyAlignment="1">
      <alignment horizontal="center" vertical="center"/>
    </xf>
    <xf numFmtId="49" fontId="18" fillId="35" borderId="9" xfId="0" applyNumberFormat="1" applyFont="1" applyFill="1" applyBorder="1" applyAlignment="1">
      <alignment horizontal="center" vertical="center"/>
    </xf>
    <xf numFmtId="49" fontId="18" fillId="35" borderId="20" xfId="0" applyNumberFormat="1" applyFont="1" applyFill="1" applyBorder="1" applyAlignment="1">
      <alignment horizontal="center" vertical="center"/>
    </xf>
    <xf numFmtId="17" fontId="18" fillId="30" borderId="10" xfId="0" applyNumberFormat="1" applyFont="1" applyFill="1" applyBorder="1" applyAlignment="1">
      <alignment horizontal="center" vertical="center"/>
    </xf>
    <xf numFmtId="17" fontId="18" fillId="13" borderId="10" xfId="0" applyNumberFormat="1" applyFont="1" applyFill="1" applyBorder="1" applyAlignment="1">
      <alignment horizontal="center" vertical="center"/>
    </xf>
    <xf numFmtId="17" fontId="18" fillId="33" borderId="10" xfId="0" applyNumberFormat="1" applyFont="1" applyFill="1" applyBorder="1" applyAlignment="1">
      <alignment horizontal="center" vertical="center"/>
    </xf>
    <xf numFmtId="17" fontId="103" fillId="29" borderId="3" xfId="0" applyNumberFormat="1" applyFont="1" applyFill="1" applyBorder="1" applyAlignment="1">
      <alignment horizontal="center" vertical="center"/>
    </xf>
    <xf numFmtId="17" fontId="103" fillId="29" borderId="12" xfId="0" applyNumberFormat="1" applyFont="1" applyFill="1" applyBorder="1" applyAlignment="1">
      <alignment horizontal="center" vertical="center"/>
    </xf>
    <xf numFmtId="17" fontId="103" fillId="29" borderId="8" xfId="0" applyNumberFormat="1" applyFont="1" applyFill="1" applyBorder="1" applyAlignment="1">
      <alignment horizontal="center" vertical="center"/>
    </xf>
    <xf numFmtId="17" fontId="103" fillId="29" borderId="9" xfId="0" applyNumberFormat="1" applyFont="1" applyFill="1" applyBorder="1" applyAlignment="1">
      <alignment horizontal="center" vertical="center"/>
    </xf>
    <xf numFmtId="17" fontId="103" fillId="29" borderId="20" xfId="0" applyNumberFormat="1" applyFont="1" applyFill="1" applyBorder="1" applyAlignment="1">
      <alignment horizontal="center" vertical="center"/>
    </xf>
    <xf numFmtId="17" fontId="18" fillId="9" borderId="3" xfId="0" applyNumberFormat="1" applyFont="1" applyFill="1" applyBorder="1" applyAlignment="1">
      <alignment horizontal="center" vertical="center"/>
    </xf>
    <xf numFmtId="17" fontId="18" fillId="9" borderId="12" xfId="0" applyNumberFormat="1" applyFont="1" applyFill="1" applyBorder="1" applyAlignment="1">
      <alignment horizontal="center" vertical="center"/>
    </xf>
    <xf numFmtId="17" fontId="18" fillId="9" borderId="8" xfId="0" applyNumberFormat="1" applyFont="1" applyFill="1" applyBorder="1" applyAlignment="1">
      <alignment horizontal="center" vertical="center"/>
    </xf>
    <xf numFmtId="17" fontId="18" fillId="9" borderId="9" xfId="0" applyNumberFormat="1" applyFont="1" applyFill="1" applyBorder="1" applyAlignment="1">
      <alignment horizontal="center" vertical="center"/>
    </xf>
    <xf numFmtId="17" fontId="18" fillId="9" borderId="20" xfId="0" applyNumberFormat="1" applyFont="1" applyFill="1" applyBorder="1" applyAlignment="1">
      <alignment horizontal="center" vertical="center"/>
    </xf>
    <xf numFmtId="17" fontId="18" fillId="20" borderId="3" xfId="0" applyNumberFormat="1" applyFont="1" applyFill="1" applyBorder="1" applyAlignment="1">
      <alignment horizontal="center" vertical="center"/>
    </xf>
    <xf numFmtId="17" fontId="18" fillId="20" borderId="12" xfId="0" applyNumberFormat="1" applyFont="1" applyFill="1" applyBorder="1" applyAlignment="1">
      <alignment horizontal="center" vertical="center"/>
    </xf>
    <xf numFmtId="17" fontId="18" fillId="20" borderId="8" xfId="0" applyNumberFormat="1" applyFont="1" applyFill="1" applyBorder="1" applyAlignment="1">
      <alignment horizontal="center" vertical="center"/>
    </xf>
    <xf numFmtId="17" fontId="18" fillId="20" borderId="9" xfId="0" applyNumberFormat="1" applyFont="1" applyFill="1" applyBorder="1" applyAlignment="1">
      <alignment horizontal="center" vertical="center"/>
    </xf>
    <xf numFmtId="17" fontId="18" fillId="20" borderId="20" xfId="0" applyNumberFormat="1" applyFont="1" applyFill="1" applyBorder="1" applyAlignment="1">
      <alignment horizontal="center" vertical="center"/>
    </xf>
    <xf numFmtId="17" fontId="18" fillId="33" borderId="3" xfId="0" applyNumberFormat="1" applyFont="1" applyFill="1" applyBorder="1" applyAlignment="1">
      <alignment horizontal="center" vertical="center"/>
    </xf>
    <xf numFmtId="17" fontId="18" fillId="33" borderId="12" xfId="0" applyNumberFormat="1" applyFont="1" applyFill="1" applyBorder="1" applyAlignment="1">
      <alignment horizontal="center" vertical="center"/>
    </xf>
    <xf numFmtId="17" fontId="18" fillId="33" borderId="8" xfId="0" applyNumberFormat="1" applyFont="1" applyFill="1" applyBorder="1" applyAlignment="1">
      <alignment horizontal="center" vertical="center"/>
    </xf>
    <xf numFmtId="17" fontId="18" fillId="33" borderId="9" xfId="0" applyNumberFormat="1" applyFont="1" applyFill="1" applyBorder="1" applyAlignment="1">
      <alignment horizontal="center" vertical="center"/>
    </xf>
    <xf numFmtId="17" fontId="18" fillId="33" borderId="20" xfId="0" applyNumberFormat="1" applyFont="1" applyFill="1" applyBorder="1" applyAlignment="1">
      <alignment horizontal="center" vertical="center"/>
    </xf>
    <xf numFmtId="17" fontId="135" fillId="36" borderId="3" xfId="0" applyNumberFormat="1" applyFont="1" applyFill="1" applyBorder="1" applyAlignment="1">
      <alignment horizontal="center" vertical="center"/>
    </xf>
    <xf numFmtId="17" fontId="135" fillId="36" borderId="12" xfId="0" applyNumberFormat="1" applyFont="1" applyFill="1" applyBorder="1" applyAlignment="1">
      <alignment horizontal="center" vertical="center"/>
    </xf>
    <xf numFmtId="17" fontId="135" fillId="36" borderId="8" xfId="0" applyNumberFormat="1" applyFont="1" applyFill="1" applyBorder="1" applyAlignment="1">
      <alignment horizontal="center" vertical="center"/>
    </xf>
    <xf numFmtId="17" fontId="135" fillId="36" borderId="9" xfId="0" applyNumberFormat="1" applyFont="1" applyFill="1" applyBorder="1" applyAlignment="1">
      <alignment horizontal="center" vertical="center"/>
    </xf>
    <xf numFmtId="17" fontId="135" fillId="36" borderId="20" xfId="0" applyNumberFormat="1" applyFont="1" applyFill="1" applyBorder="1" applyAlignment="1">
      <alignment horizontal="center" vertical="center"/>
    </xf>
    <xf numFmtId="17" fontId="103" fillId="20" borderId="3" xfId="0" applyNumberFormat="1" applyFont="1" applyFill="1" applyBorder="1" applyAlignment="1">
      <alignment horizontal="center" vertical="center"/>
    </xf>
    <xf numFmtId="17" fontId="103" fillId="20" borderId="12" xfId="0" applyNumberFormat="1" applyFont="1" applyFill="1" applyBorder="1" applyAlignment="1">
      <alignment horizontal="center" vertical="center"/>
    </xf>
    <xf numFmtId="17" fontId="103" fillId="20" borderId="8" xfId="0" applyNumberFormat="1" applyFont="1" applyFill="1" applyBorder="1" applyAlignment="1">
      <alignment horizontal="center" vertical="center"/>
    </xf>
    <xf numFmtId="17" fontId="103" fillId="20" borderId="9" xfId="0" applyNumberFormat="1" applyFont="1" applyFill="1" applyBorder="1" applyAlignment="1">
      <alignment horizontal="center" vertical="center"/>
    </xf>
    <xf numFmtId="17" fontId="103" fillId="20" borderId="20" xfId="0" applyNumberFormat="1" applyFont="1" applyFill="1" applyBorder="1" applyAlignment="1">
      <alignment horizontal="center" vertical="center"/>
    </xf>
    <xf numFmtId="17" fontId="103" fillId="13" borderId="3" xfId="0" applyNumberFormat="1" applyFont="1" applyFill="1" applyBorder="1" applyAlignment="1">
      <alignment horizontal="center" vertical="center"/>
    </xf>
    <xf numFmtId="17" fontId="103" fillId="13" borderId="12" xfId="0" applyNumberFormat="1" applyFont="1" applyFill="1" applyBorder="1" applyAlignment="1">
      <alignment horizontal="center" vertical="center"/>
    </xf>
    <xf numFmtId="17" fontId="103" fillId="13" borderId="8" xfId="0" applyNumberFormat="1" applyFont="1" applyFill="1" applyBorder="1" applyAlignment="1">
      <alignment horizontal="center" vertical="center"/>
    </xf>
    <xf numFmtId="17" fontId="103" fillId="13" borderId="9" xfId="0" applyNumberFormat="1" applyFont="1" applyFill="1" applyBorder="1" applyAlignment="1">
      <alignment horizontal="center" vertical="center"/>
    </xf>
    <xf numFmtId="17" fontId="103" fillId="13" borderId="20" xfId="0" applyNumberFormat="1" applyFont="1" applyFill="1" applyBorder="1" applyAlignment="1">
      <alignment horizontal="center" vertical="center"/>
    </xf>
    <xf numFmtId="0" fontId="18" fillId="10" borderId="10" xfId="0" applyFont="1" applyFill="1" applyBorder="1" applyAlignment="1">
      <alignment horizontal="center" vertical="center"/>
    </xf>
    <xf numFmtId="0" fontId="18" fillId="10" borderId="3" xfId="0" applyFont="1" applyFill="1" applyBorder="1" applyAlignment="1">
      <alignment horizontal="center" vertical="center"/>
    </xf>
    <xf numFmtId="0" fontId="18" fillId="10" borderId="12" xfId="0" applyFont="1" applyFill="1" applyBorder="1" applyAlignment="1">
      <alignment horizontal="center" vertical="center"/>
    </xf>
  </cellXfs>
  <cellStyles count="8868">
    <cellStyle name="01" xfId="105" xr:uid="{00000000-0005-0000-0000-000000000000}"/>
    <cellStyle name="Comma 2" xfId="614" xr:uid="{00000000-0005-0000-0000-000001000000}"/>
    <cellStyle name="Excel Built-in Normal" xfId="572" xr:uid="{00000000-0005-0000-0000-000002000000}"/>
    <cellStyle name="IvkDocStyle 1" xfId="410" xr:uid="{00000000-0005-0000-0000-000003000000}"/>
    <cellStyle name="IvkDocStyle 1 2" xfId="573" xr:uid="{00000000-0005-0000-0000-000004000000}"/>
    <cellStyle name="IvkDocStyle 10" xfId="411" xr:uid="{00000000-0005-0000-0000-000005000000}"/>
    <cellStyle name="IvkDocStyle 10 2" xfId="574" xr:uid="{00000000-0005-0000-0000-000006000000}"/>
    <cellStyle name="IvkDocStyle 100" xfId="412" xr:uid="{00000000-0005-0000-0000-000007000000}"/>
    <cellStyle name="IvkDocStyle 101" xfId="413" xr:uid="{00000000-0005-0000-0000-000008000000}"/>
    <cellStyle name="IvkDocStyle 102" xfId="414" xr:uid="{00000000-0005-0000-0000-000009000000}"/>
    <cellStyle name="IvkDocStyle 103" xfId="415" xr:uid="{00000000-0005-0000-0000-00000A000000}"/>
    <cellStyle name="IvkDocStyle 104" xfId="416" xr:uid="{00000000-0005-0000-0000-00000B000000}"/>
    <cellStyle name="IvkDocStyle 105" xfId="417" xr:uid="{00000000-0005-0000-0000-00000C000000}"/>
    <cellStyle name="IvkDocStyle 106" xfId="418" xr:uid="{00000000-0005-0000-0000-00000D000000}"/>
    <cellStyle name="IvkDocStyle 107" xfId="419" xr:uid="{00000000-0005-0000-0000-00000E000000}"/>
    <cellStyle name="IvkDocStyle 108" xfId="420" xr:uid="{00000000-0005-0000-0000-00000F000000}"/>
    <cellStyle name="IvkDocStyle 109" xfId="421" xr:uid="{00000000-0005-0000-0000-000010000000}"/>
    <cellStyle name="IvkDocStyle 11" xfId="422" xr:uid="{00000000-0005-0000-0000-000011000000}"/>
    <cellStyle name="IvkDocStyle 11 2" xfId="575" xr:uid="{00000000-0005-0000-0000-000012000000}"/>
    <cellStyle name="IvkDocStyle 110" xfId="423" xr:uid="{00000000-0005-0000-0000-000013000000}"/>
    <cellStyle name="IvkDocStyle 111" xfId="424" xr:uid="{00000000-0005-0000-0000-000014000000}"/>
    <cellStyle name="IvkDocStyle 112" xfId="425" xr:uid="{00000000-0005-0000-0000-000015000000}"/>
    <cellStyle name="IvkDocStyle 113" xfId="426" xr:uid="{00000000-0005-0000-0000-000016000000}"/>
    <cellStyle name="IvkDocStyle 114" xfId="427" xr:uid="{00000000-0005-0000-0000-000017000000}"/>
    <cellStyle name="IvkDocStyle 115" xfId="428" xr:uid="{00000000-0005-0000-0000-000018000000}"/>
    <cellStyle name="IvkDocStyle 116" xfId="429" xr:uid="{00000000-0005-0000-0000-000019000000}"/>
    <cellStyle name="IvkDocStyle 117" xfId="430" xr:uid="{00000000-0005-0000-0000-00001A000000}"/>
    <cellStyle name="IvkDocStyle 118" xfId="431" xr:uid="{00000000-0005-0000-0000-00001B000000}"/>
    <cellStyle name="IvkDocStyle 119" xfId="432" xr:uid="{00000000-0005-0000-0000-00001C000000}"/>
    <cellStyle name="IvkDocStyle 12" xfId="433" xr:uid="{00000000-0005-0000-0000-00001D000000}"/>
    <cellStyle name="IvkDocStyle 12 2" xfId="576" xr:uid="{00000000-0005-0000-0000-00001E000000}"/>
    <cellStyle name="IvkDocStyle 120" xfId="434" xr:uid="{00000000-0005-0000-0000-00001F000000}"/>
    <cellStyle name="IvkDocStyle 121" xfId="435" xr:uid="{00000000-0005-0000-0000-000020000000}"/>
    <cellStyle name="IvkDocStyle 122" xfId="436" xr:uid="{00000000-0005-0000-0000-000021000000}"/>
    <cellStyle name="IvkDocStyle 123" xfId="437" xr:uid="{00000000-0005-0000-0000-000022000000}"/>
    <cellStyle name="IvkDocStyle 124" xfId="438" xr:uid="{00000000-0005-0000-0000-000023000000}"/>
    <cellStyle name="IvkDocStyle 125" xfId="439" xr:uid="{00000000-0005-0000-0000-000024000000}"/>
    <cellStyle name="IvkDocStyle 126" xfId="440" xr:uid="{00000000-0005-0000-0000-000025000000}"/>
    <cellStyle name="IvkDocStyle 127" xfId="441" xr:uid="{00000000-0005-0000-0000-000026000000}"/>
    <cellStyle name="IvkDocStyle 128" xfId="442" xr:uid="{00000000-0005-0000-0000-000027000000}"/>
    <cellStyle name="IvkDocStyle 129" xfId="443" xr:uid="{00000000-0005-0000-0000-000028000000}"/>
    <cellStyle name="IvkDocStyle 13" xfId="444" xr:uid="{00000000-0005-0000-0000-000029000000}"/>
    <cellStyle name="IvkDocStyle 13 2" xfId="577" xr:uid="{00000000-0005-0000-0000-00002A000000}"/>
    <cellStyle name="IvkDocStyle 130" xfId="445" xr:uid="{00000000-0005-0000-0000-00002B000000}"/>
    <cellStyle name="IvkDocStyle 131" xfId="446" xr:uid="{00000000-0005-0000-0000-00002C000000}"/>
    <cellStyle name="IvkDocStyle 132" xfId="447" xr:uid="{00000000-0005-0000-0000-00002D000000}"/>
    <cellStyle name="IvkDocStyle 133" xfId="448" xr:uid="{00000000-0005-0000-0000-00002E000000}"/>
    <cellStyle name="IvkDocStyle 134" xfId="449" xr:uid="{00000000-0005-0000-0000-00002F000000}"/>
    <cellStyle name="IvkDocStyle 135" xfId="450" xr:uid="{00000000-0005-0000-0000-000030000000}"/>
    <cellStyle name="IvkDocStyle 136" xfId="451" xr:uid="{00000000-0005-0000-0000-000031000000}"/>
    <cellStyle name="IvkDocStyle 137" xfId="452" xr:uid="{00000000-0005-0000-0000-000032000000}"/>
    <cellStyle name="IvkDocStyle 138" xfId="453" xr:uid="{00000000-0005-0000-0000-000033000000}"/>
    <cellStyle name="IvkDocStyle 139" xfId="454" xr:uid="{00000000-0005-0000-0000-000034000000}"/>
    <cellStyle name="IvkDocStyle 14" xfId="455" xr:uid="{00000000-0005-0000-0000-000035000000}"/>
    <cellStyle name="IvkDocStyle 140" xfId="456" xr:uid="{00000000-0005-0000-0000-000036000000}"/>
    <cellStyle name="IvkDocStyle 141" xfId="457" xr:uid="{00000000-0005-0000-0000-000037000000}"/>
    <cellStyle name="IvkDocStyle 142" xfId="458" xr:uid="{00000000-0005-0000-0000-000038000000}"/>
    <cellStyle name="IvkDocStyle 143" xfId="459" xr:uid="{00000000-0005-0000-0000-000039000000}"/>
    <cellStyle name="IvkDocStyle 144" xfId="460" xr:uid="{00000000-0005-0000-0000-00003A000000}"/>
    <cellStyle name="IvkDocStyle 145" xfId="461" xr:uid="{00000000-0005-0000-0000-00003B000000}"/>
    <cellStyle name="IvkDocStyle 146" xfId="462" xr:uid="{00000000-0005-0000-0000-00003C000000}"/>
    <cellStyle name="IvkDocStyle 147" xfId="463" xr:uid="{00000000-0005-0000-0000-00003D000000}"/>
    <cellStyle name="IvkDocStyle 148" xfId="464" xr:uid="{00000000-0005-0000-0000-00003E000000}"/>
    <cellStyle name="IvkDocStyle 149" xfId="465" xr:uid="{00000000-0005-0000-0000-00003F000000}"/>
    <cellStyle name="IvkDocStyle 15" xfId="466" xr:uid="{00000000-0005-0000-0000-000040000000}"/>
    <cellStyle name="IvkDocStyle 150" xfId="467" xr:uid="{00000000-0005-0000-0000-000041000000}"/>
    <cellStyle name="IvkDocStyle 151" xfId="468" xr:uid="{00000000-0005-0000-0000-000042000000}"/>
    <cellStyle name="IvkDocStyle 152" xfId="469" xr:uid="{00000000-0005-0000-0000-000043000000}"/>
    <cellStyle name="IvkDocStyle 153" xfId="470" xr:uid="{00000000-0005-0000-0000-000044000000}"/>
    <cellStyle name="IvkDocStyle 154" xfId="471" xr:uid="{00000000-0005-0000-0000-000045000000}"/>
    <cellStyle name="IvkDocStyle 155" xfId="472" xr:uid="{00000000-0005-0000-0000-000046000000}"/>
    <cellStyle name="IvkDocStyle 156" xfId="473" xr:uid="{00000000-0005-0000-0000-000047000000}"/>
    <cellStyle name="IvkDocStyle 157" xfId="474" xr:uid="{00000000-0005-0000-0000-000048000000}"/>
    <cellStyle name="IvkDocStyle 16" xfId="475" xr:uid="{00000000-0005-0000-0000-000049000000}"/>
    <cellStyle name="IvkDocStyle 17" xfId="476" xr:uid="{00000000-0005-0000-0000-00004A000000}"/>
    <cellStyle name="IvkDocStyle 18" xfId="477" xr:uid="{00000000-0005-0000-0000-00004B000000}"/>
    <cellStyle name="IvkDocStyle 19" xfId="478" xr:uid="{00000000-0005-0000-0000-00004C000000}"/>
    <cellStyle name="IvkDocStyle 19 2" xfId="578" xr:uid="{00000000-0005-0000-0000-00004D000000}"/>
    <cellStyle name="IvkDocStyle 2" xfId="479" xr:uid="{00000000-0005-0000-0000-00004E000000}"/>
    <cellStyle name="IvkDocStyle 2 2" xfId="579" xr:uid="{00000000-0005-0000-0000-00004F000000}"/>
    <cellStyle name="IvkDocStyle 20" xfId="480" xr:uid="{00000000-0005-0000-0000-000050000000}"/>
    <cellStyle name="IvkDocStyle 20 2" xfId="580" xr:uid="{00000000-0005-0000-0000-000051000000}"/>
    <cellStyle name="IvkDocStyle 21" xfId="481" xr:uid="{00000000-0005-0000-0000-000052000000}"/>
    <cellStyle name="IvkDocStyle 21 2" xfId="581" xr:uid="{00000000-0005-0000-0000-000053000000}"/>
    <cellStyle name="IvkDocStyle 22" xfId="482" xr:uid="{00000000-0005-0000-0000-000054000000}"/>
    <cellStyle name="IvkDocStyle 22 2" xfId="582" xr:uid="{00000000-0005-0000-0000-000055000000}"/>
    <cellStyle name="IvkDocStyle 23" xfId="483" xr:uid="{00000000-0005-0000-0000-000056000000}"/>
    <cellStyle name="IvkDocStyle 23 2" xfId="583" xr:uid="{00000000-0005-0000-0000-000057000000}"/>
    <cellStyle name="IvkDocStyle 24" xfId="484" xr:uid="{00000000-0005-0000-0000-000058000000}"/>
    <cellStyle name="IvkDocStyle 24 2" xfId="584" xr:uid="{00000000-0005-0000-0000-000059000000}"/>
    <cellStyle name="IvkDocStyle 25" xfId="485" xr:uid="{00000000-0005-0000-0000-00005A000000}"/>
    <cellStyle name="IvkDocStyle 25 2" xfId="585" xr:uid="{00000000-0005-0000-0000-00005B000000}"/>
    <cellStyle name="IvkDocStyle 26" xfId="486" xr:uid="{00000000-0005-0000-0000-00005C000000}"/>
    <cellStyle name="IvkDocStyle 26 2" xfId="586" xr:uid="{00000000-0005-0000-0000-00005D000000}"/>
    <cellStyle name="IvkDocStyle 27" xfId="487" xr:uid="{00000000-0005-0000-0000-00005E000000}"/>
    <cellStyle name="IvkDocStyle 27 2" xfId="587" xr:uid="{00000000-0005-0000-0000-00005F000000}"/>
    <cellStyle name="IvkDocStyle 28" xfId="488" xr:uid="{00000000-0005-0000-0000-000060000000}"/>
    <cellStyle name="IvkDocStyle 28 2" xfId="588" xr:uid="{00000000-0005-0000-0000-000061000000}"/>
    <cellStyle name="IvkDocStyle 29" xfId="489" xr:uid="{00000000-0005-0000-0000-000062000000}"/>
    <cellStyle name="IvkDocStyle 29 2" xfId="589" xr:uid="{00000000-0005-0000-0000-000063000000}"/>
    <cellStyle name="IvkDocStyle 3" xfId="490" xr:uid="{00000000-0005-0000-0000-000064000000}"/>
    <cellStyle name="IvkDocStyle 3 2" xfId="590" xr:uid="{00000000-0005-0000-0000-000065000000}"/>
    <cellStyle name="IvkDocStyle 30" xfId="491" xr:uid="{00000000-0005-0000-0000-000066000000}"/>
    <cellStyle name="IvkDocStyle 30 2" xfId="591" xr:uid="{00000000-0005-0000-0000-000067000000}"/>
    <cellStyle name="IvkDocStyle 31" xfId="492" xr:uid="{00000000-0005-0000-0000-000068000000}"/>
    <cellStyle name="IvkDocStyle 31 2" xfId="592" xr:uid="{00000000-0005-0000-0000-000069000000}"/>
    <cellStyle name="IvkDocStyle 32" xfId="493" xr:uid="{00000000-0005-0000-0000-00006A000000}"/>
    <cellStyle name="IvkDocStyle 32 2" xfId="593" xr:uid="{00000000-0005-0000-0000-00006B000000}"/>
    <cellStyle name="IvkDocStyle 33" xfId="494" xr:uid="{00000000-0005-0000-0000-00006C000000}"/>
    <cellStyle name="IvkDocStyle 33 2" xfId="594" xr:uid="{00000000-0005-0000-0000-00006D000000}"/>
    <cellStyle name="IvkDocStyle 34" xfId="495" xr:uid="{00000000-0005-0000-0000-00006E000000}"/>
    <cellStyle name="IvkDocStyle 34 2" xfId="595" xr:uid="{00000000-0005-0000-0000-00006F000000}"/>
    <cellStyle name="IvkDocStyle 35" xfId="496" xr:uid="{00000000-0005-0000-0000-000070000000}"/>
    <cellStyle name="IvkDocStyle 35 2" xfId="596" xr:uid="{00000000-0005-0000-0000-000071000000}"/>
    <cellStyle name="IvkDocStyle 36" xfId="497" xr:uid="{00000000-0005-0000-0000-000072000000}"/>
    <cellStyle name="IvkDocStyle 36 2" xfId="597" xr:uid="{00000000-0005-0000-0000-000073000000}"/>
    <cellStyle name="IvkDocStyle 37" xfId="498" xr:uid="{00000000-0005-0000-0000-000074000000}"/>
    <cellStyle name="IvkDocStyle 38" xfId="499" xr:uid="{00000000-0005-0000-0000-000075000000}"/>
    <cellStyle name="IvkDocStyle 39" xfId="500" xr:uid="{00000000-0005-0000-0000-000076000000}"/>
    <cellStyle name="IvkDocStyle 39 2" xfId="598" xr:uid="{00000000-0005-0000-0000-000077000000}"/>
    <cellStyle name="IvkDocStyle 4" xfId="501" xr:uid="{00000000-0005-0000-0000-000078000000}"/>
    <cellStyle name="IvkDocStyle 4 2" xfId="599" xr:uid="{00000000-0005-0000-0000-000079000000}"/>
    <cellStyle name="IvkDocStyle 40" xfId="502" xr:uid="{00000000-0005-0000-0000-00007A000000}"/>
    <cellStyle name="IvkDocStyle 41" xfId="503" xr:uid="{00000000-0005-0000-0000-00007B000000}"/>
    <cellStyle name="IvkDocStyle 42" xfId="504" xr:uid="{00000000-0005-0000-0000-00007C000000}"/>
    <cellStyle name="IvkDocStyle 43" xfId="505" xr:uid="{00000000-0005-0000-0000-00007D000000}"/>
    <cellStyle name="IvkDocStyle 44" xfId="506" xr:uid="{00000000-0005-0000-0000-00007E000000}"/>
    <cellStyle name="IvkDocStyle 45" xfId="507" xr:uid="{00000000-0005-0000-0000-00007F000000}"/>
    <cellStyle name="IvkDocStyle 46" xfId="508" xr:uid="{00000000-0005-0000-0000-000080000000}"/>
    <cellStyle name="IvkDocStyle 47" xfId="509" xr:uid="{00000000-0005-0000-0000-000081000000}"/>
    <cellStyle name="IvkDocStyle 48" xfId="510" xr:uid="{00000000-0005-0000-0000-000082000000}"/>
    <cellStyle name="IvkDocStyle 49" xfId="511" xr:uid="{00000000-0005-0000-0000-000083000000}"/>
    <cellStyle name="IvkDocStyle 5" xfId="512" xr:uid="{00000000-0005-0000-0000-000084000000}"/>
    <cellStyle name="IvkDocStyle 5 2" xfId="600" xr:uid="{00000000-0005-0000-0000-000085000000}"/>
    <cellStyle name="IvkDocStyle 50" xfId="513" xr:uid="{00000000-0005-0000-0000-000086000000}"/>
    <cellStyle name="IvkDocStyle 51" xfId="514" xr:uid="{00000000-0005-0000-0000-000087000000}"/>
    <cellStyle name="IvkDocStyle 52" xfId="515" xr:uid="{00000000-0005-0000-0000-000088000000}"/>
    <cellStyle name="IvkDocStyle 53" xfId="516" xr:uid="{00000000-0005-0000-0000-000089000000}"/>
    <cellStyle name="IvkDocStyle 54" xfId="517" xr:uid="{00000000-0005-0000-0000-00008A000000}"/>
    <cellStyle name="IvkDocStyle 55" xfId="518" xr:uid="{00000000-0005-0000-0000-00008B000000}"/>
    <cellStyle name="IvkDocStyle 56" xfId="519" xr:uid="{00000000-0005-0000-0000-00008C000000}"/>
    <cellStyle name="IvkDocStyle 57" xfId="520" xr:uid="{00000000-0005-0000-0000-00008D000000}"/>
    <cellStyle name="IvkDocStyle 58" xfId="521" xr:uid="{00000000-0005-0000-0000-00008E000000}"/>
    <cellStyle name="IvkDocStyle 59" xfId="522" xr:uid="{00000000-0005-0000-0000-00008F000000}"/>
    <cellStyle name="IvkDocStyle 6" xfId="523" xr:uid="{00000000-0005-0000-0000-000090000000}"/>
    <cellStyle name="IvkDocStyle 6 2" xfId="601" xr:uid="{00000000-0005-0000-0000-000091000000}"/>
    <cellStyle name="IvkDocStyle 60" xfId="524" xr:uid="{00000000-0005-0000-0000-000092000000}"/>
    <cellStyle name="IvkDocStyle 61" xfId="525" xr:uid="{00000000-0005-0000-0000-000093000000}"/>
    <cellStyle name="IvkDocStyle 62" xfId="526" xr:uid="{00000000-0005-0000-0000-000094000000}"/>
    <cellStyle name="IvkDocStyle 63" xfId="527" xr:uid="{00000000-0005-0000-0000-000095000000}"/>
    <cellStyle name="IvkDocStyle 64" xfId="528" xr:uid="{00000000-0005-0000-0000-000096000000}"/>
    <cellStyle name="IvkDocStyle 65" xfId="529" xr:uid="{00000000-0005-0000-0000-000097000000}"/>
    <cellStyle name="IvkDocStyle 66" xfId="530" xr:uid="{00000000-0005-0000-0000-000098000000}"/>
    <cellStyle name="IvkDocStyle 67" xfId="531" xr:uid="{00000000-0005-0000-0000-000099000000}"/>
    <cellStyle name="IvkDocStyle 68" xfId="532" xr:uid="{00000000-0005-0000-0000-00009A000000}"/>
    <cellStyle name="IvkDocStyle 69" xfId="533" xr:uid="{00000000-0005-0000-0000-00009B000000}"/>
    <cellStyle name="IvkDocStyle 7" xfId="534" xr:uid="{00000000-0005-0000-0000-00009C000000}"/>
    <cellStyle name="IvkDocStyle 7 2" xfId="602" xr:uid="{00000000-0005-0000-0000-00009D000000}"/>
    <cellStyle name="IvkDocStyle 70" xfId="535" xr:uid="{00000000-0005-0000-0000-00009E000000}"/>
    <cellStyle name="IvkDocStyle 71" xfId="536" xr:uid="{00000000-0005-0000-0000-00009F000000}"/>
    <cellStyle name="IvkDocStyle 72" xfId="537" xr:uid="{00000000-0005-0000-0000-0000A0000000}"/>
    <cellStyle name="IvkDocStyle 73" xfId="538" xr:uid="{00000000-0005-0000-0000-0000A1000000}"/>
    <cellStyle name="IvkDocStyle 74" xfId="539" xr:uid="{00000000-0005-0000-0000-0000A2000000}"/>
    <cellStyle name="IvkDocStyle 75" xfId="540" xr:uid="{00000000-0005-0000-0000-0000A3000000}"/>
    <cellStyle name="IvkDocStyle 76" xfId="541" xr:uid="{00000000-0005-0000-0000-0000A4000000}"/>
    <cellStyle name="IvkDocStyle 77" xfId="542" xr:uid="{00000000-0005-0000-0000-0000A5000000}"/>
    <cellStyle name="IvkDocStyle 78" xfId="543" xr:uid="{00000000-0005-0000-0000-0000A6000000}"/>
    <cellStyle name="IvkDocStyle 79" xfId="544" xr:uid="{00000000-0005-0000-0000-0000A7000000}"/>
    <cellStyle name="IvkDocStyle 8" xfId="545" xr:uid="{00000000-0005-0000-0000-0000A8000000}"/>
    <cellStyle name="IvkDocStyle 80" xfId="546" xr:uid="{00000000-0005-0000-0000-0000A9000000}"/>
    <cellStyle name="IvkDocStyle 81" xfId="547" xr:uid="{00000000-0005-0000-0000-0000AA000000}"/>
    <cellStyle name="IvkDocStyle 82" xfId="548" xr:uid="{00000000-0005-0000-0000-0000AB000000}"/>
    <cellStyle name="IvkDocStyle 83" xfId="549" xr:uid="{00000000-0005-0000-0000-0000AC000000}"/>
    <cellStyle name="IvkDocStyle 84" xfId="550" xr:uid="{00000000-0005-0000-0000-0000AD000000}"/>
    <cellStyle name="IvkDocStyle 85" xfId="551" xr:uid="{00000000-0005-0000-0000-0000AE000000}"/>
    <cellStyle name="IvkDocStyle 86" xfId="552" xr:uid="{00000000-0005-0000-0000-0000AF000000}"/>
    <cellStyle name="IvkDocStyle 87" xfId="553" xr:uid="{00000000-0005-0000-0000-0000B0000000}"/>
    <cellStyle name="IvkDocStyle 88" xfId="554" xr:uid="{00000000-0005-0000-0000-0000B1000000}"/>
    <cellStyle name="IvkDocStyle 89" xfId="555" xr:uid="{00000000-0005-0000-0000-0000B2000000}"/>
    <cellStyle name="IvkDocStyle 9" xfId="556" xr:uid="{00000000-0005-0000-0000-0000B3000000}"/>
    <cellStyle name="IvkDocStyle 9 2" xfId="603" xr:uid="{00000000-0005-0000-0000-0000B4000000}"/>
    <cellStyle name="IvkDocStyle 90" xfId="557" xr:uid="{00000000-0005-0000-0000-0000B5000000}"/>
    <cellStyle name="IvkDocStyle 91" xfId="558" xr:uid="{00000000-0005-0000-0000-0000B6000000}"/>
    <cellStyle name="IvkDocStyle 92" xfId="559" xr:uid="{00000000-0005-0000-0000-0000B7000000}"/>
    <cellStyle name="IvkDocStyle 93" xfId="560" xr:uid="{00000000-0005-0000-0000-0000B8000000}"/>
    <cellStyle name="IvkDocStyle 94" xfId="561" xr:uid="{00000000-0005-0000-0000-0000B9000000}"/>
    <cellStyle name="IvkDocStyle 95" xfId="562" xr:uid="{00000000-0005-0000-0000-0000BA000000}"/>
    <cellStyle name="IvkDocStyle 96" xfId="563" xr:uid="{00000000-0005-0000-0000-0000BB000000}"/>
    <cellStyle name="IvkDocStyle 97" xfId="564" xr:uid="{00000000-0005-0000-0000-0000BC000000}"/>
    <cellStyle name="IvkDocStyle 98" xfId="565" xr:uid="{00000000-0005-0000-0000-0000BD000000}"/>
    <cellStyle name="IvkDocStyle 99" xfId="566" xr:uid="{00000000-0005-0000-0000-0000BE000000}"/>
    <cellStyle name="Normal 2" xfId="606" xr:uid="{00000000-0005-0000-0000-0000BF000000}"/>
    <cellStyle name="Normal 3" xfId="613" xr:uid="{00000000-0005-0000-0000-0000C0000000}"/>
    <cellStyle name="Normal_Cost Plan Alupka -- Notes -- Issue 1" xfId="620" xr:uid="{00000000-0005-0000-0000-0000C1000000}"/>
    <cellStyle name="TableStyleLight1" xfId="102" xr:uid="{00000000-0005-0000-0000-0000C2000000}"/>
    <cellStyle name="TableStyleLight1 2" xfId="630" xr:uid="{00000000-0005-0000-0000-0000C3000000}"/>
    <cellStyle name="TableStyleLight1_первоначальные работы" xfId="607" xr:uid="{00000000-0005-0000-0000-0000C4000000}"/>
    <cellStyle name="Денежный 2" xfId="101" xr:uid="{00000000-0005-0000-0000-0000C5000000}"/>
    <cellStyle name="Денежный 3" xfId="4335" xr:uid="{00000000-0005-0000-0000-0000C6000000}"/>
    <cellStyle name="Денежный 4" xfId="8758" xr:uid="{00000000-0005-0000-0000-0000C7000000}"/>
    <cellStyle name="Денежный 5" xfId="1055" xr:uid="{00000000-0005-0000-0000-0000C8000000}"/>
    <cellStyle name="Звичайний_Лист 1" xfId="8779" xr:uid="{00000000-0005-0000-0000-0000C9000000}"/>
    <cellStyle name="Обычный" xfId="0" builtinId="0"/>
    <cellStyle name="Обычный 10" xfId="106" xr:uid="{00000000-0005-0000-0000-0000CB000000}"/>
    <cellStyle name="Обычный 10 10" xfId="2241" xr:uid="{00000000-0005-0000-0000-0000CC000000}"/>
    <cellStyle name="Обычный 10 10 2" xfId="6092" xr:uid="{00000000-0005-0000-0000-0000CD000000}"/>
    <cellStyle name="Обычный 10 11" xfId="2537" xr:uid="{00000000-0005-0000-0000-0000CE000000}"/>
    <cellStyle name="Обычный 10 11 2" xfId="6388" xr:uid="{00000000-0005-0000-0000-0000CF000000}"/>
    <cellStyle name="Обычный 10 12" xfId="2833" xr:uid="{00000000-0005-0000-0000-0000D0000000}"/>
    <cellStyle name="Обычный 10 12 2" xfId="6684" xr:uid="{00000000-0005-0000-0000-0000D1000000}"/>
    <cellStyle name="Обычный 10 13" xfId="3129" xr:uid="{00000000-0005-0000-0000-0000D2000000}"/>
    <cellStyle name="Обычный 10 13 2" xfId="6980" xr:uid="{00000000-0005-0000-0000-0000D3000000}"/>
    <cellStyle name="Обычный 10 14" xfId="3425" xr:uid="{00000000-0005-0000-0000-0000D4000000}"/>
    <cellStyle name="Обычный 10 14 2" xfId="7276" xr:uid="{00000000-0005-0000-0000-0000D5000000}"/>
    <cellStyle name="Обычный 10 15" xfId="3721" xr:uid="{00000000-0005-0000-0000-0000D6000000}"/>
    <cellStyle name="Обычный 10 15 2" xfId="7572" xr:uid="{00000000-0005-0000-0000-0000D7000000}"/>
    <cellStyle name="Обычный 10 16" xfId="4017" xr:uid="{00000000-0005-0000-0000-0000D8000000}"/>
    <cellStyle name="Обычный 10 16 2" xfId="7868" xr:uid="{00000000-0005-0000-0000-0000D9000000}"/>
    <cellStyle name="Обычный 10 17" xfId="8164" xr:uid="{00000000-0005-0000-0000-0000DA000000}"/>
    <cellStyle name="Обычный 10 18" xfId="4313" xr:uid="{00000000-0005-0000-0000-0000DB000000}"/>
    <cellStyle name="Обычный 10 2" xfId="159" xr:uid="{00000000-0005-0000-0000-0000DC000000}"/>
    <cellStyle name="Обычный 10 2 10" xfId="2881" xr:uid="{00000000-0005-0000-0000-0000DD000000}"/>
    <cellStyle name="Обычный 10 2 10 2" xfId="6732" xr:uid="{00000000-0005-0000-0000-0000DE000000}"/>
    <cellStyle name="Обычный 10 2 11" xfId="3177" xr:uid="{00000000-0005-0000-0000-0000DF000000}"/>
    <cellStyle name="Обычный 10 2 11 2" xfId="7028" xr:uid="{00000000-0005-0000-0000-0000E0000000}"/>
    <cellStyle name="Обычный 10 2 12" xfId="3473" xr:uid="{00000000-0005-0000-0000-0000E1000000}"/>
    <cellStyle name="Обычный 10 2 12 2" xfId="7324" xr:uid="{00000000-0005-0000-0000-0000E2000000}"/>
    <cellStyle name="Обычный 10 2 13" xfId="3769" xr:uid="{00000000-0005-0000-0000-0000E3000000}"/>
    <cellStyle name="Обычный 10 2 13 2" xfId="7620" xr:uid="{00000000-0005-0000-0000-0000E4000000}"/>
    <cellStyle name="Обычный 10 2 14" xfId="4065" xr:uid="{00000000-0005-0000-0000-0000E5000000}"/>
    <cellStyle name="Обычный 10 2 14 2" xfId="7916" xr:uid="{00000000-0005-0000-0000-0000E6000000}"/>
    <cellStyle name="Обычный 10 2 15" xfId="8214" xr:uid="{00000000-0005-0000-0000-0000E7000000}"/>
    <cellStyle name="Обычный 10 2 16" xfId="4362" xr:uid="{00000000-0005-0000-0000-0000E8000000}"/>
    <cellStyle name="Обычный 10 2 17" xfId="8802" xr:uid="{00000000-0005-0000-0000-0000E9000000}"/>
    <cellStyle name="Обычный 10 2 18" xfId="8806" xr:uid="{00000000-0005-0000-0000-0000EA000000}"/>
    <cellStyle name="Обычный 10 2 2" xfId="262" xr:uid="{00000000-0005-0000-0000-0000EB000000}"/>
    <cellStyle name="Обычный 10 2 2 10" xfId="3325" xr:uid="{00000000-0005-0000-0000-0000EC000000}"/>
    <cellStyle name="Обычный 10 2 2 10 2" xfId="7176" xr:uid="{00000000-0005-0000-0000-0000ED000000}"/>
    <cellStyle name="Обычный 10 2 2 11" xfId="3621" xr:uid="{00000000-0005-0000-0000-0000EE000000}"/>
    <cellStyle name="Обычный 10 2 2 11 2" xfId="7472" xr:uid="{00000000-0005-0000-0000-0000EF000000}"/>
    <cellStyle name="Обычный 10 2 2 12" xfId="3917" xr:uid="{00000000-0005-0000-0000-0000F0000000}"/>
    <cellStyle name="Обычный 10 2 2 12 2" xfId="7768" xr:uid="{00000000-0005-0000-0000-0000F1000000}"/>
    <cellStyle name="Обычный 10 2 2 13" xfId="4213" xr:uid="{00000000-0005-0000-0000-0000F2000000}"/>
    <cellStyle name="Обычный 10 2 2 13 2" xfId="8064" xr:uid="{00000000-0005-0000-0000-0000F3000000}"/>
    <cellStyle name="Обычный 10 2 2 14" xfId="8315" xr:uid="{00000000-0005-0000-0000-0000F4000000}"/>
    <cellStyle name="Обычный 10 2 2 15" xfId="4512" xr:uid="{00000000-0005-0000-0000-0000F5000000}"/>
    <cellStyle name="Обычный 10 2 2 2" xfId="726" xr:uid="{00000000-0005-0000-0000-0000F6000000}"/>
    <cellStyle name="Обычный 10 2 2 2 2" xfId="1051" xr:uid="{00000000-0005-0000-0000-0000F7000000}"/>
    <cellStyle name="Обычный 10 2 2 2 3" xfId="4808" xr:uid="{00000000-0005-0000-0000-0000F8000000}"/>
    <cellStyle name="Обычный 10 2 2 3" xfId="1270" xr:uid="{00000000-0005-0000-0000-0000F9000000}"/>
    <cellStyle name="Обычный 10 2 2 3 2" xfId="5104" xr:uid="{00000000-0005-0000-0000-0000FA000000}"/>
    <cellStyle name="Обычный 10 2 2 4" xfId="1556" xr:uid="{00000000-0005-0000-0000-0000FB000000}"/>
    <cellStyle name="Обычный 10 2 2 4 2" xfId="5400" xr:uid="{00000000-0005-0000-0000-0000FC000000}"/>
    <cellStyle name="Обычный 10 2 2 5" xfId="1849" xr:uid="{00000000-0005-0000-0000-0000FD000000}"/>
    <cellStyle name="Обычный 10 2 2 5 2" xfId="5696" xr:uid="{00000000-0005-0000-0000-0000FE000000}"/>
    <cellStyle name="Обычный 10 2 2 6" xfId="2142" xr:uid="{00000000-0005-0000-0000-0000FF000000}"/>
    <cellStyle name="Обычный 10 2 2 6 2" xfId="5992" xr:uid="{00000000-0005-0000-0000-000000010000}"/>
    <cellStyle name="Обычный 10 2 2 7" xfId="2437" xr:uid="{00000000-0005-0000-0000-000001010000}"/>
    <cellStyle name="Обычный 10 2 2 7 2" xfId="6288" xr:uid="{00000000-0005-0000-0000-000002010000}"/>
    <cellStyle name="Обычный 10 2 2 8" xfId="2733" xr:uid="{00000000-0005-0000-0000-000003010000}"/>
    <cellStyle name="Обычный 10 2 2 8 2" xfId="6584" xr:uid="{00000000-0005-0000-0000-000004010000}"/>
    <cellStyle name="Обычный 10 2 2 9" xfId="3029" xr:uid="{00000000-0005-0000-0000-000005010000}"/>
    <cellStyle name="Обычный 10 2 2 9 2" xfId="6880" xr:uid="{00000000-0005-0000-0000-000006010000}"/>
    <cellStyle name="Обычный 10 2 3" xfId="363" xr:uid="{00000000-0005-0000-0000-000007010000}"/>
    <cellStyle name="Обычный 10 2 3 2" xfId="727" xr:uid="{00000000-0005-0000-0000-000008010000}"/>
    <cellStyle name="Обычный 10 2 3 3" xfId="8415" xr:uid="{00000000-0005-0000-0000-000009010000}"/>
    <cellStyle name="Обычный 10 2 3 4" xfId="4660" xr:uid="{00000000-0005-0000-0000-00000A010000}"/>
    <cellStyle name="Обычный 10 2 4" xfId="629" xr:uid="{00000000-0005-0000-0000-00000B010000}"/>
    <cellStyle name="Обычный 10 2 4 2" xfId="8463" xr:uid="{00000000-0005-0000-0000-00000C010000}"/>
    <cellStyle name="Обычный 10 2 4 3" xfId="4956" xr:uid="{00000000-0005-0000-0000-00000D010000}"/>
    <cellStyle name="Обычный 10 2 5" xfId="1412" xr:uid="{00000000-0005-0000-0000-00000E010000}"/>
    <cellStyle name="Обычный 10 2 5 2" xfId="5252" xr:uid="{00000000-0005-0000-0000-00000F010000}"/>
    <cellStyle name="Обычный 10 2 6" xfId="1702" xr:uid="{00000000-0005-0000-0000-000010010000}"/>
    <cellStyle name="Обычный 10 2 6 2" xfId="5548" xr:uid="{00000000-0005-0000-0000-000011010000}"/>
    <cellStyle name="Обычный 10 2 7" xfId="1050" xr:uid="{00000000-0005-0000-0000-000012010000}"/>
    <cellStyle name="Обычный 10 2 7 2" xfId="5844" xr:uid="{00000000-0005-0000-0000-000013010000}"/>
    <cellStyle name="Обычный 10 2 8" xfId="2289" xr:uid="{00000000-0005-0000-0000-000014010000}"/>
    <cellStyle name="Обычный 10 2 8 2" xfId="6140" xr:uid="{00000000-0005-0000-0000-000015010000}"/>
    <cellStyle name="Обычный 10 2 9" xfId="2585" xr:uid="{00000000-0005-0000-0000-000016010000}"/>
    <cellStyle name="Обычный 10 2 9 2" xfId="6436" xr:uid="{00000000-0005-0000-0000-000017010000}"/>
    <cellStyle name="Обычный 10 3" xfId="212" xr:uid="{00000000-0005-0000-0000-000018010000}"/>
    <cellStyle name="Обычный 10 3 10" xfId="2931" xr:uid="{00000000-0005-0000-0000-000019010000}"/>
    <cellStyle name="Обычный 10 3 10 2" xfId="6782" xr:uid="{00000000-0005-0000-0000-00001A010000}"/>
    <cellStyle name="Обычный 10 3 11" xfId="3227" xr:uid="{00000000-0005-0000-0000-00001B010000}"/>
    <cellStyle name="Обычный 10 3 11 2" xfId="7078" xr:uid="{00000000-0005-0000-0000-00001C010000}"/>
    <cellStyle name="Обычный 10 3 12" xfId="3523" xr:uid="{00000000-0005-0000-0000-00001D010000}"/>
    <cellStyle name="Обычный 10 3 12 2" xfId="7374" xr:uid="{00000000-0005-0000-0000-00001E010000}"/>
    <cellStyle name="Обычный 10 3 13" xfId="3819" xr:uid="{00000000-0005-0000-0000-00001F010000}"/>
    <cellStyle name="Обычный 10 3 13 2" xfId="7670" xr:uid="{00000000-0005-0000-0000-000020010000}"/>
    <cellStyle name="Обычный 10 3 14" xfId="4115" xr:uid="{00000000-0005-0000-0000-000021010000}"/>
    <cellStyle name="Обычный 10 3 14 2" xfId="7966" xr:uid="{00000000-0005-0000-0000-000022010000}"/>
    <cellStyle name="Обычный 10 3 15" xfId="8265" xr:uid="{00000000-0005-0000-0000-000023010000}"/>
    <cellStyle name="Обычный 10 3 16" xfId="4413" xr:uid="{00000000-0005-0000-0000-000024010000}"/>
    <cellStyle name="Обычный 10 3 2" xfId="626" xr:uid="{00000000-0005-0000-0000-000025010000}"/>
    <cellStyle name="Обычный 10 3 2 10" xfId="3375" xr:uid="{00000000-0005-0000-0000-000026010000}"/>
    <cellStyle name="Обычный 10 3 2 10 2" xfId="7226" xr:uid="{00000000-0005-0000-0000-000027010000}"/>
    <cellStyle name="Обычный 10 3 2 11" xfId="3671" xr:uid="{00000000-0005-0000-0000-000028010000}"/>
    <cellStyle name="Обычный 10 3 2 11 2" xfId="7522" xr:uid="{00000000-0005-0000-0000-000029010000}"/>
    <cellStyle name="Обычный 10 3 2 12" xfId="3967" xr:uid="{00000000-0005-0000-0000-00002A010000}"/>
    <cellStyle name="Обычный 10 3 2 12 2" xfId="7818" xr:uid="{00000000-0005-0000-0000-00002B010000}"/>
    <cellStyle name="Обычный 10 3 2 13" xfId="4263" xr:uid="{00000000-0005-0000-0000-00002C010000}"/>
    <cellStyle name="Обычный 10 3 2 13 2" xfId="8114" xr:uid="{00000000-0005-0000-0000-00002D010000}"/>
    <cellStyle name="Обычный 10 3 2 14" xfId="8460" xr:uid="{00000000-0005-0000-0000-00002E010000}"/>
    <cellStyle name="Обычный 10 3 2 15" xfId="4562" xr:uid="{00000000-0005-0000-0000-00002F010000}"/>
    <cellStyle name="Обычный 10 3 2 2" xfId="1129" xr:uid="{00000000-0005-0000-0000-000030010000}"/>
    <cellStyle name="Обычный 10 3 2 2 2" xfId="4858" xr:uid="{00000000-0005-0000-0000-000031010000}"/>
    <cellStyle name="Обычный 10 3 2 3" xfId="1318" xr:uid="{00000000-0005-0000-0000-000032010000}"/>
    <cellStyle name="Обычный 10 3 2 3 2" xfId="5154" xr:uid="{00000000-0005-0000-0000-000033010000}"/>
    <cellStyle name="Обычный 10 3 2 4" xfId="1605" xr:uid="{00000000-0005-0000-0000-000034010000}"/>
    <cellStyle name="Обычный 10 3 2 4 2" xfId="5450" xr:uid="{00000000-0005-0000-0000-000035010000}"/>
    <cellStyle name="Обычный 10 3 2 5" xfId="1898" xr:uid="{00000000-0005-0000-0000-000036010000}"/>
    <cellStyle name="Обычный 10 3 2 5 2" xfId="5746" xr:uid="{00000000-0005-0000-0000-000037010000}"/>
    <cellStyle name="Обычный 10 3 2 6" xfId="2192" xr:uid="{00000000-0005-0000-0000-000038010000}"/>
    <cellStyle name="Обычный 10 3 2 6 2" xfId="6042" xr:uid="{00000000-0005-0000-0000-000039010000}"/>
    <cellStyle name="Обычный 10 3 2 7" xfId="2487" xr:uid="{00000000-0005-0000-0000-00003A010000}"/>
    <cellStyle name="Обычный 10 3 2 7 2" xfId="6338" xr:uid="{00000000-0005-0000-0000-00003B010000}"/>
    <cellStyle name="Обычный 10 3 2 8" xfId="2783" xr:uid="{00000000-0005-0000-0000-00003C010000}"/>
    <cellStyle name="Обычный 10 3 2 8 2" xfId="6634" xr:uid="{00000000-0005-0000-0000-00003D010000}"/>
    <cellStyle name="Обычный 10 3 2 9" xfId="3079" xr:uid="{00000000-0005-0000-0000-00003E010000}"/>
    <cellStyle name="Обычный 10 3 2 9 2" xfId="6930" xr:uid="{00000000-0005-0000-0000-00003F010000}"/>
    <cellStyle name="Обычный 10 3 3" xfId="1082" xr:uid="{00000000-0005-0000-0000-000040010000}"/>
    <cellStyle name="Обычный 10 3 3 2" xfId="4710" xr:uid="{00000000-0005-0000-0000-000041010000}"/>
    <cellStyle name="Обычный 10 3 4" xfId="1176" xr:uid="{00000000-0005-0000-0000-000042010000}"/>
    <cellStyle name="Обычный 10 3 4 2" xfId="5006" xr:uid="{00000000-0005-0000-0000-000043010000}"/>
    <cellStyle name="Обычный 10 3 5" xfId="1460" xr:uid="{00000000-0005-0000-0000-000044010000}"/>
    <cellStyle name="Обычный 10 3 5 2" xfId="5302" xr:uid="{00000000-0005-0000-0000-000045010000}"/>
    <cellStyle name="Обычный 10 3 6" xfId="1751" xr:uid="{00000000-0005-0000-0000-000046010000}"/>
    <cellStyle name="Обычный 10 3 6 2" xfId="5598" xr:uid="{00000000-0005-0000-0000-000047010000}"/>
    <cellStyle name="Обычный 10 3 7" xfId="2044" xr:uid="{00000000-0005-0000-0000-000048010000}"/>
    <cellStyle name="Обычный 10 3 7 2" xfId="5894" xr:uid="{00000000-0005-0000-0000-000049010000}"/>
    <cellStyle name="Обычный 10 3 8" xfId="2339" xr:uid="{00000000-0005-0000-0000-00004A010000}"/>
    <cellStyle name="Обычный 10 3 8 2" xfId="6190" xr:uid="{00000000-0005-0000-0000-00004B010000}"/>
    <cellStyle name="Обычный 10 3 9" xfId="2635" xr:uid="{00000000-0005-0000-0000-00004C010000}"/>
    <cellStyle name="Обычный 10 3 9 2" xfId="6486" xr:uid="{00000000-0005-0000-0000-00004D010000}"/>
    <cellStyle name="Обычный 10 4" xfId="313" xr:uid="{00000000-0005-0000-0000-00004E010000}"/>
    <cellStyle name="Обычный 10 4 10" xfId="3277" xr:uid="{00000000-0005-0000-0000-00004F010000}"/>
    <cellStyle name="Обычный 10 4 10 2" xfId="7128" xr:uid="{00000000-0005-0000-0000-000050010000}"/>
    <cellStyle name="Обычный 10 4 11" xfId="3573" xr:uid="{00000000-0005-0000-0000-000051010000}"/>
    <cellStyle name="Обычный 10 4 11 2" xfId="7424" xr:uid="{00000000-0005-0000-0000-000052010000}"/>
    <cellStyle name="Обычный 10 4 12" xfId="3869" xr:uid="{00000000-0005-0000-0000-000053010000}"/>
    <cellStyle name="Обычный 10 4 12 2" xfId="7720" xr:uid="{00000000-0005-0000-0000-000054010000}"/>
    <cellStyle name="Обычный 10 4 13" xfId="4165" xr:uid="{00000000-0005-0000-0000-000055010000}"/>
    <cellStyle name="Обычный 10 4 13 2" xfId="8016" xr:uid="{00000000-0005-0000-0000-000056010000}"/>
    <cellStyle name="Обычный 10 4 14" xfId="8365" xr:uid="{00000000-0005-0000-0000-000057010000}"/>
    <cellStyle name="Обычный 10 4 15" xfId="4464" xr:uid="{00000000-0005-0000-0000-000058010000}"/>
    <cellStyle name="Обычный 10 4 2" xfId="678" xr:uid="{00000000-0005-0000-0000-000059010000}"/>
    <cellStyle name="Обычный 10 4 2 2" xfId="8482" xr:uid="{00000000-0005-0000-0000-00005A010000}"/>
    <cellStyle name="Обычный 10 4 2 3" xfId="4760" xr:uid="{00000000-0005-0000-0000-00005B010000}"/>
    <cellStyle name="Обычный 10 4 3" xfId="1224" xr:uid="{00000000-0005-0000-0000-00005C010000}"/>
    <cellStyle name="Обычный 10 4 3 2" xfId="5056" xr:uid="{00000000-0005-0000-0000-00005D010000}"/>
    <cellStyle name="Обычный 10 4 4" xfId="1509" xr:uid="{00000000-0005-0000-0000-00005E010000}"/>
    <cellStyle name="Обычный 10 4 4 2" xfId="5352" xr:uid="{00000000-0005-0000-0000-00005F010000}"/>
    <cellStyle name="Обычный 10 4 5" xfId="1801" xr:uid="{00000000-0005-0000-0000-000060010000}"/>
    <cellStyle name="Обычный 10 4 5 2" xfId="5648" xr:uid="{00000000-0005-0000-0000-000061010000}"/>
    <cellStyle name="Обычный 10 4 6" xfId="2094" xr:uid="{00000000-0005-0000-0000-000062010000}"/>
    <cellStyle name="Обычный 10 4 6 2" xfId="5944" xr:uid="{00000000-0005-0000-0000-000063010000}"/>
    <cellStyle name="Обычный 10 4 7" xfId="2389" xr:uid="{00000000-0005-0000-0000-000064010000}"/>
    <cellStyle name="Обычный 10 4 7 2" xfId="6240" xr:uid="{00000000-0005-0000-0000-000065010000}"/>
    <cellStyle name="Обычный 10 4 8" xfId="2685" xr:uid="{00000000-0005-0000-0000-000066010000}"/>
    <cellStyle name="Обычный 10 4 8 2" xfId="6536" xr:uid="{00000000-0005-0000-0000-000067010000}"/>
    <cellStyle name="Обычный 10 4 9" xfId="2981" xr:uid="{00000000-0005-0000-0000-000068010000}"/>
    <cellStyle name="Обычный 10 4 9 2" xfId="6832" xr:uid="{00000000-0005-0000-0000-000069010000}"/>
    <cellStyle name="Обычный 10 5" xfId="406" xr:uid="{00000000-0005-0000-0000-00006A010000}"/>
    <cellStyle name="Обычный 10 5 2" xfId="8449" xr:uid="{00000000-0005-0000-0000-00006B010000}"/>
    <cellStyle name="Обычный 10 5 3" xfId="4612" xr:uid="{00000000-0005-0000-0000-00006C010000}"/>
    <cellStyle name="Обычный 10 6" xfId="728" xr:uid="{00000000-0005-0000-0000-00006D010000}"/>
    <cellStyle name="Обычный 10 6 2" xfId="8500" xr:uid="{00000000-0005-0000-0000-00006E010000}"/>
    <cellStyle name="Обычный 10 6 3" xfId="4908" xr:uid="{00000000-0005-0000-0000-00006F010000}"/>
    <cellStyle name="Обычный 10 7" xfId="1365" xr:uid="{00000000-0005-0000-0000-000070010000}"/>
    <cellStyle name="Обычный 10 7 2" xfId="5204" xr:uid="{00000000-0005-0000-0000-000071010000}"/>
    <cellStyle name="Обычный 10 8" xfId="1654" xr:uid="{00000000-0005-0000-0000-000072010000}"/>
    <cellStyle name="Обычный 10 8 2" xfId="5500" xr:uid="{00000000-0005-0000-0000-000073010000}"/>
    <cellStyle name="Обычный 10 9" xfId="1947" xr:uid="{00000000-0005-0000-0000-000074010000}"/>
    <cellStyle name="Обычный 10 9 2" xfId="5796" xr:uid="{00000000-0005-0000-0000-000075010000}"/>
    <cellStyle name="Обычный 11" xfId="56" xr:uid="{00000000-0005-0000-0000-000076010000}"/>
    <cellStyle name="Обычный 11 10" xfId="1927" xr:uid="{00000000-0005-0000-0000-000077010000}"/>
    <cellStyle name="Обычный 11 10 2" xfId="5775" xr:uid="{00000000-0005-0000-0000-000078010000}"/>
    <cellStyle name="Обычный 11 10 3" xfId="8848" xr:uid="{00000000-0005-0000-0000-000079010000}"/>
    <cellStyle name="Обычный 11 11" xfId="2221" xr:uid="{00000000-0005-0000-0000-00007A010000}"/>
    <cellStyle name="Обычный 11 11 2" xfId="6071" xr:uid="{00000000-0005-0000-0000-00007B010000}"/>
    <cellStyle name="Обычный 11 11 3" xfId="8850" xr:uid="{00000000-0005-0000-0000-00007C010000}"/>
    <cellStyle name="Обычный 11 12" xfId="2516" xr:uid="{00000000-0005-0000-0000-00007D010000}"/>
    <cellStyle name="Обычный 11 12 2" xfId="6367" xr:uid="{00000000-0005-0000-0000-00007E010000}"/>
    <cellStyle name="Обычный 11 12 3" xfId="8852" xr:uid="{00000000-0005-0000-0000-00007F010000}"/>
    <cellStyle name="Обычный 11 13" xfId="2812" xr:uid="{00000000-0005-0000-0000-000080010000}"/>
    <cellStyle name="Обычный 11 13 2" xfId="6663" xr:uid="{00000000-0005-0000-0000-000081010000}"/>
    <cellStyle name="Обычный 11 14" xfId="3108" xr:uid="{00000000-0005-0000-0000-000082010000}"/>
    <cellStyle name="Обычный 11 14 2" xfId="6959" xr:uid="{00000000-0005-0000-0000-000083010000}"/>
    <cellStyle name="Обычный 11 15" xfId="3404" xr:uid="{00000000-0005-0000-0000-000084010000}"/>
    <cellStyle name="Обычный 11 15 2" xfId="7255" xr:uid="{00000000-0005-0000-0000-000085010000}"/>
    <cellStyle name="Обычный 11 16" xfId="3700" xr:uid="{00000000-0005-0000-0000-000086010000}"/>
    <cellStyle name="Обычный 11 16 2" xfId="7551" xr:uid="{00000000-0005-0000-0000-000087010000}"/>
    <cellStyle name="Обычный 11 17" xfId="3996" xr:uid="{00000000-0005-0000-0000-000088010000}"/>
    <cellStyle name="Обычный 11 17 2" xfId="7847" xr:uid="{00000000-0005-0000-0000-000089010000}"/>
    <cellStyle name="Обычный 11 18" xfId="8143" xr:uid="{00000000-0005-0000-0000-00008A010000}"/>
    <cellStyle name="Обычный 11 19" xfId="4292" xr:uid="{00000000-0005-0000-0000-00008B010000}"/>
    <cellStyle name="Обычный 11 2" xfId="107" xr:uid="{00000000-0005-0000-0000-00008C010000}"/>
    <cellStyle name="Обычный 11 2 10" xfId="2242" xr:uid="{00000000-0005-0000-0000-00008D010000}"/>
    <cellStyle name="Обычный 11 2 10 2" xfId="6093" xr:uid="{00000000-0005-0000-0000-00008E010000}"/>
    <cellStyle name="Обычный 11 2 11" xfId="2538" xr:uid="{00000000-0005-0000-0000-00008F010000}"/>
    <cellStyle name="Обычный 11 2 11 2" xfId="6389" xr:uid="{00000000-0005-0000-0000-000090010000}"/>
    <cellStyle name="Обычный 11 2 12" xfId="2834" xr:uid="{00000000-0005-0000-0000-000091010000}"/>
    <cellStyle name="Обычный 11 2 12 2" xfId="6685" xr:uid="{00000000-0005-0000-0000-000092010000}"/>
    <cellStyle name="Обычный 11 2 13" xfId="3130" xr:uid="{00000000-0005-0000-0000-000093010000}"/>
    <cellStyle name="Обычный 11 2 13 2" xfId="6981" xr:uid="{00000000-0005-0000-0000-000094010000}"/>
    <cellStyle name="Обычный 11 2 14" xfId="3426" xr:uid="{00000000-0005-0000-0000-000095010000}"/>
    <cellStyle name="Обычный 11 2 14 2" xfId="7277" xr:uid="{00000000-0005-0000-0000-000096010000}"/>
    <cellStyle name="Обычный 11 2 15" xfId="3722" xr:uid="{00000000-0005-0000-0000-000097010000}"/>
    <cellStyle name="Обычный 11 2 15 2" xfId="7573" xr:uid="{00000000-0005-0000-0000-000098010000}"/>
    <cellStyle name="Обычный 11 2 16" xfId="4018" xr:uid="{00000000-0005-0000-0000-000099010000}"/>
    <cellStyle name="Обычный 11 2 16 2" xfId="7869" xr:uid="{00000000-0005-0000-0000-00009A010000}"/>
    <cellStyle name="Обычный 11 2 17" xfId="8165" xr:uid="{00000000-0005-0000-0000-00009B010000}"/>
    <cellStyle name="Обычный 11 2 18" xfId="4314" xr:uid="{00000000-0005-0000-0000-00009C010000}"/>
    <cellStyle name="Обычный 11 2 2" xfId="160" xr:uid="{00000000-0005-0000-0000-00009D010000}"/>
    <cellStyle name="Обычный 11 2 2 10" xfId="2882" xr:uid="{00000000-0005-0000-0000-00009E010000}"/>
    <cellStyle name="Обычный 11 2 2 10 2" xfId="6733" xr:uid="{00000000-0005-0000-0000-00009F010000}"/>
    <cellStyle name="Обычный 11 2 2 11" xfId="3178" xr:uid="{00000000-0005-0000-0000-0000A0010000}"/>
    <cellStyle name="Обычный 11 2 2 11 2" xfId="7029" xr:uid="{00000000-0005-0000-0000-0000A1010000}"/>
    <cellStyle name="Обычный 11 2 2 12" xfId="3474" xr:uid="{00000000-0005-0000-0000-0000A2010000}"/>
    <cellStyle name="Обычный 11 2 2 12 2" xfId="7325" xr:uid="{00000000-0005-0000-0000-0000A3010000}"/>
    <cellStyle name="Обычный 11 2 2 13" xfId="3770" xr:uid="{00000000-0005-0000-0000-0000A4010000}"/>
    <cellStyle name="Обычный 11 2 2 13 2" xfId="7621" xr:uid="{00000000-0005-0000-0000-0000A5010000}"/>
    <cellStyle name="Обычный 11 2 2 14" xfId="4066" xr:uid="{00000000-0005-0000-0000-0000A6010000}"/>
    <cellStyle name="Обычный 11 2 2 14 2" xfId="7917" xr:uid="{00000000-0005-0000-0000-0000A7010000}"/>
    <cellStyle name="Обычный 11 2 2 15" xfId="8215" xr:uid="{00000000-0005-0000-0000-0000A8010000}"/>
    <cellStyle name="Обычный 11 2 2 16" xfId="4363" xr:uid="{00000000-0005-0000-0000-0000A9010000}"/>
    <cellStyle name="Обычный 11 2 2 2" xfId="263" xr:uid="{00000000-0005-0000-0000-0000AA010000}"/>
    <cellStyle name="Обычный 11 2 2 2 10" xfId="3326" xr:uid="{00000000-0005-0000-0000-0000AB010000}"/>
    <cellStyle name="Обычный 11 2 2 2 10 2" xfId="7177" xr:uid="{00000000-0005-0000-0000-0000AC010000}"/>
    <cellStyle name="Обычный 11 2 2 2 11" xfId="3622" xr:uid="{00000000-0005-0000-0000-0000AD010000}"/>
    <cellStyle name="Обычный 11 2 2 2 11 2" xfId="7473" xr:uid="{00000000-0005-0000-0000-0000AE010000}"/>
    <cellStyle name="Обычный 11 2 2 2 12" xfId="3918" xr:uid="{00000000-0005-0000-0000-0000AF010000}"/>
    <cellStyle name="Обычный 11 2 2 2 12 2" xfId="7769" xr:uid="{00000000-0005-0000-0000-0000B0010000}"/>
    <cellStyle name="Обычный 11 2 2 2 13" xfId="4214" xr:uid="{00000000-0005-0000-0000-0000B1010000}"/>
    <cellStyle name="Обычный 11 2 2 2 13 2" xfId="8065" xr:uid="{00000000-0005-0000-0000-0000B2010000}"/>
    <cellStyle name="Обычный 11 2 2 2 14" xfId="8316" xr:uid="{00000000-0005-0000-0000-0000B3010000}"/>
    <cellStyle name="Обычный 11 2 2 2 15" xfId="4513" xr:uid="{00000000-0005-0000-0000-0000B4010000}"/>
    <cellStyle name="Обычный 11 2 2 2 2" xfId="729" xr:uid="{00000000-0005-0000-0000-0000B5010000}"/>
    <cellStyle name="Обычный 11 2 2 2 2 2" xfId="8501" xr:uid="{00000000-0005-0000-0000-0000B6010000}"/>
    <cellStyle name="Обычный 11 2 2 2 2 3" xfId="4809" xr:uid="{00000000-0005-0000-0000-0000B7010000}"/>
    <cellStyle name="Обычный 11 2 2 2 3" xfId="1271" xr:uid="{00000000-0005-0000-0000-0000B8010000}"/>
    <cellStyle name="Обычный 11 2 2 2 3 2" xfId="5105" xr:uid="{00000000-0005-0000-0000-0000B9010000}"/>
    <cellStyle name="Обычный 11 2 2 2 4" xfId="1557" xr:uid="{00000000-0005-0000-0000-0000BA010000}"/>
    <cellStyle name="Обычный 11 2 2 2 4 2" xfId="5401" xr:uid="{00000000-0005-0000-0000-0000BB010000}"/>
    <cellStyle name="Обычный 11 2 2 2 5" xfId="1850" xr:uid="{00000000-0005-0000-0000-0000BC010000}"/>
    <cellStyle name="Обычный 11 2 2 2 5 2" xfId="5697" xr:uid="{00000000-0005-0000-0000-0000BD010000}"/>
    <cellStyle name="Обычный 11 2 2 2 6" xfId="2143" xr:uid="{00000000-0005-0000-0000-0000BE010000}"/>
    <cellStyle name="Обычный 11 2 2 2 6 2" xfId="5993" xr:uid="{00000000-0005-0000-0000-0000BF010000}"/>
    <cellStyle name="Обычный 11 2 2 2 7" xfId="2438" xr:uid="{00000000-0005-0000-0000-0000C0010000}"/>
    <cellStyle name="Обычный 11 2 2 2 7 2" xfId="6289" xr:uid="{00000000-0005-0000-0000-0000C1010000}"/>
    <cellStyle name="Обычный 11 2 2 2 8" xfId="2734" xr:uid="{00000000-0005-0000-0000-0000C2010000}"/>
    <cellStyle name="Обычный 11 2 2 2 8 2" xfId="6585" xr:uid="{00000000-0005-0000-0000-0000C3010000}"/>
    <cellStyle name="Обычный 11 2 2 2 9" xfId="3030" xr:uid="{00000000-0005-0000-0000-0000C4010000}"/>
    <cellStyle name="Обычный 11 2 2 2 9 2" xfId="6881" xr:uid="{00000000-0005-0000-0000-0000C5010000}"/>
    <cellStyle name="Обычный 11 2 2 3" xfId="364" xr:uid="{00000000-0005-0000-0000-0000C6010000}"/>
    <cellStyle name="Обычный 11 2 2 3 2" xfId="730" xr:uid="{00000000-0005-0000-0000-0000C7010000}"/>
    <cellStyle name="Обычный 11 2 2 3 3" xfId="8416" xr:uid="{00000000-0005-0000-0000-0000C8010000}"/>
    <cellStyle name="Обычный 11 2 2 3 4" xfId="4661" xr:uid="{00000000-0005-0000-0000-0000C9010000}"/>
    <cellStyle name="Обычный 11 2 2 4" xfId="731" xr:uid="{00000000-0005-0000-0000-0000CA010000}"/>
    <cellStyle name="Обычный 11 2 2 4 2" xfId="8502" xr:uid="{00000000-0005-0000-0000-0000CB010000}"/>
    <cellStyle name="Обычный 11 2 2 4 3" xfId="4957" xr:uid="{00000000-0005-0000-0000-0000CC010000}"/>
    <cellStyle name="Обычный 11 2 2 5" xfId="1413" xr:uid="{00000000-0005-0000-0000-0000CD010000}"/>
    <cellStyle name="Обычный 11 2 2 5 2" xfId="5253" xr:uid="{00000000-0005-0000-0000-0000CE010000}"/>
    <cellStyle name="Обычный 11 2 2 6" xfId="1703" xr:uid="{00000000-0005-0000-0000-0000CF010000}"/>
    <cellStyle name="Обычный 11 2 2 6 2" xfId="5549" xr:uid="{00000000-0005-0000-0000-0000D0010000}"/>
    <cellStyle name="Обычный 11 2 2 7" xfId="1995" xr:uid="{00000000-0005-0000-0000-0000D1010000}"/>
    <cellStyle name="Обычный 11 2 2 7 2" xfId="5845" xr:uid="{00000000-0005-0000-0000-0000D2010000}"/>
    <cellStyle name="Обычный 11 2 2 8" xfId="2290" xr:uid="{00000000-0005-0000-0000-0000D3010000}"/>
    <cellStyle name="Обычный 11 2 2 8 2" xfId="6141" xr:uid="{00000000-0005-0000-0000-0000D4010000}"/>
    <cellStyle name="Обычный 11 2 2 9" xfId="2586" xr:uid="{00000000-0005-0000-0000-0000D5010000}"/>
    <cellStyle name="Обычный 11 2 2 9 2" xfId="6437" xr:uid="{00000000-0005-0000-0000-0000D6010000}"/>
    <cellStyle name="Обычный 11 2 3" xfId="213" xr:uid="{00000000-0005-0000-0000-0000D7010000}"/>
    <cellStyle name="Обычный 11 2 3 10" xfId="2932" xr:uid="{00000000-0005-0000-0000-0000D8010000}"/>
    <cellStyle name="Обычный 11 2 3 10 2" xfId="6783" xr:uid="{00000000-0005-0000-0000-0000D9010000}"/>
    <cellStyle name="Обычный 11 2 3 11" xfId="3228" xr:uid="{00000000-0005-0000-0000-0000DA010000}"/>
    <cellStyle name="Обычный 11 2 3 11 2" xfId="7079" xr:uid="{00000000-0005-0000-0000-0000DB010000}"/>
    <cellStyle name="Обычный 11 2 3 12" xfId="3524" xr:uid="{00000000-0005-0000-0000-0000DC010000}"/>
    <cellStyle name="Обычный 11 2 3 12 2" xfId="7375" xr:uid="{00000000-0005-0000-0000-0000DD010000}"/>
    <cellStyle name="Обычный 11 2 3 13" xfId="3820" xr:uid="{00000000-0005-0000-0000-0000DE010000}"/>
    <cellStyle name="Обычный 11 2 3 13 2" xfId="7671" xr:uid="{00000000-0005-0000-0000-0000DF010000}"/>
    <cellStyle name="Обычный 11 2 3 14" xfId="4116" xr:uid="{00000000-0005-0000-0000-0000E0010000}"/>
    <cellStyle name="Обычный 11 2 3 14 2" xfId="7967" xr:uid="{00000000-0005-0000-0000-0000E1010000}"/>
    <cellStyle name="Обычный 11 2 3 15" xfId="8266" xr:uid="{00000000-0005-0000-0000-0000E2010000}"/>
    <cellStyle name="Обычный 11 2 3 16" xfId="4414" xr:uid="{00000000-0005-0000-0000-0000E3010000}"/>
    <cellStyle name="Обычный 11 2 3 2" xfId="732" xr:uid="{00000000-0005-0000-0000-0000E4010000}"/>
    <cellStyle name="Обычный 11 2 3 2 10" xfId="3376" xr:uid="{00000000-0005-0000-0000-0000E5010000}"/>
    <cellStyle name="Обычный 11 2 3 2 10 2" xfId="7227" xr:uid="{00000000-0005-0000-0000-0000E6010000}"/>
    <cellStyle name="Обычный 11 2 3 2 11" xfId="3672" xr:uid="{00000000-0005-0000-0000-0000E7010000}"/>
    <cellStyle name="Обычный 11 2 3 2 11 2" xfId="7523" xr:uid="{00000000-0005-0000-0000-0000E8010000}"/>
    <cellStyle name="Обычный 11 2 3 2 12" xfId="3968" xr:uid="{00000000-0005-0000-0000-0000E9010000}"/>
    <cellStyle name="Обычный 11 2 3 2 12 2" xfId="7819" xr:uid="{00000000-0005-0000-0000-0000EA010000}"/>
    <cellStyle name="Обычный 11 2 3 2 13" xfId="4264" xr:uid="{00000000-0005-0000-0000-0000EB010000}"/>
    <cellStyle name="Обычный 11 2 3 2 13 2" xfId="8115" xr:uid="{00000000-0005-0000-0000-0000EC010000}"/>
    <cellStyle name="Обычный 11 2 3 2 14" xfId="8503" xr:uid="{00000000-0005-0000-0000-0000ED010000}"/>
    <cellStyle name="Обычный 11 2 3 2 15" xfId="4563" xr:uid="{00000000-0005-0000-0000-0000EE010000}"/>
    <cellStyle name="Обычный 11 2 3 2 2" xfId="1130" xr:uid="{00000000-0005-0000-0000-0000EF010000}"/>
    <cellStyle name="Обычный 11 2 3 2 2 2" xfId="4859" xr:uid="{00000000-0005-0000-0000-0000F0010000}"/>
    <cellStyle name="Обычный 11 2 3 2 3" xfId="1319" xr:uid="{00000000-0005-0000-0000-0000F1010000}"/>
    <cellStyle name="Обычный 11 2 3 2 3 2" xfId="5155" xr:uid="{00000000-0005-0000-0000-0000F2010000}"/>
    <cellStyle name="Обычный 11 2 3 2 4" xfId="1606" xr:uid="{00000000-0005-0000-0000-0000F3010000}"/>
    <cellStyle name="Обычный 11 2 3 2 4 2" xfId="5451" xr:uid="{00000000-0005-0000-0000-0000F4010000}"/>
    <cellStyle name="Обычный 11 2 3 2 5" xfId="1899" xr:uid="{00000000-0005-0000-0000-0000F5010000}"/>
    <cellStyle name="Обычный 11 2 3 2 5 2" xfId="5747" xr:uid="{00000000-0005-0000-0000-0000F6010000}"/>
    <cellStyle name="Обычный 11 2 3 2 6" xfId="2193" xr:uid="{00000000-0005-0000-0000-0000F7010000}"/>
    <cellStyle name="Обычный 11 2 3 2 6 2" xfId="6043" xr:uid="{00000000-0005-0000-0000-0000F8010000}"/>
    <cellStyle name="Обычный 11 2 3 2 7" xfId="2488" xr:uid="{00000000-0005-0000-0000-0000F9010000}"/>
    <cellStyle name="Обычный 11 2 3 2 7 2" xfId="6339" xr:uid="{00000000-0005-0000-0000-0000FA010000}"/>
    <cellStyle name="Обычный 11 2 3 2 8" xfId="2784" xr:uid="{00000000-0005-0000-0000-0000FB010000}"/>
    <cellStyle name="Обычный 11 2 3 2 8 2" xfId="6635" xr:uid="{00000000-0005-0000-0000-0000FC010000}"/>
    <cellStyle name="Обычный 11 2 3 2 9" xfId="3080" xr:uid="{00000000-0005-0000-0000-0000FD010000}"/>
    <cellStyle name="Обычный 11 2 3 2 9 2" xfId="6931" xr:uid="{00000000-0005-0000-0000-0000FE010000}"/>
    <cellStyle name="Обычный 11 2 3 3" xfId="1083" xr:uid="{00000000-0005-0000-0000-0000FF010000}"/>
    <cellStyle name="Обычный 11 2 3 3 2" xfId="4711" xr:uid="{00000000-0005-0000-0000-000000020000}"/>
    <cellStyle name="Обычный 11 2 3 4" xfId="1177" xr:uid="{00000000-0005-0000-0000-000001020000}"/>
    <cellStyle name="Обычный 11 2 3 4 2" xfId="5007" xr:uid="{00000000-0005-0000-0000-000002020000}"/>
    <cellStyle name="Обычный 11 2 3 5" xfId="1461" xr:uid="{00000000-0005-0000-0000-000003020000}"/>
    <cellStyle name="Обычный 11 2 3 5 2" xfId="5303" xr:uid="{00000000-0005-0000-0000-000004020000}"/>
    <cellStyle name="Обычный 11 2 3 6" xfId="1752" xr:uid="{00000000-0005-0000-0000-000005020000}"/>
    <cellStyle name="Обычный 11 2 3 6 2" xfId="5599" xr:uid="{00000000-0005-0000-0000-000006020000}"/>
    <cellStyle name="Обычный 11 2 3 7" xfId="2045" xr:uid="{00000000-0005-0000-0000-000007020000}"/>
    <cellStyle name="Обычный 11 2 3 7 2" xfId="5895" xr:uid="{00000000-0005-0000-0000-000008020000}"/>
    <cellStyle name="Обычный 11 2 3 8" xfId="2340" xr:uid="{00000000-0005-0000-0000-000009020000}"/>
    <cellStyle name="Обычный 11 2 3 8 2" xfId="6191" xr:uid="{00000000-0005-0000-0000-00000A020000}"/>
    <cellStyle name="Обычный 11 2 3 9" xfId="2636" xr:uid="{00000000-0005-0000-0000-00000B020000}"/>
    <cellStyle name="Обычный 11 2 3 9 2" xfId="6487" xr:uid="{00000000-0005-0000-0000-00000C020000}"/>
    <cellStyle name="Обычный 11 2 4" xfId="314" xr:uid="{00000000-0005-0000-0000-00000D020000}"/>
    <cellStyle name="Обычный 11 2 4 10" xfId="3278" xr:uid="{00000000-0005-0000-0000-00000E020000}"/>
    <cellStyle name="Обычный 11 2 4 10 2" xfId="7129" xr:uid="{00000000-0005-0000-0000-00000F020000}"/>
    <cellStyle name="Обычный 11 2 4 11" xfId="3574" xr:uid="{00000000-0005-0000-0000-000010020000}"/>
    <cellStyle name="Обычный 11 2 4 11 2" xfId="7425" xr:uid="{00000000-0005-0000-0000-000011020000}"/>
    <cellStyle name="Обычный 11 2 4 12" xfId="3870" xr:uid="{00000000-0005-0000-0000-000012020000}"/>
    <cellStyle name="Обычный 11 2 4 12 2" xfId="7721" xr:uid="{00000000-0005-0000-0000-000013020000}"/>
    <cellStyle name="Обычный 11 2 4 13" xfId="4166" xr:uid="{00000000-0005-0000-0000-000014020000}"/>
    <cellStyle name="Обычный 11 2 4 13 2" xfId="8017" xr:uid="{00000000-0005-0000-0000-000015020000}"/>
    <cellStyle name="Обычный 11 2 4 14" xfId="8366" xr:uid="{00000000-0005-0000-0000-000016020000}"/>
    <cellStyle name="Обычный 11 2 4 15" xfId="4465" xr:uid="{00000000-0005-0000-0000-000017020000}"/>
    <cellStyle name="Обычный 11 2 4 2" xfId="733" xr:uid="{00000000-0005-0000-0000-000018020000}"/>
    <cellStyle name="Обычный 11 2 4 2 2" xfId="8504" xr:uid="{00000000-0005-0000-0000-000019020000}"/>
    <cellStyle name="Обычный 11 2 4 2 3" xfId="4761" xr:uid="{00000000-0005-0000-0000-00001A020000}"/>
    <cellStyle name="Обычный 11 2 4 3" xfId="1225" xr:uid="{00000000-0005-0000-0000-00001B020000}"/>
    <cellStyle name="Обычный 11 2 4 3 2" xfId="5057" xr:uid="{00000000-0005-0000-0000-00001C020000}"/>
    <cellStyle name="Обычный 11 2 4 4" xfId="1510" xr:uid="{00000000-0005-0000-0000-00001D020000}"/>
    <cellStyle name="Обычный 11 2 4 4 2" xfId="5353" xr:uid="{00000000-0005-0000-0000-00001E020000}"/>
    <cellStyle name="Обычный 11 2 4 5" xfId="1802" xr:uid="{00000000-0005-0000-0000-00001F020000}"/>
    <cellStyle name="Обычный 11 2 4 5 2" xfId="5649" xr:uid="{00000000-0005-0000-0000-000020020000}"/>
    <cellStyle name="Обычный 11 2 4 6" xfId="2095" xr:uid="{00000000-0005-0000-0000-000021020000}"/>
    <cellStyle name="Обычный 11 2 4 6 2" xfId="5945" xr:uid="{00000000-0005-0000-0000-000022020000}"/>
    <cellStyle name="Обычный 11 2 4 7" xfId="2390" xr:uid="{00000000-0005-0000-0000-000023020000}"/>
    <cellStyle name="Обычный 11 2 4 7 2" xfId="6241" xr:uid="{00000000-0005-0000-0000-000024020000}"/>
    <cellStyle name="Обычный 11 2 4 8" xfId="2686" xr:uid="{00000000-0005-0000-0000-000025020000}"/>
    <cellStyle name="Обычный 11 2 4 8 2" xfId="6537" xr:uid="{00000000-0005-0000-0000-000026020000}"/>
    <cellStyle name="Обычный 11 2 4 9" xfId="2982" xr:uid="{00000000-0005-0000-0000-000027020000}"/>
    <cellStyle name="Обычный 11 2 4 9 2" xfId="6833" xr:uid="{00000000-0005-0000-0000-000028020000}"/>
    <cellStyle name="Обычный 11 2 5" xfId="627" xr:uid="{00000000-0005-0000-0000-000029020000}"/>
    <cellStyle name="Обычный 11 2 5 2" xfId="8461" xr:uid="{00000000-0005-0000-0000-00002A020000}"/>
    <cellStyle name="Обычный 11 2 5 3" xfId="4613" xr:uid="{00000000-0005-0000-0000-00002B020000}"/>
    <cellStyle name="Обычный 11 2 6" xfId="734" xr:uid="{00000000-0005-0000-0000-00002C020000}"/>
    <cellStyle name="Обычный 11 2 6 2" xfId="8505" xr:uid="{00000000-0005-0000-0000-00002D020000}"/>
    <cellStyle name="Обычный 11 2 6 3" xfId="4909" xr:uid="{00000000-0005-0000-0000-00002E020000}"/>
    <cellStyle name="Обычный 11 2 7" xfId="1366" xr:uid="{00000000-0005-0000-0000-00002F020000}"/>
    <cellStyle name="Обычный 11 2 7 2" xfId="5205" xr:uid="{00000000-0005-0000-0000-000030020000}"/>
    <cellStyle name="Обычный 11 2 8" xfId="1655" xr:uid="{00000000-0005-0000-0000-000031020000}"/>
    <cellStyle name="Обычный 11 2 8 2" xfId="5501" xr:uid="{00000000-0005-0000-0000-000032020000}"/>
    <cellStyle name="Обычный 11 2 9" xfId="1948" xr:uid="{00000000-0005-0000-0000-000033020000}"/>
    <cellStyle name="Обычный 11 2 9 2" xfId="5797" xr:uid="{00000000-0005-0000-0000-000034020000}"/>
    <cellStyle name="Обычный 11 20" xfId="8857" xr:uid="{00000000-0005-0000-0000-000035020000}"/>
    <cellStyle name="Обычный 11 3" xfId="138" xr:uid="{00000000-0005-0000-0000-000036020000}"/>
    <cellStyle name="Обычный 11 3 10" xfId="2860" xr:uid="{00000000-0005-0000-0000-000037020000}"/>
    <cellStyle name="Обычный 11 3 10 2" xfId="6711" xr:uid="{00000000-0005-0000-0000-000038020000}"/>
    <cellStyle name="Обычный 11 3 11" xfId="3156" xr:uid="{00000000-0005-0000-0000-000039020000}"/>
    <cellStyle name="Обычный 11 3 11 2" xfId="7007" xr:uid="{00000000-0005-0000-0000-00003A020000}"/>
    <cellStyle name="Обычный 11 3 12" xfId="3452" xr:uid="{00000000-0005-0000-0000-00003B020000}"/>
    <cellStyle name="Обычный 11 3 12 2" xfId="7303" xr:uid="{00000000-0005-0000-0000-00003C020000}"/>
    <cellStyle name="Обычный 11 3 13" xfId="3748" xr:uid="{00000000-0005-0000-0000-00003D020000}"/>
    <cellStyle name="Обычный 11 3 13 2" xfId="7599" xr:uid="{00000000-0005-0000-0000-00003E020000}"/>
    <cellStyle name="Обычный 11 3 14" xfId="4044" xr:uid="{00000000-0005-0000-0000-00003F020000}"/>
    <cellStyle name="Обычный 11 3 14 2" xfId="7895" xr:uid="{00000000-0005-0000-0000-000040020000}"/>
    <cellStyle name="Обычный 11 3 15" xfId="8193" xr:uid="{00000000-0005-0000-0000-000041020000}"/>
    <cellStyle name="Обычный 11 3 16" xfId="4341" xr:uid="{00000000-0005-0000-0000-000042020000}"/>
    <cellStyle name="Обычный 11 3 17" xfId="8833" xr:uid="{00000000-0005-0000-0000-000043020000}"/>
    <cellStyle name="Обычный 11 3 2" xfId="241" xr:uid="{00000000-0005-0000-0000-000044020000}"/>
    <cellStyle name="Обычный 11 3 2 10" xfId="3304" xr:uid="{00000000-0005-0000-0000-000045020000}"/>
    <cellStyle name="Обычный 11 3 2 10 2" xfId="7155" xr:uid="{00000000-0005-0000-0000-000046020000}"/>
    <cellStyle name="Обычный 11 3 2 11" xfId="3600" xr:uid="{00000000-0005-0000-0000-000047020000}"/>
    <cellStyle name="Обычный 11 3 2 11 2" xfId="7451" xr:uid="{00000000-0005-0000-0000-000048020000}"/>
    <cellStyle name="Обычный 11 3 2 12" xfId="3896" xr:uid="{00000000-0005-0000-0000-000049020000}"/>
    <cellStyle name="Обычный 11 3 2 12 2" xfId="7747" xr:uid="{00000000-0005-0000-0000-00004A020000}"/>
    <cellStyle name="Обычный 11 3 2 13" xfId="4192" xr:uid="{00000000-0005-0000-0000-00004B020000}"/>
    <cellStyle name="Обычный 11 3 2 13 2" xfId="8043" xr:uid="{00000000-0005-0000-0000-00004C020000}"/>
    <cellStyle name="Обычный 11 3 2 14" xfId="8294" xr:uid="{00000000-0005-0000-0000-00004D020000}"/>
    <cellStyle name="Обычный 11 3 2 15" xfId="4491" xr:uid="{00000000-0005-0000-0000-00004E020000}"/>
    <cellStyle name="Обычный 11 3 2 2" xfId="735" xr:uid="{00000000-0005-0000-0000-00004F020000}"/>
    <cellStyle name="Обычный 11 3 2 2 2" xfId="8506" xr:uid="{00000000-0005-0000-0000-000050020000}"/>
    <cellStyle name="Обычный 11 3 2 2 3" xfId="4787" xr:uid="{00000000-0005-0000-0000-000051020000}"/>
    <cellStyle name="Обычный 11 3 2 3" xfId="1250" xr:uid="{00000000-0005-0000-0000-000052020000}"/>
    <cellStyle name="Обычный 11 3 2 3 2" xfId="5083" xr:uid="{00000000-0005-0000-0000-000053020000}"/>
    <cellStyle name="Обычный 11 3 2 4" xfId="1536" xr:uid="{00000000-0005-0000-0000-000054020000}"/>
    <cellStyle name="Обычный 11 3 2 4 2" xfId="5379" xr:uid="{00000000-0005-0000-0000-000055020000}"/>
    <cellStyle name="Обычный 11 3 2 5" xfId="1828" xr:uid="{00000000-0005-0000-0000-000056020000}"/>
    <cellStyle name="Обычный 11 3 2 5 2" xfId="5675" xr:uid="{00000000-0005-0000-0000-000057020000}"/>
    <cellStyle name="Обычный 11 3 2 6" xfId="2121" xr:uid="{00000000-0005-0000-0000-000058020000}"/>
    <cellStyle name="Обычный 11 3 2 6 2" xfId="5971" xr:uid="{00000000-0005-0000-0000-000059020000}"/>
    <cellStyle name="Обычный 11 3 2 7" xfId="2416" xr:uid="{00000000-0005-0000-0000-00005A020000}"/>
    <cellStyle name="Обычный 11 3 2 7 2" xfId="6267" xr:uid="{00000000-0005-0000-0000-00005B020000}"/>
    <cellStyle name="Обычный 11 3 2 8" xfId="2712" xr:uid="{00000000-0005-0000-0000-00005C020000}"/>
    <cellStyle name="Обычный 11 3 2 8 2" xfId="6563" xr:uid="{00000000-0005-0000-0000-00005D020000}"/>
    <cellStyle name="Обычный 11 3 2 9" xfId="3008" xr:uid="{00000000-0005-0000-0000-00005E020000}"/>
    <cellStyle name="Обычный 11 3 2 9 2" xfId="6859" xr:uid="{00000000-0005-0000-0000-00005F020000}"/>
    <cellStyle name="Обычный 11 3 3" xfId="342" xr:uid="{00000000-0005-0000-0000-000060020000}"/>
    <cellStyle name="Обычный 11 3 3 2" xfId="736" xr:uid="{00000000-0005-0000-0000-000061020000}"/>
    <cellStyle name="Обычный 11 3 3 3" xfId="8394" xr:uid="{00000000-0005-0000-0000-000062020000}"/>
    <cellStyle name="Обычный 11 3 3 4" xfId="4639" xr:uid="{00000000-0005-0000-0000-000063020000}"/>
    <cellStyle name="Обычный 11 3 4" xfId="737" xr:uid="{00000000-0005-0000-0000-000064020000}"/>
    <cellStyle name="Обычный 11 3 4 2" xfId="8507" xr:uid="{00000000-0005-0000-0000-000065020000}"/>
    <cellStyle name="Обычный 11 3 4 3" xfId="4935" xr:uid="{00000000-0005-0000-0000-000066020000}"/>
    <cellStyle name="Обычный 11 3 5" xfId="1392" xr:uid="{00000000-0005-0000-0000-000067020000}"/>
    <cellStyle name="Обычный 11 3 5 2" xfId="5231" xr:uid="{00000000-0005-0000-0000-000068020000}"/>
    <cellStyle name="Обычный 11 3 6" xfId="1681" xr:uid="{00000000-0005-0000-0000-000069020000}"/>
    <cellStyle name="Обычный 11 3 6 2" xfId="5527" xr:uid="{00000000-0005-0000-0000-00006A020000}"/>
    <cellStyle name="Обычный 11 3 7" xfId="1974" xr:uid="{00000000-0005-0000-0000-00006B020000}"/>
    <cellStyle name="Обычный 11 3 7 2" xfId="5823" xr:uid="{00000000-0005-0000-0000-00006C020000}"/>
    <cellStyle name="Обычный 11 3 8" xfId="2268" xr:uid="{00000000-0005-0000-0000-00006D020000}"/>
    <cellStyle name="Обычный 11 3 8 2" xfId="6119" xr:uid="{00000000-0005-0000-0000-00006E020000}"/>
    <cellStyle name="Обычный 11 3 9" xfId="2564" xr:uid="{00000000-0005-0000-0000-00006F020000}"/>
    <cellStyle name="Обычный 11 3 9 2" xfId="6415" xr:uid="{00000000-0005-0000-0000-000070020000}"/>
    <cellStyle name="Обычный 11 4" xfId="191" xr:uid="{00000000-0005-0000-0000-000071020000}"/>
    <cellStyle name="Обычный 11 4 10" xfId="2910" xr:uid="{00000000-0005-0000-0000-000072020000}"/>
    <cellStyle name="Обычный 11 4 10 2" xfId="6761" xr:uid="{00000000-0005-0000-0000-000073020000}"/>
    <cellStyle name="Обычный 11 4 11" xfId="3206" xr:uid="{00000000-0005-0000-0000-000074020000}"/>
    <cellStyle name="Обычный 11 4 11 2" xfId="7057" xr:uid="{00000000-0005-0000-0000-000075020000}"/>
    <cellStyle name="Обычный 11 4 12" xfId="3502" xr:uid="{00000000-0005-0000-0000-000076020000}"/>
    <cellStyle name="Обычный 11 4 12 2" xfId="7353" xr:uid="{00000000-0005-0000-0000-000077020000}"/>
    <cellStyle name="Обычный 11 4 13" xfId="3798" xr:uid="{00000000-0005-0000-0000-000078020000}"/>
    <cellStyle name="Обычный 11 4 13 2" xfId="7649" xr:uid="{00000000-0005-0000-0000-000079020000}"/>
    <cellStyle name="Обычный 11 4 14" xfId="4094" xr:uid="{00000000-0005-0000-0000-00007A020000}"/>
    <cellStyle name="Обычный 11 4 14 2" xfId="7945" xr:uid="{00000000-0005-0000-0000-00007B020000}"/>
    <cellStyle name="Обычный 11 4 15" xfId="8244" xr:uid="{00000000-0005-0000-0000-00007C020000}"/>
    <cellStyle name="Обычный 11 4 16" xfId="4392" xr:uid="{00000000-0005-0000-0000-00007D020000}"/>
    <cellStyle name="Обычный 11 4 17" xfId="8838" xr:uid="{00000000-0005-0000-0000-00007E020000}"/>
    <cellStyle name="Обычный 11 4 2" xfId="738" xr:uid="{00000000-0005-0000-0000-00007F020000}"/>
    <cellStyle name="Обычный 11 4 2 10" xfId="3354" xr:uid="{00000000-0005-0000-0000-000080020000}"/>
    <cellStyle name="Обычный 11 4 2 10 2" xfId="7205" xr:uid="{00000000-0005-0000-0000-000081020000}"/>
    <cellStyle name="Обычный 11 4 2 11" xfId="3650" xr:uid="{00000000-0005-0000-0000-000082020000}"/>
    <cellStyle name="Обычный 11 4 2 11 2" xfId="7501" xr:uid="{00000000-0005-0000-0000-000083020000}"/>
    <cellStyle name="Обычный 11 4 2 12" xfId="3946" xr:uid="{00000000-0005-0000-0000-000084020000}"/>
    <cellStyle name="Обычный 11 4 2 12 2" xfId="7797" xr:uid="{00000000-0005-0000-0000-000085020000}"/>
    <cellStyle name="Обычный 11 4 2 13" xfId="4242" xr:uid="{00000000-0005-0000-0000-000086020000}"/>
    <cellStyle name="Обычный 11 4 2 13 2" xfId="8093" xr:uid="{00000000-0005-0000-0000-000087020000}"/>
    <cellStyle name="Обычный 11 4 2 14" xfId="8508" xr:uid="{00000000-0005-0000-0000-000088020000}"/>
    <cellStyle name="Обычный 11 4 2 15" xfId="4541" xr:uid="{00000000-0005-0000-0000-000089020000}"/>
    <cellStyle name="Обычный 11 4 2 2" xfId="1109" xr:uid="{00000000-0005-0000-0000-00008A020000}"/>
    <cellStyle name="Обычный 11 4 2 2 2" xfId="4837" xr:uid="{00000000-0005-0000-0000-00008B020000}"/>
    <cellStyle name="Обычный 11 4 2 3" xfId="1298" xr:uid="{00000000-0005-0000-0000-00008C020000}"/>
    <cellStyle name="Обычный 11 4 2 3 2" xfId="5133" xr:uid="{00000000-0005-0000-0000-00008D020000}"/>
    <cellStyle name="Обычный 11 4 2 4" xfId="1585" xr:uid="{00000000-0005-0000-0000-00008E020000}"/>
    <cellStyle name="Обычный 11 4 2 4 2" xfId="5429" xr:uid="{00000000-0005-0000-0000-00008F020000}"/>
    <cellStyle name="Обычный 11 4 2 5" xfId="1878" xr:uid="{00000000-0005-0000-0000-000090020000}"/>
    <cellStyle name="Обычный 11 4 2 5 2" xfId="5725" xr:uid="{00000000-0005-0000-0000-000091020000}"/>
    <cellStyle name="Обычный 11 4 2 6" xfId="2171" xr:uid="{00000000-0005-0000-0000-000092020000}"/>
    <cellStyle name="Обычный 11 4 2 6 2" xfId="6021" xr:uid="{00000000-0005-0000-0000-000093020000}"/>
    <cellStyle name="Обычный 11 4 2 7" xfId="2466" xr:uid="{00000000-0005-0000-0000-000094020000}"/>
    <cellStyle name="Обычный 11 4 2 7 2" xfId="6317" xr:uid="{00000000-0005-0000-0000-000095020000}"/>
    <cellStyle name="Обычный 11 4 2 8" xfId="2762" xr:uid="{00000000-0005-0000-0000-000096020000}"/>
    <cellStyle name="Обычный 11 4 2 8 2" xfId="6613" xr:uid="{00000000-0005-0000-0000-000097020000}"/>
    <cellStyle name="Обычный 11 4 2 9" xfId="3058" xr:uid="{00000000-0005-0000-0000-000098020000}"/>
    <cellStyle name="Обычный 11 4 2 9 2" xfId="6909" xr:uid="{00000000-0005-0000-0000-000099020000}"/>
    <cellStyle name="Обычный 11 4 3" xfId="1062" xr:uid="{00000000-0005-0000-0000-00009A020000}"/>
    <cellStyle name="Обычный 11 4 3 2" xfId="4689" xr:uid="{00000000-0005-0000-0000-00009B020000}"/>
    <cellStyle name="Обычный 11 4 4" xfId="1156" xr:uid="{00000000-0005-0000-0000-00009C020000}"/>
    <cellStyle name="Обычный 11 4 4 2" xfId="4985" xr:uid="{00000000-0005-0000-0000-00009D020000}"/>
    <cellStyle name="Обычный 11 4 5" xfId="1439" xr:uid="{00000000-0005-0000-0000-00009E020000}"/>
    <cellStyle name="Обычный 11 4 5 2" xfId="5281" xr:uid="{00000000-0005-0000-0000-00009F020000}"/>
    <cellStyle name="Обычный 11 4 6" xfId="1730" xr:uid="{00000000-0005-0000-0000-0000A0020000}"/>
    <cellStyle name="Обычный 11 4 6 2" xfId="5577" xr:uid="{00000000-0005-0000-0000-0000A1020000}"/>
    <cellStyle name="Обычный 11 4 7" xfId="2023" xr:uid="{00000000-0005-0000-0000-0000A2020000}"/>
    <cellStyle name="Обычный 11 4 7 2" xfId="5873" xr:uid="{00000000-0005-0000-0000-0000A3020000}"/>
    <cellStyle name="Обычный 11 4 8" xfId="2318" xr:uid="{00000000-0005-0000-0000-0000A4020000}"/>
    <cellStyle name="Обычный 11 4 8 2" xfId="6169" xr:uid="{00000000-0005-0000-0000-0000A5020000}"/>
    <cellStyle name="Обычный 11 4 9" xfId="2614" xr:uid="{00000000-0005-0000-0000-0000A6020000}"/>
    <cellStyle name="Обычный 11 4 9 2" xfId="6465" xr:uid="{00000000-0005-0000-0000-0000A7020000}"/>
    <cellStyle name="Обычный 11 5" xfId="292" xr:uid="{00000000-0005-0000-0000-0000A8020000}"/>
    <cellStyle name="Обычный 11 5 10" xfId="3256" xr:uid="{00000000-0005-0000-0000-0000A9020000}"/>
    <cellStyle name="Обычный 11 5 10 2" xfId="7107" xr:uid="{00000000-0005-0000-0000-0000AA020000}"/>
    <cellStyle name="Обычный 11 5 11" xfId="3552" xr:uid="{00000000-0005-0000-0000-0000AB020000}"/>
    <cellStyle name="Обычный 11 5 11 2" xfId="7403" xr:uid="{00000000-0005-0000-0000-0000AC020000}"/>
    <cellStyle name="Обычный 11 5 12" xfId="3848" xr:uid="{00000000-0005-0000-0000-0000AD020000}"/>
    <cellStyle name="Обычный 11 5 12 2" xfId="7699" xr:uid="{00000000-0005-0000-0000-0000AE020000}"/>
    <cellStyle name="Обычный 11 5 13" xfId="4144" xr:uid="{00000000-0005-0000-0000-0000AF020000}"/>
    <cellStyle name="Обычный 11 5 13 2" xfId="7995" xr:uid="{00000000-0005-0000-0000-0000B0020000}"/>
    <cellStyle name="Обычный 11 5 14" xfId="8344" xr:uid="{00000000-0005-0000-0000-0000B1020000}"/>
    <cellStyle name="Обычный 11 5 15" xfId="4443" xr:uid="{00000000-0005-0000-0000-0000B2020000}"/>
    <cellStyle name="Обычный 11 5 16" xfId="8840" xr:uid="{00000000-0005-0000-0000-0000B3020000}"/>
    <cellStyle name="Обычный 11 5 2" xfId="739" xr:uid="{00000000-0005-0000-0000-0000B4020000}"/>
    <cellStyle name="Обычный 11 5 2 2" xfId="8509" xr:uid="{00000000-0005-0000-0000-0000B5020000}"/>
    <cellStyle name="Обычный 11 5 2 3" xfId="4739" xr:uid="{00000000-0005-0000-0000-0000B6020000}"/>
    <cellStyle name="Обычный 11 5 3" xfId="1203" xr:uid="{00000000-0005-0000-0000-0000B7020000}"/>
    <cellStyle name="Обычный 11 5 3 2" xfId="5035" xr:uid="{00000000-0005-0000-0000-0000B8020000}"/>
    <cellStyle name="Обычный 11 5 4" xfId="1488" xr:uid="{00000000-0005-0000-0000-0000B9020000}"/>
    <cellStyle name="Обычный 11 5 4 2" xfId="5331" xr:uid="{00000000-0005-0000-0000-0000BA020000}"/>
    <cellStyle name="Обычный 11 5 5" xfId="1780" xr:uid="{00000000-0005-0000-0000-0000BB020000}"/>
    <cellStyle name="Обычный 11 5 5 2" xfId="5627" xr:uid="{00000000-0005-0000-0000-0000BC020000}"/>
    <cellStyle name="Обычный 11 5 6" xfId="2073" xr:uid="{00000000-0005-0000-0000-0000BD020000}"/>
    <cellStyle name="Обычный 11 5 6 2" xfId="5923" xr:uid="{00000000-0005-0000-0000-0000BE020000}"/>
    <cellStyle name="Обычный 11 5 7" xfId="2368" xr:uid="{00000000-0005-0000-0000-0000BF020000}"/>
    <cellStyle name="Обычный 11 5 7 2" xfId="6219" xr:uid="{00000000-0005-0000-0000-0000C0020000}"/>
    <cellStyle name="Обычный 11 5 8" xfId="2664" xr:uid="{00000000-0005-0000-0000-0000C1020000}"/>
    <cellStyle name="Обычный 11 5 8 2" xfId="6515" xr:uid="{00000000-0005-0000-0000-0000C2020000}"/>
    <cellStyle name="Обычный 11 5 9" xfId="2960" xr:uid="{00000000-0005-0000-0000-0000C3020000}"/>
    <cellStyle name="Обычный 11 5 9 2" xfId="6811" xr:uid="{00000000-0005-0000-0000-0000C4020000}"/>
    <cellStyle name="Обычный 11 6" xfId="407" xr:uid="{00000000-0005-0000-0000-0000C5020000}"/>
    <cellStyle name="Обычный 11 6 2" xfId="8450" xr:uid="{00000000-0005-0000-0000-0000C6020000}"/>
    <cellStyle name="Обычный 11 6 3" xfId="4591" xr:uid="{00000000-0005-0000-0000-0000C7020000}"/>
    <cellStyle name="Обычный 11 6 4" xfId="8842" xr:uid="{00000000-0005-0000-0000-0000C8020000}"/>
    <cellStyle name="Обычный 11 7" xfId="740" xr:uid="{00000000-0005-0000-0000-0000C9020000}"/>
    <cellStyle name="Обычный 11 7 2" xfId="8510" xr:uid="{00000000-0005-0000-0000-0000CA020000}"/>
    <cellStyle name="Обычный 11 7 3" xfId="4887" xr:uid="{00000000-0005-0000-0000-0000CB020000}"/>
    <cellStyle name="Обычный 11 7 4" xfId="8844" xr:uid="{00000000-0005-0000-0000-0000CC020000}"/>
    <cellStyle name="Обычный 11 8" xfId="1345" xr:uid="{00000000-0005-0000-0000-0000CD020000}"/>
    <cellStyle name="Обычный 11 8 2" xfId="5183" xr:uid="{00000000-0005-0000-0000-0000CE020000}"/>
    <cellStyle name="Обычный 11 8 3" xfId="8820" xr:uid="{00000000-0005-0000-0000-0000CF020000}"/>
    <cellStyle name="Обычный 11 9" xfId="1634" xr:uid="{00000000-0005-0000-0000-0000D0020000}"/>
    <cellStyle name="Обычный 11 9 2" xfId="5479" xr:uid="{00000000-0005-0000-0000-0000D1020000}"/>
    <cellStyle name="Обычный 11 9 3" xfId="8819" xr:uid="{00000000-0005-0000-0000-0000D2020000}"/>
    <cellStyle name="Обычный 12" xfId="130" xr:uid="{00000000-0005-0000-0000-0000D3020000}"/>
    <cellStyle name="Обычный 12 10" xfId="2608" xr:uid="{00000000-0005-0000-0000-0000D4020000}"/>
    <cellStyle name="Обычный 12 10 2" xfId="6459" xr:uid="{00000000-0005-0000-0000-0000D5020000}"/>
    <cellStyle name="Обычный 12 11" xfId="2904" xr:uid="{00000000-0005-0000-0000-0000D6020000}"/>
    <cellStyle name="Обычный 12 11 2" xfId="6755" xr:uid="{00000000-0005-0000-0000-0000D7020000}"/>
    <cellStyle name="Обычный 12 12" xfId="3200" xr:uid="{00000000-0005-0000-0000-0000D8020000}"/>
    <cellStyle name="Обычный 12 12 2" xfId="7051" xr:uid="{00000000-0005-0000-0000-0000D9020000}"/>
    <cellStyle name="Обычный 12 13" xfId="3496" xr:uid="{00000000-0005-0000-0000-0000DA020000}"/>
    <cellStyle name="Обычный 12 13 2" xfId="7347" xr:uid="{00000000-0005-0000-0000-0000DB020000}"/>
    <cellStyle name="Обычный 12 14" xfId="3792" xr:uid="{00000000-0005-0000-0000-0000DC020000}"/>
    <cellStyle name="Обычный 12 14 2" xfId="7643" xr:uid="{00000000-0005-0000-0000-0000DD020000}"/>
    <cellStyle name="Обычный 12 15" xfId="4088" xr:uid="{00000000-0005-0000-0000-0000DE020000}"/>
    <cellStyle name="Обычный 12 15 2" xfId="7939" xr:uid="{00000000-0005-0000-0000-0000DF020000}"/>
    <cellStyle name="Обычный 12 16" xfId="8187" xr:uid="{00000000-0005-0000-0000-0000E0020000}"/>
    <cellStyle name="Обычный 12 17" xfId="4386" xr:uid="{00000000-0005-0000-0000-0000E1020000}"/>
    <cellStyle name="Обычный 12 18" xfId="8774" xr:uid="{00000000-0005-0000-0000-0000E2020000}"/>
    <cellStyle name="Обычный 12 19" xfId="8825" xr:uid="{00000000-0005-0000-0000-0000E3020000}"/>
    <cellStyle name="Обычный 12 2" xfId="182" xr:uid="{00000000-0005-0000-0000-0000E4020000}"/>
    <cellStyle name="Обычный 12 2 10" xfId="2954" xr:uid="{00000000-0005-0000-0000-0000E5020000}"/>
    <cellStyle name="Обычный 12 2 10 2" xfId="6805" xr:uid="{00000000-0005-0000-0000-0000E6020000}"/>
    <cellStyle name="Обычный 12 2 11" xfId="3250" xr:uid="{00000000-0005-0000-0000-0000E7020000}"/>
    <cellStyle name="Обычный 12 2 11 2" xfId="7101" xr:uid="{00000000-0005-0000-0000-0000E8020000}"/>
    <cellStyle name="Обычный 12 2 12" xfId="3546" xr:uid="{00000000-0005-0000-0000-0000E9020000}"/>
    <cellStyle name="Обычный 12 2 12 2" xfId="7397" xr:uid="{00000000-0005-0000-0000-0000EA020000}"/>
    <cellStyle name="Обычный 12 2 13" xfId="3842" xr:uid="{00000000-0005-0000-0000-0000EB020000}"/>
    <cellStyle name="Обычный 12 2 13 2" xfId="7693" xr:uid="{00000000-0005-0000-0000-0000EC020000}"/>
    <cellStyle name="Обычный 12 2 14" xfId="4138" xr:uid="{00000000-0005-0000-0000-0000ED020000}"/>
    <cellStyle name="Обычный 12 2 14 2" xfId="7989" xr:uid="{00000000-0005-0000-0000-0000EE020000}"/>
    <cellStyle name="Обычный 12 2 15" xfId="8237" xr:uid="{00000000-0005-0000-0000-0000EF020000}"/>
    <cellStyle name="Обычный 12 2 16" xfId="4437" xr:uid="{00000000-0005-0000-0000-0000F0020000}"/>
    <cellStyle name="Обычный 12 2 17" xfId="8796" xr:uid="{00000000-0005-0000-0000-0000F1020000}"/>
    <cellStyle name="Обычный 12 2 18" xfId="8829" xr:uid="{00000000-0005-0000-0000-0000F2020000}"/>
    <cellStyle name="Обычный 12 2 2" xfId="285" xr:uid="{00000000-0005-0000-0000-0000F3020000}"/>
    <cellStyle name="Обычный 12 2 2 10" xfId="3398" xr:uid="{00000000-0005-0000-0000-0000F4020000}"/>
    <cellStyle name="Обычный 12 2 2 10 2" xfId="7249" xr:uid="{00000000-0005-0000-0000-0000F5020000}"/>
    <cellStyle name="Обычный 12 2 2 11" xfId="3694" xr:uid="{00000000-0005-0000-0000-0000F6020000}"/>
    <cellStyle name="Обычный 12 2 2 11 2" xfId="7545" xr:uid="{00000000-0005-0000-0000-0000F7020000}"/>
    <cellStyle name="Обычный 12 2 2 12" xfId="3990" xr:uid="{00000000-0005-0000-0000-0000F8020000}"/>
    <cellStyle name="Обычный 12 2 2 12 2" xfId="7841" xr:uid="{00000000-0005-0000-0000-0000F9020000}"/>
    <cellStyle name="Обычный 12 2 2 13" xfId="4286" xr:uid="{00000000-0005-0000-0000-0000FA020000}"/>
    <cellStyle name="Обычный 12 2 2 13 2" xfId="8137" xr:uid="{00000000-0005-0000-0000-0000FB020000}"/>
    <cellStyle name="Обычный 12 2 2 14" xfId="8338" xr:uid="{00000000-0005-0000-0000-0000FC020000}"/>
    <cellStyle name="Обычный 12 2 2 15" xfId="4585" xr:uid="{00000000-0005-0000-0000-0000FD020000}"/>
    <cellStyle name="Обычный 12 2 2 2" xfId="741" xr:uid="{00000000-0005-0000-0000-0000FE020000}"/>
    <cellStyle name="Обычный 12 2 2 2 2" xfId="8511" xr:uid="{00000000-0005-0000-0000-0000FF020000}"/>
    <cellStyle name="Обычный 12 2 2 2 3" xfId="4881" xr:uid="{00000000-0005-0000-0000-000000030000}"/>
    <cellStyle name="Обычный 12 2 2 3" xfId="1340" xr:uid="{00000000-0005-0000-0000-000001030000}"/>
    <cellStyle name="Обычный 12 2 2 3 2" xfId="5177" xr:uid="{00000000-0005-0000-0000-000002030000}"/>
    <cellStyle name="Обычный 12 2 2 4" xfId="1628" xr:uid="{00000000-0005-0000-0000-000003030000}"/>
    <cellStyle name="Обычный 12 2 2 4 2" xfId="5473" xr:uid="{00000000-0005-0000-0000-000004030000}"/>
    <cellStyle name="Обычный 12 2 2 5" xfId="1921" xr:uid="{00000000-0005-0000-0000-000005030000}"/>
    <cellStyle name="Обычный 12 2 2 5 2" xfId="5769" xr:uid="{00000000-0005-0000-0000-000006030000}"/>
    <cellStyle name="Обычный 12 2 2 6" xfId="2215" xr:uid="{00000000-0005-0000-0000-000007030000}"/>
    <cellStyle name="Обычный 12 2 2 6 2" xfId="6065" xr:uid="{00000000-0005-0000-0000-000008030000}"/>
    <cellStyle name="Обычный 12 2 2 7" xfId="2510" xr:uid="{00000000-0005-0000-0000-000009030000}"/>
    <cellStyle name="Обычный 12 2 2 7 2" xfId="6361" xr:uid="{00000000-0005-0000-0000-00000A030000}"/>
    <cellStyle name="Обычный 12 2 2 8" xfId="2806" xr:uid="{00000000-0005-0000-0000-00000B030000}"/>
    <cellStyle name="Обычный 12 2 2 8 2" xfId="6657" xr:uid="{00000000-0005-0000-0000-00000C030000}"/>
    <cellStyle name="Обычный 12 2 2 9" xfId="3102" xr:uid="{00000000-0005-0000-0000-00000D030000}"/>
    <cellStyle name="Обычный 12 2 2 9 2" xfId="6953" xr:uid="{00000000-0005-0000-0000-00000E030000}"/>
    <cellStyle name="Обычный 12 2 3" xfId="386" xr:uid="{00000000-0005-0000-0000-00000F030000}"/>
    <cellStyle name="Обычный 12 2 3 2" xfId="742" xr:uid="{00000000-0005-0000-0000-000010030000}"/>
    <cellStyle name="Обычный 12 2 3 3" xfId="8438" xr:uid="{00000000-0005-0000-0000-000011030000}"/>
    <cellStyle name="Обычный 12 2 3 4" xfId="4733" xr:uid="{00000000-0005-0000-0000-000012030000}"/>
    <cellStyle name="Обычный 12 2 4" xfId="680" xr:uid="{00000000-0005-0000-0000-000013030000}"/>
    <cellStyle name="Обычный 12 2 4 2" xfId="8483" xr:uid="{00000000-0005-0000-0000-000014030000}"/>
    <cellStyle name="Обычный 12 2 4 3" xfId="5029" xr:uid="{00000000-0005-0000-0000-000015030000}"/>
    <cellStyle name="Обычный 12 2 5" xfId="1482" xr:uid="{00000000-0005-0000-0000-000016030000}"/>
    <cellStyle name="Обычный 12 2 5 2" xfId="5325" xr:uid="{00000000-0005-0000-0000-000017030000}"/>
    <cellStyle name="Обычный 12 2 6" xfId="1774" xr:uid="{00000000-0005-0000-0000-000018030000}"/>
    <cellStyle name="Обычный 12 2 6 2" xfId="5621" xr:uid="{00000000-0005-0000-0000-000019030000}"/>
    <cellStyle name="Обычный 12 2 7" xfId="2067" xr:uid="{00000000-0005-0000-0000-00001A030000}"/>
    <cellStyle name="Обычный 12 2 7 2" xfId="5917" xr:uid="{00000000-0005-0000-0000-00001B030000}"/>
    <cellStyle name="Обычный 12 2 8" xfId="2362" xr:uid="{00000000-0005-0000-0000-00001C030000}"/>
    <cellStyle name="Обычный 12 2 8 2" xfId="6213" xr:uid="{00000000-0005-0000-0000-00001D030000}"/>
    <cellStyle name="Обычный 12 2 9" xfId="2658" xr:uid="{00000000-0005-0000-0000-00001E030000}"/>
    <cellStyle name="Обычный 12 2 9 2" xfId="6509" xr:uid="{00000000-0005-0000-0000-00001F030000}"/>
    <cellStyle name="Обычный 12 3" xfId="235" xr:uid="{00000000-0005-0000-0000-000020030000}"/>
    <cellStyle name="Обычный 12 3 10" xfId="3348" xr:uid="{00000000-0005-0000-0000-000021030000}"/>
    <cellStyle name="Обычный 12 3 10 2" xfId="7199" xr:uid="{00000000-0005-0000-0000-000022030000}"/>
    <cellStyle name="Обычный 12 3 11" xfId="3644" xr:uid="{00000000-0005-0000-0000-000023030000}"/>
    <cellStyle name="Обычный 12 3 11 2" xfId="7495" xr:uid="{00000000-0005-0000-0000-000024030000}"/>
    <cellStyle name="Обычный 12 3 12" xfId="3940" xr:uid="{00000000-0005-0000-0000-000025030000}"/>
    <cellStyle name="Обычный 12 3 12 2" xfId="7791" xr:uid="{00000000-0005-0000-0000-000026030000}"/>
    <cellStyle name="Обычный 12 3 13" xfId="4236" xr:uid="{00000000-0005-0000-0000-000027030000}"/>
    <cellStyle name="Обычный 12 3 13 2" xfId="8087" xr:uid="{00000000-0005-0000-0000-000028030000}"/>
    <cellStyle name="Обычный 12 3 14" xfId="8288" xr:uid="{00000000-0005-0000-0000-000029030000}"/>
    <cellStyle name="Обычный 12 3 15" xfId="4535" xr:uid="{00000000-0005-0000-0000-00002A030000}"/>
    <cellStyle name="Обычный 12 3 2" xfId="724" xr:uid="{00000000-0005-0000-0000-00002B030000}"/>
    <cellStyle name="Обычный 12 3 2 2" xfId="8498" xr:uid="{00000000-0005-0000-0000-00002C030000}"/>
    <cellStyle name="Обычный 12 3 2 3" xfId="4831" xr:uid="{00000000-0005-0000-0000-00002D030000}"/>
    <cellStyle name="Обычный 12 3 3" xfId="1292" xr:uid="{00000000-0005-0000-0000-00002E030000}"/>
    <cellStyle name="Обычный 12 3 3 2" xfId="5127" xr:uid="{00000000-0005-0000-0000-00002F030000}"/>
    <cellStyle name="Обычный 12 3 4" xfId="1579" xr:uid="{00000000-0005-0000-0000-000030030000}"/>
    <cellStyle name="Обычный 12 3 4 2" xfId="5423" xr:uid="{00000000-0005-0000-0000-000031030000}"/>
    <cellStyle name="Обычный 12 3 5" xfId="1872" xr:uid="{00000000-0005-0000-0000-000032030000}"/>
    <cellStyle name="Обычный 12 3 5 2" xfId="5719" xr:uid="{00000000-0005-0000-0000-000033030000}"/>
    <cellStyle name="Обычный 12 3 6" xfId="2165" xr:uid="{00000000-0005-0000-0000-000034030000}"/>
    <cellStyle name="Обычный 12 3 6 2" xfId="6015" xr:uid="{00000000-0005-0000-0000-000035030000}"/>
    <cellStyle name="Обычный 12 3 7" xfId="2460" xr:uid="{00000000-0005-0000-0000-000036030000}"/>
    <cellStyle name="Обычный 12 3 7 2" xfId="6311" xr:uid="{00000000-0005-0000-0000-000037030000}"/>
    <cellStyle name="Обычный 12 3 8" xfId="2756" xr:uid="{00000000-0005-0000-0000-000038030000}"/>
    <cellStyle name="Обычный 12 3 8 2" xfId="6607" xr:uid="{00000000-0005-0000-0000-000039030000}"/>
    <cellStyle name="Обычный 12 3 9" xfId="3052" xr:uid="{00000000-0005-0000-0000-00003A030000}"/>
    <cellStyle name="Обычный 12 3 9 2" xfId="6903" xr:uid="{00000000-0005-0000-0000-00003B030000}"/>
    <cellStyle name="Обычный 12 4" xfId="336" xr:uid="{00000000-0005-0000-0000-00003C030000}"/>
    <cellStyle name="Обычный 12 4 2" xfId="743" xr:uid="{00000000-0005-0000-0000-00003D030000}"/>
    <cellStyle name="Обычный 12 4 3" xfId="8388" xr:uid="{00000000-0005-0000-0000-00003E030000}"/>
    <cellStyle name="Обычный 12 4 4" xfId="4683" xr:uid="{00000000-0005-0000-0000-00003F030000}"/>
    <cellStyle name="Обычный 12 5" xfId="409" xr:uid="{00000000-0005-0000-0000-000040030000}"/>
    <cellStyle name="Обычный 12 5 2" xfId="8452" xr:uid="{00000000-0005-0000-0000-000041030000}"/>
    <cellStyle name="Обычный 12 5 3" xfId="4979" xr:uid="{00000000-0005-0000-0000-000042030000}"/>
    <cellStyle name="Обычный 12 6" xfId="1043" xr:uid="{00000000-0005-0000-0000-000043030000}"/>
    <cellStyle name="Обычный 12 6 2" xfId="8755" xr:uid="{00000000-0005-0000-0000-000044030000}"/>
    <cellStyle name="Обычный 12 6 3" xfId="5275" xr:uid="{00000000-0005-0000-0000-000045030000}"/>
    <cellStyle name="Обычный 12 7" xfId="1724" xr:uid="{00000000-0005-0000-0000-000046030000}"/>
    <cellStyle name="Обычный 12 7 2" xfId="5571" xr:uid="{00000000-0005-0000-0000-000047030000}"/>
    <cellStyle name="Обычный 12 8" xfId="2017" xr:uid="{00000000-0005-0000-0000-000048030000}"/>
    <cellStyle name="Обычный 12 8 2" xfId="5867" xr:uid="{00000000-0005-0000-0000-000049030000}"/>
    <cellStyle name="Обычный 12 9" xfId="2312" xr:uid="{00000000-0005-0000-0000-00004A030000}"/>
    <cellStyle name="Обычный 12 9 2" xfId="6163" xr:uid="{00000000-0005-0000-0000-00004B030000}"/>
    <cellStyle name="Обычный 13" xfId="131" xr:uid="{00000000-0005-0000-0000-00004C030000}"/>
    <cellStyle name="Обычный 13 2" xfId="183" xr:uid="{00000000-0005-0000-0000-00004D030000}"/>
    <cellStyle name="Обычный 13 2 2" xfId="646" xr:uid="{00000000-0005-0000-0000-00004E030000}"/>
    <cellStyle name="Обычный 13 2 2 2" xfId="656" xr:uid="{00000000-0005-0000-0000-00004F030000}"/>
    <cellStyle name="Обычный 13 2 2 2 2" xfId="703" xr:uid="{00000000-0005-0000-0000-000050030000}"/>
    <cellStyle name="Обычный 13 2 2 2 2 2" xfId="722" xr:uid="{00000000-0005-0000-0000-000051030000}"/>
    <cellStyle name="Обычный 13 2 2 2 2 2 2" xfId="1041" xr:uid="{00000000-0005-0000-0000-000052030000}"/>
    <cellStyle name="Обычный 13 2 2 2 2 2 2 2" xfId="8794" xr:uid="{00000000-0005-0000-0000-000053030000}"/>
    <cellStyle name="Обычный 13 2 2 2 2 2 3" xfId="8772" xr:uid="{00000000-0005-0000-0000-000054030000}"/>
    <cellStyle name="Обычный 13 2 2 2 2 3" xfId="714" xr:uid="{00000000-0005-0000-0000-000055030000}"/>
    <cellStyle name="Обычный 13 2 2 2 2 3 2" xfId="8787" xr:uid="{00000000-0005-0000-0000-000056030000}"/>
    <cellStyle name="Обычный 13 2 2 2 2 4" xfId="1034" xr:uid="{00000000-0005-0000-0000-000057030000}"/>
    <cellStyle name="Обычный 13 2 2 2 2 5" xfId="8766" xr:uid="{00000000-0005-0000-0000-000058030000}"/>
    <cellStyle name="Обычный 13 2 2 2 3" xfId="719" xr:uid="{00000000-0005-0000-0000-000059030000}"/>
    <cellStyle name="Обычный 13 2 2 2 3 2" xfId="1038" xr:uid="{00000000-0005-0000-0000-00005A030000}"/>
    <cellStyle name="Обычный 13 2 2 2 3 2 2" xfId="8791" xr:uid="{00000000-0005-0000-0000-00005B030000}"/>
    <cellStyle name="Обычный 13 2 2 2 3 3" xfId="8769" xr:uid="{00000000-0005-0000-0000-00005C030000}"/>
    <cellStyle name="Обычный 13 2 2 2 4" xfId="711" xr:uid="{00000000-0005-0000-0000-00005D030000}"/>
    <cellStyle name="Обычный 13 2 2 2 4 2" xfId="8784" xr:uid="{00000000-0005-0000-0000-00005E030000}"/>
    <cellStyle name="Обычный 13 2 2 2 5" xfId="1031" xr:uid="{00000000-0005-0000-0000-00005F030000}"/>
    <cellStyle name="Обычный 13 2 2 2 6" xfId="8763" xr:uid="{00000000-0005-0000-0000-000060030000}"/>
    <cellStyle name="Обычный 13 2 2 3" xfId="697" xr:uid="{00000000-0005-0000-0000-000061030000}"/>
    <cellStyle name="Обычный 13 2 3" xfId="642" xr:uid="{00000000-0005-0000-0000-000062030000}"/>
    <cellStyle name="Обычный 13 2 3 2" xfId="693" xr:uid="{00000000-0005-0000-0000-000063030000}"/>
    <cellStyle name="Обычный 13 2 4" xfId="684" xr:uid="{00000000-0005-0000-0000-000064030000}"/>
    <cellStyle name="Обычный 13 2 5" xfId="570" xr:uid="{00000000-0005-0000-0000-000065030000}"/>
    <cellStyle name="Обычный 13 2 6" xfId="8797" xr:uid="{00000000-0005-0000-0000-000066030000}"/>
    <cellStyle name="Обычный 13 3" xfId="569" xr:uid="{00000000-0005-0000-0000-000067030000}"/>
    <cellStyle name="Обычный 13 3 2" xfId="129" xr:uid="{00000000-0005-0000-0000-000068030000}"/>
    <cellStyle name="Обычный 13 3 2 10" xfId="2607" xr:uid="{00000000-0005-0000-0000-000069030000}"/>
    <cellStyle name="Обычный 13 3 2 10 2" xfId="6458" xr:uid="{00000000-0005-0000-0000-00006A030000}"/>
    <cellStyle name="Обычный 13 3 2 11" xfId="2903" xr:uid="{00000000-0005-0000-0000-00006B030000}"/>
    <cellStyle name="Обычный 13 3 2 11 2" xfId="6754" xr:uid="{00000000-0005-0000-0000-00006C030000}"/>
    <cellStyle name="Обычный 13 3 2 12" xfId="3199" xr:uid="{00000000-0005-0000-0000-00006D030000}"/>
    <cellStyle name="Обычный 13 3 2 12 2" xfId="7050" xr:uid="{00000000-0005-0000-0000-00006E030000}"/>
    <cellStyle name="Обычный 13 3 2 13" xfId="3495" xr:uid="{00000000-0005-0000-0000-00006F030000}"/>
    <cellStyle name="Обычный 13 3 2 13 2" xfId="7346" xr:uid="{00000000-0005-0000-0000-000070030000}"/>
    <cellStyle name="Обычный 13 3 2 14" xfId="3791" xr:uid="{00000000-0005-0000-0000-000071030000}"/>
    <cellStyle name="Обычный 13 3 2 14 2" xfId="7642" xr:uid="{00000000-0005-0000-0000-000072030000}"/>
    <cellStyle name="Обычный 13 3 2 15" xfId="4087" xr:uid="{00000000-0005-0000-0000-000073030000}"/>
    <cellStyle name="Обычный 13 3 2 15 2" xfId="7938" xr:uid="{00000000-0005-0000-0000-000074030000}"/>
    <cellStyle name="Обычный 13 3 2 16" xfId="8186" xr:uid="{00000000-0005-0000-0000-000075030000}"/>
    <cellStyle name="Обычный 13 3 2 17" xfId="4385" xr:uid="{00000000-0005-0000-0000-000076030000}"/>
    <cellStyle name="Обычный 13 3 2 18" xfId="8761" xr:uid="{00000000-0005-0000-0000-000077030000}"/>
    <cellStyle name="Обычный 13 3 2 2" xfId="181" xr:uid="{00000000-0005-0000-0000-000078030000}"/>
    <cellStyle name="Обычный 13 3 2 2 10" xfId="2953" xr:uid="{00000000-0005-0000-0000-000079030000}"/>
    <cellStyle name="Обычный 13 3 2 2 10 2" xfId="6804" xr:uid="{00000000-0005-0000-0000-00007A030000}"/>
    <cellStyle name="Обычный 13 3 2 2 11" xfId="3249" xr:uid="{00000000-0005-0000-0000-00007B030000}"/>
    <cellStyle name="Обычный 13 3 2 2 11 2" xfId="7100" xr:uid="{00000000-0005-0000-0000-00007C030000}"/>
    <cellStyle name="Обычный 13 3 2 2 12" xfId="3545" xr:uid="{00000000-0005-0000-0000-00007D030000}"/>
    <cellStyle name="Обычный 13 3 2 2 12 2" xfId="7396" xr:uid="{00000000-0005-0000-0000-00007E030000}"/>
    <cellStyle name="Обычный 13 3 2 2 13" xfId="3841" xr:uid="{00000000-0005-0000-0000-00007F030000}"/>
    <cellStyle name="Обычный 13 3 2 2 13 2" xfId="7692" xr:uid="{00000000-0005-0000-0000-000080030000}"/>
    <cellStyle name="Обычный 13 3 2 2 14" xfId="4137" xr:uid="{00000000-0005-0000-0000-000081030000}"/>
    <cellStyle name="Обычный 13 3 2 2 14 2" xfId="7988" xr:uid="{00000000-0005-0000-0000-000082030000}"/>
    <cellStyle name="Обычный 13 3 2 2 15" xfId="8236" xr:uid="{00000000-0005-0000-0000-000083030000}"/>
    <cellStyle name="Обычный 13 3 2 2 16" xfId="4436" xr:uid="{00000000-0005-0000-0000-000084030000}"/>
    <cellStyle name="Обычный 13 3 2 2 17" xfId="8764" xr:uid="{00000000-0005-0000-0000-000085030000}"/>
    <cellStyle name="Обычный 13 3 2 2 2" xfId="284" xr:uid="{00000000-0005-0000-0000-000086030000}"/>
    <cellStyle name="Обычный 13 3 2 2 2 10" xfId="3397" xr:uid="{00000000-0005-0000-0000-000087030000}"/>
    <cellStyle name="Обычный 13 3 2 2 2 10 2" xfId="7248" xr:uid="{00000000-0005-0000-0000-000088030000}"/>
    <cellStyle name="Обычный 13 3 2 2 2 11" xfId="3693" xr:uid="{00000000-0005-0000-0000-000089030000}"/>
    <cellStyle name="Обычный 13 3 2 2 2 11 2" xfId="7544" xr:uid="{00000000-0005-0000-0000-00008A030000}"/>
    <cellStyle name="Обычный 13 3 2 2 2 12" xfId="3989" xr:uid="{00000000-0005-0000-0000-00008B030000}"/>
    <cellStyle name="Обычный 13 3 2 2 2 12 2" xfId="7840" xr:uid="{00000000-0005-0000-0000-00008C030000}"/>
    <cellStyle name="Обычный 13 3 2 2 2 13" xfId="4285" xr:uid="{00000000-0005-0000-0000-00008D030000}"/>
    <cellStyle name="Обычный 13 3 2 2 2 13 2" xfId="8136" xr:uid="{00000000-0005-0000-0000-00008E030000}"/>
    <cellStyle name="Обычный 13 3 2 2 2 14" xfId="8337" xr:uid="{00000000-0005-0000-0000-00008F030000}"/>
    <cellStyle name="Обычный 13 3 2 2 2 15" xfId="4584" xr:uid="{00000000-0005-0000-0000-000090030000}"/>
    <cellStyle name="Обычный 13 3 2 2 2 16" xfId="8770" xr:uid="{00000000-0005-0000-0000-000091030000}"/>
    <cellStyle name="Обычный 13 3 2 2 2 2" xfId="720" xr:uid="{00000000-0005-0000-0000-000092030000}"/>
    <cellStyle name="Обычный 13 3 2 2 2 2 2" xfId="8497" xr:uid="{00000000-0005-0000-0000-000093030000}"/>
    <cellStyle name="Обычный 13 3 2 2 2 2 3" xfId="4880" xr:uid="{00000000-0005-0000-0000-000094030000}"/>
    <cellStyle name="Обычный 13 3 2 2 2 2 4" xfId="8792" xr:uid="{00000000-0005-0000-0000-000095030000}"/>
    <cellStyle name="Обычный 13 3 2 2 2 3" xfId="1039" xr:uid="{00000000-0005-0000-0000-000096030000}"/>
    <cellStyle name="Обычный 13 3 2 2 2 3 2" xfId="8754" xr:uid="{00000000-0005-0000-0000-000097030000}"/>
    <cellStyle name="Обычный 13 3 2 2 2 3 3" xfId="5176" xr:uid="{00000000-0005-0000-0000-000098030000}"/>
    <cellStyle name="Обычный 13 3 2 2 2 4" xfId="1627" xr:uid="{00000000-0005-0000-0000-000099030000}"/>
    <cellStyle name="Обычный 13 3 2 2 2 4 2" xfId="5472" xr:uid="{00000000-0005-0000-0000-00009A030000}"/>
    <cellStyle name="Обычный 13 3 2 2 2 5" xfId="1920" xr:uid="{00000000-0005-0000-0000-00009B030000}"/>
    <cellStyle name="Обычный 13 3 2 2 2 5 2" xfId="5768" xr:uid="{00000000-0005-0000-0000-00009C030000}"/>
    <cellStyle name="Обычный 13 3 2 2 2 6" xfId="2214" xr:uid="{00000000-0005-0000-0000-00009D030000}"/>
    <cellStyle name="Обычный 13 3 2 2 2 6 2" xfId="6064" xr:uid="{00000000-0005-0000-0000-00009E030000}"/>
    <cellStyle name="Обычный 13 3 2 2 2 7" xfId="2509" xr:uid="{00000000-0005-0000-0000-00009F030000}"/>
    <cellStyle name="Обычный 13 3 2 2 2 7 2" xfId="6360" xr:uid="{00000000-0005-0000-0000-0000A0030000}"/>
    <cellStyle name="Обычный 13 3 2 2 2 8" xfId="2805" xr:uid="{00000000-0005-0000-0000-0000A1030000}"/>
    <cellStyle name="Обычный 13 3 2 2 2 8 2" xfId="6656" xr:uid="{00000000-0005-0000-0000-0000A2030000}"/>
    <cellStyle name="Обычный 13 3 2 2 2 9" xfId="3101" xr:uid="{00000000-0005-0000-0000-0000A3030000}"/>
    <cellStyle name="Обычный 13 3 2 2 2 9 2" xfId="6952" xr:uid="{00000000-0005-0000-0000-0000A4030000}"/>
    <cellStyle name="Обычный 13 3 2 2 3" xfId="385" xr:uid="{00000000-0005-0000-0000-0000A5030000}"/>
    <cellStyle name="Обычный 13 3 2 2 3 2" xfId="712" xr:uid="{00000000-0005-0000-0000-0000A6030000}"/>
    <cellStyle name="Обычный 13 3 2 2 3 3" xfId="8437" xr:uid="{00000000-0005-0000-0000-0000A7030000}"/>
    <cellStyle name="Обычный 13 3 2 2 3 4" xfId="4732" xr:uid="{00000000-0005-0000-0000-0000A8030000}"/>
    <cellStyle name="Обычный 13 3 2 2 3 5" xfId="8785" xr:uid="{00000000-0005-0000-0000-0000A9030000}"/>
    <cellStyle name="Обычный 13 3 2 2 4" xfId="688" xr:uid="{00000000-0005-0000-0000-0000AA030000}"/>
    <cellStyle name="Обычный 13 3 2 2 4 2" xfId="8486" xr:uid="{00000000-0005-0000-0000-0000AB030000}"/>
    <cellStyle name="Обычный 13 3 2 2 4 3" xfId="5028" xr:uid="{00000000-0005-0000-0000-0000AC030000}"/>
    <cellStyle name="Обычный 13 3 2 2 5" xfId="1032" xr:uid="{00000000-0005-0000-0000-0000AD030000}"/>
    <cellStyle name="Обычный 13 3 2 2 5 2" xfId="8752" xr:uid="{00000000-0005-0000-0000-0000AE030000}"/>
    <cellStyle name="Обычный 13 3 2 2 5 3" xfId="5324" xr:uid="{00000000-0005-0000-0000-0000AF030000}"/>
    <cellStyle name="Обычный 13 3 2 2 6" xfId="1773" xr:uid="{00000000-0005-0000-0000-0000B0030000}"/>
    <cellStyle name="Обычный 13 3 2 2 6 2" xfId="5620" xr:uid="{00000000-0005-0000-0000-0000B1030000}"/>
    <cellStyle name="Обычный 13 3 2 2 7" xfId="2066" xr:uid="{00000000-0005-0000-0000-0000B2030000}"/>
    <cellStyle name="Обычный 13 3 2 2 7 2" xfId="5916" xr:uid="{00000000-0005-0000-0000-0000B3030000}"/>
    <cellStyle name="Обычный 13 3 2 2 8" xfId="2361" xr:uid="{00000000-0005-0000-0000-0000B4030000}"/>
    <cellStyle name="Обычный 13 3 2 2 8 2" xfId="6212" xr:uid="{00000000-0005-0000-0000-0000B5030000}"/>
    <cellStyle name="Обычный 13 3 2 2 9" xfId="2657" xr:uid="{00000000-0005-0000-0000-0000B6030000}"/>
    <cellStyle name="Обычный 13 3 2 2 9 2" xfId="6508" xr:uid="{00000000-0005-0000-0000-0000B7030000}"/>
    <cellStyle name="Обычный 13 3 2 3" xfId="234" xr:uid="{00000000-0005-0000-0000-0000B8030000}"/>
    <cellStyle name="Обычный 13 3 2 3 10" xfId="3347" xr:uid="{00000000-0005-0000-0000-0000B9030000}"/>
    <cellStyle name="Обычный 13 3 2 3 10 2" xfId="7198" xr:uid="{00000000-0005-0000-0000-0000BA030000}"/>
    <cellStyle name="Обычный 13 3 2 3 11" xfId="3643" xr:uid="{00000000-0005-0000-0000-0000BB030000}"/>
    <cellStyle name="Обычный 13 3 2 3 11 2" xfId="7494" xr:uid="{00000000-0005-0000-0000-0000BC030000}"/>
    <cellStyle name="Обычный 13 3 2 3 12" xfId="3939" xr:uid="{00000000-0005-0000-0000-0000BD030000}"/>
    <cellStyle name="Обычный 13 3 2 3 12 2" xfId="7790" xr:uid="{00000000-0005-0000-0000-0000BE030000}"/>
    <cellStyle name="Обычный 13 3 2 3 13" xfId="4235" xr:uid="{00000000-0005-0000-0000-0000BF030000}"/>
    <cellStyle name="Обычный 13 3 2 3 13 2" xfId="8086" xr:uid="{00000000-0005-0000-0000-0000C0030000}"/>
    <cellStyle name="Обычный 13 3 2 3 14" xfId="8287" xr:uid="{00000000-0005-0000-0000-0000C1030000}"/>
    <cellStyle name="Обычный 13 3 2 3 15" xfId="4534" xr:uid="{00000000-0005-0000-0000-0000C2030000}"/>
    <cellStyle name="Обычный 13 3 2 3 16" xfId="8767" xr:uid="{00000000-0005-0000-0000-0000C3030000}"/>
    <cellStyle name="Обычный 13 3 2 3 2" xfId="717" xr:uid="{00000000-0005-0000-0000-0000C4030000}"/>
    <cellStyle name="Обычный 13 3 2 3 2 2" xfId="8495" xr:uid="{00000000-0005-0000-0000-0000C5030000}"/>
    <cellStyle name="Обычный 13 3 2 3 2 3" xfId="4830" xr:uid="{00000000-0005-0000-0000-0000C6030000}"/>
    <cellStyle name="Обычный 13 3 2 3 2 4" xfId="8789" xr:uid="{00000000-0005-0000-0000-0000C7030000}"/>
    <cellStyle name="Обычный 13 3 2 3 3" xfId="1036" xr:uid="{00000000-0005-0000-0000-0000C8030000}"/>
    <cellStyle name="Обычный 13 3 2 3 3 2" xfId="8753" xr:uid="{00000000-0005-0000-0000-0000C9030000}"/>
    <cellStyle name="Обычный 13 3 2 3 3 3" xfId="5126" xr:uid="{00000000-0005-0000-0000-0000CA030000}"/>
    <cellStyle name="Обычный 13 3 2 3 4" xfId="1578" xr:uid="{00000000-0005-0000-0000-0000CB030000}"/>
    <cellStyle name="Обычный 13 3 2 3 4 2" xfId="5422" xr:uid="{00000000-0005-0000-0000-0000CC030000}"/>
    <cellStyle name="Обычный 13 3 2 3 5" xfId="1871" xr:uid="{00000000-0005-0000-0000-0000CD030000}"/>
    <cellStyle name="Обычный 13 3 2 3 5 2" xfId="5718" xr:uid="{00000000-0005-0000-0000-0000CE030000}"/>
    <cellStyle name="Обычный 13 3 2 3 6" xfId="2164" xr:uid="{00000000-0005-0000-0000-0000CF030000}"/>
    <cellStyle name="Обычный 13 3 2 3 6 2" xfId="6014" xr:uid="{00000000-0005-0000-0000-0000D0030000}"/>
    <cellStyle name="Обычный 13 3 2 3 7" xfId="2459" xr:uid="{00000000-0005-0000-0000-0000D1030000}"/>
    <cellStyle name="Обычный 13 3 2 3 7 2" xfId="6310" xr:uid="{00000000-0005-0000-0000-0000D2030000}"/>
    <cellStyle name="Обычный 13 3 2 3 8" xfId="2755" xr:uid="{00000000-0005-0000-0000-0000D3030000}"/>
    <cellStyle name="Обычный 13 3 2 3 8 2" xfId="6606" xr:uid="{00000000-0005-0000-0000-0000D4030000}"/>
    <cellStyle name="Обычный 13 3 2 3 9" xfId="3051" xr:uid="{00000000-0005-0000-0000-0000D5030000}"/>
    <cellStyle name="Обычный 13 3 2 3 9 2" xfId="6902" xr:uid="{00000000-0005-0000-0000-0000D6030000}"/>
    <cellStyle name="Обычный 13 3 2 4" xfId="335" xr:uid="{00000000-0005-0000-0000-0000D7030000}"/>
    <cellStyle name="Обычный 13 3 2 4 2" xfId="709" xr:uid="{00000000-0005-0000-0000-0000D8030000}"/>
    <cellStyle name="Обычный 13 3 2 4 3" xfId="8387" xr:uid="{00000000-0005-0000-0000-0000D9030000}"/>
    <cellStyle name="Обычный 13 3 2 4 4" xfId="4682" xr:uid="{00000000-0005-0000-0000-0000DA030000}"/>
    <cellStyle name="Обычный 13 3 2 4 5" xfId="8782" xr:uid="{00000000-0005-0000-0000-0000DB030000}"/>
    <cellStyle name="Обычный 13 3 2 5" xfId="636" xr:uid="{00000000-0005-0000-0000-0000DC030000}"/>
    <cellStyle name="Обычный 13 3 2 5 2" xfId="8466" xr:uid="{00000000-0005-0000-0000-0000DD030000}"/>
    <cellStyle name="Обычный 13 3 2 5 3" xfId="4978" xr:uid="{00000000-0005-0000-0000-0000DE030000}"/>
    <cellStyle name="Обычный 13 3 2 6" xfId="744" xr:uid="{00000000-0005-0000-0000-0000DF030000}"/>
    <cellStyle name="Обычный 13 3 2 6 2" xfId="8512" xr:uid="{00000000-0005-0000-0000-0000E0030000}"/>
    <cellStyle name="Обычный 13 3 2 6 3" xfId="5274" xr:uid="{00000000-0005-0000-0000-0000E1030000}"/>
    <cellStyle name="Обычный 13 3 2 7" xfId="1029" xr:uid="{00000000-0005-0000-0000-0000E2030000}"/>
    <cellStyle name="Обычный 13 3 2 7 2" xfId="8750" xr:uid="{00000000-0005-0000-0000-0000E3030000}"/>
    <cellStyle name="Обычный 13 3 2 7 3" xfId="5570" xr:uid="{00000000-0005-0000-0000-0000E4030000}"/>
    <cellStyle name="Обычный 13 3 2 8" xfId="2016" xr:uid="{00000000-0005-0000-0000-0000E5030000}"/>
    <cellStyle name="Обычный 13 3 2 8 2" xfId="5866" xr:uid="{00000000-0005-0000-0000-0000E6030000}"/>
    <cellStyle name="Обычный 13 3 2 9" xfId="2311" xr:uid="{00000000-0005-0000-0000-0000E7030000}"/>
    <cellStyle name="Обычный 13 3 2 9 2" xfId="6162" xr:uid="{00000000-0005-0000-0000-0000E8030000}"/>
    <cellStyle name="Обычный 13 3 3" xfId="683" xr:uid="{00000000-0005-0000-0000-0000E9030000}"/>
    <cellStyle name="Обычный 13 3 4" xfId="8855" xr:uid="{00000000-0005-0000-0000-0000EA030000}"/>
    <cellStyle name="Обычный 13 4" xfId="639" xr:uid="{00000000-0005-0000-0000-0000EB030000}"/>
    <cellStyle name="Обычный 13 4 2" xfId="690" xr:uid="{00000000-0005-0000-0000-0000EC030000}"/>
    <cellStyle name="Обычный 13 5" xfId="685" xr:uid="{00000000-0005-0000-0000-0000ED030000}"/>
    <cellStyle name="Обычный 13 6" xfId="571" xr:uid="{00000000-0005-0000-0000-0000EE030000}"/>
    <cellStyle name="Обычный 13 7" xfId="1044" xr:uid="{00000000-0005-0000-0000-0000EF030000}"/>
    <cellStyle name="Обычный 13 8" xfId="8775" xr:uid="{00000000-0005-0000-0000-0000F0030000}"/>
    <cellStyle name="Обычный 13 9" xfId="8832" xr:uid="{00000000-0005-0000-0000-0000F1030000}"/>
    <cellStyle name="Обычный 14" xfId="184" xr:uid="{00000000-0005-0000-0000-0000F2030000}"/>
    <cellStyle name="Обычный 14 2" xfId="706" xr:uid="{00000000-0005-0000-0000-0000F3030000}"/>
    <cellStyle name="Обычный 14 3" xfId="660" xr:uid="{00000000-0005-0000-0000-0000F4030000}"/>
    <cellStyle name="Обычный 14 4" xfId="8238" xr:uid="{00000000-0005-0000-0000-0000F5030000}"/>
    <cellStyle name="Обычный 14 5" xfId="8834" xr:uid="{00000000-0005-0000-0000-0000F6030000}"/>
    <cellStyle name="Обычный 15" xfId="286" xr:uid="{00000000-0005-0000-0000-0000F7030000}"/>
    <cellStyle name="Обычный 15 2" xfId="745" xr:uid="{00000000-0005-0000-0000-0000F8030000}"/>
    <cellStyle name="Обычный 15 3" xfId="8835" xr:uid="{00000000-0005-0000-0000-0000F9030000}"/>
    <cellStyle name="Обычный 16" xfId="8759" xr:uid="{00000000-0005-0000-0000-0000FA030000}"/>
    <cellStyle name="Обычный 16 2" xfId="8836" xr:uid="{00000000-0005-0000-0000-0000FB030000}"/>
    <cellStyle name="Обычный 17" xfId="8801" xr:uid="{00000000-0005-0000-0000-0000FC030000}"/>
    <cellStyle name="Обычный 17 2" xfId="8824" xr:uid="{00000000-0005-0000-0000-0000FD030000}"/>
    <cellStyle name="Обычный 18" xfId="8805" xr:uid="{00000000-0005-0000-0000-0000FE030000}"/>
    <cellStyle name="Обычный 18 2" xfId="8837" xr:uid="{00000000-0005-0000-0000-0000FF030000}"/>
    <cellStyle name="Обычный 19" xfId="8808" xr:uid="{00000000-0005-0000-0000-000000040000}"/>
    <cellStyle name="Обычный 19 2" xfId="8839" xr:uid="{00000000-0005-0000-0000-000001040000}"/>
    <cellStyle name="Обычный 2" xfId="1" xr:uid="{00000000-0005-0000-0000-000002040000}"/>
    <cellStyle name="Обычный 2 10" xfId="58" xr:uid="{00000000-0005-0000-0000-000003040000}"/>
    <cellStyle name="Обычный 2 10 10" xfId="1928" xr:uid="{00000000-0005-0000-0000-000004040000}"/>
    <cellStyle name="Обычный 2 10 10 2" xfId="5776" xr:uid="{00000000-0005-0000-0000-000005040000}"/>
    <cellStyle name="Обычный 2 10 11" xfId="2222" xr:uid="{00000000-0005-0000-0000-000006040000}"/>
    <cellStyle name="Обычный 2 10 11 2" xfId="6072" xr:uid="{00000000-0005-0000-0000-000007040000}"/>
    <cellStyle name="Обычный 2 10 12" xfId="2517" xr:uid="{00000000-0005-0000-0000-000008040000}"/>
    <cellStyle name="Обычный 2 10 12 2" xfId="6368" xr:uid="{00000000-0005-0000-0000-000009040000}"/>
    <cellStyle name="Обычный 2 10 13" xfId="2813" xr:uid="{00000000-0005-0000-0000-00000A040000}"/>
    <cellStyle name="Обычный 2 10 13 2" xfId="6664" xr:uid="{00000000-0005-0000-0000-00000B040000}"/>
    <cellStyle name="Обычный 2 10 14" xfId="3109" xr:uid="{00000000-0005-0000-0000-00000C040000}"/>
    <cellStyle name="Обычный 2 10 14 2" xfId="6960" xr:uid="{00000000-0005-0000-0000-00000D040000}"/>
    <cellStyle name="Обычный 2 10 15" xfId="3405" xr:uid="{00000000-0005-0000-0000-00000E040000}"/>
    <cellStyle name="Обычный 2 10 15 2" xfId="7256" xr:uid="{00000000-0005-0000-0000-00000F040000}"/>
    <cellStyle name="Обычный 2 10 16" xfId="3701" xr:uid="{00000000-0005-0000-0000-000010040000}"/>
    <cellStyle name="Обычный 2 10 16 2" xfId="7552" xr:uid="{00000000-0005-0000-0000-000011040000}"/>
    <cellStyle name="Обычный 2 10 17" xfId="3997" xr:uid="{00000000-0005-0000-0000-000012040000}"/>
    <cellStyle name="Обычный 2 10 17 2" xfId="7848" xr:uid="{00000000-0005-0000-0000-000013040000}"/>
    <cellStyle name="Обычный 2 10 18" xfId="8144" xr:uid="{00000000-0005-0000-0000-000014040000}"/>
    <cellStyle name="Обычный 2 10 19" xfId="4293" xr:uid="{00000000-0005-0000-0000-000015040000}"/>
    <cellStyle name="Обычный 2 10 2" xfId="108" xr:uid="{00000000-0005-0000-0000-000016040000}"/>
    <cellStyle name="Обычный 2 10 2 10" xfId="2243" xr:uid="{00000000-0005-0000-0000-000017040000}"/>
    <cellStyle name="Обычный 2 10 2 10 2" xfId="6094" xr:uid="{00000000-0005-0000-0000-000018040000}"/>
    <cellStyle name="Обычный 2 10 2 11" xfId="2539" xr:uid="{00000000-0005-0000-0000-000019040000}"/>
    <cellStyle name="Обычный 2 10 2 11 2" xfId="6390" xr:uid="{00000000-0005-0000-0000-00001A040000}"/>
    <cellStyle name="Обычный 2 10 2 12" xfId="2835" xr:uid="{00000000-0005-0000-0000-00001B040000}"/>
    <cellStyle name="Обычный 2 10 2 12 2" xfId="6686" xr:uid="{00000000-0005-0000-0000-00001C040000}"/>
    <cellStyle name="Обычный 2 10 2 13" xfId="3131" xr:uid="{00000000-0005-0000-0000-00001D040000}"/>
    <cellStyle name="Обычный 2 10 2 13 2" xfId="6982" xr:uid="{00000000-0005-0000-0000-00001E040000}"/>
    <cellStyle name="Обычный 2 10 2 14" xfId="3427" xr:uid="{00000000-0005-0000-0000-00001F040000}"/>
    <cellStyle name="Обычный 2 10 2 14 2" xfId="7278" xr:uid="{00000000-0005-0000-0000-000020040000}"/>
    <cellStyle name="Обычный 2 10 2 15" xfId="3723" xr:uid="{00000000-0005-0000-0000-000021040000}"/>
    <cellStyle name="Обычный 2 10 2 15 2" xfId="7574" xr:uid="{00000000-0005-0000-0000-000022040000}"/>
    <cellStyle name="Обычный 2 10 2 16" xfId="4019" xr:uid="{00000000-0005-0000-0000-000023040000}"/>
    <cellStyle name="Обычный 2 10 2 16 2" xfId="7870" xr:uid="{00000000-0005-0000-0000-000024040000}"/>
    <cellStyle name="Обычный 2 10 2 17" xfId="8166" xr:uid="{00000000-0005-0000-0000-000025040000}"/>
    <cellStyle name="Обычный 2 10 2 18" xfId="4315" xr:uid="{00000000-0005-0000-0000-000026040000}"/>
    <cellStyle name="Обычный 2 10 2 2" xfId="161" xr:uid="{00000000-0005-0000-0000-000027040000}"/>
    <cellStyle name="Обычный 2 10 2 2 10" xfId="2883" xr:uid="{00000000-0005-0000-0000-000028040000}"/>
    <cellStyle name="Обычный 2 10 2 2 10 2" xfId="6734" xr:uid="{00000000-0005-0000-0000-000029040000}"/>
    <cellStyle name="Обычный 2 10 2 2 11" xfId="3179" xr:uid="{00000000-0005-0000-0000-00002A040000}"/>
    <cellStyle name="Обычный 2 10 2 2 11 2" xfId="7030" xr:uid="{00000000-0005-0000-0000-00002B040000}"/>
    <cellStyle name="Обычный 2 10 2 2 12" xfId="3475" xr:uid="{00000000-0005-0000-0000-00002C040000}"/>
    <cellStyle name="Обычный 2 10 2 2 12 2" xfId="7326" xr:uid="{00000000-0005-0000-0000-00002D040000}"/>
    <cellStyle name="Обычный 2 10 2 2 13" xfId="3771" xr:uid="{00000000-0005-0000-0000-00002E040000}"/>
    <cellStyle name="Обычный 2 10 2 2 13 2" xfId="7622" xr:uid="{00000000-0005-0000-0000-00002F040000}"/>
    <cellStyle name="Обычный 2 10 2 2 14" xfId="4067" xr:uid="{00000000-0005-0000-0000-000030040000}"/>
    <cellStyle name="Обычный 2 10 2 2 14 2" xfId="7918" xr:uid="{00000000-0005-0000-0000-000031040000}"/>
    <cellStyle name="Обычный 2 10 2 2 15" xfId="8216" xr:uid="{00000000-0005-0000-0000-000032040000}"/>
    <cellStyle name="Обычный 2 10 2 2 16" xfId="4364" xr:uid="{00000000-0005-0000-0000-000033040000}"/>
    <cellStyle name="Обычный 2 10 2 2 2" xfId="264" xr:uid="{00000000-0005-0000-0000-000034040000}"/>
    <cellStyle name="Обычный 2 10 2 2 2 10" xfId="3327" xr:uid="{00000000-0005-0000-0000-000035040000}"/>
    <cellStyle name="Обычный 2 10 2 2 2 10 2" xfId="7178" xr:uid="{00000000-0005-0000-0000-000036040000}"/>
    <cellStyle name="Обычный 2 10 2 2 2 11" xfId="3623" xr:uid="{00000000-0005-0000-0000-000037040000}"/>
    <cellStyle name="Обычный 2 10 2 2 2 11 2" xfId="7474" xr:uid="{00000000-0005-0000-0000-000038040000}"/>
    <cellStyle name="Обычный 2 10 2 2 2 12" xfId="3919" xr:uid="{00000000-0005-0000-0000-000039040000}"/>
    <cellStyle name="Обычный 2 10 2 2 2 12 2" xfId="7770" xr:uid="{00000000-0005-0000-0000-00003A040000}"/>
    <cellStyle name="Обычный 2 10 2 2 2 13" xfId="4215" xr:uid="{00000000-0005-0000-0000-00003B040000}"/>
    <cellStyle name="Обычный 2 10 2 2 2 13 2" xfId="8066" xr:uid="{00000000-0005-0000-0000-00003C040000}"/>
    <cellStyle name="Обычный 2 10 2 2 2 14" xfId="8317" xr:uid="{00000000-0005-0000-0000-00003D040000}"/>
    <cellStyle name="Обычный 2 10 2 2 2 15" xfId="4514" xr:uid="{00000000-0005-0000-0000-00003E040000}"/>
    <cellStyle name="Обычный 2 10 2 2 2 2" xfId="746" xr:uid="{00000000-0005-0000-0000-00003F040000}"/>
    <cellStyle name="Обычный 2 10 2 2 2 2 2" xfId="8513" xr:uid="{00000000-0005-0000-0000-000040040000}"/>
    <cellStyle name="Обычный 2 10 2 2 2 2 3" xfId="4810" xr:uid="{00000000-0005-0000-0000-000041040000}"/>
    <cellStyle name="Обычный 2 10 2 2 2 3" xfId="1272" xr:uid="{00000000-0005-0000-0000-000042040000}"/>
    <cellStyle name="Обычный 2 10 2 2 2 3 2" xfId="5106" xr:uid="{00000000-0005-0000-0000-000043040000}"/>
    <cellStyle name="Обычный 2 10 2 2 2 4" xfId="1558" xr:uid="{00000000-0005-0000-0000-000044040000}"/>
    <cellStyle name="Обычный 2 10 2 2 2 4 2" xfId="5402" xr:uid="{00000000-0005-0000-0000-000045040000}"/>
    <cellStyle name="Обычный 2 10 2 2 2 5" xfId="1851" xr:uid="{00000000-0005-0000-0000-000046040000}"/>
    <cellStyle name="Обычный 2 10 2 2 2 5 2" xfId="5698" xr:uid="{00000000-0005-0000-0000-000047040000}"/>
    <cellStyle name="Обычный 2 10 2 2 2 6" xfId="2144" xr:uid="{00000000-0005-0000-0000-000048040000}"/>
    <cellStyle name="Обычный 2 10 2 2 2 6 2" xfId="5994" xr:uid="{00000000-0005-0000-0000-000049040000}"/>
    <cellStyle name="Обычный 2 10 2 2 2 7" xfId="2439" xr:uid="{00000000-0005-0000-0000-00004A040000}"/>
    <cellStyle name="Обычный 2 10 2 2 2 7 2" xfId="6290" xr:uid="{00000000-0005-0000-0000-00004B040000}"/>
    <cellStyle name="Обычный 2 10 2 2 2 8" xfId="2735" xr:uid="{00000000-0005-0000-0000-00004C040000}"/>
    <cellStyle name="Обычный 2 10 2 2 2 8 2" xfId="6586" xr:uid="{00000000-0005-0000-0000-00004D040000}"/>
    <cellStyle name="Обычный 2 10 2 2 2 9" xfId="3031" xr:uid="{00000000-0005-0000-0000-00004E040000}"/>
    <cellStyle name="Обычный 2 10 2 2 2 9 2" xfId="6882" xr:uid="{00000000-0005-0000-0000-00004F040000}"/>
    <cellStyle name="Обычный 2 10 2 2 3" xfId="365" xr:uid="{00000000-0005-0000-0000-000050040000}"/>
    <cellStyle name="Обычный 2 10 2 2 3 2" xfId="747" xr:uid="{00000000-0005-0000-0000-000051040000}"/>
    <cellStyle name="Обычный 2 10 2 2 3 3" xfId="8417" xr:uid="{00000000-0005-0000-0000-000052040000}"/>
    <cellStyle name="Обычный 2 10 2 2 3 4" xfId="4662" xr:uid="{00000000-0005-0000-0000-000053040000}"/>
    <cellStyle name="Обычный 2 10 2 2 4" xfId="748" xr:uid="{00000000-0005-0000-0000-000054040000}"/>
    <cellStyle name="Обычный 2 10 2 2 4 2" xfId="8514" xr:uid="{00000000-0005-0000-0000-000055040000}"/>
    <cellStyle name="Обычный 2 10 2 2 4 3" xfId="4958" xr:uid="{00000000-0005-0000-0000-000056040000}"/>
    <cellStyle name="Обычный 2 10 2 2 5" xfId="1414" xr:uid="{00000000-0005-0000-0000-000057040000}"/>
    <cellStyle name="Обычный 2 10 2 2 5 2" xfId="5254" xr:uid="{00000000-0005-0000-0000-000058040000}"/>
    <cellStyle name="Обычный 2 10 2 2 6" xfId="1704" xr:uid="{00000000-0005-0000-0000-000059040000}"/>
    <cellStyle name="Обычный 2 10 2 2 6 2" xfId="5550" xr:uid="{00000000-0005-0000-0000-00005A040000}"/>
    <cellStyle name="Обычный 2 10 2 2 7" xfId="1996" xr:uid="{00000000-0005-0000-0000-00005B040000}"/>
    <cellStyle name="Обычный 2 10 2 2 7 2" xfId="5846" xr:uid="{00000000-0005-0000-0000-00005C040000}"/>
    <cellStyle name="Обычный 2 10 2 2 8" xfId="2291" xr:uid="{00000000-0005-0000-0000-00005D040000}"/>
    <cellStyle name="Обычный 2 10 2 2 8 2" xfId="6142" xr:uid="{00000000-0005-0000-0000-00005E040000}"/>
    <cellStyle name="Обычный 2 10 2 2 9" xfId="2587" xr:uid="{00000000-0005-0000-0000-00005F040000}"/>
    <cellStyle name="Обычный 2 10 2 2 9 2" xfId="6438" xr:uid="{00000000-0005-0000-0000-000060040000}"/>
    <cellStyle name="Обычный 2 10 2 3" xfId="214" xr:uid="{00000000-0005-0000-0000-000061040000}"/>
    <cellStyle name="Обычный 2 10 2 3 10" xfId="2933" xr:uid="{00000000-0005-0000-0000-000062040000}"/>
    <cellStyle name="Обычный 2 10 2 3 10 2" xfId="6784" xr:uid="{00000000-0005-0000-0000-000063040000}"/>
    <cellStyle name="Обычный 2 10 2 3 11" xfId="3229" xr:uid="{00000000-0005-0000-0000-000064040000}"/>
    <cellStyle name="Обычный 2 10 2 3 11 2" xfId="7080" xr:uid="{00000000-0005-0000-0000-000065040000}"/>
    <cellStyle name="Обычный 2 10 2 3 12" xfId="3525" xr:uid="{00000000-0005-0000-0000-000066040000}"/>
    <cellStyle name="Обычный 2 10 2 3 12 2" xfId="7376" xr:uid="{00000000-0005-0000-0000-000067040000}"/>
    <cellStyle name="Обычный 2 10 2 3 13" xfId="3821" xr:uid="{00000000-0005-0000-0000-000068040000}"/>
    <cellStyle name="Обычный 2 10 2 3 13 2" xfId="7672" xr:uid="{00000000-0005-0000-0000-000069040000}"/>
    <cellStyle name="Обычный 2 10 2 3 14" xfId="4117" xr:uid="{00000000-0005-0000-0000-00006A040000}"/>
    <cellStyle name="Обычный 2 10 2 3 14 2" xfId="7968" xr:uid="{00000000-0005-0000-0000-00006B040000}"/>
    <cellStyle name="Обычный 2 10 2 3 15" xfId="8267" xr:uid="{00000000-0005-0000-0000-00006C040000}"/>
    <cellStyle name="Обычный 2 10 2 3 16" xfId="4415" xr:uid="{00000000-0005-0000-0000-00006D040000}"/>
    <cellStyle name="Обычный 2 10 2 3 2" xfId="749" xr:uid="{00000000-0005-0000-0000-00006E040000}"/>
    <cellStyle name="Обычный 2 10 2 3 2 10" xfId="3377" xr:uid="{00000000-0005-0000-0000-00006F040000}"/>
    <cellStyle name="Обычный 2 10 2 3 2 10 2" xfId="7228" xr:uid="{00000000-0005-0000-0000-000070040000}"/>
    <cellStyle name="Обычный 2 10 2 3 2 11" xfId="3673" xr:uid="{00000000-0005-0000-0000-000071040000}"/>
    <cellStyle name="Обычный 2 10 2 3 2 11 2" xfId="7524" xr:uid="{00000000-0005-0000-0000-000072040000}"/>
    <cellStyle name="Обычный 2 10 2 3 2 12" xfId="3969" xr:uid="{00000000-0005-0000-0000-000073040000}"/>
    <cellStyle name="Обычный 2 10 2 3 2 12 2" xfId="7820" xr:uid="{00000000-0005-0000-0000-000074040000}"/>
    <cellStyle name="Обычный 2 10 2 3 2 13" xfId="4265" xr:uid="{00000000-0005-0000-0000-000075040000}"/>
    <cellStyle name="Обычный 2 10 2 3 2 13 2" xfId="8116" xr:uid="{00000000-0005-0000-0000-000076040000}"/>
    <cellStyle name="Обычный 2 10 2 3 2 14" xfId="8515" xr:uid="{00000000-0005-0000-0000-000077040000}"/>
    <cellStyle name="Обычный 2 10 2 3 2 15" xfId="4564" xr:uid="{00000000-0005-0000-0000-000078040000}"/>
    <cellStyle name="Обычный 2 10 2 3 2 2" xfId="1131" xr:uid="{00000000-0005-0000-0000-000079040000}"/>
    <cellStyle name="Обычный 2 10 2 3 2 2 2" xfId="4860" xr:uid="{00000000-0005-0000-0000-00007A040000}"/>
    <cellStyle name="Обычный 2 10 2 3 2 3" xfId="1320" xr:uid="{00000000-0005-0000-0000-00007B040000}"/>
    <cellStyle name="Обычный 2 10 2 3 2 3 2" xfId="5156" xr:uid="{00000000-0005-0000-0000-00007C040000}"/>
    <cellStyle name="Обычный 2 10 2 3 2 4" xfId="1607" xr:uid="{00000000-0005-0000-0000-00007D040000}"/>
    <cellStyle name="Обычный 2 10 2 3 2 4 2" xfId="5452" xr:uid="{00000000-0005-0000-0000-00007E040000}"/>
    <cellStyle name="Обычный 2 10 2 3 2 5" xfId="1900" xr:uid="{00000000-0005-0000-0000-00007F040000}"/>
    <cellStyle name="Обычный 2 10 2 3 2 5 2" xfId="5748" xr:uid="{00000000-0005-0000-0000-000080040000}"/>
    <cellStyle name="Обычный 2 10 2 3 2 6" xfId="2194" xr:uid="{00000000-0005-0000-0000-000081040000}"/>
    <cellStyle name="Обычный 2 10 2 3 2 6 2" xfId="6044" xr:uid="{00000000-0005-0000-0000-000082040000}"/>
    <cellStyle name="Обычный 2 10 2 3 2 7" xfId="2489" xr:uid="{00000000-0005-0000-0000-000083040000}"/>
    <cellStyle name="Обычный 2 10 2 3 2 7 2" xfId="6340" xr:uid="{00000000-0005-0000-0000-000084040000}"/>
    <cellStyle name="Обычный 2 10 2 3 2 8" xfId="2785" xr:uid="{00000000-0005-0000-0000-000085040000}"/>
    <cellStyle name="Обычный 2 10 2 3 2 8 2" xfId="6636" xr:uid="{00000000-0005-0000-0000-000086040000}"/>
    <cellStyle name="Обычный 2 10 2 3 2 9" xfId="3081" xr:uid="{00000000-0005-0000-0000-000087040000}"/>
    <cellStyle name="Обычный 2 10 2 3 2 9 2" xfId="6932" xr:uid="{00000000-0005-0000-0000-000088040000}"/>
    <cellStyle name="Обычный 2 10 2 3 3" xfId="1084" xr:uid="{00000000-0005-0000-0000-000089040000}"/>
    <cellStyle name="Обычный 2 10 2 3 3 2" xfId="4712" xr:uid="{00000000-0005-0000-0000-00008A040000}"/>
    <cellStyle name="Обычный 2 10 2 3 4" xfId="1178" xr:uid="{00000000-0005-0000-0000-00008B040000}"/>
    <cellStyle name="Обычный 2 10 2 3 4 2" xfId="5008" xr:uid="{00000000-0005-0000-0000-00008C040000}"/>
    <cellStyle name="Обычный 2 10 2 3 5" xfId="1462" xr:uid="{00000000-0005-0000-0000-00008D040000}"/>
    <cellStyle name="Обычный 2 10 2 3 5 2" xfId="5304" xr:uid="{00000000-0005-0000-0000-00008E040000}"/>
    <cellStyle name="Обычный 2 10 2 3 6" xfId="1753" xr:uid="{00000000-0005-0000-0000-00008F040000}"/>
    <cellStyle name="Обычный 2 10 2 3 6 2" xfId="5600" xr:uid="{00000000-0005-0000-0000-000090040000}"/>
    <cellStyle name="Обычный 2 10 2 3 7" xfId="2046" xr:uid="{00000000-0005-0000-0000-000091040000}"/>
    <cellStyle name="Обычный 2 10 2 3 7 2" xfId="5896" xr:uid="{00000000-0005-0000-0000-000092040000}"/>
    <cellStyle name="Обычный 2 10 2 3 8" xfId="2341" xr:uid="{00000000-0005-0000-0000-000093040000}"/>
    <cellStyle name="Обычный 2 10 2 3 8 2" xfId="6192" xr:uid="{00000000-0005-0000-0000-000094040000}"/>
    <cellStyle name="Обычный 2 10 2 3 9" xfId="2637" xr:uid="{00000000-0005-0000-0000-000095040000}"/>
    <cellStyle name="Обычный 2 10 2 3 9 2" xfId="6488" xr:uid="{00000000-0005-0000-0000-000096040000}"/>
    <cellStyle name="Обычный 2 10 2 4" xfId="315" xr:uid="{00000000-0005-0000-0000-000097040000}"/>
    <cellStyle name="Обычный 2 10 2 4 10" xfId="3279" xr:uid="{00000000-0005-0000-0000-000098040000}"/>
    <cellStyle name="Обычный 2 10 2 4 10 2" xfId="7130" xr:uid="{00000000-0005-0000-0000-000099040000}"/>
    <cellStyle name="Обычный 2 10 2 4 11" xfId="3575" xr:uid="{00000000-0005-0000-0000-00009A040000}"/>
    <cellStyle name="Обычный 2 10 2 4 11 2" xfId="7426" xr:uid="{00000000-0005-0000-0000-00009B040000}"/>
    <cellStyle name="Обычный 2 10 2 4 12" xfId="3871" xr:uid="{00000000-0005-0000-0000-00009C040000}"/>
    <cellStyle name="Обычный 2 10 2 4 12 2" xfId="7722" xr:uid="{00000000-0005-0000-0000-00009D040000}"/>
    <cellStyle name="Обычный 2 10 2 4 13" xfId="4167" xr:uid="{00000000-0005-0000-0000-00009E040000}"/>
    <cellStyle name="Обычный 2 10 2 4 13 2" xfId="8018" xr:uid="{00000000-0005-0000-0000-00009F040000}"/>
    <cellStyle name="Обычный 2 10 2 4 14" xfId="8367" xr:uid="{00000000-0005-0000-0000-0000A0040000}"/>
    <cellStyle name="Обычный 2 10 2 4 15" xfId="4466" xr:uid="{00000000-0005-0000-0000-0000A1040000}"/>
    <cellStyle name="Обычный 2 10 2 4 2" xfId="750" xr:uid="{00000000-0005-0000-0000-0000A2040000}"/>
    <cellStyle name="Обычный 2 10 2 4 2 2" xfId="8516" xr:uid="{00000000-0005-0000-0000-0000A3040000}"/>
    <cellStyle name="Обычный 2 10 2 4 2 3" xfId="4762" xr:uid="{00000000-0005-0000-0000-0000A4040000}"/>
    <cellStyle name="Обычный 2 10 2 4 3" xfId="1226" xr:uid="{00000000-0005-0000-0000-0000A5040000}"/>
    <cellStyle name="Обычный 2 10 2 4 3 2" xfId="5058" xr:uid="{00000000-0005-0000-0000-0000A6040000}"/>
    <cellStyle name="Обычный 2 10 2 4 4" xfId="1511" xr:uid="{00000000-0005-0000-0000-0000A7040000}"/>
    <cellStyle name="Обычный 2 10 2 4 4 2" xfId="5354" xr:uid="{00000000-0005-0000-0000-0000A8040000}"/>
    <cellStyle name="Обычный 2 10 2 4 5" xfId="1803" xr:uid="{00000000-0005-0000-0000-0000A9040000}"/>
    <cellStyle name="Обычный 2 10 2 4 5 2" xfId="5650" xr:uid="{00000000-0005-0000-0000-0000AA040000}"/>
    <cellStyle name="Обычный 2 10 2 4 6" xfId="2096" xr:uid="{00000000-0005-0000-0000-0000AB040000}"/>
    <cellStyle name="Обычный 2 10 2 4 6 2" xfId="5946" xr:uid="{00000000-0005-0000-0000-0000AC040000}"/>
    <cellStyle name="Обычный 2 10 2 4 7" xfId="2391" xr:uid="{00000000-0005-0000-0000-0000AD040000}"/>
    <cellStyle name="Обычный 2 10 2 4 7 2" xfId="6242" xr:uid="{00000000-0005-0000-0000-0000AE040000}"/>
    <cellStyle name="Обычный 2 10 2 4 8" xfId="2687" xr:uid="{00000000-0005-0000-0000-0000AF040000}"/>
    <cellStyle name="Обычный 2 10 2 4 8 2" xfId="6538" xr:uid="{00000000-0005-0000-0000-0000B0040000}"/>
    <cellStyle name="Обычный 2 10 2 4 9" xfId="2983" xr:uid="{00000000-0005-0000-0000-0000B1040000}"/>
    <cellStyle name="Обычный 2 10 2 4 9 2" xfId="6834" xr:uid="{00000000-0005-0000-0000-0000B2040000}"/>
    <cellStyle name="Обычный 2 10 2 5" xfId="751" xr:uid="{00000000-0005-0000-0000-0000B3040000}"/>
    <cellStyle name="Обычный 2 10 2 5 2" xfId="8517" xr:uid="{00000000-0005-0000-0000-0000B4040000}"/>
    <cellStyle name="Обычный 2 10 2 5 3" xfId="4614" xr:uid="{00000000-0005-0000-0000-0000B5040000}"/>
    <cellStyle name="Обычный 2 10 2 6" xfId="752" xr:uid="{00000000-0005-0000-0000-0000B6040000}"/>
    <cellStyle name="Обычный 2 10 2 6 2" xfId="8518" xr:uid="{00000000-0005-0000-0000-0000B7040000}"/>
    <cellStyle name="Обычный 2 10 2 6 3" xfId="4910" xr:uid="{00000000-0005-0000-0000-0000B8040000}"/>
    <cellStyle name="Обычный 2 10 2 7" xfId="1367" xr:uid="{00000000-0005-0000-0000-0000B9040000}"/>
    <cellStyle name="Обычный 2 10 2 7 2" xfId="5206" xr:uid="{00000000-0005-0000-0000-0000BA040000}"/>
    <cellStyle name="Обычный 2 10 2 8" xfId="1656" xr:uid="{00000000-0005-0000-0000-0000BB040000}"/>
    <cellStyle name="Обычный 2 10 2 8 2" xfId="5502" xr:uid="{00000000-0005-0000-0000-0000BC040000}"/>
    <cellStyle name="Обычный 2 10 2 9" xfId="1949" xr:uid="{00000000-0005-0000-0000-0000BD040000}"/>
    <cellStyle name="Обычный 2 10 2 9 2" xfId="5798" xr:uid="{00000000-0005-0000-0000-0000BE040000}"/>
    <cellStyle name="Обычный 2 10 3" xfId="139" xr:uid="{00000000-0005-0000-0000-0000BF040000}"/>
    <cellStyle name="Обычный 2 10 3 10" xfId="2861" xr:uid="{00000000-0005-0000-0000-0000C0040000}"/>
    <cellStyle name="Обычный 2 10 3 10 2" xfId="6712" xr:uid="{00000000-0005-0000-0000-0000C1040000}"/>
    <cellStyle name="Обычный 2 10 3 11" xfId="3157" xr:uid="{00000000-0005-0000-0000-0000C2040000}"/>
    <cellStyle name="Обычный 2 10 3 11 2" xfId="7008" xr:uid="{00000000-0005-0000-0000-0000C3040000}"/>
    <cellStyle name="Обычный 2 10 3 12" xfId="3453" xr:uid="{00000000-0005-0000-0000-0000C4040000}"/>
    <cellStyle name="Обычный 2 10 3 12 2" xfId="7304" xr:uid="{00000000-0005-0000-0000-0000C5040000}"/>
    <cellStyle name="Обычный 2 10 3 13" xfId="3749" xr:uid="{00000000-0005-0000-0000-0000C6040000}"/>
    <cellStyle name="Обычный 2 10 3 13 2" xfId="7600" xr:uid="{00000000-0005-0000-0000-0000C7040000}"/>
    <cellStyle name="Обычный 2 10 3 14" xfId="4045" xr:uid="{00000000-0005-0000-0000-0000C8040000}"/>
    <cellStyle name="Обычный 2 10 3 14 2" xfId="7896" xr:uid="{00000000-0005-0000-0000-0000C9040000}"/>
    <cellStyle name="Обычный 2 10 3 15" xfId="8194" xr:uid="{00000000-0005-0000-0000-0000CA040000}"/>
    <cellStyle name="Обычный 2 10 3 16" xfId="4342" xr:uid="{00000000-0005-0000-0000-0000CB040000}"/>
    <cellStyle name="Обычный 2 10 3 2" xfId="242" xr:uid="{00000000-0005-0000-0000-0000CC040000}"/>
    <cellStyle name="Обычный 2 10 3 2 10" xfId="3305" xr:uid="{00000000-0005-0000-0000-0000CD040000}"/>
    <cellStyle name="Обычный 2 10 3 2 10 2" xfId="7156" xr:uid="{00000000-0005-0000-0000-0000CE040000}"/>
    <cellStyle name="Обычный 2 10 3 2 11" xfId="3601" xr:uid="{00000000-0005-0000-0000-0000CF040000}"/>
    <cellStyle name="Обычный 2 10 3 2 11 2" xfId="7452" xr:uid="{00000000-0005-0000-0000-0000D0040000}"/>
    <cellStyle name="Обычный 2 10 3 2 12" xfId="3897" xr:uid="{00000000-0005-0000-0000-0000D1040000}"/>
    <cellStyle name="Обычный 2 10 3 2 12 2" xfId="7748" xr:uid="{00000000-0005-0000-0000-0000D2040000}"/>
    <cellStyle name="Обычный 2 10 3 2 13" xfId="4193" xr:uid="{00000000-0005-0000-0000-0000D3040000}"/>
    <cellStyle name="Обычный 2 10 3 2 13 2" xfId="8044" xr:uid="{00000000-0005-0000-0000-0000D4040000}"/>
    <cellStyle name="Обычный 2 10 3 2 14" xfId="8295" xr:uid="{00000000-0005-0000-0000-0000D5040000}"/>
    <cellStyle name="Обычный 2 10 3 2 15" xfId="4492" xr:uid="{00000000-0005-0000-0000-0000D6040000}"/>
    <cellStyle name="Обычный 2 10 3 2 2" xfId="753" xr:uid="{00000000-0005-0000-0000-0000D7040000}"/>
    <cellStyle name="Обычный 2 10 3 2 2 2" xfId="8519" xr:uid="{00000000-0005-0000-0000-0000D8040000}"/>
    <cellStyle name="Обычный 2 10 3 2 2 3" xfId="4788" xr:uid="{00000000-0005-0000-0000-0000D9040000}"/>
    <cellStyle name="Обычный 2 10 3 2 3" xfId="1251" xr:uid="{00000000-0005-0000-0000-0000DA040000}"/>
    <cellStyle name="Обычный 2 10 3 2 3 2" xfId="5084" xr:uid="{00000000-0005-0000-0000-0000DB040000}"/>
    <cellStyle name="Обычный 2 10 3 2 4" xfId="1537" xr:uid="{00000000-0005-0000-0000-0000DC040000}"/>
    <cellStyle name="Обычный 2 10 3 2 4 2" xfId="5380" xr:uid="{00000000-0005-0000-0000-0000DD040000}"/>
    <cellStyle name="Обычный 2 10 3 2 5" xfId="1829" xr:uid="{00000000-0005-0000-0000-0000DE040000}"/>
    <cellStyle name="Обычный 2 10 3 2 5 2" xfId="5676" xr:uid="{00000000-0005-0000-0000-0000DF040000}"/>
    <cellStyle name="Обычный 2 10 3 2 6" xfId="2122" xr:uid="{00000000-0005-0000-0000-0000E0040000}"/>
    <cellStyle name="Обычный 2 10 3 2 6 2" xfId="5972" xr:uid="{00000000-0005-0000-0000-0000E1040000}"/>
    <cellStyle name="Обычный 2 10 3 2 7" xfId="2417" xr:uid="{00000000-0005-0000-0000-0000E2040000}"/>
    <cellStyle name="Обычный 2 10 3 2 7 2" xfId="6268" xr:uid="{00000000-0005-0000-0000-0000E3040000}"/>
    <cellStyle name="Обычный 2 10 3 2 8" xfId="2713" xr:uid="{00000000-0005-0000-0000-0000E4040000}"/>
    <cellStyle name="Обычный 2 10 3 2 8 2" xfId="6564" xr:uid="{00000000-0005-0000-0000-0000E5040000}"/>
    <cellStyle name="Обычный 2 10 3 2 9" xfId="3009" xr:uid="{00000000-0005-0000-0000-0000E6040000}"/>
    <cellStyle name="Обычный 2 10 3 2 9 2" xfId="6860" xr:uid="{00000000-0005-0000-0000-0000E7040000}"/>
    <cellStyle name="Обычный 2 10 3 3" xfId="343" xr:uid="{00000000-0005-0000-0000-0000E8040000}"/>
    <cellStyle name="Обычный 2 10 3 3 2" xfId="754" xr:uid="{00000000-0005-0000-0000-0000E9040000}"/>
    <cellStyle name="Обычный 2 10 3 3 3" xfId="8395" xr:uid="{00000000-0005-0000-0000-0000EA040000}"/>
    <cellStyle name="Обычный 2 10 3 3 4" xfId="4640" xr:uid="{00000000-0005-0000-0000-0000EB040000}"/>
    <cellStyle name="Обычный 2 10 3 4" xfId="755" xr:uid="{00000000-0005-0000-0000-0000EC040000}"/>
    <cellStyle name="Обычный 2 10 3 4 2" xfId="8520" xr:uid="{00000000-0005-0000-0000-0000ED040000}"/>
    <cellStyle name="Обычный 2 10 3 4 3" xfId="4936" xr:uid="{00000000-0005-0000-0000-0000EE040000}"/>
    <cellStyle name="Обычный 2 10 3 5" xfId="1393" xr:uid="{00000000-0005-0000-0000-0000EF040000}"/>
    <cellStyle name="Обычный 2 10 3 5 2" xfId="5232" xr:uid="{00000000-0005-0000-0000-0000F0040000}"/>
    <cellStyle name="Обычный 2 10 3 6" xfId="1682" xr:uid="{00000000-0005-0000-0000-0000F1040000}"/>
    <cellStyle name="Обычный 2 10 3 6 2" xfId="5528" xr:uid="{00000000-0005-0000-0000-0000F2040000}"/>
    <cellStyle name="Обычный 2 10 3 7" xfId="1975" xr:uid="{00000000-0005-0000-0000-0000F3040000}"/>
    <cellStyle name="Обычный 2 10 3 7 2" xfId="5824" xr:uid="{00000000-0005-0000-0000-0000F4040000}"/>
    <cellStyle name="Обычный 2 10 3 8" xfId="2269" xr:uid="{00000000-0005-0000-0000-0000F5040000}"/>
    <cellStyle name="Обычный 2 10 3 8 2" xfId="6120" xr:uid="{00000000-0005-0000-0000-0000F6040000}"/>
    <cellStyle name="Обычный 2 10 3 9" xfId="2565" xr:uid="{00000000-0005-0000-0000-0000F7040000}"/>
    <cellStyle name="Обычный 2 10 3 9 2" xfId="6416" xr:uid="{00000000-0005-0000-0000-0000F8040000}"/>
    <cellStyle name="Обычный 2 10 4" xfId="192" xr:uid="{00000000-0005-0000-0000-0000F9040000}"/>
    <cellStyle name="Обычный 2 10 4 10" xfId="2911" xr:uid="{00000000-0005-0000-0000-0000FA040000}"/>
    <cellStyle name="Обычный 2 10 4 10 2" xfId="6762" xr:uid="{00000000-0005-0000-0000-0000FB040000}"/>
    <cellStyle name="Обычный 2 10 4 11" xfId="3207" xr:uid="{00000000-0005-0000-0000-0000FC040000}"/>
    <cellStyle name="Обычный 2 10 4 11 2" xfId="7058" xr:uid="{00000000-0005-0000-0000-0000FD040000}"/>
    <cellStyle name="Обычный 2 10 4 12" xfId="3503" xr:uid="{00000000-0005-0000-0000-0000FE040000}"/>
    <cellStyle name="Обычный 2 10 4 12 2" xfId="7354" xr:uid="{00000000-0005-0000-0000-0000FF040000}"/>
    <cellStyle name="Обычный 2 10 4 13" xfId="3799" xr:uid="{00000000-0005-0000-0000-000000050000}"/>
    <cellStyle name="Обычный 2 10 4 13 2" xfId="7650" xr:uid="{00000000-0005-0000-0000-000001050000}"/>
    <cellStyle name="Обычный 2 10 4 14" xfId="4095" xr:uid="{00000000-0005-0000-0000-000002050000}"/>
    <cellStyle name="Обычный 2 10 4 14 2" xfId="7946" xr:uid="{00000000-0005-0000-0000-000003050000}"/>
    <cellStyle name="Обычный 2 10 4 15" xfId="8245" xr:uid="{00000000-0005-0000-0000-000004050000}"/>
    <cellStyle name="Обычный 2 10 4 16" xfId="4393" xr:uid="{00000000-0005-0000-0000-000005050000}"/>
    <cellStyle name="Обычный 2 10 4 2" xfId="756" xr:uid="{00000000-0005-0000-0000-000006050000}"/>
    <cellStyle name="Обычный 2 10 4 2 10" xfId="3355" xr:uid="{00000000-0005-0000-0000-000007050000}"/>
    <cellStyle name="Обычный 2 10 4 2 10 2" xfId="7206" xr:uid="{00000000-0005-0000-0000-000008050000}"/>
    <cellStyle name="Обычный 2 10 4 2 11" xfId="3651" xr:uid="{00000000-0005-0000-0000-000009050000}"/>
    <cellStyle name="Обычный 2 10 4 2 11 2" xfId="7502" xr:uid="{00000000-0005-0000-0000-00000A050000}"/>
    <cellStyle name="Обычный 2 10 4 2 12" xfId="3947" xr:uid="{00000000-0005-0000-0000-00000B050000}"/>
    <cellStyle name="Обычный 2 10 4 2 12 2" xfId="7798" xr:uid="{00000000-0005-0000-0000-00000C050000}"/>
    <cellStyle name="Обычный 2 10 4 2 13" xfId="4243" xr:uid="{00000000-0005-0000-0000-00000D050000}"/>
    <cellStyle name="Обычный 2 10 4 2 13 2" xfId="8094" xr:uid="{00000000-0005-0000-0000-00000E050000}"/>
    <cellStyle name="Обычный 2 10 4 2 14" xfId="8521" xr:uid="{00000000-0005-0000-0000-00000F050000}"/>
    <cellStyle name="Обычный 2 10 4 2 15" xfId="4542" xr:uid="{00000000-0005-0000-0000-000010050000}"/>
    <cellStyle name="Обычный 2 10 4 2 2" xfId="1110" xr:uid="{00000000-0005-0000-0000-000011050000}"/>
    <cellStyle name="Обычный 2 10 4 2 2 2" xfId="4838" xr:uid="{00000000-0005-0000-0000-000012050000}"/>
    <cellStyle name="Обычный 2 10 4 2 3" xfId="1299" xr:uid="{00000000-0005-0000-0000-000013050000}"/>
    <cellStyle name="Обычный 2 10 4 2 3 2" xfId="5134" xr:uid="{00000000-0005-0000-0000-000014050000}"/>
    <cellStyle name="Обычный 2 10 4 2 4" xfId="1586" xr:uid="{00000000-0005-0000-0000-000015050000}"/>
    <cellStyle name="Обычный 2 10 4 2 4 2" xfId="5430" xr:uid="{00000000-0005-0000-0000-000016050000}"/>
    <cellStyle name="Обычный 2 10 4 2 5" xfId="1879" xr:uid="{00000000-0005-0000-0000-000017050000}"/>
    <cellStyle name="Обычный 2 10 4 2 5 2" xfId="5726" xr:uid="{00000000-0005-0000-0000-000018050000}"/>
    <cellStyle name="Обычный 2 10 4 2 6" xfId="2172" xr:uid="{00000000-0005-0000-0000-000019050000}"/>
    <cellStyle name="Обычный 2 10 4 2 6 2" xfId="6022" xr:uid="{00000000-0005-0000-0000-00001A050000}"/>
    <cellStyle name="Обычный 2 10 4 2 7" xfId="2467" xr:uid="{00000000-0005-0000-0000-00001B050000}"/>
    <cellStyle name="Обычный 2 10 4 2 7 2" xfId="6318" xr:uid="{00000000-0005-0000-0000-00001C050000}"/>
    <cellStyle name="Обычный 2 10 4 2 8" xfId="2763" xr:uid="{00000000-0005-0000-0000-00001D050000}"/>
    <cellStyle name="Обычный 2 10 4 2 8 2" xfId="6614" xr:uid="{00000000-0005-0000-0000-00001E050000}"/>
    <cellStyle name="Обычный 2 10 4 2 9" xfId="3059" xr:uid="{00000000-0005-0000-0000-00001F050000}"/>
    <cellStyle name="Обычный 2 10 4 2 9 2" xfId="6910" xr:uid="{00000000-0005-0000-0000-000020050000}"/>
    <cellStyle name="Обычный 2 10 4 3" xfId="1063" xr:uid="{00000000-0005-0000-0000-000021050000}"/>
    <cellStyle name="Обычный 2 10 4 3 2" xfId="4690" xr:uid="{00000000-0005-0000-0000-000022050000}"/>
    <cellStyle name="Обычный 2 10 4 4" xfId="1157" xr:uid="{00000000-0005-0000-0000-000023050000}"/>
    <cellStyle name="Обычный 2 10 4 4 2" xfId="4986" xr:uid="{00000000-0005-0000-0000-000024050000}"/>
    <cellStyle name="Обычный 2 10 4 5" xfId="1440" xr:uid="{00000000-0005-0000-0000-000025050000}"/>
    <cellStyle name="Обычный 2 10 4 5 2" xfId="5282" xr:uid="{00000000-0005-0000-0000-000026050000}"/>
    <cellStyle name="Обычный 2 10 4 6" xfId="1731" xr:uid="{00000000-0005-0000-0000-000027050000}"/>
    <cellStyle name="Обычный 2 10 4 6 2" xfId="5578" xr:uid="{00000000-0005-0000-0000-000028050000}"/>
    <cellStyle name="Обычный 2 10 4 7" xfId="2024" xr:uid="{00000000-0005-0000-0000-000029050000}"/>
    <cellStyle name="Обычный 2 10 4 7 2" xfId="5874" xr:uid="{00000000-0005-0000-0000-00002A050000}"/>
    <cellStyle name="Обычный 2 10 4 8" xfId="2319" xr:uid="{00000000-0005-0000-0000-00002B050000}"/>
    <cellStyle name="Обычный 2 10 4 8 2" xfId="6170" xr:uid="{00000000-0005-0000-0000-00002C050000}"/>
    <cellStyle name="Обычный 2 10 4 9" xfId="2615" xr:uid="{00000000-0005-0000-0000-00002D050000}"/>
    <cellStyle name="Обычный 2 10 4 9 2" xfId="6466" xr:uid="{00000000-0005-0000-0000-00002E050000}"/>
    <cellStyle name="Обычный 2 10 5" xfId="293" xr:uid="{00000000-0005-0000-0000-00002F050000}"/>
    <cellStyle name="Обычный 2 10 5 10" xfId="3257" xr:uid="{00000000-0005-0000-0000-000030050000}"/>
    <cellStyle name="Обычный 2 10 5 10 2" xfId="7108" xr:uid="{00000000-0005-0000-0000-000031050000}"/>
    <cellStyle name="Обычный 2 10 5 11" xfId="3553" xr:uid="{00000000-0005-0000-0000-000032050000}"/>
    <cellStyle name="Обычный 2 10 5 11 2" xfId="7404" xr:uid="{00000000-0005-0000-0000-000033050000}"/>
    <cellStyle name="Обычный 2 10 5 12" xfId="3849" xr:uid="{00000000-0005-0000-0000-000034050000}"/>
    <cellStyle name="Обычный 2 10 5 12 2" xfId="7700" xr:uid="{00000000-0005-0000-0000-000035050000}"/>
    <cellStyle name="Обычный 2 10 5 13" xfId="4145" xr:uid="{00000000-0005-0000-0000-000036050000}"/>
    <cellStyle name="Обычный 2 10 5 13 2" xfId="7996" xr:uid="{00000000-0005-0000-0000-000037050000}"/>
    <cellStyle name="Обычный 2 10 5 14" xfId="8345" xr:uid="{00000000-0005-0000-0000-000038050000}"/>
    <cellStyle name="Обычный 2 10 5 15" xfId="4444" xr:uid="{00000000-0005-0000-0000-000039050000}"/>
    <cellStyle name="Обычный 2 10 5 2" xfId="757" xr:uid="{00000000-0005-0000-0000-00003A050000}"/>
    <cellStyle name="Обычный 2 10 5 2 2" xfId="8522" xr:uid="{00000000-0005-0000-0000-00003B050000}"/>
    <cellStyle name="Обычный 2 10 5 2 3" xfId="4740" xr:uid="{00000000-0005-0000-0000-00003C050000}"/>
    <cellStyle name="Обычный 2 10 5 3" xfId="1204" xr:uid="{00000000-0005-0000-0000-00003D050000}"/>
    <cellStyle name="Обычный 2 10 5 3 2" xfId="5036" xr:uid="{00000000-0005-0000-0000-00003E050000}"/>
    <cellStyle name="Обычный 2 10 5 4" xfId="1489" xr:uid="{00000000-0005-0000-0000-00003F050000}"/>
    <cellStyle name="Обычный 2 10 5 4 2" xfId="5332" xr:uid="{00000000-0005-0000-0000-000040050000}"/>
    <cellStyle name="Обычный 2 10 5 5" xfId="1781" xr:uid="{00000000-0005-0000-0000-000041050000}"/>
    <cellStyle name="Обычный 2 10 5 5 2" xfId="5628" xr:uid="{00000000-0005-0000-0000-000042050000}"/>
    <cellStyle name="Обычный 2 10 5 6" xfId="2074" xr:uid="{00000000-0005-0000-0000-000043050000}"/>
    <cellStyle name="Обычный 2 10 5 6 2" xfId="5924" xr:uid="{00000000-0005-0000-0000-000044050000}"/>
    <cellStyle name="Обычный 2 10 5 7" xfId="2369" xr:uid="{00000000-0005-0000-0000-000045050000}"/>
    <cellStyle name="Обычный 2 10 5 7 2" xfId="6220" xr:uid="{00000000-0005-0000-0000-000046050000}"/>
    <cellStyle name="Обычный 2 10 5 8" xfId="2665" xr:uid="{00000000-0005-0000-0000-000047050000}"/>
    <cellStyle name="Обычный 2 10 5 8 2" xfId="6516" xr:uid="{00000000-0005-0000-0000-000048050000}"/>
    <cellStyle name="Обычный 2 10 5 9" xfId="2961" xr:uid="{00000000-0005-0000-0000-000049050000}"/>
    <cellStyle name="Обычный 2 10 5 9 2" xfId="6812" xr:uid="{00000000-0005-0000-0000-00004A050000}"/>
    <cellStyle name="Обычный 2 10 6" xfId="715" xr:uid="{00000000-0005-0000-0000-00004B050000}"/>
    <cellStyle name="Обычный 2 10 6 2" xfId="8493" xr:uid="{00000000-0005-0000-0000-00004C050000}"/>
    <cellStyle name="Обычный 2 10 6 3" xfId="4592" xr:uid="{00000000-0005-0000-0000-00004D050000}"/>
    <cellStyle name="Обычный 2 10 7" xfId="758" xr:uid="{00000000-0005-0000-0000-00004E050000}"/>
    <cellStyle name="Обычный 2 10 7 2" xfId="8523" xr:uid="{00000000-0005-0000-0000-00004F050000}"/>
    <cellStyle name="Обычный 2 10 7 3" xfId="4888" xr:uid="{00000000-0005-0000-0000-000050050000}"/>
    <cellStyle name="Обычный 2 10 8" xfId="1346" xr:uid="{00000000-0005-0000-0000-000051050000}"/>
    <cellStyle name="Обычный 2 10 8 2" xfId="5184" xr:uid="{00000000-0005-0000-0000-000052050000}"/>
    <cellStyle name="Обычный 2 10 9" xfId="1635" xr:uid="{00000000-0005-0000-0000-000053050000}"/>
    <cellStyle name="Обычный 2 10 9 2" xfId="5480" xr:uid="{00000000-0005-0000-0000-000054050000}"/>
    <cellStyle name="Обычный 2 11" xfId="59" xr:uid="{00000000-0005-0000-0000-000055050000}"/>
    <cellStyle name="Обычный 2 11 10" xfId="1929" xr:uid="{00000000-0005-0000-0000-000056050000}"/>
    <cellStyle name="Обычный 2 11 10 2" xfId="5777" xr:uid="{00000000-0005-0000-0000-000057050000}"/>
    <cellStyle name="Обычный 2 11 11" xfId="2223" xr:uid="{00000000-0005-0000-0000-000058050000}"/>
    <cellStyle name="Обычный 2 11 11 2" xfId="6073" xr:uid="{00000000-0005-0000-0000-000059050000}"/>
    <cellStyle name="Обычный 2 11 12" xfId="2518" xr:uid="{00000000-0005-0000-0000-00005A050000}"/>
    <cellStyle name="Обычный 2 11 12 2" xfId="6369" xr:uid="{00000000-0005-0000-0000-00005B050000}"/>
    <cellStyle name="Обычный 2 11 13" xfId="2814" xr:uid="{00000000-0005-0000-0000-00005C050000}"/>
    <cellStyle name="Обычный 2 11 13 2" xfId="6665" xr:uid="{00000000-0005-0000-0000-00005D050000}"/>
    <cellStyle name="Обычный 2 11 14" xfId="3110" xr:uid="{00000000-0005-0000-0000-00005E050000}"/>
    <cellStyle name="Обычный 2 11 14 2" xfId="6961" xr:uid="{00000000-0005-0000-0000-00005F050000}"/>
    <cellStyle name="Обычный 2 11 15" xfId="3406" xr:uid="{00000000-0005-0000-0000-000060050000}"/>
    <cellStyle name="Обычный 2 11 15 2" xfId="7257" xr:uid="{00000000-0005-0000-0000-000061050000}"/>
    <cellStyle name="Обычный 2 11 16" xfId="3702" xr:uid="{00000000-0005-0000-0000-000062050000}"/>
    <cellStyle name="Обычный 2 11 16 2" xfId="7553" xr:uid="{00000000-0005-0000-0000-000063050000}"/>
    <cellStyle name="Обычный 2 11 17" xfId="3998" xr:uid="{00000000-0005-0000-0000-000064050000}"/>
    <cellStyle name="Обычный 2 11 17 2" xfId="7849" xr:uid="{00000000-0005-0000-0000-000065050000}"/>
    <cellStyle name="Обычный 2 11 18" xfId="8145" xr:uid="{00000000-0005-0000-0000-000066050000}"/>
    <cellStyle name="Обычный 2 11 19" xfId="4294" xr:uid="{00000000-0005-0000-0000-000067050000}"/>
    <cellStyle name="Обычный 2 11 2" xfId="109" xr:uid="{00000000-0005-0000-0000-000068050000}"/>
    <cellStyle name="Обычный 2 11 2 10" xfId="2244" xr:uid="{00000000-0005-0000-0000-000069050000}"/>
    <cellStyle name="Обычный 2 11 2 10 2" xfId="6095" xr:uid="{00000000-0005-0000-0000-00006A050000}"/>
    <cellStyle name="Обычный 2 11 2 11" xfId="2540" xr:uid="{00000000-0005-0000-0000-00006B050000}"/>
    <cellStyle name="Обычный 2 11 2 11 2" xfId="6391" xr:uid="{00000000-0005-0000-0000-00006C050000}"/>
    <cellStyle name="Обычный 2 11 2 12" xfId="2836" xr:uid="{00000000-0005-0000-0000-00006D050000}"/>
    <cellStyle name="Обычный 2 11 2 12 2" xfId="6687" xr:uid="{00000000-0005-0000-0000-00006E050000}"/>
    <cellStyle name="Обычный 2 11 2 13" xfId="3132" xr:uid="{00000000-0005-0000-0000-00006F050000}"/>
    <cellStyle name="Обычный 2 11 2 13 2" xfId="6983" xr:uid="{00000000-0005-0000-0000-000070050000}"/>
    <cellStyle name="Обычный 2 11 2 14" xfId="3428" xr:uid="{00000000-0005-0000-0000-000071050000}"/>
    <cellStyle name="Обычный 2 11 2 14 2" xfId="7279" xr:uid="{00000000-0005-0000-0000-000072050000}"/>
    <cellStyle name="Обычный 2 11 2 15" xfId="3724" xr:uid="{00000000-0005-0000-0000-000073050000}"/>
    <cellStyle name="Обычный 2 11 2 15 2" xfId="7575" xr:uid="{00000000-0005-0000-0000-000074050000}"/>
    <cellStyle name="Обычный 2 11 2 16" xfId="4020" xr:uid="{00000000-0005-0000-0000-000075050000}"/>
    <cellStyle name="Обычный 2 11 2 16 2" xfId="7871" xr:uid="{00000000-0005-0000-0000-000076050000}"/>
    <cellStyle name="Обычный 2 11 2 17" xfId="8167" xr:uid="{00000000-0005-0000-0000-000077050000}"/>
    <cellStyle name="Обычный 2 11 2 18" xfId="4316" xr:uid="{00000000-0005-0000-0000-000078050000}"/>
    <cellStyle name="Обычный 2 11 2 2" xfId="162" xr:uid="{00000000-0005-0000-0000-000079050000}"/>
    <cellStyle name="Обычный 2 11 2 2 10" xfId="2884" xr:uid="{00000000-0005-0000-0000-00007A050000}"/>
    <cellStyle name="Обычный 2 11 2 2 10 2" xfId="6735" xr:uid="{00000000-0005-0000-0000-00007B050000}"/>
    <cellStyle name="Обычный 2 11 2 2 11" xfId="3180" xr:uid="{00000000-0005-0000-0000-00007C050000}"/>
    <cellStyle name="Обычный 2 11 2 2 11 2" xfId="7031" xr:uid="{00000000-0005-0000-0000-00007D050000}"/>
    <cellStyle name="Обычный 2 11 2 2 12" xfId="3476" xr:uid="{00000000-0005-0000-0000-00007E050000}"/>
    <cellStyle name="Обычный 2 11 2 2 12 2" xfId="7327" xr:uid="{00000000-0005-0000-0000-00007F050000}"/>
    <cellStyle name="Обычный 2 11 2 2 13" xfId="3772" xr:uid="{00000000-0005-0000-0000-000080050000}"/>
    <cellStyle name="Обычный 2 11 2 2 13 2" xfId="7623" xr:uid="{00000000-0005-0000-0000-000081050000}"/>
    <cellStyle name="Обычный 2 11 2 2 14" xfId="4068" xr:uid="{00000000-0005-0000-0000-000082050000}"/>
    <cellStyle name="Обычный 2 11 2 2 14 2" xfId="7919" xr:uid="{00000000-0005-0000-0000-000083050000}"/>
    <cellStyle name="Обычный 2 11 2 2 15" xfId="8217" xr:uid="{00000000-0005-0000-0000-000084050000}"/>
    <cellStyle name="Обычный 2 11 2 2 16" xfId="4365" xr:uid="{00000000-0005-0000-0000-000085050000}"/>
    <cellStyle name="Обычный 2 11 2 2 2" xfId="265" xr:uid="{00000000-0005-0000-0000-000086050000}"/>
    <cellStyle name="Обычный 2 11 2 2 2 10" xfId="3328" xr:uid="{00000000-0005-0000-0000-000087050000}"/>
    <cellStyle name="Обычный 2 11 2 2 2 10 2" xfId="7179" xr:uid="{00000000-0005-0000-0000-000088050000}"/>
    <cellStyle name="Обычный 2 11 2 2 2 11" xfId="3624" xr:uid="{00000000-0005-0000-0000-000089050000}"/>
    <cellStyle name="Обычный 2 11 2 2 2 11 2" xfId="7475" xr:uid="{00000000-0005-0000-0000-00008A050000}"/>
    <cellStyle name="Обычный 2 11 2 2 2 12" xfId="3920" xr:uid="{00000000-0005-0000-0000-00008B050000}"/>
    <cellStyle name="Обычный 2 11 2 2 2 12 2" xfId="7771" xr:uid="{00000000-0005-0000-0000-00008C050000}"/>
    <cellStyle name="Обычный 2 11 2 2 2 13" xfId="4216" xr:uid="{00000000-0005-0000-0000-00008D050000}"/>
    <cellStyle name="Обычный 2 11 2 2 2 13 2" xfId="8067" xr:uid="{00000000-0005-0000-0000-00008E050000}"/>
    <cellStyle name="Обычный 2 11 2 2 2 14" xfId="8318" xr:uid="{00000000-0005-0000-0000-00008F050000}"/>
    <cellStyle name="Обычный 2 11 2 2 2 15" xfId="4515" xr:uid="{00000000-0005-0000-0000-000090050000}"/>
    <cellStyle name="Обычный 2 11 2 2 2 2" xfId="759" xr:uid="{00000000-0005-0000-0000-000091050000}"/>
    <cellStyle name="Обычный 2 11 2 2 2 2 2" xfId="8524" xr:uid="{00000000-0005-0000-0000-000092050000}"/>
    <cellStyle name="Обычный 2 11 2 2 2 2 3" xfId="4811" xr:uid="{00000000-0005-0000-0000-000093050000}"/>
    <cellStyle name="Обычный 2 11 2 2 2 3" xfId="1273" xr:uid="{00000000-0005-0000-0000-000094050000}"/>
    <cellStyle name="Обычный 2 11 2 2 2 3 2" xfId="5107" xr:uid="{00000000-0005-0000-0000-000095050000}"/>
    <cellStyle name="Обычный 2 11 2 2 2 4" xfId="1559" xr:uid="{00000000-0005-0000-0000-000096050000}"/>
    <cellStyle name="Обычный 2 11 2 2 2 4 2" xfId="5403" xr:uid="{00000000-0005-0000-0000-000097050000}"/>
    <cellStyle name="Обычный 2 11 2 2 2 5" xfId="1852" xr:uid="{00000000-0005-0000-0000-000098050000}"/>
    <cellStyle name="Обычный 2 11 2 2 2 5 2" xfId="5699" xr:uid="{00000000-0005-0000-0000-000099050000}"/>
    <cellStyle name="Обычный 2 11 2 2 2 6" xfId="2145" xr:uid="{00000000-0005-0000-0000-00009A050000}"/>
    <cellStyle name="Обычный 2 11 2 2 2 6 2" xfId="5995" xr:uid="{00000000-0005-0000-0000-00009B050000}"/>
    <cellStyle name="Обычный 2 11 2 2 2 7" xfId="2440" xr:uid="{00000000-0005-0000-0000-00009C050000}"/>
    <cellStyle name="Обычный 2 11 2 2 2 7 2" xfId="6291" xr:uid="{00000000-0005-0000-0000-00009D050000}"/>
    <cellStyle name="Обычный 2 11 2 2 2 8" xfId="2736" xr:uid="{00000000-0005-0000-0000-00009E050000}"/>
    <cellStyle name="Обычный 2 11 2 2 2 8 2" xfId="6587" xr:uid="{00000000-0005-0000-0000-00009F050000}"/>
    <cellStyle name="Обычный 2 11 2 2 2 9" xfId="3032" xr:uid="{00000000-0005-0000-0000-0000A0050000}"/>
    <cellStyle name="Обычный 2 11 2 2 2 9 2" xfId="6883" xr:uid="{00000000-0005-0000-0000-0000A1050000}"/>
    <cellStyle name="Обычный 2 11 2 2 3" xfId="366" xr:uid="{00000000-0005-0000-0000-0000A2050000}"/>
    <cellStyle name="Обычный 2 11 2 2 3 2" xfId="760" xr:uid="{00000000-0005-0000-0000-0000A3050000}"/>
    <cellStyle name="Обычный 2 11 2 2 3 3" xfId="8418" xr:uid="{00000000-0005-0000-0000-0000A4050000}"/>
    <cellStyle name="Обычный 2 11 2 2 3 4" xfId="4663" xr:uid="{00000000-0005-0000-0000-0000A5050000}"/>
    <cellStyle name="Обычный 2 11 2 2 4" xfId="761" xr:uid="{00000000-0005-0000-0000-0000A6050000}"/>
    <cellStyle name="Обычный 2 11 2 2 4 2" xfId="8525" xr:uid="{00000000-0005-0000-0000-0000A7050000}"/>
    <cellStyle name="Обычный 2 11 2 2 4 3" xfId="4959" xr:uid="{00000000-0005-0000-0000-0000A8050000}"/>
    <cellStyle name="Обычный 2 11 2 2 5" xfId="1415" xr:uid="{00000000-0005-0000-0000-0000A9050000}"/>
    <cellStyle name="Обычный 2 11 2 2 5 2" xfId="5255" xr:uid="{00000000-0005-0000-0000-0000AA050000}"/>
    <cellStyle name="Обычный 2 11 2 2 6" xfId="1705" xr:uid="{00000000-0005-0000-0000-0000AB050000}"/>
    <cellStyle name="Обычный 2 11 2 2 6 2" xfId="5551" xr:uid="{00000000-0005-0000-0000-0000AC050000}"/>
    <cellStyle name="Обычный 2 11 2 2 7" xfId="1997" xr:uid="{00000000-0005-0000-0000-0000AD050000}"/>
    <cellStyle name="Обычный 2 11 2 2 7 2" xfId="5847" xr:uid="{00000000-0005-0000-0000-0000AE050000}"/>
    <cellStyle name="Обычный 2 11 2 2 8" xfId="2292" xr:uid="{00000000-0005-0000-0000-0000AF050000}"/>
    <cellStyle name="Обычный 2 11 2 2 8 2" xfId="6143" xr:uid="{00000000-0005-0000-0000-0000B0050000}"/>
    <cellStyle name="Обычный 2 11 2 2 9" xfId="2588" xr:uid="{00000000-0005-0000-0000-0000B1050000}"/>
    <cellStyle name="Обычный 2 11 2 2 9 2" xfId="6439" xr:uid="{00000000-0005-0000-0000-0000B2050000}"/>
    <cellStyle name="Обычный 2 11 2 3" xfId="215" xr:uid="{00000000-0005-0000-0000-0000B3050000}"/>
    <cellStyle name="Обычный 2 11 2 3 10" xfId="2934" xr:uid="{00000000-0005-0000-0000-0000B4050000}"/>
    <cellStyle name="Обычный 2 11 2 3 10 2" xfId="6785" xr:uid="{00000000-0005-0000-0000-0000B5050000}"/>
    <cellStyle name="Обычный 2 11 2 3 11" xfId="3230" xr:uid="{00000000-0005-0000-0000-0000B6050000}"/>
    <cellStyle name="Обычный 2 11 2 3 11 2" xfId="7081" xr:uid="{00000000-0005-0000-0000-0000B7050000}"/>
    <cellStyle name="Обычный 2 11 2 3 12" xfId="3526" xr:uid="{00000000-0005-0000-0000-0000B8050000}"/>
    <cellStyle name="Обычный 2 11 2 3 12 2" xfId="7377" xr:uid="{00000000-0005-0000-0000-0000B9050000}"/>
    <cellStyle name="Обычный 2 11 2 3 13" xfId="3822" xr:uid="{00000000-0005-0000-0000-0000BA050000}"/>
    <cellStyle name="Обычный 2 11 2 3 13 2" xfId="7673" xr:uid="{00000000-0005-0000-0000-0000BB050000}"/>
    <cellStyle name="Обычный 2 11 2 3 14" xfId="4118" xr:uid="{00000000-0005-0000-0000-0000BC050000}"/>
    <cellStyle name="Обычный 2 11 2 3 14 2" xfId="7969" xr:uid="{00000000-0005-0000-0000-0000BD050000}"/>
    <cellStyle name="Обычный 2 11 2 3 15" xfId="8268" xr:uid="{00000000-0005-0000-0000-0000BE050000}"/>
    <cellStyle name="Обычный 2 11 2 3 16" xfId="4416" xr:uid="{00000000-0005-0000-0000-0000BF050000}"/>
    <cellStyle name="Обычный 2 11 2 3 2" xfId="762" xr:uid="{00000000-0005-0000-0000-0000C0050000}"/>
    <cellStyle name="Обычный 2 11 2 3 2 10" xfId="3378" xr:uid="{00000000-0005-0000-0000-0000C1050000}"/>
    <cellStyle name="Обычный 2 11 2 3 2 10 2" xfId="7229" xr:uid="{00000000-0005-0000-0000-0000C2050000}"/>
    <cellStyle name="Обычный 2 11 2 3 2 11" xfId="3674" xr:uid="{00000000-0005-0000-0000-0000C3050000}"/>
    <cellStyle name="Обычный 2 11 2 3 2 11 2" xfId="7525" xr:uid="{00000000-0005-0000-0000-0000C4050000}"/>
    <cellStyle name="Обычный 2 11 2 3 2 12" xfId="3970" xr:uid="{00000000-0005-0000-0000-0000C5050000}"/>
    <cellStyle name="Обычный 2 11 2 3 2 12 2" xfId="7821" xr:uid="{00000000-0005-0000-0000-0000C6050000}"/>
    <cellStyle name="Обычный 2 11 2 3 2 13" xfId="4266" xr:uid="{00000000-0005-0000-0000-0000C7050000}"/>
    <cellStyle name="Обычный 2 11 2 3 2 13 2" xfId="8117" xr:uid="{00000000-0005-0000-0000-0000C8050000}"/>
    <cellStyle name="Обычный 2 11 2 3 2 14" xfId="8526" xr:uid="{00000000-0005-0000-0000-0000C9050000}"/>
    <cellStyle name="Обычный 2 11 2 3 2 15" xfId="4565" xr:uid="{00000000-0005-0000-0000-0000CA050000}"/>
    <cellStyle name="Обычный 2 11 2 3 2 2" xfId="1132" xr:uid="{00000000-0005-0000-0000-0000CB050000}"/>
    <cellStyle name="Обычный 2 11 2 3 2 2 2" xfId="4861" xr:uid="{00000000-0005-0000-0000-0000CC050000}"/>
    <cellStyle name="Обычный 2 11 2 3 2 3" xfId="1321" xr:uid="{00000000-0005-0000-0000-0000CD050000}"/>
    <cellStyle name="Обычный 2 11 2 3 2 3 2" xfId="5157" xr:uid="{00000000-0005-0000-0000-0000CE050000}"/>
    <cellStyle name="Обычный 2 11 2 3 2 4" xfId="1608" xr:uid="{00000000-0005-0000-0000-0000CF050000}"/>
    <cellStyle name="Обычный 2 11 2 3 2 4 2" xfId="5453" xr:uid="{00000000-0005-0000-0000-0000D0050000}"/>
    <cellStyle name="Обычный 2 11 2 3 2 5" xfId="1901" xr:uid="{00000000-0005-0000-0000-0000D1050000}"/>
    <cellStyle name="Обычный 2 11 2 3 2 5 2" xfId="5749" xr:uid="{00000000-0005-0000-0000-0000D2050000}"/>
    <cellStyle name="Обычный 2 11 2 3 2 6" xfId="2195" xr:uid="{00000000-0005-0000-0000-0000D3050000}"/>
    <cellStyle name="Обычный 2 11 2 3 2 6 2" xfId="6045" xr:uid="{00000000-0005-0000-0000-0000D4050000}"/>
    <cellStyle name="Обычный 2 11 2 3 2 7" xfId="2490" xr:uid="{00000000-0005-0000-0000-0000D5050000}"/>
    <cellStyle name="Обычный 2 11 2 3 2 7 2" xfId="6341" xr:uid="{00000000-0005-0000-0000-0000D6050000}"/>
    <cellStyle name="Обычный 2 11 2 3 2 8" xfId="2786" xr:uid="{00000000-0005-0000-0000-0000D7050000}"/>
    <cellStyle name="Обычный 2 11 2 3 2 8 2" xfId="6637" xr:uid="{00000000-0005-0000-0000-0000D8050000}"/>
    <cellStyle name="Обычный 2 11 2 3 2 9" xfId="3082" xr:uid="{00000000-0005-0000-0000-0000D9050000}"/>
    <cellStyle name="Обычный 2 11 2 3 2 9 2" xfId="6933" xr:uid="{00000000-0005-0000-0000-0000DA050000}"/>
    <cellStyle name="Обычный 2 11 2 3 3" xfId="1085" xr:uid="{00000000-0005-0000-0000-0000DB050000}"/>
    <cellStyle name="Обычный 2 11 2 3 3 2" xfId="4713" xr:uid="{00000000-0005-0000-0000-0000DC050000}"/>
    <cellStyle name="Обычный 2 11 2 3 4" xfId="1179" xr:uid="{00000000-0005-0000-0000-0000DD050000}"/>
    <cellStyle name="Обычный 2 11 2 3 4 2" xfId="5009" xr:uid="{00000000-0005-0000-0000-0000DE050000}"/>
    <cellStyle name="Обычный 2 11 2 3 5" xfId="1463" xr:uid="{00000000-0005-0000-0000-0000DF050000}"/>
    <cellStyle name="Обычный 2 11 2 3 5 2" xfId="5305" xr:uid="{00000000-0005-0000-0000-0000E0050000}"/>
    <cellStyle name="Обычный 2 11 2 3 6" xfId="1754" xr:uid="{00000000-0005-0000-0000-0000E1050000}"/>
    <cellStyle name="Обычный 2 11 2 3 6 2" xfId="5601" xr:uid="{00000000-0005-0000-0000-0000E2050000}"/>
    <cellStyle name="Обычный 2 11 2 3 7" xfId="2047" xr:uid="{00000000-0005-0000-0000-0000E3050000}"/>
    <cellStyle name="Обычный 2 11 2 3 7 2" xfId="5897" xr:uid="{00000000-0005-0000-0000-0000E4050000}"/>
    <cellStyle name="Обычный 2 11 2 3 8" xfId="2342" xr:uid="{00000000-0005-0000-0000-0000E5050000}"/>
    <cellStyle name="Обычный 2 11 2 3 8 2" xfId="6193" xr:uid="{00000000-0005-0000-0000-0000E6050000}"/>
    <cellStyle name="Обычный 2 11 2 3 9" xfId="2638" xr:uid="{00000000-0005-0000-0000-0000E7050000}"/>
    <cellStyle name="Обычный 2 11 2 3 9 2" xfId="6489" xr:uid="{00000000-0005-0000-0000-0000E8050000}"/>
    <cellStyle name="Обычный 2 11 2 4" xfId="316" xr:uid="{00000000-0005-0000-0000-0000E9050000}"/>
    <cellStyle name="Обычный 2 11 2 4 10" xfId="3280" xr:uid="{00000000-0005-0000-0000-0000EA050000}"/>
    <cellStyle name="Обычный 2 11 2 4 10 2" xfId="7131" xr:uid="{00000000-0005-0000-0000-0000EB050000}"/>
    <cellStyle name="Обычный 2 11 2 4 11" xfId="3576" xr:uid="{00000000-0005-0000-0000-0000EC050000}"/>
    <cellStyle name="Обычный 2 11 2 4 11 2" xfId="7427" xr:uid="{00000000-0005-0000-0000-0000ED050000}"/>
    <cellStyle name="Обычный 2 11 2 4 12" xfId="3872" xr:uid="{00000000-0005-0000-0000-0000EE050000}"/>
    <cellStyle name="Обычный 2 11 2 4 12 2" xfId="7723" xr:uid="{00000000-0005-0000-0000-0000EF050000}"/>
    <cellStyle name="Обычный 2 11 2 4 13" xfId="4168" xr:uid="{00000000-0005-0000-0000-0000F0050000}"/>
    <cellStyle name="Обычный 2 11 2 4 13 2" xfId="8019" xr:uid="{00000000-0005-0000-0000-0000F1050000}"/>
    <cellStyle name="Обычный 2 11 2 4 14" xfId="8368" xr:uid="{00000000-0005-0000-0000-0000F2050000}"/>
    <cellStyle name="Обычный 2 11 2 4 15" xfId="4467" xr:uid="{00000000-0005-0000-0000-0000F3050000}"/>
    <cellStyle name="Обычный 2 11 2 4 2" xfId="763" xr:uid="{00000000-0005-0000-0000-0000F4050000}"/>
    <cellStyle name="Обычный 2 11 2 4 2 2" xfId="8527" xr:uid="{00000000-0005-0000-0000-0000F5050000}"/>
    <cellStyle name="Обычный 2 11 2 4 2 3" xfId="4763" xr:uid="{00000000-0005-0000-0000-0000F6050000}"/>
    <cellStyle name="Обычный 2 11 2 4 3" xfId="1227" xr:uid="{00000000-0005-0000-0000-0000F7050000}"/>
    <cellStyle name="Обычный 2 11 2 4 3 2" xfId="5059" xr:uid="{00000000-0005-0000-0000-0000F8050000}"/>
    <cellStyle name="Обычный 2 11 2 4 4" xfId="1512" xr:uid="{00000000-0005-0000-0000-0000F9050000}"/>
    <cellStyle name="Обычный 2 11 2 4 4 2" xfId="5355" xr:uid="{00000000-0005-0000-0000-0000FA050000}"/>
    <cellStyle name="Обычный 2 11 2 4 5" xfId="1804" xr:uid="{00000000-0005-0000-0000-0000FB050000}"/>
    <cellStyle name="Обычный 2 11 2 4 5 2" xfId="5651" xr:uid="{00000000-0005-0000-0000-0000FC050000}"/>
    <cellStyle name="Обычный 2 11 2 4 6" xfId="2097" xr:uid="{00000000-0005-0000-0000-0000FD050000}"/>
    <cellStyle name="Обычный 2 11 2 4 6 2" xfId="5947" xr:uid="{00000000-0005-0000-0000-0000FE050000}"/>
    <cellStyle name="Обычный 2 11 2 4 7" xfId="2392" xr:uid="{00000000-0005-0000-0000-0000FF050000}"/>
    <cellStyle name="Обычный 2 11 2 4 7 2" xfId="6243" xr:uid="{00000000-0005-0000-0000-000000060000}"/>
    <cellStyle name="Обычный 2 11 2 4 8" xfId="2688" xr:uid="{00000000-0005-0000-0000-000001060000}"/>
    <cellStyle name="Обычный 2 11 2 4 8 2" xfId="6539" xr:uid="{00000000-0005-0000-0000-000002060000}"/>
    <cellStyle name="Обычный 2 11 2 4 9" xfId="2984" xr:uid="{00000000-0005-0000-0000-000003060000}"/>
    <cellStyle name="Обычный 2 11 2 4 9 2" xfId="6835" xr:uid="{00000000-0005-0000-0000-000004060000}"/>
    <cellStyle name="Обычный 2 11 2 5" xfId="764" xr:uid="{00000000-0005-0000-0000-000005060000}"/>
    <cellStyle name="Обычный 2 11 2 5 2" xfId="8528" xr:uid="{00000000-0005-0000-0000-000006060000}"/>
    <cellStyle name="Обычный 2 11 2 5 3" xfId="4615" xr:uid="{00000000-0005-0000-0000-000007060000}"/>
    <cellStyle name="Обычный 2 11 2 6" xfId="765" xr:uid="{00000000-0005-0000-0000-000008060000}"/>
    <cellStyle name="Обычный 2 11 2 6 2" xfId="8529" xr:uid="{00000000-0005-0000-0000-000009060000}"/>
    <cellStyle name="Обычный 2 11 2 6 3" xfId="4911" xr:uid="{00000000-0005-0000-0000-00000A060000}"/>
    <cellStyle name="Обычный 2 11 2 7" xfId="1368" xr:uid="{00000000-0005-0000-0000-00000B060000}"/>
    <cellStyle name="Обычный 2 11 2 7 2" xfId="5207" xr:uid="{00000000-0005-0000-0000-00000C060000}"/>
    <cellStyle name="Обычный 2 11 2 8" xfId="1657" xr:uid="{00000000-0005-0000-0000-00000D060000}"/>
    <cellStyle name="Обычный 2 11 2 8 2" xfId="5503" xr:uid="{00000000-0005-0000-0000-00000E060000}"/>
    <cellStyle name="Обычный 2 11 2 9" xfId="1950" xr:uid="{00000000-0005-0000-0000-00000F060000}"/>
    <cellStyle name="Обычный 2 11 2 9 2" xfId="5799" xr:uid="{00000000-0005-0000-0000-000010060000}"/>
    <cellStyle name="Обычный 2 11 3" xfId="140" xr:uid="{00000000-0005-0000-0000-000011060000}"/>
    <cellStyle name="Обычный 2 11 3 10" xfId="2862" xr:uid="{00000000-0005-0000-0000-000012060000}"/>
    <cellStyle name="Обычный 2 11 3 10 2" xfId="6713" xr:uid="{00000000-0005-0000-0000-000013060000}"/>
    <cellStyle name="Обычный 2 11 3 11" xfId="3158" xr:uid="{00000000-0005-0000-0000-000014060000}"/>
    <cellStyle name="Обычный 2 11 3 11 2" xfId="7009" xr:uid="{00000000-0005-0000-0000-000015060000}"/>
    <cellStyle name="Обычный 2 11 3 12" xfId="3454" xr:uid="{00000000-0005-0000-0000-000016060000}"/>
    <cellStyle name="Обычный 2 11 3 12 2" xfId="7305" xr:uid="{00000000-0005-0000-0000-000017060000}"/>
    <cellStyle name="Обычный 2 11 3 13" xfId="3750" xr:uid="{00000000-0005-0000-0000-000018060000}"/>
    <cellStyle name="Обычный 2 11 3 13 2" xfId="7601" xr:uid="{00000000-0005-0000-0000-000019060000}"/>
    <cellStyle name="Обычный 2 11 3 14" xfId="4046" xr:uid="{00000000-0005-0000-0000-00001A060000}"/>
    <cellStyle name="Обычный 2 11 3 14 2" xfId="7897" xr:uid="{00000000-0005-0000-0000-00001B060000}"/>
    <cellStyle name="Обычный 2 11 3 15" xfId="8195" xr:uid="{00000000-0005-0000-0000-00001C060000}"/>
    <cellStyle name="Обычный 2 11 3 16" xfId="4343" xr:uid="{00000000-0005-0000-0000-00001D060000}"/>
    <cellStyle name="Обычный 2 11 3 2" xfId="243" xr:uid="{00000000-0005-0000-0000-00001E060000}"/>
    <cellStyle name="Обычный 2 11 3 2 10" xfId="3306" xr:uid="{00000000-0005-0000-0000-00001F060000}"/>
    <cellStyle name="Обычный 2 11 3 2 10 2" xfId="7157" xr:uid="{00000000-0005-0000-0000-000020060000}"/>
    <cellStyle name="Обычный 2 11 3 2 11" xfId="3602" xr:uid="{00000000-0005-0000-0000-000021060000}"/>
    <cellStyle name="Обычный 2 11 3 2 11 2" xfId="7453" xr:uid="{00000000-0005-0000-0000-000022060000}"/>
    <cellStyle name="Обычный 2 11 3 2 12" xfId="3898" xr:uid="{00000000-0005-0000-0000-000023060000}"/>
    <cellStyle name="Обычный 2 11 3 2 12 2" xfId="7749" xr:uid="{00000000-0005-0000-0000-000024060000}"/>
    <cellStyle name="Обычный 2 11 3 2 13" xfId="4194" xr:uid="{00000000-0005-0000-0000-000025060000}"/>
    <cellStyle name="Обычный 2 11 3 2 13 2" xfId="8045" xr:uid="{00000000-0005-0000-0000-000026060000}"/>
    <cellStyle name="Обычный 2 11 3 2 14" xfId="8296" xr:uid="{00000000-0005-0000-0000-000027060000}"/>
    <cellStyle name="Обычный 2 11 3 2 15" xfId="4493" xr:uid="{00000000-0005-0000-0000-000028060000}"/>
    <cellStyle name="Обычный 2 11 3 2 2" xfId="766" xr:uid="{00000000-0005-0000-0000-000029060000}"/>
    <cellStyle name="Обычный 2 11 3 2 2 2" xfId="8530" xr:uid="{00000000-0005-0000-0000-00002A060000}"/>
    <cellStyle name="Обычный 2 11 3 2 2 3" xfId="4789" xr:uid="{00000000-0005-0000-0000-00002B060000}"/>
    <cellStyle name="Обычный 2 11 3 2 3" xfId="1252" xr:uid="{00000000-0005-0000-0000-00002C060000}"/>
    <cellStyle name="Обычный 2 11 3 2 3 2" xfId="5085" xr:uid="{00000000-0005-0000-0000-00002D060000}"/>
    <cellStyle name="Обычный 2 11 3 2 4" xfId="1538" xr:uid="{00000000-0005-0000-0000-00002E060000}"/>
    <cellStyle name="Обычный 2 11 3 2 4 2" xfId="5381" xr:uid="{00000000-0005-0000-0000-00002F060000}"/>
    <cellStyle name="Обычный 2 11 3 2 5" xfId="1830" xr:uid="{00000000-0005-0000-0000-000030060000}"/>
    <cellStyle name="Обычный 2 11 3 2 5 2" xfId="5677" xr:uid="{00000000-0005-0000-0000-000031060000}"/>
    <cellStyle name="Обычный 2 11 3 2 6" xfId="2123" xr:uid="{00000000-0005-0000-0000-000032060000}"/>
    <cellStyle name="Обычный 2 11 3 2 6 2" xfId="5973" xr:uid="{00000000-0005-0000-0000-000033060000}"/>
    <cellStyle name="Обычный 2 11 3 2 7" xfId="2418" xr:uid="{00000000-0005-0000-0000-000034060000}"/>
    <cellStyle name="Обычный 2 11 3 2 7 2" xfId="6269" xr:uid="{00000000-0005-0000-0000-000035060000}"/>
    <cellStyle name="Обычный 2 11 3 2 8" xfId="2714" xr:uid="{00000000-0005-0000-0000-000036060000}"/>
    <cellStyle name="Обычный 2 11 3 2 8 2" xfId="6565" xr:uid="{00000000-0005-0000-0000-000037060000}"/>
    <cellStyle name="Обычный 2 11 3 2 9" xfId="3010" xr:uid="{00000000-0005-0000-0000-000038060000}"/>
    <cellStyle name="Обычный 2 11 3 2 9 2" xfId="6861" xr:uid="{00000000-0005-0000-0000-000039060000}"/>
    <cellStyle name="Обычный 2 11 3 3" xfId="344" xr:uid="{00000000-0005-0000-0000-00003A060000}"/>
    <cellStyle name="Обычный 2 11 3 3 2" xfId="767" xr:uid="{00000000-0005-0000-0000-00003B060000}"/>
    <cellStyle name="Обычный 2 11 3 3 3" xfId="8396" xr:uid="{00000000-0005-0000-0000-00003C060000}"/>
    <cellStyle name="Обычный 2 11 3 3 4" xfId="4641" xr:uid="{00000000-0005-0000-0000-00003D060000}"/>
    <cellStyle name="Обычный 2 11 3 4" xfId="768" xr:uid="{00000000-0005-0000-0000-00003E060000}"/>
    <cellStyle name="Обычный 2 11 3 4 2" xfId="8531" xr:uid="{00000000-0005-0000-0000-00003F060000}"/>
    <cellStyle name="Обычный 2 11 3 4 3" xfId="4937" xr:uid="{00000000-0005-0000-0000-000040060000}"/>
    <cellStyle name="Обычный 2 11 3 5" xfId="1394" xr:uid="{00000000-0005-0000-0000-000041060000}"/>
    <cellStyle name="Обычный 2 11 3 5 2" xfId="5233" xr:uid="{00000000-0005-0000-0000-000042060000}"/>
    <cellStyle name="Обычный 2 11 3 6" xfId="1683" xr:uid="{00000000-0005-0000-0000-000043060000}"/>
    <cellStyle name="Обычный 2 11 3 6 2" xfId="5529" xr:uid="{00000000-0005-0000-0000-000044060000}"/>
    <cellStyle name="Обычный 2 11 3 7" xfId="1976" xr:uid="{00000000-0005-0000-0000-000045060000}"/>
    <cellStyle name="Обычный 2 11 3 7 2" xfId="5825" xr:uid="{00000000-0005-0000-0000-000046060000}"/>
    <cellStyle name="Обычный 2 11 3 8" xfId="2270" xr:uid="{00000000-0005-0000-0000-000047060000}"/>
    <cellStyle name="Обычный 2 11 3 8 2" xfId="6121" xr:uid="{00000000-0005-0000-0000-000048060000}"/>
    <cellStyle name="Обычный 2 11 3 9" xfId="2566" xr:uid="{00000000-0005-0000-0000-000049060000}"/>
    <cellStyle name="Обычный 2 11 3 9 2" xfId="6417" xr:uid="{00000000-0005-0000-0000-00004A060000}"/>
    <cellStyle name="Обычный 2 11 4" xfId="193" xr:uid="{00000000-0005-0000-0000-00004B060000}"/>
    <cellStyle name="Обычный 2 11 4 10" xfId="2912" xr:uid="{00000000-0005-0000-0000-00004C060000}"/>
    <cellStyle name="Обычный 2 11 4 10 2" xfId="6763" xr:uid="{00000000-0005-0000-0000-00004D060000}"/>
    <cellStyle name="Обычный 2 11 4 11" xfId="3208" xr:uid="{00000000-0005-0000-0000-00004E060000}"/>
    <cellStyle name="Обычный 2 11 4 11 2" xfId="7059" xr:uid="{00000000-0005-0000-0000-00004F060000}"/>
    <cellStyle name="Обычный 2 11 4 12" xfId="3504" xr:uid="{00000000-0005-0000-0000-000050060000}"/>
    <cellStyle name="Обычный 2 11 4 12 2" xfId="7355" xr:uid="{00000000-0005-0000-0000-000051060000}"/>
    <cellStyle name="Обычный 2 11 4 13" xfId="3800" xr:uid="{00000000-0005-0000-0000-000052060000}"/>
    <cellStyle name="Обычный 2 11 4 13 2" xfId="7651" xr:uid="{00000000-0005-0000-0000-000053060000}"/>
    <cellStyle name="Обычный 2 11 4 14" xfId="4096" xr:uid="{00000000-0005-0000-0000-000054060000}"/>
    <cellStyle name="Обычный 2 11 4 14 2" xfId="7947" xr:uid="{00000000-0005-0000-0000-000055060000}"/>
    <cellStyle name="Обычный 2 11 4 15" xfId="8246" xr:uid="{00000000-0005-0000-0000-000056060000}"/>
    <cellStyle name="Обычный 2 11 4 16" xfId="4394" xr:uid="{00000000-0005-0000-0000-000057060000}"/>
    <cellStyle name="Обычный 2 11 4 2" xfId="769" xr:uid="{00000000-0005-0000-0000-000058060000}"/>
    <cellStyle name="Обычный 2 11 4 2 10" xfId="3356" xr:uid="{00000000-0005-0000-0000-000059060000}"/>
    <cellStyle name="Обычный 2 11 4 2 10 2" xfId="7207" xr:uid="{00000000-0005-0000-0000-00005A060000}"/>
    <cellStyle name="Обычный 2 11 4 2 11" xfId="3652" xr:uid="{00000000-0005-0000-0000-00005B060000}"/>
    <cellStyle name="Обычный 2 11 4 2 11 2" xfId="7503" xr:uid="{00000000-0005-0000-0000-00005C060000}"/>
    <cellStyle name="Обычный 2 11 4 2 12" xfId="3948" xr:uid="{00000000-0005-0000-0000-00005D060000}"/>
    <cellStyle name="Обычный 2 11 4 2 12 2" xfId="7799" xr:uid="{00000000-0005-0000-0000-00005E060000}"/>
    <cellStyle name="Обычный 2 11 4 2 13" xfId="4244" xr:uid="{00000000-0005-0000-0000-00005F060000}"/>
    <cellStyle name="Обычный 2 11 4 2 13 2" xfId="8095" xr:uid="{00000000-0005-0000-0000-000060060000}"/>
    <cellStyle name="Обычный 2 11 4 2 14" xfId="8532" xr:uid="{00000000-0005-0000-0000-000061060000}"/>
    <cellStyle name="Обычный 2 11 4 2 15" xfId="4543" xr:uid="{00000000-0005-0000-0000-000062060000}"/>
    <cellStyle name="Обычный 2 11 4 2 2" xfId="1111" xr:uid="{00000000-0005-0000-0000-000063060000}"/>
    <cellStyle name="Обычный 2 11 4 2 2 2" xfId="4839" xr:uid="{00000000-0005-0000-0000-000064060000}"/>
    <cellStyle name="Обычный 2 11 4 2 3" xfId="1300" xr:uid="{00000000-0005-0000-0000-000065060000}"/>
    <cellStyle name="Обычный 2 11 4 2 3 2" xfId="5135" xr:uid="{00000000-0005-0000-0000-000066060000}"/>
    <cellStyle name="Обычный 2 11 4 2 4" xfId="1587" xr:uid="{00000000-0005-0000-0000-000067060000}"/>
    <cellStyle name="Обычный 2 11 4 2 4 2" xfId="5431" xr:uid="{00000000-0005-0000-0000-000068060000}"/>
    <cellStyle name="Обычный 2 11 4 2 5" xfId="1880" xr:uid="{00000000-0005-0000-0000-000069060000}"/>
    <cellStyle name="Обычный 2 11 4 2 5 2" xfId="5727" xr:uid="{00000000-0005-0000-0000-00006A060000}"/>
    <cellStyle name="Обычный 2 11 4 2 6" xfId="2173" xr:uid="{00000000-0005-0000-0000-00006B060000}"/>
    <cellStyle name="Обычный 2 11 4 2 6 2" xfId="6023" xr:uid="{00000000-0005-0000-0000-00006C060000}"/>
    <cellStyle name="Обычный 2 11 4 2 7" xfId="2468" xr:uid="{00000000-0005-0000-0000-00006D060000}"/>
    <cellStyle name="Обычный 2 11 4 2 7 2" xfId="6319" xr:uid="{00000000-0005-0000-0000-00006E060000}"/>
    <cellStyle name="Обычный 2 11 4 2 8" xfId="2764" xr:uid="{00000000-0005-0000-0000-00006F060000}"/>
    <cellStyle name="Обычный 2 11 4 2 8 2" xfId="6615" xr:uid="{00000000-0005-0000-0000-000070060000}"/>
    <cellStyle name="Обычный 2 11 4 2 9" xfId="3060" xr:uid="{00000000-0005-0000-0000-000071060000}"/>
    <cellStyle name="Обычный 2 11 4 2 9 2" xfId="6911" xr:uid="{00000000-0005-0000-0000-000072060000}"/>
    <cellStyle name="Обычный 2 11 4 3" xfId="1064" xr:uid="{00000000-0005-0000-0000-000073060000}"/>
    <cellStyle name="Обычный 2 11 4 3 2" xfId="4691" xr:uid="{00000000-0005-0000-0000-000074060000}"/>
    <cellStyle name="Обычный 2 11 4 4" xfId="1158" xr:uid="{00000000-0005-0000-0000-000075060000}"/>
    <cellStyle name="Обычный 2 11 4 4 2" xfId="4987" xr:uid="{00000000-0005-0000-0000-000076060000}"/>
    <cellStyle name="Обычный 2 11 4 5" xfId="1441" xr:uid="{00000000-0005-0000-0000-000077060000}"/>
    <cellStyle name="Обычный 2 11 4 5 2" xfId="5283" xr:uid="{00000000-0005-0000-0000-000078060000}"/>
    <cellStyle name="Обычный 2 11 4 6" xfId="1732" xr:uid="{00000000-0005-0000-0000-000079060000}"/>
    <cellStyle name="Обычный 2 11 4 6 2" xfId="5579" xr:uid="{00000000-0005-0000-0000-00007A060000}"/>
    <cellStyle name="Обычный 2 11 4 7" xfId="2025" xr:uid="{00000000-0005-0000-0000-00007B060000}"/>
    <cellStyle name="Обычный 2 11 4 7 2" xfId="5875" xr:uid="{00000000-0005-0000-0000-00007C060000}"/>
    <cellStyle name="Обычный 2 11 4 8" xfId="2320" xr:uid="{00000000-0005-0000-0000-00007D060000}"/>
    <cellStyle name="Обычный 2 11 4 8 2" xfId="6171" xr:uid="{00000000-0005-0000-0000-00007E060000}"/>
    <cellStyle name="Обычный 2 11 4 9" xfId="2616" xr:uid="{00000000-0005-0000-0000-00007F060000}"/>
    <cellStyle name="Обычный 2 11 4 9 2" xfId="6467" xr:uid="{00000000-0005-0000-0000-000080060000}"/>
    <cellStyle name="Обычный 2 11 5" xfId="294" xr:uid="{00000000-0005-0000-0000-000081060000}"/>
    <cellStyle name="Обычный 2 11 5 10" xfId="3258" xr:uid="{00000000-0005-0000-0000-000082060000}"/>
    <cellStyle name="Обычный 2 11 5 10 2" xfId="7109" xr:uid="{00000000-0005-0000-0000-000083060000}"/>
    <cellStyle name="Обычный 2 11 5 11" xfId="3554" xr:uid="{00000000-0005-0000-0000-000084060000}"/>
    <cellStyle name="Обычный 2 11 5 11 2" xfId="7405" xr:uid="{00000000-0005-0000-0000-000085060000}"/>
    <cellStyle name="Обычный 2 11 5 12" xfId="3850" xr:uid="{00000000-0005-0000-0000-000086060000}"/>
    <cellStyle name="Обычный 2 11 5 12 2" xfId="7701" xr:uid="{00000000-0005-0000-0000-000087060000}"/>
    <cellStyle name="Обычный 2 11 5 13" xfId="4146" xr:uid="{00000000-0005-0000-0000-000088060000}"/>
    <cellStyle name="Обычный 2 11 5 13 2" xfId="7997" xr:uid="{00000000-0005-0000-0000-000089060000}"/>
    <cellStyle name="Обычный 2 11 5 14" xfId="8346" xr:uid="{00000000-0005-0000-0000-00008A060000}"/>
    <cellStyle name="Обычный 2 11 5 15" xfId="4445" xr:uid="{00000000-0005-0000-0000-00008B060000}"/>
    <cellStyle name="Обычный 2 11 5 2" xfId="770" xr:uid="{00000000-0005-0000-0000-00008C060000}"/>
    <cellStyle name="Обычный 2 11 5 2 2" xfId="8533" xr:uid="{00000000-0005-0000-0000-00008D060000}"/>
    <cellStyle name="Обычный 2 11 5 2 3" xfId="4741" xr:uid="{00000000-0005-0000-0000-00008E060000}"/>
    <cellStyle name="Обычный 2 11 5 3" xfId="1205" xr:uid="{00000000-0005-0000-0000-00008F060000}"/>
    <cellStyle name="Обычный 2 11 5 3 2" xfId="5037" xr:uid="{00000000-0005-0000-0000-000090060000}"/>
    <cellStyle name="Обычный 2 11 5 4" xfId="1490" xr:uid="{00000000-0005-0000-0000-000091060000}"/>
    <cellStyle name="Обычный 2 11 5 4 2" xfId="5333" xr:uid="{00000000-0005-0000-0000-000092060000}"/>
    <cellStyle name="Обычный 2 11 5 5" xfId="1782" xr:uid="{00000000-0005-0000-0000-000093060000}"/>
    <cellStyle name="Обычный 2 11 5 5 2" xfId="5629" xr:uid="{00000000-0005-0000-0000-000094060000}"/>
    <cellStyle name="Обычный 2 11 5 6" xfId="2075" xr:uid="{00000000-0005-0000-0000-000095060000}"/>
    <cellStyle name="Обычный 2 11 5 6 2" xfId="5925" xr:uid="{00000000-0005-0000-0000-000096060000}"/>
    <cellStyle name="Обычный 2 11 5 7" xfId="2370" xr:uid="{00000000-0005-0000-0000-000097060000}"/>
    <cellStyle name="Обычный 2 11 5 7 2" xfId="6221" xr:uid="{00000000-0005-0000-0000-000098060000}"/>
    <cellStyle name="Обычный 2 11 5 8" xfId="2666" xr:uid="{00000000-0005-0000-0000-000099060000}"/>
    <cellStyle name="Обычный 2 11 5 8 2" xfId="6517" xr:uid="{00000000-0005-0000-0000-00009A060000}"/>
    <cellStyle name="Обычный 2 11 5 9" xfId="2962" xr:uid="{00000000-0005-0000-0000-00009B060000}"/>
    <cellStyle name="Обычный 2 11 5 9 2" xfId="6813" xr:uid="{00000000-0005-0000-0000-00009C060000}"/>
    <cellStyle name="Обычный 2 11 6" xfId="771" xr:uid="{00000000-0005-0000-0000-00009D060000}"/>
    <cellStyle name="Обычный 2 11 6 2" xfId="8534" xr:uid="{00000000-0005-0000-0000-00009E060000}"/>
    <cellStyle name="Обычный 2 11 6 3" xfId="4593" xr:uid="{00000000-0005-0000-0000-00009F060000}"/>
    <cellStyle name="Обычный 2 11 7" xfId="772" xr:uid="{00000000-0005-0000-0000-0000A0060000}"/>
    <cellStyle name="Обычный 2 11 7 2" xfId="8535" xr:uid="{00000000-0005-0000-0000-0000A1060000}"/>
    <cellStyle name="Обычный 2 11 7 3" xfId="4889" xr:uid="{00000000-0005-0000-0000-0000A2060000}"/>
    <cellStyle name="Обычный 2 11 8" xfId="1347" xr:uid="{00000000-0005-0000-0000-0000A3060000}"/>
    <cellStyle name="Обычный 2 11 8 2" xfId="5185" xr:uid="{00000000-0005-0000-0000-0000A4060000}"/>
    <cellStyle name="Обычный 2 11 9" xfId="1636" xr:uid="{00000000-0005-0000-0000-0000A5060000}"/>
    <cellStyle name="Обычный 2 11 9 2" xfId="5481" xr:uid="{00000000-0005-0000-0000-0000A6060000}"/>
    <cellStyle name="Обычный 2 12" xfId="60" xr:uid="{00000000-0005-0000-0000-0000A7060000}"/>
    <cellStyle name="Обычный 2 12 10" xfId="1930" xr:uid="{00000000-0005-0000-0000-0000A8060000}"/>
    <cellStyle name="Обычный 2 12 10 2" xfId="5778" xr:uid="{00000000-0005-0000-0000-0000A9060000}"/>
    <cellStyle name="Обычный 2 12 11" xfId="2224" xr:uid="{00000000-0005-0000-0000-0000AA060000}"/>
    <cellStyle name="Обычный 2 12 11 2" xfId="6074" xr:uid="{00000000-0005-0000-0000-0000AB060000}"/>
    <cellStyle name="Обычный 2 12 12" xfId="2519" xr:uid="{00000000-0005-0000-0000-0000AC060000}"/>
    <cellStyle name="Обычный 2 12 12 2" xfId="6370" xr:uid="{00000000-0005-0000-0000-0000AD060000}"/>
    <cellStyle name="Обычный 2 12 13" xfId="2815" xr:uid="{00000000-0005-0000-0000-0000AE060000}"/>
    <cellStyle name="Обычный 2 12 13 2" xfId="6666" xr:uid="{00000000-0005-0000-0000-0000AF060000}"/>
    <cellStyle name="Обычный 2 12 14" xfId="3111" xr:uid="{00000000-0005-0000-0000-0000B0060000}"/>
    <cellStyle name="Обычный 2 12 14 2" xfId="6962" xr:uid="{00000000-0005-0000-0000-0000B1060000}"/>
    <cellStyle name="Обычный 2 12 15" xfId="3407" xr:uid="{00000000-0005-0000-0000-0000B2060000}"/>
    <cellStyle name="Обычный 2 12 15 2" xfId="7258" xr:uid="{00000000-0005-0000-0000-0000B3060000}"/>
    <cellStyle name="Обычный 2 12 16" xfId="3703" xr:uid="{00000000-0005-0000-0000-0000B4060000}"/>
    <cellStyle name="Обычный 2 12 16 2" xfId="7554" xr:uid="{00000000-0005-0000-0000-0000B5060000}"/>
    <cellStyle name="Обычный 2 12 17" xfId="3999" xr:uid="{00000000-0005-0000-0000-0000B6060000}"/>
    <cellStyle name="Обычный 2 12 17 2" xfId="7850" xr:uid="{00000000-0005-0000-0000-0000B7060000}"/>
    <cellStyle name="Обычный 2 12 18" xfId="8146" xr:uid="{00000000-0005-0000-0000-0000B8060000}"/>
    <cellStyle name="Обычный 2 12 19" xfId="4295" xr:uid="{00000000-0005-0000-0000-0000B9060000}"/>
    <cellStyle name="Обычный 2 12 2" xfId="110" xr:uid="{00000000-0005-0000-0000-0000BA060000}"/>
    <cellStyle name="Обычный 2 12 2 10" xfId="2245" xr:uid="{00000000-0005-0000-0000-0000BB060000}"/>
    <cellStyle name="Обычный 2 12 2 10 2" xfId="6096" xr:uid="{00000000-0005-0000-0000-0000BC060000}"/>
    <cellStyle name="Обычный 2 12 2 11" xfId="2541" xr:uid="{00000000-0005-0000-0000-0000BD060000}"/>
    <cellStyle name="Обычный 2 12 2 11 2" xfId="6392" xr:uid="{00000000-0005-0000-0000-0000BE060000}"/>
    <cellStyle name="Обычный 2 12 2 12" xfId="2837" xr:uid="{00000000-0005-0000-0000-0000BF060000}"/>
    <cellStyle name="Обычный 2 12 2 12 2" xfId="6688" xr:uid="{00000000-0005-0000-0000-0000C0060000}"/>
    <cellStyle name="Обычный 2 12 2 13" xfId="3133" xr:uid="{00000000-0005-0000-0000-0000C1060000}"/>
    <cellStyle name="Обычный 2 12 2 13 2" xfId="6984" xr:uid="{00000000-0005-0000-0000-0000C2060000}"/>
    <cellStyle name="Обычный 2 12 2 14" xfId="3429" xr:uid="{00000000-0005-0000-0000-0000C3060000}"/>
    <cellStyle name="Обычный 2 12 2 14 2" xfId="7280" xr:uid="{00000000-0005-0000-0000-0000C4060000}"/>
    <cellStyle name="Обычный 2 12 2 15" xfId="3725" xr:uid="{00000000-0005-0000-0000-0000C5060000}"/>
    <cellStyle name="Обычный 2 12 2 15 2" xfId="7576" xr:uid="{00000000-0005-0000-0000-0000C6060000}"/>
    <cellStyle name="Обычный 2 12 2 16" xfId="4021" xr:uid="{00000000-0005-0000-0000-0000C7060000}"/>
    <cellStyle name="Обычный 2 12 2 16 2" xfId="7872" xr:uid="{00000000-0005-0000-0000-0000C8060000}"/>
    <cellStyle name="Обычный 2 12 2 17" xfId="8168" xr:uid="{00000000-0005-0000-0000-0000C9060000}"/>
    <cellStyle name="Обычный 2 12 2 18" xfId="4317" xr:uid="{00000000-0005-0000-0000-0000CA060000}"/>
    <cellStyle name="Обычный 2 12 2 2" xfId="163" xr:uid="{00000000-0005-0000-0000-0000CB060000}"/>
    <cellStyle name="Обычный 2 12 2 2 10" xfId="2885" xr:uid="{00000000-0005-0000-0000-0000CC060000}"/>
    <cellStyle name="Обычный 2 12 2 2 10 2" xfId="6736" xr:uid="{00000000-0005-0000-0000-0000CD060000}"/>
    <cellStyle name="Обычный 2 12 2 2 11" xfId="3181" xr:uid="{00000000-0005-0000-0000-0000CE060000}"/>
    <cellStyle name="Обычный 2 12 2 2 11 2" xfId="7032" xr:uid="{00000000-0005-0000-0000-0000CF060000}"/>
    <cellStyle name="Обычный 2 12 2 2 12" xfId="3477" xr:uid="{00000000-0005-0000-0000-0000D0060000}"/>
    <cellStyle name="Обычный 2 12 2 2 12 2" xfId="7328" xr:uid="{00000000-0005-0000-0000-0000D1060000}"/>
    <cellStyle name="Обычный 2 12 2 2 13" xfId="3773" xr:uid="{00000000-0005-0000-0000-0000D2060000}"/>
    <cellStyle name="Обычный 2 12 2 2 13 2" xfId="7624" xr:uid="{00000000-0005-0000-0000-0000D3060000}"/>
    <cellStyle name="Обычный 2 12 2 2 14" xfId="4069" xr:uid="{00000000-0005-0000-0000-0000D4060000}"/>
    <cellStyle name="Обычный 2 12 2 2 14 2" xfId="7920" xr:uid="{00000000-0005-0000-0000-0000D5060000}"/>
    <cellStyle name="Обычный 2 12 2 2 15" xfId="8218" xr:uid="{00000000-0005-0000-0000-0000D6060000}"/>
    <cellStyle name="Обычный 2 12 2 2 16" xfId="4366" xr:uid="{00000000-0005-0000-0000-0000D7060000}"/>
    <cellStyle name="Обычный 2 12 2 2 2" xfId="266" xr:uid="{00000000-0005-0000-0000-0000D8060000}"/>
    <cellStyle name="Обычный 2 12 2 2 2 10" xfId="3329" xr:uid="{00000000-0005-0000-0000-0000D9060000}"/>
    <cellStyle name="Обычный 2 12 2 2 2 10 2" xfId="7180" xr:uid="{00000000-0005-0000-0000-0000DA060000}"/>
    <cellStyle name="Обычный 2 12 2 2 2 11" xfId="3625" xr:uid="{00000000-0005-0000-0000-0000DB060000}"/>
    <cellStyle name="Обычный 2 12 2 2 2 11 2" xfId="7476" xr:uid="{00000000-0005-0000-0000-0000DC060000}"/>
    <cellStyle name="Обычный 2 12 2 2 2 12" xfId="3921" xr:uid="{00000000-0005-0000-0000-0000DD060000}"/>
    <cellStyle name="Обычный 2 12 2 2 2 12 2" xfId="7772" xr:uid="{00000000-0005-0000-0000-0000DE060000}"/>
    <cellStyle name="Обычный 2 12 2 2 2 13" xfId="4217" xr:uid="{00000000-0005-0000-0000-0000DF060000}"/>
    <cellStyle name="Обычный 2 12 2 2 2 13 2" xfId="8068" xr:uid="{00000000-0005-0000-0000-0000E0060000}"/>
    <cellStyle name="Обычный 2 12 2 2 2 14" xfId="8319" xr:uid="{00000000-0005-0000-0000-0000E1060000}"/>
    <cellStyle name="Обычный 2 12 2 2 2 15" xfId="4516" xr:uid="{00000000-0005-0000-0000-0000E2060000}"/>
    <cellStyle name="Обычный 2 12 2 2 2 2" xfId="773" xr:uid="{00000000-0005-0000-0000-0000E3060000}"/>
    <cellStyle name="Обычный 2 12 2 2 2 2 2" xfId="8536" xr:uid="{00000000-0005-0000-0000-0000E4060000}"/>
    <cellStyle name="Обычный 2 12 2 2 2 2 3" xfId="4812" xr:uid="{00000000-0005-0000-0000-0000E5060000}"/>
    <cellStyle name="Обычный 2 12 2 2 2 3" xfId="1274" xr:uid="{00000000-0005-0000-0000-0000E6060000}"/>
    <cellStyle name="Обычный 2 12 2 2 2 3 2" xfId="5108" xr:uid="{00000000-0005-0000-0000-0000E7060000}"/>
    <cellStyle name="Обычный 2 12 2 2 2 4" xfId="1560" xr:uid="{00000000-0005-0000-0000-0000E8060000}"/>
    <cellStyle name="Обычный 2 12 2 2 2 4 2" xfId="5404" xr:uid="{00000000-0005-0000-0000-0000E9060000}"/>
    <cellStyle name="Обычный 2 12 2 2 2 5" xfId="1853" xr:uid="{00000000-0005-0000-0000-0000EA060000}"/>
    <cellStyle name="Обычный 2 12 2 2 2 5 2" xfId="5700" xr:uid="{00000000-0005-0000-0000-0000EB060000}"/>
    <cellStyle name="Обычный 2 12 2 2 2 6" xfId="2146" xr:uid="{00000000-0005-0000-0000-0000EC060000}"/>
    <cellStyle name="Обычный 2 12 2 2 2 6 2" xfId="5996" xr:uid="{00000000-0005-0000-0000-0000ED060000}"/>
    <cellStyle name="Обычный 2 12 2 2 2 7" xfId="2441" xr:uid="{00000000-0005-0000-0000-0000EE060000}"/>
    <cellStyle name="Обычный 2 12 2 2 2 7 2" xfId="6292" xr:uid="{00000000-0005-0000-0000-0000EF060000}"/>
    <cellStyle name="Обычный 2 12 2 2 2 8" xfId="2737" xr:uid="{00000000-0005-0000-0000-0000F0060000}"/>
    <cellStyle name="Обычный 2 12 2 2 2 8 2" xfId="6588" xr:uid="{00000000-0005-0000-0000-0000F1060000}"/>
    <cellStyle name="Обычный 2 12 2 2 2 9" xfId="3033" xr:uid="{00000000-0005-0000-0000-0000F2060000}"/>
    <cellStyle name="Обычный 2 12 2 2 2 9 2" xfId="6884" xr:uid="{00000000-0005-0000-0000-0000F3060000}"/>
    <cellStyle name="Обычный 2 12 2 2 3" xfId="367" xr:uid="{00000000-0005-0000-0000-0000F4060000}"/>
    <cellStyle name="Обычный 2 12 2 2 3 2" xfId="774" xr:uid="{00000000-0005-0000-0000-0000F5060000}"/>
    <cellStyle name="Обычный 2 12 2 2 3 3" xfId="8419" xr:uid="{00000000-0005-0000-0000-0000F6060000}"/>
    <cellStyle name="Обычный 2 12 2 2 3 4" xfId="4664" xr:uid="{00000000-0005-0000-0000-0000F7060000}"/>
    <cellStyle name="Обычный 2 12 2 2 4" xfId="775" xr:uid="{00000000-0005-0000-0000-0000F8060000}"/>
    <cellStyle name="Обычный 2 12 2 2 4 2" xfId="8537" xr:uid="{00000000-0005-0000-0000-0000F9060000}"/>
    <cellStyle name="Обычный 2 12 2 2 4 3" xfId="4960" xr:uid="{00000000-0005-0000-0000-0000FA060000}"/>
    <cellStyle name="Обычный 2 12 2 2 5" xfId="1416" xr:uid="{00000000-0005-0000-0000-0000FB060000}"/>
    <cellStyle name="Обычный 2 12 2 2 5 2" xfId="5256" xr:uid="{00000000-0005-0000-0000-0000FC060000}"/>
    <cellStyle name="Обычный 2 12 2 2 6" xfId="1706" xr:uid="{00000000-0005-0000-0000-0000FD060000}"/>
    <cellStyle name="Обычный 2 12 2 2 6 2" xfId="5552" xr:uid="{00000000-0005-0000-0000-0000FE060000}"/>
    <cellStyle name="Обычный 2 12 2 2 7" xfId="1998" xr:uid="{00000000-0005-0000-0000-0000FF060000}"/>
    <cellStyle name="Обычный 2 12 2 2 7 2" xfId="5848" xr:uid="{00000000-0005-0000-0000-000000070000}"/>
    <cellStyle name="Обычный 2 12 2 2 8" xfId="2293" xr:uid="{00000000-0005-0000-0000-000001070000}"/>
    <cellStyle name="Обычный 2 12 2 2 8 2" xfId="6144" xr:uid="{00000000-0005-0000-0000-000002070000}"/>
    <cellStyle name="Обычный 2 12 2 2 9" xfId="2589" xr:uid="{00000000-0005-0000-0000-000003070000}"/>
    <cellStyle name="Обычный 2 12 2 2 9 2" xfId="6440" xr:uid="{00000000-0005-0000-0000-000004070000}"/>
    <cellStyle name="Обычный 2 12 2 3" xfId="216" xr:uid="{00000000-0005-0000-0000-000005070000}"/>
    <cellStyle name="Обычный 2 12 2 3 10" xfId="2935" xr:uid="{00000000-0005-0000-0000-000006070000}"/>
    <cellStyle name="Обычный 2 12 2 3 10 2" xfId="6786" xr:uid="{00000000-0005-0000-0000-000007070000}"/>
    <cellStyle name="Обычный 2 12 2 3 11" xfId="3231" xr:uid="{00000000-0005-0000-0000-000008070000}"/>
    <cellStyle name="Обычный 2 12 2 3 11 2" xfId="7082" xr:uid="{00000000-0005-0000-0000-000009070000}"/>
    <cellStyle name="Обычный 2 12 2 3 12" xfId="3527" xr:uid="{00000000-0005-0000-0000-00000A070000}"/>
    <cellStyle name="Обычный 2 12 2 3 12 2" xfId="7378" xr:uid="{00000000-0005-0000-0000-00000B070000}"/>
    <cellStyle name="Обычный 2 12 2 3 13" xfId="3823" xr:uid="{00000000-0005-0000-0000-00000C070000}"/>
    <cellStyle name="Обычный 2 12 2 3 13 2" xfId="7674" xr:uid="{00000000-0005-0000-0000-00000D070000}"/>
    <cellStyle name="Обычный 2 12 2 3 14" xfId="4119" xr:uid="{00000000-0005-0000-0000-00000E070000}"/>
    <cellStyle name="Обычный 2 12 2 3 14 2" xfId="7970" xr:uid="{00000000-0005-0000-0000-00000F070000}"/>
    <cellStyle name="Обычный 2 12 2 3 15" xfId="8269" xr:uid="{00000000-0005-0000-0000-000010070000}"/>
    <cellStyle name="Обычный 2 12 2 3 16" xfId="4417" xr:uid="{00000000-0005-0000-0000-000011070000}"/>
    <cellStyle name="Обычный 2 12 2 3 2" xfId="776" xr:uid="{00000000-0005-0000-0000-000012070000}"/>
    <cellStyle name="Обычный 2 12 2 3 2 10" xfId="3379" xr:uid="{00000000-0005-0000-0000-000013070000}"/>
    <cellStyle name="Обычный 2 12 2 3 2 10 2" xfId="7230" xr:uid="{00000000-0005-0000-0000-000014070000}"/>
    <cellStyle name="Обычный 2 12 2 3 2 11" xfId="3675" xr:uid="{00000000-0005-0000-0000-000015070000}"/>
    <cellStyle name="Обычный 2 12 2 3 2 11 2" xfId="7526" xr:uid="{00000000-0005-0000-0000-000016070000}"/>
    <cellStyle name="Обычный 2 12 2 3 2 12" xfId="3971" xr:uid="{00000000-0005-0000-0000-000017070000}"/>
    <cellStyle name="Обычный 2 12 2 3 2 12 2" xfId="7822" xr:uid="{00000000-0005-0000-0000-000018070000}"/>
    <cellStyle name="Обычный 2 12 2 3 2 13" xfId="4267" xr:uid="{00000000-0005-0000-0000-000019070000}"/>
    <cellStyle name="Обычный 2 12 2 3 2 13 2" xfId="8118" xr:uid="{00000000-0005-0000-0000-00001A070000}"/>
    <cellStyle name="Обычный 2 12 2 3 2 14" xfId="8538" xr:uid="{00000000-0005-0000-0000-00001B070000}"/>
    <cellStyle name="Обычный 2 12 2 3 2 15" xfId="4566" xr:uid="{00000000-0005-0000-0000-00001C070000}"/>
    <cellStyle name="Обычный 2 12 2 3 2 2" xfId="1133" xr:uid="{00000000-0005-0000-0000-00001D070000}"/>
    <cellStyle name="Обычный 2 12 2 3 2 2 2" xfId="4862" xr:uid="{00000000-0005-0000-0000-00001E070000}"/>
    <cellStyle name="Обычный 2 12 2 3 2 3" xfId="1322" xr:uid="{00000000-0005-0000-0000-00001F070000}"/>
    <cellStyle name="Обычный 2 12 2 3 2 3 2" xfId="5158" xr:uid="{00000000-0005-0000-0000-000020070000}"/>
    <cellStyle name="Обычный 2 12 2 3 2 4" xfId="1609" xr:uid="{00000000-0005-0000-0000-000021070000}"/>
    <cellStyle name="Обычный 2 12 2 3 2 4 2" xfId="5454" xr:uid="{00000000-0005-0000-0000-000022070000}"/>
    <cellStyle name="Обычный 2 12 2 3 2 5" xfId="1902" xr:uid="{00000000-0005-0000-0000-000023070000}"/>
    <cellStyle name="Обычный 2 12 2 3 2 5 2" xfId="5750" xr:uid="{00000000-0005-0000-0000-000024070000}"/>
    <cellStyle name="Обычный 2 12 2 3 2 6" xfId="2196" xr:uid="{00000000-0005-0000-0000-000025070000}"/>
    <cellStyle name="Обычный 2 12 2 3 2 6 2" xfId="6046" xr:uid="{00000000-0005-0000-0000-000026070000}"/>
    <cellStyle name="Обычный 2 12 2 3 2 7" xfId="2491" xr:uid="{00000000-0005-0000-0000-000027070000}"/>
    <cellStyle name="Обычный 2 12 2 3 2 7 2" xfId="6342" xr:uid="{00000000-0005-0000-0000-000028070000}"/>
    <cellStyle name="Обычный 2 12 2 3 2 8" xfId="2787" xr:uid="{00000000-0005-0000-0000-000029070000}"/>
    <cellStyle name="Обычный 2 12 2 3 2 8 2" xfId="6638" xr:uid="{00000000-0005-0000-0000-00002A070000}"/>
    <cellStyle name="Обычный 2 12 2 3 2 9" xfId="3083" xr:uid="{00000000-0005-0000-0000-00002B070000}"/>
    <cellStyle name="Обычный 2 12 2 3 2 9 2" xfId="6934" xr:uid="{00000000-0005-0000-0000-00002C070000}"/>
    <cellStyle name="Обычный 2 12 2 3 3" xfId="1086" xr:uid="{00000000-0005-0000-0000-00002D070000}"/>
    <cellStyle name="Обычный 2 12 2 3 3 2" xfId="4714" xr:uid="{00000000-0005-0000-0000-00002E070000}"/>
    <cellStyle name="Обычный 2 12 2 3 4" xfId="1180" xr:uid="{00000000-0005-0000-0000-00002F070000}"/>
    <cellStyle name="Обычный 2 12 2 3 4 2" xfId="5010" xr:uid="{00000000-0005-0000-0000-000030070000}"/>
    <cellStyle name="Обычный 2 12 2 3 5" xfId="1464" xr:uid="{00000000-0005-0000-0000-000031070000}"/>
    <cellStyle name="Обычный 2 12 2 3 5 2" xfId="5306" xr:uid="{00000000-0005-0000-0000-000032070000}"/>
    <cellStyle name="Обычный 2 12 2 3 6" xfId="1755" xr:uid="{00000000-0005-0000-0000-000033070000}"/>
    <cellStyle name="Обычный 2 12 2 3 6 2" xfId="5602" xr:uid="{00000000-0005-0000-0000-000034070000}"/>
    <cellStyle name="Обычный 2 12 2 3 7" xfId="2048" xr:uid="{00000000-0005-0000-0000-000035070000}"/>
    <cellStyle name="Обычный 2 12 2 3 7 2" xfId="5898" xr:uid="{00000000-0005-0000-0000-000036070000}"/>
    <cellStyle name="Обычный 2 12 2 3 8" xfId="2343" xr:uid="{00000000-0005-0000-0000-000037070000}"/>
    <cellStyle name="Обычный 2 12 2 3 8 2" xfId="6194" xr:uid="{00000000-0005-0000-0000-000038070000}"/>
    <cellStyle name="Обычный 2 12 2 3 9" xfId="2639" xr:uid="{00000000-0005-0000-0000-000039070000}"/>
    <cellStyle name="Обычный 2 12 2 3 9 2" xfId="6490" xr:uid="{00000000-0005-0000-0000-00003A070000}"/>
    <cellStyle name="Обычный 2 12 2 4" xfId="317" xr:uid="{00000000-0005-0000-0000-00003B070000}"/>
    <cellStyle name="Обычный 2 12 2 4 10" xfId="3281" xr:uid="{00000000-0005-0000-0000-00003C070000}"/>
    <cellStyle name="Обычный 2 12 2 4 10 2" xfId="7132" xr:uid="{00000000-0005-0000-0000-00003D070000}"/>
    <cellStyle name="Обычный 2 12 2 4 11" xfId="3577" xr:uid="{00000000-0005-0000-0000-00003E070000}"/>
    <cellStyle name="Обычный 2 12 2 4 11 2" xfId="7428" xr:uid="{00000000-0005-0000-0000-00003F070000}"/>
    <cellStyle name="Обычный 2 12 2 4 12" xfId="3873" xr:uid="{00000000-0005-0000-0000-000040070000}"/>
    <cellStyle name="Обычный 2 12 2 4 12 2" xfId="7724" xr:uid="{00000000-0005-0000-0000-000041070000}"/>
    <cellStyle name="Обычный 2 12 2 4 13" xfId="4169" xr:uid="{00000000-0005-0000-0000-000042070000}"/>
    <cellStyle name="Обычный 2 12 2 4 13 2" xfId="8020" xr:uid="{00000000-0005-0000-0000-000043070000}"/>
    <cellStyle name="Обычный 2 12 2 4 14" xfId="8369" xr:uid="{00000000-0005-0000-0000-000044070000}"/>
    <cellStyle name="Обычный 2 12 2 4 15" xfId="4468" xr:uid="{00000000-0005-0000-0000-000045070000}"/>
    <cellStyle name="Обычный 2 12 2 4 2" xfId="777" xr:uid="{00000000-0005-0000-0000-000046070000}"/>
    <cellStyle name="Обычный 2 12 2 4 2 2" xfId="8539" xr:uid="{00000000-0005-0000-0000-000047070000}"/>
    <cellStyle name="Обычный 2 12 2 4 2 3" xfId="4764" xr:uid="{00000000-0005-0000-0000-000048070000}"/>
    <cellStyle name="Обычный 2 12 2 4 3" xfId="1228" xr:uid="{00000000-0005-0000-0000-000049070000}"/>
    <cellStyle name="Обычный 2 12 2 4 3 2" xfId="5060" xr:uid="{00000000-0005-0000-0000-00004A070000}"/>
    <cellStyle name="Обычный 2 12 2 4 4" xfId="1513" xr:uid="{00000000-0005-0000-0000-00004B070000}"/>
    <cellStyle name="Обычный 2 12 2 4 4 2" xfId="5356" xr:uid="{00000000-0005-0000-0000-00004C070000}"/>
    <cellStyle name="Обычный 2 12 2 4 5" xfId="1805" xr:uid="{00000000-0005-0000-0000-00004D070000}"/>
    <cellStyle name="Обычный 2 12 2 4 5 2" xfId="5652" xr:uid="{00000000-0005-0000-0000-00004E070000}"/>
    <cellStyle name="Обычный 2 12 2 4 6" xfId="2098" xr:uid="{00000000-0005-0000-0000-00004F070000}"/>
    <cellStyle name="Обычный 2 12 2 4 6 2" xfId="5948" xr:uid="{00000000-0005-0000-0000-000050070000}"/>
    <cellStyle name="Обычный 2 12 2 4 7" xfId="2393" xr:uid="{00000000-0005-0000-0000-000051070000}"/>
    <cellStyle name="Обычный 2 12 2 4 7 2" xfId="6244" xr:uid="{00000000-0005-0000-0000-000052070000}"/>
    <cellStyle name="Обычный 2 12 2 4 8" xfId="2689" xr:uid="{00000000-0005-0000-0000-000053070000}"/>
    <cellStyle name="Обычный 2 12 2 4 8 2" xfId="6540" xr:uid="{00000000-0005-0000-0000-000054070000}"/>
    <cellStyle name="Обычный 2 12 2 4 9" xfId="2985" xr:uid="{00000000-0005-0000-0000-000055070000}"/>
    <cellStyle name="Обычный 2 12 2 4 9 2" xfId="6836" xr:uid="{00000000-0005-0000-0000-000056070000}"/>
    <cellStyle name="Обычный 2 12 2 5" xfId="778" xr:uid="{00000000-0005-0000-0000-000057070000}"/>
    <cellStyle name="Обычный 2 12 2 5 2" xfId="8540" xr:uid="{00000000-0005-0000-0000-000058070000}"/>
    <cellStyle name="Обычный 2 12 2 5 3" xfId="4616" xr:uid="{00000000-0005-0000-0000-000059070000}"/>
    <cellStyle name="Обычный 2 12 2 6" xfId="779" xr:uid="{00000000-0005-0000-0000-00005A070000}"/>
    <cellStyle name="Обычный 2 12 2 6 2" xfId="8541" xr:uid="{00000000-0005-0000-0000-00005B070000}"/>
    <cellStyle name="Обычный 2 12 2 6 3" xfId="4912" xr:uid="{00000000-0005-0000-0000-00005C070000}"/>
    <cellStyle name="Обычный 2 12 2 7" xfId="1369" xr:uid="{00000000-0005-0000-0000-00005D070000}"/>
    <cellStyle name="Обычный 2 12 2 7 2" xfId="5208" xr:uid="{00000000-0005-0000-0000-00005E070000}"/>
    <cellStyle name="Обычный 2 12 2 8" xfId="1658" xr:uid="{00000000-0005-0000-0000-00005F070000}"/>
    <cellStyle name="Обычный 2 12 2 8 2" xfId="5504" xr:uid="{00000000-0005-0000-0000-000060070000}"/>
    <cellStyle name="Обычный 2 12 2 9" xfId="1951" xr:uid="{00000000-0005-0000-0000-000061070000}"/>
    <cellStyle name="Обычный 2 12 2 9 2" xfId="5800" xr:uid="{00000000-0005-0000-0000-000062070000}"/>
    <cellStyle name="Обычный 2 12 3" xfId="141" xr:uid="{00000000-0005-0000-0000-000063070000}"/>
    <cellStyle name="Обычный 2 12 3 10" xfId="2863" xr:uid="{00000000-0005-0000-0000-000064070000}"/>
    <cellStyle name="Обычный 2 12 3 10 2" xfId="6714" xr:uid="{00000000-0005-0000-0000-000065070000}"/>
    <cellStyle name="Обычный 2 12 3 11" xfId="3159" xr:uid="{00000000-0005-0000-0000-000066070000}"/>
    <cellStyle name="Обычный 2 12 3 11 2" xfId="7010" xr:uid="{00000000-0005-0000-0000-000067070000}"/>
    <cellStyle name="Обычный 2 12 3 12" xfId="3455" xr:uid="{00000000-0005-0000-0000-000068070000}"/>
    <cellStyle name="Обычный 2 12 3 12 2" xfId="7306" xr:uid="{00000000-0005-0000-0000-000069070000}"/>
    <cellStyle name="Обычный 2 12 3 13" xfId="3751" xr:uid="{00000000-0005-0000-0000-00006A070000}"/>
    <cellStyle name="Обычный 2 12 3 13 2" xfId="7602" xr:uid="{00000000-0005-0000-0000-00006B070000}"/>
    <cellStyle name="Обычный 2 12 3 14" xfId="4047" xr:uid="{00000000-0005-0000-0000-00006C070000}"/>
    <cellStyle name="Обычный 2 12 3 14 2" xfId="7898" xr:uid="{00000000-0005-0000-0000-00006D070000}"/>
    <cellStyle name="Обычный 2 12 3 15" xfId="8196" xr:uid="{00000000-0005-0000-0000-00006E070000}"/>
    <cellStyle name="Обычный 2 12 3 16" xfId="4344" xr:uid="{00000000-0005-0000-0000-00006F070000}"/>
    <cellStyle name="Обычный 2 12 3 2" xfId="244" xr:uid="{00000000-0005-0000-0000-000070070000}"/>
    <cellStyle name="Обычный 2 12 3 2 10" xfId="3307" xr:uid="{00000000-0005-0000-0000-000071070000}"/>
    <cellStyle name="Обычный 2 12 3 2 10 2" xfId="7158" xr:uid="{00000000-0005-0000-0000-000072070000}"/>
    <cellStyle name="Обычный 2 12 3 2 11" xfId="3603" xr:uid="{00000000-0005-0000-0000-000073070000}"/>
    <cellStyle name="Обычный 2 12 3 2 11 2" xfId="7454" xr:uid="{00000000-0005-0000-0000-000074070000}"/>
    <cellStyle name="Обычный 2 12 3 2 12" xfId="3899" xr:uid="{00000000-0005-0000-0000-000075070000}"/>
    <cellStyle name="Обычный 2 12 3 2 12 2" xfId="7750" xr:uid="{00000000-0005-0000-0000-000076070000}"/>
    <cellStyle name="Обычный 2 12 3 2 13" xfId="4195" xr:uid="{00000000-0005-0000-0000-000077070000}"/>
    <cellStyle name="Обычный 2 12 3 2 13 2" xfId="8046" xr:uid="{00000000-0005-0000-0000-000078070000}"/>
    <cellStyle name="Обычный 2 12 3 2 14" xfId="8297" xr:uid="{00000000-0005-0000-0000-000079070000}"/>
    <cellStyle name="Обычный 2 12 3 2 15" xfId="4494" xr:uid="{00000000-0005-0000-0000-00007A070000}"/>
    <cellStyle name="Обычный 2 12 3 2 2" xfId="780" xr:uid="{00000000-0005-0000-0000-00007B070000}"/>
    <cellStyle name="Обычный 2 12 3 2 2 2" xfId="8542" xr:uid="{00000000-0005-0000-0000-00007C070000}"/>
    <cellStyle name="Обычный 2 12 3 2 2 3" xfId="4790" xr:uid="{00000000-0005-0000-0000-00007D070000}"/>
    <cellStyle name="Обычный 2 12 3 2 3" xfId="1253" xr:uid="{00000000-0005-0000-0000-00007E070000}"/>
    <cellStyle name="Обычный 2 12 3 2 3 2" xfId="5086" xr:uid="{00000000-0005-0000-0000-00007F070000}"/>
    <cellStyle name="Обычный 2 12 3 2 4" xfId="1539" xr:uid="{00000000-0005-0000-0000-000080070000}"/>
    <cellStyle name="Обычный 2 12 3 2 4 2" xfId="5382" xr:uid="{00000000-0005-0000-0000-000081070000}"/>
    <cellStyle name="Обычный 2 12 3 2 5" xfId="1831" xr:uid="{00000000-0005-0000-0000-000082070000}"/>
    <cellStyle name="Обычный 2 12 3 2 5 2" xfId="5678" xr:uid="{00000000-0005-0000-0000-000083070000}"/>
    <cellStyle name="Обычный 2 12 3 2 6" xfId="2124" xr:uid="{00000000-0005-0000-0000-000084070000}"/>
    <cellStyle name="Обычный 2 12 3 2 6 2" xfId="5974" xr:uid="{00000000-0005-0000-0000-000085070000}"/>
    <cellStyle name="Обычный 2 12 3 2 7" xfId="2419" xr:uid="{00000000-0005-0000-0000-000086070000}"/>
    <cellStyle name="Обычный 2 12 3 2 7 2" xfId="6270" xr:uid="{00000000-0005-0000-0000-000087070000}"/>
    <cellStyle name="Обычный 2 12 3 2 8" xfId="2715" xr:uid="{00000000-0005-0000-0000-000088070000}"/>
    <cellStyle name="Обычный 2 12 3 2 8 2" xfId="6566" xr:uid="{00000000-0005-0000-0000-000089070000}"/>
    <cellStyle name="Обычный 2 12 3 2 9" xfId="3011" xr:uid="{00000000-0005-0000-0000-00008A070000}"/>
    <cellStyle name="Обычный 2 12 3 2 9 2" xfId="6862" xr:uid="{00000000-0005-0000-0000-00008B070000}"/>
    <cellStyle name="Обычный 2 12 3 3" xfId="345" xr:uid="{00000000-0005-0000-0000-00008C070000}"/>
    <cellStyle name="Обычный 2 12 3 3 2" xfId="781" xr:uid="{00000000-0005-0000-0000-00008D070000}"/>
    <cellStyle name="Обычный 2 12 3 3 3" xfId="8397" xr:uid="{00000000-0005-0000-0000-00008E070000}"/>
    <cellStyle name="Обычный 2 12 3 3 4" xfId="4642" xr:uid="{00000000-0005-0000-0000-00008F070000}"/>
    <cellStyle name="Обычный 2 12 3 4" xfId="782" xr:uid="{00000000-0005-0000-0000-000090070000}"/>
    <cellStyle name="Обычный 2 12 3 4 2" xfId="8543" xr:uid="{00000000-0005-0000-0000-000091070000}"/>
    <cellStyle name="Обычный 2 12 3 4 3" xfId="4938" xr:uid="{00000000-0005-0000-0000-000092070000}"/>
    <cellStyle name="Обычный 2 12 3 5" xfId="1395" xr:uid="{00000000-0005-0000-0000-000093070000}"/>
    <cellStyle name="Обычный 2 12 3 5 2" xfId="5234" xr:uid="{00000000-0005-0000-0000-000094070000}"/>
    <cellStyle name="Обычный 2 12 3 6" xfId="1684" xr:uid="{00000000-0005-0000-0000-000095070000}"/>
    <cellStyle name="Обычный 2 12 3 6 2" xfId="5530" xr:uid="{00000000-0005-0000-0000-000096070000}"/>
    <cellStyle name="Обычный 2 12 3 7" xfId="1977" xr:uid="{00000000-0005-0000-0000-000097070000}"/>
    <cellStyle name="Обычный 2 12 3 7 2" xfId="5826" xr:uid="{00000000-0005-0000-0000-000098070000}"/>
    <cellStyle name="Обычный 2 12 3 8" xfId="2271" xr:uid="{00000000-0005-0000-0000-000099070000}"/>
    <cellStyle name="Обычный 2 12 3 8 2" xfId="6122" xr:uid="{00000000-0005-0000-0000-00009A070000}"/>
    <cellStyle name="Обычный 2 12 3 9" xfId="2567" xr:uid="{00000000-0005-0000-0000-00009B070000}"/>
    <cellStyle name="Обычный 2 12 3 9 2" xfId="6418" xr:uid="{00000000-0005-0000-0000-00009C070000}"/>
    <cellStyle name="Обычный 2 12 4" xfId="194" xr:uid="{00000000-0005-0000-0000-00009D070000}"/>
    <cellStyle name="Обычный 2 12 4 10" xfId="2913" xr:uid="{00000000-0005-0000-0000-00009E070000}"/>
    <cellStyle name="Обычный 2 12 4 10 2" xfId="6764" xr:uid="{00000000-0005-0000-0000-00009F070000}"/>
    <cellStyle name="Обычный 2 12 4 11" xfId="3209" xr:uid="{00000000-0005-0000-0000-0000A0070000}"/>
    <cellStyle name="Обычный 2 12 4 11 2" xfId="7060" xr:uid="{00000000-0005-0000-0000-0000A1070000}"/>
    <cellStyle name="Обычный 2 12 4 12" xfId="3505" xr:uid="{00000000-0005-0000-0000-0000A2070000}"/>
    <cellStyle name="Обычный 2 12 4 12 2" xfId="7356" xr:uid="{00000000-0005-0000-0000-0000A3070000}"/>
    <cellStyle name="Обычный 2 12 4 13" xfId="3801" xr:uid="{00000000-0005-0000-0000-0000A4070000}"/>
    <cellStyle name="Обычный 2 12 4 13 2" xfId="7652" xr:uid="{00000000-0005-0000-0000-0000A5070000}"/>
    <cellStyle name="Обычный 2 12 4 14" xfId="4097" xr:uid="{00000000-0005-0000-0000-0000A6070000}"/>
    <cellStyle name="Обычный 2 12 4 14 2" xfId="7948" xr:uid="{00000000-0005-0000-0000-0000A7070000}"/>
    <cellStyle name="Обычный 2 12 4 15" xfId="8247" xr:uid="{00000000-0005-0000-0000-0000A8070000}"/>
    <cellStyle name="Обычный 2 12 4 16" xfId="4395" xr:uid="{00000000-0005-0000-0000-0000A9070000}"/>
    <cellStyle name="Обычный 2 12 4 2" xfId="783" xr:uid="{00000000-0005-0000-0000-0000AA070000}"/>
    <cellStyle name="Обычный 2 12 4 2 10" xfId="3357" xr:uid="{00000000-0005-0000-0000-0000AB070000}"/>
    <cellStyle name="Обычный 2 12 4 2 10 2" xfId="7208" xr:uid="{00000000-0005-0000-0000-0000AC070000}"/>
    <cellStyle name="Обычный 2 12 4 2 11" xfId="3653" xr:uid="{00000000-0005-0000-0000-0000AD070000}"/>
    <cellStyle name="Обычный 2 12 4 2 11 2" xfId="7504" xr:uid="{00000000-0005-0000-0000-0000AE070000}"/>
    <cellStyle name="Обычный 2 12 4 2 12" xfId="3949" xr:uid="{00000000-0005-0000-0000-0000AF070000}"/>
    <cellStyle name="Обычный 2 12 4 2 12 2" xfId="7800" xr:uid="{00000000-0005-0000-0000-0000B0070000}"/>
    <cellStyle name="Обычный 2 12 4 2 13" xfId="4245" xr:uid="{00000000-0005-0000-0000-0000B1070000}"/>
    <cellStyle name="Обычный 2 12 4 2 13 2" xfId="8096" xr:uid="{00000000-0005-0000-0000-0000B2070000}"/>
    <cellStyle name="Обычный 2 12 4 2 14" xfId="8544" xr:uid="{00000000-0005-0000-0000-0000B3070000}"/>
    <cellStyle name="Обычный 2 12 4 2 15" xfId="4544" xr:uid="{00000000-0005-0000-0000-0000B4070000}"/>
    <cellStyle name="Обычный 2 12 4 2 2" xfId="1112" xr:uid="{00000000-0005-0000-0000-0000B5070000}"/>
    <cellStyle name="Обычный 2 12 4 2 2 2" xfId="4840" xr:uid="{00000000-0005-0000-0000-0000B6070000}"/>
    <cellStyle name="Обычный 2 12 4 2 3" xfId="1301" xr:uid="{00000000-0005-0000-0000-0000B7070000}"/>
    <cellStyle name="Обычный 2 12 4 2 3 2" xfId="5136" xr:uid="{00000000-0005-0000-0000-0000B8070000}"/>
    <cellStyle name="Обычный 2 12 4 2 4" xfId="1588" xr:uid="{00000000-0005-0000-0000-0000B9070000}"/>
    <cellStyle name="Обычный 2 12 4 2 4 2" xfId="5432" xr:uid="{00000000-0005-0000-0000-0000BA070000}"/>
    <cellStyle name="Обычный 2 12 4 2 5" xfId="1881" xr:uid="{00000000-0005-0000-0000-0000BB070000}"/>
    <cellStyle name="Обычный 2 12 4 2 5 2" xfId="5728" xr:uid="{00000000-0005-0000-0000-0000BC070000}"/>
    <cellStyle name="Обычный 2 12 4 2 6" xfId="2174" xr:uid="{00000000-0005-0000-0000-0000BD070000}"/>
    <cellStyle name="Обычный 2 12 4 2 6 2" xfId="6024" xr:uid="{00000000-0005-0000-0000-0000BE070000}"/>
    <cellStyle name="Обычный 2 12 4 2 7" xfId="2469" xr:uid="{00000000-0005-0000-0000-0000BF070000}"/>
    <cellStyle name="Обычный 2 12 4 2 7 2" xfId="6320" xr:uid="{00000000-0005-0000-0000-0000C0070000}"/>
    <cellStyle name="Обычный 2 12 4 2 8" xfId="2765" xr:uid="{00000000-0005-0000-0000-0000C1070000}"/>
    <cellStyle name="Обычный 2 12 4 2 8 2" xfId="6616" xr:uid="{00000000-0005-0000-0000-0000C2070000}"/>
    <cellStyle name="Обычный 2 12 4 2 9" xfId="3061" xr:uid="{00000000-0005-0000-0000-0000C3070000}"/>
    <cellStyle name="Обычный 2 12 4 2 9 2" xfId="6912" xr:uid="{00000000-0005-0000-0000-0000C4070000}"/>
    <cellStyle name="Обычный 2 12 4 3" xfId="1065" xr:uid="{00000000-0005-0000-0000-0000C5070000}"/>
    <cellStyle name="Обычный 2 12 4 3 2" xfId="4692" xr:uid="{00000000-0005-0000-0000-0000C6070000}"/>
    <cellStyle name="Обычный 2 12 4 4" xfId="1159" xr:uid="{00000000-0005-0000-0000-0000C7070000}"/>
    <cellStyle name="Обычный 2 12 4 4 2" xfId="4988" xr:uid="{00000000-0005-0000-0000-0000C8070000}"/>
    <cellStyle name="Обычный 2 12 4 5" xfId="1442" xr:uid="{00000000-0005-0000-0000-0000C9070000}"/>
    <cellStyle name="Обычный 2 12 4 5 2" xfId="5284" xr:uid="{00000000-0005-0000-0000-0000CA070000}"/>
    <cellStyle name="Обычный 2 12 4 6" xfId="1733" xr:uid="{00000000-0005-0000-0000-0000CB070000}"/>
    <cellStyle name="Обычный 2 12 4 6 2" xfId="5580" xr:uid="{00000000-0005-0000-0000-0000CC070000}"/>
    <cellStyle name="Обычный 2 12 4 7" xfId="2026" xr:uid="{00000000-0005-0000-0000-0000CD070000}"/>
    <cellStyle name="Обычный 2 12 4 7 2" xfId="5876" xr:uid="{00000000-0005-0000-0000-0000CE070000}"/>
    <cellStyle name="Обычный 2 12 4 8" xfId="2321" xr:uid="{00000000-0005-0000-0000-0000CF070000}"/>
    <cellStyle name="Обычный 2 12 4 8 2" xfId="6172" xr:uid="{00000000-0005-0000-0000-0000D0070000}"/>
    <cellStyle name="Обычный 2 12 4 9" xfId="2617" xr:uid="{00000000-0005-0000-0000-0000D1070000}"/>
    <cellStyle name="Обычный 2 12 4 9 2" xfId="6468" xr:uid="{00000000-0005-0000-0000-0000D2070000}"/>
    <cellStyle name="Обычный 2 12 5" xfId="295" xr:uid="{00000000-0005-0000-0000-0000D3070000}"/>
    <cellStyle name="Обычный 2 12 5 10" xfId="3259" xr:uid="{00000000-0005-0000-0000-0000D4070000}"/>
    <cellStyle name="Обычный 2 12 5 10 2" xfId="7110" xr:uid="{00000000-0005-0000-0000-0000D5070000}"/>
    <cellStyle name="Обычный 2 12 5 11" xfId="3555" xr:uid="{00000000-0005-0000-0000-0000D6070000}"/>
    <cellStyle name="Обычный 2 12 5 11 2" xfId="7406" xr:uid="{00000000-0005-0000-0000-0000D7070000}"/>
    <cellStyle name="Обычный 2 12 5 12" xfId="3851" xr:uid="{00000000-0005-0000-0000-0000D8070000}"/>
    <cellStyle name="Обычный 2 12 5 12 2" xfId="7702" xr:uid="{00000000-0005-0000-0000-0000D9070000}"/>
    <cellStyle name="Обычный 2 12 5 13" xfId="4147" xr:uid="{00000000-0005-0000-0000-0000DA070000}"/>
    <cellStyle name="Обычный 2 12 5 13 2" xfId="7998" xr:uid="{00000000-0005-0000-0000-0000DB070000}"/>
    <cellStyle name="Обычный 2 12 5 14" xfId="8347" xr:uid="{00000000-0005-0000-0000-0000DC070000}"/>
    <cellStyle name="Обычный 2 12 5 15" xfId="4446" xr:uid="{00000000-0005-0000-0000-0000DD070000}"/>
    <cellStyle name="Обычный 2 12 5 2" xfId="784" xr:uid="{00000000-0005-0000-0000-0000DE070000}"/>
    <cellStyle name="Обычный 2 12 5 2 2" xfId="8545" xr:uid="{00000000-0005-0000-0000-0000DF070000}"/>
    <cellStyle name="Обычный 2 12 5 2 3" xfId="4742" xr:uid="{00000000-0005-0000-0000-0000E0070000}"/>
    <cellStyle name="Обычный 2 12 5 3" xfId="1206" xr:uid="{00000000-0005-0000-0000-0000E1070000}"/>
    <cellStyle name="Обычный 2 12 5 3 2" xfId="5038" xr:uid="{00000000-0005-0000-0000-0000E2070000}"/>
    <cellStyle name="Обычный 2 12 5 4" xfId="1491" xr:uid="{00000000-0005-0000-0000-0000E3070000}"/>
    <cellStyle name="Обычный 2 12 5 4 2" xfId="5334" xr:uid="{00000000-0005-0000-0000-0000E4070000}"/>
    <cellStyle name="Обычный 2 12 5 5" xfId="1783" xr:uid="{00000000-0005-0000-0000-0000E5070000}"/>
    <cellStyle name="Обычный 2 12 5 5 2" xfId="5630" xr:uid="{00000000-0005-0000-0000-0000E6070000}"/>
    <cellStyle name="Обычный 2 12 5 6" xfId="2076" xr:uid="{00000000-0005-0000-0000-0000E7070000}"/>
    <cellStyle name="Обычный 2 12 5 6 2" xfId="5926" xr:uid="{00000000-0005-0000-0000-0000E8070000}"/>
    <cellStyle name="Обычный 2 12 5 7" xfId="2371" xr:uid="{00000000-0005-0000-0000-0000E9070000}"/>
    <cellStyle name="Обычный 2 12 5 7 2" xfId="6222" xr:uid="{00000000-0005-0000-0000-0000EA070000}"/>
    <cellStyle name="Обычный 2 12 5 8" xfId="2667" xr:uid="{00000000-0005-0000-0000-0000EB070000}"/>
    <cellStyle name="Обычный 2 12 5 8 2" xfId="6518" xr:uid="{00000000-0005-0000-0000-0000EC070000}"/>
    <cellStyle name="Обычный 2 12 5 9" xfId="2963" xr:uid="{00000000-0005-0000-0000-0000ED070000}"/>
    <cellStyle name="Обычный 2 12 5 9 2" xfId="6814" xr:uid="{00000000-0005-0000-0000-0000EE070000}"/>
    <cellStyle name="Обычный 2 12 6" xfId="785" xr:uid="{00000000-0005-0000-0000-0000EF070000}"/>
    <cellStyle name="Обычный 2 12 6 2" xfId="8546" xr:uid="{00000000-0005-0000-0000-0000F0070000}"/>
    <cellStyle name="Обычный 2 12 6 3" xfId="4594" xr:uid="{00000000-0005-0000-0000-0000F1070000}"/>
    <cellStyle name="Обычный 2 12 7" xfId="786" xr:uid="{00000000-0005-0000-0000-0000F2070000}"/>
    <cellStyle name="Обычный 2 12 7 2" xfId="8547" xr:uid="{00000000-0005-0000-0000-0000F3070000}"/>
    <cellStyle name="Обычный 2 12 7 3" xfId="4890" xr:uid="{00000000-0005-0000-0000-0000F4070000}"/>
    <cellStyle name="Обычный 2 12 8" xfId="1348" xr:uid="{00000000-0005-0000-0000-0000F5070000}"/>
    <cellStyle name="Обычный 2 12 8 2" xfId="5186" xr:uid="{00000000-0005-0000-0000-0000F6070000}"/>
    <cellStyle name="Обычный 2 12 9" xfId="1637" xr:uid="{00000000-0005-0000-0000-0000F7070000}"/>
    <cellStyle name="Обычный 2 12 9 2" xfId="5482" xr:uid="{00000000-0005-0000-0000-0000F8070000}"/>
    <cellStyle name="Обычный 2 13" xfId="57" xr:uid="{00000000-0005-0000-0000-0000F9070000}"/>
    <cellStyle name="Обычный 2 14" xfId="52" xr:uid="{00000000-0005-0000-0000-0000FA070000}"/>
    <cellStyle name="Обычный 2 14 10" xfId="2218" xr:uid="{00000000-0005-0000-0000-0000FB070000}"/>
    <cellStyle name="Обычный 2 14 10 2" xfId="6068" xr:uid="{00000000-0005-0000-0000-0000FC070000}"/>
    <cellStyle name="Обычный 2 14 11" xfId="2513" xr:uid="{00000000-0005-0000-0000-0000FD070000}"/>
    <cellStyle name="Обычный 2 14 11 2" xfId="6364" xr:uid="{00000000-0005-0000-0000-0000FE070000}"/>
    <cellStyle name="Обычный 2 14 12" xfId="2809" xr:uid="{00000000-0005-0000-0000-0000FF070000}"/>
    <cellStyle name="Обычный 2 14 12 2" xfId="6660" xr:uid="{00000000-0005-0000-0000-000000080000}"/>
    <cellStyle name="Обычный 2 14 13" xfId="3105" xr:uid="{00000000-0005-0000-0000-000001080000}"/>
    <cellStyle name="Обычный 2 14 13 2" xfId="6956" xr:uid="{00000000-0005-0000-0000-000002080000}"/>
    <cellStyle name="Обычный 2 14 14" xfId="3401" xr:uid="{00000000-0005-0000-0000-000003080000}"/>
    <cellStyle name="Обычный 2 14 14 2" xfId="7252" xr:uid="{00000000-0005-0000-0000-000004080000}"/>
    <cellStyle name="Обычный 2 14 15" xfId="3697" xr:uid="{00000000-0005-0000-0000-000005080000}"/>
    <cellStyle name="Обычный 2 14 15 2" xfId="7548" xr:uid="{00000000-0005-0000-0000-000006080000}"/>
    <cellStyle name="Обычный 2 14 16" xfId="3993" xr:uid="{00000000-0005-0000-0000-000007080000}"/>
    <cellStyle name="Обычный 2 14 16 2" xfId="7844" xr:uid="{00000000-0005-0000-0000-000008080000}"/>
    <cellStyle name="Обычный 2 14 17" xfId="8140" xr:uid="{00000000-0005-0000-0000-000009080000}"/>
    <cellStyle name="Обычный 2 14 18" xfId="4289" xr:uid="{00000000-0005-0000-0000-00000A080000}"/>
    <cellStyle name="Обычный 2 14 2" xfId="135" xr:uid="{00000000-0005-0000-0000-00000B080000}"/>
    <cellStyle name="Обычный 2 14 2 10" xfId="2857" xr:uid="{00000000-0005-0000-0000-00000C080000}"/>
    <cellStyle name="Обычный 2 14 2 10 2" xfId="6708" xr:uid="{00000000-0005-0000-0000-00000D080000}"/>
    <cellStyle name="Обычный 2 14 2 11" xfId="3153" xr:uid="{00000000-0005-0000-0000-00000E080000}"/>
    <cellStyle name="Обычный 2 14 2 11 2" xfId="7004" xr:uid="{00000000-0005-0000-0000-00000F080000}"/>
    <cellStyle name="Обычный 2 14 2 12" xfId="3449" xr:uid="{00000000-0005-0000-0000-000010080000}"/>
    <cellStyle name="Обычный 2 14 2 12 2" xfId="7300" xr:uid="{00000000-0005-0000-0000-000011080000}"/>
    <cellStyle name="Обычный 2 14 2 13" xfId="3745" xr:uid="{00000000-0005-0000-0000-000012080000}"/>
    <cellStyle name="Обычный 2 14 2 13 2" xfId="7596" xr:uid="{00000000-0005-0000-0000-000013080000}"/>
    <cellStyle name="Обычный 2 14 2 14" xfId="4041" xr:uid="{00000000-0005-0000-0000-000014080000}"/>
    <cellStyle name="Обычный 2 14 2 14 2" xfId="7892" xr:uid="{00000000-0005-0000-0000-000015080000}"/>
    <cellStyle name="Обычный 2 14 2 15" xfId="8190" xr:uid="{00000000-0005-0000-0000-000016080000}"/>
    <cellStyle name="Обычный 2 14 2 16" xfId="4338" xr:uid="{00000000-0005-0000-0000-000017080000}"/>
    <cellStyle name="Обычный 2 14 2 2" xfId="238" xr:uid="{00000000-0005-0000-0000-000018080000}"/>
    <cellStyle name="Обычный 2 14 2 2 10" xfId="3301" xr:uid="{00000000-0005-0000-0000-000019080000}"/>
    <cellStyle name="Обычный 2 14 2 2 10 2" xfId="7152" xr:uid="{00000000-0005-0000-0000-00001A080000}"/>
    <cellStyle name="Обычный 2 14 2 2 11" xfId="3597" xr:uid="{00000000-0005-0000-0000-00001B080000}"/>
    <cellStyle name="Обычный 2 14 2 2 11 2" xfId="7448" xr:uid="{00000000-0005-0000-0000-00001C080000}"/>
    <cellStyle name="Обычный 2 14 2 2 12" xfId="3893" xr:uid="{00000000-0005-0000-0000-00001D080000}"/>
    <cellStyle name="Обычный 2 14 2 2 12 2" xfId="7744" xr:uid="{00000000-0005-0000-0000-00001E080000}"/>
    <cellStyle name="Обычный 2 14 2 2 13" xfId="4189" xr:uid="{00000000-0005-0000-0000-00001F080000}"/>
    <cellStyle name="Обычный 2 14 2 2 13 2" xfId="8040" xr:uid="{00000000-0005-0000-0000-000020080000}"/>
    <cellStyle name="Обычный 2 14 2 2 14" xfId="8291" xr:uid="{00000000-0005-0000-0000-000021080000}"/>
    <cellStyle name="Обычный 2 14 2 2 15" xfId="4488" xr:uid="{00000000-0005-0000-0000-000022080000}"/>
    <cellStyle name="Обычный 2 14 2 2 2" xfId="787" xr:uid="{00000000-0005-0000-0000-000023080000}"/>
    <cellStyle name="Обычный 2 14 2 2 2 2" xfId="8548" xr:uid="{00000000-0005-0000-0000-000024080000}"/>
    <cellStyle name="Обычный 2 14 2 2 2 3" xfId="4784" xr:uid="{00000000-0005-0000-0000-000025080000}"/>
    <cellStyle name="Обычный 2 14 2 2 3" xfId="1247" xr:uid="{00000000-0005-0000-0000-000026080000}"/>
    <cellStyle name="Обычный 2 14 2 2 3 2" xfId="5080" xr:uid="{00000000-0005-0000-0000-000027080000}"/>
    <cellStyle name="Обычный 2 14 2 2 4" xfId="1533" xr:uid="{00000000-0005-0000-0000-000028080000}"/>
    <cellStyle name="Обычный 2 14 2 2 4 2" xfId="5376" xr:uid="{00000000-0005-0000-0000-000029080000}"/>
    <cellStyle name="Обычный 2 14 2 2 5" xfId="1825" xr:uid="{00000000-0005-0000-0000-00002A080000}"/>
    <cellStyle name="Обычный 2 14 2 2 5 2" xfId="5672" xr:uid="{00000000-0005-0000-0000-00002B080000}"/>
    <cellStyle name="Обычный 2 14 2 2 6" xfId="2118" xr:uid="{00000000-0005-0000-0000-00002C080000}"/>
    <cellStyle name="Обычный 2 14 2 2 6 2" xfId="5968" xr:uid="{00000000-0005-0000-0000-00002D080000}"/>
    <cellStyle name="Обычный 2 14 2 2 7" xfId="2413" xr:uid="{00000000-0005-0000-0000-00002E080000}"/>
    <cellStyle name="Обычный 2 14 2 2 7 2" xfId="6264" xr:uid="{00000000-0005-0000-0000-00002F080000}"/>
    <cellStyle name="Обычный 2 14 2 2 8" xfId="2709" xr:uid="{00000000-0005-0000-0000-000030080000}"/>
    <cellStyle name="Обычный 2 14 2 2 8 2" xfId="6560" xr:uid="{00000000-0005-0000-0000-000031080000}"/>
    <cellStyle name="Обычный 2 14 2 2 9" xfId="3005" xr:uid="{00000000-0005-0000-0000-000032080000}"/>
    <cellStyle name="Обычный 2 14 2 2 9 2" xfId="6856" xr:uid="{00000000-0005-0000-0000-000033080000}"/>
    <cellStyle name="Обычный 2 14 2 3" xfId="339" xr:uid="{00000000-0005-0000-0000-000034080000}"/>
    <cellStyle name="Обычный 2 14 2 3 2" xfId="788" xr:uid="{00000000-0005-0000-0000-000035080000}"/>
    <cellStyle name="Обычный 2 14 2 3 3" xfId="8391" xr:uid="{00000000-0005-0000-0000-000036080000}"/>
    <cellStyle name="Обычный 2 14 2 3 4" xfId="4636" xr:uid="{00000000-0005-0000-0000-000037080000}"/>
    <cellStyle name="Обычный 2 14 2 4" xfId="789" xr:uid="{00000000-0005-0000-0000-000038080000}"/>
    <cellStyle name="Обычный 2 14 2 4 2" xfId="8549" xr:uid="{00000000-0005-0000-0000-000039080000}"/>
    <cellStyle name="Обычный 2 14 2 4 3" xfId="4932" xr:uid="{00000000-0005-0000-0000-00003A080000}"/>
    <cellStyle name="Обычный 2 14 2 5" xfId="1389" xr:uid="{00000000-0005-0000-0000-00003B080000}"/>
    <cellStyle name="Обычный 2 14 2 5 2" xfId="5228" xr:uid="{00000000-0005-0000-0000-00003C080000}"/>
    <cellStyle name="Обычный 2 14 2 6" xfId="1678" xr:uid="{00000000-0005-0000-0000-00003D080000}"/>
    <cellStyle name="Обычный 2 14 2 6 2" xfId="5524" xr:uid="{00000000-0005-0000-0000-00003E080000}"/>
    <cellStyle name="Обычный 2 14 2 7" xfId="1971" xr:uid="{00000000-0005-0000-0000-00003F080000}"/>
    <cellStyle name="Обычный 2 14 2 7 2" xfId="5820" xr:uid="{00000000-0005-0000-0000-000040080000}"/>
    <cellStyle name="Обычный 2 14 2 8" xfId="2265" xr:uid="{00000000-0005-0000-0000-000041080000}"/>
    <cellStyle name="Обычный 2 14 2 8 2" xfId="6116" xr:uid="{00000000-0005-0000-0000-000042080000}"/>
    <cellStyle name="Обычный 2 14 2 9" xfId="2561" xr:uid="{00000000-0005-0000-0000-000043080000}"/>
    <cellStyle name="Обычный 2 14 2 9 2" xfId="6412" xr:uid="{00000000-0005-0000-0000-000044080000}"/>
    <cellStyle name="Обычный 2 14 3" xfId="188" xr:uid="{00000000-0005-0000-0000-000045080000}"/>
    <cellStyle name="Обычный 2 14 3 10" xfId="2907" xr:uid="{00000000-0005-0000-0000-000046080000}"/>
    <cellStyle name="Обычный 2 14 3 10 2" xfId="6758" xr:uid="{00000000-0005-0000-0000-000047080000}"/>
    <cellStyle name="Обычный 2 14 3 11" xfId="3203" xr:uid="{00000000-0005-0000-0000-000048080000}"/>
    <cellStyle name="Обычный 2 14 3 11 2" xfId="7054" xr:uid="{00000000-0005-0000-0000-000049080000}"/>
    <cellStyle name="Обычный 2 14 3 12" xfId="3499" xr:uid="{00000000-0005-0000-0000-00004A080000}"/>
    <cellStyle name="Обычный 2 14 3 12 2" xfId="7350" xr:uid="{00000000-0005-0000-0000-00004B080000}"/>
    <cellStyle name="Обычный 2 14 3 13" xfId="3795" xr:uid="{00000000-0005-0000-0000-00004C080000}"/>
    <cellStyle name="Обычный 2 14 3 13 2" xfId="7646" xr:uid="{00000000-0005-0000-0000-00004D080000}"/>
    <cellStyle name="Обычный 2 14 3 14" xfId="4091" xr:uid="{00000000-0005-0000-0000-00004E080000}"/>
    <cellStyle name="Обычный 2 14 3 14 2" xfId="7942" xr:uid="{00000000-0005-0000-0000-00004F080000}"/>
    <cellStyle name="Обычный 2 14 3 15" xfId="8241" xr:uid="{00000000-0005-0000-0000-000050080000}"/>
    <cellStyle name="Обычный 2 14 3 16" xfId="4389" xr:uid="{00000000-0005-0000-0000-000051080000}"/>
    <cellStyle name="Обычный 2 14 3 2" xfId="790" xr:uid="{00000000-0005-0000-0000-000052080000}"/>
    <cellStyle name="Обычный 2 14 3 2 10" xfId="3351" xr:uid="{00000000-0005-0000-0000-000053080000}"/>
    <cellStyle name="Обычный 2 14 3 2 10 2" xfId="7202" xr:uid="{00000000-0005-0000-0000-000054080000}"/>
    <cellStyle name="Обычный 2 14 3 2 11" xfId="3647" xr:uid="{00000000-0005-0000-0000-000055080000}"/>
    <cellStyle name="Обычный 2 14 3 2 11 2" xfId="7498" xr:uid="{00000000-0005-0000-0000-000056080000}"/>
    <cellStyle name="Обычный 2 14 3 2 12" xfId="3943" xr:uid="{00000000-0005-0000-0000-000057080000}"/>
    <cellStyle name="Обычный 2 14 3 2 12 2" xfId="7794" xr:uid="{00000000-0005-0000-0000-000058080000}"/>
    <cellStyle name="Обычный 2 14 3 2 13" xfId="4239" xr:uid="{00000000-0005-0000-0000-000059080000}"/>
    <cellStyle name="Обычный 2 14 3 2 13 2" xfId="8090" xr:uid="{00000000-0005-0000-0000-00005A080000}"/>
    <cellStyle name="Обычный 2 14 3 2 14" xfId="8550" xr:uid="{00000000-0005-0000-0000-00005B080000}"/>
    <cellStyle name="Обычный 2 14 3 2 15" xfId="4538" xr:uid="{00000000-0005-0000-0000-00005C080000}"/>
    <cellStyle name="Обычный 2 14 3 2 2" xfId="1106" xr:uid="{00000000-0005-0000-0000-00005D080000}"/>
    <cellStyle name="Обычный 2 14 3 2 2 2" xfId="4834" xr:uid="{00000000-0005-0000-0000-00005E080000}"/>
    <cellStyle name="Обычный 2 14 3 2 3" xfId="1295" xr:uid="{00000000-0005-0000-0000-00005F080000}"/>
    <cellStyle name="Обычный 2 14 3 2 3 2" xfId="5130" xr:uid="{00000000-0005-0000-0000-000060080000}"/>
    <cellStyle name="Обычный 2 14 3 2 4" xfId="1582" xr:uid="{00000000-0005-0000-0000-000061080000}"/>
    <cellStyle name="Обычный 2 14 3 2 4 2" xfId="5426" xr:uid="{00000000-0005-0000-0000-000062080000}"/>
    <cellStyle name="Обычный 2 14 3 2 5" xfId="1875" xr:uid="{00000000-0005-0000-0000-000063080000}"/>
    <cellStyle name="Обычный 2 14 3 2 5 2" xfId="5722" xr:uid="{00000000-0005-0000-0000-000064080000}"/>
    <cellStyle name="Обычный 2 14 3 2 6" xfId="2168" xr:uid="{00000000-0005-0000-0000-000065080000}"/>
    <cellStyle name="Обычный 2 14 3 2 6 2" xfId="6018" xr:uid="{00000000-0005-0000-0000-000066080000}"/>
    <cellStyle name="Обычный 2 14 3 2 7" xfId="2463" xr:uid="{00000000-0005-0000-0000-000067080000}"/>
    <cellStyle name="Обычный 2 14 3 2 7 2" xfId="6314" xr:uid="{00000000-0005-0000-0000-000068080000}"/>
    <cellStyle name="Обычный 2 14 3 2 8" xfId="2759" xr:uid="{00000000-0005-0000-0000-000069080000}"/>
    <cellStyle name="Обычный 2 14 3 2 8 2" xfId="6610" xr:uid="{00000000-0005-0000-0000-00006A080000}"/>
    <cellStyle name="Обычный 2 14 3 2 9" xfId="3055" xr:uid="{00000000-0005-0000-0000-00006B080000}"/>
    <cellStyle name="Обычный 2 14 3 2 9 2" xfId="6906" xr:uid="{00000000-0005-0000-0000-00006C080000}"/>
    <cellStyle name="Обычный 2 14 3 3" xfId="1059" xr:uid="{00000000-0005-0000-0000-00006D080000}"/>
    <cellStyle name="Обычный 2 14 3 3 2" xfId="4686" xr:uid="{00000000-0005-0000-0000-00006E080000}"/>
    <cellStyle name="Обычный 2 14 3 4" xfId="1153" xr:uid="{00000000-0005-0000-0000-00006F080000}"/>
    <cellStyle name="Обычный 2 14 3 4 2" xfId="4982" xr:uid="{00000000-0005-0000-0000-000070080000}"/>
    <cellStyle name="Обычный 2 14 3 5" xfId="1436" xr:uid="{00000000-0005-0000-0000-000071080000}"/>
    <cellStyle name="Обычный 2 14 3 5 2" xfId="5278" xr:uid="{00000000-0005-0000-0000-000072080000}"/>
    <cellStyle name="Обычный 2 14 3 6" xfId="1727" xr:uid="{00000000-0005-0000-0000-000073080000}"/>
    <cellStyle name="Обычный 2 14 3 6 2" xfId="5574" xr:uid="{00000000-0005-0000-0000-000074080000}"/>
    <cellStyle name="Обычный 2 14 3 7" xfId="2020" xr:uid="{00000000-0005-0000-0000-000075080000}"/>
    <cellStyle name="Обычный 2 14 3 7 2" xfId="5870" xr:uid="{00000000-0005-0000-0000-000076080000}"/>
    <cellStyle name="Обычный 2 14 3 8" xfId="2315" xr:uid="{00000000-0005-0000-0000-000077080000}"/>
    <cellStyle name="Обычный 2 14 3 8 2" xfId="6166" xr:uid="{00000000-0005-0000-0000-000078080000}"/>
    <cellStyle name="Обычный 2 14 3 9" xfId="2611" xr:uid="{00000000-0005-0000-0000-000079080000}"/>
    <cellStyle name="Обычный 2 14 3 9 2" xfId="6462" xr:uid="{00000000-0005-0000-0000-00007A080000}"/>
    <cellStyle name="Обычный 2 14 4" xfId="289" xr:uid="{00000000-0005-0000-0000-00007B080000}"/>
    <cellStyle name="Обычный 2 14 4 10" xfId="3253" xr:uid="{00000000-0005-0000-0000-00007C080000}"/>
    <cellStyle name="Обычный 2 14 4 10 2" xfId="7104" xr:uid="{00000000-0005-0000-0000-00007D080000}"/>
    <cellStyle name="Обычный 2 14 4 11" xfId="3549" xr:uid="{00000000-0005-0000-0000-00007E080000}"/>
    <cellStyle name="Обычный 2 14 4 11 2" xfId="7400" xr:uid="{00000000-0005-0000-0000-00007F080000}"/>
    <cellStyle name="Обычный 2 14 4 12" xfId="3845" xr:uid="{00000000-0005-0000-0000-000080080000}"/>
    <cellStyle name="Обычный 2 14 4 12 2" xfId="7696" xr:uid="{00000000-0005-0000-0000-000081080000}"/>
    <cellStyle name="Обычный 2 14 4 13" xfId="4141" xr:uid="{00000000-0005-0000-0000-000082080000}"/>
    <cellStyle name="Обычный 2 14 4 13 2" xfId="7992" xr:uid="{00000000-0005-0000-0000-000083080000}"/>
    <cellStyle name="Обычный 2 14 4 14" xfId="8341" xr:uid="{00000000-0005-0000-0000-000084080000}"/>
    <cellStyle name="Обычный 2 14 4 15" xfId="4440" xr:uid="{00000000-0005-0000-0000-000085080000}"/>
    <cellStyle name="Обычный 2 14 4 2" xfId="791" xr:uid="{00000000-0005-0000-0000-000086080000}"/>
    <cellStyle name="Обычный 2 14 4 2 2" xfId="8551" xr:uid="{00000000-0005-0000-0000-000087080000}"/>
    <cellStyle name="Обычный 2 14 4 2 3" xfId="4736" xr:uid="{00000000-0005-0000-0000-000088080000}"/>
    <cellStyle name="Обычный 2 14 4 3" xfId="1200" xr:uid="{00000000-0005-0000-0000-000089080000}"/>
    <cellStyle name="Обычный 2 14 4 3 2" xfId="5032" xr:uid="{00000000-0005-0000-0000-00008A080000}"/>
    <cellStyle name="Обычный 2 14 4 4" xfId="1485" xr:uid="{00000000-0005-0000-0000-00008B080000}"/>
    <cellStyle name="Обычный 2 14 4 4 2" xfId="5328" xr:uid="{00000000-0005-0000-0000-00008C080000}"/>
    <cellStyle name="Обычный 2 14 4 5" xfId="1777" xr:uid="{00000000-0005-0000-0000-00008D080000}"/>
    <cellStyle name="Обычный 2 14 4 5 2" xfId="5624" xr:uid="{00000000-0005-0000-0000-00008E080000}"/>
    <cellStyle name="Обычный 2 14 4 6" xfId="2070" xr:uid="{00000000-0005-0000-0000-00008F080000}"/>
    <cellStyle name="Обычный 2 14 4 6 2" xfId="5920" xr:uid="{00000000-0005-0000-0000-000090080000}"/>
    <cellStyle name="Обычный 2 14 4 7" xfId="2365" xr:uid="{00000000-0005-0000-0000-000091080000}"/>
    <cellStyle name="Обычный 2 14 4 7 2" xfId="6216" xr:uid="{00000000-0005-0000-0000-000092080000}"/>
    <cellStyle name="Обычный 2 14 4 8" xfId="2661" xr:uid="{00000000-0005-0000-0000-000093080000}"/>
    <cellStyle name="Обычный 2 14 4 8 2" xfId="6512" xr:uid="{00000000-0005-0000-0000-000094080000}"/>
    <cellStyle name="Обычный 2 14 4 9" xfId="2957" xr:uid="{00000000-0005-0000-0000-000095080000}"/>
    <cellStyle name="Обычный 2 14 4 9 2" xfId="6808" xr:uid="{00000000-0005-0000-0000-000096080000}"/>
    <cellStyle name="Обычный 2 14 5" xfId="792" xr:uid="{00000000-0005-0000-0000-000097080000}"/>
    <cellStyle name="Обычный 2 14 5 2" xfId="8552" xr:uid="{00000000-0005-0000-0000-000098080000}"/>
    <cellStyle name="Обычный 2 14 5 3" xfId="4588" xr:uid="{00000000-0005-0000-0000-000099080000}"/>
    <cellStyle name="Обычный 2 14 6" xfId="793" xr:uid="{00000000-0005-0000-0000-00009A080000}"/>
    <cellStyle name="Обычный 2 14 6 2" xfId="8553" xr:uid="{00000000-0005-0000-0000-00009B080000}"/>
    <cellStyle name="Обычный 2 14 6 3" xfId="4884" xr:uid="{00000000-0005-0000-0000-00009C080000}"/>
    <cellStyle name="Обычный 2 14 7" xfId="1342" xr:uid="{00000000-0005-0000-0000-00009D080000}"/>
    <cellStyle name="Обычный 2 14 7 2" xfId="5180" xr:uid="{00000000-0005-0000-0000-00009E080000}"/>
    <cellStyle name="Обычный 2 14 8" xfId="1631" xr:uid="{00000000-0005-0000-0000-00009F080000}"/>
    <cellStyle name="Обычный 2 14 8 2" xfId="5476" xr:uid="{00000000-0005-0000-0000-0000A0080000}"/>
    <cellStyle name="Обычный 2 14 9" xfId="1924" xr:uid="{00000000-0005-0000-0000-0000A1080000}"/>
    <cellStyle name="Обычный 2 14 9 2" xfId="5772" xr:uid="{00000000-0005-0000-0000-0000A2080000}"/>
    <cellStyle name="Обычный 2 15" xfId="387" xr:uid="{00000000-0005-0000-0000-0000A3080000}"/>
    <cellStyle name="Обычный 2 16" xfId="1054" xr:uid="{00000000-0005-0000-0000-0000A4080000}"/>
    <cellStyle name="Обычный 2 17" xfId="47" xr:uid="{00000000-0005-0000-0000-0000A5080000}"/>
    <cellStyle name="Обычный 2 2" xfId="53" xr:uid="{00000000-0005-0000-0000-0000A6080000}"/>
    <cellStyle name="Обычный 2 2 10" xfId="794" xr:uid="{00000000-0005-0000-0000-0000A7080000}"/>
    <cellStyle name="Обычный 2 2 10 2" xfId="8554" xr:uid="{00000000-0005-0000-0000-0000A8080000}"/>
    <cellStyle name="Обычный 2 2 10 3" xfId="4885" xr:uid="{00000000-0005-0000-0000-0000A9080000}"/>
    <cellStyle name="Обычный 2 2 11" xfId="1343" xr:uid="{00000000-0005-0000-0000-0000AA080000}"/>
    <cellStyle name="Обычный 2 2 11 2" xfId="5181" xr:uid="{00000000-0005-0000-0000-0000AB080000}"/>
    <cellStyle name="Обычный 2 2 12" xfId="1632" xr:uid="{00000000-0005-0000-0000-0000AC080000}"/>
    <cellStyle name="Обычный 2 2 12 2" xfId="5477" xr:uid="{00000000-0005-0000-0000-0000AD080000}"/>
    <cellStyle name="Обычный 2 2 13" xfId="1925" xr:uid="{00000000-0005-0000-0000-0000AE080000}"/>
    <cellStyle name="Обычный 2 2 13 2" xfId="5773" xr:uid="{00000000-0005-0000-0000-0000AF080000}"/>
    <cellStyle name="Обычный 2 2 14" xfId="2219" xr:uid="{00000000-0005-0000-0000-0000B0080000}"/>
    <cellStyle name="Обычный 2 2 14 2" xfId="6069" xr:uid="{00000000-0005-0000-0000-0000B1080000}"/>
    <cellStyle name="Обычный 2 2 15" xfId="2514" xr:uid="{00000000-0005-0000-0000-0000B2080000}"/>
    <cellStyle name="Обычный 2 2 15 2" xfId="6365" xr:uid="{00000000-0005-0000-0000-0000B3080000}"/>
    <cellStyle name="Обычный 2 2 16" xfId="2810" xr:uid="{00000000-0005-0000-0000-0000B4080000}"/>
    <cellStyle name="Обычный 2 2 16 2" xfId="6661" xr:uid="{00000000-0005-0000-0000-0000B5080000}"/>
    <cellStyle name="Обычный 2 2 17" xfId="3106" xr:uid="{00000000-0005-0000-0000-0000B6080000}"/>
    <cellStyle name="Обычный 2 2 17 2" xfId="6957" xr:uid="{00000000-0005-0000-0000-0000B7080000}"/>
    <cellStyle name="Обычный 2 2 18" xfId="3402" xr:uid="{00000000-0005-0000-0000-0000B8080000}"/>
    <cellStyle name="Обычный 2 2 18 2" xfId="7253" xr:uid="{00000000-0005-0000-0000-0000B9080000}"/>
    <cellStyle name="Обычный 2 2 19" xfId="3698" xr:uid="{00000000-0005-0000-0000-0000BA080000}"/>
    <cellStyle name="Обычный 2 2 19 2" xfId="7549" xr:uid="{00000000-0005-0000-0000-0000BB080000}"/>
    <cellStyle name="Обычный 2 2 2" xfId="62" xr:uid="{00000000-0005-0000-0000-0000BC080000}"/>
    <cellStyle name="Обычный 2 2 2 10" xfId="1932" xr:uid="{00000000-0005-0000-0000-0000BD080000}"/>
    <cellStyle name="Обычный 2 2 2 10 2" xfId="5780" xr:uid="{00000000-0005-0000-0000-0000BE080000}"/>
    <cellStyle name="Обычный 2 2 2 11" xfId="2226" xr:uid="{00000000-0005-0000-0000-0000BF080000}"/>
    <cellStyle name="Обычный 2 2 2 11 2" xfId="6076" xr:uid="{00000000-0005-0000-0000-0000C0080000}"/>
    <cellStyle name="Обычный 2 2 2 12" xfId="2521" xr:uid="{00000000-0005-0000-0000-0000C1080000}"/>
    <cellStyle name="Обычный 2 2 2 12 2" xfId="6372" xr:uid="{00000000-0005-0000-0000-0000C2080000}"/>
    <cellStyle name="Обычный 2 2 2 13" xfId="2817" xr:uid="{00000000-0005-0000-0000-0000C3080000}"/>
    <cellStyle name="Обычный 2 2 2 13 2" xfId="6668" xr:uid="{00000000-0005-0000-0000-0000C4080000}"/>
    <cellStyle name="Обычный 2 2 2 14" xfId="3113" xr:uid="{00000000-0005-0000-0000-0000C5080000}"/>
    <cellStyle name="Обычный 2 2 2 14 2" xfId="6964" xr:uid="{00000000-0005-0000-0000-0000C6080000}"/>
    <cellStyle name="Обычный 2 2 2 15" xfId="3409" xr:uid="{00000000-0005-0000-0000-0000C7080000}"/>
    <cellStyle name="Обычный 2 2 2 15 2" xfId="7260" xr:uid="{00000000-0005-0000-0000-0000C8080000}"/>
    <cellStyle name="Обычный 2 2 2 16" xfId="3705" xr:uid="{00000000-0005-0000-0000-0000C9080000}"/>
    <cellStyle name="Обычный 2 2 2 16 2" xfId="7556" xr:uid="{00000000-0005-0000-0000-0000CA080000}"/>
    <cellStyle name="Обычный 2 2 2 17" xfId="4001" xr:uid="{00000000-0005-0000-0000-0000CB080000}"/>
    <cellStyle name="Обычный 2 2 2 17 2" xfId="7852" xr:uid="{00000000-0005-0000-0000-0000CC080000}"/>
    <cellStyle name="Обычный 2 2 2 18" xfId="8148" xr:uid="{00000000-0005-0000-0000-0000CD080000}"/>
    <cellStyle name="Обычный 2 2 2 19" xfId="4297" xr:uid="{00000000-0005-0000-0000-0000CE080000}"/>
    <cellStyle name="Обычный 2 2 2 2" xfId="112" xr:uid="{00000000-0005-0000-0000-0000CF080000}"/>
    <cellStyle name="Обычный 2 2 2 2 10" xfId="2247" xr:uid="{00000000-0005-0000-0000-0000D0080000}"/>
    <cellStyle name="Обычный 2 2 2 2 10 2" xfId="6098" xr:uid="{00000000-0005-0000-0000-0000D1080000}"/>
    <cellStyle name="Обычный 2 2 2 2 11" xfId="2543" xr:uid="{00000000-0005-0000-0000-0000D2080000}"/>
    <cellStyle name="Обычный 2 2 2 2 11 2" xfId="6394" xr:uid="{00000000-0005-0000-0000-0000D3080000}"/>
    <cellStyle name="Обычный 2 2 2 2 12" xfId="2839" xr:uid="{00000000-0005-0000-0000-0000D4080000}"/>
    <cellStyle name="Обычный 2 2 2 2 12 2" xfId="6690" xr:uid="{00000000-0005-0000-0000-0000D5080000}"/>
    <cellStyle name="Обычный 2 2 2 2 13" xfId="3135" xr:uid="{00000000-0005-0000-0000-0000D6080000}"/>
    <cellStyle name="Обычный 2 2 2 2 13 2" xfId="6986" xr:uid="{00000000-0005-0000-0000-0000D7080000}"/>
    <cellStyle name="Обычный 2 2 2 2 14" xfId="3431" xr:uid="{00000000-0005-0000-0000-0000D8080000}"/>
    <cellStyle name="Обычный 2 2 2 2 14 2" xfId="7282" xr:uid="{00000000-0005-0000-0000-0000D9080000}"/>
    <cellStyle name="Обычный 2 2 2 2 15" xfId="3727" xr:uid="{00000000-0005-0000-0000-0000DA080000}"/>
    <cellStyle name="Обычный 2 2 2 2 15 2" xfId="7578" xr:uid="{00000000-0005-0000-0000-0000DB080000}"/>
    <cellStyle name="Обычный 2 2 2 2 16" xfId="4023" xr:uid="{00000000-0005-0000-0000-0000DC080000}"/>
    <cellStyle name="Обычный 2 2 2 2 16 2" xfId="7874" xr:uid="{00000000-0005-0000-0000-0000DD080000}"/>
    <cellStyle name="Обычный 2 2 2 2 17" xfId="8170" xr:uid="{00000000-0005-0000-0000-0000DE080000}"/>
    <cellStyle name="Обычный 2 2 2 2 18" xfId="4319" xr:uid="{00000000-0005-0000-0000-0000DF080000}"/>
    <cellStyle name="Обычный 2 2 2 2 2" xfId="165" xr:uid="{00000000-0005-0000-0000-0000E0080000}"/>
    <cellStyle name="Обычный 2 2 2 2 2 10" xfId="2887" xr:uid="{00000000-0005-0000-0000-0000E1080000}"/>
    <cellStyle name="Обычный 2 2 2 2 2 10 2" xfId="6738" xr:uid="{00000000-0005-0000-0000-0000E2080000}"/>
    <cellStyle name="Обычный 2 2 2 2 2 11" xfId="3183" xr:uid="{00000000-0005-0000-0000-0000E3080000}"/>
    <cellStyle name="Обычный 2 2 2 2 2 11 2" xfId="7034" xr:uid="{00000000-0005-0000-0000-0000E4080000}"/>
    <cellStyle name="Обычный 2 2 2 2 2 12" xfId="3479" xr:uid="{00000000-0005-0000-0000-0000E5080000}"/>
    <cellStyle name="Обычный 2 2 2 2 2 12 2" xfId="7330" xr:uid="{00000000-0005-0000-0000-0000E6080000}"/>
    <cellStyle name="Обычный 2 2 2 2 2 13" xfId="3775" xr:uid="{00000000-0005-0000-0000-0000E7080000}"/>
    <cellStyle name="Обычный 2 2 2 2 2 13 2" xfId="7626" xr:uid="{00000000-0005-0000-0000-0000E8080000}"/>
    <cellStyle name="Обычный 2 2 2 2 2 14" xfId="4071" xr:uid="{00000000-0005-0000-0000-0000E9080000}"/>
    <cellStyle name="Обычный 2 2 2 2 2 14 2" xfId="7922" xr:uid="{00000000-0005-0000-0000-0000EA080000}"/>
    <cellStyle name="Обычный 2 2 2 2 2 15" xfId="8220" xr:uid="{00000000-0005-0000-0000-0000EB080000}"/>
    <cellStyle name="Обычный 2 2 2 2 2 16" xfId="4368" xr:uid="{00000000-0005-0000-0000-0000EC080000}"/>
    <cellStyle name="Обычный 2 2 2 2 2 2" xfId="268" xr:uid="{00000000-0005-0000-0000-0000ED080000}"/>
    <cellStyle name="Обычный 2 2 2 2 2 2 10" xfId="3331" xr:uid="{00000000-0005-0000-0000-0000EE080000}"/>
    <cellStyle name="Обычный 2 2 2 2 2 2 10 2" xfId="7182" xr:uid="{00000000-0005-0000-0000-0000EF080000}"/>
    <cellStyle name="Обычный 2 2 2 2 2 2 11" xfId="3627" xr:uid="{00000000-0005-0000-0000-0000F0080000}"/>
    <cellStyle name="Обычный 2 2 2 2 2 2 11 2" xfId="7478" xr:uid="{00000000-0005-0000-0000-0000F1080000}"/>
    <cellStyle name="Обычный 2 2 2 2 2 2 12" xfId="3923" xr:uid="{00000000-0005-0000-0000-0000F2080000}"/>
    <cellStyle name="Обычный 2 2 2 2 2 2 12 2" xfId="7774" xr:uid="{00000000-0005-0000-0000-0000F3080000}"/>
    <cellStyle name="Обычный 2 2 2 2 2 2 13" xfId="4219" xr:uid="{00000000-0005-0000-0000-0000F4080000}"/>
    <cellStyle name="Обычный 2 2 2 2 2 2 13 2" xfId="8070" xr:uid="{00000000-0005-0000-0000-0000F5080000}"/>
    <cellStyle name="Обычный 2 2 2 2 2 2 14" xfId="8321" xr:uid="{00000000-0005-0000-0000-0000F6080000}"/>
    <cellStyle name="Обычный 2 2 2 2 2 2 15" xfId="4518" xr:uid="{00000000-0005-0000-0000-0000F7080000}"/>
    <cellStyle name="Обычный 2 2 2 2 2 2 2" xfId="795" xr:uid="{00000000-0005-0000-0000-0000F8080000}"/>
    <cellStyle name="Обычный 2 2 2 2 2 2 2 2" xfId="8555" xr:uid="{00000000-0005-0000-0000-0000F9080000}"/>
    <cellStyle name="Обычный 2 2 2 2 2 2 2 3" xfId="4814" xr:uid="{00000000-0005-0000-0000-0000FA080000}"/>
    <cellStyle name="Обычный 2 2 2 2 2 2 3" xfId="1276" xr:uid="{00000000-0005-0000-0000-0000FB080000}"/>
    <cellStyle name="Обычный 2 2 2 2 2 2 3 2" xfId="5110" xr:uid="{00000000-0005-0000-0000-0000FC080000}"/>
    <cellStyle name="Обычный 2 2 2 2 2 2 4" xfId="1562" xr:uid="{00000000-0005-0000-0000-0000FD080000}"/>
    <cellStyle name="Обычный 2 2 2 2 2 2 4 2" xfId="5406" xr:uid="{00000000-0005-0000-0000-0000FE080000}"/>
    <cellStyle name="Обычный 2 2 2 2 2 2 5" xfId="1855" xr:uid="{00000000-0005-0000-0000-0000FF080000}"/>
    <cellStyle name="Обычный 2 2 2 2 2 2 5 2" xfId="5702" xr:uid="{00000000-0005-0000-0000-000000090000}"/>
    <cellStyle name="Обычный 2 2 2 2 2 2 6" xfId="2148" xr:uid="{00000000-0005-0000-0000-000001090000}"/>
    <cellStyle name="Обычный 2 2 2 2 2 2 6 2" xfId="5998" xr:uid="{00000000-0005-0000-0000-000002090000}"/>
    <cellStyle name="Обычный 2 2 2 2 2 2 7" xfId="2443" xr:uid="{00000000-0005-0000-0000-000003090000}"/>
    <cellStyle name="Обычный 2 2 2 2 2 2 7 2" xfId="6294" xr:uid="{00000000-0005-0000-0000-000004090000}"/>
    <cellStyle name="Обычный 2 2 2 2 2 2 8" xfId="2739" xr:uid="{00000000-0005-0000-0000-000005090000}"/>
    <cellStyle name="Обычный 2 2 2 2 2 2 8 2" xfId="6590" xr:uid="{00000000-0005-0000-0000-000006090000}"/>
    <cellStyle name="Обычный 2 2 2 2 2 2 9" xfId="3035" xr:uid="{00000000-0005-0000-0000-000007090000}"/>
    <cellStyle name="Обычный 2 2 2 2 2 2 9 2" xfId="6886" xr:uid="{00000000-0005-0000-0000-000008090000}"/>
    <cellStyle name="Обычный 2 2 2 2 2 3" xfId="369" xr:uid="{00000000-0005-0000-0000-000009090000}"/>
    <cellStyle name="Обычный 2 2 2 2 2 3 2" xfId="796" xr:uid="{00000000-0005-0000-0000-00000A090000}"/>
    <cellStyle name="Обычный 2 2 2 2 2 3 3" xfId="8421" xr:uid="{00000000-0005-0000-0000-00000B090000}"/>
    <cellStyle name="Обычный 2 2 2 2 2 3 4" xfId="4666" xr:uid="{00000000-0005-0000-0000-00000C090000}"/>
    <cellStyle name="Обычный 2 2 2 2 2 4" xfId="797" xr:uid="{00000000-0005-0000-0000-00000D090000}"/>
    <cellStyle name="Обычный 2 2 2 2 2 4 2" xfId="8556" xr:uid="{00000000-0005-0000-0000-00000E090000}"/>
    <cellStyle name="Обычный 2 2 2 2 2 4 3" xfId="4962" xr:uid="{00000000-0005-0000-0000-00000F090000}"/>
    <cellStyle name="Обычный 2 2 2 2 2 5" xfId="1418" xr:uid="{00000000-0005-0000-0000-000010090000}"/>
    <cellStyle name="Обычный 2 2 2 2 2 5 2" xfId="5258" xr:uid="{00000000-0005-0000-0000-000011090000}"/>
    <cellStyle name="Обычный 2 2 2 2 2 6" xfId="1708" xr:uid="{00000000-0005-0000-0000-000012090000}"/>
    <cellStyle name="Обычный 2 2 2 2 2 6 2" xfId="5554" xr:uid="{00000000-0005-0000-0000-000013090000}"/>
    <cellStyle name="Обычный 2 2 2 2 2 7" xfId="2000" xr:uid="{00000000-0005-0000-0000-000014090000}"/>
    <cellStyle name="Обычный 2 2 2 2 2 7 2" xfId="5850" xr:uid="{00000000-0005-0000-0000-000015090000}"/>
    <cellStyle name="Обычный 2 2 2 2 2 8" xfId="2295" xr:uid="{00000000-0005-0000-0000-000016090000}"/>
    <cellStyle name="Обычный 2 2 2 2 2 8 2" xfId="6146" xr:uid="{00000000-0005-0000-0000-000017090000}"/>
    <cellStyle name="Обычный 2 2 2 2 2 9" xfId="2591" xr:uid="{00000000-0005-0000-0000-000018090000}"/>
    <cellStyle name="Обычный 2 2 2 2 2 9 2" xfId="6442" xr:uid="{00000000-0005-0000-0000-000019090000}"/>
    <cellStyle name="Обычный 2 2 2 2 3" xfId="218" xr:uid="{00000000-0005-0000-0000-00001A090000}"/>
    <cellStyle name="Обычный 2 2 2 2 3 10" xfId="2937" xr:uid="{00000000-0005-0000-0000-00001B090000}"/>
    <cellStyle name="Обычный 2 2 2 2 3 10 2" xfId="6788" xr:uid="{00000000-0005-0000-0000-00001C090000}"/>
    <cellStyle name="Обычный 2 2 2 2 3 11" xfId="3233" xr:uid="{00000000-0005-0000-0000-00001D090000}"/>
    <cellStyle name="Обычный 2 2 2 2 3 11 2" xfId="7084" xr:uid="{00000000-0005-0000-0000-00001E090000}"/>
    <cellStyle name="Обычный 2 2 2 2 3 12" xfId="3529" xr:uid="{00000000-0005-0000-0000-00001F090000}"/>
    <cellStyle name="Обычный 2 2 2 2 3 12 2" xfId="7380" xr:uid="{00000000-0005-0000-0000-000020090000}"/>
    <cellStyle name="Обычный 2 2 2 2 3 13" xfId="3825" xr:uid="{00000000-0005-0000-0000-000021090000}"/>
    <cellStyle name="Обычный 2 2 2 2 3 13 2" xfId="7676" xr:uid="{00000000-0005-0000-0000-000022090000}"/>
    <cellStyle name="Обычный 2 2 2 2 3 14" xfId="4121" xr:uid="{00000000-0005-0000-0000-000023090000}"/>
    <cellStyle name="Обычный 2 2 2 2 3 14 2" xfId="7972" xr:uid="{00000000-0005-0000-0000-000024090000}"/>
    <cellStyle name="Обычный 2 2 2 2 3 15" xfId="8271" xr:uid="{00000000-0005-0000-0000-000025090000}"/>
    <cellStyle name="Обычный 2 2 2 2 3 16" xfId="4419" xr:uid="{00000000-0005-0000-0000-000026090000}"/>
    <cellStyle name="Обычный 2 2 2 2 3 2" xfId="798" xr:uid="{00000000-0005-0000-0000-000027090000}"/>
    <cellStyle name="Обычный 2 2 2 2 3 2 10" xfId="3381" xr:uid="{00000000-0005-0000-0000-000028090000}"/>
    <cellStyle name="Обычный 2 2 2 2 3 2 10 2" xfId="7232" xr:uid="{00000000-0005-0000-0000-000029090000}"/>
    <cellStyle name="Обычный 2 2 2 2 3 2 11" xfId="3677" xr:uid="{00000000-0005-0000-0000-00002A090000}"/>
    <cellStyle name="Обычный 2 2 2 2 3 2 11 2" xfId="7528" xr:uid="{00000000-0005-0000-0000-00002B090000}"/>
    <cellStyle name="Обычный 2 2 2 2 3 2 12" xfId="3973" xr:uid="{00000000-0005-0000-0000-00002C090000}"/>
    <cellStyle name="Обычный 2 2 2 2 3 2 12 2" xfId="7824" xr:uid="{00000000-0005-0000-0000-00002D090000}"/>
    <cellStyle name="Обычный 2 2 2 2 3 2 13" xfId="4269" xr:uid="{00000000-0005-0000-0000-00002E090000}"/>
    <cellStyle name="Обычный 2 2 2 2 3 2 13 2" xfId="8120" xr:uid="{00000000-0005-0000-0000-00002F090000}"/>
    <cellStyle name="Обычный 2 2 2 2 3 2 14" xfId="8557" xr:uid="{00000000-0005-0000-0000-000030090000}"/>
    <cellStyle name="Обычный 2 2 2 2 3 2 15" xfId="4568" xr:uid="{00000000-0005-0000-0000-000031090000}"/>
    <cellStyle name="Обычный 2 2 2 2 3 2 2" xfId="1135" xr:uid="{00000000-0005-0000-0000-000032090000}"/>
    <cellStyle name="Обычный 2 2 2 2 3 2 2 2" xfId="4864" xr:uid="{00000000-0005-0000-0000-000033090000}"/>
    <cellStyle name="Обычный 2 2 2 2 3 2 3" xfId="1324" xr:uid="{00000000-0005-0000-0000-000034090000}"/>
    <cellStyle name="Обычный 2 2 2 2 3 2 3 2" xfId="5160" xr:uid="{00000000-0005-0000-0000-000035090000}"/>
    <cellStyle name="Обычный 2 2 2 2 3 2 4" xfId="1611" xr:uid="{00000000-0005-0000-0000-000036090000}"/>
    <cellStyle name="Обычный 2 2 2 2 3 2 4 2" xfId="5456" xr:uid="{00000000-0005-0000-0000-000037090000}"/>
    <cellStyle name="Обычный 2 2 2 2 3 2 5" xfId="1904" xr:uid="{00000000-0005-0000-0000-000038090000}"/>
    <cellStyle name="Обычный 2 2 2 2 3 2 5 2" xfId="5752" xr:uid="{00000000-0005-0000-0000-000039090000}"/>
    <cellStyle name="Обычный 2 2 2 2 3 2 6" xfId="2198" xr:uid="{00000000-0005-0000-0000-00003A090000}"/>
    <cellStyle name="Обычный 2 2 2 2 3 2 6 2" xfId="6048" xr:uid="{00000000-0005-0000-0000-00003B090000}"/>
    <cellStyle name="Обычный 2 2 2 2 3 2 7" xfId="2493" xr:uid="{00000000-0005-0000-0000-00003C090000}"/>
    <cellStyle name="Обычный 2 2 2 2 3 2 7 2" xfId="6344" xr:uid="{00000000-0005-0000-0000-00003D090000}"/>
    <cellStyle name="Обычный 2 2 2 2 3 2 8" xfId="2789" xr:uid="{00000000-0005-0000-0000-00003E090000}"/>
    <cellStyle name="Обычный 2 2 2 2 3 2 8 2" xfId="6640" xr:uid="{00000000-0005-0000-0000-00003F090000}"/>
    <cellStyle name="Обычный 2 2 2 2 3 2 9" xfId="3085" xr:uid="{00000000-0005-0000-0000-000040090000}"/>
    <cellStyle name="Обычный 2 2 2 2 3 2 9 2" xfId="6936" xr:uid="{00000000-0005-0000-0000-000041090000}"/>
    <cellStyle name="Обычный 2 2 2 2 3 3" xfId="1088" xr:uid="{00000000-0005-0000-0000-000042090000}"/>
    <cellStyle name="Обычный 2 2 2 2 3 3 2" xfId="4716" xr:uid="{00000000-0005-0000-0000-000043090000}"/>
    <cellStyle name="Обычный 2 2 2 2 3 4" xfId="1182" xr:uid="{00000000-0005-0000-0000-000044090000}"/>
    <cellStyle name="Обычный 2 2 2 2 3 4 2" xfId="5012" xr:uid="{00000000-0005-0000-0000-000045090000}"/>
    <cellStyle name="Обычный 2 2 2 2 3 5" xfId="1466" xr:uid="{00000000-0005-0000-0000-000046090000}"/>
    <cellStyle name="Обычный 2 2 2 2 3 5 2" xfId="5308" xr:uid="{00000000-0005-0000-0000-000047090000}"/>
    <cellStyle name="Обычный 2 2 2 2 3 6" xfId="1757" xr:uid="{00000000-0005-0000-0000-000048090000}"/>
    <cellStyle name="Обычный 2 2 2 2 3 6 2" xfId="5604" xr:uid="{00000000-0005-0000-0000-000049090000}"/>
    <cellStyle name="Обычный 2 2 2 2 3 7" xfId="2050" xr:uid="{00000000-0005-0000-0000-00004A090000}"/>
    <cellStyle name="Обычный 2 2 2 2 3 7 2" xfId="5900" xr:uid="{00000000-0005-0000-0000-00004B090000}"/>
    <cellStyle name="Обычный 2 2 2 2 3 8" xfId="2345" xr:uid="{00000000-0005-0000-0000-00004C090000}"/>
    <cellStyle name="Обычный 2 2 2 2 3 8 2" xfId="6196" xr:uid="{00000000-0005-0000-0000-00004D090000}"/>
    <cellStyle name="Обычный 2 2 2 2 3 9" xfId="2641" xr:uid="{00000000-0005-0000-0000-00004E090000}"/>
    <cellStyle name="Обычный 2 2 2 2 3 9 2" xfId="6492" xr:uid="{00000000-0005-0000-0000-00004F090000}"/>
    <cellStyle name="Обычный 2 2 2 2 4" xfId="319" xr:uid="{00000000-0005-0000-0000-000050090000}"/>
    <cellStyle name="Обычный 2 2 2 2 4 10" xfId="3283" xr:uid="{00000000-0005-0000-0000-000051090000}"/>
    <cellStyle name="Обычный 2 2 2 2 4 10 2" xfId="7134" xr:uid="{00000000-0005-0000-0000-000052090000}"/>
    <cellStyle name="Обычный 2 2 2 2 4 11" xfId="3579" xr:uid="{00000000-0005-0000-0000-000053090000}"/>
    <cellStyle name="Обычный 2 2 2 2 4 11 2" xfId="7430" xr:uid="{00000000-0005-0000-0000-000054090000}"/>
    <cellStyle name="Обычный 2 2 2 2 4 12" xfId="3875" xr:uid="{00000000-0005-0000-0000-000055090000}"/>
    <cellStyle name="Обычный 2 2 2 2 4 12 2" xfId="7726" xr:uid="{00000000-0005-0000-0000-000056090000}"/>
    <cellStyle name="Обычный 2 2 2 2 4 13" xfId="4171" xr:uid="{00000000-0005-0000-0000-000057090000}"/>
    <cellStyle name="Обычный 2 2 2 2 4 13 2" xfId="8022" xr:uid="{00000000-0005-0000-0000-000058090000}"/>
    <cellStyle name="Обычный 2 2 2 2 4 14" xfId="8371" xr:uid="{00000000-0005-0000-0000-000059090000}"/>
    <cellStyle name="Обычный 2 2 2 2 4 15" xfId="4470" xr:uid="{00000000-0005-0000-0000-00005A090000}"/>
    <cellStyle name="Обычный 2 2 2 2 4 2" xfId="799" xr:uid="{00000000-0005-0000-0000-00005B090000}"/>
    <cellStyle name="Обычный 2 2 2 2 4 2 2" xfId="8558" xr:uid="{00000000-0005-0000-0000-00005C090000}"/>
    <cellStyle name="Обычный 2 2 2 2 4 2 3" xfId="4766" xr:uid="{00000000-0005-0000-0000-00005D090000}"/>
    <cellStyle name="Обычный 2 2 2 2 4 3" xfId="1230" xr:uid="{00000000-0005-0000-0000-00005E090000}"/>
    <cellStyle name="Обычный 2 2 2 2 4 3 2" xfId="5062" xr:uid="{00000000-0005-0000-0000-00005F090000}"/>
    <cellStyle name="Обычный 2 2 2 2 4 4" xfId="1515" xr:uid="{00000000-0005-0000-0000-000060090000}"/>
    <cellStyle name="Обычный 2 2 2 2 4 4 2" xfId="5358" xr:uid="{00000000-0005-0000-0000-000061090000}"/>
    <cellStyle name="Обычный 2 2 2 2 4 5" xfId="1807" xr:uid="{00000000-0005-0000-0000-000062090000}"/>
    <cellStyle name="Обычный 2 2 2 2 4 5 2" xfId="5654" xr:uid="{00000000-0005-0000-0000-000063090000}"/>
    <cellStyle name="Обычный 2 2 2 2 4 6" xfId="2100" xr:uid="{00000000-0005-0000-0000-000064090000}"/>
    <cellStyle name="Обычный 2 2 2 2 4 6 2" xfId="5950" xr:uid="{00000000-0005-0000-0000-000065090000}"/>
    <cellStyle name="Обычный 2 2 2 2 4 7" xfId="2395" xr:uid="{00000000-0005-0000-0000-000066090000}"/>
    <cellStyle name="Обычный 2 2 2 2 4 7 2" xfId="6246" xr:uid="{00000000-0005-0000-0000-000067090000}"/>
    <cellStyle name="Обычный 2 2 2 2 4 8" xfId="2691" xr:uid="{00000000-0005-0000-0000-000068090000}"/>
    <cellStyle name="Обычный 2 2 2 2 4 8 2" xfId="6542" xr:uid="{00000000-0005-0000-0000-000069090000}"/>
    <cellStyle name="Обычный 2 2 2 2 4 9" xfId="2987" xr:uid="{00000000-0005-0000-0000-00006A090000}"/>
    <cellStyle name="Обычный 2 2 2 2 4 9 2" xfId="6838" xr:uid="{00000000-0005-0000-0000-00006B090000}"/>
    <cellStyle name="Обычный 2 2 2 2 5" xfId="609" xr:uid="{00000000-0005-0000-0000-00006C090000}"/>
    <cellStyle name="Обычный 2 2 2 2 5 2" xfId="8455" xr:uid="{00000000-0005-0000-0000-00006D090000}"/>
    <cellStyle name="Обычный 2 2 2 2 5 3" xfId="4618" xr:uid="{00000000-0005-0000-0000-00006E090000}"/>
    <cellStyle name="Обычный 2 2 2 2 6" xfId="800" xr:uid="{00000000-0005-0000-0000-00006F090000}"/>
    <cellStyle name="Обычный 2 2 2 2 6 2" xfId="8559" xr:uid="{00000000-0005-0000-0000-000070090000}"/>
    <cellStyle name="Обычный 2 2 2 2 6 3" xfId="4914" xr:uid="{00000000-0005-0000-0000-000071090000}"/>
    <cellStyle name="Обычный 2 2 2 2 7" xfId="1371" xr:uid="{00000000-0005-0000-0000-000072090000}"/>
    <cellStyle name="Обычный 2 2 2 2 7 2" xfId="5210" xr:uid="{00000000-0005-0000-0000-000073090000}"/>
    <cellStyle name="Обычный 2 2 2 2 8" xfId="1660" xr:uid="{00000000-0005-0000-0000-000074090000}"/>
    <cellStyle name="Обычный 2 2 2 2 8 2" xfId="5506" xr:uid="{00000000-0005-0000-0000-000075090000}"/>
    <cellStyle name="Обычный 2 2 2 2 9" xfId="1953" xr:uid="{00000000-0005-0000-0000-000076090000}"/>
    <cellStyle name="Обычный 2 2 2 2 9 2" xfId="5802" xr:uid="{00000000-0005-0000-0000-000077090000}"/>
    <cellStyle name="Обычный 2 2 2 20" xfId="8780" xr:uid="{00000000-0005-0000-0000-000078090000}"/>
    <cellStyle name="Обычный 2 2 2 21" xfId="8858" xr:uid="{00000000-0005-0000-0000-000079090000}"/>
    <cellStyle name="Обычный 2 2 2 3" xfId="143" xr:uid="{00000000-0005-0000-0000-00007A090000}"/>
    <cellStyle name="Обычный 2 2 2 3 10" xfId="2865" xr:uid="{00000000-0005-0000-0000-00007B090000}"/>
    <cellStyle name="Обычный 2 2 2 3 10 2" xfId="6716" xr:uid="{00000000-0005-0000-0000-00007C090000}"/>
    <cellStyle name="Обычный 2 2 2 3 11" xfId="3161" xr:uid="{00000000-0005-0000-0000-00007D090000}"/>
    <cellStyle name="Обычный 2 2 2 3 11 2" xfId="7012" xr:uid="{00000000-0005-0000-0000-00007E090000}"/>
    <cellStyle name="Обычный 2 2 2 3 12" xfId="3457" xr:uid="{00000000-0005-0000-0000-00007F090000}"/>
    <cellStyle name="Обычный 2 2 2 3 12 2" xfId="7308" xr:uid="{00000000-0005-0000-0000-000080090000}"/>
    <cellStyle name="Обычный 2 2 2 3 13" xfId="3753" xr:uid="{00000000-0005-0000-0000-000081090000}"/>
    <cellStyle name="Обычный 2 2 2 3 13 2" xfId="7604" xr:uid="{00000000-0005-0000-0000-000082090000}"/>
    <cellStyle name="Обычный 2 2 2 3 14" xfId="4049" xr:uid="{00000000-0005-0000-0000-000083090000}"/>
    <cellStyle name="Обычный 2 2 2 3 14 2" xfId="7900" xr:uid="{00000000-0005-0000-0000-000084090000}"/>
    <cellStyle name="Обычный 2 2 2 3 15" xfId="8198" xr:uid="{00000000-0005-0000-0000-000085090000}"/>
    <cellStyle name="Обычный 2 2 2 3 16" xfId="4346" xr:uid="{00000000-0005-0000-0000-000086090000}"/>
    <cellStyle name="Обычный 2 2 2 3 2" xfId="246" xr:uid="{00000000-0005-0000-0000-000087090000}"/>
    <cellStyle name="Обычный 2 2 2 3 2 10" xfId="3309" xr:uid="{00000000-0005-0000-0000-000088090000}"/>
    <cellStyle name="Обычный 2 2 2 3 2 10 2" xfId="7160" xr:uid="{00000000-0005-0000-0000-000089090000}"/>
    <cellStyle name="Обычный 2 2 2 3 2 11" xfId="3605" xr:uid="{00000000-0005-0000-0000-00008A090000}"/>
    <cellStyle name="Обычный 2 2 2 3 2 11 2" xfId="7456" xr:uid="{00000000-0005-0000-0000-00008B090000}"/>
    <cellStyle name="Обычный 2 2 2 3 2 12" xfId="3901" xr:uid="{00000000-0005-0000-0000-00008C090000}"/>
    <cellStyle name="Обычный 2 2 2 3 2 12 2" xfId="7752" xr:uid="{00000000-0005-0000-0000-00008D090000}"/>
    <cellStyle name="Обычный 2 2 2 3 2 13" xfId="4197" xr:uid="{00000000-0005-0000-0000-00008E090000}"/>
    <cellStyle name="Обычный 2 2 2 3 2 13 2" xfId="8048" xr:uid="{00000000-0005-0000-0000-00008F090000}"/>
    <cellStyle name="Обычный 2 2 2 3 2 14" xfId="8299" xr:uid="{00000000-0005-0000-0000-000090090000}"/>
    <cellStyle name="Обычный 2 2 2 3 2 15" xfId="4496" xr:uid="{00000000-0005-0000-0000-000091090000}"/>
    <cellStyle name="Обычный 2 2 2 3 2 2" xfId="801" xr:uid="{00000000-0005-0000-0000-000092090000}"/>
    <cellStyle name="Обычный 2 2 2 3 2 2 2" xfId="8560" xr:uid="{00000000-0005-0000-0000-000093090000}"/>
    <cellStyle name="Обычный 2 2 2 3 2 2 3" xfId="4792" xr:uid="{00000000-0005-0000-0000-000094090000}"/>
    <cellStyle name="Обычный 2 2 2 3 2 3" xfId="1255" xr:uid="{00000000-0005-0000-0000-000095090000}"/>
    <cellStyle name="Обычный 2 2 2 3 2 3 2" xfId="5088" xr:uid="{00000000-0005-0000-0000-000096090000}"/>
    <cellStyle name="Обычный 2 2 2 3 2 4" xfId="1541" xr:uid="{00000000-0005-0000-0000-000097090000}"/>
    <cellStyle name="Обычный 2 2 2 3 2 4 2" xfId="5384" xr:uid="{00000000-0005-0000-0000-000098090000}"/>
    <cellStyle name="Обычный 2 2 2 3 2 5" xfId="1833" xr:uid="{00000000-0005-0000-0000-000099090000}"/>
    <cellStyle name="Обычный 2 2 2 3 2 5 2" xfId="5680" xr:uid="{00000000-0005-0000-0000-00009A090000}"/>
    <cellStyle name="Обычный 2 2 2 3 2 6" xfId="2126" xr:uid="{00000000-0005-0000-0000-00009B090000}"/>
    <cellStyle name="Обычный 2 2 2 3 2 6 2" xfId="5976" xr:uid="{00000000-0005-0000-0000-00009C090000}"/>
    <cellStyle name="Обычный 2 2 2 3 2 7" xfId="2421" xr:uid="{00000000-0005-0000-0000-00009D090000}"/>
    <cellStyle name="Обычный 2 2 2 3 2 7 2" xfId="6272" xr:uid="{00000000-0005-0000-0000-00009E090000}"/>
    <cellStyle name="Обычный 2 2 2 3 2 8" xfId="2717" xr:uid="{00000000-0005-0000-0000-00009F090000}"/>
    <cellStyle name="Обычный 2 2 2 3 2 8 2" xfId="6568" xr:uid="{00000000-0005-0000-0000-0000A0090000}"/>
    <cellStyle name="Обычный 2 2 2 3 2 9" xfId="3013" xr:uid="{00000000-0005-0000-0000-0000A1090000}"/>
    <cellStyle name="Обычный 2 2 2 3 2 9 2" xfId="6864" xr:uid="{00000000-0005-0000-0000-0000A2090000}"/>
    <cellStyle name="Обычный 2 2 2 3 3" xfId="347" xr:uid="{00000000-0005-0000-0000-0000A3090000}"/>
    <cellStyle name="Обычный 2 2 2 3 3 2" xfId="802" xr:uid="{00000000-0005-0000-0000-0000A4090000}"/>
    <cellStyle name="Обычный 2 2 2 3 3 3" xfId="8399" xr:uid="{00000000-0005-0000-0000-0000A5090000}"/>
    <cellStyle name="Обычный 2 2 2 3 3 4" xfId="4644" xr:uid="{00000000-0005-0000-0000-0000A6090000}"/>
    <cellStyle name="Обычный 2 2 2 3 4" xfId="803" xr:uid="{00000000-0005-0000-0000-0000A7090000}"/>
    <cellStyle name="Обычный 2 2 2 3 4 2" xfId="8561" xr:uid="{00000000-0005-0000-0000-0000A8090000}"/>
    <cellStyle name="Обычный 2 2 2 3 4 3" xfId="4940" xr:uid="{00000000-0005-0000-0000-0000A9090000}"/>
    <cellStyle name="Обычный 2 2 2 3 5" xfId="1397" xr:uid="{00000000-0005-0000-0000-0000AA090000}"/>
    <cellStyle name="Обычный 2 2 2 3 5 2" xfId="5236" xr:uid="{00000000-0005-0000-0000-0000AB090000}"/>
    <cellStyle name="Обычный 2 2 2 3 6" xfId="1686" xr:uid="{00000000-0005-0000-0000-0000AC090000}"/>
    <cellStyle name="Обычный 2 2 2 3 6 2" xfId="5532" xr:uid="{00000000-0005-0000-0000-0000AD090000}"/>
    <cellStyle name="Обычный 2 2 2 3 7" xfId="1979" xr:uid="{00000000-0005-0000-0000-0000AE090000}"/>
    <cellStyle name="Обычный 2 2 2 3 7 2" xfId="5828" xr:uid="{00000000-0005-0000-0000-0000AF090000}"/>
    <cellStyle name="Обычный 2 2 2 3 8" xfId="2273" xr:uid="{00000000-0005-0000-0000-0000B0090000}"/>
    <cellStyle name="Обычный 2 2 2 3 8 2" xfId="6124" xr:uid="{00000000-0005-0000-0000-0000B1090000}"/>
    <cellStyle name="Обычный 2 2 2 3 9" xfId="2569" xr:uid="{00000000-0005-0000-0000-0000B2090000}"/>
    <cellStyle name="Обычный 2 2 2 3 9 2" xfId="6420" xr:uid="{00000000-0005-0000-0000-0000B3090000}"/>
    <cellStyle name="Обычный 2 2 2 4" xfId="196" xr:uid="{00000000-0005-0000-0000-0000B4090000}"/>
    <cellStyle name="Обычный 2 2 2 4 10" xfId="2915" xr:uid="{00000000-0005-0000-0000-0000B5090000}"/>
    <cellStyle name="Обычный 2 2 2 4 10 2" xfId="6766" xr:uid="{00000000-0005-0000-0000-0000B6090000}"/>
    <cellStyle name="Обычный 2 2 2 4 11" xfId="3211" xr:uid="{00000000-0005-0000-0000-0000B7090000}"/>
    <cellStyle name="Обычный 2 2 2 4 11 2" xfId="7062" xr:uid="{00000000-0005-0000-0000-0000B8090000}"/>
    <cellStyle name="Обычный 2 2 2 4 12" xfId="3507" xr:uid="{00000000-0005-0000-0000-0000B9090000}"/>
    <cellStyle name="Обычный 2 2 2 4 12 2" xfId="7358" xr:uid="{00000000-0005-0000-0000-0000BA090000}"/>
    <cellStyle name="Обычный 2 2 2 4 13" xfId="3803" xr:uid="{00000000-0005-0000-0000-0000BB090000}"/>
    <cellStyle name="Обычный 2 2 2 4 13 2" xfId="7654" xr:uid="{00000000-0005-0000-0000-0000BC090000}"/>
    <cellStyle name="Обычный 2 2 2 4 14" xfId="4099" xr:uid="{00000000-0005-0000-0000-0000BD090000}"/>
    <cellStyle name="Обычный 2 2 2 4 14 2" xfId="7950" xr:uid="{00000000-0005-0000-0000-0000BE090000}"/>
    <cellStyle name="Обычный 2 2 2 4 15" xfId="8249" xr:uid="{00000000-0005-0000-0000-0000BF090000}"/>
    <cellStyle name="Обычный 2 2 2 4 16" xfId="4397" xr:uid="{00000000-0005-0000-0000-0000C0090000}"/>
    <cellStyle name="Обычный 2 2 2 4 2" xfId="804" xr:uid="{00000000-0005-0000-0000-0000C1090000}"/>
    <cellStyle name="Обычный 2 2 2 4 2 10" xfId="3359" xr:uid="{00000000-0005-0000-0000-0000C2090000}"/>
    <cellStyle name="Обычный 2 2 2 4 2 10 2" xfId="7210" xr:uid="{00000000-0005-0000-0000-0000C3090000}"/>
    <cellStyle name="Обычный 2 2 2 4 2 11" xfId="3655" xr:uid="{00000000-0005-0000-0000-0000C4090000}"/>
    <cellStyle name="Обычный 2 2 2 4 2 11 2" xfId="7506" xr:uid="{00000000-0005-0000-0000-0000C5090000}"/>
    <cellStyle name="Обычный 2 2 2 4 2 12" xfId="3951" xr:uid="{00000000-0005-0000-0000-0000C6090000}"/>
    <cellStyle name="Обычный 2 2 2 4 2 12 2" xfId="7802" xr:uid="{00000000-0005-0000-0000-0000C7090000}"/>
    <cellStyle name="Обычный 2 2 2 4 2 13" xfId="4247" xr:uid="{00000000-0005-0000-0000-0000C8090000}"/>
    <cellStyle name="Обычный 2 2 2 4 2 13 2" xfId="8098" xr:uid="{00000000-0005-0000-0000-0000C9090000}"/>
    <cellStyle name="Обычный 2 2 2 4 2 14" xfId="8562" xr:uid="{00000000-0005-0000-0000-0000CA090000}"/>
    <cellStyle name="Обычный 2 2 2 4 2 15" xfId="4546" xr:uid="{00000000-0005-0000-0000-0000CB090000}"/>
    <cellStyle name="Обычный 2 2 2 4 2 2" xfId="1114" xr:uid="{00000000-0005-0000-0000-0000CC090000}"/>
    <cellStyle name="Обычный 2 2 2 4 2 2 2" xfId="4842" xr:uid="{00000000-0005-0000-0000-0000CD090000}"/>
    <cellStyle name="Обычный 2 2 2 4 2 3" xfId="1303" xr:uid="{00000000-0005-0000-0000-0000CE090000}"/>
    <cellStyle name="Обычный 2 2 2 4 2 3 2" xfId="5138" xr:uid="{00000000-0005-0000-0000-0000CF090000}"/>
    <cellStyle name="Обычный 2 2 2 4 2 4" xfId="1590" xr:uid="{00000000-0005-0000-0000-0000D0090000}"/>
    <cellStyle name="Обычный 2 2 2 4 2 4 2" xfId="5434" xr:uid="{00000000-0005-0000-0000-0000D1090000}"/>
    <cellStyle name="Обычный 2 2 2 4 2 5" xfId="1883" xr:uid="{00000000-0005-0000-0000-0000D2090000}"/>
    <cellStyle name="Обычный 2 2 2 4 2 5 2" xfId="5730" xr:uid="{00000000-0005-0000-0000-0000D3090000}"/>
    <cellStyle name="Обычный 2 2 2 4 2 6" xfId="2176" xr:uid="{00000000-0005-0000-0000-0000D4090000}"/>
    <cellStyle name="Обычный 2 2 2 4 2 6 2" xfId="6026" xr:uid="{00000000-0005-0000-0000-0000D5090000}"/>
    <cellStyle name="Обычный 2 2 2 4 2 7" xfId="2471" xr:uid="{00000000-0005-0000-0000-0000D6090000}"/>
    <cellStyle name="Обычный 2 2 2 4 2 7 2" xfId="6322" xr:uid="{00000000-0005-0000-0000-0000D7090000}"/>
    <cellStyle name="Обычный 2 2 2 4 2 8" xfId="2767" xr:uid="{00000000-0005-0000-0000-0000D8090000}"/>
    <cellStyle name="Обычный 2 2 2 4 2 8 2" xfId="6618" xr:uid="{00000000-0005-0000-0000-0000D9090000}"/>
    <cellStyle name="Обычный 2 2 2 4 2 9" xfId="3063" xr:uid="{00000000-0005-0000-0000-0000DA090000}"/>
    <cellStyle name="Обычный 2 2 2 4 2 9 2" xfId="6914" xr:uid="{00000000-0005-0000-0000-0000DB090000}"/>
    <cellStyle name="Обычный 2 2 2 4 3" xfId="1067" xr:uid="{00000000-0005-0000-0000-0000DC090000}"/>
    <cellStyle name="Обычный 2 2 2 4 3 2" xfId="4694" xr:uid="{00000000-0005-0000-0000-0000DD090000}"/>
    <cellStyle name="Обычный 2 2 2 4 4" xfId="1161" xr:uid="{00000000-0005-0000-0000-0000DE090000}"/>
    <cellStyle name="Обычный 2 2 2 4 4 2" xfId="4990" xr:uid="{00000000-0005-0000-0000-0000DF090000}"/>
    <cellStyle name="Обычный 2 2 2 4 5" xfId="1444" xr:uid="{00000000-0005-0000-0000-0000E0090000}"/>
    <cellStyle name="Обычный 2 2 2 4 5 2" xfId="5286" xr:uid="{00000000-0005-0000-0000-0000E1090000}"/>
    <cellStyle name="Обычный 2 2 2 4 6" xfId="1735" xr:uid="{00000000-0005-0000-0000-0000E2090000}"/>
    <cellStyle name="Обычный 2 2 2 4 6 2" xfId="5582" xr:uid="{00000000-0005-0000-0000-0000E3090000}"/>
    <cellStyle name="Обычный 2 2 2 4 7" xfId="2028" xr:uid="{00000000-0005-0000-0000-0000E4090000}"/>
    <cellStyle name="Обычный 2 2 2 4 7 2" xfId="5878" xr:uid="{00000000-0005-0000-0000-0000E5090000}"/>
    <cellStyle name="Обычный 2 2 2 4 8" xfId="2323" xr:uid="{00000000-0005-0000-0000-0000E6090000}"/>
    <cellStyle name="Обычный 2 2 2 4 8 2" xfId="6174" xr:uid="{00000000-0005-0000-0000-0000E7090000}"/>
    <cellStyle name="Обычный 2 2 2 4 9" xfId="2619" xr:uid="{00000000-0005-0000-0000-0000E8090000}"/>
    <cellStyle name="Обычный 2 2 2 4 9 2" xfId="6470" xr:uid="{00000000-0005-0000-0000-0000E9090000}"/>
    <cellStyle name="Обычный 2 2 2 5" xfId="297" xr:uid="{00000000-0005-0000-0000-0000EA090000}"/>
    <cellStyle name="Обычный 2 2 2 5 10" xfId="3261" xr:uid="{00000000-0005-0000-0000-0000EB090000}"/>
    <cellStyle name="Обычный 2 2 2 5 10 2" xfId="7112" xr:uid="{00000000-0005-0000-0000-0000EC090000}"/>
    <cellStyle name="Обычный 2 2 2 5 11" xfId="3557" xr:uid="{00000000-0005-0000-0000-0000ED090000}"/>
    <cellStyle name="Обычный 2 2 2 5 11 2" xfId="7408" xr:uid="{00000000-0005-0000-0000-0000EE090000}"/>
    <cellStyle name="Обычный 2 2 2 5 12" xfId="3853" xr:uid="{00000000-0005-0000-0000-0000EF090000}"/>
    <cellStyle name="Обычный 2 2 2 5 12 2" xfId="7704" xr:uid="{00000000-0005-0000-0000-0000F0090000}"/>
    <cellStyle name="Обычный 2 2 2 5 13" xfId="4149" xr:uid="{00000000-0005-0000-0000-0000F1090000}"/>
    <cellStyle name="Обычный 2 2 2 5 13 2" xfId="8000" xr:uid="{00000000-0005-0000-0000-0000F2090000}"/>
    <cellStyle name="Обычный 2 2 2 5 14" xfId="8349" xr:uid="{00000000-0005-0000-0000-0000F3090000}"/>
    <cellStyle name="Обычный 2 2 2 5 15" xfId="4448" xr:uid="{00000000-0005-0000-0000-0000F4090000}"/>
    <cellStyle name="Обычный 2 2 2 5 2" xfId="805" xr:uid="{00000000-0005-0000-0000-0000F5090000}"/>
    <cellStyle name="Обычный 2 2 2 5 2 2" xfId="8563" xr:uid="{00000000-0005-0000-0000-0000F6090000}"/>
    <cellStyle name="Обычный 2 2 2 5 2 3" xfId="4744" xr:uid="{00000000-0005-0000-0000-0000F7090000}"/>
    <cellStyle name="Обычный 2 2 2 5 3" xfId="1208" xr:uid="{00000000-0005-0000-0000-0000F8090000}"/>
    <cellStyle name="Обычный 2 2 2 5 3 2" xfId="5040" xr:uid="{00000000-0005-0000-0000-0000F9090000}"/>
    <cellStyle name="Обычный 2 2 2 5 4" xfId="1493" xr:uid="{00000000-0005-0000-0000-0000FA090000}"/>
    <cellStyle name="Обычный 2 2 2 5 4 2" xfId="5336" xr:uid="{00000000-0005-0000-0000-0000FB090000}"/>
    <cellStyle name="Обычный 2 2 2 5 5" xfId="1785" xr:uid="{00000000-0005-0000-0000-0000FC090000}"/>
    <cellStyle name="Обычный 2 2 2 5 5 2" xfId="5632" xr:uid="{00000000-0005-0000-0000-0000FD090000}"/>
    <cellStyle name="Обычный 2 2 2 5 6" xfId="2078" xr:uid="{00000000-0005-0000-0000-0000FE090000}"/>
    <cellStyle name="Обычный 2 2 2 5 6 2" xfId="5928" xr:uid="{00000000-0005-0000-0000-0000FF090000}"/>
    <cellStyle name="Обычный 2 2 2 5 7" xfId="2373" xr:uid="{00000000-0005-0000-0000-0000000A0000}"/>
    <cellStyle name="Обычный 2 2 2 5 7 2" xfId="6224" xr:uid="{00000000-0005-0000-0000-0000010A0000}"/>
    <cellStyle name="Обычный 2 2 2 5 8" xfId="2669" xr:uid="{00000000-0005-0000-0000-0000020A0000}"/>
    <cellStyle name="Обычный 2 2 2 5 8 2" xfId="6520" xr:uid="{00000000-0005-0000-0000-0000030A0000}"/>
    <cellStyle name="Обычный 2 2 2 5 9" xfId="2965" xr:uid="{00000000-0005-0000-0000-0000040A0000}"/>
    <cellStyle name="Обычный 2 2 2 5 9 2" xfId="6816" xr:uid="{00000000-0005-0000-0000-0000050A0000}"/>
    <cellStyle name="Обычный 2 2 2 6" xfId="400" xr:uid="{00000000-0005-0000-0000-0000060A0000}"/>
    <cellStyle name="Обычный 2 2 2 6 2" xfId="8447" xr:uid="{00000000-0005-0000-0000-0000070A0000}"/>
    <cellStyle name="Обычный 2 2 2 6 3" xfId="4596" xr:uid="{00000000-0005-0000-0000-0000080A0000}"/>
    <cellStyle name="Обычный 2 2 2 7" xfId="806" xr:uid="{00000000-0005-0000-0000-0000090A0000}"/>
    <cellStyle name="Обычный 2 2 2 7 2" xfId="8564" xr:uid="{00000000-0005-0000-0000-00000A0A0000}"/>
    <cellStyle name="Обычный 2 2 2 7 3" xfId="4892" xr:uid="{00000000-0005-0000-0000-00000B0A0000}"/>
    <cellStyle name="Обычный 2 2 2 8" xfId="1350" xr:uid="{00000000-0005-0000-0000-00000C0A0000}"/>
    <cellStyle name="Обычный 2 2 2 8 2" xfId="5188" xr:uid="{00000000-0005-0000-0000-00000D0A0000}"/>
    <cellStyle name="Обычный 2 2 2 9" xfId="1639" xr:uid="{00000000-0005-0000-0000-00000E0A0000}"/>
    <cellStyle name="Обычный 2 2 2 9 2" xfId="5484" xr:uid="{00000000-0005-0000-0000-00000F0A0000}"/>
    <cellStyle name="Обычный 2 2 20" xfId="3994" xr:uid="{00000000-0005-0000-0000-0000100A0000}"/>
    <cellStyle name="Обычный 2 2 20 2" xfId="7845" xr:uid="{00000000-0005-0000-0000-0000110A0000}"/>
    <cellStyle name="Обычный 2 2 21" xfId="8141" xr:uid="{00000000-0005-0000-0000-0000120A0000}"/>
    <cellStyle name="Обычный 2 2 22" xfId="4290" xr:uid="{00000000-0005-0000-0000-0000130A0000}"/>
    <cellStyle name="Обычный 2 2 23" xfId="8859" xr:uid="{00000000-0005-0000-0000-0000140A0000}"/>
    <cellStyle name="Обычный 2 2 3" xfId="63" xr:uid="{00000000-0005-0000-0000-0000150A0000}"/>
    <cellStyle name="Обычный 2 2 3 10" xfId="1933" xr:uid="{00000000-0005-0000-0000-0000160A0000}"/>
    <cellStyle name="Обычный 2 2 3 10 2" xfId="5781" xr:uid="{00000000-0005-0000-0000-0000170A0000}"/>
    <cellStyle name="Обычный 2 2 3 11" xfId="2227" xr:uid="{00000000-0005-0000-0000-0000180A0000}"/>
    <cellStyle name="Обычный 2 2 3 11 2" xfId="6077" xr:uid="{00000000-0005-0000-0000-0000190A0000}"/>
    <cellStyle name="Обычный 2 2 3 12" xfId="2522" xr:uid="{00000000-0005-0000-0000-00001A0A0000}"/>
    <cellStyle name="Обычный 2 2 3 12 2" xfId="6373" xr:uid="{00000000-0005-0000-0000-00001B0A0000}"/>
    <cellStyle name="Обычный 2 2 3 13" xfId="2818" xr:uid="{00000000-0005-0000-0000-00001C0A0000}"/>
    <cellStyle name="Обычный 2 2 3 13 2" xfId="6669" xr:uid="{00000000-0005-0000-0000-00001D0A0000}"/>
    <cellStyle name="Обычный 2 2 3 14" xfId="3114" xr:uid="{00000000-0005-0000-0000-00001E0A0000}"/>
    <cellStyle name="Обычный 2 2 3 14 2" xfId="6965" xr:uid="{00000000-0005-0000-0000-00001F0A0000}"/>
    <cellStyle name="Обычный 2 2 3 15" xfId="3410" xr:uid="{00000000-0005-0000-0000-0000200A0000}"/>
    <cellStyle name="Обычный 2 2 3 15 2" xfId="7261" xr:uid="{00000000-0005-0000-0000-0000210A0000}"/>
    <cellStyle name="Обычный 2 2 3 16" xfId="3706" xr:uid="{00000000-0005-0000-0000-0000220A0000}"/>
    <cellStyle name="Обычный 2 2 3 16 2" xfId="7557" xr:uid="{00000000-0005-0000-0000-0000230A0000}"/>
    <cellStyle name="Обычный 2 2 3 17" xfId="4002" xr:uid="{00000000-0005-0000-0000-0000240A0000}"/>
    <cellStyle name="Обычный 2 2 3 17 2" xfId="7853" xr:uid="{00000000-0005-0000-0000-0000250A0000}"/>
    <cellStyle name="Обычный 2 2 3 18" xfId="8149" xr:uid="{00000000-0005-0000-0000-0000260A0000}"/>
    <cellStyle name="Обычный 2 2 3 19" xfId="4298" xr:uid="{00000000-0005-0000-0000-0000270A0000}"/>
    <cellStyle name="Обычный 2 2 3 2" xfId="113" xr:uid="{00000000-0005-0000-0000-0000280A0000}"/>
    <cellStyle name="Обычный 2 2 3 2 10" xfId="2248" xr:uid="{00000000-0005-0000-0000-0000290A0000}"/>
    <cellStyle name="Обычный 2 2 3 2 10 2" xfId="6099" xr:uid="{00000000-0005-0000-0000-00002A0A0000}"/>
    <cellStyle name="Обычный 2 2 3 2 11" xfId="2544" xr:uid="{00000000-0005-0000-0000-00002B0A0000}"/>
    <cellStyle name="Обычный 2 2 3 2 11 2" xfId="6395" xr:uid="{00000000-0005-0000-0000-00002C0A0000}"/>
    <cellStyle name="Обычный 2 2 3 2 12" xfId="2840" xr:uid="{00000000-0005-0000-0000-00002D0A0000}"/>
    <cellStyle name="Обычный 2 2 3 2 12 2" xfId="6691" xr:uid="{00000000-0005-0000-0000-00002E0A0000}"/>
    <cellStyle name="Обычный 2 2 3 2 13" xfId="3136" xr:uid="{00000000-0005-0000-0000-00002F0A0000}"/>
    <cellStyle name="Обычный 2 2 3 2 13 2" xfId="6987" xr:uid="{00000000-0005-0000-0000-0000300A0000}"/>
    <cellStyle name="Обычный 2 2 3 2 14" xfId="3432" xr:uid="{00000000-0005-0000-0000-0000310A0000}"/>
    <cellStyle name="Обычный 2 2 3 2 14 2" xfId="7283" xr:uid="{00000000-0005-0000-0000-0000320A0000}"/>
    <cellStyle name="Обычный 2 2 3 2 15" xfId="3728" xr:uid="{00000000-0005-0000-0000-0000330A0000}"/>
    <cellStyle name="Обычный 2 2 3 2 15 2" xfId="7579" xr:uid="{00000000-0005-0000-0000-0000340A0000}"/>
    <cellStyle name="Обычный 2 2 3 2 16" xfId="4024" xr:uid="{00000000-0005-0000-0000-0000350A0000}"/>
    <cellStyle name="Обычный 2 2 3 2 16 2" xfId="7875" xr:uid="{00000000-0005-0000-0000-0000360A0000}"/>
    <cellStyle name="Обычный 2 2 3 2 17" xfId="8171" xr:uid="{00000000-0005-0000-0000-0000370A0000}"/>
    <cellStyle name="Обычный 2 2 3 2 18" xfId="4320" xr:uid="{00000000-0005-0000-0000-0000380A0000}"/>
    <cellStyle name="Обычный 2 2 3 2 2" xfId="166" xr:uid="{00000000-0005-0000-0000-0000390A0000}"/>
    <cellStyle name="Обычный 2 2 3 2 2 10" xfId="2888" xr:uid="{00000000-0005-0000-0000-00003A0A0000}"/>
    <cellStyle name="Обычный 2 2 3 2 2 10 2" xfId="6739" xr:uid="{00000000-0005-0000-0000-00003B0A0000}"/>
    <cellStyle name="Обычный 2 2 3 2 2 11" xfId="3184" xr:uid="{00000000-0005-0000-0000-00003C0A0000}"/>
    <cellStyle name="Обычный 2 2 3 2 2 11 2" xfId="7035" xr:uid="{00000000-0005-0000-0000-00003D0A0000}"/>
    <cellStyle name="Обычный 2 2 3 2 2 12" xfId="3480" xr:uid="{00000000-0005-0000-0000-00003E0A0000}"/>
    <cellStyle name="Обычный 2 2 3 2 2 12 2" xfId="7331" xr:uid="{00000000-0005-0000-0000-00003F0A0000}"/>
    <cellStyle name="Обычный 2 2 3 2 2 13" xfId="3776" xr:uid="{00000000-0005-0000-0000-0000400A0000}"/>
    <cellStyle name="Обычный 2 2 3 2 2 13 2" xfId="7627" xr:uid="{00000000-0005-0000-0000-0000410A0000}"/>
    <cellStyle name="Обычный 2 2 3 2 2 14" xfId="4072" xr:uid="{00000000-0005-0000-0000-0000420A0000}"/>
    <cellStyle name="Обычный 2 2 3 2 2 14 2" xfId="7923" xr:uid="{00000000-0005-0000-0000-0000430A0000}"/>
    <cellStyle name="Обычный 2 2 3 2 2 15" xfId="8221" xr:uid="{00000000-0005-0000-0000-0000440A0000}"/>
    <cellStyle name="Обычный 2 2 3 2 2 16" xfId="4369" xr:uid="{00000000-0005-0000-0000-0000450A0000}"/>
    <cellStyle name="Обычный 2 2 3 2 2 2" xfId="269" xr:uid="{00000000-0005-0000-0000-0000460A0000}"/>
    <cellStyle name="Обычный 2 2 3 2 2 2 10" xfId="3332" xr:uid="{00000000-0005-0000-0000-0000470A0000}"/>
    <cellStyle name="Обычный 2 2 3 2 2 2 10 2" xfId="7183" xr:uid="{00000000-0005-0000-0000-0000480A0000}"/>
    <cellStyle name="Обычный 2 2 3 2 2 2 11" xfId="3628" xr:uid="{00000000-0005-0000-0000-0000490A0000}"/>
    <cellStyle name="Обычный 2 2 3 2 2 2 11 2" xfId="7479" xr:uid="{00000000-0005-0000-0000-00004A0A0000}"/>
    <cellStyle name="Обычный 2 2 3 2 2 2 12" xfId="3924" xr:uid="{00000000-0005-0000-0000-00004B0A0000}"/>
    <cellStyle name="Обычный 2 2 3 2 2 2 12 2" xfId="7775" xr:uid="{00000000-0005-0000-0000-00004C0A0000}"/>
    <cellStyle name="Обычный 2 2 3 2 2 2 13" xfId="4220" xr:uid="{00000000-0005-0000-0000-00004D0A0000}"/>
    <cellStyle name="Обычный 2 2 3 2 2 2 13 2" xfId="8071" xr:uid="{00000000-0005-0000-0000-00004E0A0000}"/>
    <cellStyle name="Обычный 2 2 3 2 2 2 14" xfId="8322" xr:uid="{00000000-0005-0000-0000-00004F0A0000}"/>
    <cellStyle name="Обычный 2 2 3 2 2 2 15" xfId="4519" xr:uid="{00000000-0005-0000-0000-0000500A0000}"/>
    <cellStyle name="Обычный 2 2 3 2 2 2 2" xfId="807" xr:uid="{00000000-0005-0000-0000-0000510A0000}"/>
    <cellStyle name="Обычный 2 2 3 2 2 2 2 2" xfId="8565" xr:uid="{00000000-0005-0000-0000-0000520A0000}"/>
    <cellStyle name="Обычный 2 2 3 2 2 2 2 3" xfId="4815" xr:uid="{00000000-0005-0000-0000-0000530A0000}"/>
    <cellStyle name="Обычный 2 2 3 2 2 2 3" xfId="1277" xr:uid="{00000000-0005-0000-0000-0000540A0000}"/>
    <cellStyle name="Обычный 2 2 3 2 2 2 3 2" xfId="5111" xr:uid="{00000000-0005-0000-0000-0000550A0000}"/>
    <cellStyle name="Обычный 2 2 3 2 2 2 4" xfId="1563" xr:uid="{00000000-0005-0000-0000-0000560A0000}"/>
    <cellStyle name="Обычный 2 2 3 2 2 2 4 2" xfId="5407" xr:uid="{00000000-0005-0000-0000-0000570A0000}"/>
    <cellStyle name="Обычный 2 2 3 2 2 2 5" xfId="1856" xr:uid="{00000000-0005-0000-0000-0000580A0000}"/>
    <cellStyle name="Обычный 2 2 3 2 2 2 5 2" xfId="5703" xr:uid="{00000000-0005-0000-0000-0000590A0000}"/>
    <cellStyle name="Обычный 2 2 3 2 2 2 6" xfId="2149" xr:uid="{00000000-0005-0000-0000-00005A0A0000}"/>
    <cellStyle name="Обычный 2 2 3 2 2 2 6 2" xfId="5999" xr:uid="{00000000-0005-0000-0000-00005B0A0000}"/>
    <cellStyle name="Обычный 2 2 3 2 2 2 7" xfId="2444" xr:uid="{00000000-0005-0000-0000-00005C0A0000}"/>
    <cellStyle name="Обычный 2 2 3 2 2 2 7 2" xfId="6295" xr:uid="{00000000-0005-0000-0000-00005D0A0000}"/>
    <cellStyle name="Обычный 2 2 3 2 2 2 8" xfId="2740" xr:uid="{00000000-0005-0000-0000-00005E0A0000}"/>
    <cellStyle name="Обычный 2 2 3 2 2 2 8 2" xfId="6591" xr:uid="{00000000-0005-0000-0000-00005F0A0000}"/>
    <cellStyle name="Обычный 2 2 3 2 2 2 9" xfId="3036" xr:uid="{00000000-0005-0000-0000-0000600A0000}"/>
    <cellStyle name="Обычный 2 2 3 2 2 2 9 2" xfId="6887" xr:uid="{00000000-0005-0000-0000-0000610A0000}"/>
    <cellStyle name="Обычный 2 2 3 2 2 3" xfId="370" xr:uid="{00000000-0005-0000-0000-0000620A0000}"/>
    <cellStyle name="Обычный 2 2 3 2 2 3 2" xfId="808" xr:uid="{00000000-0005-0000-0000-0000630A0000}"/>
    <cellStyle name="Обычный 2 2 3 2 2 3 3" xfId="8422" xr:uid="{00000000-0005-0000-0000-0000640A0000}"/>
    <cellStyle name="Обычный 2 2 3 2 2 3 4" xfId="4667" xr:uid="{00000000-0005-0000-0000-0000650A0000}"/>
    <cellStyle name="Обычный 2 2 3 2 2 4" xfId="809" xr:uid="{00000000-0005-0000-0000-0000660A0000}"/>
    <cellStyle name="Обычный 2 2 3 2 2 4 2" xfId="8566" xr:uid="{00000000-0005-0000-0000-0000670A0000}"/>
    <cellStyle name="Обычный 2 2 3 2 2 4 3" xfId="4963" xr:uid="{00000000-0005-0000-0000-0000680A0000}"/>
    <cellStyle name="Обычный 2 2 3 2 2 5" xfId="1419" xr:uid="{00000000-0005-0000-0000-0000690A0000}"/>
    <cellStyle name="Обычный 2 2 3 2 2 5 2" xfId="5259" xr:uid="{00000000-0005-0000-0000-00006A0A0000}"/>
    <cellStyle name="Обычный 2 2 3 2 2 6" xfId="1709" xr:uid="{00000000-0005-0000-0000-00006B0A0000}"/>
    <cellStyle name="Обычный 2 2 3 2 2 6 2" xfId="5555" xr:uid="{00000000-0005-0000-0000-00006C0A0000}"/>
    <cellStyle name="Обычный 2 2 3 2 2 7" xfId="2001" xr:uid="{00000000-0005-0000-0000-00006D0A0000}"/>
    <cellStyle name="Обычный 2 2 3 2 2 7 2" xfId="5851" xr:uid="{00000000-0005-0000-0000-00006E0A0000}"/>
    <cellStyle name="Обычный 2 2 3 2 2 8" xfId="2296" xr:uid="{00000000-0005-0000-0000-00006F0A0000}"/>
    <cellStyle name="Обычный 2 2 3 2 2 8 2" xfId="6147" xr:uid="{00000000-0005-0000-0000-0000700A0000}"/>
    <cellStyle name="Обычный 2 2 3 2 2 9" xfId="2592" xr:uid="{00000000-0005-0000-0000-0000710A0000}"/>
    <cellStyle name="Обычный 2 2 3 2 2 9 2" xfId="6443" xr:uid="{00000000-0005-0000-0000-0000720A0000}"/>
    <cellStyle name="Обычный 2 2 3 2 3" xfId="219" xr:uid="{00000000-0005-0000-0000-0000730A0000}"/>
    <cellStyle name="Обычный 2 2 3 2 3 10" xfId="2938" xr:uid="{00000000-0005-0000-0000-0000740A0000}"/>
    <cellStyle name="Обычный 2 2 3 2 3 10 2" xfId="6789" xr:uid="{00000000-0005-0000-0000-0000750A0000}"/>
    <cellStyle name="Обычный 2 2 3 2 3 11" xfId="3234" xr:uid="{00000000-0005-0000-0000-0000760A0000}"/>
    <cellStyle name="Обычный 2 2 3 2 3 11 2" xfId="7085" xr:uid="{00000000-0005-0000-0000-0000770A0000}"/>
    <cellStyle name="Обычный 2 2 3 2 3 12" xfId="3530" xr:uid="{00000000-0005-0000-0000-0000780A0000}"/>
    <cellStyle name="Обычный 2 2 3 2 3 12 2" xfId="7381" xr:uid="{00000000-0005-0000-0000-0000790A0000}"/>
    <cellStyle name="Обычный 2 2 3 2 3 13" xfId="3826" xr:uid="{00000000-0005-0000-0000-00007A0A0000}"/>
    <cellStyle name="Обычный 2 2 3 2 3 13 2" xfId="7677" xr:uid="{00000000-0005-0000-0000-00007B0A0000}"/>
    <cellStyle name="Обычный 2 2 3 2 3 14" xfId="4122" xr:uid="{00000000-0005-0000-0000-00007C0A0000}"/>
    <cellStyle name="Обычный 2 2 3 2 3 14 2" xfId="7973" xr:uid="{00000000-0005-0000-0000-00007D0A0000}"/>
    <cellStyle name="Обычный 2 2 3 2 3 15" xfId="8272" xr:uid="{00000000-0005-0000-0000-00007E0A0000}"/>
    <cellStyle name="Обычный 2 2 3 2 3 16" xfId="4420" xr:uid="{00000000-0005-0000-0000-00007F0A0000}"/>
    <cellStyle name="Обычный 2 2 3 2 3 2" xfId="810" xr:uid="{00000000-0005-0000-0000-0000800A0000}"/>
    <cellStyle name="Обычный 2 2 3 2 3 2 10" xfId="3382" xr:uid="{00000000-0005-0000-0000-0000810A0000}"/>
    <cellStyle name="Обычный 2 2 3 2 3 2 10 2" xfId="7233" xr:uid="{00000000-0005-0000-0000-0000820A0000}"/>
    <cellStyle name="Обычный 2 2 3 2 3 2 11" xfId="3678" xr:uid="{00000000-0005-0000-0000-0000830A0000}"/>
    <cellStyle name="Обычный 2 2 3 2 3 2 11 2" xfId="7529" xr:uid="{00000000-0005-0000-0000-0000840A0000}"/>
    <cellStyle name="Обычный 2 2 3 2 3 2 12" xfId="3974" xr:uid="{00000000-0005-0000-0000-0000850A0000}"/>
    <cellStyle name="Обычный 2 2 3 2 3 2 12 2" xfId="7825" xr:uid="{00000000-0005-0000-0000-0000860A0000}"/>
    <cellStyle name="Обычный 2 2 3 2 3 2 13" xfId="4270" xr:uid="{00000000-0005-0000-0000-0000870A0000}"/>
    <cellStyle name="Обычный 2 2 3 2 3 2 13 2" xfId="8121" xr:uid="{00000000-0005-0000-0000-0000880A0000}"/>
    <cellStyle name="Обычный 2 2 3 2 3 2 14" xfId="8567" xr:uid="{00000000-0005-0000-0000-0000890A0000}"/>
    <cellStyle name="Обычный 2 2 3 2 3 2 15" xfId="4569" xr:uid="{00000000-0005-0000-0000-00008A0A0000}"/>
    <cellStyle name="Обычный 2 2 3 2 3 2 2" xfId="1136" xr:uid="{00000000-0005-0000-0000-00008B0A0000}"/>
    <cellStyle name="Обычный 2 2 3 2 3 2 2 2" xfId="4865" xr:uid="{00000000-0005-0000-0000-00008C0A0000}"/>
    <cellStyle name="Обычный 2 2 3 2 3 2 3" xfId="1325" xr:uid="{00000000-0005-0000-0000-00008D0A0000}"/>
    <cellStyle name="Обычный 2 2 3 2 3 2 3 2" xfId="5161" xr:uid="{00000000-0005-0000-0000-00008E0A0000}"/>
    <cellStyle name="Обычный 2 2 3 2 3 2 4" xfId="1612" xr:uid="{00000000-0005-0000-0000-00008F0A0000}"/>
    <cellStyle name="Обычный 2 2 3 2 3 2 4 2" xfId="5457" xr:uid="{00000000-0005-0000-0000-0000900A0000}"/>
    <cellStyle name="Обычный 2 2 3 2 3 2 5" xfId="1905" xr:uid="{00000000-0005-0000-0000-0000910A0000}"/>
    <cellStyle name="Обычный 2 2 3 2 3 2 5 2" xfId="5753" xr:uid="{00000000-0005-0000-0000-0000920A0000}"/>
    <cellStyle name="Обычный 2 2 3 2 3 2 6" xfId="2199" xr:uid="{00000000-0005-0000-0000-0000930A0000}"/>
    <cellStyle name="Обычный 2 2 3 2 3 2 6 2" xfId="6049" xr:uid="{00000000-0005-0000-0000-0000940A0000}"/>
    <cellStyle name="Обычный 2 2 3 2 3 2 7" xfId="2494" xr:uid="{00000000-0005-0000-0000-0000950A0000}"/>
    <cellStyle name="Обычный 2 2 3 2 3 2 7 2" xfId="6345" xr:uid="{00000000-0005-0000-0000-0000960A0000}"/>
    <cellStyle name="Обычный 2 2 3 2 3 2 8" xfId="2790" xr:uid="{00000000-0005-0000-0000-0000970A0000}"/>
    <cellStyle name="Обычный 2 2 3 2 3 2 8 2" xfId="6641" xr:uid="{00000000-0005-0000-0000-0000980A0000}"/>
    <cellStyle name="Обычный 2 2 3 2 3 2 9" xfId="3086" xr:uid="{00000000-0005-0000-0000-0000990A0000}"/>
    <cellStyle name="Обычный 2 2 3 2 3 2 9 2" xfId="6937" xr:uid="{00000000-0005-0000-0000-00009A0A0000}"/>
    <cellStyle name="Обычный 2 2 3 2 3 3" xfId="1089" xr:uid="{00000000-0005-0000-0000-00009B0A0000}"/>
    <cellStyle name="Обычный 2 2 3 2 3 3 2" xfId="4717" xr:uid="{00000000-0005-0000-0000-00009C0A0000}"/>
    <cellStyle name="Обычный 2 2 3 2 3 4" xfId="1183" xr:uid="{00000000-0005-0000-0000-00009D0A0000}"/>
    <cellStyle name="Обычный 2 2 3 2 3 4 2" xfId="5013" xr:uid="{00000000-0005-0000-0000-00009E0A0000}"/>
    <cellStyle name="Обычный 2 2 3 2 3 5" xfId="1467" xr:uid="{00000000-0005-0000-0000-00009F0A0000}"/>
    <cellStyle name="Обычный 2 2 3 2 3 5 2" xfId="5309" xr:uid="{00000000-0005-0000-0000-0000A00A0000}"/>
    <cellStyle name="Обычный 2 2 3 2 3 6" xfId="1758" xr:uid="{00000000-0005-0000-0000-0000A10A0000}"/>
    <cellStyle name="Обычный 2 2 3 2 3 6 2" xfId="5605" xr:uid="{00000000-0005-0000-0000-0000A20A0000}"/>
    <cellStyle name="Обычный 2 2 3 2 3 7" xfId="2051" xr:uid="{00000000-0005-0000-0000-0000A30A0000}"/>
    <cellStyle name="Обычный 2 2 3 2 3 7 2" xfId="5901" xr:uid="{00000000-0005-0000-0000-0000A40A0000}"/>
    <cellStyle name="Обычный 2 2 3 2 3 8" xfId="2346" xr:uid="{00000000-0005-0000-0000-0000A50A0000}"/>
    <cellStyle name="Обычный 2 2 3 2 3 8 2" xfId="6197" xr:uid="{00000000-0005-0000-0000-0000A60A0000}"/>
    <cellStyle name="Обычный 2 2 3 2 3 9" xfId="2642" xr:uid="{00000000-0005-0000-0000-0000A70A0000}"/>
    <cellStyle name="Обычный 2 2 3 2 3 9 2" xfId="6493" xr:uid="{00000000-0005-0000-0000-0000A80A0000}"/>
    <cellStyle name="Обычный 2 2 3 2 4" xfId="320" xr:uid="{00000000-0005-0000-0000-0000A90A0000}"/>
    <cellStyle name="Обычный 2 2 3 2 4 10" xfId="3284" xr:uid="{00000000-0005-0000-0000-0000AA0A0000}"/>
    <cellStyle name="Обычный 2 2 3 2 4 10 2" xfId="7135" xr:uid="{00000000-0005-0000-0000-0000AB0A0000}"/>
    <cellStyle name="Обычный 2 2 3 2 4 11" xfId="3580" xr:uid="{00000000-0005-0000-0000-0000AC0A0000}"/>
    <cellStyle name="Обычный 2 2 3 2 4 11 2" xfId="7431" xr:uid="{00000000-0005-0000-0000-0000AD0A0000}"/>
    <cellStyle name="Обычный 2 2 3 2 4 12" xfId="3876" xr:uid="{00000000-0005-0000-0000-0000AE0A0000}"/>
    <cellStyle name="Обычный 2 2 3 2 4 12 2" xfId="7727" xr:uid="{00000000-0005-0000-0000-0000AF0A0000}"/>
    <cellStyle name="Обычный 2 2 3 2 4 13" xfId="4172" xr:uid="{00000000-0005-0000-0000-0000B00A0000}"/>
    <cellStyle name="Обычный 2 2 3 2 4 13 2" xfId="8023" xr:uid="{00000000-0005-0000-0000-0000B10A0000}"/>
    <cellStyle name="Обычный 2 2 3 2 4 14" xfId="8372" xr:uid="{00000000-0005-0000-0000-0000B20A0000}"/>
    <cellStyle name="Обычный 2 2 3 2 4 15" xfId="4471" xr:uid="{00000000-0005-0000-0000-0000B30A0000}"/>
    <cellStyle name="Обычный 2 2 3 2 4 2" xfId="811" xr:uid="{00000000-0005-0000-0000-0000B40A0000}"/>
    <cellStyle name="Обычный 2 2 3 2 4 2 2" xfId="8568" xr:uid="{00000000-0005-0000-0000-0000B50A0000}"/>
    <cellStyle name="Обычный 2 2 3 2 4 2 3" xfId="4767" xr:uid="{00000000-0005-0000-0000-0000B60A0000}"/>
    <cellStyle name="Обычный 2 2 3 2 4 3" xfId="1231" xr:uid="{00000000-0005-0000-0000-0000B70A0000}"/>
    <cellStyle name="Обычный 2 2 3 2 4 3 2" xfId="5063" xr:uid="{00000000-0005-0000-0000-0000B80A0000}"/>
    <cellStyle name="Обычный 2 2 3 2 4 4" xfId="1516" xr:uid="{00000000-0005-0000-0000-0000B90A0000}"/>
    <cellStyle name="Обычный 2 2 3 2 4 4 2" xfId="5359" xr:uid="{00000000-0005-0000-0000-0000BA0A0000}"/>
    <cellStyle name="Обычный 2 2 3 2 4 5" xfId="1808" xr:uid="{00000000-0005-0000-0000-0000BB0A0000}"/>
    <cellStyle name="Обычный 2 2 3 2 4 5 2" xfId="5655" xr:uid="{00000000-0005-0000-0000-0000BC0A0000}"/>
    <cellStyle name="Обычный 2 2 3 2 4 6" xfId="2101" xr:uid="{00000000-0005-0000-0000-0000BD0A0000}"/>
    <cellStyle name="Обычный 2 2 3 2 4 6 2" xfId="5951" xr:uid="{00000000-0005-0000-0000-0000BE0A0000}"/>
    <cellStyle name="Обычный 2 2 3 2 4 7" xfId="2396" xr:uid="{00000000-0005-0000-0000-0000BF0A0000}"/>
    <cellStyle name="Обычный 2 2 3 2 4 7 2" xfId="6247" xr:uid="{00000000-0005-0000-0000-0000C00A0000}"/>
    <cellStyle name="Обычный 2 2 3 2 4 8" xfId="2692" xr:uid="{00000000-0005-0000-0000-0000C10A0000}"/>
    <cellStyle name="Обычный 2 2 3 2 4 8 2" xfId="6543" xr:uid="{00000000-0005-0000-0000-0000C20A0000}"/>
    <cellStyle name="Обычный 2 2 3 2 4 9" xfId="2988" xr:uid="{00000000-0005-0000-0000-0000C30A0000}"/>
    <cellStyle name="Обычный 2 2 3 2 4 9 2" xfId="6839" xr:uid="{00000000-0005-0000-0000-0000C40A0000}"/>
    <cellStyle name="Обычный 2 2 3 2 5" xfId="812" xr:uid="{00000000-0005-0000-0000-0000C50A0000}"/>
    <cellStyle name="Обычный 2 2 3 2 5 2" xfId="8569" xr:uid="{00000000-0005-0000-0000-0000C60A0000}"/>
    <cellStyle name="Обычный 2 2 3 2 5 3" xfId="4619" xr:uid="{00000000-0005-0000-0000-0000C70A0000}"/>
    <cellStyle name="Обычный 2 2 3 2 6" xfId="813" xr:uid="{00000000-0005-0000-0000-0000C80A0000}"/>
    <cellStyle name="Обычный 2 2 3 2 6 2" xfId="8570" xr:uid="{00000000-0005-0000-0000-0000C90A0000}"/>
    <cellStyle name="Обычный 2 2 3 2 6 3" xfId="4915" xr:uid="{00000000-0005-0000-0000-0000CA0A0000}"/>
    <cellStyle name="Обычный 2 2 3 2 7" xfId="1372" xr:uid="{00000000-0005-0000-0000-0000CB0A0000}"/>
    <cellStyle name="Обычный 2 2 3 2 7 2" xfId="5211" xr:uid="{00000000-0005-0000-0000-0000CC0A0000}"/>
    <cellStyle name="Обычный 2 2 3 2 8" xfId="1661" xr:uid="{00000000-0005-0000-0000-0000CD0A0000}"/>
    <cellStyle name="Обычный 2 2 3 2 8 2" xfId="5507" xr:uid="{00000000-0005-0000-0000-0000CE0A0000}"/>
    <cellStyle name="Обычный 2 2 3 2 9" xfId="1954" xr:uid="{00000000-0005-0000-0000-0000CF0A0000}"/>
    <cellStyle name="Обычный 2 2 3 2 9 2" xfId="5803" xr:uid="{00000000-0005-0000-0000-0000D00A0000}"/>
    <cellStyle name="Обычный 2 2 3 20" xfId="8830" xr:uid="{00000000-0005-0000-0000-0000D10A0000}"/>
    <cellStyle name="Обычный 2 2 3 3" xfId="144" xr:uid="{00000000-0005-0000-0000-0000D20A0000}"/>
    <cellStyle name="Обычный 2 2 3 3 10" xfId="2866" xr:uid="{00000000-0005-0000-0000-0000D30A0000}"/>
    <cellStyle name="Обычный 2 2 3 3 10 2" xfId="6717" xr:uid="{00000000-0005-0000-0000-0000D40A0000}"/>
    <cellStyle name="Обычный 2 2 3 3 11" xfId="3162" xr:uid="{00000000-0005-0000-0000-0000D50A0000}"/>
    <cellStyle name="Обычный 2 2 3 3 11 2" xfId="7013" xr:uid="{00000000-0005-0000-0000-0000D60A0000}"/>
    <cellStyle name="Обычный 2 2 3 3 12" xfId="3458" xr:uid="{00000000-0005-0000-0000-0000D70A0000}"/>
    <cellStyle name="Обычный 2 2 3 3 12 2" xfId="7309" xr:uid="{00000000-0005-0000-0000-0000D80A0000}"/>
    <cellStyle name="Обычный 2 2 3 3 13" xfId="3754" xr:uid="{00000000-0005-0000-0000-0000D90A0000}"/>
    <cellStyle name="Обычный 2 2 3 3 13 2" xfId="7605" xr:uid="{00000000-0005-0000-0000-0000DA0A0000}"/>
    <cellStyle name="Обычный 2 2 3 3 14" xfId="4050" xr:uid="{00000000-0005-0000-0000-0000DB0A0000}"/>
    <cellStyle name="Обычный 2 2 3 3 14 2" xfId="7901" xr:uid="{00000000-0005-0000-0000-0000DC0A0000}"/>
    <cellStyle name="Обычный 2 2 3 3 15" xfId="8199" xr:uid="{00000000-0005-0000-0000-0000DD0A0000}"/>
    <cellStyle name="Обычный 2 2 3 3 16" xfId="4347" xr:uid="{00000000-0005-0000-0000-0000DE0A0000}"/>
    <cellStyle name="Обычный 2 2 3 3 2" xfId="247" xr:uid="{00000000-0005-0000-0000-0000DF0A0000}"/>
    <cellStyle name="Обычный 2 2 3 3 2 10" xfId="3310" xr:uid="{00000000-0005-0000-0000-0000E00A0000}"/>
    <cellStyle name="Обычный 2 2 3 3 2 10 2" xfId="7161" xr:uid="{00000000-0005-0000-0000-0000E10A0000}"/>
    <cellStyle name="Обычный 2 2 3 3 2 11" xfId="3606" xr:uid="{00000000-0005-0000-0000-0000E20A0000}"/>
    <cellStyle name="Обычный 2 2 3 3 2 11 2" xfId="7457" xr:uid="{00000000-0005-0000-0000-0000E30A0000}"/>
    <cellStyle name="Обычный 2 2 3 3 2 12" xfId="3902" xr:uid="{00000000-0005-0000-0000-0000E40A0000}"/>
    <cellStyle name="Обычный 2 2 3 3 2 12 2" xfId="7753" xr:uid="{00000000-0005-0000-0000-0000E50A0000}"/>
    <cellStyle name="Обычный 2 2 3 3 2 13" xfId="4198" xr:uid="{00000000-0005-0000-0000-0000E60A0000}"/>
    <cellStyle name="Обычный 2 2 3 3 2 13 2" xfId="8049" xr:uid="{00000000-0005-0000-0000-0000E70A0000}"/>
    <cellStyle name="Обычный 2 2 3 3 2 14" xfId="8300" xr:uid="{00000000-0005-0000-0000-0000E80A0000}"/>
    <cellStyle name="Обычный 2 2 3 3 2 15" xfId="4497" xr:uid="{00000000-0005-0000-0000-0000E90A0000}"/>
    <cellStyle name="Обычный 2 2 3 3 2 2" xfId="814" xr:uid="{00000000-0005-0000-0000-0000EA0A0000}"/>
    <cellStyle name="Обычный 2 2 3 3 2 2 2" xfId="8571" xr:uid="{00000000-0005-0000-0000-0000EB0A0000}"/>
    <cellStyle name="Обычный 2 2 3 3 2 2 3" xfId="4793" xr:uid="{00000000-0005-0000-0000-0000EC0A0000}"/>
    <cellStyle name="Обычный 2 2 3 3 2 3" xfId="1256" xr:uid="{00000000-0005-0000-0000-0000ED0A0000}"/>
    <cellStyle name="Обычный 2 2 3 3 2 3 2" xfId="5089" xr:uid="{00000000-0005-0000-0000-0000EE0A0000}"/>
    <cellStyle name="Обычный 2 2 3 3 2 4" xfId="1542" xr:uid="{00000000-0005-0000-0000-0000EF0A0000}"/>
    <cellStyle name="Обычный 2 2 3 3 2 4 2" xfId="5385" xr:uid="{00000000-0005-0000-0000-0000F00A0000}"/>
    <cellStyle name="Обычный 2 2 3 3 2 5" xfId="1834" xr:uid="{00000000-0005-0000-0000-0000F10A0000}"/>
    <cellStyle name="Обычный 2 2 3 3 2 5 2" xfId="5681" xr:uid="{00000000-0005-0000-0000-0000F20A0000}"/>
    <cellStyle name="Обычный 2 2 3 3 2 6" xfId="2127" xr:uid="{00000000-0005-0000-0000-0000F30A0000}"/>
    <cellStyle name="Обычный 2 2 3 3 2 6 2" xfId="5977" xr:uid="{00000000-0005-0000-0000-0000F40A0000}"/>
    <cellStyle name="Обычный 2 2 3 3 2 7" xfId="2422" xr:uid="{00000000-0005-0000-0000-0000F50A0000}"/>
    <cellStyle name="Обычный 2 2 3 3 2 7 2" xfId="6273" xr:uid="{00000000-0005-0000-0000-0000F60A0000}"/>
    <cellStyle name="Обычный 2 2 3 3 2 8" xfId="2718" xr:uid="{00000000-0005-0000-0000-0000F70A0000}"/>
    <cellStyle name="Обычный 2 2 3 3 2 8 2" xfId="6569" xr:uid="{00000000-0005-0000-0000-0000F80A0000}"/>
    <cellStyle name="Обычный 2 2 3 3 2 9" xfId="3014" xr:uid="{00000000-0005-0000-0000-0000F90A0000}"/>
    <cellStyle name="Обычный 2 2 3 3 2 9 2" xfId="6865" xr:uid="{00000000-0005-0000-0000-0000FA0A0000}"/>
    <cellStyle name="Обычный 2 2 3 3 3" xfId="348" xr:uid="{00000000-0005-0000-0000-0000FB0A0000}"/>
    <cellStyle name="Обычный 2 2 3 3 3 2" xfId="815" xr:uid="{00000000-0005-0000-0000-0000FC0A0000}"/>
    <cellStyle name="Обычный 2 2 3 3 3 3" xfId="8400" xr:uid="{00000000-0005-0000-0000-0000FD0A0000}"/>
    <cellStyle name="Обычный 2 2 3 3 3 4" xfId="4645" xr:uid="{00000000-0005-0000-0000-0000FE0A0000}"/>
    <cellStyle name="Обычный 2 2 3 3 4" xfId="816" xr:uid="{00000000-0005-0000-0000-0000FF0A0000}"/>
    <cellStyle name="Обычный 2 2 3 3 4 2" xfId="8572" xr:uid="{00000000-0005-0000-0000-0000000B0000}"/>
    <cellStyle name="Обычный 2 2 3 3 4 3" xfId="4941" xr:uid="{00000000-0005-0000-0000-0000010B0000}"/>
    <cellStyle name="Обычный 2 2 3 3 5" xfId="1398" xr:uid="{00000000-0005-0000-0000-0000020B0000}"/>
    <cellStyle name="Обычный 2 2 3 3 5 2" xfId="5237" xr:uid="{00000000-0005-0000-0000-0000030B0000}"/>
    <cellStyle name="Обычный 2 2 3 3 6" xfId="1687" xr:uid="{00000000-0005-0000-0000-0000040B0000}"/>
    <cellStyle name="Обычный 2 2 3 3 6 2" xfId="5533" xr:uid="{00000000-0005-0000-0000-0000050B0000}"/>
    <cellStyle name="Обычный 2 2 3 3 7" xfId="1980" xr:uid="{00000000-0005-0000-0000-0000060B0000}"/>
    <cellStyle name="Обычный 2 2 3 3 7 2" xfId="5829" xr:uid="{00000000-0005-0000-0000-0000070B0000}"/>
    <cellStyle name="Обычный 2 2 3 3 8" xfId="2274" xr:uid="{00000000-0005-0000-0000-0000080B0000}"/>
    <cellStyle name="Обычный 2 2 3 3 8 2" xfId="6125" xr:uid="{00000000-0005-0000-0000-0000090B0000}"/>
    <cellStyle name="Обычный 2 2 3 3 9" xfId="2570" xr:uid="{00000000-0005-0000-0000-00000A0B0000}"/>
    <cellStyle name="Обычный 2 2 3 3 9 2" xfId="6421" xr:uid="{00000000-0005-0000-0000-00000B0B0000}"/>
    <cellStyle name="Обычный 2 2 3 4" xfId="197" xr:uid="{00000000-0005-0000-0000-00000C0B0000}"/>
    <cellStyle name="Обычный 2 2 3 4 10" xfId="2916" xr:uid="{00000000-0005-0000-0000-00000D0B0000}"/>
    <cellStyle name="Обычный 2 2 3 4 10 2" xfId="6767" xr:uid="{00000000-0005-0000-0000-00000E0B0000}"/>
    <cellStyle name="Обычный 2 2 3 4 11" xfId="3212" xr:uid="{00000000-0005-0000-0000-00000F0B0000}"/>
    <cellStyle name="Обычный 2 2 3 4 11 2" xfId="7063" xr:uid="{00000000-0005-0000-0000-0000100B0000}"/>
    <cellStyle name="Обычный 2 2 3 4 12" xfId="3508" xr:uid="{00000000-0005-0000-0000-0000110B0000}"/>
    <cellStyle name="Обычный 2 2 3 4 12 2" xfId="7359" xr:uid="{00000000-0005-0000-0000-0000120B0000}"/>
    <cellStyle name="Обычный 2 2 3 4 13" xfId="3804" xr:uid="{00000000-0005-0000-0000-0000130B0000}"/>
    <cellStyle name="Обычный 2 2 3 4 13 2" xfId="7655" xr:uid="{00000000-0005-0000-0000-0000140B0000}"/>
    <cellStyle name="Обычный 2 2 3 4 14" xfId="4100" xr:uid="{00000000-0005-0000-0000-0000150B0000}"/>
    <cellStyle name="Обычный 2 2 3 4 14 2" xfId="7951" xr:uid="{00000000-0005-0000-0000-0000160B0000}"/>
    <cellStyle name="Обычный 2 2 3 4 15" xfId="8250" xr:uid="{00000000-0005-0000-0000-0000170B0000}"/>
    <cellStyle name="Обычный 2 2 3 4 16" xfId="4398" xr:uid="{00000000-0005-0000-0000-0000180B0000}"/>
    <cellStyle name="Обычный 2 2 3 4 2" xfId="817" xr:uid="{00000000-0005-0000-0000-0000190B0000}"/>
    <cellStyle name="Обычный 2 2 3 4 2 10" xfId="3360" xr:uid="{00000000-0005-0000-0000-00001A0B0000}"/>
    <cellStyle name="Обычный 2 2 3 4 2 10 2" xfId="7211" xr:uid="{00000000-0005-0000-0000-00001B0B0000}"/>
    <cellStyle name="Обычный 2 2 3 4 2 11" xfId="3656" xr:uid="{00000000-0005-0000-0000-00001C0B0000}"/>
    <cellStyle name="Обычный 2 2 3 4 2 11 2" xfId="7507" xr:uid="{00000000-0005-0000-0000-00001D0B0000}"/>
    <cellStyle name="Обычный 2 2 3 4 2 12" xfId="3952" xr:uid="{00000000-0005-0000-0000-00001E0B0000}"/>
    <cellStyle name="Обычный 2 2 3 4 2 12 2" xfId="7803" xr:uid="{00000000-0005-0000-0000-00001F0B0000}"/>
    <cellStyle name="Обычный 2 2 3 4 2 13" xfId="4248" xr:uid="{00000000-0005-0000-0000-0000200B0000}"/>
    <cellStyle name="Обычный 2 2 3 4 2 13 2" xfId="8099" xr:uid="{00000000-0005-0000-0000-0000210B0000}"/>
    <cellStyle name="Обычный 2 2 3 4 2 14" xfId="8573" xr:uid="{00000000-0005-0000-0000-0000220B0000}"/>
    <cellStyle name="Обычный 2 2 3 4 2 15" xfId="4547" xr:uid="{00000000-0005-0000-0000-0000230B0000}"/>
    <cellStyle name="Обычный 2 2 3 4 2 2" xfId="1115" xr:uid="{00000000-0005-0000-0000-0000240B0000}"/>
    <cellStyle name="Обычный 2 2 3 4 2 2 2" xfId="4843" xr:uid="{00000000-0005-0000-0000-0000250B0000}"/>
    <cellStyle name="Обычный 2 2 3 4 2 3" xfId="1304" xr:uid="{00000000-0005-0000-0000-0000260B0000}"/>
    <cellStyle name="Обычный 2 2 3 4 2 3 2" xfId="5139" xr:uid="{00000000-0005-0000-0000-0000270B0000}"/>
    <cellStyle name="Обычный 2 2 3 4 2 4" xfId="1591" xr:uid="{00000000-0005-0000-0000-0000280B0000}"/>
    <cellStyle name="Обычный 2 2 3 4 2 4 2" xfId="5435" xr:uid="{00000000-0005-0000-0000-0000290B0000}"/>
    <cellStyle name="Обычный 2 2 3 4 2 5" xfId="1884" xr:uid="{00000000-0005-0000-0000-00002A0B0000}"/>
    <cellStyle name="Обычный 2 2 3 4 2 5 2" xfId="5731" xr:uid="{00000000-0005-0000-0000-00002B0B0000}"/>
    <cellStyle name="Обычный 2 2 3 4 2 6" xfId="2177" xr:uid="{00000000-0005-0000-0000-00002C0B0000}"/>
    <cellStyle name="Обычный 2 2 3 4 2 6 2" xfId="6027" xr:uid="{00000000-0005-0000-0000-00002D0B0000}"/>
    <cellStyle name="Обычный 2 2 3 4 2 7" xfId="2472" xr:uid="{00000000-0005-0000-0000-00002E0B0000}"/>
    <cellStyle name="Обычный 2 2 3 4 2 7 2" xfId="6323" xr:uid="{00000000-0005-0000-0000-00002F0B0000}"/>
    <cellStyle name="Обычный 2 2 3 4 2 8" xfId="2768" xr:uid="{00000000-0005-0000-0000-0000300B0000}"/>
    <cellStyle name="Обычный 2 2 3 4 2 8 2" xfId="6619" xr:uid="{00000000-0005-0000-0000-0000310B0000}"/>
    <cellStyle name="Обычный 2 2 3 4 2 9" xfId="3064" xr:uid="{00000000-0005-0000-0000-0000320B0000}"/>
    <cellStyle name="Обычный 2 2 3 4 2 9 2" xfId="6915" xr:uid="{00000000-0005-0000-0000-0000330B0000}"/>
    <cellStyle name="Обычный 2 2 3 4 3" xfId="1068" xr:uid="{00000000-0005-0000-0000-0000340B0000}"/>
    <cellStyle name="Обычный 2 2 3 4 3 2" xfId="4695" xr:uid="{00000000-0005-0000-0000-0000350B0000}"/>
    <cellStyle name="Обычный 2 2 3 4 4" xfId="1162" xr:uid="{00000000-0005-0000-0000-0000360B0000}"/>
    <cellStyle name="Обычный 2 2 3 4 4 2" xfId="4991" xr:uid="{00000000-0005-0000-0000-0000370B0000}"/>
    <cellStyle name="Обычный 2 2 3 4 5" xfId="1445" xr:uid="{00000000-0005-0000-0000-0000380B0000}"/>
    <cellStyle name="Обычный 2 2 3 4 5 2" xfId="5287" xr:uid="{00000000-0005-0000-0000-0000390B0000}"/>
    <cellStyle name="Обычный 2 2 3 4 6" xfId="1736" xr:uid="{00000000-0005-0000-0000-00003A0B0000}"/>
    <cellStyle name="Обычный 2 2 3 4 6 2" xfId="5583" xr:uid="{00000000-0005-0000-0000-00003B0B0000}"/>
    <cellStyle name="Обычный 2 2 3 4 7" xfId="2029" xr:uid="{00000000-0005-0000-0000-00003C0B0000}"/>
    <cellStyle name="Обычный 2 2 3 4 7 2" xfId="5879" xr:uid="{00000000-0005-0000-0000-00003D0B0000}"/>
    <cellStyle name="Обычный 2 2 3 4 8" xfId="2324" xr:uid="{00000000-0005-0000-0000-00003E0B0000}"/>
    <cellStyle name="Обычный 2 2 3 4 8 2" xfId="6175" xr:uid="{00000000-0005-0000-0000-00003F0B0000}"/>
    <cellStyle name="Обычный 2 2 3 4 9" xfId="2620" xr:uid="{00000000-0005-0000-0000-0000400B0000}"/>
    <cellStyle name="Обычный 2 2 3 4 9 2" xfId="6471" xr:uid="{00000000-0005-0000-0000-0000410B0000}"/>
    <cellStyle name="Обычный 2 2 3 5" xfId="298" xr:uid="{00000000-0005-0000-0000-0000420B0000}"/>
    <cellStyle name="Обычный 2 2 3 5 10" xfId="3262" xr:uid="{00000000-0005-0000-0000-0000430B0000}"/>
    <cellStyle name="Обычный 2 2 3 5 10 2" xfId="7113" xr:uid="{00000000-0005-0000-0000-0000440B0000}"/>
    <cellStyle name="Обычный 2 2 3 5 11" xfId="3558" xr:uid="{00000000-0005-0000-0000-0000450B0000}"/>
    <cellStyle name="Обычный 2 2 3 5 11 2" xfId="7409" xr:uid="{00000000-0005-0000-0000-0000460B0000}"/>
    <cellStyle name="Обычный 2 2 3 5 12" xfId="3854" xr:uid="{00000000-0005-0000-0000-0000470B0000}"/>
    <cellStyle name="Обычный 2 2 3 5 12 2" xfId="7705" xr:uid="{00000000-0005-0000-0000-0000480B0000}"/>
    <cellStyle name="Обычный 2 2 3 5 13" xfId="4150" xr:uid="{00000000-0005-0000-0000-0000490B0000}"/>
    <cellStyle name="Обычный 2 2 3 5 13 2" xfId="8001" xr:uid="{00000000-0005-0000-0000-00004A0B0000}"/>
    <cellStyle name="Обычный 2 2 3 5 14" xfId="8350" xr:uid="{00000000-0005-0000-0000-00004B0B0000}"/>
    <cellStyle name="Обычный 2 2 3 5 15" xfId="4449" xr:uid="{00000000-0005-0000-0000-00004C0B0000}"/>
    <cellStyle name="Обычный 2 2 3 5 2" xfId="818" xr:uid="{00000000-0005-0000-0000-00004D0B0000}"/>
    <cellStyle name="Обычный 2 2 3 5 2 2" xfId="8574" xr:uid="{00000000-0005-0000-0000-00004E0B0000}"/>
    <cellStyle name="Обычный 2 2 3 5 2 3" xfId="4745" xr:uid="{00000000-0005-0000-0000-00004F0B0000}"/>
    <cellStyle name="Обычный 2 2 3 5 3" xfId="1209" xr:uid="{00000000-0005-0000-0000-0000500B0000}"/>
    <cellStyle name="Обычный 2 2 3 5 3 2" xfId="5041" xr:uid="{00000000-0005-0000-0000-0000510B0000}"/>
    <cellStyle name="Обычный 2 2 3 5 4" xfId="1494" xr:uid="{00000000-0005-0000-0000-0000520B0000}"/>
    <cellStyle name="Обычный 2 2 3 5 4 2" xfId="5337" xr:uid="{00000000-0005-0000-0000-0000530B0000}"/>
    <cellStyle name="Обычный 2 2 3 5 5" xfId="1786" xr:uid="{00000000-0005-0000-0000-0000540B0000}"/>
    <cellStyle name="Обычный 2 2 3 5 5 2" xfId="5633" xr:uid="{00000000-0005-0000-0000-0000550B0000}"/>
    <cellStyle name="Обычный 2 2 3 5 6" xfId="2079" xr:uid="{00000000-0005-0000-0000-0000560B0000}"/>
    <cellStyle name="Обычный 2 2 3 5 6 2" xfId="5929" xr:uid="{00000000-0005-0000-0000-0000570B0000}"/>
    <cellStyle name="Обычный 2 2 3 5 7" xfId="2374" xr:uid="{00000000-0005-0000-0000-0000580B0000}"/>
    <cellStyle name="Обычный 2 2 3 5 7 2" xfId="6225" xr:uid="{00000000-0005-0000-0000-0000590B0000}"/>
    <cellStyle name="Обычный 2 2 3 5 8" xfId="2670" xr:uid="{00000000-0005-0000-0000-00005A0B0000}"/>
    <cellStyle name="Обычный 2 2 3 5 8 2" xfId="6521" xr:uid="{00000000-0005-0000-0000-00005B0B0000}"/>
    <cellStyle name="Обычный 2 2 3 5 9" xfId="2966" xr:uid="{00000000-0005-0000-0000-00005C0B0000}"/>
    <cellStyle name="Обычный 2 2 3 5 9 2" xfId="6817" xr:uid="{00000000-0005-0000-0000-00005D0B0000}"/>
    <cellStyle name="Обычный 2 2 3 6" xfId="605" xr:uid="{00000000-0005-0000-0000-00005E0B0000}"/>
    <cellStyle name="Обычный 2 2 3 6 2" xfId="8454" xr:uid="{00000000-0005-0000-0000-00005F0B0000}"/>
    <cellStyle name="Обычный 2 2 3 6 3" xfId="4597" xr:uid="{00000000-0005-0000-0000-0000600B0000}"/>
    <cellStyle name="Обычный 2 2 3 7" xfId="819" xr:uid="{00000000-0005-0000-0000-0000610B0000}"/>
    <cellStyle name="Обычный 2 2 3 7 2" xfId="8575" xr:uid="{00000000-0005-0000-0000-0000620B0000}"/>
    <cellStyle name="Обычный 2 2 3 7 3" xfId="4893" xr:uid="{00000000-0005-0000-0000-0000630B0000}"/>
    <cellStyle name="Обычный 2 2 3 8" xfId="1351" xr:uid="{00000000-0005-0000-0000-0000640B0000}"/>
    <cellStyle name="Обычный 2 2 3 8 2" xfId="5189" xr:uid="{00000000-0005-0000-0000-0000650B0000}"/>
    <cellStyle name="Обычный 2 2 3 9" xfId="1640" xr:uid="{00000000-0005-0000-0000-0000660B0000}"/>
    <cellStyle name="Обычный 2 2 3 9 2" xfId="5485" xr:uid="{00000000-0005-0000-0000-0000670B0000}"/>
    <cellStyle name="Обычный 2 2 4" xfId="61" xr:uid="{00000000-0005-0000-0000-0000680B0000}"/>
    <cellStyle name="Обычный 2 2 4 10" xfId="2225" xr:uid="{00000000-0005-0000-0000-0000690B0000}"/>
    <cellStyle name="Обычный 2 2 4 10 2" xfId="6075" xr:uid="{00000000-0005-0000-0000-00006A0B0000}"/>
    <cellStyle name="Обычный 2 2 4 11" xfId="2520" xr:uid="{00000000-0005-0000-0000-00006B0B0000}"/>
    <cellStyle name="Обычный 2 2 4 11 2" xfId="6371" xr:uid="{00000000-0005-0000-0000-00006C0B0000}"/>
    <cellStyle name="Обычный 2 2 4 12" xfId="2816" xr:uid="{00000000-0005-0000-0000-00006D0B0000}"/>
    <cellStyle name="Обычный 2 2 4 12 2" xfId="6667" xr:uid="{00000000-0005-0000-0000-00006E0B0000}"/>
    <cellStyle name="Обычный 2 2 4 13" xfId="3112" xr:uid="{00000000-0005-0000-0000-00006F0B0000}"/>
    <cellStyle name="Обычный 2 2 4 13 2" xfId="6963" xr:uid="{00000000-0005-0000-0000-0000700B0000}"/>
    <cellStyle name="Обычный 2 2 4 14" xfId="3408" xr:uid="{00000000-0005-0000-0000-0000710B0000}"/>
    <cellStyle name="Обычный 2 2 4 14 2" xfId="7259" xr:uid="{00000000-0005-0000-0000-0000720B0000}"/>
    <cellStyle name="Обычный 2 2 4 15" xfId="3704" xr:uid="{00000000-0005-0000-0000-0000730B0000}"/>
    <cellStyle name="Обычный 2 2 4 15 2" xfId="7555" xr:uid="{00000000-0005-0000-0000-0000740B0000}"/>
    <cellStyle name="Обычный 2 2 4 16" xfId="4000" xr:uid="{00000000-0005-0000-0000-0000750B0000}"/>
    <cellStyle name="Обычный 2 2 4 16 2" xfId="7851" xr:uid="{00000000-0005-0000-0000-0000760B0000}"/>
    <cellStyle name="Обычный 2 2 4 17" xfId="8147" xr:uid="{00000000-0005-0000-0000-0000770B0000}"/>
    <cellStyle name="Обычный 2 2 4 18" xfId="4296" xr:uid="{00000000-0005-0000-0000-0000780B0000}"/>
    <cellStyle name="Обычный 2 2 4 2" xfId="142" xr:uid="{00000000-0005-0000-0000-0000790B0000}"/>
    <cellStyle name="Обычный 2 2 4 2 10" xfId="2864" xr:uid="{00000000-0005-0000-0000-00007A0B0000}"/>
    <cellStyle name="Обычный 2 2 4 2 10 2" xfId="6715" xr:uid="{00000000-0005-0000-0000-00007B0B0000}"/>
    <cellStyle name="Обычный 2 2 4 2 11" xfId="3160" xr:uid="{00000000-0005-0000-0000-00007C0B0000}"/>
    <cellStyle name="Обычный 2 2 4 2 11 2" xfId="7011" xr:uid="{00000000-0005-0000-0000-00007D0B0000}"/>
    <cellStyle name="Обычный 2 2 4 2 12" xfId="3456" xr:uid="{00000000-0005-0000-0000-00007E0B0000}"/>
    <cellStyle name="Обычный 2 2 4 2 12 2" xfId="7307" xr:uid="{00000000-0005-0000-0000-00007F0B0000}"/>
    <cellStyle name="Обычный 2 2 4 2 13" xfId="3752" xr:uid="{00000000-0005-0000-0000-0000800B0000}"/>
    <cellStyle name="Обычный 2 2 4 2 13 2" xfId="7603" xr:uid="{00000000-0005-0000-0000-0000810B0000}"/>
    <cellStyle name="Обычный 2 2 4 2 14" xfId="4048" xr:uid="{00000000-0005-0000-0000-0000820B0000}"/>
    <cellStyle name="Обычный 2 2 4 2 14 2" xfId="7899" xr:uid="{00000000-0005-0000-0000-0000830B0000}"/>
    <cellStyle name="Обычный 2 2 4 2 15" xfId="8197" xr:uid="{00000000-0005-0000-0000-0000840B0000}"/>
    <cellStyle name="Обычный 2 2 4 2 16" xfId="4345" xr:uid="{00000000-0005-0000-0000-0000850B0000}"/>
    <cellStyle name="Обычный 2 2 4 2 2" xfId="245" xr:uid="{00000000-0005-0000-0000-0000860B0000}"/>
    <cellStyle name="Обычный 2 2 4 2 2 10" xfId="3308" xr:uid="{00000000-0005-0000-0000-0000870B0000}"/>
    <cellStyle name="Обычный 2 2 4 2 2 10 2" xfId="7159" xr:uid="{00000000-0005-0000-0000-0000880B0000}"/>
    <cellStyle name="Обычный 2 2 4 2 2 11" xfId="3604" xr:uid="{00000000-0005-0000-0000-0000890B0000}"/>
    <cellStyle name="Обычный 2 2 4 2 2 11 2" xfId="7455" xr:uid="{00000000-0005-0000-0000-00008A0B0000}"/>
    <cellStyle name="Обычный 2 2 4 2 2 12" xfId="3900" xr:uid="{00000000-0005-0000-0000-00008B0B0000}"/>
    <cellStyle name="Обычный 2 2 4 2 2 12 2" xfId="7751" xr:uid="{00000000-0005-0000-0000-00008C0B0000}"/>
    <cellStyle name="Обычный 2 2 4 2 2 13" xfId="4196" xr:uid="{00000000-0005-0000-0000-00008D0B0000}"/>
    <cellStyle name="Обычный 2 2 4 2 2 13 2" xfId="8047" xr:uid="{00000000-0005-0000-0000-00008E0B0000}"/>
    <cellStyle name="Обычный 2 2 4 2 2 14" xfId="8298" xr:uid="{00000000-0005-0000-0000-00008F0B0000}"/>
    <cellStyle name="Обычный 2 2 4 2 2 15" xfId="4495" xr:uid="{00000000-0005-0000-0000-0000900B0000}"/>
    <cellStyle name="Обычный 2 2 4 2 2 2" xfId="820" xr:uid="{00000000-0005-0000-0000-0000910B0000}"/>
    <cellStyle name="Обычный 2 2 4 2 2 2 2" xfId="8576" xr:uid="{00000000-0005-0000-0000-0000920B0000}"/>
    <cellStyle name="Обычный 2 2 4 2 2 2 3" xfId="4791" xr:uid="{00000000-0005-0000-0000-0000930B0000}"/>
    <cellStyle name="Обычный 2 2 4 2 2 3" xfId="1254" xr:uid="{00000000-0005-0000-0000-0000940B0000}"/>
    <cellStyle name="Обычный 2 2 4 2 2 3 2" xfId="5087" xr:uid="{00000000-0005-0000-0000-0000950B0000}"/>
    <cellStyle name="Обычный 2 2 4 2 2 4" xfId="1540" xr:uid="{00000000-0005-0000-0000-0000960B0000}"/>
    <cellStyle name="Обычный 2 2 4 2 2 4 2" xfId="5383" xr:uid="{00000000-0005-0000-0000-0000970B0000}"/>
    <cellStyle name="Обычный 2 2 4 2 2 5" xfId="1832" xr:uid="{00000000-0005-0000-0000-0000980B0000}"/>
    <cellStyle name="Обычный 2 2 4 2 2 5 2" xfId="5679" xr:uid="{00000000-0005-0000-0000-0000990B0000}"/>
    <cellStyle name="Обычный 2 2 4 2 2 6" xfId="2125" xr:uid="{00000000-0005-0000-0000-00009A0B0000}"/>
    <cellStyle name="Обычный 2 2 4 2 2 6 2" xfId="5975" xr:uid="{00000000-0005-0000-0000-00009B0B0000}"/>
    <cellStyle name="Обычный 2 2 4 2 2 7" xfId="2420" xr:uid="{00000000-0005-0000-0000-00009C0B0000}"/>
    <cellStyle name="Обычный 2 2 4 2 2 7 2" xfId="6271" xr:uid="{00000000-0005-0000-0000-00009D0B0000}"/>
    <cellStyle name="Обычный 2 2 4 2 2 8" xfId="2716" xr:uid="{00000000-0005-0000-0000-00009E0B0000}"/>
    <cellStyle name="Обычный 2 2 4 2 2 8 2" xfId="6567" xr:uid="{00000000-0005-0000-0000-00009F0B0000}"/>
    <cellStyle name="Обычный 2 2 4 2 2 9" xfId="3012" xr:uid="{00000000-0005-0000-0000-0000A00B0000}"/>
    <cellStyle name="Обычный 2 2 4 2 2 9 2" xfId="6863" xr:uid="{00000000-0005-0000-0000-0000A10B0000}"/>
    <cellStyle name="Обычный 2 2 4 2 3" xfId="346" xr:uid="{00000000-0005-0000-0000-0000A20B0000}"/>
    <cellStyle name="Обычный 2 2 4 2 3 2" xfId="821" xr:uid="{00000000-0005-0000-0000-0000A30B0000}"/>
    <cellStyle name="Обычный 2 2 4 2 3 3" xfId="8398" xr:uid="{00000000-0005-0000-0000-0000A40B0000}"/>
    <cellStyle name="Обычный 2 2 4 2 3 4" xfId="4643" xr:uid="{00000000-0005-0000-0000-0000A50B0000}"/>
    <cellStyle name="Обычный 2 2 4 2 4" xfId="822" xr:uid="{00000000-0005-0000-0000-0000A60B0000}"/>
    <cellStyle name="Обычный 2 2 4 2 4 2" xfId="8577" xr:uid="{00000000-0005-0000-0000-0000A70B0000}"/>
    <cellStyle name="Обычный 2 2 4 2 4 3" xfId="4939" xr:uid="{00000000-0005-0000-0000-0000A80B0000}"/>
    <cellStyle name="Обычный 2 2 4 2 5" xfId="1396" xr:uid="{00000000-0005-0000-0000-0000A90B0000}"/>
    <cellStyle name="Обычный 2 2 4 2 5 2" xfId="5235" xr:uid="{00000000-0005-0000-0000-0000AA0B0000}"/>
    <cellStyle name="Обычный 2 2 4 2 6" xfId="1685" xr:uid="{00000000-0005-0000-0000-0000AB0B0000}"/>
    <cellStyle name="Обычный 2 2 4 2 6 2" xfId="5531" xr:uid="{00000000-0005-0000-0000-0000AC0B0000}"/>
    <cellStyle name="Обычный 2 2 4 2 7" xfId="1978" xr:uid="{00000000-0005-0000-0000-0000AD0B0000}"/>
    <cellStyle name="Обычный 2 2 4 2 7 2" xfId="5827" xr:uid="{00000000-0005-0000-0000-0000AE0B0000}"/>
    <cellStyle name="Обычный 2 2 4 2 8" xfId="2272" xr:uid="{00000000-0005-0000-0000-0000AF0B0000}"/>
    <cellStyle name="Обычный 2 2 4 2 8 2" xfId="6123" xr:uid="{00000000-0005-0000-0000-0000B00B0000}"/>
    <cellStyle name="Обычный 2 2 4 2 9" xfId="2568" xr:uid="{00000000-0005-0000-0000-0000B10B0000}"/>
    <cellStyle name="Обычный 2 2 4 2 9 2" xfId="6419" xr:uid="{00000000-0005-0000-0000-0000B20B0000}"/>
    <cellStyle name="Обычный 2 2 4 3" xfId="195" xr:uid="{00000000-0005-0000-0000-0000B30B0000}"/>
    <cellStyle name="Обычный 2 2 4 3 10" xfId="2914" xr:uid="{00000000-0005-0000-0000-0000B40B0000}"/>
    <cellStyle name="Обычный 2 2 4 3 10 2" xfId="6765" xr:uid="{00000000-0005-0000-0000-0000B50B0000}"/>
    <cellStyle name="Обычный 2 2 4 3 11" xfId="3210" xr:uid="{00000000-0005-0000-0000-0000B60B0000}"/>
    <cellStyle name="Обычный 2 2 4 3 11 2" xfId="7061" xr:uid="{00000000-0005-0000-0000-0000B70B0000}"/>
    <cellStyle name="Обычный 2 2 4 3 12" xfId="3506" xr:uid="{00000000-0005-0000-0000-0000B80B0000}"/>
    <cellStyle name="Обычный 2 2 4 3 12 2" xfId="7357" xr:uid="{00000000-0005-0000-0000-0000B90B0000}"/>
    <cellStyle name="Обычный 2 2 4 3 13" xfId="3802" xr:uid="{00000000-0005-0000-0000-0000BA0B0000}"/>
    <cellStyle name="Обычный 2 2 4 3 13 2" xfId="7653" xr:uid="{00000000-0005-0000-0000-0000BB0B0000}"/>
    <cellStyle name="Обычный 2 2 4 3 14" xfId="4098" xr:uid="{00000000-0005-0000-0000-0000BC0B0000}"/>
    <cellStyle name="Обычный 2 2 4 3 14 2" xfId="7949" xr:uid="{00000000-0005-0000-0000-0000BD0B0000}"/>
    <cellStyle name="Обычный 2 2 4 3 15" xfId="8248" xr:uid="{00000000-0005-0000-0000-0000BE0B0000}"/>
    <cellStyle name="Обычный 2 2 4 3 16" xfId="4396" xr:uid="{00000000-0005-0000-0000-0000BF0B0000}"/>
    <cellStyle name="Обычный 2 2 4 3 2" xfId="823" xr:uid="{00000000-0005-0000-0000-0000C00B0000}"/>
    <cellStyle name="Обычный 2 2 4 3 2 10" xfId="3358" xr:uid="{00000000-0005-0000-0000-0000C10B0000}"/>
    <cellStyle name="Обычный 2 2 4 3 2 10 2" xfId="7209" xr:uid="{00000000-0005-0000-0000-0000C20B0000}"/>
    <cellStyle name="Обычный 2 2 4 3 2 11" xfId="3654" xr:uid="{00000000-0005-0000-0000-0000C30B0000}"/>
    <cellStyle name="Обычный 2 2 4 3 2 11 2" xfId="7505" xr:uid="{00000000-0005-0000-0000-0000C40B0000}"/>
    <cellStyle name="Обычный 2 2 4 3 2 12" xfId="3950" xr:uid="{00000000-0005-0000-0000-0000C50B0000}"/>
    <cellStyle name="Обычный 2 2 4 3 2 12 2" xfId="7801" xr:uid="{00000000-0005-0000-0000-0000C60B0000}"/>
    <cellStyle name="Обычный 2 2 4 3 2 13" xfId="4246" xr:uid="{00000000-0005-0000-0000-0000C70B0000}"/>
    <cellStyle name="Обычный 2 2 4 3 2 13 2" xfId="8097" xr:uid="{00000000-0005-0000-0000-0000C80B0000}"/>
    <cellStyle name="Обычный 2 2 4 3 2 14" xfId="8578" xr:uid="{00000000-0005-0000-0000-0000C90B0000}"/>
    <cellStyle name="Обычный 2 2 4 3 2 15" xfId="4545" xr:uid="{00000000-0005-0000-0000-0000CA0B0000}"/>
    <cellStyle name="Обычный 2 2 4 3 2 2" xfId="1113" xr:uid="{00000000-0005-0000-0000-0000CB0B0000}"/>
    <cellStyle name="Обычный 2 2 4 3 2 2 2" xfId="4841" xr:uid="{00000000-0005-0000-0000-0000CC0B0000}"/>
    <cellStyle name="Обычный 2 2 4 3 2 3" xfId="1302" xr:uid="{00000000-0005-0000-0000-0000CD0B0000}"/>
    <cellStyle name="Обычный 2 2 4 3 2 3 2" xfId="5137" xr:uid="{00000000-0005-0000-0000-0000CE0B0000}"/>
    <cellStyle name="Обычный 2 2 4 3 2 4" xfId="1589" xr:uid="{00000000-0005-0000-0000-0000CF0B0000}"/>
    <cellStyle name="Обычный 2 2 4 3 2 4 2" xfId="5433" xr:uid="{00000000-0005-0000-0000-0000D00B0000}"/>
    <cellStyle name="Обычный 2 2 4 3 2 5" xfId="1882" xr:uid="{00000000-0005-0000-0000-0000D10B0000}"/>
    <cellStyle name="Обычный 2 2 4 3 2 5 2" xfId="5729" xr:uid="{00000000-0005-0000-0000-0000D20B0000}"/>
    <cellStyle name="Обычный 2 2 4 3 2 6" xfId="2175" xr:uid="{00000000-0005-0000-0000-0000D30B0000}"/>
    <cellStyle name="Обычный 2 2 4 3 2 6 2" xfId="6025" xr:uid="{00000000-0005-0000-0000-0000D40B0000}"/>
    <cellStyle name="Обычный 2 2 4 3 2 7" xfId="2470" xr:uid="{00000000-0005-0000-0000-0000D50B0000}"/>
    <cellStyle name="Обычный 2 2 4 3 2 7 2" xfId="6321" xr:uid="{00000000-0005-0000-0000-0000D60B0000}"/>
    <cellStyle name="Обычный 2 2 4 3 2 8" xfId="2766" xr:uid="{00000000-0005-0000-0000-0000D70B0000}"/>
    <cellStyle name="Обычный 2 2 4 3 2 8 2" xfId="6617" xr:uid="{00000000-0005-0000-0000-0000D80B0000}"/>
    <cellStyle name="Обычный 2 2 4 3 2 9" xfId="3062" xr:uid="{00000000-0005-0000-0000-0000D90B0000}"/>
    <cellStyle name="Обычный 2 2 4 3 2 9 2" xfId="6913" xr:uid="{00000000-0005-0000-0000-0000DA0B0000}"/>
    <cellStyle name="Обычный 2 2 4 3 3" xfId="1066" xr:uid="{00000000-0005-0000-0000-0000DB0B0000}"/>
    <cellStyle name="Обычный 2 2 4 3 3 2" xfId="4693" xr:uid="{00000000-0005-0000-0000-0000DC0B0000}"/>
    <cellStyle name="Обычный 2 2 4 3 4" xfId="1160" xr:uid="{00000000-0005-0000-0000-0000DD0B0000}"/>
    <cellStyle name="Обычный 2 2 4 3 4 2" xfId="4989" xr:uid="{00000000-0005-0000-0000-0000DE0B0000}"/>
    <cellStyle name="Обычный 2 2 4 3 5" xfId="1443" xr:uid="{00000000-0005-0000-0000-0000DF0B0000}"/>
    <cellStyle name="Обычный 2 2 4 3 5 2" xfId="5285" xr:uid="{00000000-0005-0000-0000-0000E00B0000}"/>
    <cellStyle name="Обычный 2 2 4 3 6" xfId="1734" xr:uid="{00000000-0005-0000-0000-0000E10B0000}"/>
    <cellStyle name="Обычный 2 2 4 3 6 2" xfId="5581" xr:uid="{00000000-0005-0000-0000-0000E20B0000}"/>
    <cellStyle name="Обычный 2 2 4 3 7" xfId="2027" xr:uid="{00000000-0005-0000-0000-0000E30B0000}"/>
    <cellStyle name="Обычный 2 2 4 3 7 2" xfId="5877" xr:uid="{00000000-0005-0000-0000-0000E40B0000}"/>
    <cellStyle name="Обычный 2 2 4 3 8" xfId="2322" xr:uid="{00000000-0005-0000-0000-0000E50B0000}"/>
    <cellStyle name="Обычный 2 2 4 3 8 2" xfId="6173" xr:uid="{00000000-0005-0000-0000-0000E60B0000}"/>
    <cellStyle name="Обычный 2 2 4 3 9" xfId="2618" xr:uid="{00000000-0005-0000-0000-0000E70B0000}"/>
    <cellStyle name="Обычный 2 2 4 3 9 2" xfId="6469" xr:uid="{00000000-0005-0000-0000-0000E80B0000}"/>
    <cellStyle name="Обычный 2 2 4 4" xfId="296" xr:uid="{00000000-0005-0000-0000-0000E90B0000}"/>
    <cellStyle name="Обычный 2 2 4 4 10" xfId="3260" xr:uid="{00000000-0005-0000-0000-0000EA0B0000}"/>
    <cellStyle name="Обычный 2 2 4 4 10 2" xfId="7111" xr:uid="{00000000-0005-0000-0000-0000EB0B0000}"/>
    <cellStyle name="Обычный 2 2 4 4 11" xfId="3556" xr:uid="{00000000-0005-0000-0000-0000EC0B0000}"/>
    <cellStyle name="Обычный 2 2 4 4 11 2" xfId="7407" xr:uid="{00000000-0005-0000-0000-0000ED0B0000}"/>
    <cellStyle name="Обычный 2 2 4 4 12" xfId="3852" xr:uid="{00000000-0005-0000-0000-0000EE0B0000}"/>
    <cellStyle name="Обычный 2 2 4 4 12 2" xfId="7703" xr:uid="{00000000-0005-0000-0000-0000EF0B0000}"/>
    <cellStyle name="Обычный 2 2 4 4 13" xfId="4148" xr:uid="{00000000-0005-0000-0000-0000F00B0000}"/>
    <cellStyle name="Обычный 2 2 4 4 13 2" xfId="7999" xr:uid="{00000000-0005-0000-0000-0000F10B0000}"/>
    <cellStyle name="Обычный 2 2 4 4 14" xfId="8348" xr:uid="{00000000-0005-0000-0000-0000F20B0000}"/>
    <cellStyle name="Обычный 2 2 4 4 15" xfId="4447" xr:uid="{00000000-0005-0000-0000-0000F30B0000}"/>
    <cellStyle name="Обычный 2 2 4 4 2" xfId="824" xr:uid="{00000000-0005-0000-0000-0000F40B0000}"/>
    <cellStyle name="Обычный 2 2 4 4 2 2" xfId="8579" xr:uid="{00000000-0005-0000-0000-0000F50B0000}"/>
    <cellStyle name="Обычный 2 2 4 4 2 3" xfId="4743" xr:uid="{00000000-0005-0000-0000-0000F60B0000}"/>
    <cellStyle name="Обычный 2 2 4 4 3" xfId="1207" xr:uid="{00000000-0005-0000-0000-0000F70B0000}"/>
    <cellStyle name="Обычный 2 2 4 4 3 2" xfId="5039" xr:uid="{00000000-0005-0000-0000-0000F80B0000}"/>
    <cellStyle name="Обычный 2 2 4 4 4" xfId="1492" xr:uid="{00000000-0005-0000-0000-0000F90B0000}"/>
    <cellStyle name="Обычный 2 2 4 4 4 2" xfId="5335" xr:uid="{00000000-0005-0000-0000-0000FA0B0000}"/>
    <cellStyle name="Обычный 2 2 4 4 5" xfId="1784" xr:uid="{00000000-0005-0000-0000-0000FB0B0000}"/>
    <cellStyle name="Обычный 2 2 4 4 5 2" xfId="5631" xr:uid="{00000000-0005-0000-0000-0000FC0B0000}"/>
    <cellStyle name="Обычный 2 2 4 4 6" xfId="2077" xr:uid="{00000000-0005-0000-0000-0000FD0B0000}"/>
    <cellStyle name="Обычный 2 2 4 4 6 2" xfId="5927" xr:uid="{00000000-0005-0000-0000-0000FE0B0000}"/>
    <cellStyle name="Обычный 2 2 4 4 7" xfId="2372" xr:uid="{00000000-0005-0000-0000-0000FF0B0000}"/>
    <cellStyle name="Обычный 2 2 4 4 7 2" xfId="6223" xr:uid="{00000000-0005-0000-0000-0000000C0000}"/>
    <cellStyle name="Обычный 2 2 4 4 8" xfId="2668" xr:uid="{00000000-0005-0000-0000-0000010C0000}"/>
    <cellStyle name="Обычный 2 2 4 4 8 2" xfId="6519" xr:uid="{00000000-0005-0000-0000-0000020C0000}"/>
    <cellStyle name="Обычный 2 2 4 4 9" xfId="2964" xr:uid="{00000000-0005-0000-0000-0000030C0000}"/>
    <cellStyle name="Обычный 2 2 4 4 9 2" xfId="6815" xr:uid="{00000000-0005-0000-0000-0000040C0000}"/>
    <cellStyle name="Обычный 2 2 4 5" xfId="665" xr:uid="{00000000-0005-0000-0000-0000050C0000}"/>
    <cellStyle name="Обычный 2 2 4 5 2" xfId="8478" xr:uid="{00000000-0005-0000-0000-0000060C0000}"/>
    <cellStyle name="Обычный 2 2 4 5 3" xfId="4595" xr:uid="{00000000-0005-0000-0000-0000070C0000}"/>
    <cellStyle name="Обычный 2 2 4 6" xfId="825" xr:uid="{00000000-0005-0000-0000-0000080C0000}"/>
    <cellStyle name="Обычный 2 2 4 6 2" xfId="8580" xr:uid="{00000000-0005-0000-0000-0000090C0000}"/>
    <cellStyle name="Обычный 2 2 4 6 3" xfId="4891" xr:uid="{00000000-0005-0000-0000-00000A0C0000}"/>
    <cellStyle name="Обычный 2 2 4 7" xfId="1349" xr:uid="{00000000-0005-0000-0000-00000B0C0000}"/>
    <cellStyle name="Обычный 2 2 4 7 2" xfId="5187" xr:uid="{00000000-0005-0000-0000-00000C0C0000}"/>
    <cellStyle name="Обычный 2 2 4 8" xfId="1638" xr:uid="{00000000-0005-0000-0000-00000D0C0000}"/>
    <cellStyle name="Обычный 2 2 4 8 2" xfId="5483" xr:uid="{00000000-0005-0000-0000-00000E0C0000}"/>
    <cellStyle name="Обычный 2 2 4 9" xfId="1931" xr:uid="{00000000-0005-0000-0000-00000F0C0000}"/>
    <cellStyle name="Обычный 2 2 4 9 2" xfId="5779" xr:uid="{00000000-0005-0000-0000-0000100C0000}"/>
    <cellStyle name="Обычный 2 2 5" xfId="111" xr:uid="{00000000-0005-0000-0000-0000110C0000}"/>
    <cellStyle name="Обычный 2 2 5 10" xfId="2246" xr:uid="{00000000-0005-0000-0000-0000120C0000}"/>
    <cellStyle name="Обычный 2 2 5 10 2" xfId="6097" xr:uid="{00000000-0005-0000-0000-0000130C0000}"/>
    <cellStyle name="Обычный 2 2 5 11" xfId="2542" xr:uid="{00000000-0005-0000-0000-0000140C0000}"/>
    <cellStyle name="Обычный 2 2 5 11 2" xfId="6393" xr:uid="{00000000-0005-0000-0000-0000150C0000}"/>
    <cellStyle name="Обычный 2 2 5 12" xfId="2838" xr:uid="{00000000-0005-0000-0000-0000160C0000}"/>
    <cellStyle name="Обычный 2 2 5 12 2" xfId="6689" xr:uid="{00000000-0005-0000-0000-0000170C0000}"/>
    <cellStyle name="Обычный 2 2 5 13" xfId="3134" xr:uid="{00000000-0005-0000-0000-0000180C0000}"/>
    <cellStyle name="Обычный 2 2 5 13 2" xfId="6985" xr:uid="{00000000-0005-0000-0000-0000190C0000}"/>
    <cellStyle name="Обычный 2 2 5 14" xfId="3430" xr:uid="{00000000-0005-0000-0000-00001A0C0000}"/>
    <cellStyle name="Обычный 2 2 5 14 2" xfId="7281" xr:uid="{00000000-0005-0000-0000-00001B0C0000}"/>
    <cellStyle name="Обычный 2 2 5 15" xfId="3726" xr:uid="{00000000-0005-0000-0000-00001C0C0000}"/>
    <cellStyle name="Обычный 2 2 5 15 2" xfId="7577" xr:uid="{00000000-0005-0000-0000-00001D0C0000}"/>
    <cellStyle name="Обычный 2 2 5 16" xfId="4022" xr:uid="{00000000-0005-0000-0000-00001E0C0000}"/>
    <cellStyle name="Обычный 2 2 5 16 2" xfId="7873" xr:uid="{00000000-0005-0000-0000-00001F0C0000}"/>
    <cellStyle name="Обычный 2 2 5 17" xfId="8169" xr:uid="{00000000-0005-0000-0000-0000200C0000}"/>
    <cellStyle name="Обычный 2 2 5 18" xfId="4318" xr:uid="{00000000-0005-0000-0000-0000210C0000}"/>
    <cellStyle name="Обычный 2 2 5 2" xfId="164" xr:uid="{00000000-0005-0000-0000-0000220C0000}"/>
    <cellStyle name="Обычный 2 2 5 2 10" xfId="2886" xr:uid="{00000000-0005-0000-0000-0000230C0000}"/>
    <cellStyle name="Обычный 2 2 5 2 10 2" xfId="6737" xr:uid="{00000000-0005-0000-0000-0000240C0000}"/>
    <cellStyle name="Обычный 2 2 5 2 11" xfId="3182" xr:uid="{00000000-0005-0000-0000-0000250C0000}"/>
    <cellStyle name="Обычный 2 2 5 2 11 2" xfId="7033" xr:uid="{00000000-0005-0000-0000-0000260C0000}"/>
    <cellStyle name="Обычный 2 2 5 2 12" xfId="3478" xr:uid="{00000000-0005-0000-0000-0000270C0000}"/>
    <cellStyle name="Обычный 2 2 5 2 12 2" xfId="7329" xr:uid="{00000000-0005-0000-0000-0000280C0000}"/>
    <cellStyle name="Обычный 2 2 5 2 13" xfId="3774" xr:uid="{00000000-0005-0000-0000-0000290C0000}"/>
    <cellStyle name="Обычный 2 2 5 2 13 2" xfId="7625" xr:uid="{00000000-0005-0000-0000-00002A0C0000}"/>
    <cellStyle name="Обычный 2 2 5 2 14" xfId="4070" xr:uid="{00000000-0005-0000-0000-00002B0C0000}"/>
    <cellStyle name="Обычный 2 2 5 2 14 2" xfId="7921" xr:uid="{00000000-0005-0000-0000-00002C0C0000}"/>
    <cellStyle name="Обычный 2 2 5 2 15" xfId="8219" xr:uid="{00000000-0005-0000-0000-00002D0C0000}"/>
    <cellStyle name="Обычный 2 2 5 2 16" xfId="4367" xr:uid="{00000000-0005-0000-0000-00002E0C0000}"/>
    <cellStyle name="Обычный 2 2 5 2 2" xfId="267" xr:uid="{00000000-0005-0000-0000-00002F0C0000}"/>
    <cellStyle name="Обычный 2 2 5 2 2 10" xfId="3330" xr:uid="{00000000-0005-0000-0000-0000300C0000}"/>
    <cellStyle name="Обычный 2 2 5 2 2 10 2" xfId="7181" xr:uid="{00000000-0005-0000-0000-0000310C0000}"/>
    <cellStyle name="Обычный 2 2 5 2 2 11" xfId="3626" xr:uid="{00000000-0005-0000-0000-0000320C0000}"/>
    <cellStyle name="Обычный 2 2 5 2 2 11 2" xfId="7477" xr:uid="{00000000-0005-0000-0000-0000330C0000}"/>
    <cellStyle name="Обычный 2 2 5 2 2 12" xfId="3922" xr:uid="{00000000-0005-0000-0000-0000340C0000}"/>
    <cellStyle name="Обычный 2 2 5 2 2 12 2" xfId="7773" xr:uid="{00000000-0005-0000-0000-0000350C0000}"/>
    <cellStyle name="Обычный 2 2 5 2 2 13" xfId="4218" xr:uid="{00000000-0005-0000-0000-0000360C0000}"/>
    <cellStyle name="Обычный 2 2 5 2 2 13 2" xfId="8069" xr:uid="{00000000-0005-0000-0000-0000370C0000}"/>
    <cellStyle name="Обычный 2 2 5 2 2 14" xfId="8320" xr:uid="{00000000-0005-0000-0000-0000380C0000}"/>
    <cellStyle name="Обычный 2 2 5 2 2 15" xfId="4517" xr:uid="{00000000-0005-0000-0000-0000390C0000}"/>
    <cellStyle name="Обычный 2 2 5 2 2 2" xfId="826" xr:uid="{00000000-0005-0000-0000-00003A0C0000}"/>
    <cellStyle name="Обычный 2 2 5 2 2 2 2" xfId="8581" xr:uid="{00000000-0005-0000-0000-00003B0C0000}"/>
    <cellStyle name="Обычный 2 2 5 2 2 2 3" xfId="4813" xr:uid="{00000000-0005-0000-0000-00003C0C0000}"/>
    <cellStyle name="Обычный 2 2 5 2 2 3" xfId="1275" xr:uid="{00000000-0005-0000-0000-00003D0C0000}"/>
    <cellStyle name="Обычный 2 2 5 2 2 3 2" xfId="5109" xr:uid="{00000000-0005-0000-0000-00003E0C0000}"/>
    <cellStyle name="Обычный 2 2 5 2 2 4" xfId="1561" xr:uid="{00000000-0005-0000-0000-00003F0C0000}"/>
    <cellStyle name="Обычный 2 2 5 2 2 4 2" xfId="5405" xr:uid="{00000000-0005-0000-0000-0000400C0000}"/>
    <cellStyle name="Обычный 2 2 5 2 2 5" xfId="1854" xr:uid="{00000000-0005-0000-0000-0000410C0000}"/>
    <cellStyle name="Обычный 2 2 5 2 2 5 2" xfId="5701" xr:uid="{00000000-0005-0000-0000-0000420C0000}"/>
    <cellStyle name="Обычный 2 2 5 2 2 6" xfId="2147" xr:uid="{00000000-0005-0000-0000-0000430C0000}"/>
    <cellStyle name="Обычный 2 2 5 2 2 6 2" xfId="5997" xr:uid="{00000000-0005-0000-0000-0000440C0000}"/>
    <cellStyle name="Обычный 2 2 5 2 2 7" xfId="2442" xr:uid="{00000000-0005-0000-0000-0000450C0000}"/>
    <cellStyle name="Обычный 2 2 5 2 2 7 2" xfId="6293" xr:uid="{00000000-0005-0000-0000-0000460C0000}"/>
    <cellStyle name="Обычный 2 2 5 2 2 8" xfId="2738" xr:uid="{00000000-0005-0000-0000-0000470C0000}"/>
    <cellStyle name="Обычный 2 2 5 2 2 8 2" xfId="6589" xr:uid="{00000000-0005-0000-0000-0000480C0000}"/>
    <cellStyle name="Обычный 2 2 5 2 2 9" xfId="3034" xr:uid="{00000000-0005-0000-0000-0000490C0000}"/>
    <cellStyle name="Обычный 2 2 5 2 2 9 2" xfId="6885" xr:uid="{00000000-0005-0000-0000-00004A0C0000}"/>
    <cellStyle name="Обычный 2 2 5 2 3" xfId="368" xr:uid="{00000000-0005-0000-0000-00004B0C0000}"/>
    <cellStyle name="Обычный 2 2 5 2 3 2" xfId="827" xr:uid="{00000000-0005-0000-0000-00004C0C0000}"/>
    <cellStyle name="Обычный 2 2 5 2 3 3" xfId="8420" xr:uid="{00000000-0005-0000-0000-00004D0C0000}"/>
    <cellStyle name="Обычный 2 2 5 2 3 4" xfId="4665" xr:uid="{00000000-0005-0000-0000-00004E0C0000}"/>
    <cellStyle name="Обычный 2 2 5 2 4" xfId="828" xr:uid="{00000000-0005-0000-0000-00004F0C0000}"/>
    <cellStyle name="Обычный 2 2 5 2 4 2" xfId="8582" xr:uid="{00000000-0005-0000-0000-0000500C0000}"/>
    <cellStyle name="Обычный 2 2 5 2 4 3" xfId="4961" xr:uid="{00000000-0005-0000-0000-0000510C0000}"/>
    <cellStyle name="Обычный 2 2 5 2 5" xfId="1417" xr:uid="{00000000-0005-0000-0000-0000520C0000}"/>
    <cellStyle name="Обычный 2 2 5 2 5 2" xfId="5257" xr:uid="{00000000-0005-0000-0000-0000530C0000}"/>
    <cellStyle name="Обычный 2 2 5 2 6" xfId="1707" xr:uid="{00000000-0005-0000-0000-0000540C0000}"/>
    <cellStyle name="Обычный 2 2 5 2 6 2" xfId="5553" xr:uid="{00000000-0005-0000-0000-0000550C0000}"/>
    <cellStyle name="Обычный 2 2 5 2 7" xfId="1999" xr:uid="{00000000-0005-0000-0000-0000560C0000}"/>
    <cellStyle name="Обычный 2 2 5 2 7 2" xfId="5849" xr:uid="{00000000-0005-0000-0000-0000570C0000}"/>
    <cellStyle name="Обычный 2 2 5 2 8" xfId="2294" xr:uid="{00000000-0005-0000-0000-0000580C0000}"/>
    <cellStyle name="Обычный 2 2 5 2 8 2" xfId="6145" xr:uid="{00000000-0005-0000-0000-0000590C0000}"/>
    <cellStyle name="Обычный 2 2 5 2 9" xfId="2590" xr:uid="{00000000-0005-0000-0000-00005A0C0000}"/>
    <cellStyle name="Обычный 2 2 5 2 9 2" xfId="6441" xr:uid="{00000000-0005-0000-0000-00005B0C0000}"/>
    <cellStyle name="Обычный 2 2 5 3" xfId="217" xr:uid="{00000000-0005-0000-0000-00005C0C0000}"/>
    <cellStyle name="Обычный 2 2 5 3 10" xfId="2936" xr:uid="{00000000-0005-0000-0000-00005D0C0000}"/>
    <cellStyle name="Обычный 2 2 5 3 10 2" xfId="6787" xr:uid="{00000000-0005-0000-0000-00005E0C0000}"/>
    <cellStyle name="Обычный 2 2 5 3 11" xfId="3232" xr:uid="{00000000-0005-0000-0000-00005F0C0000}"/>
    <cellStyle name="Обычный 2 2 5 3 11 2" xfId="7083" xr:uid="{00000000-0005-0000-0000-0000600C0000}"/>
    <cellStyle name="Обычный 2 2 5 3 12" xfId="3528" xr:uid="{00000000-0005-0000-0000-0000610C0000}"/>
    <cellStyle name="Обычный 2 2 5 3 12 2" xfId="7379" xr:uid="{00000000-0005-0000-0000-0000620C0000}"/>
    <cellStyle name="Обычный 2 2 5 3 13" xfId="3824" xr:uid="{00000000-0005-0000-0000-0000630C0000}"/>
    <cellStyle name="Обычный 2 2 5 3 13 2" xfId="7675" xr:uid="{00000000-0005-0000-0000-0000640C0000}"/>
    <cellStyle name="Обычный 2 2 5 3 14" xfId="4120" xr:uid="{00000000-0005-0000-0000-0000650C0000}"/>
    <cellStyle name="Обычный 2 2 5 3 14 2" xfId="7971" xr:uid="{00000000-0005-0000-0000-0000660C0000}"/>
    <cellStyle name="Обычный 2 2 5 3 15" xfId="8270" xr:uid="{00000000-0005-0000-0000-0000670C0000}"/>
    <cellStyle name="Обычный 2 2 5 3 16" xfId="4418" xr:uid="{00000000-0005-0000-0000-0000680C0000}"/>
    <cellStyle name="Обычный 2 2 5 3 2" xfId="829" xr:uid="{00000000-0005-0000-0000-0000690C0000}"/>
    <cellStyle name="Обычный 2 2 5 3 2 10" xfId="3380" xr:uid="{00000000-0005-0000-0000-00006A0C0000}"/>
    <cellStyle name="Обычный 2 2 5 3 2 10 2" xfId="7231" xr:uid="{00000000-0005-0000-0000-00006B0C0000}"/>
    <cellStyle name="Обычный 2 2 5 3 2 11" xfId="3676" xr:uid="{00000000-0005-0000-0000-00006C0C0000}"/>
    <cellStyle name="Обычный 2 2 5 3 2 11 2" xfId="7527" xr:uid="{00000000-0005-0000-0000-00006D0C0000}"/>
    <cellStyle name="Обычный 2 2 5 3 2 12" xfId="3972" xr:uid="{00000000-0005-0000-0000-00006E0C0000}"/>
    <cellStyle name="Обычный 2 2 5 3 2 12 2" xfId="7823" xr:uid="{00000000-0005-0000-0000-00006F0C0000}"/>
    <cellStyle name="Обычный 2 2 5 3 2 13" xfId="4268" xr:uid="{00000000-0005-0000-0000-0000700C0000}"/>
    <cellStyle name="Обычный 2 2 5 3 2 13 2" xfId="8119" xr:uid="{00000000-0005-0000-0000-0000710C0000}"/>
    <cellStyle name="Обычный 2 2 5 3 2 14" xfId="8583" xr:uid="{00000000-0005-0000-0000-0000720C0000}"/>
    <cellStyle name="Обычный 2 2 5 3 2 15" xfId="4567" xr:uid="{00000000-0005-0000-0000-0000730C0000}"/>
    <cellStyle name="Обычный 2 2 5 3 2 2" xfId="1134" xr:uid="{00000000-0005-0000-0000-0000740C0000}"/>
    <cellStyle name="Обычный 2 2 5 3 2 2 2" xfId="4863" xr:uid="{00000000-0005-0000-0000-0000750C0000}"/>
    <cellStyle name="Обычный 2 2 5 3 2 3" xfId="1323" xr:uid="{00000000-0005-0000-0000-0000760C0000}"/>
    <cellStyle name="Обычный 2 2 5 3 2 3 2" xfId="5159" xr:uid="{00000000-0005-0000-0000-0000770C0000}"/>
    <cellStyle name="Обычный 2 2 5 3 2 4" xfId="1610" xr:uid="{00000000-0005-0000-0000-0000780C0000}"/>
    <cellStyle name="Обычный 2 2 5 3 2 4 2" xfId="5455" xr:uid="{00000000-0005-0000-0000-0000790C0000}"/>
    <cellStyle name="Обычный 2 2 5 3 2 5" xfId="1903" xr:uid="{00000000-0005-0000-0000-00007A0C0000}"/>
    <cellStyle name="Обычный 2 2 5 3 2 5 2" xfId="5751" xr:uid="{00000000-0005-0000-0000-00007B0C0000}"/>
    <cellStyle name="Обычный 2 2 5 3 2 6" xfId="2197" xr:uid="{00000000-0005-0000-0000-00007C0C0000}"/>
    <cellStyle name="Обычный 2 2 5 3 2 6 2" xfId="6047" xr:uid="{00000000-0005-0000-0000-00007D0C0000}"/>
    <cellStyle name="Обычный 2 2 5 3 2 7" xfId="2492" xr:uid="{00000000-0005-0000-0000-00007E0C0000}"/>
    <cellStyle name="Обычный 2 2 5 3 2 7 2" xfId="6343" xr:uid="{00000000-0005-0000-0000-00007F0C0000}"/>
    <cellStyle name="Обычный 2 2 5 3 2 8" xfId="2788" xr:uid="{00000000-0005-0000-0000-0000800C0000}"/>
    <cellStyle name="Обычный 2 2 5 3 2 8 2" xfId="6639" xr:uid="{00000000-0005-0000-0000-0000810C0000}"/>
    <cellStyle name="Обычный 2 2 5 3 2 9" xfId="3084" xr:uid="{00000000-0005-0000-0000-0000820C0000}"/>
    <cellStyle name="Обычный 2 2 5 3 2 9 2" xfId="6935" xr:uid="{00000000-0005-0000-0000-0000830C0000}"/>
    <cellStyle name="Обычный 2 2 5 3 3" xfId="1087" xr:uid="{00000000-0005-0000-0000-0000840C0000}"/>
    <cellStyle name="Обычный 2 2 5 3 3 2" xfId="4715" xr:uid="{00000000-0005-0000-0000-0000850C0000}"/>
    <cellStyle name="Обычный 2 2 5 3 4" xfId="1181" xr:uid="{00000000-0005-0000-0000-0000860C0000}"/>
    <cellStyle name="Обычный 2 2 5 3 4 2" xfId="5011" xr:uid="{00000000-0005-0000-0000-0000870C0000}"/>
    <cellStyle name="Обычный 2 2 5 3 5" xfId="1465" xr:uid="{00000000-0005-0000-0000-0000880C0000}"/>
    <cellStyle name="Обычный 2 2 5 3 5 2" xfId="5307" xr:uid="{00000000-0005-0000-0000-0000890C0000}"/>
    <cellStyle name="Обычный 2 2 5 3 6" xfId="1756" xr:uid="{00000000-0005-0000-0000-00008A0C0000}"/>
    <cellStyle name="Обычный 2 2 5 3 6 2" xfId="5603" xr:uid="{00000000-0005-0000-0000-00008B0C0000}"/>
    <cellStyle name="Обычный 2 2 5 3 7" xfId="2049" xr:uid="{00000000-0005-0000-0000-00008C0C0000}"/>
    <cellStyle name="Обычный 2 2 5 3 7 2" xfId="5899" xr:uid="{00000000-0005-0000-0000-00008D0C0000}"/>
    <cellStyle name="Обычный 2 2 5 3 8" xfId="2344" xr:uid="{00000000-0005-0000-0000-00008E0C0000}"/>
    <cellStyle name="Обычный 2 2 5 3 8 2" xfId="6195" xr:uid="{00000000-0005-0000-0000-00008F0C0000}"/>
    <cellStyle name="Обычный 2 2 5 3 9" xfId="2640" xr:uid="{00000000-0005-0000-0000-0000900C0000}"/>
    <cellStyle name="Обычный 2 2 5 3 9 2" xfId="6491" xr:uid="{00000000-0005-0000-0000-0000910C0000}"/>
    <cellStyle name="Обычный 2 2 5 4" xfId="318" xr:uid="{00000000-0005-0000-0000-0000920C0000}"/>
    <cellStyle name="Обычный 2 2 5 4 10" xfId="3282" xr:uid="{00000000-0005-0000-0000-0000930C0000}"/>
    <cellStyle name="Обычный 2 2 5 4 10 2" xfId="7133" xr:uid="{00000000-0005-0000-0000-0000940C0000}"/>
    <cellStyle name="Обычный 2 2 5 4 11" xfId="3578" xr:uid="{00000000-0005-0000-0000-0000950C0000}"/>
    <cellStyle name="Обычный 2 2 5 4 11 2" xfId="7429" xr:uid="{00000000-0005-0000-0000-0000960C0000}"/>
    <cellStyle name="Обычный 2 2 5 4 12" xfId="3874" xr:uid="{00000000-0005-0000-0000-0000970C0000}"/>
    <cellStyle name="Обычный 2 2 5 4 12 2" xfId="7725" xr:uid="{00000000-0005-0000-0000-0000980C0000}"/>
    <cellStyle name="Обычный 2 2 5 4 13" xfId="4170" xr:uid="{00000000-0005-0000-0000-0000990C0000}"/>
    <cellStyle name="Обычный 2 2 5 4 13 2" xfId="8021" xr:uid="{00000000-0005-0000-0000-00009A0C0000}"/>
    <cellStyle name="Обычный 2 2 5 4 14" xfId="8370" xr:uid="{00000000-0005-0000-0000-00009B0C0000}"/>
    <cellStyle name="Обычный 2 2 5 4 15" xfId="4469" xr:uid="{00000000-0005-0000-0000-00009C0C0000}"/>
    <cellStyle name="Обычный 2 2 5 4 2" xfId="830" xr:uid="{00000000-0005-0000-0000-00009D0C0000}"/>
    <cellStyle name="Обычный 2 2 5 4 2 2" xfId="8584" xr:uid="{00000000-0005-0000-0000-00009E0C0000}"/>
    <cellStyle name="Обычный 2 2 5 4 2 3" xfId="4765" xr:uid="{00000000-0005-0000-0000-00009F0C0000}"/>
    <cellStyle name="Обычный 2 2 5 4 3" xfId="1229" xr:uid="{00000000-0005-0000-0000-0000A00C0000}"/>
    <cellStyle name="Обычный 2 2 5 4 3 2" xfId="5061" xr:uid="{00000000-0005-0000-0000-0000A10C0000}"/>
    <cellStyle name="Обычный 2 2 5 4 4" xfId="1514" xr:uid="{00000000-0005-0000-0000-0000A20C0000}"/>
    <cellStyle name="Обычный 2 2 5 4 4 2" xfId="5357" xr:uid="{00000000-0005-0000-0000-0000A30C0000}"/>
    <cellStyle name="Обычный 2 2 5 4 5" xfId="1806" xr:uid="{00000000-0005-0000-0000-0000A40C0000}"/>
    <cellStyle name="Обычный 2 2 5 4 5 2" xfId="5653" xr:uid="{00000000-0005-0000-0000-0000A50C0000}"/>
    <cellStyle name="Обычный 2 2 5 4 6" xfId="2099" xr:uid="{00000000-0005-0000-0000-0000A60C0000}"/>
    <cellStyle name="Обычный 2 2 5 4 6 2" xfId="5949" xr:uid="{00000000-0005-0000-0000-0000A70C0000}"/>
    <cellStyle name="Обычный 2 2 5 4 7" xfId="2394" xr:uid="{00000000-0005-0000-0000-0000A80C0000}"/>
    <cellStyle name="Обычный 2 2 5 4 7 2" xfId="6245" xr:uid="{00000000-0005-0000-0000-0000A90C0000}"/>
    <cellStyle name="Обычный 2 2 5 4 8" xfId="2690" xr:uid="{00000000-0005-0000-0000-0000AA0C0000}"/>
    <cellStyle name="Обычный 2 2 5 4 8 2" xfId="6541" xr:uid="{00000000-0005-0000-0000-0000AB0C0000}"/>
    <cellStyle name="Обычный 2 2 5 4 9" xfId="2986" xr:uid="{00000000-0005-0000-0000-0000AC0C0000}"/>
    <cellStyle name="Обычный 2 2 5 4 9 2" xfId="6837" xr:uid="{00000000-0005-0000-0000-0000AD0C0000}"/>
    <cellStyle name="Обычный 2 2 5 5" xfId="831" xr:uid="{00000000-0005-0000-0000-0000AE0C0000}"/>
    <cellStyle name="Обычный 2 2 5 5 2" xfId="8585" xr:uid="{00000000-0005-0000-0000-0000AF0C0000}"/>
    <cellStyle name="Обычный 2 2 5 5 3" xfId="4617" xr:uid="{00000000-0005-0000-0000-0000B00C0000}"/>
    <cellStyle name="Обычный 2 2 5 6" xfId="832" xr:uid="{00000000-0005-0000-0000-0000B10C0000}"/>
    <cellStyle name="Обычный 2 2 5 6 2" xfId="8586" xr:uid="{00000000-0005-0000-0000-0000B20C0000}"/>
    <cellStyle name="Обычный 2 2 5 6 3" xfId="4913" xr:uid="{00000000-0005-0000-0000-0000B30C0000}"/>
    <cellStyle name="Обычный 2 2 5 7" xfId="1370" xr:uid="{00000000-0005-0000-0000-0000B40C0000}"/>
    <cellStyle name="Обычный 2 2 5 7 2" xfId="5209" xr:uid="{00000000-0005-0000-0000-0000B50C0000}"/>
    <cellStyle name="Обычный 2 2 5 8" xfId="1659" xr:uid="{00000000-0005-0000-0000-0000B60C0000}"/>
    <cellStyle name="Обычный 2 2 5 8 2" xfId="5505" xr:uid="{00000000-0005-0000-0000-0000B70C0000}"/>
    <cellStyle name="Обычный 2 2 5 9" xfId="1952" xr:uid="{00000000-0005-0000-0000-0000B80C0000}"/>
    <cellStyle name="Обычный 2 2 5 9 2" xfId="5801" xr:uid="{00000000-0005-0000-0000-0000B90C0000}"/>
    <cellStyle name="Обычный 2 2 6" xfId="136" xr:uid="{00000000-0005-0000-0000-0000BA0C0000}"/>
    <cellStyle name="Обычный 2 2 6 10" xfId="2858" xr:uid="{00000000-0005-0000-0000-0000BB0C0000}"/>
    <cellStyle name="Обычный 2 2 6 10 2" xfId="6709" xr:uid="{00000000-0005-0000-0000-0000BC0C0000}"/>
    <cellStyle name="Обычный 2 2 6 11" xfId="3154" xr:uid="{00000000-0005-0000-0000-0000BD0C0000}"/>
    <cellStyle name="Обычный 2 2 6 11 2" xfId="7005" xr:uid="{00000000-0005-0000-0000-0000BE0C0000}"/>
    <cellStyle name="Обычный 2 2 6 12" xfId="3450" xr:uid="{00000000-0005-0000-0000-0000BF0C0000}"/>
    <cellStyle name="Обычный 2 2 6 12 2" xfId="7301" xr:uid="{00000000-0005-0000-0000-0000C00C0000}"/>
    <cellStyle name="Обычный 2 2 6 13" xfId="3746" xr:uid="{00000000-0005-0000-0000-0000C10C0000}"/>
    <cellStyle name="Обычный 2 2 6 13 2" xfId="7597" xr:uid="{00000000-0005-0000-0000-0000C20C0000}"/>
    <cellStyle name="Обычный 2 2 6 14" xfId="4042" xr:uid="{00000000-0005-0000-0000-0000C30C0000}"/>
    <cellStyle name="Обычный 2 2 6 14 2" xfId="7893" xr:uid="{00000000-0005-0000-0000-0000C40C0000}"/>
    <cellStyle name="Обычный 2 2 6 15" xfId="8191" xr:uid="{00000000-0005-0000-0000-0000C50C0000}"/>
    <cellStyle name="Обычный 2 2 6 16" xfId="4339" xr:uid="{00000000-0005-0000-0000-0000C60C0000}"/>
    <cellStyle name="Обычный 2 2 6 2" xfId="239" xr:uid="{00000000-0005-0000-0000-0000C70C0000}"/>
    <cellStyle name="Обычный 2 2 6 2 10" xfId="3302" xr:uid="{00000000-0005-0000-0000-0000C80C0000}"/>
    <cellStyle name="Обычный 2 2 6 2 10 2" xfId="7153" xr:uid="{00000000-0005-0000-0000-0000C90C0000}"/>
    <cellStyle name="Обычный 2 2 6 2 11" xfId="3598" xr:uid="{00000000-0005-0000-0000-0000CA0C0000}"/>
    <cellStyle name="Обычный 2 2 6 2 11 2" xfId="7449" xr:uid="{00000000-0005-0000-0000-0000CB0C0000}"/>
    <cellStyle name="Обычный 2 2 6 2 12" xfId="3894" xr:uid="{00000000-0005-0000-0000-0000CC0C0000}"/>
    <cellStyle name="Обычный 2 2 6 2 12 2" xfId="7745" xr:uid="{00000000-0005-0000-0000-0000CD0C0000}"/>
    <cellStyle name="Обычный 2 2 6 2 13" xfId="4190" xr:uid="{00000000-0005-0000-0000-0000CE0C0000}"/>
    <cellStyle name="Обычный 2 2 6 2 13 2" xfId="8041" xr:uid="{00000000-0005-0000-0000-0000CF0C0000}"/>
    <cellStyle name="Обычный 2 2 6 2 14" xfId="8292" xr:uid="{00000000-0005-0000-0000-0000D00C0000}"/>
    <cellStyle name="Обычный 2 2 6 2 15" xfId="4489" xr:uid="{00000000-0005-0000-0000-0000D10C0000}"/>
    <cellStyle name="Обычный 2 2 6 2 2" xfId="833" xr:uid="{00000000-0005-0000-0000-0000D20C0000}"/>
    <cellStyle name="Обычный 2 2 6 2 2 2" xfId="8587" xr:uid="{00000000-0005-0000-0000-0000D30C0000}"/>
    <cellStyle name="Обычный 2 2 6 2 2 3" xfId="4785" xr:uid="{00000000-0005-0000-0000-0000D40C0000}"/>
    <cellStyle name="Обычный 2 2 6 2 3" xfId="1248" xr:uid="{00000000-0005-0000-0000-0000D50C0000}"/>
    <cellStyle name="Обычный 2 2 6 2 3 2" xfId="5081" xr:uid="{00000000-0005-0000-0000-0000D60C0000}"/>
    <cellStyle name="Обычный 2 2 6 2 4" xfId="1534" xr:uid="{00000000-0005-0000-0000-0000D70C0000}"/>
    <cellStyle name="Обычный 2 2 6 2 4 2" xfId="5377" xr:uid="{00000000-0005-0000-0000-0000D80C0000}"/>
    <cellStyle name="Обычный 2 2 6 2 5" xfId="1826" xr:uid="{00000000-0005-0000-0000-0000D90C0000}"/>
    <cellStyle name="Обычный 2 2 6 2 5 2" xfId="5673" xr:uid="{00000000-0005-0000-0000-0000DA0C0000}"/>
    <cellStyle name="Обычный 2 2 6 2 6" xfId="2119" xr:uid="{00000000-0005-0000-0000-0000DB0C0000}"/>
    <cellStyle name="Обычный 2 2 6 2 6 2" xfId="5969" xr:uid="{00000000-0005-0000-0000-0000DC0C0000}"/>
    <cellStyle name="Обычный 2 2 6 2 7" xfId="2414" xr:uid="{00000000-0005-0000-0000-0000DD0C0000}"/>
    <cellStyle name="Обычный 2 2 6 2 7 2" xfId="6265" xr:uid="{00000000-0005-0000-0000-0000DE0C0000}"/>
    <cellStyle name="Обычный 2 2 6 2 8" xfId="2710" xr:uid="{00000000-0005-0000-0000-0000DF0C0000}"/>
    <cellStyle name="Обычный 2 2 6 2 8 2" xfId="6561" xr:uid="{00000000-0005-0000-0000-0000E00C0000}"/>
    <cellStyle name="Обычный 2 2 6 2 9" xfId="3006" xr:uid="{00000000-0005-0000-0000-0000E10C0000}"/>
    <cellStyle name="Обычный 2 2 6 2 9 2" xfId="6857" xr:uid="{00000000-0005-0000-0000-0000E20C0000}"/>
    <cellStyle name="Обычный 2 2 6 3" xfId="340" xr:uid="{00000000-0005-0000-0000-0000E30C0000}"/>
    <cellStyle name="Обычный 2 2 6 3 2" xfId="834" xr:uid="{00000000-0005-0000-0000-0000E40C0000}"/>
    <cellStyle name="Обычный 2 2 6 3 3" xfId="8392" xr:uid="{00000000-0005-0000-0000-0000E50C0000}"/>
    <cellStyle name="Обычный 2 2 6 3 4" xfId="4637" xr:uid="{00000000-0005-0000-0000-0000E60C0000}"/>
    <cellStyle name="Обычный 2 2 6 4" xfId="835" xr:uid="{00000000-0005-0000-0000-0000E70C0000}"/>
    <cellStyle name="Обычный 2 2 6 4 2" xfId="8588" xr:uid="{00000000-0005-0000-0000-0000E80C0000}"/>
    <cellStyle name="Обычный 2 2 6 4 3" xfId="4933" xr:uid="{00000000-0005-0000-0000-0000E90C0000}"/>
    <cellStyle name="Обычный 2 2 6 5" xfId="1390" xr:uid="{00000000-0005-0000-0000-0000EA0C0000}"/>
    <cellStyle name="Обычный 2 2 6 5 2" xfId="5229" xr:uid="{00000000-0005-0000-0000-0000EB0C0000}"/>
    <cellStyle name="Обычный 2 2 6 6" xfId="1679" xr:uid="{00000000-0005-0000-0000-0000EC0C0000}"/>
    <cellStyle name="Обычный 2 2 6 6 2" xfId="5525" xr:uid="{00000000-0005-0000-0000-0000ED0C0000}"/>
    <cellStyle name="Обычный 2 2 6 7" xfId="1972" xr:uid="{00000000-0005-0000-0000-0000EE0C0000}"/>
    <cellStyle name="Обычный 2 2 6 7 2" xfId="5821" xr:uid="{00000000-0005-0000-0000-0000EF0C0000}"/>
    <cellStyle name="Обычный 2 2 6 8" xfId="2266" xr:uid="{00000000-0005-0000-0000-0000F00C0000}"/>
    <cellStyle name="Обычный 2 2 6 8 2" xfId="6117" xr:uid="{00000000-0005-0000-0000-0000F10C0000}"/>
    <cellStyle name="Обычный 2 2 6 9" xfId="2562" xr:uid="{00000000-0005-0000-0000-0000F20C0000}"/>
    <cellStyle name="Обычный 2 2 6 9 2" xfId="6413" xr:uid="{00000000-0005-0000-0000-0000F30C0000}"/>
    <cellStyle name="Обычный 2 2 7" xfId="189" xr:uid="{00000000-0005-0000-0000-0000F40C0000}"/>
    <cellStyle name="Обычный 2 2 7 10" xfId="2908" xr:uid="{00000000-0005-0000-0000-0000F50C0000}"/>
    <cellStyle name="Обычный 2 2 7 10 2" xfId="6759" xr:uid="{00000000-0005-0000-0000-0000F60C0000}"/>
    <cellStyle name="Обычный 2 2 7 11" xfId="3204" xr:uid="{00000000-0005-0000-0000-0000F70C0000}"/>
    <cellStyle name="Обычный 2 2 7 11 2" xfId="7055" xr:uid="{00000000-0005-0000-0000-0000F80C0000}"/>
    <cellStyle name="Обычный 2 2 7 12" xfId="3500" xr:uid="{00000000-0005-0000-0000-0000F90C0000}"/>
    <cellStyle name="Обычный 2 2 7 12 2" xfId="7351" xr:uid="{00000000-0005-0000-0000-0000FA0C0000}"/>
    <cellStyle name="Обычный 2 2 7 13" xfId="3796" xr:uid="{00000000-0005-0000-0000-0000FB0C0000}"/>
    <cellStyle name="Обычный 2 2 7 13 2" xfId="7647" xr:uid="{00000000-0005-0000-0000-0000FC0C0000}"/>
    <cellStyle name="Обычный 2 2 7 14" xfId="4092" xr:uid="{00000000-0005-0000-0000-0000FD0C0000}"/>
    <cellStyle name="Обычный 2 2 7 14 2" xfId="7943" xr:uid="{00000000-0005-0000-0000-0000FE0C0000}"/>
    <cellStyle name="Обычный 2 2 7 15" xfId="8242" xr:uid="{00000000-0005-0000-0000-0000FF0C0000}"/>
    <cellStyle name="Обычный 2 2 7 16" xfId="4390" xr:uid="{00000000-0005-0000-0000-0000000D0000}"/>
    <cellStyle name="Обычный 2 2 7 2" xfId="836" xr:uid="{00000000-0005-0000-0000-0000010D0000}"/>
    <cellStyle name="Обычный 2 2 7 2 10" xfId="3352" xr:uid="{00000000-0005-0000-0000-0000020D0000}"/>
    <cellStyle name="Обычный 2 2 7 2 10 2" xfId="7203" xr:uid="{00000000-0005-0000-0000-0000030D0000}"/>
    <cellStyle name="Обычный 2 2 7 2 11" xfId="3648" xr:uid="{00000000-0005-0000-0000-0000040D0000}"/>
    <cellStyle name="Обычный 2 2 7 2 11 2" xfId="7499" xr:uid="{00000000-0005-0000-0000-0000050D0000}"/>
    <cellStyle name="Обычный 2 2 7 2 12" xfId="3944" xr:uid="{00000000-0005-0000-0000-0000060D0000}"/>
    <cellStyle name="Обычный 2 2 7 2 12 2" xfId="7795" xr:uid="{00000000-0005-0000-0000-0000070D0000}"/>
    <cellStyle name="Обычный 2 2 7 2 13" xfId="4240" xr:uid="{00000000-0005-0000-0000-0000080D0000}"/>
    <cellStyle name="Обычный 2 2 7 2 13 2" xfId="8091" xr:uid="{00000000-0005-0000-0000-0000090D0000}"/>
    <cellStyle name="Обычный 2 2 7 2 14" xfId="8589" xr:uid="{00000000-0005-0000-0000-00000A0D0000}"/>
    <cellStyle name="Обычный 2 2 7 2 15" xfId="4539" xr:uid="{00000000-0005-0000-0000-00000B0D0000}"/>
    <cellStyle name="Обычный 2 2 7 2 2" xfId="1107" xr:uid="{00000000-0005-0000-0000-00000C0D0000}"/>
    <cellStyle name="Обычный 2 2 7 2 2 2" xfId="4835" xr:uid="{00000000-0005-0000-0000-00000D0D0000}"/>
    <cellStyle name="Обычный 2 2 7 2 3" xfId="1296" xr:uid="{00000000-0005-0000-0000-00000E0D0000}"/>
    <cellStyle name="Обычный 2 2 7 2 3 2" xfId="5131" xr:uid="{00000000-0005-0000-0000-00000F0D0000}"/>
    <cellStyle name="Обычный 2 2 7 2 4" xfId="1583" xr:uid="{00000000-0005-0000-0000-0000100D0000}"/>
    <cellStyle name="Обычный 2 2 7 2 4 2" xfId="5427" xr:uid="{00000000-0005-0000-0000-0000110D0000}"/>
    <cellStyle name="Обычный 2 2 7 2 5" xfId="1876" xr:uid="{00000000-0005-0000-0000-0000120D0000}"/>
    <cellStyle name="Обычный 2 2 7 2 5 2" xfId="5723" xr:uid="{00000000-0005-0000-0000-0000130D0000}"/>
    <cellStyle name="Обычный 2 2 7 2 6" xfId="2169" xr:uid="{00000000-0005-0000-0000-0000140D0000}"/>
    <cellStyle name="Обычный 2 2 7 2 6 2" xfId="6019" xr:uid="{00000000-0005-0000-0000-0000150D0000}"/>
    <cellStyle name="Обычный 2 2 7 2 7" xfId="2464" xr:uid="{00000000-0005-0000-0000-0000160D0000}"/>
    <cellStyle name="Обычный 2 2 7 2 7 2" xfId="6315" xr:uid="{00000000-0005-0000-0000-0000170D0000}"/>
    <cellStyle name="Обычный 2 2 7 2 8" xfId="2760" xr:uid="{00000000-0005-0000-0000-0000180D0000}"/>
    <cellStyle name="Обычный 2 2 7 2 8 2" xfId="6611" xr:uid="{00000000-0005-0000-0000-0000190D0000}"/>
    <cellStyle name="Обычный 2 2 7 2 9" xfId="3056" xr:uid="{00000000-0005-0000-0000-00001A0D0000}"/>
    <cellStyle name="Обычный 2 2 7 2 9 2" xfId="6907" xr:uid="{00000000-0005-0000-0000-00001B0D0000}"/>
    <cellStyle name="Обычный 2 2 7 3" xfId="1060" xr:uid="{00000000-0005-0000-0000-00001C0D0000}"/>
    <cellStyle name="Обычный 2 2 7 3 2" xfId="4687" xr:uid="{00000000-0005-0000-0000-00001D0D0000}"/>
    <cellStyle name="Обычный 2 2 7 4" xfId="1154" xr:uid="{00000000-0005-0000-0000-00001E0D0000}"/>
    <cellStyle name="Обычный 2 2 7 4 2" xfId="4983" xr:uid="{00000000-0005-0000-0000-00001F0D0000}"/>
    <cellStyle name="Обычный 2 2 7 5" xfId="1437" xr:uid="{00000000-0005-0000-0000-0000200D0000}"/>
    <cellStyle name="Обычный 2 2 7 5 2" xfId="5279" xr:uid="{00000000-0005-0000-0000-0000210D0000}"/>
    <cellStyle name="Обычный 2 2 7 6" xfId="1728" xr:uid="{00000000-0005-0000-0000-0000220D0000}"/>
    <cellStyle name="Обычный 2 2 7 6 2" xfId="5575" xr:uid="{00000000-0005-0000-0000-0000230D0000}"/>
    <cellStyle name="Обычный 2 2 7 7" xfId="2021" xr:uid="{00000000-0005-0000-0000-0000240D0000}"/>
    <cellStyle name="Обычный 2 2 7 7 2" xfId="5871" xr:uid="{00000000-0005-0000-0000-0000250D0000}"/>
    <cellStyle name="Обычный 2 2 7 8" xfId="2316" xr:uid="{00000000-0005-0000-0000-0000260D0000}"/>
    <cellStyle name="Обычный 2 2 7 8 2" xfId="6167" xr:uid="{00000000-0005-0000-0000-0000270D0000}"/>
    <cellStyle name="Обычный 2 2 7 9" xfId="2612" xr:uid="{00000000-0005-0000-0000-0000280D0000}"/>
    <cellStyle name="Обычный 2 2 7 9 2" xfId="6463" xr:uid="{00000000-0005-0000-0000-0000290D0000}"/>
    <cellStyle name="Обычный 2 2 8" xfId="290" xr:uid="{00000000-0005-0000-0000-00002A0D0000}"/>
    <cellStyle name="Обычный 2 2 8 10" xfId="3254" xr:uid="{00000000-0005-0000-0000-00002B0D0000}"/>
    <cellStyle name="Обычный 2 2 8 10 2" xfId="7105" xr:uid="{00000000-0005-0000-0000-00002C0D0000}"/>
    <cellStyle name="Обычный 2 2 8 11" xfId="3550" xr:uid="{00000000-0005-0000-0000-00002D0D0000}"/>
    <cellStyle name="Обычный 2 2 8 11 2" xfId="7401" xr:uid="{00000000-0005-0000-0000-00002E0D0000}"/>
    <cellStyle name="Обычный 2 2 8 12" xfId="3846" xr:uid="{00000000-0005-0000-0000-00002F0D0000}"/>
    <cellStyle name="Обычный 2 2 8 12 2" xfId="7697" xr:uid="{00000000-0005-0000-0000-0000300D0000}"/>
    <cellStyle name="Обычный 2 2 8 13" xfId="4142" xr:uid="{00000000-0005-0000-0000-0000310D0000}"/>
    <cellStyle name="Обычный 2 2 8 13 2" xfId="7993" xr:uid="{00000000-0005-0000-0000-0000320D0000}"/>
    <cellStyle name="Обычный 2 2 8 14" xfId="8342" xr:uid="{00000000-0005-0000-0000-0000330D0000}"/>
    <cellStyle name="Обычный 2 2 8 15" xfId="4441" xr:uid="{00000000-0005-0000-0000-0000340D0000}"/>
    <cellStyle name="Обычный 2 2 8 2" xfId="837" xr:uid="{00000000-0005-0000-0000-0000350D0000}"/>
    <cellStyle name="Обычный 2 2 8 2 2" xfId="8590" xr:uid="{00000000-0005-0000-0000-0000360D0000}"/>
    <cellStyle name="Обычный 2 2 8 2 3" xfId="4737" xr:uid="{00000000-0005-0000-0000-0000370D0000}"/>
    <cellStyle name="Обычный 2 2 8 3" xfId="1201" xr:uid="{00000000-0005-0000-0000-0000380D0000}"/>
    <cellStyle name="Обычный 2 2 8 3 2" xfId="5033" xr:uid="{00000000-0005-0000-0000-0000390D0000}"/>
    <cellStyle name="Обычный 2 2 8 4" xfId="1486" xr:uid="{00000000-0005-0000-0000-00003A0D0000}"/>
    <cellStyle name="Обычный 2 2 8 4 2" xfId="5329" xr:uid="{00000000-0005-0000-0000-00003B0D0000}"/>
    <cellStyle name="Обычный 2 2 8 5" xfId="1778" xr:uid="{00000000-0005-0000-0000-00003C0D0000}"/>
    <cellStyle name="Обычный 2 2 8 5 2" xfId="5625" xr:uid="{00000000-0005-0000-0000-00003D0D0000}"/>
    <cellStyle name="Обычный 2 2 8 6" xfId="2071" xr:uid="{00000000-0005-0000-0000-00003E0D0000}"/>
    <cellStyle name="Обычный 2 2 8 6 2" xfId="5921" xr:uid="{00000000-0005-0000-0000-00003F0D0000}"/>
    <cellStyle name="Обычный 2 2 8 7" xfId="2366" xr:uid="{00000000-0005-0000-0000-0000400D0000}"/>
    <cellStyle name="Обычный 2 2 8 7 2" xfId="6217" xr:uid="{00000000-0005-0000-0000-0000410D0000}"/>
    <cellStyle name="Обычный 2 2 8 8" xfId="2662" xr:uid="{00000000-0005-0000-0000-0000420D0000}"/>
    <cellStyle name="Обычный 2 2 8 8 2" xfId="6513" xr:uid="{00000000-0005-0000-0000-0000430D0000}"/>
    <cellStyle name="Обычный 2 2 8 9" xfId="2958" xr:uid="{00000000-0005-0000-0000-0000440D0000}"/>
    <cellStyle name="Обычный 2 2 8 9 2" xfId="6809" xr:uid="{00000000-0005-0000-0000-0000450D0000}"/>
    <cellStyle name="Обычный 2 2 9" xfId="389" xr:uid="{00000000-0005-0000-0000-0000460D0000}"/>
    <cellStyle name="Обычный 2 2 9 2" xfId="8440" xr:uid="{00000000-0005-0000-0000-0000470D0000}"/>
    <cellStyle name="Обычный 2 2 9 3" xfId="4589" xr:uid="{00000000-0005-0000-0000-0000480D0000}"/>
    <cellStyle name="Обычный 2 3" xfId="64" xr:uid="{00000000-0005-0000-0000-0000490D0000}"/>
    <cellStyle name="Обычный 2 3 10" xfId="1352" xr:uid="{00000000-0005-0000-0000-00004A0D0000}"/>
    <cellStyle name="Обычный 2 3 10 2" xfId="5190" xr:uid="{00000000-0005-0000-0000-00004B0D0000}"/>
    <cellStyle name="Обычный 2 3 11" xfId="1641" xr:uid="{00000000-0005-0000-0000-00004C0D0000}"/>
    <cellStyle name="Обычный 2 3 11 2" xfId="5486" xr:uid="{00000000-0005-0000-0000-00004D0D0000}"/>
    <cellStyle name="Обычный 2 3 12" xfId="1934" xr:uid="{00000000-0005-0000-0000-00004E0D0000}"/>
    <cellStyle name="Обычный 2 3 12 2" xfId="5782" xr:uid="{00000000-0005-0000-0000-00004F0D0000}"/>
    <cellStyle name="Обычный 2 3 13" xfId="2228" xr:uid="{00000000-0005-0000-0000-0000500D0000}"/>
    <cellStyle name="Обычный 2 3 13 2" xfId="6078" xr:uid="{00000000-0005-0000-0000-0000510D0000}"/>
    <cellStyle name="Обычный 2 3 14" xfId="2523" xr:uid="{00000000-0005-0000-0000-0000520D0000}"/>
    <cellStyle name="Обычный 2 3 14 2" xfId="6374" xr:uid="{00000000-0005-0000-0000-0000530D0000}"/>
    <cellStyle name="Обычный 2 3 15" xfId="2819" xr:uid="{00000000-0005-0000-0000-0000540D0000}"/>
    <cellStyle name="Обычный 2 3 15 2" xfId="6670" xr:uid="{00000000-0005-0000-0000-0000550D0000}"/>
    <cellStyle name="Обычный 2 3 16" xfId="3115" xr:uid="{00000000-0005-0000-0000-0000560D0000}"/>
    <cellStyle name="Обычный 2 3 16 2" xfId="6966" xr:uid="{00000000-0005-0000-0000-0000570D0000}"/>
    <cellStyle name="Обычный 2 3 17" xfId="3411" xr:uid="{00000000-0005-0000-0000-0000580D0000}"/>
    <cellStyle name="Обычный 2 3 17 2" xfId="7262" xr:uid="{00000000-0005-0000-0000-0000590D0000}"/>
    <cellStyle name="Обычный 2 3 18" xfId="3707" xr:uid="{00000000-0005-0000-0000-00005A0D0000}"/>
    <cellStyle name="Обычный 2 3 18 2" xfId="7558" xr:uid="{00000000-0005-0000-0000-00005B0D0000}"/>
    <cellStyle name="Обычный 2 3 19" xfId="4003" xr:uid="{00000000-0005-0000-0000-00005C0D0000}"/>
    <cellStyle name="Обычный 2 3 19 2" xfId="7854" xr:uid="{00000000-0005-0000-0000-00005D0D0000}"/>
    <cellStyle name="Обычный 2 3 2" xfId="65" xr:uid="{00000000-0005-0000-0000-00005E0D0000}"/>
    <cellStyle name="Обычный 2 3 2 10" xfId="1935" xr:uid="{00000000-0005-0000-0000-00005F0D0000}"/>
    <cellStyle name="Обычный 2 3 2 10 2" xfId="5783" xr:uid="{00000000-0005-0000-0000-0000600D0000}"/>
    <cellStyle name="Обычный 2 3 2 11" xfId="2229" xr:uid="{00000000-0005-0000-0000-0000610D0000}"/>
    <cellStyle name="Обычный 2 3 2 11 2" xfId="6079" xr:uid="{00000000-0005-0000-0000-0000620D0000}"/>
    <cellStyle name="Обычный 2 3 2 12" xfId="2524" xr:uid="{00000000-0005-0000-0000-0000630D0000}"/>
    <cellStyle name="Обычный 2 3 2 12 2" xfId="6375" xr:uid="{00000000-0005-0000-0000-0000640D0000}"/>
    <cellStyle name="Обычный 2 3 2 13" xfId="2820" xr:uid="{00000000-0005-0000-0000-0000650D0000}"/>
    <cellStyle name="Обычный 2 3 2 13 2" xfId="6671" xr:uid="{00000000-0005-0000-0000-0000660D0000}"/>
    <cellStyle name="Обычный 2 3 2 14" xfId="3116" xr:uid="{00000000-0005-0000-0000-0000670D0000}"/>
    <cellStyle name="Обычный 2 3 2 14 2" xfId="6967" xr:uid="{00000000-0005-0000-0000-0000680D0000}"/>
    <cellStyle name="Обычный 2 3 2 15" xfId="3412" xr:uid="{00000000-0005-0000-0000-0000690D0000}"/>
    <cellStyle name="Обычный 2 3 2 15 2" xfId="7263" xr:uid="{00000000-0005-0000-0000-00006A0D0000}"/>
    <cellStyle name="Обычный 2 3 2 16" xfId="3708" xr:uid="{00000000-0005-0000-0000-00006B0D0000}"/>
    <cellStyle name="Обычный 2 3 2 16 2" xfId="7559" xr:uid="{00000000-0005-0000-0000-00006C0D0000}"/>
    <cellStyle name="Обычный 2 3 2 17" xfId="4004" xr:uid="{00000000-0005-0000-0000-00006D0D0000}"/>
    <cellStyle name="Обычный 2 3 2 17 2" xfId="7855" xr:uid="{00000000-0005-0000-0000-00006E0D0000}"/>
    <cellStyle name="Обычный 2 3 2 18" xfId="8151" xr:uid="{00000000-0005-0000-0000-00006F0D0000}"/>
    <cellStyle name="Обычный 2 3 2 19" xfId="4300" xr:uid="{00000000-0005-0000-0000-0000700D0000}"/>
    <cellStyle name="Обычный 2 3 2 2" xfId="115" xr:uid="{00000000-0005-0000-0000-0000710D0000}"/>
    <cellStyle name="Обычный 2 3 2 2 10" xfId="2250" xr:uid="{00000000-0005-0000-0000-0000720D0000}"/>
    <cellStyle name="Обычный 2 3 2 2 10 2" xfId="6101" xr:uid="{00000000-0005-0000-0000-0000730D0000}"/>
    <cellStyle name="Обычный 2 3 2 2 11" xfId="2546" xr:uid="{00000000-0005-0000-0000-0000740D0000}"/>
    <cellStyle name="Обычный 2 3 2 2 11 2" xfId="6397" xr:uid="{00000000-0005-0000-0000-0000750D0000}"/>
    <cellStyle name="Обычный 2 3 2 2 12" xfId="2842" xr:uid="{00000000-0005-0000-0000-0000760D0000}"/>
    <cellStyle name="Обычный 2 3 2 2 12 2" xfId="6693" xr:uid="{00000000-0005-0000-0000-0000770D0000}"/>
    <cellStyle name="Обычный 2 3 2 2 13" xfId="3138" xr:uid="{00000000-0005-0000-0000-0000780D0000}"/>
    <cellStyle name="Обычный 2 3 2 2 13 2" xfId="6989" xr:uid="{00000000-0005-0000-0000-0000790D0000}"/>
    <cellStyle name="Обычный 2 3 2 2 14" xfId="3434" xr:uid="{00000000-0005-0000-0000-00007A0D0000}"/>
    <cellStyle name="Обычный 2 3 2 2 14 2" xfId="7285" xr:uid="{00000000-0005-0000-0000-00007B0D0000}"/>
    <cellStyle name="Обычный 2 3 2 2 15" xfId="3730" xr:uid="{00000000-0005-0000-0000-00007C0D0000}"/>
    <cellStyle name="Обычный 2 3 2 2 15 2" xfId="7581" xr:uid="{00000000-0005-0000-0000-00007D0D0000}"/>
    <cellStyle name="Обычный 2 3 2 2 16" xfId="4026" xr:uid="{00000000-0005-0000-0000-00007E0D0000}"/>
    <cellStyle name="Обычный 2 3 2 2 16 2" xfId="7877" xr:uid="{00000000-0005-0000-0000-00007F0D0000}"/>
    <cellStyle name="Обычный 2 3 2 2 17" xfId="8173" xr:uid="{00000000-0005-0000-0000-0000800D0000}"/>
    <cellStyle name="Обычный 2 3 2 2 18" xfId="4322" xr:uid="{00000000-0005-0000-0000-0000810D0000}"/>
    <cellStyle name="Обычный 2 3 2 2 2" xfId="168" xr:uid="{00000000-0005-0000-0000-0000820D0000}"/>
    <cellStyle name="Обычный 2 3 2 2 2 10" xfId="2890" xr:uid="{00000000-0005-0000-0000-0000830D0000}"/>
    <cellStyle name="Обычный 2 3 2 2 2 10 2" xfId="6741" xr:uid="{00000000-0005-0000-0000-0000840D0000}"/>
    <cellStyle name="Обычный 2 3 2 2 2 11" xfId="3186" xr:uid="{00000000-0005-0000-0000-0000850D0000}"/>
    <cellStyle name="Обычный 2 3 2 2 2 11 2" xfId="7037" xr:uid="{00000000-0005-0000-0000-0000860D0000}"/>
    <cellStyle name="Обычный 2 3 2 2 2 12" xfId="3482" xr:uid="{00000000-0005-0000-0000-0000870D0000}"/>
    <cellStyle name="Обычный 2 3 2 2 2 12 2" xfId="7333" xr:uid="{00000000-0005-0000-0000-0000880D0000}"/>
    <cellStyle name="Обычный 2 3 2 2 2 13" xfId="3778" xr:uid="{00000000-0005-0000-0000-0000890D0000}"/>
    <cellStyle name="Обычный 2 3 2 2 2 13 2" xfId="7629" xr:uid="{00000000-0005-0000-0000-00008A0D0000}"/>
    <cellStyle name="Обычный 2 3 2 2 2 14" xfId="4074" xr:uid="{00000000-0005-0000-0000-00008B0D0000}"/>
    <cellStyle name="Обычный 2 3 2 2 2 14 2" xfId="7925" xr:uid="{00000000-0005-0000-0000-00008C0D0000}"/>
    <cellStyle name="Обычный 2 3 2 2 2 15" xfId="8223" xr:uid="{00000000-0005-0000-0000-00008D0D0000}"/>
    <cellStyle name="Обычный 2 3 2 2 2 16" xfId="4371" xr:uid="{00000000-0005-0000-0000-00008E0D0000}"/>
    <cellStyle name="Обычный 2 3 2 2 2 2" xfId="271" xr:uid="{00000000-0005-0000-0000-00008F0D0000}"/>
    <cellStyle name="Обычный 2 3 2 2 2 2 10" xfId="3334" xr:uid="{00000000-0005-0000-0000-0000900D0000}"/>
    <cellStyle name="Обычный 2 3 2 2 2 2 10 2" xfId="7185" xr:uid="{00000000-0005-0000-0000-0000910D0000}"/>
    <cellStyle name="Обычный 2 3 2 2 2 2 11" xfId="3630" xr:uid="{00000000-0005-0000-0000-0000920D0000}"/>
    <cellStyle name="Обычный 2 3 2 2 2 2 11 2" xfId="7481" xr:uid="{00000000-0005-0000-0000-0000930D0000}"/>
    <cellStyle name="Обычный 2 3 2 2 2 2 12" xfId="3926" xr:uid="{00000000-0005-0000-0000-0000940D0000}"/>
    <cellStyle name="Обычный 2 3 2 2 2 2 12 2" xfId="7777" xr:uid="{00000000-0005-0000-0000-0000950D0000}"/>
    <cellStyle name="Обычный 2 3 2 2 2 2 13" xfId="4222" xr:uid="{00000000-0005-0000-0000-0000960D0000}"/>
    <cellStyle name="Обычный 2 3 2 2 2 2 13 2" xfId="8073" xr:uid="{00000000-0005-0000-0000-0000970D0000}"/>
    <cellStyle name="Обычный 2 3 2 2 2 2 14" xfId="8324" xr:uid="{00000000-0005-0000-0000-0000980D0000}"/>
    <cellStyle name="Обычный 2 3 2 2 2 2 15" xfId="4521" xr:uid="{00000000-0005-0000-0000-0000990D0000}"/>
    <cellStyle name="Обычный 2 3 2 2 2 2 2" xfId="838" xr:uid="{00000000-0005-0000-0000-00009A0D0000}"/>
    <cellStyle name="Обычный 2 3 2 2 2 2 2 2" xfId="8591" xr:uid="{00000000-0005-0000-0000-00009B0D0000}"/>
    <cellStyle name="Обычный 2 3 2 2 2 2 2 3" xfId="4817" xr:uid="{00000000-0005-0000-0000-00009C0D0000}"/>
    <cellStyle name="Обычный 2 3 2 2 2 2 3" xfId="1279" xr:uid="{00000000-0005-0000-0000-00009D0D0000}"/>
    <cellStyle name="Обычный 2 3 2 2 2 2 3 2" xfId="5113" xr:uid="{00000000-0005-0000-0000-00009E0D0000}"/>
    <cellStyle name="Обычный 2 3 2 2 2 2 4" xfId="1565" xr:uid="{00000000-0005-0000-0000-00009F0D0000}"/>
    <cellStyle name="Обычный 2 3 2 2 2 2 4 2" xfId="5409" xr:uid="{00000000-0005-0000-0000-0000A00D0000}"/>
    <cellStyle name="Обычный 2 3 2 2 2 2 5" xfId="1858" xr:uid="{00000000-0005-0000-0000-0000A10D0000}"/>
    <cellStyle name="Обычный 2 3 2 2 2 2 5 2" xfId="5705" xr:uid="{00000000-0005-0000-0000-0000A20D0000}"/>
    <cellStyle name="Обычный 2 3 2 2 2 2 6" xfId="2151" xr:uid="{00000000-0005-0000-0000-0000A30D0000}"/>
    <cellStyle name="Обычный 2 3 2 2 2 2 6 2" xfId="6001" xr:uid="{00000000-0005-0000-0000-0000A40D0000}"/>
    <cellStyle name="Обычный 2 3 2 2 2 2 7" xfId="2446" xr:uid="{00000000-0005-0000-0000-0000A50D0000}"/>
    <cellStyle name="Обычный 2 3 2 2 2 2 7 2" xfId="6297" xr:uid="{00000000-0005-0000-0000-0000A60D0000}"/>
    <cellStyle name="Обычный 2 3 2 2 2 2 8" xfId="2742" xr:uid="{00000000-0005-0000-0000-0000A70D0000}"/>
    <cellStyle name="Обычный 2 3 2 2 2 2 8 2" xfId="6593" xr:uid="{00000000-0005-0000-0000-0000A80D0000}"/>
    <cellStyle name="Обычный 2 3 2 2 2 2 9" xfId="3038" xr:uid="{00000000-0005-0000-0000-0000A90D0000}"/>
    <cellStyle name="Обычный 2 3 2 2 2 2 9 2" xfId="6889" xr:uid="{00000000-0005-0000-0000-0000AA0D0000}"/>
    <cellStyle name="Обычный 2 3 2 2 2 3" xfId="372" xr:uid="{00000000-0005-0000-0000-0000AB0D0000}"/>
    <cellStyle name="Обычный 2 3 2 2 2 3 2" xfId="839" xr:uid="{00000000-0005-0000-0000-0000AC0D0000}"/>
    <cellStyle name="Обычный 2 3 2 2 2 3 3" xfId="8424" xr:uid="{00000000-0005-0000-0000-0000AD0D0000}"/>
    <cellStyle name="Обычный 2 3 2 2 2 3 4" xfId="4669" xr:uid="{00000000-0005-0000-0000-0000AE0D0000}"/>
    <cellStyle name="Обычный 2 3 2 2 2 4" xfId="840" xr:uid="{00000000-0005-0000-0000-0000AF0D0000}"/>
    <cellStyle name="Обычный 2 3 2 2 2 4 2" xfId="8592" xr:uid="{00000000-0005-0000-0000-0000B00D0000}"/>
    <cellStyle name="Обычный 2 3 2 2 2 4 3" xfId="4965" xr:uid="{00000000-0005-0000-0000-0000B10D0000}"/>
    <cellStyle name="Обычный 2 3 2 2 2 5" xfId="1421" xr:uid="{00000000-0005-0000-0000-0000B20D0000}"/>
    <cellStyle name="Обычный 2 3 2 2 2 5 2" xfId="5261" xr:uid="{00000000-0005-0000-0000-0000B30D0000}"/>
    <cellStyle name="Обычный 2 3 2 2 2 6" xfId="1711" xr:uid="{00000000-0005-0000-0000-0000B40D0000}"/>
    <cellStyle name="Обычный 2 3 2 2 2 6 2" xfId="5557" xr:uid="{00000000-0005-0000-0000-0000B50D0000}"/>
    <cellStyle name="Обычный 2 3 2 2 2 7" xfId="2003" xr:uid="{00000000-0005-0000-0000-0000B60D0000}"/>
    <cellStyle name="Обычный 2 3 2 2 2 7 2" xfId="5853" xr:uid="{00000000-0005-0000-0000-0000B70D0000}"/>
    <cellStyle name="Обычный 2 3 2 2 2 8" xfId="2298" xr:uid="{00000000-0005-0000-0000-0000B80D0000}"/>
    <cellStyle name="Обычный 2 3 2 2 2 8 2" xfId="6149" xr:uid="{00000000-0005-0000-0000-0000B90D0000}"/>
    <cellStyle name="Обычный 2 3 2 2 2 9" xfId="2594" xr:uid="{00000000-0005-0000-0000-0000BA0D0000}"/>
    <cellStyle name="Обычный 2 3 2 2 2 9 2" xfId="6445" xr:uid="{00000000-0005-0000-0000-0000BB0D0000}"/>
    <cellStyle name="Обычный 2 3 2 2 3" xfId="221" xr:uid="{00000000-0005-0000-0000-0000BC0D0000}"/>
    <cellStyle name="Обычный 2 3 2 2 3 10" xfId="2940" xr:uid="{00000000-0005-0000-0000-0000BD0D0000}"/>
    <cellStyle name="Обычный 2 3 2 2 3 10 2" xfId="6791" xr:uid="{00000000-0005-0000-0000-0000BE0D0000}"/>
    <cellStyle name="Обычный 2 3 2 2 3 11" xfId="3236" xr:uid="{00000000-0005-0000-0000-0000BF0D0000}"/>
    <cellStyle name="Обычный 2 3 2 2 3 11 2" xfId="7087" xr:uid="{00000000-0005-0000-0000-0000C00D0000}"/>
    <cellStyle name="Обычный 2 3 2 2 3 12" xfId="3532" xr:uid="{00000000-0005-0000-0000-0000C10D0000}"/>
    <cellStyle name="Обычный 2 3 2 2 3 12 2" xfId="7383" xr:uid="{00000000-0005-0000-0000-0000C20D0000}"/>
    <cellStyle name="Обычный 2 3 2 2 3 13" xfId="3828" xr:uid="{00000000-0005-0000-0000-0000C30D0000}"/>
    <cellStyle name="Обычный 2 3 2 2 3 13 2" xfId="7679" xr:uid="{00000000-0005-0000-0000-0000C40D0000}"/>
    <cellStyle name="Обычный 2 3 2 2 3 14" xfId="4124" xr:uid="{00000000-0005-0000-0000-0000C50D0000}"/>
    <cellStyle name="Обычный 2 3 2 2 3 14 2" xfId="7975" xr:uid="{00000000-0005-0000-0000-0000C60D0000}"/>
    <cellStyle name="Обычный 2 3 2 2 3 15" xfId="8274" xr:uid="{00000000-0005-0000-0000-0000C70D0000}"/>
    <cellStyle name="Обычный 2 3 2 2 3 16" xfId="4422" xr:uid="{00000000-0005-0000-0000-0000C80D0000}"/>
    <cellStyle name="Обычный 2 3 2 2 3 2" xfId="841" xr:uid="{00000000-0005-0000-0000-0000C90D0000}"/>
    <cellStyle name="Обычный 2 3 2 2 3 2 10" xfId="3384" xr:uid="{00000000-0005-0000-0000-0000CA0D0000}"/>
    <cellStyle name="Обычный 2 3 2 2 3 2 10 2" xfId="7235" xr:uid="{00000000-0005-0000-0000-0000CB0D0000}"/>
    <cellStyle name="Обычный 2 3 2 2 3 2 11" xfId="3680" xr:uid="{00000000-0005-0000-0000-0000CC0D0000}"/>
    <cellStyle name="Обычный 2 3 2 2 3 2 11 2" xfId="7531" xr:uid="{00000000-0005-0000-0000-0000CD0D0000}"/>
    <cellStyle name="Обычный 2 3 2 2 3 2 12" xfId="3976" xr:uid="{00000000-0005-0000-0000-0000CE0D0000}"/>
    <cellStyle name="Обычный 2 3 2 2 3 2 12 2" xfId="7827" xr:uid="{00000000-0005-0000-0000-0000CF0D0000}"/>
    <cellStyle name="Обычный 2 3 2 2 3 2 13" xfId="4272" xr:uid="{00000000-0005-0000-0000-0000D00D0000}"/>
    <cellStyle name="Обычный 2 3 2 2 3 2 13 2" xfId="8123" xr:uid="{00000000-0005-0000-0000-0000D10D0000}"/>
    <cellStyle name="Обычный 2 3 2 2 3 2 14" xfId="8593" xr:uid="{00000000-0005-0000-0000-0000D20D0000}"/>
    <cellStyle name="Обычный 2 3 2 2 3 2 15" xfId="4571" xr:uid="{00000000-0005-0000-0000-0000D30D0000}"/>
    <cellStyle name="Обычный 2 3 2 2 3 2 2" xfId="1138" xr:uid="{00000000-0005-0000-0000-0000D40D0000}"/>
    <cellStyle name="Обычный 2 3 2 2 3 2 2 2" xfId="4867" xr:uid="{00000000-0005-0000-0000-0000D50D0000}"/>
    <cellStyle name="Обычный 2 3 2 2 3 2 3" xfId="1327" xr:uid="{00000000-0005-0000-0000-0000D60D0000}"/>
    <cellStyle name="Обычный 2 3 2 2 3 2 3 2" xfId="5163" xr:uid="{00000000-0005-0000-0000-0000D70D0000}"/>
    <cellStyle name="Обычный 2 3 2 2 3 2 4" xfId="1614" xr:uid="{00000000-0005-0000-0000-0000D80D0000}"/>
    <cellStyle name="Обычный 2 3 2 2 3 2 4 2" xfId="5459" xr:uid="{00000000-0005-0000-0000-0000D90D0000}"/>
    <cellStyle name="Обычный 2 3 2 2 3 2 5" xfId="1907" xr:uid="{00000000-0005-0000-0000-0000DA0D0000}"/>
    <cellStyle name="Обычный 2 3 2 2 3 2 5 2" xfId="5755" xr:uid="{00000000-0005-0000-0000-0000DB0D0000}"/>
    <cellStyle name="Обычный 2 3 2 2 3 2 6" xfId="2201" xr:uid="{00000000-0005-0000-0000-0000DC0D0000}"/>
    <cellStyle name="Обычный 2 3 2 2 3 2 6 2" xfId="6051" xr:uid="{00000000-0005-0000-0000-0000DD0D0000}"/>
    <cellStyle name="Обычный 2 3 2 2 3 2 7" xfId="2496" xr:uid="{00000000-0005-0000-0000-0000DE0D0000}"/>
    <cellStyle name="Обычный 2 3 2 2 3 2 7 2" xfId="6347" xr:uid="{00000000-0005-0000-0000-0000DF0D0000}"/>
    <cellStyle name="Обычный 2 3 2 2 3 2 8" xfId="2792" xr:uid="{00000000-0005-0000-0000-0000E00D0000}"/>
    <cellStyle name="Обычный 2 3 2 2 3 2 8 2" xfId="6643" xr:uid="{00000000-0005-0000-0000-0000E10D0000}"/>
    <cellStyle name="Обычный 2 3 2 2 3 2 9" xfId="3088" xr:uid="{00000000-0005-0000-0000-0000E20D0000}"/>
    <cellStyle name="Обычный 2 3 2 2 3 2 9 2" xfId="6939" xr:uid="{00000000-0005-0000-0000-0000E30D0000}"/>
    <cellStyle name="Обычный 2 3 2 2 3 3" xfId="1091" xr:uid="{00000000-0005-0000-0000-0000E40D0000}"/>
    <cellStyle name="Обычный 2 3 2 2 3 3 2" xfId="4719" xr:uid="{00000000-0005-0000-0000-0000E50D0000}"/>
    <cellStyle name="Обычный 2 3 2 2 3 4" xfId="1185" xr:uid="{00000000-0005-0000-0000-0000E60D0000}"/>
    <cellStyle name="Обычный 2 3 2 2 3 4 2" xfId="5015" xr:uid="{00000000-0005-0000-0000-0000E70D0000}"/>
    <cellStyle name="Обычный 2 3 2 2 3 5" xfId="1469" xr:uid="{00000000-0005-0000-0000-0000E80D0000}"/>
    <cellStyle name="Обычный 2 3 2 2 3 5 2" xfId="5311" xr:uid="{00000000-0005-0000-0000-0000E90D0000}"/>
    <cellStyle name="Обычный 2 3 2 2 3 6" xfId="1760" xr:uid="{00000000-0005-0000-0000-0000EA0D0000}"/>
    <cellStyle name="Обычный 2 3 2 2 3 6 2" xfId="5607" xr:uid="{00000000-0005-0000-0000-0000EB0D0000}"/>
    <cellStyle name="Обычный 2 3 2 2 3 7" xfId="2053" xr:uid="{00000000-0005-0000-0000-0000EC0D0000}"/>
    <cellStyle name="Обычный 2 3 2 2 3 7 2" xfId="5903" xr:uid="{00000000-0005-0000-0000-0000ED0D0000}"/>
    <cellStyle name="Обычный 2 3 2 2 3 8" xfId="2348" xr:uid="{00000000-0005-0000-0000-0000EE0D0000}"/>
    <cellStyle name="Обычный 2 3 2 2 3 8 2" xfId="6199" xr:uid="{00000000-0005-0000-0000-0000EF0D0000}"/>
    <cellStyle name="Обычный 2 3 2 2 3 9" xfId="2644" xr:uid="{00000000-0005-0000-0000-0000F00D0000}"/>
    <cellStyle name="Обычный 2 3 2 2 3 9 2" xfId="6495" xr:uid="{00000000-0005-0000-0000-0000F10D0000}"/>
    <cellStyle name="Обычный 2 3 2 2 4" xfId="322" xr:uid="{00000000-0005-0000-0000-0000F20D0000}"/>
    <cellStyle name="Обычный 2 3 2 2 4 10" xfId="3286" xr:uid="{00000000-0005-0000-0000-0000F30D0000}"/>
    <cellStyle name="Обычный 2 3 2 2 4 10 2" xfId="7137" xr:uid="{00000000-0005-0000-0000-0000F40D0000}"/>
    <cellStyle name="Обычный 2 3 2 2 4 11" xfId="3582" xr:uid="{00000000-0005-0000-0000-0000F50D0000}"/>
    <cellStyle name="Обычный 2 3 2 2 4 11 2" xfId="7433" xr:uid="{00000000-0005-0000-0000-0000F60D0000}"/>
    <cellStyle name="Обычный 2 3 2 2 4 12" xfId="3878" xr:uid="{00000000-0005-0000-0000-0000F70D0000}"/>
    <cellStyle name="Обычный 2 3 2 2 4 12 2" xfId="7729" xr:uid="{00000000-0005-0000-0000-0000F80D0000}"/>
    <cellStyle name="Обычный 2 3 2 2 4 13" xfId="4174" xr:uid="{00000000-0005-0000-0000-0000F90D0000}"/>
    <cellStyle name="Обычный 2 3 2 2 4 13 2" xfId="8025" xr:uid="{00000000-0005-0000-0000-0000FA0D0000}"/>
    <cellStyle name="Обычный 2 3 2 2 4 14" xfId="8374" xr:uid="{00000000-0005-0000-0000-0000FB0D0000}"/>
    <cellStyle name="Обычный 2 3 2 2 4 15" xfId="4473" xr:uid="{00000000-0005-0000-0000-0000FC0D0000}"/>
    <cellStyle name="Обычный 2 3 2 2 4 2" xfId="842" xr:uid="{00000000-0005-0000-0000-0000FD0D0000}"/>
    <cellStyle name="Обычный 2 3 2 2 4 2 2" xfId="8594" xr:uid="{00000000-0005-0000-0000-0000FE0D0000}"/>
    <cellStyle name="Обычный 2 3 2 2 4 2 3" xfId="4769" xr:uid="{00000000-0005-0000-0000-0000FF0D0000}"/>
    <cellStyle name="Обычный 2 3 2 2 4 3" xfId="1233" xr:uid="{00000000-0005-0000-0000-0000000E0000}"/>
    <cellStyle name="Обычный 2 3 2 2 4 3 2" xfId="5065" xr:uid="{00000000-0005-0000-0000-0000010E0000}"/>
    <cellStyle name="Обычный 2 3 2 2 4 4" xfId="1518" xr:uid="{00000000-0005-0000-0000-0000020E0000}"/>
    <cellStyle name="Обычный 2 3 2 2 4 4 2" xfId="5361" xr:uid="{00000000-0005-0000-0000-0000030E0000}"/>
    <cellStyle name="Обычный 2 3 2 2 4 5" xfId="1810" xr:uid="{00000000-0005-0000-0000-0000040E0000}"/>
    <cellStyle name="Обычный 2 3 2 2 4 5 2" xfId="5657" xr:uid="{00000000-0005-0000-0000-0000050E0000}"/>
    <cellStyle name="Обычный 2 3 2 2 4 6" xfId="2103" xr:uid="{00000000-0005-0000-0000-0000060E0000}"/>
    <cellStyle name="Обычный 2 3 2 2 4 6 2" xfId="5953" xr:uid="{00000000-0005-0000-0000-0000070E0000}"/>
    <cellStyle name="Обычный 2 3 2 2 4 7" xfId="2398" xr:uid="{00000000-0005-0000-0000-0000080E0000}"/>
    <cellStyle name="Обычный 2 3 2 2 4 7 2" xfId="6249" xr:uid="{00000000-0005-0000-0000-0000090E0000}"/>
    <cellStyle name="Обычный 2 3 2 2 4 8" xfId="2694" xr:uid="{00000000-0005-0000-0000-00000A0E0000}"/>
    <cellStyle name="Обычный 2 3 2 2 4 8 2" xfId="6545" xr:uid="{00000000-0005-0000-0000-00000B0E0000}"/>
    <cellStyle name="Обычный 2 3 2 2 4 9" xfId="2990" xr:uid="{00000000-0005-0000-0000-00000C0E0000}"/>
    <cellStyle name="Обычный 2 3 2 2 4 9 2" xfId="6841" xr:uid="{00000000-0005-0000-0000-00000D0E0000}"/>
    <cellStyle name="Обычный 2 3 2 2 5" xfId="686" xr:uid="{00000000-0005-0000-0000-00000E0E0000}"/>
    <cellStyle name="Обычный 2 3 2 2 5 2" xfId="8485" xr:uid="{00000000-0005-0000-0000-00000F0E0000}"/>
    <cellStyle name="Обычный 2 3 2 2 5 3" xfId="4621" xr:uid="{00000000-0005-0000-0000-0000100E0000}"/>
    <cellStyle name="Обычный 2 3 2 2 6" xfId="843" xr:uid="{00000000-0005-0000-0000-0000110E0000}"/>
    <cellStyle name="Обычный 2 3 2 2 6 2" xfId="8595" xr:uid="{00000000-0005-0000-0000-0000120E0000}"/>
    <cellStyle name="Обычный 2 3 2 2 6 3" xfId="4917" xr:uid="{00000000-0005-0000-0000-0000130E0000}"/>
    <cellStyle name="Обычный 2 3 2 2 7" xfId="1374" xr:uid="{00000000-0005-0000-0000-0000140E0000}"/>
    <cellStyle name="Обычный 2 3 2 2 7 2" xfId="5213" xr:uid="{00000000-0005-0000-0000-0000150E0000}"/>
    <cellStyle name="Обычный 2 3 2 2 8" xfId="1663" xr:uid="{00000000-0005-0000-0000-0000160E0000}"/>
    <cellStyle name="Обычный 2 3 2 2 8 2" xfId="5509" xr:uid="{00000000-0005-0000-0000-0000170E0000}"/>
    <cellStyle name="Обычный 2 3 2 2 9" xfId="1956" xr:uid="{00000000-0005-0000-0000-0000180E0000}"/>
    <cellStyle name="Обычный 2 3 2 2 9 2" xfId="5805" xr:uid="{00000000-0005-0000-0000-0000190E0000}"/>
    <cellStyle name="Обычный 2 3 2 20" xfId="8828" xr:uid="{00000000-0005-0000-0000-00001A0E0000}"/>
    <cellStyle name="Обычный 2 3 2 3" xfId="146" xr:uid="{00000000-0005-0000-0000-00001B0E0000}"/>
    <cellStyle name="Обычный 2 3 2 3 10" xfId="2868" xr:uid="{00000000-0005-0000-0000-00001C0E0000}"/>
    <cellStyle name="Обычный 2 3 2 3 10 2" xfId="6719" xr:uid="{00000000-0005-0000-0000-00001D0E0000}"/>
    <cellStyle name="Обычный 2 3 2 3 11" xfId="3164" xr:uid="{00000000-0005-0000-0000-00001E0E0000}"/>
    <cellStyle name="Обычный 2 3 2 3 11 2" xfId="7015" xr:uid="{00000000-0005-0000-0000-00001F0E0000}"/>
    <cellStyle name="Обычный 2 3 2 3 12" xfId="3460" xr:uid="{00000000-0005-0000-0000-0000200E0000}"/>
    <cellStyle name="Обычный 2 3 2 3 12 2" xfId="7311" xr:uid="{00000000-0005-0000-0000-0000210E0000}"/>
    <cellStyle name="Обычный 2 3 2 3 13" xfId="3756" xr:uid="{00000000-0005-0000-0000-0000220E0000}"/>
    <cellStyle name="Обычный 2 3 2 3 13 2" xfId="7607" xr:uid="{00000000-0005-0000-0000-0000230E0000}"/>
    <cellStyle name="Обычный 2 3 2 3 14" xfId="4052" xr:uid="{00000000-0005-0000-0000-0000240E0000}"/>
    <cellStyle name="Обычный 2 3 2 3 14 2" xfId="7903" xr:uid="{00000000-0005-0000-0000-0000250E0000}"/>
    <cellStyle name="Обычный 2 3 2 3 15" xfId="8201" xr:uid="{00000000-0005-0000-0000-0000260E0000}"/>
    <cellStyle name="Обычный 2 3 2 3 16" xfId="4349" xr:uid="{00000000-0005-0000-0000-0000270E0000}"/>
    <cellStyle name="Обычный 2 3 2 3 2" xfId="249" xr:uid="{00000000-0005-0000-0000-0000280E0000}"/>
    <cellStyle name="Обычный 2 3 2 3 2 10" xfId="3312" xr:uid="{00000000-0005-0000-0000-0000290E0000}"/>
    <cellStyle name="Обычный 2 3 2 3 2 10 2" xfId="7163" xr:uid="{00000000-0005-0000-0000-00002A0E0000}"/>
    <cellStyle name="Обычный 2 3 2 3 2 11" xfId="3608" xr:uid="{00000000-0005-0000-0000-00002B0E0000}"/>
    <cellStyle name="Обычный 2 3 2 3 2 11 2" xfId="7459" xr:uid="{00000000-0005-0000-0000-00002C0E0000}"/>
    <cellStyle name="Обычный 2 3 2 3 2 12" xfId="3904" xr:uid="{00000000-0005-0000-0000-00002D0E0000}"/>
    <cellStyle name="Обычный 2 3 2 3 2 12 2" xfId="7755" xr:uid="{00000000-0005-0000-0000-00002E0E0000}"/>
    <cellStyle name="Обычный 2 3 2 3 2 13" xfId="4200" xr:uid="{00000000-0005-0000-0000-00002F0E0000}"/>
    <cellStyle name="Обычный 2 3 2 3 2 13 2" xfId="8051" xr:uid="{00000000-0005-0000-0000-0000300E0000}"/>
    <cellStyle name="Обычный 2 3 2 3 2 14" xfId="8302" xr:uid="{00000000-0005-0000-0000-0000310E0000}"/>
    <cellStyle name="Обычный 2 3 2 3 2 15" xfId="4499" xr:uid="{00000000-0005-0000-0000-0000320E0000}"/>
    <cellStyle name="Обычный 2 3 2 3 2 2" xfId="844" xr:uid="{00000000-0005-0000-0000-0000330E0000}"/>
    <cellStyle name="Обычный 2 3 2 3 2 2 2" xfId="8596" xr:uid="{00000000-0005-0000-0000-0000340E0000}"/>
    <cellStyle name="Обычный 2 3 2 3 2 2 3" xfId="4795" xr:uid="{00000000-0005-0000-0000-0000350E0000}"/>
    <cellStyle name="Обычный 2 3 2 3 2 3" xfId="1258" xr:uid="{00000000-0005-0000-0000-0000360E0000}"/>
    <cellStyle name="Обычный 2 3 2 3 2 3 2" xfId="5091" xr:uid="{00000000-0005-0000-0000-0000370E0000}"/>
    <cellStyle name="Обычный 2 3 2 3 2 4" xfId="1544" xr:uid="{00000000-0005-0000-0000-0000380E0000}"/>
    <cellStyle name="Обычный 2 3 2 3 2 4 2" xfId="5387" xr:uid="{00000000-0005-0000-0000-0000390E0000}"/>
    <cellStyle name="Обычный 2 3 2 3 2 5" xfId="1836" xr:uid="{00000000-0005-0000-0000-00003A0E0000}"/>
    <cellStyle name="Обычный 2 3 2 3 2 5 2" xfId="5683" xr:uid="{00000000-0005-0000-0000-00003B0E0000}"/>
    <cellStyle name="Обычный 2 3 2 3 2 6" xfId="2129" xr:uid="{00000000-0005-0000-0000-00003C0E0000}"/>
    <cellStyle name="Обычный 2 3 2 3 2 6 2" xfId="5979" xr:uid="{00000000-0005-0000-0000-00003D0E0000}"/>
    <cellStyle name="Обычный 2 3 2 3 2 7" xfId="2424" xr:uid="{00000000-0005-0000-0000-00003E0E0000}"/>
    <cellStyle name="Обычный 2 3 2 3 2 7 2" xfId="6275" xr:uid="{00000000-0005-0000-0000-00003F0E0000}"/>
    <cellStyle name="Обычный 2 3 2 3 2 8" xfId="2720" xr:uid="{00000000-0005-0000-0000-0000400E0000}"/>
    <cellStyle name="Обычный 2 3 2 3 2 8 2" xfId="6571" xr:uid="{00000000-0005-0000-0000-0000410E0000}"/>
    <cellStyle name="Обычный 2 3 2 3 2 9" xfId="3016" xr:uid="{00000000-0005-0000-0000-0000420E0000}"/>
    <cellStyle name="Обычный 2 3 2 3 2 9 2" xfId="6867" xr:uid="{00000000-0005-0000-0000-0000430E0000}"/>
    <cellStyle name="Обычный 2 3 2 3 3" xfId="350" xr:uid="{00000000-0005-0000-0000-0000440E0000}"/>
    <cellStyle name="Обычный 2 3 2 3 3 2" xfId="845" xr:uid="{00000000-0005-0000-0000-0000450E0000}"/>
    <cellStyle name="Обычный 2 3 2 3 3 3" xfId="8402" xr:uid="{00000000-0005-0000-0000-0000460E0000}"/>
    <cellStyle name="Обычный 2 3 2 3 3 4" xfId="4647" xr:uid="{00000000-0005-0000-0000-0000470E0000}"/>
    <cellStyle name="Обычный 2 3 2 3 4" xfId="846" xr:uid="{00000000-0005-0000-0000-0000480E0000}"/>
    <cellStyle name="Обычный 2 3 2 3 4 2" xfId="8597" xr:uid="{00000000-0005-0000-0000-0000490E0000}"/>
    <cellStyle name="Обычный 2 3 2 3 4 3" xfId="4943" xr:uid="{00000000-0005-0000-0000-00004A0E0000}"/>
    <cellStyle name="Обычный 2 3 2 3 5" xfId="1400" xr:uid="{00000000-0005-0000-0000-00004B0E0000}"/>
    <cellStyle name="Обычный 2 3 2 3 5 2" xfId="5239" xr:uid="{00000000-0005-0000-0000-00004C0E0000}"/>
    <cellStyle name="Обычный 2 3 2 3 6" xfId="1689" xr:uid="{00000000-0005-0000-0000-00004D0E0000}"/>
    <cellStyle name="Обычный 2 3 2 3 6 2" xfId="5535" xr:uid="{00000000-0005-0000-0000-00004E0E0000}"/>
    <cellStyle name="Обычный 2 3 2 3 7" xfId="1982" xr:uid="{00000000-0005-0000-0000-00004F0E0000}"/>
    <cellStyle name="Обычный 2 3 2 3 7 2" xfId="5831" xr:uid="{00000000-0005-0000-0000-0000500E0000}"/>
    <cellStyle name="Обычный 2 3 2 3 8" xfId="2276" xr:uid="{00000000-0005-0000-0000-0000510E0000}"/>
    <cellStyle name="Обычный 2 3 2 3 8 2" xfId="6127" xr:uid="{00000000-0005-0000-0000-0000520E0000}"/>
    <cellStyle name="Обычный 2 3 2 3 9" xfId="2572" xr:uid="{00000000-0005-0000-0000-0000530E0000}"/>
    <cellStyle name="Обычный 2 3 2 3 9 2" xfId="6423" xr:uid="{00000000-0005-0000-0000-0000540E0000}"/>
    <cellStyle name="Обычный 2 3 2 4" xfId="199" xr:uid="{00000000-0005-0000-0000-0000550E0000}"/>
    <cellStyle name="Обычный 2 3 2 4 10" xfId="2918" xr:uid="{00000000-0005-0000-0000-0000560E0000}"/>
    <cellStyle name="Обычный 2 3 2 4 10 2" xfId="6769" xr:uid="{00000000-0005-0000-0000-0000570E0000}"/>
    <cellStyle name="Обычный 2 3 2 4 11" xfId="3214" xr:uid="{00000000-0005-0000-0000-0000580E0000}"/>
    <cellStyle name="Обычный 2 3 2 4 11 2" xfId="7065" xr:uid="{00000000-0005-0000-0000-0000590E0000}"/>
    <cellStyle name="Обычный 2 3 2 4 12" xfId="3510" xr:uid="{00000000-0005-0000-0000-00005A0E0000}"/>
    <cellStyle name="Обычный 2 3 2 4 12 2" xfId="7361" xr:uid="{00000000-0005-0000-0000-00005B0E0000}"/>
    <cellStyle name="Обычный 2 3 2 4 13" xfId="3806" xr:uid="{00000000-0005-0000-0000-00005C0E0000}"/>
    <cellStyle name="Обычный 2 3 2 4 13 2" xfId="7657" xr:uid="{00000000-0005-0000-0000-00005D0E0000}"/>
    <cellStyle name="Обычный 2 3 2 4 14" xfId="4102" xr:uid="{00000000-0005-0000-0000-00005E0E0000}"/>
    <cellStyle name="Обычный 2 3 2 4 14 2" xfId="7953" xr:uid="{00000000-0005-0000-0000-00005F0E0000}"/>
    <cellStyle name="Обычный 2 3 2 4 15" xfId="8252" xr:uid="{00000000-0005-0000-0000-0000600E0000}"/>
    <cellStyle name="Обычный 2 3 2 4 16" xfId="4400" xr:uid="{00000000-0005-0000-0000-0000610E0000}"/>
    <cellStyle name="Обычный 2 3 2 4 2" xfId="847" xr:uid="{00000000-0005-0000-0000-0000620E0000}"/>
    <cellStyle name="Обычный 2 3 2 4 2 10" xfId="3362" xr:uid="{00000000-0005-0000-0000-0000630E0000}"/>
    <cellStyle name="Обычный 2 3 2 4 2 10 2" xfId="7213" xr:uid="{00000000-0005-0000-0000-0000640E0000}"/>
    <cellStyle name="Обычный 2 3 2 4 2 11" xfId="3658" xr:uid="{00000000-0005-0000-0000-0000650E0000}"/>
    <cellStyle name="Обычный 2 3 2 4 2 11 2" xfId="7509" xr:uid="{00000000-0005-0000-0000-0000660E0000}"/>
    <cellStyle name="Обычный 2 3 2 4 2 12" xfId="3954" xr:uid="{00000000-0005-0000-0000-0000670E0000}"/>
    <cellStyle name="Обычный 2 3 2 4 2 12 2" xfId="7805" xr:uid="{00000000-0005-0000-0000-0000680E0000}"/>
    <cellStyle name="Обычный 2 3 2 4 2 13" xfId="4250" xr:uid="{00000000-0005-0000-0000-0000690E0000}"/>
    <cellStyle name="Обычный 2 3 2 4 2 13 2" xfId="8101" xr:uid="{00000000-0005-0000-0000-00006A0E0000}"/>
    <cellStyle name="Обычный 2 3 2 4 2 14" xfId="8598" xr:uid="{00000000-0005-0000-0000-00006B0E0000}"/>
    <cellStyle name="Обычный 2 3 2 4 2 15" xfId="4549" xr:uid="{00000000-0005-0000-0000-00006C0E0000}"/>
    <cellStyle name="Обычный 2 3 2 4 2 2" xfId="1117" xr:uid="{00000000-0005-0000-0000-00006D0E0000}"/>
    <cellStyle name="Обычный 2 3 2 4 2 2 2" xfId="4845" xr:uid="{00000000-0005-0000-0000-00006E0E0000}"/>
    <cellStyle name="Обычный 2 3 2 4 2 3" xfId="1306" xr:uid="{00000000-0005-0000-0000-00006F0E0000}"/>
    <cellStyle name="Обычный 2 3 2 4 2 3 2" xfId="5141" xr:uid="{00000000-0005-0000-0000-0000700E0000}"/>
    <cellStyle name="Обычный 2 3 2 4 2 4" xfId="1593" xr:uid="{00000000-0005-0000-0000-0000710E0000}"/>
    <cellStyle name="Обычный 2 3 2 4 2 4 2" xfId="5437" xr:uid="{00000000-0005-0000-0000-0000720E0000}"/>
    <cellStyle name="Обычный 2 3 2 4 2 5" xfId="1886" xr:uid="{00000000-0005-0000-0000-0000730E0000}"/>
    <cellStyle name="Обычный 2 3 2 4 2 5 2" xfId="5733" xr:uid="{00000000-0005-0000-0000-0000740E0000}"/>
    <cellStyle name="Обычный 2 3 2 4 2 6" xfId="2179" xr:uid="{00000000-0005-0000-0000-0000750E0000}"/>
    <cellStyle name="Обычный 2 3 2 4 2 6 2" xfId="6029" xr:uid="{00000000-0005-0000-0000-0000760E0000}"/>
    <cellStyle name="Обычный 2 3 2 4 2 7" xfId="2474" xr:uid="{00000000-0005-0000-0000-0000770E0000}"/>
    <cellStyle name="Обычный 2 3 2 4 2 7 2" xfId="6325" xr:uid="{00000000-0005-0000-0000-0000780E0000}"/>
    <cellStyle name="Обычный 2 3 2 4 2 8" xfId="2770" xr:uid="{00000000-0005-0000-0000-0000790E0000}"/>
    <cellStyle name="Обычный 2 3 2 4 2 8 2" xfId="6621" xr:uid="{00000000-0005-0000-0000-00007A0E0000}"/>
    <cellStyle name="Обычный 2 3 2 4 2 9" xfId="3066" xr:uid="{00000000-0005-0000-0000-00007B0E0000}"/>
    <cellStyle name="Обычный 2 3 2 4 2 9 2" xfId="6917" xr:uid="{00000000-0005-0000-0000-00007C0E0000}"/>
    <cellStyle name="Обычный 2 3 2 4 3" xfId="1070" xr:uid="{00000000-0005-0000-0000-00007D0E0000}"/>
    <cellStyle name="Обычный 2 3 2 4 3 2" xfId="4697" xr:uid="{00000000-0005-0000-0000-00007E0E0000}"/>
    <cellStyle name="Обычный 2 3 2 4 4" xfId="1164" xr:uid="{00000000-0005-0000-0000-00007F0E0000}"/>
    <cellStyle name="Обычный 2 3 2 4 4 2" xfId="4993" xr:uid="{00000000-0005-0000-0000-0000800E0000}"/>
    <cellStyle name="Обычный 2 3 2 4 5" xfId="1447" xr:uid="{00000000-0005-0000-0000-0000810E0000}"/>
    <cellStyle name="Обычный 2 3 2 4 5 2" xfId="5289" xr:uid="{00000000-0005-0000-0000-0000820E0000}"/>
    <cellStyle name="Обычный 2 3 2 4 6" xfId="1738" xr:uid="{00000000-0005-0000-0000-0000830E0000}"/>
    <cellStyle name="Обычный 2 3 2 4 6 2" xfId="5585" xr:uid="{00000000-0005-0000-0000-0000840E0000}"/>
    <cellStyle name="Обычный 2 3 2 4 7" xfId="2031" xr:uid="{00000000-0005-0000-0000-0000850E0000}"/>
    <cellStyle name="Обычный 2 3 2 4 7 2" xfId="5881" xr:uid="{00000000-0005-0000-0000-0000860E0000}"/>
    <cellStyle name="Обычный 2 3 2 4 8" xfId="2326" xr:uid="{00000000-0005-0000-0000-0000870E0000}"/>
    <cellStyle name="Обычный 2 3 2 4 8 2" xfId="6177" xr:uid="{00000000-0005-0000-0000-0000880E0000}"/>
    <cellStyle name="Обычный 2 3 2 4 9" xfId="2622" xr:uid="{00000000-0005-0000-0000-0000890E0000}"/>
    <cellStyle name="Обычный 2 3 2 4 9 2" xfId="6473" xr:uid="{00000000-0005-0000-0000-00008A0E0000}"/>
    <cellStyle name="Обычный 2 3 2 5" xfId="300" xr:uid="{00000000-0005-0000-0000-00008B0E0000}"/>
    <cellStyle name="Обычный 2 3 2 5 10" xfId="3264" xr:uid="{00000000-0005-0000-0000-00008C0E0000}"/>
    <cellStyle name="Обычный 2 3 2 5 10 2" xfId="7115" xr:uid="{00000000-0005-0000-0000-00008D0E0000}"/>
    <cellStyle name="Обычный 2 3 2 5 11" xfId="3560" xr:uid="{00000000-0005-0000-0000-00008E0E0000}"/>
    <cellStyle name="Обычный 2 3 2 5 11 2" xfId="7411" xr:uid="{00000000-0005-0000-0000-00008F0E0000}"/>
    <cellStyle name="Обычный 2 3 2 5 12" xfId="3856" xr:uid="{00000000-0005-0000-0000-0000900E0000}"/>
    <cellStyle name="Обычный 2 3 2 5 12 2" xfId="7707" xr:uid="{00000000-0005-0000-0000-0000910E0000}"/>
    <cellStyle name="Обычный 2 3 2 5 13" xfId="4152" xr:uid="{00000000-0005-0000-0000-0000920E0000}"/>
    <cellStyle name="Обычный 2 3 2 5 13 2" xfId="8003" xr:uid="{00000000-0005-0000-0000-0000930E0000}"/>
    <cellStyle name="Обычный 2 3 2 5 14" xfId="8352" xr:uid="{00000000-0005-0000-0000-0000940E0000}"/>
    <cellStyle name="Обычный 2 3 2 5 15" xfId="4451" xr:uid="{00000000-0005-0000-0000-0000950E0000}"/>
    <cellStyle name="Обычный 2 3 2 5 2" xfId="848" xr:uid="{00000000-0005-0000-0000-0000960E0000}"/>
    <cellStyle name="Обычный 2 3 2 5 2 2" xfId="8599" xr:uid="{00000000-0005-0000-0000-0000970E0000}"/>
    <cellStyle name="Обычный 2 3 2 5 2 3" xfId="4747" xr:uid="{00000000-0005-0000-0000-0000980E0000}"/>
    <cellStyle name="Обычный 2 3 2 5 3" xfId="1211" xr:uid="{00000000-0005-0000-0000-0000990E0000}"/>
    <cellStyle name="Обычный 2 3 2 5 3 2" xfId="5043" xr:uid="{00000000-0005-0000-0000-00009A0E0000}"/>
    <cellStyle name="Обычный 2 3 2 5 4" xfId="1496" xr:uid="{00000000-0005-0000-0000-00009B0E0000}"/>
    <cellStyle name="Обычный 2 3 2 5 4 2" xfId="5339" xr:uid="{00000000-0005-0000-0000-00009C0E0000}"/>
    <cellStyle name="Обычный 2 3 2 5 5" xfId="1788" xr:uid="{00000000-0005-0000-0000-00009D0E0000}"/>
    <cellStyle name="Обычный 2 3 2 5 5 2" xfId="5635" xr:uid="{00000000-0005-0000-0000-00009E0E0000}"/>
    <cellStyle name="Обычный 2 3 2 5 6" xfId="2081" xr:uid="{00000000-0005-0000-0000-00009F0E0000}"/>
    <cellStyle name="Обычный 2 3 2 5 6 2" xfId="5931" xr:uid="{00000000-0005-0000-0000-0000A00E0000}"/>
    <cellStyle name="Обычный 2 3 2 5 7" xfId="2376" xr:uid="{00000000-0005-0000-0000-0000A10E0000}"/>
    <cellStyle name="Обычный 2 3 2 5 7 2" xfId="6227" xr:uid="{00000000-0005-0000-0000-0000A20E0000}"/>
    <cellStyle name="Обычный 2 3 2 5 8" xfId="2672" xr:uid="{00000000-0005-0000-0000-0000A30E0000}"/>
    <cellStyle name="Обычный 2 3 2 5 8 2" xfId="6523" xr:uid="{00000000-0005-0000-0000-0000A40E0000}"/>
    <cellStyle name="Обычный 2 3 2 5 9" xfId="2968" xr:uid="{00000000-0005-0000-0000-0000A50E0000}"/>
    <cellStyle name="Обычный 2 3 2 5 9 2" xfId="6819" xr:uid="{00000000-0005-0000-0000-0000A60E0000}"/>
    <cellStyle name="Обычный 2 3 2 6" xfId="610" xr:uid="{00000000-0005-0000-0000-0000A70E0000}"/>
    <cellStyle name="Обычный 2 3 2 6 2" xfId="8456" xr:uid="{00000000-0005-0000-0000-0000A80E0000}"/>
    <cellStyle name="Обычный 2 3 2 6 3" xfId="4599" xr:uid="{00000000-0005-0000-0000-0000A90E0000}"/>
    <cellStyle name="Обычный 2 3 2 7" xfId="849" xr:uid="{00000000-0005-0000-0000-0000AA0E0000}"/>
    <cellStyle name="Обычный 2 3 2 7 2" xfId="8600" xr:uid="{00000000-0005-0000-0000-0000AB0E0000}"/>
    <cellStyle name="Обычный 2 3 2 7 3" xfId="4895" xr:uid="{00000000-0005-0000-0000-0000AC0E0000}"/>
    <cellStyle name="Обычный 2 3 2 8" xfId="1353" xr:uid="{00000000-0005-0000-0000-0000AD0E0000}"/>
    <cellStyle name="Обычный 2 3 2 8 2" xfId="5191" xr:uid="{00000000-0005-0000-0000-0000AE0E0000}"/>
    <cellStyle name="Обычный 2 3 2 9" xfId="1642" xr:uid="{00000000-0005-0000-0000-0000AF0E0000}"/>
    <cellStyle name="Обычный 2 3 2 9 2" xfId="5487" xr:uid="{00000000-0005-0000-0000-0000B00E0000}"/>
    <cellStyle name="Обычный 2 3 20" xfId="8150" xr:uid="{00000000-0005-0000-0000-0000B10E0000}"/>
    <cellStyle name="Обычный 2 3 21" xfId="4299" xr:uid="{00000000-0005-0000-0000-0000B20E0000}"/>
    <cellStyle name="Обычный 2 3 22" xfId="8822" xr:uid="{00000000-0005-0000-0000-0000B30E0000}"/>
    <cellStyle name="Обычный 2 3 3" xfId="66" xr:uid="{00000000-0005-0000-0000-0000B40E0000}"/>
    <cellStyle name="Обычный 2 3 3 10" xfId="1936" xr:uid="{00000000-0005-0000-0000-0000B50E0000}"/>
    <cellStyle name="Обычный 2 3 3 10 2" xfId="5784" xr:uid="{00000000-0005-0000-0000-0000B60E0000}"/>
    <cellStyle name="Обычный 2 3 3 11" xfId="2230" xr:uid="{00000000-0005-0000-0000-0000B70E0000}"/>
    <cellStyle name="Обычный 2 3 3 11 2" xfId="6080" xr:uid="{00000000-0005-0000-0000-0000B80E0000}"/>
    <cellStyle name="Обычный 2 3 3 12" xfId="2525" xr:uid="{00000000-0005-0000-0000-0000B90E0000}"/>
    <cellStyle name="Обычный 2 3 3 12 2" xfId="6376" xr:uid="{00000000-0005-0000-0000-0000BA0E0000}"/>
    <cellStyle name="Обычный 2 3 3 13" xfId="2821" xr:uid="{00000000-0005-0000-0000-0000BB0E0000}"/>
    <cellStyle name="Обычный 2 3 3 13 2" xfId="6672" xr:uid="{00000000-0005-0000-0000-0000BC0E0000}"/>
    <cellStyle name="Обычный 2 3 3 14" xfId="3117" xr:uid="{00000000-0005-0000-0000-0000BD0E0000}"/>
    <cellStyle name="Обычный 2 3 3 14 2" xfId="6968" xr:uid="{00000000-0005-0000-0000-0000BE0E0000}"/>
    <cellStyle name="Обычный 2 3 3 15" xfId="3413" xr:uid="{00000000-0005-0000-0000-0000BF0E0000}"/>
    <cellStyle name="Обычный 2 3 3 15 2" xfId="7264" xr:uid="{00000000-0005-0000-0000-0000C00E0000}"/>
    <cellStyle name="Обычный 2 3 3 16" xfId="3709" xr:uid="{00000000-0005-0000-0000-0000C10E0000}"/>
    <cellStyle name="Обычный 2 3 3 16 2" xfId="7560" xr:uid="{00000000-0005-0000-0000-0000C20E0000}"/>
    <cellStyle name="Обычный 2 3 3 17" xfId="4005" xr:uid="{00000000-0005-0000-0000-0000C30E0000}"/>
    <cellStyle name="Обычный 2 3 3 17 2" xfId="7856" xr:uid="{00000000-0005-0000-0000-0000C40E0000}"/>
    <cellStyle name="Обычный 2 3 3 18" xfId="8152" xr:uid="{00000000-0005-0000-0000-0000C50E0000}"/>
    <cellStyle name="Обычный 2 3 3 19" xfId="4301" xr:uid="{00000000-0005-0000-0000-0000C60E0000}"/>
    <cellStyle name="Обычный 2 3 3 2" xfId="116" xr:uid="{00000000-0005-0000-0000-0000C70E0000}"/>
    <cellStyle name="Обычный 2 3 3 2 10" xfId="2251" xr:uid="{00000000-0005-0000-0000-0000C80E0000}"/>
    <cellStyle name="Обычный 2 3 3 2 10 2" xfId="6102" xr:uid="{00000000-0005-0000-0000-0000C90E0000}"/>
    <cellStyle name="Обычный 2 3 3 2 11" xfId="2547" xr:uid="{00000000-0005-0000-0000-0000CA0E0000}"/>
    <cellStyle name="Обычный 2 3 3 2 11 2" xfId="6398" xr:uid="{00000000-0005-0000-0000-0000CB0E0000}"/>
    <cellStyle name="Обычный 2 3 3 2 12" xfId="2843" xr:uid="{00000000-0005-0000-0000-0000CC0E0000}"/>
    <cellStyle name="Обычный 2 3 3 2 12 2" xfId="6694" xr:uid="{00000000-0005-0000-0000-0000CD0E0000}"/>
    <cellStyle name="Обычный 2 3 3 2 13" xfId="3139" xr:uid="{00000000-0005-0000-0000-0000CE0E0000}"/>
    <cellStyle name="Обычный 2 3 3 2 13 2" xfId="6990" xr:uid="{00000000-0005-0000-0000-0000CF0E0000}"/>
    <cellStyle name="Обычный 2 3 3 2 14" xfId="3435" xr:uid="{00000000-0005-0000-0000-0000D00E0000}"/>
    <cellStyle name="Обычный 2 3 3 2 14 2" xfId="7286" xr:uid="{00000000-0005-0000-0000-0000D10E0000}"/>
    <cellStyle name="Обычный 2 3 3 2 15" xfId="3731" xr:uid="{00000000-0005-0000-0000-0000D20E0000}"/>
    <cellStyle name="Обычный 2 3 3 2 15 2" xfId="7582" xr:uid="{00000000-0005-0000-0000-0000D30E0000}"/>
    <cellStyle name="Обычный 2 3 3 2 16" xfId="4027" xr:uid="{00000000-0005-0000-0000-0000D40E0000}"/>
    <cellStyle name="Обычный 2 3 3 2 16 2" xfId="7878" xr:uid="{00000000-0005-0000-0000-0000D50E0000}"/>
    <cellStyle name="Обычный 2 3 3 2 17" xfId="8174" xr:uid="{00000000-0005-0000-0000-0000D60E0000}"/>
    <cellStyle name="Обычный 2 3 3 2 18" xfId="4323" xr:uid="{00000000-0005-0000-0000-0000D70E0000}"/>
    <cellStyle name="Обычный 2 3 3 2 2" xfId="169" xr:uid="{00000000-0005-0000-0000-0000D80E0000}"/>
    <cellStyle name="Обычный 2 3 3 2 2 10" xfId="2891" xr:uid="{00000000-0005-0000-0000-0000D90E0000}"/>
    <cellStyle name="Обычный 2 3 3 2 2 10 2" xfId="6742" xr:uid="{00000000-0005-0000-0000-0000DA0E0000}"/>
    <cellStyle name="Обычный 2 3 3 2 2 11" xfId="3187" xr:uid="{00000000-0005-0000-0000-0000DB0E0000}"/>
    <cellStyle name="Обычный 2 3 3 2 2 11 2" xfId="7038" xr:uid="{00000000-0005-0000-0000-0000DC0E0000}"/>
    <cellStyle name="Обычный 2 3 3 2 2 12" xfId="3483" xr:uid="{00000000-0005-0000-0000-0000DD0E0000}"/>
    <cellStyle name="Обычный 2 3 3 2 2 12 2" xfId="7334" xr:uid="{00000000-0005-0000-0000-0000DE0E0000}"/>
    <cellStyle name="Обычный 2 3 3 2 2 13" xfId="3779" xr:uid="{00000000-0005-0000-0000-0000DF0E0000}"/>
    <cellStyle name="Обычный 2 3 3 2 2 13 2" xfId="7630" xr:uid="{00000000-0005-0000-0000-0000E00E0000}"/>
    <cellStyle name="Обычный 2 3 3 2 2 14" xfId="4075" xr:uid="{00000000-0005-0000-0000-0000E10E0000}"/>
    <cellStyle name="Обычный 2 3 3 2 2 14 2" xfId="7926" xr:uid="{00000000-0005-0000-0000-0000E20E0000}"/>
    <cellStyle name="Обычный 2 3 3 2 2 15" xfId="8224" xr:uid="{00000000-0005-0000-0000-0000E30E0000}"/>
    <cellStyle name="Обычный 2 3 3 2 2 16" xfId="4372" xr:uid="{00000000-0005-0000-0000-0000E40E0000}"/>
    <cellStyle name="Обычный 2 3 3 2 2 2" xfId="272" xr:uid="{00000000-0005-0000-0000-0000E50E0000}"/>
    <cellStyle name="Обычный 2 3 3 2 2 2 10" xfId="3335" xr:uid="{00000000-0005-0000-0000-0000E60E0000}"/>
    <cellStyle name="Обычный 2 3 3 2 2 2 10 2" xfId="7186" xr:uid="{00000000-0005-0000-0000-0000E70E0000}"/>
    <cellStyle name="Обычный 2 3 3 2 2 2 11" xfId="3631" xr:uid="{00000000-0005-0000-0000-0000E80E0000}"/>
    <cellStyle name="Обычный 2 3 3 2 2 2 11 2" xfId="7482" xr:uid="{00000000-0005-0000-0000-0000E90E0000}"/>
    <cellStyle name="Обычный 2 3 3 2 2 2 12" xfId="3927" xr:uid="{00000000-0005-0000-0000-0000EA0E0000}"/>
    <cellStyle name="Обычный 2 3 3 2 2 2 12 2" xfId="7778" xr:uid="{00000000-0005-0000-0000-0000EB0E0000}"/>
    <cellStyle name="Обычный 2 3 3 2 2 2 13" xfId="4223" xr:uid="{00000000-0005-0000-0000-0000EC0E0000}"/>
    <cellStyle name="Обычный 2 3 3 2 2 2 13 2" xfId="8074" xr:uid="{00000000-0005-0000-0000-0000ED0E0000}"/>
    <cellStyle name="Обычный 2 3 3 2 2 2 14" xfId="8325" xr:uid="{00000000-0005-0000-0000-0000EE0E0000}"/>
    <cellStyle name="Обычный 2 3 3 2 2 2 15" xfId="4522" xr:uid="{00000000-0005-0000-0000-0000EF0E0000}"/>
    <cellStyle name="Обычный 2 3 3 2 2 2 2" xfId="850" xr:uid="{00000000-0005-0000-0000-0000F00E0000}"/>
    <cellStyle name="Обычный 2 3 3 2 2 2 2 2" xfId="8601" xr:uid="{00000000-0005-0000-0000-0000F10E0000}"/>
    <cellStyle name="Обычный 2 3 3 2 2 2 2 3" xfId="4818" xr:uid="{00000000-0005-0000-0000-0000F20E0000}"/>
    <cellStyle name="Обычный 2 3 3 2 2 2 3" xfId="1280" xr:uid="{00000000-0005-0000-0000-0000F30E0000}"/>
    <cellStyle name="Обычный 2 3 3 2 2 2 3 2" xfId="5114" xr:uid="{00000000-0005-0000-0000-0000F40E0000}"/>
    <cellStyle name="Обычный 2 3 3 2 2 2 4" xfId="1566" xr:uid="{00000000-0005-0000-0000-0000F50E0000}"/>
    <cellStyle name="Обычный 2 3 3 2 2 2 4 2" xfId="5410" xr:uid="{00000000-0005-0000-0000-0000F60E0000}"/>
    <cellStyle name="Обычный 2 3 3 2 2 2 5" xfId="1859" xr:uid="{00000000-0005-0000-0000-0000F70E0000}"/>
    <cellStyle name="Обычный 2 3 3 2 2 2 5 2" xfId="5706" xr:uid="{00000000-0005-0000-0000-0000F80E0000}"/>
    <cellStyle name="Обычный 2 3 3 2 2 2 6" xfId="2152" xr:uid="{00000000-0005-0000-0000-0000F90E0000}"/>
    <cellStyle name="Обычный 2 3 3 2 2 2 6 2" xfId="6002" xr:uid="{00000000-0005-0000-0000-0000FA0E0000}"/>
    <cellStyle name="Обычный 2 3 3 2 2 2 7" xfId="2447" xr:uid="{00000000-0005-0000-0000-0000FB0E0000}"/>
    <cellStyle name="Обычный 2 3 3 2 2 2 7 2" xfId="6298" xr:uid="{00000000-0005-0000-0000-0000FC0E0000}"/>
    <cellStyle name="Обычный 2 3 3 2 2 2 8" xfId="2743" xr:uid="{00000000-0005-0000-0000-0000FD0E0000}"/>
    <cellStyle name="Обычный 2 3 3 2 2 2 8 2" xfId="6594" xr:uid="{00000000-0005-0000-0000-0000FE0E0000}"/>
    <cellStyle name="Обычный 2 3 3 2 2 2 9" xfId="3039" xr:uid="{00000000-0005-0000-0000-0000FF0E0000}"/>
    <cellStyle name="Обычный 2 3 3 2 2 2 9 2" xfId="6890" xr:uid="{00000000-0005-0000-0000-0000000F0000}"/>
    <cellStyle name="Обычный 2 3 3 2 2 3" xfId="373" xr:uid="{00000000-0005-0000-0000-0000010F0000}"/>
    <cellStyle name="Обычный 2 3 3 2 2 3 2" xfId="851" xr:uid="{00000000-0005-0000-0000-0000020F0000}"/>
    <cellStyle name="Обычный 2 3 3 2 2 3 3" xfId="8425" xr:uid="{00000000-0005-0000-0000-0000030F0000}"/>
    <cellStyle name="Обычный 2 3 3 2 2 3 4" xfId="4670" xr:uid="{00000000-0005-0000-0000-0000040F0000}"/>
    <cellStyle name="Обычный 2 3 3 2 2 4" xfId="852" xr:uid="{00000000-0005-0000-0000-0000050F0000}"/>
    <cellStyle name="Обычный 2 3 3 2 2 4 2" xfId="8602" xr:uid="{00000000-0005-0000-0000-0000060F0000}"/>
    <cellStyle name="Обычный 2 3 3 2 2 4 3" xfId="4966" xr:uid="{00000000-0005-0000-0000-0000070F0000}"/>
    <cellStyle name="Обычный 2 3 3 2 2 5" xfId="1422" xr:uid="{00000000-0005-0000-0000-0000080F0000}"/>
    <cellStyle name="Обычный 2 3 3 2 2 5 2" xfId="5262" xr:uid="{00000000-0005-0000-0000-0000090F0000}"/>
    <cellStyle name="Обычный 2 3 3 2 2 6" xfId="1712" xr:uid="{00000000-0005-0000-0000-00000A0F0000}"/>
    <cellStyle name="Обычный 2 3 3 2 2 6 2" xfId="5558" xr:uid="{00000000-0005-0000-0000-00000B0F0000}"/>
    <cellStyle name="Обычный 2 3 3 2 2 7" xfId="2004" xr:uid="{00000000-0005-0000-0000-00000C0F0000}"/>
    <cellStyle name="Обычный 2 3 3 2 2 7 2" xfId="5854" xr:uid="{00000000-0005-0000-0000-00000D0F0000}"/>
    <cellStyle name="Обычный 2 3 3 2 2 8" xfId="2299" xr:uid="{00000000-0005-0000-0000-00000E0F0000}"/>
    <cellStyle name="Обычный 2 3 3 2 2 8 2" xfId="6150" xr:uid="{00000000-0005-0000-0000-00000F0F0000}"/>
    <cellStyle name="Обычный 2 3 3 2 2 9" xfId="2595" xr:uid="{00000000-0005-0000-0000-0000100F0000}"/>
    <cellStyle name="Обычный 2 3 3 2 2 9 2" xfId="6446" xr:uid="{00000000-0005-0000-0000-0000110F0000}"/>
    <cellStyle name="Обычный 2 3 3 2 3" xfId="222" xr:uid="{00000000-0005-0000-0000-0000120F0000}"/>
    <cellStyle name="Обычный 2 3 3 2 3 10" xfId="2941" xr:uid="{00000000-0005-0000-0000-0000130F0000}"/>
    <cellStyle name="Обычный 2 3 3 2 3 10 2" xfId="6792" xr:uid="{00000000-0005-0000-0000-0000140F0000}"/>
    <cellStyle name="Обычный 2 3 3 2 3 11" xfId="3237" xr:uid="{00000000-0005-0000-0000-0000150F0000}"/>
    <cellStyle name="Обычный 2 3 3 2 3 11 2" xfId="7088" xr:uid="{00000000-0005-0000-0000-0000160F0000}"/>
    <cellStyle name="Обычный 2 3 3 2 3 12" xfId="3533" xr:uid="{00000000-0005-0000-0000-0000170F0000}"/>
    <cellStyle name="Обычный 2 3 3 2 3 12 2" xfId="7384" xr:uid="{00000000-0005-0000-0000-0000180F0000}"/>
    <cellStyle name="Обычный 2 3 3 2 3 13" xfId="3829" xr:uid="{00000000-0005-0000-0000-0000190F0000}"/>
    <cellStyle name="Обычный 2 3 3 2 3 13 2" xfId="7680" xr:uid="{00000000-0005-0000-0000-00001A0F0000}"/>
    <cellStyle name="Обычный 2 3 3 2 3 14" xfId="4125" xr:uid="{00000000-0005-0000-0000-00001B0F0000}"/>
    <cellStyle name="Обычный 2 3 3 2 3 14 2" xfId="7976" xr:uid="{00000000-0005-0000-0000-00001C0F0000}"/>
    <cellStyle name="Обычный 2 3 3 2 3 15" xfId="8275" xr:uid="{00000000-0005-0000-0000-00001D0F0000}"/>
    <cellStyle name="Обычный 2 3 3 2 3 16" xfId="4423" xr:uid="{00000000-0005-0000-0000-00001E0F0000}"/>
    <cellStyle name="Обычный 2 3 3 2 3 2" xfId="853" xr:uid="{00000000-0005-0000-0000-00001F0F0000}"/>
    <cellStyle name="Обычный 2 3 3 2 3 2 10" xfId="3385" xr:uid="{00000000-0005-0000-0000-0000200F0000}"/>
    <cellStyle name="Обычный 2 3 3 2 3 2 10 2" xfId="7236" xr:uid="{00000000-0005-0000-0000-0000210F0000}"/>
    <cellStyle name="Обычный 2 3 3 2 3 2 11" xfId="3681" xr:uid="{00000000-0005-0000-0000-0000220F0000}"/>
    <cellStyle name="Обычный 2 3 3 2 3 2 11 2" xfId="7532" xr:uid="{00000000-0005-0000-0000-0000230F0000}"/>
    <cellStyle name="Обычный 2 3 3 2 3 2 12" xfId="3977" xr:uid="{00000000-0005-0000-0000-0000240F0000}"/>
    <cellStyle name="Обычный 2 3 3 2 3 2 12 2" xfId="7828" xr:uid="{00000000-0005-0000-0000-0000250F0000}"/>
    <cellStyle name="Обычный 2 3 3 2 3 2 13" xfId="4273" xr:uid="{00000000-0005-0000-0000-0000260F0000}"/>
    <cellStyle name="Обычный 2 3 3 2 3 2 13 2" xfId="8124" xr:uid="{00000000-0005-0000-0000-0000270F0000}"/>
    <cellStyle name="Обычный 2 3 3 2 3 2 14" xfId="8603" xr:uid="{00000000-0005-0000-0000-0000280F0000}"/>
    <cellStyle name="Обычный 2 3 3 2 3 2 15" xfId="4572" xr:uid="{00000000-0005-0000-0000-0000290F0000}"/>
    <cellStyle name="Обычный 2 3 3 2 3 2 2" xfId="1139" xr:uid="{00000000-0005-0000-0000-00002A0F0000}"/>
    <cellStyle name="Обычный 2 3 3 2 3 2 2 2" xfId="4868" xr:uid="{00000000-0005-0000-0000-00002B0F0000}"/>
    <cellStyle name="Обычный 2 3 3 2 3 2 3" xfId="1328" xr:uid="{00000000-0005-0000-0000-00002C0F0000}"/>
    <cellStyle name="Обычный 2 3 3 2 3 2 3 2" xfId="5164" xr:uid="{00000000-0005-0000-0000-00002D0F0000}"/>
    <cellStyle name="Обычный 2 3 3 2 3 2 4" xfId="1615" xr:uid="{00000000-0005-0000-0000-00002E0F0000}"/>
    <cellStyle name="Обычный 2 3 3 2 3 2 4 2" xfId="5460" xr:uid="{00000000-0005-0000-0000-00002F0F0000}"/>
    <cellStyle name="Обычный 2 3 3 2 3 2 5" xfId="1908" xr:uid="{00000000-0005-0000-0000-0000300F0000}"/>
    <cellStyle name="Обычный 2 3 3 2 3 2 5 2" xfId="5756" xr:uid="{00000000-0005-0000-0000-0000310F0000}"/>
    <cellStyle name="Обычный 2 3 3 2 3 2 6" xfId="2202" xr:uid="{00000000-0005-0000-0000-0000320F0000}"/>
    <cellStyle name="Обычный 2 3 3 2 3 2 6 2" xfId="6052" xr:uid="{00000000-0005-0000-0000-0000330F0000}"/>
    <cellStyle name="Обычный 2 3 3 2 3 2 7" xfId="2497" xr:uid="{00000000-0005-0000-0000-0000340F0000}"/>
    <cellStyle name="Обычный 2 3 3 2 3 2 7 2" xfId="6348" xr:uid="{00000000-0005-0000-0000-0000350F0000}"/>
    <cellStyle name="Обычный 2 3 3 2 3 2 8" xfId="2793" xr:uid="{00000000-0005-0000-0000-0000360F0000}"/>
    <cellStyle name="Обычный 2 3 3 2 3 2 8 2" xfId="6644" xr:uid="{00000000-0005-0000-0000-0000370F0000}"/>
    <cellStyle name="Обычный 2 3 3 2 3 2 9" xfId="3089" xr:uid="{00000000-0005-0000-0000-0000380F0000}"/>
    <cellStyle name="Обычный 2 3 3 2 3 2 9 2" xfId="6940" xr:uid="{00000000-0005-0000-0000-0000390F0000}"/>
    <cellStyle name="Обычный 2 3 3 2 3 3" xfId="1092" xr:uid="{00000000-0005-0000-0000-00003A0F0000}"/>
    <cellStyle name="Обычный 2 3 3 2 3 3 2" xfId="4720" xr:uid="{00000000-0005-0000-0000-00003B0F0000}"/>
    <cellStyle name="Обычный 2 3 3 2 3 4" xfId="1186" xr:uid="{00000000-0005-0000-0000-00003C0F0000}"/>
    <cellStyle name="Обычный 2 3 3 2 3 4 2" xfId="5016" xr:uid="{00000000-0005-0000-0000-00003D0F0000}"/>
    <cellStyle name="Обычный 2 3 3 2 3 5" xfId="1470" xr:uid="{00000000-0005-0000-0000-00003E0F0000}"/>
    <cellStyle name="Обычный 2 3 3 2 3 5 2" xfId="5312" xr:uid="{00000000-0005-0000-0000-00003F0F0000}"/>
    <cellStyle name="Обычный 2 3 3 2 3 6" xfId="1761" xr:uid="{00000000-0005-0000-0000-0000400F0000}"/>
    <cellStyle name="Обычный 2 3 3 2 3 6 2" xfId="5608" xr:uid="{00000000-0005-0000-0000-0000410F0000}"/>
    <cellStyle name="Обычный 2 3 3 2 3 7" xfId="2054" xr:uid="{00000000-0005-0000-0000-0000420F0000}"/>
    <cellStyle name="Обычный 2 3 3 2 3 7 2" xfId="5904" xr:uid="{00000000-0005-0000-0000-0000430F0000}"/>
    <cellStyle name="Обычный 2 3 3 2 3 8" xfId="2349" xr:uid="{00000000-0005-0000-0000-0000440F0000}"/>
    <cellStyle name="Обычный 2 3 3 2 3 8 2" xfId="6200" xr:uid="{00000000-0005-0000-0000-0000450F0000}"/>
    <cellStyle name="Обычный 2 3 3 2 3 9" xfId="2645" xr:uid="{00000000-0005-0000-0000-0000460F0000}"/>
    <cellStyle name="Обычный 2 3 3 2 3 9 2" xfId="6496" xr:uid="{00000000-0005-0000-0000-0000470F0000}"/>
    <cellStyle name="Обычный 2 3 3 2 4" xfId="323" xr:uid="{00000000-0005-0000-0000-0000480F0000}"/>
    <cellStyle name="Обычный 2 3 3 2 4 10" xfId="3287" xr:uid="{00000000-0005-0000-0000-0000490F0000}"/>
    <cellStyle name="Обычный 2 3 3 2 4 10 2" xfId="7138" xr:uid="{00000000-0005-0000-0000-00004A0F0000}"/>
    <cellStyle name="Обычный 2 3 3 2 4 11" xfId="3583" xr:uid="{00000000-0005-0000-0000-00004B0F0000}"/>
    <cellStyle name="Обычный 2 3 3 2 4 11 2" xfId="7434" xr:uid="{00000000-0005-0000-0000-00004C0F0000}"/>
    <cellStyle name="Обычный 2 3 3 2 4 12" xfId="3879" xr:uid="{00000000-0005-0000-0000-00004D0F0000}"/>
    <cellStyle name="Обычный 2 3 3 2 4 12 2" xfId="7730" xr:uid="{00000000-0005-0000-0000-00004E0F0000}"/>
    <cellStyle name="Обычный 2 3 3 2 4 13" xfId="4175" xr:uid="{00000000-0005-0000-0000-00004F0F0000}"/>
    <cellStyle name="Обычный 2 3 3 2 4 13 2" xfId="8026" xr:uid="{00000000-0005-0000-0000-0000500F0000}"/>
    <cellStyle name="Обычный 2 3 3 2 4 14" xfId="8375" xr:uid="{00000000-0005-0000-0000-0000510F0000}"/>
    <cellStyle name="Обычный 2 3 3 2 4 15" xfId="4474" xr:uid="{00000000-0005-0000-0000-0000520F0000}"/>
    <cellStyle name="Обычный 2 3 3 2 4 2" xfId="854" xr:uid="{00000000-0005-0000-0000-0000530F0000}"/>
    <cellStyle name="Обычный 2 3 3 2 4 2 2" xfId="8604" xr:uid="{00000000-0005-0000-0000-0000540F0000}"/>
    <cellStyle name="Обычный 2 3 3 2 4 2 3" xfId="4770" xr:uid="{00000000-0005-0000-0000-0000550F0000}"/>
    <cellStyle name="Обычный 2 3 3 2 4 3" xfId="1234" xr:uid="{00000000-0005-0000-0000-0000560F0000}"/>
    <cellStyle name="Обычный 2 3 3 2 4 3 2" xfId="5066" xr:uid="{00000000-0005-0000-0000-0000570F0000}"/>
    <cellStyle name="Обычный 2 3 3 2 4 4" xfId="1519" xr:uid="{00000000-0005-0000-0000-0000580F0000}"/>
    <cellStyle name="Обычный 2 3 3 2 4 4 2" xfId="5362" xr:uid="{00000000-0005-0000-0000-0000590F0000}"/>
    <cellStyle name="Обычный 2 3 3 2 4 5" xfId="1811" xr:uid="{00000000-0005-0000-0000-00005A0F0000}"/>
    <cellStyle name="Обычный 2 3 3 2 4 5 2" xfId="5658" xr:uid="{00000000-0005-0000-0000-00005B0F0000}"/>
    <cellStyle name="Обычный 2 3 3 2 4 6" xfId="2104" xr:uid="{00000000-0005-0000-0000-00005C0F0000}"/>
    <cellStyle name="Обычный 2 3 3 2 4 6 2" xfId="5954" xr:uid="{00000000-0005-0000-0000-00005D0F0000}"/>
    <cellStyle name="Обычный 2 3 3 2 4 7" xfId="2399" xr:uid="{00000000-0005-0000-0000-00005E0F0000}"/>
    <cellStyle name="Обычный 2 3 3 2 4 7 2" xfId="6250" xr:uid="{00000000-0005-0000-0000-00005F0F0000}"/>
    <cellStyle name="Обычный 2 3 3 2 4 8" xfId="2695" xr:uid="{00000000-0005-0000-0000-0000600F0000}"/>
    <cellStyle name="Обычный 2 3 3 2 4 8 2" xfId="6546" xr:uid="{00000000-0005-0000-0000-0000610F0000}"/>
    <cellStyle name="Обычный 2 3 3 2 4 9" xfId="2991" xr:uid="{00000000-0005-0000-0000-0000620F0000}"/>
    <cellStyle name="Обычный 2 3 3 2 4 9 2" xfId="6842" xr:uid="{00000000-0005-0000-0000-0000630F0000}"/>
    <cellStyle name="Обычный 2 3 3 2 5" xfId="707" xr:uid="{00000000-0005-0000-0000-0000640F0000}"/>
    <cellStyle name="Обычный 2 3 3 2 5 2" xfId="8491" xr:uid="{00000000-0005-0000-0000-0000650F0000}"/>
    <cellStyle name="Обычный 2 3 3 2 5 3" xfId="4622" xr:uid="{00000000-0005-0000-0000-0000660F0000}"/>
    <cellStyle name="Обычный 2 3 3 2 6" xfId="855" xr:uid="{00000000-0005-0000-0000-0000670F0000}"/>
    <cellStyle name="Обычный 2 3 3 2 6 2" xfId="8605" xr:uid="{00000000-0005-0000-0000-0000680F0000}"/>
    <cellStyle name="Обычный 2 3 3 2 6 3" xfId="4918" xr:uid="{00000000-0005-0000-0000-0000690F0000}"/>
    <cellStyle name="Обычный 2 3 3 2 7" xfId="1375" xr:uid="{00000000-0005-0000-0000-00006A0F0000}"/>
    <cellStyle name="Обычный 2 3 3 2 7 2" xfId="5214" xr:uid="{00000000-0005-0000-0000-00006B0F0000}"/>
    <cellStyle name="Обычный 2 3 3 2 8" xfId="1664" xr:uid="{00000000-0005-0000-0000-00006C0F0000}"/>
    <cellStyle name="Обычный 2 3 3 2 8 2" xfId="5510" xr:uid="{00000000-0005-0000-0000-00006D0F0000}"/>
    <cellStyle name="Обычный 2 3 3 2 9" xfId="1957" xr:uid="{00000000-0005-0000-0000-00006E0F0000}"/>
    <cellStyle name="Обычный 2 3 3 2 9 2" xfId="5806" xr:uid="{00000000-0005-0000-0000-00006F0F0000}"/>
    <cellStyle name="Обычный 2 3 3 3" xfId="147" xr:uid="{00000000-0005-0000-0000-0000700F0000}"/>
    <cellStyle name="Обычный 2 3 3 3 10" xfId="2869" xr:uid="{00000000-0005-0000-0000-0000710F0000}"/>
    <cellStyle name="Обычный 2 3 3 3 10 2" xfId="6720" xr:uid="{00000000-0005-0000-0000-0000720F0000}"/>
    <cellStyle name="Обычный 2 3 3 3 11" xfId="3165" xr:uid="{00000000-0005-0000-0000-0000730F0000}"/>
    <cellStyle name="Обычный 2 3 3 3 11 2" xfId="7016" xr:uid="{00000000-0005-0000-0000-0000740F0000}"/>
    <cellStyle name="Обычный 2 3 3 3 12" xfId="3461" xr:uid="{00000000-0005-0000-0000-0000750F0000}"/>
    <cellStyle name="Обычный 2 3 3 3 12 2" xfId="7312" xr:uid="{00000000-0005-0000-0000-0000760F0000}"/>
    <cellStyle name="Обычный 2 3 3 3 13" xfId="3757" xr:uid="{00000000-0005-0000-0000-0000770F0000}"/>
    <cellStyle name="Обычный 2 3 3 3 13 2" xfId="7608" xr:uid="{00000000-0005-0000-0000-0000780F0000}"/>
    <cellStyle name="Обычный 2 3 3 3 14" xfId="4053" xr:uid="{00000000-0005-0000-0000-0000790F0000}"/>
    <cellStyle name="Обычный 2 3 3 3 14 2" xfId="7904" xr:uid="{00000000-0005-0000-0000-00007A0F0000}"/>
    <cellStyle name="Обычный 2 3 3 3 15" xfId="8202" xr:uid="{00000000-0005-0000-0000-00007B0F0000}"/>
    <cellStyle name="Обычный 2 3 3 3 16" xfId="4350" xr:uid="{00000000-0005-0000-0000-00007C0F0000}"/>
    <cellStyle name="Обычный 2 3 3 3 2" xfId="250" xr:uid="{00000000-0005-0000-0000-00007D0F0000}"/>
    <cellStyle name="Обычный 2 3 3 3 2 10" xfId="3313" xr:uid="{00000000-0005-0000-0000-00007E0F0000}"/>
    <cellStyle name="Обычный 2 3 3 3 2 10 2" xfId="7164" xr:uid="{00000000-0005-0000-0000-00007F0F0000}"/>
    <cellStyle name="Обычный 2 3 3 3 2 11" xfId="3609" xr:uid="{00000000-0005-0000-0000-0000800F0000}"/>
    <cellStyle name="Обычный 2 3 3 3 2 11 2" xfId="7460" xr:uid="{00000000-0005-0000-0000-0000810F0000}"/>
    <cellStyle name="Обычный 2 3 3 3 2 12" xfId="3905" xr:uid="{00000000-0005-0000-0000-0000820F0000}"/>
    <cellStyle name="Обычный 2 3 3 3 2 12 2" xfId="7756" xr:uid="{00000000-0005-0000-0000-0000830F0000}"/>
    <cellStyle name="Обычный 2 3 3 3 2 13" xfId="4201" xr:uid="{00000000-0005-0000-0000-0000840F0000}"/>
    <cellStyle name="Обычный 2 3 3 3 2 13 2" xfId="8052" xr:uid="{00000000-0005-0000-0000-0000850F0000}"/>
    <cellStyle name="Обычный 2 3 3 3 2 14" xfId="8303" xr:uid="{00000000-0005-0000-0000-0000860F0000}"/>
    <cellStyle name="Обычный 2 3 3 3 2 15" xfId="4500" xr:uid="{00000000-0005-0000-0000-0000870F0000}"/>
    <cellStyle name="Обычный 2 3 3 3 2 2" xfId="856" xr:uid="{00000000-0005-0000-0000-0000880F0000}"/>
    <cellStyle name="Обычный 2 3 3 3 2 2 2" xfId="8606" xr:uid="{00000000-0005-0000-0000-0000890F0000}"/>
    <cellStyle name="Обычный 2 3 3 3 2 2 3" xfId="4796" xr:uid="{00000000-0005-0000-0000-00008A0F0000}"/>
    <cellStyle name="Обычный 2 3 3 3 2 3" xfId="1259" xr:uid="{00000000-0005-0000-0000-00008B0F0000}"/>
    <cellStyle name="Обычный 2 3 3 3 2 3 2" xfId="5092" xr:uid="{00000000-0005-0000-0000-00008C0F0000}"/>
    <cellStyle name="Обычный 2 3 3 3 2 4" xfId="1545" xr:uid="{00000000-0005-0000-0000-00008D0F0000}"/>
    <cellStyle name="Обычный 2 3 3 3 2 4 2" xfId="5388" xr:uid="{00000000-0005-0000-0000-00008E0F0000}"/>
    <cellStyle name="Обычный 2 3 3 3 2 5" xfId="1837" xr:uid="{00000000-0005-0000-0000-00008F0F0000}"/>
    <cellStyle name="Обычный 2 3 3 3 2 5 2" xfId="5684" xr:uid="{00000000-0005-0000-0000-0000900F0000}"/>
    <cellStyle name="Обычный 2 3 3 3 2 6" xfId="2130" xr:uid="{00000000-0005-0000-0000-0000910F0000}"/>
    <cellStyle name="Обычный 2 3 3 3 2 6 2" xfId="5980" xr:uid="{00000000-0005-0000-0000-0000920F0000}"/>
    <cellStyle name="Обычный 2 3 3 3 2 7" xfId="2425" xr:uid="{00000000-0005-0000-0000-0000930F0000}"/>
    <cellStyle name="Обычный 2 3 3 3 2 7 2" xfId="6276" xr:uid="{00000000-0005-0000-0000-0000940F0000}"/>
    <cellStyle name="Обычный 2 3 3 3 2 8" xfId="2721" xr:uid="{00000000-0005-0000-0000-0000950F0000}"/>
    <cellStyle name="Обычный 2 3 3 3 2 8 2" xfId="6572" xr:uid="{00000000-0005-0000-0000-0000960F0000}"/>
    <cellStyle name="Обычный 2 3 3 3 2 9" xfId="3017" xr:uid="{00000000-0005-0000-0000-0000970F0000}"/>
    <cellStyle name="Обычный 2 3 3 3 2 9 2" xfId="6868" xr:uid="{00000000-0005-0000-0000-0000980F0000}"/>
    <cellStyle name="Обычный 2 3 3 3 3" xfId="351" xr:uid="{00000000-0005-0000-0000-0000990F0000}"/>
    <cellStyle name="Обычный 2 3 3 3 3 2" xfId="857" xr:uid="{00000000-0005-0000-0000-00009A0F0000}"/>
    <cellStyle name="Обычный 2 3 3 3 3 3" xfId="8403" xr:uid="{00000000-0005-0000-0000-00009B0F0000}"/>
    <cellStyle name="Обычный 2 3 3 3 3 4" xfId="4648" xr:uid="{00000000-0005-0000-0000-00009C0F0000}"/>
    <cellStyle name="Обычный 2 3 3 3 4" xfId="858" xr:uid="{00000000-0005-0000-0000-00009D0F0000}"/>
    <cellStyle name="Обычный 2 3 3 3 4 2" xfId="8607" xr:uid="{00000000-0005-0000-0000-00009E0F0000}"/>
    <cellStyle name="Обычный 2 3 3 3 4 3" xfId="4944" xr:uid="{00000000-0005-0000-0000-00009F0F0000}"/>
    <cellStyle name="Обычный 2 3 3 3 5" xfId="1401" xr:uid="{00000000-0005-0000-0000-0000A00F0000}"/>
    <cellStyle name="Обычный 2 3 3 3 5 2" xfId="5240" xr:uid="{00000000-0005-0000-0000-0000A10F0000}"/>
    <cellStyle name="Обычный 2 3 3 3 6" xfId="1690" xr:uid="{00000000-0005-0000-0000-0000A20F0000}"/>
    <cellStyle name="Обычный 2 3 3 3 6 2" xfId="5536" xr:uid="{00000000-0005-0000-0000-0000A30F0000}"/>
    <cellStyle name="Обычный 2 3 3 3 7" xfId="1983" xr:uid="{00000000-0005-0000-0000-0000A40F0000}"/>
    <cellStyle name="Обычный 2 3 3 3 7 2" xfId="5832" xr:uid="{00000000-0005-0000-0000-0000A50F0000}"/>
    <cellStyle name="Обычный 2 3 3 3 8" xfId="2277" xr:uid="{00000000-0005-0000-0000-0000A60F0000}"/>
    <cellStyle name="Обычный 2 3 3 3 8 2" xfId="6128" xr:uid="{00000000-0005-0000-0000-0000A70F0000}"/>
    <cellStyle name="Обычный 2 3 3 3 9" xfId="2573" xr:uid="{00000000-0005-0000-0000-0000A80F0000}"/>
    <cellStyle name="Обычный 2 3 3 3 9 2" xfId="6424" xr:uid="{00000000-0005-0000-0000-0000A90F0000}"/>
    <cellStyle name="Обычный 2 3 3 4" xfId="200" xr:uid="{00000000-0005-0000-0000-0000AA0F0000}"/>
    <cellStyle name="Обычный 2 3 3 4 10" xfId="2919" xr:uid="{00000000-0005-0000-0000-0000AB0F0000}"/>
    <cellStyle name="Обычный 2 3 3 4 10 2" xfId="6770" xr:uid="{00000000-0005-0000-0000-0000AC0F0000}"/>
    <cellStyle name="Обычный 2 3 3 4 11" xfId="3215" xr:uid="{00000000-0005-0000-0000-0000AD0F0000}"/>
    <cellStyle name="Обычный 2 3 3 4 11 2" xfId="7066" xr:uid="{00000000-0005-0000-0000-0000AE0F0000}"/>
    <cellStyle name="Обычный 2 3 3 4 12" xfId="3511" xr:uid="{00000000-0005-0000-0000-0000AF0F0000}"/>
    <cellStyle name="Обычный 2 3 3 4 12 2" xfId="7362" xr:uid="{00000000-0005-0000-0000-0000B00F0000}"/>
    <cellStyle name="Обычный 2 3 3 4 13" xfId="3807" xr:uid="{00000000-0005-0000-0000-0000B10F0000}"/>
    <cellStyle name="Обычный 2 3 3 4 13 2" xfId="7658" xr:uid="{00000000-0005-0000-0000-0000B20F0000}"/>
    <cellStyle name="Обычный 2 3 3 4 14" xfId="4103" xr:uid="{00000000-0005-0000-0000-0000B30F0000}"/>
    <cellStyle name="Обычный 2 3 3 4 14 2" xfId="7954" xr:uid="{00000000-0005-0000-0000-0000B40F0000}"/>
    <cellStyle name="Обычный 2 3 3 4 15" xfId="8253" xr:uid="{00000000-0005-0000-0000-0000B50F0000}"/>
    <cellStyle name="Обычный 2 3 3 4 16" xfId="4401" xr:uid="{00000000-0005-0000-0000-0000B60F0000}"/>
    <cellStyle name="Обычный 2 3 3 4 2" xfId="859" xr:uid="{00000000-0005-0000-0000-0000B70F0000}"/>
    <cellStyle name="Обычный 2 3 3 4 2 10" xfId="3363" xr:uid="{00000000-0005-0000-0000-0000B80F0000}"/>
    <cellStyle name="Обычный 2 3 3 4 2 10 2" xfId="7214" xr:uid="{00000000-0005-0000-0000-0000B90F0000}"/>
    <cellStyle name="Обычный 2 3 3 4 2 11" xfId="3659" xr:uid="{00000000-0005-0000-0000-0000BA0F0000}"/>
    <cellStyle name="Обычный 2 3 3 4 2 11 2" xfId="7510" xr:uid="{00000000-0005-0000-0000-0000BB0F0000}"/>
    <cellStyle name="Обычный 2 3 3 4 2 12" xfId="3955" xr:uid="{00000000-0005-0000-0000-0000BC0F0000}"/>
    <cellStyle name="Обычный 2 3 3 4 2 12 2" xfId="7806" xr:uid="{00000000-0005-0000-0000-0000BD0F0000}"/>
    <cellStyle name="Обычный 2 3 3 4 2 13" xfId="4251" xr:uid="{00000000-0005-0000-0000-0000BE0F0000}"/>
    <cellStyle name="Обычный 2 3 3 4 2 13 2" xfId="8102" xr:uid="{00000000-0005-0000-0000-0000BF0F0000}"/>
    <cellStyle name="Обычный 2 3 3 4 2 14" xfId="8608" xr:uid="{00000000-0005-0000-0000-0000C00F0000}"/>
    <cellStyle name="Обычный 2 3 3 4 2 15" xfId="4550" xr:uid="{00000000-0005-0000-0000-0000C10F0000}"/>
    <cellStyle name="Обычный 2 3 3 4 2 2" xfId="1118" xr:uid="{00000000-0005-0000-0000-0000C20F0000}"/>
    <cellStyle name="Обычный 2 3 3 4 2 2 2" xfId="4846" xr:uid="{00000000-0005-0000-0000-0000C30F0000}"/>
    <cellStyle name="Обычный 2 3 3 4 2 3" xfId="1307" xr:uid="{00000000-0005-0000-0000-0000C40F0000}"/>
    <cellStyle name="Обычный 2 3 3 4 2 3 2" xfId="5142" xr:uid="{00000000-0005-0000-0000-0000C50F0000}"/>
    <cellStyle name="Обычный 2 3 3 4 2 4" xfId="1594" xr:uid="{00000000-0005-0000-0000-0000C60F0000}"/>
    <cellStyle name="Обычный 2 3 3 4 2 4 2" xfId="5438" xr:uid="{00000000-0005-0000-0000-0000C70F0000}"/>
    <cellStyle name="Обычный 2 3 3 4 2 5" xfId="1887" xr:uid="{00000000-0005-0000-0000-0000C80F0000}"/>
    <cellStyle name="Обычный 2 3 3 4 2 5 2" xfId="5734" xr:uid="{00000000-0005-0000-0000-0000C90F0000}"/>
    <cellStyle name="Обычный 2 3 3 4 2 6" xfId="2180" xr:uid="{00000000-0005-0000-0000-0000CA0F0000}"/>
    <cellStyle name="Обычный 2 3 3 4 2 6 2" xfId="6030" xr:uid="{00000000-0005-0000-0000-0000CB0F0000}"/>
    <cellStyle name="Обычный 2 3 3 4 2 7" xfId="2475" xr:uid="{00000000-0005-0000-0000-0000CC0F0000}"/>
    <cellStyle name="Обычный 2 3 3 4 2 7 2" xfId="6326" xr:uid="{00000000-0005-0000-0000-0000CD0F0000}"/>
    <cellStyle name="Обычный 2 3 3 4 2 8" xfId="2771" xr:uid="{00000000-0005-0000-0000-0000CE0F0000}"/>
    <cellStyle name="Обычный 2 3 3 4 2 8 2" xfId="6622" xr:uid="{00000000-0005-0000-0000-0000CF0F0000}"/>
    <cellStyle name="Обычный 2 3 3 4 2 9" xfId="3067" xr:uid="{00000000-0005-0000-0000-0000D00F0000}"/>
    <cellStyle name="Обычный 2 3 3 4 2 9 2" xfId="6918" xr:uid="{00000000-0005-0000-0000-0000D10F0000}"/>
    <cellStyle name="Обычный 2 3 3 4 3" xfId="1071" xr:uid="{00000000-0005-0000-0000-0000D20F0000}"/>
    <cellStyle name="Обычный 2 3 3 4 3 2" xfId="4698" xr:uid="{00000000-0005-0000-0000-0000D30F0000}"/>
    <cellStyle name="Обычный 2 3 3 4 4" xfId="1165" xr:uid="{00000000-0005-0000-0000-0000D40F0000}"/>
    <cellStyle name="Обычный 2 3 3 4 4 2" xfId="4994" xr:uid="{00000000-0005-0000-0000-0000D50F0000}"/>
    <cellStyle name="Обычный 2 3 3 4 5" xfId="1448" xr:uid="{00000000-0005-0000-0000-0000D60F0000}"/>
    <cellStyle name="Обычный 2 3 3 4 5 2" xfId="5290" xr:uid="{00000000-0005-0000-0000-0000D70F0000}"/>
    <cellStyle name="Обычный 2 3 3 4 6" xfId="1739" xr:uid="{00000000-0005-0000-0000-0000D80F0000}"/>
    <cellStyle name="Обычный 2 3 3 4 6 2" xfId="5586" xr:uid="{00000000-0005-0000-0000-0000D90F0000}"/>
    <cellStyle name="Обычный 2 3 3 4 7" xfId="2032" xr:uid="{00000000-0005-0000-0000-0000DA0F0000}"/>
    <cellStyle name="Обычный 2 3 3 4 7 2" xfId="5882" xr:uid="{00000000-0005-0000-0000-0000DB0F0000}"/>
    <cellStyle name="Обычный 2 3 3 4 8" xfId="2327" xr:uid="{00000000-0005-0000-0000-0000DC0F0000}"/>
    <cellStyle name="Обычный 2 3 3 4 8 2" xfId="6178" xr:uid="{00000000-0005-0000-0000-0000DD0F0000}"/>
    <cellStyle name="Обычный 2 3 3 4 9" xfId="2623" xr:uid="{00000000-0005-0000-0000-0000DE0F0000}"/>
    <cellStyle name="Обычный 2 3 3 4 9 2" xfId="6474" xr:uid="{00000000-0005-0000-0000-0000DF0F0000}"/>
    <cellStyle name="Обычный 2 3 3 5" xfId="301" xr:uid="{00000000-0005-0000-0000-0000E00F0000}"/>
    <cellStyle name="Обычный 2 3 3 5 10" xfId="3265" xr:uid="{00000000-0005-0000-0000-0000E10F0000}"/>
    <cellStyle name="Обычный 2 3 3 5 10 2" xfId="7116" xr:uid="{00000000-0005-0000-0000-0000E20F0000}"/>
    <cellStyle name="Обычный 2 3 3 5 11" xfId="3561" xr:uid="{00000000-0005-0000-0000-0000E30F0000}"/>
    <cellStyle name="Обычный 2 3 3 5 11 2" xfId="7412" xr:uid="{00000000-0005-0000-0000-0000E40F0000}"/>
    <cellStyle name="Обычный 2 3 3 5 12" xfId="3857" xr:uid="{00000000-0005-0000-0000-0000E50F0000}"/>
    <cellStyle name="Обычный 2 3 3 5 12 2" xfId="7708" xr:uid="{00000000-0005-0000-0000-0000E60F0000}"/>
    <cellStyle name="Обычный 2 3 3 5 13" xfId="4153" xr:uid="{00000000-0005-0000-0000-0000E70F0000}"/>
    <cellStyle name="Обычный 2 3 3 5 13 2" xfId="8004" xr:uid="{00000000-0005-0000-0000-0000E80F0000}"/>
    <cellStyle name="Обычный 2 3 3 5 14" xfId="8353" xr:uid="{00000000-0005-0000-0000-0000E90F0000}"/>
    <cellStyle name="Обычный 2 3 3 5 15" xfId="4452" xr:uid="{00000000-0005-0000-0000-0000EA0F0000}"/>
    <cellStyle name="Обычный 2 3 3 5 2" xfId="860" xr:uid="{00000000-0005-0000-0000-0000EB0F0000}"/>
    <cellStyle name="Обычный 2 3 3 5 2 2" xfId="8609" xr:uid="{00000000-0005-0000-0000-0000EC0F0000}"/>
    <cellStyle name="Обычный 2 3 3 5 2 3" xfId="4748" xr:uid="{00000000-0005-0000-0000-0000ED0F0000}"/>
    <cellStyle name="Обычный 2 3 3 5 3" xfId="1212" xr:uid="{00000000-0005-0000-0000-0000EE0F0000}"/>
    <cellStyle name="Обычный 2 3 3 5 3 2" xfId="5044" xr:uid="{00000000-0005-0000-0000-0000EF0F0000}"/>
    <cellStyle name="Обычный 2 3 3 5 4" xfId="1497" xr:uid="{00000000-0005-0000-0000-0000F00F0000}"/>
    <cellStyle name="Обычный 2 3 3 5 4 2" xfId="5340" xr:uid="{00000000-0005-0000-0000-0000F10F0000}"/>
    <cellStyle name="Обычный 2 3 3 5 5" xfId="1789" xr:uid="{00000000-0005-0000-0000-0000F20F0000}"/>
    <cellStyle name="Обычный 2 3 3 5 5 2" xfId="5636" xr:uid="{00000000-0005-0000-0000-0000F30F0000}"/>
    <cellStyle name="Обычный 2 3 3 5 6" xfId="2082" xr:uid="{00000000-0005-0000-0000-0000F40F0000}"/>
    <cellStyle name="Обычный 2 3 3 5 6 2" xfId="5932" xr:uid="{00000000-0005-0000-0000-0000F50F0000}"/>
    <cellStyle name="Обычный 2 3 3 5 7" xfId="2377" xr:uid="{00000000-0005-0000-0000-0000F60F0000}"/>
    <cellStyle name="Обычный 2 3 3 5 7 2" xfId="6228" xr:uid="{00000000-0005-0000-0000-0000F70F0000}"/>
    <cellStyle name="Обычный 2 3 3 5 8" xfId="2673" xr:uid="{00000000-0005-0000-0000-0000F80F0000}"/>
    <cellStyle name="Обычный 2 3 3 5 8 2" xfId="6524" xr:uid="{00000000-0005-0000-0000-0000F90F0000}"/>
    <cellStyle name="Обычный 2 3 3 5 9" xfId="2969" xr:uid="{00000000-0005-0000-0000-0000FA0F0000}"/>
    <cellStyle name="Обычный 2 3 3 5 9 2" xfId="6820" xr:uid="{00000000-0005-0000-0000-0000FB0F0000}"/>
    <cellStyle name="Обычный 2 3 3 6" xfId="662" xr:uid="{00000000-0005-0000-0000-0000FC0F0000}"/>
    <cellStyle name="Обычный 2 3 3 6 2" xfId="8477" xr:uid="{00000000-0005-0000-0000-0000FD0F0000}"/>
    <cellStyle name="Обычный 2 3 3 6 3" xfId="4600" xr:uid="{00000000-0005-0000-0000-0000FE0F0000}"/>
    <cellStyle name="Обычный 2 3 3 7" xfId="861" xr:uid="{00000000-0005-0000-0000-0000FF0F0000}"/>
    <cellStyle name="Обычный 2 3 3 7 2" xfId="8610" xr:uid="{00000000-0005-0000-0000-000000100000}"/>
    <cellStyle name="Обычный 2 3 3 7 3" xfId="4896" xr:uid="{00000000-0005-0000-0000-000001100000}"/>
    <cellStyle name="Обычный 2 3 3 8" xfId="1354" xr:uid="{00000000-0005-0000-0000-000002100000}"/>
    <cellStyle name="Обычный 2 3 3 8 2" xfId="5192" xr:uid="{00000000-0005-0000-0000-000003100000}"/>
    <cellStyle name="Обычный 2 3 3 9" xfId="1643" xr:uid="{00000000-0005-0000-0000-000004100000}"/>
    <cellStyle name="Обычный 2 3 3 9 2" xfId="5488" xr:uid="{00000000-0005-0000-0000-000005100000}"/>
    <cellStyle name="Обычный 2 3 4" xfId="114" xr:uid="{00000000-0005-0000-0000-000006100000}"/>
    <cellStyle name="Обычный 2 3 4 10" xfId="2249" xr:uid="{00000000-0005-0000-0000-000007100000}"/>
    <cellStyle name="Обычный 2 3 4 10 2" xfId="6100" xr:uid="{00000000-0005-0000-0000-000008100000}"/>
    <cellStyle name="Обычный 2 3 4 11" xfId="2545" xr:uid="{00000000-0005-0000-0000-000009100000}"/>
    <cellStyle name="Обычный 2 3 4 11 2" xfId="6396" xr:uid="{00000000-0005-0000-0000-00000A100000}"/>
    <cellStyle name="Обычный 2 3 4 12" xfId="2841" xr:uid="{00000000-0005-0000-0000-00000B100000}"/>
    <cellStyle name="Обычный 2 3 4 12 2" xfId="6692" xr:uid="{00000000-0005-0000-0000-00000C100000}"/>
    <cellStyle name="Обычный 2 3 4 13" xfId="3137" xr:uid="{00000000-0005-0000-0000-00000D100000}"/>
    <cellStyle name="Обычный 2 3 4 13 2" xfId="6988" xr:uid="{00000000-0005-0000-0000-00000E100000}"/>
    <cellStyle name="Обычный 2 3 4 14" xfId="3433" xr:uid="{00000000-0005-0000-0000-00000F100000}"/>
    <cellStyle name="Обычный 2 3 4 14 2" xfId="7284" xr:uid="{00000000-0005-0000-0000-000010100000}"/>
    <cellStyle name="Обычный 2 3 4 15" xfId="3729" xr:uid="{00000000-0005-0000-0000-000011100000}"/>
    <cellStyle name="Обычный 2 3 4 15 2" xfId="7580" xr:uid="{00000000-0005-0000-0000-000012100000}"/>
    <cellStyle name="Обычный 2 3 4 16" xfId="4025" xr:uid="{00000000-0005-0000-0000-000013100000}"/>
    <cellStyle name="Обычный 2 3 4 16 2" xfId="7876" xr:uid="{00000000-0005-0000-0000-000014100000}"/>
    <cellStyle name="Обычный 2 3 4 17" xfId="8172" xr:uid="{00000000-0005-0000-0000-000015100000}"/>
    <cellStyle name="Обычный 2 3 4 18" xfId="4321" xr:uid="{00000000-0005-0000-0000-000016100000}"/>
    <cellStyle name="Обычный 2 3 4 2" xfId="167" xr:uid="{00000000-0005-0000-0000-000017100000}"/>
    <cellStyle name="Обычный 2 3 4 2 10" xfId="2889" xr:uid="{00000000-0005-0000-0000-000018100000}"/>
    <cellStyle name="Обычный 2 3 4 2 10 2" xfId="6740" xr:uid="{00000000-0005-0000-0000-000019100000}"/>
    <cellStyle name="Обычный 2 3 4 2 11" xfId="3185" xr:uid="{00000000-0005-0000-0000-00001A100000}"/>
    <cellStyle name="Обычный 2 3 4 2 11 2" xfId="7036" xr:uid="{00000000-0005-0000-0000-00001B100000}"/>
    <cellStyle name="Обычный 2 3 4 2 12" xfId="3481" xr:uid="{00000000-0005-0000-0000-00001C100000}"/>
    <cellStyle name="Обычный 2 3 4 2 12 2" xfId="7332" xr:uid="{00000000-0005-0000-0000-00001D100000}"/>
    <cellStyle name="Обычный 2 3 4 2 13" xfId="3777" xr:uid="{00000000-0005-0000-0000-00001E100000}"/>
    <cellStyle name="Обычный 2 3 4 2 13 2" xfId="7628" xr:uid="{00000000-0005-0000-0000-00001F100000}"/>
    <cellStyle name="Обычный 2 3 4 2 14" xfId="4073" xr:uid="{00000000-0005-0000-0000-000020100000}"/>
    <cellStyle name="Обычный 2 3 4 2 14 2" xfId="7924" xr:uid="{00000000-0005-0000-0000-000021100000}"/>
    <cellStyle name="Обычный 2 3 4 2 15" xfId="8222" xr:uid="{00000000-0005-0000-0000-000022100000}"/>
    <cellStyle name="Обычный 2 3 4 2 16" xfId="4370" xr:uid="{00000000-0005-0000-0000-000023100000}"/>
    <cellStyle name="Обычный 2 3 4 2 2" xfId="270" xr:uid="{00000000-0005-0000-0000-000024100000}"/>
    <cellStyle name="Обычный 2 3 4 2 2 10" xfId="3333" xr:uid="{00000000-0005-0000-0000-000025100000}"/>
    <cellStyle name="Обычный 2 3 4 2 2 10 2" xfId="7184" xr:uid="{00000000-0005-0000-0000-000026100000}"/>
    <cellStyle name="Обычный 2 3 4 2 2 11" xfId="3629" xr:uid="{00000000-0005-0000-0000-000027100000}"/>
    <cellStyle name="Обычный 2 3 4 2 2 11 2" xfId="7480" xr:uid="{00000000-0005-0000-0000-000028100000}"/>
    <cellStyle name="Обычный 2 3 4 2 2 12" xfId="3925" xr:uid="{00000000-0005-0000-0000-000029100000}"/>
    <cellStyle name="Обычный 2 3 4 2 2 12 2" xfId="7776" xr:uid="{00000000-0005-0000-0000-00002A100000}"/>
    <cellStyle name="Обычный 2 3 4 2 2 13" xfId="4221" xr:uid="{00000000-0005-0000-0000-00002B100000}"/>
    <cellStyle name="Обычный 2 3 4 2 2 13 2" xfId="8072" xr:uid="{00000000-0005-0000-0000-00002C100000}"/>
    <cellStyle name="Обычный 2 3 4 2 2 14" xfId="8323" xr:uid="{00000000-0005-0000-0000-00002D100000}"/>
    <cellStyle name="Обычный 2 3 4 2 2 15" xfId="4520" xr:uid="{00000000-0005-0000-0000-00002E100000}"/>
    <cellStyle name="Обычный 2 3 4 2 2 2" xfId="862" xr:uid="{00000000-0005-0000-0000-00002F100000}"/>
    <cellStyle name="Обычный 2 3 4 2 2 2 2" xfId="8611" xr:uid="{00000000-0005-0000-0000-000030100000}"/>
    <cellStyle name="Обычный 2 3 4 2 2 2 3" xfId="4816" xr:uid="{00000000-0005-0000-0000-000031100000}"/>
    <cellStyle name="Обычный 2 3 4 2 2 3" xfId="1278" xr:uid="{00000000-0005-0000-0000-000032100000}"/>
    <cellStyle name="Обычный 2 3 4 2 2 3 2" xfId="5112" xr:uid="{00000000-0005-0000-0000-000033100000}"/>
    <cellStyle name="Обычный 2 3 4 2 2 4" xfId="1564" xr:uid="{00000000-0005-0000-0000-000034100000}"/>
    <cellStyle name="Обычный 2 3 4 2 2 4 2" xfId="5408" xr:uid="{00000000-0005-0000-0000-000035100000}"/>
    <cellStyle name="Обычный 2 3 4 2 2 5" xfId="1857" xr:uid="{00000000-0005-0000-0000-000036100000}"/>
    <cellStyle name="Обычный 2 3 4 2 2 5 2" xfId="5704" xr:uid="{00000000-0005-0000-0000-000037100000}"/>
    <cellStyle name="Обычный 2 3 4 2 2 6" xfId="2150" xr:uid="{00000000-0005-0000-0000-000038100000}"/>
    <cellStyle name="Обычный 2 3 4 2 2 6 2" xfId="6000" xr:uid="{00000000-0005-0000-0000-000039100000}"/>
    <cellStyle name="Обычный 2 3 4 2 2 7" xfId="2445" xr:uid="{00000000-0005-0000-0000-00003A100000}"/>
    <cellStyle name="Обычный 2 3 4 2 2 7 2" xfId="6296" xr:uid="{00000000-0005-0000-0000-00003B100000}"/>
    <cellStyle name="Обычный 2 3 4 2 2 8" xfId="2741" xr:uid="{00000000-0005-0000-0000-00003C100000}"/>
    <cellStyle name="Обычный 2 3 4 2 2 8 2" xfId="6592" xr:uid="{00000000-0005-0000-0000-00003D100000}"/>
    <cellStyle name="Обычный 2 3 4 2 2 9" xfId="3037" xr:uid="{00000000-0005-0000-0000-00003E100000}"/>
    <cellStyle name="Обычный 2 3 4 2 2 9 2" xfId="6888" xr:uid="{00000000-0005-0000-0000-00003F100000}"/>
    <cellStyle name="Обычный 2 3 4 2 3" xfId="371" xr:uid="{00000000-0005-0000-0000-000040100000}"/>
    <cellStyle name="Обычный 2 3 4 2 3 2" xfId="863" xr:uid="{00000000-0005-0000-0000-000041100000}"/>
    <cellStyle name="Обычный 2 3 4 2 3 3" xfId="8423" xr:uid="{00000000-0005-0000-0000-000042100000}"/>
    <cellStyle name="Обычный 2 3 4 2 3 4" xfId="4668" xr:uid="{00000000-0005-0000-0000-000043100000}"/>
    <cellStyle name="Обычный 2 3 4 2 4" xfId="864" xr:uid="{00000000-0005-0000-0000-000044100000}"/>
    <cellStyle name="Обычный 2 3 4 2 4 2" xfId="8612" xr:uid="{00000000-0005-0000-0000-000045100000}"/>
    <cellStyle name="Обычный 2 3 4 2 4 3" xfId="4964" xr:uid="{00000000-0005-0000-0000-000046100000}"/>
    <cellStyle name="Обычный 2 3 4 2 5" xfId="1420" xr:uid="{00000000-0005-0000-0000-000047100000}"/>
    <cellStyle name="Обычный 2 3 4 2 5 2" xfId="5260" xr:uid="{00000000-0005-0000-0000-000048100000}"/>
    <cellStyle name="Обычный 2 3 4 2 6" xfId="1710" xr:uid="{00000000-0005-0000-0000-000049100000}"/>
    <cellStyle name="Обычный 2 3 4 2 6 2" xfId="5556" xr:uid="{00000000-0005-0000-0000-00004A100000}"/>
    <cellStyle name="Обычный 2 3 4 2 7" xfId="2002" xr:uid="{00000000-0005-0000-0000-00004B100000}"/>
    <cellStyle name="Обычный 2 3 4 2 7 2" xfId="5852" xr:uid="{00000000-0005-0000-0000-00004C100000}"/>
    <cellStyle name="Обычный 2 3 4 2 8" xfId="2297" xr:uid="{00000000-0005-0000-0000-00004D100000}"/>
    <cellStyle name="Обычный 2 3 4 2 8 2" xfId="6148" xr:uid="{00000000-0005-0000-0000-00004E100000}"/>
    <cellStyle name="Обычный 2 3 4 2 9" xfId="2593" xr:uid="{00000000-0005-0000-0000-00004F100000}"/>
    <cellStyle name="Обычный 2 3 4 2 9 2" xfId="6444" xr:uid="{00000000-0005-0000-0000-000050100000}"/>
    <cellStyle name="Обычный 2 3 4 3" xfId="220" xr:uid="{00000000-0005-0000-0000-000051100000}"/>
    <cellStyle name="Обычный 2 3 4 3 10" xfId="2939" xr:uid="{00000000-0005-0000-0000-000052100000}"/>
    <cellStyle name="Обычный 2 3 4 3 10 2" xfId="6790" xr:uid="{00000000-0005-0000-0000-000053100000}"/>
    <cellStyle name="Обычный 2 3 4 3 11" xfId="3235" xr:uid="{00000000-0005-0000-0000-000054100000}"/>
    <cellStyle name="Обычный 2 3 4 3 11 2" xfId="7086" xr:uid="{00000000-0005-0000-0000-000055100000}"/>
    <cellStyle name="Обычный 2 3 4 3 12" xfId="3531" xr:uid="{00000000-0005-0000-0000-000056100000}"/>
    <cellStyle name="Обычный 2 3 4 3 12 2" xfId="7382" xr:uid="{00000000-0005-0000-0000-000057100000}"/>
    <cellStyle name="Обычный 2 3 4 3 13" xfId="3827" xr:uid="{00000000-0005-0000-0000-000058100000}"/>
    <cellStyle name="Обычный 2 3 4 3 13 2" xfId="7678" xr:uid="{00000000-0005-0000-0000-000059100000}"/>
    <cellStyle name="Обычный 2 3 4 3 14" xfId="4123" xr:uid="{00000000-0005-0000-0000-00005A100000}"/>
    <cellStyle name="Обычный 2 3 4 3 14 2" xfId="7974" xr:uid="{00000000-0005-0000-0000-00005B100000}"/>
    <cellStyle name="Обычный 2 3 4 3 15" xfId="8273" xr:uid="{00000000-0005-0000-0000-00005C100000}"/>
    <cellStyle name="Обычный 2 3 4 3 16" xfId="4421" xr:uid="{00000000-0005-0000-0000-00005D100000}"/>
    <cellStyle name="Обычный 2 3 4 3 2" xfId="865" xr:uid="{00000000-0005-0000-0000-00005E100000}"/>
    <cellStyle name="Обычный 2 3 4 3 2 10" xfId="3383" xr:uid="{00000000-0005-0000-0000-00005F100000}"/>
    <cellStyle name="Обычный 2 3 4 3 2 10 2" xfId="7234" xr:uid="{00000000-0005-0000-0000-000060100000}"/>
    <cellStyle name="Обычный 2 3 4 3 2 11" xfId="3679" xr:uid="{00000000-0005-0000-0000-000061100000}"/>
    <cellStyle name="Обычный 2 3 4 3 2 11 2" xfId="7530" xr:uid="{00000000-0005-0000-0000-000062100000}"/>
    <cellStyle name="Обычный 2 3 4 3 2 12" xfId="3975" xr:uid="{00000000-0005-0000-0000-000063100000}"/>
    <cellStyle name="Обычный 2 3 4 3 2 12 2" xfId="7826" xr:uid="{00000000-0005-0000-0000-000064100000}"/>
    <cellStyle name="Обычный 2 3 4 3 2 13" xfId="4271" xr:uid="{00000000-0005-0000-0000-000065100000}"/>
    <cellStyle name="Обычный 2 3 4 3 2 13 2" xfId="8122" xr:uid="{00000000-0005-0000-0000-000066100000}"/>
    <cellStyle name="Обычный 2 3 4 3 2 14" xfId="8613" xr:uid="{00000000-0005-0000-0000-000067100000}"/>
    <cellStyle name="Обычный 2 3 4 3 2 15" xfId="4570" xr:uid="{00000000-0005-0000-0000-000068100000}"/>
    <cellStyle name="Обычный 2 3 4 3 2 2" xfId="1137" xr:uid="{00000000-0005-0000-0000-000069100000}"/>
    <cellStyle name="Обычный 2 3 4 3 2 2 2" xfId="4866" xr:uid="{00000000-0005-0000-0000-00006A100000}"/>
    <cellStyle name="Обычный 2 3 4 3 2 3" xfId="1326" xr:uid="{00000000-0005-0000-0000-00006B100000}"/>
    <cellStyle name="Обычный 2 3 4 3 2 3 2" xfId="5162" xr:uid="{00000000-0005-0000-0000-00006C100000}"/>
    <cellStyle name="Обычный 2 3 4 3 2 4" xfId="1613" xr:uid="{00000000-0005-0000-0000-00006D100000}"/>
    <cellStyle name="Обычный 2 3 4 3 2 4 2" xfId="5458" xr:uid="{00000000-0005-0000-0000-00006E100000}"/>
    <cellStyle name="Обычный 2 3 4 3 2 5" xfId="1906" xr:uid="{00000000-0005-0000-0000-00006F100000}"/>
    <cellStyle name="Обычный 2 3 4 3 2 5 2" xfId="5754" xr:uid="{00000000-0005-0000-0000-000070100000}"/>
    <cellStyle name="Обычный 2 3 4 3 2 6" xfId="2200" xr:uid="{00000000-0005-0000-0000-000071100000}"/>
    <cellStyle name="Обычный 2 3 4 3 2 6 2" xfId="6050" xr:uid="{00000000-0005-0000-0000-000072100000}"/>
    <cellStyle name="Обычный 2 3 4 3 2 7" xfId="2495" xr:uid="{00000000-0005-0000-0000-000073100000}"/>
    <cellStyle name="Обычный 2 3 4 3 2 7 2" xfId="6346" xr:uid="{00000000-0005-0000-0000-000074100000}"/>
    <cellStyle name="Обычный 2 3 4 3 2 8" xfId="2791" xr:uid="{00000000-0005-0000-0000-000075100000}"/>
    <cellStyle name="Обычный 2 3 4 3 2 8 2" xfId="6642" xr:uid="{00000000-0005-0000-0000-000076100000}"/>
    <cellStyle name="Обычный 2 3 4 3 2 9" xfId="3087" xr:uid="{00000000-0005-0000-0000-000077100000}"/>
    <cellStyle name="Обычный 2 3 4 3 2 9 2" xfId="6938" xr:uid="{00000000-0005-0000-0000-000078100000}"/>
    <cellStyle name="Обычный 2 3 4 3 3" xfId="1090" xr:uid="{00000000-0005-0000-0000-000079100000}"/>
    <cellStyle name="Обычный 2 3 4 3 3 2" xfId="4718" xr:uid="{00000000-0005-0000-0000-00007A100000}"/>
    <cellStyle name="Обычный 2 3 4 3 4" xfId="1184" xr:uid="{00000000-0005-0000-0000-00007B100000}"/>
    <cellStyle name="Обычный 2 3 4 3 4 2" xfId="5014" xr:uid="{00000000-0005-0000-0000-00007C100000}"/>
    <cellStyle name="Обычный 2 3 4 3 5" xfId="1468" xr:uid="{00000000-0005-0000-0000-00007D100000}"/>
    <cellStyle name="Обычный 2 3 4 3 5 2" xfId="5310" xr:uid="{00000000-0005-0000-0000-00007E100000}"/>
    <cellStyle name="Обычный 2 3 4 3 6" xfId="1759" xr:uid="{00000000-0005-0000-0000-00007F100000}"/>
    <cellStyle name="Обычный 2 3 4 3 6 2" xfId="5606" xr:uid="{00000000-0005-0000-0000-000080100000}"/>
    <cellStyle name="Обычный 2 3 4 3 7" xfId="2052" xr:uid="{00000000-0005-0000-0000-000081100000}"/>
    <cellStyle name="Обычный 2 3 4 3 7 2" xfId="5902" xr:uid="{00000000-0005-0000-0000-000082100000}"/>
    <cellStyle name="Обычный 2 3 4 3 8" xfId="2347" xr:uid="{00000000-0005-0000-0000-000083100000}"/>
    <cellStyle name="Обычный 2 3 4 3 8 2" xfId="6198" xr:uid="{00000000-0005-0000-0000-000084100000}"/>
    <cellStyle name="Обычный 2 3 4 3 9" xfId="2643" xr:uid="{00000000-0005-0000-0000-000085100000}"/>
    <cellStyle name="Обычный 2 3 4 3 9 2" xfId="6494" xr:uid="{00000000-0005-0000-0000-000086100000}"/>
    <cellStyle name="Обычный 2 3 4 4" xfId="321" xr:uid="{00000000-0005-0000-0000-000087100000}"/>
    <cellStyle name="Обычный 2 3 4 4 10" xfId="3285" xr:uid="{00000000-0005-0000-0000-000088100000}"/>
    <cellStyle name="Обычный 2 3 4 4 10 2" xfId="7136" xr:uid="{00000000-0005-0000-0000-000089100000}"/>
    <cellStyle name="Обычный 2 3 4 4 11" xfId="3581" xr:uid="{00000000-0005-0000-0000-00008A100000}"/>
    <cellStyle name="Обычный 2 3 4 4 11 2" xfId="7432" xr:uid="{00000000-0005-0000-0000-00008B100000}"/>
    <cellStyle name="Обычный 2 3 4 4 12" xfId="3877" xr:uid="{00000000-0005-0000-0000-00008C100000}"/>
    <cellStyle name="Обычный 2 3 4 4 12 2" xfId="7728" xr:uid="{00000000-0005-0000-0000-00008D100000}"/>
    <cellStyle name="Обычный 2 3 4 4 13" xfId="4173" xr:uid="{00000000-0005-0000-0000-00008E100000}"/>
    <cellStyle name="Обычный 2 3 4 4 13 2" xfId="8024" xr:uid="{00000000-0005-0000-0000-00008F100000}"/>
    <cellStyle name="Обычный 2 3 4 4 14" xfId="8373" xr:uid="{00000000-0005-0000-0000-000090100000}"/>
    <cellStyle name="Обычный 2 3 4 4 15" xfId="4472" xr:uid="{00000000-0005-0000-0000-000091100000}"/>
    <cellStyle name="Обычный 2 3 4 4 2" xfId="866" xr:uid="{00000000-0005-0000-0000-000092100000}"/>
    <cellStyle name="Обычный 2 3 4 4 2 2" xfId="8614" xr:uid="{00000000-0005-0000-0000-000093100000}"/>
    <cellStyle name="Обычный 2 3 4 4 2 3" xfId="4768" xr:uid="{00000000-0005-0000-0000-000094100000}"/>
    <cellStyle name="Обычный 2 3 4 4 3" xfId="1232" xr:uid="{00000000-0005-0000-0000-000095100000}"/>
    <cellStyle name="Обычный 2 3 4 4 3 2" xfId="5064" xr:uid="{00000000-0005-0000-0000-000096100000}"/>
    <cellStyle name="Обычный 2 3 4 4 4" xfId="1517" xr:uid="{00000000-0005-0000-0000-000097100000}"/>
    <cellStyle name="Обычный 2 3 4 4 4 2" xfId="5360" xr:uid="{00000000-0005-0000-0000-000098100000}"/>
    <cellStyle name="Обычный 2 3 4 4 5" xfId="1809" xr:uid="{00000000-0005-0000-0000-000099100000}"/>
    <cellStyle name="Обычный 2 3 4 4 5 2" xfId="5656" xr:uid="{00000000-0005-0000-0000-00009A100000}"/>
    <cellStyle name="Обычный 2 3 4 4 6" xfId="2102" xr:uid="{00000000-0005-0000-0000-00009B100000}"/>
    <cellStyle name="Обычный 2 3 4 4 6 2" xfId="5952" xr:uid="{00000000-0005-0000-0000-00009C100000}"/>
    <cellStyle name="Обычный 2 3 4 4 7" xfId="2397" xr:uid="{00000000-0005-0000-0000-00009D100000}"/>
    <cellStyle name="Обычный 2 3 4 4 7 2" xfId="6248" xr:uid="{00000000-0005-0000-0000-00009E100000}"/>
    <cellStyle name="Обычный 2 3 4 4 8" xfId="2693" xr:uid="{00000000-0005-0000-0000-00009F100000}"/>
    <cellStyle name="Обычный 2 3 4 4 8 2" xfId="6544" xr:uid="{00000000-0005-0000-0000-0000A0100000}"/>
    <cellStyle name="Обычный 2 3 4 4 9" xfId="2989" xr:uid="{00000000-0005-0000-0000-0000A1100000}"/>
    <cellStyle name="Обычный 2 3 4 4 9 2" xfId="6840" xr:uid="{00000000-0005-0000-0000-0000A2100000}"/>
    <cellStyle name="Обычный 2 3 4 5" xfId="725" xr:uid="{00000000-0005-0000-0000-0000A3100000}"/>
    <cellStyle name="Обычный 2 3 4 5 2" xfId="8499" xr:uid="{00000000-0005-0000-0000-0000A4100000}"/>
    <cellStyle name="Обычный 2 3 4 5 3" xfId="4620" xr:uid="{00000000-0005-0000-0000-0000A5100000}"/>
    <cellStyle name="Обычный 2 3 4 6" xfId="867" xr:uid="{00000000-0005-0000-0000-0000A6100000}"/>
    <cellStyle name="Обычный 2 3 4 6 2" xfId="8615" xr:uid="{00000000-0005-0000-0000-0000A7100000}"/>
    <cellStyle name="Обычный 2 3 4 6 3" xfId="4916" xr:uid="{00000000-0005-0000-0000-0000A8100000}"/>
    <cellStyle name="Обычный 2 3 4 7" xfId="1373" xr:uid="{00000000-0005-0000-0000-0000A9100000}"/>
    <cellStyle name="Обычный 2 3 4 7 2" xfId="5212" xr:uid="{00000000-0005-0000-0000-0000AA100000}"/>
    <cellStyle name="Обычный 2 3 4 8" xfId="1662" xr:uid="{00000000-0005-0000-0000-0000AB100000}"/>
    <cellStyle name="Обычный 2 3 4 8 2" xfId="5508" xr:uid="{00000000-0005-0000-0000-0000AC100000}"/>
    <cellStyle name="Обычный 2 3 4 9" xfId="1955" xr:uid="{00000000-0005-0000-0000-0000AD100000}"/>
    <cellStyle name="Обычный 2 3 4 9 2" xfId="5804" xr:uid="{00000000-0005-0000-0000-0000AE100000}"/>
    <cellStyle name="Обычный 2 3 5" xfId="145" xr:uid="{00000000-0005-0000-0000-0000AF100000}"/>
    <cellStyle name="Обычный 2 3 5 10" xfId="2867" xr:uid="{00000000-0005-0000-0000-0000B0100000}"/>
    <cellStyle name="Обычный 2 3 5 10 2" xfId="6718" xr:uid="{00000000-0005-0000-0000-0000B1100000}"/>
    <cellStyle name="Обычный 2 3 5 11" xfId="3163" xr:uid="{00000000-0005-0000-0000-0000B2100000}"/>
    <cellStyle name="Обычный 2 3 5 11 2" xfId="7014" xr:uid="{00000000-0005-0000-0000-0000B3100000}"/>
    <cellStyle name="Обычный 2 3 5 12" xfId="3459" xr:uid="{00000000-0005-0000-0000-0000B4100000}"/>
    <cellStyle name="Обычный 2 3 5 12 2" xfId="7310" xr:uid="{00000000-0005-0000-0000-0000B5100000}"/>
    <cellStyle name="Обычный 2 3 5 13" xfId="3755" xr:uid="{00000000-0005-0000-0000-0000B6100000}"/>
    <cellStyle name="Обычный 2 3 5 13 2" xfId="7606" xr:uid="{00000000-0005-0000-0000-0000B7100000}"/>
    <cellStyle name="Обычный 2 3 5 14" xfId="4051" xr:uid="{00000000-0005-0000-0000-0000B8100000}"/>
    <cellStyle name="Обычный 2 3 5 14 2" xfId="7902" xr:uid="{00000000-0005-0000-0000-0000B9100000}"/>
    <cellStyle name="Обычный 2 3 5 15" xfId="8200" xr:uid="{00000000-0005-0000-0000-0000BA100000}"/>
    <cellStyle name="Обычный 2 3 5 16" xfId="4348" xr:uid="{00000000-0005-0000-0000-0000BB100000}"/>
    <cellStyle name="Обычный 2 3 5 2" xfId="248" xr:uid="{00000000-0005-0000-0000-0000BC100000}"/>
    <cellStyle name="Обычный 2 3 5 2 10" xfId="3311" xr:uid="{00000000-0005-0000-0000-0000BD100000}"/>
    <cellStyle name="Обычный 2 3 5 2 10 2" xfId="7162" xr:uid="{00000000-0005-0000-0000-0000BE100000}"/>
    <cellStyle name="Обычный 2 3 5 2 11" xfId="3607" xr:uid="{00000000-0005-0000-0000-0000BF100000}"/>
    <cellStyle name="Обычный 2 3 5 2 11 2" xfId="7458" xr:uid="{00000000-0005-0000-0000-0000C0100000}"/>
    <cellStyle name="Обычный 2 3 5 2 12" xfId="3903" xr:uid="{00000000-0005-0000-0000-0000C1100000}"/>
    <cellStyle name="Обычный 2 3 5 2 12 2" xfId="7754" xr:uid="{00000000-0005-0000-0000-0000C2100000}"/>
    <cellStyle name="Обычный 2 3 5 2 13" xfId="4199" xr:uid="{00000000-0005-0000-0000-0000C3100000}"/>
    <cellStyle name="Обычный 2 3 5 2 13 2" xfId="8050" xr:uid="{00000000-0005-0000-0000-0000C4100000}"/>
    <cellStyle name="Обычный 2 3 5 2 14" xfId="8301" xr:uid="{00000000-0005-0000-0000-0000C5100000}"/>
    <cellStyle name="Обычный 2 3 5 2 15" xfId="4498" xr:uid="{00000000-0005-0000-0000-0000C6100000}"/>
    <cellStyle name="Обычный 2 3 5 2 2" xfId="868" xr:uid="{00000000-0005-0000-0000-0000C7100000}"/>
    <cellStyle name="Обычный 2 3 5 2 2 2" xfId="8616" xr:uid="{00000000-0005-0000-0000-0000C8100000}"/>
    <cellStyle name="Обычный 2 3 5 2 2 3" xfId="4794" xr:uid="{00000000-0005-0000-0000-0000C9100000}"/>
    <cellStyle name="Обычный 2 3 5 2 3" xfId="1257" xr:uid="{00000000-0005-0000-0000-0000CA100000}"/>
    <cellStyle name="Обычный 2 3 5 2 3 2" xfId="5090" xr:uid="{00000000-0005-0000-0000-0000CB100000}"/>
    <cellStyle name="Обычный 2 3 5 2 4" xfId="1543" xr:uid="{00000000-0005-0000-0000-0000CC100000}"/>
    <cellStyle name="Обычный 2 3 5 2 4 2" xfId="5386" xr:uid="{00000000-0005-0000-0000-0000CD100000}"/>
    <cellStyle name="Обычный 2 3 5 2 5" xfId="1835" xr:uid="{00000000-0005-0000-0000-0000CE100000}"/>
    <cellStyle name="Обычный 2 3 5 2 5 2" xfId="5682" xr:uid="{00000000-0005-0000-0000-0000CF100000}"/>
    <cellStyle name="Обычный 2 3 5 2 6" xfId="2128" xr:uid="{00000000-0005-0000-0000-0000D0100000}"/>
    <cellStyle name="Обычный 2 3 5 2 6 2" xfId="5978" xr:uid="{00000000-0005-0000-0000-0000D1100000}"/>
    <cellStyle name="Обычный 2 3 5 2 7" xfId="2423" xr:uid="{00000000-0005-0000-0000-0000D2100000}"/>
    <cellStyle name="Обычный 2 3 5 2 7 2" xfId="6274" xr:uid="{00000000-0005-0000-0000-0000D3100000}"/>
    <cellStyle name="Обычный 2 3 5 2 8" xfId="2719" xr:uid="{00000000-0005-0000-0000-0000D4100000}"/>
    <cellStyle name="Обычный 2 3 5 2 8 2" xfId="6570" xr:uid="{00000000-0005-0000-0000-0000D5100000}"/>
    <cellStyle name="Обычный 2 3 5 2 9" xfId="3015" xr:uid="{00000000-0005-0000-0000-0000D6100000}"/>
    <cellStyle name="Обычный 2 3 5 2 9 2" xfId="6866" xr:uid="{00000000-0005-0000-0000-0000D7100000}"/>
    <cellStyle name="Обычный 2 3 5 3" xfId="349" xr:uid="{00000000-0005-0000-0000-0000D8100000}"/>
    <cellStyle name="Обычный 2 3 5 3 2" xfId="869" xr:uid="{00000000-0005-0000-0000-0000D9100000}"/>
    <cellStyle name="Обычный 2 3 5 3 3" xfId="8401" xr:uid="{00000000-0005-0000-0000-0000DA100000}"/>
    <cellStyle name="Обычный 2 3 5 3 4" xfId="4646" xr:uid="{00000000-0005-0000-0000-0000DB100000}"/>
    <cellStyle name="Обычный 2 3 5 4" xfId="870" xr:uid="{00000000-0005-0000-0000-0000DC100000}"/>
    <cellStyle name="Обычный 2 3 5 4 2" xfId="8617" xr:uid="{00000000-0005-0000-0000-0000DD100000}"/>
    <cellStyle name="Обычный 2 3 5 4 3" xfId="4942" xr:uid="{00000000-0005-0000-0000-0000DE100000}"/>
    <cellStyle name="Обычный 2 3 5 5" xfId="1399" xr:uid="{00000000-0005-0000-0000-0000DF100000}"/>
    <cellStyle name="Обычный 2 3 5 5 2" xfId="5238" xr:uid="{00000000-0005-0000-0000-0000E0100000}"/>
    <cellStyle name="Обычный 2 3 5 6" xfId="1688" xr:uid="{00000000-0005-0000-0000-0000E1100000}"/>
    <cellStyle name="Обычный 2 3 5 6 2" xfId="5534" xr:uid="{00000000-0005-0000-0000-0000E2100000}"/>
    <cellStyle name="Обычный 2 3 5 7" xfId="1981" xr:uid="{00000000-0005-0000-0000-0000E3100000}"/>
    <cellStyle name="Обычный 2 3 5 7 2" xfId="5830" xr:uid="{00000000-0005-0000-0000-0000E4100000}"/>
    <cellStyle name="Обычный 2 3 5 8" xfId="2275" xr:uid="{00000000-0005-0000-0000-0000E5100000}"/>
    <cellStyle name="Обычный 2 3 5 8 2" xfId="6126" xr:uid="{00000000-0005-0000-0000-0000E6100000}"/>
    <cellStyle name="Обычный 2 3 5 9" xfId="2571" xr:uid="{00000000-0005-0000-0000-0000E7100000}"/>
    <cellStyle name="Обычный 2 3 5 9 2" xfId="6422" xr:uid="{00000000-0005-0000-0000-0000E8100000}"/>
    <cellStyle name="Обычный 2 3 6" xfId="198" xr:uid="{00000000-0005-0000-0000-0000E9100000}"/>
    <cellStyle name="Обычный 2 3 6 10" xfId="2917" xr:uid="{00000000-0005-0000-0000-0000EA100000}"/>
    <cellStyle name="Обычный 2 3 6 10 2" xfId="6768" xr:uid="{00000000-0005-0000-0000-0000EB100000}"/>
    <cellStyle name="Обычный 2 3 6 11" xfId="3213" xr:uid="{00000000-0005-0000-0000-0000EC100000}"/>
    <cellStyle name="Обычный 2 3 6 11 2" xfId="7064" xr:uid="{00000000-0005-0000-0000-0000ED100000}"/>
    <cellStyle name="Обычный 2 3 6 12" xfId="3509" xr:uid="{00000000-0005-0000-0000-0000EE100000}"/>
    <cellStyle name="Обычный 2 3 6 12 2" xfId="7360" xr:uid="{00000000-0005-0000-0000-0000EF100000}"/>
    <cellStyle name="Обычный 2 3 6 13" xfId="3805" xr:uid="{00000000-0005-0000-0000-0000F0100000}"/>
    <cellStyle name="Обычный 2 3 6 13 2" xfId="7656" xr:uid="{00000000-0005-0000-0000-0000F1100000}"/>
    <cellStyle name="Обычный 2 3 6 14" xfId="4101" xr:uid="{00000000-0005-0000-0000-0000F2100000}"/>
    <cellStyle name="Обычный 2 3 6 14 2" xfId="7952" xr:uid="{00000000-0005-0000-0000-0000F3100000}"/>
    <cellStyle name="Обычный 2 3 6 15" xfId="8251" xr:uid="{00000000-0005-0000-0000-0000F4100000}"/>
    <cellStyle name="Обычный 2 3 6 16" xfId="4399" xr:uid="{00000000-0005-0000-0000-0000F5100000}"/>
    <cellStyle name="Обычный 2 3 6 2" xfId="871" xr:uid="{00000000-0005-0000-0000-0000F6100000}"/>
    <cellStyle name="Обычный 2 3 6 2 10" xfId="3361" xr:uid="{00000000-0005-0000-0000-0000F7100000}"/>
    <cellStyle name="Обычный 2 3 6 2 10 2" xfId="7212" xr:uid="{00000000-0005-0000-0000-0000F8100000}"/>
    <cellStyle name="Обычный 2 3 6 2 11" xfId="3657" xr:uid="{00000000-0005-0000-0000-0000F9100000}"/>
    <cellStyle name="Обычный 2 3 6 2 11 2" xfId="7508" xr:uid="{00000000-0005-0000-0000-0000FA100000}"/>
    <cellStyle name="Обычный 2 3 6 2 12" xfId="3953" xr:uid="{00000000-0005-0000-0000-0000FB100000}"/>
    <cellStyle name="Обычный 2 3 6 2 12 2" xfId="7804" xr:uid="{00000000-0005-0000-0000-0000FC100000}"/>
    <cellStyle name="Обычный 2 3 6 2 13" xfId="4249" xr:uid="{00000000-0005-0000-0000-0000FD100000}"/>
    <cellStyle name="Обычный 2 3 6 2 13 2" xfId="8100" xr:uid="{00000000-0005-0000-0000-0000FE100000}"/>
    <cellStyle name="Обычный 2 3 6 2 14" xfId="8618" xr:uid="{00000000-0005-0000-0000-0000FF100000}"/>
    <cellStyle name="Обычный 2 3 6 2 15" xfId="4548" xr:uid="{00000000-0005-0000-0000-000000110000}"/>
    <cellStyle name="Обычный 2 3 6 2 2" xfId="1116" xr:uid="{00000000-0005-0000-0000-000001110000}"/>
    <cellStyle name="Обычный 2 3 6 2 2 2" xfId="4844" xr:uid="{00000000-0005-0000-0000-000002110000}"/>
    <cellStyle name="Обычный 2 3 6 2 3" xfId="1305" xr:uid="{00000000-0005-0000-0000-000003110000}"/>
    <cellStyle name="Обычный 2 3 6 2 3 2" xfId="5140" xr:uid="{00000000-0005-0000-0000-000004110000}"/>
    <cellStyle name="Обычный 2 3 6 2 4" xfId="1592" xr:uid="{00000000-0005-0000-0000-000005110000}"/>
    <cellStyle name="Обычный 2 3 6 2 4 2" xfId="5436" xr:uid="{00000000-0005-0000-0000-000006110000}"/>
    <cellStyle name="Обычный 2 3 6 2 5" xfId="1885" xr:uid="{00000000-0005-0000-0000-000007110000}"/>
    <cellStyle name="Обычный 2 3 6 2 5 2" xfId="5732" xr:uid="{00000000-0005-0000-0000-000008110000}"/>
    <cellStyle name="Обычный 2 3 6 2 6" xfId="2178" xr:uid="{00000000-0005-0000-0000-000009110000}"/>
    <cellStyle name="Обычный 2 3 6 2 6 2" xfId="6028" xr:uid="{00000000-0005-0000-0000-00000A110000}"/>
    <cellStyle name="Обычный 2 3 6 2 7" xfId="2473" xr:uid="{00000000-0005-0000-0000-00000B110000}"/>
    <cellStyle name="Обычный 2 3 6 2 7 2" xfId="6324" xr:uid="{00000000-0005-0000-0000-00000C110000}"/>
    <cellStyle name="Обычный 2 3 6 2 8" xfId="2769" xr:uid="{00000000-0005-0000-0000-00000D110000}"/>
    <cellStyle name="Обычный 2 3 6 2 8 2" xfId="6620" xr:uid="{00000000-0005-0000-0000-00000E110000}"/>
    <cellStyle name="Обычный 2 3 6 2 9" xfId="3065" xr:uid="{00000000-0005-0000-0000-00000F110000}"/>
    <cellStyle name="Обычный 2 3 6 2 9 2" xfId="6916" xr:uid="{00000000-0005-0000-0000-000010110000}"/>
    <cellStyle name="Обычный 2 3 6 3" xfId="1069" xr:uid="{00000000-0005-0000-0000-000011110000}"/>
    <cellStyle name="Обычный 2 3 6 3 2" xfId="4696" xr:uid="{00000000-0005-0000-0000-000012110000}"/>
    <cellStyle name="Обычный 2 3 6 4" xfId="1163" xr:uid="{00000000-0005-0000-0000-000013110000}"/>
    <cellStyle name="Обычный 2 3 6 4 2" xfId="4992" xr:uid="{00000000-0005-0000-0000-000014110000}"/>
    <cellStyle name="Обычный 2 3 6 5" xfId="1446" xr:uid="{00000000-0005-0000-0000-000015110000}"/>
    <cellStyle name="Обычный 2 3 6 5 2" xfId="5288" xr:uid="{00000000-0005-0000-0000-000016110000}"/>
    <cellStyle name="Обычный 2 3 6 6" xfId="1737" xr:uid="{00000000-0005-0000-0000-000017110000}"/>
    <cellStyle name="Обычный 2 3 6 6 2" xfId="5584" xr:uid="{00000000-0005-0000-0000-000018110000}"/>
    <cellStyle name="Обычный 2 3 6 7" xfId="2030" xr:uid="{00000000-0005-0000-0000-000019110000}"/>
    <cellStyle name="Обычный 2 3 6 7 2" xfId="5880" xr:uid="{00000000-0005-0000-0000-00001A110000}"/>
    <cellStyle name="Обычный 2 3 6 8" xfId="2325" xr:uid="{00000000-0005-0000-0000-00001B110000}"/>
    <cellStyle name="Обычный 2 3 6 8 2" xfId="6176" xr:uid="{00000000-0005-0000-0000-00001C110000}"/>
    <cellStyle name="Обычный 2 3 6 9" xfId="2621" xr:uid="{00000000-0005-0000-0000-00001D110000}"/>
    <cellStyle name="Обычный 2 3 6 9 2" xfId="6472" xr:uid="{00000000-0005-0000-0000-00001E110000}"/>
    <cellStyle name="Обычный 2 3 7" xfId="299" xr:uid="{00000000-0005-0000-0000-00001F110000}"/>
    <cellStyle name="Обычный 2 3 7 10" xfId="3263" xr:uid="{00000000-0005-0000-0000-000020110000}"/>
    <cellStyle name="Обычный 2 3 7 10 2" xfId="7114" xr:uid="{00000000-0005-0000-0000-000021110000}"/>
    <cellStyle name="Обычный 2 3 7 11" xfId="3559" xr:uid="{00000000-0005-0000-0000-000022110000}"/>
    <cellStyle name="Обычный 2 3 7 11 2" xfId="7410" xr:uid="{00000000-0005-0000-0000-000023110000}"/>
    <cellStyle name="Обычный 2 3 7 12" xfId="3855" xr:uid="{00000000-0005-0000-0000-000024110000}"/>
    <cellStyle name="Обычный 2 3 7 12 2" xfId="7706" xr:uid="{00000000-0005-0000-0000-000025110000}"/>
    <cellStyle name="Обычный 2 3 7 13" xfId="4151" xr:uid="{00000000-0005-0000-0000-000026110000}"/>
    <cellStyle name="Обычный 2 3 7 13 2" xfId="8002" xr:uid="{00000000-0005-0000-0000-000027110000}"/>
    <cellStyle name="Обычный 2 3 7 14" xfId="8351" xr:uid="{00000000-0005-0000-0000-000028110000}"/>
    <cellStyle name="Обычный 2 3 7 15" xfId="4450" xr:uid="{00000000-0005-0000-0000-000029110000}"/>
    <cellStyle name="Обычный 2 3 7 2" xfId="872" xr:uid="{00000000-0005-0000-0000-00002A110000}"/>
    <cellStyle name="Обычный 2 3 7 2 2" xfId="8619" xr:uid="{00000000-0005-0000-0000-00002B110000}"/>
    <cellStyle name="Обычный 2 3 7 2 3" xfId="4746" xr:uid="{00000000-0005-0000-0000-00002C110000}"/>
    <cellStyle name="Обычный 2 3 7 3" xfId="1210" xr:uid="{00000000-0005-0000-0000-00002D110000}"/>
    <cellStyle name="Обычный 2 3 7 3 2" xfId="5042" xr:uid="{00000000-0005-0000-0000-00002E110000}"/>
    <cellStyle name="Обычный 2 3 7 4" xfId="1495" xr:uid="{00000000-0005-0000-0000-00002F110000}"/>
    <cellStyle name="Обычный 2 3 7 4 2" xfId="5338" xr:uid="{00000000-0005-0000-0000-000030110000}"/>
    <cellStyle name="Обычный 2 3 7 5" xfId="1787" xr:uid="{00000000-0005-0000-0000-000031110000}"/>
    <cellStyle name="Обычный 2 3 7 5 2" xfId="5634" xr:uid="{00000000-0005-0000-0000-000032110000}"/>
    <cellStyle name="Обычный 2 3 7 6" xfId="2080" xr:uid="{00000000-0005-0000-0000-000033110000}"/>
    <cellStyle name="Обычный 2 3 7 6 2" xfId="5930" xr:uid="{00000000-0005-0000-0000-000034110000}"/>
    <cellStyle name="Обычный 2 3 7 7" xfId="2375" xr:uid="{00000000-0005-0000-0000-000035110000}"/>
    <cellStyle name="Обычный 2 3 7 7 2" xfId="6226" xr:uid="{00000000-0005-0000-0000-000036110000}"/>
    <cellStyle name="Обычный 2 3 7 8" xfId="2671" xr:uid="{00000000-0005-0000-0000-000037110000}"/>
    <cellStyle name="Обычный 2 3 7 8 2" xfId="6522" xr:uid="{00000000-0005-0000-0000-000038110000}"/>
    <cellStyle name="Обычный 2 3 7 9" xfId="2967" xr:uid="{00000000-0005-0000-0000-000039110000}"/>
    <cellStyle name="Обычный 2 3 7 9 2" xfId="6818" xr:uid="{00000000-0005-0000-0000-00003A110000}"/>
    <cellStyle name="Обычный 2 3 8" xfId="399" xr:uid="{00000000-0005-0000-0000-00003B110000}"/>
    <cellStyle name="Обычный 2 3 8 2" xfId="8446" xr:uid="{00000000-0005-0000-0000-00003C110000}"/>
    <cellStyle name="Обычный 2 3 8 3" xfId="4598" xr:uid="{00000000-0005-0000-0000-00003D110000}"/>
    <cellStyle name="Обычный 2 3 9" xfId="873" xr:uid="{00000000-0005-0000-0000-00003E110000}"/>
    <cellStyle name="Обычный 2 3 9 2" xfId="8620" xr:uid="{00000000-0005-0000-0000-00003F110000}"/>
    <cellStyle name="Обычный 2 3 9 3" xfId="4894" xr:uid="{00000000-0005-0000-0000-000040110000}"/>
    <cellStyle name="Обычный 2 4" xfId="67" xr:uid="{00000000-0005-0000-0000-000041110000}"/>
    <cellStyle name="Обычный 2 4 2" xfId="608" xr:uid="{00000000-0005-0000-0000-000042110000}"/>
    <cellStyle name="Обычный 2 4 3" xfId="1035" xr:uid="{00000000-0005-0000-0000-000043110000}"/>
    <cellStyle name="Обычный 2 4 4" xfId="8860" xr:uid="{00000000-0005-0000-0000-000044110000}"/>
    <cellStyle name="Обычный 2 5" xfId="68" xr:uid="{00000000-0005-0000-0000-000045110000}"/>
    <cellStyle name="Обычный 2 5 2" xfId="615" xr:uid="{00000000-0005-0000-0000-000046110000}"/>
    <cellStyle name="Обычный 2 6" xfId="69" xr:uid="{00000000-0005-0000-0000-000047110000}"/>
    <cellStyle name="Обычный 2 6 2" xfId="618" xr:uid="{00000000-0005-0000-0000-000048110000}"/>
    <cellStyle name="Обычный 2 7" xfId="70" xr:uid="{00000000-0005-0000-0000-000049110000}"/>
    <cellStyle name="Обычный 2 7 2" xfId="604" xr:uid="{00000000-0005-0000-0000-00004A110000}"/>
    <cellStyle name="Обычный 2 7 3" xfId="8831" xr:uid="{00000000-0005-0000-0000-00004B110000}"/>
    <cellStyle name="Обычный 2 8" xfId="71" xr:uid="{00000000-0005-0000-0000-00004C110000}"/>
    <cellStyle name="Обычный 2 8 2" xfId="659" xr:uid="{00000000-0005-0000-0000-00004D110000}"/>
    <cellStyle name="Обычный 2 8 3" xfId="8827" xr:uid="{00000000-0005-0000-0000-00004E110000}"/>
    <cellStyle name="Обычный 2 9" xfId="72" xr:uid="{00000000-0005-0000-0000-00004F110000}"/>
    <cellStyle name="Обычный 2 9 2" xfId="661" xr:uid="{00000000-0005-0000-0000-000050110000}"/>
    <cellStyle name="Обычный 2_kes ua-propoz" xfId="611" xr:uid="{00000000-0005-0000-0000-000051110000}"/>
    <cellStyle name="Обычный 20" xfId="8810" xr:uid="{00000000-0005-0000-0000-000052110000}"/>
    <cellStyle name="Обычный 20 2" xfId="8841" xr:uid="{00000000-0005-0000-0000-000053110000}"/>
    <cellStyle name="Обычный 21" xfId="8812" xr:uid="{00000000-0005-0000-0000-000054110000}"/>
    <cellStyle name="Обычный 21 2" xfId="8843" xr:uid="{00000000-0005-0000-0000-000055110000}"/>
    <cellStyle name="Обычный 22" xfId="658" xr:uid="{00000000-0005-0000-0000-000056110000}"/>
    <cellStyle name="Обычный 22 2" xfId="705" xr:uid="{00000000-0005-0000-0000-000057110000}"/>
    <cellStyle name="Обычный 22 2 2" xfId="8845" xr:uid="{00000000-0005-0000-0000-000058110000}"/>
    <cellStyle name="Обычный 22 3" xfId="8821" xr:uid="{00000000-0005-0000-0000-000059110000}"/>
    <cellStyle name="Обычный 23" xfId="8813" xr:uid="{00000000-0005-0000-0000-00005A110000}"/>
    <cellStyle name="Обычный 23 2" xfId="8846" xr:uid="{00000000-0005-0000-0000-00005B110000}"/>
    <cellStyle name="Обычный 23 3" xfId="8823" xr:uid="{00000000-0005-0000-0000-00005C110000}"/>
    <cellStyle name="Обычный 24" xfId="8814" xr:uid="{00000000-0005-0000-0000-00005D110000}"/>
    <cellStyle name="Обычный 24 2" xfId="8847" xr:uid="{00000000-0005-0000-0000-00005E110000}"/>
    <cellStyle name="Обычный 25" xfId="8815" xr:uid="{00000000-0005-0000-0000-00005F110000}"/>
    <cellStyle name="Обычный 25 2" xfId="8849" xr:uid="{00000000-0005-0000-0000-000060110000}"/>
    <cellStyle name="Обычный 26" xfId="404" xr:uid="{00000000-0005-0000-0000-000061110000}"/>
    <cellStyle name="Обычный 26 2" xfId="8851" xr:uid="{00000000-0005-0000-0000-000062110000}"/>
    <cellStyle name="Обычный 27" xfId="8816" xr:uid="{00000000-0005-0000-0000-000063110000}"/>
    <cellStyle name="Обычный 27 2" xfId="8826" xr:uid="{00000000-0005-0000-0000-000064110000}"/>
    <cellStyle name="Обычный 28" xfId="8817" xr:uid="{00000000-0005-0000-0000-000065110000}"/>
    <cellStyle name="Обычный 29" xfId="8818" xr:uid="{00000000-0005-0000-0000-000066110000}"/>
    <cellStyle name="Обычный 3" xfId="2" xr:uid="{00000000-0005-0000-0000-000067110000}"/>
    <cellStyle name="Обычный 3 10" xfId="74" xr:uid="{00000000-0005-0000-0000-000068110000}"/>
    <cellStyle name="Обычный 3 10 10" xfId="1938" xr:uid="{00000000-0005-0000-0000-000069110000}"/>
    <cellStyle name="Обычный 3 10 10 2" xfId="5786" xr:uid="{00000000-0005-0000-0000-00006A110000}"/>
    <cellStyle name="Обычный 3 10 11" xfId="2232" xr:uid="{00000000-0005-0000-0000-00006B110000}"/>
    <cellStyle name="Обычный 3 10 11 2" xfId="6082" xr:uid="{00000000-0005-0000-0000-00006C110000}"/>
    <cellStyle name="Обычный 3 10 12" xfId="2527" xr:uid="{00000000-0005-0000-0000-00006D110000}"/>
    <cellStyle name="Обычный 3 10 12 2" xfId="6378" xr:uid="{00000000-0005-0000-0000-00006E110000}"/>
    <cellStyle name="Обычный 3 10 13" xfId="2823" xr:uid="{00000000-0005-0000-0000-00006F110000}"/>
    <cellStyle name="Обычный 3 10 13 2" xfId="6674" xr:uid="{00000000-0005-0000-0000-000070110000}"/>
    <cellStyle name="Обычный 3 10 14" xfId="3119" xr:uid="{00000000-0005-0000-0000-000071110000}"/>
    <cellStyle name="Обычный 3 10 14 2" xfId="6970" xr:uid="{00000000-0005-0000-0000-000072110000}"/>
    <cellStyle name="Обычный 3 10 15" xfId="3415" xr:uid="{00000000-0005-0000-0000-000073110000}"/>
    <cellStyle name="Обычный 3 10 15 2" xfId="7266" xr:uid="{00000000-0005-0000-0000-000074110000}"/>
    <cellStyle name="Обычный 3 10 16" xfId="3711" xr:uid="{00000000-0005-0000-0000-000075110000}"/>
    <cellStyle name="Обычный 3 10 16 2" xfId="7562" xr:uid="{00000000-0005-0000-0000-000076110000}"/>
    <cellStyle name="Обычный 3 10 17" xfId="4007" xr:uid="{00000000-0005-0000-0000-000077110000}"/>
    <cellStyle name="Обычный 3 10 17 2" xfId="7858" xr:uid="{00000000-0005-0000-0000-000078110000}"/>
    <cellStyle name="Обычный 3 10 18" xfId="8154" xr:uid="{00000000-0005-0000-0000-000079110000}"/>
    <cellStyle name="Обычный 3 10 19" xfId="4303" xr:uid="{00000000-0005-0000-0000-00007A110000}"/>
    <cellStyle name="Обычный 3 10 2" xfId="118" xr:uid="{00000000-0005-0000-0000-00007B110000}"/>
    <cellStyle name="Обычный 3 10 2 10" xfId="2253" xr:uid="{00000000-0005-0000-0000-00007C110000}"/>
    <cellStyle name="Обычный 3 10 2 10 2" xfId="6104" xr:uid="{00000000-0005-0000-0000-00007D110000}"/>
    <cellStyle name="Обычный 3 10 2 11" xfId="2549" xr:uid="{00000000-0005-0000-0000-00007E110000}"/>
    <cellStyle name="Обычный 3 10 2 11 2" xfId="6400" xr:uid="{00000000-0005-0000-0000-00007F110000}"/>
    <cellStyle name="Обычный 3 10 2 12" xfId="2845" xr:uid="{00000000-0005-0000-0000-000080110000}"/>
    <cellStyle name="Обычный 3 10 2 12 2" xfId="6696" xr:uid="{00000000-0005-0000-0000-000081110000}"/>
    <cellStyle name="Обычный 3 10 2 13" xfId="3141" xr:uid="{00000000-0005-0000-0000-000082110000}"/>
    <cellStyle name="Обычный 3 10 2 13 2" xfId="6992" xr:uid="{00000000-0005-0000-0000-000083110000}"/>
    <cellStyle name="Обычный 3 10 2 14" xfId="3437" xr:uid="{00000000-0005-0000-0000-000084110000}"/>
    <cellStyle name="Обычный 3 10 2 14 2" xfId="7288" xr:uid="{00000000-0005-0000-0000-000085110000}"/>
    <cellStyle name="Обычный 3 10 2 15" xfId="3733" xr:uid="{00000000-0005-0000-0000-000086110000}"/>
    <cellStyle name="Обычный 3 10 2 15 2" xfId="7584" xr:uid="{00000000-0005-0000-0000-000087110000}"/>
    <cellStyle name="Обычный 3 10 2 16" xfId="4029" xr:uid="{00000000-0005-0000-0000-000088110000}"/>
    <cellStyle name="Обычный 3 10 2 16 2" xfId="7880" xr:uid="{00000000-0005-0000-0000-000089110000}"/>
    <cellStyle name="Обычный 3 10 2 17" xfId="8176" xr:uid="{00000000-0005-0000-0000-00008A110000}"/>
    <cellStyle name="Обычный 3 10 2 18" xfId="4325" xr:uid="{00000000-0005-0000-0000-00008B110000}"/>
    <cellStyle name="Обычный 3 10 2 2" xfId="171" xr:uid="{00000000-0005-0000-0000-00008C110000}"/>
    <cellStyle name="Обычный 3 10 2 2 10" xfId="2893" xr:uid="{00000000-0005-0000-0000-00008D110000}"/>
    <cellStyle name="Обычный 3 10 2 2 10 2" xfId="6744" xr:uid="{00000000-0005-0000-0000-00008E110000}"/>
    <cellStyle name="Обычный 3 10 2 2 11" xfId="3189" xr:uid="{00000000-0005-0000-0000-00008F110000}"/>
    <cellStyle name="Обычный 3 10 2 2 11 2" xfId="7040" xr:uid="{00000000-0005-0000-0000-000090110000}"/>
    <cellStyle name="Обычный 3 10 2 2 12" xfId="3485" xr:uid="{00000000-0005-0000-0000-000091110000}"/>
    <cellStyle name="Обычный 3 10 2 2 12 2" xfId="7336" xr:uid="{00000000-0005-0000-0000-000092110000}"/>
    <cellStyle name="Обычный 3 10 2 2 13" xfId="3781" xr:uid="{00000000-0005-0000-0000-000093110000}"/>
    <cellStyle name="Обычный 3 10 2 2 13 2" xfId="7632" xr:uid="{00000000-0005-0000-0000-000094110000}"/>
    <cellStyle name="Обычный 3 10 2 2 14" xfId="4077" xr:uid="{00000000-0005-0000-0000-000095110000}"/>
    <cellStyle name="Обычный 3 10 2 2 14 2" xfId="7928" xr:uid="{00000000-0005-0000-0000-000096110000}"/>
    <cellStyle name="Обычный 3 10 2 2 15" xfId="8226" xr:uid="{00000000-0005-0000-0000-000097110000}"/>
    <cellStyle name="Обычный 3 10 2 2 16" xfId="4374" xr:uid="{00000000-0005-0000-0000-000098110000}"/>
    <cellStyle name="Обычный 3 10 2 2 2" xfId="274" xr:uid="{00000000-0005-0000-0000-000099110000}"/>
    <cellStyle name="Обычный 3 10 2 2 2 10" xfId="3337" xr:uid="{00000000-0005-0000-0000-00009A110000}"/>
    <cellStyle name="Обычный 3 10 2 2 2 10 2" xfId="7188" xr:uid="{00000000-0005-0000-0000-00009B110000}"/>
    <cellStyle name="Обычный 3 10 2 2 2 11" xfId="3633" xr:uid="{00000000-0005-0000-0000-00009C110000}"/>
    <cellStyle name="Обычный 3 10 2 2 2 11 2" xfId="7484" xr:uid="{00000000-0005-0000-0000-00009D110000}"/>
    <cellStyle name="Обычный 3 10 2 2 2 12" xfId="3929" xr:uid="{00000000-0005-0000-0000-00009E110000}"/>
    <cellStyle name="Обычный 3 10 2 2 2 12 2" xfId="7780" xr:uid="{00000000-0005-0000-0000-00009F110000}"/>
    <cellStyle name="Обычный 3 10 2 2 2 13" xfId="4225" xr:uid="{00000000-0005-0000-0000-0000A0110000}"/>
    <cellStyle name="Обычный 3 10 2 2 2 13 2" xfId="8076" xr:uid="{00000000-0005-0000-0000-0000A1110000}"/>
    <cellStyle name="Обычный 3 10 2 2 2 14" xfId="8327" xr:uid="{00000000-0005-0000-0000-0000A2110000}"/>
    <cellStyle name="Обычный 3 10 2 2 2 15" xfId="4524" xr:uid="{00000000-0005-0000-0000-0000A3110000}"/>
    <cellStyle name="Обычный 3 10 2 2 2 2" xfId="874" xr:uid="{00000000-0005-0000-0000-0000A4110000}"/>
    <cellStyle name="Обычный 3 10 2 2 2 2 2" xfId="8621" xr:uid="{00000000-0005-0000-0000-0000A5110000}"/>
    <cellStyle name="Обычный 3 10 2 2 2 2 3" xfId="4820" xr:uid="{00000000-0005-0000-0000-0000A6110000}"/>
    <cellStyle name="Обычный 3 10 2 2 2 3" xfId="1282" xr:uid="{00000000-0005-0000-0000-0000A7110000}"/>
    <cellStyle name="Обычный 3 10 2 2 2 3 2" xfId="5116" xr:uid="{00000000-0005-0000-0000-0000A8110000}"/>
    <cellStyle name="Обычный 3 10 2 2 2 4" xfId="1568" xr:uid="{00000000-0005-0000-0000-0000A9110000}"/>
    <cellStyle name="Обычный 3 10 2 2 2 4 2" xfId="5412" xr:uid="{00000000-0005-0000-0000-0000AA110000}"/>
    <cellStyle name="Обычный 3 10 2 2 2 5" xfId="1861" xr:uid="{00000000-0005-0000-0000-0000AB110000}"/>
    <cellStyle name="Обычный 3 10 2 2 2 5 2" xfId="5708" xr:uid="{00000000-0005-0000-0000-0000AC110000}"/>
    <cellStyle name="Обычный 3 10 2 2 2 6" xfId="2154" xr:uid="{00000000-0005-0000-0000-0000AD110000}"/>
    <cellStyle name="Обычный 3 10 2 2 2 6 2" xfId="6004" xr:uid="{00000000-0005-0000-0000-0000AE110000}"/>
    <cellStyle name="Обычный 3 10 2 2 2 7" xfId="2449" xr:uid="{00000000-0005-0000-0000-0000AF110000}"/>
    <cellStyle name="Обычный 3 10 2 2 2 7 2" xfId="6300" xr:uid="{00000000-0005-0000-0000-0000B0110000}"/>
    <cellStyle name="Обычный 3 10 2 2 2 8" xfId="2745" xr:uid="{00000000-0005-0000-0000-0000B1110000}"/>
    <cellStyle name="Обычный 3 10 2 2 2 8 2" xfId="6596" xr:uid="{00000000-0005-0000-0000-0000B2110000}"/>
    <cellStyle name="Обычный 3 10 2 2 2 9" xfId="3041" xr:uid="{00000000-0005-0000-0000-0000B3110000}"/>
    <cellStyle name="Обычный 3 10 2 2 2 9 2" xfId="6892" xr:uid="{00000000-0005-0000-0000-0000B4110000}"/>
    <cellStyle name="Обычный 3 10 2 2 3" xfId="375" xr:uid="{00000000-0005-0000-0000-0000B5110000}"/>
    <cellStyle name="Обычный 3 10 2 2 3 2" xfId="875" xr:uid="{00000000-0005-0000-0000-0000B6110000}"/>
    <cellStyle name="Обычный 3 10 2 2 3 3" xfId="8427" xr:uid="{00000000-0005-0000-0000-0000B7110000}"/>
    <cellStyle name="Обычный 3 10 2 2 3 4" xfId="4672" xr:uid="{00000000-0005-0000-0000-0000B8110000}"/>
    <cellStyle name="Обычный 3 10 2 2 4" xfId="876" xr:uid="{00000000-0005-0000-0000-0000B9110000}"/>
    <cellStyle name="Обычный 3 10 2 2 4 2" xfId="8622" xr:uid="{00000000-0005-0000-0000-0000BA110000}"/>
    <cellStyle name="Обычный 3 10 2 2 4 3" xfId="4968" xr:uid="{00000000-0005-0000-0000-0000BB110000}"/>
    <cellStyle name="Обычный 3 10 2 2 5" xfId="1424" xr:uid="{00000000-0005-0000-0000-0000BC110000}"/>
    <cellStyle name="Обычный 3 10 2 2 5 2" xfId="5264" xr:uid="{00000000-0005-0000-0000-0000BD110000}"/>
    <cellStyle name="Обычный 3 10 2 2 6" xfId="1714" xr:uid="{00000000-0005-0000-0000-0000BE110000}"/>
    <cellStyle name="Обычный 3 10 2 2 6 2" xfId="5560" xr:uid="{00000000-0005-0000-0000-0000BF110000}"/>
    <cellStyle name="Обычный 3 10 2 2 7" xfId="2006" xr:uid="{00000000-0005-0000-0000-0000C0110000}"/>
    <cellStyle name="Обычный 3 10 2 2 7 2" xfId="5856" xr:uid="{00000000-0005-0000-0000-0000C1110000}"/>
    <cellStyle name="Обычный 3 10 2 2 8" xfId="2301" xr:uid="{00000000-0005-0000-0000-0000C2110000}"/>
    <cellStyle name="Обычный 3 10 2 2 8 2" xfId="6152" xr:uid="{00000000-0005-0000-0000-0000C3110000}"/>
    <cellStyle name="Обычный 3 10 2 2 9" xfId="2597" xr:uid="{00000000-0005-0000-0000-0000C4110000}"/>
    <cellStyle name="Обычный 3 10 2 2 9 2" xfId="6448" xr:uid="{00000000-0005-0000-0000-0000C5110000}"/>
    <cellStyle name="Обычный 3 10 2 3" xfId="224" xr:uid="{00000000-0005-0000-0000-0000C6110000}"/>
    <cellStyle name="Обычный 3 10 2 3 10" xfId="2943" xr:uid="{00000000-0005-0000-0000-0000C7110000}"/>
    <cellStyle name="Обычный 3 10 2 3 10 2" xfId="6794" xr:uid="{00000000-0005-0000-0000-0000C8110000}"/>
    <cellStyle name="Обычный 3 10 2 3 11" xfId="3239" xr:uid="{00000000-0005-0000-0000-0000C9110000}"/>
    <cellStyle name="Обычный 3 10 2 3 11 2" xfId="7090" xr:uid="{00000000-0005-0000-0000-0000CA110000}"/>
    <cellStyle name="Обычный 3 10 2 3 12" xfId="3535" xr:uid="{00000000-0005-0000-0000-0000CB110000}"/>
    <cellStyle name="Обычный 3 10 2 3 12 2" xfId="7386" xr:uid="{00000000-0005-0000-0000-0000CC110000}"/>
    <cellStyle name="Обычный 3 10 2 3 13" xfId="3831" xr:uid="{00000000-0005-0000-0000-0000CD110000}"/>
    <cellStyle name="Обычный 3 10 2 3 13 2" xfId="7682" xr:uid="{00000000-0005-0000-0000-0000CE110000}"/>
    <cellStyle name="Обычный 3 10 2 3 14" xfId="4127" xr:uid="{00000000-0005-0000-0000-0000CF110000}"/>
    <cellStyle name="Обычный 3 10 2 3 14 2" xfId="7978" xr:uid="{00000000-0005-0000-0000-0000D0110000}"/>
    <cellStyle name="Обычный 3 10 2 3 15" xfId="8277" xr:uid="{00000000-0005-0000-0000-0000D1110000}"/>
    <cellStyle name="Обычный 3 10 2 3 16" xfId="4425" xr:uid="{00000000-0005-0000-0000-0000D2110000}"/>
    <cellStyle name="Обычный 3 10 2 3 2" xfId="877" xr:uid="{00000000-0005-0000-0000-0000D3110000}"/>
    <cellStyle name="Обычный 3 10 2 3 2 10" xfId="3387" xr:uid="{00000000-0005-0000-0000-0000D4110000}"/>
    <cellStyle name="Обычный 3 10 2 3 2 10 2" xfId="7238" xr:uid="{00000000-0005-0000-0000-0000D5110000}"/>
    <cellStyle name="Обычный 3 10 2 3 2 11" xfId="3683" xr:uid="{00000000-0005-0000-0000-0000D6110000}"/>
    <cellStyle name="Обычный 3 10 2 3 2 11 2" xfId="7534" xr:uid="{00000000-0005-0000-0000-0000D7110000}"/>
    <cellStyle name="Обычный 3 10 2 3 2 12" xfId="3979" xr:uid="{00000000-0005-0000-0000-0000D8110000}"/>
    <cellStyle name="Обычный 3 10 2 3 2 12 2" xfId="7830" xr:uid="{00000000-0005-0000-0000-0000D9110000}"/>
    <cellStyle name="Обычный 3 10 2 3 2 13" xfId="4275" xr:uid="{00000000-0005-0000-0000-0000DA110000}"/>
    <cellStyle name="Обычный 3 10 2 3 2 13 2" xfId="8126" xr:uid="{00000000-0005-0000-0000-0000DB110000}"/>
    <cellStyle name="Обычный 3 10 2 3 2 14" xfId="8623" xr:uid="{00000000-0005-0000-0000-0000DC110000}"/>
    <cellStyle name="Обычный 3 10 2 3 2 15" xfId="4574" xr:uid="{00000000-0005-0000-0000-0000DD110000}"/>
    <cellStyle name="Обычный 3 10 2 3 2 2" xfId="1141" xr:uid="{00000000-0005-0000-0000-0000DE110000}"/>
    <cellStyle name="Обычный 3 10 2 3 2 2 2" xfId="4870" xr:uid="{00000000-0005-0000-0000-0000DF110000}"/>
    <cellStyle name="Обычный 3 10 2 3 2 3" xfId="1330" xr:uid="{00000000-0005-0000-0000-0000E0110000}"/>
    <cellStyle name="Обычный 3 10 2 3 2 3 2" xfId="5166" xr:uid="{00000000-0005-0000-0000-0000E1110000}"/>
    <cellStyle name="Обычный 3 10 2 3 2 4" xfId="1617" xr:uid="{00000000-0005-0000-0000-0000E2110000}"/>
    <cellStyle name="Обычный 3 10 2 3 2 4 2" xfId="5462" xr:uid="{00000000-0005-0000-0000-0000E3110000}"/>
    <cellStyle name="Обычный 3 10 2 3 2 5" xfId="1910" xr:uid="{00000000-0005-0000-0000-0000E4110000}"/>
    <cellStyle name="Обычный 3 10 2 3 2 5 2" xfId="5758" xr:uid="{00000000-0005-0000-0000-0000E5110000}"/>
    <cellStyle name="Обычный 3 10 2 3 2 6" xfId="2204" xr:uid="{00000000-0005-0000-0000-0000E6110000}"/>
    <cellStyle name="Обычный 3 10 2 3 2 6 2" xfId="6054" xr:uid="{00000000-0005-0000-0000-0000E7110000}"/>
    <cellStyle name="Обычный 3 10 2 3 2 7" xfId="2499" xr:uid="{00000000-0005-0000-0000-0000E8110000}"/>
    <cellStyle name="Обычный 3 10 2 3 2 7 2" xfId="6350" xr:uid="{00000000-0005-0000-0000-0000E9110000}"/>
    <cellStyle name="Обычный 3 10 2 3 2 8" xfId="2795" xr:uid="{00000000-0005-0000-0000-0000EA110000}"/>
    <cellStyle name="Обычный 3 10 2 3 2 8 2" xfId="6646" xr:uid="{00000000-0005-0000-0000-0000EB110000}"/>
    <cellStyle name="Обычный 3 10 2 3 2 9" xfId="3091" xr:uid="{00000000-0005-0000-0000-0000EC110000}"/>
    <cellStyle name="Обычный 3 10 2 3 2 9 2" xfId="6942" xr:uid="{00000000-0005-0000-0000-0000ED110000}"/>
    <cellStyle name="Обычный 3 10 2 3 3" xfId="1094" xr:uid="{00000000-0005-0000-0000-0000EE110000}"/>
    <cellStyle name="Обычный 3 10 2 3 3 2" xfId="4722" xr:uid="{00000000-0005-0000-0000-0000EF110000}"/>
    <cellStyle name="Обычный 3 10 2 3 4" xfId="1188" xr:uid="{00000000-0005-0000-0000-0000F0110000}"/>
    <cellStyle name="Обычный 3 10 2 3 4 2" xfId="5018" xr:uid="{00000000-0005-0000-0000-0000F1110000}"/>
    <cellStyle name="Обычный 3 10 2 3 5" xfId="1472" xr:uid="{00000000-0005-0000-0000-0000F2110000}"/>
    <cellStyle name="Обычный 3 10 2 3 5 2" xfId="5314" xr:uid="{00000000-0005-0000-0000-0000F3110000}"/>
    <cellStyle name="Обычный 3 10 2 3 6" xfId="1763" xr:uid="{00000000-0005-0000-0000-0000F4110000}"/>
    <cellStyle name="Обычный 3 10 2 3 6 2" xfId="5610" xr:uid="{00000000-0005-0000-0000-0000F5110000}"/>
    <cellStyle name="Обычный 3 10 2 3 7" xfId="2056" xr:uid="{00000000-0005-0000-0000-0000F6110000}"/>
    <cellStyle name="Обычный 3 10 2 3 7 2" xfId="5906" xr:uid="{00000000-0005-0000-0000-0000F7110000}"/>
    <cellStyle name="Обычный 3 10 2 3 8" xfId="2351" xr:uid="{00000000-0005-0000-0000-0000F8110000}"/>
    <cellStyle name="Обычный 3 10 2 3 8 2" xfId="6202" xr:uid="{00000000-0005-0000-0000-0000F9110000}"/>
    <cellStyle name="Обычный 3 10 2 3 9" xfId="2647" xr:uid="{00000000-0005-0000-0000-0000FA110000}"/>
    <cellStyle name="Обычный 3 10 2 3 9 2" xfId="6498" xr:uid="{00000000-0005-0000-0000-0000FB110000}"/>
    <cellStyle name="Обычный 3 10 2 4" xfId="325" xr:uid="{00000000-0005-0000-0000-0000FC110000}"/>
    <cellStyle name="Обычный 3 10 2 4 10" xfId="3289" xr:uid="{00000000-0005-0000-0000-0000FD110000}"/>
    <cellStyle name="Обычный 3 10 2 4 10 2" xfId="7140" xr:uid="{00000000-0005-0000-0000-0000FE110000}"/>
    <cellStyle name="Обычный 3 10 2 4 11" xfId="3585" xr:uid="{00000000-0005-0000-0000-0000FF110000}"/>
    <cellStyle name="Обычный 3 10 2 4 11 2" xfId="7436" xr:uid="{00000000-0005-0000-0000-000000120000}"/>
    <cellStyle name="Обычный 3 10 2 4 12" xfId="3881" xr:uid="{00000000-0005-0000-0000-000001120000}"/>
    <cellStyle name="Обычный 3 10 2 4 12 2" xfId="7732" xr:uid="{00000000-0005-0000-0000-000002120000}"/>
    <cellStyle name="Обычный 3 10 2 4 13" xfId="4177" xr:uid="{00000000-0005-0000-0000-000003120000}"/>
    <cellStyle name="Обычный 3 10 2 4 13 2" xfId="8028" xr:uid="{00000000-0005-0000-0000-000004120000}"/>
    <cellStyle name="Обычный 3 10 2 4 14" xfId="8377" xr:uid="{00000000-0005-0000-0000-000005120000}"/>
    <cellStyle name="Обычный 3 10 2 4 15" xfId="4476" xr:uid="{00000000-0005-0000-0000-000006120000}"/>
    <cellStyle name="Обычный 3 10 2 4 2" xfId="878" xr:uid="{00000000-0005-0000-0000-000007120000}"/>
    <cellStyle name="Обычный 3 10 2 4 2 2" xfId="8624" xr:uid="{00000000-0005-0000-0000-000008120000}"/>
    <cellStyle name="Обычный 3 10 2 4 2 3" xfId="4772" xr:uid="{00000000-0005-0000-0000-000009120000}"/>
    <cellStyle name="Обычный 3 10 2 4 3" xfId="1236" xr:uid="{00000000-0005-0000-0000-00000A120000}"/>
    <cellStyle name="Обычный 3 10 2 4 3 2" xfId="5068" xr:uid="{00000000-0005-0000-0000-00000B120000}"/>
    <cellStyle name="Обычный 3 10 2 4 4" xfId="1521" xr:uid="{00000000-0005-0000-0000-00000C120000}"/>
    <cellStyle name="Обычный 3 10 2 4 4 2" xfId="5364" xr:uid="{00000000-0005-0000-0000-00000D120000}"/>
    <cellStyle name="Обычный 3 10 2 4 5" xfId="1813" xr:uid="{00000000-0005-0000-0000-00000E120000}"/>
    <cellStyle name="Обычный 3 10 2 4 5 2" xfId="5660" xr:uid="{00000000-0005-0000-0000-00000F120000}"/>
    <cellStyle name="Обычный 3 10 2 4 6" xfId="2106" xr:uid="{00000000-0005-0000-0000-000010120000}"/>
    <cellStyle name="Обычный 3 10 2 4 6 2" xfId="5956" xr:uid="{00000000-0005-0000-0000-000011120000}"/>
    <cellStyle name="Обычный 3 10 2 4 7" xfId="2401" xr:uid="{00000000-0005-0000-0000-000012120000}"/>
    <cellStyle name="Обычный 3 10 2 4 7 2" xfId="6252" xr:uid="{00000000-0005-0000-0000-000013120000}"/>
    <cellStyle name="Обычный 3 10 2 4 8" xfId="2697" xr:uid="{00000000-0005-0000-0000-000014120000}"/>
    <cellStyle name="Обычный 3 10 2 4 8 2" xfId="6548" xr:uid="{00000000-0005-0000-0000-000015120000}"/>
    <cellStyle name="Обычный 3 10 2 4 9" xfId="2993" xr:uid="{00000000-0005-0000-0000-000016120000}"/>
    <cellStyle name="Обычный 3 10 2 4 9 2" xfId="6844" xr:uid="{00000000-0005-0000-0000-000017120000}"/>
    <cellStyle name="Обычный 3 10 2 5" xfId="879" xr:uid="{00000000-0005-0000-0000-000018120000}"/>
    <cellStyle name="Обычный 3 10 2 5 2" xfId="8625" xr:uid="{00000000-0005-0000-0000-000019120000}"/>
    <cellStyle name="Обычный 3 10 2 5 3" xfId="4624" xr:uid="{00000000-0005-0000-0000-00001A120000}"/>
    <cellStyle name="Обычный 3 10 2 6" xfId="880" xr:uid="{00000000-0005-0000-0000-00001B120000}"/>
    <cellStyle name="Обычный 3 10 2 6 2" xfId="8626" xr:uid="{00000000-0005-0000-0000-00001C120000}"/>
    <cellStyle name="Обычный 3 10 2 6 3" xfId="4920" xr:uid="{00000000-0005-0000-0000-00001D120000}"/>
    <cellStyle name="Обычный 3 10 2 7" xfId="1377" xr:uid="{00000000-0005-0000-0000-00001E120000}"/>
    <cellStyle name="Обычный 3 10 2 7 2" xfId="5216" xr:uid="{00000000-0005-0000-0000-00001F120000}"/>
    <cellStyle name="Обычный 3 10 2 8" xfId="1666" xr:uid="{00000000-0005-0000-0000-000020120000}"/>
    <cellStyle name="Обычный 3 10 2 8 2" xfId="5512" xr:uid="{00000000-0005-0000-0000-000021120000}"/>
    <cellStyle name="Обычный 3 10 2 9" xfId="1959" xr:uid="{00000000-0005-0000-0000-000022120000}"/>
    <cellStyle name="Обычный 3 10 2 9 2" xfId="5808" xr:uid="{00000000-0005-0000-0000-000023120000}"/>
    <cellStyle name="Обычный 3 10 3" xfId="149" xr:uid="{00000000-0005-0000-0000-000024120000}"/>
    <cellStyle name="Обычный 3 10 3 10" xfId="2871" xr:uid="{00000000-0005-0000-0000-000025120000}"/>
    <cellStyle name="Обычный 3 10 3 10 2" xfId="6722" xr:uid="{00000000-0005-0000-0000-000026120000}"/>
    <cellStyle name="Обычный 3 10 3 11" xfId="3167" xr:uid="{00000000-0005-0000-0000-000027120000}"/>
    <cellStyle name="Обычный 3 10 3 11 2" xfId="7018" xr:uid="{00000000-0005-0000-0000-000028120000}"/>
    <cellStyle name="Обычный 3 10 3 12" xfId="3463" xr:uid="{00000000-0005-0000-0000-000029120000}"/>
    <cellStyle name="Обычный 3 10 3 12 2" xfId="7314" xr:uid="{00000000-0005-0000-0000-00002A120000}"/>
    <cellStyle name="Обычный 3 10 3 13" xfId="3759" xr:uid="{00000000-0005-0000-0000-00002B120000}"/>
    <cellStyle name="Обычный 3 10 3 13 2" xfId="7610" xr:uid="{00000000-0005-0000-0000-00002C120000}"/>
    <cellStyle name="Обычный 3 10 3 14" xfId="4055" xr:uid="{00000000-0005-0000-0000-00002D120000}"/>
    <cellStyle name="Обычный 3 10 3 14 2" xfId="7906" xr:uid="{00000000-0005-0000-0000-00002E120000}"/>
    <cellStyle name="Обычный 3 10 3 15" xfId="8204" xr:uid="{00000000-0005-0000-0000-00002F120000}"/>
    <cellStyle name="Обычный 3 10 3 16" xfId="4352" xr:uid="{00000000-0005-0000-0000-000030120000}"/>
    <cellStyle name="Обычный 3 10 3 2" xfId="252" xr:uid="{00000000-0005-0000-0000-000031120000}"/>
    <cellStyle name="Обычный 3 10 3 2 10" xfId="3315" xr:uid="{00000000-0005-0000-0000-000032120000}"/>
    <cellStyle name="Обычный 3 10 3 2 10 2" xfId="7166" xr:uid="{00000000-0005-0000-0000-000033120000}"/>
    <cellStyle name="Обычный 3 10 3 2 11" xfId="3611" xr:uid="{00000000-0005-0000-0000-000034120000}"/>
    <cellStyle name="Обычный 3 10 3 2 11 2" xfId="7462" xr:uid="{00000000-0005-0000-0000-000035120000}"/>
    <cellStyle name="Обычный 3 10 3 2 12" xfId="3907" xr:uid="{00000000-0005-0000-0000-000036120000}"/>
    <cellStyle name="Обычный 3 10 3 2 12 2" xfId="7758" xr:uid="{00000000-0005-0000-0000-000037120000}"/>
    <cellStyle name="Обычный 3 10 3 2 13" xfId="4203" xr:uid="{00000000-0005-0000-0000-000038120000}"/>
    <cellStyle name="Обычный 3 10 3 2 13 2" xfId="8054" xr:uid="{00000000-0005-0000-0000-000039120000}"/>
    <cellStyle name="Обычный 3 10 3 2 14" xfId="8305" xr:uid="{00000000-0005-0000-0000-00003A120000}"/>
    <cellStyle name="Обычный 3 10 3 2 15" xfId="4502" xr:uid="{00000000-0005-0000-0000-00003B120000}"/>
    <cellStyle name="Обычный 3 10 3 2 2" xfId="881" xr:uid="{00000000-0005-0000-0000-00003C120000}"/>
    <cellStyle name="Обычный 3 10 3 2 2 2" xfId="8627" xr:uid="{00000000-0005-0000-0000-00003D120000}"/>
    <cellStyle name="Обычный 3 10 3 2 2 3" xfId="4798" xr:uid="{00000000-0005-0000-0000-00003E120000}"/>
    <cellStyle name="Обычный 3 10 3 2 3" xfId="1261" xr:uid="{00000000-0005-0000-0000-00003F120000}"/>
    <cellStyle name="Обычный 3 10 3 2 3 2" xfId="5094" xr:uid="{00000000-0005-0000-0000-000040120000}"/>
    <cellStyle name="Обычный 3 10 3 2 4" xfId="1547" xr:uid="{00000000-0005-0000-0000-000041120000}"/>
    <cellStyle name="Обычный 3 10 3 2 4 2" xfId="5390" xr:uid="{00000000-0005-0000-0000-000042120000}"/>
    <cellStyle name="Обычный 3 10 3 2 5" xfId="1839" xr:uid="{00000000-0005-0000-0000-000043120000}"/>
    <cellStyle name="Обычный 3 10 3 2 5 2" xfId="5686" xr:uid="{00000000-0005-0000-0000-000044120000}"/>
    <cellStyle name="Обычный 3 10 3 2 6" xfId="2132" xr:uid="{00000000-0005-0000-0000-000045120000}"/>
    <cellStyle name="Обычный 3 10 3 2 6 2" xfId="5982" xr:uid="{00000000-0005-0000-0000-000046120000}"/>
    <cellStyle name="Обычный 3 10 3 2 7" xfId="2427" xr:uid="{00000000-0005-0000-0000-000047120000}"/>
    <cellStyle name="Обычный 3 10 3 2 7 2" xfId="6278" xr:uid="{00000000-0005-0000-0000-000048120000}"/>
    <cellStyle name="Обычный 3 10 3 2 8" xfId="2723" xr:uid="{00000000-0005-0000-0000-000049120000}"/>
    <cellStyle name="Обычный 3 10 3 2 8 2" xfId="6574" xr:uid="{00000000-0005-0000-0000-00004A120000}"/>
    <cellStyle name="Обычный 3 10 3 2 9" xfId="3019" xr:uid="{00000000-0005-0000-0000-00004B120000}"/>
    <cellStyle name="Обычный 3 10 3 2 9 2" xfId="6870" xr:uid="{00000000-0005-0000-0000-00004C120000}"/>
    <cellStyle name="Обычный 3 10 3 3" xfId="353" xr:uid="{00000000-0005-0000-0000-00004D120000}"/>
    <cellStyle name="Обычный 3 10 3 3 2" xfId="882" xr:uid="{00000000-0005-0000-0000-00004E120000}"/>
    <cellStyle name="Обычный 3 10 3 3 3" xfId="8405" xr:uid="{00000000-0005-0000-0000-00004F120000}"/>
    <cellStyle name="Обычный 3 10 3 3 4" xfId="4650" xr:uid="{00000000-0005-0000-0000-000050120000}"/>
    <cellStyle name="Обычный 3 10 3 4" xfId="883" xr:uid="{00000000-0005-0000-0000-000051120000}"/>
    <cellStyle name="Обычный 3 10 3 4 2" xfId="8628" xr:uid="{00000000-0005-0000-0000-000052120000}"/>
    <cellStyle name="Обычный 3 10 3 4 3" xfId="4946" xr:uid="{00000000-0005-0000-0000-000053120000}"/>
    <cellStyle name="Обычный 3 10 3 5" xfId="1403" xr:uid="{00000000-0005-0000-0000-000054120000}"/>
    <cellStyle name="Обычный 3 10 3 5 2" xfId="5242" xr:uid="{00000000-0005-0000-0000-000055120000}"/>
    <cellStyle name="Обычный 3 10 3 6" xfId="1692" xr:uid="{00000000-0005-0000-0000-000056120000}"/>
    <cellStyle name="Обычный 3 10 3 6 2" xfId="5538" xr:uid="{00000000-0005-0000-0000-000057120000}"/>
    <cellStyle name="Обычный 3 10 3 7" xfId="1985" xr:uid="{00000000-0005-0000-0000-000058120000}"/>
    <cellStyle name="Обычный 3 10 3 7 2" xfId="5834" xr:uid="{00000000-0005-0000-0000-000059120000}"/>
    <cellStyle name="Обычный 3 10 3 8" xfId="2279" xr:uid="{00000000-0005-0000-0000-00005A120000}"/>
    <cellStyle name="Обычный 3 10 3 8 2" xfId="6130" xr:uid="{00000000-0005-0000-0000-00005B120000}"/>
    <cellStyle name="Обычный 3 10 3 9" xfId="2575" xr:uid="{00000000-0005-0000-0000-00005C120000}"/>
    <cellStyle name="Обычный 3 10 3 9 2" xfId="6426" xr:uid="{00000000-0005-0000-0000-00005D120000}"/>
    <cellStyle name="Обычный 3 10 4" xfId="202" xr:uid="{00000000-0005-0000-0000-00005E120000}"/>
    <cellStyle name="Обычный 3 10 4 10" xfId="2921" xr:uid="{00000000-0005-0000-0000-00005F120000}"/>
    <cellStyle name="Обычный 3 10 4 10 2" xfId="6772" xr:uid="{00000000-0005-0000-0000-000060120000}"/>
    <cellStyle name="Обычный 3 10 4 11" xfId="3217" xr:uid="{00000000-0005-0000-0000-000061120000}"/>
    <cellStyle name="Обычный 3 10 4 11 2" xfId="7068" xr:uid="{00000000-0005-0000-0000-000062120000}"/>
    <cellStyle name="Обычный 3 10 4 12" xfId="3513" xr:uid="{00000000-0005-0000-0000-000063120000}"/>
    <cellStyle name="Обычный 3 10 4 12 2" xfId="7364" xr:uid="{00000000-0005-0000-0000-000064120000}"/>
    <cellStyle name="Обычный 3 10 4 13" xfId="3809" xr:uid="{00000000-0005-0000-0000-000065120000}"/>
    <cellStyle name="Обычный 3 10 4 13 2" xfId="7660" xr:uid="{00000000-0005-0000-0000-000066120000}"/>
    <cellStyle name="Обычный 3 10 4 14" xfId="4105" xr:uid="{00000000-0005-0000-0000-000067120000}"/>
    <cellStyle name="Обычный 3 10 4 14 2" xfId="7956" xr:uid="{00000000-0005-0000-0000-000068120000}"/>
    <cellStyle name="Обычный 3 10 4 15" xfId="8255" xr:uid="{00000000-0005-0000-0000-000069120000}"/>
    <cellStyle name="Обычный 3 10 4 16" xfId="4403" xr:uid="{00000000-0005-0000-0000-00006A120000}"/>
    <cellStyle name="Обычный 3 10 4 2" xfId="884" xr:uid="{00000000-0005-0000-0000-00006B120000}"/>
    <cellStyle name="Обычный 3 10 4 2 10" xfId="3365" xr:uid="{00000000-0005-0000-0000-00006C120000}"/>
    <cellStyle name="Обычный 3 10 4 2 10 2" xfId="7216" xr:uid="{00000000-0005-0000-0000-00006D120000}"/>
    <cellStyle name="Обычный 3 10 4 2 11" xfId="3661" xr:uid="{00000000-0005-0000-0000-00006E120000}"/>
    <cellStyle name="Обычный 3 10 4 2 11 2" xfId="7512" xr:uid="{00000000-0005-0000-0000-00006F120000}"/>
    <cellStyle name="Обычный 3 10 4 2 12" xfId="3957" xr:uid="{00000000-0005-0000-0000-000070120000}"/>
    <cellStyle name="Обычный 3 10 4 2 12 2" xfId="7808" xr:uid="{00000000-0005-0000-0000-000071120000}"/>
    <cellStyle name="Обычный 3 10 4 2 13" xfId="4253" xr:uid="{00000000-0005-0000-0000-000072120000}"/>
    <cellStyle name="Обычный 3 10 4 2 13 2" xfId="8104" xr:uid="{00000000-0005-0000-0000-000073120000}"/>
    <cellStyle name="Обычный 3 10 4 2 14" xfId="8629" xr:uid="{00000000-0005-0000-0000-000074120000}"/>
    <cellStyle name="Обычный 3 10 4 2 15" xfId="4552" xr:uid="{00000000-0005-0000-0000-000075120000}"/>
    <cellStyle name="Обычный 3 10 4 2 2" xfId="1120" xr:uid="{00000000-0005-0000-0000-000076120000}"/>
    <cellStyle name="Обычный 3 10 4 2 2 2" xfId="4848" xr:uid="{00000000-0005-0000-0000-000077120000}"/>
    <cellStyle name="Обычный 3 10 4 2 3" xfId="1309" xr:uid="{00000000-0005-0000-0000-000078120000}"/>
    <cellStyle name="Обычный 3 10 4 2 3 2" xfId="5144" xr:uid="{00000000-0005-0000-0000-000079120000}"/>
    <cellStyle name="Обычный 3 10 4 2 4" xfId="1596" xr:uid="{00000000-0005-0000-0000-00007A120000}"/>
    <cellStyle name="Обычный 3 10 4 2 4 2" xfId="5440" xr:uid="{00000000-0005-0000-0000-00007B120000}"/>
    <cellStyle name="Обычный 3 10 4 2 5" xfId="1889" xr:uid="{00000000-0005-0000-0000-00007C120000}"/>
    <cellStyle name="Обычный 3 10 4 2 5 2" xfId="5736" xr:uid="{00000000-0005-0000-0000-00007D120000}"/>
    <cellStyle name="Обычный 3 10 4 2 6" xfId="2182" xr:uid="{00000000-0005-0000-0000-00007E120000}"/>
    <cellStyle name="Обычный 3 10 4 2 6 2" xfId="6032" xr:uid="{00000000-0005-0000-0000-00007F120000}"/>
    <cellStyle name="Обычный 3 10 4 2 7" xfId="2477" xr:uid="{00000000-0005-0000-0000-000080120000}"/>
    <cellStyle name="Обычный 3 10 4 2 7 2" xfId="6328" xr:uid="{00000000-0005-0000-0000-000081120000}"/>
    <cellStyle name="Обычный 3 10 4 2 8" xfId="2773" xr:uid="{00000000-0005-0000-0000-000082120000}"/>
    <cellStyle name="Обычный 3 10 4 2 8 2" xfId="6624" xr:uid="{00000000-0005-0000-0000-000083120000}"/>
    <cellStyle name="Обычный 3 10 4 2 9" xfId="3069" xr:uid="{00000000-0005-0000-0000-000084120000}"/>
    <cellStyle name="Обычный 3 10 4 2 9 2" xfId="6920" xr:uid="{00000000-0005-0000-0000-000085120000}"/>
    <cellStyle name="Обычный 3 10 4 3" xfId="1073" xr:uid="{00000000-0005-0000-0000-000086120000}"/>
    <cellStyle name="Обычный 3 10 4 3 2" xfId="4700" xr:uid="{00000000-0005-0000-0000-000087120000}"/>
    <cellStyle name="Обычный 3 10 4 4" xfId="1167" xr:uid="{00000000-0005-0000-0000-000088120000}"/>
    <cellStyle name="Обычный 3 10 4 4 2" xfId="4996" xr:uid="{00000000-0005-0000-0000-000089120000}"/>
    <cellStyle name="Обычный 3 10 4 5" xfId="1450" xr:uid="{00000000-0005-0000-0000-00008A120000}"/>
    <cellStyle name="Обычный 3 10 4 5 2" xfId="5292" xr:uid="{00000000-0005-0000-0000-00008B120000}"/>
    <cellStyle name="Обычный 3 10 4 6" xfId="1741" xr:uid="{00000000-0005-0000-0000-00008C120000}"/>
    <cellStyle name="Обычный 3 10 4 6 2" xfId="5588" xr:uid="{00000000-0005-0000-0000-00008D120000}"/>
    <cellStyle name="Обычный 3 10 4 7" xfId="2034" xr:uid="{00000000-0005-0000-0000-00008E120000}"/>
    <cellStyle name="Обычный 3 10 4 7 2" xfId="5884" xr:uid="{00000000-0005-0000-0000-00008F120000}"/>
    <cellStyle name="Обычный 3 10 4 8" xfId="2329" xr:uid="{00000000-0005-0000-0000-000090120000}"/>
    <cellStyle name="Обычный 3 10 4 8 2" xfId="6180" xr:uid="{00000000-0005-0000-0000-000091120000}"/>
    <cellStyle name="Обычный 3 10 4 9" xfId="2625" xr:uid="{00000000-0005-0000-0000-000092120000}"/>
    <cellStyle name="Обычный 3 10 4 9 2" xfId="6476" xr:uid="{00000000-0005-0000-0000-000093120000}"/>
    <cellStyle name="Обычный 3 10 5" xfId="303" xr:uid="{00000000-0005-0000-0000-000094120000}"/>
    <cellStyle name="Обычный 3 10 5 10" xfId="3267" xr:uid="{00000000-0005-0000-0000-000095120000}"/>
    <cellStyle name="Обычный 3 10 5 10 2" xfId="7118" xr:uid="{00000000-0005-0000-0000-000096120000}"/>
    <cellStyle name="Обычный 3 10 5 11" xfId="3563" xr:uid="{00000000-0005-0000-0000-000097120000}"/>
    <cellStyle name="Обычный 3 10 5 11 2" xfId="7414" xr:uid="{00000000-0005-0000-0000-000098120000}"/>
    <cellStyle name="Обычный 3 10 5 12" xfId="3859" xr:uid="{00000000-0005-0000-0000-000099120000}"/>
    <cellStyle name="Обычный 3 10 5 12 2" xfId="7710" xr:uid="{00000000-0005-0000-0000-00009A120000}"/>
    <cellStyle name="Обычный 3 10 5 13" xfId="4155" xr:uid="{00000000-0005-0000-0000-00009B120000}"/>
    <cellStyle name="Обычный 3 10 5 13 2" xfId="8006" xr:uid="{00000000-0005-0000-0000-00009C120000}"/>
    <cellStyle name="Обычный 3 10 5 14" xfId="8355" xr:uid="{00000000-0005-0000-0000-00009D120000}"/>
    <cellStyle name="Обычный 3 10 5 15" xfId="4454" xr:uid="{00000000-0005-0000-0000-00009E120000}"/>
    <cellStyle name="Обычный 3 10 5 2" xfId="885" xr:uid="{00000000-0005-0000-0000-00009F120000}"/>
    <cellStyle name="Обычный 3 10 5 2 2" xfId="8630" xr:uid="{00000000-0005-0000-0000-0000A0120000}"/>
    <cellStyle name="Обычный 3 10 5 2 3" xfId="4750" xr:uid="{00000000-0005-0000-0000-0000A1120000}"/>
    <cellStyle name="Обычный 3 10 5 3" xfId="1214" xr:uid="{00000000-0005-0000-0000-0000A2120000}"/>
    <cellStyle name="Обычный 3 10 5 3 2" xfId="5046" xr:uid="{00000000-0005-0000-0000-0000A3120000}"/>
    <cellStyle name="Обычный 3 10 5 4" xfId="1499" xr:uid="{00000000-0005-0000-0000-0000A4120000}"/>
    <cellStyle name="Обычный 3 10 5 4 2" xfId="5342" xr:uid="{00000000-0005-0000-0000-0000A5120000}"/>
    <cellStyle name="Обычный 3 10 5 5" xfId="1791" xr:uid="{00000000-0005-0000-0000-0000A6120000}"/>
    <cellStyle name="Обычный 3 10 5 5 2" xfId="5638" xr:uid="{00000000-0005-0000-0000-0000A7120000}"/>
    <cellStyle name="Обычный 3 10 5 6" xfId="2084" xr:uid="{00000000-0005-0000-0000-0000A8120000}"/>
    <cellStyle name="Обычный 3 10 5 6 2" xfId="5934" xr:uid="{00000000-0005-0000-0000-0000A9120000}"/>
    <cellStyle name="Обычный 3 10 5 7" xfId="2379" xr:uid="{00000000-0005-0000-0000-0000AA120000}"/>
    <cellStyle name="Обычный 3 10 5 7 2" xfId="6230" xr:uid="{00000000-0005-0000-0000-0000AB120000}"/>
    <cellStyle name="Обычный 3 10 5 8" xfId="2675" xr:uid="{00000000-0005-0000-0000-0000AC120000}"/>
    <cellStyle name="Обычный 3 10 5 8 2" xfId="6526" xr:uid="{00000000-0005-0000-0000-0000AD120000}"/>
    <cellStyle name="Обычный 3 10 5 9" xfId="2971" xr:uid="{00000000-0005-0000-0000-0000AE120000}"/>
    <cellStyle name="Обычный 3 10 5 9 2" xfId="6822" xr:uid="{00000000-0005-0000-0000-0000AF120000}"/>
    <cellStyle name="Обычный 3 10 6" xfId="886" xr:uid="{00000000-0005-0000-0000-0000B0120000}"/>
    <cellStyle name="Обычный 3 10 6 2" xfId="8631" xr:uid="{00000000-0005-0000-0000-0000B1120000}"/>
    <cellStyle name="Обычный 3 10 6 3" xfId="4602" xr:uid="{00000000-0005-0000-0000-0000B2120000}"/>
    <cellStyle name="Обычный 3 10 7" xfId="887" xr:uid="{00000000-0005-0000-0000-0000B3120000}"/>
    <cellStyle name="Обычный 3 10 7 2" xfId="8632" xr:uid="{00000000-0005-0000-0000-0000B4120000}"/>
    <cellStyle name="Обычный 3 10 7 3" xfId="4898" xr:uid="{00000000-0005-0000-0000-0000B5120000}"/>
    <cellStyle name="Обычный 3 10 8" xfId="1356" xr:uid="{00000000-0005-0000-0000-0000B6120000}"/>
    <cellStyle name="Обычный 3 10 8 2" xfId="5194" xr:uid="{00000000-0005-0000-0000-0000B7120000}"/>
    <cellStyle name="Обычный 3 10 9" xfId="1645" xr:uid="{00000000-0005-0000-0000-0000B8120000}"/>
    <cellStyle name="Обычный 3 10 9 2" xfId="5490" xr:uid="{00000000-0005-0000-0000-0000B9120000}"/>
    <cellStyle name="Обычный 3 11" xfId="75" xr:uid="{00000000-0005-0000-0000-0000BA120000}"/>
    <cellStyle name="Обычный 3 11 10" xfId="1939" xr:uid="{00000000-0005-0000-0000-0000BB120000}"/>
    <cellStyle name="Обычный 3 11 10 2" xfId="5787" xr:uid="{00000000-0005-0000-0000-0000BC120000}"/>
    <cellStyle name="Обычный 3 11 11" xfId="2233" xr:uid="{00000000-0005-0000-0000-0000BD120000}"/>
    <cellStyle name="Обычный 3 11 11 2" xfId="6083" xr:uid="{00000000-0005-0000-0000-0000BE120000}"/>
    <cellStyle name="Обычный 3 11 12" xfId="2528" xr:uid="{00000000-0005-0000-0000-0000BF120000}"/>
    <cellStyle name="Обычный 3 11 12 2" xfId="6379" xr:uid="{00000000-0005-0000-0000-0000C0120000}"/>
    <cellStyle name="Обычный 3 11 13" xfId="2824" xr:uid="{00000000-0005-0000-0000-0000C1120000}"/>
    <cellStyle name="Обычный 3 11 13 2" xfId="6675" xr:uid="{00000000-0005-0000-0000-0000C2120000}"/>
    <cellStyle name="Обычный 3 11 14" xfId="3120" xr:uid="{00000000-0005-0000-0000-0000C3120000}"/>
    <cellStyle name="Обычный 3 11 14 2" xfId="6971" xr:uid="{00000000-0005-0000-0000-0000C4120000}"/>
    <cellStyle name="Обычный 3 11 15" xfId="3416" xr:uid="{00000000-0005-0000-0000-0000C5120000}"/>
    <cellStyle name="Обычный 3 11 15 2" xfId="7267" xr:uid="{00000000-0005-0000-0000-0000C6120000}"/>
    <cellStyle name="Обычный 3 11 16" xfId="3712" xr:uid="{00000000-0005-0000-0000-0000C7120000}"/>
    <cellStyle name="Обычный 3 11 16 2" xfId="7563" xr:uid="{00000000-0005-0000-0000-0000C8120000}"/>
    <cellStyle name="Обычный 3 11 17" xfId="4008" xr:uid="{00000000-0005-0000-0000-0000C9120000}"/>
    <cellStyle name="Обычный 3 11 17 2" xfId="7859" xr:uid="{00000000-0005-0000-0000-0000CA120000}"/>
    <cellStyle name="Обычный 3 11 18" xfId="8155" xr:uid="{00000000-0005-0000-0000-0000CB120000}"/>
    <cellStyle name="Обычный 3 11 19" xfId="4304" xr:uid="{00000000-0005-0000-0000-0000CC120000}"/>
    <cellStyle name="Обычный 3 11 2" xfId="119" xr:uid="{00000000-0005-0000-0000-0000CD120000}"/>
    <cellStyle name="Обычный 3 11 2 10" xfId="2254" xr:uid="{00000000-0005-0000-0000-0000CE120000}"/>
    <cellStyle name="Обычный 3 11 2 10 2" xfId="6105" xr:uid="{00000000-0005-0000-0000-0000CF120000}"/>
    <cellStyle name="Обычный 3 11 2 11" xfId="2550" xr:uid="{00000000-0005-0000-0000-0000D0120000}"/>
    <cellStyle name="Обычный 3 11 2 11 2" xfId="6401" xr:uid="{00000000-0005-0000-0000-0000D1120000}"/>
    <cellStyle name="Обычный 3 11 2 12" xfId="2846" xr:uid="{00000000-0005-0000-0000-0000D2120000}"/>
    <cellStyle name="Обычный 3 11 2 12 2" xfId="6697" xr:uid="{00000000-0005-0000-0000-0000D3120000}"/>
    <cellStyle name="Обычный 3 11 2 13" xfId="3142" xr:uid="{00000000-0005-0000-0000-0000D4120000}"/>
    <cellStyle name="Обычный 3 11 2 13 2" xfId="6993" xr:uid="{00000000-0005-0000-0000-0000D5120000}"/>
    <cellStyle name="Обычный 3 11 2 14" xfId="3438" xr:uid="{00000000-0005-0000-0000-0000D6120000}"/>
    <cellStyle name="Обычный 3 11 2 14 2" xfId="7289" xr:uid="{00000000-0005-0000-0000-0000D7120000}"/>
    <cellStyle name="Обычный 3 11 2 15" xfId="3734" xr:uid="{00000000-0005-0000-0000-0000D8120000}"/>
    <cellStyle name="Обычный 3 11 2 15 2" xfId="7585" xr:uid="{00000000-0005-0000-0000-0000D9120000}"/>
    <cellStyle name="Обычный 3 11 2 16" xfId="4030" xr:uid="{00000000-0005-0000-0000-0000DA120000}"/>
    <cellStyle name="Обычный 3 11 2 16 2" xfId="7881" xr:uid="{00000000-0005-0000-0000-0000DB120000}"/>
    <cellStyle name="Обычный 3 11 2 17" xfId="8177" xr:uid="{00000000-0005-0000-0000-0000DC120000}"/>
    <cellStyle name="Обычный 3 11 2 18" xfId="4326" xr:uid="{00000000-0005-0000-0000-0000DD120000}"/>
    <cellStyle name="Обычный 3 11 2 2" xfId="172" xr:uid="{00000000-0005-0000-0000-0000DE120000}"/>
    <cellStyle name="Обычный 3 11 2 2 10" xfId="2894" xr:uid="{00000000-0005-0000-0000-0000DF120000}"/>
    <cellStyle name="Обычный 3 11 2 2 10 2" xfId="6745" xr:uid="{00000000-0005-0000-0000-0000E0120000}"/>
    <cellStyle name="Обычный 3 11 2 2 11" xfId="3190" xr:uid="{00000000-0005-0000-0000-0000E1120000}"/>
    <cellStyle name="Обычный 3 11 2 2 11 2" xfId="7041" xr:uid="{00000000-0005-0000-0000-0000E2120000}"/>
    <cellStyle name="Обычный 3 11 2 2 12" xfId="3486" xr:uid="{00000000-0005-0000-0000-0000E3120000}"/>
    <cellStyle name="Обычный 3 11 2 2 12 2" xfId="7337" xr:uid="{00000000-0005-0000-0000-0000E4120000}"/>
    <cellStyle name="Обычный 3 11 2 2 13" xfId="3782" xr:uid="{00000000-0005-0000-0000-0000E5120000}"/>
    <cellStyle name="Обычный 3 11 2 2 13 2" xfId="7633" xr:uid="{00000000-0005-0000-0000-0000E6120000}"/>
    <cellStyle name="Обычный 3 11 2 2 14" xfId="4078" xr:uid="{00000000-0005-0000-0000-0000E7120000}"/>
    <cellStyle name="Обычный 3 11 2 2 14 2" xfId="7929" xr:uid="{00000000-0005-0000-0000-0000E8120000}"/>
    <cellStyle name="Обычный 3 11 2 2 15" xfId="8227" xr:uid="{00000000-0005-0000-0000-0000E9120000}"/>
    <cellStyle name="Обычный 3 11 2 2 16" xfId="4375" xr:uid="{00000000-0005-0000-0000-0000EA120000}"/>
    <cellStyle name="Обычный 3 11 2 2 2" xfId="275" xr:uid="{00000000-0005-0000-0000-0000EB120000}"/>
    <cellStyle name="Обычный 3 11 2 2 2 10" xfId="3338" xr:uid="{00000000-0005-0000-0000-0000EC120000}"/>
    <cellStyle name="Обычный 3 11 2 2 2 10 2" xfId="7189" xr:uid="{00000000-0005-0000-0000-0000ED120000}"/>
    <cellStyle name="Обычный 3 11 2 2 2 11" xfId="3634" xr:uid="{00000000-0005-0000-0000-0000EE120000}"/>
    <cellStyle name="Обычный 3 11 2 2 2 11 2" xfId="7485" xr:uid="{00000000-0005-0000-0000-0000EF120000}"/>
    <cellStyle name="Обычный 3 11 2 2 2 12" xfId="3930" xr:uid="{00000000-0005-0000-0000-0000F0120000}"/>
    <cellStyle name="Обычный 3 11 2 2 2 12 2" xfId="7781" xr:uid="{00000000-0005-0000-0000-0000F1120000}"/>
    <cellStyle name="Обычный 3 11 2 2 2 13" xfId="4226" xr:uid="{00000000-0005-0000-0000-0000F2120000}"/>
    <cellStyle name="Обычный 3 11 2 2 2 13 2" xfId="8077" xr:uid="{00000000-0005-0000-0000-0000F3120000}"/>
    <cellStyle name="Обычный 3 11 2 2 2 14" xfId="8328" xr:uid="{00000000-0005-0000-0000-0000F4120000}"/>
    <cellStyle name="Обычный 3 11 2 2 2 15" xfId="4525" xr:uid="{00000000-0005-0000-0000-0000F5120000}"/>
    <cellStyle name="Обычный 3 11 2 2 2 2" xfId="888" xr:uid="{00000000-0005-0000-0000-0000F6120000}"/>
    <cellStyle name="Обычный 3 11 2 2 2 2 2" xfId="8633" xr:uid="{00000000-0005-0000-0000-0000F7120000}"/>
    <cellStyle name="Обычный 3 11 2 2 2 2 3" xfId="4821" xr:uid="{00000000-0005-0000-0000-0000F8120000}"/>
    <cellStyle name="Обычный 3 11 2 2 2 3" xfId="1283" xr:uid="{00000000-0005-0000-0000-0000F9120000}"/>
    <cellStyle name="Обычный 3 11 2 2 2 3 2" xfId="5117" xr:uid="{00000000-0005-0000-0000-0000FA120000}"/>
    <cellStyle name="Обычный 3 11 2 2 2 4" xfId="1569" xr:uid="{00000000-0005-0000-0000-0000FB120000}"/>
    <cellStyle name="Обычный 3 11 2 2 2 4 2" xfId="5413" xr:uid="{00000000-0005-0000-0000-0000FC120000}"/>
    <cellStyle name="Обычный 3 11 2 2 2 5" xfId="1862" xr:uid="{00000000-0005-0000-0000-0000FD120000}"/>
    <cellStyle name="Обычный 3 11 2 2 2 5 2" xfId="5709" xr:uid="{00000000-0005-0000-0000-0000FE120000}"/>
    <cellStyle name="Обычный 3 11 2 2 2 6" xfId="2155" xr:uid="{00000000-0005-0000-0000-0000FF120000}"/>
    <cellStyle name="Обычный 3 11 2 2 2 6 2" xfId="6005" xr:uid="{00000000-0005-0000-0000-000000130000}"/>
    <cellStyle name="Обычный 3 11 2 2 2 7" xfId="2450" xr:uid="{00000000-0005-0000-0000-000001130000}"/>
    <cellStyle name="Обычный 3 11 2 2 2 7 2" xfId="6301" xr:uid="{00000000-0005-0000-0000-000002130000}"/>
    <cellStyle name="Обычный 3 11 2 2 2 8" xfId="2746" xr:uid="{00000000-0005-0000-0000-000003130000}"/>
    <cellStyle name="Обычный 3 11 2 2 2 8 2" xfId="6597" xr:uid="{00000000-0005-0000-0000-000004130000}"/>
    <cellStyle name="Обычный 3 11 2 2 2 9" xfId="3042" xr:uid="{00000000-0005-0000-0000-000005130000}"/>
    <cellStyle name="Обычный 3 11 2 2 2 9 2" xfId="6893" xr:uid="{00000000-0005-0000-0000-000006130000}"/>
    <cellStyle name="Обычный 3 11 2 2 3" xfId="376" xr:uid="{00000000-0005-0000-0000-000007130000}"/>
    <cellStyle name="Обычный 3 11 2 2 3 2" xfId="889" xr:uid="{00000000-0005-0000-0000-000008130000}"/>
    <cellStyle name="Обычный 3 11 2 2 3 3" xfId="8428" xr:uid="{00000000-0005-0000-0000-000009130000}"/>
    <cellStyle name="Обычный 3 11 2 2 3 4" xfId="4673" xr:uid="{00000000-0005-0000-0000-00000A130000}"/>
    <cellStyle name="Обычный 3 11 2 2 4" xfId="890" xr:uid="{00000000-0005-0000-0000-00000B130000}"/>
    <cellStyle name="Обычный 3 11 2 2 4 2" xfId="8634" xr:uid="{00000000-0005-0000-0000-00000C130000}"/>
    <cellStyle name="Обычный 3 11 2 2 4 3" xfId="4969" xr:uid="{00000000-0005-0000-0000-00000D130000}"/>
    <cellStyle name="Обычный 3 11 2 2 5" xfId="1425" xr:uid="{00000000-0005-0000-0000-00000E130000}"/>
    <cellStyle name="Обычный 3 11 2 2 5 2" xfId="5265" xr:uid="{00000000-0005-0000-0000-00000F130000}"/>
    <cellStyle name="Обычный 3 11 2 2 6" xfId="1715" xr:uid="{00000000-0005-0000-0000-000010130000}"/>
    <cellStyle name="Обычный 3 11 2 2 6 2" xfId="5561" xr:uid="{00000000-0005-0000-0000-000011130000}"/>
    <cellStyle name="Обычный 3 11 2 2 7" xfId="2007" xr:uid="{00000000-0005-0000-0000-000012130000}"/>
    <cellStyle name="Обычный 3 11 2 2 7 2" xfId="5857" xr:uid="{00000000-0005-0000-0000-000013130000}"/>
    <cellStyle name="Обычный 3 11 2 2 8" xfId="2302" xr:uid="{00000000-0005-0000-0000-000014130000}"/>
    <cellStyle name="Обычный 3 11 2 2 8 2" xfId="6153" xr:uid="{00000000-0005-0000-0000-000015130000}"/>
    <cellStyle name="Обычный 3 11 2 2 9" xfId="2598" xr:uid="{00000000-0005-0000-0000-000016130000}"/>
    <cellStyle name="Обычный 3 11 2 2 9 2" xfId="6449" xr:uid="{00000000-0005-0000-0000-000017130000}"/>
    <cellStyle name="Обычный 3 11 2 3" xfId="225" xr:uid="{00000000-0005-0000-0000-000018130000}"/>
    <cellStyle name="Обычный 3 11 2 3 10" xfId="2944" xr:uid="{00000000-0005-0000-0000-000019130000}"/>
    <cellStyle name="Обычный 3 11 2 3 10 2" xfId="6795" xr:uid="{00000000-0005-0000-0000-00001A130000}"/>
    <cellStyle name="Обычный 3 11 2 3 11" xfId="3240" xr:uid="{00000000-0005-0000-0000-00001B130000}"/>
    <cellStyle name="Обычный 3 11 2 3 11 2" xfId="7091" xr:uid="{00000000-0005-0000-0000-00001C130000}"/>
    <cellStyle name="Обычный 3 11 2 3 12" xfId="3536" xr:uid="{00000000-0005-0000-0000-00001D130000}"/>
    <cellStyle name="Обычный 3 11 2 3 12 2" xfId="7387" xr:uid="{00000000-0005-0000-0000-00001E130000}"/>
    <cellStyle name="Обычный 3 11 2 3 13" xfId="3832" xr:uid="{00000000-0005-0000-0000-00001F130000}"/>
    <cellStyle name="Обычный 3 11 2 3 13 2" xfId="7683" xr:uid="{00000000-0005-0000-0000-000020130000}"/>
    <cellStyle name="Обычный 3 11 2 3 14" xfId="4128" xr:uid="{00000000-0005-0000-0000-000021130000}"/>
    <cellStyle name="Обычный 3 11 2 3 14 2" xfId="7979" xr:uid="{00000000-0005-0000-0000-000022130000}"/>
    <cellStyle name="Обычный 3 11 2 3 15" xfId="8278" xr:uid="{00000000-0005-0000-0000-000023130000}"/>
    <cellStyle name="Обычный 3 11 2 3 16" xfId="4426" xr:uid="{00000000-0005-0000-0000-000024130000}"/>
    <cellStyle name="Обычный 3 11 2 3 2" xfId="891" xr:uid="{00000000-0005-0000-0000-000025130000}"/>
    <cellStyle name="Обычный 3 11 2 3 2 10" xfId="3388" xr:uid="{00000000-0005-0000-0000-000026130000}"/>
    <cellStyle name="Обычный 3 11 2 3 2 10 2" xfId="7239" xr:uid="{00000000-0005-0000-0000-000027130000}"/>
    <cellStyle name="Обычный 3 11 2 3 2 11" xfId="3684" xr:uid="{00000000-0005-0000-0000-000028130000}"/>
    <cellStyle name="Обычный 3 11 2 3 2 11 2" xfId="7535" xr:uid="{00000000-0005-0000-0000-000029130000}"/>
    <cellStyle name="Обычный 3 11 2 3 2 12" xfId="3980" xr:uid="{00000000-0005-0000-0000-00002A130000}"/>
    <cellStyle name="Обычный 3 11 2 3 2 12 2" xfId="7831" xr:uid="{00000000-0005-0000-0000-00002B130000}"/>
    <cellStyle name="Обычный 3 11 2 3 2 13" xfId="4276" xr:uid="{00000000-0005-0000-0000-00002C130000}"/>
    <cellStyle name="Обычный 3 11 2 3 2 13 2" xfId="8127" xr:uid="{00000000-0005-0000-0000-00002D130000}"/>
    <cellStyle name="Обычный 3 11 2 3 2 14" xfId="8635" xr:uid="{00000000-0005-0000-0000-00002E130000}"/>
    <cellStyle name="Обычный 3 11 2 3 2 15" xfId="4575" xr:uid="{00000000-0005-0000-0000-00002F130000}"/>
    <cellStyle name="Обычный 3 11 2 3 2 2" xfId="1142" xr:uid="{00000000-0005-0000-0000-000030130000}"/>
    <cellStyle name="Обычный 3 11 2 3 2 2 2" xfId="4871" xr:uid="{00000000-0005-0000-0000-000031130000}"/>
    <cellStyle name="Обычный 3 11 2 3 2 3" xfId="1331" xr:uid="{00000000-0005-0000-0000-000032130000}"/>
    <cellStyle name="Обычный 3 11 2 3 2 3 2" xfId="5167" xr:uid="{00000000-0005-0000-0000-000033130000}"/>
    <cellStyle name="Обычный 3 11 2 3 2 4" xfId="1618" xr:uid="{00000000-0005-0000-0000-000034130000}"/>
    <cellStyle name="Обычный 3 11 2 3 2 4 2" xfId="5463" xr:uid="{00000000-0005-0000-0000-000035130000}"/>
    <cellStyle name="Обычный 3 11 2 3 2 5" xfId="1911" xr:uid="{00000000-0005-0000-0000-000036130000}"/>
    <cellStyle name="Обычный 3 11 2 3 2 5 2" xfId="5759" xr:uid="{00000000-0005-0000-0000-000037130000}"/>
    <cellStyle name="Обычный 3 11 2 3 2 6" xfId="2205" xr:uid="{00000000-0005-0000-0000-000038130000}"/>
    <cellStyle name="Обычный 3 11 2 3 2 6 2" xfId="6055" xr:uid="{00000000-0005-0000-0000-000039130000}"/>
    <cellStyle name="Обычный 3 11 2 3 2 7" xfId="2500" xr:uid="{00000000-0005-0000-0000-00003A130000}"/>
    <cellStyle name="Обычный 3 11 2 3 2 7 2" xfId="6351" xr:uid="{00000000-0005-0000-0000-00003B130000}"/>
    <cellStyle name="Обычный 3 11 2 3 2 8" xfId="2796" xr:uid="{00000000-0005-0000-0000-00003C130000}"/>
    <cellStyle name="Обычный 3 11 2 3 2 8 2" xfId="6647" xr:uid="{00000000-0005-0000-0000-00003D130000}"/>
    <cellStyle name="Обычный 3 11 2 3 2 9" xfId="3092" xr:uid="{00000000-0005-0000-0000-00003E130000}"/>
    <cellStyle name="Обычный 3 11 2 3 2 9 2" xfId="6943" xr:uid="{00000000-0005-0000-0000-00003F130000}"/>
    <cellStyle name="Обычный 3 11 2 3 3" xfId="1095" xr:uid="{00000000-0005-0000-0000-000040130000}"/>
    <cellStyle name="Обычный 3 11 2 3 3 2" xfId="4723" xr:uid="{00000000-0005-0000-0000-000041130000}"/>
    <cellStyle name="Обычный 3 11 2 3 4" xfId="1189" xr:uid="{00000000-0005-0000-0000-000042130000}"/>
    <cellStyle name="Обычный 3 11 2 3 4 2" xfId="5019" xr:uid="{00000000-0005-0000-0000-000043130000}"/>
    <cellStyle name="Обычный 3 11 2 3 5" xfId="1473" xr:uid="{00000000-0005-0000-0000-000044130000}"/>
    <cellStyle name="Обычный 3 11 2 3 5 2" xfId="5315" xr:uid="{00000000-0005-0000-0000-000045130000}"/>
    <cellStyle name="Обычный 3 11 2 3 6" xfId="1764" xr:uid="{00000000-0005-0000-0000-000046130000}"/>
    <cellStyle name="Обычный 3 11 2 3 6 2" xfId="5611" xr:uid="{00000000-0005-0000-0000-000047130000}"/>
    <cellStyle name="Обычный 3 11 2 3 7" xfId="2057" xr:uid="{00000000-0005-0000-0000-000048130000}"/>
    <cellStyle name="Обычный 3 11 2 3 7 2" xfId="5907" xr:uid="{00000000-0005-0000-0000-000049130000}"/>
    <cellStyle name="Обычный 3 11 2 3 8" xfId="2352" xr:uid="{00000000-0005-0000-0000-00004A130000}"/>
    <cellStyle name="Обычный 3 11 2 3 8 2" xfId="6203" xr:uid="{00000000-0005-0000-0000-00004B130000}"/>
    <cellStyle name="Обычный 3 11 2 3 9" xfId="2648" xr:uid="{00000000-0005-0000-0000-00004C130000}"/>
    <cellStyle name="Обычный 3 11 2 3 9 2" xfId="6499" xr:uid="{00000000-0005-0000-0000-00004D130000}"/>
    <cellStyle name="Обычный 3 11 2 4" xfId="326" xr:uid="{00000000-0005-0000-0000-00004E130000}"/>
    <cellStyle name="Обычный 3 11 2 4 10" xfId="3290" xr:uid="{00000000-0005-0000-0000-00004F130000}"/>
    <cellStyle name="Обычный 3 11 2 4 10 2" xfId="7141" xr:uid="{00000000-0005-0000-0000-000050130000}"/>
    <cellStyle name="Обычный 3 11 2 4 11" xfId="3586" xr:uid="{00000000-0005-0000-0000-000051130000}"/>
    <cellStyle name="Обычный 3 11 2 4 11 2" xfId="7437" xr:uid="{00000000-0005-0000-0000-000052130000}"/>
    <cellStyle name="Обычный 3 11 2 4 12" xfId="3882" xr:uid="{00000000-0005-0000-0000-000053130000}"/>
    <cellStyle name="Обычный 3 11 2 4 12 2" xfId="7733" xr:uid="{00000000-0005-0000-0000-000054130000}"/>
    <cellStyle name="Обычный 3 11 2 4 13" xfId="4178" xr:uid="{00000000-0005-0000-0000-000055130000}"/>
    <cellStyle name="Обычный 3 11 2 4 13 2" xfId="8029" xr:uid="{00000000-0005-0000-0000-000056130000}"/>
    <cellStyle name="Обычный 3 11 2 4 14" xfId="8378" xr:uid="{00000000-0005-0000-0000-000057130000}"/>
    <cellStyle name="Обычный 3 11 2 4 15" xfId="4477" xr:uid="{00000000-0005-0000-0000-000058130000}"/>
    <cellStyle name="Обычный 3 11 2 4 2" xfId="892" xr:uid="{00000000-0005-0000-0000-000059130000}"/>
    <cellStyle name="Обычный 3 11 2 4 2 2" xfId="8636" xr:uid="{00000000-0005-0000-0000-00005A130000}"/>
    <cellStyle name="Обычный 3 11 2 4 2 3" xfId="4773" xr:uid="{00000000-0005-0000-0000-00005B130000}"/>
    <cellStyle name="Обычный 3 11 2 4 3" xfId="1237" xr:uid="{00000000-0005-0000-0000-00005C130000}"/>
    <cellStyle name="Обычный 3 11 2 4 3 2" xfId="5069" xr:uid="{00000000-0005-0000-0000-00005D130000}"/>
    <cellStyle name="Обычный 3 11 2 4 4" xfId="1522" xr:uid="{00000000-0005-0000-0000-00005E130000}"/>
    <cellStyle name="Обычный 3 11 2 4 4 2" xfId="5365" xr:uid="{00000000-0005-0000-0000-00005F130000}"/>
    <cellStyle name="Обычный 3 11 2 4 5" xfId="1814" xr:uid="{00000000-0005-0000-0000-000060130000}"/>
    <cellStyle name="Обычный 3 11 2 4 5 2" xfId="5661" xr:uid="{00000000-0005-0000-0000-000061130000}"/>
    <cellStyle name="Обычный 3 11 2 4 6" xfId="2107" xr:uid="{00000000-0005-0000-0000-000062130000}"/>
    <cellStyle name="Обычный 3 11 2 4 6 2" xfId="5957" xr:uid="{00000000-0005-0000-0000-000063130000}"/>
    <cellStyle name="Обычный 3 11 2 4 7" xfId="2402" xr:uid="{00000000-0005-0000-0000-000064130000}"/>
    <cellStyle name="Обычный 3 11 2 4 7 2" xfId="6253" xr:uid="{00000000-0005-0000-0000-000065130000}"/>
    <cellStyle name="Обычный 3 11 2 4 8" xfId="2698" xr:uid="{00000000-0005-0000-0000-000066130000}"/>
    <cellStyle name="Обычный 3 11 2 4 8 2" xfId="6549" xr:uid="{00000000-0005-0000-0000-000067130000}"/>
    <cellStyle name="Обычный 3 11 2 4 9" xfId="2994" xr:uid="{00000000-0005-0000-0000-000068130000}"/>
    <cellStyle name="Обычный 3 11 2 4 9 2" xfId="6845" xr:uid="{00000000-0005-0000-0000-000069130000}"/>
    <cellStyle name="Обычный 3 11 2 5" xfId="893" xr:uid="{00000000-0005-0000-0000-00006A130000}"/>
    <cellStyle name="Обычный 3 11 2 5 2" xfId="8637" xr:uid="{00000000-0005-0000-0000-00006B130000}"/>
    <cellStyle name="Обычный 3 11 2 5 3" xfId="4625" xr:uid="{00000000-0005-0000-0000-00006C130000}"/>
    <cellStyle name="Обычный 3 11 2 6" xfId="894" xr:uid="{00000000-0005-0000-0000-00006D130000}"/>
    <cellStyle name="Обычный 3 11 2 6 2" xfId="8638" xr:uid="{00000000-0005-0000-0000-00006E130000}"/>
    <cellStyle name="Обычный 3 11 2 6 3" xfId="4921" xr:uid="{00000000-0005-0000-0000-00006F130000}"/>
    <cellStyle name="Обычный 3 11 2 7" xfId="1378" xr:uid="{00000000-0005-0000-0000-000070130000}"/>
    <cellStyle name="Обычный 3 11 2 7 2" xfId="5217" xr:uid="{00000000-0005-0000-0000-000071130000}"/>
    <cellStyle name="Обычный 3 11 2 8" xfId="1667" xr:uid="{00000000-0005-0000-0000-000072130000}"/>
    <cellStyle name="Обычный 3 11 2 8 2" xfId="5513" xr:uid="{00000000-0005-0000-0000-000073130000}"/>
    <cellStyle name="Обычный 3 11 2 9" xfId="1960" xr:uid="{00000000-0005-0000-0000-000074130000}"/>
    <cellStyle name="Обычный 3 11 2 9 2" xfId="5809" xr:uid="{00000000-0005-0000-0000-000075130000}"/>
    <cellStyle name="Обычный 3 11 3" xfId="150" xr:uid="{00000000-0005-0000-0000-000076130000}"/>
    <cellStyle name="Обычный 3 11 3 10" xfId="2872" xr:uid="{00000000-0005-0000-0000-000077130000}"/>
    <cellStyle name="Обычный 3 11 3 10 2" xfId="6723" xr:uid="{00000000-0005-0000-0000-000078130000}"/>
    <cellStyle name="Обычный 3 11 3 11" xfId="3168" xr:uid="{00000000-0005-0000-0000-000079130000}"/>
    <cellStyle name="Обычный 3 11 3 11 2" xfId="7019" xr:uid="{00000000-0005-0000-0000-00007A130000}"/>
    <cellStyle name="Обычный 3 11 3 12" xfId="3464" xr:uid="{00000000-0005-0000-0000-00007B130000}"/>
    <cellStyle name="Обычный 3 11 3 12 2" xfId="7315" xr:uid="{00000000-0005-0000-0000-00007C130000}"/>
    <cellStyle name="Обычный 3 11 3 13" xfId="3760" xr:uid="{00000000-0005-0000-0000-00007D130000}"/>
    <cellStyle name="Обычный 3 11 3 13 2" xfId="7611" xr:uid="{00000000-0005-0000-0000-00007E130000}"/>
    <cellStyle name="Обычный 3 11 3 14" xfId="4056" xr:uid="{00000000-0005-0000-0000-00007F130000}"/>
    <cellStyle name="Обычный 3 11 3 14 2" xfId="7907" xr:uid="{00000000-0005-0000-0000-000080130000}"/>
    <cellStyle name="Обычный 3 11 3 15" xfId="8205" xr:uid="{00000000-0005-0000-0000-000081130000}"/>
    <cellStyle name="Обычный 3 11 3 16" xfId="4353" xr:uid="{00000000-0005-0000-0000-000082130000}"/>
    <cellStyle name="Обычный 3 11 3 2" xfId="253" xr:uid="{00000000-0005-0000-0000-000083130000}"/>
    <cellStyle name="Обычный 3 11 3 2 10" xfId="3316" xr:uid="{00000000-0005-0000-0000-000084130000}"/>
    <cellStyle name="Обычный 3 11 3 2 10 2" xfId="7167" xr:uid="{00000000-0005-0000-0000-000085130000}"/>
    <cellStyle name="Обычный 3 11 3 2 11" xfId="3612" xr:uid="{00000000-0005-0000-0000-000086130000}"/>
    <cellStyle name="Обычный 3 11 3 2 11 2" xfId="7463" xr:uid="{00000000-0005-0000-0000-000087130000}"/>
    <cellStyle name="Обычный 3 11 3 2 12" xfId="3908" xr:uid="{00000000-0005-0000-0000-000088130000}"/>
    <cellStyle name="Обычный 3 11 3 2 12 2" xfId="7759" xr:uid="{00000000-0005-0000-0000-000089130000}"/>
    <cellStyle name="Обычный 3 11 3 2 13" xfId="4204" xr:uid="{00000000-0005-0000-0000-00008A130000}"/>
    <cellStyle name="Обычный 3 11 3 2 13 2" xfId="8055" xr:uid="{00000000-0005-0000-0000-00008B130000}"/>
    <cellStyle name="Обычный 3 11 3 2 14" xfId="8306" xr:uid="{00000000-0005-0000-0000-00008C130000}"/>
    <cellStyle name="Обычный 3 11 3 2 15" xfId="4503" xr:uid="{00000000-0005-0000-0000-00008D130000}"/>
    <cellStyle name="Обычный 3 11 3 2 2" xfId="895" xr:uid="{00000000-0005-0000-0000-00008E130000}"/>
    <cellStyle name="Обычный 3 11 3 2 2 2" xfId="8639" xr:uid="{00000000-0005-0000-0000-00008F130000}"/>
    <cellStyle name="Обычный 3 11 3 2 2 3" xfId="4799" xr:uid="{00000000-0005-0000-0000-000090130000}"/>
    <cellStyle name="Обычный 3 11 3 2 3" xfId="1262" xr:uid="{00000000-0005-0000-0000-000091130000}"/>
    <cellStyle name="Обычный 3 11 3 2 3 2" xfId="5095" xr:uid="{00000000-0005-0000-0000-000092130000}"/>
    <cellStyle name="Обычный 3 11 3 2 4" xfId="1548" xr:uid="{00000000-0005-0000-0000-000093130000}"/>
    <cellStyle name="Обычный 3 11 3 2 4 2" xfId="5391" xr:uid="{00000000-0005-0000-0000-000094130000}"/>
    <cellStyle name="Обычный 3 11 3 2 5" xfId="1840" xr:uid="{00000000-0005-0000-0000-000095130000}"/>
    <cellStyle name="Обычный 3 11 3 2 5 2" xfId="5687" xr:uid="{00000000-0005-0000-0000-000096130000}"/>
    <cellStyle name="Обычный 3 11 3 2 6" xfId="2133" xr:uid="{00000000-0005-0000-0000-000097130000}"/>
    <cellStyle name="Обычный 3 11 3 2 6 2" xfId="5983" xr:uid="{00000000-0005-0000-0000-000098130000}"/>
    <cellStyle name="Обычный 3 11 3 2 7" xfId="2428" xr:uid="{00000000-0005-0000-0000-000099130000}"/>
    <cellStyle name="Обычный 3 11 3 2 7 2" xfId="6279" xr:uid="{00000000-0005-0000-0000-00009A130000}"/>
    <cellStyle name="Обычный 3 11 3 2 8" xfId="2724" xr:uid="{00000000-0005-0000-0000-00009B130000}"/>
    <cellStyle name="Обычный 3 11 3 2 8 2" xfId="6575" xr:uid="{00000000-0005-0000-0000-00009C130000}"/>
    <cellStyle name="Обычный 3 11 3 2 9" xfId="3020" xr:uid="{00000000-0005-0000-0000-00009D130000}"/>
    <cellStyle name="Обычный 3 11 3 2 9 2" xfId="6871" xr:uid="{00000000-0005-0000-0000-00009E130000}"/>
    <cellStyle name="Обычный 3 11 3 3" xfId="354" xr:uid="{00000000-0005-0000-0000-00009F130000}"/>
    <cellStyle name="Обычный 3 11 3 3 2" xfId="896" xr:uid="{00000000-0005-0000-0000-0000A0130000}"/>
    <cellStyle name="Обычный 3 11 3 3 3" xfId="8406" xr:uid="{00000000-0005-0000-0000-0000A1130000}"/>
    <cellStyle name="Обычный 3 11 3 3 4" xfId="4651" xr:uid="{00000000-0005-0000-0000-0000A2130000}"/>
    <cellStyle name="Обычный 3 11 3 4" xfId="897" xr:uid="{00000000-0005-0000-0000-0000A3130000}"/>
    <cellStyle name="Обычный 3 11 3 4 2" xfId="8640" xr:uid="{00000000-0005-0000-0000-0000A4130000}"/>
    <cellStyle name="Обычный 3 11 3 4 3" xfId="4947" xr:uid="{00000000-0005-0000-0000-0000A5130000}"/>
    <cellStyle name="Обычный 3 11 3 5" xfId="1404" xr:uid="{00000000-0005-0000-0000-0000A6130000}"/>
    <cellStyle name="Обычный 3 11 3 5 2" xfId="5243" xr:uid="{00000000-0005-0000-0000-0000A7130000}"/>
    <cellStyle name="Обычный 3 11 3 6" xfId="1693" xr:uid="{00000000-0005-0000-0000-0000A8130000}"/>
    <cellStyle name="Обычный 3 11 3 6 2" xfId="5539" xr:uid="{00000000-0005-0000-0000-0000A9130000}"/>
    <cellStyle name="Обычный 3 11 3 7" xfId="1986" xr:uid="{00000000-0005-0000-0000-0000AA130000}"/>
    <cellStyle name="Обычный 3 11 3 7 2" xfId="5835" xr:uid="{00000000-0005-0000-0000-0000AB130000}"/>
    <cellStyle name="Обычный 3 11 3 8" xfId="2280" xr:uid="{00000000-0005-0000-0000-0000AC130000}"/>
    <cellStyle name="Обычный 3 11 3 8 2" xfId="6131" xr:uid="{00000000-0005-0000-0000-0000AD130000}"/>
    <cellStyle name="Обычный 3 11 3 9" xfId="2576" xr:uid="{00000000-0005-0000-0000-0000AE130000}"/>
    <cellStyle name="Обычный 3 11 3 9 2" xfId="6427" xr:uid="{00000000-0005-0000-0000-0000AF130000}"/>
    <cellStyle name="Обычный 3 11 4" xfId="203" xr:uid="{00000000-0005-0000-0000-0000B0130000}"/>
    <cellStyle name="Обычный 3 11 4 10" xfId="2922" xr:uid="{00000000-0005-0000-0000-0000B1130000}"/>
    <cellStyle name="Обычный 3 11 4 10 2" xfId="6773" xr:uid="{00000000-0005-0000-0000-0000B2130000}"/>
    <cellStyle name="Обычный 3 11 4 11" xfId="3218" xr:uid="{00000000-0005-0000-0000-0000B3130000}"/>
    <cellStyle name="Обычный 3 11 4 11 2" xfId="7069" xr:uid="{00000000-0005-0000-0000-0000B4130000}"/>
    <cellStyle name="Обычный 3 11 4 12" xfId="3514" xr:uid="{00000000-0005-0000-0000-0000B5130000}"/>
    <cellStyle name="Обычный 3 11 4 12 2" xfId="7365" xr:uid="{00000000-0005-0000-0000-0000B6130000}"/>
    <cellStyle name="Обычный 3 11 4 13" xfId="3810" xr:uid="{00000000-0005-0000-0000-0000B7130000}"/>
    <cellStyle name="Обычный 3 11 4 13 2" xfId="7661" xr:uid="{00000000-0005-0000-0000-0000B8130000}"/>
    <cellStyle name="Обычный 3 11 4 14" xfId="4106" xr:uid="{00000000-0005-0000-0000-0000B9130000}"/>
    <cellStyle name="Обычный 3 11 4 14 2" xfId="7957" xr:uid="{00000000-0005-0000-0000-0000BA130000}"/>
    <cellStyle name="Обычный 3 11 4 15" xfId="8256" xr:uid="{00000000-0005-0000-0000-0000BB130000}"/>
    <cellStyle name="Обычный 3 11 4 16" xfId="4404" xr:uid="{00000000-0005-0000-0000-0000BC130000}"/>
    <cellStyle name="Обычный 3 11 4 2" xfId="898" xr:uid="{00000000-0005-0000-0000-0000BD130000}"/>
    <cellStyle name="Обычный 3 11 4 2 10" xfId="3366" xr:uid="{00000000-0005-0000-0000-0000BE130000}"/>
    <cellStyle name="Обычный 3 11 4 2 10 2" xfId="7217" xr:uid="{00000000-0005-0000-0000-0000BF130000}"/>
    <cellStyle name="Обычный 3 11 4 2 11" xfId="3662" xr:uid="{00000000-0005-0000-0000-0000C0130000}"/>
    <cellStyle name="Обычный 3 11 4 2 11 2" xfId="7513" xr:uid="{00000000-0005-0000-0000-0000C1130000}"/>
    <cellStyle name="Обычный 3 11 4 2 12" xfId="3958" xr:uid="{00000000-0005-0000-0000-0000C2130000}"/>
    <cellStyle name="Обычный 3 11 4 2 12 2" xfId="7809" xr:uid="{00000000-0005-0000-0000-0000C3130000}"/>
    <cellStyle name="Обычный 3 11 4 2 13" xfId="4254" xr:uid="{00000000-0005-0000-0000-0000C4130000}"/>
    <cellStyle name="Обычный 3 11 4 2 13 2" xfId="8105" xr:uid="{00000000-0005-0000-0000-0000C5130000}"/>
    <cellStyle name="Обычный 3 11 4 2 14" xfId="8641" xr:uid="{00000000-0005-0000-0000-0000C6130000}"/>
    <cellStyle name="Обычный 3 11 4 2 15" xfId="4553" xr:uid="{00000000-0005-0000-0000-0000C7130000}"/>
    <cellStyle name="Обычный 3 11 4 2 2" xfId="1121" xr:uid="{00000000-0005-0000-0000-0000C8130000}"/>
    <cellStyle name="Обычный 3 11 4 2 2 2" xfId="4849" xr:uid="{00000000-0005-0000-0000-0000C9130000}"/>
    <cellStyle name="Обычный 3 11 4 2 3" xfId="1310" xr:uid="{00000000-0005-0000-0000-0000CA130000}"/>
    <cellStyle name="Обычный 3 11 4 2 3 2" xfId="5145" xr:uid="{00000000-0005-0000-0000-0000CB130000}"/>
    <cellStyle name="Обычный 3 11 4 2 4" xfId="1597" xr:uid="{00000000-0005-0000-0000-0000CC130000}"/>
    <cellStyle name="Обычный 3 11 4 2 4 2" xfId="5441" xr:uid="{00000000-0005-0000-0000-0000CD130000}"/>
    <cellStyle name="Обычный 3 11 4 2 5" xfId="1890" xr:uid="{00000000-0005-0000-0000-0000CE130000}"/>
    <cellStyle name="Обычный 3 11 4 2 5 2" xfId="5737" xr:uid="{00000000-0005-0000-0000-0000CF130000}"/>
    <cellStyle name="Обычный 3 11 4 2 6" xfId="2183" xr:uid="{00000000-0005-0000-0000-0000D0130000}"/>
    <cellStyle name="Обычный 3 11 4 2 6 2" xfId="6033" xr:uid="{00000000-0005-0000-0000-0000D1130000}"/>
    <cellStyle name="Обычный 3 11 4 2 7" xfId="2478" xr:uid="{00000000-0005-0000-0000-0000D2130000}"/>
    <cellStyle name="Обычный 3 11 4 2 7 2" xfId="6329" xr:uid="{00000000-0005-0000-0000-0000D3130000}"/>
    <cellStyle name="Обычный 3 11 4 2 8" xfId="2774" xr:uid="{00000000-0005-0000-0000-0000D4130000}"/>
    <cellStyle name="Обычный 3 11 4 2 8 2" xfId="6625" xr:uid="{00000000-0005-0000-0000-0000D5130000}"/>
    <cellStyle name="Обычный 3 11 4 2 9" xfId="3070" xr:uid="{00000000-0005-0000-0000-0000D6130000}"/>
    <cellStyle name="Обычный 3 11 4 2 9 2" xfId="6921" xr:uid="{00000000-0005-0000-0000-0000D7130000}"/>
    <cellStyle name="Обычный 3 11 4 3" xfId="1074" xr:uid="{00000000-0005-0000-0000-0000D8130000}"/>
    <cellStyle name="Обычный 3 11 4 3 2" xfId="4701" xr:uid="{00000000-0005-0000-0000-0000D9130000}"/>
    <cellStyle name="Обычный 3 11 4 4" xfId="1168" xr:uid="{00000000-0005-0000-0000-0000DA130000}"/>
    <cellStyle name="Обычный 3 11 4 4 2" xfId="4997" xr:uid="{00000000-0005-0000-0000-0000DB130000}"/>
    <cellStyle name="Обычный 3 11 4 5" xfId="1451" xr:uid="{00000000-0005-0000-0000-0000DC130000}"/>
    <cellStyle name="Обычный 3 11 4 5 2" xfId="5293" xr:uid="{00000000-0005-0000-0000-0000DD130000}"/>
    <cellStyle name="Обычный 3 11 4 6" xfId="1742" xr:uid="{00000000-0005-0000-0000-0000DE130000}"/>
    <cellStyle name="Обычный 3 11 4 6 2" xfId="5589" xr:uid="{00000000-0005-0000-0000-0000DF130000}"/>
    <cellStyle name="Обычный 3 11 4 7" xfId="2035" xr:uid="{00000000-0005-0000-0000-0000E0130000}"/>
    <cellStyle name="Обычный 3 11 4 7 2" xfId="5885" xr:uid="{00000000-0005-0000-0000-0000E1130000}"/>
    <cellStyle name="Обычный 3 11 4 8" xfId="2330" xr:uid="{00000000-0005-0000-0000-0000E2130000}"/>
    <cellStyle name="Обычный 3 11 4 8 2" xfId="6181" xr:uid="{00000000-0005-0000-0000-0000E3130000}"/>
    <cellStyle name="Обычный 3 11 4 9" xfId="2626" xr:uid="{00000000-0005-0000-0000-0000E4130000}"/>
    <cellStyle name="Обычный 3 11 4 9 2" xfId="6477" xr:uid="{00000000-0005-0000-0000-0000E5130000}"/>
    <cellStyle name="Обычный 3 11 5" xfId="304" xr:uid="{00000000-0005-0000-0000-0000E6130000}"/>
    <cellStyle name="Обычный 3 11 5 10" xfId="3268" xr:uid="{00000000-0005-0000-0000-0000E7130000}"/>
    <cellStyle name="Обычный 3 11 5 10 2" xfId="7119" xr:uid="{00000000-0005-0000-0000-0000E8130000}"/>
    <cellStyle name="Обычный 3 11 5 11" xfId="3564" xr:uid="{00000000-0005-0000-0000-0000E9130000}"/>
    <cellStyle name="Обычный 3 11 5 11 2" xfId="7415" xr:uid="{00000000-0005-0000-0000-0000EA130000}"/>
    <cellStyle name="Обычный 3 11 5 12" xfId="3860" xr:uid="{00000000-0005-0000-0000-0000EB130000}"/>
    <cellStyle name="Обычный 3 11 5 12 2" xfId="7711" xr:uid="{00000000-0005-0000-0000-0000EC130000}"/>
    <cellStyle name="Обычный 3 11 5 13" xfId="4156" xr:uid="{00000000-0005-0000-0000-0000ED130000}"/>
    <cellStyle name="Обычный 3 11 5 13 2" xfId="8007" xr:uid="{00000000-0005-0000-0000-0000EE130000}"/>
    <cellStyle name="Обычный 3 11 5 14" xfId="8356" xr:uid="{00000000-0005-0000-0000-0000EF130000}"/>
    <cellStyle name="Обычный 3 11 5 15" xfId="4455" xr:uid="{00000000-0005-0000-0000-0000F0130000}"/>
    <cellStyle name="Обычный 3 11 5 2" xfId="899" xr:uid="{00000000-0005-0000-0000-0000F1130000}"/>
    <cellStyle name="Обычный 3 11 5 2 2" xfId="8642" xr:uid="{00000000-0005-0000-0000-0000F2130000}"/>
    <cellStyle name="Обычный 3 11 5 2 3" xfId="4751" xr:uid="{00000000-0005-0000-0000-0000F3130000}"/>
    <cellStyle name="Обычный 3 11 5 3" xfId="1215" xr:uid="{00000000-0005-0000-0000-0000F4130000}"/>
    <cellStyle name="Обычный 3 11 5 3 2" xfId="5047" xr:uid="{00000000-0005-0000-0000-0000F5130000}"/>
    <cellStyle name="Обычный 3 11 5 4" xfId="1500" xr:uid="{00000000-0005-0000-0000-0000F6130000}"/>
    <cellStyle name="Обычный 3 11 5 4 2" xfId="5343" xr:uid="{00000000-0005-0000-0000-0000F7130000}"/>
    <cellStyle name="Обычный 3 11 5 5" xfId="1792" xr:uid="{00000000-0005-0000-0000-0000F8130000}"/>
    <cellStyle name="Обычный 3 11 5 5 2" xfId="5639" xr:uid="{00000000-0005-0000-0000-0000F9130000}"/>
    <cellStyle name="Обычный 3 11 5 6" xfId="2085" xr:uid="{00000000-0005-0000-0000-0000FA130000}"/>
    <cellStyle name="Обычный 3 11 5 6 2" xfId="5935" xr:uid="{00000000-0005-0000-0000-0000FB130000}"/>
    <cellStyle name="Обычный 3 11 5 7" xfId="2380" xr:uid="{00000000-0005-0000-0000-0000FC130000}"/>
    <cellStyle name="Обычный 3 11 5 7 2" xfId="6231" xr:uid="{00000000-0005-0000-0000-0000FD130000}"/>
    <cellStyle name="Обычный 3 11 5 8" xfId="2676" xr:uid="{00000000-0005-0000-0000-0000FE130000}"/>
    <cellStyle name="Обычный 3 11 5 8 2" xfId="6527" xr:uid="{00000000-0005-0000-0000-0000FF130000}"/>
    <cellStyle name="Обычный 3 11 5 9" xfId="2972" xr:uid="{00000000-0005-0000-0000-000000140000}"/>
    <cellStyle name="Обычный 3 11 5 9 2" xfId="6823" xr:uid="{00000000-0005-0000-0000-000001140000}"/>
    <cellStyle name="Обычный 3 11 6" xfId="900" xr:uid="{00000000-0005-0000-0000-000002140000}"/>
    <cellStyle name="Обычный 3 11 6 2" xfId="8643" xr:uid="{00000000-0005-0000-0000-000003140000}"/>
    <cellStyle name="Обычный 3 11 6 3" xfId="4603" xr:uid="{00000000-0005-0000-0000-000004140000}"/>
    <cellStyle name="Обычный 3 11 7" xfId="901" xr:uid="{00000000-0005-0000-0000-000005140000}"/>
    <cellStyle name="Обычный 3 11 7 2" xfId="8644" xr:uid="{00000000-0005-0000-0000-000006140000}"/>
    <cellStyle name="Обычный 3 11 7 3" xfId="4899" xr:uid="{00000000-0005-0000-0000-000007140000}"/>
    <cellStyle name="Обычный 3 11 8" xfId="1357" xr:uid="{00000000-0005-0000-0000-000008140000}"/>
    <cellStyle name="Обычный 3 11 8 2" xfId="5195" xr:uid="{00000000-0005-0000-0000-000009140000}"/>
    <cellStyle name="Обычный 3 11 9" xfId="1646" xr:uid="{00000000-0005-0000-0000-00000A140000}"/>
    <cellStyle name="Обычный 3 11 9 2" xfId="5491" xr:uid="{00000000-0005-0000-0000-00000B140000}"/>
    <cellStyle name="Обычный 3 12" xfId="117" xr:uid="{00000000-0005-0000-0000-00000C140000}"/>
    <cellStyle name="Обычный 3 12 10" xfId="2252" xr:uid="{00000000-0005-0000-0000-00000D140000}"/>
    <cellStyle name="Обычный 3 12 10 2" xfId="6103" xr:uid="{00000000-0005-0000-0000-00000E140000}"/>
    <cellStyle name="Обычный 3 12 11" xfId="2548" xr:uid="{00000000-0005-0000-0000-00000F140000}"/>
    <cellStyle name="Обычный 3 12 11 2" xfId="6399" xr:uid="{00000000-0005-0000-0000-000010140000}"/>
    <cellStyle name="Обычный 3 12 12" xfId="2844" xr:uid="{00000000-0005-0000-0000-000011140000}"/>
    <cellStyle name="Обычный 3 12 12 2" xfId="6695" xr:uid="{00000000-0005-0000-0000-000012140000}"/>
    <cellStyle name="Обычный 3 12 13" xfId="3140" xr:uid="{00000000-0005-0000-0000-000013140000}"/>
    <cellStyle name="Обычный 3 12 13 2" xfId="6991" xr:uid="{00000000-0005-0000-0000-000014140000}"/>
    <cellStyle name="Обычный 3 12 14" xfId="3436" xr:uid="{00000000-0005-0000-0000-000015140000}"/>
    <cellStyle name="Обычный 3 12 14 2" xfId="7287" xr:uid="{00000000-0005-0000-0000-000016140000}"/>
    <cellStyle name="Обычный 3 12 15" xfId="3732" xr:uid="{00000000-0005-0000-0000-000017140000}"/>
    <cellStyle name="Обычный 3 12 15 2" xfId="7583" xr:uid="{00000000-0005-0000-0000-000018140000}"/>
    <cellStyle name="Обычный 3 12 16" xfId="4028" xr:uid="{00000000-0005-0000-0000-000019140000}"/>
    <cellStyle name="Обычный 3 12 16 2" xfId="7879" xr:uid="{00000000-0005-0000-0000-00001A140000}"/>
    <cellStyle name="Обычный 3 12 17" xfId="8175" xr:uid="{00000000-0005-0000-0000-00001B140000}"/>
    <cellStyle name="Обычный 3 12 18" xfId="4324" xr:uid="{00000000-0005-0000-0000-00001C140000}"/>
    <cellStyle name="Обычный 3 12 2" xfId="170" xr:uid="{00000000-0005-0000-0000-00001D140000}"/>
    <cellStyle name="Обычный 3 12 2 10" xfId="2892" xr:uid="{00000000-0005-0000-0000-00001E140000}"/>
    <cellStyle name="Обычный 3 12 2 10 2" xfId="6743" xr:uid="{00000000-0005-0000-0000-00001F140000}"/>
    <cellStyle name="Обычный 3 12 2 11" xfId="3188" xr:uid="{00000000-0005-0000-0000-000020140000}"/>
    <cellStyle name="Обычный 3 12 2 11 2" xfId="7039" xr:uid="{00000000-0005-0000-0000-000021140000}"/>
    <cellStyle name="Обычный 3 12 2 12" xfId="3484" xr:uid="{00000000-0005-0000-0000-000022140000}"/>
    <cellStyle name="Обычный 3 12 2 12 2" xfId="7335" xr:uid="{00000000-0005-0000-0000-000023140000}"/>
    <cellStyle name="Обычный 3 12 2 13" xfId="3780" xr:uid="{00000000-0005-0000-0000-000024140000}"/>
    <cellStyle name="Обычный 3 12 2 13 2" xfId="7631" xr:uid="{00000000-0005-0000-0000-000025140000}"/>
    <cellStyle name="Обычный 3 12 2 14" xfId="4076" xr:uid="{00000000-0005-0000-0000-000026140000}"/>
    <cellStyle name="Обычный 3 12 2 14 2" xfId="7927" xr:uid="{00000000-0005-0000-0000-000027140000}"/>
    <cellStyle name="Обычный 3 12 2 15" xfId="8225" xr:uid="{00000000-0005-0000-0000-000028140000}"/>
    <cellStyle name="Обычный 3 12 2 16" xfId="4373" xr:uid="{00000000-0005-0000-0000-000029140000}"/>
    <cellStyle name="Обычный 3 12 2 2" xfId="273" xr:uid="{00000000-0005-0000-0000-00002A140000}"/>
    <cellStyle name="Обычный 3 12 2 2 10" xfId="3336" xr:uid="{00000000-0005-0000-0000-00002B140000}"/>
    <cellStyle name="Обычный 3 12 2 2 10 2" xfId="7187" xr:uid="{00000000-0005-0000-0000-00002C140000}"/>
    <cellStyle name="Обычный 3 12 2 2 11" xfId="3632" xr:uid="{00000000-0005-0000-0000-00002D140000}"/>
    <cellStyle name="Обычный 3 12 2 2 11 2" xfId="7483" xr:uid="{00000000-0005-0000-0000-00002E140000}"/>
    <cellStyle name="Обычный 3 12 2 2 12" xfId="3928" xr:uid="{00000000-0005-0000-0000-00002F140000}"/>
    <cellStyle name="Обычный 3 12 2 2 12 2" xfId="7779" xr:uid="{00000000-0005-0000-0000-000030140000}"/>
    <cellStyle name="Обычный 3 12 2 2 13" xfId="4224" xr:uid="{00000000-0005-0000-0000-000031140000}"/>
    <cellStyle name="Обычный 3 12 2 2 13 2" xfId="8075" xr:uid="{00000000-0005-0000-0000-000032140000}"/>
    <cellStyle name="Обычный 3 12 2 2 14" xfId="8326" xr:uid="{00000000-0005-0000-0000-000033140000}"/>
    <cellStyle name="Обычный 3 12 2 2 15" xfId="4523" xr:uid="{00000000-0005-0000-0000-000034140000}"/>
    <cellStyle name="Обычный 3 12 2 2 2" xfId="902" xr:uid="{00000000-0005-0000-0000-000035140000}"/>
    <cellStyle name="Обычный 3 12 2 2 2 2" xfId="8645" xr:uid="{00000000-0005-0000-0000-000036140000}"/>
    <cellStyle name="Обычный 3 12 2 2 2 3" xfId="4819" xr:uid="{00000000-0005-0000-0000-000037140000}"/>
    <cellStyle name="Обычный 3 12 2 2 3" xfId="1281" xr:uid="{00000000-0005-0000-0000-000038140000}"/>
    <cellStyle name="Обычный 3 12 2 2 3 2" xfId="5115" xr:uid="{00000000-0005-0000-0000-000039140000}"/>
    <cellStyle name="Обычный 3 12 2 2 4" xfId="1567" xr:uid="{00000000-0005-0000-0000-00003A140000}"/>
    <cellStyle name="Обычный 3 12 2 2 4 2" xfId="5411" xr:uid="{00000000-0005-0000-0000-00003B140000}"/>
    <cellStyle name="Обычный 3 12 2 2 5" xfId="1860" xr:uid="{00000000-0005-0000-0000-00003C140000}"/>
    <cellStyle name="Обычный 3 12 2 2 5 2" xfId="5707" xr:uid="{00000000-0005-0000-0000-00003D140000}"/>
    <cellStyle name="Обычный 3 12 2 2 6" xfId="2153" xr:uid="{00000000-0005-0000-0000-00003E140000}"/>
    <cellStyle name="Обычный 3 12 2 2 6 2" xfId="6003" xr:uid="{00000000-0005-0000-0000-00003F140000}"/>
    <cellStyle name="Обычный 3 12 2 2 7" xfId="2448" xr:uid="{00000000-0005-0000-0000-000040140000}"/>
    <cellStyle name="Обычный 3 12 2 2 7 2" xfId="6299" xr:uid="{00000000-0005-0000-0000-000041140000}"/>
    <cellStyle name="Обычный 3 12 2 2 8" xfId="2744" xr:uid="{00000000-0005-0000-0000-000042140000}"/>
    <cellStyle name="Обычный 3 12 2 2 8 2" xfId="6595" xr:uid="{00000000-0005-0000-0000-000043140000}"/>
    <cellStyle name="Обычный 3 12 2 2 9" xfId="3040" xr:uid="{00000000-0005-0000-0000-000044140000}"/>
    <cellStyle name="Обычный 3 12 2 2 9 2" xfId="6891" xr:uid="{00000000-0005-0000-0000-000045140000}"/>
    <cellStyle name="Обычный 3 12 2 3" xfId="374" xr:uid="{00000000-0005-0000-0000-000046140000}"/>
    <cellStyle name="Обычный 3 12 2 3 2" xfId="903" xr:uid="{00000000-0005-0000-0000-000047140000}"/>
    <cellStyle name="Обычный 3 12 2 3 3" xfId="8426" xr:uid="{00000000-0005-0000-0000-000048140000}"/>
    <cellStyle name="Обычный 3 12 2 3 4" xfId="4671" xr:uid="{00000000-0005-0000-0000-000049140000}"/>
    <cellStyle name="Обычный 3 12 2 4" xfId="904" xr:uid="{00000000-0005-0000-0000-00004A140000}"/>
    <cellStyle name="Обычный 3 12 2 4 2" xfId="8646" xr:uid="{00000000-0005-0000-0000-00004B140000}"/>
    <cellStyle name="Обычный 3 12 2 4 3" xfId="4967" xr:uid="{00000000-0005-0000-0000-00004C140000}"/>
    <cellStyle name="Обычный 3 12 2 5" xfId="1423" xr:uid="{00000000-0005-0000-0000-00004D140000}"/>
    <cellStyle name="Обычный 3 12 2 5 2" xfId="5263" xr:uid="{00000000-0005-0000-0000-00004E140000}"/>
    <cellStyle name="Обычный 3 12 2 6" xfId="1713" xr:uid="{00000000-0005-0000-0000-00004F140000}"/>
    <cellStyle name="Обычный 3 12 2 6 2" xfId="5559" xr:uid="{00000000-0005-0000-0000-000050140000}"/>
    <cellStyle name="Обычный 3 12 2 7" xfId="2005" xr:uid="{00000000-0005-0000-0000-000051140000}"/>
    <cellStyle name="Обычный 3 12 2 7 2" xfId="5855" xr:uid="{00000000-0005-0000-0000-000052140000}"/>
    <cellStyle name="Обычный 3 12 2 8" xfId="2300" xr:uid="{00000000-0005-0000-0000-000053140000}"/>
    <cellStyle name="Обычный 3 12 2 8 2" xfId="6151" xr:uid="{00000000-0005-0000-0000-000054140000}"/>
    <cellStyle name="Обычный 3 12 2 9" xfId="2596" xr:uid="{00000000-0005-0000-0000-000055140000}"/>
    <cellStyle name="Обычный 3 12 2 9 2" xfId="6447" xr:uid="{00000000-0005-0000-0000-000056140000}"/>
    <cellStyle name="Обычный 3 12 3" xfId="223" xr:uid="{00000000-0005-0000-0000-000057140000}"/>
    <cellStyle name="Обычный 3 12 3 10" xfId="2942" xr:uid="{00000000-0005-0000-0000-000058140000}"/>
    <cellStyle name="Обычный 3 12 3 10 2" xfId="6793" xr:uid="{00000000-0005-0000-0000-000059140000}"/>
    <cellStyle name="Обычный 3 12 3 11" xfId="3238" xr:uid="{00000000-0005-0000-0000-00005A140000}"/>
    <cellStyle name="Обычный 3 12 3 11 2" xfId="7089" xr:uid="{00000000-0005-0000-0000-00005B140000}"/>
    <cellStyle name="Обычный 3 12 3 12" xfId="3534" xr:uid="{00000000-0005-0000-0000-00005C140000}"/>
    <cellStyle name="Обычный 3 12 3 12 2" xfId="7385" xr:uid="{00000000-0005-0000-0000-00005D140000}"/>
    <cellStyle name="Обычный 3 12 3 13" xfId="3830" xr:uid="{00000000-0005-0000-0000-00005E140000}"/>
    <cellStyle name="Обычный 3 12 3 13 2" xfId="7681" xr:uid="{00000000-0005-0000-0000-00005F140000}"/>
    <cellStyle name="Обычный 3 12 3 14" xfId="4126" xr:uid="{00000000-0005-0000-0000-000060140000}"/>
    <cellStyle name="Обычный 3 12 3 14 2" xfId="7977" xr:uid="{00000000-0005-0000-0000-000061140000}"/>
    <cellStyle name="Обычный 3 12 3 15" xfId="8276" xr:uid="{00000000-0005-0000-0000-000062140000}"/>
    <cellStyle name="Обычный 3 12 3 16" xfId="4424" xr:uid="{00000000-0005-0000-0000-000063140000}"/>
    <cellStyle name="Обычный 3 12 3 2" xfId="905" xr:uid="{00000000-0005-0000-0000-000064140000}"/>
    <cellStyle name="Обычный 3 12 3 2 10" xfId="3386" xr:uid="{00000000-0005-0000-0000-000065140000}"/>
    <cellStyle name="Обычный 3 12 3 2 10 2" xfId="7237" xr:uid="{00000000-0005-0000-0000-000066140000}"/>
    <cellStyle name="Обычный 3 12 3 2 11" xfId="3682" xr:uid="{00000000-0005-0000-0000-000067140000}"/>
    <cellStyle name="Обычный 3 12 3 2 11 2" xfId="7533" xr:uid="{00000000-0005-0000-0000-000068140000}"/>
    <cellStyle name="Обычный 3 12 3 2 12" xfId="3978" xr:uid="{00000000-0005-0000-0000-000069140000}"/>
    <cellStyle name="Обычный 3 12 3 2 12 2" xfId="7829" xr:uid="{00000000-0005-0000-0000-00006A140000}"/>
    <cellStyle name="Обычный 3 12 3 2 13" xfId="4274" xr:uid="{00000000-0005-0000-0000-00006B140000}"/>
    <cellStyle name="Обычный 3 12 3 2 13 2" xfId="8125" xr:uid="{00000000-0005-0000-0000-00006C140000}"/>
    <cellStyle name="Обычный 3 12 3 2 14" xfId="8647" xr:uid="{00000000-0005-0000-0000-00006D140000}"/>
    <cellStyle name="Обычный 3 12 3 2 15" xfId="4573" xr:uid="{00000000-0005-0000-0000-00006E140000}"/>
    <cellStyle name="Обычный 3 12 3 2 2" xfId="1140" xr:uid="{00000000-0005-0000-0000-00006F140000}"/>
    <cellStyle name="Обычный 3 12 3 2 2 2" xfId="4869" xr:uid="{00000000-0005-0000-0000-000070140000}"/>
    <cellStyle name="Обычный 3 12 3 2 3" xfId="1329" xr:uid="{00000000-0005-0000-0000-000071140000}"/>
    <cellStyle name="Обычный 3 12 3 2 3 2" xfId="5165" xr:uid="{00000000-0005-0000-0000-000072140000}"/>
    <cellStyle name="Обычный 3 12 3 2 4" xfId="1616" xr:uid="{00000000-0005-0000-0000-000073140000}"/>
    <cellStyle name="Обычный 3 12 3 2 4 2" xfId="5461" xr:uid="{00000000-0005-0000-0000-000074140000}"/>
    <cellStyle name="Обычный 3 12 3 2 5" xfId="1909" xr:uid="{00000000-0005-0000-0000-000075140000}"/>
    <cellStyle name="Обычный 3 12 3 2 5 2" xfId="5757" xr:uid="{00000000-0005-0000-0000-000076140000}"/>
    <cellStyle name="Обычный 3 12 3 2 6" xfId="2203" xr:uid="{00000000-0005-0000-0000-000077140000}"/>
    <cellStyle name="Обычный 3 12 3 2 6 2" xfId="6053" xr:uid="{00000000-0005-0000-0000-000078140000}"/>
    <cellStyle name="Обычный 3 12 3 2 7" xfId="2498" xr:uid="{00000000-0005-0000-0000-000079140000}"/>
    <cellStyle name="Обычный 3 12 3 2 7 2" xfId="6349" xr:uid="{00000000-0005-0000-0000-00007A140000}"/>
    <cellStyle name="Обычный 3 12 3 2 8" xfId="2794" xr:uid="{00000000-0005-0000-0000-00007B140000}"/>
    <cellStyle name="Обычный 3 12 3 2 8 2" xfId="6645" xr:uid="{00000000-0005-0000-0000-00007C140000}"/>
    <cellStyle name="Обычный 3 12 3 2 9" xfId="3090" xr:uid="{00000000-0005-0000-0000-00007D140000}"/>
    <cellStyle name="Обычный 3 12 3 2 9 2" xfId="6941" xr:uid="{00000000-0005-0000-0000-00007E140000}"/>
    <cellStyle name="Обычный 3 12 3 3" xfId="1093" xr:uid="{00000000-0005-0000-0000-00007F140000}"/>
    <cellStyle name="Обычный 3 12 3 3 2" xfId="4721" xr:uid="{00000000-0005-0000-0000-000080140000}"/>
    <cellStyle name="Обычный 3 12 3 4" xfId="1187" xr:uid="{00000000-0005-0000-0000-000081140000}"/>
    <cellStyle name="Обычный 3 12 3 4 2" xfId="5017" xr:uid="{00000000-0005-0000-0000-000082140000}"/>
    <cellStyle name="Обычный 3 12 3 5" xfId="1471" xr:uid="{00000000-0005-0000-0000-000083140000}"/>
    <cellStyle name="Обычный 3 12 3 5 2" xfId="5313" xr:uid="{00000000-0005-0000-0000-000084140000}"/>
    <cellStyle name="Обычный 3 12 3 6" xfId="1762" xr:uid="{00000000-0005-0000-0000-000085140000}"/>
    <cellStyle name="Обычный 3 12 3 6 2" xfId="5609" xr:uid="{00000000-0005-0000-0000-000086140000}"/>
    <cellStyle name="Обычный 3 12 3 7" xfId="2055" xr:uid="{00000000-0005-0000-0000-000087140000}"/>
    <cellStyle name="Обычный 3 12 3 7 2" xfId="5905" xr:uid="{00000000-0005-0000-0000-000088140000}"/>
    <cellStyle name="Обычный 3 12 3 8" xfId="2350" xr:uid="{00000000-0005-0000-0000-000089140000}"/>
    <cellStyle name="Обычный 3 12 3 8 2" xfId="6201" xr:uid="{00000000-0005-0000-0000-00008A140000}"/>
    <cellStyle name="Обычный 3 12 3 9" xfId="2646" xr:uid="{00000000-0005-0000-0000-00008B140000}"/>
    <cellStyle name="Обычный 3 12 3 9 2" xfId="6497" xr:uid="{00000000-0005-0000-0000-00008C140000}"/>
    <cellStyle name="Обычный 3 12 4" xfId="324" xr:uid="{00000000-0005-0000-0000-00008D140000}"/>
    <cellStyle name="Обычный 3 12 4 10" xfId="3288" xr:uid="{00000000-0005-0000-0000-00008E140000}"/>
    <cellStyle name="Обычный 3 12 4 10 2" xfId="7139" xr:uid="{00000000-0005-0000-0000-00008F140000}"/>
    <cellStyle name="Обычный 3 12 4 11" xfId="3584" xr:uid="{00000000-0005-0000-0000-000090140000}"/>
    <cellStyle name="Обычный 3 12 4 11 2" xfId="7435" xr:uid="{00000000-0005-0000-0000-000091140000}"/>
    <cellStyle name="Обычный 3 12 4 12" xfId="3880" xr:uid="{00000000-0005-0000-0000-000092140000}"/>
    <cellStyle name="Обычный 3 12 4 12 2" xfId="7731" xr:uid="{00000000-0005-0000-0000-000093140000}"/>
    <cellStyle name="Обычный 3 12 4 13" xfId="4176" xr:uid="{00000000-0005-0000-0000-000094140000}"/>
    <cellStyle name="Обычный 3 12 4 13 2" xfId="8027" xr:uid="{00000000-0005-0000-0000-000095140000}"/>
    <cellStyle name="Обычный 3 12 4 14" xfId="8376" xr:uid="{00000000-0005-0000-0000-000096140000}"/>
    <cellStyle name="Обычный 3 12 4 15" xfId="4475" xr:uid="{00000000-0005-0000-0000-000097140000}"/>
    <cellStyle name="Обычный 3 12 4 2" xfId="906" xr:uid="{00000000-0005-0000-0000-000098140000}"/>
    <cellStyle name="Обычный 3 12 4 2 2" xfId="8648" xr:uid="{00000000-0005-0000-0000-000099140000}"/>
    <cellStyle name="Обычный 3 12 4 2 3" xfId="4771" xr:uid="{00000000-0005-0000-0000-00009A140000}"/>
    <cellStyle name="Обычный 3 12 4 3" xfId="1235" xr:uid="{00000000-0005-0000-0000-00009B140000}"/>
    <cellStyle name="Обычный 3 12 4 3 2" xfId="5067" xr:uid="{00000000-0005-0000-0000-00009C140000}"/>
    <cellStyle name="Обычный 3 12 4 4" xfId="1520" xr:uid="{00000000-0005-0000-0000-00009D140000}"/>
    <cellStyle name="Обычный 3 12 4 4 2" xfId="5363" xr:uid="{00000000-0005-0000-0000-00009E140000}"/>
    <cellStyle name="Обычный 3 12 4 5" xfId="1812" xr:uid="{00000000-0005-0000-0000-00009F140000}"/>
    <cellStyle name="Обычный 3 12 4 5 2" xfId="5659" xr:uid="{00000000-0005-0000-0000-0000A0140000}"/>
    <cellStyle name="Обычный 3 12 4 6" xfId="2105" xr:uid="{00000000-0005-0000-0000-0000A1140000}"/>
    <cellStyle name="Обычный 3 12 4 6 2" xfId="5955" xr:uid="{00000000-0005-0000-0000-0000A2140000}"/>
    <cellStyle name="Обычный 3 12 4 7" xfId="2400" xr:uid="{00000000-0005-0000-0000-0000A3140000}"/>
    <cellStyle name="Обычный 3 12 4 7 2" xfId="6251" xr:uid="{00000000-0005-0000-0000-0000A4140000}"/>
    <cellStyle name="Обычный 3 12 4 8" xfId="2696" xr:uid="{00000000-0005-0000-0000-0000A5140000}"/>
    <cellStyle name="Обычный 3 12 4 8 2" xfId="6547" xr:uid="{00000000-0005-0000-0000-0000A6140000}"/>
    <cellStyle name="Обычный 3 12 4 9" xfId="2992" xr:uid="{00000000-0005-0000-0000-0000A7140000}"/>
    <cellStyle name="Обычный 3 12 4 9 2" xfId="6843" xr:uid="{00000000-0005-0000-0000-0000A8140000}"/>
    <cellStyle name="Обычный 3 12 5" xfId="907" xr:uid="{00000000-0005-0000-0000-0000A9140000}"/>
    <cellStyle name="Обычный 3 12 5 2" xfId="8649" xr:uid="{00000000-0005-0000-0000-0000AA140000}"/>
    <cellStyle name="Обычный 3 12 5 3" xfId="4623" xr:uid="{00000000-0005-0000-0000-0000AB140000}"/>
    <cellStyle name="Обычный 3 12 6" xfId="908" xr:uid="{00000000-0005-0000-0000-0000AC140000}"/>
    <cellStyle name="Обычный 3 12 6 2" xfId="8650" xr:uid="{00000000-0005-0000-0000-0000AD140000}"/>
    <cellStyle name="Обычный 3 12 6 3" xfId="4919" xr:uid="{00000000-0005-0000-0000-0000AE140000}"/>
    <cellStyle name="Обычный 3 12 7" xfId="1376" xr:uid="{00000000-0005-0000-0000-0000AF140000}"/>
    <cellStyle name="Обычный 3 12 7 2" xfId="5215" xr:uid="{00000000-0005-0000-0000-0000B0140000}"/>
    <cellStyle name="Обычный 3 12 8" xfId="1665" xr:uid="{00000000-0005-0000-0000-0000B1140000}"/>
    <cellStyle name="Обычный 3 12 8 2" xfId="5511" xr:uid="{00000000-0005-0000-0000-0000B2140000}"/>
    <cellStyle name="Обычный 3 12 9" xfId="1958" xr:uid="{00000000-0005-0000-0000-0000B3140000}"/>
    <cellStyle name="Обычный 3 12 9 2" xfId="5807" xr:uid="{00000000-0005-0000-0000-0000B4140000}"/>
    <cellStyle name="Обычный 3 13" xfId="73" xr:uid="{00000000-0005-0000-0000-0000B5140000}"/>
    <cellStyle name="Обычный 3 13 10" xfId="2231" xr:uid="{00000000-0005-0000-0000-0000B6140000}"/>
    <cellStyle name="Обычный 3 13 10 2" xfId="6081" xr:uid="{00000000-0005-0000-0000-0000B7140000}"/>
    <cellStyle name="Обычный 3 13 11" xfId="2526" xr:uid="{00000000-0005-0000-0000-0000B8140000}"/>
    <cellStyle name="Обычный 3 13 11 2" xfId="6377" xr:uid="{00000000-0005-0000-0000-0000B9140000}"/>
    <cellStyle name="Обычный 3 13 12" xfId="2822" xr:uid="{00000000-0005-0000-0000-0000BA140000}"/>
    <cellStyle name="Обычный 3 13 12 2" xfId="6673" xr:uid="{00000000-0005-0000-0000-0000BB140000}"/>
    <cellStyle name="Обычный 3 13 13" xfId="3118" xr:uid="{00000000-0005-0000-0000-0000BC140000}"/>
    <cellStyle name="Обычный 3 13 13 2" xfId="6969" xr:uid="{00000000-0005-0000-0000-0000BD140000}"/>
    <cellStyle name="Обычный 3 13 14" xfId="3414" xr:uid="{00000000-0005-0000-0000-0000BE140000}"/>
    <cellStyle name="Обычный 3 13 14 2" xfId="7265" xr:uid="{00000000-0005-0000-0000-0000BF140000}"/>
    <cellStyle name="Обычный 3 13 15" xfId="3710" xr:uid="{00000000-0005-0000-0000-0000C0140000}"/>
    <cellStyle name="Обычный 3 13 15 2" xfId="7561" xr:uid="{00000000-0005-0000-0000-0000C1140000}"/>
    <cellStyle name="Обычный 3 13 16" xfId="4006" xr:uid="{00000000-0005-0000-0000-0000C2140000}"/>
    <cellStyle name="Обычный 3 13 16 2" xfId="7857" xr:uid="{00000000-0005-0000-0000-0000C3140000}"/>
    <cellStyle name="Обычный 3 13 17" xfId="8153" xr:uid="{00000000-0005-0000-0000-0000C4140000}"/>
    <cellStyle name="Обычный 3 13 18" xfId="4302" xr:uid="{00000000-0005-0000-0000-0000C5140000}"/>
    <cellStyle name="Обычный 3 13 2" xfId="148" xr:uid="{00000000-0005-0000-0000-0000C6140000}"/>
    <cellStyle name="Обычный 3 13 2 10" xfId="2870" xr:uid="{00000000-0005-0000-0000-0000C7140000}"/>
    <cellStyle name="Обычный 3 13 2 10 2" xfId="6721" xr:uid="{00000000-0005-0000-0000-0000C8140000}"/>
    <cellStyle name="Обычный 3 13 2 11" xfId="3166" xr:uid="{00000000-0005-0000-0000-0000C9140000}"/>
    <cellStyle name="Обычный 3 13 2 11 2" xfId="7017" xr:uid="{00000000-0005-0000-0000-0000CA140000}"/>
    <cellStyle name="Обычный 3 13 2 12" xfId="3462" xr:uid="{00000000-0005-0000-0000-0000CB140000}"/>
    <cellStyle name="Обычный 3 13 2 12 2" xfId="7313" xr:uid="{00000000-0005-0000-0000-0000CC140000}"/>
    <cellStyle name="Обычный 3 13 2 13" xfId="3758" xr:uid="{00000000-0005-0000-0000-0000CD140000}"/>
    <cellStyle name="Обычный 3 13 2 13 2" xfId="7609" xr:uid="{00000000-0005-0000-0000-0000CE140000}"/>
    <cellStyle name="Обычный 3 13 2 14" xfId="4054" xr:uid="{00000000-0005-0000-0000-0000CF140000}"/>
    <cellStyle name="Обычный 3 13 2 14 2" xfId="7905" xr:uid="{00000000-0005-0000-0000-0000D0140000}"/>
    <cellStyle name="Обычный 3 13 2 15" xfId="8203" xr:uid="{00000000-0005-0000-0000-0000D1140000}"/>
    <cellStyle name="Обычный 3 13 2 16" xfId="4351" xr:uid="{00000000-0005-0000-0000-0000D2140000}"/>
    <cellStyle name="Обычный 3 13 2 2" xfId="251" xr:uid="{00000000-0005-0000-0000-0000D3140000}"/>
    <cellStyle name="Обычный 3 13 2 2 10" xfId="3314" xr:uid="{00000000-0005-0000-0000-0000D4140000}"/>
    <cellStyle name="Обычный 3 13 2 2 10 2" xfId="7165" xr:uid="{00000000-0005-0000-0000-0000D5140000}"/>
    <cellStyle name="Обычный 3 13 2 2 11" xfId="3610" xr:uid="{00000000-0005-0000-0000-0000D6140000}"/>
    <cellStyle name="Обычный 3 13 2 2 11 2" xfId="7461" xr:uid="{00000000-0005-0000-0000-0000D7140000}"/>
    <cellStyle name="Обычный 3 13 2 2 12" xfId="3906" xr:uid="{00000000-0005-0000-0000-0000D8140000}"/>
    <cellStyle name="Обычный 3 13 2 2 12 2" xfId="7757" xr:uid="{00000000-0005-0000-0000-0000D9140000}"/>
    <cellStyle name="Обычный 3 13 2 2 13" xfId="4202" xr:uid="{00000000-0005-0000-0000-0000DA140000}"/>
    <cellStyle name="Обычный 3 13 2 2 13 2" xfId="8053" xr:uid="{00000000-0005-0000-0000-0000DB140000}"/>
    <cellStyle name="Обычный 3 13 2 2 14" xfId="8304" xr:uid="{00000000-0005-0000-0000-0000DC140000}"/>
    <cellStyle name="Обычный 3 13 2 2 15" xfId="4501" xr:uid="{00000000-0005-0000-0000-0000DD140000}"/>
    <cellStyle name="Обычный 3 13 2 2 2" xfId="909" xr:uid="{00000000-0005-0000-0000-0000DE140000}"/>
    <cellStyle name="Обычный 3 13 2 2 2 2" xfId="8651" xr:uid="{00000000-0005-0000-0000-0000DF140000}"/>
    <cellStyle name="Обычный 3 13 2 2 2 3" xfId="4797" xr:uid="{00000000-0005-0000-0000-0000E0140000}"/>
    <cellStyle name="Обычный 3 13 2 2 3" xfId="1260" xr:uid="{00000000-0005-0000-0000-0000E1140000}"/>
    <cellStyle name="Обычный 3 13 2 2 3 2" xfId="5093" xr:uid="{00000000-0005-0000-0000-0000E2140000}"/>
    <cellStyle name="Обычный 3 13 2 2 4" xfId="1546" xr:uid="{00000000-0005-0000-0000-0000E3140000}"/>
    <cellStyle name="Обычный 3 13 2 2 4 2" xfId="5389" xr:uid="{00000000-0005-0000-0000-0000E4140000}"/>
    <cellStyle name="Обычный 3 13 2 2 5" xfId="1838" xr:uid="{00000000-0005-0000-0000-0000E5140000}"/>
    <cellStyle name="Обычный 3 13 2 2 5 2" xfId="5685" xr:uid="{00000000-0005-0000-0000-0000E6140000}"/>
    <cellStyle name="Обычный 3 13 2 2 6" xfId="2131" xr:uid="{00000000-0005-0000-0000-0000E7140000}"/>
    <cellStyle name="Обычный 3 13 2 2 6 2" xfId="5981" xr:uid="{00000000-0005-0000-0000-0000E8140000}"/>
    <cellStyle name="Обычный 3 13 2 2 7" xfId="2426" xr:uid="{00000000-0005-0000-0000-0000E9140000}"/>
    <cellStyle name="Обычный 3 13 2 2 7 2" xfId="6277" xr:uid="{00000000-0005-0000-0000-0000EA140000}"/>
    <cellStyle name="Обычный 3 13 2 2 8" xfId="2722" xr:uid="{00000000-0005-0000-0000-0000EB140000}"/>
    <cellStyle name="Обычный 3 13 2 2 8 2" xfId="6573" xr:uid="{00000000-0005-0000-0000-0000EC140000}"/>
    <cellStyle name="Обычный 3 13 2 2 9" xfId="3018" xr:uid="{00000000-0005-0000-0000-0000ED140000}"/>
    <cellStyle name="Обычный 3 13 2 2 9 2" xfId="6869" xr:uid="{00000000-0005-0000-0000-0000EE140000}"/>
    <cellStyle name="Обычный 3 13 2 3" xfId="352" xr:uid="{00000000-0005-0000-0000-0000EF140000}"/>
    <cellStyle name="Обычный 3 13 2 3 2" xfId="910" xr:uid="{00000000-0005-0000-0000-0000F0140000}"/>
    <cellStyle name="Обычный 3 13 2 3 3" xfId="8404" xr:uid="{00000000-0005-0000-0000-0000F1140000}"/>
    <cellStyle name="Обычный 3 13 2 3 4" xfId="4649" xr:uid="{00000000-0005-0000-0000-0000F2140000}"/>
    <cellStyle name="Обычный 3 13 2 4" xfId="911" xr:uid="{00000000-0005-0000-0000-0000F3140000}"/>
    <cellStyle name="Обычный 3 13 2 4 2" xfId="8652" xr:uid="{00000000-0005-0000-0000-0000F4140000}"/>
    <cellStyle name="Обычный 3 13 2 4 3" xfId="4945" xr:uid="{00000000-0005-0000-0000-0000F5140000}"/>
    <cellStyle name="Обычный 3 13 2 5" xfId="1402" xr:uid="{00000000-0005-0000-0000-0000F6140000}"/>
    <cellStyle name="Обычный 3 13 2 5 2" xfId="5241" xr:uid="{00000000-0005-0000-0000-0000F7140000}"/>
    <cellStyle name="Обычный 3 13 2 6" xfId="1691" xr:uid="{00000000-0005-0000-0000-0000F8140000}"/>
    <cellStyle name="Обычный 3 13 2 6 2" xfId="5537" xr:uid="{00000000-0005-0000-0000-0000F9140000}"/>
    <cellStyle name="Обычный 3 13 2 7" xfId="1984" xr:uid="{00000000-0005-0000-0000-0000FA140000}"/>
    <cellStyle name="Обычный 3 13 2 7 2" xfId="5833" xr:uid="{00000000-0005-0000-0000-0000FB140000}"/>
    <cellStyle name="Обычный 3 13 2 8" xfId="2278" xr:uid="{00000000-0005-0000-0000-0000FC140000}"/>
    <cellStyle name="Обычный 3 13 2 8 2" xfId="6129" xr:uid="{00000000-0005-0000-0000-0000FD140000}"/>
    <cellStyle name="Обычный 3 13 2 9" xfId="2574" xr:uid="{00000000-0005-0000-0000-0000FE140000}"/>
    <cellStyle name="Обычный 3 13 2 9 2" xfId="6425" xr:uid="{00000000-0005-0000-0000-0000FF140000}"/>
    <cellStyle name="Обычный 3 13 3" xfId="201" xr:uid="{00000000-0005-0000-0000-000000150000}"/>
    <cellStyle name="Обычный 3 13 3 10" xfId="2920" xr:uid="{00000000-0005-0000-0000-000001150000}"/>
    <cellStyle name="Обычный 3 13 3 10 2" xfId="6771" xr:uid="{00000000-0005-0000-0000-000002150000}"/>
    <cellStyle name="Обычный 3 13 3 11" xfId="3216" xr:uid="{00000000-0005-0000-0000-000003150000}"/>
    <cellStyle name="Обычный 3 13 3 11 2" xfId="7067" xr:uid="{00000000-0005-0000-0000-000004150000}"/>
    <cellStyle name="Обычный 3 13 3 12" xfId="3512" xr:uid="{00000000-0005-0000-0000-000005150000}"/>
    <cellStyle name="Обычный 3 13 3 12 2" xfId="7363" xr:uid="{00000000-0005-0000-0000-000006150000}"/>
    <cellStyle name="Обычный 3 13 3 13" xfId="3808" xr:uid="{00000000-0005-0000-0000-000007150000}"/>
    <cellStyle name="Обычный 3 13 3 13 2" xfId="7659" xr:uid="{00000000-0005-0000-0000-000008150000}"/>
    <cellStyle name="Обычный 3 13 3 14" xfId="4104" xr:uid="{00000000-0005-0000-0000-000009150000}"/>
    <cellStyle name="Обычный 3 13 3 14 2" xfId="7955" xr:uid="{00000000-0005-0000-0000-00000A150000}"/>
    <cellStyle name="Обычный 3 13 3 15" xfId="8254" xr:uid="{00000000-0005-0000-0000-00000B150000}"/>
    <cellStyle name="Обычный 3 13 3 16" xfId="4402" xr:uid="{00000000-0005-0000-0000-00000C150000}"/>
    <cellStyle name="Обычный 3 13 3 2" xfId="912" xr:uid="{00000000-0005-0000-0000-00000D150000}"/>
    <cellStyle name="Обычный 3 13 3 2 10" xfId="3364" xr:uid="{00000000-0005-0000-0000-00000E150000}"/>
    <cellStyle name="Обычный 3 13 3 2 10 2" xfId="7215" xr:uid="{00000000-0005-0000-0000-00000F150000}"/>
    <cellStyle name="Обычный 3 13 3 2 11" xfId="3660" xr:uid="{00000000-0005-0000-0000-000010150000}"/>
    <cellStyle name="Обычный 3 13 3 2 11 2" xfId="7511" xr:uid="{00000000-0005-0000-0000-000011150000}"/>
    <cellStyle name="Обычный 3 13 3 2 12" xfId="3956" xr:uid="{00000000-0005-0000-0000-000012150000}"/>
    <cellStyle name="Обычный 3 13 3 2 12 2" xfId="7807" xr:uid="{00000000-0005-0000-0000-000013150000}"/>
    <cellStyle name="Обычный 3 13 3 2 13" xfId="4252" xr:uid="{00000000-0005-0000-0000-000014150000}"/>
    <cellStyle name="Обычный 3 13 3 2 13 2" xfId="8103" xr:uid="{00000000-0005-0000-0000-000015150000}"/>
    <cellStyle name="Обычный 3 13 3 2 14" xfId="8653" xr:uid="{00000000-0005-0000-0000-000016150000}"/>
    <cellStyle name="Обычный 3 13 3 2 15" xfId="4551" xr:uid="{00000000-0005-0000-0000-000017150000}"/>
    <cellStyle name="Обычный 3 13 3 2 2" xfId="1119" xr:uid="{00000000-0005-0000-0000-000018150000}"/>
    <cellStyle name="Обычный 3 13 3 2 2 2" xfId="4847" xr:uid="{00000000-0005-0000-0000-000019150000}"/>
    <cellStyle name="Обычный 3 13 3 2 3" xfId="1308" xr:uid="{00000000-0005-0000-0000-00001A150000}"/>
    <cellStyle name="Обычный 3 13 3 2 3 2" xfId="5143" xr:uid="{00000000-0005-0000-0000-00001B150000}"/>
    <cellStyle name="Обычный 3 13 3 2 4" xfId="1595" xr:uid="{00000000-0005-0000-0000-00001C150000}"/>
    <cellStyle name="Обычный 3 13 3 2 4 2" xfId="5439" xr:uid="{00000000-0005-0000-0000-00001D150000}"/>
    <cellStyle name="Обычный 3 13 3 2 5" xfId="1888" xr:uid="{00000000-0005-0000-0000-00001E150000}"/>
    <cellStyle name="Обычный 3 13 3 2 5 2" xfId="5735" xr:uid="{00000000-0005-0000-0000-00001F150000}"/>
    <cellStyle name="Обычный 3 13 3 2 6" xfId="2181" xr:uid="{00000000-0005-0000-0000-000020150000}"/>
    <cellStyle name="Обычный 3 13 3 2 6 2" xfId="6031" xr:uid="{00000000-0005-0000-0000-000021150000}"/>
    <cellStyle name="Обычный 3 13 3 2 7" xfId="2476" xr:uid="{00000000-0005-0000-0000-000022150000}"/>
    <cellStyle name="Обычный 3 13 3 2 7 2" xfId="6327" xr:uid="{00000000-0005-0000-0000-000023150000}"/>
    <cellStyle name="Обычный 3 13 3 2 8" xfId="2772" xr:uid="{00000000-0005-0000-0000-000024150000}"/>
    <cellStyle name="Обычный 3 13 3 2 8 2" xfId="6623" xr:uid="{00000000-0005-0000-0000-000025150000}"/>
    <cellStyle name="Обычный 3 13 3 2 9" xfId="3068" xr:uid="{00000000-0005-0000-0000-000026150000}"/>
    <cellStyle name="Обычный 3 13 3 2 9 2" xfId="6919" xr:uid="{00000000-0005-0000-0000-000027150000}"/>
    <cellStyle name="Обычный 3 13 3 3" xfId="1072" xr:uid="{00000000-0005-0000-0000-000028150000}"/>
    <cellStyle name="Обычный 3 13 3 3 2" xfId="4699" xr:uid="{00000000-0005-0000-0000-000029150000}"/>
    <cellStyle name="Обычный 3 13 3 4" xfId="1166" xr:uid="{00000000-0005-0000-0000-00002A150000}"/>
    <cellStyle name="Обычный 3 13 3 4 2" xfId="4995" xr:uid="{00000000-0005-0000-0000-00002B150000}"/>
    <cellStyle name="Обычный 3 13 3 5" xfId="1449" xr:uid="{00000000-0005-0000-0000-00002C150000}"/>
    <cellStyle name="Обычный 3 13 3 5 2" xfId="5291" xr:uid="{00000000-0005-0000-0000-00002D150000}"/>
    <cellStyle name="Обычный 3 13 3 6" xfId="1740" xr:uid="{00000000-0005-0000-0000-00002E150000}"/>
    <cellStyle name="Обычный 3 13 3 6 2" xfId="5587" xr:uid="{00000000-0005-0000-0000-00002F150000}"/>
    <cellStyle name="Обычный 3 13 3 7" xfId="2033" xr:uid="{00000000-0005-0000-0000-000030150000}"/>
    <cellStyle name="Обычный 3 13 3 7 2" xfId="5883" xr:uid="{00000000-0005-0000-0000-000031150000}"/>
    <cellStyle name="Обычный 3 13 3 8" xfId="2328" xr:uid="{00000000-0005-0000-0000-000032150000}"/>
    <cellStyle name="Обычный 3 13 3 8 2" xfId="6179" xr:uid="{00000000-0005-0000-0000-000033150000}"/>
    <cellStyle name="Обычный 3 13 3 9" xfId="2624" xr:uid="{00000000-0005-0000-0000-000034150000}"/>
    <cellStyle name="Обычный 3 13 3 9 2" xfId="6475" xr:uid="{00000000-0005-0000-0000-000035150000}"/>
    <cellStyle name="Обычный 3 13 4" xfId="302" xr:uid="{00000000-0005-0000-0000-000036150000}"/>
    <cellStyle name="Обычный 3 13 4 10" xfId="3266" xr:uid="{00000000-0005-0000-0000-000037150000}"/>
    <cellStyle name="Обычный 3 13 4 10 2" xfId="7117" xr:uid="{00000000-0005-0000-0000-000038150000}"/>
    <cellStyle name="Обычный 3 13 4 11" xfId="3562" xr:uid="{00000000-0005-0000-0000-000039150000}"/>
    <cellStyle name="Обычный 3 13 4 11 2" xfId="7413" xr:uid="{00000000-0005-0000-0000-00003A150000}"/>
    <cellStyle name="Обычный 3 13 4 12" xfId="3858" xr:uid="{00000000-0005-0000-0000-00003B150000}"/>
    <cellStyle name="Обычный 3 13 4 12 2" xfId="7709" xr:uid="{00000000-0005-0000-0000-00003C150000}"/>
    <cellStyle name="Обычный 3 13 4 13" xfId="4154" xr:uid="{00000000-0005-0000-0000-00003D150000}"/>
    <cellStyle name="Обычный 3 13 4 13 2" xfId="8005" xr:uid="{00000000-0005-0000-0000-00003E150000}"/>
    <cellStyle name="Обычный 3 13 4 14" xfId="8354" xr:uid="{00000000-0005-0000-0000-00003F150000}"/>
    <cellStyle name="Обычный 3 13 4 15" xfId="4453" xr:uid="{00000000-0005-0000-0000-000040150000}"/>
    <cellStyle name="Обычный 3 13 4 2" xfId="913" xr:uid="{00000000-0005-0000-0000-000041150000}"/>
    <cellStyle name="Обычный 3 13 4 2 2" xfId="8654" xr:uid="{00000000-0005-0000-0000-000042150000}"/>
    <cellStyle name="Обычный 3 13 4 2 3" xfId="4749" xr:uid="{00000000-0005-0000-0000-000043150000}"/>
    <cellStyle name="Обычный 3 13 4 3" xfId="1213" xr:uid="{00000000-0005-0000-0000-000044150000}"/>
    <cellStyle name="Обычный 3 13 4 3 2" xfId="5045" xr:uid="{00000000-0005-0000-0000-000045150000}"/>
    <cellStyle name="Обычный 3 13 4 4" xfId="1498" xr:uid="{00000000-0005-0000-0000-000046150000}"/>
    <cellStyle name="Обычный 3 13 4 4 2" xfId="5341" xr:uid="{00000000-0005-0000-0000-000047150000}"/>
    <cellStyle name="Обычный 3 13 4 5" xfId="1790" xr:uid="{00000000-0005-0000-0000-000048150000}"/>
    <cellStyle name="Обычный 3 13 4 5 2" xfId="5637" xr:uid="{00000000-0005-0000-0000-000049150000}"/>
    <cellStyle name="Обычный 3 13 4 6" xfId="2083" xr:uid="{00000000-0005-0000-0000-00004A150000}"/>
    <cellStyle name="Обычный 3 13 4 6 2" xfId="5933" xr:uid="{00000000-0005-0000-0000-00004B150000}"/>
    <cellStyle name="Обычный 3 13 4 7" xfId="2378" xr:uid="{00000000-0005-0000-0000-00004C150000}"/>
    <cellStyle name="Обычный 3 13 4 7 2" xfId="6229" xr:uid="{00000000-0005-0000-0000-00004D150000}"/>
    <cellStyle name="Обычный 3 13 4 8" xfId="2674" xr:uid="{00000000-0005-0000-0000-00004E150000}"/>
    <cellStyle name="Обычный 3 13 4 8 2" xfId="6525" xr:uid="{00000000-0005-0000-0000-00004F150000}"/>
    <cellStyle name="Обычный 3 13 4 9" xfId="2970" xr:uid="{00000000-0005-0000-0000-000050150000}"/>
    <cellStyle name="Обычный 3 13 4 9 2" xfId="6821" xr:uid="{00000000-0005-0000-0000-000051150000}"/>
    <cellStyle name="Обычный 3 13 5" xfId="914" xr:uid="{00000000-0005-0000-0000-000052150000}"/>
    <cellStyle name="Обычный 3 13 5 2" xfId="8655" xr:uid="{00000000-0005-0000-0000-000053150000}"/>
    <cellStyle name="Обычный 3 13 5 3" xfId="4601" xr:uid="{00000000-0005-0000-0000-000054150000}"/>
    <cellStyle name="Обычный 3 13 6" xfId="915" xr:uid="{00000000-0005-0000-0000-000055150000}"/>
    <cellStyle name="Обычный 3 13 6 2" xfId="8656" xr:uid="{00000000-0005-0000-0000-000056150000}"/>
    <cellStyle name="Обычный 3 13 6 3" xfId="4897" xr:uid="{00000000-0005-0000-0000-000057150000}"/>
    <cellStyle name="Обычный 3 13 7" xfId="1355" xr:uid="{00000000-0005-0000-0000-000058150000}"/>
    <cellStyle name="Обычный 3 13 7 2" xfId="5193" xr:uid="{00000000-0005-0000-0000-000059150000}"/>
    <cellStyle name="Обычный 3 13 8" xfId="1644" xr:uid="{00000000-0005-0000-0000-00005A150000}"/>
    <cellStyle name="Обычный 3 13 8 2" xfId="5489" xr:uid="{00000000-0005-0000-0000-00005B150000}"/>
    <cellStyle name="Обычный 3 13 9" xfId="1937" xr:uid="{00000000-0005-0000-0000-00005C150000}"/>
    <cellStyle name="Обычный 3 13 9 2" xfId="5785" xr:uid="{00000000-0005-0000-0000-00005D150000}"/>
    <cellStyle name="Обычный 3 14" xfId="133" xr:uid="{00000000-0005-0000-0000-00005E150000}"/>
    <cellStyle name="Обычный 3 14 10" xfId="2855" xr:uid="{00000000-0005-0000-0000-00005F150000}"/>
    <cellStyle name="Обычный 3 14 10 2" xfId="6706" xr:uid="{00000000-0005-0000-0000-000060150000}"/>
    <cellStyle name="Обычный 3 14 11" xfId="3151" xr:uid="{00000000-0005-0000-0000-000061150000}"/>
    <cellStyle name="Обычный 3 14 11 2" xfId="7002" xr:uid="{00000000-0005-0000-0000-000062150000}"/>
    <cellStyle name="Обычный 3 14 12" xfId="3447" xr:uid="{00000000-0005-0000-0000-000063150000}"/>
    <cellStyle name="Обычный 3 14 12 2" xfId="7298" xr:uid="{00000000-0005-0000-0000-000064150000}"/>
    <cellStyle name="Обычный 3 14 13" xfId="3743" xr:uid="{00000000-0005-0000-0000-000065150000}"/>
    <cellStyle name="Обычный 3 14 13 2" xfId="7594" xr:uid="{00000000-0005-0000-0000-000066150000}"/>
    <cellStyle name="Обычный 3 14 14" xfId="4039" xr:uid="{00000000-0005-0000-0000-000067150000}"/>
    <cellStyle name="Обычный 3 14 14 2" xfId="7890" xr:uid="{00000000-0005-0000-0000-000068150000}"/>
    <cellStyle name="Обычный 3 14 15" xfId="8188" xr:uid="{00000000-0005-0000-0000-000069150000}"/>
    <cellStyle name="Обычный 3 14 16" xfId="4336" xr:uid="{00000000-0005-0000-0000-00006A150000}"/>
    <cellStyle name="Обычный 3 14 2" xfId="236" xr:uid="{00000000-0005-0000-0000-00006B150000}"/>
    <cellStyle name="Обычный 3 14 2 10" xfId="3299" xr:uid="{00000000-0005-0000-0000-00006C150000}"/>
    <cellStyle name="Обычный 3 14 2 10 2" xfId="7150" xr:uid="{00000000-0005-0000-0000-00006D150000}"/>
    <cellStyle name="Обычный 3 14 2 11" xfId="3595" xr:uid="{00000000-0005-0000-0000-00006E150000}"/>
    <cellStyle name="Обычный 3 14 2 11 2" xfId="7446" xr:uid="{00000000-0005-0000-0000-00006F150000}"/>
    <cellStyle name="Обычный 3 14 2 12" xfId="3891" xr:uid="{00000000-0005-0000-0000-000070150000}"/>
    <cellStyle name="Обычный 3 14 2 12 2" xfId="7742" xr:uid="{00000000-0005-0000-0000-000071150000}"/>
    <cellStyle name="Обычный 3 14 2 13" xfId="4187" xr:uid="{00000000-0005-0000-0000-000072150000}"/>
    <cellStyle name="Обычный 3 14 2 13 2" xfId="8038" xr:uid="{00000000-0005-0000-0000-000073150000}"/>
    <cellStyle name="Обычный 3 14 2 14" xfId="8289" xr:uid="{00000000-0005-0000-0000-000074150000}"/>
    <cellStyle name="Обычный 3 14 2 15" xfId="4486" xr:uid="{00000000-0005-0000-0000-000075150000}"/>
    <cellStyle name="Обычный 3 14 2 2" xfId="916" xr:uid="{00000000-0005-0000-0000-000076150000}"/>
    <cellStyle name="Обычный 3 14 2 2 2" xfId="8657" xr:uid="{00000000-0005-0000-0000-000077150000}"/>
    <cellStyle name="Обычный 3 14 2 2 3" xfId="4782" xr:uid="{00000000-0005-0000-0000-000078150000}"/>
    <cellStyle name="Обычный 3 14 2 3" xfId="1245" xr:uid="{00000000-0005-0000-0000-000079150000}"/>
    <cellStyle name="Обычный 3 14 2 3 2" xfId="5078" xr:uid="{00000000-0005-0000-0000-00007A150000}"/>
    <cellStyle name="Обычный 3 14 2 4" xfId="1531" xr:uid="{00000000-0005-0000-0000-00007B150000}"/>
    <cellStyle name="Обычный 3 14 2 4 2" xfId="5374" xr:uid="{00000000-0005-0000-0000-00007C150000}"/>
    <cellStyle name="Обычный 3 14 2 5" xfId="1823" xr:uid="{00000000-0005-0000-0000-00007D150000}"/>
    <cellStyle name="Обычный 3 14 2 5 2" xfId="5670" xr:uid="{00000000-0005-0000-0000-00007E150000}"/>
    <cellStyle name="Обычный 3 14 2 6" xfId="2116" xr:uid="{00000000-0005-0000-0000-00007F150000}"/>
    <cellStyle name="Обычный 3 14 2 6 2" xfId="5966" xr:uid="{00000000-0005-0000-0000-000080150000}"/>
    <cellStyle name="Обычный 3 14 2 7" xfId="2411" xr:uid="{00000000-0005-0000-0000-000081150000}"/>
    <cellStyle name="Обычный 3 14 2 7 2" xfId="6262" xr:uid="{00000000-0005-0000-0000-000082150000}"/>
    <cellStyle name="Обычный 3 14 2 8" xfId="2707" xr:uid="{00000000-0005-0000-0000-000083150000}"/>
    <cellStyle name="Обычный 3 14 2 8 2" xfId="6558" xr:uid="{00000000-0005-0000-0000-000084150000}"/>
    <cellStyle name="Обычный 3 14 2 9" xfId="3003" xr:uid="{00000000-0005-0000-0000-000085150000}"/>
    <cellStyle name="Обычный 3 14 2 9 2" xfId="6854" xr:uid="{00000000-0005-0000-0000-000086150000}"/>
    <cellStyle name="Обычный 3 14 3" xfId="337" xr:uid="{00000000-0005-0000-0000-000087150000}"/>
    <cellStyle name="Обычный 3 14 3 2" xfId="917" xr:uid="{00000000-0005-0000-0000-000088150000}"/>
    <cellStyle name="Обычный 3 14 3 3" xfId="8389" xr:uid="{00000000-0005-0000-0000-000089150000}"/>
    <cellStyle name="Обычный 3 14 3 4" xfId="4634" xr:uid="{00000000-0005-0000-0000-00008A150000}"/>
    <cellStyle name="Обычный 3 14 4" xfId="918" xr:uid="{00000000-0005-0000-0000-00008B150000}"/>
    <cellStyle name="Обычный 3 14 4 2" xfId="8658" xr:uid="{00000000-0005-0000-0000-00008C150000}"/>
    <cellStyle name="Обычный 3 14 4 3" xfId="4930" xr:uid="{00000000-0005-0000-0000-00008D150000}"/>
    <cellStyle name="Обычный 3 14 5" xfId="1387" xr:uid="{00000000-0005-0000-0000-00008E150000}"/>
    <cellStyle name="Обычный 3 14 5 2" xfId="5226" xr:uid="{00000000-0005-0000-0000-00008F150000}"/>
    <cellStyle name="Обычный 3 14 6" xfId="1676" xr:uid="{00000000-0005-0000-0000-000090150000}"/>
    <cellStyle name="Обычный 3 14 6 2" xfId="5522" xr:uid="{00000000-0005-0000-0000-000091150000}"/>
    <cellStyle name="Обычный 3 14 7" xfId="1969" xr:uid="{00000000-0005-0000-0000-000092150000}"/>
    <cellStyle name="Обычный 3 14 7 2" xfId="5818" xr:uid="{00000000-0005-0000-0000-000093150000}"/>
    <cellStyle name="Обычный 3 14 8" xfId="2263" xr:uid="{00000000-0005-0000-0000-000094150000}"/>
    <cellStyle name="Обычный 3 14 8 2" xfId="6114" xr:uid="{00000000-0005-0000-0000-000095150000}"/>
    <cellStyle name="Обычный 3 14 9" xfId="2559" xr:uid="{00000000-0005-0000-0000-000096150000}"/>
    <cellStyle name="Обычный 3 14 9 2" xfId="6410" xr:uid="{00000000-0005-0000-0000-000097150000}"/>
    <cellStyle name="Обычный 3 15" xfId="186" xr:uid="{00000000-0005-0000-0000-000098150000}"/>
    <cellStyle name="Обычный 3 15 10" xfId="2905" xr:uid="{00000000-0005-0000-0000-000099150000}"/>
    <cellStyle name="Обычный 3 15 10 2" xfId="6756" xr:uid="{00000000-0005-0000-0000-00009A150000}"/>
    <cellStyle name="Обычный 3 15 11" xfId="3201" xr:uid="{00000000-0005-0000-0000-00009B150000}"/>
    <cellStyle name="Обычный 3 15 11 2" xfId="7052" xr:uid="{00000000-0005-0000-0000-00009C150000}"/>
    <cellStyle name="Обычный 3 15 12" xfId="3497" xr:uid="{00000000-0005-0000-0000-00009D150000}"/>
    <cellStyle name="Обычный 3 15 12 2" xfId="7348" xr:uid="{00000000-0005-0000-0000-00009E150000}"/>
    <cellStyle name="Обычный 3 15 13" xfId="3793" xr:uid="{00000000-0005-0000-0000-00009F150000}"/>
    <cellStyle name="Обычный 3 15 13 2" xfId="7644" xr:uid="{00000000-0005-0000-0000-0000A0150000}"/>
    <cellStyle name="Обычный 3 15 14" xfId="4089" xr:uid="{00000000-0005-0000-0000-0000A1150000}"/>
    <cellStyle name="Обычный 3 15 14 2" xfId="7940" xr:uid="{00000000-0005-0000-0000-0000A2150000}"/>
    <cellStyle name="Обычный 3 15 15" xfId="8239" xr:uid="{00000000-0005-0000-0000-0000A3150000}"/>
    <cellStyle name="Обычный 3 15 16" xfId="4387" xr:uid="{00000000-0005-0000-0000-0000A4150000}"/>
    <cellStyle name="Обычный 3 15 2" xfId="919" xr:uid="{00000000-0005-0000-0000-0000A5150000}"/>
    <cellStyle name="Обычный 3 15 2 10" xfId="3349" xr:uid="{00000000-0005-0000-0000-0000A6150000}"/>
    <cellStyle name="Обычный 3 15 2 10 2" xfId="7200" xr:uid="{00000000-0005-0000-0000-0000A7150000}"/>
    <cellStyle name="Обычный 3 15 2 11" xfId="3645" xr:uid="{00000000-0005-0000-0000-0000A8150000}"/>
    <cellStyle name="Обычный 3 15 2 11 2" xfId="7496" xr:uid="{00000000-0005-0000-0000-0000A9150000}"/>
    <cellStyle name="Обычный 3 15 2 12" xfId="3941" xr:uid="{00000000-0005-0000-0000-0000AA150000}"/>
    <cellStyle name="Обычный 3 15 2 12 2" xfId="7792" xr:uid="{00000000-0005-0000-0000-0000AB150000}"/>
    <cellStyle name="Обычный 3 15 2 13" xfId="4237" xr:uid="{00000000-0005-0000-0000-0000AC150000}"/>
    <cellStyle name="Обычный 3 15 2 13 2" xfId="8088" xr:uid="{00000000-0005-0000-0000-0000AD150000}"/>
    <cellStyle name="Обычный 3 15 2 14" xfId="8659" xr:uid="{00000000-0005-0000-0000-0000AE150000}"/>
    <cellStyle name="Обычный 3 15 2 15" xfId="4536" xr:uid="{00000000-0005-0000-0000-0000AF150000}"/>
    <cellStyle name="Обычный 3 15 2 2" xfId="1104" xr:uid="{00000000-0005-0000-0000-0000B0150000}"/>
    <cellStyle name="Обычный 3 15 2 2 2" xfId="4832" xr:uid="{00000000-0005-0000-0000-0000B1150000}"/>
    <cellStyle name="Обычный 3 15 2 3" xfId="1293" xr:uid="{00000000-0005-0000-0000-0000B2150000}"/>
    <cellStyle name="Обычный 3 15 2 3 2" xfId="5128" xr:uid="{00000000-0005-0000-0000-0000B3150000}"/>
    <cellStyle name="Обычный 3 15 2 4" xfId="1580" xr:uid="{00000000-0005-0000-0000-0000B4150000}"/>
    <cellStyle name="Обычный 3 15 2 4 2" xfId="5424" xr:uid="{00000000-0005-0000-0000-0000B5150000}"/>
    <cellStyle name="Обычный 3 15 2 5" xfId="1873" xr:uid="{00000000-0005-0000-0000-0000B6150000}"/>
    <cellStyle name="Обычный 3 15 2 5 2" xfId="5720" xr:uid="{00000000-0005-0000-0000-0000B7150000}"/>
    <cellStyle name="Обычный 3 15 2 6" xfId="2166" xr:uid="{00000000-0005-0000-0000-0000B8150000}"/>
    <cellStyle name="Обычный 3 15 2 6 2" xfId="6016" xr:uid="{00000000-0005-0000-0000-0000B9150000}"/>
    <cellStyle name="Обычный 3 15 2 7" xfId="2461" xr:uid="{00000000-0005-0000-0000-0000BA150000}"/>
    <cellStyle name="Обычный 3 15 2 7 2" xfId="6312" xr:uid="{00000000-0005-0000-0000-0000BB150000}"/>
    <cellStyle name="Обычный 3 15 2 8" xfId="2757" xr:uid="{00000000-0005-0000-0000-0000BC150000}"/>
    <cellStyle name="Обычный 3 15 2 8 2" xfId="6608" xr:uid="{00000000-0005-0000-0000-0000BD150000}"/>
    <cellStyle name="Обычный 3 15 2 9" xfId="3053" xr:uid="{00000000-0005-0000-0000-0000BE150000}"/>
    <cellStyle name="Обычный 3 15 2 9 2" xfId="6904" xr:uid="{00000000-0005-0000-0000-0000BF150000}"/>
    <cellStyle name="Обычный 3 15 3" xfId="1057" xr:uid="{00000000-0005-0000-0000-0000C0150000}"/>
    <cellStyle name="Обычный 3 15 3 2" xfId="4684" xr:uid="{00000000-0005-0000-0000-0000C1150000}"/>
    <cellStyle name="Обычный 3 15 4" xfId="1151" xr:uid="{00000000-0005-0000-0000-0000C2150000}"/>
    <cellStyle name="Обычный 3 15 4 2" xfId="4980" xr:uid="{00000000-0005-0000-0000-0000C3150000}"/>
    <cellStyle name="Обычный 3 15 5" xfId="1434" xr:uid="{00000000-0005-0000-0000-0000C4150000}"/>
    <cellStyle name="Обычный 3 15 5 2" xfId="5276" xr:uid="{00000000-0005-0000-0000-0000C5150000}"/>
    <cellStyle name="Обычный 3 15 6" xfId="1725" xr:uid="{00000000-0005-0000-0000-0000C6150000}"/>
    <cellStyle name="Обычный 3 15 6 2" xfId="5572" xr:uid="{00000000-0005-0000-0000-0000C7150000}"/>
    <cellStyle name="Обычный 3 15 7" xfId="2018" xr:uid="{00000000-0005-0000-0000-0000C8150000}"/>
    <cellStyle name="Обычный 3 15 7 2" xfId="5868" xr:uid="{00000000-0005-0000-0000-0000C9150000}"/>
    <cellStyle name="Обычный 3 15 8" xfId="2313" xr:uid="{00000000-0005-0000-0000-0000CA150000}"/>
    <cellStyle name="Обычный 3 15 8 2" xfId="6164" xr:uid="{00000000-0005-0000-0000-0000CB150000}"/>
    <cellStyle name="Обычный 3 15 9" xfId="2609" xr:uid="{00000000-0005-0000-0000-0000CC150000}"/>
    <cellStyle name="Обычный 3 15 9 2" xfId="6460" xr:uid="{00000000-0005-0000-0000-0000CD150000}"/>
    <cellStyle name="Обычный 3 16" xfId="287" xr:uid="{00000000-0005-0000-0000-0000CE150000}"/>
    <cellStyle name="Обычный 3 16 10" xfId="3251" xr:uid="{00000000-0005-0000-0000-0000CF150000}"/>
    <cellStyle name="Обычный 3 16 10 2" xfId="7102" xr:uid="{00000000-0005-0000-0000-0000D0150000}"/>
    <cellStyle name="Обычный 3 16 11" xfId="3547" xr:uid="{00000000-0005-0000-0000-0000D1150000}"/>
    <cellStyle name="Обычный 3 16 11 2" xfId="7398" xr:uid="{00000000-0005-0000-0000-0000D2150000}"/>
    <cellStyle name="Обычный 3 16 12" xfId="3843" xr:uid="{00000000-0005-0000-0000-0000D3150000}"/>
    <cellStyle name="Обычный 3 16 12 2" xfId="7694" xr:uid="{00000000-0005-0000-0000-0000D4150000}"/>
    <cellStyle name="Обычный 3 16 13" xfId="4139" xr:uid="{00000000-0005-0000-0000-0000D5150000}"/>
    <cellStyle name="Обычный 3 16 13 2" xfId="7990" xr:uid="{00000000-0005-0000-0000-0000D6150000}"/>
    <cellStyle name="Обычный 3 16 14" xfId="8339" xr:uid="{00000000-0005-0000-0000-0000D7150000}"/>
    <cellStyle name="Обычный 3 16 15" xfId="4438" xr:uid="{00000000-0005-0000-0000-0000D8150000}"/>
    <cellStyle name="Обычный 3 16 2" xfId="920" xr:uid="{00000000-0005-0000-0000-0000D9150000}"/>
    <cellStyle name="Обычный 3 16 2 2" xfId="8660" xr:uid="{00000000-0005-0000-0000-0000DA150000}"/>
    <cellStyle name="Обычный 3 16 2 3" xfId="4734" xr:uid="{00000000-0005-0000-0000-0000DB150000}"/>
    <cellStyle name="Обычный 3 16 3" xfId="1198" xr:uid="{00000000-0005-0000-0000-0000DC150000}"/>
    <cellStyle name="Обычный 3 16 3 2" xfId="5030" xr:uid="{00000000-0005-0000-0000-0000DD150000}"/>
    <cellStyle name="Обычный 3 16 4" xfId="1483" xr:uid="{00000000-0005-0000-0000-0000DE150000}"/>
    <cellStyle name="Обычный 3 16 4 2" xfId="5326" xr:uid="{00000000-0005-0000-0000-0000DF150000}"/>
    <cellStyle name="Обычный 3 16 5" xfId="1775" xr:uid="{00000000-0005-0000-0000-0000E0150000}"/>
    <cellStyle name="Обычный 3 16 5 2" xfId="5622" xr:uid="{00000000-0005-0000-0000-0000E1150000}"/>
    <cellStyle name="Обычный 3 16 6" xfId="2068" xr:uid="{00000000-0005-0000-0000-0000E2150000}"/>
    <cellStyle name="Обычный 3 16 6 2" xfId="5918" xr:uid="{00000000-0005-0000-0000-0000E3150000}"/>
    <cellStyle name="Обычный 3 16 7" xfId="2363" xr:uid="{00000000-0005-0000-0000-0000E4150000}"/>
    <cellStyle name="Обычный 3 16 7 2" xfId="6214" xr:uid="{00000000-0005-0000-0000-0000E5150000}"/>
    <cellStyle name="Обычный 3 16 8" xfId="2659" xr:uid="{00000000-0005-0000-0000-0000E6150000}"/>
    <cellStyle name="Обычный 3 16 8 2" xfId="6510" xr:uid="{00000000-0005-0000-0000-0000E7150000}"/>
    <cellStyle name="Обычный 3 16 9" xfId="2955" xr:uid="{00000000-0005-0000-0000-0000E8150000}"/>
    <cellStyle name="Обычный 3 16 9 2" xfId="6806" xr:uid="{00000000-0005-0000-0000-0000E9150000}"/>
    <cellStyle name="Обычный 3 17" xfId="388" xr:uid="{00000000-0005-0000-0000-0000EA150000}"/>
    <cellStyle name="Обычный 3 17 2" xfId="8439" xr:uid="{00000000-0005-0000-0000-0000EB150000}"/>
    <cellStyle name="Обычный 3 17 3" xfId="4586" xr:uid="{00000000-0005-0000-0000-0000EC150000}"/>
    <cellStyle name="Обычный 3 18" xfId="921" xr:uid="{00000000-0005-0000-0000-0000ED150000}"/>
    <cellStyle name="Обычный 3 18 2" xfId="8661" xr:uid="{00000000-0005-0000-0000-0000EE150000}"/>
    <cellStyle name="Обычный 3 18 3" xfId="4882" xr:uid="{00000000-0005-0000-0000-0000EF150000}"/>
    <cellStyle name="Обычный 3 19" xfId="1341" xr:uid="{00000000-0005-0000-0000-0000F0150000}"/>
    <cellStyle name="Обычный 3 19 2" xfId="5178" xr:uid="{00000000-0005-0000-0000-0000F1150000}"/>
    <cellStyle name="Обычный 3 2" xfId="10" xr:uid="{00000000-0005-0000-0000-0000F2150000}"/>
    <cellStyle name="Обычный 3 2 10" xfId="1358" xr:uid="{00000000-0005-0000-0000-0000F3150000}"/>
    <cellStyle name="Обычный 3 2 10 2" xfId="5196" xr:uid="{00000000-0005-0000-0000-0000F4150000}"/>
    <cellStyle name="Обычный 3 2 11" xfId="1647" xr:uid="{00000000-0005-0000-0000-0000F5150000}"/>
    <cellStyle name="Обычный 3 2 11 2" xfId="5492" xr:uid="{00000000-0005-0000-0000-0000F6150000}"/>
    <cellStyle name="Обычный 3 2 12" xfId="1940" xr:uid="{00000000-0005-0000-0000-0000F7150000}"/>
    <cellStyle name="Обычный 3 2 12 2" xfId="5788" xr:uid="{00000000-0005-0000-0000-0000F8150000}"/>
    <cellStyle name="Обычный 3 2 13" xfId="2234" xr:uid="{00000000-0005-0000-0000-0000F9150000}"/>
    <cellStyle name="Обычный 3 2 13 2" xfId="6084" xr:uid="{00000000-0005-0000-0000-0000FA150000}"/>
    <cellStyle name="Обычный 3 2 14" xfId="2529" xr:uid="{00000000-0005-0000-0000-0000FB150000}"/>
    <cellStyle name="Обычный 3 2 14 2" xfId="6380" xr:uid="{00000000-0005-0000-0000-0000FC150000}"/>
    <cellStyle name="Обычный 3 2 15" xfId="2825" xr:uid="{00000000-0005-0000-0000-0000FD150000}"/>
    <cellStyle name="Обычный 3 2 15 2" xfId="6676" xr:uid="{00000000-0005-0000-0000-0000FE150000}"/>
    <cellStyle name="Обычный 3 2 16" xfId="3121" xr:uid="{00000000-0005-0000-0000-0000FF150000}"/>
    <cellStyle name="Обычный 3 2 16 2" xfId="6972" xr:uid="{00000000-0005-0000-0000-000000160000}"/>
    <cellStyle name="Обычный 3 2 17" xfId="3417" xr:uid="{00000000-0005-0000-0000-000001160000}"/>
    <cellStyle name="Обычный 3 2 17 2" xfId="7268" xr:uid="{00000000-0005-0000-0000-000002160000}"/>
    <cellStyle name="Обычный 3 2 18" xfId="3713" xr:uid="{00000000-0005-0000-0000-000003160000}"/>
    <cellStyle name="Обычный 3 2 18 2" xfId="7564" xr:uid="{00000000-0005-0000-0000-000004160000}"/>
    <cellStyle name="Обычный 3 2 19" xfId="4009" xr:uid="{00000000-0005-0000-0000-000005160000}"/>
    <cellStyle name="Обычный 3 2 19 2" xfId="7860" xr:uid="{00000000-0005-0000-0000-000006160000}"/>
    <cellStyle name="Обычный 3 2 2" xfId="13" xr:uid="{00000000-0005-0000-0000-000007160000}"/>
    <cellStyle name="Обычный 3 2 2 10" xfId="1941" xr:uid="{00000000-0005-0000-0000-000008160000}"/>
    <cellStyle name="Обычный 3 2 2 10 2" xfId="5789" xr:uid="{00000000-0005-0000-0000-000009160000}"/>
    <cellStyle name="Обычный 3 2 2 11" xfId="2235" xr:uid="{00000000-0005-0000-0000-00000A160000}"/>
    <cellStyle name="Обычный 3 2 2 11 2" xfId="6085" xr:uid="{00000000-0005-0000-0000-00000B160000}"/>
    <cellStyle name="Обычный 3 2 2 12" xfId="2530" xr:uid="{00000000-0005-0000-0000-00000C160000}"/>
    <cellStyle name="Обычный 3 2 2 12 2" xfId="6381" xr:uid="{00000000-0005-0000-0000-00000D160000}"/>
    <cellStyle name="Обычный 3 2 2 13" xfId="2826" xr:uid="{00000000-0005-0000-0000-00000E160000}"/>
    <cellStyle name="Обычный 3 2 2 13 2" xfId="6677" xr:uid="{00000000-0005-0000-0000-00000F160000}"/>
    <cellStyle name="Обычный 3 2 2 14" xfId="3122" xr:uid="{00000000-0005-0000-0000-000010160000}"/>
    <cellStyle name="Обычный 3 2 2 14 2" xfId="6973" xr:uid="{00000000-0005-0000-0000-000011160000}"/>
    <cellStyle name="Обычный 3 2 2 15" xfId="3418" xr:uid="{00000000-0005-0000-0000-000012160000}"/>
    <cellStyle name="Обычный 3 2 2 15 2" xfId="7269" xr:uid="{00000000-0005-0000-0000-000013160000}"/>
    <cellStyle name="Обычный 3 2 2 16" xfId="3714" xr:uid="{00000000-0005-0000-0000-000014160000}"/>
    <cellStyle name="Обычный 3 2 2 16 2" xfId="7565" xr:uid="{00000000-0005-0000-0000-000015160000}"/>
    <cellStyle name="Обычный 3 2 2 17" xfId="4010" xr:uid="{00000000-0005-0000-0000-000016160000}"/>
    <cellStyle name="Обычный 3 2 2 17 2" xfId="7861" xr:uid="{00000000-0005-0000-0000-000017160000}"/>
    <cellStyle name="Обычный 3 2 2 18" xfId="8157" xr:uid="{00000000-0005-0000-0000-000018160000}"/>
    <cellStyle name="Обычный 3 2 2 19" xfId="4306" xr:uid="{00000000-0005-0000-0000-000019160000}"/>
    <cellStyle name="Обычный 3 2 2 2" xfId="19" xr:uid="{00000000-0005-0000-0000-00001A160000}"/>
    <cellStyle name="Обычный 3 2 2 2 10" xfId="2256" xr:uid="{00000000-0005-0000-0000-00001B160000}"/>
    <cellStyle name="Обычный 3 2 2 2 10 2" xfId="6107" xr:uid="{00000000-0005-0000-0000-00001C160000}"/>
    <cellStyle name="Обычный 3 2 2 2 11" xfId="2552" xr:uid="{00000000-0005-0000-0000-00001D160000}"/>
    <cellStyle name="Обычный 3 2 2 2 11 2" xfId="6403" xr:uid="{00000000-0005-0000-0000-00001E160000}"/>
    <cellStyle name="Обычный 3 2 2 2 12" xfId="2848" xr:uid="{00000000-0005-0000-0000-00001F160000}"/>
    <cellStyle name="Обычный 3 2 2 2 12 2" xfId="6699" xr:uid="{00000000-0005-0000-0000-000020160000}"/>
    <cellStyle name="Обычный 3 2 2 2 13" xfId="3144" xr:uid="{00000000-0005-0000-0000-000021160000}"/>
    <cellStyle name="Обычный 3 2 2 2 13 2" xfId="6995" xr:uid="{00000000-0005-0000-0000-000022160000}"/>
    <cellStyle name="Обычный 3 2 2 2 14" xfId="3440" xr:uid="{00000000-0005-0000-0000-000023160000}"/>
    <cellStyle name="Обычный 3 2 2 2 14 2" xfId="7291" xr:uid="{00000000-0005-0000-0000-000024160000}"/>
    <cellStyle name="Обычный 3 2 2 2 15" xfId="3736" xr:uid="{00000000-0005-0000-0000-000025160000}"/>
    <cellStyle name="Обычный 3 2 2 2 15 2" xfId="7587" xr:uid="{00000000-0005-0000-0000-000026160000}"/>
    <cellStyle name="Обычный 3 2 2 2 16" xfId="4032" xr:uid="{00000000-0005-0000-0000-000027160000}"/>
    <cellStyle name="Обычный 3 2 2 2 16 2" xfId="7883" xr:uid="{00000000-0005-0000-0000-000028160000}"/>
    <cellStyle name="Обычный 3 2 2 2 17" xfId="8179" xr:uid="{00000000-0005-0000-0000-000029160000}"/>
    <cellStyle name="Обычный 3 2 2 2 18" xfId="4328" xr:uid="{00000000-0005-0000-0000-00002A160000}"/>
    <cellStyle name="Обычный 3 2 2 2 19" xfId="121" xr:uid="{00000000-0005-0000-0000-00002B160000}"/>
    <cellStyle name="Обычный 3 2 2 2 2" xfId="38" xr:uid="{00000000-0005-0000-0000-00002C160000}"/>
    <cellStyle name="Обычный 3 2 2 2 2 10" xfId="2896" xr:uid="{00000000-0005-0000-0000-00002D160000}"/>
    <cellStyle name="Обычный 3 2 2 2 2 10 2" xfId="6747" xr:uid="{00000000-0005-0000-0000-00002E160000}"/>
    <cellStyle name="Обычный 3 2 2 2 2 11" xfId="3192" xr:uid="{00000000-0005-0000-0000-00002F160000}"/>
    <cellStyle name="Обычный 3 2 2 2 2 11 2" xfId="7043" xr:uid="{00000000-0005-0000-0000-000030160000}"/>
    <cellStyle name="Обычный 3 2 2 2 2 12" xfId="3488" xr:uid="{00000000-0005-0000-0000-000031160000}"/>
    <cellStyle name="Обычный 3 2 2 2 2 12 2" xfId="7339" xr:uid="{00000000-0005-0000-0000-000032160000}"/>
    <cellStyle name="Обычный 3 2 2 2 2 13" xfId="3784" xr:uid="{00000000-0005-0000-0000-000033160000}"/>
    <cellStyle name="Обычный 3 2 2 2 2 13 2" xfId="7635" xr:uid="{00000000-0005-0000-0000-000034160000}"/>
    <cellStyle name="Обычный 3 2 2 2 2 14" xfId="4080" xr:uid="{00000000-0005-0000-0000-000035160000}"/>
    <cellStyle name="Обычный 3 2 2 2 2 14 2" xfId="7931" xr:uid="{00000000-0005-0000-0000-000036160000}"/>
    <cellStyle name="Обычный 3 2 2 2 2 15" xfId="8229" xr:uid="{00000000-0005-0000-0000-000037160000}"/>
    <cellStyle name="Обычный 3 2 2 2 2 16" xfId="4377" xr:uid="{00000000-0005-0000-0000-000038160000}"/>
    <cellStyle name="Обычный 3 2 2 2 2 17" xfId="174" xr:uid="{00000000-0005-0000-0000-000039160000}"/>
    <cellStyle name="Обычный 3 2 2 2 2 2" xfId="277" xr:uid="{00000000-0005-0000-0000-00003A160000}"/>
    <cellStyle name="Обычный 3 2 2 2 2 2 10" xfId="3340" xr:uid="{00000000-0005-0000-0000-00003B160000}"/>
    <cellStyle name="Обычный 3 2 2 2 2 2 10 2" xfId="7191" xr:uid="{00000000-0005-0000-0000-00003C160000}"/>
    <cellStyle name="Обычный 3 2 2 2 2 2 11" xfId="3636" xr:uid="{00000000-0005-0000-0000-00003D160000}"/>
    <cellStyle name="Обычный 3 2 2 2 2 2 11 2" xfId="7487" xr:uid="{00000000-0005-0000-0000-00003E160000}"/>
    <cellStyle name="Обычный 3 2 2 2 2 2 12" xfId="3932" xr:uid="{00000000-0005-0000-0000-00003F160000}"/>
    <cellStyle name="Обычный 3 2 2 2 2 2 12 2" xfId="7783" xr:uid="{00000000-0005-0000-0000-000040160000}"/>
    <cellStyle name="Обычный 3 2 2 2 2 2 13" xfId="4228" xr:uid="{00000000-0005-0000-0000-000041160000}"/>
    <cellStyle name="Обычный 3 2 2 2 2 2 13 2" xfId="8079" xr:uid="{00000000-0005-0000-0000-000042160000}"/>
    <cellStyle name="Обычный 3 2 2 2 2 2 14" xfId="8330" xr:uid="{00000000-0005-0000-0000-000043160000}"/>
    <cellStyle name="Обычный 3 2 2 2 2 2 15" xfId="4527" xr:uid="{00000000-0005-0000-0000-000044160000}"/>
    <cellStyle name="Обычный 3 2 2 2 2 2 2" xfId="922" xr:uid="{00000000-0005-0000-0000-000045160000}"/>
    <cellStyle name="Обычный 3 2 2 2 2 2 2 2" xfId="8662" xr:uid="{00000000-0005-0000-0000-000046160000}"/>
    <cellStyle name="Обычный 3 2 2 2 2 2 2 3" xfId="4823" xr:uid="{00000000-0005-0000-0000-000047160000}"/>
    <cellStyle name="Обычный 3 2 2 2 2 2 3" xfId="1285" xr:uid="{00000000-0005-0000-0000-000048160000}"/>
    <cellStyle name="Обычный 3 2 2 2 2 2 3 2" xfId="5119" xr:uid="{00000000-0005-0000-0000-000049160000}"/>
    <cellStyle name="Обычный 3 2 2 2 2 2 4" xfId="1571" xr:uid="{00000000-0005-0000-0000-00004A160000}"/>
    <cellStyle name="Обычный 3 2 2 2 2 2 4 2" xfId="5415" xr:uid="{00000000-0005-0000-0000-00004B160000}"/>
    <cellStyle name="Обычный 3 2 2 2 2 2 5" xfId="1864" xr:uid="{00000000-0005-0000-0000-00004C160000}"/>
    <cellStyle name="Обычный 3 2 2 2 2 2 5 2" xfId="5711" xr:uid="{00000000-0005-0000-0000-00004D160000}"/>
    <cellStyle name="Обычный 3 2 2 2 2 2 6" xfId="2157" xr:uid="{00000000-0005-0000-0000-00004E160000}"/>
    <cellStyle name="Обычный 3 2 2 2 2 2 6 2" xfId="6007" xr:uid="{00000000-0005-0000-0000-00004F160000}"/>
    <cellStyle name="Обычный 3 2 2 2 2 2 7" xfId="2452" xr:uid="{00000000-0005-0000-0000-000050160000}"/>
    <cellStyle name="Обычный 3 2 2 2 2 2 7 2" xfId="6303" xr:uid="{00000000-0005-0000-0000-000051160000}"/>
    <cellStyle name="Обычный 3 2 2 2 2 2 8" xfId="2748" xr:uid="{00000000-0005-0000-0000-000052160000}"/>
    <cellStyle name="Обычный 3 2 2 2 2 2 8 2" xfId="6599" xr:uid="{00000000-0005-0000-0000-000053160000}"/>
    <cellStyle name="Обычный 3 2 2 2 2 2 9" xfId="3044" xr:uid="{00000000-0005-0000-0000-000054160000}"/>
    <cellStyle name="Обычный 3 2 2 2 2 2 9 2" xfId="6895" xr:uid="{00000000-0005-0000-0000-000055160000}"/>
    <cellStyle name="Обычный 3 2 2 2 2 3" xfId="378" xr:uid="{00000000-0005-0000-0000-000056160000}"/>
    <cellStyle name="Обычный 3 2 2 2 2 3 2" xfId="923" xr:uid="{00000000-0005-0000-0000-000057160000}"/>
    <cellStyle name="Обычный 3 2 2 2 2 3 3" xfId="8430" xr:uid="{00000000-0005-0000-0000-000058160000}"/>
    <cellStyle name="Обычный 3 2 2 2 2 3 4" xfId="4675" xr:uid="{00000000-0005-0000-0000-000059160000}"/>
    <cellStyle name="Обычный 3 2 2 2 2 4" xfId="924" xr:uid="{00000000-0005-0000-0000-00005A160000}"/>
    <cellStyle name="Обычный 3 2 2 2 2 4 2" xfId="8663" xr:uid="{00000000-0005-0000-0000-00005B160000}"/>
    <cellStyle name="Обычный 3 2 2 2 2 4 3" xfId="4971" xr:uid="{00000000-0005-0000-0000-00005C160000}"/>
    <cellStyle name="Обычный 3 2 2 2 2 5" xfId="1427" xr:uid="{00000000-0005-0000-0000-00005D160000}"/>
    <cellStyle name="Обычный 3 2 2 2 2 5 2" xfId="5267" xr:uid="{00000000-0005-0000-0000-00005E160000}"/>
    <cellStyle name="Обычный 3 2 2 2 2 6" xfId="1717" xr:uid="{00000000-0005-0000-0000-00005F160000}"/>
    <cellStyle name="Обычный 3 2 2 2 2 6 2" xfId="5563" xr:uid="{00000000-0005-0000-0000-000060160000}"/>
    <cellStyle name="Обычный 3 2 2 2 2 7" xfId="2009" xr:uid="{00000000-0005-0000-0000-000061160000}"/>
    <cellStyle name="Обычный 3 2 2 2 2 7 2" xfId="5859" xr:uid="{00000000-0005-0000-0000-000062160000}"/>
    <cellStyle name="Обычный 3 2 2 2 2 8" xfId="2304" xr:uid="{00000000-0005-0000-0000-000063160000}"/>
    <cellStyle name="Обычный 3 2 2 2 2 8 2" xfId="6155" xr:uid="{00000000-0005-0000-0000-000064160000}"/>
    <cellStyle name="Обычный 3 2 2 2 2 9" xfId="2600" xr:uid="{00000000-0005-0000-0000-000065160000}"/>
    <cellStyle name="Обычный 3 2 2 2 2 9 2" xfId="6451" xr:uid="{00000000-0005-0000-0000-000066160000}"/>
    <cellStyle name="Обычный 3 2 2 2 3" xfId="227" xr:uid="{00000000-0005-0000-0000-000067160000}"/>
    <cellStyle name="Обычный 3 2 2 2 3 10" xfId="2946" xr:uid="{00000000-0005-0000-0000-000068160000}"/>
    <cellStyle name="Обычный 3 2 2 2 3 10 2" xfId="6797" xr:uid="{00000000-0005-0000-0000-000069160000}"/>
    <cellStyle name="Обычный 3 2 2 2 3 11" xfId="3242" xr:uid="{00000000-0005-0000-0000-00006A160000}"/>
    <cellStyle name="Обычный 3 2 2 2 3 11 2" xfId="7093" xr:uid="{00000000-0005-0000-0000-00006B160000}"/>
    <cellStyle name="Обычный 3 2 2 2 3 12" xfId="3538" xr:uid="{00000000-0005-0000-0000-00006C160000}"/>
    <cellStyle name="Обычный 3 2 2 2 3 12 2" xfId="7389" xr:uid="{00000000-0005-0000-0000-00006D160000}"/>
    <cellStyle name="Обычный 3 2 2 2 3 13" xfId="3834" xr:uid="{00000000-0005-0000-0000-00006E160000}"/>
    <cellStyle name="Обычный 3 2 2 2 3 13 2" xfId="7685" xr:uid="{00000000-0005-0000-0000-00006F160000}"/>
    <cellStyle name="Обычный 3 2 2 2 3 14" xfId="4130" xr:uid="{00000000-0005-0000-0000-000070160000}"/>
    <cellStyle name="Обычный 3 2 2 2 3 14 2" xfId="7981" xr:uid="{00000000-0005-0000-0000-000071160000}"/>
    <cellStyle name="Обычный 3 2 2 2 3 15" xfId="8280" xr:uid="{00000000-0005-0000-0000-000072160000}"/>
    <cellStyle name="Обычный 3 2 2 2 3 16" xfId="4428" xr:uid="{00000000-0005-0000-0000-000073160000}"/>
    <cellStyle name="Обычный 3 2 2 2 3 2" xfId="925" xr:uid="{00000000-0005-0000-0000-000074160000}"/>
    <cellStyle name="Обычный 3 2 2 2 3 2 10" xfId="3390" xr:uid="{00000000-0005-0000-0000-000075160000}"/>
    <cellStyle name="Обычный 3 2 2 2 3 2 10 2" xfId="7241" xr:uid="{00000000-0005-0000-0000-000076160000}"/>
    <cellStyle name="Обычный 3 2 2 2 3 2 11" xfId="3686" xr:uid="{00000000-0005-0000-0000-000077160000}"/>
    <cellStyle name="Обычный 3 2 2 2 3 2 11 2" xfId="7537" xr:uid="{00000000-0005-0000-0000-000078160000}"/>
    <cellStyle name="Обычный 3 2 2 2 3 2 12" xfId="3982" xr:uid="{00000000-0005-0000-0000-000079160000}"/>
    <cellStyle name="Обычный 3 2 2 2 3 2 12 2" xfId="7833" xr:uid="{00000000-0005-0000-0000-00007A160000}"/>
    <cellStyle name="Обычный 3 2 2 2 3 2 13" xfId="4278" xr:uid="{00000000-0005-0000-0000-00007B160000}"/>
    <cellStyle name="Обычный 3 2 2 2 3 2 13 2" xfId="8129" xr:uid="{00000000-0005-0000-0000-00007C160000}"/>
    <cellStyle name="Обычный 3 2 2 2 3 2 14" xfId="8664" xr:uid="{00000000-0005-0000-0000-00007D160000}"/>
    <cellStyle name="Обычный 3 2 2 2 3 2 15" xfId="4577" xr:uid="{00000000-0005-0000-0000-00007E160000}"/>
    <cellStyle name="Обычный 3 2 2 2 3 2 2" xfId="1144" xr:uid="{00000000-0005-0000-0000-00007F160000}"/>
    <cellStyle name="Обычный 3 2 2 2 3 2 2 2" xfId="4873" xr:uid="{00000000-0005-0000-0000-000080160000}"/>
    <cellStyle name="Обычный 3 2 2 2 3 2 3" xfId="1333" xr:uid="{00000000-0005-0000-0000-000081160000}"/>
    <cellStyle name="Обычный 3 2 2 2 3 2 3 2" xfId="5169" xr:uid="{00000000-0005-0000-0000-000082160000}"/>
    <cellStyle name="Обычный 3 2 2 2 3 2 4" xfId="1620" xr:uid="{00000000-0005-0000-0000-000083160000}"/>
    <cellStyle name="Обычный 3 2 2 2 3 2 4 2" xfId="5465" xr:uid="{00000000-0005-0000-0000-000084160000}"/>
    <cellStyle name="Обычный 3 2 2 2 3 2 5" xfId="1913" xr:uid="{00000000-0005-0000-0000-000085160000}"/>
    <cellStyle name="Обычный 3 2 2 2 3 2 5 2" xfId="5761" xr:uid="{00000000-0005-0000-0000-000086160000}"/>
    <cellStyle name="Обычный 3 2 2 2 3 2 6" xfId="2207" xr:uid="{00000000-0005-0000-0000-000087160000}"/>
    <cellStyle name="Обычный 3 2 2 2 3 2 6 2" xfId="6057" xr:uid="{00000000-0005-0000-0000-000088160000}"/>
    <cellStyle name="Обычный 3 2 2 2 3 2 7" xfId="2502" xr:uid="{00000000-0005-0000-0000-000089160000}"/>
    <cellStyle name="Обычный 3 2 2 2 3 2 7 2" xfId="6353" xr:uid="{00000000-0005-0000-0000-00008A160000}"/>
    <cellStyle name="Обычный 3 2 2 2 3 2 8" xfId="2798" xr:uid="{00000000-0005-0000-0000-00008B160000}"/>
    <cellStyle name="Обычный 3 2 2 2 3 2 8 2" xfId="6649" xr:uid="{00000000-0005-0000-0000-00008C160000}"/>
    <cellStyle name="Обычный 3 2 2 2 3 2 9" xfId="3094" xr:uid="{00000000-0005-0000-0000-00008D160000}"/>
    <cellStyle name="Обычный 3 2 2 2 3 2 9 2" xfId="6945" xr:uid="{00000000-0005-0000-0000-00008E160000}"/>
    <cellStyle name="Обычный 3 2 2 2 3 3" xfId="1097" xr:uid="{00000000-0005-0000-0000-00008F160000}"/>
    <cellStyle name="Обычный 3 2 2 2 3 3 2" xfId="4725" xr:uid="{00000000-0005-0000-0000-000090160000}"/>
    <cellStyle name="Обычный 3 2 2 2 3 4" xfId="1191" xr:uid="{00000000-0005-0000-0000-000091160000}"/>
    <cellStyle name="Обычный 3 2 2 2 3 4 2" xfId="5021" xr:uid="{00000000-0005-0000-0000-000092160000}"/>
    <cellStyle name="Обычный 3 2 2 2 3 5" xfId="1475" xr:uid="{00000000-0005-0000-0000-000093160000}"/>
    <cellStyle name="Обычный 3 2 2 2 3 5 2" xfId="5317" xr:uid="{00000000-0005-0000-0000-000094160000}"/>
    <cellStyle name="Обычный 3 2 2 2 3 6" xfId="1766" xr:uid="{00000000-0005-0000-0000-000095160000}"/>
    <cellStyle name="Обычный 3 2 2 2 3 6 2" xfId="5613" xr:uid="{00000000-0005-0000-0000-000096160000}"/>
    <cellStyle name="Обычный 3 2 2 2 3 7" xfId="2059" xr:uid="{00000000-0005-0000-0000-000097160000}"/>
    <cellStyle name="Обычный 3 2 2 2 3 7 2" xfId="5909" xr:uid="{00000000-0005-0000-0000-000098160000}"/>
    <cellStyle name="Обычный 3 2 2 2 3 8" xfId="2354" xr:uid="{00000000-0005-0000-0000-000099160000}"/>
    <cellStyle name="Обычный 3 2 2 2 3 8 2" xfId="6205" xr:uid="{00000000-0005-0000-0000-00009A160000}"/>
    <cellStyle name="Обычный 3 2 2 2 3 9" xfId="2650" xr:uid="{00000000-0005-0000-0000-00009B160000}"/>
    <cellStyle name="Обычный 3 2 2 2 3 9 2" xfId="6501" xr:uid="{00000000-0005-0000-0000-00009C160000}"/>
    <cellStyle name="Обычный 3 2 2 2 4" xfId="328" xr:uid="{00000000-0005-0000-0000-00009D160000}"/>
    <cellStyle name="Обычный 3 2 2 2 4 10" xfId="3292" xr:uid="{00000000-0005-0000-0000-00009E160000}"/>
    <cellStyle name="Обычный 3 2 2 2 4 10 2" xfId="7143" xr:uid="{00000000-0005-0000-0000-00009F160000}"/>
    <cellStyle name="Обычный 3 2 2 2 4 11" xfId="3588" xr:uid="{00000000-0005-0000-0000-0000A0160000}"/>
    <cellStyle name="Обычный 3 2 2 2 4 11 2" xfId="7439" xr:uid="{00000000-0005-0000-0000-0000A1160000}"/>
    <cellStyle name="Обычный 3 2 2 2 4 12" xfId="3884" xr:uid="{00000000-0005-0000-0000-0000A2160000}"/>
    <cellStyle name="Обычный 3 2 2 2 4 12 2" xfId="7735" xr:uid="{00000000-0005-0000-0000-0000A3160000}"/>
    <cellStyle name="Обычный 3 2 2 2 4 13" xfId="4180" xr:uid="{00000000-0005-0000-0000-0000A4160000}"/>
    <cellStyle name="Обычный 3 2 2 2 4 13 2" xfId="8031" xr:uid="{00000000-0005-0000-0000-0000A5160000}"/>
    <cellStyle name="Обычный 3 2 2 2 4 14" xfId="8380" xr:uid="{00000000-0005-0000-0000-0000A6160000}"/>
    <cellStyle name="Обычный 3 2 2 2 4 15" xfId="4479" xr:uid="{00000000-0005-0000-0000-0000A7160000}"/>
    <cellStyle name="Обычный 3 2 2 2 4 2" xfId="926" xr:uid="{00000000-0005-0000-0000-0000A8160000}"/>
    <cellStyle name="Обычный 3 2 2 2 4 2 2" xfId="8665" xr:uid="{00000000-0005-0000-0000-0000A9160000}"/>
    <cellStyle name="Обычный 3 2 2 2 4 2 3" xfId="4775" xr:uid="{00000000-0005-0000-0000-0000AA160000}"/>
    <cellStyle name="Обычный 3 2 2 2 4 3" xfId="1239" xr:uid="{00000000-0005-0000-0000-0000AB160000}"/>
    <cellStyle name="Обычный 3 2 2 2 4 3 2" xfId="5071" xr:uid="{00000000-0005-0000-0000-0000AC160000}"/>
    <cellStyle name="Обычный 3 2 2 2 4 4" xfId="1524" xr:uid="{00000000-0005-0000-0000-0000AD160000}"/>
    <cellStyle name="Обычный 3 2 2 2 4 4 2" xfId="5367" xr:uid="{00000000-0005-0000-0000-0000AE160000}"/>
    <cellStyle name="Обычный 3 2 2 2 4 5" xfId="1816" xr:uid="{00000000-0005-0000-0000-0000AF160000}"/>
    <cellStyle name="Обычный 3 2 2 2 4 5 2" xfId="5663" xr:uid="{00000000-0005-0000-0000-0000B0160000}"/>
    <cellStyle name="Обычный 3 2 2 2 4 6" xfId="2109" xr:uid="{00000000-0005-0000-0000-0000B1160000}"/>
    <cellStyle name="Обычный 3 2 2 2 4 6 2" xfId="5959" xr:uid="{00000000-0005-0000-0000-0000B2160000}"/>
    <cellStyle name="Обычный 3 2 2 2 4 7" xfId="2404" xr:uid="{00000000-0005-0000-0000-0000B3160000}"/>
    <cellStyle name="Обычный 3 2 2 2 4 7 2" xfId="6255" xr:uid="{00000000-0005-0000-0000-0000B4160000}"/>
    <cellStyle name="Обычный 3 2 2 2 4 8" xfId="2700" xr:uid="{00000000-0005-0000-0000-0000B5160000}"/>
    <cellStyle name="Обычный 3 2 2 2 4 8 2" xfId="6551" xr:uid="{00000000-0005-0000-0000-0000B6160000}"/>
    <cellStyle name="Обычный 3 2 2 2 4 9" xfId="2996" xr:uid="{00000000-0005-0000-0000-0000B7160000}"/>
    <cellStyle name="Обычный 3 2 2 2 4 9 2" xfId="6847" xr:uid="{00000000-0005-0000-0000-0000B8160000}"/>
    <cellStyle name="Обычный 3 2 2 2 5" xfId="927" xr:uid="{00000000-0005-0000-0000-0000B9160000}"/>
    <cellStyle name="Обычный 3 2 2 2 5 2" xfId="8666" xr:uid="{00000000-0005-0000-0000-0000BA160000}"/>
    <cellStyle name="Обычный 3 2 2 2 5 3" xfId="4627" xr:uid="{00000000-0005-0000-0000-0000BB160000}"/>
    <cellStyle name="Обычный 3 2 2 2 6" xfId="928" xr:uid="{00000000-0005-0000-0000-0000BC160000}"/>
    <cellStyle name="Обычный 3 2 2 2 6 2" xfId="8667" xr:uid="{00000000-0005-0000-0000-0000BD160000}"/>
    <cellStyle name="Обычный 3 2 2 2 6 3" xfId="4923" xr:uid="{00000000-0005-0000-0000-0000BE160000}"/>
    <cellStyle name="Обычный 3 2 2 2 7" xfId="1380" xr:uid="{00000000-0005-0000-0000-0000BF160000}"/>
    <cellStyle name="Обычный 3 2 2 2 7 2" xfId="5219" xr:uid="{00000000-0005-0000-0000-0000C0160000}"/>
    <cellStyle name="Обычный 3 2 2 2 8" xfId="1669" xr:uid="{00000000-0005-0000-0000-0000C1160000}"/>
    <cellStyle name="Обычный 3 2 2 2 8 2" xfId="5515" xr:uid="{00000000-0005-0000-0000-0000C2160000}"/>
    <cellStyle name="Обычный 3 2 2 2 9" xfId="1962" xr:uid="{00000000-0005-0000-0000-0000C3160000}"/>
    <cellStyle name="Обычный 3 2 2 2 9 2" xfId="5811" xr:uid="{00000000-0005-0000-0000-0000C4160000}"/>
    <cellStyle name="Обычный 3 2 2 20" xfId="77" xr:uid="{00000000-0005-0000-0000-0000C5160000}"/>
    <cellStyle name="Обычный 3 2 2 3" xfId="25" xr:uid="{00000000-0005-0000-0000-0000C6160000}"/>
    <cellStyle name="Обычный 3 2 2 3 10" xfId="2874" xr:uid="{00000000-0005-0000-0000-0000C7160000}"/>
    <cellStyle name="Обычный 3 2 2 3 10 2" xfId="6725" xr:uid="{00000000-0005-0000-0000-0000C8160000}"/>
    <cellStyle name="Обычный 3 2 2 3 11" xfId="3170" xr:uid="{00000000-0005-0000-0000-0000C9160000}"/>
    <cellStyle name="Обычный 3 2 2 3 11 2" xfId="7021" xr:uid="{00000000-0005-0000-0000-0000CA160000}"/>
    <cellStyle name="Обычный 3 2 2 3 12" xfId="3466" xr:uid="{00000000-0005-0000-0000-0000CB160000}"/>
    <cellStyle name="Обычный 3 2 2 3 12 2" xfId="7317" xr:uid="{00000000-0005-0000-0000-0000CC160000}"/>
    <cellStyle name="Обычный 3 2 2 3 13" xfId="3762" xr:uid="{00000000-0005-0000-0000-0000CD160000}"/>
    <cellStyle name="Обычный 3 2 2 3 13 2" xfId="7613" xr:uid="{00000000-0005-0000-0000-0000CE160000}"/>
    <cellStyle name="Обычный 3 2 2 3 14" xfId="4058" xr:uid="{00000000-0005-0000-0000-0000CF160000}"/>
    <cellStyle name="Обычный 3 2 2 3 14 2" xfId="7909" xr:uid="{00000000-0005-0000-0000-0000D0160000}"/>
    <cellStyle name="Обычный 3 2 2 3 15" xfId="8207" xr:uid="{00000000-0005-0000-0000-0000D1160000}"/>
    <cellStyle name="Обычный 3 2 2 3 16" xfId="4355" xr:uid="{00000000-0005-0000-0000-0000D2160000}"/>
    <cellStyle name="Обычный 3 2 2 3 17" xfId="152" xr:uid="{00000000-0005-0000-0000-0000D3160000}"/>
    <cellStyle name="Обычный 3 2 2 3 2" xfId="44" xr:uid="{00000000-0005-0000-0000-0000D4160000}"/>
    <cellStyle name="Обычный 3 2 2 3 2 10" xfId="3318" xr:uid="{00000000-0005-0000-0000-0000D5160000}"/>
    <cellStyle name="Обычный 3 2 2 3 2 10 2" xfId="7169" xr:uid="{00000000-0005-0000-0000-0000D6160000}"/>
    <cellStyle name="Обычный 3 2 2 3 2 11" xfId="3614" xr:uid="{00000000-0005-0000-0000-0000D7160000}"/>
    <cellStyle name="Обычный 3 2 2 3 2 11 2" xfId="7465" xr:uid="{00000000-0005-0000-0000-0000D8160000}"/>
    <cellStyle name="Обычный 3 2 2 3 2 12" xfId="3910" xr:uid="{00000000-0005-0000-0000-0000D9160000}"/>
    <cellStyle name="Обычный 3 2 2 3 2 12 2" xfId="7761" xr:uid="{00000000-0005-0000-0000-0000DA160000}"/>
    <cellStyle name="Обычный 3 2 2 3 2 13" xfId="4206" xr:uid="{00000000-0005-0000-0000-0000DB160000}"/>
    <cellStyle name="Обычный 3 2 2 3 2 13 2" xfId="8057" xr:uid="{00000000-0005-0000-0000-0000DC160000}"/>
    <cellStyle name="Обычный 3 2 2 3 2 14" xfId="8308" xr:uid="{00000000-0005-0000-0000-0000DD160000}"/>
    <cellStyle name="Обычный 3 2 2 3 2 15" xfId="4505" xr:uid="{00000000-0005-0000-0000-0000DE160000}"/>
    <cellStyle name="Обычный 3 2 2 3 2 16" xfId="255" xr:uid="{00000000-0005-0000-0000-0000DF160000}"/>
    <cellStyle name="Обычный 3 2 2 3 2 2" xfId="929" xr:uid="{00000000-0005-0000-0000-0000E0160000}"/>
    <cellStyle name="Обычный 3 2 2 3 2 2 2" xfId="8668" xr:uid="{00000000-0005-0000-0000-0000E1160000}"/>
    <cellStyle name="Обычный 3 2 2 3 2 2 3" xfId="4801" xr:uid="{00000000-0005-0000-0000-0000E2160000}"/>
    <cellStyle name="Обычный 3 2 2 3 2 3" xfId="1264" xr:uid="{00000000-0005-0000-0000-0000E3160000}"/>
    <cellStyle name="Обычный 3 2 2 3 2 3 2" xfId="5097" xr:uid="{00000000-0005-0000-0000-0000E4160000}"/>
    <cellStyle name="Обычный 3 2 2 3 2 4" xfId="1550" xr:uid="{00000000-0005-0000-0000-0000E5160000}"/>
    <cellStyle name="Обычный 3 2 2 3 2 4 2" xfId="5393" xr:uid="{00000000-0005-0000-0000-0000E6160000}"/>
    <cellStyle name="Обычный 3 2 2 3 2 5" xfId="1842" xr:uid="{00000000-0005-0000-0000-0000E7160000}"/>
    <cellStyle name="Обычный 3 2 2 3 2 5 2" xfId="5689" xr:uid="{00000000-0005-0000-0000-0000E8160000}"/>
    <cellStyle name="Обычный 3 2 2 3 2 6" xfId="2135" xr:uid="{00000000-0005-0000-0000-0000E9160000}"/>
    <cellStyle name="Обычный 3 2 2 3 2 6 2" xfId="5985" xr:uid="{00000000-0005-0000-0000-0000EA160000}"/>
    <cellStyle name="Обычный 3 2 2 3 2 7" xfId="2430" xr:uid="{00000000-0005-0000-0000-0000EB160000}"/>
    <cellStyle name="Обычный 3 2 2 3 2 7 2" xfId="6281" xr:uid="{00000000-0005-0000-0000-0000EC160000}"/>
    <cellStyle name="Обычный 3 2 2 3 2 8" xfId="2726" xr:uid="{00000000-0005-0000-0000-0000ED160000}"/>
    <cellStyle name="Обычный 3 2 2 3 2 8 2" xfId="6577" xr:uid="{00000000-0005-0000-0000-0000EE160000}"/>
    <cellStyle name="Обычный 3 2 2 3 2 9" xfId="3022" xr:uid="{00000000-0005-0000-0000-0000EF160000}"/>
    <cellStyle name="Обычный 3 2 2 3 2 9 2" xfId="6873" xr:uid="{00000000-0005-0000-0000-0000F0160000}"/>
    <cellStyle name="Обычный 3 2 2 3 3" xfId="356" xr:uid="{00000000-0005-0000-0000-0000F1160000}"/>
    <cellStyle name="Обычный 3 2 2 3 3 2" xfId="930" xr:uid="{00000000-0005-0000-0000-0000F2160000}"/>
    <cellStyle name="Обычный 3 2 2 3 3 3" xfId="8408" xr:uid="{00000000-0005-0000-0000-0000F3160000}"/>
    <cellStyle name="Обычный 3 2 2 3 3 4" xfId="4653" xr:uid="{00000000-0005-0000-0000-0000F4160000}"/>
    <cellStyle name="Обычный 3 2 2 3 4" xfId="931" xr:uid="{00000000-0005-0000-0000-0000F5160000}"/>
    <cellStyle name="Обычный 3 2 2 3 4 2" xfId="8669" xr:uid="{00000000-0005-0000-0000-0000F6160000}"/>
    <cellStyle name="Обычный 3 2 2 3 4 3" xfId="4949" xr:uid="{00000000-0005-0000-0000-0000F7160000}"/>
    <cellStyle name="Обычный 3 2 2 3 5" xfId="1406" xr:uid="{00000000-0005-0000-0000-0000F8160000}"/>
    <cellStyle name="Обычный 3 2 2 3 5 2" xfId="5245" xr:uid="{00000000-0005-0000-0000-0000F9160000}"/>
    <cellStyle name="Обычный 3 2 2 3 6" xfId="1695" xr:uid="{00000000-0005-0000-0000-0000FA160000}"/>
    <cellStyle name="Обычный 3 2 2 3 6 2" xfId="5541" xr:uid="{00000000-0005-0000-0000-0000FB160000}"/>
    <cellStyle name="Обычный 3 2 2 3 7" xfId="1988" xr:uid="{00000000-0005-0000-0000-0000FC160000}"/>
    <cellStyle name="Обычный 3 2 2 3 7 2" xfId="5837" xr:uid="{00000000-0005-0000-0000-0000FD160000}"/>
    <cellStyle name="Обычный 3 2 2 3 8" xfId="2282" xr:uid="{00000000-0005-0000-0000-0000FE160000}"/>
    <cellStyle name="Обычный 3 2 2 3 8 2" xfId="6133" xr:uid="{00000000-0005-0000-0000-0000FF160000}"/>
    <cellStyle name="Обычный 3 2 2 3 9" xfId="2578" xr:uid="{00000000-0005-0000-0000-000000170000}"/>
    <cellStyle name="Обычный 3 2 2 3 9 2" xfId="6429" xr:uid="{00000000-0005-0000-0000-000001170000}"/>
    <cellStyle name="Обычный 3 2 2 4" xfId="32" xr:uid="{00000000-0005-0000-0000-000002170000}"/>
    <cellStyle name="Обычный 3 2 2 4 10" xfId="2924" xr:uid="{00000000-0005-0000-0000-000003170000}"/>
    <cellStyle name="Обычный 3 2 2 4 10 2" xfId="6775" xr:uid="{00000000-0005-0000-0000-000004170000}"/>
    <cellStyle name="Обычный 3 2 2 4 11" xfId="3220" xr:uid="{00000000-0005-0000-0000-000005170000}"/>
    <cellStyle name="Обычный 3 2 2 4 11 2" xfId="7071" xr:uid="{00000000-0005-0000-0000-000006170000}"/>
    <cellStyle name="Обычный 3 2 2 4 12" xfId="3516" xr:uid="{00000000-0005-0000-0000-000007170000}"/>
    <cellStyle name="Обычный 3 2 2 4 12 2" xfId="7367" xr:uid="{00000000-0005-0000-0000-000008170000}"/>
    <cellStyle name="Обычный 3 2 2 4 13" xfId="3812" xr:uid="{00000000-0005-0000-0000-000009170000}"/>
    <cellStyle name="Обычный 3 2 2 4 13 2" xfId="7663" xr:uid="{00000000-0005-0000-0000-00000A170000}"/>
    <cellStyle name="Обычный 3 2 2 4 14" xfId="4108" xr:uid="{00000000-0005-0000-0000-00000B170000}"/>
    <cellStyle name="Обычный 3 2 2 4 14 2" xfId="7959" xr:uid="{00000000-0005-0000-0000-00000C170000}"/>
    <cellStyle name="Обычный 3 2 2 4 15" xfId="8258" xr:uid="{00000000-0005-0000-0000-00000D170000}"/>
    <cellStyle name="Обычный 3 2 2 4 16" xfId="4406" xr:uid="{00000000-0005-0000-0000-00000E170000}"/>
    <cellStyle name="Обычный 3 2 2 4 17" xfId="205" xr:uid="{00000000-0005-0000-0000-00000F170000}"/>
    <cellStyle name="Обычный 3 2 2 4 2" xfId="932" xr:uid="{00000000-0005-0000-0000-000010170000}"/>
    <cellStyle name="Обычный 3 2 2 4 2 10" xfId="3368" xr:uid="{00000000-0005-0000-0000-000011170000}"/>
    <cellStyle name="Обычный 3 2 2 4 2 10 2" xfId="7219" xr:uid="{00000000-0005-0000-0000-000012170000}"/>
    <cellStyle name="Обычный 3 2 2 4 2 11" xfId="3664" xr:uid="{00000000-0005-0000-0000-000013170000}"/>
    <cellStyle name="Обычный 3 2 2 4 2 11 2" xfId="7515" xr:uid="{00000000-0005-0000-0000-000014170000}"/>
    <cellStyle name="Обычный 3 2 2 4 2 12" xfId="3960" xr:uid="{00000000-0005-0000-0000-000015170000}"/>
    <cellStyle name="Обычный 3 2 2 4 2 12 2" xfId="7811" xr:uid="{00000000-0005-0000-0000-000016170000}"/>
    <cellStyle name="Обычный 3 2 2 4 2 13" xfId="4256" xr:uid="{00000000-0005-0000-0000-000017170000}"/>
    <cellStyle name="Обычный 3 2 2 4 2 13 2" xfId="8107" xr:uid="{00000000-0005-0000-0000-000018170000}"/>
    <cellStyle name="Обычный 3 2 2 4 2 14" xfId="8670" xr:uid="{00000000-0005-0000-0000-000019170000}"/>
    <cellStyle name="Обычный 3 2 2 4 2 15" xfId="4555" xr:uid="{00000000-0005-0000-0000-00001A170000}"/>
    <cellStyle name="Обычный 3 2 2 4 2 2" xfId="1123" xr:uid="{00000000-0005-0000-0000-00001B170000}"/>
    <cellStyle name="Обычный 3 2 2 4 2 2 2" xfId="4851" xr:uid="{00000000-0005-0000-0000-00001C170000}"/>
    <cellStyle name="Обычный 3 2 2 4 2 3" xfId="1312" xr:uid="{00000000-0005-0000-0000-00001D170000}"/>
    <cellStyle name="Обычный 3 2 2 4 2 3 2" xfId="5147" xr:uid="{00000000-0005-0000-0000-00001E170000}"/>
    <cellStyle name="Обычный 3 2 2 4 2 4" xfId="1599" xr:uid="{00000000-0005-0000-0000-00001F170000}"/>
    <cellStyle name="Обычный 3 2 2 4 2 4 2" xfId="5443" xr:uid="{00000000-0005-0000-0000-000020170000}"/>
    <cellStyle name="Обычный 3 2 2 4 2 5" xfId="1892" xr:uid="{00000000-0005-0000-0000-000021170000}"/>
    <cellStyle name="Обычный 3 2 2 4 2 5 2" xfId="5739" xr:uid="{00000000-0005-0000-0000-000022170000}"/>
    <cellStyle name="Обычный 3 2 2 4 2 6" xfId="2185" xr:uid="{00000000-0005-0000-0000-000023170000}"/>
    <cellStyle name="Обычный 3 2 2 4 2 6 2" xfId="6035" xr:uid="{00000000-0005-0000-0000-000024170000}"/>
    <cellStyle name="Обычный 3 2 2 4 2 7" xfId="2480" xr:uid="{00000000-0005-0000-0000-000025170000}"/>
    <cellStyle name="Обычный 3 2 2 4 2 7 2" xfId="6331" xr:uid="{00000000-0005-0000-0000-000026170000}"/>
    <cellStyle name="Обычный 3 2 2 4 2 8" xfId="2776" xr:uid="{00000000-0005-0000-0000-000027170000}"/>
    <cellStyle name="Обычный 3 2 2 4 2 8 2" xfId="6627" xr:uid="{00000000-0005-0000-0000-000028170000}"/>
    <cellStyle name="Обычный 3 2 2 4 2 9" xfId="3072" xr:uid="{00000000-0005-0000-0000-000029170000}"/>
    <cellStyle name="Обычный 3 2 2 4 2 9 2" xfId="6923" xr:uid="{00000000-0005-0000-0000-00002A170000}"/>
    <cellStyle name="Обычный 3 2 2 4 3" xfId="1076" xr:uid="{00000000-0005-0000-0000-00002B170000}"/>
    <cellStyle name="Обычный 3 2 2 4 3 2" xfId="4703" xr:uid="{00000000-0005-0000-0000-00002C170000}"/>
    <cellStyle name="Обычный 3 2 2 4 4" xfId="1170" xr:uid="{00000000-0005-0000-0000-00002D170000}"/>
    <cellStyle name="Обычный 3 2 2 4 4 2" xfId="4999" xr:uid="{00000000-0005-0000-0000-00002E170000}"/>
    <cellStyle name="Обычный 3 2 2 4 5" xfId="1453" xr:uid="{00000000-0005-0000-0000-00002F170000}"/>
    <cellStyle name="Обычный 3 2 2 4 5 2" xfId="5295" xr:uid="{00000000-0005-0000-0000-000030170000}"/>
    <cellStyle name="Обычный 3 2 2 4 6" xfId="1744" xr:uid="{00000000-0005-0000-0000-000031170000}"/>
    <cellStyle name="Обычный 3 2 2 4 6 2" xfId="5591" xr:uid="{00000000-0005-0000-0000-000032170000}"/>
    <cellStyle name="Обычный 3 2 2 4 7" xfId="2037" xr:uid="{00000000-0005-0000-0000-000033170000}"/>
    <cellStyle name="Обычный 3 2 2 4 7 2" xfId="5887" xr:uid="{00000000-0005-0000-0000-000034170000}"/>
    <cellStyle name="Обычный 3 2 2 4 8" xfId="2332" xr:uid="{00000000-0005-0000-0000-000035170000}"/>
    <cellStyle name="Обычный 3 2 2 4 8 2" xfId="6183" xr:uid="{00000000-0005-0000-0000-000036170000}"/>
    <cellStyle name="Обычный 3 2 2 4 9" xfId="2628" xr:uid="{00000000-0005-0000-0000-000037170000}"/>
    <cellStyle name="Обычный 3 2 2 4 9 2" xfId="6479" xr:uid="{00000000-0005-0000-0000-000038170000}"/>
    <cellStyle name="Обычный 3 2 2 5" xfId="306" xr:uid="{00000000-0005-0000-0000-000039170000}"/>
    <cellStyle name="Обычный 3 2 2 5 10" xfId="3270" xr:uid="{00000000-0005-0000-0000-00003A170000}"/>
    <cellStyle name="Обычный 3 2 2 5 10 2" xfId="7121" xr:uid="{00000000-0005-0000-0000-00003B170000}"/>
    <cellStyle name="Обычный 3 2 2 5 11" xfId="3566" xr:uid="{00000000-0005-0000-0000-00003C170000}"/>
    <cellStyle name="Обычный 3 2 2 5 11 2" xfId="7417" xr:uid="{00000000-0005-0000-0000-00003D170000}"/>
    <cellStyle name="Обычный 3 2 2 5 12" xfId="3862" xr:uid="{00000000-0005-0000-0000-00003E170000}"/>
    <cellStyle name="Обычный 3 2 2 5 12 2" xfId="7713" xr:uid="{00000000-0005-0000-0000-00003F170000}"/>
    <cellStyle name="Обычный 3 2 2 5 13" xfId="4158" xr:uid="{00000000-0005-0000-0000-000040170000}"/>
    <cellStyle name="Обычный 3 2 2 5 13 2" xfId="8009" xr:uid="{00000000-0005-0000-0000-000041170000}"/>
    <cellStyle name="Обычный 3 2 2 5 14" xfId="8358" xr:uid="{00000000-0005-0000-0000-000042170000}"/>
    <cellStyle name="Обычный 3 2 2 5 15" xfId="4457" xr:uid="{00000000-0005-0000-0000-000043170000}"/>
    <cellStyle name="Обычный 3 2 2 5 2" xfId="933" xr:uid="{00000000-0005-0000-0000-000044170000}"/>
    <cellStyle name="Обычный 3 2 2 5 2 2" xfId="8671" xr:uid="{00000000-0005-0000-0000-000045170000}"/>
    <cellStyle name="Обычный 3 2 2 5 2 3" xfId="4753" xr:uid="{00000000-0005-0000-0000-000046170000}"/>
    <cellStyle name="Обычный 3 2 2 5 3" xfId="1217" xr:uid="{00000000-0005-0000-0000-000047170000}"/>
    <cellStyle name="Обычный 3 2 2 5 3 2" xfId="5049" xr:uid="{00000000-0005-0000-0000-000048170000}"/>
    <cellStyle name="Обычный 3 2 2 5 4" xfId="1502" xr:uid="{00000000-0005-0000-0000-000049170000}"/>
    <cellStyle name="Обычный 3 2 2 5 4 2" xfId="5345" xr:uid="{00000000-0005-0000-0000-00004A170000}"/>
    <cellStyle name="Обычный 3 2 2 5 5" xfId="1794" xr:uid="{00000000-0005-0000-0000-00004B170000}"/>
    <cellStyle name="Обычный 3 2 2 5 5 2" xfId="5641" xr:uid="{00000000-0005-0000-0000-00004C170000}"/>
    <cellStyle name="Обычный 3 2 2 5 6" xfId="2087" xr:uid="{00000000-0005-0000-0000-00004D170000}"/>
    <cellStyle name="Обычный 3 2 2 5 6 2" xfId="5937" xr:uid="{00000000-0005-0000-0000-00004E170000}"/>
    <cellStyle name="Обычный 3 2 2 5 7" xfId="2382" xr:uid="{00000000-0005-0000-0000-00004F170000}"/>
    <cellStyle name="Обычный 3 2 2 5 7 2" xfId="6233" xr:uid="{00000000-0005-0000-0000-000050170000}"/>
    <cellStyle name="Обычный 3 2 2 5 8" xfId="2678" xr:uid="{00000000-0005-0000-0000-000051170000}"/>
    <cellStyle name="Обычный 3 2 2 5 8 2" xfId="6529" xr:uid="{00000000-0005-0000-0000-000052170000}"/>
    <cellStyle name="Обычный 3 2 2 5 9" xfId="2974" xr:uid="{00000000-0005-0000-0000-000053170000}"/>
    <cellStyle name="Обычный 3 2 2 5 9 2" xfId="6825" xr:uid="{00000000-0005-0000-0000-000054170000}"/>
    <cellStyle name="Обычный 3 2 2 6" xfId="649" xr:uid="{00000000-0005-0000-0000-000055170000}"/>
    <cellStyle name="Обычный 3 2 2 6 2" xfId="8473" xr:uid="{00000000-0005-0000-0000-000056170000}"/>
    <cellStyle name="Обычный 3 2 2 6 3" xfId="4605" xr:uid="{00000000-0005-0000-0000-000057170000}"/>
    <cellStyle name="Обычный 3 2 2 7" xfId="934" xr:uid="{00000000-0005-0000-0000-000058170000}"/>
    <cellStyle name="Обычный 3 2 2 7 2" xfId="8672" xr:uid="{00000000-0005-0000-0000-000059170000}"/>
    <cellStyle name="Обычный 3 2 2 7 3" xfId="4901" xr:uid="{00000000-0005-0000-0000-00005A170000}"/>
    <cellStyle name="Обычный 3 2 2 8" xfId="1359" xr:uid="{00000000-0005-0000-0000-00005B170000}"/>
    <cellStyle name="Обычный 3 2 2 8 2" xfId="5197" xr:uid="{00000000-0005-0000-0000-00005C170000}"/>
    <cellStyle name="Обычный 3 2 2 9" xfId="1648" xr:uid="{00000000-0005-0000-0000-00005D170000}"/>
    <cellStyle name="Обычный 3 2 2 9 2" xfId="5493" xr:uid="{00000000-0005-0000-0000-00005E170000}"/>
    <cellStyle name="Обычный 3 2 20" xfId="8156" xr:uid="{00000000-0005-0000-0000-00005F170000}"/>
    <cellStyle name="Обычный 3 2 21" xfId="4305" xr:uid="{00000000-0005-0000-0000-000060170000}"/>
    <cellStyle name="Обычный 3 2 22" xfId="76" xr:uid="{00000000-0005-0000-0000-000061170000}"/>
    <cellStyle name="Обычный 3 2 3" xfId="16" xr:uid="{00000000-0005-0000-0000-000062170000}"/>
    <cellStyle name="Обычный 3 2 3 10" xfId="1942" xr:uid="{00000000-0005-0000-0000-000063170000}"/>
    <cellStyle name="Обычный 3 2 3 10 2" xfId="5790" xr:uid="{00000000-0005-0000-0000-000064170000}"/>
    <cellStyle name="Обычный 3 2 3 11" xfId="2236" xr:uid="{00000000-0005-0000-0000-000065170000}"/>
    <cellStyle name="Обычный 3 2 3 11 2" xfId="6086" xr:uid="{00000000-0005-0000-0000-000066170000}"/>
    <cellStyle name="Обычный 3 2 3 12" xfId="2531" xr:uid="{00000000-0005-0000-0000-000067170000}"/>
    <cellStyle name="Обычный 3 2 3 12 2" xfId="6382" xr:uid="{00000000-0005-0000-0000-000068170000}"/>
    <cellStyle name="Обычный 3 2 3 13" xfId="2827" xr:uid="{00000000-0005-0000-0000-000069170000}"/>
    <cellStyle name="Обычный 3 2 3 13 2" xfId="6678" xr:uid="{00000000-0005-0000-0000-00006A170000}"/>
    <cellStyle name="Обычный 3 2 3 14" xfId="3123" xr:uid="{00000000-0005-0000-0000-00006B170000}"/>
    <cellStyle name="Обычный 3 2 3 14 2" xfId="6974" xr:uid="{00000000-0005-0000-0000-00006C170000}"/>
    <cellStyle name="Обычный 3 2 3 15" xfId="3419" xr:uid="{00000000-0005-0000-0000-00006D170000}"/>
    <cellStyle name="Обычный 3 2 3 15 2" xfId="7270" xr:uid="{00000000-0005-0000-0000-00006E170000}"/>
    <cellStyle name="Обычный 3 2 3 16" xfId="3715" xr:uid="{00000000-0005-0000-0000-00006F170000}"/>
    <cellStyle name="Обычный 3 2 3 16 2" xfId="7566" xr:uid="{00000000-0005-0000-0000-000070170000}"/>
    <cellStyle name="Обычный 3 2 3 17" xfId="4011" xr:uid="{00000000-0005-0000-0000-000071170000}"/>
    <cellStyle name="Обычный 3 2 3 17 2" xfId="7862" xr:uid="{00000000-0005-0000-0000-000072170000}"/>
    <cellStyle name="Обычный 3 2 3 18" xfId="8158" xr:uid="{00000000-0005-0000-0000-000073170000}"/>
    <cellStyle name="Обычный 3 2 3 19" xfId="4307" xr:uid="{00000000-0005-0000-0000-000074170000}"/>
    <cellStyle name="Обычный 3 2 3 2" xfId="35" xr:uid="{00000000-0005-0000-0000-000075170000}"/>
    <cellStyle name="Обычный 3 2 3 2 10" xfId="1963" xr:uid="{00000000-0005-0000-0000-000076170000}"/>
    <cellStyle name="Обычный 3 2 3 2 10 2" xfId="5812" xr:uid="{00000000-0005-0000-0000-000077170000}"/>
    <cellStyle name="Обычный 3 2 3 2 11" xfId="2257" xr:uid="{00000000-0005-0000-0000-000078170000}"/>
    <cellStyle name="Обычный 3 2 3 2 11 2" xfId="6108" xr:uid="{00000000-0005-0000-0000-000079170000}"/>
    <cellStyle name="Обычный 3 2 3 2 12" xfId="2553" xr:uid="{00000000-0005-0000-0000-00007A170000}"/>
    <cellStyle name="Обычный 3 2 3 2 12 2" xfId="6404" xr:uid="{00000000-0005-0000-0000-00007B170000}"/>
    <cellStyle name="Обычный 3 2 3 2 13" xfId="2849" xr:uid="{00000000-0005-0000-0000-00007C170000}"/>
    <cellStyle name="Обычный 3 2 3 2 13 2" xfId="6700" xr:uid="{00000000-0005-0000-0000-00007D170000}"/>
    <cellStyle name="Обычный 3 2 3 2 14" xfId="3145" xr:uid="{00000000-0005-0000-0000-00007E170000}"/>
    <cellStyle name="Обычный 3 2 3 2 14 2" xfId="6996" xr:uid="{00000000-0005-0000-0000-00007F170000}"/>
    <cellStyle name="Обычный 3 2 3 2 15" xfId="3441" xr:uid="{00000000-0005-0000-0000-000080170000}"/>
    <cellStyle name="Обычный 3 2 3 2 15 2" xfId="7292" xr:uid="{00000000-0005-0000-0000-000081170000}"/>
    <cellStyle name="Обычный 3 2 3 2 16" xfId="3737" xr:uid="{00000000-0005-0000-0000-000082170000}"/>
    <cellStyle name="Обычный 3 2 3 2 16 2" xfId="7588" xr:uid="{00000000-0005-0000-0000-000083170000}"/>
    <cellStyle name="Обычный 3 2 3 2 17" xfId="4033" xr:uid="{00000000-0005-0000-0000-000084170000}"/>
    <cellStyle name="Обычный 3 2 3 2 17 2" xfId="7884" xr:uid="{00000000-0005-0000-0000-000085170000}"/>
    <cellStyle name="Обычный 3 2 3 2 18" xfId="8180" xr:uid="{00000000-0005-0000-0000-000086170000}"/>
    <cellStyle name="Обычный 3 2 3 2 19" xfId="4329" xr:uid="{00000000-0005-0000-0000-000087170000}"/>
    <cellStyle name="Обычный 3 2 3 2 2" xfId="132" xr:uid="{00000000-0005-0000-0000-000088170000}"/>
    <cellStyle name="Обычный 3 2 3 2 20" xfId="122" xr:uid="{00000000-0005-0000-0000-000089170000}"/>
    <cellStyle name="Обычный 3 2 3 2 3" xfId="175" xr:uid="{00000000-0005-0000-0000-00008A170000}"/>
    <cellStyle name="Обычный 3 2 3 2 3 10" xfId="2897" xr:uid="{00000000-0005-0000-0000-00008B170000}"/>
    <cellStyle name="Обычный 3 2 3 2 3 10 2" xfId="6748" xr:uid="{00000000-0005-0000-0000-00008C170000}"/>
    <cellStyle name="Обычный 3 2 3 2 3 11" xfId="3193" xr:uid="{00000000-0005-0000-0000-00008D170000}"/>
    <cellStyle name="Обычный 3 2 3 2 3 11 2" xfId="7044" xr:uid="{00000000-0005-0000-0000-00008E170000}"/>
    <cellStyle name="Обычный 3 2 3 2 3 12" xfId="3489" xr:uid="{00000000-0005-0000-0000-00008F170000}"/>
    <cellStyle name="Обычный 3 2 3 2 3 12 2" xfId="7340" xr:uid="{00000000-0005-0000-0000-000090170000}"/>
    <cellStyle name="Обычный 3 2 3 2 3 13" xfId="3785" xr:uid="{00000000-0005-0000-0000-000091170000}"/>
    <cellStyle name="Обычный 3 2 3 2 3 13 2" xfId="7636" xr:uid="{00000000-0005-0000-0000-000092170000}"/>
    <cellStyle name="Обычный 3 2 3 2 3 14" xfId="4081" xr:uid="{00000000-0005-0000-0000-000093170000}"/>
    <cellStyle name="Обычный 3 2 3 2 3 14 2" xfId="7932" xr:uid="{00000000-0005-0000-0000-000094170000}"/>
    <cellStyle name="Обычный 3 2 3 2 3 15" xfId="8230" xr:uid="{00000000-0005-0000-0000-000095170000}"/>
    <cellStyle name="Обычный 3 2 3 2 3 16" xfId="4378" xr:uid="{00000000-0005-0000-0000-000096170000}"/>
    <cellStyle name="Обычный 3 2 3 2 3 2" xfId="278" xr:uid="{00000000-0005-0000-0000-000097170000}"/>
    <cellStyle name="Обычный 3 2 3 2 3 2 10" xfId="3341" xr:uid="{00000000-0005-0000-0000-000098170000}"/>
    <cellStyle name="Обычный 3 2 3 2 3 2 10 2" xfId="7192" xr:uid="{00000000-0005-0000-0000-000099170000}"/>
    <cellStyle name="Обычный 3 2 3 2 3 2 11" xfId="3637" xr:uid="{00000000-0005-0000-0000-00009A170000}"/>
    <cellStyle name="Обычный 3 2 3 2 3 2 11 2" xfId="7488" xr:uid="{00000000-0005-0000-0000-00009B170000}"/>
    <cellStyle name="Обычный 3 2 3 2 3 2 12" xfId="3933" xr:uid="{00000000-0005-0000-0000-00009C170000}"/>
    <cellStyle name="Обычный 3 2 3 2 3 2 12 2" xfId="7784" xr:uid="{00000000-0005-0000-0000-00009D170000}"/>
    <cellStyle name="Обычный 3 2 3 2 3 2 13" xfId="4229" xr:uid="{00000000-0005-0000-0000-00009E170000}"/>
    <cellStyle name="Обычный 3 2 3 2 3 2 13 2" xfId="8080" xr:uid="{00000000-0005-0000-0000-00009F170000}"/>
    <cellStyle name="Обычный 3 2 3 2 3 2 14" xfId="8331" xr:uid="{00000000-0005-0000-0000-0000A0170000}"/>
    <cellStyle name="Обычный 3 2 3 2 3 2 15" xfId="4528" xr:uid="{00000000-0005-0000-0000-0000A1170000}"/>
    <cellStyle name="Обычный 3 2 3 2 3 2 2" xfId="935" xr:uid="{00000000-0005-0000-0000-0000A2170000}"/>
    <cellStyle name="Обычный 3 2 3 2 3 2 2 2" xfId="8673" xr:uid="{00000000-0005-0000-0000-0000A3170000}"/>
    <cellStyle name="Обычный 3 2 3 2 3 2 2 3" xfId="4824" xr:uid="{00000000-0005-0000-0000-0000A4170000}"/>
    <cellStyle name="Обычный 3 2 3 2 3 2 3" xfId="1286" xr:uid="{00000000-0005-0000-0000-0000A5170000}"/>
    <cellStyle name="Обычный 3 2 3 2 3 2 3 2" xfId="5120" xr:uid="{00000000-0005-0000-0000-0000A6170000}"/>
    <cellStyle name="Обычный 3 2 3 2 3 2 4" xfId="1572" xr:uid="{00000000-0005-0000-0000-0000A7170000}"/>
    <cellStyle name="Обычный 3 2 3 2 3 2 4 2" xfId="5416" xr:uid="{00000000-0005-0000-0000-0000A8170000}"/>
    <cellStyle name="Обычный 3 2 3 2 3 2 5" xfId="1865" xr:uid="{00000000-0005-0000-0000-0000A9170000}"/>
    <cellStyle name="Обычный 3 2 3 2 3 2 5 2" xfId="5712" xr:uid="{00000000-0005-0000-0000-0000AA170000}"/>
    <cellStyle name="Обычный 3 2 3 2 3 2 6" xfId="2158" xr:uid="{00000000-0005-0000-0000-0000AB170000}"/>
    <cellStyle name="Обычный 3 2 3 2 3 2 6 2" xfId="6008" xr:uid="{00000000-0005-0000-0000-0000AC170000}"/>
    <cellStyle name="Обычный 3 2 3 2 3 2 7" xfId="2453" xr:uid="{00000000-0005-0000-0000-0000AD170000}"/>
    <cellStyle name="Обычный 3 2 3 2 3 2 7 2" xfId="6304" xr:uid="{00000000-0005-0000-0000-0000AE170000}"/>
    <cellStyle name="Обычный 3 2 3 2 3 2 8" xfId="2749" xr:uid="{00000000-0005-0000-0000-0000AF170000}"/>
    <cellStyle name="Обычный 3 2 3 2 3 2 8 2" xfId="6600" xr:uid="{00000000-0005-0000-0000-0000B0170000}"/>
    <cellStyle name="Обычный 3 2 3 2 3 2 9" xfId="3045" xr:uid="{00000000-0005-0000-0000-0000B1170000}"/>
    <cellStyle name="Обычный 3 2 3 2 3 2 9 2" xfId="6896" xr:uid="{00000000-0005-0000-0000-0000B2170000}"/>
    <cellStyle name="Обычный 3 2 3 2 3 3" xfId="379" xr:uid="{00000000-0005-0000-0000-0000B3170000}"/>
    <cellStyle name="Обычный 3 2 3 2 3 3 2" xfId="936" xr:uid="{00000000-0005-0000-0000-0000B4170000}"/>
    <cellStyle name="Обычный 3 2 3 2 3 3 3" xfId="8431" xr:uid="{00000000-0005-0000-0000-0000B5170000}"/>
    <cellStyle name="Обычный 3 2 3 2 3 3 4" xfId="4676" xr:uid="{00000000-0005-0000-0000-0000B6170000}"/>
    <cellStyle name="Обычный 3 2 3 2 3 4" xfId="937" xr:uid="{00000000-0005-0000-0000-0000B7170000}"/>
    <cellStyle name="Обычный 3 2 3 2 3 4 2" xfId="8674" xr:uid="{00000000-0005-0000-0000-0000B8170000}"/>
    <cellStyle name="Обычный 3 2 3 2 3 4 3" xfId="4972" xr:uid="{00000000-0005-0000-0000-0000B9170000}"/>
    <cellStyle name="Обычный 3 2 3 2 3 5" xfId="1428" xr:uid="{00000000-0005-0000-0000-0000BA170000}"/>
    <cellStyle name="Обычный 3 2 3 2 3 5 2" xfId="5268" xr:uid="{00000000-0005-0000-0000-0000BB170000}"/>
    <cellStyle name="Обычный 3 2 3 2 3 6" xfId="1718" xr:uid="{00000000-0005-0000-0000-0000BC170000}"/>
    <cellStyle name="Обычный 3 2 3 2 3 6 2" xfId="5564" xr:uid="{00000000-0005-0000-0000-0000BD170000}"/>
    <cellStyle name="Обычный 3 2 3 2 3 7" xfId="2010" xr:uid="{00000000-0005-0000-0000-0000BE170000}"/>
    <cellStyle name="Обычный 3 2 3 2 3 7 2" xfId="5860" xr:uid="{00000000-0005-0000-0000-0000BF170000}"/>
    <cellStyle name="Обычный 3 2 3 2 3 8" xfId="2305" xr:uid="{00000000-0005-0000-0000-0000C0170000}"/>
    <cellStyle name="Обычный 3 2 3 2 3 8 2" xfId="6156" xr:uid="{00000000-0005-0000-0000-0000C1170000}"/>
    <cellStyle name="Обычный 3 2 3 2 3 9" xfId="2601" xr:uid="{00000000-0005-0000-0000-0000C2170000}"/>
    <cellStyle name="Обычный 3 2 3 2 3 9 2" xfId="6452" xr:uid="{00000000-0005-0000-0000-0000C3170000}"/>
    <cellStyle name="Обычный 3 2 3 2 4" xfId="228" xr:uid="{00000000-0005-0000-0000-0000C4170000}"/>
    <cellStyle name="Обычный 3 2 3 2 4 10" xfId="2947" xr:uid="{00000000-0005-0000-0000-0000C5170000}"/>
    <cellStyle name="Обычный 3 2 3 2 4 10 2" xfId="6798" xr:uid="{00000000-0005-0000-0000-0000C6170000}"/>
    <cellStyle name="Обычный 3 2 3 2 4 11" xfId="3243" xr:uid="{00000000-0005-0000-0000-0000C7170000}"/>
    <cellStyle name="Обычный 3 2 3 2 4 11 2" xfId="7094" xr:uid="{00000000-0005-0000-0000-0000C8170000}"/>
    <cellStyle name="Обычный 3 2 3 2 4 12" xfId="3539" xr:uid="{00000000-0005-0000-0000-0000C9170000}"/>
    <cellStyle name="Обычный 3 2 3 2 4 12 2" xfId="7390" xr:uid="{00000000-0005-0000-0000-0000CA170000}"/>
    <cellStyle name="Обычный 3 2 3 2 4 13" xfId="3835" xr:uid="{00000000-0005-0000-0000-0000CB170000}"/>
    <cellStyle name="Обычный 3 2 3 2 4 13 2" xfId="7686" xr:uid="{00000000-0005-0000-0000-0000CC170000}"/>
    <cellStyle name="Обычный 3 2 3 2 4 14" xfId="4131" xr:uid="{00000000-0005-0000-0000-0000CD170000}"/>
    <cellStyle name="Обычный 3 2 3 2 4 14 2" xfId="7982" xr:uid="{00000000-0005-0000-0000-0000CE170000}"/>
    <cellStyle name="Обычный 3 2 3 2 4 15" xfId="8281" xr:uid="{00000000-0005-0000-0000-0000CF170000}"/>
    <cellStyle name="Обычный 3 2 3 2 4 16" xfId="4429" xr:uid="{00000000-0005-0000-0000-0000D0170000}"/>
    <cellStyle name="Обычный 3 2 3 2 4 2" xfId="938" xr:uid="{00000000-0005-0000-0000-0000D1170000}"/>
    <cellStyle name="Обычный 3 2 3 2 4 2 10" xfId="3391" xr:uid="{00000000-0005-0000-0000-0000D2170000}"/>
    <cellStyle name="Обычный 3 2 3 2 4 2 10 2" xfId="7242" xr:uid="{00000000-0005-0000-0000-0000D3170000}"/>
    <cellStyle name="Обычный 3 2 3 2 4 2 11" xfId="3687" xr:uid="{00000000-0005-0000-0000-0000D4170000}"/>
    <cellStyle name="Обычный 3 2 3 2 4 2 11 2" xfId="7538" xr:uid="{00000000-0005-0000-0000-0000D5170000}"/>
    <cellStyle name="Обычный 3 2 3 2 4 2 12" xfId="3983" xr:uid="{00000000-0005-0000-0000-0000D6170000}"/>
    <cellStyle name="Обычный 3 2 3 2 4 2 12 2" xfId="7834" xr:uid="{00000000-0005-0000-0000-0000D7170000}"/>
    <cellStyle name="Обычный 3 2 3 2 4 2 13" xfId="4279" xr:uid="{00000000-0005-0000-0000-0000D8170000}"/>
    <cellStyle name="Обычный 3 2 3 2 4 2 13 2" xfId="8130" xr:uid="{00000000-0005-0000-0000-0000D9170000}"/>
    <cellStyle name="Обычный 3 2 3 2 4 2 14" xfId="8675" xr:uid="{00000000-0005-0000-0000-0000DA170000}"/>
    <cellStyle name="Обычный 3 2 3 2 4 2 15" xfId="4578" xr:uid="{00000000-0005-0000-0000-0000DB170000}"/>
    <cellStyle name="Обычный 3 2 3 2 4 2 2" xfId="1145" xr:uid="{00000000-0005-0000-0000-0000DC170000}"/>
    <cellStyle name="Обычный 3 2 3 2 4 2 2 2" xfId="4874" xr:uid="{00000000-0005-0000-0000-0000DD170000}"/>
    <cellStyle name="Обычный 3 2 3 2 4 2 3" xfId="1334" xr:uid="{00000000-0005-0000-0000-0000DE170000}"/>
    <cellStyle name="Обычный 3 2 3 2 4 2 3 2" xfId="5170" xr:uid="{00000000-0005-0000-0000-0000DF170000}"/>
    <cellStyle name="Обычный 3 2 3 2 4 2 4" xfId="1621" xr:uid="{00000000-0005-0000-0000-0000E0170000}"/>
    <cellStyle name="Обычный 3 2 3 2 4 2 4 2" xfId="5466" xr:uid="{00000000-0005-0000-0000-0000E1170000}"/>
    <cellStyle name="Обычный 3 2 3 2 4 2 5" xfId="1914" xr:uid="{00000000-0005-0000-0000-0000E2170000}"/>
    <cellStyle name="Обычный 3 2 3 2 4 2 5 2" xfId="5762" xr:uid="{00000000-0005-0000-0000-0000E3170000}"/>
    <cellStyle name="Обычный 3 2 3 2 4 2 6" xfId="2208" xr:uid="{00000000-0005-0000-0000-0000E4170000}"/>
    <cellStyle name="Обычный 3 2 3 2 4 2 6 2" xfId="6058" xr:uid="{00000000-0005-0000-0000-0000E5170000}"/>
    <cellStyle name="Обычный 3 2 3 2 4 2 7" xfId="2503" xr:uid="{00000000-0005-0000-0000-0000E6170000}"/>
    <cellStyle name="Обычный 3 2 3 2 4 2 7 2" xfId="6354" xr:uid="{00000000-0005-0000-0000-0000E7170000}"/>
    <cellStyle name="Обычный 3 2 3 2 4 2 8" xfId="2799" xr:uid="{00000000-0005-0000-0000-0000E8170000}"/>
    <cellStyle name="Обычный 3 2 3 2 4 2 8 2" xfId="6650" xr:uid="{00000000-0005-0000-0000-0000E9170000}"/>
    <cellStyle name="Обычный 3 2 3 2 4 2 9" xfId="3095" xr:uid="{00000000-0005-0000-0000-0000EA170000}"/>
    <cellStyle name="Обычный 3 2 3 2 4 2 9 2" xfId="6946" xr:uid="{00000000-0005-0000-0000-0000EB170000}"/>
    <cellStyle name="Обычный 3 2 3 2 4 3" xfId="1098" xr:uid="{00000000-0005-0000-0000-0000EC170000}"/>
    <cellStyle name="Обычный 3 2 3 2 4 3 2" xfId="4726" xr:uid="{00000000-0005-0000-0000-0000ED170000}"/>
    <cellStyle name="Обычный 3 2 3 2 4 4" xfId="1192" xr:uid="{00000000-0005-0000-0000-0000EE170000}"/>
    <cellStyle name="Обычный 3 2 3 2 4 4 2" xfId="5022" xr:uid="{00000000-0005-0000-0000-0000EF170000}"/>
    <cellStyle name="Обычный 3 2 3 2 4 5" xfId="1476" xr:uid="{00000000-0005-0000-0000-0000F0170000}"/>
    <cellStyle name="Обычный 3 2 3 2 4 5 2" xfId="5318" xr:uid="{00000000-0005-0000-0000-0000F1170000}"/>
    <cellStyle name="Обычный 3 2 3 2 4 6" xfId="1767" xr:uid="{00000000-0005-0000-0000-0000F2170000}"/>
    <cellStyle name="Обычный 3 2 3 2 4 6 2" xfId="5614" xr:uid="{00000000-0005-0000-0000-0000F3170000}"/>
    <cellStyle name="Обычный 3 2 3 2 4 7" xfId="2060" xr:uid="{00000000-0005-0000-0000-0000F4170000}"/>
    <cellStyle name="Обычный 3 2 3 2 4 7 2" xfId="5910" xr:uid="{00000000-0005-0000-0000-0000F5170000}"/>
    <cellStyle name="Обычный 3 2 3 2 4 8" xfId="2355" xr:uid="{00000000-0005-0000-0000-0000F6170000}"/>
    <cellStyle name="Обычный 3 2 3 2 4 8 2" xfId="6206" xr:uid="{00000000-0005-0000-0000-0000F7170000}"/>
    <cellStyle name="Обычный 3 2 3 2 4 9" xfId="2651" xr:uid="{00000000-0005-0000-0000-0000F8170000}"/>
    <cellStyle name="Обычный 3 2 3 2 4 9 2" xfId="6502" xr:uid="{00000000-0005-0000-0000-0000F9170000}"/>
    <cellStyle name="Обычный 3 2 3 2 5" xfId="329" xr:uid="{00000000-0005-0000-0000-0000FA170000}"/>
    <cellStyle name="Обычный 3 2 3 2 5 10" xfId="3293" xr:uid="{00000000-0005-0000-0000-0000FB170000}"/>
    <cellStyle name="Обычный 3 2 3 2 5 10 2" xfId="7144" xr:uid="{00000000-0005-0000-0000-0000FC170000}"/>
    <cellStyle name="Обычный 3 2 3 2 5 11" xfId="3589" xr:uid="{00000000-0005-0000-0000-0000FD170000}"/>
    <cellStyle name="Обычный 3 2 3 2 5 11 2" xfId="7440" xr:uid="{00000000-0005-0000-0000-0000FE170000}"/>
    <cellStyle name="Обычный 3 2 3 2 5 12" xfId="3885" xr:uid="{00000000-0005-0000-0000-0000FF170000}"/>
    <cellStyle name="Обычный 3 2 3 2 5 12 2" xfId="7736" xr:uid="{00000000-0005-0000-0000-000000180000}"/>
    <cellStyle name="Обычный 3 2 3 2 5 13" xfId="4181" xr:uid="{00000000-0005-0000-0000-000001180000}"/>
    <cellStyle name="Обычный 3 2 3 2 5 13 2" xfId="8032" xr:uid="{00000000-0005-0000-0000-000002180000}"/>
    <cellStyle name="Обычный 3 2 3 2 5 14" xfId="8381" xr:uid="{00000000-0005-0000-0000-000003180000}"/>
    <cellStyle name="Обычный 3 2 3 2 5 15" xfId="4480" xr:uid="{00000000-0005-0000-0000-000004180000}"/>
    <cellStyle name="Обычный 3 2 3 2 5 2" xfId="939" xr:uid="{00000000-0005-0000-0000-000005180000}"/>
    <cellStyle name="Обычный 3 2 3 2 5 2 2" xfId="8676" xr:uid="{00000000-0005-0000-0000-000006180000}"/>
    <cellStyle name="Обычный 3 2 3 2 5 2 3" xfId="4776" xr:uid="{00000000-0005-0000-0000-000007180000}"/>
    <cellStyle name="Обычный 3 2 3 2 5 3" xfId="1240" xr:uid="{00000000-0005-0000-0000-000008180000}"/>
    <cellStyle name="Обычный 3 2 3 2 5 3 2" xfId="5072" xr:uid="{00000000-0005-0000-0000-000009180000}"/>
    <cellStyle name="Обычный 3 2 3 2 5 4" xfId="1525" xr:uid="{00000000-0005-0000-0000-00000A180000}"/>
    <cellStyle name="Обычный 3 2 3 2 5 4 2" xfId="5368" xr:uid="{00000000-0005-0000-0000-00000B180000}"/>
    <cellStyle name="Обычный 3 2 3 2 5 5" xfId="1817" xr:uid="{00000000-0005-0000-0000-00000C180000}"/>
    <cellStyle name="Обычный 3 2 3 2 5 5 2" xfId="5664" xr:uid="{00000000-0005-0000-0000-00000D180000}"/>
    <cellStyle name="Обычный 3 2 3 2 5 6" xfId="2110" xr:uid="{00000000-0005-0000-0000-00000E180000}"/>
    <cellStyle name="Обычный 3 2 3 2 5 6 2" xfId="5960" xr:uid="{00000000-0005-0000-0000-00000F180000}"/>
    <cellStyle name="Обычный 3 2 3 2 5 7" xfId="2405" xr:uid="{00000000-0005-0000-0000-000010180000}"/>
    <cellStyle name="Обычный 3 2 3 2 5 7 2" xfId="6256" xr:uid="{00000000-0005-0000-0000-000011180000}"/>
    <cellStyle name="Обычный 3 2 3 2 5 8" xfId="2701" xr:uid="{00000000-0005-0000-0000-000012180000}"/>
    <cellStyle name="Обычный 3 2 3 2 5 8 2" xfId="6552" xr:uid="{00000000-0005-0000-0000-000013180000}"/>
    <cellStyle name="Обычный 3 2 3 2 5 9" xfId="2997" xr:uid="{00000000-0005-0000-0000-000014180000}"/>
    <cellStyle name="Обычный 3 2 3 2 5 9 2" xfId="6848" xr:uid="{00000000-0005-0000-0000-000015180000}"/>
    <cellStyle name="Обычный 3 2 3 2 6" xfId="940" xr:uid="{00000000-0005-0000-0000-000016180000}"/>
    <cellStyle name="Обычный 3 2 3 2 6 2" xfId="8677" xr:uid="{00000000-0005-0000-0000-000017180000}"/>
    <cellStyle name="Обычный 3 2 3 2 6 3" xfId="4628" xr:uid="{00000000-0005-0000-0000-000018180000}"/>
    <cellStyle name="Обычный 3 2 3 2 7" xfId="941" xr:uid="{00000000-0005-0000-0000-000019180000}"/>
    <cellStyle name="Обычный 3 2 3 2 7 2" xfId="8678" xr:uid="{00000000-0005-0000-0000-00001A180000}"/>
    <cellStyle name="Обычный 3 2 3 2 7 3" xfId="4924" xr:uid="{00000000-0005-0000-0000-00001B180000}"/>
    <cellStyle name="Обычный 3 2 3 2 8" xfId="1381" xr:uid="{00000000-0005-0000-0000-00001C180000}"/>
    <cellStyle name="Обычный 3 2 3 2 8 2" xfId="5220" xr:uid="{00000000-0005-0000-0000-00001D180000}"/>
    <cellStyle name="Обычный 3 2 3 2 9" xfId="1670" xr:uid="{00000000-0005-0000-0000-00001E180000}"/>
    <cellStyle name="Обычный 3 2 3 2 9 2" xfId="5516" xr:uid="{00000000-0005-0000-0000-00001F180000}"/>
    <cellStyle name="Обычный 3 2 3 20" xfId="78" xr:uid="{00000000-0005-0000-0000-000020180000}"/>
    <cellStyle name="Обычный 3 2 3 3" xfId="153" xr:uid="{00000000-0005-0000-0000-000021180000}"/>
    <cellStyle name="Обычный 3 2 3 3 10" xfId="2875" xr:uid="{00000000-0005-0000-0000-000022180000}"/>
    <cellStyle name="Обычный 3 2 3 3 10 2" xfId="6726" xr:uid="{00000000-0005-0000-0000-000023180000}"/>
    <cellStyle name="Обычный 3 2 3 3 11" xfId="3171" xr:uid="{00000000-0005-0000-0000-000024180000}"/>
    <cellStyle name="Обычный 3 2 3 3 11 2" xfId="7022" xr:uid="{00000000-0005-0000-0000-000025180000}"/>
    <cellStyle name="Обычный 3 2 3 3 12" xfId="3467" xr:uid="{00000000-0005-0000-0000-000026180000}"/>
    <cellStyle name="Обычный 3 2 3 3 12 2" xfId="7318" xr:uid="{00000000-0005-0000-0000-000027180000}"/>
    <cellStyle name="Обычный 3 2 3 3 13" xfId="3763" xr:uid="{00000000-0005-0000-0000-000028180000}"/>
    <cellStyle name="Обычный 3 2 3 3 13 2" xfId="7614" xr:uid="{00000000-0005-0000-0000-000029180000}"/>
    <cellStyle name="Обычный 3 2 3 3 14" xfId="4059" xr:uid="{00000000-0005-0000-0000-00002A180000}"/>
    <cellStyle name="Обычный 3 2 3 3 14 2" xfId="7910" xr:uid="{00000000-0005-0000-0000-00002B180000}"/>
    <cellStyle name="Обычный 3 2 3 3 15" xfId="8208" xr:uid="{00000000-0005-0000-0000-00002C180000}"/>
    <cellStyle name="Обычный 3 2 3 3 16" xfId="4356" xr:uid="{00000000-0005-0000-0000-00002D180000}"/>
    <cellStyle name="Обычный 3 2 3 3 2" xfId="256" xr:uid="{00000000-0005-0000-0000-00002E180000}"/>
    <cellStyle name="Обычный 3 2 3 3 2 10" xfId="3319" xr:uid="{00000000-0005-0000-0000-00002F180000}"/>
    <cellStyle name="Обычный 3 2 3 3 2 10 2" xfId="7170" xr:uid="{00000000-0005-0000-0000-000030180000}"/>
    <cellStyle name="Обычный 3 2 3 3 2 11" xfId="3615" xr:uid="{00000000-0005-0000-0000-000031180000}"/>
    <cellStyle name="Обычный 3 2 3 3 2 11 2" xfId="7466" xr:uid="{00000000-0005-0000-0000-000032180000}"/>
    <cellStyle name="Обычный 3 2 3 3 2 12" xfId="3911" xr:uid="{00000000-0005-0000-0000-000033180000}"/>
    <cellStyle name="Обычный 3 2 3 3 2 12 2" xfId="7762" xr:uid="{00000000-0005-0000-0000-000034180000}"/>
    <cellStyle name="Обычный 3 2 3 3 2 13" xfId="4207" xr:uid="{00000000-0005-0000-0000-000035180000}"/>
    <cellStyle name="Обычный 3 2 3 3 2 13 2" xfId="8058" xr:uid="{00000000-0005-0000-0000-000036180000}"/>
    <cellStyle name="Обычный 3 2 3 3 2 14" xfId="8309" xr:uid="{00000000-0005-0000-0000-000037180000}"/>
    <cellStyle name="Обычный 3 2 3 3 2 15" xfId="4506" xr:uid="{00000000-0005-0000-0000-000038180000}"/>
    <cellStyle name="Обычный 3 2 3 3 2 2" xfId="942" xr:uid="{00000000-0005-0000-0000-000039180000}"/>
    <cellStyle name="Обычный 3 2 3 3 2 2 2" xfId="8679" xr:uid="{00000000-0005-0000-0000-00003A180000}"/>
    <cellStyle name="Обычный 3 2 3 3 2 2 3" xfId="4802" xr:uid="{00000000-0005-0000-0000-00003B180000}"/>
    <cellStyle name="Обычный 3 2 3 3 2 3" xfId="1265" xr:uid="{00000000-0005-0000-0000-00003C180000}"/>
    <cellStyle name="Обычный 3 2 3 3 2 3 2" xfId="5098" xr:uid="{00000000-0005-0000-0000-00003D180000}"/>
    <cellStyle name="Обычный 3 2 3 3 2 4" xfId="1551" xr:uid="{00000000-0005-0000-0000-00003E180000}"/>
    <cellStyle name="Обычный 3 2 3 3 2 4 2" xfId="5394" xr:uid="{00000000-0005-0000-0000-00003F180000}"/>
    <cellStyle name="Обычный 3 2 3 3 2 5" xfId="1843" xr:uid="{00000000-0005-0000-0000-000040180000}"/>
    <cellStyle name="Обычный 3 2 3 3 2 5 2" xfId="5690" xr:uid="{00000000-0005-0000-0000-000041180000}"/>
    <cellStyle name="Обычный 3 2 3 3 2 6" xfId="2136" xr:uid="{00000000-0005-0000-0000-000042180000}"/>
    <cellStyle name="Обычный 3 2 3 3 2 6 2" xfId="5986" xr:uid="{00000000-0005-0000-0000-000043180000}"/>
    <cellStyle name="Обычный 3 2 3 3 2 7" xfId="2431" xr:uid="{00000000-0005-0000-0000-000044180000}"/>
    <cellStyle name="Обычный 3 2 3 3 2 7 2" xfId="6282" xr:uid="{00000000-0005-0000-0000-000045180000}"/>
    <cellStyle name="Обычный 3 2 3 3 2 8" xfId="2727" xr:uid="{00000000-0005-0000-0000-000046180000}"/>
    <cellStyle name="Обычный 3 2 3 3 2 8 2" xfId="6578" xr:uid="{00000000-0005-0000-0000-000047180000}"/>
    <cellStyle name="Обычный 3 2 3 3 2 9" xfId="3023" xr:uid="{00000000-0005-0000-0000-000048180000}"/>
    <cellStyle name="Обычный 3 2 3 3 2 9 2" xfId="6874" xr:uid="{00000000-0005-0000-0000-000049180000}"/>
    <cellStyle name="Обычный 3 2 3 3 3" xfId="357" xr:uid="{00000000-0005-0000-0000-00004A180000}"/>
    <cellStyle name="Обычный 3 2 3 3 3 2" xfId="943" xr:uid="{00000000-0005-0000-0000-00004B180000}"/>
    <cellStyle name="Обычный 3 2 3 3 3 3" xfId="8409" xr:uid="{00000000-0005-0000-0000-00004C180000}"/>
    <cellStyle name="Обычный 3 2 3 3 3 4" xfId="4654" xr:uid="{00000000-0005-0000-0000-00004D180000}"/>
    <cellStyle name="Обычный 3 2 3 3 4" xfId="944" xr:uid="{00000000-0005-0000-0000-00004E180000}"/>
    <cellStyle name="Обычный 3 2 3 3 4 2" xfId="8680" xr:uid="{00000000-0005-0000-0000-00004F180000}"/>
    <cellStyle name="Обычный 3 2 3 3 4 3" xfId="4950" xr:uid="{00000000-0005-0000-0000-000050180000}"/>
    <cellStyle name="Обычный 3 2 3 3 5" xfId="1407" xr:uid="{00000000-0005-0000-0000-000051180000}"/>
    <cellStyle name="Обычный 3 2 3 3 5 2" xfId="5246" xr:uid="{00000000-0005-0000-0000-000052180000}"/>
    <cellStyle name="Обычный 3 2 3 3 6" xfId="1696" xr:uid="{00000000-0005-0000-0000-000053180000}"/>
    <cellStyle name="Обычный 3 2 3 3 6 2" xfId="5542" xr:uid="{00000000-0005-0000-0000-000054180000}"/>
    <cellStyle name="Обычный 3 2 3 3 7" xfId="1989" xr:uid="{00000000-0005-0000-0000-000055180000}"/>
    <cellStyle name="Обычный 3 2 3 3 7 2" xfId="5838" xr:uid="{00000000-0005-0000-0000-000056180000}"/>
    <cellStyle name="Обычный 3 2 3 3 8" xfId="2283" xr:uid="{00000000-0005-0000-0000-000057180000}"/>
    <cellStyle name="Обычный 3 2 3 3 8 2" xfId="6134" xr:uid="{00000000-0005-0000-0000-000058180000}"/>
    <cellStyle name="Обычный 3 2 3 3 9" xfId="2579" xr:uid="{00000000-0005-0000-0000-000059180000}"/>
    <cellStyle name="Обычный 3 2 3 3 9 2" xfId="6430" xr:uid="{00000000-0005-0000-0000-00005A180000}"/>
    <cellStyle name="Обычный 3 2 3 4" xfId="206" xr:uid="{00000000-0005-0000-0000-00005B180000}"/>
    <cellStyle name="Обычный 3 2 3 4 10" xfId="2925" xr:uid="{00000000-0005-0000-0000-00005C180000}"/>
    <cellStyle name="Обычный 3 2 3 4 10 2" xfId="6776" xr:uid="{00000000-0005-0000-0000-00005D180000}"/>
    <cellStyle name="Обычный 3 2 3 4 11" xfId="3221" xr:uid="{00000000-0005-0000-0000-00005E180000}"/>
    <cellStyle name="Обычный 3 2 3 4 11 2" xfId="7072" xr:uid="{00000000-0005-0000-0000-00005F180000}"/>
    <cellStyle name="Обычный 3 2 3 4 12" xfId="3517" xr:uid="{00000000-0005-0000-0000-000060180000}"/>
    <cellStyle name="Обычный 3 2 3 4 12 2" xfId="7368" xr:uid="{00000000-0005-0000-0000-000061180000}"/>
    <cellStyle name="Обычный 3 2 3 4 13" xfId="3813" xr:uid="{00000000-0005-0000-0000-000062180000}"/>
    <cellStyle name="Обычный 3 2 3 4 13 2" xfId="7664" xr:uid="{00000000-0005-0000-0000-000063180000}"/>
    <cellStyle name="Обычный 3 2 3 4 14" xfId="4109" xr:uid="{00000000-0005-0000-0000-000064180000}"/>
    <cellStyle name="Обычный 3 2 3 4 14 2" xfId="7960" xr:uid="{00000000-0005-0000-0000-000065180000}"/>
    <cellStyle name="Обычный 3 2 3 4 15" xfId="8259" xr:uid="{00000000-0005-0000-0000-000066180000}"/>
    <cellStyle name="Обычный 3 2 3 4 16" xfId="4407" xr:uid="{00000000-0005-0000-0000-000067180000}"/>
    <cellStyle name="Обычный 3 2 3 4 2" xfId="945" xr:uid="{00000000-0005-0000-0000-000068180000}"/>
    <cellStyle name="Обычный 3 2 3 4 2 10" xfId="3369" xr:uid="{00000000-0005-0000-0000-000069180000}"/>
    <cellStyle name="Обычный 3 2 3 4 2 10 2" xfId="7220" xr:uid="{00000000-0005-0000-0000-00006A180000}"/>
    <cellStyle name="Обычный 3 2 3 4 2 11" xfId="3665" xr:uid="{00000000-0005-0000-0000-00006B180000}"/>
    <cellStyle name="Обычный 3 2 3 4 2 11 2" xfId="7516" xr:uid="{00000000-0005-0000-0000-00006C180000}"/>
    <cellStyle name="Обычный 3 2 3 4 2 12" xfId="3961" xr:uid="{00000000-0005-0000-0000-00006D180000}"/>
    <cellStyle name="Обычный 3 2 3 4 2 12 2" xfId="7812" xr:uid="{00000000-0005-0000-0000-00006E180000}"/>
    <cellStyle name="Обычный 3 2 3 4 2 13" xfId="4257" xr:uid="{00000000-0005-0000-0000-00006F180000}"/>
    <cellStyle name="Обычный 3 2 3 4 2 13 2" xfId="8108" xr:uid="{00000000-0005-0000-0000-000070180000}"/>
    <cellStyle name="Обычный 3 2 3 4 2 14" xfId="8681" xr:uid="{00000000-0005-0000-0000-000071180000}"/>
    <cellStyle name="Обычный 3 2 3 4 2 15" xfId="4556" xr:uid="{00000000-0005-0000-0000-000072180000}"/>
    <cellStyle name="Обычный 3 2 3 4 2 2" xfId="1124" xr:uid="{00000000-0005-0000-0000-000073180000}"/>
    <cellStyle name="Обычный 3 2 3 4 2 2 2" xfId="4852" xr:uid="{00000000-0005-0000-0000-000074180000}"/>
    <cellStyle name="Обычный 3 2 3 4 2 3" xfId="1313" xr:uid="{00000000-0005-0000-0000-000075180000}"/>
    <cellStyle name="Обычный 3 2 3 4 2 3 2" xfId="5148" xr:uid="{00000000-0005-0000-0000-000076180000}"/>
    <cellStyle name="Обычный 3 2 3 4 2 4" xfId="1600" xr:uid="{00000000-0005-0000-0000-000077180000}"/>
    <cellStyle name="Обычный 3 2 3 4 2 4 2" xfId="5444" xr:uid="{00000000-0005-0000-0000-000078180000}"/>
    <cellStyle name="Обычный 3 2 3 4 2 5" xfId="1893" xr:uid="{00000000-0005-0000-0000-000079180000}"/>
    <cellStyle name="Обычный 3 2 3 4 2 5 2" xfId="5740" xr:uid="{00000000-0005-0000-0000-00007A180000}"/>
    <cellStyle name="Обычный 3 2 3 4 2 6" xfId="2186" xr:uid="{00000000-0005-0000-0000-00007B180000}"/>
    <cellStyle name="Обычный 3 2 3 4 2 6 2" xfId="6036" xr:uid="{00000000-0005-0000-0000-00007C180000}"/>
    <cellStyle name="Обычный 3 2 3 4 2 7" xfId="2481" xr:uid="{00000000-0005-0000-0000-00007D180000}"/>
    <cellStyle name="Обычный 3 2 3 4 2 7 2" xfId="6332" xr:uid="{00000000-0005-0000-0000-00007E180000}"/>
    <cellStyle name="Обычный 3 2 3 4 2 8" xfId="2777" xr:uid="{00000000-0005-0000-0000-00007F180000}"/>
    <cellStyle name="Обычный 3 2 3 4 2 8 2" xfId="6628" xr:uid="{00000000-0005-0000-0000-000080180000}"/>
    <cellStyle name="Обычный 3 2 3 4 2 9" xfId="3073" xr:uid="{00000000-0005-0000-0000-000081180000}"/>
    <cellStyle name="Обычный 3 2 3 4 2 9 2" xfId="6924" xr:uid="{00000000-0005-0000-0000-000082180000}"/>
    <cellStyle name="Обычный 3 2 3 4 3" xfId="1077" xr:uid="{00000000-0005-0000-0000-000083180000}"/>
    <cellStyle name="Обычный 3 2 3 4 3 2" xfId="4704" xr:uid="{00000000-0005-0000-0000-000084180000}"/>
    <cellStyle name="Обычный 3 2 3 4 4" xfId="1171" xr:uid="{00000000-0005-0000-0000-000085180000}"/>
    <cellStyle name="Обычный 3 2 3 4 4 2" xfId="5000" xr:uid="{00000000-0005-0000-0000-000086180000}"/>
    <cellStyle name="Обычный 3 2 3 4 5" xfId="1454" xr:uid="{00000000-0005-0000-0000-000087180000}"/>
    <cellStyle name="Обычный 3 2 3 4 5 2" xfId="5296" xr:uid="{00000000-0005-0000-0000-000088180000}"/>
    <cellStyle name="Обычный 3 2 3 4 6" xfId="1745" xr:uid="{00000000-0005-0000-0000-000089180000}"/>
    <cellStyle name="Обычный 3 2 3 4 6 2" xfId="5592" xr:uid="{00000000-0005-0000-0000-00008A180000}"/>
    <cellStyle name="Обычный 3 2 3 4 7" xfId="2038" xr:uid="{00000000-0005-0000-0000-00008B180000}"/>
    <cellStyle name="Обычный 3 2 3 4 7 2" xfId="5888" xr:uid="{00000000-0005-0000-0000-00008C180000}"/>
    <cellStyle name="Обычный 3 2 3 4 8" xfId="2333" xr:uid="{00000000-0005-0000-0000-00008D180000}"/>
    <cellStyle name="Обычный 3 2 3 4 8 2" xfId="6184" xr:uid="{00000000-0005-0000-0000-00008E180000}"/>
    <cellStyle name="Обычный 3 2 3 4 9" xfId="2629" xr:uid="{00000000-0005-0000-0000-00008F180000}"/>
    <cellStyle name="Обычный 3 2 3 4 9 2" xfId="6480" xr:uid="{00000000-0005-0000-0000-000090180000}"/>
    <cellStyle name="Обычный 3 2 3 5" xfId="307" xr:uid="{00000000-0005-0000-0000-000091180000}"/>
    <cellStyle name="Обычный 3 2 3 5 10" xfId="3271" xr:uid="{00000000-0005-0000-0000-000092180000}"/>
    <cellStyle name="Обычный 3 2 3 5 10 2" xfId="7122" xr:uid="{00000000-0005-0000-0000-000093180000}"/>
    <cellStyle name="Обычный 3 2 3 5 11" xfId="3567" xr:uid="{00000000-0005-0000-0000-000094180000}"/>
    <cellStyle name="Обычный 3 2 3 5 11 2" xfId="7418" xr:uid="{00000000-0005-0000-0000-000095180000}"/>
    <cellStyle name="Обычный 3 2 3 5 12" xfId="3863" xr:uid="{00000000-0005-0000-0000-000096180000}"/>
    <cellStyle name="Обычный 3 2 3 5 12 2" xfId="7714" xr:uid="{00000000-0005-0000-0000-000097180000}"/>
    <cellStyle name="Обычный 3 2 3 5 13" xfId="4159" xr:uid="{00000000-0005-0000-0000-000098180000}"/>
    <cellStyle name="Обычный 3 2 3 5 13 2" xfId="8010" xr:uid="{00000000-0005-0000-0000-000099180000}"/>
    <cellStyle name="Обычный 3 2 3 5 14" xfId="8359" xr:uid="{00000000-0005-0000-0000-00009A180000}"/>
    <cellStyle name="Обычный 3 2 3 5 15" xfId="4458" xr:uid="{00000000-0005-0000-0000-00009B180000}"/>
    <cellStyle name="Обычный 3 2 3 5 2" xfId="946" xr:uid="{00000000-0005-0000-0000-00009C180000}"/>
    <cellStyle name="Обычный 3 2 3 5 2 2" xfId="8682" xr:uid="{00000000-0005-0000-0000-00009D180000}"/>
    <cellStyle name="Обычный 3 2 3 5 2 3" xfId="4754" xr:uid="{00000000-0005-0000-0000-00009E180000}"/>
    <cellStyle name="Обычный 3 2 3 5 3" xfId="1218" xr:uid="{00000000-0005-0000-0000-00009F180000}"/>
    <cellStyle name="Обычный 3 2 3 5 3 2" xfId="5050" xr:uid="{00000000-0005-0000-0000-0000A0180000}"/>
    <cellStyle name="Обычный 3 2 3 5 4" xfId="1503" xr:uid="{00000000-0005-0000-0000-0000A1180000}"/>
    <cellStyle name="Обычный 3 2 3 5 4 2" xfId="5346" xr:uid="{00000000-0005-0000-0000-0000A2180000}"/>
    <cellStyle name="Обычный 3 2 3 5 5" xfId="1795" xr:uid="{00000000-0005-0000-0000-0000A3180000}"/>
    <cellStyle name="Обычный 3 2 3 5 5 2" xfId="5642" xr:uid="{00000000-0005-0000-0000-0000A4180000}"/>
    <cellStyle name="Обычный 3 2 3 5 6" xfId="2088" xr:uid="{00000000-0005-0000-0000-0000A5180000}"/>
    <cellStyle name="Обычный 3 2 3 5 6 2" xfId="5938" xr:uid="{00000000-0005-0000-0000-0000A6180000}"/>
    <cellStyle name="Обычный 3 2 3 5 7" xfId="2383" xr:uid="{00000000-0005-0000-0000-0000A7180000}"/>
    <cellStyle name="Обычный 3 2 3 5 7 2" xfId="6234" xr:uid="{00000000-0005-0000-0000-0000A8180000}"/>
    <cellStyle name="Обычный 3 2 3 5 8" xfId="2679" xr:uid="{00000000-0005-0000-0000-0000A9180000}"/>
    <cellStyle name="Обычный 3 2 3 5 8 2" xfId="6530" xr:uid="{00000000-0005-0000-0000-0000AA180000}"/>
    <cellStyle name="Обычный 3 2 3 5 9" xfId="2975" xr:uid="{00000000-0005-0000-0000-0000AB180000}"/>
    <cellStyle name="Обычный 3 2 3 5 9 2" xfId="6826" xr:uid="{00000000-0005-0000-0000-0000AC180000}"/>
    <cellStyle name="Обычный 3 2 3 6" xfId="947" xr:uid="{00000000-0005-0000-0000-0000AD180000}"/>
    <cellStyle name="Обычный 3 2 3 6 2" xfId="8683" xr:uid="{00000000-0005-0000-0000-0000AE180000}"/>
    <cellStyle name="Обычный 3 2 3 6 3" xfId="4606" xr:uid="{00000000-0005-0000-0000-0000AF180000}"/>
    <cellStyle name="Обычный 3 2 3 7" xfId="948" xr:uid="{00000000-0005-0000-0000-0000B0180000}"/>
    <cellStyle name="Обычный 3 2 3 7 2" xfId="8684" xr:uid="{00000000-0005-0000-0000-0000B1180000}"/>
    <cellStyle name="Обычный 3 2 3 7 3" xfId="4902" xr:uid="{00000000-0005-0000-0000-0000B2180000}"/>
    <cellStyle name="Обычный 3 2 3 8" xfId="1360" xr:uid="{00000000-0005-0000-0000-0000B3180000}"/>
    <cellStyle name="Обычный 3 2 3 8 2" xfId="5198" xr:uid="{00000000-0005-0000-0000-0000B4180000}"/>
    <cellStyle name="Обычный 3 2 3 9" xfId="1649" xr:uid="{00000000-0005-0000-0000-0000B5180000}"/>
    <cellStyle name="Обычный 3 2 3 9 2" xfId="5494" xr:uid="{00000000-0005-0000-0000-0000B6180000}"/>
    <cellStyle name="Обычный 3 2 4" xfId="22" xr:uid="{00000000-0005-0000-0000-0000B7180000}"/>
    <cellStyle name="Обычный 3 2 4 10" xfId="2255" xr:uid="{00000000-0005-0000-0000-0000B8180000}"/>
    <cellStyle name="Обычный 3 2 4 10 2" xfId="6106" xr:uid="{00000000-0005-0000-0000-0000B9180000}"/>
    <cellStyle name="Обычный 3 2 4 11" xfId="2551" xr:uid="{00000000-0005-0000-0000-0000BA180000}"/>
    <cellStyle name="Обычный 3 2 4 11 2" xfId="6402" xr:uid="{00000000-0005-0000-0000-0000BB180000}"/>
    <cellStyle name="Обычный 3 2 4 12" xfId="2847" xr:uid="{00000000-0005-0000-0000-0000BC180000}"/>
    <cellStyle name="Обычный 3 2 4 12 2" xfId="6698" xr:uid="{00000000-0005-0000-0000-0000BD180000}"/>
    <cellStyle name="Обычный 3 2 4 13" xfId="3143" xr:uid="{00000000-0005-0000-0000-0000BE180000}"/>
    <cellStyle name="Обычный 3 2 4 13 2" xfId="6994" xr:uid="{00000000-0005-0000-0000-0000BF180000}"/>
    <cellStyle name="Обычный 3 2 4 14" xfId="3439" xr:uid="{00000000-0005-0000-0000-0000C0180000}"/>
    <cellStyle name="Обычный 3 2 4 14 2" xfId="7290" xr:uid="{00000000-0005-0000-0000-0000C1180000}"/>
    <cellStyle name="Обычный 3 2 4 15" xfId="3735" xr:uid="{00000000-0005-0000-0000-0000C2180000}"/>
    <cellStyle name="Обычный 3 2 4 15 2" xfId="7586" xr:uid="{00000000-0005-0000-0000-0000C3180000}"/>
    <cellStyle name="Обычный 3 2 4 16" xfId="4031" xr:uid="{00000000-0005-0000-0000-0000C4180000}"/>
    <cellStyle name="Обычный 3 2 4 16 2" xfId="7882" xr:uid="{00000000-0005-0000-0000-0000C5180000}"/>
    <cellStyle name="Обычный 3 2 4 17" xfId="8178" xr:uid="{00000000-0005-0000-0000-0000C6180000}"/>
    <cellStyle name="Обычный 3 2 4 18" xfId="4327" xr:uid="{00000000-0005-0000-0000-0000C7180000}"/>
    <cellStyle name="Обычный 3 2 4 19" xfId="120" xr:uid="{00000000-0005-0000-0000-0000C8180000}"/>
    <cellStyle name="Обычный 3 2 4 2" xfId="41" xr:uid="{00000000-0005-0000-0000-0000C9180000}"/>
    <cellStyle name="Обычный 3 2 4 2 10" xfId="2895" xr:uid="{00000000-0005-0000-0000-0000CA180000}"/>
    <cellStyle name="Обычный 3 2 4 2 10 2" xfId="6746" xr:uid="{00000000-0005-0000-0000-0000CB180000}"/>
    <cellStyle name="Обычный 3 2 4 2 11" xfId="3191" xr:uid="{00000000-0005-0000-0000-0000CC180000}"/>
    <cellStyle name="Обычный 3 2 4 2 11 2" xfId="7042" xr:uid="{00000000-0005-0000-0000-0000CD180000}"/>
    <cellStyle name="Обычный 3 2 4 2 12" xfId="3487" xr:uid="{00000000-0005-0000-0000-0000CE180000}"/>
    <cellStyle name="Обычный 3 2 4 2 12 2" xfId="7338" xr:uid="{00000000-0005-0000-0000-0000CF180000}"/>
    <cellStyle name="Обычный 3 2 4 2 13" xfId="3783" xr:uid="{00000000-0005-0000-0000-0000D0180000}"/>
    <cellStyle name="Обычный 3 2 4 2 13 2" xfId="7634" xr:uid="{00000000-0005-0000-0000-0000D1180000}"/>
    <cellStyle name="Обычный 3 2 4 2 14" xfId="4079" xr:uid="{00000000-0005-0000-0000-0000D2180000}"/>
    <cellStyle name="Обычный 3 2 4 2 14 2" xfId="7930" xr:uid="{00000000-0005-0000-0000-0000D3180000}"/>
    <cellStyle name="Обычный 3 2 4 2 15" xfId="8228" xr:uid="{00000000-0005-0000-0000-0000D4180000}"/>
    <cellStyle name="Обычный 3 2 4 2 16" xfId="4376" xr:uid="{00000000-0005-0000-0000-0000D5180000}"/>
    <cellStyle name="Обычный 3 2 4 2 17" xfId="173" xr:uid="{00000000-0005-0000-0000-0000D6180000}"/>
    <cellStyle name="Обычный 3 2 4 2 2" xfId="276" xr:uid="{00000000-0005-0000-0000-0000D7180000}"/>
    <cellStyle name="Обычный 3 2 4 2 2 10" xfId="3339" xr:uid="{00000000-0005-0000-0000-0000D8180000}"/>
    <cellStyle name="Обычный 3 2 4 2 2 10 2" xfId="7190" xr:uid="{00000000-0005-0000-0000-0000D9180000}"/>
    <cellStyle name="Обычный 3 2 4 2 2 11" xfId="3635" xr:uid="{00000000-0005-0000-0000-0000DA180000}"/>
    <cellStyle name="Обычный 3 2 4 2 2 11 2" xfId="7486" xr:uid="{00000000-0005-0000-0000-0000DB180000}"/>
    <cellStyle name="Обычный 3 2 4 2 2 12" xfId="3931" xr:uid="{00000000-0005-0000-0000-0000DC180000}"/>
    <cellStyle name="Обычный 3 2 4 2 2 12 2" xfId="7782" xr:uid="{00000000-0005-0000-0000-0000DD180000}"/>
    <cellStyle name="Обычный 3 2 4 2 2 13" xfId="4227" xr:uid="{00000000-0005-0000-0000-0000DE180000}"/>
    <cellStyle name="Обычный 3 2 4 2 2 13 2" xfId="8078" xr:uid="{00000000-0005-0000-0000-0000DF180000}"/>
    <cellStyle name="Обычный 3 2 4 2 2 14" xfId="8329" xr:uid="{00000000-0005-0000-0000-0000E0180000}"/>
    <cellStyle name="Обычный 3 2 4 2 2 15" xfId="4526" xr:uid="{00000000-0005-0000-0000-0000E1180000}"/>
    <cellStyle name="Обычный 3 2 4 2 2 2" xfId="949" xr:uid="{00000000-0005-0000-0000-0000E2180000}"/>
    <cellStyle name="Обычный 3 2 4 2 2 2 2" xfId="8685" xr:uid="{00000000-0005-0000-0000-0000E3180000}"/>
    <cellStyle name="Обычный 3 2 4 2 2 2 3" xfId="4822" xr:uid="{00000000-0005-0000-0000-0000E4180000}"/>
    <cellStyle name="Обычный 3 2 4 2 2 3" xfId="1284" xr:uid="{00000000-0005-0000-0000-0000E5180000}"/>
    <cellStyle name="Обычный 3 2 4 2 2 3 2" xfId="5118" xr:uid="{00000000-0005-0000-0000-0000E6180000}"/>
    <cellStyle name="Обычный 3 2 4 2 2 4" xfId="1570" xr:uid="{00000000-0005-0000-0000-0000E7180000}"/>
    <cellStyle name="Обычный 3 2 4 2 2 4 2" xfId="5414" xr:uid="{00000000-0005-0000-0000-0000E8180000}"/>
    <cellStyle name="Обычный 3 2 4 2 2 5" xfId="1863" xr:uid="{00000000-0005-0000-0000-0000E9180000}"/>
    <cellStyle name="Обычный 3 2 4 2 2 5 2" xfId="5710" xr:uid="{00000000-0005-0000-0000-0000EA180000}"/>
    <cellStyle name="Обычный 3 2 4 2 2 6" xfId="2156" xr:uid="{00000000-0005-0000-0000-0000EB180000}"/>
    <cellStyle name="Обычный 3 2 4 2 2 6 2" xfId="6006" xr:uid="{00000000-0005-0000-0000-0000EC180000}"/>
    <cellStyle name="Обычный 3 2 4 2 2 7" xfId="2451" xr:uid="{00000000-0005-0000-0000-0000ED180000}"/>
    <cellStyle name="Обычный 3 2 4 2 2 7 2" xfId="6302" xr:uid="{00000000-0005-0000-0000-0000EE180000}"/>
    <cellStyle name="Обычный 3 2 4 2 2 8" xfId="2747" xr:uid="{00000000-0005-0000-0000-0000EF180000}"/>
    <cellStyle name="Обычный 3 2 4 2 2 8 2" xfId="6598" xr:uid="{00000000-0005-0000-0000-0000F0180000}"/>
    <cellStyle name="Обычный 3 2 4 2 2 9" xfId="3043" xr:uid="{00000000-0005-0000-0000-0000F1180000}"/>
    <cellStyle name="Обычный 3 2 4 2 2 9 2" xfId="6894" xr:uid="{00000000-0005-0000-0000-0000F2180000}"/>
    <cellStyle name="Обычный 3 2 4 2 3" xfId="377" xr:uid="{00000000-0005-0000-0000-0000F3180000}"/>
    <cellStyle name="Обычный 3 2 4 2 3 2" xfId="950" xr:uid="{00000000-0005-0000-0000-0000F4180000}"/>
    <cellStyle name="Обычный 3 2 4 2 3 3" xfId="8429" xr:uid="{00000000-0005-0000-0000-0000F5180000}"/>
    <cellStyle name="Обычный 3 2 4 2 3 4" xfId="4674" xr:uid="{00000000-0005-0000-0000-0000F6180000}"/>
    <cellStyle name="Обычный 3 2 4 2 4" xfId="951" xr:uid="{00000000-0005-0000-0000-0000F7180000}"/>
    <cellStyle name="Обычный 3 2 4 2 4 2" xfId="8686" xr:uid="{00000000-0005-0000-0000-0000F8180000}"/>
    <cellStyle name="Обычный 3 2 4 2 4 3" xfId="4970" xr:uid="{00000000-0005-0000-0000-0000F9180000}"/>
    <cellStyle name="Обычный 3 2 4 2 5" xfId="1426" xr:uid="{00000000-0005-0000-0000-0000FA180000}"/>
    <cellStyle name="Обычный 3 2 4 2 5 2" xfId="5266" xr:uid="{00000000-0005-0000-0000-0000FB180000}"/>
    <cellStyle name="Обычный 3 2 4 2 6" xfId="1716" xr:uid="{00000000-0005-0000-0000-0000FC180000}"/>
    <cellStyle name="Обычный 3 2 4 2 6 2" xfId="5562" xr:uid="{00000000-0005-0000-0000-0000FD180000}"/>
    <cellStyle name="Обычный 3 2 4 2 7" xfId="2008" xr:uid="{00000000-0005-0000-0000-0000FE180000}"/>
    <cellStyle name="Обычный 3 2 4 2 7 2" xfId="5858" xr:uid="{00000000-0005-0000-0000-0000FF180000}"/>
    <cellStyle name="Обычный 3 2 4 2 8" xfId="2303" xr:uid="{00000000-0005-0000-0000-000000190000}"/>
    <cellStyle name="Обычный 3 2 4 2 8 2" xfId="6154" xr:uid="{00000000-0005-0000-0000-000001190000}"/>
    <cellStyle name="Обычный 3 2 4 2 9" xfId="2599" xr:uid="{00000000-0005-0000-0000-000002190000}"/>
    <cellStyle name="Обычный 3 2 4 2 9 2" xfId="6450" xr:uid="{00000000-0005-0000-0000-000003190000}"/>
    <cellStyle name="Обычный 3 2 4 3" xfId="226" xr:uid="{00000000-0005-0000-0000-000004190000}"/>
    <cellStyle name="Обычный 3 2 4 3 10" xfId="2945" xr:uid="{00000000-0005-0000-0000-000005190000}"/>
    <cellStyle name="Обычный 3 2 4 3 10 2" xfId="6796" xr:uid="{00000000-0005-0000-0000-000006190000}"/>
    <cellStyle name="Обычный 3 2 4 3 11" xfId="3241" xr:uid="{00000000-0005-0000-0000-000007190000}"/>
    <cellStyle name="Обычный 3 2 4 3 11 2" xfId="7092" xr:uid="{00000000-0005-0000-0000-000008190000}"/>
    <cellStyle name="Обычный 3 2 4 3 12" xfId="3537" xr:uid="{00000000-0005-0000-0000-000009190000}"/>
    <cellStyle name="Обычный 3 2 4 3 12 2" xfId="7388" xr:uid="{00000000-0005-0000-0000-00000A190000}"/>
    <cellStyle name="Обычный 3 2 4 3 13" xfId="3833" xr:uid="{00000000-0005-0000-0000-00000B190000}"/>
    <cellStyle name="Обычный 3 2 4 3 13 2" xfId="7684" xr:uid="{00000000-0005-0000-0000-00000C190000}"/>
    <cellStyle name="Обычный 3 2 4 3 14" xfId="4129" xr:uid="{00000000-0005-0000-0000-00000D190000}"/>
    <cellStyle name="Обычный 3 2 4 3 14 2" xfId="7980" xr:uid="{00000000-0005-0000-0000-00000E190000}"/>
    <cellStyle name="Обычный 3 2 4 3 15" xfId="8279" xr:uid="{00000000-0005-0000-0000-00000F190000}"/>
    <cellStyle name="Обычный 3 2 4 3 16" xfId="4427" xr:uid="{00000000-0005-0000-0000-000010190000}"/>
    <cellStyle name="Обычный 3 2 4 3 2" xfId="952" xr:uid="{00000000-0005-0000-0000-000011190000}"/>
    <cellStyle name="Обычный 3 2 4 3 2 10" xfId="3389" xr:uid="{00000000-0005-0000-0000-000012190000}"/>
    <cellStyle name="Обычный 3 2 4 3 2 10 2" xfId="7240" xr:uid="{00000000-0005-0000-0000-000013190000}"/>
    <cellStyle name="Обычный 3 2 4 3 2 11" xfId="3685" xr:uid="{00000000-0005-0000-0000-000014190000}"/>
    <cellStyle name="Обычный 3 2 4 3 2 11 2" xfId="7536" xr:uid="{00000000-0005-0000-0000-000015190000}"/>
    <cellStyle name="Обычный 3 2 4 3 2 12" xfId="3981" xr:uid="{00000000-0005-0000-0000-000016190000}"/>
    <cellStyle name="Обычный 3 2 4 3 2 12 2" xfId="7832" xr:uid="{00000000-0005-0000-0000-000017190000}"/>
    <cellStyle name="Обычный 3 2 4 3 2 13" xfId="4277" xr:uid="{00000000-0005-0000-0000-000018190000}"/>
    <cellStyle name="Обычный 3 2 4 3 2 13 2" xfId="8128" xr:uid="{00000000-0005-0000-0000-000019190000}"/>
    <cellStyle name="Обычный 3 2 4 3 2 14" xfId="8687" xr:uid="{00000000-0005-0000-0000-00001A190000}"/>
    <cellStyle name="Обычный 3 2 4 3 2 15" xfId="4576" xr:uid="{00000000-0005-0000-0000-00001B190000}"/>
    <cellStyle name="Обычный 3 2 4 3 2 2" xfId="1143" xr:uid="{00000000-0005-0000-0000-00001C190000}"/>
    <cellStyle name="Обычный 3 2 4 3 2 2 2" xfId="4872" xr:uid="{00000000-0005-0000-0000-00001D190000}"/>
    <cellStyle name="Обычный 3 2 4 3 2 3" xfId="1332" xr:uid="{00000000-0005-0000-0000-00001E190000}"/>
    <cellStyle name="Обычный 3 2 4 3 2 3 2" xfId="5168" xr:uid="{00000000-0005-0000-0000-00001F190000}"/>
    <cellStyle name="Обычный 3 2 4 3 2 4" xfId="1619" xr:uid="{00000000-0005-0000-0000-000020190000}"/>
    <cellStyle name="Обычный 3 2 4 3 2 4 2" xfId="5464" xr:uid="{00000000-0005-0000-0000-000021190000}"/>
    <cellStyle name="Обычный 3 2 4 3 2 5" xfId="1912" xr:uid="{00000000-0005-0000-0000-000022190000}"/>
    <cellStyle name="Обычный 3 2 4 3 2 5 2" xfId="5760" xr:uid="{00000000-0005-0000-0000-000023190000}"/>
    <cellStyle name="Обычный 3 2 4 3 2 6" xfId="2206" xr:uid="{00000000-0005-0000-0000-000024190000}"/>
    <cellStyle name="Обычный 3 2 4 3 2 6 2" xfId="6056" xr:uid="{00000000-0005-0000-0000-000025190000}"/>
    <cellStyle name="Обычный 3 2 4 3 2 7" xfId="2501" xr:uid="{00000000-0005-0000-0000-000026190000}"/>
    <cellStyle name="Обычный 3 2 4 3 2 7 2" xfId="6352" xr:uid="{00000000-0005-0000-0000-000027190000}"/>
    <cellStyle name="Обычный 3 2 4 3 2 8" xfId="2797" xr:uid="{00000000-0005-0000-0000-000028190000}"/>
    <cellStyle name="Обычный 3 2 4 3 2 8 2" xfId="6648" xr:uid="{00000000-0005-0000-0000-000029190000}"/>
    <cellStyle name="Обычный 3 2 4 3 2 9" xfId="3093" xr:uid="{00000000-0005-0000-0000-00002A190000}"/>
    <cellStyle name="Обычный 3 2 4 3 2 9 2" xfId="6944" xr:uid="{00000000-0005-0000-0000-00002B190000}"/>
    <cellStyle name="Обычный 3 2 4 3 3" xfId="1096" xr:uid="{00000000-0005-0000-0000-00002C190000}"/>
    <cellStyle name="Обычный 3 2 4 3 3 2" xfId="4724" xr:uid="{00000000-0005-0000-0000-00002D190000}"/>
    <cellStyle name="Обычный 3 2 4 3 4" xfId="1190" xr:uid="{00000000-0005-0000-0000-00002E190000}"/>
    <cellStyle name="Обычный 3 2 4 3 4 2" xfId="5020" xr:uid="{00000000-0005-0000-0000-00002F190000}"/>
    <cellStyle name="Обычный 3 2 4 3 5" xfId="1474" xr:uid="{00000000-0005-0000-0000-000030190000}"/>
    <cellStyle name="Обычный 3 2 4 3 5 2" xfId="5316" xr:uid="{00000000-0005-0000-0000-000031190000}"/>
    <cellStyle name="Обычный 3 2 4 3 6" xfId="1765" xr:uid="{00000000-0005-0000-0000-000032190000}"/>
    <cellStyle name="Обычный 3 2 4 3 6 2" xfId="5612" xr:uid="{00000000-0005-0000-0000-000033190000}"/>
    <cellStyle name="Обычный 3 2 4 3 7" xfId="2058" xr:uid="{00000000-0005-0000-0000-000034190000}"/>
    <cellStyle name="Обычный 3 2 4 3 7 2" xfId="5908" xr:uid="{00000000-0005-0000-0000-000035190000}"/>
    <cellStyle name="Обычный 3 2 4 3 8" xfId="2353" xr:uid="{00000000-0005-0000-0000-000036190000}"/>
    <cellStyle name="Обычный 3 2 4 3 8 2" xfId="6204" xr:uid="{00000000-0005-0000-0000-000037190000}"/>
    <cellStyle name="Обычный 3 2 4 3 9" xfId="2649" xr:uid="{00000000-0005-0000-0000-000038190000}"/>
    <cellStyle name="Обычный 3 2 4 3 9 2" xfId="6500" xr:uid="{00000000-0005-0000-0000-000039190000}"/>
    <cellStyle name="Обычный 3 2 4 4" xfId="327" xr:uid="{00000000-0005-0000-0000-00003A190000}"/>
    <cellStyle name="Обычный 3 2 4 4 10" xfId="3291" xr:uid="{00000000-0005-0000-0000-00003B190000}"/>
    <cellStyle name="Обычный 3 2 4 4 10 2" xfId="7142" xr:uid="{00000000-0005-0000-0000-00003C190000}"/>
    <cellStyle name="Обычный 3 2 4 4 11" xfId="3587" xr:uid="{00000000-0005-0000-0000-00003D190000}"/>
    <cellStyle name="Обычный 3 2 4 4 11 2" xfId="7438" xr:uid="{00000000-0005-0000-0000-00003E190000}"/>
    <cellStyle name="Обычный 3 2 4 4 12" xfId="3883" xr:uid="{00000000-0005-0000-0000-00003F190000}"/>
    <cellStyle name="Обычный 3 2 4 4 12 2" xfId="7734" xr:uid="{00000000-0005-0000-0000-000040190000}"/>
    <cellStyle name="Обычный 3 2 4 4 13" xfId="4179" xr:uid="{00000000-0005-0000-0000-000041190000}"/>
    <cellStyle name="Обычный 3 2 4 4 13 2" xfId="8030" xr:uid="{00000000-0005-0000-0000-000042190000}"/>
    <cellStyle name="Обычный 3 2 4 4 14" xfId="8379" xr:uid="{00000000-0005-0000-0000-000043190000}"/>
    <cellStyle name="Обычный 3 2 4 4 15" xfId="4478" xr:uid="{00000000-0005-0000-0000-000044190000}"/>
    <cellStyle name="Обычный 3 2 4 4 2" xfId="953" xr:uid="{00000000-0005-0000-0000-000045190000}"/>
    <cellStyle name="Обычный 3 2 4 4 2 2" xfId="8688" xr:uid="{00000000-0005-0000-0000-000046190000}"/>
    <cellStyle name="Обычный 3 2 4 4 2 3" xfId="4774" xr:uid="{00000000-0005-0000-0000-000047190000}"/>
    <cellStyle name="Обычный 3 2 4 4 3" xfId="1238" xr:uid="{00000000-0005-0000-0000-000048190000}"/>
    <cellStyle name="Обычный 3 2 4 4 3 2" xfId="5070" xr:uid="{00000000-0005-0000-0000-000049190000}"/>
    <cellStyle name="Обычный 3 2 4 4 4" xfId="1523" xr:uid="{00000000-0005-0000-0000-00004A190000}"/>
    <cellStyle name="Обычный 3 2 4 4 4 2" xfId="5366" xr:uid="{00000000-0005-0000-0000-00004B190000}"/>
    <cellStyle name="Обычный 3 2 4 4 5" xfId="1815" xr:uid="{00000000-0005-0000-0000-00004C190000}"/>
    <cellStyle name="Обычный 3 2 4 4 5 2" xfId="5662" xr:uid="{00000000-0005-0000-0000-00004D190000}"/>
    <cellStyle name="Обычный 3 2 4 4 6" xfId="2108" xr:uid="{00000000-0005-0000-0000-00004E190000}"/>
    <cellStyle name="Обычный 3 2 4 4 6 2" xfId="5958" xr:uid="{00000000-0005-0000-0000-00004F190000}"/>
    <cellStyle name="Обычный 3 2 4 4 7" xfId="2403" xr:uid="{00000000-0005-0000-0000-000050190000}"/>
    <cellStyle name="Обычный 3 2 4 4 7 2" xfId="6254" xr:uid="{00000000-0005-0000-0000-000051190000}"/>
    <cellStyle name="Обычный 3 2 4 4 8" xfId="2699" xr:uid="{00000000-0005-0000-0000-000052190000}"/>
    <cellStyle name="Обычный 3 2 4 4 8 2" xfId="6550" xr:uid="{00000000-0005-0000-0000-000053190000}"/>
    <cellStyle name="Обычный 3 2 4 4 9" xfId="2995" xr:uid="{00000000-0005-0000-0000-000054190000}"/>
    <cellStyle name="Обычный 3 2 4 4 9 2" xfId="6846" xr:uid="{00000000-0005-0000-0000-000055190000}"/>
    <cellStyle name="Обычный 3 2 4 5" xfId="954" xr:uid="{00000000-0005-0000-0000-000056190000}"/>
    <cellStyle name="Обычный 3 2 4 5 2" xfId="8689" xr:uid="{00000000-0005-0000-0000-000057190000}"/>
    <cellStyle name="Обычный 3 2 4 5 3" xfId="4626" xr:uid="{00000000-0005-0000-0000-000058190000}"/>
    <cellStyle name="Обычный 3 2 4 6" xfId="955" xr:uid="{00000000-0005-0000-0000-000059190000}"/>
    <cellStyle name="Обычный 3 2 4 6 2" xfId="8690" xr:uid="{00000000-0005-0000-0000-00005A190000}"/>
    <cellStyle name="Обычный 3 2 4 6 3" xfId="4922" xr:uid="{00000000-0005-0000-0000-00005B190000}"/>
    <cellStyle name="Обычный 3 2 4 7" xfId="1379" xr:uid="{00000000-0005-0000-0000-00005C190000}"/>
    <cellStyle name="Обычный 3 2 4 7 2" xfId="5218" xr:uid="{00000000-0005-0000-0000-00005D190000}"/>
    <cellStyle name="Обычный 3 2 4 8" xfId="1668" xr:uid="{00000000-0005-0000-0000-00005E190000}"/>
    <cellStyle name="Обычный 3 2 4 8 2" xfId="5514" xr:uid="{00000000-0005-0000-0000-00005F190000}"/>
    <cellStyle name="Обычный 3 2 4 9" xfId="1961" xr:uid="{00000000-0005-0000-0000-000060190000}"/>
    <cellStyle name="Обычный 3 2 4 9 2" xfId="5810" xr:uid="{00000000-0005-0000-0000-000061190000}"/>
    <cellStyle name="Обычный 3 2 5" xfId="29" xr:uid="{00000000-0005-0000-0000-000062190000}"/>
    <cellStyle name="Обычный 3 2 5 10" xfId="2873" xr:uid="{00000000-0005-0000-0000-000063190000}"/>
    <cellStyle name="Обычный 3 2 5 10 2" xfId="6724" xr:uid="{00000000-0005-0000-0000-000064190000}"/>
    <cellStyle name="Обычный 3 2 5 11" xfId="3169" xr:uid="{00000000-0005-0000-0000-000065190000}"/>
    <cellStyle name="Обычный 3 2 5 11 2" xfId="7020" xr:uid="{00000000-0005-0000-0000-000066190000}"/>
    <cellStyle name="Обычный 3 2 5 12" xfId="3465" xr:uid="{00000000-0005-0000-0000-000067190000}"/>
    <cellStyle name="Обычный 3 2 5 12 2" xfId="7316" xr:uid="{00000000-0005-0000-0000-000068190000}"/>
    <cellStyle name="Обычный 3 2 5 13" xfId="3761" xr:uid="{00000000-0005-0000-0000-000069190000}"/>
    <cellStyle name="Обычный 3 2 5 13 2" xfId="7612" xr:uid="{00000000-0005-0000-0000-00006A190000}"/>
    <cellStyle name="Обычный 3 2 5 14" xfId="4057" xr:uid="{00000000-0005-0000-0000-00006B190000}"/>
    <cellStyle name="Обычный 3 2 5 14 2" xfId="7908" xr:uid="{00000000-0005-0000-0000-00006C190000}"/>
    <cellStyle name="Обычный 3 2 5 15" xfId="8206" xr:uid="{00000000-0005-0000-0000-00006D190000}"/>
    <cellStyle name="Обычный 3 2 5 16" xfId="4354" xr:uid="{00000000-0005-0000-0000-00006E190000}"/>
    <cellStyle name="Обычный 3 2 5 17" xfId="151" xr:uid="{00000000-0005-0000-0000-00006F190000}"/>
    <cellStyle name="Обычный 3 2 5 2" xfId="254" xr:uid="{00000000-0005-0000-0000-000070190000}"/>
    <cellStyle name="Обычный 3 2 5 2 10" xfId="3317" xr:uid="{00000000-0005-0000-0000-000071190000}"/>
    <cellStyle name="Обычный 3 2 5 2 10 2" xfId="7168" xr:uid="{00000000-0005-0000-0000-000072190000}"/>
    <cellStyle name="Обычный 3 2 5 2 11" xfId="3613" xr:uid="{00000000-0005-0000-0000-000073190000}"/>
    <cellStyle name="Обычный 3 2 5 2 11 2" xfId="7464" xr:uid="{00000000-0005-0000-0000-000074190000}"/>
    <cellStyle name="Обычный 3 2 5 2 12" xfId="3909" xr:uid="{00000000-0005-0000-0000-000075190000}"/>
    <cellStyle name="Обычный 3 2 5 2 12 2" xfId="7760" xr:uid="{00000000-0005-0000-0000-000076190000}"/>
    <cellStyle name="Обычный 3 2 5 2 13" xfId="4205" xr:uid="{00000000-0005-0000-0000-000077190000}"/>
    <cellStyle name="Обычный 3 2 5 2 13 2" xfId="8056" xr:uid="{00000000-0005-0000-0000-000078190000}"/>
    <cellStyle name="Обычный 3 2 5 2 14" xfId="8307" xr:uid="{00000000-0005-0000-0000-000079190000}"/>
    <cellStyle name="Обычный 3 2 5 2 15" xfId="4504" xr:uid="{00000000-0005-0000-0000-00007A190000}"/>
    <cellStyle name="Обычный 3 2 5 2 2" xfId="956" xr:uid="{00000000-0005-0000-0000-00007B190000}"/>
    <cellStyle name="Обычный 3 2 5 2 2 2" xfId="8691" xr:uid="{00000000-0005-0000-0000-00007C190000}"/>
    <cellStyle name="Обычный 3 2 5 2 2 3" xfId="4800" xr:uid="{00000000-0005-0000-0000-00007D190000}"/>
    <cellStyle name="Обычный 3 2 5 2 3" xfId="1263" xr:uid="{00000000-0005-0000-0000-00007E190000}"/>
    <cellStyle name="Обычный 3 2 5 2 3 2" xfId="5096" xr:uid="{00000000-0005-0000-0000-00007F190000}"/>
    <cellStyle name="Обычный 3 2 5 2 4" xfId="1549" xr:uid="{00000000-0005-0000-0000-000080190000}"/>
    <cellStyle name="Обычный 3 2 5 2 4 2" xfId="5392" xr:uid="{00000000-0005-0000-0000-000081190000}"/>
    <cellStyle name="Обычный 3 2 5 2 5" xfId="1841" xr:uid="{00000000-0005-0000-0000-000082190000}"/>
    <cellStyle name="Обычный 3 2 5 2 5 2" xfId="5688" xr:uid="{00000000-0005-0000-0000-000083190000}"/>
    <cellStyle name="Обычный 3 2 5 2 6" xfId="2134" xr:uid="{00000000-0005-0000-0000-000084190000}"/>
    <cellStyle name="Обычный 3 2 5 2 6 2" xfId="5984" xr:uid="{00000000-0005-0000-0000-000085190000}"/>
    <cellStyle name="Обычный 3 2 5 2 7" xfId="2429" xr:uid="{00000000-0005-0000-0000-000086190000}"/>
    <cellStyle name="Обычный 3 2 5 2 7 2" xfId="6280" xr:uid="{00000000-0005-0000-0000-000087190000}"/>
    <cellStyle name="Обычный 3 2 5 2 8" xfId="2725" xr:uid="{00000000-0005-0000-0000-000088190000}"/>
    <cellStyle name="Обычный 3 2 5 2 8 2" xfId="6576" xr:uid="{00000000-0005-0000-0000-000089190000}"/>
    <cellStyle name="Обычный 3 2 5 2 9" xfId="3021" xr:uid="{00000000-0005-0000-0000-00008A190000}"/>
    <cellStyle name="Обычный 3 2 5 2 9 2" xfId="6872" xr:uid="{00000000-0005-0000-0000-00008B190000}"/>
    <cellStyle name="Обычный 3 2 5 3" xfId="355" xr:uid="{00000000-0005-0000-0000-00008C190000}"/>
    <cellStyle name="Обычный 3 2 5 3 2" xfId="957" xr:uid="{00000000-0005-0000-0000-00008D190000}"/>
    <cellStyle name="Обычный 3 2 5 3 3" xfId="8407" xr:uid="{00000000-0005-0000-0000-00008E190000}"/>
    <cellStyle name="Обычный 3 2 5 3 4" xfId="4652" xr:uid="{00000000-0005-0000-0000-00008F190000}"/>
    <cellStyle name="Обычный 3 2 5 4" xfId="958" xr:uid="{00000000-0005-0000-0000-000090190000}"/>
    <cellStyle name="Обычный 3 2 5 4 2" xfId="8692" xr:uid="{00000000-0005-0000-0000-000091190000}"/>
    <cellStyle name="Обычный 3 2 5 4 3" xfId="4948" xr:uid="{00000000-0005-0000-0000-000092190000}"/>
    <cellStyle name="Обычный 3 2 5 5" xfId="1405" xr:uid="{00000000-0005-0000-0000-000093190000}"/>
    <cellStyle name="Обычный 3 2 5 5 2" xfId="5244" xr:uid="{00000000-0005-0000-0000-000094190000}"/>
    <cellStyle name="Обычный 3 2 5 6" xfId="1694" xr:uid="{00000000-0005-0000-0000-000095190000}"/>
    <cellStyle name="Обычный 3 2 5 6 2" xfId="5540" xr:uid="{00000000-0005-0000-0000-000096190000}"/>
    <cellStyle name="Обычный 3 2 5 7" xfId="1987" xr:uid="{00000000-0005-0000-0000-000097190000}"/>
    <cellStyle name="Обычный 3 2 5 7 2" xfId="5836" xr:uid="{00000000-0005-0000-0000-000098190000}"/>
    <cellStyle name="Обычный 3 2 5 8" xfId="2281" xr:uid="{00000000-0005-0000-0000-000099190000}"/>
    <cellStyle name="Обычный 3 2 5 8 2" xfId="6132" xr:uid="{00000000-0005-0000-0000-00009A190000}"/>
    <cellStyle name="Обычный 3 2 5 9" xfId="2577" xr:uid="{00000000-0005-0000-0000-00009B190000}"/>
    <cellStyle name="Обычный 3 2 5 9 2" xfId="6428" xr:uid="{00000000-0005-0000-0000-00009C190000}"/>
    <cellStyle name="Обычный 3 2 6" xfId="204" xr:uid="{00000000-0005-0000-0000-00009D190000}"/>
    <cellStyle name="Обычный 3 2 6 10" xfId="2923" xr:uid="{00000000-0005-0000-0000-00009E190000}"/>
    <cellStyle name="Обычный 3 2 6 10 2" xfId="6774" xr:uid="{00000000-0005-0000-0000-00009F190000}"/>
    <cellStyle name="Обычный 3 2 6 11" xfId="3219" xr:uid="{00000000-0005-0000-0000-0000A0190000}"/>
    <cellStyle name="Обычный 3 2 6 11 2" xfId="7070" xr:uid="{00000000-0005-0000-0000-0000A1190000}"/>
    <cellStyle name="Обычный 3 2 6 12" xfId="3515" xr:uid="{00000000-0005-0000-0000-0000A2190000}"/>
    <cellStyle name="Обычный 3 2 6 12 2" xfId="7366" xr:uid="{00000000-0005-0000-0000-0000A3190000}"/>
    <cellStyle name="Обычный 3 2 6 13" xfId="3811" xr:uid="{00000000-0005-0000-0000-0000A4190000}"/>
    <cellStyle name="Обычный 3 2 6 13 2" xfId="7662" xr:uid="{00000000-0005-0000-0000-0000A5190000}"/>
    <cellStyle name="Обычный 3 2 6 14" xfId="4107" xr:uid="{00000000-0005-0000-0000-0000A6190000}"/>
    <cellStyle name="Обычный 3 2 6 14 2" xfId="7958" xr:uid="{00000000-0005-0000-0000-0000A7190000}"/>
    <cellStyle name="Обычный 3 2 6 15" xfId="8257" xr:uid="{00000000-0005-0000-0000-0000A8190000}"/>
    <cellStyle name="Обычный 3 2 6 16" xfId="4405" xr:uid="{00000000-0005-0000-0000-0000A9190000}"/>
    <cellStyle name="Обычный 3 2 6 2" xfId="959" xr:uid="{00000000-0005-0000-0000-0000AA190000}"/>
    <cellStyle name="Обычный 3 2 6 2 10" xfId="3367" xr:uid="{00000000-0005-0000-0000-0000AB190000}"/>
    <cellStyle name="Обычный 3 2 6 2 10 2" xfId="7218" xr:uid="{00000000-0005-0000-0000-0000AC190000}"/>
    <cellStyle name="Обычный 3 2 6 2 11" xfId="3663" xr:uid="{00000000-0005-0000-0000-0000AD190000}"/>
    <cellStyle name="Обычный 3 2 6 2 11 2" xfId="7514" xr:uid="{00000000-0005-0000-0000-0000AE190000}"/>
    <cellStyle name="Обычный 3 2 6 2 12" xfId="3959" xr:uid="{00000000-0005-0000-0000-0000AF190000}"/>
    <cellStyle name="Обычный 3 2 6 2 12 2" xfId="7810" xr:uid="{00000000-0005-0000-0000-0000B0190000}"/>
    <cellStyle name="Обычный 3 2 6 2 13" xfId="4255" xr:uid="{00000000-0005-0000-0000-0000B1190000}"/>
    <cellStyle name="Обычный 3 2 6 2 13 2" xfId="8106" xr:uid="{00000000-0005-0000-0000-0000B2190000}"/>
    <cellStyle name="Обычный 3 2 6 2 14" xfId="8693" xr:uid="{00000000-0005-0000-0000-0000B3190000}"/>
    <cellStyle name="Обычный 3 2 6 2 15" xfId="4554" xr:uid="{00000000-0005-0000-0000-0000B4190000}"/>
    <cellStyle name="Обычный 3 2 6 2 2" xfId="1122" xr:uid="{00000000-0005-0000-0000-0000B5190000}"/>
    <cellStyle name="Обычный 3 2 6 2 2 2" xfId="4850" xr:uid="{00000000-0005-0000-0000-0000B6190000}"/>
    <cellStyle name="Обычный 3 2 6 2 3" xfId="1311" xr:uid="{00000000-0005-0000-0000-0000B7190000}"/>
    <cellStyle name="Обычный 3 2 6 2 3 2" xfId="5146" xr:uid="{00000000-0005-0000-0000-0000B8190000}"/>
    <cellStyle name="Обычный 3 2 6 2 4" xfId="1598" xr:uid="{00000000-0005-0000-0000-0000B9190000}"/>
    <cellStyle name="Обычный 3 2 6 2 4 2" xfId="5442" xr:uid="{00000000-0005-0000-0000-0000BA190000}"/>
    <cellStyle name="Обычный 3 2 6 2 5" xfId="1891" xr:uid="{00000000-0005-0000-0000-0000BB190000}"/>
    <cellStyle name="Обычный 3 2 6 2 5 2" xfId="5738" xr:uid="{00000000-0005-0000-0000-0000BC190000}"/>
    <cellStyle name="Обычный 3 2 6 2 6" xfId="2184" xr:uid="{00000000-0005-0000-0000-0000BD190000}"/>
    <cellStyle name="Обычный 3 2 6 2 6 2" xfId="6034" xr:uid="{00000000-0005-0000-0000-0000BE190000}"/>
    <cellStyle name="Обычный 3 2 6 2 7" xfId="2479" xr:uid="{00000000-0005-0000-0000-0000BF190000}"/>
    <cellStyle name="Обычный 3 2 6 2 7 2" xfId="6330" xr:uid="{00000000-0005-0000-0000-0000C0190000}"/>
    <cellStyle name="Обычный 3 2 6 2 8" xfId="2775" xr:uid="{00000000-0005-0000-0000-0000C1190000}"/>
    <cellStyle name="Обычный 3 2 6 2 8 2" xfId="6626" xr:uid="{00000000-0005-0000-0000-0000C2190000}"/>
    <cellStyle name="Обычный 3 2 6 2 9" xfId="3071" xr:uid="{00000000-0005-0000-0000-0000C3190000}"/>
    <cellStyle name="Обычный 3 2 6 2 9 2" xfId="6922" xr:uid="{00000000-0005-0000-0000-0000C4190000}"/>
    <cellStyle name="Обычный 3 2 6 3" xfId="1075" xr:uid="{00000000-0005-0000-0000-0000C5190000}"/>
    <cellStyle name="Обычный 3 2 6 3 2" xfId="4702" xr:uid="{00000000-0005-0000-0000-0000C6190000}"/>
    <cellStyle name="Обычный 3 2 6 4" xfId="1169" xr:uid="{00000000-0005-0000-0000-0000C7190000}"/>
    <cellStyle name="Обычный 3 2 6 4 2" xfId="4998" xr:uid="{00000000-0005-0000-0000-0000C8190000}"/>
    <cellStyle name="Обычный 3 2 6 5" xfId="1452" xr:uid="{00000000-0005-0000-0000-0000C9190000}"/>
    <cellStyle name="Обычный 3 2 6 5 2" xfId="5294" xr:uid="{00000000-0005-0000-0000-0000CA190000}"/>
    <cellStyle name="Обычный 3 2 6 6" xfId="1743" xr:uid="{00000000-0005-0000-0000-0000CB190000}"/>
    <cellStyle name="Обычный 3 2 6 6 2" xfId="5590" xr:uid="{00000000-0005-0000-0000-0000CC190000}"/>
    <cellStyle name="Обычный 3 2 6 7" xfId="2036" xr:uid="{00000000-0005-0000-0000-0000CD190000}"/>
    <cellStyle name="Обычный 3 2 6 7 2" xfId="5886" xr:uid="{00000000-0005-0000-0000-0000CE190000}"/>
    <cellStyle name="Обычный 3 2 6 8" xfId="2331" xr:uid="{00000000-0005-0000-0000-0000CF190000}"/>
    <cellStyle name="Обычный 3 2 6 8 2" xfId="6182" xr:uid="{00000000-0005-0000-0000-0000D0190000}"/>
    <cellStyle name="Обычный 3 2 6 9" xfId="2627" xr:uid="{00000000-0005-0000-0000-0000D1190000}"/>
    <cellStyle name="Обычный 3 2 6 9 2" xfId="6478" xr:uid="{00000000-0005-0000-0000-0000D2190000}"/>
    <cellStyle name="Обычный 3 2 7" xfId="305" xr:uid="{00000000-0005-0000-0000-0000D3190000}"/>
    <cellStyle name="Обычный 3 2 7 10" xfId="3269" xr:uid="{00000000-0005-0000-0000-0000D4190000}"/>
    <cellStyle name="Обычный 3 2 7 10 2" xfId="7120" xr:uid="{00000000-0005-0000-0000-0000D5190000}"/>
    <cellStyle name="Обычный 3 2 7 11" xfId="3565" xr:uid="{00000000-0005-0000-0000-0000D6190000}"/>
    <cellStyle name="Обычный 3 2 7 11 2" xfId="7416" xr:uid="{00000000-0005-0000-0000-0000D7190000}"/>
    <cellStyle name="Обычный 3 2 7 12" xfId="3861" xr:uid="{00000000-0005-0000-0000-0000D8190000}"/>
    <cellStyle name="Обычный 3 2 7 12 2" xfId="7712" xr:uid="{00000000-0005-0000-0000-0000D9190000}"/>
    <cellStyle name="Обычный 3 2 7 13" xfId="4157" xr:uid="{00000000-0005-0000-0000-0000DA190000}"/>
    <cellStyle name="Обычный 3 2 7 13 2" xfId="8008" xr:uid="{00000000-0005-0000-0000-0000DB190000}"/>
    <cellStyle name="Обычный 3 2 7 14" xfId="8357" xr:uid="{00000000-0005-0000-0000-0000DC190000}"/>
    <cellStyle name="Обычный 3 2 7 15" xfId="4456" xr:uid="{00000000-0005-0000-0000-0000DD190000}"/>
    <cellStyle name="Обычный 3 2 7 2" xfId="960" xr:uid="{00000000-0005-0000-0000-0000DE190000}"/>
    <cellStyle name="Обычный 3 2 7 2 2" xfId="8694" xr:uid="{00000000-0005-0000-0000-0000DF190000}"/>
    <cellStyle name="Обычный 3 2 7 2 3" xfId="4752" xr:uid="{00000000-0005-0000-0000-0000E0190000}"/>
    <cellStyle name="Обычный 3 2 7 3" xfId="1216" xr:uid="{00000000-0005-0000-0000-0000E1190000}"/>
    <cellStyle name="Обычный 3 2 7 3 2" xfId="5048" xr:uid="{00000000-0005-0000-0000-0000E2190000}"/>
    <cellStyle name="Обычный 3 2 7 4" xfId="1501" xr:uid="{00000000-0005-0000-0000-0000E3190000}"/>
    <cellStyle name="Обычный 3 2 7 4 2" xfId="5344" xr:uid="{00000000-0005-0000-0000-0000E4190000}"/>
    <cellStyle name="Обычный 3 2 7 5" xfId="1793" xr:uid="{00000000-0005-0000-0000-0000E5190000}"/>
    <cellStyle name="Обычный 3 2 7 5 2" xfId="5640" xr:uid="{00000000-0005-0000-0000-0000E6190000}"/>
    <cellStyle name="Обычный 3 2 7 6" xfId="2086" xr:uid="{00000000-0005-0000-0000-0000E7190000}"/>
    <cellStyle name="Обычный 3 2 7 6 2" xfId="5936" xr:uid="{00000000-0005-0000-0000-0000E8190000}"/>
    <cellStyle name="Обычный 3 2 7 7" xfId="2381" xr:uid="{00000000-0005-0000-0000-0000E9190000}"/>
    <cellStyle name="Обычный 3 2 7 7 2" xfId="6232" xr:uid="{00000000-0005-0000-0000-0000EA190000}"/>
    <cellStyle name="Обычный 3 2 7 8" xfId="2677" xr:uid="{00000000-0005-0000-0000-0000EB190000}"/>
    <cellStyle name="Обычный 3 2 7 8 2" xfId="6528" xr:uid="{00000000-0005-0000-0000-0000EC190000}"/>
    <cellStyle name="Обычный 3 2 7 9" xfId="2973" xr:uid="{00000000-0005-0000-0000-0000ED190000}"/>
    <cellStyle name="Обычный 3 2 7 9 2" xfId="6824" xr:uid="{00000000-0005-0000-0000-0000EE190000}"/>
    <cellStyle name="Обычный 3 2 8" xfId="391" xr:uid="{00000000-0005-0000-0000-0000EF190000}"/>
    <cellStyle name="Обычный 3 2 8 2" xfId="8442" xr:uid="{00000000-0005-0000-0000-0000F0190000}"/>
    <cellStyle name="Обычный 3 2 8 3" xfId="4604" xr:uid="{00000000-0005-0000-0000-0000F1190000}"/>
    <cellStyle name="Обычный 3 2 9" xfId="961" xr:uid="{00000000-0005-0000-0000-0000F2190000}"/>
    <cellStyle name="Обычный 3 2 9 2" xfId="8695" xr:uid="{00000000-0005-0000-0000-0000F3190000}"/>
    <cellStyle name="Обычный 3 2 9 3" xfId="4900" xr:uid="{00000000-0005-0000-0000-0000F4190000}"/>
    <cellStyle name="Обычный 3 20" xfId="1629" xr:uid="{00000000-0005-0000-0000-0000F5190000}"/>
    <cellStyle name="Обычный 3 20 2" xfId="5474" xr:uid="{00000000-0005-0000-0000-0000F6190000}"/>
    <cellStyle name="Обычный 3 21" xfId="1922" xr:uid="{00000000-0005-0000-0000-0000F7190000}"/>
    <cellStyle name="Обычный 3 21 2" xfId="5770" xr:uid="{00000000-0005-0000-0000-0000F8190000}"/>
    <cellStyle name="Обычный 3 22" xfId="2216" xr:uid="{00000000-0005-0000-0000-0000F9190000}"/>
    <cellStyle name="Обычный 3 22 2" xfId="6066" xr:uid="{00000000-0005-0000-0000-0000FA190000}"/>
    <cellStyle name="Обычный 3 23" xfId="2511" xr:uid="{00000000-0005-0000-0000-0000FB190000}"/>
    <cellStyle name="Обычный 3 23 2" xfId="6362" xr:uid="{00000000-0005-0000-0000-0000FC190000}"/>
    <cellStyle name="Обычный 3 24" xfId="2807" xr:uid="{00000000-0005-0000-0000-0000FD190000}"/>
    <cellStyle name="Обычный 3 24 2" xfId="6658" xr:uid="{00000000-0005-0000-0000-0000FE190000}"/>
    <cellStyle name="Обычный 3 25" xfId="3103" xr:uid="{00000000-0005-0000-0000-0000FF190000}"/>
    <cellStyle name="Обычный 3 25 2" xfId="6954" xr:uid="{00000000-0005-0000-0000-0000001A0000}"/>
    <cellStyle name="Обычный 3 26" xfId="3399" xr:uid="{00000000-0005-0000-0000-0000011A0000}"/>
    <cellStyle name="Обычный 3 26 2" xfId="7250" xr:uid="{00000000-0005-0000-0000-0000021A0000}"/>
    <cellStyle name="Обычный 3 27" xfId="3695" xr:uid="{00000000-0005-0000-0000-0000031A0000}"/>
    <cellStyle name="Обычный 3 27 2" xfId="7546" xr:uid="{00000000-0005-0000-0000-0000041A0000}"/>
    <cellStyle name="Обычный 3 28" xfId="3991" xr:uid="{00000000-0005-0000-0000-0000051A0000}"/>
    <cellStyle name="Обычный 3 28 2" xfId="7842" xr:uid="{00000000-0005-0000-0000-0000061A0000}"/>
    <cellStyle name="Обычный 3 29" xfId="8138" xr:uid="{00000000-0005-0000-0000-0000071A0000}"/>
    <cellStyle name="Обычный 3 3" xfId="11" xr:uid="{00000000-0005-0000-0000-0000081A0000}"/>
    <cellStyle name="Обычный 3 3 10" xfId="1361" xr:uid="{00000000-0005-0000-0000-0000091A0000}"/>
    <cellStyle name="Обычный 3 3 10 2" xfId="5199" xr:uid="{00000000-0005-0000-0000-00000A1A0000}"/>
    <cellStyle name="Обычный 3 3 11" xfId="1650" xr:uid="{00000000-0005-0000-0000-00000B1A0000}"/>
    <cellStyle name="Обычный 3 3 11 2" xfId="5495" xr:uid="{00000000-0005-0000-0000-00000C1A0000}"/>
    <cellStyle name="Обычный 3 3 12" xfId="1943" xr:uid="{00000000-0005-0000-0000-00000D1A0000}"/>
    <cellStyle name="Обычный 3 3 12 2" xfId="5791" xr:uid="{00000000-0005-0000-0000-00000E1A0000}"/>
    <cellStyle name="Обычный 3 3 13" xfId="2237" xr:uid="{00000000-0005-0000-0000-00000F1A0000}"/>
    <cellStyle name="Обычный 3 3 13 2" xfId="6087" xr:uid="{00000000-0005-0000-0000-0000101A0000}"/>
    <cellStyle name="Обычный 3 3 14" xfId="2532" xr:uid="{00000000-0005-0000-0000-0000111A0000}"/>
    <cellStyle name="Обычный 3 3 14 2" xfId="6383" xr:uid="{00000000-0005-0000-0000-0000121A0000}"/>
    <cellStyle name="Обычный 3 3 15" xfId="2828" xr:uid="{00000000-0005-0000-0000-0000131A0000}"/>
    <cellStyle name="Обычный 3 3 15 2" xfId="6679" xr:uid="{00000000-0005-0000-0000-0000141A0000}"/>
    <cellStyle name="Обычный 3 3 16" xfId="3124" xr:uid="{00000000-0005-0000-0000-0000151A0000}"/>
    <cellStyle name="Обычный 3 3 16 2" xfId="6975" xr:uid="{00000000-0005-0000-0000-0000161A0000}"/>
    <cellStyle name="Обычный 3 3 17" xfId="3420" xr:uid="{00000000-0005-0000-0000-0000171A0000}"/>
    <cellStyle name="Обычный 3 3 17 2" xfId="7271" xr:uid="{00000000-0005-0000-0000-0000181A0000}"/>
    <cellStyle name="Обычный 3 3 18" xfId="3716" xr:uid="{00000000-0005-0000-0000-0000191A0000}"/>
    <cellStyle name="Обычный 3 3 18 2" xfId="7567" xr:uid="{00000000-0005-0000-0000-00001A1A0000}"/>
    <cellStyle name="Обычный 3 3 19" xfId="4012" xr:uid="{00000000-0005-0000-0000-00001B1A0000}"/>
    <cellStyle name="Обычный 3 3 19 2" xfId="7863" xr:uid="{00000000-0005-0000-0000-00001C1A0000}"/>
    <cellStyle name="Обычный 3 3 2" xfId="14" xr:uid="{00000000-0005-0000-0000-00001D1A0000}"/>
    <cellStyle name="Обычный 3 3 2 10" xfId="1944" xr:uid="{00000000-0005-0000-0000-00001E1A0000}"/>
    <cellStyle name="Обычный 3 3 2 10 2" xfId="5792" xr:uid="{00000000-0005-0000-0000-00001F1A0000}"/>
    <cellStyle name="Обычный 3 3 2 11" xfId="2238" xr:uid="{00000000-0005-0000-0000-0000201A0000}"/>
    <cellStyle name="Обычный 3 3 2 11 2" xfId="6088" xr:uid="{00000000-0005-0000-0000-0000211A0000}"/>
    <cellStyle name="Обычный 3 3 2 12" xfId="2533" xr:uid="{00000000-0005-0000-0000-0000221A0000}"/>
    <cellStyle name="Обычный 3 3 2 12 2" xfId="6384" xr:uid="{00000000-0005-0000-0000-0000231A0000}"/>
    <cellStyle name="Обычный 3 3 2 13" xfId="2829" xr:uid="{00000000-0005-0000-0000-0000241A0000}"/>
    <cellStyle name="Обычный 3 3 2 13 2" xfId="6680" xr:uid="{00000000-0005-0000-0000-0000251A0000}"/>
    <cellStyle name="Обычный 3 3 2 14" xfId="3125" xr:uid="{00000000-0005-0000-0000-0000261A0000}"/>
    <cellStyle name="Обычный 3 3 2 14 2" xfId="6976" xr:uid="{00000000-0005-0000-0000-0000271A0000}"/>
    <cellStyle name="Обычный 3 3 2 15" xfId="3421" xr:uid="{00000000-0005-0000-0000-0000281A0000}"/>
    <cellStyle name="Обычный 3 3 2 15 2" xfId="7272" xr:uid="{00000000-0005-0000-0000-0000291A0000}"/>
    <cellStyle name="Обычный 3 3 2 16" xfId="3717" xr:uid="{00000000-0005-0000-0000-00002A1A0000}"/>
    <cellStyle name="Обычный 3 3 2 16 2" xfId="7568" xr:uid="{00000000-0005-0000-0000-00002B1A0000}"/>
    <cellStyle name="Обычный 3 3 2 17" xfId="4013" xr:uid="{00000000-0005-0000-0000-00002C1A0000}"/>
    <cellStyle name="Обычный 3 3 2 17 2" xfId="7864" xr:uid="{00000000-0005-0000-0000-00002D1A0000}"/>
    <cellStyle name="Обычный 3 3 2 18" xfId="8160" xr:uid="{00000000-0005-0000-0000-00002E1A0000}"/>
    <cellStyle name="Обычный 3 3 2 19" xfId="4309" xr:uid="{00000000-0005-0000-0000-00002F1A0000}"/>
    <cellStyle name="Обычный 3 3 2 2" xfId="20" xr:uid="{00000000-0005-0000-0000-0000301A0000}"/>
    <cellStyle name="Обычный 3 3 2 2 10" xfId="2259" xr:uid="{00000000-0005-0000-0000-0000311A0000}"/>
    <cellStyle name="Обычный 3 3 2 2 10 2" xfId="6110" xr:uid="{00000000-0005-0000-0000-0000321A0000}"/>
    <cellStyle name="Обычный 3 3 2 2 11" xfId="2555" xr:uid="{00000000-0005-0000-0000-0000331A0000}"/>
    <cellStyle name="Обычный 3 3 2 2 11 2" xfId="6406" xr:uid="{00000000-0005-0000-0000-0000341A0000}"/>
    <cellStyle name="Обычный 3 3 2 2 12" xfId="2851" xr:uid="{00000000-0005-0000-0000-0000351A0000}"/>
    <cellStyle name="Обычный 3 3 2 2 12 2" xfId="6702" xr:uid="{00000000-0005-0000-0000-0000361A0000}"/>
    <cellStyle name="Обычный 3 3 2 2 13" xfId="3147" xr:uid="{00000000-0005-0000-0000-0000371A0000}"/>
    <cellStyle name="Обычный 3 3 2 2 13 2" xfId="6998" xr:uid="{00000000-0005-0000-0000-0000381A0000}"/>
    <cellStyle name="Обычный 3 3 2 2 14" xfId="3443" xr:uid="{00000000-0005-0000-0000-0000391A0000}"/>
    <cellStyle name="Обычный 3 3 2 2 14 2" xfId="7294" xr:uid="{00000000-0005-0000-0000-00003A1A0000}"/>
    <cellStyle name="Обычный 3 3 2 2 15" xfId="3739" xr:uid="{00000000-0005-0000-0000-00003B1A0000}"/>
    <cellStyle name="Обычный 3 3 2 2 15 2" xfId="7590" xr:uid="{00000000-0005-0000-0000-00003C1A0000}"/>
    <cellStyle name="Обычный 3 3 2 2 16" xfId="4035" xr:uid="{00000000-0005-0000-0000-00003D1A0000}"/>
    <cellStyle name="Обычный 3 3 2 2 16 2" xfId="7886" xr:uid="{00000000-0005-0000-0000-00003E1A0000}"/>
    <cellStyle name="Обычный 3 3 2 2 17" xfId="8182" xr:uid="{00000000-0005-0000-0000-00003F1A0000}"/>
    <cellStyle name="Обычный 3 3 2 2 18" xfId="4331" xr:uid="{00000000-0005-0000-0000-0000401A0000}"/>
    <cellStyle name="Обычный 3 3 2 2 19" xfId="124" xr:uid="{00000000-0005-0000-0000-0000411A0000}"/>
    <cellStyle name="Обычный 3 3 2 2 2" xfId="39" xr:uid="{00000000-0005-0000-0000-0000421A0000}"/>
    <cellStyle name="Обычный 3 3 2 2 2 10" xfId="2899" xr:uid="{00000000-0005-0000-0000-0000431A0000}"/>
    <cellStyle name="Обычный 3 3 2 2 2 10 2" xfId="6750" xr:uid="{00000000-0005-0000-0000-0000441A0000}"/>
    <cellStyle name="Обычный 3 3 2 2 2 11" xfId="3195" xr:uid="{00000000-0005-0000-0000-0000451A0000}"/>
    <cellStyle name="Обычный 3 3 2 2 2 11 2" xfId="7046" xr:uid="{00000000-0005-0000-0000-0000461A0000}"/>
    <cellStyle name="Обычный 3 3 2 2 2 12" xfId="3491" xr:uid="{00000000-0005-0000-0000-0000471A0000}"/>
    <cellStyle name="Обычный 3 3 2 2 2 12 2" xfId="7342" xr:uid="{00000000-0005-0000-0000-0000481A0000}"/>
    <cellStyle name="Обычный 3 3 2 2 2 13" xfId="3787" xr:uid="{00000000-0005-0000-0000-0000491A0000}"/>
    <cellStyle name="Обычный 3 3 2 2 2 13 2" xfId="7638" xr:uid="{00000000-0005-0000-0000-00004A1A0000}"/>
    <cellStyle name="Обычный 3 3 2 2 2 14" xfId="4083" xr:uid="{00000000-0005-0000-0000-00004B1A0000}"/>
    <cellStyle name="Обычный 3 3 2 2 2 14 2" xfId="7934" xr:uid="{00000000-0005-0000-0000-00004C1A0000}"/>
    <cellStyle name="Обычный 3 3 2 2 2 15" xfId="8232" xr:uid="{00000000-0005-0000-0000-00004D1A0000}"/>
    <cellStyle name="Обычный 3 3 2 2 2 16" xfId="4380" xr:uid="{00000000-0005-0000-0000-00004E1A0000}"/>
    <cellStyle name="Обычный 3 3 2 2 2 17" xfId="177" xr:uid="{00000000-0005-0000-0000-00004F1A0000}"/>
    <cellStyle name="Обычный 3 3 2 2 2 2" xfId="280" xr:uid="{00000000-0005-0000-0000-0000501A0000}"/>
    <cellStyle name="Обычный 3 3 2 2 2 2 10" xfId="3343" xr:uid="{00000000-0005-0000-0000-0000511A0000}"/>
    <cellStyle name="Обычный 3 3 2 2 2 2 10 2" xfId="7194" xr:uid="{00000000-0005-0000-0000-0000521A0000}"/>
    <cellStyle name="Обычный 3 3 2 2 2 2 11" xfId="3639" xr:uid="{00000000-0005-0000-0000-0000531A0000}"/>
    <cellStyle name="Обычный 3 3 2 2 2 2 11 2" xfId="7490" xr:uid="{00000000-0005-0000-0000-0000541A0000}"/>
    <cellStyle name="Обычный 3 3 2 2 2 2 12" xfId="3935" xr:uid="{00000000-0005-0000-0000-0000551A0000}"/>
    <cellStyle name="Обычный 3 3 2 2 2 2 12 2" xfId="7786" xr:uid="{00000000-0005-0000-0000-0000561A0000}"/>
    <cellStyle name="Обычный 3 3 2 2 2 2 13" xfId="4231" xr:uid="{00000000-0005-0000-0000-0000571A0000}"/>
    <cellStyle name="Обычный 3 3 2 2 2 2 13 2" xfId="8082" xr:uid="{00000000-0005-0000-0000-0000581A0000}"/>
    <cellStyle name="Обычный 3 3 2 2 2 2 14" xfId="8333" xr:uid="{00000000-0005-0000-0000-0000591A0000}"/>
    <cellStyle name="Обычный 3 3 2 2 2 2 15" xfId="4530" xr:uid="{00000000-0005-0000-0000-00005A1A0000}"/>
    <cellStyle name="Обычный 3 3 2 2 2 2 2" xfId="962" xr:uid="{00000000-0005-0000-0000-00005B1A0000}"/>
    <cellStyle name="Обычный 3 3 2 2 2 2 2 2" xfId="8696" xr:uid="{00000000-0005-0000-0000-00005C1A0000}"/>
    <cellStyle name="Обычный 3 3 2 2 2 2 2 3" xfId="4826" xr:uid="{00000000-0005-0000-0000-00005D1A0000}"/>
    <cellStyle name="Обычный 3 3 2 2 2 2 3" xfId="1288" xr:uid="{00000000-0005-0000-0000-00005E1A0000}"/>
    <cellStyle name="Обычный 3 3 2 2 2 2 3 2" xfId="5122" xr:uid="{00000000-0005-0000-0000-00005F1A0000}"/>
    <cellStyle name="Обычный 3 3 2 2 2 2 4" xfId="1574" xr:uid="{00000000-0005-0000-0000-0000601A0000}"/>
    <cellStyle name="Обычный 3 3 2 2 2 2 4 2" xfId="5418" xr:uid="{00000000-0005-0000-0000-0000611A0000}"/>
    <cellStyle name="Обычный 3 3 2 2 2 2 5" xfId="1867" xr:uid="{00000000-0005-0000-0000-0000621A0000}"/>
    <cellStyle name="Обычный 3 3 2 2 2 2 5 2" xfId="5714" xr:uid="{00000000-0005-0000-0000-0000631A0000}"/>
    <cellStyle name="Обычный 3 3 2 2 2 2 6" xfId="2160" xr:uid="{00000000-0005-0000-0000-0000641A0000}"/>
    <cellStyle name="Обычный 3 3 2 2 2 2 6 2" xfId="6010" xr:uid="{00000000-0005-0000-0000-0000651A0000}"/>
    <cellStyle name="Обычный 3 3 2 2 2 2 7" xfId="2455" xr:uid="{00000000-0005-0000-0000-0000661A0000}"/>
    <cellStyle name="Обычный 3 3 2 2 2 2 7 2" xfId="6306" xr:uid="{00000000-0005-0000-0000-0000671A0000}"/>
    <cellStyle name="Обычный 3 3 2 2 2 2 8" xfId="2751" xr:uid="{00000000-0005-0000-0000-0000681A0000}"/>
    <cellStyle name="Обычный 3 3 2 2 2 2 8 2" xfId="6602" xr:uid="{00000000-0005-0000-0000-0000691A0000}"/>
    <cellStyle name="Обычный 3 3 2 2 2 2 9" xfId="3047" xr:uid="{00000000-0005-0000-0000-00006A1A0000}"/>
    <cellStyle name="Обычный 3 3 2 2 2 2 9 2" xfId="6898" xr:uid="{00000000-0005-0000-0000-00006B1A0000}"/>
    <cellStyle name="Обычный 3 3 2 2 2 3" xfId="381" xr:uid="{00000000-0005-0000-0000-00006C1A0000}"/>
    <cellStyle name="Обычный 3 3 2 2 2 3 2" xfId="963" xr:uid="{00000000-0005-0000-0000-00006D1A0000}"/>
    <cellStyle name="Обычный 3 3 2 2 2 3 3" xfId="8433" xr:uid="{00000000-0005-0000-0000-00006E1A0000}"/>
    <cellStyle name="Обычный 3 3 2 2 2 3 4" xfId="4678" xr:uid="{00000000-0005-0000-0000-00006F1A0000}"/>
    <cellStyle name="Обычный 3 3 2 2 2 4" xfId="964" xr:uid="{00000000-0005-0000-0000-0000701A0000}"/>
    <cellStyle name="Обычный 3 3 2 2 2 4 2" xfId="8697" xr:uid="{00000000-0005-0000-0000-0000711A0000}"/>
    <cellStyle name="Обычный 3 3 2 2 2 4 3" xfId="4974" xr:uid="{00000000-0005-0000-0000-0000721A0000}"/>
    <cellStyle name="Обычный 3 3 2 2 2 5" xfId="1430" xr:uid="{00000000-0005-0000-0000-0000731A0000}"/>
    <cellStyle name="Обычный 3 3 2 2 2 5 2" xfId="5270" xr:uid="{00000000-0005-0000-0000-0000741A0000}"/>
    <cellStyle name="Обычный 3 3 2 2 2 6" xfId="1720" xr:uid="{00000000-0005-0000-0000-0000751A0000}"/>
    <cellStyle name="Обычный 3 3 2 2 2 6 2" xfId="5566" xr:uid="{00000000-0005-0000-0000-0000761A0000}"/>
    <cellStyle name="Обычный 3 3 2 2 2 7" xfId="2012" xr:uid="{00000000-0005-0000-0000-0000771A0000}"/>
    <cellStyle name="Обычный 3 3 2 2 2 7 2" xfId="5862" xr:uid="{00000000-0005-0000-0000-0000781A0000}"/>
    <cellStyle name="Обычный 3 3 2 2 2 8" xfId="2307" xr:uid="{00000000-0005-0000-0000-0000791A0000}"/>
    <cellStyle name="Обычный 3 3 2 2 2 8 2" xfId="6158" xr:uid="{00000000-0005-0000-0000-00007A1A0000}"/>
    <cellStyle name="Обычный 3 3 2 2 2 9" xfId="2603" xr:uid="{00000000-0005-0000-0000-00007B1A0000}"/>
    <cellStyle name="Обычный 3 3 2 2 2 9 2" xfId="6454" xr:uid="{00000000-0005-0000-0000-00007C1A0000}"/>
    <cellStyle name="Обычный 3 3 2 2 3" xfId="230" xr:uid="{00000000-0005-0000-0000-00007D1A0000}"/>
    <cellStyle name="Обычный 3 3 2 2 3 10" xfId="2949" xr:uid="{00000000-0005-0000-0000-00007E1A0000}"/>
    <cellStyle name="Обычный 3 3 2 2 3 10 2" xfId="6800" xr:uid="{00000000-0005-0000-0000-00007F1A0000}"/>
    <cellStyle name="Обычный 3 3 2 2 3 11" xfId="3245" xr:uid="{00000000-0005-0000-0000-0000801A0000}"/>
    <cellStyle name="Обычный 3 3 2 2 3 11 2" xfId="7096" xr:uid="{00000000-0005-0000-0000-0000811A0000}"/>
    <cellStyle name="Обычный 3 3 2 2 3 12" xfId="3541" xr:uid="{00000000-0005-0000-0000-0000821A0000}"/>
    <cellStyle name="Обычный 3 3 2 2 3 12 2" xfId="7392" xr:uid="{00000000-0005-0000-0000-0000831A0000}"/>
    <cellStyle name="Обычный 3 3 2 2 3 13" xfId="3837" xr:uid="{00000000-0005-0000-0000-0000841A0000}"/>
    <cellStyle name="Обычный 3 3 2 2 3 13 2" xfId="7688" xr:uid="{00000000-0005-0000-0000-0000851A0000}"/>
    <cellStyle name="Обычный 3 3 2 2 3 14" xfId="4133" xr:uid="{00000000-0005-0000-0000-0000861A0000}"/>
    <cellStyle name="Обычный 3 3 2 2 3 14 2" xfId="7984" xr:uid="{00000000-0005-0000-0000-0000871A0000}"/>
    <cellStyle name="Обычный 3 3 2 2 3 15" xfId="8283" xr:uid="{00000000-0005-0000-0000-0000881A0000}"/>
    <cellStyle name="Обычный 3 3 2 2 3 16" xfId="4431" xr:uid="{00000000-0005-0000-0000-0000891A0000}"/>
    <cellStyle name="Обычный 3 3 2 2 3 2" xfId="965" xr:uid="{00000000-0005-0000-0000-00008A1A0000}"/>
    <cellStyle name="Обычный 3 3 2 2 3 2 10" xfId="3393" xr:uid="{00000000-0005-0000-0000-00008B1A0000}"/>
    <cellStyle name="Обычный 3 3 2 2 3 2 10 2" xfId="7244" xr:uid="{00000000-0005-0000-0000-00008C1A0000}"/>
    <cellStyle name="Обычный 3 3 2 2 3 2 11" xfId="3689" xr:uid="{00000000-0005-0000-0000-00008D1A0000}"/>
    <cellStyle name="Обычный 3 3 2 2 3 2 11 2" xfId="7540" xr:uid="{00000000-0005-0000-0000-00008E1A0000}"/>
    <cellStyle name="Обычный 3 3 2 2 3 2 12" xfId="3985" xr:uid="{00000000-0005-0000-0000-00008F1A0000}"/>
    <cellStyle name="Обычный 3 3 2 2 3 2 12 2" xfId="7836" xr:uid="{00000000-0005-0000-0000-0000901A0000}"/>
    <cellStyle name="Обычный 3 3 2 2 3 2 13" xfId="4281" xr:uid="{00000000-0005-0000-0000-0000911A0000}"/>
    <cellStyle name="Обычный 3 3 2 2 3 2 13 2" xfId="8132" xr:uid="{00000000-0005-0000-0000-0000921A0000}"/>
    <cellStyle name="Обычный 3 3 2 2 3 2 14" xfId="8698" xr:uid="{00000000-0005-0000-0000-0000931A0000}"/>
    <cellStyle name="Обычный 3 3 2 2 3 2 15" xfId="4580" xr:uid="{00000000-0005-0000-0000-0000941A0000}"/>
    <cellStyle name="Обычный 3 3 2 2 3 2 2" xfId="1147" xr:uid="{00000000-0005-0000-0000-0000951A0000}"/>
    <cellStyle name="Обычный 3 3 2 2 3 2 2 2" xfId="4876" xr:uid="{00000000-0005-0000-0000-0000961A0000}"/>
    <cellStyle name="Обычный 3 3 2 2 3 2 3" xfId="1336" xr:uid="{00000000-0005-0000-0000-0000971A0000}"/>
    <cellStyle name="Обычный 3 3 2 2 3 2 3 2" xfId="5172" xr:uid="{00000000-0005-0000-0000-0000981A0000}"/>
    <cellStyle name="Обычный 3 3 2 2 3 2 4" xfId="1623" xr:uid="{00000000-0005-0000-0000-0000991A0000}"/>
    <cellStyle name="Обычный 3 3 2 2 3 2 4 2" xfId="5468" xr:uid="{00000000-0005-0000-0000-00009A1A0000}"/>
    <cellStyle name="Обычный 3 3 2 2 3 2 5" xfId="1916" xr:uid="{00000000-0005-0000-0000-00009B1A0000}"/>
    <cellStyle name="Обычный 3 3 2 2 3 2 5 2" xfId="5764" xr:uid="{00000000-0005-0000-0000-00009C1A0000}"/>
    <cellStyle name="Обычный 3 3 2 2 3 2 6" xfId="2210" xr:uid="{00000000-0005-0000-0000-00009D1A0000}"/>
    <cellStyle name="Обычный 3 3 2 2 3 2 6 2" xfId="6060" xr:uid="{00000000-0005-0000-0000-00009E1A0000}"/>
    <cellStyle name="Обычный 3 3 2 2 3 2 7" xfId="2505" xr:uid="{00000000-0005-0000-0000-00009F1A0000}"/>
    <cellStyle name="Обычный 3 3 2 2 3 2 7 2" xfId="6356" xr:uid="{00000000-0005-0000-0000-0000A01A0000}"/>
    <cellStyle name="Обычный 3 3 2 2 3 2 8" xfId="2801" xr:uid="{00000000-0005-0000-0000-0000A11A0000}"/>
    <cellStyle name="Обычный 3 3 2 2 3 2 8 2" xfId="6652" xr:uid="{00000000-0005-0000-0000-0000A21A0000}"/>
    <cellStyle name="Обычный 3 3 2 2 3 2 9" xfId="3097" xr:uid="{00000000-0005-0000-0000-0000A31A0000}"/>
    <cellStyle name="Обычный 3 3 2 2 3 2 9 2" xfId="6948" xr:uid="{00000000-0005-0000-0000-0000A41A0000}"/>
    <cellStyle name="Обычный 3 3 2 2 3 3" xfId="1100" xr:uid="{00000000-0005-0000-0000-0000A51A0000}"/>
    <cellStyle name="Обычный 3 3 2 2 3 3 2" xfId="4728" xr:uid="{00000000-0005-0000-0000-0000A61A0000}"/>
    <cellStyle name="Обычный 3 3 2 2 3 4" xfId="1194" xr:uid="{00000000-0005-0000-0000-0000A71A0000}"/>
    <cellStyle name="Обычный 3 3 2 2 3 4 2" xfId="5024" xr:uid="{00000000-0005-0000-0000-0000A81A0000}"/>
    <cellStyle name="Обычный 3 3 2 2 3 5" xfId="1478" xr:uid="{00000000-0005-0000-0000-0000A91A0000}"/>
    <cellStyle name="Обычный 3 3 2 2 3 5 2" xfId="5320" xr:uid="{00000000-0005-0000-0000-0000AA1A0000}"/>
    <cellStyle name="Обычный 3 3 2 2 3 6" xfId="1769" xr:uid="{00000000-0005-0000-0000-0000AB1A0000}"/>
    <cellStyle name="Обычный 3 3 2 2 3 6 2" xfId="5616" xr:uid="{00000000-0005-0000-0000-0000AC1A0000}"/>
    <cellStyle name="Обычный 3 3 2 2 3 7" xfId="2062" xr:uid="{00000000-0005-0000-0000-0000AD1A0000}"/>
    <cellStyle name="Обычный 3 3 2 2 3 7 2" xfId="5912" xr:uid="{00000000-0005-0000-0000-0000AE1A0000}"/>
    <cellStyle name="Обычный 3 3 2 2 3 8" xfId="2357" xr:uid="{00000000-0005-0000-0000-0000AF1A0000}"/>
    <cellStyle name="Обычный 3 3 2 2 3 8 2" xfId="6208" xr:uid="{00000000-0005-0000-0000-0000B01A0000}"/>
    <cellStyle name="Обычный 3 3 2 2 3 9" xfId="2653" xr:uid="{00000000-0005-0000-0000-0000B11A0000}"/>
    <cellStyle name="Обычный 3 3 2 2 3 9 2" xfId="6504" xr:uid="{00000000-0005-0000-0000-0000B21A0000}"/>
    <cellStyle name="Обычный 3 3 2 2 4" xfId="331" xr:uid="{00000000-0005-0000-0000-0000B31A0000}"/>
    <cellStyle name="Обычный 3 3 2 2 4 10" xfId="3295" xr:uid="{00000000-0005-0000-0000-0000B41A0000}"/>
    <cellStyle name="Обычный 3 3 2 2 4 10 2" xfId="7146" xr:uid="{00000000-0005-0000-0000-0000B51A0000}"/>
    <cellStyle name="Обычный 3 3 2 2 4 11" xfId="3591" xr:uid="{00000000-0005-0000-0000-0000B61A0000}"/>
    <cellStyle name="Обычный 3 3 2 2 4 11 2" xfId="7442" xr:uid="{00000000-0005-0000-0000-0000B71A0000}"/>
    <cellStyle name="Обычный 3 3 2 2 4 12" xfId="3887" xr:uid="{00000000-0005-0000-0000-0000B81A0000}"/>
    <cellStyle name="Обычный 3 3 2 2 4 12 2" xfId="7738" xr:uid="{00000000-0005-0000-0000-0000B91A0000}"/>
    <cellStyle name="Обычный 3 3 2 2 4 13" xfId="4183" xr:uid="{00000000-0005-0000-0000-0000BA1A0000}"/>
    <cellStyle name="Обычный 3 3 2 2 4 13 2" xfId="8034" xr:uid="{00000000-0005-0000-0000-0000BB1A0000}"/>
    <cellStyle name="Обычный 3 3 2 2 4 14" xfId="8383" xr:uid="{00000000-0005-0000-0000-0000BC1A0000}"/>
    <cellStyle name="Обычный 3 3 2 2 4 15" xfId="4482" xr:uid="{00000000-0005-0000-0000-0000BD1A0000}"/>
    <cellStyle name="Обычный 3 3 2 2 4 2" xfId="966" xr:uid="{00000000-0005-0000-0000-0000BE1A0000}"/>
    <cellStyle name="Обычный 3 3 2 2 4 2 2" xfId="8699" xr:uid="{00000000-0005-0000-0000-0000BF1A0000}"/>
    <cellStyle name="Обычный 3 3 2 2 4 2 3" xfId="4778" xr:uid="{00000000-0005-0000-0000-0000C01A0000}"/>
    <cellStyle name="Обычный 3 3 2 2 4 3" xfId="1242" xr:uid="{00000000-0005-0000-0000-0000C11A0000}"/>
    <cellStyle name="Обычный 3 3 2 2 4 3 2" xfId="5074" xr:uid="{00000000-0005-0000-0000-0000C21A0000}"/>
    <cellStyle name="Обычный 3 3 2 2 4 4" xfId="1527" xr:uid="{00000000-0005-0000-0000-0000C31A0000}"/>
    <cellStyle name="Обычный 3 3 2 2 4 4 2" xfId="5370" xr:uid="{00000000-0005-0000-0000-0000C41A0000}"/>
    <cellStyle name="Обычный 3 3 2 2 4 5" xfId="1819" xr:uid="{00000000-0005-0000-0000-0000C51A0000}"/>
    <cellStyle name="Обычный 3 3 2 2 4 5 2" xfId="5666" xr:uid="{00000000-0005-0000-0000-0000C61A0000}"/>
    <cellStyle name="Обычный 3 3 2 2 4 6" xfId="2112" xr:uid="{00000000-0005-0000-0000-0000C71A0000}"/>
    <cellStyle name="Обычный 3 3 2 2 4 6 2" xfId="5962" xr:uid="{00000000-0005-0000-0000-0000C81A0000}"/>
    <cellStyle name="Обычный 3 3 2 2 4 7" xfId="2407" xr:uid="{00000000-0005-0000-0000-0000C91A0000}"/>
    <cellStyle name="Обычный 3 3 2 2 4 7 2" xfId="6258" xr:uid="{00000000-0005-0000-0000-0000CA1A0000}"/>
    <cellStyle name="Обычный 3 3 2 2 4 8" xfId="2703" xr:uid="{00000000-0005-0000-0000-0000CB1A0000}"/>
    <cellStyle name="Обычный 3 3 2 2 4 8 2" xfId="6554" xr:uid="{00000000-0005-0000-0000-0000CC1A0000}"/>
    <cellStyle name="Обычный 3 3 2 2 4 9" xfId="2999" xr:uid="{00000000-0005-0000-0000-0000CD1A0000}"/>
    <cellStyle name="Обычный 3 3 2 2 4 9 2" xfId="6850" xr:uid="{00000000-0005-0000-0000-0000CE1A0000}"/>
    <cellStyle name="Обычный 3 3 2 2 5" xfId="967" xr:uid="{00000000-0005-0000-0000-0000CF1A0000}"/>
    <cellStyle name="Обычный 3 3 2 2 5 2" xfId="8700" xr:uid="{00000000-0005-0000-0000-0000D01A0000}"/>
    <cellStyle name="Обычный 3 3 2 2 5 3" xfId="4630" xr:uid="{00000000-0005-0000-0000-0000D11A0000}"/>
    <cellStyle name="Обычный 3 3 2 2 6" xfId="968" xr:uid="{00000000-0005-0000-0000-0000D21A0000}"/>
    <cellStyle name="Обычный 3 3 2 2 6 2" xfId="8701" xr:uid="{00000000-0005-0000-0000-0000D31A0000}"/>
    <cellStyle name="Обычный 3 3 2 2 6 3" xfId="4926" xr:uid="{00000000-0005-0000-0000-0000D41A0000}"/>
    <cellStyle name="Обычный 3 3 2 2 7" xfId="1383" xr:uid="{00000000-0005-0000-0000-0000D51A0000}"/>
    <cellStyle name="Обычный 3 3 2 2 7 2" xfId="5222" xr:uid="{00000000-0005-0000-0000-0000D61A0000}"/>
    <cellStyle name="Обычный 3 3 2 2 8" xfId="1672" xr:uid="{00000000-0005-0000-0000-0000D71A0000}"/>
    <cellStyle name="Обычный 3 3 2 2 8 2" xfId="5518" xr:uid="{00000000-0005-0000-0000-0000D81A0000}"/>
    <cellStyle name="Обычный 3 3 2 2 9" xfId="1965" xr:uid="{00000000-0005-0000-0000-0000D91A0000}"/>
    <cellStyle name="Обычный 3 3 2 2 9 2" xfId="5814" xr:uid="{00000000-0005-0000-0000-0000DA1A0000}"/>
    <cellStyle name="Обычный 3 3 2 20" xfId="80" xr:uid="{00000000-0005-0000-0000-0000DB1A0000}"/>
    <cellStyle name="Обычный 3 3 2 3" xfId="26" xr:uid="{00000000-0005-0000-0000-0000DC1A0000}"/>
    <cellStyle name="Обычный 3 3 2 3 10" xfId="2877" xr:uid="{00000000-0005-0000-0000-0000DD1A0000}"/>
    <cellStyle name="Обычный 3 3 2 3 10 2" xfId="6728" xr:uid="{00000000-0005-0000-0000-0000DE1A0000}"/>
    <cellStyle name="Обычный 3 3 2 3 11" xfId="3173" xr:uid="{00000000-0005-0000-0000-0000DF1A0000}"/>
    <cellStyle name="Обычный 3 3 2 3 11 2" xfId="7024" xr:uid="{00000000-0005-0000-0000-0000E01A0000}"/>
    <cellStyle name="Обычный 3 3 2 3 12" xfId="3469" xr:uid="{00000000-0005-0000-0000-0000E11A0000}"/>
    <cellStyle name="Обычный 3 3 2 3 12 2" xfId="7320" xr:uid="{00000000-0005-0000-0000-0000E21A0000}"/>
    <cellStyle name="Обычный 3 3 2 3 13" xfId="3765" xr:uid="{00000000-0005-0000-0000-0000E31A0000}"/>
    <cellStyle name="Обычный 3 3 2 3 13 2" xfId="7616" xr:uid="{00000000-0005-0000-0000-0000E41A0000}"/>
    <cellStyle name="Обычный 3 3 2 3 14" xfId="4061" xr:uid="{00000000-0005-0000-0000-0000E51A0000}"/>
    <cellStyle name="Обычный 3 3 2 3 14 2" xfId="7912" xr:uid="{00000000-0005-0000-0000-0000E61A0000}"/>
    <cellStyle name="Обычный 3 3 2 3 15" xfId="8210" xr:uid="{00000000-0005-0000-0000-0000E71A0000}"/>
    <cellStyle name="Обычный 3 3 2 3 16" xfId="4358" xr:uid="{00000000-0005-0000-0000-0000E81A0000}"/>
    <cellStyle name="Обычный 3 3 2 3 17" xfId="155" xr:uid="{00000000-0005-0000-0000-0000E91A0000}"/>
    <cellStyle name="Обычный 3 3 2 3 2" xfId="45" xr:uid="{00000000-0005-0000-0000-0000EA1A0000}"/>
    <cellStyle name="Обычный 3 3 2 3 2 10" xfId="3321" xr:uid="{00000000-0005-0000-0000-0000EB1A0000}"/>
    <cellStyle name="Обычный 3 3 2 3 2 10 2" xfId="7172" xr:uid="{00000000-0005-0000-0000-0000EC1A0000}"/>
    <cellStyle name="Обычный 3 3 2 3 2 11" xfId="3617" xr:uid="{00000000-0005-0000-0000-0000ED1A0000}"/>
    <cellStyle name="Обычный 3 3 2 3 2 11 2" xfId="7468" xr:uid="{00000000-0005-0000-0000-0000EE1A0000}"/>
    <cellStyle name="Обычный 3 3 2 3 2 12" xfId="3913" xr:uid="{00000000-0005-0000-0000-0000EF1A0000}"/>
    <cellStyle name="Обычный 3 3 2 3 2 12 2" xfId="7764" xr:uid="{00000000-0005-0000-0000-0000F01A0000}"/>
    <cellStyle name="Обычный 3 3 2 3 2 13" xfId="4209" xr:uid="{00000000-0005-0000-0000-0000F11A0000}"/>
    <cellStyle name="Обычный 3 3 2 3 2 13 2" xfId="8060" xr:uid="{00000000-0005-0000-0000-0000F21A0000}"/>
    <cellStyle name="Обычный 3 3 2 3 2 14" xfId="8311" xr:uid="{00000000-0005-0000-0000-0000F31A0000}"/>
    <cellStyle name="Обычный 3 3 2 3 2 15" xfId="4508" xr:uid="{00000000-0005-0000-0000-0000F41A0000}"/>
    <cellStyle name="Обычный 3 3 2 3 2 16" xfId="258" xr:uid="{00000000-0005-0000-0000-0000F51A0000}"/>
    <cellStyle name="Обычный 3 3 2 3 2 2" xfId="969" xr:uid="{00000000-0005-0000-0000-0000F61A0000}"/>
    <cellStyle name="Обычный 3 3 2 3 2 2 2" xfId="8702" xr:uid="{00000000-0005-0000-0000-0000F71A0000}"/>
    <cellStyle name="Обычный 3 3 2 3 2 2 3" xfId="4804" xr:uid="{00000000-0005-0000-0000-0000F81A0000}"/>
    <cellStyle name="Обычный 3 3 2 3 2 3" xfId="1267" xr:uid="{00000000-0005-0000-0000-0000F91A0000}"/>
    <cellStyle name="Обычный 3 3 2 3 2 3 2" xfId="5100" xr:uid="{00000000-0005-0000-0000-0000FA1A0000}"/>
    <cellStyle name="Обычный 3 3 2 3 2 4" xfId="1553" xr:uid="{00000000-0005-0000-0000-0000FB1A0000}"/>
    <cellStyle name="Обычный 3 3 2 3 2 4 2" xfId="5396" xr:uid="{00000000-0005-0000-0000-0000FC1A0000}"/>
    <cellStyle name="Обычный 3 3 2 3 2 5" xfId="1845" xr:uid="{00000000-0005-0000-0000-0000FD1A0000}"/>
    <cellStyle name="Обычный 3 3 2 3 2 5 2" xfId="5692" xr:uid="{00000000-0005-0000-0000-0000FE1A0000}"/>
    <cellStyle name="Обычный 3 3 2 3 2 6" xfId="2138" xr:uid="{00000000-0005-0000-0000-0000FF1A0000}"/>
    <cellStyle name="Обычный 3 3 2 3 2 6 2" xfId="5988" xr:uid="{00000000-0005-0000-0000-0000001B0000}"/>
    <cellStyle name="Обычный 3 3 2 3 2 7" xfId="2433" xr:uid="{00000000-0005-0000-0000-0000011B0000}"/>
    <cellStyle name="Обычный 3 3 2 3 2 7 2" xfId="6284" xr:uid="{00000000-0005-0000-0000-0000021B0000}"/>
    <cellStyle name="Обычный 3 3 2 3 2 8" xfId="2729" xr:uid="{00000000-0005-0000-0000-0000031B0000}"/>
    <cellStyle name="Обычный 3 3 2 3 2 8 2" xfId="6580" xr:uid="{00000000-0005-0000-0000-0000041B0000}"/>
    <cellStyle name="Обычный 3 3 2 3 2 9" xfId="3025" xr:uid="{00000000-0005-0000-0000-0000051B0000}"/>
    <cellStyle name="Обычный 3 3 2 3 2 9 2" xfId="6876" xr:uid="{00000000-0005-0000-0000-0000061B0000}"/>
    <cellStyle name="Обычный 3 3 2 3 3" xfId="359" xr:uid="{00000000-0005-0000-0000-0000071B0000}"/>
    <cellStyle name="Обычный 3 3 2 3 3 2" xfId="970" xr:uid="{00000000-0005-0000-0000-0000081B0000}"/>
    <cellStyle name="Обычный 3 3 2 3 3 3" xfId="8411" xr:uid="{00000000-0005-0000-0000-0000091B0000}"/>
    <cellStyle name="Обычный 3 3 2 3 3 4" xfId="4656" xr:uid="{00000000-0005-0000-0000-00000A1B0000}"/>
    <cellStyle name="Обычный 3 3 2 3 4" xfId="971" xr:uid="{00000000-0005-0000-0000-00000B1B0000}"/>
    <cellStyle name="Обычный 3 3 2 3 4 2" xfId="8703" xr:uid="{00000000-0005-0000-0000-00000C1B0000}"/>
    <cellStyle name="Обычный 3 3 2 3 4 3" xfId="4952" xr:uid="{00000000-0005-0000-0000-00000D1B0000}"/>
    <cellStyle name="Обычный 3 3 2 3 5" xfId="1409" xr:uid="{00000000-0005-0000-0000-00000E1B0000}"/>
    <cellStyle name="Обычный 3 3 2 3 5 2" xfId="5248" xr:uid="{00000000-0005-0000-0000-00000F1B0000}"/>
    <cellStyle name="Обычный 3 3 2 3 6" xfId="1698" xr:uid="{00000000-0005-0000-0000-0000101B0000}"/>
    <cellStyle name="Обычный 3 3 2 3 6 2" xfId="5544" xr:uid="{00000000-0005-0000-0000-0000111B0000}"/>
    <cellStyle name="Обычный 3 3 2 3 7" xfId="1991" xr:uid="{00000000-0005-0000-0000-0000121B0000}"/>
    <cellStyle name="Обычный 3 3 2 3 7 2" xfId="5840" xr:uid="{00000000-0005-0000-0000-0000131B0000}"/>
    <cellStyle name="Обычный 3 3 2 3 8" xfId="2285" xr:uid="{00000000-0005-0000-0000-0000141B0000}"/>
    <cellStyle name="Обычный 3 3 2 3 8 2" xfId="6136" xr:uid="{00000000-0005-0000-0000-0000151B0000}"/>
    <cellStyle name="Обычный 3 3 2 3 9" xfId="2581" xr:uid="{00000000-0005-0000-0000-0000161B0000}"/>
    <cellStyle name="Обычный 3 3 2 3 9 2" xfId="6432" xr:uid="{00000000-0005-0000-0000-0000171B0000}"/>
    <cellStyle name="Обычный 3 3 2 4" xfId="33" xr:uid="{00000000-0005-0000-0000-0000181B0000}"/>
    <cellStyle name="Обычный 3 3 2 4 10" xfId="2927" xr:uid="{00000000-0005-0000-0000-0000191B0000}"/>
    <cellStyle name="Обычный 3 3 2 4 10 2" xfId="6778" xr:uid="{00000000-0005-0000-0000-00001A1B0000}"/>
    <cellStyle name="Обычный 3 3 2 4 11" xfId="3223" xr:uid="{00000000-0005-0000-0000-00001B1B0000}"/>
    <cellStyle name="Обычный 3 3 2 4 11 2" xfId="7074" xr:uid="{00000000-0005-0000-0000-00001C1B0000}"/>
    <cellStyle name="Обычный 3 3 2 4 12" xfId="3519" xr:uid="{00000000-0005-0000-0000-00001D1B0000}"/>
    <cellStyle name="Обычный 3 3 2 4 12 2" xfId="7370" xr:uid="{00000000-0005-0000-0000-00001E1B0000}"/>
    <cellStyle name="Обычный 3 3 2 4 13" xfId="3815" xr:uid="{00000000-0005-0000-0000-00001F1B0000}"/>
    <cellStyle name="Обычный 3 3 2 4 13 2" xfId="7666" xr:uid="{00000000-0005-0000-0000-0000201B0000}"/>
    <cellStyle name="Обычный 3 3 2 4 14" xfId="4111" xr:uid="{00000000-0005-0000-0000-0000211B0000}"/>
    <cellStyle name="Обычный 3 3 2 4 14 2" xfId="7962" xr:uid="{00000000-0005-0000-0000-0000221B0000}"/>
    <cellStyle name="Обычный 3 3 2 4 15" xfId="8261" xr:uid="{00000000-0005-0000-0000-0000231B0000}"/>
    <cellStyle name="Обычный 3 3 2 4 16" xfId="4409" xr:uid="{00000000-0005-0000-0000-0000241B0000}"/>
    <cellStyle name="Обычный 3 3 2 4 17" xfId="208" xr:uid="{00000000-0005-0000-0000-0000251B0000}"/>
    <cellStyle name="Обычный 3 3 2 4 2" xfId="972" xr:uid="{00000000-0005-0000-0000-0000261B0000}"/>
    <cellStyle name="Обычный 3 3 2 4 2 10" xfId="3371" xr:uid="{00000000-0005-0000-0000-0000271B0000}"/>
    <cellStyle name="Обычный 3 3 2 4 2 10 2" xfId="7222" xr:uid="{00000000-0005-0000-0000-0000281B0000}"/>
    <cellStyle name="Обычный 3 3 2 4 2 11" xfId="3667" xr:uid="{00000000-0005-0000-0000-0000291B0000}"/>
    <cellStyle name="Обычный 3 3 2 4 2 11 2" xfId="7518" xr:uid="{00000000-0005-0000-0000-00002A1B0000}"/>
    <cellStyle name="Обычный 3 3 2 4 2 12" xfId="3963" xr:uid="{00000000-0005-0000-0000-00002B1B0000}"/>
    <cellStyle name="Обычный 3 3 2 4 2 12 2" xfId="7814" xr:uid="{00000000-0005-0000-0000-00002C1B0000}"/>
    <cellStyle name="Обычный 3 3 2 4 2 13" xfId="4259" xr:uid="{00000000-0005-0000-0000-00002D1B0000}"/>
    <cellStyle name="Обычный 3 3 2 4 2 13 2" xfId="8110" xr:uid="{00000000-0005-0000-0000-00002E1B0000}"/>
    <cellStyle name="Обычный 3 3 2 4 2 14" xfId="8704" xr:uid="{00000000-0005-0000-0000-00002F1B0000}"/>
    <cellStyle name="Обычный 3 3 2 4 2 15" xfId="4558" xr:uid="{00000000-0005-0000-0000-0000301B0000}"/>
    <cellStyle name="Обычный 3 3 2 4 2 2" xfId="1126" xr:uid="{00000000-0005-0000-0000-0000311B0000}"/>
    <cellStyle name="Обычный 3 3 2 4 2 2 2" xfId="4854" xr:uid="{00000000-0005-0000-0000-0000321B0000}"/>
    <cellStyle name="Обычный 3 3 2 4 2 3" xfId="1315" xr:uid="{00000000-0005-0000-0000-0000331B0000}"/>
    <cellStyle name="Обычный 3 3 2 4 2 3 2" xfId="5150" xr:uid="{00000000-0005-0000-0000-0000341B0000}"/>
    <cellStyle name="Обычный 3 3 2 4 2 4" xfId="1602" xr:uid="{00000000-0005-0000-0000-0000351B0000}"/>
    <cellStyle name="Обычный 3 3 2 4 2 4 2" xfId="5446" xr:uid="{00000000-0005-0000-0000-0000361B0000}"/>
    <cellStyle name="Обычный 3 3 2 4 2 5" xfId="1895" xr:uid="{00000000-0005-0000-0000-0000371B0000}"/>
    <cellStyle name="Обычный 3 3 2 4 2 5 2" xfId="5742" xr:uid="{00000000-0005-0000-0000-0000381B0000}"/>
    <cellStyle name="Обычный 3 3 2 4 2 6" xfId="2188" xr:uid="{00000000-0005-0000-0000-0000391B0000}"/>
    <cellStyle name="Обычный 3 3 2 4 2 6 2" xfId="6038" xr:uid="{00000000-0005-0000-0000-00003A1B0000}"/>
    <cellStyle name="Обычный 3 3 2 4 2 7" xfId="2483" xr:uid="{00000000-0005-0000-0000-00003B1B0000}"/>
    <cellStyle name="Обычный 3 3 2 4 2 7 2" xfId="6334" xr:uid="{00000000-0005-0000-0000-00003C1B0000}"/>
    <cellStyle name="Обычный 3 3 2 4 2 8" xfId="2779" xr:uid="{00000000-0005-0000-0000-00003D1B0000}"/>
    <cellStyle name="Обычный 3 3 2 4 2 8 2" xfId="6630" xr:uid="{00000000-0005-0000-0000-00003E1B0000}"/>
    <cellStyle name="Обычный 3 3 2 4 2 9" xfId="3075" xr:uid="{00000000-0005-0000-0000-00003F1B0000}"/>
    <cellStyle name="Обычный 3 3 2 4 2 9 2" xfId="6926" xr:uid="{00000000-0005-0000-0000-0000401B0000}"/>
    <cellStyle name="Обычный 3 3 2 4 3" xfId="1079" xr:uid="{00000000-0005-0000-0000-0000411B0000}"/>
    <cellStyle name="Обычный 3 3 2 4 3 2" xfId="4706" xr:uid="{00000000-0005-0000-0000-0000421B0000}"/>
    <cellStyle name="Обычный 3 3 2 4 4" xfId="1173" xr:uid="{00000000-0005-0000-0000-0000431B0000}"/>
    <cellStyle name="Обычный 3 3 2 4 4 2" xfId="5002" xr:uid="{00000000-0005-0000-0000-0000441B0000}"/>
    <cellStyle name="Обычный 3 3 2 4 5" xfId="1456" xr:uid="{00000000-0005-0000-0000-0000451B0000}"/>
    <cellStyle name="Обычный 3 3 2 4 5 2" xfId="5298" xr:uid="{00000000-0005-0000-0000-0000461B0000}"/>
    <cellStyle name="Обычный 3 3 2 4 6" xfId="1747" xr:uid="{00000000-0005-0000-0000-0000471B0000}"/>
    <cellStyle name="Обычный 3 3 2 4 6 2" xfId="5594" xr:uid="{00000000-0005-0000-0000-0000481B0000}"/>
    <cellStyle name="Обычный 3 3 2 4 7" xfId="2040" xr:uid="{00000000-0005-0000-0000-0000491B0000}"/>
    <cellStyle name="Обычный 3 3 2 4 7 2" xfId="5890" xr:uid="{00000000-0005-0000-0000-00004A1B0000}"/>
    <cellStyle name="Обычный 3 3 2 4 8" xfId="2335" xr:uid="{00000000-0005-0000-0000-00004B1B0000}"/>
    <cellStyle name="Обычный 3 3 2 4 8 2" xfId="6186" xr:uid="{00000000-0005-0000-0000-00004C1B0000}"/>
    <cellStyle name="Обычный 3 3 2 4 9" xfId="2631" xr:uid="{00000000-0005-0000-0000-00004D1B0000}"/>
    <cellStyle name="Обычный 3 3 2 4 9 2" xfId="6482" xr:uid="{00000000-0005-0000-0000-00004E1B0000}"/>
    <cellStyle name="Обычный 3 3 2 5" xfId="309" xr:uid="{00000000-0005-0000-0000-00004F1B0000}"/>
    <cellStyle name="Обычный 3 3 2 5 10" xfId="3273" xr:uid="{00000000-0005-0000-0000-0000501B0000}"/>
    <cellStyle name="Обычный 3 3 2 5 10 2" xfId="7124" xr:uid="{00000000-0005-0000-0000-0000511B0000}"/>
    <cellStyle name="Обычный 3 3 2 5 11" xfId="3569" xr:uid="{00000000-0005-0000-0000-0000521B0000}"/>
    <cellStyle name="Обычный 3 3 2 5 11 2" xfId="7420" xr:uid="{00000000-0005-0000-0000-0000531B0000}"/>
    <cellStyle name="Обычный 3 3 2 5 12" xfId="3865" xr:uid="{00000000-0005-0000-0000-0000541B0000}"/>
    <cellStyle name="Обычный 3 3 2 5 12 2" xfId="7716" xr:uid="{00000000-0005-0000-0000-0000551B0000}"/>
    <cellStyle name="Обычный 3 3 2 5 13" xfId="4161" xr:uid="{00000000-0005-0000-0000-0000561B0000}"/>
    <cellStyle name="Обычный 3 3 2 5 13 2" xfId="8012" xr:uid="{00000000-0005-0000-0000-0000571B0000}"/>
    <cellStyle name="Обычный 3 3 2 5 14" xfId="8361" xr:uid="{00000000-0005-0000-0000-0000581B0000}"/>
    <cellStyle name="Обычный 3 3 2 5 15" xfId="4460" xr:uid="{00000000-0005-0000-0000-0000591B0000}"/>
    <cellStyle name="Обычный 3 3 2 5 2" xfId="973" xr:uid="{00000000-0005-0000-0000-00005A1B0000}"/>
    <cellStyle name="Обычный 3 3 2 5 2 2" xfId="8705" xr:uid="{00000000-0005-0000-0000-00005B1B0000}"/>
    <cellStyle name="Обычный 3 3 2 5 2 3" xfId="4756" xr:uid="{00000000-0005-0000-0000-00005C1B0000}"/>
    <cellStyle name="Обычный 3 3 2 5 3" xfId="1220" xr:uid="{00000000-0005-0000-0000-00005D1B0000}"/>
    <cellStyle name="Обычный 3 3 2 5 3 2" xfId="5052" xr:uid="{00000000-0005-0000-0000-00005E1B0000}"/>
    <cellStyle name="Обычный 3 3 2 5 4" xfId="1505" xr:uid="{00000000-0005-0000-0000-00005F1B0000}"/>
    <cellStyle name="Обычный 3 3 2 5 4 2" xfId="5348" xr:uid="{00000000-0005-0000-0000-0000601B0000}"/>
    <cellStyle name="Обычный 3 3 2 5 5" xfId="1797" xr:uid="{00000000-0005-0000-0000-0000611B0000}"/>
    <cellStyle name="Обычный 3 3 2 5 5 2" xfId="5644" xr:uid="{00000000-0005-0000-0000-0000621B0000}"/>
    <cellStyle name="Обычный 3 3 2 5 6" xfId="2090" xr:uid="{00000000-0005-0000-0000-0000631B0000}"/>
    <cellStyle name="Обычный 3 3 2 5 6 2" xfId="5940" xr:uid="{00000000-0005-0000-0000-0000641B0000}"/>
    <cellStyle name="Обычный 3 3 2 5 7" xfId="2385" xr:uid="{00000000-0005-0000-0000-0000651B0000}"/>
    <cellStyle name="Обычный 3 3 2 5 7 2" xfId="6236" xr:uid="{00000000-0005-0000-0000-0000661B0000}"/>
    <cellStyle name="Обычный 3 3 2 5 8" xfId="2681" xr:uid="{00000000-0005-0000-0000-0000671B0000}"/>
    <cellStyle name="Обычный 3 3 2 5 8 2" xfId="6532" xr:uid="{00000000-0005-0000-0000-0000681B0000}"/>
    <cellStyle name="Обычный 3 3 2 5 9" xfId="2977" xr:uid="{00000000-0005-0000-0000-0000691B0000}"/>
    <cellStyle name="Обычный 3 3 2 5 9 2" xfId="6828" xr:uid="{00000000-0005-0000-0000-00006A1B0000}"/>
    <cellStyle name="Обычный 3 3 2 6" xfId="974" xr:uid="{00000000-0005-0000-0000-00006B1B0000}"/>
    <cellStyle name="Обычный 3 3 2 6 2" xfId="8706" xr:uid="{00000000-0005-0000-0000-00006C1B0000}"/>
    <cellStyle name="Обычный 3 3 2 6 3" xfId="4608" xr:uid="{00000000-0005-0000-0000-00006D1B0000}"/>
    <cellStyle name="Обычный 3 3 2 7" xfId="975" xr:uid="{00000000-0005-0000-0000-00006E1B0000}"/>
    <cellStyle name="Обычный 3 3 2 7 2" xfId="8707" xr:uid="{00000000-0005-0000-0000-00006F1B0000}"/>
    <cellStyle name="Обычный 3 3 2 7 3" xfId="4904" xr:uid="{00000000-0005-0000-0000-0000701B0000}"/>
    <cellStyle name="Обычный 3 3 2 8" xfId="1362" xr:uid="{00000000-0005-0000-0000-0000711B0000}"/>
    <cellStyle name="Обычный 3 3 2 8 2" xfId="5200" xr:uid="{00000000-0005-0000-0000-0000721B0000}"/>
    <cellStyle name="Обычный 3 3 2 9" xfId="1651" xr:uid="{00000000-0005-0000-0000-0000731B0000}"/>
    <cellStyle name="Обычный 3 3 2 9 2" xfId="5496" xr:uid="{00000000-0005-0000-0000-0000741B0000}"/>
    <cellStyle name="Обычный 3 3 20" xfId="8159" xr:uid="{00000000-0005-0000-0000-0000751B0000}"/>
    <cellStyle name="Обычный 3 3 21" xfId="4308" xr:uid="{00000000-0005-0000-0000-0000761B0000}"/>
    <cellStyle name="Обычный 3 3 22" xfId="79" xr:uid="{00000000-0005-0000-0000-0000771B0000}"/>
    <cellStyle name="Обычный 3 3 3" xfId="17" xr:uid="{00000000-0005-0000-0000-0000781B0000}"/>
    <cellStyle name="Обычный 3 3 3 10" xfId="1945" xr:uid="{00000000-0005-0000-0000-0000791B0000}"/>
    <cellStyle name="Обычный 3 3 3 10 2" xfId="5793" xr:uid="{00000000-0005-0000-0000-00007A1B0000}"/>
    <cellStyle name="Обычный 3 3 3 11" xfId="2239" xr:uid="{00000000-0005-0000-0000-00007B1B0000}"/>
    <cellStyle name="Обычный 3 3 3 11 2" xfId="6089" xr:uid="{00000000-0005-0000-0000-00007C1B0000}"/>
    <cellStyle name="Обычный 3 3 3 12" xfId="2534" xr:uid="{00000000-0005-0000-0000-00007D1B0000}"/>
    <cellStyle name="Обычный 3 3 3 12 2" xfId="6385" xr:uid="{00000000-0005-0000-0000-00007E1B0000}"/>
    <cellStyle name="Обычный 3 3 3 13" xfId="2830" xr:uid="{00000000-0005-0000-0000-00007F1B0000}"/>
    <cellStyle name="Обычный 3 3 3 13 2" xfId="6681" xr:uid="{00000000-0005-0000-0000-0000801B0000}"/>
    <cellStyle name="Обычный 3 3 3 14" xfId="3126" xr:uid="{00000000-0005-0000-0000-0000811B0000}"/>
    <cellStyle name="Обычный 3 3 3 14 2" xfId="6977" xr:uid="{00000000-0005-0000-0000-0000821B0000}"/>
    <cellStyle name="Обычный 3 3 3 15" xfId="3422" xr:uid="{00000000-0005-0000-0000-0000831B0000}"/>
    <cellStyle name="Обычный 3 3 3 15 2" xfId="7273" xr:uid="{00000000-0005-0000-0000-0000841B0000}"/>
    <cellStyle name="Обычный 3 3 3 16" xfId="3718" xr:uid="{00000000-0005-0000-0000-0000851B0000}"/>
    <cellStyle name="Обычный 3 3 3 16 2" xfId="7569" xr:uid="{00000000-0005-0000-0000-0000861B0000}"/>
    <cellStyle name="Обычный 3 3 3 17" xfId="4014" xr:uid="{00000000-0005-0000-0000-0000871B0000}"/>
    <cellStyle name="Обычный 3 3 3 17 2" xfId="7865" xr:uid="{00000000-0005-0000-0000-0000881B0000}"/>
    <cellStyle name="Обычный 3 3 3 18" xfId="8161" xr:uid="{00000000-0005-0000-0000-0000891B0000}"/>
    <cellStyle name="Обычный 3 3 3 19" xfId="4310" xr:uid="{00000000-0005-0000-0000-00008A1B0000}"/>
    <cellStyle name="Обычный 3 3 3 2" xfId="36" xr:uid="{00000000-0005-0000-0000-00008B1B0000}"/>
    <cellStyle name="Обычный 3 3 3 2 10" xfId="2260" xr:uid="{00000000-0005-0000-0000-00008C1B0000}"/>
    <cellStyle name="Обычный 3 3 3 2 10 2" xfId="6111" xr:uid="{00000000-0005-0000-0000-00008D1B0000}"/>
    <cellStyle name="Обычный 3 3 3 2 11" xfId="2556" xr:uid="{00000000-0005-0000-0000-00008E1B0000}"/>
    <cellStyle name="Обычный 3 3 3 2 11 2" xfId="6407" xr:uid="{00000000-0005-0000-0000-00008F1B0000}"/>
    <cellStyle name="Обычный 3 3 3 2 12" xfId="2852" xr:uid="{00000000-0005-0000-0000-0000901B0000}"/>
    <cellStyle name="Обычный 3 3 3 2 12 2" xfId="6703" xr:uid="{00000000-0005-0000-0000-0000911B0000}"/>
    <cellStyle name="Обычный 3 3 3 2 13" xfId="3148" xr:uid="{00000000-0005-0000-0000-0000921B0000}"/>
    <cellStyle name="Обычный 3 3 3 2 13 2" xfId="6999" xr:uid="{00000000-0005-0000-0000-0000931B0000}"/>
    <cellStyle name="Обычный 3 3 3 2 14" xfId="3444" xr:uid="{00000000-0005-0000-0000-0000941B0000}"/>
    <cellStyle name="Обычный 3 3 3 2 14 2" xfId="7295" xr:uid="{00000000-0005-0000-0000-0000951B0000}"/>
    <cellStyle name="Обычный 3 3 3 2 15" xfId="3740" xr:uid="{00000000-0005-0000-0000-0000961B0000}"/>
    <cellStyle name="Обычный 3 3 3 2 15 2" xfId="7591" xr:uid="{00000000-0005-0000-0000-0000971B0000}"/>
    <cellStyle name="Обычный 3 3 3 2 16" xfId="4036" xr:uid="{00000000-0005-0000-0000-0000981B0000}"/>
    <cellStyle name="Обычный 3 3 3 2 16 2" xfId="7887" xr:uid="{00000000-0005-0000-0000-0000991B0000}"/>
    <cellStyle name="Обычный 3 3 3 2 17" xfId="8183" xr:uid="{00000000-0005-0000-0000-00009A1B0000}"/>
    <cellStyle name="Обычный 3 3 3 2 18" xfId="4332" xr:uid="{00000000-0005-0000-0000-00009B1B0000}"/>
    <cellStyle name="Обычный 3 3 3 2 19" xfId="125" xr:uid="{00000000-0005-0000-0000-00009C1B0000}"/>
    <cellStyle name="Обычный 3 3 3 2 2" xfId="178" xr:uid="{00000000-0005-0000-0000-00009D1B0000}"/>
    <cellStyle name="Обычный 3 3 3 2 2 10" xfId="2900" xr:uid="{00000000-0005-0000-0000-00009E1B0000}"/>
    <cellStyle name="Обычный 3 3 3 2 2 10 2" xfId="6751" xr:uid="{00000000-0005-0000-0000-00009F1B0000}"/>
    <cellStyle name="Обычный 3 3 3 2 2 11" xfId="3196" xr:uid="{00000000-0005-0000-0000-0000A01B0000}"/>
    <cellStyle name="Обычный 3 3 3 2 2 11 2" xfId="7047" xr:uid="{00000000-0005-0000-0000-0000A11B0000}"/>
    <cellStyle name="Обычный 3 3 3 2 2 12" xfId="3492" xr:uid="{00000000-0005-0000-0000-0000A21B0000}"/>
    <cellStyle name="Обычный 3 3 3 2 2 12 2" xfId="7343" xr:uid="{00000000-0005-0000-0000-0000A31B0000}"/>
    <cellStyle name="Обычный 3 3 3 2 2 13" xfId="3788" xr:uid="{00000000-0005-0000-0000-0000A41B0000}"/>
    <cellStyle name="Обычный 3 3 3 2 2 13 2" xfId="7639" xr:uid="{00000000-0005-0000-0000-0000A51B0000}"/>
    <cellStyle name="Обычный 3 3 3 2 2 14" xfId="4084" xr:uid="{00000000-0005-0000-0000-0000A61B0000}"/>
    <cellStyle name="Обычный 3 3 3 2 2 14 2" xfId="7935" xr:uid="{00000000-0005-0000-0000-0000A71B0000}"/>
    <cellStyle name="Обычный 3 3 3 2 2 15" xfId="8233" xr:uid="{00000000-0005-0000-0000-0000A81B0000}"/>
    <cellStyle name="Обычный 3 3 3 2 2 16" xfId="4381" xr:uid="{00000000-0005-0000-0000-0000A91B0000}"/>
    <cellStyle name="Обычный 3 3 3 2 2 2" xfId="281" xr:uid="{00000000-0005-0000-0000-0000AA1B0000}"/>
    <cellStyle name="Обычный 3 3 3 2 2 2 10" xfId="3344" xr:uid="{00000000-0005-0000-0000-0000AB1B0000}"/>
    <cellStyle name="Обычный 3 3 3 2 2 2 10 2" xfId="7195" xr:uid="{00000000-0005-0000-0000-0000AC1B0000}"/>
    <cellStyle name="Обычный 3 3 3 2 2 2 11" xfId="3640" xr:uid="{00000000-0005-0000-0000-0000AD1B0000}"/>
    <cellStyle name="Обычный 3 3 3 2 2 2 11 2" xfId="7491" xr:uid="{00000000-0005-0000-0000-0000AE1B0000}"/>
    <cellStyle name="Обычный 3 3 3 2 2 2 12" xfId="3936" xr:uid="{00000000-0005-0000-0000-0000AF1B0000}"/>
    <cellStyle name="Обычный 3 3 3 2 2 2 12 2" xfId="7787" xr:uid="{00000000-0005-0000-0000-0000B01B0000}"/>
    <cellStyle name="Обычный 3 3 3 2 2 2 13" xfId="4232" xr:uid="{00000000-0005-0000-0000-0000B11B0000}"/>
    <cellStyle name="Обычный 3 3 3 2 2 2 13 2" xfId="8083" xr:uid="{00000000-0005-0000-0000-0000B21B0000}"/>
    <cellStyle name="Обычный 3 3 3 2 2 2 14" xfId="8334" xr:uid="{00000000-0005-0000-0000-0000B31B0000}"/>
    <cellStyle name="Обычный 3 3 3 2 2 2 15" xfId="4531" xr:uid="{00000000-0005-0000-0000-0000B41B0000}"/>
    <cellStyle name="Обычный 3 3 3 2 2 2 2" xfId="976" xr:uid="{00000000-0005-0000-0000-0000B51B0000}"/>
    <cellStyle name="Обычный 3 3 3 2 2 2 2 2" xfId="8708" xr:uid="{00000000-0005-0000-0000-0000B61B0000}"/>
    <cellStyle name="Обычный 3 3 3 2 2 2 2 3" xfId="4827" xr:uid="{00000000-0005-0000-0000-0000B71B0000}"/>
    <cellStyle name="Обычный 3 3 3 2 2 2 3" xfId="1289" xr:uid="{00000000-0005-0000-0000-0000B81B0000}"/>
    <cellStyle name="Обычный 3 3 3 2 2 2 3 2" xfId="5123" xr:uid="{00000000-0005-0000-0000-0000B91B0000}"/>
    <cellStyle name="Обычный 3 3 3 2 2 2 4" xfId="1575" xr:uid="{00000000-0005-0000-0000-0000BA1B0000}"/>
    <cellStyle name="Обычный 3 3 3 2 2 2 4 2" xfId="5419" xr:uid="{00000000-0005-0000-0000-0000BB1B0000}"/>
    <cellStyle name="Обычный 3 3 3 2 2 2 5" xfId="1868" xr:uid="{00000000-0005-0000-0000-0000BC1B0000}"/>
    <cellStyle name="Обычный 3 3 3 2 2 2 5 2" xfId="5715" xr:uid="{00000000-0005-0000-0000-0000BD1B0000}"/>
    <cellStyle name="Обычный 3 3 3 2 2 2 6" xfId="2161" xr:uid="{00000000-0005-0000-0000-0000BE1B0000}"/>
    <cellStyle name="Обычный 3 3 3 2 2 2 6 2" xfId="6011" xr:uid="{00000000-0005-0000-0000-0000BF1B0000}"/>
    <cellStyle name="Обычный 3 3 3 2 2 2 7" xfId="2456" xr:uid="{00000000-0005-0000-0000-0000C01B0000}"/>
    <cellStyle name="Обычный 3 3 3 2 2 2 7 2" xfId="6307" xr:uid="{00000000-0005-0000-0000-0000C11B0000}"/>
    <cellStyle name="Обычный 3 3 3 2 2 2 8" xfId="2752" xr:uid="{00000000-0005-0000-0000-0000C21B0000}"/>
    <cellStyle name="Обычный 3 3 3 2 2 2 8 2" xfId="6603" xr:uid="{00000000-0005-0000-0000-0000C31B0000}"/>
    <cellStyle name="Обычный 3 3 3 2 2 2 9" xfId="3048" xr:uid="{00000000-0005-0000-0000-0000C41B0000}"/>
    <cellStyle name="Обычный 3 3 3 2 2 2 9 2" xfId="6899" xr:uid="{00000000-0005-0000-0000-0000C51B0000}"/>
    <cellStyle name="Обычный 3 3 3 2 2 3" xfId="382" xr:uid="{00000000-0005-0000-0000-0000C61B0000}"/>
    <cellStyle name="Обычный 3 3 3 2 2 3 2" xfId="977" xr:uid="{00000000-0005-0000-0000-0000C71B0000}"/>
    <cellStyle name="Обычный 3 3 3 2 2 3 3" xfId="8434" xr:uid="{00000000-0005-0000-0000-0000C81B0000}"/>
    <cellStyle name="Обычный 3 3 3 2 2 3 4" xfId="4679" xr:uid="{00000000-0005-0000-0000-0000C91B0000}"/>
    <cellStyle name="Обычный 3 3 3 2 2 4" xfId="978" xr:uid="{00000000-0005-0000-0000-0000CA1B0000}"/>
    <cellStyle name="Обычный 3 3 3 2 2 4 2" xfId="8709" xr:uid="{00000000-0005-0000-0000-0000CB1B0000}"/>
    <cellStyle name="Обычный 3 3 3 2 2 4 3" xfId="4975" xr:uid="{00000000-0005-0000-0000-0000CC1B0000}"/>
    <cellStyle name="Обычный 3 3 3 2 2 5" xfId="1431" xr:uid="{00000000-0005-0000-0000-0000CD1B0000}"/>
    <cellStyle name="Обычный 3 3 3 2 2 5 2" xfId="5271" xr:uid="{00000000-0005-0000-0000-0000CE1B0000}"/>
    <cellStyle name="Обычный 3 3 3 2 2 6" xfId="1721" xr:uid="{00000000-0005-0000-0000-0000CF1B0000}"/>
    <cellStyle name="Обычный 3 3 3 2 2 6 2" xfId="5567" xr:uid="{00000000-0005-0000-0000-0000D01B0000}"/>
    <cellStyle name="Обычный 3 3 3 2 2 7" xfId="2013" xr:uid="{00000000-0005-0000-0000-0000D11B0000}"/>
    <cellStyle name="Обычный 3 3 3 2 2 7 2" xfId="5863" xr:uid="{00000000-0005-0000-0000-0000D21B0000}"/>
    <cellStyle name="Обычный 3 3 3 2 2 8" xfId="2308" xr:uid="{00000000-0005-0000-0000-0000D31B0000}"/>
    <cellStyle name="Обычный 3 3 3 2 2 8 2" xfId="6159" xr:uid="{00000000-0005-0000-0000-0000D41B0000}"/>
    <cellStyle name="Обычный 3 3 3 2 2 9" xfId="2604" xr:uid="{00000000-0005-0000-0000-0000D51B0000}"/>
    <cellStyle name="Обычный 3 3 3 2 2 9 2" xfId="6455" xr:uid="{00000000-0005-0000-0000-0000D61B0000}"/>
    <cellStyle name="Обычный 3 3 3 2 3" xfId="231" xr:uid="{00000000-0005-0000-0000-0000D71B0000}"/>
    <cellStyle name="Обычный 3 3 3 2 3 10" xfId="2950" xr:uid="{00000000-0005-0000-0000-0000D81B0000}"/>
    <cellStyle name="Обычный 3 3 3 2 3 10 2" xfId="6801" xr:uid="{00000000-0005-0000-0000-0000D91B0000}"/>
    <cellStyle name="Обычный 3 3 3 2 3 11" xfId="3246" xr:uid="{00000000-0005-0000-0000-0000DA1B0000}"/>
    <cellStyle name="Обычный 3 3 3 2 3 11 2" xfId="7097" xr:uid="{00000000-0005-0000-0000-0000DB1B0000}"/>
    <cellStyle name="Обычный 3 3 3 2 3 12" xfId="3542" xr:uid="{00000000-0005-0000-0000-0000DC1B0000}"/>
    <cellStyle name="Обычный 3 3 3 2 3 12 2" xfId="7393" xr:uid="{00000000-0005-0000-0000-0000DD1B0000}"/>
    <cellStyle name="Обычный 3 3 3 2 3 13" xfId="3838" xr:uid="{00000000-0005-0000-0000-0000DE1B0000}"/>
    <cellStyle name="Обычный 3 3 3 2 3 13 2" xfId="7689" xr:uid="{00000000-0005-0000-0000-0000DF1B0000}"/>
    <cellStyle name="Обычный 3 3 3 2 3 14" xfId="4134" xr:uid="{00000000-0005-0000-0000-0000E01B0000}"/>
    <cellStyle name="Обычный 3 3 3 2 3 14 2" xfId="7985" xr:uid="{00000000-0005-0000-0000-0000E11B0000}"/>
    <cellStyle name="Обычный 3 3 3 2 3 15" xfId="8284" xr:uid="{00000000-0005-0000-0000-0000E21B0000}"/>
    <cellStyle name="Обычный 3 3 3 2 3 16" xfId="4432" xr:uid="{00000000-0005-0000-0000-0000E31B0000}"/>
    <cellStyle name="Обычный 3 3 3 2 3 2" xfId="979" xr:uid="{00000000-0005-0000-0000-0000E41B0000}"/>
    <cellStyle name="Обычный 3 3 3 2 3 2 10" xfId="3394" xr:uid="{00000000-0005-0000-0000-0000E51B0000}"/>
    <cellStyle name="Обычный 3 3 3 2 3 2 10 2" xfId="7245" xr:uid="{00000000-0005-0000-0000-0000E61B0000}"/>
    <cellStyle name="Обычный 3 3 3 2 3 2 11" xfId="3690" xr:uid="{00000000-0005-0000-0000-0000E71B0000}"/>
    <cellStyle name="Обычный 3 3 3 2 3 2 11 2" xfId="7541" xr:uid="{00000000-0005-0000-0000-0000E81B0000}"/>
    <cellStyle name="Обычный 3 3 3 2 3 2 12" xfId="3986" xr:uid="{00000000-0005-0000-0000-0000E91B0000}"/>
    <cellStyle name="Обычный 3 3 3 2 3 2 12 2" xfId="7837" xr:uid="{00000000-0005-0000-0000-0000EA1B0000}"/>
    <cellStyle name="Обычный 3 3 3 2 3 2 13" xfId="4282" xr:uid="{00000000-0005-0000-0000-0000EB1B0000}"/>
    <cellStyle name="Обычный 3 3 3 2 3 2 13 2" xfId="8133" xr:uid="{00000000-0005-0000-0000-0000EC1B0000}"/>
    <cellStyle name="Обычный 3 3 3 2 3 2 14" xfId="8710" xr:uid="{00000000-0005-0000-0000-0000ED1B0000}"/>
    <cellStyle name="Обычный 3 3 3 2 3 2 15" xfId="4581" xr:uid="{00000000-0005-0000-0000-0000EE1B0000}"/>
    <cellStyle name="Обычный 3 3 3 2 3 2 2" xfId="1148" xr:uid="{00000000-0005-0000-0000-0000EF1B0000}"/>
    <cellStyle name="Обычный 3 3 3 2 3 2 2 2" xfId="4877" xr:uid="{00000000-0005-0000-0000-0000F01B0000}"/>
    <cellStyle name="Обычный 3 3 3 2 3 2 3" xfId="1337" xr:uid="{00000000-0005-0000-0000-0000F11B0000}"/>
    <cellStyle name="Обычный 3 3 3 2 3 2 3 2" xfId="5173" xr:uid="{00000000-0005-0000-0000-0000F21B0000}"/>
    <cellStyle name="Обычный 3 3 3 2 3 2 4" xfId="1624" xr:uid="{00000000-0005-0000-0000-0000F31B0000}"/>
    <cellStyle name="Обычный 3 3 3 2 3 2 4 2" xfId="5469" xr:uid="{00000000-0005-0000-0000-0000F41B0000}"/>
    <cellStyle name="Обычный 3 3 3 2 3 2 5" xfId="1917" xr:uid="{00000000-0005-0000-0000-0000F51B0000}"/>
    <cellStyle name="Обычный 3 3 3 2 3 2 5 2" xfId="5765" xr:uid="{00000000-0005-0000-0000-0000F61B0000}"/>
    <cellStyle name="Обычный 3 3 3 2 3 2 6" xfId="2211" xr:uid="{00000000-0005-0000-0000-0000F71B0000}"/>
    <cellStyle name="Обычный 3 3 3 2 3 2 6 2" xfId="6061" xr:uid="{00000000-0005-0000-0000-0000F81B0000}"/>
    <cellStyle name="Обычный 3 3 3 2 3 2 7" xfId="2506" xr:uid="{00000000-0005-0000-0000-0000F91B0000}"/>
    <cellStyle name="Обычный 3 3 3 2 3 2 7 2" xfId="6357" xr:uid="{00000000-0005-0000-0000-0000FA1B0000}"/>
    <cellStyle name="Обычный 3 3 3 2 3 2 8" xfId="2802" xr:uid="{00000000-0005-0000-0000-0000FB1B0000}"/>
    <cellStyle name="Обычный 3 3 3 2 3 2 8 2" xfId="6653" xr:uid="{00000000-0005-0000-0000-0000FC1B0000}"/>
    <cellStyle name="Обычный 3 3 3 2 3 2 9" xfId="3098" xr:uid="{00000000-0005-0000-0000-0000FD1B0000}"/>
    <cellStyle name="Обычный 3 3 3 2 3 2 9 2" xfId="6949" xr:uid="{00000000-0005-0000-0000-0000FE1B0000}"/>
    <cellStyle name="Обычный 3 3 3 2 3 3" xfId="1101" xr:uid="{00000000-0005-0000-0000-0000FF1B0000}"/>
    <cellStyle name="Обычный 3 3 3 2 3 3 2" xfId="4729" xr:uid="{00000000-0005-0000-0000-0000001C0000}"/>
    <cellStyle name="Обычный 3 3 3 2 3 4" xfId="1195" xr:uid="{00000000-0005-0000-0000-0000011C0000}"/>
    <cellStyle name="Обычный 3 3 3 2 3 4 2" xfId="5025" xr:uid="{00000000-0005-0000-0000-0000021C0000}"/>
    <cellStyle name="Обычный 3 3 3 2 3 5" xfId="1479" xr:uid="{00000000-0005-0000-0000-0000031C0000}"/>
    <cellStyle name="Обычный 3 3 3 2 3 5 2" xfId="5321" xr:uid="{00000000-0005-0000-0000-0000041C0000}"/>
    <cellStyle name="Обычный 3 3 3 2 3 6" xfId="1770" xr:uid="{00000000-0005-0000-0000-0000051C0000}"/>
    <cellStyle name="Обычный 3 3 3 2 3 6 2" xfId="5617" xr:uid="{00000000-0005-0000-0000-0000061C0000}"/>
    <cellStyle name="Обычный 3 3 3 2 3 7" xfId="2063" xr:uid="{00000000-0005-0000-0000-0000071C0000}"/>
    <cellStyle name="Обычный 3 3 3 2 3 7 2" xfId="5913" xr:uid="{00000000-0005-0000-0000-0000081C0000}"/>
    <cellStyle name="Обычный 3 3 3 2 3 8" xfId="2358" xr:uid="{00000000-0005-0000-0000-0000091C0000}"/>
    <cellStyle name="Обычный 3 3 3 2 3 8 2" xfId="6209" xr:uid="{00000000-0005-0000-0000-00000A1C0000}"/>
    <cellStyle name="Обычный 3 3 3 2 3 9" xfId="2654" xr:uid="{00000000-0005-0000-0000-00000B1C0000}"/>
    <cellStyle name="Обычный 3 3 3 2 3 9 2" xfId="6505" xr:uid="{00000000-0005-0000-0000-00000C1C0000}"/>
    <cellStyle name="Обычный 3 3 3 2 4" xfId="332" xr:uid="{00000000-0005-0000-0000-00000D1C0000}"/>
    <cellStyle name="Обычный 3 3 3 2 4 10" xfId="3296" xr:uid="{00000000-0005-0000-0000-00000E1C0000}"/>
    <cellStyle name="Обычный 3 3 3 2 4 10 2" xfId="7147" xr:uid="{00000000-0005-0000-0000-00000F1C0000}"/>
    <cellStyle name="Обычный 3 3 3 2 4 11" xfId="3592" xr:uid="{00000000-0005-0000-0000-0000101C0000}"/>
    <cellStyle name="Обычный 3 3 3 2 4 11 2" xfId="7443" xr:uid="{00000000-0005-0000-0000-0000111C0000}"/>
    <cellStyle name="Обычный 3 3 3 2 4 12" xfId="3888" xr:uid="{00000000-0005-0000-0000-0000121C0000}"/>
    <cellStyle name="Обычный 3 3 3 2 4 12 2" xfId="7739" xr:uid="{00000000-0005-0000-0000-0000131C0000}"/>
    <cellStyle name="Обычный 3 3 3 2 4 13" xfId="4184" xr:uid="{00000000-0005-0000-0000-0000141C0000}"/>
    <cellStyle name="Обычный 3 3 3 2 4 13 2" xfId="8035" xr:uid="{00000000-0005-0000-0000-0000151C0000}"/>
    <cellStyle name="Обычный 3 3 3 2 4 14" xfId="8384" xr:uid="{00000000-0005-0000-0000-0000161C0000}"/>
    <cellStyle name="Обычный 3 3 3 2 4 15" xfId="4483" xr:uid="{00000000-0005-0000-0000-0000171C0000}"/>
    <cellStyle name="Обычный 3 3 3 2 4 2" xfId="980" xr:uid="{00000000-0005-0000-0000-0000181C0000}"/>
    <cellStyle name="Обычный 3 3 3 2 4 2 2" xfId="8711" xr:uid="{00000000-0005-0000-0000-0000191C0000}"/>
    <cellStyle name="Обычный 3 3 3 2 4 2 3" xfId="4779" xr:uid="{00000000-0005-0000-0000-00001A1C0000}"/>
    <cellStyle name="Обычный 3 3 3 2 4 3" xfId="1243" xr:uid="{00000000-0005-0000-0000-00001B1C0000}"/>
    <cellStyle name="Обычный 3 3 3 2 4 3 2" xfId="5075" xr:uid="{00000000-0005-0000-0000-00001C1C0000}"/>
    <cellStyle name="Обычный 3 3 3 2 4 4" xfId="1528" xr:uid="{00000000-0005-0000-0000-00001D1C0000}"/>
    <cellStyle name="Обычный 3 3 3 2 4 4 2" xfId="5371" xr:uid="{00000000-0005-0000-0000-00001E1C0000}"/>
    <cellStyle name="Обычный 3 3 3 2 4 5" xfId="1820" xr:uid="{00000000-0005-0000-0000-00001F1C0000}"/>
    <cellStyle name="Обычный 3 3 3 2 4 5 2" xfId="5667" xr:uid="{00000000-0005-0000-0000-0000201C0000}"/>
    <cellStyle name="Обычный 3 3 3 2 4 6" xfId="2113" xr:uid="{00000000-0005-0000-0000-0000211C0000}"/>
    <cellStyle name="Обычный 3 3 3 2 4 6 2" xfId="5963" xr:uid="{00000000-0005-0000-0000-0000221C0000}"/>
    <cellStyle name="Обычный 3 3 3 2 4 7" xfId="2408" xr:uid="{00000000-0005-0000-0000-0000231C0000}"/>
    <cellStyle name="Обычный 3 3 3 2 4 7 2" xfId="6259" xr:uid="{00000000-0005-0000-0000-0000241C0000}"/>
    <cellStyle name="Обычный 3 3 3 2 4 8" xfId="2704" xr:uid="{00000000-0005-0000-0000-0000251C0000}"/>
    <cellStyle name="Обычный 3 3 3 2 4 8 2" xfId="6555" xr:uid="{00000000-0005-0000-0000-0000261C0000}"/>
    <cellStyle name="Обычный 3 3 3 2 4 9" xfId="3000" xr:uid="{00000000-0005-0000-0000-0000271C0000}"/>
    <cellStyle name="Обычный 3 3 3 2 4 9 2" xfId="6851" xr:uid="{00000000-0005-0000-0000-0000281C0000}"/>
    <cellStyle name="Обычный 3 3 3 2 5" xfId="981" xr:uid="{00000000-0005-0000-0000-0000291C0000}"/>
    <cellStyle name="Обычный 3 3 3 2 5 2" xfId="8712" xr:uid="{00000000-0005-0000-0000-00002A1C0000}"/>
    <cellStyle name="Обычный 3 3 3 2 5 3" xfId="4631" xr:uid="{00000000-0005-0000-0000-00002B1C0000}"/>
    <cellStyle name="Обычный 3 3 3 2 6" xfId="982" xr:uid="{00000000-0005-0000-0000-00002C1C0000}"/>
    <cellStyle name="Обычный 3 3 3 2 6 2" xfId="8713" xr:uid="{00000000-0005-0000-0000-00002D1C0000}"/>
    <cellStyle name="Обычный 3 3 3 2 6 3" xfId="4927" xr:uid="{00000000-0005-0000-0000-00002E1C0000}"/>
    <cellStyle name="Обычный 3 3 3 2 7" xfId="1384" xr:uid="{00000000-0005-0000-0000-00002F1C0000}"/>
    <cellStyle name="Обычный 3 3 3 2 7 2" xfId="5223" xr:uid="{00000000-0005-0000-0000-0000301C0000}"/>
    <cellStyle name="Обычный 3 3 3 2 8" xfId="1673" xr:uid="{00000000-0005-0000-0000-0000311C0000}"/>
    <cellStyle name="Обычный 3 3 3 2 8 2" xfId="5519" xr:uid="{00000000-0005-0000-0000-0000321C0000}"/>
    <cellStyle name="Обычный 3 3 3 2 9" xfId="1966" xr:uid="{00000000-0005-0000-0000-0000331C0000}"/>
    <cellStyle name="Обычный 3 3 3 2 9 2" xfId="5815" xr:uid="{00000000-0005-0000-0000-0000341C0000}"/>
    <cellStyle name="Обычный 3 3 3 20" xfId="81" xr:uid="{00000000-0005-0000-0000-0000351C0000}"/>
    <cellStyle name="Обычный 3 3 3 3" xfId="156" xr:uid="{00000000-0005-0000-0000-0000361C0000}"/>
    <cellStyle name="Обычный 3 3 3 3 10" xfId="2878" xr:uid="{00000000-0005-0000-0000-0000371C0000}"/>
    <cellStyle name="Обычный 3 3 3 3 10 2" xfId="6729" xr:uid="{00000000-0005-0000-0000-0000381C0000}"/>
    <cellStyle name="Обычный 3 3 3 3 11" xfId="3174" xr:uid="{00000000-0005-0000-0000-0000391C0000}"/>
    <cellStyle name="Обычный 3 3 3 3 11 2" xfId="7025" xr:uid="{00000000-0005-0000-0000-00003A1C0000}"/>
    <cellStyle name="Обычный 3 3 3 3 12" xfId="3470" xr:uid="{00000000-0005-0000-0000-00003B1C0000}"/>
    <cellStyle name="Обычный 3 3 3 3 12 2" xfId="7321" xr:uid="{00000000-0005-0000-0000-00003C1C0000}"/>
    <cellStyle name="Обычный 3 3 3 3 13" xfId="3766" xr:uid="{00000000-0005-0000-0000-00003D1C0000}"/>
    <cellStyle name="Обычный 3 3 3 3 13 2" xfId="7617" xr:uid="{00000000-0005-0000-0000-00003E1C0000}"/>
    <cellStyle name="Обычный 3 3 3 3 14" xfId="4062" xr:uid="{00000000-0005-0000-0000-00003F1C0000}"/>
    <cellStyle name="Обычный 3 3 3 3 14 2" xfId="7913" xr:uid="{00000000-0005-0000-0000-0000401C0000}"/>
    <cellStyle name="Обычный 3 3 3 3 15" xfId="8211" xr:uid="{00000000-0005-0000-0000-0000411C0000}"/>
    <cellStyle name="Обычный 3 3 3 3 16" xfId="4359" xr:uid="{00000000-0005-0000-0000-0000421C0000}"/>
    <cellStyle name="Обычный 3 3 3 3 2" xfId="259" xr:uid="{00000000-0005-0000-0000-0000431C0000}"/>
    <cellStyle name="Обычный 3 3 3 3 2 10" xfId="3322" xr:uid="{00000000-0005-0000-0000-0000441C0000}"/>
    <cellStyle name="Обычный 3 3 3 3 2 10 2" xfId="7173" xr:uid="{00000000-0005-0000-0000-0000451C0000}"/>
    <cellStyle name="Обычный 3 3 3 3 2 11" xfId="3618" xr:uid="{00000000-0005-0000-0000-0000461C0000}"/>
    <cellStyle name="Обычный 3 3 3 3 2 11 2" xfId="7469" xr:uid="{00000000-0005-0000-0000-0000471C0000}"/>
    <cellStyle name="Обычный 3 3 3 3 2 12" xfId="3914" xr:uid="{00000000-0005-0000-0000-0000481C0000}"/>
    <cellStyle name="Обычный 3 3 3 3 2 12 2" xfId="7765" xr:uid="{00000000-0005-0000-0000-0000491C0000}"/>
    <cellStyle name="Обычный 3 3 3 3 2 13" xfId="4210" xr:uid="{00000000-0005-0000-0000-00004A1C0000}"/>
    <cellStyle name="Обычный 3 3 3 3 2 13 2" xfId="8061" xr:uid="{00000000-0005-0000-0000-00004B1C0000}"/>
    <cellStyle name="Обычный 3 3 3 3 2 14" xfId="8312" xr:uid="{00000000-0005-0000-0000-00004C1C0000}"/>
    <cellStyle name="Обычный 3 3 3 3 2 15" xfId="4509" xr:uid="{00000000-0005-0000-0000-00004D1C0000}"/>
    <cellStyle name="Обычный 3 3 3 3 2 2" xfId="983" xr:uid="{00000000-0005-0000-0000-00004E1C0000}"/>
    <cellStyle name="Обычный 3 3 3 3 2 2 2" xfId="8714" xr:uid="{00000000-0005-0000-0000-00004F1C0000}"/>
    <cellStyle name="Обычный 3 3 3 3 2 2 3" xfId="4805" xr:uid="{00000000-0005-0000-0000-0000501C0000}"/>
    <cellStyle name="Обычный 3 3 3 3 2 3" xfId="1268" xr:uid="{00000000-0005-0000-0000-0000511C0000}"/>
    <cellStyle name="Обычный 3 3 3 3 2 3 2" xfId="5101" xr:uid="{00000000-0005-0000-0000-0000521C0000}"/>
    <cellStyle name="Обычный 3 3 3 3 2 4" xfId="1554" xr:uid="{00000000-0005-0000-0000-0000531C0000}"/>
    <cellStyle name="Обычный 3 3 3 3 2 4 2" xfId="5397" xr:uid="{00000000-0005-0000-0000-0000541C0000}"/>
    <cellStyle name="Обычный 3 3 3 3 2 5" xfId="1846" xr:uid="{00000000-0005-0000-0000-0000551C0000}"/>
    <cellStyle name="Обычный 3 3 3 3 2 5 2" xfId="5693" xr:uid="{00000000-0005-0000-0000-0000561C0000}"/>
    <cellStyle name="Обычный 3 3 3 3 2 6" xfId="2139" xr:uid="{00000000-0005-0000-0000-0000571C0000}"/>
    <cellStyle name="Обычный 3 3 3 3 2 6 2" xfId="5989" xr:uid="{00000000-0005-0000-0000-0000581C0000}"/>
    <cellStyle name="Обычный 3 3 3 3 2 7" xfId="2434" xr:uid="{00000000-0005-0000-0000-0000591C0000}"/>
    <cellStyle name="Обычный 3 3 3 3 2 7 2" xfId="6285" xr:uid="{00000000-0005-0000-0000-00005A1C0000}"/>
    <cellStyle name="Обычный 3 3 3 3 2 8" xfId="2730" xr:uid="{00000000-0005-0000-0000-00005B1C0000}"/>
    <cellStyle name="Обычный 3 3 3 3 2 8 2" xfId="6581" xr:uid="{00000000-0005-0000-0000-00005C1C0000}"/>
    <cellStyle name="Обычный 3 3 3 3 2 9" xfId="3026" xr:uid="{00000000-0005-0000-0000-00005D1C0000}"/>
    <cellStyle name="Обычный 3 3 3 3 2 9 2" xfId="6877" xr:uid="{00000000-0005-0000-0000-00005E1C0000}"/>
    <cellStyle name="Обычный 3 3 3 3 3" xfId="360" xr:uid="{00000000-0005-0000-0000-00005F1C0000}"/>
    <cellStyle name="Обычный 3 3 3 3 3 2" xfId="984" xr:uid="{00000000-0005-0000-0000-0000601C0000}"/>
    <cellStyle name="Обычный 3 3 3 3 3 3" xfId="8412" xr:uid="{00000000-0005-0000-0000-0000611C0000}"/>
    <cellStyle name="Обычный 3 3 3 3 3 4" xfId="4657" xr:uid="{00000000-0005-0000-0000-0000621C0000}"/>
    <cellStyle name="Обычный 3 3 3 3 4" xfId="985" xr:uid="{00000000-0005-0000-0000-0000631C0000}"/>
    <cellStyle name="Обычный 3 3 3 3 4 2" xfId="8715" xr:uid="{00000000-0005-0000-0000-0000641C0000}"/>
    <cellStyle name="Обычный 3 3 3 3 4 3" xfId="4953" xr:uid="{00000000-0005-0000-0000-0000651C0000}"/>
    <cellStyle name="Обычный 3 3 3 3 5" xfId="1410" xr:uid="{00000000-0005-0000-0000-0000661C0000}"/>
    <cellStyle name="Обычный 3 3 3 3 5 2" xfId="5249" xr:uid="{00000000-0005-0000-0000-0000671C0000}"/>
    <cellStyle name="Обычный 3 3 3 3 6" xfId="1699" xr:uid="{00000000-0005-0000-0000-0000681C0000}"/>
    <cellStyle name="Обычный 3 3 3 3 6 2" xfId="5545" xr:uid="{00000000-0005-0000-0000-0000691C0000}"/>
    <cellStyle name="Обычный 3 3 3 3 7" xfId="1992" xr:uid="{00000000-0005-0000-0000-00006A1C0000}"/>
    <cellStyle name="Обычный 3 3 3 3 7 2" xfId="5841" xr:uid="{00000000-0005-0000-0000-00006B1C0000}"/>
    <cellStyle name="Обычный 3 3 3 3 8" xfId="2286" xr:uid="{00000000-0005-0000-0000-00006C1C0000}"/>
    <cellStyle name="Обычный 3 3 3 3 8 2" xfId="6137" xr:uid="{00000000-0005-0000-0000-00006D1C0000}"/>
    <cellStyle name="Обычный 3 3 3 3 9" xfId="2582" xr:uid="{00000000-0005-0000-0000-00006E1C0000}"/>
    <cellStyle name="Обычный 3 3 3 3 9 2" xfId="6433" xr:uid="{00000000-0005-0000-0000-00006F1C0000}"/>
    <cellStyle name="Обычный 3 3 3 4" xfId="209" xr:uid="{00000000-0005-0000-0000-0000701C0000}"/>
    <cellStyle name="Обычный 3 3 3 4 10" xfId="2928" xr:uid="{00000000-0005-0000-0000-0000711C0000}"/>
    <cellStyle name="Обычный 3 3 3 4 10 2" xfId="6779" xr:uid="{00000000-0005-0000-0000-0000721C0000}"/>
    <cellStyle name="Обычный 3 3 3 4 11" xfId="3224" xr:uid="{00000000-0005-0000-0000-0000731C0000}"/>
    <cellStyle name="Обычный 3 3 3 4 11 2" xfId="7075" xr:uid="{00000000-0005-0000-0000-0000741C0000}"/>
    <cellStyle name="Обычный 3 3 3 4 12" xfId="3520" xr:uid="{00000000-0005-0000-0000-0000751C0000}"/>
    <cellStyle name="Обычный 3 3 3 4 12 2" xfId="7371" xr:uid="{00000000-0005-0000-0000-0000761C0000}"/>
    <cellStyle name="Обычный 3 3 3 4 13" xfId="3816" xr:uid="{00000000-0005-0000-0000-0000771C0000}"/>
    <cellStyle name="Обычный 3 3 3 4 13 2" xfId="7667" xr:uid="{00000000-0005-0000-0000-0000781C0000}"/>
    <cellStyle name="Обычный 3 3 3 4 14" xfId="4112" xr:uid="{00000000-0005-0000-0000-0000791C0000}"/>
    <cellStyle name="Обычный 3 3 3 4 14 2" xfId="7963" xr:uid="{00000000-0005-0000-0000-00007A1C0000}"/>
    <cellStyle name="Обычный 3 3 3 4 15" xfId="8262" xr:uid="{00000000-0005-0000-0000-00007B1C0000}"/>
    <cellStyle name="Обычный 3 3 3 4 16" xfId="4410" xr:uid="{00000000-0005-0000-0000-00007C1C0000}"/>
    <cellStyle name="Обычный 3 3 3 4 2" xfId="986" xr:uid="{00000000-0005-0000-0000-00007D1C0000}"/>
    <cellStyle name="Обычный 3 3 3 4 2 10" xfId="3372" xr:uid="{00000000-0005-0000-0000-00007E1C0000}"/>
    <cellStyle name="Обычный 3 3 3 4 2 10 2" xfId="7223" xr:uid="{00000000-0005-0000-0000-00007F1C0000}"/>
    <cellStyle name="Обычный 3 3 3 4 2 11" xfId="3668" xr:uid="{00000000-0005-0000-0000-0000801C0000}"/>
    <cellStyle name="Обычный 3 3 3 4 2 11 2" xfId="7519" xr:uid="{00000000-0005-0000-0000-0000811C0000}"/>
    <cellStyle name="Обычный 3 3 3 4 2 12" xfId="3964" xr:uid="{00000000-0005-0000-0000-0000821C0000}"/>
    <cellStyle name="Обычный 3 3 3 4 2 12 2" xfId="7815" xr:uid="{00000000-0005-0000-0000-0000831C0000}"/>
    <cellStyle name="Обычный 3 3 3 4 2 13" xfId="4260" xr:uid="{00000000-0005-0000-0000-0000841C0000}"/>
    <cellStyle name="Обычный 3 3 3 4 2 13 2" xfId="8111" xr:uid="{00000000-0005-0000-0000-0000851C0000}"/>
    <cellStyle name="Обычный 3 3 3 4 2 14" xfId="8716" xr:uid="{00000000-0005-0000-0000-0000861C0000}"/>
    <cellStyle name="Обычный 3 3 3 4 2 15" xfId="4559" xr:uid="{00000000-0005-0000-0000-0000871C0000}"/>
    <cellStyle name="Обычный 3 3 3 4 2 2" xfId="1127" xr:uid="{00000000-0005-0000-0000-0000881C0000}"/>
    <cellStyle name="Обычный 3 3 3 4 2 2 2" xfId="4855" xr:uid="{00000000-0005-0000-0000-0000891C0000}"/>
    <cellStyle name="Обычный 3 3 3 4 2 3" xfId="1316" xr:uid="{00000000-0005-0000-0000-00008A1C0000}"/>
    <cellStyle name="Обычный 3 3 3 4 2 3 2" xfId="5151" xr:uid="{00000000-0005-0000-0000-00008B1C0000}"/>
    <cellStyle name="Обычный 3 3 3 4 2 4" xfId="1603" xr:uid="{00000000-0005-0000-0000-00008C1C0000}"/>
    <cellStyle name="Обычный 3 3 3 4 2 4 2" xfId="5447" xr:uid="{00000000-0005-0000-0000-00008D1C0000}"/>
    <cellStyle name="Обычный 3 3 3 4 2 5" xfId="1896" xr:uid="{00000000-0005-0000-0000-00008E1C0000}"/>
    <cellStyle name="Обычный 3 3 3 4 2 5 2" xfId="5743" xr:uid="{00000000-0005-0000-0000-00008F1C0000}"/>
    <cellStyle name="Обычный 3 3 3 4 2 6" xfId="2189" xr:uid="{00000000-0005-0000-0000-0000901C0000}"/>
    <cellStyle name="Обычный 3 3 3 4 2 6 2" xfId="6039" xr:uid="{00000000-0005-0000-0000-0000911C0000}"/>
    <cellStyle name="Обычный 3 3 3 4 2 7" xfId="2484" xr:uid="{00000000-0005-0000-0000-0000921C0000}"/>
    <cellStyle name="Обычный 3 3 3 4 2 7 2" xfId="6335" xr:uid="{00000000-0005-0000-0000-0000931C0000}"/>
    <cellStyle name="Обычный 3 3 3 4 2 8" xfId="2780" xr:uid="{00000000-0005-0000-0000-0000941C0000}"/>
    <cellStyle name="Обычный 3 3 3 4 2 8 2" xfId="6631" xr:uid="{00000000-0005-0000-0000-0000951C0000}"/>
    <cellStyle name="Обычный 3 3 3 4 2 9" xfId="3076" xr:uid="{00000000-0005-0000-0000-0000961C0000}"/>
    <cellStyle name="Обычный 3 3 3 4 2 9 2" xfId="6927" xr:uid="{00000000-0005-0000-0000-0000971C0000}"/>
    <cellStyle name="Обычный 3 3 3 4 3" xfId="1080" xr:uid="{00000000-0005-0000-0000-0000981C0000}"/>
    <cellStyle name="Обычный 3 3 3 4 3 2" xfId="4707" xr:uid="{00000000-0005-0000-0000-0000991C0000}"/>
    <cellStyle name="Обычный 3 3 3 4 4" xfId="1174" xr:uid="{00000000-0005-0000-0000-00009A1C0000}"/>
    <cellStyle name="Обычный 3 3 3 4 4 2" xfId="5003" xr:uid="{00000000-0005-0000-0000-00009B1C0000}"/>
    <cellStyle name="Обычный 3 3 3 4 5" xfId="1457" xr:uid="{00000000-0005-0000-0000-00009C1C0000}"/>
    <cellStyle name="Обычный 3 3 3 4 5 2" xfId="5299" xr:uid="{00000000-0005-0000-0000-00009D1C0000}"/>
    <cellStyle name="Обычный 3 3 3 4 6" xfId="1748" xr:uid="{00000000-0005-0000-0000-00009E1C0000}"/>
    <cellStyle name="Обычный 3 3 3 4 6 2" xfId="5595" xr:uid="{00000000-0005-0000-0000-00009F1C0000}"/>
    <cellStyle name="Обычный 3 3 3 4 7" xfId="2041" xr:uid="{00000000-0005-0000-0000-0000A01C0000}"/>
    <cellStyle name="Обычный 3 3 3 4 7 2" xfId="5891" xr:uid="{00000000-0005-0000-0000-0000A11C0000}"/>
    <cellStyle name="Обычный 3 3 3 4 8" xfId="2336" xr:uid="{00000000-0005-0000-0000-0000A21C0000}"/>
    <cellStyle name="Обычный 3 3 3 4 8 2" xfId="6187" xr:uid="{00000000-0005-0000-0000-0000A31C0000}"/>
    <cellStyle name="Обычный 3 3 3 4 9" xfId="2632" xr:uid="{00000000-0005-0000-0000-0000A41C0000}"/>
    <cellStyle name="Обычный 3 3 3 4 9 2" xfId="6483" xr:uid="{00000000-0005-0000-0000-0000A51C0000}"/>
    <cellStyle name="Обычный 3 3 3 5" xfId="310" xr:uid="{00000000-0005-0000-0000-0000A61C0000}"/>
    <cellStyle name="Обычный 3 3 3 5 10" xfId="3274" xr:uid="{00000000-0005-0000-0000-0000A71C0000}"/>
    <cellStyle name="Обычный 3 3 3 5 10 2" xfId="7125" xr:uid="{00000000-0005-0000-0000-0000A81C0000}"/>
    <cellStyle name="Обычный 3 3 3 5 11" xfId="3570" xr:uid="{00000000-0005-0000-0000-0000A91C0000}"/>
    <cellStyle name="Обычный 3 3 3 5 11 2" xfId="7421" xr:uid="{00000000-0005-0000-0000-0000AA1C0000}"/>
    <cellStyle name="Обычный 3 3 3 5 12" xfId="3866" xr:uid="{00000000-0005-0000-0000-0000AB1C0000}"/>
    <cellStyle name="Обычный 3 3 3 5 12 2" xfId="7717" xr:uid="{00000000-0005-0000-0000-0000AC1C0000}"/>
    <cellStyle name="Обычный 3 3 3 5 13" xfId="4162" xr:uid="{00000000-0005-0000-0000-0000AD1C0000}"/>
    <cellStyle name="Обычный 3 3 3 5 13 2" xfId="8013" xr:uid="{00000000-0005-0000-0000-0000AE1C0000}"/>
    <cellStyle name="Обычный 3 3 3 5 14" xfId="8362" xr:uid="{00000000-0005-0000-0000-0000AF1C0000}"/>
    <cellStyle name="Обычный 3 3 3 5 15" xfId="4461" xr:uid="{00000000-0005-0000-0000-0000B01C0000}"/>
    <cellStyle name="Обычный 3 3 3 5 2" xfId="987" xr:uid="{00000000-0005-0000-0000-0000B11C0000}"/>
    <cellStyle name="Обычный 3 3 3 5 2 2" xfId="8717" xr:uid="{00000000-0005-0000-0000-0000B21C0000}"/>
    <cellStyle name="Обычный 3 3 3 5 2 3" xfId="4757" xr:uid="{00000000-0005-0000-0000-0000B31C0000}"/>
    <cellStyle name="Обычный 3 3 3 5 3" xfId="1221" xr:uid="{00000000-0005-0000-0000-0000B41C0000}"/>
    <cellStyle name="Обычный 3 3 3 5 3 2" xfId="5053" xr:uid="{00000000-0005-0000-0000-0000B51C0000}"/>
    <cellStyle name="Обычный 3 3 3 5 4" xfId="1506" xr:uid="{00000000-0005-0000-0000-0000B61C0000}"/>
    <cellStyle name="Обычный 3 3 3 5 4 2" xfId="5349" xr:uid="{00000000-0005-0000-0000-0000B71C0000}"/>
    <cellStyle name="Обычный 3 3 3 5 5" xfId="1798" xr:uid="{00000000-0005-0000-0000-0000B81C0000}"/>
    <cellStyle name="Обычный 3 3 3 5 5 2" xfId="5645" xr:uid="{00000000-0005-0000-0000-0000B91C0000}"/>
    <cellStyle name="Обычный 3 3 3 5 6" xfId="2091" xr:uid="{00000000-0005-0000-0000-0000BA1C0000}"/>
    <cellStyle name="Обычный 3 3 3 5 6 2" xfId="5941" xr:uid="{00000000-0005-0000-0000-0000BB1C0000}"/>
    <cellStyle name="Обычный 3 3 3 5 7" xfId="2386" xr:uid="{00000000-0005-0000-0000-0000BC1C0000}"/>
    <cellStyle name="Обычный 3 3 3 5 7 2" xfId="6237" xr:uid="{00000000-0005-0000-0000-0000BD1C0000}"/>
    <cellStyle name="Обычный 3 3 3 5 8" xfId="2682" xr:uid="{00000000-0005-0000-0000-0000BE1C0000}"/>
    <cellStyle name="Обычный 3 3 3 5 8 2" xfId="6533" xr:uid="{00000000-0005-0000-0000-0000BF1C0000}"/>
    <cellStyle name="Обычный 3 3 3 5 9" xfId="2978" xr:uid="{00000000-0005-0000-0000-0000C01C0000}"/>
    <cellStyle name="Обычный 3 3 3 5 9 2" xfId="6829" xr:uid="{00000000-0005-0000-0000-0000C11C0000}"/>
    <cellStyle name="Обычный 3 3 3 6" xfId="988" xr:uid="{00000000-0005-0000-0000-0000C21C0000}"/>
    <cellStyle name="Обычный 3 3 3 6 2" xfId="8718" xr:uid="{00000000-0005-0000-0000-0000C31C0000}"/>
    <cellStyle name="Обычный 3 3 3 6 3" xfId="4609" xr:uid="{00000000-0005-0000-0000-0000C41C0000}"/>
    <cellStyle name="Обычный 3 3 3 7" xfId="989" xr:uid="{00000000-0005-0000-0000-0000C51C0000}"/>
    <cellStyle name="Обычный 3 3 3 7 2" xfId="8719" xr:uid="{00000000-0005-0000-0000-0000C61C0000}"/>
    <cellStyle name="Обычный 3 3 3 7 3" xfId="4905" xr:uid="{00000000-0005-0000-0000-0000C71C0000}"/>
    <cellStyle name="Обычный 3 3 3 8" xfId="1363" xr:uid="{00000000-0005-0000-0000-0000C81C0000}"/>
    <cellStyle name="Обычный 3 3 3 8 2" xfId="5201" xr:uid="{00000000-0005-0000-0000-0000C91C0000}"/>
    <cellStyle name="Обычный 3 3 3 9" xfId="1652" xr:uid="{00000000-0005-0000-0000-0000CA1C0000}"/>
    <cellStyle name="Обычный 3 3 3 9 2" xfId="5497" xr:uid="{00000000-0005-0000-0000-0000CB1C0000}"/>
    <cellStyle name="Обычный 3 3 4" xfId="23" xr:uid="{00000000-0005-0000-0000-0000CC1C0000}"/>
    <cellStyle name="Обычный 3 3 4 10" xfId="2258" xr:uid="{00000000-0005-0000-0000-0000CD1C0000}"/>
    <cellStyle name="Обычный 3 3 4 10 2" xfId="6109" xr:uid="{00000000-0005-0000-0000-0000CE1C0000}"/>
    <cellStyle name="Обычный 3 3 4 11" xfId="2554" xr:uid="{00000000-0005-0000-0000-0000CF1C0000}"/>
    <cellStyle name="Обычный 3 3 4 11 2" xfId="6405" xr:uid="{00000000-0005-0000-0000-0000D01C0000}"/>
    <cellStyle name="Обычный 3 3 4 12" xfId="2850" xr:uid="{00000000-0005-0000-0000-0000D11C0000}"/>
    <cellStyle name="Обычный 3 3 4 12 2" xfId="6701" xr:uid="{00000000-0005-0000-0000-0000D21C0000}"/>
    <cellStyle name="Обычный 3 3 4 13" xfId="3146" xr:uid="{00000000-0005-0000-0000-0000D31C0000}"/>
    <cellStyle name="Обычный 3 3 4 13 2" xfId="6997" xr:uid="{00000000-0005-0000-0000-0000D41C0000}"/>
    <cellStyle name="Обычный 3 3 4 14" xfId="3442" xr:uid="{00000000-0005-0000-0000-0000D51C0000}"/>
    <cellStyle name="Обычный 3 3 4 14 2" xfId="7293" xr:uid="{00000000-0005-0000-0000-0000D61C0000}"/>
    <cellStyle name="Обычный 3 3 4 15" xfId="3738" xr:uid="{00000000-0005-0000-0000-0000D71C0000}"/>
    <cellStyle name="Обычный 3 3 4 15 2" xfId="7589" xr:uid="{00000000-0005-0000-0000-0000D81C0000}"/>
    <cellStyle name="Обычный 3 3 4 16" xfId="4034" xr:uid="{00000000-0005-0000-0000-0000D91C0000}"/>
    <cellStyle name="Обычный 3 3 4 16 2" xfId="7885" xr:uid="{00000000-0005-0000-0000-0000DA1C0000}"/>
    <cellStyle name="Обычный 3 3 4 17" xfId="8181" xr:uid="{00000000-0005-0000-0000-0000DB1C0000}"/>
    <cellStyle name="Обычный 3 3 4 18" xfId="4330" xr:uid="{00000000-0005-0000-0000-0000DC1C0000}"/>
    <cellStyle name="Обычный 3 3 4 19" xfId="123" xr:uid="{00000000-0005-0000-0000-0000DD1C0000}"/>
    <cellStyle name="Обычный 3 3 4 2" xfId="42" xr:uid="{00000000-0005-0000-0000-0000DE1C0000}"/>
    <cellStyle name="Обычный 3 3 4 2 10" xfId="2898" xr:uid="{00000000-0005-0000-0000-0000DF1C0000}"/>
    <cellStyle name="Обычный 3 3 4 2 10 2" xfId="6749" xr:uid="{00000000-0005-0000-0000-0000E01C0000}"/>
    <cellStyle name="Обычный 3 3 4 2 11" xfId="3194" xr:uid="{00000000-0005-0000-0000-0000E11C0000}"/>
    <cellStyle name="Обычный 3 3 4 2 11 2" xfId="7045" xr:uid="{00000000-0005-0000-0000-0000E21C0000}"/>
    <cellStyle name="Обычный 3 3 4 2 12" xfId="3490" xr:uid="{00000000-0005-0000-0000-0000E31C0000}"/>
    <cellStyle name="Обычный 3 3 4 2 12 2" xfId="7341" xr:uid="{00000000-0005-0000-0000-0000E41C0000}"/>
    <cellStyle name="Обычный 3 3 4 2 13" xfId="3786" xr:uid="{00000000-0005-0000-0000-0000E51C0000}"/>
    <cellStyle name="Обычный 3 3 4 2 13 2" xfId="7637" xr:uid="{00000000-0005-0000-0000-0000E61C0000}"/>
    <cellStyle name="Обычный 3 3 4 2 14" xfId="4082" xr:uid="{00000000-0005-0000-0000-0000E71C0000}"/>
    <cellStyle name="Обычный 3 3 4 2 14 2" xfId="7933" xr:uid="{00000000-0005-0000-0000-0000E81C0000}"/>
    <cellStyle name="Обычный 3 3 4 2 15" xfId="8231" xr:uid="{00000000-0005-0000-0000-0000E91C0000}"/>
    <cellStyle name="Обычный 3 3 4 2 16" xfId="4379" xr:uid="{00000000-0005-0000-0000-0000EA1C0000}"/>
    <cellStyle name="Обычный 3 3 4 2 17" xfId="176" xr:uid="{00000000-0005-0000-0000-0000EB1C0000}"/>
    <cellStyle name="Обычный 3 3 4 2 2" xfId="279" xr:uid="{00000000-0005-0000-0000-0000EC1C0000}"/>
    <cellStyle name="Обычный 3 3 4 2 2 10" xfId="3342" xr:uid="{00000000-0005-0000-0000-0000ED1C0000}"/>
    <cellStyle name="Обычный 3 3 4 2 2 10 2" xfId="7193" xr:uid="{00000000-0005-0000-0000-0000EE1C0000}"/>
    <cellStyle name="Обычный 3 3 4 2 2 11" xfId="3638" xr:uid="{00000000-0005-0000-0000-0000EF1C0000}"/>
    <cellStyle name="Обычный 3 3 4 2 2 11 2" xfId="7489" xr:uid="{00000000-0005-0000-0000-0000F01C0000}"/>
    <cellStyle name="Обычный 3 3 4 2 2 12" xfId="3934" xr:uid="{00000000-0005-0000-0000-0000F11C0000}"/>
    <cellStyle name="Обычный 3 3 4 2 2 12 2" xfId="7785" xr:uid="{00000000-0005-0000-0000-0000F21C0000}"/>
    <cellStyle name="Обычный 3 3 4 2 2 13" xfId="4230" xr:uid="{00000000-0005-0000-0000-0000F31C0000}"/>
    <cellStyle name="Обычный 3 3 4 2 2 13 2" xfId="8081" xr:uid="{00000000-0005-0000-0000-0000F41C0000}"/>
    <cellStyle name="Обычный 3 3 4 2 2 14" xfId="8332" xr:uid="{00000000-0005-0000-0000-0000F51C0000}"/>
    <cellStyle name="Обычный 3 3 4 2 2 15" xfId="4529" xr:uid="{00000000-0005-0000-0000-0000F61C0000}"/>
    <cellStyle name="Обычный 3 3 4 2 2 2" xfId="990" xr:uid="{00000000-0005-0000-0000-0000F71C0000}"/>
    <cellStyle name="Обычный 3 3 4 2 2 2 2" xfId="8720" xr:uid="{00000000-0005-0000-0000-0000F81C0000}"/>
    <cellStyle name="Обычный 3 3 4 2 2 2 3" xfId="4825" xr:uid="{00000000-0005-0000-0000-0000F91C0000}"/>
    <cellStyle name="Обычный 3 3 4 2 2 3" xfId="1287" xr:uid="{00000000-0005-0000-0000-0000FA1C0000}"/>
    <cellStyle name="Обычный 3 3 4 2 2 3 2" xfId="5121" xr:uid="{00000000-0005-0000-0000-0000FB1C0000}"/>
    <cellStyle name="Обычный 3 3 4 2 2 4" xfId="1573" xr:uid="{00000000-0005-0000-0000-0000FC1C0000}"/>
    <cellStyle name="Обычный 3 3 4 2 2 4 2" xfId="5417" xr:uid="{00000000-0005-0000-0000-0000FD1C0000}"/>
    <cellStyle name="Обычный 3 3 4 2 2 5" xfId="1866" xr:uid="{00000000-0005-0000-0000-0000FE1C0000}"/>
    <cellStyle name="Обычный 3 3 4 2 2 5 2" xfId="5713" xr:uid="{00000000-0005-0000-0000-0000FF1C0000}"/>
    <cellStyle name="Обычный 3 3 4 2 2 6" xfId="2159" xr:uid="{00000000-0005-0000-0000-0000001D0000}"/>
    <cellStyle name="Обычный 3 3 4 2 2 6 2" xfId="6009" xr:uid="{00000000-0005-0000-0000-0000011D0000}"/>
    <cellStyle name="Обычный 3 3 4 2 2 7" xfId="2454" xr:uid="{00000000-0005-0000-0000-0000021D0000}"/>
    <cellStyle name="Обычный 3 3 4 2 2 7 2" xfId="6305" xr:uid="{00000000-0005-0000-0000-0000031D0000}"/>
    <cellStyle name="Обычный 3 3 4 2 2 8" xfId="2750" xr:uid="{00000000-0005-0000-0000-0000041D0000}"/>
    <cellStyle name="Обычный 3 3 4 2 2 8 2" xfId="6601" xr:uid="{00000000-0005-0000-0000-0000051D0000}"/>
    <cellStyle name="Обычный 3 3 4 2 2 9" xfId="3046" xr:uid="{00000000-0005-0000-0000-0000061D0000}"/>
    <cellStyle name="Обычный 3 3 4 2 2 9 2" xfId="6897" xr:uid="{00000000-0005-0000-0000-0000071D0000}"/>
    <cellStyle name="Обычный 3 3 4 2 3" xfId="380" xr:uid="{00000000-0005-0000-0000-0000081D0000}"/>
    <cellStyle name="Обычный 3 3 4 2 3 2" xfId="991" xr:uid="{00000000-0005-0000-0000-0000091D0000}"/>
    <cellStyle name="Обычный 3 3 4 2 3 3" xfId="8432" xr:uid="{00000000-0005-0000-0000-00000A1D0000}"/>
    <cellStyle name="Обычный 3 3 4 2 3 4" xfId="4677" xr:uid="{00000000-0005-0000-0000-00000B1D0000}"/>
    <cellStyle name="Обычный 3 3 4 2 4" xfId="992" xr:uid="{00000000-0005-0000-0000-00000C1D0000}"/>
    <cellStyle name="Обычный 3 3 4 2 4 2" xfId="8721" xr:uid="{00000000-0005-0000-0000-00000D1D0000}"/>
    <cellStyle name="Обычный 3 3 4 2 4 3" xfId="4973" xr:uid="{00000000-0005-0000-0000-00000E1D0000}"/>
    <cellStyle name="Обычный 3 3 4 2 5" xfId="1429" xr:uid="{00000000-0005-0000-0000-00000F1D0000}"/>
    <cellStyle name="Обычный 3 3 4 2 5 2" xfId="5269" xr:uid="{00000000-0005-0000-0000-0000101D0000}"/>
    <cellStyle name="Обычный 3 3 4 2 6" xfId="1719" xr:uid="{00000000-0005-0000-0000-0000111D0000}"/>
    <cellStyle name="Обычный 3 3 4 2 6 2" xfId="5565" xr:uid="{00000000-0005-0000-0000-0000121D0000}"/>
    <cellStyle name="Обычный 3 3 4 2 7" xfId="2011" xr:uid="{00000000-0005-0000-0000-0000131D0000}"/>
    <cellStyle name="Обычный 3 3 4 2 7 2" xfId="5861" xr:uid="{00000000-0005-0000-0000-0000141D0000}"/>
    <cellStyle name="Обычный 3 3 4 2 8" xfId="2306" xr:uid="{00000000-0005-0000-0000-0000151D0000}"/>
    <cellStyle name="Обычный 3 3 4 2 8 2" xfId="6157" xr:uid="{00000000-0005-0000-0000-0000161D0000}"/>
    <cellStyle name="Обычный 3 3 4 2 9" xfId="2602" xr:uid="{00000000-0005-0000-0000-0000171D0000}"/>
    <cellStyle name="Обычный 3 3 4 2 9 2" xfId="6453" xr:uid="{00000000-0005-0000-0000-0000181D0000}"/>
    <cellStyle name="Обычный 3 3 4 3" xfId="229" xr:uid="{00000000-0005-0000-0000-0000191D0000}"/>
    <cellStyle name="Обычный 3 3 4 3 10" xfId="2948" xr:uid="{00000000-0005-0000-0000-00001A1D0000}"/>
    <cellStyle name="Обычный 3 3 4 3 10 2" xfId="6799" xr:uid="{00000000-0005-0000-0000-00001B1D0000}"/>
    <cellStyle name="Обычный 3 3 4 3 11" xfId="3244" xr:uid="{00000000-0005-0000-0000-00001C1D0000}"/>
    <cellStyle name="Обычный 3 3 4 3 11 2" xfId="7095" xr:uid="{00000000-0005-0000-0000-00001D1D0000}"/>
    <cellStyle name="Обычный 3 3 4 3 12" xfId="3540" xr:uid="{00000000-0005-0000-0000-00001E1D0000}"/>
    <cellStyle name="Обычный 3 3 4 3 12 2" xfId="7391" xr:uid="{00000000-0005-0000-0000-00001F1D0000}"/>
    <cellStyle name="Обычный 3 3 4 3 13" xfId="3836" xr:uid="{00000000-0005-0000-0000-0000201D0000}"/>
    <cellStyle name="Обычный 3 3 4 3 13 2" xfId="7687" xr:uid="{00000000-0005-0000-0000-0000211D0000}"/>
    <cellStyle name="Обычный 3 3 4 3 14" xfId="4132" xr:uid="{00000000-0005-0000-0000-0000221D0000}"/>
    <cellStyle name="Обычный 3 3 4 3 14 2" xfId="7983" xr:uid="{00000000-0005-0000-0000-0000231D0000}"/>
    <cellStyle name="Обычный 3 3 4 3 15" xfId="8282" xr:uid="{00000000-0005-0000-0000-0000241D0000}"/>
    <cellStyle name="Обычный 3 3 4 3 16" xfId="4430" xr:uid="{00000000-0005-0000-0000-0000251D0000}"/>
    <cellStyle name="Обычный 3 3 4 3 2" xfId="993" xr:uid="{00000000-0005-0000-0000-0000261D0000}"/>
    <cellStyle name="Обычный 3 3 4 3 2 10" xfId="3392" xr:uid="{00000000-0005-0000-0000-0000271D0000}"/>
    <cellStyle name="Обычный 3 3 4 3 2 10 2" xfId="7243" xr:uid="{00000000-0005-0000-0000-0000281D0000}"/>
    <cellStyle name="Обычный 3 3 4 3 2 11" xfId="3688" xr:uid="{00000000-0005-0000-0000-0000291D0000}"/>
    <cellStyle name="Обычный 3 3 4 3 2 11 2" xfId="7539" xr:uid="{00000000-0005-0000-0000-00002A1D0000}"/>
    <cellStyle name="Обычный 3 3 4 3 2 12" xfId="3984" xr:uid="{00000000-0005-0000-0000-00002B1D0000}"/>
    <cellStyle name="Обычный 3 3 4 3 2 12 2" xfId="7835" xr:uid="{00000000-0005-0000-0000-00002C1D0000}"/>
    <cellStyle name="Обычный 3 3 4 3 2 13" xfId="4280" xr:uid="{00000000-0005-0000-0000-00002D1D0000}"/>
    <cellStyle name="Обычный 3 3 4 3 2 13 2" xfId="8131" xr:uid="{00000000-0005-0000-0000-00002E1D0000}"/>
    <cellStyle name="Обычный 3 3 4 3 2 14" xfId="8722" xr:uid="{00000000-0005-0000-0000-00002F1D0000}"/>
    <cellStyle name="Обычный 3 3 4 3 2 15" xfId="4579" xr:uid="{00000000-0005-0000-0000-0000301D0000}"/>
    <cellStyle name="Обычный 3 3 4 3 2 2" xfId="1146" xr:uid="{00000000-0005-0000-0000-0000311D0000}"/>
    <cellStyle name="Обычный 3 3 4 3 2 2 2" xfId="4875" xr:uid="{00000000-0005-0000-0000-0000321D0000}"/>
    <cellStyle name="Обычный 3 3 4 3 2 3" xfId="1335" xr:uid="{00000000-0005-0000-0000-0000331D0000}"/>
    <cellStyle name="Обычный 3 3 4 3 2 3 2" xfId="5171" xr:uid="{00000000-0005-0000-0000-0000341D0000}"/>
    <cellStyle name="Обычный 3 3 4 3 2 4" xfId="1622" xr:uid="{00000000-0005-0000-0000-0000351D0000}"/>
    <cellStyle name="Обычный 3 3 4 3 2 4 2" xfId="5467" xr:uid="{00000000-0005-0000-0000-0000361D0000}"/>
    <cellStyle name="Обычный 3 3 4 3 2 5" xfId="1915" xr:uid="{00000000-0005-0000-0000-0000371D0000}"/>
    <cellStyle name="Обычный 3 3 4 3 2 5 2" xfId="5763" xr:uid="{00000000-0005-0000-0000-0000381D0000}"/>
    <cellStyle name="Обычный 3 3 4 3 2 6" xfId="2209" xr:uid="{00000000-0005-0000-0000-0000391D0000}"/>
    <cellStyle name="Обычный 3 3 4 3 2 6 2" xfId="6059" xr:uid="{00000000-0005-0000-0000-00003A1D0000}"/>
    <cellStyle name="Обычный 3 3 4 3 2 7" xfId="2504" xr:uid="{00000000-0005-0000-0000-00003B1D0000}"/>
    <cellStyle name="Обычный 3 3 4 3 2 7 2" xfId="6355" xr:uid="{00000000-0005-0000-0000-00003C1D0000}"/>
    <cellStyle name="Обычный 3 3 4 3 2 8" xfId="2800" xr:uid="{00000000-0005-0000-0000-00003D1D0000}"/>
    <cellStyle name="Обычный 3 3 4 3 2 8 2" xfId="6651" xr:uid="{00000000-0005-0000-0000-00003E1D0000}"/>
    <cellStyle name="Обычный 3 3 4 3 2 9" xfId="3096" xr:uid="{00000000-0005-0000-0000-00003F1D0000}"/>
    <cellStyle name="Обычный 3 3 4 3 2 9 2" xfId="6947" xr:uid="{00000000-0005-0000-0000-0000401D0000}"/>
    <cellStyle name="Обычный 3 3 4 3 3" xfId="1099" xr:uid="{00000000-0005-0000-0000-0000411D0000}"/>
    <cellStyle name="Обычный 3 3 4 3 3 2" xfId="4727" xr:uid="{00000000-0005-0000-0000-0000421D0000}"/>
    <cellStyle name="Обычный 3 3 4 3 4" xfId="1193" xr:uid="{00000000-0005-0000-0000-0000431D0000}"/>
    <cellStyle name="Обычный 3 3 4 3 4 2" xfId="5023" xr:uid="{00000000-0005-0000-0000-0000441D0000}"/>
    <cellStyle name="Обычный 3 3 4 3 5" xfId="1477" xr:uid="{00000000-0005-0000-0000-0000451D0000}"/>
    <cellStyle name="Обычный 3 3 4 3 5 2" xfId="5319" xr:uid="{00000000-0005-0000-0000-0000461D0000}"/>
    <cellStyle name="Обычный 3 3 4 3 6" xfId="1768" xr:uid="{00000000-0005-0000-0000-0000471D0000}"/>
    <cellStyle name="Обычный 3 3 4 3 6 2" xfId="5615" xr:uid="{00000000-0005-0000-0000-0000481D0000}"/>
    <cellStyle name="Обычный 3 3 4 3 7" xfId="2061" xr:uid="{00000000-0005-0000-0000-0000491D0000}"/>
    <cellStyle name="Обычный 3 3 4 3 7 2" xfId="5911" xr:uid="{00000000-0005-0000-0000-00004A1D0000}"/>
    <cellStyle name="Обычный 3 3 4 3 8" xfId="2356" xr:uid="{00000000-0005-0000-0000-00004B1D0000}"/>
    <cellStyle name="Обычный 3 3 4 3 8 2" xfId="6207" xr:uid="{00000000-0005-0000-0000-00004C1D0000}"/>
    <cellStyle name="Обычный 3 3 4 3 9" xfId="2652" xr:uid="{00000000-0005-0000-0000-00004D1D0000}"/>
    <cellStyle name="Обычный 3 3 4 3 9 2" xfId="6503" xr:uid="{00000000-0005-0000-0000-00004E1D0000}"/>
    <cellStyle name="Обычный 3 3 4 4" xfId="330" xr:uid="{00000000-0005-0000-0000-00004F1D0000}"/>
    <cellStyle name="Обычный 3 3 4 4 10" xfId="3294" xr:uid="{00000000-0005-0000-0000-0000501D0000}"/>
    <cellStyle name="Обычный 3 3 4 4 10 2" xfId="7145" xr:uid="{00000000-0005-0000-0000-0000511D0000}"/>
    <cellStyle name="Обычный 3 3 4 4 11" xfId="3590" xr:uid="{00000000-0005-0000-0000-0000521D0000}"/>
    <cellStyle name="Обычный 3 3 4 4 11 2" xfId="7441" xr:uid="{00000000-0005-0000-0000-0000531D0000}"/>
    <cellStyle name="Обычный 3 3 4 4 12" xfId="3886" xr:uid="{00000000-0005-0000-0000-0000541D0000}"/>
    <cellStyle name="Обычный 3 3 4 4 12 2" xfId="7737" xr:uid="{00000000-0005-0000-0000-0000551D0000}"/>
    <cellStyle name="Обычный 3 3 4 4 13" xfId="4182" xr:uid="{00000000-0005-0000-0000-0000561D0000}"/>
    <cellStyle name="Обычный 3 3 4 4 13 2" xfId="8033" xr:uid="{00000000-0005-0000-0000-0000571D0000}"/>
    <cellStyle name="Обычный 3 3 4 4 14" xfId="8382" xr:uid="{00000000-0005-0000-0000-0000581D0000}"/>
    <cellStyle name="Обычный 3 3 4 4 15" xfId="4481" xr:uid="{00000000-0005-0000-0000-0000591D0000}"/>
    <cellStyle name="Обычный 3 3 4 4 2" xfId="994" xr:uid="{00000000-0005-0000-0000-00005A1D0000}"/>
    <cellStyle name="Обычный 3 3 4 4 2 2" xfId="8723" xr:uid="{00000000-0005-0000-0000-00005B1D0000}"/>
    <cellStyle name="Обычный 3 3 4 4 2 3" xfId="4777" xr:uid="{00000000-0005-0000-0000-00005C1D0000}"/>
    <cellStyle name="Обычный 3 3 4 4 3" xfId="1241" xr:uid="{00000000-0005-0000-0000-00005D1D0000}"/>
    <cellStyle name="Обычный 3 3 4 4 3 2" xfId="5073" xr:uid="{00000000-0005-0000-0000-00005E1D0000}"/>
    <cellStyle name="Обычный 3 3 4 4 4" xfId="1526" xr:uid="{00000000-0005-0000-0000-00005F1D0000}"/>
    <cellStyle name="Обычный 3 3 4 4 4 2" xfId="5369" xr:uid="{00000000-0005-0000-0000-0000601D0000}"/>
    <cellStyle name="Обычный 3 3 4 4 5" xfId="1818" xr:uid="{00000000-0005-0000-0000-0000611D0000}"/>
    <cellStyle name="Обычный 3 3 4 4 5 2" xfId="5665" xr:uid="{00000000-0005-0000-0000-0000621D0000}"/>
    <cellStyle name="Обычный 3 3 4 4 6" xfId="2111" xr:uid="{00000000-0005-0000-0000-0000631D0000}"/>
    <cellStyle name="Обычный 3 3 4 4 6 2" xfId="5961" xr:uid="{00000000-0005-0000-0000-0000641D0000}"/>
    <cellStyle name="Обычный 3 3 4 4 7" xfId="2406" xr:uid="{00000000-0005-0000-0000-0000651D0000}"/>
    <cellStyle name="Обычный 3 3 4 4 7 2" xfId="6257" xr:uid="{00000000-0005-0000-0000-0000661D0000}"/>
    <cellStyle name="Обычный 3 3 4 4 8" xfId="2702" xr:uid="{00000000-0005-0000-0000-0000671D0000}"/>
    <cellStyle name="Обычный 3 3 4 4 8 2" xfId="6553" xr:uid="{00000000-0005-0000-0000-0000681D0000}"/>
    <cellStyle name="Обычный 3 3 4 4 9" xfId="2998" xr:uid="{00000000-0005-0000-0000-0000691D0000}"/>
    <cellStyle name="Обычный 3 3 4 4 9 2" xfId="6849" xr:uid="{00000000-0005-0000-0000-00006A1D0000}"/>
    <cellStyle name="Обычный 3 3 4 5" xfId="995" xr:uid="{00000000-0005-0000-0000-00006B1D0000}"/>
    <cellStyle name="Обычный 3 3 4 5 2" xfId="8724" xr:uid="{00000000-0005-0000-0000-00006C1D0000}"/>
    <cellStyle name="Обычный 3 3 4 5 3" xfId="4629" xr:uid="{00000000-0005-0000-0000-00006D1D0000}"/>
    <cellStyle name="Обычный 3 3 4 6" xfId="996" xr:uid="{00000000-0005-0000-0000-00006E1D0000}"/>
    <cellStyle name="Обычный 3 3 4 6 2" xfId="8725" xr:uid="{00000000-0005-0000-0000-00006F1D0000}"/>
    <cellStyle name="Обычный 3 3 4 6 3" xfId="4925" xr:uid="{00000000-0005-0000-0000-0000701D0000}"/>
    <cellStyle name="Обычный 3 3 4 7" xfId="1382" xr:uid="{00000000-0005-0000-0000-0000711D0000}"/>
    <cellStyle name="Обычный 3 3 4 7 2" xfId="5221" xr:uid="{00000000-0005-0000-0000-0000721D0000}"/>
    <cellStyle name="Обычный 3 3 4 8" xfId="1671" xr:uid="{00000000-0005-0000-0000-0000731D0000}"/>
    <cellStyle name="Обычный 3 3 4 8 2" xfId="5517" xr:uid="{00000000-0005-0000-0000-0000741D0000}"/>
    <cellStyle name="Обычный 3 3 4 9" xfId="1964" xr:uid="{00000000-0005-0000-0000-0000751D0000}"/>
    <cellStyle name="Обычный 3 3 4 9 2" xfId="5813" xr:uid="{00000000-0005-0000-0000-0000761D0000}"/>
    <cellStyle name="Обычный 3 3 5" xfId="30" xr:uid="{00000000-0005-0000-0000-0000771D0000}"/>
    <cellStyle name="Обычный 3 3 5 10" xfId="2876" xr:uid="{00000000-0005-0000-0000-0000781D0000}"/>
    <cellStyle name="Обычный 3 3 5 10 2" xfId="6727" xr:uid="{00000000-0005-0000-0000-0000791D0000}"/>
    <cellStyle name="Обычный 3 3 5 11" xfId="3172" xr:uid="{00000000-0005-0000-0000-00007A1D0000}"/>
    <cellStyle name="Обычный 3 3 5 11 2" xfId="7023" xr:uid="{00000000-0005-0000-0000-00007B1D0000}"/>
    <cellStyle name="Обычный 3 3 5 12" xfId="3468" xr:uid="{00000000-0005-0000-0000-00007C1D0000}"/>
    <cellStyle name="Обычный 3 3 5 12 2" xfId="7319" xr:uid="{00000000-0005-0000-0000-00007D1D0000}"/>
    <cellStyle name="Обычный 3 3 5 13" xfId="3764" xr:uid="{00000000-0005-0000-0000-00007E1D0000}"/>
    <cellStyle name="Обычный 3 3 5 13 2" xfId="7615" xr:uid="{00000000-0005-0000-0000-00007F1D0000}"/>
    <cellStyle name="Обычный 3 3 5 14" xfId="4060" xr:uid="{00000000-0005-0000-0000-0000801D0000}"/>
    <cellStyle name="Обычный 3 3 5 14 2" xfId="7911" xr:uid="{00000000-0005-0000-0000-0000811D0000}"/>
    <cellStyle name="Обычный 3 3 5 15" xfId="8209" xr:uid="{00000000-0005-0000-0000-0000821D0000}"/>
    <cellStyle name="Обычный 3 3 5 16" xfId="4357" xr:uid="{00000000-0005-0000-0000-0000831D0000}"/>
    <cellStyle name="Обычный 3 3 5 17" xfId="154" xr:uid="{00000000-0005-0000-0000-0000841D0000}"/>
    <cellStyle name="Обычный 3 3 5 2" xfId="257" xr:uid="{00000000-0005-0000-0000-0000851D0000}"/>
    <cellStyle name="Обычный 3 3 5 2 10" xfId="3320" xr:uid="{00000000-0005-0000-0000-0000861D0000}"/>
    <cellStyle name="Обычный 3 3 5 2 10 2" xfId="7171" xr:uid="{00000000-0005-0000-0000-0000871D0000}"/>
    <cellStyle name="Обычный 3 3 5 2 11" xfId="3616" xr:uid="{00000000-0005-0000-0000-0000881D0000}"/>
    <cellStyle name="Обычный 3 3 5 2 11 2" xfId="7467" xr:uid="{00000000-0005-0000-0000-0000891D0000}"/>
    <cellStyle name="Обычный 3 3 5 2 12" xfId="3912" xr:uid="{00000000-0005-0000-0000-00008A1D0000}"/>
    <cellStyle name="Обычный 3 3 5 2 12 2" xfId="7763" xr:uid="{00000000-0005-0000-0000-00008B1D0000}"/>
    <cellStyle name="Обычный 3 3 5 2 13" xfId="4208" xr:uid="{00000000-0005-0000-0000-00008C1D0000}"/>
    <cellStyle name="Обычный 3 3 5 2 13 2" xfId="8059" xr:uid="{00000000-0005-0000-0000-00008D1D0000}"/>
    <cellStyle name="Обычный 3 3 5 2 14" xfId="8310" xr:uid="{00000000-0005-0000-0000-00008E1D0000}"/>
    <cellStyle name="Обычный 3 3 5 2 15" xfId="4507" xr:uid="{00000000-0005-0000-0000-00008F1D0000}"/>
    <cellStyle name="Обычный 3 3 5 2 2" xfId="997" xr:uid="{00000000-0005-0000-0000-0000901D0000}"/>
    <cellStyle name="Обычный 3 3 5 2 2 2" xfId="8726" xr:uid="{00000000-0005-0000-0000-0000911D0000}"/>
    <cellStyle name="Обычный 3 3 5 2 2 3" xfId="4803" xr:uid="{00000000-0005-0000-0000-0000921D0000}"/>
    <cellStyle name="Обычный 3 3 5 2 3" xfId="1266" xr:uid="{00000000-0005-0000-0000-0000931D0000}"/>
    <cellStyle name="Обычный 3 3 5 2 3 2" xfId="5099" xr:uid="{00000000-0005-0000-0000-0000941D0000}"/>
    <cellStyle name="Обычный 3 3 5 2 4" xfId="1552" xr:uid="{00000000-0005-0000-0000-0000951D0000}"/>
    <cellStyle name="Обычный 3 3 5 2 4 2" xfId="5395" xr:uid="{00000000-0005-0000-0000-0000961D0000}"/>
    <cellStyle name="Обычный 3 3 5 2 5" xfId="1844" xr:uid="{00000000-0005-0000-0000-0000971D0000}"/>
    <cellStyle name="Обычный 3 3 5 2 5 2" xfId="5691" xr:uid="{00000000-0005-0000-0000-0000981D0000}"/>
    <cellStyle name="Обычный 3 3 5 2 6" xfId="2137" xr:uid="{00000000-0005-0000-0000-0000991D0000}"/>
    <cellStyle name="Обычный 3 3 5 2 6 2" xfId="5987" xr:uid="{00000000-0005-0000-0000-00009A1D0000}"/>
    <cellStyle name="Обычный 3 3 5 2 7" xfId="2432" xr:uid="{00000000-0005-0000-0000-00009B1D0000}"/>
    <cellStyle name="Обычный 3 3 5 2 7 2" xfId="6283" xr:uid="{00000000-0005-0000-0000-00009C1D0000}"/>
    <cellStyle name="Обычный 3 3 5 2 8" xfId="2728" xr:uid="{00000000-0005-0000-0000-00009D1D0000}"/>
    <cellStyle name="Обычный 3 3 5 2 8 2" xfId="6579" xr:uid="{00000000-0005-0000-0000-00009E1D0000}"/>
    <cellStyle name="Обычный 3 3 5 2 9" xfId="3024" xr:uid="{00000000-0005-0000-0000-00009F1D0000}"/>
    <cellStyle name="Обычный 3 3 5 2 9 2" xfId="6875" xr:uid="{00000000-0005-0000-0000-0000A01D0000}"/>
    <cellStyle name="Обычный 3 3 5 3" xfId="358" xr:uid="{00000000-0005-0000-0000-0000A11D0000}"/>
    <cellStyle name="Обычный 3 3 5 3 2" xfId="998" xr:uid="{00000000-0005-0000-0000-0000A21D0000}"/>
    <cellStyle name="Обычный 3 3 5 3 3" xfId="8410" xr:uid="{00000000-0005-0000-0000-0000A31D0000}"/>
    <cellStyle name="Обычный 3 3 5 3 4" xfId="4655" xr:uid="{00000000-0005-0000-0000-0000A41D0000}"/>
    <cellStyle name="Обычный 3 3 5 4" xfId="999" xr:uid="{00000000-0005-0000-0000-0000A51D0000}"/>
    <cellStyle name="Обычный 3 3 5 4 2" xfId="8727" xr:uid="{00000000-0005-0000-0000-0000A61D0000}"/>
    <cellStyle name="Обычный 3 3 5 4 3" xfId="4951" xr:uid="{00000000-0005-0000-0000-0000A71D0000}"/>
    <cellStyle name="Обычный 3 3 5 5" xfId="1408" xr:uid="{00000000-0005-0000-0000-0000A81D0000}"/>
    <cellStyle name="Обычный 3 3 5 5 2" xfId="5247" xr:uid="{00000000-0005-0000-0000-0000A91D0000}"/>
    <cellStyle name="Обычный 3 3 5 6" xfId="1697" xr:uid="{00000000-0005-0000-0000-0000AA1D0000}"/>
    <cellStyle name="Обычный 3 3 5 6 2" xfId="5543" xr:uid="{00000000-0005-0000-0000-0000AB1D0000}"/>
    <cellStyle name="Обычный 3 3 5 7" xfId="1990" xr:uid="{00000000-0005-0000-0000-0000AC1D0000}"/>
    <cellStyle name="Обычный 3 3 5 7 2" xfId="5839" xr:uid="{00000000-0005-0000-0000-0000AD1D0000}"/>
    <cellStyle name="Обычный 3 3 5 8" xfId="2284" xr:uid="{00000000-0005-0000-0000-0000AE1D0000}"/>
    <cellStyle name="Обычный 3 3 5 8 2" xfId="6135" xr:uid="{00000000-0005-0000-0000-0000AF1D0000}"/>
    <cellStyle name="Обычный 3 3 5 9" xfId="2580" xr:uid="{00000000-0005-0000-0000-0000B01D0000}"/>
    <cellStyle name="Обычный 3 3 5 9 2" xfId="6431" xr:uid="{00000000-0005-0000-0000-0000B11D0000}"/>
    <cellStyle name="Обычный 3 3 6" xfId="207" xr:uid="{00000000-0005-0000-0000-0000B21D0000}"/>
    <cellStyle name="Обычный 3 3 6 10" xfId="2926" xr:uid="{00000000-0005-0000-0000-0000B31D0000}"/>
    <cellStyle name="Обычный 3 3 6 10 2" xfId="6777" xr:uid="{00000000-0005-0000-0000-0000B41D0000}"/>
    <cellStyle name="Обычный 3 3 6 11" xfId="3222" xr:uid="{00000000-0005-0000-0000-0000B51D0000}"/>
    <cellStyle name="Обычный 3 3 6 11 2" xfId="7073" xr:uid="{00000000-0005-0000-0000-0000B61D0000}"/>
    <cellStyle name="Обычный 3 3 6 12" xfId="3518" xr:uid="{00000000-0005-0000-0000-0000B71D0000}"/>
    <cellStyle name="Обычный 3 3 6 12 2" xfId="7369" xr:uid="{00000000-0005-0000-0000-0000B81D0000}"/>
    <cellStyle name="Обычный 3 3 6 13" xfId="3814" xr:uid="{00000000-0005-0000-0000-0000B91D0000}"/>
    <cellStyle name="Обычный 3 3 6 13 2" xfId="7665" xr:uid="{00000000-0005-0000-0000-0000BA1D0000}"/>
    <cellStyle name="Обычный 3 3 6 14" xfId="4110" xr:uid="{00000000-0005-0000-0000-0000BB1D0000}"/>
    <cellStyle name="Обычный 3 3 6 14 2" xfId="7961" xr:uid="{00000000-0005-0000-0000-0000BC1D0000}"/>
    <cellStyle name="Обычный 3 3 6 15" xfId="8260" xr:uid="{00000000-0005-0000-0000-0000BD1D0000}"/>
    <cellStyle name="Обычный 3 3 6 16" xfId="4408" xr:uid="{00000000-0005-0000-0000-0000BE1D0000}"/>
    <cellStyle name="Обычный 3 3 6 2" xfId="1000" xr:uid="{00000000-0005-0000-0000-0000BF1D0000}"/>
    <cellStyle name="Обычный 3 3 6 2 10" xfId="3370" xr:uid="{00000000-0005-0000-0000-0000C01D0000}"/>
    <cellStyle name="Обычный 3 3 6 2 10 2" xfId="7221" xr:uid="{00000000-0005-0000-0000-0000C11D0000}"/>
    <cellStyle name="Обычный 3 3 6 2 11" xfId="3666" xr:uid="{00000000-0005-0000-0000-0000C21D0000}"/>
    <cellStyle name="Обычный 3 3 6 2 11 2" xfId="7517" xr:uid="{00000000-0005-0000-0000-0000C31D0000}"/>
    <cellStyle name="Обычный 3 3 6 2 12" xfId="3962" xr:uid="{00000000-0005-0000-0000-0000C41D0000}"/>
    <cellStyle name="Обычный 3 3 6 2 12 2" xfId="7813" xr:uid="{00000000-0005-0000-0000-0000C51D0000}"/>
    <cellStyle name="Обычный 3 3 6 2 13" xfId="4258" xr:uid="{00000000-0005-0000-0000-0000C61D0000}"/>
    <cellStyle name="Обычный 3 3 6 2 13 2" xfId="8109" xr:uid="{00000000-0005-0000-0000-0000C71D0000}"/>
    <cellStyle name="Обычный 3 3 6 2 14" xfId="8728" xr:uid="{00000000-0005-0000-0000-0000C81D0000}"/>
    <cellStyle name="Обычный 3 3 6 2 15" xfId="4557" xr:uid="{00000000-0005-0000-0000-0000C91D0000}"/>
    <cellStyle name="Обычный 3 3 6 2 2" xfId="1125" xr:uid="{00000000-0005-0000-0000-0000CA1D0000}"/>
    <cellStyle name="Обычный 3 3 6 2 2 2" xfId="4853" xr:uid="{00000000-0005-0000-0000-0000CB1D0000}"/>
    <cellStyle name="Обычный 3 3 6 2 3" xfId="1314" xr:uid="{00000000-0005-0000-0000-0000CC1D0000}"/>
    <cellStyle name="Обычный 3 3 6 2 3 2" xfId="5149" xr:uid="{00000000-0005-0000-0000-0000CD1D0000}"/>
    <cellStyle name="Обычный 3 3 6 2 4" xfId="1601" xr:uid="{00000000-0005-0000-0000-0000CE1D0000}"/>
    <cellStyle name="Обычный 3 3 6 2 4 2" xfId="5445" xr:uid="{00000000-0005-0000-0000-0000CF1D0000}"/>
    <cellStyle name="Обычный 3 3 6 2 5" xfId="1894" xr:uid="{00000000-0005-0000-0000-0000D01D0000}"/>
    <cellStyle name="Обычный 3 3 6 2 5 2" xfId="5741" xr:uid="{00000000-0005-0000-0000-0000D11D0000}"/>
    <cellStyle name="Обычный 3 3 6 2 6" xfId="2187" xr:uid="{00000000-0005-0000-0000-0000D21D0000}"/>
    <cellStyle name="Обычный 3 3 6 2 6 2" xfId="6037" xr:uid="{00000000-0005-0000-0000-0000D31D0000}"/>
    <cellStyle name="Обычный 3 3 6 2 7" xfId="2482" xr:uid="{00000000-0005-0000-0000-0000D41D0000}"/>
    <cellStyle name="Обычный 3 3 6 2 7 2" xfId="6333" xr:uid="{00000000-0005-0000-0000-0000D51D0000}"/>
    <cellStyle name="Обычный 3 3 6 2 8" xfId="2778" xr:uid="{00000000-0005-0000-0000-0000D61D0000}"/>
    <cellStyle name="Обычный 3 3 6 2 8 2" xfId="6629" xr:uid="{00000000-0005-0000-0000-0000D71D0000}"/>
    <cellStyle name="Обычный 3 3 6 2 9" xfId="3074" xr:uid="{00000000-0005-0000-0000-0000D81D0000}"/>
    <cellStyle name="Обычный 3 3 6 2 9 2" xfId="6925" xr:uid="{00000000-0005-0000-0000-0000D91D0000}"/>
    <cellStyle name="Обычный 3 3 6 3" xfId="1078" xr:uid="{00000000-0005-0000-0000-0000DA1D0000}"/>
    <cellStyle name="Обычный 3 3 6 3 2" xfId="4705" xr:uid="{00000000-0005-0000-0000-0000DB1D0000}"/>
    <cellStyle name="Обычный 3 3 6 4" xfId="1172" xr:uid="{00000000-0005-0000-0000-0000DC1D0000}"/>
    <cellStyle name="Обычный 3 3 6 4 2" xfId="5001" xr:uid="{00000000-0005-0000-0000-0000DD1D0000}"/>
    <cellStyle name="Обычный 3 3 6 5" xfId="1455" xr:uid="{00000000-0005-0000-0000-0000DE1D0000}"/>
    <cellStyle name="Обычный 3 3 6 5 2" xfId="5297" xr:uid="{00000000-0005-0000-0000-0000DF1D0000}"/>
    <cellStyle name="Обычный 3 3 6 6" xfId="1746" xr:uid="{00000000-0005-0000-0000-0000E01D0000}"/>
    <cellStyle name="Обычный 3 3 6 6 2" xfId="5593" xr:uid="{00000000-0005-0000-0000-0000E11D0000}"/>
    <cellStyle name="Обычный 3 3 6 7" xfId="2039" xr:uid="{00000000-0005-0000-0000-0000E21D0000}"/>
    <cellStyle name="Обычный 3 3 6 7 2" xfId="5889" xr:uid="{00000000-0005-0000-0000-0000E31D0000}"/>
    <cellStyle name="Обычный 3 3 6 8" xfId="2334" xr:uid="{00000000-0005-0000-0000-0000E41D0000}"/>
    <cellStyle name="Обычный 3 3 6 8 2" xfId="6185" xr:uid="{00000000-0005-0000-0000-0000E51D0000}"/>
    <cellStyle name="Обычный 3 3 6 9" xfId="2630" xr:uid="{00000000-0005-0000-0000-0000E61D0000}"/>
    <cellStyle name="Обычный 3 3 6 9 2" xfId="6481" xr:uid="{00000000-0005-0000-0000-0000E71D0000}"/>
    <cellStyle name="Обычный 3 3 7" xfId="308" xr:uid="{00000000-0005-0000-0000-0000E81D0000}"/>
    <cellStyle name="Обычный 3 3 7 10" xfId="3272" xr:uid="{00000000-0005-0000-0000-0000E91D0000}"/>
    <cellStyle name="Обычный 3 3 7 10 2" xfId="7123" xr:uid="{00000000-0005-0000-0000-0000EA1D0000}"/>
    <cellStyle name="Обычный 3 3 7 11" xfId="3568" xr:uid="{00000000-0005-0000-0000-0000EB1D0000}"/>
    <cellStyle name="Обычный 3 3 7 11 2" xfId="7419" xr:uid="{00000000-0005-0000-0000-0000EC1D0000}"/>
    <cellStyle name="Обычный 3 3 7 12" xfId="3864" xr:uid="{00000000-0005-0000-0000-0000ED1D0000}"/>
    <cellStyle name="Обычный 3 3 7 12 2" xfId="7715" xr:uid="{00000000-0005-0000-0000-0000EE1D0000}"/>
    <cellStyle name="Обычный 3 3 7 13" xfId="4160" xr:uid="{00000000-0005-0000-0000-0000EF1D0000}"/>
    <cellStyle name="Обычный 3 3 7 13 2" xfId="8011" xr:uid="{00000000-0005-0000-0000-0000F01D0000}"/>
    <cellStyle name="Обычный 3 3 7 14" xfId="8360" xr:uid="{00000000-0005-0000-0000-0000F11D0000}"/>
    <cellStyle name="Обычный 3 3 7 15" xfId="4459" xr:uid="{00000000-0005-0000-0000-0000F21D0000}"/>
    <cellStyle name="Обычный 3 3 7 2" xfId="1001" xr:uid="{00000000-0005-0000-0000-0000F31D0000}"/>
    <cellStyle name="Обычный 3 3 7 2 2" xfId="8729" xr:uid="{00000000-0005-0000-0000-0000F41D0000}"/>
    <cellStyle name="Обычный 3 3 7 2 3" xfId="4755" xr:uid="{00000000-0005-0000-0000-0000F51D0000}"/>
    <cellStyle name="Обычный 3 3 7 3" xfId="1219" xr:uid="{00000000-0005-0000-0000-0000F61D0000}"/>
    <cellStyle name="Обычный 3 3 7 3 2" xfId="5051" xr:uid="{00000000-0005-0000-0000-0000F71D0000}"/>
    <cellStyle name="Обычный 3 3 7 4" xfId="1504" xr:uid="{00000000-0005-0000-0000-0000F81D0000}"/>
    <cellStyle name="Обычный 3 3 7 4 2" xfId="5347" xr:uid="{00000000-0005-0000-0000-0000F91D0000}"/>
    <cellStyle name="Обычный 3 3 7 5" xfId="1796" xr:uid="{00000000-0005-0000-0000-0000FA1D0000}"/>
    <cellStyle name="Обычный 3 3 7 5 2" xfId="5643" xr:uid="{00000000-0005-0000-0000-0000FB1D0000}"/>
    <cellStyle name="Обычный 3 3 7 6" xfId="2089" xr:uid="{00000000-0005-0000-0000-0000FC1D0000}"/>
    <cellStyle name="Обычный 3 3 7 6 2" xfId="5939" xr:uid="{00000000-0005-0000-0000-0000FD1D0000}"/>
    <cellStyle name="Обычный 3 3 7 7" xfId="2384" xr:uid="{00000000-0005-0000-0000-0000FE1D0000}"/>
    <cellStyle name="Обычный 3 3 7 7 2" xfId="6235" xr:uid="{00000000-0005-0000-0000-0000FF1D0000}"/>
    <cellStyle name="Обычный 3 3 7 8" xfId="2680" xr:uid="{00000000-0005-0000-0000-0000001E0000}"/>
    <cellStyle name="Обычный 3 3 7 8 2" xfId="6531" xr:uid="{00000000-0005-0000-0000-0000011E0000}"/>
    <cellStyle name="Обычный 3 3 7 9" xfId="2976" xr:uid="{00000000-0005-0000-0000-0000021E0000}"/>
    <cellStyle name="Обычный 3 3 7 9 2" xfId="6827" xr:uid="{00000000-0005-0000-0000-0000031E0000}"/>
    <cellStyle name="Обычный 3 3 8" xfId="631" xr:uid="{00000000-0005-0000-0000-0000041E0000}"/>
    <cellStyle name="Обычный 3 3 8 2" xfId="8464" xr:uid="{00000000-0005-0000-0000-0000051E0000}"/>
    <cellStyle name="Обычный 3 3 8 3" xfId="4607" xr:uid="{00000000-0005-0000-0000-0000061E0000}"/>
    <cellStyle name="Обычный 3 3 9" xfId="1002" xr:uid="{00000000-0005-0000-0000-0000071E0000}"/>
    <cellStyle name="Обычный 3 3 9 2" xfId="8730" xr:uid="{00000000-0005-0000-0000-0000081E0000}"/>
    <cellStyle name="Обычный 3 3 9 3" xfId="4903" xr:uid="{00000000-0005-0000-0000-0000091E0000}"/>
    <cellStyle name="Обычный 3 30" xfId="4287" xr:uid="{00000000-0005-0000-0000-00000A1E0000}"/>
    <cellStyle name="Обычный 3 31" xfId="8760" xr:uid="{00000000-0005-0000-0000-00000B1E0000}"/>
    <cellStyle name="Обычный 3 32" xfId="49" xr:uid="{00000000-0005-0000-0000-00000C1E0000}"/>
    <cellStyle name="Обычный 3 33" xfId="8803" xr:uid="{00000000-0005-0000-0000-00000D1E0000}"/>
    <cellStyle name="Обычный 3 34" xfId="8861" xr:uid="{00000000-0005-0000-0000-00000E1E0000}"/>
    <cellStyle name="Обычный 3 4" xfId="12" xr:uid="{00000000-0005-0000-0000-00000F1E0000}"/>
    <cellStyle name="Обычный 3 4 2" xfId="18" xr:uid="{00000000-0005-0000-0000-0000101E0000}"/>
    <cellStyle name="Обычный 3 4 2 2" xfId="37" xr:uid="{00000000-0005-0000-0000-0000111E0000}"/>
    <cellStyle name="Обычный 3 4 2 3" xfId="708" xr:uid="{00000000-0005-0000-0000-0000121E0000}"/>
    <cellStyle name="Обычный 3 4 3" xfId="24" xr:uid="{00000000-0005-0000-0000-0000131E0000}"/>
    <cellStyle name="Обычный 3 4 3 2" xfId="43" xr:uid="{00000000-0005-0000-0000-0000141E0000}"/>
    <cellStyle name="Обычный 3 4 3 3" xfId="663" xr:uid="{00000000-0005-0000-0000-0000151E0000}"/>
    <cellStyle name="Обычный 3 4 4" xfId="31" xr:uid="{00000000-0005-0000-0000-0000161E0000}"/>
    <cellStyle name="Обычный 3 4 5" xfId="82" xr:uid="{00000000-0005-0000-0000-0000171E0000}"/>
    <cellStyle name="Обычный 3 5" xfId="15" xr:uid="{00000000-0005-0000-0000-0000181E0000}"/>
    <cellStyle name="Обычный 3 5 2" xfId="34" xr:uid="{00000000-0005-0000-0000-0000191E0000}"/>
    <cellStyle name="Обычный 3 5 3" xfId="83" xr:uid="{00000000-0005-0000-0000-00001A1E0000}"/>
    <cellStyle name="Обычный 3 6" xfId="21" xr:uid="{00000000-0005-0000-0000-00001B1E0000}"/>
    <cellStyle name="Обычный 3 6 2" xfId="40" xr:uid="{00000000-0005-0000-0000-00001C1E0000}"/>
    <cellStyle name="Обычный 3 6 3" xfId="84" xr:uid="{00000000-0005-0000-0000-00001D1E0000}"/>
    <cellStyle name="Обычный 3 7" xfId="28" xr:uid="{00000000-0005-0000-0000-00001E1E0000}"/>
    <cellStyle name="Обычный 3 7 2" xfId="85" xr:uid="{00000000-0005-0000-0000-00001F1E0000}"/>
    <cellStyle name="Обычный 3 8" xfId="86" xr:uid="{00000000-0005-0000-0000-0000201E0000}"/>
    <cellStyle name="Обычный 3 9" xfId="87" xr:uid="{00000000-0005-0000-0000-0000211E0000}"/>
    <cellStyle name="Обычный 30" xfId="99" xr:uid="{00000000-0005-0000-0000-0000221E0000}"/>
    <cellStyle name="Обычный 31" xfId="8865" xr:uid="{00000000-0005-0000-0000-0000231E0000}"/>
    <cellStyle name="Обычный 32" xfId="8866" xr:uid="{00000000-0005-0000-0000-0000241E0000}"/>
    <cellStyle name="Обычный 33" xfId="8867" xr:uid="{00000000-0005-0000-0000-0000251E0000}"/>
    <cellStyle name="Обычный 4" xfId="3" xr:uid="{00000000-0005-0000-0000-0000261E0000}"/>
    <cellStyle name="Обычный 4 10" xfId="187" xr:uid="{00000000-0005-0000-0000-0000271E0000}"/>
    <cellStyle name="Обычный 4 10 10" xfId="2906" xr:uid="{00000000-0005-0000-0000-0000281E0000}"/>
    <cellStyle name="Обычный 4 10 10 2" xfId="6757" xr:uid="{00000000-0005-0000-0000-0000291E0000}"/>
    <cellStyle name="Обычный 4 10 11" xfId="3202" xr:uid="{00000000-0005-0000-0000-00002A1E0000}"/>
    <cellStyle name="Обычный 4 10 11 2" xfId="7053" xr:uid="{00000000-0005-0000-0000-00002B1E0000}"/>
    <cellStyle name="Обычный 4 10 12" xfId="3498" xr:uid="{00000000-0005-0000-0000-00002C1E0000}"/>
    <cellStyle name="Обычный 4 10 12 2" xfId="7349" xr:uid="{00000000-0005-0000-0000-00002D1E0000}"/>
    <cellStyle name="Обычный 4 10 13" xfId="3794" xr:uid="{00000000-0005-0000-0000-00002E1E0000}"/>
    <cellStyle name="Обычный 4 10 13 2" xfId="7645" xr:uid="{00000000-0005-0000-0000-00002F1E0000}"/>
    <cellStyle name="Обычный 4 10 14" xfId="4090" xr:uid="{00000000-0005-0000-0000-0000301E0000}"/>
    <cellStyle name="Обычный 4 10 14 2" xfId="7941" xr:uid="{00000000-0005-0000-0000-0000311E0000}"/>
    <cellStyle name="Обычный 4 10 15" xfId="8240" xr:uid="{00000000-0005-0000-0000-0000321E0000}"/>
    <cellStyle name="Обычный 4 10 16" xfId="4388" xr:uid="{00000000-0005-0000-0000-0000331E0000}"/>
    <cellStyle name="Обычный 4 10 2" xfId="1003" xr:uid="{00000000-0005-0000-0000-0000341E0000}"/>
    <cellStyle name="Обычный 4 10 2 10" xfId="3350" xr:uid="{00000000-0005-0000-0000-0000351E0000}"/>
    <cellStyle name="Обычный 4 10 2 10 2" xfId="7201" xr:uid="{00000000-0005-0000-0000-0000361E0000}"/>
    <cellStyle name="Обычный 4 10 2 11" xfId="3646" xr:uid="{00000000-0005-0000-0000-0000371E0000}"/>
    <cellStyle name="Обычный 4 10 2 11 2" xfId="7497" xr:uid="{00000000-0005-0000-0000-0000381E0000}"/>
    <cellStyle name="Обычный 4 10 2 12" xfId="3942" xr:uid="{00000000-0005-0000-0000-0000391E0000}"/>
    <cellStyle name="Обычный 4 10 2 12 2" xfId="7793" xr:uid="{00000000-0005-0000-0000-00003A1E0000}"/>
    <cellStyle name="Обычный 4 10 2 13" xfId="4238" xr:uid="{00000000-0005-0000-0000-00003B1E0000}"/>
    <cellStyle name="Обычный 4 10 2 13 2" xfId="8089" xr:uid="{00000000-0005-0000-0000-00003C1E0000}"/>
    <cellStyle name="Обычный 4 10 2 14" xfId="8731" xr:uid="{00000000-0005-0000-0000-00003D1E0000}"/>
    <cellStyle name="Обычный 4 10 2 15" xfId="4537" xr:uid="{00000000-0005-0000-0000-00003E1E0000}"/>
    <cellStyle name="Обычный 4 10 2 2" xfId="1105" xr:uid="{00000000-0005-0000-0000-00003F1E0000}"/>
    <cellStyle name="Обычный 4 10 2 2 2" xfId="4833" xr:uid="{00000000-0005-0000-0000-0000401E0000}"/>
    <cellStyle name="Обычный 4 10 2 3" xfId="1294" xr:uid="{00000000-0005-0000-0000-0000411E0000}"/>
    <cellStyle name="Обычный 4 10 2 3 2" xfId="5129" xr:uid="{00000000-0005-0000-0000-0000421E0000}"/>
    <cellStyle name="Обычный 4 10 2 4" xfId="1581" xr:uid="{00000000-0005-0000-0000-0000431E0000}"/>
    <cellStyle name="Обычный 4 10 2 4 2" xfId="5425" xr:uid="{00000000-0005-0000-0000-0000441E0000}"/>
    <cellStyle name="Обычный 4 10 2 5" xfId="1874" xr:uid="{00000000-0005-0000-0000-0000451E0000}"/>
    <cellStyle name="Обычный 4 10 2 5 2" xfId="5721" xr:uid="{00000000-0005-0000-0000-0000461E0000}"/>
    <cellStyle name="Обычный 4 10 2 6" xfId="2167" xr:uid="{00000000-0005-0000-0000-0000471E0000}"/>
    <cellStyle name="Обычный 4 10 2 6 2" xfId="6017" xr:uid="{00000000-0005-0000-0000-0000481E0000}"/>
    <cellStyle name="Обычный 4 10 2 7" xfId="2462" xr:uid="{00000000-0005-0000-0000-0000491E0000}"/>
    <cellStyle name="Обычный 4 10 2 7 2" xfId="6313" xr:uid="{00000000-0005-0000-0000-00004A1E0000}"/>
    <cellStyle name="Обычный 4 10 2 8" xfId="2758" xr:uid="{00000000-0005-0000-0000-00004B1E0000}"/>
    <cellStyle name="Обычный 4 10 2 8 2" xfId="6609" xr:uid="{00000000-0005-0000-0000-00004C1E0000}"/>
    <cellStyle name="Обычный 4 10 2 9" xfId="3054" xr:uid="{00000000-0005-0000-0000-00004D1E0000}"/>
    <cellStyle name="Обычный 4 10 2 9 2" xfId="6905" xr:uid="{00000000-0005-0000-0000-00004E1E0000}"/>
    <cellStyle name="Обычный 4 10 3" xfId="1058" xr:uid="{00000000-0005-0000-0000-00004F1E0000}"/>
    <cellStyle name="Обычный 4 10 3 2" xfId="4685" xr:uid="{00000000-0005-0000-0000-0000501E0000}"/>
    <cellStyle name="Обычный 4 10 4" xfId="1152" xr:uid="{00000000-0005-0000-0000-0000511E0000}"/>
    <cellStyle name="Обычный 4 10 4 2" xfId="4981" xr:uid="{00000000-0005-0000-0000-0000521E0000}"/>
    <cellStyle name="Обычный 4 10 5" xfId="1435" xr:uid="{00000000-0005-0000-0000-0000531E0000}"/>
    <cellStyle name="Обычный 4 10 5 2" xfId="5277" xr:uid="{00000000-0005-0000-0000-0000541E0000}"/>
    <cellStyle name="Обычный 4 10 6" xfId="1726" xr:uid="{00000000-0005-0000-0000-0000551E0000}"/>
    <cellStyle name="Обычный 4 10 6 2" xfId="5573" xr:uid="{00000000-0005-0000-0000-0000561E0000}"/>
    <cellStyle name="Обычный 4 10 7" xfId="2019" xr:uid="{00000000-0005-0000-0000-0000571E0000}"/>
    <cellStyle name="Обычный 4 10 7 2" xfId="5869" xr:uid="{00000000-0005-0000-0000-0000581E0000}"/>
    <cellStyle name="Обычный 4 10 8" xfId="2314" xr:uid="{00000000-0005-0000-0000-0000591E0000}"/>
    <cellStyle name="Обычный 4 10 8 2" xfId="6165" xr:uid="{00000000-0005-0000-0000-00005A1E0000}"/>
    <cellStyle name="Обычный 4 10 9" xfId="2610" xr:uid="{00000000-0005-0000-0000-00005B1E0000}"/>
    <cellStyle name="Обычный 4 10 9 2" xfId="6461" xr:uid="{00000000-0005-0000-0000-00005C1E0000}"/>
    <cellStyle name="Обычный 4 11" xfId="288" xr:uid="{00000000-0005-0000-0000-00005D1E0000}"/>
    <cellStyle name="Обычный 4 11 10" xfId="3252" xr:uid="{00000000-0005-0000-0000-00005E1E0000}"/>
    <cellStyle name="Обычный 4 11 10 2" xfId="7103" xr:uid="{00000000-0005-0000-0000-00005F1E0000}"/>
    <cellStyle name="Обычный 4 11 11" xfId="3548" xr:uid="{00000000-0005-0000-0000-0000601E0000}"/>
    <cellStyle name="Обычный 4 11 11 2" xfId="7399" xr:uid="{00000000-0005-0000-0000-0000611E0000}"/>
    <cellStyle name="Обычный 4 11 12" xfId="3844" xr:uid="{00000000-0005-0000-0000-0000621E0000}"/>
    <cellStyle name="Обычный 4 11 12 2" xfId="7695" xr:uid="{00000000-0005-0000-0000-0000631E0000}"/>
    <cellStyle name="Обычный 4 11 13" xfId="4140" xr:uid="{00000000-0005-0000-0000-0000641E0000}"/>
    <cellStyle name="Обычный 4 11 13 2" xfId="7991" xr:uid="{00000000-0005-0000-0000-0000651E0000}"/>
    <cellStyle name="Обычный 4 11 14" xfId="8340" xr:uid="{00000000-0005-0000-0000-0000661E0000}"/>
    <cellStyle name="Обычный 4 11 15" xfId="4439" xr:uid="{00000000-0005-0000-0000-0000671E0000}"/>
    <cellStyle name="Обычный 4 11 2" xfId="1004" xr:uid="{00000000-0005-0000-0000-0000681E0000}"/>
    <cellStyle name="Обычный 4 11 2 2" xfId="8732" xr:uid="{00000000-0005-0000-0000-0000691E0000}"/>
    <cellStyle name="Обычный 4 11 2 3" xfId="4735" xr:uid="{00000000-0005-0000-0000-00006A1E0000}"/>
    <cellStyle name="Обычный 4 11 3" xfId="1199" xr:uid="{00000000-0005-0000-0000-00006B1E0000}"/>
    <cellStyle name="Обычный 4 11 3 2" xfId="5031" xr:uid="{00000000-0005-0000-0000-00006C1E0000}"/>
    <cellStyle name="Обычный 4 11 4" xfId="1484" xr:uid="{00000000-0005-0000-0000-00006D1E0000}"/>
    <cellStyle name="Обычный 4 11 4 2" xfId="5327" xr:uid="{00000000-0005-0000-0000-00006E1E0000}"/>
    <cellStyle name="Обычный 4 11 5" xfId="1776" xr:uid="{00000000-0005-0000-0000-00006F1E0000}"/>
    <cellStyle name="Обычный 4 11 5 2" xfId="5623" xr:uid="{00000000-0005-0000-0000-0000701E0000}"/>
    <cellStyle name="Обычный 4 11 6" xfId="2069" xr:uid="{00000000-0005-0000-0000-0000711E0000}"/>
    <cellStyle name="Обычный 4 11 6 2" xfId="5919" xr:uid="{00000000-0005-0000-0000-0000721E0000}"/>
    <cellStyle name="Обычный 4 11 7" xfId="2364" xr:uid="{00000000-0005-0000-0000-0000731E0000}"/>
    <cellStyle name="Обычный 4 11 7 2" xfId="6215" xr:uid="{00000000-0005-0000-0000-0000741E0000}"/>
    <cellStyle name="Обычный 4 11 8" xfId="2660" xr:uid="{00000000-0005-0000-0000-0000751E0000}"/>
    <cellStyle name="Обычный 4 11 8 2" xfId="6511" xr:uid="{00000000-0005-0000-0000-0000761E0000}"/>
    <cellStyle name="Обычный 4 11 9" xfId="2956" xr:uid="{00000000-0005-0000-0000-0000771E0000}"/>
    <cellStyle name="Обычный 4 11 9 2" xfId="6807" xr:uid="{00000000-0005-0000-0000-0000781E0000}"/>
    <cellStyle name="Обычный 4 12" xfId="392" xr:uid="{00000000-0005-0000-0000-0000791E0000}"/>
    <cellStyle name="Обычный 4 12 2" xfId="8443" xr:uid="{00000000-0005-0000-0000-00007A1E0000}"/>
    <cellStyle name="Обычный 4 12 3" xfId="4587" xr:uid="{00000000-0005-0000-0000-00007B1E0000}"/>
    <cellStyle name="Обычный 4 13" xfId="1005" xr:uid="{00000000-0005-0000-0000-00007C1E0000}"/>
    <cellStyle name="Обычный 4 13 2" xfId="8733" xr:uid="{00000000-0005-0000-0000-00007D1E0000}"/>
    <cellStyle name="Обычный 4 13 3" xfId="4883" xr:uid="{00000000-0005-0000-0000-00007E1E0000}"/>
    <cellStyle name="Обычный 4 14" xfId="1026" xr:uid="{00000000-0005-0000-0000-00007F1E0000}"/>
    <cellStyle name="Обычный 4 14 2" xfId="8749" xr:uid="{00000000-0005-0000-0000-0000801E0000}"/>
    <cellStyle name="Обычный 4 14 3" xfId="5179" xr:uid="{00000000-0005-0000-0000-0000811E0000}"/>
    <cellStyle name="Обычный 4 15" xfId="1630" xr:uid="{00000000-0005-0000-0000-0000821E0000}"/>
    <cellStyle name="Обычный 4 15 2" xfId="5475" xr:uid="{00000000-0005-0000-0000-0000831E0000}"/>
    <cellStyle name="Обычный 4 16" xfId="1923" xr:uid="{00000000-0005-0000-0000-0000841E0000}"/>
    <cellStyle name="Обычный 4 16 2" xfId="5771" xr:uid="{00000000-0005-0000-0000-0000851E0000}"/>
    <cellStyle name="Обычный 4 17" xfId="2217" xr:uid="{00000000-0005-0000-0000-0000861E0000}"/>
    <cellStyle name="Обычный 4 17 2" xfId="6067" xr:uid="{00000000-0005-0000-0000-0000871E0000}"/>
    <cellStyle name="Обычный 4 18" xfId="2512" xr:uid="{00000000-0005-0000-0000-0000881E0000}"/>
    <cellStyle name="Обычный 4 18 2" xfId="6363" xr:uid="{00000000-0005-0000-0000-0000891E0000}"/>
    <cellStyle name="Обычный 4 19" xfId="2808" xr:uid="{00000000-0005-0000-0000-00008A1E0000}"/>
    <cellStyle name="Обычный 4 19 2" xfId="6659" xr:uid="{00000000-0005-0000-0000-00008B1E0000}"/>
    <cellStyle name="Обычный 4 2" xfId="89" xr:uid="{00000000-0005-0000-0000-00008C1E0000}"/>
    <cellStyle name="Обычный 4 2 2" xfId="655" xr:uid="{00000000-0005-0000-0000-00008D1E0000}"/>
    <cellStyle name="Обычный 4 2 2 2" xfId="702" xr:uid="{00000000-0005-0000-0000-00008E1E0000}"/>
    <cellStyle name="Обычный 4 2 2 3" xfId="8798" xr:uid="{00000000-0005-0000-0000-00008F1E0000}"/>
    <cellStyle name="Обычный 4 2 3" xfId="619" xr:uid="{00000000-0005-0000-0000-0000901E0000}"/>
    <cellStyle name="Обычный 4 2 4" xfId="1045" xr:uid="{00000000-0005-0000-0000-0000911E0000}"/>
    <cellStyle name="Обычный 4 2 5" xfId="8776" xr:uid="{00000000-0005-0000-0000-0000921E0000}"/>
    <cellStyle name="Обычный 4 20" xfId="3104" xr:uid="{00000000-0005-0000-0000-0000931E0000}"/>
    <cellStyle name="Обычный 4 20 2" xfId="6955" xr:uid="{00000000-0005-0000-0000-0000941E0000}"/>
    <cellStyle name="Обычный 4 21" xfId="3400" xr:uid="{00000000-0005-0000-0000-0000951E0000}"/>
    <cellStyle name="Обычный 4 21 2" xfId="7251" xr:uid="{00000000-0005-0000-0000-0000961E0000}"/>
    <cellStyle name="Обычный 4 22" xfId="3696" xr:uid="{00000000-0005-0000-0000-0000971E0000}"/>
    <cellStyle name="Обычный 4 22 2" xfId="7547" xr:uid="{00000000-0005-0000-0000-0000981E0000}"/>
    <cellStyle name="Обычный 4 23" xfId="3992" xr:uid="{00000000-0005-0000-0000-0000991E0000}"/>
    <cellStyle name="Обычный 4 23 2" xfId="7843" xr:uid="{00000000-0005-0000-0000-00009A1E0000}"/>
    <cellStyle name="Обычный 4 24" xfId="8139" xr:uid="{00000000-0005-0000-0000-00009B1E0000}"/>
    <cellStyle name="Обычный 4 25" xfId="4288" xr:uid="{00000000-0005-0000-0000-00009C1E0000}"/>
    <cellStyle name="Обычный 4 26" xfId="8773" xr:uid="{00000000-0005-0000-0000-00009D1E0000}"/>
    <cellStyle name="Обычный 4 27" xfId="50" xr:uid="{00000000-0005-0000-0000-00009E1E0000}"/>
    <cellStyle name="Обычный 4 28" xfId="8804" xr:uid="{00000000-0005-0000-0000-00009F1E0000}"/>
    <cellStyle name="Обычный 4 3" xfId="90" xr:uid="{00000000-0005-0000-0000-0000A01E0000}"/>
    <cellStyle name="Обычный 4 3 2" xfId="687" xr:uid="{00000000-0005-0000-0000-0000A11E0000}"/>
    <cellStyle name="Обычный 4 3 2 2" xfId="8799" xr:uid="{00000000-0005-0000-0000-0000A21E0000}"/>
    <cellStyle name="Обычный 4 3 3" xfId="632" xr:uid="{00000000-0005-0000-0000-0000A31E0000}"/>
    <cellStyle name="Обычный 4 3 4" xfId="1046" xr:uid="{00000000-0005-0000-0000-0000A41E0000}"/>
    <cellStyle name="Обычный 4 3 5" xfId="8777" xr:uid="{00000000-0005-0000-0000-0000A51E0000}"/>
    <cellStyle name="Обычный 4 4" xfId="91" xr:uid="{00000000-0005-0000-0000-0000A61E0000}"/>
    <cellStyle name="Обычный 4 4 2" xfId="691" xr:uid="{00000000-0005-0000-0000-0000A71E0000}"/>
    <cellStyle name="Обычный 4 4 2 2" xfId="8800" xr:uid="{00000000-0005-0000-0000-0000A81E0000}"/>
    <cellStyle name="Обычный 4 4 3" xfId="640" xr:uid="{00000000-0005-0000-0000-0000A91E0000}"/>
    <cellStyle name="Обычный 4 4 4" xfId="1047" xr:uid="{00000000-0005-0000-0000-0000AA1E0000}"/>
    <cellStyle name="Обычный 4 4 5" xfId="8778" xr:uid="{00000000-0005-0000-0000-0000AB1E0000}"/>
    <cellStyle name="Обычный 4 5" xfId="92" xr:uid="{00000000-0005-0000-0000-0000AC1E0000}"/>
    <cellStyle name="Обычный 4 5 2" xfId="699" xr:uid="{00000000-0005-0000-0000-0000AD1E0000}"/>
    <cellStyle name="Обычный 4 5 3" xfId="652" xr:uid="{00000000-0005-0000-0000-0000AE1E0000}"/>
    <cellStyle name="Обычный 4 5 4" xfId="1042" xr:uid="{00000000-0005-0000-0000-0000AF1E0000}"/>
    <cellStyle name="Обычный 4 5 5" xfId="8795" xr:uid="{00000000-0005-0000-0000-0000B01E0000}"/>
    <cellStyle name="Обычный 4 6" xfId="93" xr:uid="{00000000-0005-0000-0000-0000B11E0000}"/>
    <cellStyle name="Обычный 4 6 2" xfId="667" xr:uid="{00000000-0005-0000-0000-0000B21E0000}"/>
    <cellStyle name="Обычный 4 7" xfId="94" xr:uid="{00000000-0005-0000-0000-0000B31E0000}"/>
    <cellStyle name="Обычный 4 7 2" xfId="723" xr:uid="{00000000-0005-0000-0000-0000B41E0000}"/>
    <cellStyle name="Обычный 4 8" xfId="88" xr:uid="{00000000-0005-0000-0000-0000B51E0000}"/>
    <cellStyle name="Обычный 4 9" xfId="134" xr:uid="{00000000-0005-0000-0000-0000B61E0000}"/>
    <cellStyle name="Обычный 4 9 10" xfId="2856" xr:uid="{00000000-0005-0000-0000-0000B71E0000}"/>
    <cellStyle name="Обычный 4 9 10 2" xfId="6707" xr:uid="{00000000-0005-0000-0000-0000B81E0000}"/>
    <cellStyle name="Обычный 4 9 11" xfId="3152" xr:uid="{00000000-0005-0000-0000-0000B91E0000}"/>
    <cellStyle name="Обычный 4 9 11 2" xfId="7003" xr:uid="{00000000-0005-0000-0000-0000BA1E0000}"/>
    <cellStyle name="Обычный 4 9 12" xfId="3448" xr:uid="{00000000-0005-0000-0000-0000BB1E0000}"/>
    <cellStyle name="Обычный 4 9 12 2" xfId="7299" xr:uid="{00000000-0005-0000-0000-0000BC1E0000}"/>
    <cellStyle name="Обычный 4 9 13" xfId="3744" xr:uid="{00000000-0005-0000-0000-0000BD1E0000}"/>
    <cellStyle name="Обычный 4 9 13 2" xfId="7595" xr:uid="{00000000-0005-0000-0000-0000BE1E0000}"/>
    <cellStyle name="Обычный 4 9 14" xfId="4040" xr:uid="{00000000-0005-0000-0000-0000BF1E0000}"/>
    <cellStyle name="Обычный 4 9 14 2" xfId="7891" xr:uid="{00000000-0005-0000-0000-0000C01E0000}"/>
    <cellStyle name="Обычный 4 9 15" xfId="8189" xr:uid="{00000000-0005-0000-0000-0000C11E0000}"/>
    <cellStyle name="Обычный 4 9 16" xfId="4337" xr:uid="{00000000-0005-0000-0000-0000C21E0000}"/>
    <cellStyle name="Обычный 4 9 2" xfId="237" xr:uid="{00000000-0005-0000-0000-0000C31E0000}"/>
    <cellStyle name="Обычный 4 9 2 10" xfId="3300" xr:uid="{00000000-0005-0000-0000-0000C41E0000}"/>
    <cellStyle name="Обычный 4 9 2 10 2" xfId="7151" xr:uid="{00000000-0005-0000-0000-0000C51E0000}"/>
    <cellStyle name="Обычный 4 9 2 11" xfId="3596" xr:uid="{00000000-0005-0000-0000-0000C61E0000}"/>
    <cellStyle name="Обычный 4 9 2 11 2" xfId="7447" xr:uid="{00000000-0005-0000-0000-0000C71E0000}"/>
    <cellStyle name="Обычный 4 9 2 12" xfId="3892" xr:uid="{00000000-0005-0000-0000-0000C81E0000}"/>
    <cellStyle name="Обычный 4 9 2 12 2" xfId="7743" xr:uid="{00000000-0005-0000-0000-0000C91E0000}"/>
    <cellStyle name="Обычный 4 9 2 13" xfId="4188" xr:uid="{00000000-0005-0000-0000-0000CA1E0000}"/>
    <cellStyle name="Обычный 4 9 2 13 2" xfId="8039" xr:uid="{00000000-0005-0000-0000-0000CB1E0000}"/>
    <cellStyle name="Обычный 4 9 2 14" xfId="8290" xr:uid="{00000000-0005-0000-0000-0000CC1E0000}"/>
    <cellStyle name="Обычный 4 9 2 15" xfId="4487" xr:uid="{00000000-0005-0000-0000-0000CD1E0000}"/>
    <cellStyle name="Обычный 4 9 2 2" xfId="1006" xr:uid="{00000000-0005-0000-0000-0000CE1E0000}"/>
    <cellStyle name="Обычный 4 9 2 2 2" xfId="8734" xr:uid="{00000000-0005-0000-0000-0000CF1E0000}"/>
    <cellStyle name="Обычный 4 9 2 2 3" xfId="4783" xr:uid="{00000000-0005-0000-0000-0000D01E0000}"/>
    <cellStyle name="Обычный 4 9 2 3" xfId="1246" xr:uid="{00000000-0005-0000-0000-0000D11E0000}"/>
    <cellStyle name="Обычный 4 9 2 3 2" xfId="5079" xr:uid="{00000000-0005-0000-0000-0000D21E0000}"/>
    <cellStyle name="Обычный 4 9 2 4" xfId="1532" xr:uid="{00000000-0005-0000-0000-0000D31E0000}"/>
    <cellStyle name="Обычный 4 9 2 4 2" xfId="5375" xr:uid="{00000000-0005-0000-0000-0000D41E0000}"/>
    <cellStyle name="Обычный 4 9 2 5" xfId="1824" xr:uid="{00000000-0005-0000-0000-0000D51E0000}"/>
    <cellStyle name="Обычный 4 9 2 5 2" xfId="5671" xr:uid="{00000000-0005-0000-0000-0000D61E0000}"/>
    <cellStyle name="Обычный 4 9 2 6" xfId="2117" xr:uid="{00000000-0005-0000-0000-0000D71E0000}"/>
    <cellStyle name="Обычный 4 9 2 6 2" xfId="5967" xr:uid="{00000000-0005-0000-0000-0000D81E0000}"/>
    <cellStyle name="Обычный 4 9 2 7" xfId="2412" xr:uid="{00000000-0005-0000-0000-0000D91E0000}"/>
    <cellStyle name="Обычный 4 9 2 7 2" xfId="6263" xr:uid="{00000000-0005-0000-0000-0000DA1E0000}"/>
    <cellStyle name="Обычный 4 9 2 8" xfId="2708" xr:uid="{00000000-0005-0000-0000-0000DB1E0000}"/>
    <cellStyle name="Обычный 4 9 2 8 2" xfId="6559" xr:uid="{00000000-0005-0000-0000-0000DC1E0000}"/>
    <cellStyle name="Обычный 4 9 2 9" xfId="3004" xr:uid="{00000000-0005-0000-0000-0000DD1E0000}"/>
    <cellStyle name="Обычный 4 9 2 9 2" xfId="6855" xr:uid="{00000000-0005-0000-0000-0000DE1E0000}"/>
    <cellStyle name="Обычный 4 9 3" xfId="338" xr:uid="{00000000-0005-0000-0000-0000DF1E0000}"/>
    <cellStyle name="Обычный 4 9 3 2" xfId="1007" xr:uid="{00000000-0005-0000-0000-0000E01E0000}"/>
    <cellStyle name="Обычный 4 9 3 3" xfId="8390" xr:uid="{00000000-0005-0000-0000-0000E11E0000}"/>
    <cellStyle name="Обычный 4 9 3 4" xfId="4635" xr:uid="{00000000-0005-0000-0000-0000E21E0000}"/>
    <cellStyle name="Обычный 4 9 4" xfId="1008" xr:uid="{00000000-0005-0000-0000-0000E31E0000}"/>
    <cellStyle name="Обычный 4 9 4 2" xfId="8735" xr:uid="{00000000-0005-0000-0000-0000E41E0000}"/>
    <cellStyle name="Обычный 4 9 4 3" xfId="4931" xr:uid="{00000000-0005-0000-0000-0000E51E0000}"/>
    <cellStyle name="Обычный 4 9 5" xfId="1388" xr:uid="{00000000-0005-0000-0000-0000E61E0000}"/>
    <cellStyle name="Обычный 4 9 5 2" xfId="5227" xr:uid="{00000000-0005-0000-0000-0000E71E0000}"/>
    <cellStyle name="Обычный 4 9 6" xfId="1677" xr:uid="{00000000-0005-0000-0000-0000E81E0000}"/>
    <cellStyle name="Обычный 4 9 6 2" xfId="5523" xr:uid="{00000000-0005-0000-0000-0000E91E0000}"/>
    <cellStyle name="Обычный 4 9 7" xfId="1970" xr:uid="{00000000-0005-0000-0000-0000EA1E0000}"/>
    <cellStyle name="Обычный 4 9 7 2" xfId="5819" xr:uid="{00000000-0005-0000-0000-0000EB1E0000}"/>
    <cellStyle name="Обычный 4 9 8" xfId="2264" xr:uid="{00000000-0005-0000-0000-0000EC1E0000}"/>
    <cellStyle name="Обычный 4 9 8 2" xfId="6115" xr:uid="{00000000-0005-0000-0000-0000ED1E0000}"/>
    <cellStyle name="Обычный 4 9 9" xfId="2560" xr:uid="{00000000-0005-0000-0000-0000EE1E0000}"/>
    <cellStyle name="Обычный 4 9 9 2" xfId="6411" xr:uid="{00000000-0005-0000-0000-0000EF1E0000}"/>
    <cellStyle name="Обычный 5" xfId="9" xr:uid="{00000000-0005-0000-0000-0000F01E0000}"/>
    <cellStyle name="Обычный 5 2" xfId="95" xr:uid="{00000000-0005-0000-0000-0000F11E0000}"/>
    <cellStyle name="Обычный 5 2 2" xfId="650" xr:uid="{00000000-0005-0000-0000-0000F21E0000}"/>
    <cellStyle name="Обычный 5 2 3" xfId="621" xr:uid="{00000000-0005-0000-0000-0000F31E0000}"/>
    <cellStyle name="Обычный 5 3" xfId="617" xr:uid="{00000000-0005-0000-0000-0000F41E0000}"/>
    <cellStyle name="Обычный 5 4" xfId="633" xr:uid="{00000000-0005-0000-0000-0000F51E0000}"/>
    <cellStyle name="Обычный 5 5" xfId="669" xr:uid="{00000000-0005-0000-0000-0000F61E0000}"/>
    <cellStyle name="Обычный 5 6" xfId="394" xr:uid="{00000000-0005-0000-0000-0000F71E0000}"/>
    <cellStyle name="Обычный 5 7" xfId="48" xr:uid="{00000000-0005-0000-0000-0000F81E0000}"/>
    <cellStyle name="Обычный 5 8" xfId="8862" xr:uid="{00000000-0005-0000-0000-0000F91E0000}"/>
    <cellStyle name="Обычный 6" xfId="4" xr:uid="{00000000-0005-0000-0000-0000FA1E0000}"/>
    <cellStyle name="Обычный 6 10" xfId="100" xr:uid="{00000000-0005-0000-0000-0000FB1E0000}"/>
    <cellStyle name="Обычный 6 2" xfId="622" xr:uid="{00000000-0005-0000-0000-0000FC1E0000}"/>
    <cellStyle name="Обычный 6 2 2" xfId="1028" xr:uid="{00000000-0005-0000-0000-0000FD1E0000}"/>
    <cellStyle name="Обычный 6 3" xfId="671" xr:uid="{00000000-0005-0000-0000-0000FE1E0000}"/>
    <cellStyle name="Обычный 6 3 2" xfId="1048" xr:uid="{00000000-0005-0000-0000-0000FF1E0000}"/>
    <cellStyle name="Обычный 6 4" xfId="396" xr:uid="{00000000-0005-0000-0000-0000001F0000}"/>
    <cellStyle name="Обычный 6 5" xfId="1027" xr:uid="{00000000-0005-0000-0000-0000011F0000}"/>
    <cellStyle name="Обычный 6 6" xfId="96" xr:uid="{00000000-0005-0000-0000-0000021F0000}"/>
    <cellStyle name="Обычный 7" xfId="97" xr:uid="{00000000-0005-0000-0000-0000031F0000}"/>
    <cellStyle name="Обычный 7 2" xfId="623" xr:uid="{00000000-0005-0000-0000-0000041F0000}"/>
    <cellStyle name="Обычный 7 3" xfId="673" xr:uid="{00000000-0005-0000-0000-0000051F0000}"/>
    <cellStyle name="Обычный 7 4" xfId="398" xr:uid="{00000000-0005-0000-0000-0000061F0000}"/>
    <cellStyle name="Обычный 8" xfId="98" xr:uid="{00000000-0005-0000-0000-0000071F0000}"/>
    <cellStyle name="Обычный 8 2" xfId="624" xr:uid="{00000000-0005-0000-0000-0000081F0000}"/>
    <cellStyle name="Обычный 8 3" xfId="675" xr:uid="{00000000-0005-0000-0000-0000091F0000}"/>
    <cellStyle name="Обычный 8 4" xfId="402" xr:uid="{00000000-0005-0000-0000-00000A1F0000}"/>
    <cellStyle name="Обычный 9" xfId="55" xr:uid="{00000000-0005-0000-0000-00000B1F0000}"/>
    <cellStyle name="Обычный 9 10" xfId="2220" xr:uid="{00000000-0005-0000-0000-00000C1F0000}"/>
    <cellStyle name="Обычный 9 10 2" xfId="6070" xr:uid="{00000000-0005-0000-0000-00000D1F0000}"/>
    <cellStyle name="Обычный 9 11" xfId="2515" xr:uid="{00000000-0005-0000-0000-00000E1F0000}"/>
    <cellStyle name="Обычный 9 11 2" xfId="6366" xr:uid="{00000000-0005-0000-0000-00000F1F0000}"/>
    <cellStyle name="Обычный 9 12" xfId="2811" xr:uid="{00000000-0005-0000-0000-0000101F0000}"/>
    <cellStyle name="Обычный 9 12 2" xfId="6662" xr:uid="{00000000-0005-0000-0000-0000111F0000}"/>
    <cellStyle name="Обычный 9 13" xfId="3107" xr:uid="{00000000-0005-0000-0000-0000121F0000}"/>
    <cellStyle name="Обычный 9 13 2" xfId="6958" xr:uid="{00000000-0005-0000-0000-0000131F0000}"/>
    <cellStyle name="Обычный 9 14" xfId="3403" xr:uid="{00000000-0005-0000-0000-0000141F0000}"/>
    <cellStyle name="Обычный 9 14 2" xfId="7254" xr:uid="{00000000-0005-0000-0000-0000151F0000}"/>
    <cellStyle name="Обычный 9 15" xfId="3699" xr:uid="{00000000-0005-0000-0000-0000161F0000}"/>
    <cellStyle name="Обычный 9 15 2" xfId="7550" xr:uid="{00000000-0005-0000-0000-0000171F0000}"/>
    <cellStyle name="Обычный 9 16" xfId="3995" xr:uid="{00000000-0005-0000-0000-0000181F0000}"/>
    <cellStyle name="Обычный 9 16 2" xfId="7846" xr:uid="{00000000-0005-0000-0000-0000191F0000}"/>
    <cellStyle name="Обычный 9 17" xfId="8142" xr:uid="{00000000-0005-0000-0000-00001A1F0000}"/>
    <cellStyle name="Обычный 9 18" xfId="4291" xr:uid="{00000000-0005-0000-0000-00001B1F0000}"/>
    <cellStyle name="Обычный 9 2" xfId="137" xr:uid="{00000000-0005-0000-0000-00001C1F0000}"/>
    <cellStyle name="Обычный 9 2 10" xfId="2859" xr:uid="{00000000-0005-0000-0000-00001D1F0000}"/>
    <cellStyle name="Обычный 9 2 10 2" xfId="6710" xr:uid="{00000000-0005-0000-0000-00001E1F0000}"/>
    <cellStyle name="Обычный 9 2 11" xfId="3155" xr:uid="{00000000-0005-0000-0000-00001F1F0000}"/>
    <cellStyle name="Обычный 9 2 11 2" xfId="7006" xr:uid="{00000000-0005-0000-0000-0000201F0000}"/>
    <cellStyle name="Обычный 9 2 12" xfId="3451" xr:uid="{00000000-0005-0000-0000-0000211F0000}"/>
    <cellStyle name="Обычный 9 2 12 2" xfId="7302" xr:uid="{00000000-0005-0000-0000-0000221F0000}"/>
    <cellStyle name="Обычный 9 2 13" xfId="3747" xr:uid="{00000000-0005-0000-0000-0000231F0000}"/>
    <cellStyle name="Обычный 9 2 13 2" xfId="7598" xr:uid="{00000000-0005-0000-0000-0000241F0000}"/>
    <cellStyle name="Обычный 9 2 14" xfId="4043" xr:uid="{00000000-0005-0000-0000-0000251F0000}"/>
    <cellStyle name="Обычный 9 2 14 2" xfId="7894" xr:uid="{00000000-0005-0000-0000-0000261F0000}"/>
    <cellStyle name="Обычный 9 2 15" xfId="8192" xr:uid="{00000000-0005-0000-0000-0000271F0000}"/>
    <cellStyle name="Обычный 9 2 16" xfId="4340" xr:uid="{00000000-0005-0000-0000-0000281F0000}"/>
    <cellStyle name="Обычный 9 2 2" xfId="240" xr:uid="{00000000-0005-0000-0000-0000291F0000}"/>
    <cellStyle name="Обычный 9 2 2 10" xfId="3303" xr:uid="{00000000-0005-0000-0000-00002A1F0000}"/>
    <cellStyle name="Обычный 9 2 2 10 2" xfId="7154" xr:uid="{00000000-0005-0000-0000-00002B1F0000}"/>
    <cellStyle name="Обычный 9 2 2 11" xfId="3599" xr:uid="{00000000-0005-0000-0000-00002C1F0000}"/>
    <cellStyle name="Обычный 9 2 2 11 2" xfId="7450" xr:uid="{00000000-0005-0000-0000-00002D1F0000}"/>
    <cellStyle name="Обычный 9 2 2 12" xfId="3895" xr:uid="{00000000-0005-0000-0000-00002E1F0000}"/>
    <cellStyle name="Обычный 9 2 2 12 2" xfId="7746" xr:uid="{00000000-0005-0000-0000-00002F1F0000}"/>
    <cellStyle name="Обычный 9 2 2 13" xfId="4191" xr:uid="{00000000-0005-0000-0000-0000301F0000}"/>
    <cellStyle name="Обычный 9 2 2 13 2" xfId="8042" xr:uid="{00000000-0005-0000-0000-0000311F0000}"/>
    <cellStyle name="Обычный 9 2 2 14" xfId="8293" xr:uid="{00000000-0005-0000-0000-0000321F0000}"/>
    <cellStyle name="Обычный 9 2 2 15" xfId="4490" xr:uid="{00000000-0005-0000-0000-0000331F0000}"/>
    <cellStyle name="Обычный 9 2 2 2" xfId="1009" xr:uid="{00000000-0005-0000-0000-0000341F0000}"/>
    <cellStyle name="Обычный 9 2 2 2 2" xfId="8736" xr:uid="{00000000-0005-0000-0000-0000351F0000}"/>
    <cellStyle name="Обычный 9 2 2 2 3" xfId="4786" xr:uid="{00000000-0005-0000-0000-0000361F0000}"/>
    <cellStyle name="Обычный 9 2 2 3" xfId="1249" xr:uid="{00000000-0005-0000-0000-0000371F0000}"/>
    <cellStyle name="Обычный 9 2 2 3 2" xfId="5082" xr:uid="{00000000-0005-0000-0000-0000381F0000}"/>
    <cellStyle name="Обычный 9 2 2 4" xfId="1535" xr:uid="{00000000-0005-0000-0000-0000391F0000}"/>
    <cellStyle name="Обычный 9 2 2 4 2" xfId="5378" xr:uid="{00000000-0005-0000-0000-00003A1F0000}"/>
    <cellStyle name="Обычный 9 2 2 5" xfId="1827" xr:uid="{00000000-0005-0000-0000-00003B1F0000}"/>
    <cellStyle name="Обычный 9 2 2 5 2" xfId="5674" xr:uid="{00000000-0005-0000-0000-00003C1F0000}"/>
    <cellStyle name="Обычный 9 2 2 6" xfId="2120" xr:uid="{00000000-0005-0000-0000-00003D1F0000}"/>
    <cellStyle name="Обычный 9 2 2 6 2" xfId="5970" xr:uid="{00000000-0005-0000-0000-00003E1F0000}"/>
    <cellStyle name="Обычный 9 2 2 7" xfId="2415" xr:uid="{00000000-0005-0000-0000-00003F1F0000}"/>
    <cellStyle name="Обычный 9 2 2 7 2" xfId="6266" xr:uid="{00000000-0005-0000-0000-0000401F0000}"/>
    <cellStyle name="Обычный 9 2 2 8" xfId="2711" xr:uid="{00000000-0005-0000-0000-0000411F0000}"/>
    <cellStyle name="Обычный 9 2 2 8 2" xfId="6562" xr:uid="{00000000-0005-0000-0000-0000421F0000}"/>
    <cellStyle name="Обычный 9 2 2 9" xfId="3007" xr:uid="{00000000-0005-0000-0000-0000431F0000}"/>
    <cellStyle name="Обычный 9 2 2 9 2" xfId="6858" xr:uid="{00000000-0005-0000-0000-0000441F0000}"/>
    <cellStyle name="Обычный 9 2 3" xfId="341" xr:uid="{00000000-0005-0000-0000-0000451F0000}"/>
    <cellStyle name="Обычный 9 2 3 2" xfId="1010" xr:uid="{00000000-0005-0000-0000-0000461F0000}"/>
    <cellStyle name="Обычный 9 2 3 3" xfId="8393" xr:uid="{00000000-0005-0000-0000-0000471F0000}"/>
    <cellStyle name="Обычный 9 2 3 4" xfId="4638" xr:uid="{00000000-0005-0000-0000-0000481F0000}"/>
    <cellStyle name="Обычный 9 2 4" xfId="616" xr:uid="{00000000-0005-0000-0000-0000491F0000}"/>
    <cellStyle name="Обычный 9 2 4 2" xfId="8458" xr:uid="{00000000-0005-0000-0000-00004A1F0000}"/>
    <cellStyle name="Обычный 9 2 4 3" xfId="4934" xr:uid="{00000000-0005-0000-0000-00004B1F0000}"/>
    <cellStyle name="Обычный 9 2 5" xfId="1391" xr:uid="{00000000-0005-0000-0000-00004C1F0000}"/>
    <cellStyle name="Обычный 9 2 5 2" xfId="5230" xr:uid="{00000000-0005-0000-0000-00004D1F0000}"/>
    <cellStyle name="Обычный 9 2 6" xfId="1680" xr:uid="{00000000-0005-0000-0000-00004E1F0000}"/>
    <cellStyle name="Обычный 9 2 6 2" xfId="5526" xr:uid="{00000000-0005-0000-0000-00004F1F0000}"/>
    <cellStyle name="Обычный 9 2 7" xfId="1973" xr:uid="{00000000-0005-0000-0000-0000501F0000}"/>
    <cellStyle name="Обычный 9 2 7 2" xfId="5822" xr:uid="{00000000-0005-0000-0000-0000511F0000}"/>
    <cellStyle name="Обычный 9 2 8" xfId="2267" xr:uid="{00000000-0005-0000-0000-0000521F0000}"/>
    <cellStyle name="Обычный 9 2 8 2" xfId="6118" xr:uid="{00000000-0005-0000-0000-0000531F0000}"/>
    <cellStyle name="Обычный 9 2 9" xfId="2563" xr:uid="{00000000-0005-0000-0000-0000541F0000}"/>
    <cellStyle name="Обычный 9 2 9 2" xfId="6414" xr:uid="{00000000-0005-0000-0000-0000551F0000}"/>
    <cellStyle name="Обычный 9 3" xfId="190" xr:uid="{00000000-0005-0000-0000-0000561F0000}"/>
    <cellStyle name="Обычный 9 3 10" xfId="2909" xr:uid="{00000000-0005-0000-0000-0000571F0000}"/>
    <cellStyle name="Обычный 9 3 10 2" xfId="6760" xr:uid="{00000000-0005-0000-0000-0000581F0000}"/>
    <cellStyle name="Обычный 9 3 11" xfId="3205" xr:uid="{00000000-0005-0000-0000-0000591F0000}"/>
    <cellStyle name="Обычный 9 3 11 2" xfId="7056" xr:uid="{00000000-0005-0000-0000-00005A1F0000}"/>
    <cellStyle name="Обычный 9 3 12" xfId="3501" xr:uid="{00000000-0005-0000-0000-00005B1F0000}"/>
    <cellStyle name="Обычный 9 3 12 2" xfId="7352" xr:uid="{00000000-0005-0000-0000-00005C1F0000}"/>
    <cellStyle name="Обычный 9 3 13" xfId="3797" xr:uid="{00000000-0005-0000-0000-00005D1F0000}"/>
    <cellStyle name="Обычный 9 3 13 2" xfId="7648" xr:uid="{00000000-0005-0000-0000-00005E1F0000}"/>
    <cellStyle name="Обычный 9 3 14" xfId="4093" xr:uid="{00000000-0005-0000-0000-00005F1F0000}"/>
    <cellStyle name="Обычный 9 3 14 2" xfId="7944" xr:uid="{00000000-0005-0000-0000-0000601F0000}"/>
    <cellStyle name="Обычный 9 3 15" xfId="8243" xr:uid="{00000000-0005-0000-0000-0000611F0000}"/>
    <cellStyle name="Обычный 9 3 16" xfId="4391" xr:uid="{00000000-0005-0000-0000-0000621F0000}"/>
    <cellStyle name="Обычный 9 3 2" xfId="628" xr:uid="{00000000-0005-0000-0000-0000631F0000}"/>
    <cellStyle name="Обычный 9 3 2 10" xfId="3353" xr:uid="{00000000-0005-0000-0000-0000641F0000}"/>
    <cellStyle name="Обычный 9 3 2 10 2" xfId="7204" xr:uid="{00000000-0005-0000-0000-0000651F0000}"/>
    <cellStyle name="Обычный 9 3 2 11" xfId="3649" xr:uid="{00000000-0005-0000-0000-0000661F0000}"/>
    <cellStyle name="Обычный 9 3 2 11 2" xfId="7500" xr:uid="{00000000-0005-0000-0000-0000671F0000}"/>
    <cellStyle name="Обычный 9 3 2 12" xfId="3945" xr:uid="{00000000-0005-0000-0000-0000681F0000}"/>
    <cellStyle name="Обычный 9 3 2 12 2" xfId="7796" xr:uid="{00000000-0005-0000-0000-0000691F0000}"/>
    <cellStyle name="Обычный 9 3 2 13" xfId="4241" xr:uid="{00000000-0005-0000-0000-00006A1F0000}"/>
    <cellStyle name="Обычный 9 3 2 13 2" xfId="8092" xr:uid="{00000000-0005-0000-0000-00006B1F0000}"/>
    <cellStyle name="Обычный 9 3 2 14" xfId="8462" xr:uid="{00000000-0005-0000-0000-00006C1F0000}"/>
    <cellStyle name="Обычный 9 3 2 15" xfId="4540" xr:uid="{00000000-0005-0000-0000-00006D1F0000}"/>
    <cellStyle name="Обычный 9 3 2 2" xfId="1108" xr:uid="{00000000-0005-0000-0000-00006E1F0000}"/>
    <cellStyle name="Обычный 9 3 2 2 2" xfId="4836" xr:uid="{00000000-0005-0000-0000-00006F1F0000}"/>
    <cellStyle name="Обычный 9 3 2 3" xfId="1297" xr:uid="{00000000-0005-0000-0000-0000701F0000}"/>
    <cellStyle name="Обычный 9 3 2 3 2" xfId="5132" xr:uid="{00000000-0005-0000-0000-0000711F0000}"/>
    <cellStyle name="Обычный 9 3 2 4" xfId="1584" xr:uid="{00000000-0005-0000-0000-0000721F0000}"/>
    <cellStyle name="Обычный 9 3 2 4 2" xfId="5428" xr:uid="{00000000-0005-0000-0000-0000731F0000}"/>
    <cellStyle name="Обычный 9 3 2 5" xfId="1877" xr:uid="{00000000-0005-0000-0000-0000741F0000}"/>
    <cellStyle name="Обычный 9 3 2 5 2" xfId="5724" xr:uid="{00000000-0005-0000-0000-0000751F0000}"/>
    <cellStyle name="Обычный 9 3 2 6" xfId="2170" xr:uid="{00000000-0005-0000-0000-0000761F0000}"/>
    <cellStyle name="Обычный 9 3 2 6 2" xfId="6020" xr:uid="{00000000-0005-0000-0000-0000771F0000}"/>
    <cellStyle name="Обычный 9 3 2 7" xfId="2465" xr:uid="{00000000-0005-0000-0000-0000781F0000}"/>
    <cellStyle name="Обычный 9 3 2 7 2" xfId="6316" xr:uid="{00000000-0005-0000-0000-0000791F0000}"/>
    <cellStyle name="Обычный 9 3 2 8" xfId="2761" xr:uid="{00000000-0005-0000-0000-00007A1F0000}"/>
    <cellStyle name="Обычный 9 3 2 8 2" xfId="6612" xr:uid="{00000000-0005-0000-0000-00007B1F0000}"/>
    <cellStyle name="Обычный 9 3 2 9" xfId="3057" xr:uid="{00000000-0005-0000-0000-00007C1F0000}"/>
    <cellStyle name="Обычный 9 3 2 9 2" xfId="6908" xr:uid="{00000000-0005-0000-0000-00007D1F0000}"/>
    <cellStyle name="Обычный 9 3 3" xfId="1061" xr:uid="{00000000-0005-0000-0000-00007E1F0000}"/>
    <cellStyle name="Обычный 9 3 3 2" xfId="4688" xr:uid="{00000000-0005-0000-0000-00007F1F0000}"/>
    <cellStyle name="Обычный 9 3 4" xfId="1155" xr:uid="{00000000-0005-0000-0000-0000801F0000}"/>
    <cellStyle name="Обычный 9 3 4 2" xfId="4984" xr:uid="{00000000-0005-0000-0000-0000811F0000}"/>
    <cellStyle name="Обычный 9 3 5" xfId="1438" xr:uid="{00000000-0005-0000-0000-0000821F0000}"/>
    <cellStyle name="Обычный 9 3 5 2" xfId="5280" xr:uid="{00000000-0005-0000-0000-0000831F0000}"/>
    <cellStyle name="Обычный 9 3 6" xfId="1729" xr:uid="{00000000-0005-0000-0000-0000841F0000}"/>
    <cellStyle name="Обычный 9 3 6 2" xfId="5576" xr:uid="{00000000-0005-0000-0000-0000851F0000}"/>
    <cellStyle name="Обычный 9 3 7" xfId="2022" xr:uid="{00000000-0005-0000-0000-0000861F0000}"/>
    <cellStyle name="Обычный 9 3 7 2" xfId="5872" xr:uid="{00000000-0005-0000-0000-0000871F0000}"/>
    <cellStyle name="Обычный 9 3 8" xfId="2317" xr:uid="{00000000-0005-0000-0000-0000881F0000}"/>
    <cellStyle name="Обычный 9 3 8 2" xfId="6168" xr:uid="{00000000-0005-0000-0000-0000891F0000}"/>
    <cellStyle name="Обычный 9 3 9" xfId="2613" xr:uid="{00000000-0005-0000-0000-00008A1F0000}"/>
    <cellStyle name="Обычный 9 3 9 2" xfId="6464" xr:uid="{00000000-0005-0000-0000-00008B1F0000}"/>
    <cellStyle name="Обычный 9 4" xfId="291" xr:uid="{00000000-0005-0000-0000-00008C1F0000}"/>
    <cellStyle name="Обычный 9 4 10" xfId="3255" xr:uid="{00000000-0005-0000-0000-00008D1F0000}"/>
    <cellStyle name="Обычный 9 4 10 2" xfId="7106" xr:uid="{00000000-0005-0000-0000-00008E1F0000}"/>
    <cellStyle name="Обычный 9 4 11" xfId="3551" xr:uid="{00000000-0005-0000-0000-00008F1F0000}"/>
    <cellStyle name="Обычный 9 4 11 2" xfId="7402" xr:uid="{00000000-0005-0000-0000-0000901F0000}"/>
    <cellStyle name="Обычный 9 4 12" xfId="3847" xr:uid="{00000000-0005-0000-0000-0000911F0000}"/>
    <cellStyle name="Обычный 9 4 12 2" xfId="7698" xr:uid="{00000000-0005-0000-0000-0000921F0000}"/>
    <cellStyle name="Обычный 9 4 13" xfId="4143" xr:uid="{00000000-0005-0000-0000-0000931F0000}"/>
    <cellStyle name="Обычный 9 4 13 2" xfId="7994" xr:uid="{00000000-0005-0000-0000-0000941F0000}"/>
    <cellStyle name="Обычный 9 4 14" xfId="8343" xr:uid="{00000000-0005-0000-0000-0000951F0000}"/>
    <cellStyle name="Обычный 9 4 15" xfId="4442" xr:uid="{00000000-0005-0000-0000-0000961F0000}"/>
    <cellStyle name="Обычный 9 4 2" xfId="625" xr:uid="{00000000-0005-0000-0000-0000971F0000}"/>
    <cellStyle name="Обычный 9 4 2 2" xfId="8459" xr:uid="{00000000-0005-0000-0000-0000981F0000}"/>
    <cellStyle name="Обычный 9 4 2 3" xfId="4738" xr:uid="{00000000-0005-0000-0000-0000991F0000}"/>
    <cellStyle name="Обычный 9 4 3" xfId="1202" xr:uid="{00000000-0005-0000-0000-00009A1F0000}"/>
    <cellStyle name="Обычный 9 4 3 2" xfId="5034" xr:uid="{00000000-0005-0000-0000-00009B1F0000}"/>
    <cellStyle name="Обычный 9 4 4" xfId="1487" xr:uid="{00000000-0005-0000-0000-00009C1F0000}"/>
    <cellStyle name="Обычный 9 4 4 2" xfId="5330" xr:uid="{00000000-0005-0000-0000-00009D1F0000}"/>
    <cellStyle name="Обычный 9 4 5" xfId="1779" xr:uid="{00000000-0005-0000-0000-00009E1F0000}"/>
    <cellStyle name="Обычный 9 4 5 2" xfId="5626" xr:uid="{00000000-0005-0000-0000-00009F1F0000}"/>
    <cellStyle name="Обычный 9 4 6" xfId="2072" xr:uid="{00000000-0005-0000-0000-0000A01F0000}"/>
    <cellStyle name="Обычный 9 4 6 2" xfId="5922" xr:uid="{00000000-0005-0000-0000-0000A11F0000}"/>
    <cellStyle name="Обычный 9 4 7" xfId="2367" xr:uid="{00000000-0005-0000-0000-0000A21F0000}"/>
    <cellStyle name="Обычный 9 4 7 2" xfId="6218" xr:uid="{00000000-0005-0000-0000-0000A31F0000}"/>
    <cellStyle name="Обычный 9 4 8" xfId="2663" xr:uid="{00000000-0005-0000-0000-0000A41F0000}"/>
    <cellStyle name="Обычный 9 4 8 2" xfId="6514" xr:uid="{00000000-0005-0000-0000-0000A51F0000}"/>
    <cellStyle name="Обычный 9 4 9" xfId="2959" xr:uid="{00000000-0005-0000-0000-0000A61F0000}"/>
    <cellStyle name="Обычный 9 4 9 2" xfId="6810" xr:uid="{00000000-0005-0000-0000-0000A71F0000}"/>
    <cellStyle name="Обычный 9 5" xfId="677" xr:uid="{00000000-0005-0000-0000-0000A81F0000}"/>
    <cellStyle name="Обычный 9 5 2" xfId="8481" xr:uid="{00000000-0005-0000-0000-0000A91F0000}"/>
    <cellStyle name="Обычный 9 5 3" xfId="4590" xr:uid="{00000000-0005-0000-0000-0000AA1F0000}"/>
    <cellStyle name="Обычный 9 6" xfId="405" xr:uid="{00000000-0005-0000-0000-0000AB1F0000}"/>
    <cellStyle name="Обычный 9 6 2" xfId="8448" xr:uid="{00000000-0005-0000-0000-0000AC1F0000}"/>
    <cellStyle name="Обычный 9 6 3" xfId="4886" xr:uid="{00000000-0005-0000-0000-0000AD1F0000}"/>
    <cellStyle name="Обычный 9 7" xfId="1344" xr:uid="{00000000-0005-0000-0000-0000AE1F0000}"/>
    <cellStyle name="Обычный 9 7 2" xfId="5182" xr:uid="{00000000-0005-0000-0000-0000AF1F0000}"/>
    <cellStyle name="Обычный 9 8" xfId="1633" xr:uid="{00000000-0005-0000-0000-0000B01F0000}"/>
    <cellStyle name="Обычный 9 8 2" xfId="5478" xr:uid="{00000000-0005-0000-0000-0000B11F0000}"/>
    <cellStyle name="Обычный 9 9" xfId="1926" xr:uid="{00000000-0005-0000-0000-0000B21F0000}"/>
    <cellStyle name="Обычный 9 9 2" xfId="5774" xr:uid="{00000000-0005-0000-0000-0000B31F0000}"/>
    <cellStyle name="Обычный_PL_Производство" xfId="8807" xr:uid="{00000000-0005-0000-0000-0000B41F0000}"/>
    <cellStyle name="Обычный_Приднепровский МЄЗ 2" xfId="8809" xr:uid="{00000000-0005-0000-0000-0000B81F0000}"/>
    <cellStyle name="Обычный_Славута" xfId="27" xr:uid="{00000000-0005-0000-0000-0000B91F0000}"/>
    <cellStyle name="Процентный" xfId="7" builtinId="5"/>
    <cellStyle name="Процентный 2" xfId="5" xr:uid="{00000000-0005-0000-0000-0000BB1F0000}"/>
    <cellStyle name="Процентный 2 2" xfId="104" xr:uid="{00000000-0005-0000-0000-0000BC1F0000}"/>
    <cellStyle name="Процентный 2 2 10" xfId="2240" xr:uid="{00000000-0005-0000-0000-0000BD1F0000}"/>
    <cellStyle name="Процентный 2 2 10 2" xfId="6091" xr:uid="{00000000-0005-0000-0000-0000BE1F0000}"/>
    <cellStyle name="Процентный 2 2 11" xfId="2536" xr:uid="{00000000-0005-0000-0000-0000BF1F0000}"/>
    <cellStyle name="Процентный 2 2 11 2" xfId="6387" xr:uid="{00000000-0005-0000-0000-0000C01F0000}"/>
    <cellStyle name="Процентный 2 2 12" xfId="2832" xr:uid="{00000000-0005-0000-0000-0000C11F0000}"/>
    <cellStyle name="Процентный 2 2 12 2" xfId="6683" xr:uid="{00000000-0005-0000-0000-0000C21F0000}"/>
    <cellStyle name="Процентный 2 2 13" xfId="3128" xr:uid="{00000000-0005-0000-0000-0000C31F0000}"/>
    <cellStyle name="Процентный 2 2 13 2" xfId="6979" xr:uid="{00000000-0005-0000-0000-0000C41F0000}"/>
    <cellStyle name="Процентный 2 2 14" xfId="3424" xr:uid="{00000000-0005-0000-0000-0000C51F0000}"/>
    <cellStyle name="Процентный 2 2 14 2" xfId="7275" xr:uid="{00000000-0005-0000-0000-0000C61F0000}"/>
    <cellStyle name="Процентный 2 2 15" xfId="3720" xr:uid="{00000000-0005-0000-0000-0000C71F0000}"/>
    <cellStyle name="Процентный 2 2 15 2" xfId="7571" xr:uid="{00000000-0005-0000-0000-0000C81F0000}"/>
    <cellStyle name="Процентный 2 2 16" xfId="4016" xr:uid="{00000000-0005-0000-0000-0000C91F0000}"/>
    <cellStyle name="Процентный 2 2 16 2" xfId="7867" xr:uid="{00000000-0005-0000-0000-0000CA1F0000}"/>
    <cellStyle name="Процентный 2 2 17" xfId="8163" xr:uid="{00000000-0005-0000-0000-0000CB1F0000}"/>
    <cellStyle name="Процентный 2 2 18" xfId="4312" xr:uid="{00000000-0005-0000-0000-0000CC1F0000}"/>
    <cellStyle name="Процентный 2 2 2" xfId="158" xr:uid="{00000000-0005-0000-0000-0000CD1F0000}"/>
    <cellStyle name="Процентный 2 2 2 10" xfId="2880" xr:uid="{00000000-0005-0000-0000-0000CE1F0000}"/>
    <cellStyle name="Процентный 2 2 2 10 2" xfId="6731" xr:uid="{00000000-0005-0000-0000-0000CF1F0000}"/>
    <cellStyle name="Процентный 2 2 2 11" xfId="3176" xr:uid="{00000000-0005-0000-0000-0000D01F0000}"/>
    <cellStyle name="Процентный 2 2 2 11 2" xfId="7027" xr:uid="{00000000-0005-0000-0000-0000D11F0000}"/>
    <cellStyle name="Процентный 2 2 2 12" xfId="3472" xr:uid="{00000000-0005-0000-0000-0000D21F0000}"/>
    <cellStyle name="Процентный 2 2 2 12 2" xfId="7323" xr:uid="{00000000-0005-0000-0000-0000D31F0000}"/>
    <cellStyle name="Процентный 2 2 2 13" xfId="3768" xr:uid="{00000000-0005-0000-0000-0000D41F0000}"/>
    <cellStyle name="Процентный 2 2 2 13 2" xfId="7619" xr:uid="{00000000-0005-0000-0000-0000D51F0000}"/>
    <cellStyle name="Процентный 2 2 2 14" xfId="4064" xr:uid="{00000000-0005-0000-0000-0000D61F0000}"/>
    <cellStyle name="Процентный 2 2 2 14 2" xfId="7915" xr:uid="{00000000-0005-0000-0000-0000D71F0000}"/>
    <cellStyle name="Процентный 2 2 2 15" xfId="8213" xr:uid="{00000000-0005-0000-0000-0000D81F0000}"/>
    <cellStyle name="Процентный 2 2 2 16" xfId="4361" xr:uid="{00000000-0005-0000-0000-0000D91F0000}"/>
    <cellStyle name="Процентный 2 2 2 2" xfId="261" xr:uid="{00000000-0005-0000-0000-0000DA1F0000}"/>
    <cellStyle name="Процентный 2 2 2 2 10" xfId="3324" xr:uid="{00000000-0005-0000-0000-0000DB1F0000}"/>
    <cellStyle name="Процентный 2 2 2 2 10 2" xfId="7175" xr:uid="{00000000-0005-0000-0000-0000DC1F0000}"/>
    <cellStyle name="Процентный 2 2 2 2 11" xfId="3620" xr:uid="{00000000-0005-0000-0000-0000DD1F0000}"/>
    <cellStyle name="Процентный 2 2 2 2 11 2" xfId="7471" xr:uid="{00000000-0005-0000-0000-0000DE1F0000}"/>
    <cellStyle name="Процентный 2 2 2 2 12" xfId="3916" xr:uid="{00000000-0005-0000-0000-0000DF1F0000}"/>
    <cellStyle name="Процентный 2 2 2 2 12 2" xfId="7767" xr:uid="{00000000-0005-0000-0000-0000E01F0000}"/>
    <cellStyle name="Процентный 2 2 2 2 13" xfId="4212" xr:uid="{00000000-0005-0000-0000-0000E11F0000}"/>
    <cellStyle name="Процентный 2 2 2 2 13 2" xfId="8063" xr:uid="{00000000-0005-0000-0000-0000E21F0000}"/>
    <cellStyle name="Процентный 2 2 2 2 14" xfId="8314" xr:uid="{00000000-0005-0000-0000-0000E31F0000}"/>
    <cellStyle name="Процентный 2 2 2 2 15" xfId="4511" xr:uid="{00000000-0005-0000-0000-0000E41F0000}"/>
    <cellStyle name="Процентный 2 2 2 2 2" xfId="1011" xr:uid="{00000000-0005-0000-0000-0000E51F0000}"/>
    <cellStyle name="Процентный 2 2 2 2 2 2" xfId="8737" xr:uid="{00000000-0005-0000-0000-0000E61F0000}"/>
    <cellStyle name="Процентный 2 2 2 2 2 3" xfId="4807" xr:uid="{00000000-0005-0000-0000-0000E71F0000}"/>
    <cellStyle name="Процентный 2 2 2 2 3" xfId="1269" xr:uid="{00000000-0005-0000-0000-0000E81F0000}"/>
    <cellStyle name="Процентный 2 2 2 2 3 2" xfId="5103" xr:uid="{00000000-0005-0000-0000-0000E91F0000}"/>
    <cellStyle name="Процентный 2 2 2 2 4" xfId="1555" xr:uid="{00000000-0005-0000-0000-0000EA1F0000}"/>
    <cellStyle name="Процентный 2 2 2 2 4 2" xfId="5399" xr:uid="{00000000-0005-0000-0000-0000EB1F0000}"/>
    <cellStyle name="Процентный 2 2 2 2 5" xfId="1848" xr:uid="{00000000-0005-0000-0000-0000EC1F0000}"/>
    <cellStyle name="Процентный 2 2 2 2 5 2" xfId="5695" xr:uid="{00000000-0005-0000-0000-0000ED1F0000}"/>
    <cellStyle name="Процентный 2 2 2 2 6" xfId="2141" xr:uid="{00000000-0005-0000-0000-0000EE1F0000}"/>
    <cellStyle name="Процентный 2 2 2 2 6 2" xfId="5991" xr:uid="{00000000-0005-0000-0000-0000EF1F0000}"/>
    <cellStyle name="Процентный 2 2 2 2 7" xfId="2436" xr:uid="{00000000-0005-0000-0000-0000F01F0000}"/>
    <cellStyle name="Процентный 2 2 2 2 7 2" xfId="6287" xr:uid="{00000000-0005-0000-0000-0000F11F0000}"/>
    <cellStyle name="Процентный 2 2 2 2 8" xfId="2732" xr:uid="{00000000-0005-0000-0000-0000F21F0000}"/>
    <cellStyle name="Процентный 2 2 2 2 8 2" xfId="6583" xr:uid="{00000000-0005-0000-0000-0000F31F0000}"/>
    <cellStyle name="Процентный 2 2 2 2 9" xfId="3028" xr:uid="{00000000-0005-0000-0000-0000F41F0000}"/>
    <cellStyle name="Процентный 2 2 2 2 9 2" xfId="6879" xr:uid="{00000000-0005-0000-0000-0000F51F0000}"/>
    <cellStyle name="Процентный 2 2 2 3" xfId="362" xr:uid="{00000000-0005-0000-0000-0000F61F0000}"/>
    <cellStyle name="Процентный 2 2 2 3 2" xfId="1012" xr:uid="{00000000-0005-0000-0000-0000F71F0000}"/>
    <cellStyle name="Процентный 2 2 2 3 3" xfId="8414" xr:uid="{00000000-0005-0000-0000-0000F81F0000}"/>
    <cellStyle name="Процентный 2 2 2 3 4" xfId="4659" xr:uid="{00000000-0005-0000-0000-0000F91F0000}"/>
    <cellStyle name="Процентный 2 2 2 4" xfId="1013" xr:uid="{00000000-0005-0000-0000-0000FA1F0000}"/>
    <cellStyle name="Процентный 2 2 2 4 2" xfId="8738" xr:uid="{00000000-0005-0000-0000-0000FB1F0000}"/>
    <cellStyle name="Процентный 2 2 2 4 3" xfId="4955" xr:uid="{00000000-0005-0000-0000-0000FC1F0000}"/>
    <cellStyle name="Процентный 2 2 2 5" xfId="1411" xr:uid="{00000000-0005-0000-0000-0000FD1F0000}"/>
    <cellStyle name="Процентный 2 2 2 5 2" xfId="5251" xr:uid="{00000000-0005-0000-0000-0000FE1F0000}"/>
    <cellStyle name="Процентный 2 2 2 6" xfId="1701" xr:uid="{00000000-0005-0000-0000-0000FF1F0000}"/>
    <cellStyle name="Процентный 2 2 2 6 2" xfId="5547" xr:uid="{00000000-0005-0000-0000-000000200000}"/>
    <cellStyle name="Процентный 2 2 2 7" xfId="1994" xr:uid="{00000000-0005-0000-0000-000001200000}"/>
    <cellStyle name="Процентный 2 2 2 7 2" xfId="5843" xr:uid="{00000000-0005-0000-0000-000002200000}"/>
    <cellStyle name="Процентный 2 2 2 8" xfId="2288" xr:uid="{00000000-0005-0000-0000-000003200000}"/>
    <cellStyle name="Процентный 2 2 2 8 2" xfId="6139" xr:uid="{00000000-0005-0000-0000-000004200000}"/>
    <cellStyle name="Процентный 2 2 2 9" xfId="2584" xr:uid="{00000000-0005-0000-0000-000005200000}"/>
    <cellStyle name="Процентный 2 2 2 9 2" xfId="6435" xr:uid="{00000000-0005-0000-0000-000006200000}"/>
    <cellStyle name="Процентный 2 2 3" xfId="211" xr:uid="{00000000-0005-0000-0000-000007200000}"/>
    <cellStyle name="Процентный 2 2 3 10" xfId="2930" xr:uid="{00000000-0005-0000-0000-000008200000}"/>
    <cellStyle name="Процентный 2 2 3 10 2" xfId="6781" xr:uid="{00000000-0005-0000-0000-000009200000}"/>
    <cellStyle name="Процентный 2 2 3 11" xfId="3226" xr:uid="{00000000-0005-0000-0000-00000A200000}"/>
    <cellStyle name="Процентный 2 2 3 11 2" xfId="7077" xr:uid="{00000000-0005-0000-0000-00000B200000}"/>
    <cellStyle name="Процентный 2 2 3 12" xfId="3522" xr:uid="{00000000-0005-0000-0000-00000C200000}"/>
    <cellStyle name="Процентный 2 2 3 12 2" xfId="7373" xr:uid="{00000000-0005-0000-0000-00000D200000}"/>
    <cellStyle name="Процентный 2 2 3 13" xfId="3818" xr:uid="{00000000-0005-0000-0000-00000E200000}"/>
    <cellStyle name="Процентный 2 2 3 13 2" xfId="7669" xr:uid="{00000000-0005-0000-0000-00000F200000}"/>
    <cellStyle name="Процентный 2 2 3 14" xfId="4114" xr:uid="{00000000-0005-0000-0000-000010200000}"/>
    <cellStyle name="Процентный 2 2 3 14 2" xfId="7965" xr:uid="{00000000-0005-0000-0000-000011200000}"/>
    <cellStyle name="Процентный 2 2 3 15" xfId="8264" xr:uid="{00000000-0005-0000-0000-000012200000}"/>
    <cellStyle name="Процентный 2 2 3 16" xfId="4412" xr:uid="{00000000-0005-0000-0000-000013200000}"/>
    <cellStyle name="Процентный 2 2 3 2" xfId="1014" xr:uid="{00000000-0005-0000-0000-000014200000}"/>
    <cellStyle name="Процентный 2 2 3 2 10" xfId="3374" xr:uid="{00000000-0005-0000-0000-000015200000}"/>
    <cellStyle name="Процентный 2 2 3 2 10 2" xfId="7225" xr:uid="{00000000-0005-0000-0000-000016200000}"/>
    <cellStyle name="Процентный 2 2 3 2 11" xfId="3670" xr:uid="{00000000-0005-0000-0000-000017200000}"/>
    <cellStyle name="Процентный 2 2 3 2 11 2" xfId="7521" xr:uid="{00000000-0005-0000-0000-000018200000}"/>
    <cellStyle name="Процентный 2 2 3 2 12" xfId="3966" xr:uid="{00000000-0005-0000-0000-000019200000}"/>
    <cellStyle name="Процентный 2 2 3 2 12 2" xfId="7817" xr:uid="{00000000-0005-0000-0000-00001A200000}"/>
    <cellStyle name="Процентный 2 2 3 2 13" xfId="4262" xr:uid="{00000000-0005-0000-0000-00001B200000}"/>
    <cellStyle name="Процентный 2 2 3 2 13 2" xfId="8113" xr:uid="{00000000-0005-0000-0000-00001C200000}"/>
    <cellStyle name="Процентный 2 2 3 2 14" xfId="8739" xr:uid="{00000000-0005-0000-0000-00001D200000}"/>
    <cellStyle name="Процентный 2 2 3 2 15" xfId="4561" xr:uid="{00000000-0005-0000-0000-00001E200000}"/>
    <cellStyle name="Процентный 2 2 3 2 2" xfId="1128" xr:uid="{00000000-0005-0000-0000-00001F200000}"/>
    <cellStyle name="Процентный 2 2 3 2 2 2" xfId="4857" xr:uid="{00000000-0005-0000-0000-000020200000}"/>
    <cellStyle name="Процентный 2 2 3 2 3" xfId="1317" xr:uid="{00000000-0005-0000-0000-000021200000}"/>
    <cellStyle name="Процентный 2 2 3 2 3 2" xfId="5153" xr:uid="{00000000-0005-0000-0000-000022200000}"/>
    <cellStyle name="Процентный 2 2 3 2 4" xfId="1604" xr:uid="{00000000-0005-0000-0000-000023200000}"/>
    <cellStyle name="Процентный 2 2 3 2 4 2" xfId="5449" xr:uid="{00000000-0005-0000-0000-000024200000}"/>
    <cellStyle name="Процентный 2 2 3 2 5" xfId="1897" xr:uid="{00000000-0005-0000-0000-000025200000}"/>
    <cellStyle name="Процентный 2 2 3 2 5 2" xfId="5745" xr:uid="{00000000-0005-0000-0000-000026200000}"/>
    <cellStyle name="Процентный 2 2 3 2 6" xfId="2191" xr:uid="{00000000-0005-0000-0000-000027200000}"/>
    <cellStyle name="Процентный 2 2 3 2 6 2" xfId="6041" xr:uid="{00000000-0005-0000-0000-000028200000}"/>
    <cellStyle name="Процентный 2 2 3 2 7" xfId="2486" xr:uid="{00000000-0005-0000-0000-000029200000}"/>
    <cellStyle name="Процентный 2 2 3 2 7 2" xfId="6337" xr:uid="{00000000-0005-0000-0000-00002A200000}"/>
    <cellStyle name="Процентный 2 2 3 2 8" xfId="2782" xr:uid="{00000000-0005-0000-0000-00002B200000}"/>
    <cellStyle name="Процентный 2 2 3 2 8 2" xfId="6633" xr:uid="{00000000-0005-0000-0000-00002C200000}"/>
    <cellStyle name="Процентный 2 2 3 2 9" xfId="3078" xr:uid="{00000000-0005-0000-0000-00002D200000}"/>
    <cellStyle name="Процентный 2 2 3 2 9 2" xfId="6929" xr:uid="{00000000-0005-0000-0000-00002E200000}"/>
    <cellStyle name="Процентный 2 2 3 3" xfId="1081" xr:uid="{00000000-0005-0000-0000-00002F200000}"/>
    <cellStyle name="Процентный 2 2 3 3 2" xfId="4709" xr:uid="{00000000-0005-0000-0000-000030200000}"/>
    <cellStyle name="Процентный 2 2 3 4" xfId="1175" xr:uid="{00000000-0005-0000-0000-000031200000}"/>
    <cellStyle name="Процентный 2 2 3 4 2" xfId="5005" xr:uid="{00000000-0005-0000-0000-000032200000}"/>
    <cellStyle name="Процентный 2 2 3 5" xfId="1459" xr:uid="{00000000-0005-0000-0000-000033200000}"/>
    <cellStyle name="Процентный 2 2 3 5 2" xfId="5301" xr:uid="{00000000-0005-0000-0000-000034200000}"/>
    <cellStyle name="Процентный 2 2 3 6" xfId="1750" xr:uid="{00000000-0005-0000-0000-000035200000}"/>
    <cellStyle name="Процентный 2 2 3 6 2" xfId="5597" xr:uid="{00000000-0005-0000-0000-000036200000}"/>
    <cellStyle name="Процентный 2 2 3 7" xfId="2043" xr:uid="{00000000-0005-0000-0000-000037200000}"/>
    <cellStyle name="Процентный 2 2 3 7 2" xfId="5893" xr:uid="{00000000-0005-0000-0000-000038200000}"/>
    <cellStyle name="Процентный 2 2 3 8" xfId="2338" xr:uid="{00000000-0005-0000-0000-000039200000}"/>
    <cellStyle name="Процентный 2 2 3 8 2" xfId="6189" xr:uid="{00000000-0005-0000-0000-00003A200000}"/>
    <cellStyle name="Процентный 2 2 3 9" xfId="2634" xr:uid="{00000000-0005-0000-0000-00003B200000}"/>
    <cellStyle name="Процентный 2 2 3 9 2" xfId="6485" xr:uid="{00000000-0005-0000-0000-00003C200000}"/>
    <cellStyle name="Процентный 2 2 4" xfId="312" xr:uid="{00000000-0005-0000-0000-00003D200000}"/>
    <cellStyle name="Процентный 2 2 4 10" xfId="3276" xr:uid="{00000000-0005-0000-0000-00003E200000}"/>
    <cellStyle name="Процентный 2 2 4 10 2" xfId="7127" xr:uid="{00000000-0005-0000-0000-00003F200000}"/>
    <cellStyle name="Процентный 2 2 4 11" xfId="3572" xr:uid="{00000000-0005-0000-0000-000040200000}"/>
    <cellStyle name="Процентный 2 2 4 11 2" xfId="7423" xr:uid="{00000000-0005-0000-0000-000041200000}"/>
    <cellStyle name="Процентный 2 2 4 12" xfId="3868" xr:uid="{00000000-0005-0000-0000-000042200000}"/>
    <cellStyle name="Процентный 2 2 4 12 2" xfId="7719" xr:uid="{00000000-0005-0000-0000-000043200000}"/>
    <cellStyle name="Процентный 2 2 4 13" xfId="4164" xr:uid="{00000000-0005-0000-0000-000044200000}"/>
    <cellStyle name="Процентный 2 2 4 13 2" xfId="8015" xr:uid="{00000000-0005-0000-0000-000045200000}"/>
    <cellStyle name="Процентный 2 2 4 14" xfId="8364" xr:uid="{00000000-0005-0000-0000-000046200000}"/>
    <cellStyle name="Процентный 2 2 4 15" xfId="4463" xr:uid="{00000000-0005-0000-0000-000047200000}"/>
    <cellStyle name="Процентный 2 2 4 2" xfId="1015" xr:uid="{00000000-0005-0000-0000-000048200000}"/>
    <cellStyle name="Процентный 2 2 4 2 2" xfId="8740" xr:uid="{00000000-0005-0000-0000-000049200000}"/>
    <cellStyle name="Процентный 2 2 4 2 3" xfId="4759" xr:uid="{00000000-0005-0000-0000-00004A200000}"/>
    <cellStyle name="Процентный 2 2 4 3" xfId="1223" xr:uid="{00000000-0005-0000-0000-00004B200000}"/>
    <cellStyle name="Процентный 2 2 4 3 2" xfId="5055" xr:uid="{00000000-0005-0000-0000-00004C200000}"/>
    <cellStyle name="Процентный 2 2 4 4" xfId="1508" xr:uid="{00000000-0005-0000-0000-00004D200000}"/>
    <cellStyle name="Процентный 2 2 4 4 2" xfId="5351" xr:uid="{00000000-0005-0000-0000-00004E200000}"/>
    <cellStyle name="Процентный 2 2 4 5" xfId="1800" xr:uid="{00000000-0005-0000-0000-00004F200000}"/>
    <cellStyle name="Процентный 2 2 4 5 2" xfId="5647" xr:uid="{00000000-0005-0000-0000-000050200000}"/>
    <cellStyle name="Процентный 2 2 4 6" xfId="2093" xr:uid="{00000000-0005-0000-0000-000051200000}"/>
    <cellStyle name="Процентный 2 2 4 6 2" xfId="5943" xr:uid="{00000000-0005-0000-0000-000052200000}"/>
    <cellStyle name="Процентный 2 2 4 7" xfId="2388" xr:uid="{00000000-0005-0000-0000-000053200000}"/>
    <cellStyle name="Процентный 2 2 4 7 2" xfId="6239" xr:uid="{00000000-0005-0000-0000-000054200000}"/>
    <cellStyle name="Процентный 2 2 4 8" xfId="2684" xr:uid="{00000000-0005-0000-0000-000055200000}"/>
    <cellStyle name="Процентный 2 2 4 8 2" xfId="6535" xr:uid="{00000000-0005-0000-0000-000056200000}"/>
    <cellStyle name="Процентный 2 2 4 9" xfId="2980" xr:uid="{00000000-0005-0000-0000-000057200000}"/>
    <cellStyle name="Процентный 2 2 4 9 2" xfId="6831" xr:uid="{00000000-0005-0000-0000-000058200000}"/>
    <cellStyle name="Процентный 2 2 5" xfId="1016" xr:uid="{00000000-0005-0000-0000-000059200000}"/>
    <cellStyle name="Процентный 2 2 5 2" xfId="8741" xr:uid="{00000000-0005-0000-0000-00005A200000}"/>
    <cellStyle name="Процентный 2 2 5 3" xfId="4611" xr:uid="{00000000-0005-0000-0000-00005B200000}"/>
    <cellStyle name="Процентный 2 2 6" xfId="1017" xr:uid="{00000000-0005-0000-0000-00005C200000}"/>
    <cellStyle name="Процентный 2 2 6 2" xfId="8742" xr:uid="{00000000-0005-0000-0000-00005D200000}"/>
    <cellStyle name="Процентный 2 2 6 3" xfId="4907" xr:uid="{00000000-0005-0000-0000-00005E200000}"/>
    <cellStyle name="Процентный 2 2 7" xfId="1364" xr:uid="{00000000-0005-0000-0000-00005F200000}"/>
    <cellStyle name="Процентный 2 2 7 2" xfId="5203" xr:uid="{00000000-0005-0000-0000-000060200000}"/>
    <cellStyle name="Процентный 2 2 8" xfId="1653" xr:uid="{00000000-0005-0000-0000-000061200000}"/>
    <cellStyle name="Процентный 2 2 8 2" xfId="5499" xr:uid="{00000000-0005-0000-0000-000062200000}"/>
    <cellStyle name="Процентный 2 2 9" xfId="1946" xr:uid="{00000000-0005-0000-0000-000063200000}"/>
    <cellStyle name="Процентный 2 2 9 2" xfId="5795" xr:uid="{00000000-0005-0000-0000-000064200000}"/>
    <cellStyle name="Процентный 2 3" xfId="647" xr:uid="{00000000-0005-0000-0000-000065200000}"/>
    <cellStyle name="Процентный 2 4" xfId="51" xr:uid="{00000000-0005-0000-0000-000066200000}"/>
    <cellStyle name="Процентный 2 5" xfId="8863" xr:uid="{00000000-0005-0000-0000-000067200000}"/>
    <cellStyle name="Процентный 3" xfId="127" xr:uid="{00000000-0005-0000-0000-000068200000}"/>
    <cellStyle name="Процентный 3 10" xfId="2262" xr:uid="{00000000-0005-0000-0000-000069200000}"/>
    <cellStyle name="Процентный 3 10 2" xfId="6113" xr:uid="{00000000-0005-0000-0000-00006A200000}"/>
    <cellStyle name="Процентный 3 11" xfId="2558" xr:uid="{00000000-0005-0000-0000-00006B200000}"/>
    <cellStyle name="Процентный 3 11 2" xfId="6409" xr:uid="{00000000-0005-0000-0000-00006C200000}"/>
    <cellStyle name="Процентный 3 12" xfId="2854" xr:uid="{00000000-0005-0000-0000-00006D200000}"/>
    <cellStyle name="Процентный 3 12 2" xfId="6705" xr:uid="{00000000-0005-0000-0000-00006E200000}"/>
    <cellStyle name="Процентный 3 13" xfId="3150" xr:uid="{00000000-0005-0000-0000-00006F200000}"/>
    <cellStyle name="Процентный 3 13 2" xfId="7001" xr:uid="{00000000-0005-0000-0000-000070200000}"/>
    <cellStyle name="Процентный 3 14" xfId="3446" xr:uid="{00000000-0005-0000-0000-000071200000}"/>
    <cellStyle name="Процентный 3 14 2" xfId="7297" xr:uid="{00000000-0005-0000-0000-000072200000}"/>
    <cellStyle name="Процентный 3 15" xfId="3742" xr:uid="{00000000-0005-0000-0000-000073200000}"/>
    <cellStyle name="Процентный 3 15 2" xfId="7593" xr:uid="{00000000-0005-0000-0000-000074200000}"/>
    <cellStyle name="Процентный 3 16" xfId="4038" xr:uid="{00000000-0005-0000-0000-000075200000}"/>
    <cellStyle name="Процентный 3 16 2" xfId="7889" xr:uid="{00000000-0005-0000-0000-000076200000}"/>
    <cellStyle name="Процентный 3 17" xfId="8185" xr:uid="{00000000-0005-0000-0000-000077200000}"/>
    <cellStyle name="Процентный 3 18" xfId="4334" xr:uid="{00000000-0005-0000-0000-000078200000}"/>
    <cellStyle name="Процентный 3 2" xfId="180" xr:uid="{00000000-0005-0000-0000-000079200000}"/>
    <cellStyle name="Процентный 3 2 10" xfId="2902" xr:uid="{00000000-0005-0000-0000-00007A200000}"/>
    <cellStyle name="Процентный 3 2 10 2" xfId="6753" xr:uid="{00000000-0005-0000-0000-00007B200000}"/>
    <cellStyle name="Процентный 3 2 11" xfId="3198" xr:uid="{00000000-0005-0000-0000-00007C200000}"/>
    <cellStyle name="Процентный 3 2 11 2" xfId="7049" xr:uid="{00000000-0005-0000-0000-00007D200000}"/>
    <cellStyle name="Процентный 3 2 12" xfId="3494" xr:uid="{00000000-0005-0000-0000-00007E200000}"/>
    <cellStyle name="Процентный 3 2 12 2" xfId="7345" xr:uid="{00000000-0005-0000-0000-00007F200000}"/>
    <cellStyle name="Процентный 3 2 13" xfId="3790" xr:uid="{00000000-0005-0000-0000-000080200000}"/>
    <cellStyle name="Процентный 3 2 13 2" xfId="7641" xr:uid="{00000000-0005-0000-0000-000081200000}"/>
    <cellStyle name="Процентный 3 2 14" xfId="4086" xr:uid="{00000000-0005-0000-0000-000082200000}"/>
    <cellStyle name="Процентный 3 2 14 2" xfId="7937" xr:uid="{00000000-0005-0000-0000-000083200000}"/>
    <cellStyle name="Процентный 3 2 15" xfId="8235" xr:uid="{00000000-0005-0000-0000-000084200000}"/>
    <cellStyle name="Процентный 3 2 16" xfId="4383" xr:uid="{00000000-0005-0000-0000-000085200000}"/>
    <cellStyle name="Процентный 3 2 2" xfId="283" xr:uid="{00000000-0005-0000-0000-000086200000}"/>
    <cellStyle name="Процентный 3 2 2 10" xfId="3346" xr:uid="{00000000-0005-0000-0000-000087200000}"/>
    <cellStyle name="Процентный 3 2 2 10 2" xfId="7197" xr:uid="{00000000-0005-0000-0000-000088200000}"/>
    <cellStyle name="Процентный 3 2 2 11" xfId="3642" xr:uid="{00000000-0005-0000-0000-000089200000}"/>
    <cellStyle name="Процентный 3 2 2 11 2" xfId="7493" xr:uid="{00000000-0005-0000-0000-00008A200000}"/>
    <cellStyle name="Процентный 3 2 2 12" xfId="3938" xr:uid="{00000000-0005-0000-0000-00008B200000}"/>
    <cellStyle name="Процентный 3 2 2 12 2" xfId="7789" xr:uid="{00000000-0005-0000-0000-00008C200000}"/>
    <cellStyle name="Процентный 3 2 2 13" xfId="4234" xr:uid="{00000000-0005-0000-0000-00008D200000}"/>
    <cellStyle name="Процентный 3 2 2 13 2" xfId="8085" xr:uid="{00000000-0005-0000-0000-00008E200000}"/>
    <cellStyle name="Процентный 3 2 2 14" xfId="8336" xr:uid="{00000000-0005-0000-0000-00008F200000}"/>
    <cellStyle name="Процентный 3 2 2 15" xfId="4533" xr:uid="{00000000-0005-0000-0000-000090200000}"/>
    <cellStyle name="Процентный 3 2 2 2" xfId="1018" xr:uid="{00000000-0005-0000-0000-000091200000}"/>
    <cellStyle name="Процентный 3 2 2 2 2" xfId="8743" xr:uid="{00000000-0005-0000-0000-000092200000}"/>
    <cellStyle name="Процентный 3 2 2 2 3" xfId="4829" xr:uid="{00000000-0005-0000-0000-000093200000}"/>
    <cellStyle name="Процентный 3 2 2 3" xfId="1291" xr:uid="{00000000-0005-0000-0000-000094200000}"/>
    <cellStyle name="Процентный 3 2 2 3 2" xfId="5125" xr:uid="{00000000-0005-0000-0000-000095200000}"/>
    <cellStyle name="Процентный 3 2 2 4" xfId="1577" xr:uid="{00000000-0005-0000-0000-000096200000}"/>
    <cellStyle name="Процентный 3 2 2 4 2" xfId="5421" xr:uid="{00000000-0005-0000-0000-000097200000}"/>
    <cellStyle name="Процентный 3 2 2 5" xfId="1870" xr:uid="{00000000-0005-0000-0000-000098200000}"/>
    <cellStyle name="Процентный 3 2 2 5 2" xfId="5717" xr:uid="{00000000-0005-0000-0000-000099200000}"/>
    <cellStyle name="Процентный 3 2 2 6" xfId="2163" xr:uid="{00000000-0005-0000-0000-00009A200000}"/>
    <cellStyle name="Процентный 3 2 2 6 2" xfId="6013" xr:uid="{00000000-0005-0000-0000-00009B200000}"/>
    <cellStyle name="Процентный 3 2 2 7" xfId="2458" xr:uid="{00000000-0005-0000-0000-00009C200000}"/>
    <cellStyle name="Процентный 3 2 2 7 2" xfId="6309" xr:uid="{00000000-0005-0000-0000-00009D200000}"/>
    <cellStyle name="Процентный 3 2 2 8" xfId="2754" xr:uid="{00000000-0005-0000-0000-00009E200000}"/>
    <cellStyle name="Процентный 3 2 2 8 2" xfId="6605" xr:uid="{00000000-0005-0000-0000-00009F200000}"/>
    <cellStyle name="Процентный 3 2 2 9" xfId="3050" xr:uid="{00000000-0005-0000-0000-0000A0200000}"/>
    <cellStyle name="Процентный 3 2 2 9 2" xfId="6901" xr:uid="{00000000-0005-0000-0000-0000A1200000}"/>
    <cellStyle name="Процентный 3 2 3" xfId="384" xr:uid="{00000000-0005-0000-0000-0000A2200000}"/>
    <cellStyle name="Процентный 3 2 3 2" xfId="1019" xr:uid="{00000000-0005-0000-0000-0000A3200000}"/>
    <cellStyle name="Процентный 3 2 3 3" xfId="8436" xr:uid="{00000000-0005-0000-0000-0000A4200000}"/>
    <cellStyle name="Процентный 3 2 3 4" xfId="4681" xr:uid="{00000000-0005-0000-0000-0000A5200000}"/>
    <cellStyle name="Процентный 3 2 4" xfId="1020" xr:uid="{00000000-0005-0000-0000-0000A6200000}"/>
    <cellStyle name="Процентный 3 2 4 2" xfId="8744" xr:uid="{00000000-0005-0000-0000-0000A7200000}"/>
    <cellStyle name="Процентный 3 2 4 3" xfId="4977" xr:uid="{00000000-0005-0000-0000-0000A8200000}"/>
    <cellStyle name="Процентный 3 2 5" xfId="1433" xr:uid="{00000000-0005-0000-0000-0000A9200000}"/>
    <cellStyle name="Процентный 3 2 5 2" xfId="5273" xr:uid="{00000000-0005-0000-0000-0000AA200000}"/>
    <cellStyle name="Процентный 3 2 6" xfId="1723" xr:uid="{00000000-0005-0000-0000-0000AB200000}"/>
    <cellStyle name="Процентный 3 2 6 2" xfId="5569" xr:uid="{00000000-0005-0000-0000-0000AC200000}"/>
    <cellStyle name="Процентный 3 2 7" xfId="2015" xr:uid="{00000000-0005-0000-0000-0000AD200000}"/>
    <cellStyle name="Процентный 3 2 7 2" xfId="5865" xr:uid="{00000000-0005-0000-0000-0000AE200000}"/>
    <cellStyle name="Процентный 3 2 8" xfId="2310" xr:uid="{00000000-0005-0000-0000-0000AF200000}"/>
    <cellStyle name="Процентный 3 2 8 2" xfId="6161" xr:uid="{00000000-0005-0000-0000-0000B0200000}"/>
    <cellStyle name="Процентный 3 2 9" xfId="2606" xr:uid="{00000000-0005-0000-0000-0000B1200000}"/>
    <cellStyle name="Процентный 3 2 9 2" xfId="6457" xr:uid="{00000000-0005-0000-0000-0000B2200000}"/>
    <cellStyle name="Процентный 3 3" xfId="233" xr:uid="{00000000-0005-0000-0000-0000B3200000}"/>
    <cellStyle name="Процентный 3 3 10" xfId="2952" xr:uid="{00000000-0005-0000-0000-0000B4200000}"/>
    <cellStyle name="Процентный 3 3 10 2" xfId="6803" xr:uid="{00000000-0005-0000-0000-0000B5200000}"/>
    <cellStyle name="Процентный 3 3 11" xfId="3248" xr:uid="{00000000-0005-0000-0000-0000B6200000}"/>
    <cellStyle name="Процентный 3 3 11 2" xfId="7099" xr:uid="{00000000-0005-0000-0000-0000B7200000}"/>
    <cellStyle name="Процентный 3 3 12" xfId="3544" xr:uid="{00000000-0005-0000-0000-0000B8200000}"/>
    <cellStyle name="Процентный 3 3 12 2" xfId="7395" xr:uid="{00000000-0005-0000-0000-0000B9200000}"/>
    <cellStyle name="Процентный 3 3 13" xfId="3840" xr:uid="{00000000-0005-0000-0000-0000BA200000}"/>
    <cellStyle name="Процентный 3 3 13 2" xfId="7691" xr:uid="{00000000-0005-0000-0000-0000BB200000}"/>
    <cellStyle name="Процентный 3 3 14" xfId="4136" xr:uid="{00000000-0005-0000-0000-0000BC200000}"/>
    <cellStyle name="Процентный 3 3 14 2" xfId="7987" xr:uid="{00000000-0005-0000-0000-0000BD200000}"/>
    <cellStyle name="Процентный 3 3 15" xfId="8286" xr:uid="{00000000-0005-0000-0000-0000BE200000}"/>
    <cellStyle name="Процентный 3 3 16" xfId="4434" xr:uid="{00000000-0005-0000-0000-0000BF200000}"/>
    <cellStyle name="Процентный 3 3 2" xfId="1021" xr:uid="{00000000-0005-0000-0000-0000C0200000}"/>
    <cellStyle name="Процентный 3 3 2 10" xfId="3396" xr:uid="{00000000-0005-0000-0000-0000C1200000}"/>
    <cellStyle name="Процентный 3 3 2 10 2" xfId="7247" xr:uid="{00000000-0005-0000-0000-0000C2200000}"/>
    <cellStyle name="Процентный 3 3 2 11" xfId="3692" xr:uid="{00000000-0005-0000-0000-0000C3200000}"/>
    <cellStyle name="Процентный 3 3 2 11 2" xfId="7543" xr:uid="{00000000-0005-0000-0000-0000C4200000}"/>
    <cellStyle name="Процентный 3 3 2 12" xfId="3988" xr:uid="{00000000-0005-0000-0000-0000C5200000}"/>
    <cellStyle name="Процентный 3 3 2 12 2" xfId="7839" xr:uid="{00000000-0005-0000-0000-0000C6200000}"/>
    <cellStyle name="Процентный 3 3 2 13" xfId="4284" xr:uid="{00000000-0005-0000-0000-0000C7200000}"/>
    <cellStyle name="Процентный 3 3 2 13 2" xfId="8135" xr:uid="{00000000-0005-0000-0000-0000C8200000}"/>
    <cellStyle name="Процентный 3 3 2 14" xfId="8745" xr:uid="{00000000-0005-0000-0000-0000C9200000}"/>
    <cellStyle name="Процентный 3 3 2 15" xfId="4583" xr:uid="{00000000-0005-0000-0000-0000CA200000}"/>
    <cellStyle name="Процентный 3 3 2 2" xfId="1150" xr:uid="{00000000-0005-0000-0000-0000CB200000}"/>
    <cellStyle name="Процентный 3 3 2 2 2" xfId="4879" xr:uid="{00000000-0005-0000-0000-0000CC200000}"/>
    <cellStyle name="Процентный 3 3 2 3" xfId="1339" xr:uid="{00000000-0005-0000-0000-0000CD200000}"/>
    <cellStyle name="Процентный 3 3 2 3 2" xfId="5175" xr:uid="{00000000-0005-0000-0000-0000CE200000}"/>
    <cellStyle name="Процентный 3 3 2 4" xfId="1626" xr:uid="{00000000-0005-0000-0000-0000CF200000}"/>
    <cellStyle name="Процентный 3 3 2 4 2" xfId="5471" xr:uid="{00000000-0005-0000-0000-0000D0200000}"/>
    <cellStyle name="Процентный 3 3 2 5" xfId="1919" xr:uid="{00000000-0005-0000-0000-0000D1200000}"/>
    <cellStyle name="Процентный 3 3 2 5 2" xfId="5767" xr:uid="{00000000-0005-0000-0000-0000D2200000}"/>
    <cellStyle name="Процентный 3 3 2 6" xfId="2213" xr:uid="{00000000-0005-0000-0000-0000D3200000}"/>
    <cellStyle name="Процентный 3 3 2 6 2" xfId="6063" xr:uid="{00000000-0005-0000-0000-0000D4200000}"/>
    <cellStyle name="Процентный 3 3 2 7" xfId="2508" xr:uid="{00000000-0005-0000-0000-0000D5200000}"/>
    <cellStyle name="Процентный 3 3 2 7 2" xfId="6359" xr:uid="{00000000-0005-0000-0000-0000D6200000}"/>
    <cellStyle name="Процентный 3 3 2 8" xfId="2804" xr:uid="{00000000-0005-0000-0000-0000D7200000}"/>
    <cellStyle name="Процентный 3 3 2 8 2" xfId="6655" xr:uid="{00000000-0005-0000-0000-0000D8200000}"/>
    <cellStyle name="Процентный 3 3 2 9" xfId="3100" xr:uid="{00000000-0005-0000-0000-0000D9200000}"/>
    <cellStyle name="Процентный 3 3 2 9 2" xfId="6951" xr:uid="{00000000-0005-0000-0000-0000DA200000}"/>
    <cellStyle name="Процентный 3 3 3" xfId="1103" xr:uid="{00000000-0005-0000-0000-0000DB200000}"/>
    <cellStyle name="Процентный 3 3 3 2" xfId="4731" xr:uid="{00000000-0005-0000-0000-0000DC200000}"/>
    <cellStyle name="Процентный 3 3 4" xfId="1197" xr:uid="{00000000-0005-0000-0000-0000DD200000}"/>
    <cellStyle name="Процентный 3 3 4 2" xfId="5027" xr:uid="{00000000-0005-0000-0000-0000DE200000}"/>
    <cellStyle name="Процентный 3 3 5" xfId="1481" xr:uid="{00000000-0005-0000-0000-0000DF200000}"/>
    <cellStyle name="Процентный 3 3 5 2" xfId="5323" xr:uid="{00000000-0005-0000-0000-0000E0200000}"/>
    <cellStyle name="Процентный 3 3 6" xfId="1772" xr:uid="{00000000-0005-0000-0000-0000E1200000}"/>
    <cellStyle name="Процентный 3 3 6 2" xfId="5619" xr:uid="{00000000-0005-0000-0000-0000E2200000}"/>
    <cellStyle name="Процентный 3 3 7" xfId="2065" xr:uid="{00000000-0005-0000-0000-0000E3200000}"/>
    <cellStyle name="Процентный 3 3 7 2" xfId="5915" xr:uid="{00000000-0005-0000-0000-0000E4200000}"/>
    <cellStyle name="Процентный 3 3 8" xfId="2360" xr:uid="{00000000-0005-0000-0000-0000E5200000}"/>
    <cellStyle name="Процентный 3 3 8 2" xfId="6211" xr:uid="{00000000-0005-0000-0000-0000E6200000}"/>
    <cellStyle name="Процентный 3 3 9" xfId="2656" xr:uid="{00000000-0005-0000-0000-0000E7200000}"/>
    <cellStyle name="Процентный 3 3 9 2" xfId="6507" xr:uid="{00000000-0005-0000-0000-0000E8200000}"/>
    <cellStyle name="Процентный 3 4" xfId="334" xr:uid="{00000000-0005-0000-0000-0000E9200000}"/>
    <cellStyle name="Процентный 3 4 10" xfId="3298" xr:uid="{00000000-0005-0000-0000-0000EA200000}"/>
    <cellStyle name="Процентный 3 4 10 2" xfId="7149" xr:uid="{00000000-0005-0000-0000-0000EB200000}"/>
    <cellStyle name="Процентный 3 4 11" xfId="3594" xr:uid="{00000000-0005-0000-0000-0000EC200000}"/>
    <cellStyle name="Процентный 3 4 11 2" xfId="7445" xr:uid="{00000000-0005-0000-0000-0000ED200000}"/>
    <cellStyle name="Процентный 3 4 12" xfId="3890" xr:uid="{00000000-0005-0000-0000-0000EE200000}"/>
    <cellStyle name="Процентный 3 4 12 2" xfId="7741" xr:uid="{00000000-0005-0000-0000-0000EF200000}"/>
    <cellStyle name="Процентный 3 4 13" xfId="4186" xr:uid="{00000000-0005-0000-0000-0000F0200000}"/>
    <cellStyle name="Процентный 3 4 13 2" xfId="8037" xr:uid="{00000000-0005-0000-0000-0000F1200000}"/>
    <cellStyle name="Процентный 3 4 14" xfId="8386" xr:uid="{00000000-0005-0000-0000-0000F2200000}"/>
    <cellStyle name="Процентный 3 4 15" xfId="4485" xr:uid="{00000000-0005-0000-0000-0000F3200000}"/>
    <cellStyle name="Процентный 3 4 2" xfId="1022" xr:uid="{00000000-0005-0000-0000-0000F4200000}"/>
    <cellStyle name="Процентный 3 4 2 2" xfId="8746" xr:uid="{00000000-0005-0000-0000-0000F5200000}"/>
    <cellStyle name="Процентный 3 4 2 3" xfId="4781" xr:uid="{00000000-0005-0000-0000-0000F6200000}"/>
    <cellStyle name="Процентный 3 4 3" xfId="1244" xr:uid="{00000000-0005-0000-0000-0000F7200000}"/>
    <cellStyle name="Процентный 3 4 3 2" xfId="5077" xr:uid="{00000000-0005-0000-0000-0000F8200000}"/>
    <cellStyle name="Процентный 3 4 4" xfId="1530" xr:uid="{00000000-0005-0000-0000-0000F9200000}"/>
    <cellStyle name="Процентный 3 4 4 2" xfId="5373" xr:uid="{00000000-0005-0000-0000-0000FA200000}"/>
    <cellStyle name="Процентный 3 4 5" xfId="1822" xr:uid="{00000000-0005-0000-0000-0000FB200000}"/>
    <cellStyle name="Процентный 3 4 5 2" xfId="5669" xr:uid="{00000000-0005-0000-0000-0000FC200000}"/>
    <cellStyle name="Процентный 3 4 6" xfId="2115" xr:uid="{00000000-0005-0000-0000-0000FD200000}"/>
    <cellStyle name="Процентный 3 4 6 2" xfId="5965" xr:uid="{00000000-0005-0000-0000-0000FE200000}"/>
    <cellStyle name="Процентный 3 4 7" xfId="2410" xr:uid="{00000000-0005-0000-0000-0000FF200000}"/>
    <cellStyle name="Процентный 3 4 7 2" xfId="6261" xr:uid="{00000000-0005-0000-0000-000000210000}"/>
    <cellStyle name="Процентный 3 4 8" xfId="2706" xr:uid="{00000000-0005-0000-0000-000001210000}"/>
    <cellStyle name="Процентный 3 4 8 2" xfId="6557" xr:uid="{00000000-0005-0000-0000-000002210000}"/>
    <cellStyle name="Процентный 3 4 9" xfId="3002" xr:uid="{00000000-0005-0000-0000-000003210000}"/>
    <cellStyle name="Процентный 3 4 9 2" xfId="6853" xr:uid="{00000000-0005-0000-0000-000004210000}"/>
    <cellStyle name="Процентный 3 5" xfId="1023" xr:uid="{00000000-0005-0000-0000-000005210000}"/>
    <cellStyle name="Процентный 3 5 2" xfId="8747" xr:uid="{00000000-0005-0000-0000-000006210000}"/>
    <cellStyle name="Процентный 3 5 3" xfId="4633" xr:uid="{00000000-0005-0000-0000-000007210000}"/>
    <cellStyle name="Процентный 3 6" xfId="1024" xr:uid="{00000000-0005-0000-0000-000008210000}"/>
    <cellStyle name="Процентный 3 6 2" xfId="8748" xr:uid="{00000000-0005-0000-0000-000009210000}"/>
    <cellStyle name="Процентный 3 6 3" xfId="4929" xr:uid="{00000000-0005-0000-0000-00000A210000}"/>
    <cellStyle name="Процентный 3 7" xfId="1386" xr:uid="{00000000-0005-0000-0000-00000B210000}"/>
    <cellStyle name="Процентный 3 7 2" xfId="5225" xr:uid="{00000000-0005-0000-0000-00000C210000}"/>
    <cellStyle name="Процентный 3 8" xfId="1675" xr:uid="{00000000-0005-0000-0000-00000D210000}"/>
    <cellStyle name="Процентный 3 8 2" xfId="5521" xr:uid="{00000000-0005-0000-0000-00000E210000}"/>
    <cellStyle name="Процентный 3 9" xfId="1968" xr:uid="{00000000-0005-0000-0000-00000F210000}"/>
    <cellStyle name="Процентный 3 9 2" xfId="5817" xr:uid="{00000000-0005-0000-0000-000010210000}"/>
    <cellStyle name="Процентный 4" xfId="54" xr:uid="{00000000-0005-0000-0000-000011210000}"/>
    <cellStyle name="Процентный 5" xfId="185" xr:uid="{00000000-0005-0000-0000-000012210000}"/>
    <cellStyle name="Процентный 6" xfId="1053" xr:uid="{00000000-0005-0000-0000-000013210000}"/>
    <cellStyle name="Процентный 7" xfId="46" xr:uid="{00000000-0005-0000-0000-000014210000}"/>
    <cellStyle name="Процентный 8" xfId="8811" xr:uid="{00000000-0005-0000-0000-000015210000}"/>
    <cellStyle name="Финансовый" xfId="6" builtinId="3"/>
    <cellStyle name="Финансовый 10" xfId="567" xr:uid="{00000000-0005-0000-0000-000017210000}"/>
    <cellStyle name="Финансовый 10 2" xfId="681" xr:uid="{00000000-0005-0000-0000-000018210000}"/>
    <cellStyle name="Финансовый 11" xfId="634" xr:uid="{00000000-0005-0000-0000-000019210000}"/>
    <cellStyle name="Финансовый 12" xfId="664" xr:uid="{00000000-0005-0000-0000-00001A210000}"/>
    <cellStyle name="Финансовый 13" xfId="1052" xr:uid="{00000000-0005-0000-0000-00001B210000}"/>
    <cellStyle name="Финансовый 14" xfId="8757" xr:uid="{00000000-0005-0000-0000-00001C210000}"/>
    <cellStyle name="Финансовый 15" xfId="128" xr:uid="{00000000-0005-0000-0000-00001D210000}"/>
    <cellStyle name="Финансовый 16" xfId="8856" xr:uid="{00000000-0005-0000-0000-00001E210000}"/>
    <cellStyle name="Финансовый 17" xfId="8864" xr:uid="{00000000-0005-0000-0000-00001F210000}"/>
    <cellStyle name="Финансовый 2" xfId="8" xr:uid="{00000000-0005-0000-0000-000020210000}"/>
    <cellStyle name="Финансовый 2 10" xfId="390" xr:uid="{00000000-0005-0000-0000-000021210000}"/>
    <cellStyle name="Финансовый 2 10 2" xfId="8441" xr:uid="{00000000-0005-0000-0000-000022210000}"/>
    <cellStyle name="Финансовый 2 10 3" xfId="6090" xr:uid="{00000000-0005-0000-0000-000023210000}"/>
    <cellStyle name="Финансовый 2 11" xfId="2535" xr:uid="{00000000-0005-0000-0000-000024210000}"/>
    <cellStyle name="Финансовый 2 11 2" xfId="6386" xr:uid="{00000000-0005-0000-0000-000025210000}"/>
    <cellStyle name="Финансовый 2 12" xfId="2831" xr:uid="{00000000-0005-0000-0000-000026210000}"/>
    <cellStyle name="Финансовый 2 12 2" xfId="6682" xr:uid="{00000000-0005-0000-0000-000027210000}"/>
    <cellStyle name="Финансовый 2 13" xfId="3127" xr:uid="{00000000-0005-0000-0000-000028210000}"/>
    <cellStyle name="Финансовый 2 13 2" xfId="6978" xr:uid="{00000000-0005-0000-0000-000029210000}"/>
    <cellStyle name="Финансовый 2 14" xfId="3423" xr:uid="{00000000-0005-0000-0000-00002A210000}"/>
    <cellStyle name="Финансовый 2 14 2" xfId="7274" xr:uid="{00000000-0005-0000-0000-00002B210000}"/>
    <cellStyle name="Финансовый 2 15" xfId="3719" xr:uid="{00000000-0005-0000-0000-00002C210000}"/>
    <cellStyle name="Финансовый 2 15 2" xfId="7570" xr:uid="{00000000-0005-0000-0000-00002D210000}"/>
    <cellStyle name="Финансовый 2 16" xfId="4015" xr:uid="{00000000-0005-0000-0000-00002E210000}"/>
    <cellStyle name="Финансовый 2 16 2" xfId="7866" xr:uid="{00000000-0005-0000-0000-00002F210000}"/>
    <cellStyle name="Финансовый 2 17" xfId="8162" xr:uid="{00000000-0005-0000-0000-000030210000}"/>
    <cellStyle name="Финансовый 2 18" xfId="4311" xr:uid="{00000000-0005-0000-0000-000031210000}"/>
    <cellStyle name="Финансовый 2 19" xfId="103" xr:uid="{00000000-0005-0000-0000-000032210000}"/>
    <cellStyle name="Финансовый 2 2" xfId="157" xr:uid="{00000000-0005-0000-0000-000033210000}"/>
    <cellStyle name="Финансовый 2 2 10" xfId="2879" xr:uid="{00000000-0005-0000-0000-000034210000}"/>
    <cellStyle name="Финансовый 2 2 10 2" xfId="6730" xr:uid="{00000000-0005-0000-0000-000035210000}"/>
    <cellStyle name="Финансовый 2 2 11" xfId="3175" xr:uid="{00000000-0005-0000-0000-000036210000}"/>
    <cellStyle name="Финансовый 2 2 11 2" xfId="7026" xr:uid="{00000000-0005-0000-0000-000037210000}"/>
    <cellStyle name="Финансовый 2 2 12" xfId="3471" xr:uid="{00000000-0005-0000-0000-000038210000}"/>
    <cellStyle name="Финансовый 2 2 12 2" xfId="7322" xr:uid="{00000000-0005-0000-0000-000039210000}"/>
    <cellStyle name="Финансовый 2 2 13" xfId="3767" xr:uid="{00000000-0005-0000-0000-00003A210000}"/>
    <cellStyle name="Финансовый 2 2 13 2" xfId="7618" xr:uid="{00000000-0005-0000-0000-00003B210000}"/>
    <cellStyle name="Финансовый 2 2 14" xfId="4063" xr:uid="{00000000-0005-0000-0000-00003C210000}"/>
    <cellStyle name="Финансовый 2 2 14 2" xfId="7914" xr:uid="{00000000-0005-0000-0000-00003D210000}"/>
    <cellStyle name="Финансовый 2 2 15" xfId="8212" xr:uid="{00000000-0005-0000-0000-00003E210000}"/>
    <cellStyle name="Финансовый 2 2 16" xfId="4360" xr:uid="{00000000-0005-0000-0000-00003F210000}"/>
    <cellStyle name="Финансовый 2 2 17" xfId="8788" xr:uid="{00000000-0005-0000-0000-000040210000}"/>
    <cellStyle name="Финансовый 2 2 2" xfId="260" xr:uid="{00000000-0005-0000-0000-000041210000}"/>
    <cellStyle name="Финансовый 2 2 2 10" xfId="3323" xr:uid="{00000000-0005-0000-0000-000042210000}"/>
    <cellStyle name="Финансовый 2 2 2 10 2" xfId="7174" xr:uid="{00000000-0005-0000-0000-000043210000}"/>
    <cellStyle name="Финансовый 2 2 2 11" xfId="3619" xr:uid="{00000000-0005-0000-0000-000044210000}"/>
    <cellStyle name="Финансовый 2 2 2 11 2" xfId="7470" xr:uid="{00000000-0005-0000-0000-000045210000}"/>
    <cellStyle name="Финансовый 2 2 2 12" xfId="3915" xr:uid="{00000000-0005-0000-0000-000046210000}"/>
    <cellStyle name="Финансовый 2 2 2 12 2" xfId="7766" xr:uid="{00000000-0005-0000-0000-000047210000}"/>
    <cellStyle name="Финансовый 2 2 2 13" xfId="4211" xr:uid="{00000000-0005-0000-0000-000048210000}"/>
    <cellStyle name="Финансовый 2 2 2 13 2" xfId="8062" xr:uid="{00000000-0005-0000-0000-000049210000}"/>
    <cellStyle name="Финансовый 2 2 2 14" xfId="8313" xr:uid="{00000000-0005-0000-0000-00004A210000}"/>
    <cellStyle name="Финансовый 2 2 2 15" xfId="4510" xr:uid="{00000000-0005-0000-0000-00004B210000}"/>
    <cellStyle name="Финансовый 2 2 2 2" xfId="657" xr:uid="{00000000-0005-0000-0000-00004C210000}"/>
    <cellStyle name="Финансовый 2 2 2 2 2" xfId="704" xr:uid="{00000000-0005-0000-0000-00004D210000}"/>
    <cellStyle name="Финансовый 2 2 2 2 3" xfId="8476" xr:uid="{00000000-0005-0000-0000-00004E210000}"/>
    <cellStyle name="Финансовый 2 2 2 2 4" xfId="4806" xr:uid="{00000000-0005-0000-0000-00004F210000}"/>
    <cellStyle name="Финансовый 2 2 2 3" xfId="698" xr:uid="{00000000-0005-0000-0000-000050210000}"/>
    <cellStyle name="Финансовый 2 2 2 3 2" xfId="8489" xr:uid="{00000000-0005-0000-0000-000051210000}"/>
    <cellStyle name="Финансовый 2 2 2 3 3" xfId="5102" xr:uid="{00000000-0005-0000-0000-000052210000}"/>
    <cellStyle name="Финансовый 2 2 2 4" xfId="648" xr:uid="{00000000-0005-0000-0000-000053210000}"/>
    <cellStyle name="Финансовый 2 2 2 4 2" xfId="8472" xr:uid="{00000000-0005-0000-0000-000054210000}"/>
    <cellStyle name="Финансовый 2 2 2 4 3" xfId="5398" xr:uid="{00000000-0005-0000-0000-000055210000}"/>
    <cellStyle name="Финансовый 2 2 2 5" xfId="1847" xr:uid="{00000000-0005-0000-0000-000056210000}"/>
    <cellStyle name="Финансовый 2 2 2 5 2" xfId="5694" xr:uid="{00000000-0005-0000-0000-000057210000}"/>
    <cellStyle name="Финансовый 2 2 2 6" xfId="2140" xr:uid="{00000000-0005-0000-0000-000058210000}"/>
    <cellStyle name="Финансовый 2 2 2 6 2" xfId="5990" xr:uid="{00000000-0005-0000-0000-000059210000}"/>
    <cellStyle name="Финансовый 2 2 2 7" xfId="2435" xr:uid="{00000000-0005-0000-0000-00005A210000}"/>
    <cellStyle name="Финансовый 2 2 2 7 2" xfId="6286" xr:uid="{00000000-0005-0000-0000-00005B210000}"/>
    <cellStyle name="Финансовый 2 2 2 8" xfId="2731" xr:uid="{00000000-0005-0000-0000-00005C210000}"/>
    <cellStyle name="Финансовый 2 2 2 8 2" xfId="6582" xr:uid="{00000000-0005-0000-0000-00005D210000}"/>
    <cellStyle name="Финансовый 2 2 2 9" xfId="3027" xr:uid="{00000000-0005-0000-0000-00005E210000}"/>
    <cellStyle name="Финансовый 2 2 2 9 2" xfId="6878" xr:uid="{00000000-0005-0000-0000-00005F210000}"/>
    <cellStyle name="Финансовый 2 2 3" xfId="361" xr:uid="{00000000-0005-0000-0000-000060210000}"/>
    <cellStyle name="Финансовый 2 2 3 2" xfId="694" xr:uid="{00000000-0005-0000-0000-000061210000}"/>
    <cellStyle name="Финансовый 2 2 3 3" xfId="643" xr:uid="{00000000-0005-0000-0000-000062210000}"/>
    <cellStyle name="Финансовый 2 2 3 4" xfId="8413" xr:uid="{00000000-0005-0000-0000-000063210000}"/>
    <cellStyle name="Финансовый 2 2 3 5" xfId="4658" xr:uid="{00000000-0005-0000-0000-000064210000}"/>
    <cellStyle name="Финансовый 2 2 4" xfId="612" xr:uid="{00000000-0005-0000-0000-000065210000}"/>
    <cellStyle name="Финансовый 2 2 4 2" xfId="8457" xr:uid="{00000000-0005-0000-0000-000066210000}"/>
    <cellStyle name="Финансовый 2 2 4 3" xfId="4954" xr:uid="{00000000-0005-0000-0000-000067210000}"/>
    <cellStyle name="Финансовый 2 2 5" xfId="1049" xr:uid="{00000000-0005-0000-0000-000068210000}"/>
    <cellStyle name="Финансовый 2 2 5 2" xfId="8756" xr:uid="{00000000-0005-0000-0000-000069210000}"/>
    <cellStyle name="Финансовый 2 2 5 3" xfId="5250" xr:uid="{00000000-0005-0000-0000-00006A210000}"/>
    <cellStyle name="Финансовый 2 2 6" xfId="1700" xr:uid="{00000000-0005-0000-0000-00006B210000}"/>
    <cellStyle name="Финансовый 2 2 6 2" xfId="5546" xr:uid="{00000000-0005-0000-0000-00006C210000}"/>
    <cellStyle name="Финансовый 2 2 7" xfId="1993" xr:uid="{00000000-0005-0000-0000-00006D210000}"/>
    <cellStyle name="Финансовый 2 2 7 2" xfId="5842" xr:uid="{00000000-0005-0000-0000-00006E210000}"/>
    <cellStyle name="Финансовый 2 2 8" xfId="2287" xr:uid="{00000000-0005-0000-0000-00006F210000}"/>
    <cellStyle name="Финансовый 2 2 8 2" xfId="6138" xr:uid="{00000000-0005-0000-0000-000070210000}"/>
    <cellStyle name="Финансовый 2 2 9" xfId="2583" xr:uid="{00000000-0005-0000-0000-000071210000}"/>
    <cellStyle name="Финансовый 2 2 9 2" xfId="6434" xr:uid="{00000000-0005-0000-0000-000072210000}"/>
    <cellStyle name="Финансовый 2 3" xfId="210" xr:uid="{00000000-0005-0000-0000-000073210000}"/>
    <cellStyle name="Финансовый 2 3 10" xfId="2929" xr:uid="{00000000-0005-0000-0000-000074210000}"/>
    <cellStyle name="Финансовый 2 3 10 2" xfId="6780" xr:uid="{00000000-0005-0000-0000-000075210000}"/>
    <cellStyle name="Финансовый 2 3 11" xfId="3225" xr:uid="{00000000-0005-0000-0000-000076210000}"/>
    <cellStyle name="Финансовый 2 3 11 2" xfId="7076" xr:uid="{00000000-0005-0000-0000-000077210000}"/>
    <cellStyle name="Финансовый 2 3 12" xfId="3521" xr:uid="{00000000-0005-0000-0000-000078210000}"/>
    <cellStyle name="Финансовый 2 3 12 2" xfId="7372" xr:uid="{00000000-0005-0000-0000-000079210000}"/>
    <cellStyle name="Финансовый 2 3 13" xfId="3817" xr:uid="{00000000-0005-0000-0000-00007A210000}"/>
    <cellStyle name="Финансовый 2 3 13 2" xfId="7668" xr:uid="{00000000-0005-0000-0000-00007B210000}"/>
    <cellStyle name="Финансовый 2 3 14" xfId="4113" xr:uid="{00000000-0005-0000-0000-00007C210000}"/>
    <cellStyle name="Финансовый 2 3 14 2" xfId="7964" xr:uid="{00000000-0005-0000-0000-00007D210000}"/>
    <cellStyle name="Финансовый 2 3 15" xfId="8263" xr:uid="{00000000-0005-0000-0000-00007E210000}"/>
    <cellStyle name="Финансовый 2 3 16" xfId="4411" xr:uid="{00000000-0005-0000-0000-00007F210000}"/>
    <cellStyle name="Финансовый 2 3 2" xfId="645" xr:uid="{00000000-0005-0000-0000-000080210000}"/>
    <cellStyle name="Финансовый 2 3 2 10" xfId="3373" xr:uid="{00000000-0005-0000-0000-000081210000}"/>
    <cellStyle name="Финансовый 2 3 2 10 2" xfId="7224" xr:uid="{00000000-0005-0000-0000-000082210000}"/>
    <cellStyle name="Финансовый 2 3 2 11" xfId="3669" xr:uid="{00000000-0005-0000-0000-000083210000}"/>
    <cellStyle name="Финансовый 2 3 2 11 2" xfId="7520" xr:uid="{00000000-0005-0000-0000-000084210000}"/>
    <cellStyle name="Финансовый 2 3 2 12" xfId="3965" xr:uid="{00000000-0005-0000-0000-000085210000}"/>
    <cellStyle name="Финансовый 2 3 2 12 2" xfId="7816" xr:uid="{00000000-0005-0000-0000-000086210000}"/>
    <cellStyle name="Финансовый 2 3 2 13" xfId="4261" xr:uid="{00000000-0005-0000-0000-000087210000}"/>
    <cellStyle name="Финансовый 2 3 2 13 2" xfId="8112" xr:uid="{00000000-0005-0000-0000-000088210000}"/>
    <cellStyle name="Финансовый 2 3 2 14" xfId="8471" xr:uid="{00000000-0005-0000-0000-000089210000}"/>
    <cellStyle name="Финансовый 2 3 2 15" xfId="4560" xr:uid="{00000000-0005-0000-0000-00008A210000}"/>
    <cellStyle name="Финансовый 2 3 2 16" xfId="8762" xr:uid="{00000000-0005-0000-0000-00008B210000}"/>
    <cellStyle name="Финансовый 2 3 2 2" xfId="696" xr:uid="{00000000-0005-0000-0000-00008C210000}"/>
    <cellStyle name="Финансовый 2 3 2 2 2" xfId="721" xr:uid="{00000000-0005-0000-0000-00008D210000}"/>
    <cellStyle name="Финансовый 2 3 2 2 2 2" xfId="1040" xr:uid="{00000000-0005-0000-0000-00008E210000}"/>
    <cellStyle name="Финансовый 2 3 2 2 2 2 2" xfId="8793" xr:uid="{00000000-0005-0000-0000-00008F210000}"/>
    <cellStyle name="Финансовый 2 3 2 2 2 3" xfId="8771" xr:uid="{00000000-0005-0000-0000-000090210000}"/>
    <cellStyle name="Финансовый 2 3 2 2 3" xfId="713" xr:uid="{00000000-0005-0000-0000-000091210000}"/>
    <cellStyle name="Финансовый 2 3 2 2 3 2" xfId="8786" xr:uid="{00000000-0005-0000-0000-000092210000}"/>
    <cellStyle name="Финансовый 2 3 2 2 4" xfId="1033" xr:uid="{00000000-0005-0000-0000-000093210000}"/>
    <cellStyle name="Финансовый 2 3 2 2 5" xfId="8488" xr:uid="{00000000-0005-0000-0000-000094210000}"/>
    <cellStyle name="Финансовый 2 3 2 2 6" xfId="4856" xr:uid="{00000000-0005-0000-0000-000095210000}"/>
    <cellStyle name="Финансовый 2 3 2 2 7" xfId="8765" xr:uid="{00000000-0005-0000-0000-000096210000}"/>
    <cellStyle name="Финансовый 2 3 2 3" xfId="718" xr:uid="{00000000-0005-0000-0000-000097210000}"/>
    <cellStyle name="Финансовый 2 3 2 3 2" xfId="1037" xr:uid="{00000000-0005-0000-0000-000098210000}"/>
    <cellStyle name="Финансовый 2 3 2 3 2 2" xfId="8790" xr:uid="{00000000-0005-0000-0000-000099210000}"/>
    <cellStyle name="Финансовый 2 3 2 3 3" xfId="8496" xr:uid="{00000000-0005-0000-0000-00009A210000}"/>
    <cellStyle name="Финансовый 2 3 2 3 4" xfId="5152" xr:uid="{00000000-0005-0000-0000-00009B210000}"/>
    <cellStyle name="Финансовый 2 3 2 3 5" xfId="8768" xr:uid="{00000000-0005-0000-0000-00009C210000}"/>
    <cellStyle name="Финансовый 2 3 2 4" xfId="710" xr:uid="{00000000-0005-0000-0000-00009D210000}"/>
    <cellStyle name="Финансовый 2 3 2 4 2" xfId="8492" xr:uid="{00000000-0005-0000-0000-00009E210000}"/>
    <cellStyle name="Финансовый 2 3 2 4 3" xfId="5448" xr:uid="{00000000-0005-0000-0000-00009F210000}"/>
    <cellStyle name="Финансовый 2 3 2 4 4" xfId="8783" xr:uid="{00000000-0005-0000-0000-0000A0210000}"/>
    <cellStyle name="Финансовый 2 3 2 5" xfId="1030" xr:uid="{00000000-0005-0000-0000-0000A1210000}"/>
    <cellStyle name="Финансовый 2 3 2 5 2" xfId="8751" xr:uid="{00000000-0005-0000-0000-0000A2210000}"/>
    <cellStyle name="Финансовый 2 3 2 5 3" xfId="5744" xr:uid="{00000000-0005-0000-0000-0000A3210000}"/>
    <cellStyle name="Финансовый 2 3 2 6" xfId="2190" xr:uid="{00000000-0005-0000-0000-0000A4210000}"/>
    <cellStyle name="Финансовый 2 3 2 6 2" xfId="6040" xr:uid="{00000000-0005-0000-0000-0000A5210000}"/>
    <cellStyle name="Финансовый 2 3 2 7" xfId="2485" xr:uid="{00000000-0005-0000-0000-0000A6210000}"/>
    <cellStyle name="Финансовый 2 3 2 7 2" xfId="6336" xr:uid="{00000000-0005-0000-0000-0000A7210000}"/>
    <cellStyle name="Финансовый 2 3 2 8" xfId="2781" xr:uid="{00000000-0005-0000-0000-0000A8210000}"/>
    <cellStyle name="Финансовый 2 3 2 8 2" xfId="6632" xr:uid="{00000000-0005-0000-0000-0000A9210000}"/>
    <cellStyle name="Финансовый 2 3 2 9" xfId="3077" xr:uid="{00000000-0005-0000-0000-0000AA210000}"/>
    <cellStyle name="Финансовый 2 3 2 9 2" xfId="6928" xr:uid="{00000000-0005-0000-0000-0000AB210000}"/>
    <cellStyle name="Финансовый 2 3 3" xfId="682" xr:uid="{00000000-0005-0000-0000-0000AC210000}"/>
    <cellStyle name="Финансовый 2 3 3 2" xfId="8484" xr:uid="{00000000-0005-0000-0000-0000AD210000}"/>
    <cellStyle name="Финансовый 2 3 3 3" xfId="4708" xr:uid="{00000000-0005-0000-0000-0000AE210000}"/>
    <cellStyle name="Финансовый 2 3 4" xfId="568" xr:uid="{00000000-0005-0000-0000-0000AF210000}"/>
    <cellStyle name="Финансовый 2 3 4 2" xfId="8453" xr:uid="{00000000-0005-0000-0000-0000B0210000}"/>
    <cellStyle name="Финансовый 2 3 4 3" xfId="5004" xr:uid="{00000000-0005-0000-0000-0000B1210000}"/>
    <cellStyle name="Финансовый 2 3 5" xfId="1458" xr:uid="{00000000-0005-0000-0000-0000B2210000}"/>
    <cellStyle name="Финансовый 2 3 5 2" xfId="5300" xr:uid="{00000000-0005-0000-0000-0000B3210000}"/>
    <cellStyle name="Финансовый 2 3 6" xfId="1749" xr:uid="{00000000-0005-0000-0000-0000B4210000}"/>
    <cellStyle name="Финансовый 2 3 6 2" xfId="5596" xr:uid="{00000000-0005-0000-0000-0000B5210000}"/>
    <cellStyle name="Финансовый 2 3 7" xfId="2042" xr:uid="{00000000-0005-0000-0000-0000B6210000}"/>
    <cellStyle name="Финансовый 2 3 7 2" xfId="5892" xr:uid="{00000000-0005-0000-0000-0000B7210000}"/>
    <cellStyle name="Финансовый 2 3 8" xfId="2337" xr:uid="{00000000-0005-0000-0000-0000B8210000}"/>
    <cellStyle name="Финансовый 2 3 8 2" xfId="6188" xr:uid="{00000000-0005-0000-0000-0000B9210000}"/>
    <cellStyle name="Финансовый 2 3 9" xfId="2633" xr:uid="{00000000-0005-0000-0000-0000BA210000}"/>
    <cellStyle name="Финансовый 2 3 9 2" xfId="6484" xr:uid="{00000000-0005-0000-0000-0000BB210000}"/>
    <cellStyle name="Финансовый 2 4" xfId="311" xr:uid="{00000000-0005-0000-0000-0000BC210000}"/>
    <cellStyle name="Финансовый 2 4 10" xfId="3275" xr:uid="{00000000-0005-0000-0000-0000BD210000}"/>
    <cellStyle name="Финансовый 2 4 10 2" xfId="7126" xr:uid="{00000000-0005-0000-0000-0000BE210000}"/>
    <cellStyle name="Финансовый 2 4 11" xfId="3571" xr:uid="{00000000-0005-0000-0000-0000BF210000}"/>
    <cellStyle name="Финансовый 2 4 11 2" xfId="7422" xr:uid="{00000000-0005-0000-0000-0000C0210000}"/>
    <cellStyle name="Финансовый 2 4 12" xfId="3867" xr:uid="{00000000-0005-0000-0000-0000C1210000}"/>
    <cellStyle name="Финансовый 2 4 12 2" xfId="7718" xr:uid="{00000000-0005-0000-0000-0000C2210000}"/>
    <cellStyle name="Финансовый 2 4 13" xfId="4163" xr:uid="{00000000-0005-0000-0000-0000C3210000}"/>
    <cellStyle name="Финансовый 2 4 13 2" xfId="8014" xr:uid="{00000000-0005-0000-0000-0000C4210000}"/>
    <cellStyle name="Финансовый 2 4 14" xfId="8363" xr:uid="{00000000-0005-0000-0000-0000C5210000}"/>
    <cellStyle name="Финансовый 2 4 15" xfId="4462" xr:uid="{00000000-0005-0000-0000-0000C6210000}"/>
    <cellStyle name="Финансовый 2 4 2" xfId="635" xr:uid="{00000000-0005-0000-0000-0000C7210000}"/>
    <cellStyle name="Финансовый 2 4 2 2" xfId="8465" xr:uid="{00000000-0005-0000-0000-0000C8210000}"/>
    <cellStyle name="Финансовый 2 4 2 3" xfId="4758" xr:uid="{00000000-0005-0000-0000-0000C9210000}"/>
    <cellStyle name="Финансовый 2 4 3" xfId="1222" xr:uid="{00000000-0005-0000-0000-0000CA210000}"/>
    <cellStyle name="Финансовый 2 4 3 2" xfId="5054" xr:uid="{00000000-0005-0000-0000-0000CB210000}"/>
    <cellStyle name="Финансовый 2 4 4" xfId="1507" xr:uid="{00000000-0005-0000-0000-0000CC210000}"/>
    <cellStyle name="Финансовый 2 4 4 2" xfId="5350" xr:uid="{00000000-0005-0000-0000-0000CD210000}"/>
    <cellStyle name="Финансовый 2 4 5" xfId="1799" xr:uid="{00000000-0005-0000-0000-0000CE210000}"/>
    <cellStyle name="Финансовый 2 4 5 2" xfId="5646" xr:uid="{00000000-0005-0000-0000-0000CF210000}"/>
    <cellStyle name="Финансовый 2 4 6" xfId="2092" xr:uid="{00000000-0005-0000-0000-0000D0210000}"/>
    <cellStyle name="Финансовый 2 4 6 2" xfId="5942" xr:uid="{00000000-0005-0000-0000-0000D1210000}"/>
    <cellStyle name="Финансовый 2 4 7" xfId="2387" xr:uid="{00000000-0005-0000-0000-0000D2210000}"/>
    <cellStyle name="Финансовый 2 4 7 2" xfId="6238" xr:uid="{00000000-0005-0000-0000-0000D3210000}"/>
    <cellStyle name="Финансовый 2 4 8" xfId="2683" xr:uid="{00000000-0005-0000-0000-0000D4210000}"/>
    <cellStyle name="Финансовый 2 4 8 2" xfId="6534" xr:uid="{00000000-0005-0000-0000-0000D5210000}"/>
    <cellStyle name="Финансовый 2 4 9" xfId="2979" xr:uid="{00000000-0005-0000-0000-0000D6210000}"/>
    <cellStyle name="Финансовый 2 4 9 2" xfId="6830" xr:uid="{00000000-0005-0000-0000-0000D7210000}"/>
    <cellStyle name="Финансовый 2 5" xfId="644" xr:uid="{00000000-0005-0000-0000-0000D8210000}"/>
    <cellStyle name="Финансовый 2 5 2" xfId="695" xr:uid="{00000000-0005-0000-0000-0000D9210000}"/>
    <cellStyle name="Финансовый 2 5 3" xfId="8470" xr:uid="{00000000-0005-0000-0000-0000DA210000}"/>
    <cellStyle name="Финансовый 2 5 4" xfId="4610" xr:uid="{00000000-0005-0000-0000-0000DB210000}"/>
    <cellStyle name="Финансовый 2 6" xfId="638" xr:uid="{00000000-0005-0000-0000-0000DC210000}"/>
    <cellStyle name="Финансовый 2 6 2" xfId="689" xr:uid="{00000000-0005-0000-0000-0000DD210000}"/>
    <cellStyle name="Финансовый 2 6 3" xfId="8468" xr:uid="{00000000-0005-0000-0000-0000DE210000}"/>
    <cellStyle name="Финансовый 2 6 4" xfId="4906" xr:uid="{00000000-0005-0000-0000-0000DF210000}"/>
    <cellStyle name="Финансовый 2 7" xfId="653" xr:uid="{00000000-0005-0000-0000-0000E0210000}"/>
    <cellStyle name="Финансовый 2 7 2" xfId="700" xr:uid="{00000000-0005-0000-0000-0000E1210000}"/>
    <cellStyle name="Финансовый 2 7 3" xfId="8474" xr:uid="{00000000-0005-0000-0000-0000E2210000}"/>
    <cellStyle name="Финансовый 2 7 4" xfId="5202" xr:uid="{00000000-0005-0000-0000-0000E3210000}"/>
    <cellStyle name="Финансовый 2 8" xfId="666" xr:uid="{00000000-0005-0000-0000-0000E4210000}"/>
    <cellStyle name="Финансовый 2 8 2" xfId="8479" xr:uid="{00000000-0005-0000-0000-0000E5210000}"/>
    <cellStyle name="Финансовый 2 8 3" xfId="5498" xr:uid="{00000000-0005-0000-0000-0000E6210000}"/>
    <cellStyle name="Финансовый 2 9" xfId="716" xr:uid="{00000000-0005-0000-0000-0000E7210000}"/>
    <cellStyle name="Финансовый 2 9 2" xfId="8494" xr:uid="{00000000-0005-0000-0000-0000E8210000}"/>
    <cellStyle name="Финансовый 2 9 3" xfId="5794" xr:uid="{00000000-0005-0000-0000-0000E9210000}"/>
    <cellStyle name="Финансовый 3" xfId="126" xr:uid="{00000000-0005-0000-0000-0000EA210000}"/>
    <cellStyle name="Финансовый 3 10" xfId="2261" xr:uid="{00000000-0005-0000-0000-0000EB210000}"/>
    <cellStyle name="Финансовый 3 10 2" xfId="6112" xr:uid="{00000000-0005-0000-0000-0000EC210000}"/>
    <cellStyle name="Финансовый 3 11" xfId="2557" xr:uid="{00000000-0005-0000-0000-0000ED210000}"/>
    <cellStyle name="Финансовый 3 11 2" xfId="6408" xr:uid="{00000000-0005-0000-0000-0000EE210000}"/>
    <cellStyle name="Финансовый 3 12" xfId="2853" xr:uid="{00000000-0005-0000-0000-0000EF210000}"/>
    <cellStyle name="Финансовый 3 12 2" xfId="6704" xr:uid="{00000000-0005-0000-0000-0000F0210000}"/>
    <cellStyle name="Финансовый 3 13" xfId="3149" xr:uid="{00000000-0005-0000-0000-0000F1210000}"/>
    <cellStyle name="Финансовый 3 13 2" xfId="7000" xr:uid="{00000000-0005-0000-0000-0000F2210000}"/>
    <cellStyle name="Финансовый 3 14" xfId="3445" xr:uid="{00000000-0005-0000-0000-0000F3210000}"/>
    <cellStyle name="Финансовый 3 14 2" xfId="7296" xr:uid="{00000000-0005-0000-0000-0000F4210000}"/>
    <cellStyle name="Финансовый 3 15" xfId="3741" xr:uid="{00000000-0005-0000-0000-0000F5210000}"/>
    <cellStyle name="Финансовый 3 15 2" xfId="7592" xr:uid="{00000000-0005-0000-0000-0000F6210000}"/>
    <cellStyle name="Финансовый 3 16" xfId="4037" xr:uid="{00000000-0005-0000-0000-0000F7210000}"/>
    <cellStyle name="Финансовый 3 16 2" xfId="7888" xr:uid="{00000000-0005-0000-0000-0000F8210000}"/>
    <cellStyle name="Финансовый 3 17" xfId="8184" xr:uid="{00000000-0005-0000-0000-0000F9210000}"/>
    <cellStyle name="Финансовый 3 18" xfId="4333" xr:uid="{00000000-0005-0000-0000-0000FA210000}"/>
    <cellStyle name="Финансовый 3 19" xfId="8781" xr:uid="{00000000-0005-0000-0000-0000FB210000}"/>
    <cellStyle name="Финансовый 3 2" xfId="179" xr:uid="{00000000-0005-0000-0000-0000FC210000}"/>
    <cellStyle name="Финансовый 3 2 10" xfId="2901" xr:uid="{00000000-0005-0000-0000-0000FD210000}"/>
    <cellStyle name="Финансовый 3 2 10 2" xfId="6752" xr:uid="{00000000-0005-0000-0000-0000FE210000}"/>
    <cellStyle name="Финансовый 3 2 11" xfId="3197" xr:uid="{00000000-0005-0000-0000-0000FF210000}"/>
    <cellStyle name="Финансовый 3 2 11 2" xfId="7048" xr:uid="{00000000-0005-0000-0000-000000220000}"/>
    <cellStyle name="Финансовый 3 2 12" xfId="3493" xr:uid="{00000000-0005-0000-0000-000001220000}"/>
    <cellStyle name="Финансовый 3 2 12 2" xfId="7344" xr:uid="{00000000-0005-0000-0000-000002220000}"/>
    <cellStyle name="Финансовый 3 2 13" xfId="3789" xr:uid="{00000000-0005-0000-0000-000003220000}"/>
    <cellStyle name="Финансовый 3 2 13 2" xfId="7640" xr:uid="{00000000-0005-0000-0000-000004220000}"/>
    <cellStyle name="Финансовый 3 2 14" xfId="4085" xr:uid="{00000000-0005-0000-0000-000005220000}"/>
    <cellStyle name="Финансовый 3 2 14 2" xfId="7936" xr:uid="{00000000-0005-0000-0000-000006220000}"/>
    <cellStyle name="Финансовый 3 2 15" xfId="8234" xr:uid="{00000000-0005-0000-0000-000007220000}"/>
    <cellStyle name="Финансовый 3 2 16" xfId="4382" xr:uid="{00000000-0005-0000-0000-000008220000}"/>
    <cellStyle name="Финансовый 3 2 2" xfId="282" xr:uid="{00000000-0005-0000-0000-000009220000}"/>
    <cellStyle name="Финансовый 3 2 2 10" xfId="3345" xr:uid="{00000000-0005-0000-0000-00000A220000}"/>
    <cellStyle name="Финансовый 3 2 2 10 2" xfId="7196" xr:uid="{00000000-0005-0000-0000-00000B220000}"/>
    <cellStyle name="Финансовый 3 2 2 11" xfId="3641" xr:uid="{00000000-0005-0000-0000-00000C220000}"/>
    <cellStyle name="Финансовый 3 2 2 11 2" xfId="7492" xr:uid="{00000000-0005-0000-0000-00000D220000}"/>
    <cellStyle name="Финансовый 3 2 2 12" xfId="3937" xr:uid="{00000000-0005-0000-0000-00000E220000}"/>
    <cellStyle name="Финансовый 3 2 2 12 2" xfId="7788" xr:uid="{00000000-0005-0000-0000-00000F220000}"/>
    <cellStyle name="Финансовый 3 2 2 13" xfId="4233" xr:uid="{00000000-0005-0000-0000-000010220000}"/>
    <cellStyle name="Финансовый 3 2 2 13 2" xfId="8084" xr:uid="{00000000-0005-0000-0000-000011220000}"/>
    <cellStyle name="Финансовый 3 2 2 14" xfId="8335" xr:uid="{00000000-0005-0000-0000-000012220000}"/>
    <cellStyle name="Финансовый 3 2 2 15" xfId="4532" xr:uid="{00000000-0005-0000-0000-000013220000}"/>
    <cellStyle name="Финансовый 3 2 2 2" xfId="692" xr:uid="{00000000-0005-0000-0000-000014220000}"/>
    <cellStyle name="Финансовый 3 2 2 2 2" xfId="8487" xr:uid="{00000000-0005-0000-0000-000015220000}"/>
    <cellStyle name="Финансовый 3 2 2 2 3" xfId="4828" xr:uid="{00000000-0005-0000-0000-000016220000}"/>
    <cellStyle name="Финансовый 3 2 2 3" xfId="1290" xr:uid="{00000000-0005-0000-0000-000017220000}"/>
    <cellStyle name="Финансовый 3 2 2 3 2" xfId="5124" xr:uid="{00000000-0005-0000-0000-000018220000}"/>
    <cellStyle name="Финансовый 3 2 2 4" xfId="1576" xr:uid="{00000000-0005-0000-0000-000019220000}"/>
    <cellStyle name="Финансовый 3 2 2 4 2" xfId="5420" xr:uid="{00000000-0005-0000-0000-00001A220000}"/>
    <cellStyle name="Финансовый 3 2 2 5" xfId="1869" xr:uid="{00000000-0005-0000-0000-00001B220000}"/>
    <cellStyle name="Финансовый 3 2 2 5 2" xfId="5716" xr:uid="{00000000-0005-0000-0000-00001C220000}"/>
    <cellStyle name="Финансовый 3 2 2 6" xfId="2162" xr:uid="{00000000-0005-0000-0000-00001D220000}"/>
    <cellStyle name="Финансовый 3 2 2 6 2" xfId="6012" xr:uid="{00000000-0005-0000-0000-00001E220000}"/>
    <cellStyle name="Финансовый 3 2 2 7" xfId="2457" xr:uid="{00000000-0005-0000-0000-00001F220000}"/>
    <cellStyle name="Финансовый 3 2 2 7 2" xfId="6308" xr:uid="{00000000-0005-0000-0000-000020220000}"/>
    <cellStyle name="Финансовый 3 2 2 8" xfId="2753" xr:uid="{00000000-0005-0000-0000-000021220000}"/>
    <cellStyle name="Финансовый 3 2 2 8 2" xfId="6604" xr:uid="{00000000-0005-0000-0000-000022220000}"/>
    <cellStyle name="Финансовый 3 2 2 9" xfId="3049" xr:uid="{00000000-0005-0000-0000-000023220000}"/>
    <cellStyle name="Финансовый 3 2 2 9 2" xfId="6900" xr:uid="{00000000-0005-0000-0000-000024220000}"/>
    <cellStyle name="Финансовый 3 2 3" xfId="383" xr:uid="{00000000-0005-0000-0000-000025220000}"/>
    <cellStyle name="Финансовый 3 2 3 2" xfId="1025" xr:uid="{00000000-0005-0000-0000-000026220000}"/>
    <cellStyle name="Финансовый 3 2 3 3" xfId="8435" xr:uid="{00000000-0005-0000-0000-000027220000}"/>
    <cellStyle name="Финансовый 3 2 3 4" xfId="4680" xr:uid="{00000000-0005-0000-0000-000028220000}"/>
    <cellStyle name="Финансовый 3 2 4" xfId="641" xr:uid="{00000000-0005-0000-0000-000029220000}"/>
    <cellStyle name="Финансовый 3 2 4 2" xfId="8469" xr:uid="{00000000-0005-0000-0000-00002A220000}"/>
    <cellStyle name="Финансовый 3 2 4 3" xfId="4976" xr:uid="{00000000-0005-0000-0000-00002B220000}"/>
    <cellStyle name="Финансовый 3 2 5" xfId="1432" xr:uid="{00000000-0005-0000-0000-00002C220000}"/>
    <cellStyle name="Финансовый 3 2 5 2" xfId="5272" xr:uid="{00000000-0005-0000-0000-00002D220000}"/>
    <cellStyle name="Финансовый 3 2 6" xfId="1722" xr:uid="{00000000-0005-0000-0000-00002E220000}"/>
    <cellStyle name="Финансовый 3 2 6 2" xfId="5568" xr:uid="{00000000-0005-0000-0000-00002F220000}"/>
    <cellStyle name="Финансовый 3 2 7" xfId="2014" xr:uid="{00000000-0005-0000-0000-000030220000}"/>
    <cellStyle name="Финансовый 3 2 7 2" xfId="5864" xr:uid="{00000000-0005-0000-0000-000031220000}"/>
    <cellStyle name="Финансовый 3 2 8" xfId="2309" xr:uid="{00000000-0005-0000-0000-000032220000}"/>
    <cellStyle name="Финансовый 3 2 8 2" xfId="6160" xr:uid="{00000000-0005-0000-0000-000033220000}"/>
    <cellStyle name="Финансовый 3 2 9" xfId="2605" xr:uid="{00000000-0005-0000-0000-000034220000}"/>
    <cellStyle name="Финансовый 3 2 9 2" xfId="6456" xr:uid="{00000000-0005-0000-0000-000035220000}"/>
    <cellStyle name="Финансовый 3 20" xfId="8854" xr:uid="{00000000-0005-0000-0000-000036220000}"/>
    <cellStyle name="Финансовый 3 3" xfId="232" xr:uid="{00000000-0005-0000-0000-000037220000}"/>
    <cellStyle name="Финансовый 3 3 10" xfId="2951" xr:uid="{00000000-0005-0000-0000-000038220000}"/>
    <cellStyle name="Финансовый 3 3 10 2" xfId="6802" xr:uid="{00000000-0005-0000-0000-000039220000}"/>
    <cellStyle name="Финансовый 3 3 11" xfId="3247" xr:uid="{00000000-0005-0000-0000-00003A220000}"/>
    <cellStyle name="Финансовый 3 3 11 2" xfId="7098" xr:uid="{00000000-0005-0000-0000-00003B220000}"/>
    <cellStyle name="Финансовый 3 3 12" xfId="3543" xr:uid="{00000000-0005-0000-0000-00003C220000}"/>
    <cellStyle name="Финансовый 3 3 12 2" xfId="7394" xr:uid="{00000000-0005-0000-0000-00003D220000}"/>
    <cellStyle name="Финансовый 3 3 13" xfId="3839" xr:uid="{00000000-0005-0000-0000-00003E220000}"/>
    <cellStyle name="Финансовый 3 3 13 2" xfId="7690" xr:uid="{00000000-0005-0000-0000-00003F220000}"/>
    <cellStyle name="Финансовый 3 3 14" xfId="4135" xr:uid="{00000000-0005-0000-0000-000040220000}"/>
    <cellStyle name="Финансовый 3 3 14 2" xfId="7986" xr:uid="{00000000-0005-0000-0000-000041220000}"/>
    <cellStyle name="Финансовый 3 3 15" xfId="8285" xr:uid="{00000000-0005-0000-0000-000042220000}"/>
    <cellStyle name="Финансовый 3 3 16" xfId="4433" xr:uid="{00000000-0005-0000-0000-000043220000}"/>
    <cellStyle name="Финансовый 3 3 2" xfId="637" xr:uid="{00000000-0005-0000-0000-000044220000}"/>
    <cellStyle name="Финансовый 3 3 2 10" xfId="3395" xr:uid="{00000000-0005-0000-0000-000045220000}"/>
    <cellStyle name="Финансовый 3 3 2 10 2" xfId="7246" xr:uid="{00000000-0005-0000-0000-000046220000}"/>
    <cellStyle name="Финансовый 3 3 2 11" xfId="3691" xr:uid="{00000000-0005-0000-0000-000047220000}"/>
    <cellStyle name="Финансовый 3 3 2 11 2" xfId="7542" xr:uid="{00000000-0005-0000-0000-000048220000}"/>
    <cellStyle name="Финансовый 3 3 2 12" xfId="3987" xr:uid="{00000000-0005-0000-0000-000049220000}"/>
    <cellStyle name="Финансовый 3 3 2 12 2" xfId="7838" xr:uid="{00000000-0005-0000-0000-00004A220000}"/>
    <cellStyle name="Финансовый 3 3 2 13" xfId="4283" xr:uid="{00000000-0005-0000-0000-00004B220000}"/>
    <cellStyle name="Финансовый 3 3 2 13 2" xfId="8134" xr:uid="{00000000-0005-0000-0000-00004C220000}"/>
    <cellStyle name="Финансовый 3 3 2 14" xfId="8467" xr:uid="{00000000-0005-0000-0000-00004D220000}"/>
    <cellStyle name="Финансовый 3 3 2 15" xfId="4582" xr:uid="{00000000-0005-0000-0000-00004E220000}"/>
    <cellStyle name="Финансовый 3 3 2 2" xfId="1149" xr:uid="{00000000-0005-0000-0000-00004F220000}"/>
    <cellStyle name="Финансовый 3 3 2 2 2" xfId="4878" xr:uid="{00000000-0005-0000-0000-000050220000}"/>
    <cellStyle name="Финансовый 3 3 2 3" xfId="1338" xr:uid="{00000000-0005-0000-0000-000051220000}"/>
    <cellStyle name="Финансовый 3 3 2 3 2" xfId="5174" xr:uid="{00000000-0005-0000-0000-000052220000}"/>
    <cellStyle name="Финансовый 3 3 2 4" xfId="1625" xr:uid="{00000000-0005-0000-0000-000053220000}"/>
    <cellStyle name="Финансовый 3 3 2 4 2" xfId="5470" xr:uid="{00000000-0005-0000-0000-000054220000}"/>
    <cellStyle name="Финансовый 3 3 2 5" xfId="1918" xr:uid="{00000000-0005-0000-0000-000055220000}"/>
    <cellStyle name="Финансовый 3 3 2 5 2" xfId="5766" xr:uid="{00000000-0005-0000-0000-000056220000}"/>
    <cellStyle name="Финансовый 3 3 2 6" xfId="2212" xr:uid="{00000000-0005-0000-0000-000057220000}"/>
    <cellStyle name="Финансовый 3 3 2 6 2" xfId="6062" xr:uid="{00000000-0005-0000-0000-000058220000}"/>
    <cellStyle name="Финансовый 3 3 2 7" xfId="2507" xr:uid="{00000000-0005-0000-0000-000059220000}"/>
    <cellStyle name="Финансовый 3 3 2 7 2" xfId="6358" xr:uid="{00000000-0005-0000-0000-00005A220000}"/>
    <cellStyle name="Финансовый 3 3 2 8" xfId="2803" xr:uid="{00000000-0005-0000-0000-00005B220000}"/>
    <cellStyle name="Финансовый 3 3 2 8 2" xfId="6654" xr:uid="{00000000-0005-0000-0000-00005C220000}"/>
    <cellStyle name="Финансовый 3 3 2 9" xfId="3099" xr:uid="{00000000-0005-0000-0000-00005D220000}"/>
    <cellStyle name="Финансовый 3 3 2 9 2" xfId="6950" xr:uid="{00000000-0005-0000-0000-00005E220000}"/>
    <cellStyle name="Финансовый 3 3 3" xfId="1102" xr:uid="{00000000-0005-0000-0000-00005F220000}"/>
    <cellStyle name="Финансовый 3 3 3 2" xfId="4730" xr:uid="{00000000-0005-0000-0000-000060220000}"/>
    <cellStyle name="Финансовый 3 3 4" xfId="1196" xr:uid="{00000000-0005-0000-0000-000061220000}"/>
    <cellStyle name="Финансовый 3 3 4 2" xfId="5026" xr:uid="{00000000-0005-0000-0000-000062220000}"/>
    <cellStyle name="Финансовый 3 3 5" xfId="1480" xr:uid="{00000000-0005-0000-0000-000063220000}"/>
    <cellStyle name="Финансовый 3 3 5 2" xfId="5322" xr:uid="{00000000-0005-0000-0000-000064220000}"/>
    <cellStyle name="Финансовый 3 3 6" xfId="1771" xr:uid="{00000000-0005-0000-0000-000065220000}"/>
    <cellStyle name="Финансовый 3 3 6 2" xfId="5618" xr:uid="{00000000-0005-0000-0000-000066220000}"/>
    <cellStyle name="Финансовый 3 3 7" xfId="2064" xr:uid="{00000000-0005-0000-0000-000067220000}"/>
    <cellStyle name="Финансовый 3 3 7 2" xfId="5914" xr:uid="{00000000-0005-0000-0000-000068220000}"/>
    <cellStyle name="Финансовый 3 3 8" xfId="2359" xr:uid="{00000000-0005-0000-0000-000069220000}"/>
    <cellStyle name="Финансовый 3 3 8 2" xfId="6210" xr:uid="{00000000-0005-0000-0000-00006A220000}"/>
    <cellStyle name="Финансовый 3 3 9" xfId="2655" xr:uid="{00000000-0005-0000-0000-00006B220000}"/>
    <cellStyle name="Финансовый 3 3 9 2" xfId="6506" xr:uid="{00000000-0005-0000-0000-00006C220000}"/>
    <cellStyle name="Финансовый 3 4" xfId="333" xr:uid="{00000000-0005-0000-0000-00006D220000}"/>
    <cellStyle name="Финансовый 3 4 10" xfId="3297" xr:uid="{00000000-0005-0000-0000-00006E220000}"/>
    <cellStyle name="Финансовый 3 4 10 2" xfId="7148" xr:uid="{00000000-0005-0000-0000-00006F220000}"/>
    <cellStyle name="Финансовый 3 4 11" xfId="3593" xr:uid="{00000000-0005-0000-0000-000070220000}"/>
    <cellStyle name="Финансовый 3 4 11 2" xfId="7444" xr:uid="{00000000-0005-0000-0000-000071220000}"/>
    <cellStyle name="Финансовый 3 4 12" xfId="3889" xr:uid="{00000000-0005-0000-0000-000072220000}"/>
    <cellStyle name="Финансовый 3 4 12 2" xfId="7740" xr:uid="{00000000-0005-0000-0000-000073220000}"/>
    <cellStyle name="Финансовый 3 4 13" xfId="4185" xr:uid="{00000000-0005-0000-0000-000074220000}"/>
    <cellStyle name="Финансовый 3 4 13 2" xfId="8036" xr:uid="{00000000-0005-0000-0000-000075220000}"/>
    <cellStyle name="Финансовый 3 4 14" xfId="8385" xr:uid="{00000000-0005-0000-0000-000076220000}"/>
    <cellStyle name="Финансовый 3 4 15" xfId="4484" xr:uid="{00000000-0005-0000-0000-000077220000}"/>
    <cellStyle name="Финансовый 3 4 2" xfId="701" xr:uid="{00000000-0005-0000-0000-000078220000}"/>
    <cellStyle name="Финансовый 3 4 2 2" xfId="8490" xr:uid="{00000000-0005-0000-0000-000079220000}"/>
    <cellStyle name="Финансовый 3 4 2 3" xfId="4780" xr:uid="{00000000-0005-0000-0000-00007A220000}"/>
    <cellStyle name="Финансовый 3 4 3" xfId="654" xr:uid="{00000000-0005-0000-0000-00007B220000}"/>
    <cellStyle name="Финансовый 3 4 3 2" xfId="8475" xr:uid="{00000000-0005-0000-0000-00007C220000}"/>
    <cellStyle name="Финансовый 3 4 3 3" xfId="5076" xr:uid="{00000000-0005-0000-0000-00007D220000}"/>
    <cellStyle name="Финансовый 3 4 4" xfId="1529" xr:uid="{00000000-0005-0000-0000-00007E220000}"/>
    <cellStyle name="Финансовый 3 4 4 2" xfId="5372" xr:uid="{00000000-0005-0000-0000-00007F220000}"/>
    <cellStyle name="Финансовый 3 4 5" xfId="1821" xr:uid="{00000000-0005-0000-0000-000080220000}"/>
    <cellStyle name="Финансовый 3 4 5 2" xfId="5668" xr:uid="{00000000-0005-0000-0000-000081220000}"/>
    <cellStyle name="Финансовый 3 4 6" xfId="2114" xr:uid="{00000000-0005-0000-0000-000082220000}"/>
    <cellStyle name="Финансовый 3 4 6 2" xfId="5964" xr:uid="{00000000-0005-0000-0000-000083220000}"/>
    <cellStyle name="Финансовый 3 4 7" xfId="2409" xr:uid="{00000000-0005-0000-0000-000084220000}"/>
    <cellStyle name="Финансовый 3 4 7 2" xfId="6260" xr:uid="{00000000-0005-0000-0000-000085220000}"/>
    <cellStyle name="Финансовый 3 4 8" xfId="2705" xr:uid="{00000000-0005-0000-0000-000086220000}"/>
    <cellStyle name="Финансовый 3 4 8 2" xfId="6556" xr:uid="{00000000-0005-0000-0000-000087220000}"/>
    <cellStyle name="Финансовый 3 4 9" xfId="3001" xr:uid="{00000000-0005-0000-0000-000088220000}"/>
    <cellStyle name="Финансовый 3 4 9 2" xfId="6852" xr:uid="{00000000-0005-0000-0000-000089220000}"/>
    <cellStyle name="Финансовый 3 5" xfId="668" xr:uid="{00000000-0005-0000-0000-00008A220000}"/>
    <cellStyle name="Финансовый 3 5 2" xfId="8480" xr:uid="{00000000-0005-0000-0000-00008B220000}"/>
    <cellStyle name="Финансовый 3 5 3" xfId="4632" xr:uid="{00000000-0005-0000-0000-00008C220000}"/>
    <cellStyle name="Финансовый 3 6" xfId="393" xr:uid="{00000000-0005-0000-0000-00008D220000}"/>
    <cellStyle name="Финансовый 3 6 2" xfId="8444" xr:uid="{00000000-0005-0000-0000-00008E220000}"/>
    <cellStyle name="Финансовый 3 6 3" xfId="4928" xr:uid="{00000000-0005-0000-0000-00008F220000}"/>
    <cellStyle name="Финансовый 3 7" xfId="1385" xr:uid="{00000000-0005-0000-0000-000090220000}"/>
    <cellStyle name="Финансовый 3 7 2" xfId="5224" xr:uid="{00000000-0005-0000-0000-000091220000}"/>
    <cellStyle name="Финансовый 3 8" xfId="1674" xr:uid="{00000000-0005-0000-0000-000092220000}"/>
    <cellStyle name="Финансовый 3 8 2" xfId="5520" xr:uid="{00000000-0005-0000-0000-000093220000}"/>
    <cellStyle name="Финансовый 3 9" xfId="1967" xr:uid="{00000000-0005-0000-0000-000094220000}"/>
    <cellStyle name="Финансовый 3 9 2" xfId="5816" xr:uid="{00000000-0005-0000-0000-000095220000}"/>
    <cellStyle name="Финансовый 4" xfId="1056" xr:uid="{00000000-0005-0000-0000-000096220000}"/>
    <cellStyle name="Финансовый 4 2" xfId="651" xr:uid="{00000000-0005-0000-0000-000097220000}"/>
    <cellStyle name="Финансовый 4 3" xfId="670" xr:uid="{00000000-0005-0000-0000-000098220000}"/>
    <cellStyle name="Финансовый 4 4" xfId="395" xr:uid="{00000000-0005-0000-0000-000099220000}"/>
    <cellStyle name="Финансовый 4 5" xfId="4384" xr:uid="{00000000-0005-0000-0000-00009A220000}"/>
    <cellStyle name="Финансовый 4 6" xfId="8853" xr:uid="{00000000-0005-0000-0000-00009B220000}"/>
    <cellStyle name="Финансовый 5" xfId="397" xr:uid="{00000000-0005-0000-0000-00009C220000}"/>
    <cellStyle name="Финансовый 5 2" xfId="672" xr:uid="{00000000-0005-0000-0000-00009D220000}"/>
    <cellStyle name="Финансовый 5 3" xfId="8445" xr:uid="{00000000-0005-0000-0000-00009E220000}"/>
    <cellStyle name="Финансовый 5 4" xfId="4435" xr:uid="{00000000-0005-0000-0000-00009F220000}"/>
    <cellStyle name="Финансовый 6" xfId="401" xr:uid="{00000000-0005-0000-0000-0000A0220000}"/>
    <cellStyle name="Финансовый 6 2" xfId="674" xr:uid="{00000000-0005-0000-0000-0000A1220000}"/>
    <cellStyle name="Финансовый 7" xfId="403" xr:uid="{00000000-0005-0000-0000-0000A2220000}"/>
    <cellStyle name="Финансовый 7 2" xfId="676" xr:uid="{00000000-0005-0000-0000-0000A3220000}"/>
    <cellStyle name="Финансовый 8" xfId="408" xr:uid="{00000000-0005-0000-0000-0000A4220000}"/>
    <cellStyle name="Финансовый 8 2" xfId="679" xr:uid="{00000000-0005-0000-0000-0000A5220000}"/>
    <cellStyle name="Финансовый 9" xfId="8451" xr:uid="{00000000-0005-0000-0000-0000A6220000}"/>
  </cellStyles>
  <dxfs count="5">
    <dxf>
      <fill>
        <patternFill>
          <bgColor theme="9" tint="0.79998168889431442"/>
        </patternFill>
      </fill>
    </dxf>
    <dxf>
      <fill>
        <patternFill patternType="none">
          <bgColor auto="1"/>
        </patternFill>
      </fill>
    </dxf>
    <dxf>
      <fill>
        <patternFill>
          <bgColor theme="9" tint="0.59996337778862885"/>
        </patternFill>
      </fill>
    </dxf>
    <dxf>
      <fill>
        <gradientFill degree="90">
          <stop position="0">
            <color theme="0"/>
          </stop>
          <stop position="1">
            <color theme="4"/>
          </stop>
        </gradientFill>
      </fill>
    </dxf>
    <dxf>
      <fill>
        <patternFill>
          <bgColor theme="9" tint="0.79998168889431442"/>
        </patternFill>
      </fill>
    </dxf>
  </dxfs>
  <tableStyles count="3" defaultTableStyle="TableStyleMedium2" defaultPivotStyle="PivotStyleMedium9">
    <tableStyle name="Стиль таблицы 1" pivot="0" count="1" xr9:uid="{00000000-0011-0000-FFFF-FFFF00000000}">
      <tableStyleElement type="secondRowStripe" dxfId="4"/>
    </tableStyle>
    <tableStyle name="Стиль таблицы 2" pivot="0" count="2" xr9:uid="{00000000-0011-0000-FFFF-FFFF01000000}">
      <tableStyleElement type="headerRow" dxfId="3"/>
      <tableStyleElement type="totalRow" dxfId="2"/>
    </tableStyle>
    <tableStyle name="Стиль таблицы 3" pivot="0" count="2" xr9:uid="{00000000-0011-0000-FFFF-FFFF02000000}">
      <tableStyleElement type="firstRowStripe" dxfId="1"/>
      <tableStyleElement type="secondRowStripe" dxfId="0"/>
    </tableStyle>
  </tableStyles>
  <colors>
    <mruColors>
      <color rgb="FF00FFCC"/>
      <color rgb="FF33CCFF"/>
      <color rgb="FFFFFF99"/>
      <color rgb="FFFF9900"/>
      <color rgb="FF3333FF"/>
      <color rgb="FF0033CC"/>
      <color rgb="FFF177D7"/>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PL%20&#1087;&#1086;%20&#1082;&#1086;&#1084;&#1087;&#1072;&#1085;&#1080;&#1080;%20&#1071;&#1085;&#1074;&#1072;&#1088;&#1100;%202024_&#1057;&#1090;&#1088;&#1086;&#1080;&#1090;&#1077;&#1083;&#1100;&#1089;&#1090;&#1074;&#108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асчет 2020"/>
      <sheetName val="ОС"/>
      <sheetName val="PL_Сватово очередь 2"/>
      <sheetName val="Метрики"/>
      <sheetName val="расчет 2022"/>
      <sheetName val="PL_И.П.С."/>
      <sheetName val="PL_Свод"/>
      <sheetName val="PL_ЦО"/>
      <sheetName val="PL Строительство Свод"/>
      <sheetName val="PL_ЦО_Строительство"/>
      <sheetName val="PL_Козин"/>
      <sheetName val="Лист1"/>
      <sheetName val="Цех ЗП"/>
      <sheetName val="PL_Пуща-Водица"/>
      <sheetName val="PL_Староконстантинов"/>
      <sheetName val="Крушинка"/>
      <sheetName val="Печановка-2"/>
      <sheetName val="PL_Ретал"/>
      <sheetName val="Щедро. Флекситанки"/>
      <sheetName val="Приднепровский_металл"/>
      <sheetName val="Глухов"/>
      <sheetName val="PL_МХП3"/>
      <sheetName val="PL_Ладыжин-2"/>
      <sheetName val="Олияр"/>
      <sheetName val="Беловоды"/>
      <sheetName val="Мексика"/>
      <sheetName val="Печановка"/>
      <sheetName val="PL_Нежин"/>
      <sheetName val="PL_Королевка"/>
      <sheetName val="Яр Вал"/>
      <sheetName val="PL_Пологи"/>
      <sheetName val="Славута"/>
      <sheetName val="PL_Волчанск"/>
      <sheetName val="Турбина-2"/>
      <sheetName val="Ладыжин 3"/>
      <sheetName val="PL_БИОГАЗ"/>
      <sheetName val="ООН_Киевская_обл"/>
      <sheetName val="ООН_Черниговская_обл"/>
      <sheetName val="Щедро_лапша"/>
      <sheetName val="МЭЗ СЕТИ"/>
      <sheetName val="Приднепровский МЄЗ 2"/>
      <sheetName val="Старкон Убежище"/>
      <sheetName val="Турбина"/>
      <sheetName val="Солома_Элеватор"/>
      <sheetName val="Подгорцы"/>
      <sheetName val="PL_Производство"/>
      <sheetName val="PL_Производство_СВОД"/>
      <sheetName val="PL_ЦО_Производство"/>
      <sheetName val="МК Ладыжин-3"/>
      <sheetName val="МК Староконстантинов"/>
      <sheetName val="МК Армокаркасы"/>
      <sheetName val="МК Щедро. Флекситанки"/>
      <sheetName val="МК ЛифтМаркет"/>
      <sheetName val="МД ООН"/>
      <sheetName val="МК Укркотлопром"/>
      <sheetName val="МК _Шаблон"/>
      <sheetName val="МК Подгорцы.Забор"/>
      <sheetName val="PL_Металлизация"/>
      <sheetName val="Техника"/>
      <sheetName val="PL_Логистика"/>
      <sheetName val="ЦО_логистика"/>
      <sheetName val="Форд Тягач"/>
      <sheetName val="MAN Blue KA1783HI"/>
      <sheetName val="MAN green KA2790IE"/>
      <sheetName val="MAN №3 white KA7837HO"/>
      <sheetName val="MAN №4 white KA3597HO"/>
      <sheetName val="MAN №5 Тент МД"/>
      <sheetName val="PL_Щедро"/>
      <sheetName val="Кривой Рог"/>
      <sheetName val="Нежин-2"/>
      <sheetName val="Красноармейская"/>
      <sheetName val="PL_Приднепровский МЭЗ"/>
      <sheetName val="Харьков"/>
      <sheetName val="Лист2"/>
    </sheetNames>
    <sheetDataSet>
      <sheetData sheetId="0" refreshError="1"/>
      <sheetData sheetId="1" refreshError="1"/>
      <sheetData sheetId="2" refreshError="1"/>
      <sheetData sheetId="3" refreshError="1"/>
      <sheetData sheetId="4">
        <row r="11">
          <cell r="E11">
            <v>0.115</v>
          </cell>
        </row>
        <row r="14">
          <cell r="E14">
            <v>0.11874390843633957</v>
          </cell>
        </row>
        <row r="15">
          <cell r="E15">
            <v>0.12</v>
          </cell>
        </row>
        <row r="16">
          <cell r="E16">
            <v>0.11822389445760793</v>
          </cell>
        </row>
        <row r="17">
          <cell r="E17">
            <v>0.12387311110035963</v>
          </cell>
        </row>
        <row r="18">
          <cell r="E18">
            <v>0.10900040298944901</v>
          </cell>
        </row>
        <row r="19">
          <cell r="E19">
            <v>0.11662973361526112</v>
          </cell>
        </row>
        <row r="20">
          <cell r="E20">
            <v>0.11828920638478493</v>
          </cell>
        </row>
        <row r="21">
          <cell r="E21">
            <v>0.11579070701608085</v>
          </cell>
        </row>
        <row r="22">
          <cell r="E22">
            <v>0.12734273242417127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4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A2:F42"/>
  <sheetViews>
    <sheetView topLeftCell="A19" workbookViewId="0">
      <selection activeCell="C40" sqref="C40"/>
    </sheetView>
  </sheetViews>
  <sheetFormatPr defaultRowHeight="14.4" outlineLevelRow="1" x14ac:dyDescent="0.3"/>
  <cols>
    <col min="2" max="2" width="23.6640625" bestFit="1" customWidth="1"/>
    <col min="3" max="3" width="13.6640625" bestFit="1" customWidth="1"/>
    <col min="4" max="4" width="14.109375" bestFit="1" customWidth="1"/>
  </cols>
  <sheetData>
    <row r="2" spans="1:6" x14ac:dyDescent="0.3">
      <c r="A2" t="s">
        <v>259</v>
      </c>
      <c r="C2" s="353">
        <f>AVERAGE(E4:E15)</f>
        <v>0.1203793018739302</v>
      </c>
    </row>
    <row r="3" spans="1:6" hidden="1" outlineLevel="1" x14ac:dyDescent="0.3">
      <c r="C3" t="s">
        <v>256</v>
      </c>
      <c r="D3" t="s">
        <v>257</v>
      </c>
      <c r="E3" t="s">
        <v>258</v>
      </c>
    </row>
    <row r="4" spans="1:6" hidden="1" outlineLevel="1" x14ac:dyDescent="0.3">
      <c r="B4">
        <v>1</v>
      </c>
      <c r="C4">
        <f>21734908.08+3039907.5</f>
        <v>24774815.579999998</v>
      </c>
      <c r="D4">
        <v>3039907.5</v>
      </c>
      <c r="E4" s="350">
        <f>D4/C4</f>
        <v>0.12270151881388899</v>
      </c>
      <c r="F4" s="351"/>
    </row>
    <row r="5" spans="1:6" hidden="1" outlineLevel="1" x14ac:dyDescent="0.3">
      <c r="B5">
        <v>2</v>
      </c>
      <c r="C5">
        <v>2085216.68</v>
      </c>
      <c r="D5">
        <v>250168.02</v>
      </c>
      <c r="E5" s="350">
        <f t="shared" ref="E5:E15" si="0">D5/C5</f>
        <v>0.11997219396883013</v>
      </c>
    </row>
    <row r="6" spans="1:6" hidden="1" outlineLevel="1" x14ac:dyDescent="0.3">
      <c r="B6">
        <v>3</v>
      </c>
      <c r="C6">
        <v>1619210.26</v>
      </c>
      <c r="D6">
        <v>187157.29</v>
      </c>
      <c r="E6" s="350">
        <f t="shared" si="0"/>
        <v>0.11558553859459858</v>
      </c>
    </row>
    <row r="7" spans="1:6" hidden="1" outlineLevel="1" x14ac:dyDescent="0.3">
      <c r="B7">
        <v>4</v>
      </c>
      <c r="C7">
        <v>6381759.2300000004</v>
      </c>
      <c r="D7">
        <v>713762.83</v>
      </c>
      <c r="E7" s="350">
        <f t="shared" si="0"/>
        <v>0.11184421164695051</v>
      </c>
    </row>
    <row r="8" spans="1:6" hidden="1" outlineLevel="1" x14ac:dyDescent="0.3">
      <c r="B8">
        <v>5</v>
      </c>
      <c r="C8">
        <v>4404553.5999999996</v>
      </c>
      <c r="D8">
        <v>504620.64</v>
      </c>
      <c r="E8" s="350">
        <f t="shared" si="0"/>
        <v>0.11456794168653096</v>
      </c>
    </row>
    <row r="9" spans="1:6" hidden="1" outlineLevel="1" x14ac:dyDescent="0.3">
      <c r="B9">
        <v>6</v>
      </c>
      <c r="C9">
        <v>5156496.24</v>
      </c>
      <c r="D9">
        <v>640953.80000000005</v>
      </c>
      <c r="E9" s="350">
        <f t="shared" si="0"/>
        <v>0.12430025547735103</v>
      </c>
    </row>
    <row r="10" spans="1:6" hidden="1" outlineLevel="1" x14ac:dyDescent="0.3">
      <c r="B10">
        <v>7</v>
      </c>
      <c r="C10">
        <v>10920914.630000001</v>
      </c>
      <c r="D10">
        <v>1332106.52</v>
      </c>
      <c r="E10" s="350">
        <f t="shared" si="0"/>
        <v>0.12197756004251449</v>
      </c>
    </row>
    <row r="11" spans="1:6" hidden="1" outlineLevel="1" x14ac:dyDescent="0.3">
      <c r="B11">
        <v>8</v>
      </c>
      <c r="C11">
        <v>1984735.11</v>
      </c>
      <c r="D11">
        <v>252504.11</v>
      </c>
      <c r="E11" s="350">
        <f t="shared" si="0"/>
        <v>0.12722307814668526</v>
      </c>
    </row>
    <row r="12" spans="1:6" hidden="1" outlineLevel="1" x14ac:dyDescent="0.3">
      <c r="B12">
        <v>9</v>
      </c>
      <c r="C12">
        <v>3501909.78</v>
      </c>
      <c r="D12">
        <v>427337.8</v>
      </c>
      <c r="E12" s="350">
        <f t="shared" si="0"/>
        <v>0.12202992848091021</v>
      </c>
    </row>
    <row r="13" spans="1:6" hidden="1" outlineLevel="1" x14ac:dyDescent="0.3">
      <c r="B13">
        <v>10</v>
      </c>
      <c r="C13">
        <v>8418994.3499999996</v>
      </c>
      <c r="D13">
        <v>1036294.3</v>
      </c>
      <c r="E13" s="350">
        <f t="shared" si="0"/>
        <v>0.12309003390648435</v>
      </c>
    </row>
    <row r="14" spans="1:6" hidden="1" outlineLevel="1" x14ac:dyDescent="0.3">
      <c r="B14">
        <v>11</v>
      </c>
      <c r="C14">
        <v>4529395.3600000003</v>
      </c>
      <c r="D14">
        <v>544927.64</v>
      </c>
      <c r="E14" s="350">
        <f t="shared" si="0"/>
        <v>0.12030913547807405</v>
      </c>
    </row>
    <row r="15" spans="1:6" hidden="1" outlineLevel="1" x14ac:dyDescent="0.3">
      <c r="B15">
        <v>12</v>
      </c>
      <c r="C15">
        <v>3867500</v>
      </c>
      <c r="D15">
        <v>467775</v>
      </c>
      <c r="E15" s="350">
        <f t="shared" si="0"/>
        <v>0.12095022624434389</v>
      </c>
    </row>
    <row r="16" spans="1:6" collapsed="1" x14ac:dyDescent="0.3"/>
    <row r="17" spans="1:3" x14ac:dyDescent="0.3">
      <c r="A17" t="s">
        <v>260</v>
      </c>
      <c r="B17" t="s">
        <v>261</v>
      </c>
      <c r="C17" s="352" t="e">
        <f>#REF!</f>
        <v>#REF!</v>
      </c>
    </row>
    <row r="18" spans="1:3" x14ac:dyDescent="0.3">
      <c r="B18" t="s">
        <v>262</v>
      </c>
      <c r="C18" s="352">
        <f>2051500+250000+246471</f>
        <v>2547971</v>
      </c>
    </row>
    <row r="19" spans="1:3" x14ac:dyDescent="0.3">
      <c r="B19" t="s">
        <v>263</v>
      </c>
      <c r="C19" s="352">
        <f>SUM(C21:C25)</f>
        <v>23342228.459999997</v>
      </c>
    </row>
    <row r="20" spans="1:3" x14ac:dyDescent="0.3">
      <c r="B20" t="s">
        <v>264</v>
      </c>
      <c r="C20" s="352"/>
    </row>
    <row r="21" spans="1:3" x14ac:dyDescent="0.3">
      <c r="B21" t="s">
        <v>175</v>
      </c>
      <c r="C21" s="359">
        <f>ОС!E41+88654.88+28990+12399.97+9971+18496.99</f>
        <v>262876.84000000003</v>
      </c>
    </row>
    <row r="22" spans="1:3" x14ac:dyDescent="0.3">
      <c r="B22" t="s">
        <v>265</v>
      </c>
      <c r="C22" s="359">
        <f>ОС!E39+806079.43+11600.04</f>
        <v>20594884.489999998</v>
      </c>
    </row>
    <row r="23" spans="1:3" x14ac:dyDescent="0.3">
      <c r="B23" t="s">
        <v>268</v>
      </c>
      <c r="C23" s="359">
        <f>1348943.82+134648.07+ОС!E40+66223.6+41478.04+153811.68</f>
        <v>2167456.4800000004</v>
      </c>
    </row>
    <row r="24" spans="1:3" x14ac:dyDescent="0.3">
      <c r="B24" t="s">
        <v>267</v>
      </c>
      <c r="C24" s="359">
        <f>242313.65+36673+600+37424</f>
        <v>317010.65000000002</v>
      </c>
    </row>
    <row r="25" spans="1:3" x14ac:dyDescent="0.3">
      <c r="C25" s="352"/>
    </row>
    <row r="26" spans="1:3" x14ac:dyDescent="0.3">
      <c r="B26" t="s">
        <v>266</v>
      </c>
      <c r="C26" s="352">
        <f>1840475+2243327+4623157-2186000</f>
        <v>6520959</v>
      </c>
    </row>
    <row r="27" spans="1:3" x14ac:dyDescent="0.3">
      <c r="C27" s="357" t="e">
        <f>C17-C18-C19+C26</f>
        <v>#REF!</v>
      </c>
    </row>
    <row r="29" spans="1:3" hidden="1" x14ac:dyDescent="0.3">
      <c r="B29" t="s">
        <v>354</v>
      </c>
    </row>
    <row r="30" spans="1:3" hidden="1" x14ac:dyDescent="0.3">
      <c r="B30" t="s">
        <v>361</v>
      </c>
    </row>
    <row r="31" spans="1:3" hidden="1" x14ac:dyDescent="0.3"/>
    <row r="32" spans="1:3" hidden="1" x14ac:dyDescent="0.3"/>
    <row r="33" spans="2:3" hidden="1" x14ac:dyDescent="0.3">
      <c r="B33" t="s">
        <v>362</v>
      </c>
    </row>
    <row r="34" spans="2:3" hidden="1" x14ac:dyDescent="0.3"/>
    <row r="35" spans="2:3" hidden="1" x14ac:dyDescent="0.3"/>
    <row r="36" spans="2:3" x14ac:dyDescent="0.3">
      <c r="C36" s="358">
        <f>SUM(C30:C35)</f>
        <v>0</v>
      </c>
    </row>
    <row r="37" spans="2:3" x14ac:dyDescent="0.3">
      <c r="C37" s="358"/>
    </row>
    <row r="38" spans="2:3" ht="43.2" x14ac:dyDescent="0.3">
      <c r="B38" s="370" t="s">
        <v>400</v>
      </c>
      <c r="C38" s="357">
        <f>1300000+200000</f>
        <v>1500000</v>
      </c>
    </row>
    <row r="40" spans="2:3" ht="18" x14ac:dyDescent="0.35">
      <c r="C40" s="390" t="e">
        <f>C27+C36-C38</f>
        <v>#REF!</v>
      </c>
    </row>
    <row r="41" spans="2:3" x14ac:dyDescent="0.3">
      <c r="B41" t="s">
        <v>399</v>
      </c>
      <c r="C41">
        <v>-500000</v>
      </c>
    </row>
    <row r="42" spans="2:3" x14ac:dyDescent="0.3">
      <c r="C42" s="352" t="e">
        <f>C40+C41</f>
        <v>#REF!</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7:F42"/>
  <sheetViews>
    <sheetView workbookViewId="0">
      <selection activeCell="F29" sqref="F29"/>
    </sheetView>
  </sheetViews>
  <sheetFormatPr defaultRowHeight="14.4" x14ac:dyDescent="0.3"/>
  <cols>
    <col min="1" max="1" width="35.88671875" customWidth="1"/>
    <col min="2" max="2" width="34.6640625" customWidth="1"/>
    <col min="5" max="5" width="13.33203125" bestFit="1" customWidth="1"/>
  </cols>
  <sheetData>
    <row r="7" spans="1:6" ht="15" thickBot="1" x14ac:dyDescent="0.35">
      <c r="A7" s="227"/>
      <c r="B7" s="227"/>
      <c r="C7" s="227"/>
      <c r="D7" s="227"/>
      <c r="E7" s="227"/>
    </row>
    <row r="8" spans="1:6" ht="21" thickBot="1" x14ac:dyDescent="0.35">
      <c r="A8" s="354" t="s">
        <v>269</v>
      </c>
      <c r="B8" s="355" t="s">
        <v>270</v>
      </c>
      <c r="C8" s="355"/>
      <c r="D8" s="349" t="s">
        <v>271</v>
      </c>
      <c r="E8" s="349">
        <v>-246540</v>
      </c>
      <c r="F8" t="s">
        <v>265</v>
      </c>
    </row>
    <row r="9" spans="1:6" ht="21" thickBot="1" x14ac:dyDescent="0.35">
      <c r="A9" s="354" t="s">
        <v>272</v>
      </c>
      <c r="B9" s="355" t="s">
        <v>273</v>
      </c>
      <c r="C9" s="355"/>
      <c r="D9" s="349" t="s">
        <v>274</v>
      </c>
      <c r="E9" s="349">
        <v>-750000</v>
      </c>
      <c r="F9" t="s">
        <v>265</v>
      </c>
    </row>
    <row r="10" spans="1:6" ht="21" thickBot="1" x14ac:dyDescent="0.35">
      <c r="A10" s="354" t="s">
        <v>275</v>
      </c>
      <c r="B10" s="355" t="s">
        <v>276</v>
      </c>
      <c r="C10" s="349" t="s">
        <v>277</v>
      </c>
      <c r="D10" s="355"/>
      <c r="E10" s="349">
        <v>-852432</v>
      </c>
      <c r="F10" t="s">
        <v>265</v>
      </c>
    </row>
    <row r="11" spans="1:6" ht="21" thickBot="1" x14ac:dyDescent="0.35">
      <c r="A11" s="354" t="s">
        <v>278</v>
      </c>
      <c r="B11" s="355" t="s">
        <v>279</v>
      </c>
      <c r="C11" s="349" t="s">
        <v>280</v>
      </c>
      <c r="D11" s="355"/>
      <c r="E11" s="349">
        <v>-833215</v>
      </c>
      <c r="F11" t="s">
        <v>265</v>
      </c>
    </row>
    <row r="12" spans="1:6" ht="21" thickBot="1" x14ac:dyDescent="0.35">
      <c r="A12" s="354" t="s">
        <v>281</v>
      </c>
      <c r="B12" s="355"/>
      <c r="C12" s="355"/>
      <c r="D12" s="349" t="s">
        <v>282</v>
      </c>
      <c r="E12" s="349">
        <v>-221175</v>
      </c>
      <c r="F12" t="s">
        <v>265</v>
      </c>
    </row>
    <row r="13" spans="1:6" ht="21" thickBot="1" x14ac:dyDescent="0.35">
      <c r="A13" s="354" t="s">
        <v>283</v>
      </c>
      <c r="B13" s="355" t="s">
        <v>284</v>
      </c>
      <c r="C13" s="355"/>
      <c r="D13" s="349" t="s">
        <v>285</v>
      </c>
      <c r="E13" s="349">
        <v>-108395</v>
      </c>
      <c r="F13" t="s">
        <v>265</v>
      </c>
    </row>
    <row r="14" spans="1:6" ht="21" thickBot="1" x14ac:dyDescent="0.35">
      <c r="A14" s="354" t="s">
        <v>286</v>
      </c>
      <c r="B14" s="355"/>
      <c r="C14" s="355"/>
      <c r="D14" s="349" t="s">
        <v>287</v>
      </c>
      <c r="E14" s="349">
        <v>-562600</v>
      </c>
      <c r="F14" t="s">
        <v>265</v>
      </c>
    </row>
    <row r="15" spans="1:6" ht="21" thickBot="1" x14ac:dyDescent="0.35">
      <c r="A15" s="354" t="s">
        <v>288</v>
      </c>
      <c r="B15" s="355" t="s">
        <v>289</v>
      </c>
      <c r="C15" s="349" t="s">
        <v>290</v>
      </c>
      <c r="D15" s="355"/>
      <c r="E15" s="349">
        <v>-466200</v>
      </c>
      <c r="F15" t="s">
        <v>265</v>
      </c>
    </row>
    <row r="16" spans="1:6" ht="31.2" thickBot="1" x14ac:dyDescent="0.35">
      <c r="A16" s="354" t="s">
        <v>291</v>
      </c>
      <c r="B16" s="355" t="s">
        <v>292</v>
      </c>
      <c r="C16" s="349" t="s">
        <v>293</v>
      </c>
      <c r="D16" s="355"/>
      <c r="E16" s="349">
        <v>-251562.5</v>
      </c>
      <c r="F16" t="s">
        <v>265</v>
      </c>
    </row>
    <row r="17" spans="1:6" ht="31.2" thickBot="1" x14ac:dyDescent="0.35">
      <c r="A17" s="354" t="s">
        <v>294</v>
      </c>
      <c r="B17" s="355" t="s">
        <v>295</v>
      </c>
      <c r="C17" s="355"/>
      <c r="D17" s="349" t="s">
        <v>296</v>
      </c>
      <c r="E17" s="349">
        <v>-2062500</v>
      </c>
      <c r="F17" t="s">
        <v>265</v>
      </c>
    </row>
    <row r="18" spans="1:6" ht="31.2" thickBot="1" x14ac:dyDescent="0.35">
      <c r="A18" s="354" t="s">
        <v>297</v>
      </c>
      <c r="B18" s="355" t="s">
        <v>298</v>
      </c>
      <c r="C18" s="349" t="s">
        <v>299</v>
      </c>
      <c r="D18" s="355"/>
      <c r="E18" s="349">
        <v>-1892700</v>
      </c>
      <c r="F18" t="s">
        <v>265</v>
      </c>
    </row>
    <row r="19" spans="1:6" ht="21" thickBot="1" x14ac:dyDescent="0.35">
      <c r="A19" s="354" t="s">
        <v>300</v>
      </c>
      <c r="B19" s="355" t="s">
        <v>301</v>
      </c>
      <c r="C19" s="355"/>
      <c r="D19" s="349" t="s">
        <v>302</v>
      </c>
      <c r="E19" s="349">
        <v>-104364</v>
      </c>
      <c r="F19" t="s">
        <v>175</v>
      </c>
    </row>
    <row r="20" spans="1:6" ht="21" thickBot="1" x14ac:dyDescent="0.35">
      <c r="A20" s="354" t="s">
        <v>303</v>
      </c>
      <c r="B20" s="355"/>
      <c r="C20" s="355"/>
      <c r="D20" s="349" t="s">
        <v>304</v>
      </c>
      <c r="E20" s="349">
        <v>-134425</v>
      </c>
      <c r="F20" t="s">
        <v>265</v>
      </c>
    </row>
    <row r="21" spans="1:6" ht="21" thickBot="1" x14ac:dyDescent="0.35">
      <c r="A21" s="354" t="s">
        <v>305</v>
      </c>
      <c r="B21" s="355" t="s">
        <v>306</v>
      </c>
      <c r="C21" s="355"/>
      <c r="D21" s="349" t="s">
        <v>307</v>
      </c>
      <c r="E21" s="349">
        <v>-272442</v>
      </c>
      <c r="F21" t="s">
        <v>265</v>
      </c>
    </row>
    <row r="22" spans="1:6" ht="21" thickBot="1" x14ac:dyDescent="0.35">
      <c r="A22" s="354" t="s">
        <v>308</v>
      </c>
      <c r="B22" s="355" t="s">
        <v>309</v>
      </c>
      <c r="C22" s="355"/>
      <c r="D22" s="349" t="s">
        <v>310</v>
      </c>
      <c r="E22" s="349">
        <v>-137500</v>
      </c>
      <c r="F22" t="s">
        <v>265</v>
      </c>
    </row>
    <row r="23" spans="1:6" ht="21" thickBot="1" x14ac:dyDescent="0.35">
      <c r="A23" s="354" t="s">
        <v>311</v>
      </c>
      <c r="B23" s="355" t="s">
        <v>312</v>
      </c>
      <c r="C23" s="349" t="s">
        <v>313</v>
      </c>
      <c r="D23" s="355"/>
      <c r="E23" s="349">
        <v>-676250</v>
      </c>
      <c r="F23" t="s">
        <v>265</v>
      </c>
    </row>
    <row r="24" spans="1:6" ht="31.2" thickBot="1" x14ac:dyDescent="0.35">
      <c r="A24" s="354" t="s">
        <v>314</v>
      </c>
      <c r="B24" s="355" t="s">
        <v>315</v>
      </c>
      <c r="C24" s="349" t="s">
        <v>316</v>
      </c>
      <c r="D24" s="355"/>
      <c r="E24" s="349">
        <v>-1482340</v>
      </c>
      <c r="F24" t="s">
        <v>265</v>
      </c>
    </row>
    <row r="25" spans="1:6" ht="21" thickBot="1" x14ac:dyDescent="0.35">
      <c r="A25" s="354" t="s">
        <v>317</v>
      </c>
      <c r="B25" s="355" t="s">
        <v>318</v>
      </c>
      <c r="C25" s="355"/>
      <c r="D25" s="349" t="s">
        <v>319</v>
      </c>
      <c r="E25" s="349">
        <v>-2205.88</v>
      </c>
      <c r="F25" t="s">
        <v>265</v>
      </c>
    </row>
    <row r="26" spans="1:6" ht="21" thickBot="1" x14ac:dyDescent="0.35">
      <c r="A26" s="354" t="s">
        <v>320</v>
      </c>
      <c r="B26" s="355" t="s">
        <v>321</v>
      </c>
      <c r="C26" s="355"/>
      <c r="D26" s="349" t="s">
        <v>322</v>
      </c>
      <c r="E26" s="349">
        <v>-7352.94</v>
      </c>
      <c r="F26" t="s">
        <v>265</v>
      </c>
    </row>
    <row r="27" spans="1:6" ht="31.2" thickBot="1" x14ac:dyDescent="0.35">
      <c r="A27" s="354" t="s">
        <v>323</v>
      </c>
      <c r="B27" s="355" t="s">
        <v>324</v>
      </c>
      <c r="C27" s="355"/>
      <c r="D27" s="349" t="s">
        <v>325</v>
      </c>
      <c r="E27" s="349">
        <v>-1210170</v>
      </c>
      <c r="F27" t="s">
        <v>265</v>
      </c>
    </row>
    <row r="28" spans="1:6" ht="21" thickBot="1" x14ac:dyDescent="0.35">
      <c r="A28" s="354" t="s">
        <v>326</v>
      </c>
      <c r="B28" s="355" t="s">
        <v>327</v>
      </c>
      <c r="C28" s="355"/>
      <c r="D28" s="349" t="s">
        <v>328</v>
      </c>
      <c r="E28" s="349">
        <v>-55540</v>
      </c>
      <c r="F28" t="s">
        <v>265</v>
      </c>
    </row>
    <row r="29" spans="1:6" ht="21" thickBot="1" x14ac:dyDescent="0.35">
      <c r="A29" s="354" t="s">
        <v>329</v>
      </c>
      <c r="B29" s="355" t="s">
        <v>330</v>
      </c>
      <c r="C29" s="355"/>
      <c r="D29" s="349" t="s">
        <v>331</v>
      </c>
      <c r="E29" s="349">
        <v>-220026</v>
      </c>
      <c r="F29" t="s">
        <v>268</v>
      </c>
    </row>
    <row r="30" spans="1:6" ht="82.2" thickBot="1" x14ac:dyDescent="0.35">
      <c r="A30" s="354" t="s">
        <v>332</v>
      </c>
      <c r="B30" s="355" t="s">
        <v>333</v>
      </c>
      <c r="C30" s="355"/>
      <c r="D30" s="349" t="s">
        <v>334</v>
      </c>
      <c r="E30" s="349">
        <v>-188332.02</v>
      </c>
      <c r="F30" t="s">
        <v>268</v>
      </c>
    </row>
    <row r="31" spans="1:6" ht="21" thickBot="1" x14ac:dyDescent="0.35">
      <c r="A31" s="354" t="s">
        <v>335</v>
      </c>
      <c r="B31" s="355" t="s">
        <v>336</v>
      </c>
      <c r="C31" s="355"/>
      <c r="D31" s="349" t="s">
        <v>337</v>
      </c>
      <c r="E31" s="349">
        <v>-13993.25</v>
      </c>
      <c r="F31" t="s">
        <v>268</v>
      </c>
    </row>
    <row r="32" spans="1:6" ht="31.2" thickBot="1" x14ac:dyDescent="0.35">
      <c r="A32" s="354" t="s">
        <v>338</v>
      </c>
      <c r="B32" s="355" t="s">
        <v>339</v>
      </c>
      <c r="C32" s="355"/>
      <c r="D32" s="349" t="s">
        <v>340</v>
      </c>
      <c r="E32" s="349">
        <v>-1306935</v>
      </c>
      <c r="F32" t="s">
        <v>265</v>
      </c>
    </row>
    <row r="33" spans="1:6" ht="31.2" thickBot="1" x14ac:dyDescent="0.35">
      <c r="A33" s="354" t="s">
        <v>341</v>
      </c>
      <c r="B33" s="355" t="s">
        <v>342</v>
      </c>
      <c r="C33" s="355"/>
      <c r="D33" s="349" t="s">
        <v>343</v>
      </c>
      <c r="E33" s="349">
        <v>-2451109.3199999998</v>
      </c>
      <c r="F33" t="s">
        <v>265</v>
      </c>
    </row>
    <row r="34" spans="1:6" ht="21" thickBot="1" x14ac:dyDescent="0.35">
      <c r="A34" s="354" t="s">
        <v>344</v>
      </c>
      <c r="B34" s="355" t="s">
        <v>345</v>
      </c>
      <c r="C34" s="355"/>
      <c r="D34" s="349" t="s">
        <v>346</v>
      </c>
      <c r="E34" s="349">
        <v>-56520</v>
      </c>
      <c r="F34" t="s">
        <v>265</v>
      </c>
    </row>
    <row r="35" spans="1:6" ht="31.2" thickBot="1" x14ac:dyDescent="0.35">
      <c r="A35" s="354" t="s">
        <v>347</v>
      </c>
      <c r="B35" s="355" t="s">
        <v>348</v>
      </c>
      <c r="C35" s="355"/>
      <c r="D35" s="349" t="s">
        <v>349</v>
      </c>
      <c r="E35" s="349">
        <v>-2333590.38</v>
      </c>
      <c r="F35" t="s">
        <v>265</v>
      </c>
    </row>
    <row r="36" spans="1:6" ht="31.2" thickBot="1" x14ac:dyDescent="0.35">
      <c r="A36" s="354" t="s">
        <v>350</v>
      </c>
      <c r="B36" s="355" t="s">
        <v>351</v>
      </c>
      <c r="C36" s="355"/>
      <c r="D36" s="349" t="s">
        <v>352</v>
      </c>
      <c r="E36" s="349">
        <v>-1403505</v>
      </c>
      <c r="F36" t="s">
        <v>265</v>
      </c>
    </row>
    <row r="37" spans="1:6" x14ac:dyDescent="0.3">
      <c r="E37" s="356">
        <f>SUM(E8:E36)</f>
        <v>-20303920.289999999</v>
      </c>
    </row>
    <row r="38" spans="1:6" x14ac:dyDescent="0.3">
      <c r="E38" s="345"/>
    </row>
    <row r="39" spans="1:6" x14ac:dyDescent="0.3">
      <c r="E39" s="345">
        <f>SUMIF($F$8:$F$36,F39,$E$8:$E$36)*-1</f>
        <v>19777205.02</v>
      </c>
      <c r="F39" t="s">
        <v>265</v>
      </c>
    </row>
    <row r="40" spans="1:6" x14ac:dyDescent="0.3">
      <c r="E40" s="345">
        <f>SUMIF($F$8:$F$36,F40,$E$8:$E$36)*-1</f>
        <v>422351.27</v>
      </c>
      <c r="F40" t="s">
        <v>268</v>
      </c>
    </row>
    <row r="41" spans="1:6" x14ac:dyDescent="0.3">
      <c r="E41" s="345">
        <f>SUMIF($F$8:$F$36,F41,$E$8:$E$36)*-1</f>
        <v>104364</v>
      </c>
      <c r="F41" t="s">
        <v>175</v>
      </c>
    </row>
    <row r="42" spans="1:6" ht="30.6" x14ac:dyDescent="0.3">
      <c r="E42" s="345">
        <f>SUMIF($F$8:$F$36,F42,$E$8:$E$36)*-1</f>
        <v>0</v>
      </c>
      <c r="F42" s="227" t="s">
        <v>353</v>
      </c>
    </row>
  </sheetData>
  <autoFilter ref="A7:E37"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BA97"/>
  <sheetViews>
    <sheetView showZeros="0" zoomScale="70" zoomScaleNormal="70" workbookViewId="0">
      <pane xSplit="6" ySplit="5" topLeftCell="G6" activePane="bottomRight" state="frozen"/>
      <selection pane="topRight" activeCell="G1" sqref="G1"/>
      <selection pane="bottomLeft" activeCell="A6" sqref="A6"/>
      <selection pane="bottomRight" activeCell="C36" sqref="C36"/>
    </sheetView>
  </sheetViews>
  <sheetFormatPr defaultColWidth="7.44140625" defaultRowHeight="13.2" outlineLevelRow="3" outlineLevelCol="1" x14ac:dyDescent="0.25"/>
  <cols>
    <col min="1" max="1" width="5.5546875" style="8" customWidth="1"/>
    <col min="2" max="2" width="47.44140625" style="8" customWidth="1"/>
    <col min="3" max="3" width="16.44140625" style="77" bestFit="1" customWidth="1" outlineLevel="1"/>
    <col min="4" max="4" width="13.33203125" style="77" bestFit="1" customWidth="1" outlineLevel="1"/>
    <col min="5" max="5" width="16.109375" style="38" bestFit="1" customWidth="1" outlineLevel="1"/>
    <col min="6" max="6" width="9.5546875" style="38" customWidth="1" outlineLevel="1"/>
    <col min="7" max="9" width="16.33203125" style="38" customWidth="1" outlineLevel="1"/>
    <col min="10" max="10" width="11.44140625" style="38" customWidth="1" outlineLevel="1"/>
    <col min="11" max="11" width="48.5546875" style="38" customWidth="1" outlineLevel="1"/>
    <col min="12" max="14" width="16.33203125" style="38" customWidth="1" outlineLevel="1"/>
    <col min="15" max="15" width="11.44140625" style="38" customWidth="1" outlineLevel="1"/>
    <col min="16" max="16" width="48.5546875" style="38" customWidth="1" outlineLevel="1"/>
    <col min="17" max="19" width="16.33203125" style="38" customWidth="1" outlineLevel="1"/>
    <col min="20" max="20" width="11.44140625" style="38" customWidth="1" outlineLevel="1"/>
    <col min="21" max="21" width="48.5546875" style="38" customWidth="1" outlineLevel="1"/>
    <col min="22" max="24" width="16.33203125" style="38" customWidth="1" outlineLevel="1"/>
    <col min="25" max="25" width="11.44140625" style="38" customWidth="1" outlineLevel="1"/>
    <col min="26" max="26" width="48.5546875" style="38" customWidth="1" outlineLevel="1"/>
    <col min="27" max="29" width="16.33203125" style="38" customWidth="1"/>
    <col min="30" max="30" width="11.44140625" style="38" customWidth="1"/>
    <col min="31" max="31" width="48.5546875" style="38" customWidth="1"/>
    <col min="32" max="34" width="16.33203125" style="38" customWidth="1"/>
    <col min="35" max="35" width="13.6640625" style="38" customWidth="1"/>
    <col min="36" max="36" width="28.88671875" style="38" customWidth="1"/>
    <col min="37" max="39" width="16.33203125" style="38" customWidth="1"/>
    <col min="40" max="40" width="13.6640625" style="38" customWidth="1"/>
    <col min="41" max="41" width="28.88671875" style="38" customWidth="1"/>
    <col min="42" max="44" width="16.33203125" style="38" customWidth="1" outlineLevel="1"/>
    <col min="45" max="45" width="9" style="38" customWidth="1" outlineLevel="1"/>
    <col min="46" max="46" width="16.33203125" style="38" customWidth="1" outlineLevel="1"/>
    <col min="47" max="47" width="22.44140625" style="1" customWidth="1" outlineLevel="1"/>
    <col min="48" max="48" width="9.6640625" style="1" customWidth="1" outlineLevel="1"/>
    <col min="49" max="49" width="8.44140625" style="1" customWidth="1" outlineLevel="1"/>
    <col min="50" max="51" width="7.44140625" style="1" customWidth="1" outlineLevel="1"/>
    <col min="52" max="16384" width="7.44140625" style="1"/>
  </cols>
  <sheetData>
    <row r="1" spans="1:53" ht="13.8" thickBot="1" x14ac:dyDescent="0.3">
      <c r="C1" s="38"/>
      <c r="D1" s="38"/>
    </row>
    <row r="2" spans="1:53" ht="22.2" customHeight="1" x14ac:dyDescent="0.25">
      <c r="A2" s="4016" t="s">
        <v>182</v>
      </c>
      <c r="B2" s="4017"/>
      <c r="C2" s="4017"/>
      <c r="D2" s="4017"/>
      <c r="E2" s="4017"/>
      <c r="F2" s="4018"/>
      <c r="G2" s="4019" t="s">
        <v>181</v>
      </c>
      <c r="H2" s="4020"/>
      <c r="I2" s="4020"/>
      <c r="J2" s="4020"/>
      <c r="K2" s="329"/>
      <c r="L2" s="4019" t="s">
        <v>192</v>
      </c>
      <c r="M2" s="4020"/>
      <c r="N2" s="4020"/>
      <c r="O2" s="4020"/>
      <c r="P2" s="332"/>
      <c r="Q2" s="4019" t="s">
        <v>203</v>
      </c>
      <c r="R2" s="4020"/>
      <c r="S2" s="4020"/>
      <c r="T2" s="4020"/>
      <c r="U2" s="336"/>
      <c r="V2" s="4019" t="s">
        <v>218</v>
      </c>
      <c r="W2" s="4020"/>
      <c r="X2" s="4020"/>
      <c r="Y2" s="4020"/>
      <c r="Z2" s="338"/>
      <c r="AA2" s="4019" t="s">
        <v>236</v>
      </c>
      <c r="AB2" s="4020"/>
      <c r="AC2" s="4020"/>
      <c r="AD2" s="4020"/>
      <c r="AE2" s="340"/>
      <c r="AF2" s="4019" t="s">
        <v>355</v>
      </c>
      <c r="AG2" s="4020"/>
      <c r="AH2" s="4020"/>
      <c r="AI2" s="4020"/>
      <c r="AJ2" s="360"/>
      <c r="AK2" s="4019" t="s">
        <v>363</v>
      </c>
      <c r="AL2" s="4020"/>
      <c r="AM2" s="4020"/>
      <c r="AN2" s="4020"/>
      <c r="AO2" s="364"/>
      <c r="AP2" s="4023" t="s">
        <v>170</v>
      </c>
      <c r="AQ2" s="4024"/>
      <c r="AR2" s="4024"/>
      <c r="AS2" s="4024"/>
      <c r="AT2" s="4025"/>
      <c r="AU2" s="4029" t="s">
        <v>83</v>
      </c>
      <c r="AV2" s="4030"/>
      <c r="AW2" s="4030"/>
      <c r="AX2" s="4030"/>
      <c r="AY2" s="4031"/>
    </row>
    <row r="3" spans="1:53" ht="14.4" customHeight="1" thickBot="1" x14ac:dyDescent="0.3">
      <c r="A3" s="4035" t="s">
        <v>54</v>
      </c>
      <c r="B3" s="4036"/>
      <c r="C3" s="4036"/>
      <c r="D3" s="4036"/>
      <c r="E3" s="4036"/>
      <c r="F3" s="4037"/>
      <c r="G3" s="4021"/>
      <c r="H3" s="4022"/>
      <c r="I3" s="4022"/>
      <c r="J3" s="4022"/>
      <c r="K3" s="330"/>
      <c r="L3" s="4021"/>
      <c r="M3" s="4022"/>
      <c r="N3" s="4022"/>
      <c r="O3" s="4022"/>
      <c r="P3" s="333"/>
      <c r="Q3" s="4021"/>
      <c r="R3" s="4022"/>
      <c r="S3" s="4022"/>
      <c r="T3" s="4022"/>
      <c r="U3" s="337"/>
      <c r="V3" s="4021"/>
      <c r="W3" s="4022"/>
      <c r="X3" s="4022"/>
      <c r="Y3" s="4022"/>
      <c r="Z3" s="339"/>
      <c r="AA3" s="4021"/>
      <c r="AB3" s="4022"/>
      <c r="AC3" s="4022"/>
      <c r="AD3" s="4022"/>
      <c r="AE3" s="341"/>
      <c r="AF3" s="4021"/>
      <c r="AG3" s="4022"/>
      <c r="AH3" s="4022"/>
      <c r="AI3" s="4022"/>
      <c r="AJ3" s="361"/>
      <c r="AK3" s="4021"/>
      <c r="AL3" s="4022"/>
      <c r="AM3" s="4022"/>
      <c r="AN3" s="4022"/>
      <c r="AO3" s="365"/>
      <c r="AP3" s="4026"/>
      <c r="AQ3" s="4027"/>
      <c r="AR3" s="4027"/>
      <c r="AS3" s="4027"/>
      <c r="AT3" s="4028"/>
      <c r="AU3" s="4032"/>
      <c r="AV3" s="4033"/>
      <c r="AW3" s="4033"/>
      <c r="AX3" s="4033"/>
      <c r="AY3" s="4034"/>
    </row>
    <row r="4" spans="1:53" ht="41.4" thickBot="1" x14ac:dyDescent="0.3">
      <c r="A4" s="92"/>
      <c r="B4" s="93" t="s">
        <v>11</v>
      </c>
      <c r="C4" s="239" t="s">
        <v>55</v>
      </c>
      <c r="D4" s="239" t="s">
        <v>18</v>
      </c>
      <c r="E4" s="240" t="s">
        <v>39</v>
      </c>
      <c r="F4" s="209" t="s">
        <v>40</v>
      </c>
      <c r="G4" s="94" t="s">
        <v>55</v>
      </c>
      <c r="H4" s="94" t="s">
        <v>18</v>
      </c>
      <c r="I4" s="95" t="s">
        <v>39</v>
      </c>
      <c r="J4" s="209" t="s">
        <v>40</v>
      </c>
      <c r="K4" s="241" t="s">
        <v>86</v>
      </c>
      <c r="L4" s="94" t="s">
        <v>55</v>
      </c>
      <c r="M4" s="94" t="s">
        <v>18</v>
      </c>
      <c r="N4" s="95" t="s">
        <v>39</v>
      </c>
      <c r="O4" s="209" t="s">
        <v>40</v>
      </c>
      <c r="P4" s="241" t="s">
        <v>86</v>
      </c>
      <c r="Q4" s="94" t="s">
        <v>55</v>
      </c>
      <c r="R4" s="94" t="s">
        <v>18</v>
      </c>
      <c r="S4" s="95" t="s">
        <v>39</v>
      </c>
      <c r="T4" s="209" t="s">
        <v>40</v>
      </c>
      <c r="U4" s="241" t="s">
        <v>86</v>
      </c>
      <c r="V4" s="94" t="s">
        <v>55</v>
      </c>
      <c r="W4" s="94" t="s">
        <v>18</v>
      </c>
      <c r="X4" s="95" t="s">
        <v>39</v>
      </c>
      <c r="Y4" s="209" t="s">
        <v>40</v>
      </c>
      <c r="Z4" s="241" t="s">
        <v>86</v>
      </c>
      <c r="AA4" s="94" t="s">
        <v>55</v>
      </c>
      <c r="AB4" s="94" t="s">
        <v>18</v>
      </c>
      <c r="AC4" s="95" t="s">
        <v>39</v>
      </c>
      <c r="AD4" s="209" t="s">
        <v>40</v>
      </c>
      <c r="AE4" s="241" t="s">
        <v>86</v>
      </c>
      <c r="AF4" s="94" t="s">
        <v>55</v>
      </c>
      <c r="AG4" s="94" t="s">
        <v>18</v>
      </c>
      <c r="AH4" s="95" t="s">
        <v>39</v>
      </c>
      <c r="AI4" s="209" t="s">
        <v>40</v>
      </c>
      <c r="AJ4" s="241" t="s">
        <v>86</v>
      </c>
      <c r="AK4" s="94" t="s">
        <v>55</v>
      </c>
      <c r="AL4" s="94" t="s">
        <v>18</v>
      </c>
      <c r="AM4" s="95" t="s">
        <v>39</v>
      </c>
      <c r="AN4" s="209" t="s">
        <v>40</v>
      </c>
      <c r="AO4" s="241" t="s">
        <v>86</v>
      </c>
      <c r="AP4" s="94" t="s">
        <v>55</v>
      </c>
      <c r="AQ4" s="94" t="s">
        <v>18</v>
      </c>
      <c r="AR4" s="95" t="s">
        <v>39</v>
      </c>
      <c r="AS4" s="209" t="s">
        <v>40</v>
      </c>
      <c r="AT4" s="95" t="s">
        <v>19</v>
      </c>
      <c r="AU4" s="94" t="s">
        <v>55</v>
      </c>
      <c r="AV4" s="94" t="s">
        <v>18</v>
      </c>
      <c r="AW4" s="95" t="s">
        <v>39</v>
      </c>
      <c r="AX4" s="209" t="s">
        <v>40</v>
      </c>
      <c r="AY4" s="95" t="s">
        <v>19</v>
      </c>
    </row>
    <row r="5" spans="1:53" s="88" customFormat="1" ht="14.4" thickBot="1" x14ac:dyDescent="0.3">
      <c r="A5" s="83"/>
      <c r="B5" s="84" t="s">
        <v>10</v>
      </c>
      <c r="C5" s="85">
        <f>C6</f>
        <v>4590956</v>
      </c>
      <c r="D5" s="85">
        <f>D6</f>
        <v>0</v>
      </c>
      <c r="E5" s="86">
        <f>E6</f>
        <v>4590956</v>
      </c>
      <c r="F5" s="87"/>
      <c r="G5" s="85">
        <f>G6</f>
        <v>0</v>
      </c>
      <c r="H5" s="85">
        <f>H6</f>
        <v>0</v>
      </c>
      <c r="I5" s="86">
        <f>I6</f>
        <v>0</v>
      </c>
      <c r="J5" s="87"/>
      <c r="K5" s="263"/>
      <c r="L5" s="85">
        <f>L6</f>
        <v>0</v>
      </c>
      <c r="M5" s="85">
        <f>M6</f>
        <v>0</v>
      </c>
      <c r="N5" s="86">
        <f>N6</f>
        <v>0</v>
      </c>
      <c r="O5" s="87"/>
      <c r="P5" s="263"/>
      <c r="Q5" s="85">
        <f>Q6</f>
        <v>0</v>
      </c>
      <c r="R5" s="85">
        <f>R6</f>
        <v>0</v>
      </c>
      <c r="S5" s="86">
        <f>S6</f>
        <v>0</v>
      </c>
      <c r="T5" s="87"/>
      <c r="U5" s="263"/>
      <c r="V5" s="85">
        <f>V6</f>
        <v>3025190.3600000003</v>
      </c>
      <c r="W5" s="85">
        <f>W6</f>
        <v>0</v>
      </c>
      <c r="X5" s="86">
        <f>X6</f>
        <v>3025190.3600000003</v>
      </c>
      <c r="Y5" s="87"/>
      <c r="Z5" s="263"/>
      <c r="AA5" s="85">
        <f>AA6</f>
        <v>1468296.3800000001</v>
      </c>
      <c r="AB5" s="85">
        <f>AB6</f>
        <v>0</v>
      </c>
      <c r="AC5" s="86">
        <f>AC6</f>
        <v>1468296.3800000001</v>
      </c>
      <c r="AD5" s="87"/>
      <c r="AE5" s="263"/>
      <c r="AF5" s="85">
        <f>AF6</f>
        <v>506097.41000000003</v>
      </c>
      <c r="AG5" s="85">
        <f>AG6</f>
        <v>0</v>
      </c>
      <c r="AH5" s="86">
        <f>AH6</f>
        <v>506097.41000000003</v>
      </c>
      <c r="AI5" s="87"/>
      <c r="AJ5" s="263"/>
      <c r="AK5" s="85">
        <f>AK6</f>
        <v>0</v>
      </c>
      <c r="AL5" s="85">
        <f>AL6</f>
        <v>0</v>
      </c>
      <c r="AM5" s="86">
        <f>AM6</f>
        <v>0</v>
      </c>
      <c r="AN5" s="87"/>
      <c r="AO5" s="263"/>
      <c r="AP5" s="87">
        <f>AP6</f>
        <v>4999584.1500000004</v>
      </c>
      <c r="AQ5" s="87">
        <f>AQ6</f>
        <v>0</v>
      </c>
      <c r="AR5" s="87">
        <f>AR6</f>
        <v>4999584.1500000004</v>
      </c>
      <c r="AS5" s="87"/>
      <c r="AT5" s="87"/>
      <c r="AU5" s="85">
        <f>AU6</f>
        <v>-408628.15000000037</v>
      </c>
      <c r="AV5" s="85">
        <f>AV6</f>
        <v>0</v>
      </c>
      <c r="AW5" s="86">
        <f>AW6</f>
        <v>-408628.15000000037</v>
      </c>
      <c r="AX5" s="87"/>
      <c r="AY5" s="87"/>
      <c r="AZ5" s="1"/>
      <c r="BA5" s="1"/>
    </row>
    <row r="6" spans="1:53" s="2" customFormat="1" ht="13.8" outlineLevel="1" x14ac:dyDescent="0.25">
      <c r="A6" s="331">
        <f>'PL_Сватово очередь 2'!I6</f>
        <v>0</v>
      </c>
      <c r="B6" s="9" t="s">
        <v>17</v>
      </c>
      <c r="C6" s="104">
        <v>4590956</v>
      </c>
      <c r="D6" s="105"/>
      <c r="E6" s="106">
        <f>C6+D6</f>
        <v>4590956</v>
      </c>
      <c r="F6" s="39"/>
      <c r="G6" s="39"/>
      <c r="H6" s="39"/>
      <c r="I6" s="39">
        <f>G6+H6</f>
        <v>0</v>
      </c>
      <c r="J6" s="39"/>
      <c r="K6" s="291"/>
      <c r="L6" s="39"/>
      <c r="M6" s="39"/>
      <c r="N6" s="39">
        <f>L6+M6</f>
        <v>0</v>
      </c>
      <c r="O6" s="39"/>
      <c r="P6" s="291"/>
      <c r="Q6" s="39"/>
      <c r="R6" s="39"/>
      <c r="S6" s="39">
        <f>Q6+R6</f>
        <v>0</v>
      </c>
      <c r="T6" s="39"/>
      <c r="U6" s="291"/>
      <c r="V6" s="39">
        <f>524483.22+2500707.14</f>
        <v>3025190.3600000003</v>
      </c>
      <c r="W6" s="39"/>
      <c r="X6" s="39">
        <f>V6+W6</f>
        <v>3025190.3600000003</v>
      </c>
      <c r="Y6" s="39"/>
      <c r="Z6" s="291" t="s">
        <v>219</v>
      </c>
      <c r="AA6" s="39">
        <f>721198.33+254990+211690.21+280417.84</f>
        <v>1468296.3800000001</v>
      </c>
      <c r="AB6" s="39"/>
      <c r="AC6" s="39">
        <f>AA6+AB6</f>
        <v>1468296.3800000001</v>
      </c>
      <c r="AD6" s="39"/>
      <c r="AE6" s="291"/>
      <c r="AF6" s="39">
        <f>419194.7+86902.71</f>
        <v>506097.41000000003</v>
      </c>
      <c r="AG6" s="39"/>
      <c r="AH6" s="39">
        <f>AF6+AG6</f>
        <v>506097.41000000003</v>
      </c>
      <c r="AI6" s="39"/>
      <c r="AJ6" s="291"/>
      <c r="AK6" s="39"/>
      <c r="AL6" s="39"/>
      <c r="AM6" s="39">
        <f>AK6+AL6</f>
        <v>0</v>
      </c>
      <c r="AN6" s="39"/>
      <c r="AO6" s="291"/>
      <c r="AP6" s="39">
        <f>G6+L6+Q6+V6+AA6+AF6+AK6</f>
        <v>4999584.1500000004</v>
      </c>
      <c r="AQ6" s="39">
        <f>H6+M6+R6+W6+AB6+AG6+AL6</f>
        <v>0</v>
      </c>
      <c r="AR6" s="106">
        <f>AP6+AQ6</f>
        <v>4999584.1500000004</v>
      </c>
      <c r="AS6" s="39"/>
      <c r="AT6" s="39"/>
      <c r="AU6" s="210">
        <f>C6-AP6</f>
        <v>-408628.15000000037</v>
      </c>
      <c r="AV6" s="210">
        <f>D6-AQ6</f>
        <v>0</v>
      </c>
      <c r="AW6" s="210">
        <f>AU6+AV6</f>
        <v>-408628.15000000037</v>
      </c>
      <c r="AX6" s="39"/>
      <c r="AY6" s="39"/>
      <c r="AZ6" s="1"/>
      <c r="BA6" s="1"/>
    </row>
    <row r="7" spans="1:53" s="2" customFormat="1" ht="15" customHeight="1" outlineLevel="1" collapsed="1" thickBot="1" x14ac:dyDescent="0.3">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40">
        <f>AA7+AB7</f>
        <v>0</v>
      </c>
      <c r="AD7" s="40"/>
      <c r="AE7" s="40"/>
      <c r="AF7" s="40"/>
      <c r="AG7" s="40"/>
      <c r="AH7" s="40">
        <f>AF7+AG7</f>
        <v>0</v>
      </c>
      <c r="AI7" s="40"/>
      <c r="AJ7" s="40"/>
      <c r="AK7" s="40"/>
      <c r="AL7" s="40"/>
      <c r="AM7" s="40">
        <f>AK7+AL7</f>
        <v>0</v>
      </c>
      <c r="AN7" s="40"/>
      <c r="AO7" s="40"/>
      <c r="AP7" s="39">
        <f>G7+L7+Q7+V7+AA7+AF7+AK7</f>
        <v>0</v>
      </c>
      <c r="AQ7" s="39">
        <f>H7+M7+R7+W7+AB7+AG7+AL7</f>
        <v>0</v>
      </c>
      <c r="AR7" s="106">
        <f>AP7+AQ7</f>
        <v>0</v>
      </c>
      <c r="AS7" s="40"/>
      <c r="AT7" s="40"/>
      <c r="AU7" s="210">
        <f>C7-AP7</f>
        <v>0</v>
      </c>
      <c r="AV7" s="210">
        <f>D7-AQ7</f>
        <v>0</v>
      </c>
      <c r="AW7" s="210">
        <f>AU7+AV7</f>
        <v>0</v>
      </c>
      <c r="AX7" s="40"/>
      <c r="AY7" s="40"/>
      <c r="AZ7" s="1"/>
      <c r="BA7" s="1"/>
    </row>
    <row r="8" spans="1:53" s="88" customFormat="1" ht="15" customHeight="1" outlineLevel="1" thickBot="1" x14ac:dyDescent="0.3">
      <c r="A8" s="238"/>
      <c r="B8" s="84" t="s">
        <v>16</v>
      </c>
      <c r="C8" s="109">
        <f>SUM(C9:C31)</f>
        <v>2057027</v>
      </c>
      <c r="D8" s="109">
        <f>SUM(D9:D31)</f>
        <v>856715</v>
      </c>
      <c r="E8" s="110">
        <f>SUM(E9:E31)</f>
        <v>2913742</v>
      </c>
      <c r="F8" s="164">
        <f>E8/$E$87</f>
        <v>0.91196428058576495</v>
      </c>
      <c r="G8" s="109">
        <f>SUM(G9:G31)</f>
        <v>44655</v>
      </c>
      <c r="H8" s="109">
        <f>SUM(H9:H31)</f>
        <v>30403</v>
      </c>
      <c r="I8" s="110">
        <f>SUM(I9:I31)</f>
        <v>75058</v>
      </c>
      <c r="J8" s="164">
        <f>I8/$I$87</f>
        <v>0.94501190367182497</v>
      </c>
      <c r="K8" s="264"/>
      <c r="L8" s="109">
        <f>SUM(L9:L31)</f>
        <v>956216.47400000005</v>
      </c>
      <c r="M8" s="109">
        <f>SUM(M9:M31)</f>
        <v>43331.796000000002</v>
      </c>
      <c r="N8" s="110">
        <f>SUM(N9:N31)</f>
        <v>999548.27</v>
      </c>
      <c r="O8" s="164">
        <f>N8/$N$87</f>
        <v>0.98991611942063906</v>
      </c>
      <c r="P8" s="264"/>
      <c r="Q8" s="109">
        <f>SUM(Q9:Q31)</f>
        <v>218190.11000000002</v>
      </c>
      <c r="R8" s="109">
        <f>SUM(R9:R31)</f>
        <v>30888</v>
      </c>
      <c r="S8" s="110">
        <f>SUM(S9:S31)</f>
        <v>249078.11000000002</v>
      </c>
      <c r="T8" s="164">
        <f>S8/$S$87</f>
        <v>0.9499064989150523</v>
      </c>
      <c r="U8" s="264"/>
      <c r="V8" s="109">
        <f>SUM(V9:V31)</f>
        <v>1081138.0360000003</v>
      </c>
      <c r="W8" s="109">
        <f>SUM(W9:W31)</f>
        <v>458642</v>
      </c>
      <c r="X8" s="110">
        <f>SUM(X9:X31)</f>
        <v>1539780.0360000003</v>
      </c>
      <c r="Y8" s="164">
        <f>X8/$X$87</f>
        <v>0.95830793274421933</v>
      </c>
      <c r="Z8" s="264"/>
      <c r="AA8" s="109">
        <f>SUM(AA9:AA31)</f>
        <v>381045.93999999994</v>
      </c>
      <c r="AB8" s="109">
        <f>SUM(AB9:AB31)</f>
        <v>260754.52000000002</v>
      </c>
      <c r="AC8" s="110">
        <f>SUM(AC9:AC31)</f>
        <v>641800.46000000008</v>
      </c>
      <c r="AD8" s="164">
        <f>AC8/$AC$87</f>
        <v>0.94336814287810422</v>
      </c>
      <c r="AE8" s="264"/>
      <c r="AF8" s="109">
        <f>SUM(AF9:AF31)</f>
        <v>38804.422683229815</v>
      </c>
      <c r="AG8" s="109">
        <f>SUM(AG9:AG31)</f>
        <v>180831.35999999999</v>
      </c>
      <c r="AH8" s="110">
        <f>SUM(AH9:AH31)</f>
        <v>219635.78268322983</v>
      </c>
      <c r="AI8" s="164">
        <f>AH8/$AH$87</f>
        <v>0.89695120355108249</v>
      </c>
      <c r="AJ8" s="264"/>
      <c r="AK8" s="109">
        <f>SUM(AK9:AK31)</f>
        <v>2054.4059999999999</v>
      </c>
      <c r="AL8" s="109">
        <f>SUM(AL9:AL31)</f>
        <v>80000</v>
      </c>
      <c r="AM8" s="110">
        <f>SUM(AM9:AM31)</f>
        <v>82054.406000000003</v>
      </c>
      <c r="AN8" s="164">
        <f>AM8/$AM$87</f>
        <v>0.86833213841477275</v>
      </c>
      <c r="AO8" s="264"/>
      <c r="AP8" s="109">
        <f>SUM(AP9:AP31)</f>
        <v>2722104.3886832302</v>
      </c>
      <c r="AQ8" s="109">
        <f>SUM(AQ9:AQ31)</f>
        <v>1084850.676</v>
      </c>
      <c r="AR8" s="110">
        <f>SUM(AR9:AR31)</f>
        <v>3806955.0646832306</v>
      </c>
      <c r="AS8" s="164">
        <f>AR8/$AR$87</f>
        <v>0.95733640568148648</v>
      </c>
      <c r="AT8" s="87"/>
      <c r="AU8" s="109">
        <f>SUM(AU9:AU31)</f>
        <v>-665077.38868323003</v>
      </c>
      <c r="AV8" s="109">
        <f>SUM(AV9:AV31)</f>
        <v>-228135.67599999998</v>
      </c>
      <c r="AW8" s="110">
        <f>SUM(AW9:AW31)</f>
        <v>-893213.06468323001</v>
      </c>
      <c r="AX8" s="164">
        <f>AW8/$AW$87</f>
        <v>1.125794190046371</v>
      </c>
      <c r="AY8" s="87"/>
      <c r="AZ8" s="1"/>
      <c r="BA8" s="1"/>
    </row>
    <row r="9" spans="1:53" s="2" customFormat="1" ht="30" customHeight="1" outlineLevel="2" x14ac:dyDescent="0.25">
      <c r="A9" s="238"/>
      <c r="B9" s="31" t="s">
        <v>74</v>
      </c>
      <c r="C9" s="111">
        <v>109480</v>
      </c>
      <c r="D9" s="112"/>
      <c r="E9" s="106">
        <f t="shared" ref="E9:E31" si="0">C9+D9</f>
        <v>109480</v>
      </c>
      <c r="F9" s="177">
        <f t="shared" ref="F9:F31" si="1">E9/$E$87</f>
        <v>3.4265851073475122E-2</v>
      </c>
      <c r="G9" s="163">
        <f>4*3421.25</f>
        <v>13685</v>
      </c>
      <c r="H9" s="112"/>
      <c r="I9" s="41">
        <f>G9+H9*1</f>
        <v>13685</v>
      </c>
      <c r="J9" s="178"/>
      <c r="K9" s="291" t="s">
        <v>187</v>
      </c>
      <c r="L9" s="163">
        <v>30791.25</v>
      </c>
      <c r="M9" s="112"/>
      <c r="N9" s="41">
        <f>L9+M9*1</f>
        <v>30791.25</v>
      </c>
      <c r="O9" s="178">
        <f t="shared" ref="O9:O35" si="2">N9/$N$87</f>
        <v>3.049453000615043E-2</v>
      </c>
      <c r="P9" s="291"/>
      <c r="Q9" s="163">
        <f>4*6842.5</f>
        <v>27370</v>
      </c>
      <c r="R9" s="112"/>
      <c r="S9" s="41">
        <f>Q9+R9*1</f>
        <v>27370</v>
      </c>
      <c r="T9" s="178">
        <f t="shared" ref="T9:T34" si="3">S9/$S$87</f>
        <v>0.10438067349758266</v>
      </c>
      <c r="U9" s="291" t="s">
        <v>215</v>
      </c>
      <c r="V9" s="163">
        <v>27370</v>
      </c>
      <c r="W9" s="112"/>
      <c r="X9" s="41">
        <f>V9+W9*1</f>
        <v>27370</v>
      </c>
      <c r="Y9" s="178">
        <f t="shared" ref="Y9:Y34" si="4">X9/$X$87</f>
        <v>1.7034178587836478E-2</v>
      </c>
      <c r="Z9" s="291" t="s">
        <v>220</v>
      </c>
      <c r="AA9" s="41">
        <f>6842.5*4</f>
        <v>27370</v>
      </c>
      <c r="AB9" s="112"/>
      <c r="AC9" s="41">
        <f>AA9+AB9*1</f>
        <v>27370</v>
      </c>
      <c r="AD9" s="178">
        <f t="shared" ref="AD9:AD34" si="5">AC9/$AC$87</f>
        <v>4.0230550895170296E-2</v>
      </c>
      <c r="AE9" s="291" t="s">
        <v>244</v>
      </c>
      <c r="AF9" s="41">
        <v>6516.68</v>
      </c>
      <c r="AG9" s="41"/>
      <c r="AH9" s="41">
        <f>AF9+AG9*1</f>
        <v>6516.68</v>
      </c>
      <c r="AI9" s="178">
        <f>AH9/$AH$87</f>
        <v>2.6612894755803248E-2</v>
      </c>
      <c r="AJ9" s="363"/>
      <c r="AK9" s="41"/>
      <c r="AL9" s="41"/>
      <c r="AM9" s="41">
        <f>AK9+AL9*1</f>
        <v>0</v>
      </c>
      <c r="AN9" s="178">
        <f t="shared" ref="AN9:AN66" si="6">AM9/$AM$87</f>
        <v>0</v>
      </c>
      <c r="AO9" s="363"/>
      <c r="AP9" s="39">
        <f t="shared" ref="AP9:AQ12" si="7">G9+L9+Q9+V9+AA9+AF9+AK9</f>
        <v>133102.93</v>
      </c>
      <c r="AQ9" s="39">
        <f t="shared" si="7"/>
        <v>0</v>
      </c>
      <c r="AR9" s="210">
        <f>AP9+AQ9*1</f>
        <v>133102.93</v>
      </c>
      <c r="AS9" s="178">
        <f t="shared" ref="AS9:AS31" si="8">AR9/$AR$87</f>
        <v>3.3471443299653771E-2</v>
      </c>
      <c r="AT9" s="42"/>
      <c r="AU9" s="210">
        <f t="shared" ref="AU9:AU31" si="9">C9-AP9</f>
        <v>-23622.929999999993</v>
      </c>
      <c r="AV9" s="210">
        <f t="shared" ref="AV9:AV31" si="10">D9-AQ9</f>
        <v>0</v>
      </c>
      <c r="AW9" s="210">
        <f>AU9+AV9*1</f>
        <v>-23622.929999999993</v>
      </c>
      <c r="AX9" s="178">
        <f t="shared" ref="AX9:AX31" si="11">AW9/$AW$87</f>
        <v>2.9774035330868823E-2</v>
      </c>
      <c r="AY9" s="42"/>
      <c r="AZ9" s="1"/>
      <c r="BA9" s="1"/>
    </row>
    <row r="10" spans="1:53" s="2" customFormat="1" ht="14.4" customHeight="1" outlineLevel="2" x14ac:dyDescent="0.25">
      <c r="A10" s="238"/>
      <c r="B10" s="31" t="s">
        <v>72</v>
      </c>
      <c r="C10" s="111">
        <v>26520</v>
      </c>
      <c r="D10" s="112"/>
      <c r="E10" s="106">
        <f t="shared" si="0"/>
        <v>26520</v>
      </c>
      <c r="F10" s="177">
        <f t="shared" si="1"/>
        <v>8.3004235519598124E-3</v>
      </c>
      <c r="G10" s="163">
        <f>4*8500*19.5%</f>
        <v>6630</v>
      </c>
      <c r="H10" s="112"/>
      <c r="I10" s="41">
        <f t="shared" ref="I10:I31" si="12">G10+H10*1</f>
        <v>6630</v>
      </c>
      <c r="J10" s="178"/>
      <c r="K10" s="291"/>
      <c r="L10" s="163">
        <v>7458.75</v>
      </c>
      <c r="M10" s="112"/>
      <c r="N10" s="41">
        <f t="shared" ref="N10:N31" si="13">L10+M10*1</f>
        <v>7458.75</v>
      </c>
      <c r="O10" s="178">
        <f t="shared" si="2"/>
        <v>7.3868737281979303E-3</v>
      </c>
      <c r="P10" s="291"/>
      <c r="Q10" s="163">
        <f>8050*19.5%*4</f>
        <v>6279</v>
      </c>
      <c r="R10" s="112"/>
      <c r="S10" s="41">
        <f t="shared" ref="S10:S31" si="14">Q10+R10*1</f>
        <v>6279</v>
      </c>
      <c r="T10" s="178">
        <f t="shared" si="3"/>
        <v>2.3946154508268966E-2</v>
      </c>
      <c r="U10" s="291"/>
      <c r="V10" s="163">
        <v>6630</v>
      </c>
      <c r="W10" s="112"/>
      <c r="X10" s="41">
        <f t="shared" ref="X10:X31" si="15">V10+W10*1</f>
        <v>6630</v>
      </c>
      <c r="Y10" s="178">
        <f t="shared" si="4"/>
        <v>4.126291707612563E-3</v>
      </c>
      <c r="Z10" s="291"/>
      <c r="AA10" s="41">
        <f>1658*4</f>
        <v>6632</v>
      </c>
      <c r="AB10" s="112"/>
      <c r="AC10" s="41">
        <f t="shared" ref="AC10:AC31" si="16">AA10+AB10*1</f>
        <v>6632</v>
      </c>
      <c r="AD10" s="178">
        <f t="shared" si="5"/>
        <v>9.7482284814311079E-3</v>
      </c>
      <c r="AE10" s="291"/>
      <c r="AF10" s="41">
        <f>AF9/0.805*0.195</f>
        <v>1578.574658385093</v>
      </c>
      <c r="AG10" s="41"/>
      <c r="AH10" s="41">
        <f t="shared" ref="AH10:AH31" si="17">AF10+AG10*1</f>
        <v>1578.574658385093</v>
      </c>
      <c r="AI10" s="178">
        <f t="shared" ref="AI10:AI31" si="18">AH10/$AH$87</f>
        <v>6.4466018352566865E-3</v>
      </c>
      <c r="AJ10" s="363"/>
      <c r="AK10" s="41"/>
      <c r="AL10" s="41"/>
      <c r="AM10" s="41">
        <f t="shared" ref="AM10:AM31" si="19">AK10+AL10*1</f>
        <v>0</v>
      </c>
      <c r="AN10" s="178">
        <f t="shared" si="6"/>
        <v>0</v>
      </c>
      <c r="AO10" s="363"/>
      <c r="AP10" s="39">
        <f t="shared" si="7"/>
        <v>35208.324658385092</v>
      </c>
      <c r="AQ10" s="39">
        <f t="shared" si="7"/>
        <v>0</v>
      </c>
      <c r="AR10" s="210">
        <f t="shared" ref="AR10:AR31" si="20">AP10+AQ10*1</f>
        <v>35208.324658385092</v>
      </c>
      <c r="AS10" s="178">
        <f t="shared" si="8"/>
        <v>8.8538504935912251E-3</v>
      </c>
      <c r="AT10" s="42"/>
      <c r="AU10" s="210">
        <f t="shared" si="9"/>
        <v>-8688.3246583850923</v>
      </c>
      <c r="AV10" s="210">
        <f t="shared" si="10"/>
        <v>0</v>
      </c>
      <c r="AW10" s="210">
        <f t="shared" ref="AW10:AW31" si="21">AU10+AV10*1</f>
        <v>-8688.3246583850923</v>
      </c>
      <c r="AX10" s="178">
        <f t="shared" si="11"/>
        <v>1.0950651987065813E-2</v>
      </c>
      <c r="AY10" s="42"/>
      <c r="AZ10" s="1"/>
      <c r="BA10" s="1"/>
    </row>
    <row r="11" spans="1:53" s="2" customFormat="1" ht="36" customHeight="1" outlineLevel="2" x14ac:dyDescent="0.25">
      <c r="A11" s="238"/>
      <c r="B11" s="31" t="s">
        <v>69</v>
      </c>
      <c r="C11" s="111">
        <v>29920</v>
      </c>
      <c r="D11" s="112"/>
      <c r="E11" s="106">
        <f t="shared" si="0"/>
        <v>29920</v>
      </c>
      <c r="F11" s="177">
        <f t="shared" si="1"/>
        <v>9.3645804175956863E-3</v>
      </c>
      <c r="G11" s="163">
        <f>4*8500*22%</f>
        <v>7480</v>
      </c>
      <c r="H11" s="112"/>
      <c r="I11" s="41">
        <f t="shared" si="12"/>
        <v>7480</v>
      </c>
      <c r="J11" s="178"/>
      <c r="K11" s="290"/>
      <c r="L11" s="163">
        <v>8415</v>
      </c>
      <c r="M11" s="112"/>
      <c r="N11" s="41">
        <f t="shared" si="13"/>
        <v>8415</v>
      </c>
      <c r="O11" s="178">
        <f t="shared" si="2"/>
        <v>8.3339088215566397E-3</v>
      </c>
      <c r="P11" s="290"/>
      <c r="Q11" s="163">
        <f>8050*22%*4</f>
        <v>7084</v>
      </c>
      <c r="R11" s="112"/>
      <c r="S11" s="41">
        <f t="shared" si="14"/>
        <v>7084</v>
      </c>
      <c r="T11" s="178">
        <f t="shared" si="3"/>
        <v>2.7016174317021396E-2</v>
      </c>
      <c r="U11" s="290"/>
      <c r="V11" s="163">
        <v>7480</v>
      </c>
      <c r="W11" s="112"/>
      <c r="X11" s="41">
        <f t="shared" si="15"/>
        <v>7480</v>
      </c>
      <c r="Y11" s="178">
        <f t="shared" si="4"/>
        <v>4.655303464998789E-3</v>
      </c>
      <c r="Z11" s="290"/>
      <c r="AA11" s="41">
        <f>1870*2</f>
        <v>3740</v>
      </c>
      <c r="AB11" s="112"/>
      <c r="AC11" s="41">
        <f t="shared" si="16"/>
        <v>3740</v>
      </c>
      <c r="AD11" s="178">
        <f t="shared" si="5"/>
        <v>5.4973423583462517E-3</v>
      </c>
      <c r="AE11" s="290"/>
      <c r="AF11" s="41">
        <f>AF9/0.805*0.22</f>
        <v>1780.9560248447203</v>
      </c>
      <c r="AG11" s="41"/>
      <c r="AH11" s="41">
        <f t="shared" si="17"/>
        <v>1780.9560248447203</v>
      </c>
      <c r="AI11" s="178">
        <f t="shared" si="18"/>
        <v>7.2730892500331842E-3</v>
      </c>
      <c r="AJ11" s="291" t="s">
        <v>358</v>
      </c>
      <c r="AK11" s="41"/>
      <c r="AL11" s="41"/>
      <c r="AM11" s="41">
        <f t="shared" si="19"/>
        <v>0</v>
      </c>
      <c r="AN11" s="178">
        <f t="shared" si="6"/>
        <v>0</v>
      </c>
      <c r="AO11" s="291"/>
      <c r="AP11" s="39">
        <f t="shared" si="7"/>
        <v>35979.956024844723</v>
      </c>
      <c r="AQ11" s="39">
        <f t="shared" si="7"/>
        <v>0</v>
      </c>
      <c r="AR11" s="210">
        <f t="shared" si="20"/>
        <v>35979.956024844723</v>
      </c>
      <c r="AS11" s="178">
        <f t="shared" si="8"/>
        <v>9.0478929202356864E-3</v>
      </c>
      <c r="AT11" s="42"/>
      <c r="AU11" s="210">
        <f t="shared" si="9"/>
        <v>-6059.9560248447233</v>
      </c>
      <c r="AV11" s="210">
        <f t="shared" si="10"/>
        <v>0</v>
      </c>
      <c r="AW11" s="210">
        <f t="shared" si="21"/>
        <v>-6059.9560248447233</v>
      </c>
      <c r="AX11" s="178">
        <f t="shared" si="11"/>
        <v>7.6378901680375054E-3</v>
      </c>
      <c r="AY11" s="42"/>
      <c r="AZ11" s="1"/>
      <c r="BA11" s="1"/>
    </row>
    <row r="12" spans="1:53" s="2" customFormat="1" ht="52.2" customHeight="1" outlineLevel="2" x14ac:dyDescent="0.25">
      <c r="A12" s="238"/>
      <c r="B12" s="31" t="s">
        <v>73</v>
      </c>
      <c r="C12" s="111">
        <v>28980</v>
      </c>
      <c r="D12" s="112">
        <v>91020</v>
      </c>
      <c r="E12" s="106">
        <f t="shared" si="0"/>
        <v>120000</v>
      </c>
      <c r="F12" s="177">
        <f t="shared" si="1"/>
        <v>3.7558477610677883E-2</v>
      </c>
      <c r="G12" s="163">
        <v>9660</v>
      </c>
      <c r="H12" s="112">
        <v>20340</v>
      </c>
      <c r="I12" s="41">
        <f t="shared" si="12"/>
        <v>30000</v>
      </c>
      <c r="J12" s="178">
        <f>I12/$I$87</f>
        <v>0.37771266367548761</v>
      </c>
      <c r="K12" s="291" t="s">
        <v>188</v>
      </c>
      <c r="L12" s="163">
        <v>9660</v>
      </c>
      <c r="M12" s="112">
        <v>20340</v>
      </c>
      <c r="N12" s="41">
        <f t="shared" si="13"/>
        <v>30000</v>
      </c>
      <c r="O12" s="178">
        <f t="shared" si="2"/>
        <v>2.9710904889684989E-2</v>
      </c>
      <c r="P12" s="291" t="s">
        <v>199</v>
      </c>
      <c r="Q12" s="163">
        <v>9660</v>
      </c>
      <c r="R12" s="112">
        <v>17340</v>
      </c>
      <c r="S12" s="41">
        <f t="shared" si="14"/>
        <v>27000</v>
      </c>
      <c r="T12" s="178">
        <f t="shared" si="3"/>
        <v>0.10296960849231758</v>
      </c>
      <c r="U12" s="291" t="s">
        <v>216</v>
      </c>
      <c r="V12" s="163">
        <v>9660</v>
      </c>
      <c r="W12" s="112">
        <v>19340</v>
      </c>
      <c r="X12" s="41">
        <f t="shared" si="15"/>
        <v>29000</v>
      </c>
      <c r="Y12" s="178">
        <f t="shared" si="4"/>
        <v>1.8048636428471238E-2</v>
      </c>
      <c r="Z12" s="291" t="s">
        <v>232</v>
      </c>
      <c r="AA12" s="41">
        <v>4830</v>
      </c>
      <c r="AB12" s="112">
        <f>20340/2</f>
        <v>10170</v>
      </c>
      <c r="AC12" s="41">
        <f t="shared" si="16"/>
        <v>15000</v>
      </c>
      <c r="AD12" s="178">
        <f t="shared" si="5"/>
        <v>2.2048164538821868E-2</v>
      </c>
      <c r="AE12" s="291" t="s">
        <v>188</v>
      </c>
      <c r="AF12" s="41"/>
      <c r="AG12" s="41"/>
      <c r="AH12" s="41">
        <f t="shared" si="17"/>
        <v>0</v>
      </c>
      <c r="AI12" s="178">
        <f t="shared" si="18"/>
        <v>0</v>
      </c>
      <c r="AJ12" s="291"/>
      <c r="AK12" s="41"/>
      <c r="AL12" s="41"/>
      <c r="AM12" s="41">
        <f t="shared" si="19"/>
        <v>0</v>
      </c>
      <c r="AN12" s="178">
        <f t="shared" si="6"/>
        <v>0</v>
      </c>
      <c r="AO12" s="291"/>
      <c r="AP12" s="39">
        <f t="shared" si="7"/>
        <v>43470</v>
      </c>
      <c r="AQ12" s="39">
        <f t="shared" si="7"/>
        <v>87530</v>
      </c>
      <c r="AR12" s="210">
        <f t="shared" si="20"/>
        <v>131000</v>
      </c>
      <c r="AS12" s="178">
        <f t="shared" si="8"/>
        <v>3.2942618710607226E-2</v>
      </c>
      <c r="AT12" s="42"/>
      <c r="AU12" s="210">
        <f t="shared" si="9"/>
        <v>-14490</v>
      </c>
      <c r="AV12" s="210">
        <f t="shared" si="10"/>
        <v>3490</v>
      </c>
      <c r="AW12" s="210">
        <f t="shared" si="21"/>
        <v>-11000</v>
      </c>
      <c r="AX12" s="178">
        <f t="shared" si="11"/>
        <v>1.386425767843181E-2</v>
      </c>
      <c r="AY12" s="42"/>
      <c r="AZ12" s="1"/>
      <c r="BA12" s="1"/>
    </row>
    <row r="13" spans="1:53" s="2" customFormat="1" ht="14.4" customHeight="1" outlineLevel="2" x14ac:dyDescent="0.25">
      <c r="A13" s="238"/>
      <c r="B13" s="31" t="s">
        <v>71</v>
      </c>
      <c r="C13" s="111">
        <v>9360</v>
      </c>
      <c r="D13" s="112"/>
      <c r="E13" s="106">
        <f t="shared" si="0"/>
        <v>9360</v>
      </c>
      <c r="F13" s="177">
        <f t="shared" si="1"/>
        <v>2.9295612536328749E-3</v>
      </c>
      <c r="G13" s="163">
        <f>12000*19.5%</f>
        <v>2340</v>
      </c>
      <c r="H13" s="112"/>
      <c r="I13" s="41">
        <f t="shared" si="12"/>
        <v>2340</v>
      </c>
      <c r="J13" s="178">
        <f>I13/$I$87</f>
        <v>2.9461587766688033E-2</v>
      </c>
      <c r="K13" s="291"/>
      <c r="L13" s="163">
        <v>2340</v>
      </c>
      <c r="M13" s="112"/>
      <c r="N13" s="41">
        <f t="shared" si="13"/>
        <v>2340</v>
      </c>
      <c r="O13" s="178">
        <f t="shared" si="2"/>
        <v>2.3174505813954292E-3</v>
      </c>
      <c r="P13" s="291"/>
      <c r="Q13" s="163">
        <v>2340</v>
      </c>
      <c r="R13" s="112"/>
      <c r="S13" s="41">
        <f t="shared" si="14"/>
        <v>2340</v>
      </c>
      <c r="T13" s="178">
        <f t="shared" si="3"/>
        <v>8.9240327360008559E-3</v>
      </c>
      <c r="U13" s="291"/>
      <c r="V13" s="163">
        <v>2340</v>
      </c>
      <c r="W13" s="112"/>
      <c r="X13" s="41">
        <f t="shared" si="15"/>
        <v>2340</v>
      </c>
      <c r="Y13" s="178">
        <f t="shared" si="4"/>
        <v>1.4563382497456104E-3</v>
      </c>
      <c r="Z13" s="291"/>
      <c r="AA13" s="41">
        <v>1170</v>
      </c>
      <c r="AB13" s="112"/>
      <c r="AC13" s="41">
        <f t="shared" si="16"/>
        <v>1170</v>
      </c>
      <c r="AD13" s="178">
        <f t="shared" si="5"/>
        <v>1.7197568340281055E-3</v>
      </c>
      <c r="AE13" s="291"/>
      <c r="AF13" s="41"/>
      <c r="AG13" s="41"/>
      <c r="AH13" s="41">
        <f t="shared" si="17"/>
        <v>0</v>
      </c>
      <c r="AI13" s="178">
        <f t="shared" si="18"/>
        <v>0</v>
      </c>
      <c r="AJ13" s="291"/>
      <c r="AK13" s="41"/>
      <c r="AL13" s="41"/>
      <c r="AM13" s="41">
        <f t="shared" si="19"/>
        <v>0</v>
      </c>
      <c r="AN13" s="178">
        <f t="shared" si="6"/>
        <v>0</v>
      </c>
      <c r="AO13" s="291"/>
      <c r="AP13" s="39">
        <f t="shared" ref="AP13:AP31" si="22">G13+L13+Q13+V13+AA13+AF13+AK13</f>
        <v>10530</v>
      </c>
      <c r="AQ13" s="39">
        <f t="shared" ref="AQ13:AQ31" si="23">H13+M13+R13+W13+AB13+AG13+AL13</f>
        <v>0</v>
      </c>
      <c r="AR13" s="210">
        <f t="shared" si="20"/>
        <v>10530</v>
      </c>
      <c r="AS13" s="178">
        <f t="shared" si="8"/>
        <v>2.6479830154404129E-3</v>
      </c>
      <c r="AT13" s="42"/>
      <c r="AU13" s="210">
        <f t="shared" si="9"/>
        <v>-1170</v>
      </c>
      <c r="AV13" s="210">
        <f t="shared" si="10"/>
        <v>0</v>
      </c>
      <c r="AW13" s="210">
        <f t="shared" si="21"/>
        <v>-1170</v>
      </c>
      <c r="AX13" s="178">
        <f t="shared" si="11"/>
        <v>1.4746528621604742E-3</v>
      </c>
      <c r="AY13" s="42"/>
      <c r="AZ13" s="1"/>
      <c r="BA13" s="1"/>
    </row>
    <row r="14" spans="1:53" s="2" customFormat="1" ht="14.4" customHeight="1" outlineLevel="2" x14ac:dyDescent="0.25">
      <c r="A14" s="238"/>
      <c r="B14" s="31" t="s">
        <v>70</v>
      </c>
      <c r="C14" s="111">
        <v>10560</v>
      </c>
      <c r="D14" s="112"/>
      <c r="E14" s="106">
        <f t="shared" si="0"/>
        <v>10560</v>
      </c>
      <c r="F14" s="177">
        <f t="shared" si="1"/>
        <v>3.3051460297396536E-3</v>
      </c>
      <c r="G14" s="163">
        <f>12000*22%</f>
        <v>2640</v>
      </c>
      <c r="H14" s="112"/>
      <c r="I14" s="41">
        <f t="shared" si="12"/>
        <v>2640</v>
      </c>
      <c r="J14" s="178">
        <f>I14/$I$87</f>
        <v>3.3238714403442907E-2</v>
      </c>
      <c r="K14" s="291"/>
      <c r="L14" s="163">
        <v>2640</v>
      </c>
      <c r="M14" s="112"/>
      <c r="N14" s="41">
        <f t="shared" si="13"/>
        <v>2640</v>
      </c>
      <c r="O14" s="178">
        <f t="shared" si="2"/>
        <v>2.6145596302922791E-3</v>
      </c>
      <c r="P14" s="291"/>
      <c r="Q14" s="163">
        <v>2640</v>
      </c>
      <c r="R14" s="112"/>
      <c r="S14" s="41">
        <f t="shared" si="14"/>
        <v>2640</v>
      </c>
      <c r="T14" s="178">
        <f t="shared" si="3"/>
        <v>1.0068139497026608E-2</v>
      </c>
      <c r="U14" s="291"/>
      <c r="V14" s="163">
        <v>2640</v>
      </c>
      <c r="W14" s="112"/>
      <c r="X14" s="41">
        <f t="shared" si="15"/>
        <v>2640</v>
      </c>
      <c r="Y14" s="178">
        <f t="shared" si="4"/>
        <v>1.6430482817642784E-3</v>
      </c>
      <c r="Z14" s="291"/>
      <c r="AA14" s="41">
        <v>1320</v>
      </c>
      <c r="AB14" s="112"/>
      <c r="AC14" s="41">
        <f t="shared" si="16"/>
        <v>1320</v>
      </c>
      <c r="AD14" s="178">
        <f t="shared" si="5"/>
        <v>1.9402384794163243E-3</v>
      </c>
      <c r="AE14" s="291"/>
      <c r="AF14" s="41"/>
      <c r="AG14" s="41"/>
      <c r="AH14" s="41">
        <f t="shared" si="17"/>
        <v>0</v>
      </c>
      <c r="AI14" s="178">
        <f t="shared" si="18"/>
        <v>0</v>
      </c>
      <c r="AJ14" s="291"/>
      <c r="AK14" s="41"/>
      <c r="AL14" s="41"/>
      <c r="AM14" s="41">
        <f t="shared" si="19"/>
        <v>0</v>
      </c>
      <c r="AN14" s="178">
        <f t="shared" si="6"/>
        <v>0</v>
      </c>
      <c r="AO14" s="291"/>
      <c r="AP14" s="39">
        <f t="shared" si="22"/>
        <v>11880</v>
      </c>
      <c r="AQ14" s="39">
        <f t="shared" si="23"/>
        <v>0</v>
      </c>
      <c r="AR14" s="210">
        <f t="shared" si="20"/>
        <v>11880</v>
      </c>
      <c r="AS14" s="178">
        <f t="shared" si="8"/>
        <v>2.9874680174199531E-3</v>
      </c>
      <c r="AT14" s="42"/>
      <c r="AU14" s="210">
        <f t="shared" si="9"/>
        <v>-1320</v>
      </c>
      <c r="AV14" s="210">
        <f t="shared" si="10"/>
        <v>0</v>
      </c>
      <c r="AW14" s="210">
        <f t="shared" si="21"/>
        <v>-1320</v>
      </c>
      <c r="AX14" s="178">
        <f t="shared" si="11"/>
        <v>1.6637109214118172E-3</v>
      </c>
      <c r="AY14" s="42"/>
      <c r="AZ14" s="1"/>
      <c r="BA14" s="1"/>
    </row>
    <row r="15" spans="1:53" s="2" customFormat="1" ht="14.4" customHeight="1" outlineLevel="2" x14ac:dyDescent="0.25">
      <c r="A15" s="238"/>
      <c r="B15" s="7" t="s">
        <v>20</v>
      </c>
      <c r="C15" s="111"/>
      <c r="D15" s="113"/>
      <c r="E15" s="106">
        <f t="shared" si="0"/>
        <v>0</v>
      </c>
      <c r="F15" s="177">
        <f t="shared" si="1"/>
        <v>0</v>
      </c>
      <c r="G15" s="161"/>
      <c r="H15" s="113"/>
      <c r="I15" s="41">
        <f t="shared" si="12"/>
        <v>0</v>
      </c>
      <c r="J15" s="178"/>
      <c r="K15" s="291"/>
      <c r="L15" s="161"/>
      <c r="M15" s="113"/>
      <c r="N15" s="41">
        <f t="shared" si="13"/>
        <v>0</v>
      </c>
      <c r="O15" s="178">
        <f t="shared" si="2"/>
        <v>0</v>
      </c>
      <c r="P15" s="291"/>
      <c r="Q15" s="161"/>
      <c r="R15" s="113"/>
      <c r="S15" s="41">
        <f t="shared" si="14"/>
        <v>0</v>
      </c>
      <c r="T15" s="178">
        <f t="shared" si="3"/>
        <v>0</v>
      </c>
      <c r="U15" s="291"/>
      <c r="V15" s="161"/>
      <c r="W15" s="113"/>
      <c r="X15" s="41">
        <f t="shared" si="15"/>
        <v>0</v>
      </c>
      <c r="Y15" s="178">
        <f t="shared" si="4"/>
        <v>0</v>
      </c>
      <c r="Z15" s="291"/>
      <c r="AA15" s="161"/>
      <c r="AB15" s="113"/>
      <c r="AC15" s="41">
        <f t="shared" si="16"/>
        <v>0</v>
      </c>
      <c r="AD15" s="178">
        <f t="shared" si="5"/>
        <v>0</v>
      </c>
      <c r="AE15" s="291"/>
      <c r="AF15" s="41"/>
      <c r="AG15" s="41">
        <v>1500</v>
      </c>
      <c r="AH15" s="41">
        <f t="shared" si="17"/>
        <v>1500</v>
      </c>
      <c r="AI15" s="178">
        <f t="shared" si="18"/>
        <v>6.1257177172586146E-3</v>
      </c>
      <c r="AJ15" s="291" t="s">
        <v>20</v>
      </c>
      <c r="AK15" s="41"/>
      <c r="AL15" s="41"/>
      <c r="AM15" s="41">
        <f t="shared" si="19"/>
        <v>0</v>
      </c>
      <c r="AN15" s="178">
        <f t="shared" si="6"/>
        <v>0</v>
      </c>
      <c r="AO15" s="291"/>
      <c r="AP15" s="39">
        <f t="shared" si="22"/>
        <v>0</v>
      </c>
      <c r="AQ15" s="39">
        <f t="shared" si="23"/>
        <v>1500</v>
      </c>
      <c r="AR15" s="210">
        <f t="shared" si="20"/>
        <v>1500</v>
      </c>
      <c r="AS15" s="178">
        <f t="shared" si="8"/>
        <v>3.7720555775504455E-4</v>
      </c>
      <c r="AT15" s="42"/>
      <c r="AU15" s="210">
        <f t="shared" si="9"/>
        <v>0</v>
      </c>
      <c r="AV15" s="210">
        <f t="shared" si="10"/>
        <v>-1500</v>
      </c>
      <c r="AW15" s="210">
        <f t="shared" si="21"/>
        <v>-1500</v>
      </c>
      <c r="AX15" s="178">
        <f t="shared" si="11"/>
        <v>1.8905805925134287E-3</v>
      </c>
      <c r="AY15" s="42"/>
      <c r="AZ15" s="1"/>
      <c r="BA15" s="1"/>
    </row>
    <row r="16" spans="1:53" s="2" customFormat="1" ht="66" customHeight="1" outlineLevel="2" x14ac:dyDescent="0.25">
      <c r="A16" s="292"/>
      <c r="B16" s="7" t="s">
        <v>21</v>
      </c>
      <c r="C16" s="111"/>
      <c r="D16" s="113">
        <v>623695</v>
      </c>
      <c r="E16" s="106">
        <f t="shared" si="0"/>
        <v>623695</v>
      </c>
      <c r="F16" s="177">
        <f t="shared" si="1"/>
        <v>0.19520862244493117</v>
      </c>
      <c r="G16" s="161"/>
      <c r="H16" s="113"/>
      <c r="I16" s="41">
        <f t="shared" si="12"/>
        <v>0</v>
      </c>
      <c r="J16" s="178"/>
      <c r="K16" s="291"/>
      <c r="L16" s="161"/>
      <c r="M16" s="113"/>
      <c r="N16" s="41">
        <f t="shared" si="13"/>
        <v>0</v>
      </c>
      <c r="O16" s="178">
        <f t="shared" si="2"/>
        <v>0</v>
      </c>
      <c r="P16" s="291"/>
      <c r="Q16" s="161"/>
      <c r="R16" s="113"/>
      <c r="S16" s="41">
        <f t="shared" si="14"/>
        <v>0</v>
      </c>
      <c r="T16" s="178">
        <f t="shared" si="3"/>
        <v>0</v>
      </c>
      <c r="U16" s="291"/>
      <c r="V16" s="161"/>
      <c r="W16" s="113">
        <f>9340+56250+36695+178352</f>
        <v>280637</v>
      </c>
      <c r="X16" s="41">
        <f t="shared" si="15"/>
        <v>280637</v>
      </c>
      <c r="Y16" s="178">
        <f t="shared" si="4"/>
        <v>0.17465914418540976</v>
      </c>
      <c r="Z16" s="291" t="s">
        <v>235</v>
      </c>
      <c r="AA16" s="161"/>
      <c r="AB16" s="113">
        <f>47520+34695+28253.64+86385.5+15945+33625</f>
        <v>246424.14</v>
      </c>
      <c r="AC16" s="41">
        <f t="shared" si="16"/>
        <v>246424.14</v>
      </c>
      <c r="AD16" s="178">
        <f t="shared" si="5"/>
        <v>0.36221333233717834</v>
      </c>
      <c r="AE16" s="291" t="s">
        <v>245</v>
      </c>
      <c r="AF16" s="41"/>
      <c r="AG16" s="41">
        <f>2992+15600+13739.36</f>
        <v>32331.360000000001</v>
      </c>
      <c r="AH16" s="41">
        <f t="shared" si="17"/>
        <v>32331.360000000001</v>
      </c>
      <c r="AI16" s="178">
        <f t="shared" si="18"/>
        <v>0.13203518985004431</v>
      </c>
      <c r="AJ16" s="291" t="s">
        <v>359</v>
      </c>
      <c r="AK16" s="41"/>
      <c r="AL16" s="41"/>
      <c r="AM16" s="41">
        <f t="shared" si="19"/>
        <v>0</v>
      </c>
      <c r="AN16" s="178">
        <f t="shared" si="6"/>
        <v>0</v>
      </c>
      <c r="AO16" s="291"/>
      <c r="AP16" s="39">
        <f t="shared" si="22"/>
        <v>0</v>
      </c>
      <c r="AQ16" s="39">
        <f t="shared" si="23"/>
        <v>559392.5</v>
      </c>
      <c r="AR16" s="210">
        <f t="shared" si="20"/>
        <v>559392.5</v>
      </c>
      <c r="AS16" s="178">
        <f t="shared" si="8"/>
        <v>0.14067063997765919</v>
      </c>
      <c r="AT16" s="42"/>
      <c r="AU16" s="210">
        <f t="shared" si="9"/>
        <v>0</v>
      </c>
      <c r="AV16" s="210">
        <f t="shared" si="10"/>
        <v>64302.5</v>
      </c>
      <c r="AW16" s="210">
        <f t="shared" si="21"/>
        <v>64302.5</v>
      </c>
      <c r="AX16" s="178">
        <f t="shared" si="11"/>
        <v>-8.1046039033396494E-2</v>
      </c>
      <c r="AY16" s="42"/>
    </row>
    <row r="17" spans="1:53" s="2" customFormat="1" ht="14.4" customHeight="1" outlineLevel="2" x14ac:dyDescent="0.25">
      <c r="A17" s="238"/>
      <c r="B17" s="7" t="s">
        <v>22</v>
      </c>
      <c r="C17" s="111"/>
      <c r="D17" s="113">
        <v>30000</v>
      </c>
      <c r="E17" s="106">
        <f t="shared" si="0"/>
        <v>30000</v>
      </c>
      <c r="F17" s="177">
        <f t="shared" si="1"/>
        <v>9.3896194026694708E-3</v>
      </c>
      <c r="G17" s="161"/>
      <c r="H17" s="113"/>
      <c r="I17" s="41">
        <f t="shared" si="12"/>
        <v>0</v>
      </c>
      <c r="J17" s="178"/>
      <c r="K17" s="291"/>
      <c r="L17" s="161"/>
      <c r="M17" s="113">
        <v>300</v>
      </c>
      <c r="N17" s="41">
        <f t="shared" si="13"/>
        <v>300</v>
      </c>
      <c r="O17" s="178">
        <f t="shared" si="2"/>
        <v>2.9710904889684988E-4</v>
      </c>
      <c r="P17" s="291" t="s">
        <v>200</v>
      </c>
      <c r="Q17" s="161"/>
      <c r="R17" s="113"/>
      <c r="S17" s="41">
        <f t="shared" si="14"/>
        <v>0</v>
      </c>
      <c r="T17" s="178">
        <f t="shared" si="3"/>
        <v>0</v>
      </c>
      <c r="U17" s="291"/>
      <c r="V17" s="161"/>
      <c r="W17" s="113"/>
      <c r="X17" s="41">
        <f t="shared" si="15"/>
        <v>0</v>
      </c>
      <c r="Y17" s="178">
        <f t="shared" si="4"/>
        <v>0</v>
      </c>
      <c r="Z17" s="291"/>
      <c r="AA17" s="161"/>
      <c r="AB17" s="113"/>
      <c r="AC17" s="41">
        <f t="shared" si="16"/>
        <v>0</v>
      </c>
      <c r="AD17" s="178">
        <f t="shared" si="5"/>
        <v>0</v>
      </c>
      <c r="AE17" s="291"/>
      <c r="AF17" s="161"/>
      <c r="AG17" s="113"/>
      <c r="AH17" s="41">
        <f t="shared" si="17"/>
        <v>0</v>
      </c>
      <c r="AI17" s="178">
        <f t="shared" si="18"/>
        <v>0</v>
      </c>
      <c r="AJ17" s="291"/>
      <c r="AK17" s="161"/>
      <c r="AL17" s="113">
        <f>30000+50000</f>
        <v>80000</v>
      </c>
      <c r="AM17" s="41">
        <f t="shared" si="19"/>
        <v>80000</v>
      </c>
      <c r="AN17" s="178">
        <f t="shared" si="6"/>
        <v>0.84659160256649491</v>
      </c>
      <c r="AO17" s="291"/>
      <c r="AP17" s="39">
        <f t="shared" si="22"/>
        <v>0</v>
      </c>
      <c r="AQ17" s="39">
        <f t="shared" si="23"/>
        <v>80300</v>
      </c>
      <c r="AR17" s="210">
        <f t="shared" si="20"/>
        <v>80300</v>
      </c>
      <c r="AS17" s="178">
        <f t="shared" si="8"/>
        <v>2.019307085848672E-2</v>
      </c>
      <c r="AT17" s="42"/>
      <c r="AU17" s="210">
        <f t="shared" si="9"/>
        <v>0</v>
      </c>
      <c r="AV17" s="210">
        <f t="shared" si="10"/>
        <v>-50300</v>
      </c>
      <c r="AW17" s="210">
        <f t="shared" si="21"/>
        <v>-50300</v>
      </c>
      <c r="AX17" s="178">
        <f t="shared" si="11"/>
        <v>6.3397469202283646E-2</v>
      </c>
      <c r="AY17" s="42"/>
    </row>
    <row r="18" spans="1:53" s="2" customFormat="1" ht="84" customHeight="1" outlineLevel="2" x14ac:dyDescent="0.25">
      <c r="A18" s="238"/>
      <c r="B18" s="7" t="s">
        <v>0</v>
      </c>
      <c r="C18" s="111">
        <v>741860</v>
      </c>
      <c r="D18" s="113"/>
      <c r="E18" s="106">
        <f t="shared" si="0"/>
        <v>741860</v>
      </c>
      <c r="F18" s="177">
        <f t="shared" si="1"/>
        <v>0.23219276833547911</v>
      </c>
      <c r="G18" s="161"/>
      <c r="H18" s="113"/>
      <c r="I18" s="41">
        <f t="shared" si="12"/>
        <v>0</v>
      </c>
      <c r="J18" s="178"/>
      <c r="K18" s="291"/>
      <c r="L18" s="161">
        <f>48.79*14000</f>
        <v>683060</v>
      </c>
      <c r="M18" s="113">
        <v>3880</v>
      </c>
      <c r="N18" s="41">
        <f t="shared" si="13"/>
        <v>686940</v>
      </c>
      <c r="O18" s="178">
        <f t="shared" si="2"/>
        <v>0.68032030016400691</v>
      </c>
      <c r="P18" s="291" t="s">
        <v>205</v>
      </c>
      <c r="Q18" s="161"/>
      <c r="R18" s="113">
        <v>200</v>
      </c>
      <c r="S18" s="41">
        <f t="shared" si="14"/>
        <v>200</v>
      </c>
      <c r="T18" s="178">
        <f t="shared" si="3"/>
        <v>7.6273784068383384E-4</v>
      </c>
      <c r="U18" s="291" t="s">
        <v>213</v>
      </c>
      <c r="V18" s="161"/>
      <c r="W18" s="113">
        <v>150000</v>
      </c>
      <c r="X18" s="41">
        <f t="shared" si="15"/>
        <v>150000</v>
      </c>
      <c r="Y18" s="178">
        <f t="shared" si="4"/>
        <v>9.3355016009333991E-2</v>
      </c>
      <c r="Z18" s="291" t="s">
        <v>230</v>
      </c>
      <c r="AA18" s="161"/>
      <c r="AB18" s="113"/>
      <c r="AC18" s="41">
        <f t="shared" si="16"/>
        <v>0</v>
      </c>
      <c r="AD18" s="178">
        <f t="shared" si="5"/>
        <v>0</v>
      </c>
      <c r="AE18" s="291"/>
      <c r="AF18" s="161"/>
      <c r="AG18" s="41">
        <v>147000</v>
      </c>
      <c r="AH18" s="41">
        <f t="shared" si="17"/>
        <v>147000</v>
      </c>
      <c r="AI18" s="178">
        <f t="shared" si="18"/>
        <v>0.60032033629134418</v>
      </c>
      <c r="AJ18" s="291" t="s">
        <v>357</v>
      </c>
      <c r="AK18" s="161"/>
      <c r="AL18" s="41"/>
      <c r="AM18" s="41">
        <f t="shared" si="19"/>
        <v>0</v>
      </c>
      <c r="AN18" s="178">
        <f t="shared" si="6"/>
        <v>0</v>
      </c>
      <c r="AO18" s="291"/>
      <c r="AP18" s="39">
        <f t="shared" si="22"/>
        <v>683060</v>
      </c>
      <c r="AQ18" s="39">
        <f t="shared" si="23"/>
        <v>301080</v>
      </c>
      <c r="AR18" s="210">
        <f t="shared" si="20"/>
        <v>984140</v>
      </c>
      <c r="AS18" s="178">
        <f t="shared" si="8"/>
        <v>0.24748205173936638</v>
      </c>
      <c r="AT18" s="42"/>
      <c r="AU18" s="210">
        <f t="shared" si="9"/>
        <v>58800</v>
      </c>
      <c r="AV18" s="210">
        <f t="shared" si="10"/>
        <v>-301080</v>
      </c>
      <c r="AW18" s="210">
        <f t="shared" si="21"/>
        <v>-242280</v>
      </c>
      <c r="AX18" s="178">
        <f t="shared" si="11"/>
        <v>0.305366577302769</v>
      </c>
      <c r="AY18" s="42"/>
    </row>
    <row r="19" spans="1:53" s="2" customFormat="1" ht="16.2" customHeight="1" outlineLevel="2" x14ac:dyDescent="0.25">
      <c r="A19" s="238"/>
      <c r="B19" s="7" t="s">
        <v>53</v>
      </c>
      <c r="C19" s="114"/>
      <c r="D19" s="113"/>
      <c r="E19" s="106">
        <f t="shared" si="0"/>
        <v>0</v>
      </c>
      <c r="F19" s="177">
        <f t="shared" si="1"/>
        <v>0</v>
      </c>
      <c r="G19" s="161"/>
      <c r="H19" s="113"/>
      <c r="I19" s="41">
        <f t="shared" si="12"/>
        <v>0</v>
      </c>
      <c r="J19" s="178"/>
      <c r="K19" s="291"/>
      <c r="L19" s="161"/>
      <c r="M19" s="113">
        <v>600</v>
      </c>
      <c r="N19" s="41">
        <f t="shared" si="13"/>
        <v>600</v>
      </c>
      <c r="O19" s="178">
        <f t="shared" si="2"/>
        <v>5.9421809779369977E-4</v>
      </c>
      <c r="P19" s="291" t="s">
        <v>198</v>
      </c>
      <c r="Q19" s="161"/>
      <c r="R19" s="113"/>
      <c r="S19" s="41">
        <f t="shared" si="14"/>
        <v>0</v>
      </c>
      <c r="T19" s="178">
        <f t="shared" si="3"/>
        <v>0</v>
      </c>
      <c r="U19" s="291"/>
      <c r="V19" s="161"/>
      <c r="W19" s="113"/>
      <c r="X19" s="41">
        <f t="shared" si="15"/>
        <v>0</v>
      </c>
      <c r="Y19" s="178">
        <f t="shared" si="4"/>
        <v>0</v>
      </c>
      <c r="Z19" s="291"/>
      <c r="AA19" s="161"/>
      <c r="AB19" s="113"/>
      <c r="AC19" s="41">
        <f t="shared" si="16"/>
        <v>0</v>
      </c>
      <c r="AD19" s="178">
        <f t="shared" si="5"/>
        <v>0</v>
      </c>
      <c r="AE19" s="291"/>
      <c r="AF19" s="161"/>
      <c r="AG19" s="113"/>
      <c r="AH19" s="41">
        <f t="shared" si="17"/>
        <v>0</v>
      </c>
      <c r="AI19" s="178">
        <f t="shared" si="18"/>
        <v>0</v>
      </c>
      <c r="AJ19" s="291"/>
      <c r="AK19" s="161"/>
      <c r="AL19" s="113"/>
      <c r="AM19" s="41">
        <f t="shared" si="19"/>
        <v>0</v>
      </c>
      <c r="AN19" s="178">
        <f t="shared" si="6"/>
        <v>0</v>
      </c>
      <c r="AO19" s="291"/>
      <c r="AP19" s="39">
        <f t="shared" si="22"/>
        <v>0</v>
      </c>
      <c r="AQ19" s="39">
        <f t="shared" si="23"/>
        <v>600</v>
      </c>
      <c r="AR19" s="210">
        <f t="shared" si="20"/>
        <v>600</v>
      </c>
      <c r="AS19" s="178">
        <f t="shared" si="8"/>
        <v>1.5088222310201781E-4</v>
      </c>
      <c r="AT19" s="42"/>
      <c r="AU19" s="210">
        <f t="shared" si="9"/>
        <v>0</v>
      </c>
      <c r="AV19" s="210">
        <f t="shared" si="10"/>
        <v>-600</v>
      </c>
      <c r="AW19" s="210">
        <f t="shared" si="21"/>
        <v>-600</v>
      </c>
      <c r="AX19" s="178">
        <f t="shared" si="11"/>
        <v>7.562322370053714E-4</v>
      </c>
      <c r="AY19" s="42"/>
    </row>
    <row r="20" spans="1:53" s="2" customFormat="1" ht="14.4" customHeight="1" outlineLevel="2" x14ac:dyDescent="0.25">
      <c r="A20" s="238"/>
      <c r="B20" s="7" t="s">
        <v>57</v>
      </c>
      <c r="C20" s="114"/>
      <c r="D20" s="113"/>
      <c r="E20" s="106">
        <f t="shared" si="0"/>
        <v>0</v>
      </c>
      <c r="F20" s="177">
        <f t="shared" si="1"/>
        <v>0</v>
      </c>
      <c r="G20" s="161"/>
      <c r="H20" s="113"/>
      <c r="I20" s="41">
        <f t="shared" si="12"/>
        <v>0</v>
      </c>
      <c r="J20" s="178"/>
      <c r="K20" s="291"/>
      <c r="L20" s="161"/>
      <c r="M20" s="113"/>
      <c r="N20" s="41">
        <f t="shared" si="13"/>
        <v>0</v>
      </c>
      <c r="O20" s="178">
        <f t="shared" si="2"/>
        <v>0</v>
      </c>
      <c r="P20" s="291"/>
      <c r="Q20" s="161"/>
      <c r="R20" s="113"/>
      <c r="S20" s="41">
        <f t="shared" si="14"/>
        <v>0</v>
      </c>
      <c r="T20" s="178">
        <f t="shared" si="3"/>
        <v>0</v>
      </c>
      <c r="U20" s="291"/>
      <c r="V20" s="161"/>
      <c r="W20" s="113"/>
      <c r="X20" s="41">
        <f t="shared" si="15"/>
        <v>0</v>
      </c>
      <c r="Y20" s="178">
        <f t="shared" si="4"/>
        <v>0</v>
      </c>
      <c r="Z20" s="291"/>
      <c r="AA20" s="161"/>
      <c r="AB20" s="113"/>
      <c r="AC20" s="41">
        <f t="shared" si="16"/>
        <v>0</v>
      </c>
      <c r="AD20" s="178">
        <f t="shared" si="5"/>
        <v>0</v>
      </c>
      <c r="AE20" s="291"/>
      <c r="AF20" s="161"/>
      <c r="AG20" s="113"/>
      <c r="AH20" s="41">
        <f t="shared" si="17"/>
        <v>0</v>
      </c>
      <c r="AI20" s="178">
        <f t="shared" si="18"/>
        <v>0</v>
      </c>
      <c r="AJ20" s="291"/>
      <c r="AK20" s="161"/>
      <c r="AL20" s="113"/>
      <c r="AM20" s="41">
        <f t="shared" si="19"/>
        <v>0</v>
      </c>
      <c r="AN20" s="178">
        <f t="shared" si="6"/>
        <v>0</v>
      </c>
      <c r="AO20" s="291"/>
      <c r="AP20" s="39">
        <f t="shared" si="22"/>
        <v>0</v>
      </c>
      <c r="AQ20" s="39">
        <f t="shared" si="23"/>
        <v>0</v>
      </c>
      <c r="AR20" s="210">
        <f t="shared" si="20"/>
        <v>0</v>
      </c>
      <c r="AS20" s="178">
        <f t="shared" si="8"/>
        <v>0</v>
      </c>
      <c r="AT20" s="42"/>
      <c r="AU20" s="210">
        <f t="shared" si="9"/>
        <v>0</v>
      </c>
      <c r="AV20" s="210">
        <f t="shared" si="10"/>
        <v>0</v>
      </c>
      <c r="AW20" s="210">
        <f t="shared" si="21"/>
        <v>0</v>
      </c>
      <c r="AX20" s="178">
        <f t="shared" si="11"/>
        <v>0</v>
      </c>
      <c r="AY20" s="42"/>
    </row>
    <row r="21" spans="1:53" s="2" customFormat="1" ht="59.4" customHeight="1" outlineLevel="2" x14ac:dyDescent="0.25">
      <c r="A21" s="238"/>
      <c r="B21" s="7" t="s">
        <v>58</v>
      </c>
      <c r="C21" s="114">
        <v>269500</v>
      </c>
      <c r="D21" s="113"/>
      <c r="E21" s="106">
        <f t="shared" si="0"/>
        <v>269500</v>
      </c>
      <c r="F21" s="177">
        <f t="shared" si="1"/>
        <v>8.4350080967314084E-2</v>
      </c>
      <c r="G21" s="161"/>
      <c r="H21" s="113"/>
      <c r="I21" s="41">
        <f t="shared" si="12"/>
        <v>0</v>
      </c>
      <c r="J21" s="178"/>
      <c r="K21" s="291"/>
      <c r="L21" s="161">
        <f>(285*459.49)+(4181.06*1.2)+(818*27.42)</f>
        <v>158401.48200000002</v>
      </c>
      <c r="M21" s="113">
        <v>1500</v>
      </c>
      <c r="N21" s="41">
        <f t="shared" si="13"/>
        <v>159901.48200000002</v>
      </c>
      <c r="O21" s="178">
        <f t="shared" si="2"/>
        <v>0.15836059078072257</v>
      </c>
      <c r="P21" s="291" t="s">
        <v>217</v>
      </c>
      <c r="Q21" s="161">
        <f>(339*459.49)</f>
        <v>155767.11000000002</v>
      </c>
      <c r="R21" s="113"/>
      <c r="S21" s="41">
        <f t="shared" si="14"/>
        <v>155767.11000000002</v>
      </c>
      <c r="T21" s="178">
        <f t="shared" si="3"/>
        <v>0.59404734565480621</v>
      </c>
      <c r="U21" s="291" t="s">
        <v>214</v>
      </c>
      <c r="V21" s="161"/>
      <c r="W21" s="113"/>
      <c r="X21" s="41">
        <f t="shared" si="15"/>
        <v>0</v>
      </c>
      <c r="Y21" s="178">
        <f t="shared" si="4"/>
        <v>0</v>
      </c>
      <c r="Z21" s="291"/>
      <c r="AA21" s="161"/>
      <c r="AB21" s="113"/>
      <c r="AC21" s="41">
        <f t="shared" si="16"/>
        <v>0</v>
      </c>
      <c r="AD21" s="178">
        <f t="shared" si="5"/>
        <v>0</v>
      </c>
      <c r="AE21" s="291"/>
      <c r="AF21" s="161"/>
      <c r="AG21" s="113"/>
      <c r="AH21" s="41">
        <f t="shared" si="17"/>
        <v>0</v>
      </c>
      <c r="AI21" s="178">
        <f t="shared" si="18"/>
        <v>0</v>
      </c>
      <c r="AJ21" s="291"/>
      <c r="AK21" s="161"/>
      <c r="AL21" s="113"/>
      <c r="AM21" s="41">
        <f t="shared" si="19"/>
        <v>0</v>
      </c>
      <c r="AN21" s="178">
        <f t="shared" si="6"/>
        <v>0</v>
      </c>
      <c r="AO21" s="291"/>
      <c r="AP21" s="39">
        <f t="shared" si="22"/>
        <v>314168.59200000006</v>
      </c>
      <c r="AQ21" s="39">
        <f t="shared" si="23"/>
        <v>1500</v>
      </c>
      <c r="AR21" s="210">
        <f>AP21+AQ21*1</f>
        <v>315668.59200000006</v>
      </c>
      <c r="AS21" s="178">
        <f t="shared" si="8"/>
        <v>7.9381298207406414E-2</v>
      </c>
      <c r="AT21" s="42"/>
      <c r="AU21" s="210">
        <f t="shared" si="9"/>
        <v>-44668.592000000062</v>
      </c>
      <c r="AV21" s="210">
        <f t="shared" si="10"/>
        <v>-1500</v>
      </c>
      <c r="AW21" s="210">
        <f t="shared" si="21"/>
        <v>-46168.592000000062</v>
      </c>
      <c r="AX21" s="178">
        <f t="shared" si="11"/>
        <v>5.8190296012580571E-2</v>
      </c>
      <c r="AY21" s="42"/>
    </row>
    <row r="22" spans="1:53" s="2" customFormat="1" ht="21.6" customHeight="1" outlineLevel="2" x14ac:dyDescent="0.25">
      <c r="A22" s="238"/>
      <c r="B22" s="7" t="s">
        <v>23</v>
      </c>
      <c r="C22" s="114">
        <v>58900</v>
      </c>
      <c r="D22" s="113"/>
      <c r="E22" s="106">
        <f t="shared" si="0"/>
        <v>58900</v>
      </c>
      <c r="F22" s="177">
        <f t="shared" si="1"/>
        <v>1.8434952760574393E-2</v>
      </c>
      <c r="G22" s="161"/>
      <c r="H22" s="113"/>
      <c r="I22" s="41">
        <f t="shared" si="12"/>
        <v>0</v>
      </c>
      <c r="J22" s="178"/>
      <c r="K22" s="291"/>
      <c r="L22" s="161">
        <f>36166.66*1.2</f>
        <v>43399.992000000006</v>
      </c>
      <c r="M22" s="113">
        <v>100</v>
      </c>
      <c r="N22" s="41">
        <f t="shared" si="13"/>
        <v>43499.992000000006</v>
      </c>
      <c r="O22" s="178">
        <f t="shared" si="2"/>
        <v>4.3080804167135271E-2</v>
      </c>
      <c r="P22" s="291" t="s">
        <v>201</v>
      </c>
      <c r="Q22" s="161"/>
      <c r="R22" s="113">
        <v>200</v>
      </c>
      <c r="S22" s="41">
        <f t="shared" si="14"/>
        <v>200</v>
      </c>
      <c r="T22" s="178">
        <f t="shared" si="3"/>
        <v>7.6273784068383384E-4</v>
      </c>
      <c r="U22" s="291" t="s">
        <v>211</v>
      </c>
      <c r="V22" s="161"/>
      <c r="W22" s="113"/>
      <c r="X22" s="41">
        <f t="shared" si="15"/>
        <v>0</v>
      </c>
      <c r="Y22" s="178">
        <f t="shared" si="4"/>
        <v>0</v>
      </c>
      <c r="Z22" s="291"/>
      <c r="AA22" s="161">
        <v>14800</v>
      </c>
      <c r="AB22" s="113"/>
      <c r="AC22" s="41">
        <f t="shared" si="16"/>
        <v>14800</v>
      </c>
      <c r="AD22" s="178">
        <f t="shared" si="5"/>
        <v>2.1754189011637573E-2</v>
      </c>
      <c r="AE22" s="291" t="s">
        <v>237</v>
      </c>
      <c r="AF22" s="161">
        <f>11500</f>
        <v>11500</v>
      </c>
      <c r="AG22" s="113"/>
      <c r="AH22" s="41">
        <f t="shared" si="17"/>
        <v>11500</v>
      </c>
      <c r="AI22" s="178">
        <f t="shared" si="18"/>
        <v>4.6963835832316045E-2</v>
      </c>
      <c r="AJ22" s="291" t="s">
        <v>360</v>
      </c>
      <c r="AK22" s="161"/>
      <c r="AL22" s="113"/>
      <c r="AM22" s="41">
        <f t="shared" si="19"/>
        <v>0</v>
      </c>
      <c r="AN22" s="178">
        <f t="shared" si="6"/>
        <v>0</v>
      </c>
      <c r="AO22" s="291"/>
      <c r="AP22" s="39">
        <f t="shared" si="22"/>
        <v>69699.991999999998</v>
      </c>
      <c r="AQ22" s="39">
        <f t="shared" si="23"/>
        <v>300</v>
      </c>
      <c r="AR22" s="210">
        <f t="shared" si="20"/>
        <v>69999.991999999998</v>
      </c>
      <c r="AS22" s="178">
        <f t="shared" si="8"/>
        <v>1.7602924016805771E-2</v>
      </c>
      <c r="AT22" s="42"/>
      <c r="AU22" s="210">
        <f t="shared" si="9"/>
        <v>-10799.991999999998</v>
      </c>
      <c r="AV22" s="210">
        <f t="shared" si="10"/>
        <v>-300</v>
      </c>
      <c r="AW22" s="210">
        <f t="shared" si="21"/>
        <v>-11099.991999999998</v>
      </c>
      <c r="AX22" s="178">
        <f t="shared" si="11"/>
        <v>1.3990286301502876E-2</v>
      </c>
      <c r="AY22" s="42"/>
    </row>
    <row r="23" spans="1:53" s="2" customFormat="1" ht="39" customHeight="1" outlineLevel="2" x14ac:dyDescent="0.25">
      <c r="A23" s="238"/>
      <c r="B23" s="7" t="s">
        <v>24</v>
      </c>
      <c r="C23" s="114">
        <v>57900</v>
      </c>
      <c r="D23" s="113"/>
      <c r="E23" s="106">
        <f t="shared" si="0"/>
        <v>57900</v>
      </c>
      <c r="F23" s="177">
        <f t="shared" si="1"/>
        <v>1.812196544715208E-2</v>
      </c>
      <c r="G23" s="161"/>
      <c r="H23" s="113">
        <v>1524</v>
      </c>
      <c r="I23" s="41">
        <f t="shared" si="12"/>
        <v>1524</v>
      </c>
      <c r="J23" s="178"/>
      <c r="K23" s="291"/>
      <c r="L23" s="161"/>
      <c r="M23" s="113">
        <v>3966</v>
      </c>
      <c r="N23" s="41">
        <f t="shared" si="13"/>
        <v>3966</v>
      </c>
      <c r="O23" s="178">
        <f t="shared" si="2"/>
        <v>3.9277816264163554E-3</v>
      </c>
      <c r="P23" s="291"/>
      <c r="Q23" s="161"/>
      <c r="R23" s="113">
        <v>1520</v>
      </c>
      <c r="S23" s="41">
        <f t="shared" si="14"/>
        <v>1520</v>
      </c>
      <c r="T23" s="178">
        <f t="shared" si="3"/>
        <v>5.7968075891971374E-3</v>
      </c>
      <c r="U23" s="291"/>
      <c r="V23" s="161">
        <f>14274.39*1.2</f>
        <v>17129.268</v>
      </c>
      <c r="W23" s="113">
        <v>960</v>
      </c>
      <c r="X23" s="41">
        <f t="shared" si="15"/>
        <v>18089.268</v>
      </c>
      <c r="Y23" s="178">
        <f t="shared" si="4"/>
        <v>1.1258159358247555E-2</v>
      </c>
      <c r="Z23" s="291" t="s">
        <v>189</v>
      </c>
      <c r="AA23" s="161">
        <f>3959.69*1.2</f>
        <v>4751.6279999999997</v>
      </c>
      <c r="AB23" s="113">
        <v>1040</v>
      </c>
      <c r="AC23" s="41">
        <f t="shared" si="16"/>
        <v>5791.6279999999997</v>
      </c>
      <c r="AD23" s="178">
        <f t="shared" si="5"/>
        <v>8.5129844727765205E-3</v>
      </c>
      <c r="AE23" s="291" t="s">
        <v>242</v>
      </c>
      <c r="AF23" s="161"/>
      <c r="AG23" s="113"/>
      <c r="AH23" s="41">
        <f t="shared" si="17"/>
        <v>0</v>
      </c>
      <c r="AI23" s="178">
        <f t="shared" si="18"/>
        <v>0</v>
      </c>
      <c r="AJ23" s="291"/>
      <c r="AK23" s="161">
        <f>1198.98*1.2+615.63</f>
        <v>2054.4059999999999</v>
      </c>
      <c r="AL23" s="113"/>
      <c r="AM23" s="41">
        <f t="shared" si="19"/>
        <v>2054.4059999999999</v>
      </c>
      <c r="AN23" s="178">
        <f t="shared" si="6"/>
        <v>2.1740535848277783E-2</v>
      </c>
      <c r="AO23" s="291"/>
      <c r="AP23" s="39">
        <f t="shared" si="22"/>
        <v>23935.302</v>
      </c>
      <c r="AQ23" s="39">
        <f t="shared" si="23"/>
        <v>9010</v>
      </c>
      <c r="AR23" s="210">
        <f t="shared" si="20"/>
        <v>32945.301999999996</v>
      </c>
      <c r="AS23" s="178">
        <f t="shared" si="8"/>
        <v>8.2847673442122561E-3</v>
      </c>
      <c r="AT23" s="42"/>
      <c r="AU23" s="210">
        <f t="shared" si="9"/>
        <v>33964.698000000004</v>
      </c>
      <c r="AV23" s="210">
        <f t="shared" si="10"/>
        <v>-9010</v>
      </c>
      <c r="AW23" s="210">
        <f t="shared" si="21"/>
        <v>24954.698000000004</v>
      </c>
      <c r="AX23" s="178">
        <f t="shared" si="11"/>
        <v>-3.1452578487222452E-2</v>
      </c>
      <c r="AY23" s="42"/>
    </row>
    <row r="24" spans="1:53" s="2" customFormat="1" ht="60" customHeight="1" outlineLevel="2" x14ac:dyDescent="0.25">
      <c r="A24" s="238"/>
      <c r="B24" s="7" t="s">
        <v>45</v>
      </c>
      <c r="C24" s="114">
        <v>609407</v>
      </c>
      <c r="D24" s="113">
        <v>32000</v>
      </c>
      <c r="E24" s="106">
        <f t="shared" si="0"/>
        <v>641407</v>
      </c>
      <c r="F24" s="177">
        <f t="shared" si="1"/>
        <v>0.20075225374026726</v>
      </c>
      <c r="G24" s="161"/>
      <c r="H24" s="113">
        <v>400</v>
      </c>
      <c r="I24" s="41">
        <f t="shared" si="12"/>
        <v>400</v>
      </c>
      <c r="J24" s="178"/>
      <c r="K24" s="291"/>
      <c r="L24" s="161"/>
      <c r="M24" s="113"/>
      <c r="N24" s="41">
        <f t="shared" si="13"/>
        <v>0</v>
      </c>
      <c r="O24" s="178">
        <f t="shared" si="2"/>
        <v>0</v>
      </c>
      <c r="P24" s="291"/>
      <c r="Q24" s="161"/>
      <c r="R24" s="113"/>
      <c r="S24" s="41">
        <f t="shared" si="14"/>
        <v>0</v>
      </c>
      <c r="T24" s="178">
        <f t="shared" si="3"/>
        <v>0</v>
      </c>
      <c r="U24" s="291"/>
      <c r="V24" s="161">
        <f>(684058.3+243453.41-99070.06)*1.2</f>
        <v>994129.9800000001</v>
      </c>
      <c r="W24" s="113"/>
      <c r="X24" s="41">
        <f t="shared" si="15"/>
        <v>994129.9800000001</v>
      </c>
      <c r="Y24" s="178">
        <f t="shared" si="4"/>
        <v>0.61871346798839266</v>
      </c>
      <c r="Z24" s="291" t="s">
        <v>221</v>
      </c>
      <c r="AA24" s="161">
        <f>(90507.85+165264.62+5412.79)*1.2</f>
        <v>313422.31199999998</v>
      </c>
      <c r="AB24" s="113"/>
      <c r="AC24" s="41">
        <f t="shared" si="16"/>
        <v>313422.31199999998</v>
      </c>
      <c r="AD24" s="178">
        <f t="shared" si="5"/>
        <v>0.46069244700759748</v>
      </c>
      <c r="AE24" s="291"/>
      <c r="AF24" s="161">
        <f>14523.51*1.2</f>
        <v>17428.212</v>
      </c>
      <c r="AG24" s="113"/>
      <c r="AH24" s="41">
        <f t="shared" si="17"/>
        <v>17428.212</v>
      </c>
      <c r="AI24" s="178">
        <f t="shared" si="18"/>
        <v>7.1173538019026122E-2</v>
      </c>
      <c r="AJ24" s="291"/>
      <c r="AK24" s="161"/>
      <c r="AL24" s="113"/>
      <c r="AM24" s="41">
        <f t="shared" si="19"/>
        <v>0</v>
      </c>
      <c r="AN24" s="178">
        <f t="shared" si="6"/>
        <v>0</v>
      </c>
      <c r="AO24" s="291"/>
      <c r="AP24" s="39">
        <f t="shared" si="22"/>
        <v>1324980.5040000002</v>
      </c>
      <c r="AQ24" s="39">
        <f t="shared" si="23"/>
        <v>400</v>
      </c>
      <c r="AR24" s="210">
        <f t="shared" si="20"/>
        <v>1325380.5040000002</v>
      </c>
      <c r="AS24" s="178">
        <f t="shared" si="8"/>
        <v>0.33329392816598807</v>
      </c>
      <c r="AT24" s="42"/>
      <c r="AU24" s="210">
        <f t="shared" si="9"/>
        <v>-715573.50400000019</v>
      </c>
      <c r="AV24" s="210">
        <f t="shared" si="10"/>
        <v>31600</v>
      </c>
      <c r="AW24" s="210">
        <f t="shared" si="21"/>
        <v>-683973.50400000019</v>
      </c>
      <c r="AX24" s="178">
        <f t="shared" si="11"/>
        <v>0.86207135497053755</v>
      </c>
      <c r="AY24" s="42"/>
    </row>
    <row r="25" spans="1:53" s="2" customFormat="1" ht="32.4" customHeight="1" outlineLevel="2" x14ac:dyDescent="0.25">
      <c r="A25" s="238"/>
      <c r="B25" s="7" t="s">
        <v>25</v>
      </c>
      <c r="C25" s="114">
        <v>8000</v>
      </c>
      <c r="D25" s="113"/>
      <c r="E25" s="106">
        <f t="shared" si="0"/>
        <v>8000</v>
      </c>
      <c r="F25" s="177">
        <f t="shared" si="1"/>
        <v>2.5038985073785255E-3</v>
      </c>
      <c r="G25" s="161"/>
      <c r="H25" s="113"/>
      <c r="I25" s="41">
        <f t="shared" si="12"/>
        <v>0</v>
      </c>
      <c r="J25" s="178"/>
      <c r="K25" s="291"/>
      <c r="L25" s="161"/>
      <c r="M25" s="113"/>
      <c r="N25" s="41">
        <f t="shared" si="13"/>
        <v>0</v>
      </c>
      <c r="O25" s="178">
        <f t="shared" si="2"/>
        <v>0</v>
      </c>
      <c r="P25" s="291"/>
      <c r="Q25" s="161"/>
      <c r="R25" s="113">
        <v>650</v>
      </c>
      <c r="S25" s="41">
        <f t="shared" si="14"/>
        <v>650</v>
      </c>
      <c r="T25" s="178">
        <f t="shared" si="3"/>
        <v>2.4788979822224599E-3</v>
      </c>
      <c r="U25" s="291" t="s">
        <v>212</v>
      </c>
      <c r="V25" s="161">
        <f>4359.16*1.2</f>
        <v>5230.9919999999993</v>
      </c>
      <c r="W25" s="113">
        <v>400</v>
      </c>
      <c r="X25" s="41">
        <f t="shared" si="15"/>
        <v>5630.9919999999993</v>
      </c>
      <c r="Y25" s="178">
        <f t="shared" si="4"/>
        <v>3.5045423220562105E-3</v>
      </c>
      <c r="Z25" s="291" t="s">
        <v>229</v>
      </c>
      <c r="AA25" s="161"/>
      <c r="AB25" s="113"/>
      <c r="AC25" s="41">
        <f t="shared" si="16"/>
        <v>0</v>
      </c>
      <c r="AD25" s="178">
        <f t="shared" si="5"/>
        <v>0</v>
      </c>
      <c r="AE25" s="291"/>
      <c r="AF25" s="161"/>
      <c r="AG25" s="113"/>
      <c r="AH25" s="41">
        <f t="shared" si="17"/>
        <v>0</v>
      </c>
      <c r="AI25" s="178">
        <f t="shared" si="18"/>
        <v>0</v>
      </c>
      <c r="AJ25" s="291"/>
      <c r="AK25" s="161"/>
      <c r="AL25" s="113"/>
      <c r="AM25" s="41">
        <f t="shared" si="19"/>
        <v>0</v>
      </c>
      <c r="AN25" s="178">
        <f t="shared" si="6"/>
        <v>0</v>
      </c>
      <c r="AO25" s="291"/>
      <c r="AP25" s="39">
        <f t="shared" si="22"/>
        <v>5230.9919999999993</v>
      </c>
      <c r="AQ25" s="39">
        <f t="shared" si="23"/>
        <v>1050</v>
      </c>
      <c r="AR25" s="210">
        <f t="shared" si="20"/>
        <v>6280.9919999999993</v>
      </c>
      <c r="AS25" s="178">
        <f t="shared" si="8"/>
        <v>1.5794833937433151E-3</v>
      </c>
      <c r="AT25" s="42"/>
      <c r="AU25" s="210">
        <f t="shared" si="9"/>
        <v>2769.0080000000007</v>
      </c>
      <c r="AV25" s="210">
        <f t="shared" si="10"/>
        <v>-1050</v>
      </c>
      <c r="AW25" s="210">
        <f t="shared" si="21"/>
        <v>1719.0080000000007</v>
      </c>
      <c r="AX25" s="178">
        <f t="shared" si="11"/>
        <v>-2.1666154421168837E-3</v>
      </c>
      <c r="AY25" s="42"/>
      <c r="AZ25" s="227"/>
      <c r="BA25" s="227"/>
    </row>
    <row r="26" spans="1:53" s="226" customFormat="1" ht="51" customHeight="1" outlineLevel="2" x14ac:dyDescent="0.25">
      <c r="A26" s="238"/>
      <c r="B26" s="262" t="s">
        <v>52</v>
      </c>
      <c r="C26" s="114">
        <v>45040</v>
      </c>
      <c r="D26" s="113"/>
      <c r="E26" s="106">
        <f t="shared" si="0"/>
        <v>45040</v>
      </c>
      <c r="F26" s="177">
        <f t="shared" si="1"/>
        <v>1.4096948596541099E-2</v>
      </c>
      <c r="G26" s="161"/>
      <c r="H26" s="113"/>
      <c r="I26" s="41">
        <f t="shared" si="12"/>
        <v>0</v>
      </c>
      <c r="J26" s="178"/>
      <c r="K26" s="291"/>
      <c r="L26" s="161"/>
      <c r="M26" s="113">
        <f>950+(4.83*1.2)</f>
        <v>955.79600000000005</v>
      </c>
      <c r="N26" s="41">
        <f t="shared" si="13"/>
        <v>955.79600000000005</v>
      </c>
      <c r="O26" s="178">
        <f t="shared" si="2"/>
        <v>9.4658546833137857E-4</v>
      </c>
      <c r="P26" s="291" t="s">
        <v>197</v>
      </c>
      <c r="Q26" s="161"/>
      <c r="R26" s="113">
        <v>120</v>
      </c>
      <c r="S26" s="41">
        <f t="shared" si="14"/>
        <v>120</v>
      </c>
      <c r="T26" s="178">
        <f t="shared" si="3"/>
        <v>4.5764270441030035E-4</v>
      </c>
      <c r="U26" s="291" t="s">
        <v>210</v>
      </c>
      <c r="V26" s="161">
        <f>64.83*1.2</f>
        <v>77.795999999999992</v>
      </c>
      <c r="W26" s="113">
        <v>305</v>
      </c>
      <c r="X26" s="41">
        <f t="shared" si="15"/>
        <v>382.79599999999999</v>
      </c>
      <c r="Y26" s="178">
        <f t="shared" si="4"/>
        <v>2.3823951138872678E-4</v>
      </c>
      <c r="Z26" s="291" t="s">
        <v>231</v>
      </c>
      <c r="AA26" s="161"/>
      <c r="AB26" s="113">
        <v>500</v>
      </c>
      <c r="AC26" s="41">
        <f t="shared" si="16"/>
        <v>500</v>
      </c>
      <c r="AD26" s="178">
        <f t="shared" si="5"/>
        <v>7.3493881796072886E-4</v>
      </c>
      <c r="AE26" s="291" t="s">
        <v>243</v>
      </c>
      <c r="AF26" s="161"/>
      <c r="AG26" s="113"/>
      <c r="AH26" s="41">
        <f t="shared" si="17"/>
        <v>0</v>
      </c>
      <c r="AI26" s="178">
        <f t="shared" si="18"/>
        <v>0</v>
      </c>
      <c r="AJ26" s="291"/>
      <c r="AK26" s="161"/>
      <c r="AL26" s="113"/>
      <c r="AM26" s="41">
        <f t="shared" si="19"/>
        <v>0</v>
      </c>
      <c r="AN26" s="178">
        <f t="shared" si="6"/>
        <v>0</v>
      </c>
      <c r="AO26" s="291"/>
      <c r="AP26" s="39">
        <f t="shared" si="22"/>
        <v>77.795999999999992</v>
      </c>
      <c r="AQ26" s="39">
        <f t="shared" si="23"/>
        <v>1880.796</v>
      </c>
      <c r="AR26" s="210">
        <f t="shared" si="20"/>
        <v>1958.5920000000001</v>
      </c>
      <c r="AS26" s="178">
        <f t="shared" si="8"/>
        <v>4.9252785851637885E-4</v>
      </c>
      <c r="AT26" s="42"/>
      <c r="AU26" s="210">
        <f t="shared" si="9"/>
        <v>44962.203999999998</v>
      </c>
      <c r="AV26" s="210">
        <f t="shared" si="10"/>
        <v>-1880.796</v>
      </c>
      <c r="AW26" s="210">
        <f t="shared" si="21"/>
        <v>43081.407999999996</v>
      </c>
      <c r="AX26" s="178">
        <f t="shared" si="11"/>
        <v>-5.4299249241968502E-2</v>
      </c>
      <c r="AY26" s="42"/>
      <c r="AZ26" s="320"/>
    </row>
    <row r="27" spans="1:53" s="2" customFormat="1" ht="87" customHeight="1" outlineLevel="2" x14ac:dyDescent="0.25">
      <c r="A27" s="238"/>
      <c r="B27" s="7" t="s">
        <v>31</v>
      </c>
      <c r="C27" s="114">
        <v>51600</v>
      </c>
      <c r="D27" s="113"/>
      <c r="E27" s="106">
        <f t="shared" si="0"/>
        <v>51600</v>
      </c>
      <c r="F27" s="178">
        <f t="shared" si="1"/>
        <v>1.615014537259149E-2</v>
      </c>
      <c r="G27" s="161">
        <v>2220</v>
      </c>
      <c r="H27" s="113"/>
      <c r="I27" s="41">
        <f t="shared" si="12"/>
        <v>2220</v>
      </c>
      <c r="J27" s="178">
        <f>I27/$I$87</f>
        <v>2.7950737111986083E-2</v>
      </c>
      <c r="K27" s="291" t="s">
        <v>184</v>
      </c>
      <c r="L27" s="161">
        <v>10050</v>
      </c>
      <c r="M27" s="113">
        <v>2800</v>
      </c>
      <c r="N27" s="41">
        <f t="shared" si="13"/>
        <v>12850</v>
      </c>
      <c r="O27" s="178">
        <f t="shared" si="2"/>
        <v>1.2726170927748404E-2</v>
      </c>
      <c r="P27" s="291" t="s">
        <v>193</v>
      </c>
      <c r="Q27" s="161">
        <v>7050</v>
      </c>
      <c r="R27" s="113">
        <v>200</v>
      </c>
      <c r="S27" s="41">
        <f t="shared" si="14"/>
        <v>7250</v>
      </c>
      <c r="T27" s="178">
        <f t="shared" si="3"/>
        <v>2.7649246724788978E-2</v>
      </c>
      <c r="U27" s="291" t="s">
        <v>208</v>
      </c>
      <c r="V27" s="161">
        <f>8710-260</f>
        <v>8450</v>
      </c>
      <c r="W27" s="113">
        <v>3000</v>
      </c>
      <c r="X27" s="41">
        <f t="shared" si="15"/>
        <v>11450</v>
      </c>
      <c r="Y27" s="178">
        <f t="shared" si="4"/>
        <v>7.1260995553791614E-3</v>
      </c>
      <c r="Z27" s="291" t="s">
        <v>225</v>
      </c>
      <c r="AA27" s="161">
        <v>3010</v>
      </c>
      <c r="AB27" s="113"/>
      <c r="AC27" s="41">
        <f t="shared" si="16"/>
        <v>3010</v>
      </c>
      <c r="AD27" s="178">
        <f t="shared" si="5"/>
        <v>4.4243316841235877E-3</v>
      </c>
      <c r="AE27" s="291" t="s">
        <v>240</v>
      </c>
      <c r="AF27" s="161"/>
      <c r="AG27" s="113"/>
      <c r="AH27" s="41">
        <f t="shared" si="17"/>
        <v>0</v>
      </c>
      <c r="AI27" s="178">
        <f>AH27/$AH$87</f>
        <v>0</v>
      </c>
      <c r="AJ27" s="291"/>
      <c r="AK27" s="161"/>
      <c r="AL27" s="113"/>
      <c r="AM27" s="41">
        <f t="shared" si="19"/>
        <v>0</v>
      </c>
      <c r="AN27" s="178">
        <f t="shared" si="6"/>
        <v>0</v>
      </c>
      <c r="AO27" s="291"/>
      <c r="AP27" s="39">
        <f t="shared" si="22"/>
        <v>30780</v>
      </c>
      <c r="AQ27" s="39">
        <f t="shared" si="23"/>
        <v>6000</v>
      </c>
      <c r="AR27" s="210">
        <f t="shared" si="20"/>
        <v>36780</v>
      </c>
      <c r="AS27" s="178">
        <f t="shared" si="8"/>
        <v>9.2490802761536935E-3</v>
      </c>
      <c r="AT27" s="79"/>
      <c r="AU27" s="210">
        <f t="shared" si="9"/>
        <v>20820</v>
      </c>
      <c r="AV27" s="210">
        <f t="shared" si="10"/>
        <v>-6000</v>
      </c>
      <c r="AW27" s="210">
        <f t="shared" si="21"/>
        <v>14820</v>
      </c>
      <c r="AX27" s="178">
        <f t="shared" si="11"/>
        <v>-1.8678936254032674E-2</v>
      </c>
      <c r="AY27" s="79"/>
    </row>
    <row r="28" spans="1:53" s="2" customFormat="1" ht="79.95" customHeight="1" outlineLevel="2" x14ac:dyDescent="0.25">
      <c r="A28" s="238"/>
      <c r="B28" s="7" t="s">
        <v>62</v>
      </c>
      <c r="C28" s="114"/>
      <c r="D28" s="113">
        <v>16000</v>
      </c>
      <c r="E28" s="106">
        <f t="shared" si="0"/>
        <v>16000</v>
      </c>
      <c r="F28" s="178">
        <f t="shared" si="1"/>
        <v>5.0077970147570511E-3</v>
      </c>
      <c r="G28" s="161"/>
      <c r="H28" s="113">
        <f>3500+ 1000</f>
        <v>4500</v>
      </c>
      <c r="I28" s="41">
        <f t="shared" si="12"/>
        <v>4500</v>
      </c>
      <c r="J28" s="178"/>
      <c r="K28" s="291" t="s">
        <v>183</v>
      </c>
      <c r="L28" s="161"/>
      <c r="M28" s="113">
        <f>3500+500</f>
        <v>4000</v>
      </c>
      <c r="N28" s="41">
        <f t="shared" si="13"/>
        <v>4000</v>
      </c>
      <c r="O28" s="178">
        <f t="shared" si="2"/>
        <v>3.9614539852913322E-3</v>
      </c>
      <c r="P28" s="291" t="s">
        <v>188</v>
      </c>
      <c r="Q28" s="161"/>
      <c r="R28" s="113">
        <f>3500+800</f>
        <v>4300</v>
      </c>
      <c r="S28" s="41">
        <f t="shared" si="14"/>
        <v>4300</v>
      </c>
      <c r="T28" s="178">
        <f t="shared" si="3"/>
        <v>1.6398863574702428E-2</v>
      </c>
      <c r="U28" s="291" t="s">
        <v>222</v>
      </c>
      <c r="V28" s="161"/>
      <c r="W28" s="113">
        <v>3500</v>
      </c>
      <c r="X28" s="41">
        <f t="shared" si="15"/>
        <v>3500</v>
      </c>
      <c r="Y28" s="178">
        <f t="shared" si="4"/>
        <v>2.1782837068844599E-3</v>
      </c>
      <c r="Z28" s="291" t="s">
        <v>223</v>
      </c>
      <c r="AA28" s="161"/>
      <c r="AB28" s="113">
        <v>550</v>
      </c>
      <c r="AC28" s="41">
        <f t="shared" si="16"/>
        <v>550</v>
      </c>
      <c r="AD28" s="178">
        <f t="shared" si="5"/>
        <v>8.0843269975680175E-4</v>
      </c>
      <c r="AE28" s="291" t="s">
        <v>238</v>
      </c>
      <c r="AF28" s="161"/>
      <c r="AG28" s="113"/>
      <c r="AH28" s="41">
        <f t="shared" si="17"/>
        <v>0</v>
      </c>
      <c r="AI28" s="178">
        <f t="shared" si="18"/>
        <v>0</v>
      </c>
      <c r="AJ28" s="291"/>
      <c r="AK28" s="161"/>
      <c r="AL28" s="113"/>
      <c r="AM28" s="41">
        <f t="shared" si="19"/>
        <v>0</v>
      </c>
      <c r="AN28" s="178">
        <f t="shared" si="6"/>
        <v>0</v>
      </c>
      <c r="AO28" s="291"/>
      <c r="AP28" s="39">
        <f t="shared" si="22"/>
        <v>0</v>
      </c>
      <c r="AQ28" s="39">
        <f t="shared" si="23"/>
        <v>16850</v>
      </c>
      <c r="AR28" s="210">
        <f t="shared" si="20"/>
        <v>16850</v>
      </c>
      <c r="AS28" s="178">
        <f t="shared" si="8"/>
        <v>4.2372757654483336E-3</v>
      </c>
      <c r="AT28" s="79"/>
      <c r="AU28" s="210">
        <f t="shared" si="9"/>
        <v>0</v>
      </c>
      <c r="AV28" s="210">
        <f t="shared" si="10"/>
        <v>-850</v>
      </c>
      <c r="AW28" s="210">
        <f t="shared" si="21"/>
        <v>-850</v>
      </c>
      <c r="AX28" s="178">
        <f t="shared" si="11"/>
        <v>1.0713290024242763E-3</v>
      </c>
      <c r="AY28" s="79"/>
    </row>
    <row r="29" spans="1:53" s="2" customFormat="1" ht="108.6" customHeight="1" outlineLevel="2" x14ac:dyDescent="0.25">
      <c r="A29" s="238"/>
      <c r="B29" s="7" t="s">
        <v>34</v>
      </c>
      <c r="C29" s="114"/>
      <c r="D29" s="113">
        <v>14000</v>
      </c>
      <c r="E29" s="106">
        <f t="shared" si="0"/>
        <v>14000</v>
      </c>
      <c r="F29" s="178">
        <f t="shared" si="1"/>
        <v>4.3818223879124197E-3</v>
      </c>
      <c r="G29" s="161"/>
      <c r="H29" s="113">
        <f>969+770</f>
        <v>1739</v>
      </c>
      <c r="I29" s="41">
        <f t="shared" si="12"/>
        <v>1739</v>
      </c>
      <c r="J29" s="178">
        <f>I29/$I$87</f>
        <v>2.1894744071055766E-2</v>
      </c>
      <c r="K29" s="291" t="s">
        <v>185</v>
      </c>
      <c r="L29" s="161"/>
      <c r="M29" s="113">
        <f>800+2900</f>
        <v>3700</v>
      </c>
      <c r="N29" s="41">
        <f t="shared" si="13"/>
        <v>3700</v>
      </c>
      <c r="O29" s="178">
        <f t="shared" si="2"/>
        <v>3.6643449363944819E-3</v>
      </c>
      <c r="P29" s="291" t="s">
        <v>195</v>
      </c>
      <c r="Q29" s="161"/>
      <c r="R29" s="113">
        <v>6358</v>
      </c>
      <c r="S29" s="41">
        <f t="shared" si="14"/>
        <v>6358</v>
      </c>
      <c r="T29" s="178">
        <f t="shared" si="3"/>
        <v>2.424743595533908E-2</v>
      </c>
      <c r="U29" s="291" t="s">
        <v>207</v>
      </c>
      <c r="V29" s="161"/>
      <c r="W29" s="113">
        <v>500</v>
      </c>
      <c r="X29" s="41">
        <f t="shared" si="15"/>
        <v>500</v>
      </c>
      <c r="Y29" s="178">
        <f t="shared" si="4"/>
        <v>3.1118338669778E-4</v>
      </c>
      <c r="Z29" s="291" t="s">
        <v>224</v>
      </c>
      <c r="AA29" s="161"/>
      <c r="AB29" s="113">
        <v>2070.38</v>
      </c>
      <c r="AC29" s="41">
        <f t="shared" si="16"/>
        <v>2070.38</v>
      </c>
      <c r="AD29" s="178">
        <f t="shared" si="5"/>
        <v>3.0432052598590676E-3</v>
      </c>
      <c r="AE29" s="291" t="s">
        <v>239</v>
      </c>
      <c r="AF29" s="161"/>
      <c r="AG29" s="113"/>
      <c r="AH29" s="41">
        <f t="shared" si="17"/>
        <v>0</v>
      </c>
      <c r="AI29" s="178">
        <f t="shared" si="18"/>
        <v>0</v>
      </c>
      <c r="AJ29" s="291"/>
      <c r="AK29" s="161"/>
      <c r="AL29" s="113"/>
      <c r="AM29" s="41">
        <f t="shared" si="19"/>
        <v>0</v>
      </c>
      <c r="AN29" s="178">
        <f t="shared" si="6"/>
        <v>0</v>
      </c>
      <c r="AO29" s="291"/>
      <c r="AP29" s="39">
        <f t="shared" si="22"/>
        <v>0</v>
      </c>
      <c r="AQ29" s="39">
        <f t="shared" si="23"/>
        <v>14367.380000000001</v>
      </c>
      <c r="AR29" s="210">
        <f t="shared" si="20"/>
        <v>14367.380000000001</v>
      </c>
      <c r="AS29" s="178">
        <f t="shared" si="8"/>
        <v>3.6129703909191149E-3</v>
      </c>
      <c r="AT29" s="79"/>
      <c r="AU29" s="210">
        <f t="shared" si="9"/>
        <v>0</v>
      </c>
      <c r="AV29" s="210">
        <f t="shared" si="10"/>
        <v>-367.38000000000102</v>
      </c>
      <c r="AW29" s="210">
        <f t="shared" si="21"/>
        <v>-367.38000000000102</v>
      </c>
      <c r="AX29" s="178">
        <f t="shared" si="11"/>
        <v>4.6304099871839023E-4</v>
      </c>
      <c r="AY29" s="79"/>
    </row>
    <row r="30" spans="1:53" s="2" customFormat="1" ht="14.4" customHeight="1" outlineLevel="2" x14ac:dyDescent="0.25">
      <c r="A30" s="238"/>
      <c r="B30" s="32" t="s">
        <v>2</v>
      </c>
      <c r="C30" s="115"/>
      <c r="D30" s="116"/>
      <c r="E30" s="106">
        <f t="shared" si="0"/>
        <v>0</v>
      </c>
      <c r="F30" s="178">
        <f t="shared" si="1"/>
        <v>0</v>
      </c>
      <c r="G30" s="161"/>
      <c r="H30" s="116"/>
      <c r="I30" s="41">
        <f t="shared" si="12"/>
        <v>0</v>
      </c>
      <c r="J30" s="178"/>
      <c r="K30" s="290"/>
      <c r="L30" s="161"/>
      <c r="M30" s="116"/>
      <c r="N30" s="41">
        <f t="shared" si="13"/>
        <v>0</v>
      </c>
      <c r="O30" s="178">
        <f t="shared" si="2"/>
        <v>0</v>
      </c>
      <c r="P30" s="290"/>
      <c r="Q30" s="161"/>
      <c r="R30" s="116"/>
      <c r="S30" s="41">
        <f t="shared" si="14"/>
        <v>0</v>
      </c>
      <c r="T30" s="178">
        <f t="shared" si="3"/>
        <v>0</v>
      </c>
      <c r="U30" s="290"/>
      <c r="V30" s="161"/>
      <c r="W30" s="116"/>
      <c r="X30" s="41">
        <f t="shared" si="15"/>
        <v>0</v>
      </c>
      <c r="Y30" s="178">
        <f t="shared" si="4"/>
        <v>0</v>
      </c>
      <c r="Z30" s="290"/>
      <c r="AA30" s="161"/>
      <c r="AB30" s="116"/>
      <c r="AC30" s="41">
        <f t="shared" si="16"/>
        <v>0</v>
      </c>
      <c r="AD30" s="178">
        <f t="shared" si="5"/>
        <v>0</v>
      </c>
      <c r="AE30" s="290"/>
      <c r="AF30" s="161"/>
      <c r="AG30" s="116"/>
      <c r="AH30" s="41">
        <f t="shared" si="17"/>
        <v>0</v>
      </c>
      <c r="AI30" s="178">
        <f t="shared" si="18"/>
        <v>0</v>
      </c>
      <c r="AJ30" s="290"/>
      <c r="AK30" s="161"/>
      <c r="AL30" s="116"/>
      <c r="AM30" s="41">
        <f t="shared" si="19"/>
        <v>0</v>
      </c>
      <c r="AN30" s="178">
        <f t="shared" si="6"/>
        <v>0</v>
      </c>
      <c r="AO30" s="290"/>
      <c r="AP30" s="39">
        <f t="shared" si="22"/>
        <v>0</v>
      </c>
      <c r="AQ30" s="39">
        <f t="shared" si="23"/>
        <v>0</v>
      </c>
      <c r="AR30" s="210">
        <f t="shared" si="20"/>
        <v>0</v>
      </c>
      <c r="AS30" s="178">
        <f t="shared" si="8"/>
        <v>0</v>
      </c>
      <c r="AT30" s="79"/>
      <c r="AU30" s="210">
        <f t="shared" si="9"/>
        <v>0</v>
      </c>
      <c r="AV30" s="210">
        <f t="shared" si="10"/>
        <v>0</v>
      </c>
      <c r="AW30" s="210">
        <f t="shared" si="21"/>
        <v>0</v>
      </c>
      <c r="AX30" s="178">
        <f t="shared" si="11"/>
        <v>0</v>
      </c>
      <c r="AY30" s="79"/>
    </row>
    <row r="31" spans="1:53" s="2" customFormat="1" ht="52.2" customHeight="1" outlineLevel="2" thickBot="1" x14ac:dyDescent="0.3">
      <c r="A31" s="238"/>
      <c r="B31" s="32" t="s">
        <v>75</v>
      </c>
      <c r="C31" s="115"/>
      <c r="D31" s="116">
        <v>50000</v>
      </c>
      <c r="E31" s="106">
        <f t="shared" si="0"/>
        <v>50000</v>
      </c>
      <c r="F31" s="178">
        <f t="shared" si="1"/>
        <v>1.5649365671115786E-2</v>
      </c>
      <c r="G31" s="161"/>
      <c r="H31" s="116">
        <v>1900</v>
      </c>
      <c r="I31" s="41">
        <f t="shared" si="12"/>
        <v>1900</v>
      </c>
      <c r="J31" s="178"/>
      <c r="K31" s="291" t="s">
        <v>186</v>
      </c>
      <c r="L31" s="161"/>
      <c r="M31" s="116">
        <v>1190</v>
      </c>
      <c r="N31" s="41">
        <f t="shared" si="13"/>
        <v>1190</v>
      </c>
      <c r="O31" s="178">
        <f t="shared" si="2"/>
        <v>1.1785325606241711E-3</v>
      </c>
      <c r="P31" s="291" t="s">
        <v>196</v>
      </c>
      <c r="Q31" s="161"/>
      <c r="R31" s="116"/>
      <c r="S31" s="41">
        <f t="shared" si="14"/>
        <v>0</v>
      </c>
      <c r="T31" s="178">
        <f t="shared" si="3"/>
        <v>0</v>
      </c>
      <c r="U31" s="291"/>
      <c r="V31" s="161"/>
      <c r="W31" s="116"/>
      <c r="X31" s="41">
        <f t="shared" si="15"/>
        <v>0</v>
      </c>
      <c r="Y31" s="178">
        <f t="shared" si="4"/>
        <v>0</v>
      </c>
      <c r="Z31" s="291"/>
      <c r="AA31" s="161"/>
      <c r="AB31" s="116"/>
      <c r="AC31" s="41">
        <f t="shared" si="16"/>
        <v>0</v>
      </c>
      <c r="AD31" s="178">
        <f t="shared" si="5"/>
        <v>0</v>
      </c>
      <c r="AE31" s="291"/>
      <c r="AF31" s="161"/>
      <c r="AG31" s="116"/>
      <c r="AH31" s="41">
        <f t="shared" si="17"/>
        <v>0</v>
      </c>
      <c r="AI31" s="178">
        <f t="shared" si="18"/>
        <v>0</v>
      </c>
      <c r="AJ31" s="291"/>
      <c r="AK31" s="161"/>
      <c r="AL31" s="116"/>
      <c r="AM31" s="41">
        <f t="shared" si="19"/>
        <v>0</v>
      </c>
      <c r="AN31" s="178">
        <f t="shared" si="6"/>
        <v>0</v>
      </c>
      <c r="AO31" s="291"/>
      <c r="AP31" s="39">
        <f t="shared" si="22"/>
        <v>0</v>
      </c>
      <c r="AQ31" s="39">
        <f t="shared" si="23"/>
        <v>3090</v>
      </c>
      <c r="AR31" s="210">
        <f t="shared" si="20"/>
        <v>3090</v>
      </c>
      <c r="AS31" s="178">
        <f t="shared" si="8"/>
        <v>7.7704344897539185E-4</v>
      </c>
      <c r="AT31" s="79"/>
      <c r="AU31" s="210">
        <f t="shared" si="9"/>
        <v>0</v>
      </c>
      <c r="AV31" s="210">
        <f t="shared" si="10"/>
        <v>46910</v>
      </c>
      <c r="AW31" s="210">
        <f t="shared" si="21"/>
        <v>46910</v>
      </c>
      <c r="AX31" s="178">
        <f t="shared" si="11"/>
        <v>-5.912475706320329E-2</v>
      </c>
      <c r="AY31" s="79"/>
    </row>
    <row r="32" spans="1:53" s="2" customFormat="1" ht="13.8" outlineLevel="2" x14ac:dyDescent="0.25">
      <c r="A32" s="238"/>
      <c r="B32" s="12"/>
      <c r="C32" s="46"/>
      <c r="D32" s="47"/>
      <c r="E32" s="48"/>
      <c r="F32" s="179"/>
      <c r="G32" s="96"/>
      <c r="H32" s="48"/>
      <c r="I32" s="48"/>
      <c r="J32" s="202"/>
      <c r="K32" s="266"/>
      <c r="L32" s="96"/>
      <c r="M32" s="48"/>
      <c r="N32" s="48"/>
      <c r="O32" s="202">
        <f t="shared" si="2"/>
        <v>0</v>
      </c>
      <c r="P32" s="266"/>
      <c r="Q32" s="96"/>
      <c r="R32" s="48"/>
      <c r="S32" s="48"/>
      <c r="T32" s="202">
        <f t="shared" si="3"/>
        <v>0</v>
      </c>
      <c r="U32" s="266"/>
      <c r="V32" s="96"/>
      <c r="W32" s="48"/>
      <c r="X32" s="48"/>
      <c r="Y32" s="202">
        <f t="shared" si="4"/>
        <v>0</v>
      </c>
      <c r="Z32" s="266"/>
      <c r="AA32" s="96"/>
      <c r="AB32" s="48"/>
      <c r="AC32" s="48"/>
      <c r="AD32" s="202"/>
      <c r="AE32" s="266"/>
      <c r="AF32" s="96"/>
      <c r="AG32" s="48"/>
      <c r="AH32" s="48"/>
      <c r="AI32" s="202"/>
      <c r="AJ32" s="266"/>
      <c r="AK32" s="96"/>
      <c r="AL32" s="48"/>
      <c r="AM32" s="48"/>
      <c r="AN32" s="202">
        <f t="shared" si="6"/>
        <v>0</v>
      </c>
      <c r="AO32" s="266"/>
      <c r="AP32" s="48">
        <f>G32</f>
        <v>0</v>
      </c>
      <c r="AQ32" s="48">
        <f>H32</f>
        <v>0</v>
      </c>
      <c r="AR32" s="48"/>
      <c r="AS32" s="48"/>
      <c r="AT32" s="48"/>
      <c r="AU32" s="48"/>
      <c r="AV32" s="48"/>
      <c r="AW32" s="48"/>
      <c r="AX32" s="48"/>
      <c r="AY32" s="48"/>
    </row>
    <row r="33" spans="1:52" s="88" customFormat="1" ht="13.8" outlineLevel="1" x14ac:dyDescent="0.25">
      <c r="A33" s="238"/>
      <c r="B33" s="89" t="s">
        <v>80</v>
      </c>
      <c r="C33" s="90">
        <f>C34</f>
        <v>0</v>
      </c>
      <c r="D33" s="90">
        <f>D34</f>
        <v>0</v>
      </c>
      <c r="E33" s="91">
        <f>E34</f>
        <v>0</v>
      </c>
      <c r="F33" s="165">
        <f>E33/$E$87</f>
        <v>0</v>
      </c>
      <c r="G33" s="90">
        <f>G34</f>
        <v>0</v>
      </c>
      <c r="H33" s="90">
        <f>H34</f>
        <v>0</v>
      </c>
      <c r="I33" s="91">
        <f>I34</f>
        <v>0</v>
      </c>
      <c r="J33" s="190"/>
      <c r="K33" s="267"/>
      <c r="L33" s="90">
        <f>L34</f>
        <v>0</v>
      </c>
      <c r="M33" s="90">
        <f>M34</f>
        <v>0</v>
      </c>
      <c r="N33" s="91">
        <f>N34</f>
        <v>0</v>
      </c>
      <c r="O33" s="190">
        <f t="shared" si="2"/>
        <v>0</v>
      </c>
      <c r="P33" s="267"/>
      <c r="Q33" s="90">
        <f>Q34</f>
        <v>0</v>
      </c>
      <c r="R33" s="90">
        <f>R34</f>
        <v>0</v>
      </c>
      <c r="S33" s="91">
        <f>S34</f>
        <v>0</v>
      </c>
      <c r="T33" s="190">
        <f t="shared" si="3"/>
        <v>0</v>
      </c>
      <c r="U33" s="267"/>
      <c r="V33" s="90">
        <f>V34</f>
        <v>0</v>
      </c>
      <c r="W33" s="90">
        <f>W34</f>
        <v>0</v>
      </c>
      <c r="X33" s="91">
        <f>X34</f>
        <v>0</v>
      </c>
      <c r="Y33" s="190">
        <f t="shared" si="4"/>
        <v>0</v>
      </c>
      <c r="Z33" s="267"/>
      <c r="AA33" s="90">
        <f>AA34</f>
        <v>0</v>
      </c>
      <c r="AB33" s="90">
        <f>AB34</f>
        <v>0</v>
      </c>
      <c r="AC33" s="91">
        <f>AC34</f>
        <v>0</v>
      </c>
      <c r="AD33" s="190">
        <f t="shared" si="5"/>
        <v>0</v>
      </c>
      <c r="AE33" s="267"/>
      <c r="AF33" s="90">
        <f>AF34</f>
        <v>0</v>
      </c>
      <c r="AG33" s="90">
        <f>AG34</f>
        <v>0</v>
      </c>
      <c r="AH33" s="91">
        <f>AH34</f>
        <v>0</v>
      </c>
      <c r="AI33" s="190">
        <f>AH33/$AC$87</f>
        <v>0</v>
      </c>
      <c r="AJ33" s="267"/>
      <c r="AK33" s="90">
        <f>AK34</f>
        <v>0</v>
      </c>
      <c r="AL33" s="90">
        <f>AL34</f>
        <v>0</v>
      </c>
      <c r="AM33" s="91">
        <f>AM34</f>
        <v>0</v>
      </c>
      <c r="AN33" s="190">
        <f t="shared" si="6"/>
        <v>0</v>
      </c>
      <c r="AO33" s="267"/>
      <c r="AP33" s="39">
        <f>G33+L33+Q33+V33+AA33+AF33+AK33</f>
        <v>0</v>
      </c>
      <c r="AQ33" s="39">
        <f>H33+M33+R33+W33+AB33+AG33+AL33</f>
        <v>0</v>
      </c>
      <c r="AR33" s="91">
        <f>AR34</f>
        <v>0</v>
      </c>
      <c r="AS33" s="91"/>
      <c r="AT33" s="91"/>
      <c r="AU33" s="90">
        <f>AU34</f>
        <v>0</v>
      </c>
      <c r="AV33" s="90">
        <f>AV34</f>
        <v>0</v>
      </c>
      <c r="AW33" s="91">
        <f>AW34</f>
        <v>0</v>
      </c>
      <c r="AX33" s="91"/>
      <c r="AY33" s="91"/>
    </row>
    <row r="34" spans="1:52" s="226" customFormat="1" ht="13.8" outlineLevel="3" x14ac:dyDescent="0.25">
      <c r="A34" s="238"/>
      <c r="B34" s="19" t="s">
        <v>81</v>
      </c>
      <c r="C34" s="43"/>
      <c r="D34" s="49"/>
      <c r="E34" s="106">
        <f>C34+D34</f>
        <v>0</v>
      </c>
      <c r="F34" s="178">
        <f>E34/$E$87</f>
        <v>0</v>
      </c>
      <c r="G34" s="97"/>
      <c r="H34" s="45"/>
      <c r="I34" s="41">
        <f>G34+H34*1</f>
        <v>0</v>
      </c>
      <c r="J34" s="178"/>
      <c r="K34" s="265"/>
      <c r="L34" s="97"/>
      <c r="M34" s="45"/>
      <c r="N34" s="41">
        <f>L34+M34*1</f>
        <v>0</v>
      </c>
      <c r="O34" s="178">
        <f t="shared" si="2"/>
        <v>0</v>
      </c>
      <c r="P34" s="265"/>
      <c r="Q34" s="97"/>
      <c r="R34" s="45"/>
      <c r="S34" s="41">
        <f>Q34+R34*1</f>
        <v>0</v>
      </c>
      <c r="T34" s="178">
        <f t="shared" si="3"/>
        <v>0</v>
      </c>
      <c r="U34" s="265"/>
      <c r="V34" s="97"/>
      <c r="W34" s="45"/>
      <c r="X34" s="41">
        <f>V34+W34*1</f>
        <v>0</v>
      </c>
      <c r="Y34" s="178">
        <f t="shared" si="4"/>
        <v>0</v>
      </c>
      <c r="Z34" s="265"/>
      <c r="AA34" s="97"/>
      <c r="AB34" s="45"/>
      <c r="AC34" s="41">
        <f>AA34+AB34*1</f>
        <v>0</v>
      </c>
      <c r="AD34" s="178">
        <f t="shared" si="5"/>
        <v>0</v>
      </c>
      <c r="AE34" s="265"/>
      <c r="AF34" s="97"/>
      <c r="AG34" s="45"/>
      <c r="AH34" s="41">
        <f>AF34+AG34*1</f>
        <v>0</v>
      </c>
      <c r="AI34" s="178">
        <f>AH34/$AC$87</f>
        <v>0</v>
      </c>
      <c r="AJ34" s="265"/>
      <c r="AK34" s="97"/>
      <c r="AL34" s="45"/>
      <c r="AM34" s="41">
        <f>AK34+AL34*1</f>
        <v>0</v>
      </c>
      <c r="AN34" s="178">
        <f t="shared" si="6"/>
        <v>0</v>
      </c>
      <c r="AO34" s="265"/>
      <c r="AP34" s="39">
        <f>G34+L34+Q34+V34+AA34+AF34+AK34</f>
        <v>0</v>
      </c>
      <c r="AQ34" s="39">
        <f>H34+M34+R34+W34+AB34+AG34+AL34</f>
        <v>0</v>
      </c>
      <c r="AR34" s="106">
        <f>AP34+AQ34*1</f>
        <v>0</v>
      </c>
      <c r="AS34" s="178">
        <f>AR34/$AR$87</f>
        <v>0</v>
      </c>
      <c r="AT34" s="45"/>
      <c r="AU34" s="210">
        <f>C34-AP34</f>
        <v>0</v>
      </c>
      <c r="AV34" s="210">
        <f>D34-AQ34</f>
        <v>0</v>
      </c>
      <c r="AW34" s="210">
        <f>AU34+AV34*1</f>
        <v>0</v>
      </c>
      <c r="AX34" s="178">
        <f>AW34/$E$87</f>
        <v>0</v>
      </c>
      <c r="AY34" s="45"/>
    </row>
    <row r="35" spans="1:52" s="2" customFormat="1" ht="14.4" outlineLevel="1" thickBot="1" x14ac:dyDescent="0.3">
      <c r="A35" s="4"/>
      <c r="B35" s="14"/>
      <c r="C35" s="50"/>
      <c r="D35" s="51"/>
      <c r="E35" s="52"/>
      <c r="F35" s="181"/>
      <c r="G35" s="98"/>
      <c r="H35" s="52"/>
      <c r="I35" s="52"/>
      <c r="J35" s="203"/>
      <c r="K35" s="268"/>
      <c r="L35" s="98"/>
      <c r="M35" s="52"/>
      <c r="N35" s="52"/>
      <c r="O35" s="203">
        <f t="shared" si="2"/>
        <v>0</v>
      </c>
      <c r="P35" s="268"/>
      <c r="Q35" s="98"/>
      <c r="R35" s="52"/>
      <c r="S35" s="52"/>
      <c r="T35" s="203">
        <f>S35/$N$87</f>
        <v>0</v>
      </c>
      <c r="U35" s="268"/>
      <c r="V35" s="98"/>
      <c r="W35" s="52"/>
      <c r="X35" s="52"/>
      <c r="Y35" s="203">
        <f>X35/$N$87</f>
        <v>0</v>
      </c>
      <c r="Z35" s="268"/>
      <c r="AA35" s="98"/>
      <c r="AB35" s="52"/>
      <c r="AC35" s="52"/>
      <c r="AD35" s="203">
        <f>AC35/$N$87</f>
        <v>0</v>
      </c>
      <c r="AE35" s="268"/>
      <c r="AF35" s="98"/>
      <c r="AG35" s="52"/>
      <c r="AH35" s="52"/>
      <c r="AI35" s="203">
        <f>AH35/$N$87</f>
        <v>0</v>
      </c>
      <c r="AJ35" s="268"/>
      <c r="AK35" s="98"/>
      <c r="AL35" s="52"/>
      <c r="AM35" s="52"/>
      <c r="AN35" s="203">
        <f t="shared" si="6"/>
        <v>0</v>
      </c>
      <c r="AO35" s="268"/>
      <c r="AP35" s="52">
        <f>G35</f>
        <v>0</v>
      </c>
      <c r="AQ35" s="52">
        <f>H35</f>
        <v>0</v>
      </c>
      <c r="AR35" s="52"/>
      <c r="AS35" s="52"/>
      <c r="AT35" s="52"/>
      <c r="AU35" s="52"/>
      <c r="AV35" s="52"/>
      <c r="AW35" s="52"/>
      <c r="AX35" s="52"/>
      <c r="AY35" s="52"/>
    </row>
    <row r="36" spans="1:52" ht="14.4" thickBot="1" x14ac:dyDescent="0.3">
      <c r="A36" s="33"/>
      <c r="B36" s="34" t="s">
        <v>46</v>
      </c>
      <c r="C36" s="53">
        <f>(C5)-(C8)</f>
        <v>2533929</v>
      </c>
      <c r="D36" s="53">
        <f>(D5)-(D8)</f>
        <v>-856715</v>
      </c>
      <c r="E36" s="53">
        <f>(E5)-(E8)</f>
        <v>1677214</v>
      </c>
      <c r="F36" s="166"/>
      <c r="G36" s="53">
        <f>(G5)-(G8)</f>
        <v>-44655</v>
      </c>
      <c r="H36" s="53">
        <f>(H5)-(H8)</f>
        <v>-30403</v>
      </c>
      <c r="I36" s="53">
        <f>(I5)-(I8)</f>
        <v>-75058</v>
      </c>
      <c r="J36" s="191"/>
      <c r="K36" s="269"/>
      <c r="L36" s="53">
        <f>(L5)-(L8)</f>
        <v>-956216.47400000005</v>
      </c>
      <c r="M36" s="53">
        <f>(M5)-(M8)</f>
        <v>-43331.796000000002</v>
      </c>
      <c r="N36" s="53">
        <f>(N5)-(N8)</f>
        <v>-999548.27</v>
      </c>
      <c r="O36" s="191"/>
      <c r="P36" s="269"/>
      <c r="Q36" s="53">
        <f>(Q5)-(Q8)</f>
        <v>-218190.11000000002</v>
      </c>
      <c r="R36" s="53">
        <f>(R5)-(R8)</f>
        <v>-30888</v>
      </c>
      <c r="S36" s="53">
        <f>(S5)-(S8)</f>
        <v>-249078.11000000002</v>
      </c>
      <c r="T36" s="191"/>
      <c r="U36" s="269"/>
      <c r="V36" s="53">
        <f>(V5)-(V8)</f>
        <v>1944052.324</v>
      </c>
      <c r="W36" s="53">
        <f>(W5)-(W8)</f>
        <v>-458642</v>
      </c>
      <c r="X36" s="53">
        <f>(X5)-(X8)</f>
        <v>1485410.324</v>
      </c>
      <c r="Y36" s="191"/>
      <c r="Z36" s="269"/>
      <c r="AA36" s="53">
        <f>(AA5)-(AA8)</f>
        <v>1087250.4400000002</v>
      </c>
      <c r="AB36" s="53">
        <f>(AB5)-(AB8)</f>
        <v>-260754.52000000002</v>
      </c>
      <c r="AC36" s="53">
        <f>(AC5)-(AC8)</f>
        <v>826495.92</v>
      </c>
      <c r="AD36" s="191"/>
      <c r="AE36" s="269"/>
      <c r="AF36" s="53">
        <f>(AF5)-(AF8)</f>
        <v>467292.98731677025</v>
      </c>
      <c r="AG36" s="53">
        <f>(AG5)-(AG8)</f>
        <v>-180831.35999999999</v>
      </c>
      <c r="AH36" s="53">
        <f>(AH5)-(AH8)</f>
        <v>286461.6273167702</v>
      </c>
      <c r="AI36" s="191"/>
      <c r="AJ36" s="269"/>
      <c r="AK36" s="53">
        <f>(AK5)-(AK8)</f>
        <v>-2054.4059999999999</v>
      </c>
      <c r="AL36" s="53">
        <f>(AL5)-(AL8)</f>
        <v>-80000</v>
      </c>
      <c r="AM36" s="53">
        <f>(AM5)-(AM8)</f>
        <v>-82054.406000000003</v>
      </c>
      <c r="AN36" s="191">
        <f t="shared" si="6"/>
        <v>-0.86833213841477275</v>
      </c>
      <c r="AO36" s="269"/>
      <c r="AP36" s="53">
        <f>(AP5)-(AP8)</f>
        <v>2277479.7613167702</v>
      </c>
      <c r="AQ36" s="53">
        <f>(AQ5)-(AQ8)</f>
        <v>-1084850.676</v>
      </c>
      <c r="AR36" s="53">
        <f>(AR5)-(AR8)</f>
        <v>1192629.0853167698</v>
      </c>
      <c r="AS36" s="53"/>
      <c r="AT36" s="53"/>
      <c r="AU36" s="53">
        <f>(AU5)-(AU8)</f>
        <v>256449.23868322966</v>
      </c>
      <c r="AV36" s="53">
        <f>(AV5)-(AV8)</f>
        <v>228135.67599999998</v>
      </c>
      <c r="AW36" s="53">
        <f>(AW5)-(AW8)</f>
        <v>484584.91468322964</v>
      </c>
      <c r="AX36" s="53"/>
      <c r="AY36" s="53"/>
      <c r="AZ36" s="2"/>
    </row>
    <row r="37" spans="1:52" ht="13.8" x14ac:dyDescent="0.25">
      <c r="A37" s="293"/>
      <c r="B37" s="15" t="s">
        <v>47</v>
      </c>
      <c r="C37" s="157">
        <f>C36/(C5)</f>
        <v>0.55193929107575856</v>
      </c>
      <c r="D37" s="157" t="e">
        <f>D36/(D5)</f>
        <v>#DIV/0!</v>
      </c>
      <c r="E37" s="158">
        <f>E36/(E5)</f>
        <v>0.36533000969732665</v>
      </c>
      <c r="F37" s="167"/>
      <c r="G37" s="157" t="e">
        <f>G36/(G5)</f>
        <v>#DIV/0!</v>
      </c>
      <c r="H37" s="157" t="e">
        <f>H36/(H5)</f>
        <v>#DIV/0!</v>
      </c>
      <c r="I37" s="158" t="e">
        <f>I36/(I5)</f>
        <v>#DIV/0!</v>
      </c>
      <c r="J37" s="192"/>
      <c r="K37" s="270"/>
      <c r="L37" s="157" t="e">
        <f>L36/(L5)</f>
        <v>#DIV/0!</v>
      </c>
      <c r="M37" s="157" t="e">
        <f>M36/(M5)</f>
        <v>#DIV/0!</v>
      </c>
      <c r="N37" s="158" t="e">
        <f>N36/(N5)</f>
        <v>#DIV/0!</v>
      </c>
      <c r="O37" s="192"/>
      <c r="P37" s="270"/>
      <c r="Q37" s="157" t="e">
        <f>Q36/(Q5)</f>
        <v>#DIV/0!</v>
      </c>
      <c r="R37" s="157" t="e">
        <f>R36/(R5)</f>
        <v>#DIV/0!</v>
      </c>
      <c r="S37" s="158" t="e">
        <f>S36/(S5)</f>
        <v>#DIV/0!</v>
      </c>
      <c r="T37" s="192" t="e">
        <f t="shared" ref="T37:T72" si="24">S37/$S$87</f>
        <v>#DIV/0!</v>
      </c>
      <c r="U37" s="270"/>
      <c r="V37" s="157">
        <f>V36/(V5)</f>
        <v>0.6426214858095739</v>
      </c>
      <c r="W37" s="157" t="e">
        <f>W36/(W5)</f>
        <v>#DIV/0!</v>
      </c>
      <c r="X37" s="158">
        <f>X36/(X5)</f>
        <v>0.49101383623343287</v>
      </c>
      <c r="Y37" s="192">
        <f>X37/$S$87</f>
        <v>1.8725741659728712E-6</v>
      </c>
      <c r="Z37" s="270"/>
      <c r="AA37" s="157">
        <f>AA36/(AA5)</f>
        <v>0.74048431557122008</v>
      </c>
      <c r="AB37" s="157" t="e">
        <f>AB36/(AB5)</f>
        <v>#DIV/0!</v>
      </c>
      <c r="AC37" s="158">
        <f>AC36/(AC5)</f>
        <v>0.56289447502417733</v>
      </c>
      <c r="AD37" s="192">
        <f>AC37/$S$87</f>
        <v>2.1467045820640065E-6</v>
      </c>
      <c r="AE37" s="270"/>
      <c r="AF37" s="157">
        <f>AF36/(AF5)</f>
        <v>0.9233261780904396</v>
      </c>
      <c r="AG37" s="157" t="e">
        <f>AG36/(AG5)</f>
        <v>#DIV/0!</v>
      </c>
      <c r="AH37" s="158">
        <f>AH36/(AH5)</f>
        <v>0.56602073367016481</v>
      </c>
      <c r="AI37" s="192">
        <f>AH37/$AH$87</f>
        <v>2.3115221577193656E-6</v>
      </c>
      <c r="AJ37" s="270"/>
      <c r="AK37" s="157" t="e">
        <f>AK36/(AK5)</f>
        <v>#DIV/0!</v>
      </c>
      <c r="AL37" s="157" t="e">
        <f>AL36/(AL5)</f>
        <v>#DIV/0!</v>
      </c>
      <c r="AM37" s="158" t="e">
        <f>AM36/(AM5)</f>
        <v>#DIV/0!</v>
      </c>
      <c r="AN37" s="192" t="e">
        <f t="shared" si="6"/>
        <v>#DIV/0!</v>
      </c>
      <c r="AO37" s="270"/>
      <c r="AP37" s="54">
        <f>AP36/(AP5)</f>
        <v>0.45553383901274469</v>
      </c>
      <c r="AQ37" s="54" t="e">
        <f>AQ36/(AQ5)</f>
        <v>#DIV/0!</v>
      </c>
      <c r="AR37" s="55">
        <f>AR36/(AR5)</f>
        <v>0.23854565690563878</v>
      </c>
      <c r="AS37" s="55"/>
      <c r="AT37" s="55"/>
      <c r="AU37" s="54">
        <f>AU36/(AU5)</f>
        <v>-0.62758583490449549</v>
      </c>
      <c r="AV37" s="54" t="e">
        <f>AV36/(AV5)</f>
        <v>#DIV/0!</v>
      </c>
      <c r="AW37" s="55">
        <f>AW36/(AW5)</f>
        <v>-1.1858823595076091</v>
      </c>
      <c r="AX37" s="55"/>
      <c r="AY37" s="55"/>
      <c r="AZ37" s="2"/>
    </row>
    <row r="38" spans="1:52" ht="14.4" outlineLevel="1" thickBot="1" x14ac:dyDescent="0.3">
      <c r="A38" s="295"/>
      <c r="B38" s="16"/>
      <c r="C38" s="56"/>
      <c r="D38" s="57"/>
      <c r="E38" s="58"/>
      <c r="F38" s="168"/>
      <c r="G38" s="80"/>
      <c r="H38" s="80"/>
      <c r="I38" s="80"/>
      <c r="J38" s="193"/>
      <c r="K38" s="271"/>
      <c r="L38" s="80"/>
      <c r="M38" s="80"/>
      <c r="N38" s="80"/>
      <c r="O38" s="193"/>
      <c r="P38" s="271"/>
      <c r="Q38" s="80"/>
      <c r="R38" s="80"/>
      <c r="S38" s="80"/>
      <c r="T38" s="193">
        <f t="shared" si="24"/>
        <v>0</v>
      </c>
      <c r="U38" s="271"/>
      <c r="V38" s="80"/>
      <c r="W38" s="80"/>
      <c r="X38" s="80"/>
      <c r="Y38" s="193">
        <f>X38/$S$87</f>
        <v>0</v>
      </c>
      <c r="Z38" s="271"/>
      <c r="AA38" s="80"/>
      <c r="AB38" s="80"/>
      <c r="AC38" s="80"/>
      <c r="AD38" s="193">
        <f>AC38/$S$87</f>
        <v>0</v>
      </c>
      <c r="AE38" s="271"/>
      <c r="AF38" s="80"/>
      <c r="AG38" s="80"/>
      <c r="AH38" s="80"/>
      <c r="AI38" s="193">
        <f>AH38/$S$87</f>
        <v>0</v>
      </c>
      <c r="AJ38" s="271"/>
      <c r="AK38" s="80"/>
      <c r="AL38" s="80"/>
      <c r="AM38" s="80"/>
      <c r="AN38" s="193">
        <f t="shared" si="6"/>
        <v>0</v>
      </c>
      <c r="AO38" s="271"/>
      <c r="AP38" s="58"/>
      <c r="AQ38" s="58"/>
      <c r="AR38" s="58"/>
      <c r="AS38" s="58"/>
      <c r="AT38" s="58"/>
      <c r="AU38" s="58"/>
      <c r="AV38" s="58"/>
      <c r="AW38" s="58"/>
      <c r="AX38" s="58"/>
      <c r="AY38" s="58"/>
    </row>
    <row r="39" spans="1:52" ht="13.8" outlineLevel="1" x14ac:dyDescent="0.25">
      <c r="A39" s="11"/>
      <c r="B39" s="22" t="s">
        <v>26</v>
      </c>
      <c r="C39" s="117">
        <f>SUM(C40:C46)</f>
        <v>4000</v>
      </c>
      <c r="D39" s="117">
        <f>SUM(D40:D46)</f>
        <v>5600</v>
      </c>
      <c r="E39" s="118">
        <f>SUM(E40:E46)</f>
        <v>9600</v>
      </c>
      <c r="F39" s="169">
        <f t="shared" ref="F39:F46" si="25">E39/$E$87</f>
        <v>3.0046782088542306E-3</v>
      </c>
      <c r="G39" s="117">
        <f>SUM(G40:G46)</f>
        <v>0</v>
      </c>
      <c r="H39" s="117">
        <f>SUM(H40:H46)</f>
        <v>100</v>
      </c>
      <c r="I39" s="118">
        <f>SUM(I40:I46)</f>
        <v>100</v>
      </c>
      <c r="J39" s="169">
        <f>I39/$I$87</f>
        <v>1.2590422122516253E-3</v>
      </c>
      <c r="K39" s="272"/>
      <c r="L39" s="117">
        <f>SUM(L40:L46)</f>
        <v>0</v>
      </c>
      <c r="M39" s="117">
        <f>SUM(M40:M46)</f>
        <v>50</v>
      </c>
      <c r="N39" s="118">
        <f>SUM(N40:N46)</f>
        <v>50</v>
      </c>
      <c r="O39" s="169">
        <f>N39/$I$87</f>
        <v>6.2952110612581264E-4</v>
      </c>
      <c r="P39" s="272"/>
      <c r="Q39" s="117">
        <f>SUM(Q40:Q46)</f>
        <v>1817.5</v>
      </c>
      <c r="R39" s="117">
        <f>SUM(R40:R46)</f>
        <v>0</v>
      </c>
      <c r="S39" s="118">
        <f>SUM(S40:S46)</f>
        <v>1817.5</v>
      </c>
      <c r="T39" s="169">
        <f t="shared" si="24"/>
        <v>6.9313801272143406E-3</v>
      </c>
      <c r="U39" s="272"/>
      <c r="V39" s="117">
        <f>SUM(V40:V46)</f>
        <v>2504.5</v>
      </c>
      <c r="W39" s="117">
        <f>SUM(W40:W46)</f>
        <v>0</v>
      </c>
      <c r="X39" s="118">
        <f>SUM(X40:X46)</f>
        <v>2504.5</v>
      </c>
      <c r="Y39" s="169">
        <f t="shared" ref="Y39:Y50" si="26">X39/$X$87</f>
        <v>1.5587175839691799E-3</v>
      </c>
      <c r="Z39" s="272"/>
      <c r="AA39" s="117">
        <f>SUM(AA40:AA46)</f>
        <v>0</v>
      </c>
      <c r="AB39" s="117">
        <f>SUM(AB40:AB46)</f>
        <v>0</v>
      </c>
      <c r="AC39" s="118">
        <f>SUM(AC40:AC46)</f>
        <v>0</v>
      </c>
      <c r="AD39" s="169">
        <f t="shared" ref="AD39:AD46" si="27">AC39/$AC$87</f>
        <v>0</v>
      </c>
      <c r="AE39" s="272"/>
      <c r="AF39" s="117">
        <f>SUM(AF40:AF46)</f>
        <v>0</v>
      </c>
      <c r="AG39" s="117">
        <f>SUM(AG40:AG46)</f>
        <v>0</v>
      </c>
      <c r="AH39" s="118">
        <f>SUM(AH40:AH46)</f>
        <v>0</v>
      </c>
      <c r="AI39" s="169">
        <f t="shared" ref="AI39:AI46" si="28">AH39/$AC$87</f>
        <v>0</v>
      </c>
      <c r="AJ39" s="272"/>
      <c r="AK39" s="117">
        <f>SUM(AK40:AK46)</f>
        <v>0</v>
      </c>
      <c r="AL39" s="117">
        <f>SUM(AL40:AL46)</f>
        <v>0</v>
      </c>
      <c r="AM39" s="118">
        <f>SUM(AM40:AM46)</f>
        <v>0</v>
      </c>
      <c r="AN39" s="169">
        <f t="shared" si="6"/>
        <v>0</v>
      </c>
      <c r="AO39" s="272"/>
      <c r="AP39" s="117">
        <f>SUM(AP40:AP46)</f>
        <v>4322</v>
      </c>
      <c r="AQ39" s="117">
        <f>SUM(AQ40:AQ46)</f>
        <v>150</v>
      </c>
      <c r="AR39" s="118">
        <f>SUM(AR40:AR46)</f>
        <v>4472</v>
      </c>
      <c r="AS39" s="169">
        <f t="shared" ref="AS39:AS47" si="29">AR39/$AR$87</f>
        <v>1.1245755028537062E-3</v>
      </c>
      <c r="AT39" s="60"/>
      <c r="AU39" s="117">
        <f>SUM(AU40:AU46)</f>
        <v>-322</v>
      </c>
      <c r="AV39" s="117">
        <f>SUM(AV40:AV46)</f>
        <v>5450</v>
      </c>
      <c r="AW39" s="118">
        <f>SUM(AW40:AW46)</f>
        <v>5128</v>
      </c>
      <c r="AX39" s="60"/>
      <c r="AY39" s="60"/>
    </row>
    <row r="40" spans="1:52" ht="43.2" customHeight="1" outlineLevel="2" x14ac:dyDescent="0.25">
      <c r="A40" s="4015"/>
      <c r="B40" s="18" t="s">
        <v>7</v>
      </c>
      <c r="C40" s="113"/>
      <c r="D40" s="119"/>
      <c r="E40" s="120">
        <f t="shared" ref="E40:E46" si="30">C40+D40</f>
        <v>0</v>
      </c>
      <c r="F40" s="178">
        <f t="shared" si="25"/>
        <v>0</v>
      </c>
      <c r="G40" s="78"/>
      <c r="H40" s="103"/>
      <c r="I40" s="41">
        <f t="shared" ref="I40:I46" si="31">G40+H40*1</f>
        <v>0</v>
      </c>
      <c r="J40" s="178"/>
      <c r="K40" s="265"/>
      <c r="L40" s="78"/>
      <c r="M40" s="103"/>
      <c r="N40" s="41">
        <f t="shared" ref="N40:N46" si="32">L40+M40*1</f>
        <v>0</v>
      </c>
      <c r="O40" s="178">
        <f t="shared" ref="O40:O72" si="33">N40/$N$87</f>
        <v>0</v>
      </c>
      <c r="P40" s="265"/>
      <c r="Q40" s="78"/>
      <c r="R40" s="103"/>
      <c r="S40" s="41">
        <f t="shared" ref="S40:S46" si="34">Q40+R40*1</f>
        <v>0</v>
      </c>
      <c r="T40" s="178">
        <f t="shared" si="24"/>
        <v>0</v>
      </c>
      <c r="U40" s="265"/>
      <c r="V40" s="78"/>
      <c r="W40" s="103"/>
      <c r="X40" s="41">
        <f t="shared" ref="X40:X46" si="35">V40+W40*1</f>
        <v>0</v>
      </c>
      <c r="Y40" s="178">
        <f t="shared" si="26"/>
        <v>0</v>
      </c>
      <c r="Z40" s="265"/>
      <c r="AA40" s="78"/>
      <c r="AB40" s="103"/>
      <c r="AC40" s="41">
        <f t="shared" ref="AC40:AC46" si="36">AA40+AB40*1</f>
        <v>0</v>
      </c>
      <c r="AD40" s="178">
        <f t="shared" si="27"/>
        <v>0</v>
      </c>
      <c r="AE40" s="265"/>
      <c r="AF40" s="78"/>
      <c r="AG40" s="103"/>
      <c r="AH40" s="41">
        <f t="shared" ref="AH40:AH46" si="37">AF40+AG40*1</f>
        <v>0</v>
      </c>
      <c r="AI40" s="178">
        <f t="shared" si="28"/>
        <v>0</v>
      </c>
      <c r="AJ40" s="265"/>
      <c r="AK40" s="78"/>
      <c r="AL40" s="103"/>
      <c r="AM40" s="41">
        <f t="shared" ref="AM40:AM46" si="38">AK40+AL40*1</f>
        <v>0</v>
      </c>
      <c r="AN40" s="178">
        <f t="shared" si="6"/>
        <v>0</v>
      </c>
      <c r="AO40" s="265"/>
      <c r="AP40" s="210">
        <f t="shared" ref="AP40:AQ43" si="39">G40+L40+Q40+V40</f>
        <v>0</v>
      </c>
      <c r="AQ40" s="210">
        <f t="shared" si="39"/>
        <v>0</v>
      </c>
      <c r="AR40" s="106">
        <f t="shared" ref="AR40:AR46" si="40">AP40+AQ40*1</f>
        <v>0</v>
      </c>
      <c r="AS40" s="178">
        <f t="shared" si="29"/>
        <v>0</v>
      </c>
      <c r="AT40" s="79"/>
      <c r="AU40" s="210">
        <f t="shared" ref="AU40:AV46" si="41">C40-AP40</f>
        <v>0</v>
      </c>
      <c r="AV40" s="210">
        <f t="shared" si="41"/>
        <v>0</v>
      </c>
      <c r="AW40" s="210">
        <f t="shared" ref="AW40:AW46" si="42">AU40+AV40*1</f>
        <v>0</v>
      </c>
      <c r="AX40" s="178">
        <f t="shared" ref="AX40:AX46" si="43">AW40/$E$87</f>
        <v>0</v>
      </c>
      <c r="AY40" s="79"/>
    </row>
    <row r="41" spans="1:52" ht="13.8" outlineLevel="2" x14ac:dyDescent="0.25">
      <c r="A41" s="4015"/>
      <c r="B41" s="18" t="s">
        <v>27</v>
      </c>
      <c r="C41" s="113"/>
      <c r="D41" s="119">
        <v>1200</v>
      </c>
      <c r="E41" s="120">
        <f t="shared" si="30"/>
        <v>1200</v>
      </c>
      <c r="F41" s="178">
        <f t="shared" si="25"/>
        <v>3.7558477610677882E-4</v>
      </c>
      <c r="G41" s="78"/>
      <c r="H41" s="103"/>
      <c r="I41" s="41">
        <f t="shared" si="31"/>
        <v>0</v>
      </c>
      <c r="J41" s="178"/>
      <c r="K41" s="291"/>
      <c r="L41" s="78"/>
      <c r="M41" s="103"/>
      <c r="N41" s="41">
        <f t="shared" si="32"/>
        <v>0</v>
      </c>
      <c r="O41" s="178">
        <f t="shared" si="33"/>
        <v>0</v>
      </c>
      <c r="P41" s="291"/>
      <c r="Q41" s="78"/>
      <c r="R41" s="103"/>
      <c r="S41" s="41">
        <f t="shared" si="34"/>
        <v>0</v>
      </c>
      <c r="T41" s="178">
        <f t="shared" si="24"/>
        <v>0</v>
      </c>
      <c r="U41" s="291"/>
      <c r="V41" s="78"/>
      <c r="W41" s="103"/>
      <c r="X41" s="41">
        <f t="shared" si="35"/>
        <v>0</v>
      </c>
      <c r="Y41" s="178">
        <f t="shared" si="26"/>
        <v>0</v>
      </c>
      <c r="Z41" s="291"/>
      <c r="AA41" s="78"/>
      <c r="AB41" s="103"/>
      <c r="AC41" s="41">
        <f t="shared" si="36"/>
        <v>0</v>
      </c>
      <c r="AD41" s="178">
        <f t="shared" si="27"/>
        <v>0</v>
      </c>
      <c r="AE41" s="291"/>
      <c r="AF41" s="78"/>
      <c r="AG41" s="103"/>
      <c r="AH41" s="41">
        <f t="shared" si="37"/>
        <v>0</v>
      </c>
      <c r="AI41" s="178">
        <f t="shared" si="28"/>
        <v>0</v>
      </c>
      <c r="AJ41" s="291"/>
      <c r="AK41" s="78"/>
      <c r="AL41" s="103"/>
      <c r="AM41" s="41">
        <f t="shared" si="38"/>
        <v>0</v>
      </c>
      <c r="AN41" s="178">
        <f t="shared" si="6"/>
        <v>0</v>
      </c>
      <c r="AO41" s="291"/>
      <c r="AP41" s="210">
        <f t="shared" si="39"/>
        <v>0</v>
      </c>
      <c r="AQ41" s="210">
        <f t="shared" si="39"/>
        <v>0</v>
      </c>
      <c r="AR41" s="106">
        <f t="shared" si="40"/>
        <v>0</v>
      </c>
      <c r="AS41" s="178">
        <f t="shared" si="29"/>
        <v>0</v>
      </c>
      <c r="AT41" s="79"/>
      <c r="AU41" s="210">
        <f t="shared" si="41"/>
        <v>0</v>
      </c>
      <c r="AV41" s="210">
        <f t="shared" si="41"/>
        <v>1200</v>
      </c>
      <c r="AW41" s="210">
        <f t="shared" si="42"/>
        <v>1200</v>
      </c>
      <c r="AX41" s="178">
        <f t="shared" si="43"/>
        <v>3.7558477610677882E-4</v>
      </c>
      <c r="AY41" s="79"/>
    </row>
    <row r="42" spans="1:52" ht="67.2" customHeight="1" outlineLevel="2" x14ac:dyDescent="0.25">
      <c r="A42" s="4015"/>
      <c r="B42" s="19" t="s">
        <v>28</v>
      </c>
      <c r="C42" s="113"/>
      <c r="D42" s="119">
        <v>1200</v>
      </c>
      <c r="E42" s="120">
        <f t="shared" si="30"/>
        <v>1200</v>
      </c>
      <c r="F42" s="178">
        <f t="shared" si="25"/>
        <v>3.7558477610677882E-4</v>
      </c>
      <c r="G42" s="78"/>
      <c r="H42" s="103"/>
      <c r="I42" s="41">
        <f t="shared" si="31"/>
        <v>0</v>
      </c>
      <c r="J42" s="178"/>
      <c r="K42" s="291"/>
      <c r="L42" s="78"/>
      <c r="M42" s="103"/>
      <c r="N42" s="41">
        <f t="shared" si="32"/>
        <v>0</v>
      </c>
      <c r="O42" s="178">
        <f t="shared" si="33"/>
        <v>0</v>
      </c>
      <c r="P42" s="291"/>
      <c r="Q42" s="78"/>
      <c r="R42" s="103"/>
      <c r="S42" s="41">
        <f t="shared" si="34"/>
        <v>0</v>
      </c>
      <c r="T42" s="178">
        <f t="shared" si="24"/>
        <v>0</v>
      </c>
      <c r="U42" s="291"/>
      <c r="V42" s="78"/>
      <c r="W42" s="103"/>
      <c r="X42" s="41">
        <f t="shared" si="35"/>
        <v>0</v>
      </c>
      <c r="Y42" s="178">
        <f t="shared" si="26"/>
        <v>0</v>
      </c>
      <c r="Z42" s="291"/>
      <c r="AA42" s="78"/>
      <c r="AB42" s="103"/>
      <c r="AC42" s="41">
        <f t="shared" si="36"/>
        <v>0</v>
      </c>
      <c r="AD42" s="178">
        <f t="shared" si="27"/>
        <v>0</v>
      </c>
      <c r="AE42" s="291"/>
      <c r="AF42" s="78"/>
      <c r="AG42" s="103"/>
      <c r="AH42" s="41">
        <f t="shared" si="37"/>
        <v>0</v>
      </c>
      <c r="AI42" s="178">
        <f t="shared" si="28"/>
        <v>0</v>
      </c>
      <c r="AJ42" s="291"/>
      <c r="AK42" s="78"/>
      <c r="AL42" s="103"/>
      <c r="AM42" s="41">
        <f t="shared" si="38"/>
        <v>0</v>
      </c>
      <c r="AN42" s="178">
        <f t="shared" si="6"/>
        <v>0</v>
      </c>
      <c r="AO42" s="291"/>
      <c r="AP42" s="210">
        <f t="shared" si="39"/>
        <v>0</v>
      </c>
      <c r="AQ42" s="210">
        <f t="shared" si="39"/>
        <v>0</v>
      </c>
      <c r="AR42" s="106">
        <f t="shared" si="40"/>
        <v>0</v>
      </c>
      <c r="AS42" s="178">
        <f t="shared" si="29"/>
        <v>0</v>
      </c>
      <c r="AT42" s="79"/>
      <c r="AU42" s="210">
        <f t="shared" si="41"/>
        <v>0</v>
      </c>
      <c r="AV42" s="210">
        <f t="shared" si="41"/>
        <v>1200</v>
      </c>
      <c r="AW42" s="210">
        <f t="shared" si="42"/>
        <v>1200</v>
      </c>
      <c r="AX42" s="178">
        <f t="shared" si="43"/>
        <v>3.7558477610677882E-4</v>
      </c>
      <c r="AY42" s="79"/>
    </row>
    <row r="43" spans="1:52" ht="13.8" outlineLevel="2" x14ac:dyDescent="0.25">
      <c r="A43" s="4015"/>
      <c r="B43" s="18" t="s">
        <v>8</v>
      </c>
      <c r="C43" s="113">
        <v>4000</v>
      </c>
      <c r="D43" s="119"/>
      <c r="E43" s="120">
        <f t="shared" si="30"/>
        <v>4000</v>
      </c>
      <c r="F43" s="178">
        <f t="shared" si="25"/>
        <v>1.2519492536892628E-3</v>
      </c>
      <c r="G43" s="78"/>
      <c r="H43" s="103"/>
      <c r="I43" s="41">
        <f t="shared" si="31"/>
        <v>0</v>
      </c>
      <c r="J43" s="178"/>
      <c r="K43" s="291"/>
      <c r="L43" s="78"/>
      <c r="M43" s="103"/>
      <c r="N43" s="41">
        <f t="shared" si="32"/>
        <v>0</v>
      </c>
      <c r="O43" s="178">
        <f t="shared" si="33"/>
        <v>0</v>
      </c>
      <c r="P43" s="291"/>
      <c r="Q43" s="78"/>
      <c r="R43" s="103"/>
      <c r="S43" s="41">
        <f t="shared" si="34"/>
        <v>0</v>
      </c>
      <c r="T43" s="178">
        <f t="shared" si="24"/>
        <v>0</v>
      </c>
      <c r="U43" s="291"/>
      <c r="V43" s="78"/>
      <c r="W43" s="103"/>
      <c r="X43" s="41">
        <f t="shared" si="35"/>
        <v>0</v>
      </c>
      <c r="Y43" s="178">
        <f t="shared" si="26"/>
        <v>0</v>
      </c>
      <c r="Z43" s="291"/>
      <c r="AA43" s="78"/>
      <c r="AB43" s="103"/>
      <c r="AC43" s="41">
        <f t="shared" si="36"/>
        <v>0</v>
      </c>
      <c r="AD43" s="178">
        <f t="shared" si="27"/>
        <v>0</v>
      </c>
      <c r="AE43" s="291"/>
      <c r="AF43" s="78"/>
      <c r="AG43" s="103"/>
      <c r="AH43" s="41">
        <f t="shared" si="37"/>
        <v>0</v>
      </c>
      <c r="AI43" s="178">
        <f t="shared" si="28"/>
        <v>0</v>
      </c>
      <c r="AJ43" s="291"/>
      <c r="AK43" s="78"/>
      <c r="AL43" s="103"/>
      <c r="AM43" s="41">
        <f t="shared" si="38"/>
        <v>0</v>
      </c>
      <c r="AN43" s="178">
        <f t="shared" si="6"/>
        <v>0</v>
      </c>
      <c r="AO43" s="291"/>
      <c r="AP43" s="210">
        <f t="shared" si="39"/>
        <v>0</v>
      </c>
      <c r="AQ43" s="210">
        <f t="shared" si="39"/>
        <v>0</v>
      </c>
      <c r="AR43" s="106">
        <f t="shared" si="40"/>
        <v>0</v>
      </c>
      <c r="AS43" s="178">
        <f t="shared" si="29"/>
        <v>0</v>
      </c>
      <c r="AT43" s="79"/>
      <c r="AU43" s="210">
        <f t="shared" si="41"/>
        <v>4000</v>
      </c>
      <c r="AV43" s="210">
        <f t="shared" si="41"/>
        <v>0</v>
      </c>
      <c r="AW43" s="210">
        <f t="shared" si="42"/>
        <v>4000</v>
      </c>
      <c r="AX43" s="178">
        <f t="shared" si="43"/>
        <v>1.2519492536892628E-3</v>
      </c>
      <c r="AY43" s="79"/>
    </row>
    <row r="44" spans="1:52" ht="13.8" outlineLevel="2" x14ac:dyDescent="0.25">
      <c r="A44" s="4015"/>
      <c r="B44" s="18" t="s">
        <v>29</v>
      </c>
      <c r="C44" s="113"/>
      <c r="D44" s="119"/>
      <c r="E44" s="120">
        <f t="shared" si="30"/>
        <v>0</v>
      </c>
      <c r="F44" s="178">
        <f t="shared" si="25"/>
        <v>0</v>
      </c>
      <c r="G44" s="78"/>
      <c r="H44" s="103"/>
      <c r="I44" s="41">
        <f t="shared" si="31"/>
        <v>0</v>
      </c>
      <c r="J44" s="178"/>
      <c r="K44" s="265"/>
      <c r="L44" s="78"/>
      <c r="M44" s="103"/>
      <c r="N44" s="41">
        <f t="shared" si="32"/>
        <v>0</v>
      </c>
      <c r="O44" s="178">
        <f t="shared" si="33"/>
        <v>0</v>
      </c>
      <c r="P44" s="265"/>
      <c r="Q44" s="78"/>
      <c r="R44" s="103"/>
      <c r="S44" s="41">
        <f t="shared" si="34"/>
        <v>0</v>
      </c>
      <c r="T44" s="178">
        <f t="shared" si="24"/>
        <v>0</v>
      </c>
      <c r="U44" s="265"/>
      <c r="V44" s="78"/>
      <c r="W44" s="103"/>
      <c r="X44" s="41">
        <f t="shared" si="35"/>
        <v>0</v>
      </c>
      <c r="Y44" s="178">
        <f t="shared" si="26"/>
        <v>0</v>
      </c>
      <c r="Z44" s="265"/>
      <c r="AA44" s="78"/>
      <c r="AB44" s="103"/>
      <c r="AC44" s="41">
        <f t="shared" si="36"/>
        <v>0</v>
      </c>
      <c r="AD44" s="178">
        <f t="shared" si="27"/>
        <v>0</v>
      </c>
      <c r="AE44" s="265"/>
      <c r="AF44" s="78"/>
      <c r="AG44" s="103"/>
      <c r="AH44" s="41">
        <f t="shared" si="37"/>
        <v>0</v>
      </c>
      <c r="AI44" s="178">
        <f t="shared" si="28"/>
        <v>0</v>
      </c>
      <c r="AJ44" s="265"/>
      <c r="AK44" s="78"/>
      <c r="AL44" s="103"/>
      <c r="AM44" s="41">
        <f t="shared" si="38"/>
        <v>0</v>
      </c>
      <c r="AN44" s="178">
        <f t="shared" si="6"/>
        <v>0</v>
      </c>
      <c r="AO44" s="265"/>
      <c r="AP44" s="39">
        <f t="shared" ref="AP44:AQ46" si="44">G44+L44+Q44+V44+AA44+AF44+AK44</f>
        <v>0</v>
      </c>
      <c r="AQ44" s="39">
        <f t="shared" si="44"/>
        <v>0</v>
      </c>
      <c r="AR44" s="106">
        <f t="shared" si="40"/>
        <v>0</v>
      </c>
      <c r="AS44" s="178">
        <f t="shared" si="29"/>
        <v>0</v>
      </c>
      <c r="AT44" s="79"/>
      <c r="AU44" s="210">
        <f t="shared" si="41"/>
        <v>0</v>
      </c>
      <c r="AV44" s="210">
        <f t="shared" si="41"/>
        <v>0</v>
      </c>
      <c r="AW44" s="210">
        <f t="shared" si="42"/>
        <v>0</v>
      </c>
      <c r="AX44" s="178">
        <f t="shared" si="43"/>
        <v>0</v>
      </c>
      <c r="AY44" s="79"/>
    </row>
    <row r="45" spans="1:52" ht="13.8" outlineLevel="2" x14ac:dyDescent="0.25">
      <c r="A45" s="4015"/>
      <c r="B45" s="18" t="s">
        <v>30</v>
      </c>
      <c r="C45" s="113"/>
      <c r="D45" s="119">
        <v>1200</v>
      </c>
      <c r="E45" s="120">
        <f t="shared" si="30"/>
        <v>1200</v>
      </c>
      <c r="F45" s="178">
        <f t="shared" si="25"/>
        <v>3.7558477610677882E-4</v>
      </c>
      <c r="G45" s="78"/>
      <c r="H45" s="103">
        <v>100</v>
      </c>
      <c r="I45" s="41">
        <f t="shared" si="31"/>
        <v>100</v>
      </c>
      <c r="J45" s="178"/>
      <c r="K45" s="265"/>
      <c r="L45" s="78"/>
      <c r="M45" s="103"/>
      <c r="N45" s="41">
        <f t="shared" si="32"/>
        <v>0</v>
      </c>
      <c r="O45" s="178">
        <f t="shared" si="33"/>
        <v>0</v>
      </c>
      <c r="P45" s="265"/>
      <c r="Q45" s="78">
        <v>1817.5</v>
      </c>
      <c r="R45" s="103"/>
      <c r="S45" s="41">
        <f t="shared" si="34"/>
        <v>1817.5</v>
      </c>
      <c r="T45" s="178">
        <f t="shared" si="24"/>
        <v>6.9313801272143406E-3</v>
      </c>
      <c r="U45" s="265" t="s">
        <v>134</v>
      </c>
      <c r="V45" s="78">
        <v>2504.5</v>
      </c>
      <c r="W45" s="103"/>
      <c r="X45" s="41">
        <f t="shared" si="35"/>
        <v>2504.5</v>
      </c>
      <c r="Y45" s="178">
        <f t="shared" si="26"/>
        <v>1.5587175839691799E-3</v>
      </c>
      <c r="Z45" s="291" t="s">
        <v>228</v>
      </c>
      <c r="AA45" s="78"/>
      <c r="AB45" s="103"/>
      <c r="AC45" s="41">
        <f t="shared" si="36"/>
        <v>0</v>
      </c>
      <c r="AD45" s="178">
        <f t="shared" si="27"/>
        <v>0</v>
      </c>
      <c r="AE45" s="291"/>
      <c r="AF45" s="78"/>
      <c r="AG45" s="103"/>
      <c r="AH45" s="41">
        <f t="shared" si="37"/>
        <v>0</v>
      </c>
      <c r="AI45" s="178">
        <f t="shared" si="28"/>
        <v>0</v>
      </c>
      <c r="AJ45" s="291"/>
      <c r="AK45" s="78"/>
      <c r="AL45" s="103"/>
      <c r="AM45" s="41">
        <f t="shared" si="38"/>
        <v>0</v>
      </c>
      <c r="AN45" s="178">
        <f t="shared" si="6"/>
        <v>0</v>
      </c>
      <c r="AO45" s="291"/>
      <c r="AP45" s="39">
        <f t="shared" si="44"/>
        <v>4322</v>
      </c>
      <c r="AQ45" s="39">
        <f t="shared" si="44"/>
        <v>100</v>
      </c>
      <c r="AR45" s="106">
        <f t="shared" si="40"/>
        <v>4422</v>
      </c>
      <c r="AS45" s="178">
        <f t="shared" si="29"/>
        <v>1.1120019842618713E-3</v>
      </c>
      <c r="AT45" s="79"/>
      <c r="AU45" s="210">
        <f t="shared" si="41"/>
        <v>-4322</v>
      </c>
      <c r="AV45" s="210">
        <f t="shared" si="41"/>
        <v>1100</v>
      </c>
      <c r="AW45" s="210">
        <f t="shared" si="42"/>
        <v>-3222</v>
      </c>
      <c r="AX45" s="178">
        <f t="shared" si="43"/>
        <v>-1.0084451238467011E-3</v>
      </c>
      <c r="AY45" s="79"/>
    </row>
    <row r="46" spans="1:52" ht="13.8" outlineLevel="2" x14ac:dyDescent="0.25">
      <c r="A46" s="4015"/>
      <c r="B46" s="18" t="s">
        <v>15</v>
      </c>
      <c r="C46" s="113"/>
      <c r="D46" s="119">
        <v>2000</v>
      </c>
      <c r="E46" s="120">
        <f t="shared" si="30"/>
        <v>2000</v>
      </c>
      <c r="F46" s="178">
        <f t="shared" si="25"/>
        <v>6.2597462684463138E-4</v>
      </c>
      <c r="G46" s="78"/>
      <c r="H46" s="103"/>
      <c r="I46" s="41">
        <f t="shared" si="31"/>
        <v>0</v>
      </c>
      <c r="J46" s="178">
        <f>I46/$I$87</f>
        <v>0</v>
      </c>
      <c r="K46" s="265"/>
      <c r="L46" s="78"/>
      <c r="M46" s="103">
        <v>50</v>
      </c>
      <c r="N46" s="41">
        <f t="shared" si="32"/>
        <v>50</v>
      </c>
      <c r="O46" s="178">
        <f t="shared" si="33"/>
        <v>4.9518174816141647E-5</v>
      </c>
      <c r="P46" s="265"/>
      <c r="Q46" s="78"/>
      <c r="R46" s="103"/>
      <c r="S46" s="41">
        <f t="shared" si="34"/>
        <v>0</v>
      </c>
      <c r="T46" s="178">
        <f t="shared" si="24"/>
        <v>0</v>
      </c>
      <c r="U46" s="265"/>
      <c r="V46" s="78"/>
      <c r="W46" s="103"/>
      <c r="X46" s="41">
        <f t="shared" si="35"/>
        <v>0</v>
      </c>
      <c r="Y46" s="178">
        <f t="shared" si="26"/>
        <v>0</v>
      </c>
      <c r="Z46" s="265"/>
      <c r="AA46" s="78"/>
      <c r="AB46" s="103"/>
      <c r="AC46" s="41">
        <f t="shared" si="36"/>
        <v>0</v>
      </c>
      <c r="AD46" s="178">
        <f t="shared" si="27"/>
        <v>0</v>
      </c>
      <c r="AE46" s="265"/>
      <c r="AF46" s="78"/>
      <c r="AG46" s="103"/>
      <c r="AH46" s="41">
        <f t="shared" si="37"/>
        <v>0</v>
      </c>
      <c r="AI46" s="178">
        <f t="shared" si="28"/>
        <v>0</v>
      </c>
      <c r="AJ46" s="265"/>
      <c r="AK46" s="78"/>
      <c r="AL46" s="103"/>
      <c r="AM46" s="41">
        <f t="shared" si="38"/>
        <v>0</v>
      </c>
      <c r="AN46" s="178">
        <f t="shared" si="6"/>
        <v>0</v>
      </c>
      <c r="AO46" s="265"/>
      <c r="AP46" s="39">
        <f t="shared" si="44"/>
        <v>0</v>
      </c>
      <c r="AQ46" s="39">
        <f t="shared" si="44"/>
        <v>50</v>
      </c>
      <c r="AR46" s="106">
        <f t="shared" si="40"/>
        <v>50</v>
      </c>
      <c r="AS46" s="178">
        <f t="shared" si="29"/>
        <v>1.2573518591834819E-5</v>
      </c>
      <c r="AT46" s="79"/>
      <c r="AU46" s="210">
        <f t="shared" si="41"/>
        <v>0</v>
      </c>
      <c r="AV46" s="210">
        <f t="shared" si="41"/>
        <v>1950</v>
      </c>
      <c r="AW46" s="210">
        <f t="shared" si="42"/>
        <v>1950</v>
      </c>
      <c r="AX46" s="178">
        <f t="shared" si="43"/>
        <v>6.1032526117351564E-4</v>
      </c>
      <c r="AY46" s="79"/>
    </row>
    <row r="47" spans="1:52" s="2" customFormat="1" ht="14.4" outlineLevel="2" thickBot="1" x14ac:dyDescent="0.3">
      <c r="A47" s="11"/>
      <c r="B47" s="35"/>
      <c r="C47" s="116"/>
      <c r="D47" s="121"/>
      <c r="E47" s="122"/>
      <c r="F47" s="182"/>
      <c r="G47" s="222"/>
      <c r="H47" s="223"/>
      <c r="I47" s="52"/>
      <c r="J47" s="203"/>
      <c r="K47" s="273"/>
      <c r="L47" s="222"/>
      <c r="M47" s="223"/>
      <c r="N47" s="52"/>
      <c r="O47" s="203">
        <f t="shared" si="33"/>
        <v>0</v>
      </c>
      <c r="P47" s="273"/>
      <c r="Q47" s="222"/>
      <c r="R47" s="223"/>
      <c r="S47" s="52"/>
      <c r="T47" s="203">
        <f t="shared" si="24"/>
        <v>0</v>
      </c>
      <c r="U47" s="273"/>
      <c r="V47" s="222"/>
      <c r="W47" s="223"/>
      <c r="X47" s="52"/>
      <c r="Y47" s="203">
        <f t="shared" si="26"/>
        <v>0</v>
      </c>
      <c r="Z47" s="273"/>
      <c r="AA47" s="222"/>
      <c r="AB47" s="223"/>
      <c r="AC47" s="52"/>
      <c r="AD47" s="203">
        <f>AC47/$X$87</f>
        <v>0</v>
      </c>
      <c r="AE47" s="273"/>
      <c r="AF47" s="222"/>
      <c r="AG47" s="223"/>
      <c r="AH47" s="52"/>
      <c r="AI47" s="203">
        <f>AH47/$X$87</f>
        <v>0</v>
      </c>
      <c r="AJ47" s="273"/>
      <c r="AK47" s="222"/>
      <c r="AL47" s="223"/>
      <c r="AM47" s="52"/>
      <c r="AN47" s="203">
        <f t="shared" si="6"/>
        <v>0</v>
      </c>
      <c r="AO47" s="273"/>
      <c r="AP47" s="210">
        <f>G47+L47+Q47</f>
        <v>0</v>
      </c>
      <c r="AQ47" s="210">
        <f>H47+M47+R47</f>
        <v>0</v>
      </c>
      <c r="AR47" s="52"/>
      <c r="AS47" s="178">
        <f t="shared" si="29"/>
        <v>0</v>
      </c>
      <c r="AT47" s="52"/>
      <c r="AU47" s="52"/>
      <c r="AV47" s="52"/>
      <c r="AW47" s="52"/>
      <c r="AX47" s="52"/>
      <c r="AY47" s="52"/>
    </row>
    <row r="48" spans="1:52" s="2" customFormat="1" ht="13.8" outlineLevel="1" x14ac:dyDescent="0.25">
      <c r="A48" s="293"/>
      <c r="B48" s="17" t="s">
        <v>59</v>
      </c>
      <c r="C48" s="123"/>
      <c r="D48" s="123"/>
      <c r="E48" s="123">
        <f>SUM(E49:E50)</f>
        <v>0</v>
      </c>
      <c r="F48" s="170">
        <f>E48/$E$87</f>
        <v>0</v>
      </c>
      <c r="G48" s="123">
        <f>SUM(G49:G50)</f>
        <v>0</v>
      </c>
      <c r="H48" s="123">
        <f>SUM(H49:H50)</f>
        <v>0</v>
      </c>
      <c r="I48" s="123">
        <f>SUM(I49:I50)</f>
        <v>0</v>
      </c>
      <c r="J48" s="170"/>
      <c r="K48" s="274"/>
      <c r="L48" s="123">
        <f>SUM(L49:L50)</f>
        <v>3053.8</v>
      </c>
      <c r="M48" s="123">
        <f>SUM(M49:M50)</f>
        <v>0</v>
      </c>
      <c r="N48" s="123">
        <f>SUM(N49:N50)</f>
        <v>3053.8</v>
      </c>
      <c r="O48" s="170">
        <f t="shared" si="33"/>
        <v>3.0243720450706677E-3</v>
      </c>
      <c r="P48" s="274"/>
      <c r="Q48" s="123">
        <f>SUM(Q49:Q50)</f>
        <v>0</v>
      </c>
      <c r="R48" s="123">
        <f>SUM(R49:R50)</f>
        <v>0</v>
      </c>
      <c r="S48" s="123">
        <f>SUM(S49:S50)</f>
        <v>0</v>
      </c>
      <c r="T48" s="170">
        <f t="shared" si="24"/>
        <v>0</v>
      </c>
      <c r="U48" s="274"/>
      <c r="V48" s="123">
        <f>SUM(V49:V50)</f>
        <v>0</v>
      </c>
      <c r="W48" s="123">
        <f>SUM(W49:W50)</f>
        <v>0</v>
      </c>
      <c r="X48" s="123">
        <f>SUM(X49:X50)</f>
        <v>0</v>
      </c>
      <c r="Y48" s="170">
        <f t="shared" si="26"/>
        <v>0</v>
      </c>
      <c r="Z48" s="274"/>
      <c r="AA48" s="123">
        <f>SUM(AA49:AA50)</f>
        <v>0</v>
      </c>
      <c r="AB48" s="123">
        <f>SUM(AB49:AB50)</f>
        <v>0</v>
      </c>
      <c r="AC48" s="123">
        <f>SUM(AC49:AC50)</f>
        <v>0</v>
      </c>
      <c r="AD48" s="170">
        <f>AC48/$AC$87</f>
        <v>0</v>
      </c>
      <c r="AE48" s="274"/>
      <c r="AF48" s="123">
        <f>SUM(AF49:AF50)</f>
        <v>0</v>
      </c>
      <c r="AG48" s="123">
        <f>SUM(AG49:AG50)</f>
        <v>0</v>
      </c>
      <c r="AH48" s="123">
        <f>SUM(AH49:AH50)</f>
        <v>0</v>
      </c>
      <c r="AI48" s="170">
        <f>AH48/$AC$87</f>
        <v>0</v>
      </c>
      <c r="AJ48" s="274"/>
      <c r="AK48" s="123">
        <f>SUM(AK49:AK50)</f>
        <v>1434.8</v>
      </c>
      <c r="AL48" s="123">
        <f>SUM(AL49:AL50)</f>
        <v>0</v>
      </c>
      <c r="AM48" s="123">
        <f>SUM(AM49:AM50)</f>
        <v>1434.8</v>
      </c>
      <c r="AN48" s="170">
        <f t="shared" si="6"/>
        <v>1.5183620392030086E-2</v>
      </c>
      <c r="AO48" s="274"/>
      <c r="AP48" s="123">
        <f>AP50+AP49</f>
        <v>4488.6000000000004</v>
      </c>
      <c r="AQ48" s="123">
        <f>AQ50+AQ49</f>
        <v>0</v>
      </c>
      <c r="AR48" s="123">
        <f>SUM(AR49:AR50)</f>
        <v>4488.6000000000004</v>
      </c>
      <c r="AS48" s="60"/>
      <c r="AT48" s="60"/>
      <c r="AU48" s="59">
        <f>AU50+AU49</f>
        <v>-4488.6000000000004</v>
      </c>
      <c r="AV48" s="59">
        <f>AV50+AV49</f>
        <v>0</v>
      </c>
      <c r="AW48" s="59">
        <f>SUM(AW49:AW50)</f>
        <v>-4488.6000000000004</v>
      </c>
      <c r="AX48" s="60"/>
      <c r="AY48" s="60"/>
    </row>
    <row r="49" spans="1:53" s="226" customFormat="1" ht="13.8" outlineLevel="1" x14ac:dyDescent="0.25">
      <c r="A49" s="234"/>
      <c r="B49" s="18" t="s">
        <v>60</v>
      </c>
      <c r="C49" s="113"/>
      <c r="D49" s="119"/>
      <c r="E49" s="119">
        <f>C49+D49</f>
        <v>0</v>
      </c>
      <c r="F49" s="180">
        <f>E49/$E$87</f>
        <v>0</v>
      </c>
      <c r="G49" s="45"/>
      <c r="H49" s="45"/>
      <c r="I49" s="41">
        <f>G49+H49*1</f>
        <v>0</v>
      </c>
      <c r="J49" s="178"/>
      <c r="K49" s="265"/>
      <c r="L49" s="45"/>
      <c r="M49" s="45"/>
      <c r="N49" s="41">
        <f>L49+M49*1</f>
        <v>0</v>
      </c>
      <c r="O49" s="178">
        <f t="shared" si="33"/>
        <v>0</v>
      </c>
      <c r="P49" s="265"/>
      <c r="Q49" s="45"/>
      <c r="R49" s="45"/>
      <c r="S49" s="41">
        <f>Q49+R49*1</f>
        <v>0</v>
      </c>
      <c r="T49" s="178">
        <f t="shared" si="24"/>
        <v>0</v>
      </c>
      <c r="U49" s="265"/>
      <c r="V49" s="45"/>
      <c r="W49" s="45"/>
      <c r="X49" s="41">
        <f>V49+W49*1</f>
        <v>0</v>
      </c>
      <c r="Y49" s="178">
        <f t="shared" si="26"/>
        <v>0</v>
      </c>
      <c r="Z49" s="265"/>
      <c r="AA49" s="45"/>
      <c r="AB49" s="45"/>
      <c r="AC49" s="41">
        <f>AA49+AB49*1</f>
        <v>0</v>
      </c>
      <c r="AD49" s="178">
        <f>AC49/$AC$87</f>
        <v>0</v>
      </c>
      <c r="AE49" s="265"/>
      <c r="AF49" s="45"/>
      <c r="AG49" s="45"/>
      <c r="AH49" s="41">
        <f>AF49+AG49*1</f>
        <v>0</v>
      </c>
      <c r="AI49" s="178">
        <f>AH49/$AC$87</f>
        <v>0</v>
      </c>
      <c r="AJ49" s="265"/>
      <c r="AK49" s="45"/>
      <c r="AL49" s="45"/>
      <c r="AM49" s="41">
        <f>AK49+AL49*1</f>
        <v>0</v>
      </c>
      <c r="AN49" s="178">
        <f t="shared" si="6"/>
        <v>0</v>
      </c>
      <c r="AO49" s="265"/>
      <c r="AP49" s="39">
        <f>G49+L49+Q49+V49+AA49+AF49+AK49</f>
        <v>0</v>
      </c>
      <c r="AQ49" s="39">
        <f>H49+M49+R49+W49+AB49+AG49+AL49</f>
        <v>0</v>
      </c>
      <c r="AR49" s="106">
        <f>AP49+AQ49*1</f>
        <v>0</v>
      </c>
      <c r="AS49" s="178">
        <f>AR49/$AR$87</f>
        <v>0</v>
      </c>
      <c r="AT49" s="45"/>
      <c r="AU49" s="210">
        <f>C49-AP49</f>
        <v>0</v>
      </c>
      <c r="AV49" s="210">
        <f>D49-AQ49</f>
        <v>0</v>
      </c>
      <c r="AW49" s="210">
        <f>AU49+AV49*1</f>
        <v>0</v>
      </c>
      <c r="AX49" s="178">
        <f>AW49/$E$87</f>
        <v>0</v>
      </c>
      <c r="AY49" s="45"/>
    </row>
    <row r="50" spans="1:53" s="235" customFormat="1" ht="13.8" outlineLevel="2" x14ac:dyDescent="0.25">
      <c r="A50" s="234"/>
      <c r="B50" s="18" t="s">
        <v>61</v>
      </c>
      <c r="C50" s="113"/>
      <c r="D50" s="119"/>
      <c r="E50" s="119">
        <f>C50+D50</f>
        <v>0</v>
      </c>
      <c r="F50" s="180">
        <f>E50/$E$87</f>
        <v>0</v>
      </c>
      <c r="G50" s="45"/>
      <c r="H50" s="224"/>
      <c r="I50" s="41">
        <f>G50+H50*1</f>
        <v>0</v>
      </c>
      <c r="J50" s="178"/>
      <c r="K50" s="291"/>
      <c r="L50" s="45">
        <v>3053.8</v>
      </c>
      <c r="M50" s="224"/>
      <c r="N50" s="41">
        <f>L50+M50*1</f>
        <v>3053.8</v>
      </c>
      <c r="O50" s="178">
        <f t="shared" si="33"/>
        <v>3.0243720450706677E-3</v>
      </c>
      <c r="P50" s="291" t="s">
        <v>204</v>
      </c>
      <c r="Q50" s="45"/>
      <c r="R50" s="224"/>
      <c r="S50" s="41">
        <f>Q50+R50*1</f>
        <v>0</v>
      </c>
      <c r="T50" s="178">
        <f t="shared" si="24"/>
        <v>0</v>
      </c>
      <c r="U50" s="291"/>
      <c r="V50" s="45"/>
      <c r="W50" s="224"/>
      <c r="X50" s="41">
        <f>V50+W50*1</f>
        <v>0</v>
      </c>
      <c r="Y50" s="178">
        <f t="shared" si="26"/>
        <v>0</v>
      </c>
      <c r="Z50" s="291"/>
      <c r="AA50" s="45"/>
      <c r="AB50" s="224"/>
      <c r="AC50" s="41">
        <f>AA50+AB50*1</f>
        <v>0</v>
      </c>
      <c r="AD50" s="178">
        <f>AC50/$X$87</f>
        <v>0</v>
      </c>
      <c r="AE50" s="291"/>
      <c r="AF50" s="45"/>
      <c r="AG50" s="224"/>
      <c r="AH50" s="41">
        <f>AF50+AG50*1</f>
        <v>0</v>
      </c>
      <c r="AI50" s="178">
        <f>AH50/$X$87</f>
        <v>0</v>
      </c>
      <c r="AJ50" s="291"/>
      <c r="AK50" s="45">
        <v>1434.8</v>
      </c>
      <c r="AL50" s="224"/>
      <c r="AM50" s="41">
        <f>AK50+AL50*1</f>
        <v>1434.8</v>
      </c>
      <c r="AN50" s="178">
        <f t="shared" si="6"/>
        <v>1.5183620392030086E-2</v>
      </c>
      <c r="AO50" s="291"/>
      <c r="AP50" s="39">
        <f>G50+L50+Q50+V50+AA50+AF50+AK50</f>
        <v>4488.6000000000004</v>
      </c>
      <c r="AQ50" s="210">
        <f>H50+M50+R50+W50</f>
        <v>0</v>
      </c>
      <c r="AR50" s="106">
        <f>AP50+AQ50*1</f>
        <v>4488.6000000000004</v>
      </c>
      <c r="AS50" s="178">
        <f>AR50/$AR$87</f>
        <v>1.1287499110261955E-3</v>
      </c>
      <c r="AT50" s="45"/>
      <c r="AU50" s="210">
        <f>C50-AP50</f>
        <v>-4488.6000000000004</v>
      </c>
      <c r="AV50" s="210">
        <f>D50-AQ50</f>
        <v>0</v>
      </c>
      <c r="AW50" s="210">
        <f>AU50+AV50*1</f>
        <v>-4488.6000000000004</v>
      </c>
      <c r="AX50" s="178">
        <f>AW50/$E$87</f>
        <v>-1.4048748550274063E-3</v>
      </c>
      <c r="AY50" s="45"/>
    </row>
    <row r="51" spans="1:53" ht="14.4" outlineLevel="1" thickBot="1" x14ac:dyDescent="0.3">
      <c r="A51" s="20"/>
      <c r="B51" s="21"/>
      <c r="C51" s="124"/>
      <c r="D51" s="125"/>
      <c r="E51" s="126"/>
      <c r="F51" s="183"/>
      <c r="G51" s="81"/>
      <c r="H51" s="81"/>
      <c r="I51" s="81"/>
      <c r="J51" s="204"/>
      <c r="K51" s="275"/>
      <c r="L51" s="81"/>
      <c r="M51" s="81"/>
      <c r="N51" s="81"/>
      <c r="O51" s="204">
        <f t="shared" si="33"/>
        <v>0</v>
      </c>
      <c r="P51" s="275"/>
      <c r="Q51" s="81"/>
      <c r="R51" s="81"/>
      <c r="S51" s="81"/>
      <c r="T51" s="204">
        <f t="shared" si="24"/>
        <v>0</v>
      </c>
      <c r="U51" s="275"/>
      <c r="V51" s="81"/>
      <c r="W51" s="81"/>
      <c r="X51" s="81"/>
      <c r="Y51" s="204">
        <f>X51/$S$87</f>
        <v>0</v>
      </c>
      <c r="Z51" s="275"/>
      <c r="AA51" s="81"/>
      <c r="AB51" s="81"/>
      <c r="AC51" s="81"/>
      <c r="AD51" s="204">
        <f>AC51/$S$87</f>
        <v>0</v>
      </c>
      <c r="AE51" s="275"/>
      <c r="AF51" s="81"/>
      <c r="AG51" s="81"/>
      <c r="AH51" s="81"/>
      <c r="AI51" s="204">
        <f>AH51/$S$87</f>
        <v>0</v>
      </c>
      <c r="AJ51" s="275"/>
      <c r="AK51" s="81"/>
      <c r="AL51" s="81"/>
      <c r="AM51" s="81"/>
      <c r="AN51" s="204">
        <f t="shared" si="6"/>
        <v>0</v>
      </c>
      <c r="AO51" s="275"/>
      <c r="AP51" s="210">
        <f>G51</f>
        <v>0</v>
      </c>
      <c r="AQ51" s="210">
        <f>H51</f>
        <v>0</v>
      </c>
      <c r="AR51" s="61"/>
      <c r="AS51" s="61"/>
      <c r="AT51" s="61"/>
      <c r="AU51" s="61"/>
      <c r="AV51" s="61"/>
      <c r="AW51" s="61"/>
      <c r="AX51" s="61"/>
      <c r="AY51" s="61"/>
    </row>
    <row r="52" spans="1:53" ht="13.8" outlineLevel="1" x14ac:dyDescent="0.25">
      <c r="A52" s="236"/>
      <c r="B52" s="17" t="s">
        <v>1</v>
      </c>
      <c r="C52" s="123">
        <f>SUM(C53:C69)</f>
        <v>0</v>
      </c>
      <c r="D52" s="123">
        <f>SUM(D53:D69)</f>
        <v>4000</v>
      </c>
      <c r="E52" s="127">
        <f>SUM(E53:E69)</f>
        <v>4000</v>
      </c>
      <c r="F52" s="170">
        <f>E52/$E$87</f>
        <v>1.2519492536892628E-3</v>
      </c>
      <c r="G52" s="123">
        <f>SUM(G53:G69)</f>
        <v>0</v>
      </c>
      <c r="H52" s="123">
        <f>SUM(H53:H69)</f>
        <v>95</v>
      </c>
      <c r="I52" s="127">
        <f>SUM(I53:I69)</f>
        <v>95</v>
      </c>
      <c r="J52" s="170">
        <f t="shared" ref="J52:J61" si="45">I52/$I$87</f>
        <v>1.1960901016390441E-3</v>
      </c>
      <c r="K52" s="274"/>
      <c r="L52" s="123">
        <f>SUM(L53:L69)</f>
        <v>600</v>
      </c>
      <c r="M52" s="123">
        <f>SUM(M53:M69)</f>
        <v>495</v>
      </c>
      <c r="N52" s="127">
        <f>SUM(N53:N69)</f>
        <v>1095</v>
      </c>
      <c r="O52" s="170">
        <f t="shared" si="33"/>
        <v>1.0844480284735022E-3</v>
      </c>
      <c r="P52" s="274"/>
      <c r="Q52" s="123">
        <f>SUM(Q53:Q69)</f>
        <v>1000</v>
      </c>
      <c r="R52" s="123">
        <f>SUM(R53:R69)</f>
        <v>5373</v>
      </c>
      <c r="S52" s="127">
        <f>SUM(S53:S69)</f>
        <v>6373</v>
      </c>
      <c r="T52" s="170">
        <f t="shared" si="24"/>
        <v>2.4304641293390366E-2</v>
      </c>
      <c r="U52" s="274"/>
      <c r="V52" s="123">
        <f>SUM(V53:V69)</f>
        <v>260</v>
      </c>
      <c r="W52" s="123">
        <f>SUM(W53:W69)</f>
        <v>1481</v>
      </c>
      <c r="X52" s="127">
        <f>SUM(X53:X69)</f>
        <v>1741</v>
      </c>
      <c r="Y52" s="170">
        <f t="shared" ref="Y52:Y69" si="46">X52/$X$87</f>
        <v>1.0835405524816698E-3</v>
      </c>
      <c r="Z52" s="274"/>
      <c r="AA52" s="123">
        <f>SUM(AA53:AA69)</f>
        <v>0</v>
      </c>
      <c r="AB52" s="123">
        <f>SUM(AB53:AB69)</f>
        <v>1689.55</v>
      </c>
      <c r="AC52" s="127">
        <f>SUM(AC53:AC69)</f>
        <v>1689.55</v>
      </c>
      <c r="AD52" s="170">
        <f t="shared" ref="AD52:AD69" si="47">AC52/$AC$87</f>
        <v>2.4834317597710988E-3</v>
      </c>
      <c r="AE52" s="274"/>
      <c r="AF52" s="123">
        <f>SUM(AF53:AF69)</f>
        <v>0</v>
      </c>
      <c r="AG52" s="123">
        <f>SUM(AG53:AG69)</f>
        <v>442</v>
      </c>
      <c r="AH52" s="127">
        <f>SUM(AH53:AH69)</f>
        <v>442</v>
      </c>
      <c r="AI52" s="170">
        <f>AH52/$AH$87</f>
        <v>1.8050448206855384E-3</v>
      </c>
      <c r="AJ52" s="274"/>
      <c r="AK52" s="123">
        <f>SUM(AK53:AK69)</f>
        <v>0</v>
      </c>
      <c r="AL52" s="123">
        <f>SUM(AL53:AL69)</f>
        <v>0</v>
      </c>
      <c r="AM52" s="127">
        <f>SUM(AM53:AM69)</f>
        <v>0</v>
      </c>
      <c r="AN52" s="170">
        <f t="shared" si="6"/>
        <v>0</v>
      </c>
      <c r="AO52" s="274"/>
      <c r="AP52" s="123">
        <f>SUM(AP53:AP69)</f>
        <v>1860</v>
      </c>
      <c r="AQ52" s="123">
        <f>SUM(AQ53:AQ69)</f>
        <v>9575.5499999999993</v>
      </c>
      <c r="AR52" s="127">
        <f>SUM(AR53:AR69)</f>
        <v>11435.55</v>
      </c>
      <c r="AS52" s="169">
        <f t="shared" ref="AS52:AS70" si="48">AR52/$AR$87</f>
        <v>2.8757020106571331E-3</v>
      </c>
      <c r="AT52" s="60"/>
      <c r="AU52" s="123">
        <f>SUM(AU53:AU69)</f>
        <v>-1860</v>
      </c>
      <c r="AV52" s="123">
        <f>SUM(AV53:AV69)</f>
        <v>-5575.55</v>
      </c>
      <c r="AW52" s="127">
        <f>SUM(AW53:AW69)</f>
        <v>-7435.55</v>
      </c>
      <c r="AX52" s="170">
        <f t="shared" ref="AX52:AX66" si="49">AW52/$AW$87</f>
        <v>9.3716710164421495E-3</v>
      </c>
      <c r="AY52" s="60"/>
    </row>
    <row r="53" spans="1:53" ht="13.95" hidden="1" customHeight="1" outlineLevel="2" x14ac:dyDescent="0.25">
      <c r="A53" s="237"/>
      <c r="B53" s="19" t="s">
        <v>77</v>
      </c>
      <c r="C53" s="113"/>
      <c r="D53" s="128"/>
      <c r="E53" s="120">
        <f t="shared" ref="E53:E69" si="50">C53+D53</f>
        <v>0</v>
      </c>
      <c r="F53" s="178">
        <f>E53/$E$87</f>
        <v>0</v>
      </c>
      <c r="G53" s="78"/>
      <c r="H53" s="161"/>
      <c r="I53" s="41">
        <f t="shared" ref="I53:I69" si="51">G53+H53*1</f>
        <v>0</v>
      </c>
      <c r="J53" s="178">
        <f t="shared" si="45"/>
        <v>0</v>
      </c>
      <c r="K53" s="291"/>
      <c r="L53" s="78"/>
      <c r="M53" s="161"/>
      <c r="N53" s="41">
        <f t="shared" ref="N53:N69" si="52">L53+M53*1</f>
        <v>0</v>
      </c>
      <c r="O53" s="178">
        <f t="shared" si="33"/>
        <v>0</v>
      </c>
      <c r="P53" s="291"/>
      <c r="Q53" s="78"/>
      <c r="R53" s="161"/>
      <c r="S53" s="41">
        <f t="shared" ref="S53:S69" si="53">Q53+R53*1</f>
        <v>0</v>
      </c>
      <c r="T53" s="178">
        <f t="shared" si="24"/>
        <v>0</v>
      </c>
      <c r="U53" s="291"/>
      <c r="V53" s="78"/>
      <c r="W53" s="161"/>
      <c r="X53" s="41">
        <f t="shared" ref="X53:X69" si="54">V53+W53*1</f>
        <v>0</v>
      </c>
      <c r="Y53" s="178">
        <f t="shared" si="46"/>
        <v>0</v>
      </c>
      <c r="Z53" s="291"/>
      <c r="AA53" s="78"/>
      <c r="AB53" s="161"/>
      <c r="AC53" s="41">
        <f t="shared" ref="AC53:AC69" si="55">AA53+AB53*1</f>
        <v>0</v>
      </c>
      <c r="AD53" s="178">
        <f t="shared" si="47"/>
        <v>0</v>
      </c>
      <c r="AE53" s="291"/>
      <c r="AF53" s="78"/>
      <c r="AG53" s="161"/>
      <c r="AH53" s="41">
        <f t="shared" ref="AH53:AH69" si="56">AF53+AG53*1</f>
        <v>0</v>
      </c>
      <c r="AI53" s="178">
        <f t="shared" ref="AI53:AI62" si="57">AH53/$AC$87</f>
        <v>0</v>
      </c>
      <c r="AJ53" s="291"/>
      <c r="AK53" s="78"/>
      <c r="AL53" s="161"/>
      <c r="AM53" s="41">
        <f t="shared" ref="AM53:AM69" si="58">AK53+AL53*1</f>
        <v>0</v>
      </c>
      <c r="AN53" s="178">
        <f t="shared" si="6"/>
        <v>0</v>
      </c>
      <c r="AO53" s="291"/>
      <c r="AP53" s="210">
        <f t="shared" ref="AP53:AP62" si="59">G53+L53</f>
        <v>0</v>
      </c>
      <c r="AQ53" s="210">
        <f t="shared" ref="AQ53:AQ62" si="60">H53+M53</f>
        <v>0</v>
      </c>
      <c r="AR53" s="106">
        <f t="shared" ref="AR53:AR69" si="61">AP53+AQ53*1</f>
        <v>0</v>
      </c>
      <c r="AS53" s="178">
        <f t="shared" si="48"/>
        <v>0</v>
      </c>
      <c r="AT53" s="79"/>
      <c r="AU53" s="210">
        <f t="shared" ref="AU53:AU72" si="62">C53-AP53</f>
        <v>0</v>
      </c>
      <c r="AV53" s="210">
        <f t="shared" ref="AV53:AV72" si="63">D53-AQ53</f>
        <v>0</v>
      </c>
      <c r="AW53" s="210">
        <f t="shared" ref="AW53:AW69" si="64">AU53+AV53*1</f>
        <v>0</v>
      </c>
      <c r="AX53" s="178">
        <f t="shared" si="49"/>
        <v>0</v>
      </c>
      <c r="AY53" s="79"/>
    </row>
    <row r="54" spans="1:53" ht="13.95" hidden="1" customHeight="1" outlineLevel="2" x14ac:dyDescent="0.25">
      <c r="A54" s="237"/>
      <c r="B54" s="19" t="s">
        <v>76</v>
      </c>
      <c r="C54" s="113"/>
      <c r="D54" s="128"/>
      <c r="E54" s="120">
        <f t="shared" si="50"/>
        <v>0</v>
      </c>
      <c r="F54" s="178">
        <f t="shared" ref="F54:F70" si="65">E54/$E$87</f>
        <v>0</v>
      </c>
      <c r="G54" s="163"/>
      <c r="H54" s="111"/>
      <c r="I54" s="41">
        <f t="shared" si="51"/>
        <v>0</v>
      </c>
      <c r="J54" s="178">
        <f t="shared" si="45"/>
        <v>0</v>
      </c>
      <c r="K54" s="291"/>
      <c r="L54" s="163"/>
      <c r="M54" s="111"/>
      <c r="N54" s="41">
        <f t="shared" si="52"/>
        <v>0</v>
      </c>
      <c r="O54" s="178">
        <f t="shared" si="33"/>
        <v>0</v>
      </c>
      <c r="P54" s="291"/>
      <c r="Q54" s="163"/>
      <c r="R54" s="111"/>
      <c r="S54" s="41">
        <f t="shared" si="53"/>
        <v>0</v>
      </c>
      <c r="T54" s="178">
        <f t="shared" si="24"/>
        <v>0</v>
      </c>
      <c r="U54" s="291"/>
      <c r="V54" s="163"/>
      <c r="W54" s="111"/>
      <c r="X54" s="41">
        <f t="shared" si="54"/>
        <v>0</v>
      </c>
      <c r="Y54" s="178">
        <f t="shared" si="46"/>
        <v>0</v>
      </c>
      <c r="Z54" s="291"/>
      <c r="AA54" s="163"/>
      <c r="AB54" s="111"/>
      <c r="AC54" s="41">
        <f t="shared" si="55"/>
        <v>0</v>
      </c>
      <c r="AD54" s="178">
        <f t="shared" si="47"/>
        <v>0</v>
      </c>
      <c r="AE54" s="291"/>
      <c r="AF54" s="163"/>
      <c r="AG54" s="111"/>
      <c r="AH54" s="41">
        <f t="shared" si="56"/>
        <v>0</v>
      </c>
      <c r="AI54" s="178">
        <f t="shared" si="57"/>
        <v>0</v>
      </c>
      <c r="AJ54" s="291"/>
      <c r="AK54" s="163"/>
      <c r="AL54" s="111"/>
      <c r="AM54" s="41">
        <f t="shared" si="58"/>
        <v>0</v>
      </c>
      <c r="AN54" s="178">
        <f t="shared" si="6"/>
        <v>0</v>
      </c>
      <c r="AO54" s="291"/>
      <c r="AP54" s="210">
        <f t="shared" si="59"/>
        <v>0</v>
      </c>
      <c r="AQ54" s="210">
        <f t="shared" si="60"/>
        <v>0</v>
      </c>
      <c r="AR54" s="106">
        <f t="shared" si="61"/>
        <v>0</v>
      </c>
      <c r="AS54" s="178">
        <f t="shared" si="48"/>
        <v>0</v>
      </c>
      <c r="AT54" s="79"/>
      <c r="AU54" s="210">
        <f t="shared" si="62"/>
        <v>0</v>
      </c>
      <c r="AV54" s="210">
        <f t="shared" si="63"/>
        <v>0</v>
      </c>
      <c r="AW54" s="210">
        <f t="shared" si="64"/>
        <v>0</v>
      </c>
      <c r="AX54" s="178">
        <f t="shared" si="49"/>
        <v>0</v>
      </c>
      <c r="AY54" s="79"/>
    </row>
    <row r="55" spans="1:53" ht="13.95" hidden="1" customHeight="1" outlineLevel="2" x14ac:dyDescent="0.25">
      <c r="A55" s="237"/>
      <c r="B55" s="19" t="s">
        <v>68</v>
      </c>
      <c r="C55" s="113"/>
      <c r="D55" s="128"/>
      <c r="E55" s="120">
        <f t="shared" si="50"/>
        <v>0</v>
      </c>
      <c r="F55" s="178">
        <f t="shared" si="65"/>
        <v>0</v>
      </c>
      <c r="G55" s="163"/>
      <c r="H55" s="111"/>
      <c r="I55" s="41">
        <f t="shared" si="51"/>
        <v>0</v>
      </c>
      <c r="J55" s="178">
        <f t="shared" si="45"/>
        <v>0</v>
      </c>
      <c r="K55" s="291"/>
      <c r="L55" s="163"/>
      <c r="M55" s="111"/>
      <c r="N55" s="41">
        <f t="shared" si="52"/>
        <v>0</v>
      </c>
      <c r="O55" s="178">
        <f t="shared" si="33"/>
        <v>0</v>
      </c>
      <c r="P55" s="291"/>
      <c r="Q55" s="163"/>
      <c r="R55" s="111"/>
      <c r="S55" s="41">
        <f t="shared" si="53"/>
        <v>0</v>
      </c>
      <c r="T55" s="178">
        <f t="shared" si="24"/>
        <v>0</v>
      </c>
      <c r="U55" s="291"/>
      <c r="V55" s="163"/>
      <c r="W55" s="111"/>
      <c r="X55" s="41">
        <f t="shared" si="54"/>
        <v>0</v>
      </c>
      <c r="Y55" s="178">
        <f t="shared" si="46"/>
        <v>0</v>
      </c>
      <c r="Z55" s="291"/>
      <c r="AA55" s="163"/>
      <c r="AB55" s="111"/>
      <c r="AC55" s="41">
        <f t="shared" si="55"/>
        <v>0</v>
      </c>
      <c r="AD55" s="178">
        <f t="shared" si="47"/>
        <v>0</v>
      </c>
      <c r="AE55" s="291"/>
      <c r="AF55" s="163"/>
      <c r="AG55" s="111"/>
      <c r="AH55" s="41">
        <f t="shared" si="56"/>
        <v>0</v>
      </c>
      <c r="AI55" s="178">
        <f t="shared" si="57"/>
        <v>0</v>
      </c>
      <c r="AJ55" s="291"/>
      <c r="AK55" s="163"/>
      <c r="AL55" s="111"/>
      <c r="AM55" s="41">
        <f t="shared" si="58"/>
        <v>0</v>
      </c>
      <c r="AN55" s="178">
        <f t="shared" si="6"/>
        <v>0</v>
      </c>
      <c r="AO55" s="291"/>
      <c r="AP55" s="210">
        <f t="shared" si="59"/>
        <v>0</v>
      </c>
      <c r="AQ55" s="210">
        <f t="shared" si="60"/>
        <v>0</v>
      </c>
      <c r="AR55" s="106">
        <f t="shared" si="61"/>
        <v>0</v>
      </c>
      <c r="AS55" s="178">
        <f t="shared" si="48"/>
        <v>0</v>
      </c>
      <c r="AT55" s="79"/>
      <c r="AU55" s="210">
        <f t="shared" si="62"/>
        <v>0</v>
      </c>
      <c r="AV55" s="210">
        <f t="shared" si="63"/>
        <v>0</v>
      </c>
      <c r="AW55" s="210">
        <f t="shared" si="64"/>
        <v>0</v>
      </c>
      <c r="AX55" s="178">
        <f t="shared" si="49"/>
        <v>0</v>
      </c>
      <c r="AY55" s="79"/>
    </row>
    <row r="56" spans="1:53" ht="14.4" hidden="1" customHeight="1" outlineLevel="2" thickBot="1" x14ac:dyDescent="0.35">
      <c r="A56" s="237"/>
      <c r="B56" s="19" t="s">
        <v>67</v>
      </c>
      <c r="C56" s="113"/>
      <c r="D56" s="128"/>
      <c r="E56" s="120">
        <f t="shared" si="50"/>
        <v>0</v>
      </c>
      <c r="F56" s="178">
        <f t="shared" si="65"/>
        <v>0</v>
      </c>
      <c r="G56" s="78"/>
      <c r="H56" s="161"/>
      <c r="I56" s="41">
        <f t="shared" si="51"/>
        <v>0</v>
      </c>
      <c r="J56" s="178">
        <f t="shared" si="45"/>
        <v>0</v>
      </c>
      <c r="K56" s="291"/>
      <c r="L56" s="78"/>
      <c r="M56" s="161"/>
      <c r="N56" s="41">
        <f t="shared" si="52"/>
        <v>0</v>
      </c>
      <c r="O56" s="178">
        <f t="shared" si="33"/>
        <v>0</v>
      </c>
      <c r="P56" s="291"/>
      <c r="Q56" s="78"/>
      <c r="R56" s="161"/>
      <c r="S56" s="41">
        <f t="shared" si="53"/>
        <v>0</v>
      </c>
      <c r="T56" s="178">
        <f t="shared" si="24"/>
        <v>0</v>
      </c>
      <c r="U56" s="291"/>
      <c r="V56" s="78"/>
      <c r="W56" s="161"/>
      <c r="X56" s="41">
        <f t="shared" si="54"/>
        <v>0</v>
      </c>
      <c r="Y56" s="178">
        <f t="shared" si="46"/>
        <v>0</v>
      </c>
      <c r="Z56" s="291"/>
      <c r="AA56" s="78"/>
      <c r="AB56" s="161"/>
      <c r="AC56" s="41">
        <f t="shared" si="55"/>
        <v>0</v>
      </c>
      <c r="AD56" s="178">
        <f t="shared" si="47"/>
        <v>0</v>
      </c>
      <c r="AE56" s="291"/>
      <c r="AF56" s="78"/>
      <c r="AG56" s="161"/>
      <c r="AH56" s="41">
        <f t="shared" si="56"/>
        <v>0</v>
      </c>
      <c r="AI56" s="178">
        <f t="shared" si="57"/>
        <v>0</v>
      </c>
      <c r="AJ56" s="291"/>
      <c r="AK56" s="78"/>
      <c r="AL56" s="161"/>
      <c r="AM56" s="41">
        <f t="shared" si="58"/>
        <v>0</v>
      </c>
      <c r="AN56" s="178">
        <f t="shared" si="6"/>
        <v>0</v>
      </c>
      <c r="AO56" s="291"/>
      <c r="AP56" s="210">
        <f t="shared" si="59"/>
        <v>0</v>
      </c>
      <c r="AQ56" s="210">
        <f t="shared" si="60"/>
        <v>0</v>
      </c>
      <c r="AR56" s="106">
        <f t="shared" si="61"/>
        <v>0</v>
      </c>
      <c r="AS56" s="178">
        <f t="shared" si="48"/>
        <v>0</v>
      </c>
      <c r="AT56" s="79"/>
      <c r="AU56" s="210">
        <f t="shared" si="62"/>
        <v>0</v>
      </c>
      <c r="AV56" s="210">
        <f t="shared" si="63"/>
        <v>0</v>
      </c>
      <c r="AW56" s="210">
        <f t="shared" si="64"/>
        <v>0</v>
      </c>
      <c r="AX56" s="178">
        <f t="shared" si="49"/>
        <v>0</v>
      </c>
      <c r="AY56" s="79"/>
      <c r="AZ56" s="227"/>
      <c r="BA56"/>
    </row>
    <row r="57" spans="1:53" ht="14.4" hidden="1" customHeight="1" outlineLevel="2" thickBot="1" x14ac:dyDescent="0.3">
      <c r="A57" s="237"/>
      <c r="B57" s="19" t="s">
        <v>66</v>
      </c>
      <c r="C57" s="113"/>
      <c r="D57" s="128"/>
      <c r="E57" s="120">
        <f t="shared" si="50"/>
        <v>0</v>
      </c>
      <c r="F57" s="178">
        <f t="shared" si="65"/>
        <v>0</v>
      </c>
      <c r="G57" s="163"/>
      <c r="H57" s="111"/>
      <c r="I57" s="41">
        <f t="shared" si="51"/>
        <v>0</v>
      </c>
      <c r="J57" s="178">
        <f t="shared" si="45"/>
        <v>0</v>
      </c>
      <c r="K57" s="291"/>
      <c r="L57" s="163"/>
      <c r="M57" s="111"/>
      <c r="N57" s="41">
        <f t="shared" si="52"/>
        <v>0</v>
      </c>
      <c r="O57" s="178">
        <f t="shared" si="33"/>
        <v>0</v>
      </c>
      <c r="P57" s="291"/>
      <c r="Q57" s="163"/>
      <c r="R57" s="111"/>
      <c r="S57" s="41">
        <f t="shared" si="53"/>
        <v>0</v>
      </c>
      <c r="T57" s="178">
        <f t="shared" si="24"/>
        <v>0</v>
      </c>
      <c r="U57" s="291"/>
      <c r="V57" s="163"/>
      <c r="W57" s="111"/>
      <c r="X57" s="41">
        <f t="shared" si="54"/>
        <v>0</v>
      </c>
      <c r="Y57" s="178">
        <f t="shared" si="46"/>
        <v>0</v>
      </c>
      <c r="Z57" s="291"/>
      <c r="AA57" s="163"/>
      <c r="AB57" s="111"/>
      <c r="AC57" s="41">
        <f t="shared" si="55"/>
        <v>0</v>
      </c>
      <c r="AD57" s="178">
        <f t="shared" si="47"/>
        <v>0</v>
      </c>
      <c r="AE57" s="291"/>
      <c r="AF57" s="163"/>
      <c r="AG57" s="111"/>
      <c r="AH57" s="41">
        <f t="shared" si="56"/>
        <v>0</v>
      </c>
      <c r="AI57" s="178">
        <f t="shared" si="57"/>
        <v>0</v>
      </c>
      <c r="AJ57" s="291"/>
      <c r="AK57" s="163"/>
      <c r="AL57" s="111"/>
      <c r="AM57" s="41">
        <f t="shared" si="58"/>
        <v>0</v>
      </c>
      <c r="AN57" s="178">
        <f t="shared" si="6"/>
        <v>0</v>
      </c>
      <c r="AO57" s="291"/>
      <c r="AP57" s="210">
        <f t="shared" si="59"/>
        <v>0</v>
      </c>
      <c r="AQ57" s="210">
        <f t="shared" si="60"/>
        <v>0</v>
      </c>
      <c r="AR57" s="106">
        <f t="shared" si="61"/>
        <v>0</v>
      </c>
      <c r="AS57" s="178">
        <f t="shared" si="48"/>
        <v>0</v>
      </c>
      <c r="AT57" s="79"/>
      <c r="AU57" s="210">
        <f t="shared" si="62"/>
        <v>0</v>
      </c>
      <c r="AV57" s="210">
        <f t="shared" si="63"/>
        <v>0</v>
      </c>
      <c r="AW57" s="210">
        <f t="shared" si="64"/>
        <v>0</v>
      </c>
      <c r="AX57" s="178">
        <f t="shared" si="49"/>
        <v>0</v>
      </c>
      <c r="AY57" s="79"/>
      <c r="AZ57" s="228"/>
      <c r="BA57" s="227"/>
    </row>
    <row r="58" spans="1:53" ht="14.4" hidden="1" customHeight="1" outlineLevel="2" x14ac:dyDescent="0.25">
      <c r="A58" s="237"/>
      <c r="B58" s="19" t="s">
        <v>65</v>
      </c>
      <c r="C58" s="113"/>
      <c r="D58" s="128"/>
      <c r="E58" s="120">
        <f t="shared" si="50"/>
        <v>0</v>
      </c>
      <c r="F58" s="178">
        <f t="shared" si="65"/>
        <v>0</v>
      </c>
      <c r="G58" s="163"/>
      <c r="H58" s="111"/>
      <c r="I58" s="41">
        <f t="shared" si="51"/>
        <v>0</v>
      </c>
      <c r="J58" s="178">
        <f t="shared" si="45"/>
        <v>0</v>
      </c>
      <c r="K58" s="291"/>
      <c r="L58" s="163"/>
      <c r="M58" s="111"/>
      <c r="N58" s="41">
        <f t="shared" si="52"/>
        <v>0</v>
      </c>
      <c r="O58" s="178">
        <f t="shared" si="33"/>
        <v>0</v>
      </c>
      <c r="P58" s="291"/>
      <c r="Q58" s="163"/>
      <c r="R58" s="111"/>
      <c r="S58" s="41">
        <f t="shared" si="53"/>
        <v>0</v>
      </c>
      <c r="T58" s="178">
        <f t="shared" si="24"/>
        <v>0</v>
      </c>
      <c r="U58" s="291"/>
      <c r="V58" s="163"/>
      <c r="W58" s="111"/>
      <c r="X58" s="41">
        <f t="shared" si="54"/>
        <v>0</v>
      </c>
      <c r="Y58" s="178">
        <f t="shared" si="46"/>
        <v>0</v>
      </c>
      <c r="Z58" s="291"/>
      <c r="AA58" s="163"/>
      <c r="AB58" s="111"/>
      <c r="AC58" s="41">
        <f t="shared" si="55"/>
        <v>0</v>
      </c>
      <c r="AD58" s="178">
        <f t="shared" si="47"/>
        <v>0</v>
      </c>
      <c r="AE58" s="291"/>
      <c r="AF58" s="163"/>
      <c r="AG58" s="111"/>
      <c r="AH58" s="41">
        <f t="shared" si="56"/>
        <v>0</v>
      </c>
      <c r="AI58" s="178">
        <f t="shared" si="57"/>
        <v>0</v>
      </c>
      <c r="AJ58" s="291"/>
      <c r="AK58" s="163"/>
      <c r="AL58" s="111"/>
      <c r="AM58" s="41">
        <f t="shared" si="58"/>
        <v>0</v>
      </c>
      <c r="AN58" s="178">
        <f t="shared" si="6"/>
        <v>0</v>
      </c>
      <c r="AO58" s="291"/>
      <c r="AP58" s="210">
        <f t="shared" si="59"/>
        <v>0</v>
      </c>
      <c r="AQ58" s="210">
        <f t="shared" si="60"/>
        <v>0</v>
      </c>
      <c r="AR58" s="106">
        <f t="shared" si="61"/>
        <v>0</v>
      </c>
      <c r="AS58" s="178">
        <f t="shared" si="48"/>
        <v>0</v>
      </c>
      <c r="AT58" s="79"/>
      <c r="AU58" s="210">
        <f t="shared" si="62"/>
        <v>0</v>
      </c>
      <c r="AV58" s="210">
        <f t="shared" si="63"/>
        <v>0</v>
      </c>
      <c r="AW58" s="210">
        <f t="shared" si="64"/>
        <v>0</v>
      </c>
      <c r="AX58" s="178">
        <f t="shared" si="49"/>
        <v>0</v>
      </c>
      <c r="AY58" s="79"/>
    </row>
    <row r="59" spans="1:53" ht="13.95" hidden="1" customHeight="1" outlineLevel="2" x14ac:dyDescent="0.25">
      <c r="A59" s="237"/>
      <c r="B59" s="19" t="s">
        <v>32</v>
      </c>
      <c r="C59" s="113"/>
      <c r="D59" s="128"/>
      <c r="E59" s="120">
        <f t="shared" si="50"/>
        <v>0</v>
      </c>
      <c r="F59" s="178">
        <f t="shared" si="65"/>
        <v>0</v>
      </c>
      <c r="G59" s="78"/>
      <c r="H59" s="161"/>
      <c r="I59" s="41">
        <f t="shared" si="51"/>
        <v>0</v>
      </c>
      <c r="J59" s="178">
        <f t="shared" si="45"/>
        <v>0</v>
      </c>
      <c r="K59" s="291"/>
      <c r="L59" s="78"/>
      <c r="M59" s="161"/>
      <c r="N59" s="41">
        <f t="shared" si="52"/>
        <v>0</v>
      </c>
      <c r="O59" s="178">
        <f t="shared" si="33"/>
        <v>0</v>
      </c>
      <c r="P59" s="291"/>
      <c r="Q59" s="78"/>
      <c r="R59" s="161"/>
      <c r="S59" s="41">
        <f t="shared" si="53"/>
        <v>0</v>
      </c>
      <c r="T59" s="178">
        <f t="shared" si="24"/>
        <v>0</v>
      </c>
      <c r="U59" s="291"/>
      <c r="V59" s="78"/>
      <c r="W59" s="161"/>
      <c r="X59" s="41">
        <f t="shared" si="54"/>
        <v>0</v>
      </c>
      <c r="Y59" s="178">
        <f t="shared" si="46"/>
        <v>0</v>
      </c>
      <c r="Z59" s="291"/>
      <c r="AA59" s="78"/>
      <c r="AB59" s="161"/>
      <c r="AC59" s="41">
        <f t="shared" si="55"/>
        <v>0</v>
      </c>
      <c r="AD59" s="178">
        <f t="shared" si="47"/>
        <v>0</v>
      </c>
      <c r="AE59" s="291"/>
      <c r="AF59" s="78"/>
      <c r="AG59" s="161"/>
      <c r="AH59" s="41">
        <f t="shared" si="56"/>
        <v>0</v>
      </c>
      <c r="AI59" s="178">
        <f t="shared" si="57"/>
        <v>0</v>
      </c>
      <c r="AJ59" s="291"/>
      <c r="AK59" s="78"/>
      <c r="AL59" s="161"/>
      <c r="AM59" s="41">
        <f t="shared" si="58"/>
        <v>0</v>
      </c>
      <c r="AN59" s="178">
        <f t="shared" si="6"/>
        <v>0</v>
      </c>
      <c r="AO59" s="291"/>
      <c r="AP59" s="210">
        <f t="shared" si="59"/>
        <v>0</v>
      </c>
      <c r="AQ59" s="210">
        <f t="shared" si="60"/>
        <v>0</v>
      </c>
      <c r="AR59" s="106">
        <f t="shared" si="61"/>
        <v>0</v>
      </c>
      <c r="AS59" s="178">
        <f t="shared" si="48"/>
        <v>0</v>
      </c>
      <c r="AT59" s="79"/>
      <c r="AU59" s="210">
        <f t="shared" si="62"/>
        <v>0</v>
      </c>
      <c r="AV59" s="210">
        <f t="shared" si="63"/>
        <v>0</v>
      </c>
      <c r="AW59" s="210">
        <f t="shared" si="64"/>
        <v>0</v>
      </c>
      <c r="AX59" s="178">
        <f t="shared" si="49"/>
        <v>0</v>
      </c>
      <c r="AY59" s="79"/>
    </row>
    <row r="60" spans="1:53" ht="30.6" hidden="1" customHeight="1" outlineLevel="2" x14ac:dyDescent="0.25">
      <c r="A60" s="237"/>
      <c r="B60" s="19" t="s">
        <v>33</v>
      </c>
      <c r="C60" s="129"/>
      <c r="D60" s="128"/>
      <c r="E60" s="120">
        <f t="shared" si="50"/>
        <v>0</v>
      </c>
      <c r="F60" s="178">
        <f t="shared" si="65"/>
        <v>0</v>
      </c>
      <c r="G60" s="78"/>
      <c r="H60" s="161"/>
      <c r="I60" s="41">
        <f t="shared" si="51"/>
        <v>0</v>
      </c>
      <c r="J60" s="178">
        <f t="shared" si="45"/>
        <v>0</v>
      </c>
      <c r="K60" s="291"/>
      <c r="L60" s="78"/>
      <c r="M60" s="161"/>
      <c r="N60" s="41">
        <f t="shared" si="52"/>
        <v>0</v>
      </c>
      <c r="O60" s="178">
        <f t="shared" si="33"/>
        <v>0</v>
      </c>
      <c r="P60" s="291"/>
      <c r="Q60" s="78"/>
      <c r="R60" s="161"/>
      <c r="S60" s="41">
        <f t="shared" si="53"/>
        <v>0</v>
      </c>
      <c r="T60" s="178">
        <f t="shared" si="24"/>
        <v>0</v>
      </c>
      <c r="U60" s="291"/>
      <c r="V60" s="78"/>
      <c r="W60" s="161"/>
      <c r="X60" s="41">
        <f t="shared" si="54"/>
        <v>0</v>
      </c>
      <c r="Y60" s="178">
        <f t="shared" si="46"/>
        <v>0</v>
      </c>
      <c r="Z60" s="291"/>
      <c r="AA60" s="78"/>
      <c r="AB60" s="161"/>
      <c r="AC60" s="41">
        <f t="shared" si="55"/>
        <v>0</v>
      </c>
      <c r="AD60" s="178">
        <f t="shared" si="47"/>
        <v>0</v>
      </c>
      <c r="AE60" s="291"/>
      <c r="AF60" s="78"/>
      <c r="AG60" s="161"/>
      <c r="AH60" s="41">
        <f t="shared" si="56"/>
        <v>0</v>
      </c>
      <c r="AI60" s="178">
        <f t="shared" si="57"/>
        <v>0</v>
      </c>
      <c r="AJ60" s="291"/>
      <c r="AK60" s="78"/>
      <c r="AL60" s="161"/>
      <c r="AM60" s="41">
        <f t="shared" si="58"/>
        <v>0</v>
      </c>
      <c r="AN60" s="178">
        <f t="shared" si="6"/>
        <v>0</v>
      </c>
      <c r="AO60" s="291"/>
      <c r="AP60" s="210">
        <f t="shared" si="59"/>
        <v>0</v>
      </c>
      <c r="AQ60" s="210">
        <f t="shared" si="60"/>
        <v>0</v>
      </c>
      <c r="AR60" s="106">
        <f t="shared" si="61"/>
        <v>0</v>
      </c>
      <c r="AS60" s="178">
        <f t="shared" si="48"/>
        <v>0</v>
      </c>
      <c r="AT60" s="79"/>
      <c r="AU60" s="210">
        <f t="shared" si="62"/>
        <v>0</v>
      </c>
      <c r="AV60" s="210">
        <f t="shared" si="63"/>
        <v>0</v>
      </c>
      <c r="AW60" s="210">
        <f t="shared" si="64"/>
        <v>0</v>
      </c>
      <c r="AX60" s="178">
        <f t="shared" si="49"/>
        <v>0</v>
      </c>
      <c r="AY60" s="79"/>
    </row>
    <row r="61" spans="1:53" ht="31.95" hidden="1" customHeight="1" outlineLevel="2" x14ac:dyDescent="0.25">
      <c r="A61" s="237"/>
      <c r="B61" s="19" t="s">
        <v>35</v>
      </c>
      <c r="C61" s="129"/>
      <c r="D61" s="128"/>
      <c r="E61" s="120">
        <f t="shared" si="50"/>
        <v>0</v>
      </c>
      <c r="F61" s="178">
        <f t="shared" si="65"/>
        <v>0</v>
      </c>
      <c r="G61" s="78"/>
      <c r="H61" s="161"/>
      <c r="I61" s="41">
        <f t="shared" si="51"/>
        <v>0</v>
      </c>
      <c r="J61" s="178">
        <f t="shared" si="45"/>
        <v>0</v>
      </c>
      <c r="K61" s="291"/>
      <c r="L61" s="78"/>
      <c r="M61" s="161"/>
      <c r="N61" s="41">
        <f t="shared" si="52"/>
        <v>0</v>
      </c>
      <c r="O61" s="178">
        <f t="shared" si="33"/>
        <v>0</v>
      </c>
      <c r="P61" s="291"/>
      <c r="Q61" s="78"/>
      <c r="R61" s="161"/>
      <c r="S61" s="41">
        <f t="shared" si="53"/>
        <v>0</v>
      </c>
      <c r="T61" s="178">
        <f t="shared" si="24"/>
        <v>0</v>
      </c>
      <c r="U61" s="291"/>
      <c r="V61" s="78"/>
      <c r="W61" s="161"/>
      <c r="X61" s="41">
        <f t="shared" si="54"/>
        <v>0</v>
      </c>
      <c r="Y61" s="178">
        <f t="shared" si="46"/>
        <v>0</v>
      </c>
      <c r="Z61" s="291"/>
      <c r="AA61" s="78"/>
      <c r="AB61" s="161"/>
      <c r="AC61" s="41">
        <f t="shared" si="55"/>
        <v>0</v>
      </c>
      <c r="AD61" s="178">
        <f t="shared" si="47"/>
        <v>0</v>
      </c>
      <c r="AE61" s="291"/>
      <c r="AF61" s="78"/>
      <c r="AG61" s="161"/>
      <c r="AH61" s="41">
        <f t="shared" si="56"/>
        <v>0</v>
      </c>
      <c r="AI61" s="178">
        <f t="shared" si="57"/>
        <v>0</v>
      </c>
      <c r="AJ61" s="291"/>
      <c r="AK61" s="78"/>
      <c r="AL61" s="161"/>
      <c r="AM61" s="41">
        <f t="shared" si="58"/>
        <v>0</v>
      </c>
      <c r="AN61" s="178">
        <f t="shared" si="6"/>
        <v>0</v>
      </c>
      <c r="AO61" s="291"/>
      <c r="AP61" s="210">
        <f t="shared" si="59"/>
        <v>0</v>
      </c>
      <c r="AQ61" s="210">
        <f t="shared" si="60"/>
        <v>0</v>
      </c>
      <c r="AR61" s="106">
        <f t="shared" si="61"/>
        <v>0</v>
      </c>
      <c r="AS61" s="178">
        <f t="shared" si="48"/>
        <v>0</v>
      </c>
      <c r="AT61" s="79"/>
      <c r="AU61" s="210">
        <f t="shared" si="62"/>
        <v>0</v>
      </c>
      <c r="AV61" s="210">
        <f t="shared" si="63"/>
        <v>0</v>
      </c>
      <c r="AW61" s="210">
        <f t="shared" si="64"/>
        <v>0</v>
      </c>
      <c r="AX61" s="178">
        <f t="shared" si="49"/>
        <v>0</v>
      </c>
      <c r="AY61" s="79"/>
    </row>
    <row r="62" spans="1:53" ht="31.2" hidden="1" customHeight="1" outlineLevel="2" x14ac:dyDescent="0.25">
      <c r="A62" s="237"/>
      <c r="B62" s="19" t="s">
        <v>63</v>
      </c>
      <c r="C62" s="129"/>
      <c r="D62" s="128"/>
      <c r="E62" s="120">
        <f t="shared" si="50"/>
        <v>0</v>
      </c>
      <c r="F62" s="178">
        <f t="shared" si="65"/>
        <v>0</v>
      </c>
      <c r="G62" s="78"/>
      <c r="H62" s="161"/>
      <c r="I62" s="41">
        <f t="shared" si="51"/>
        <v>0</v>
      </c>
      <c r="J62" s="178"/>
      <c r="K62" s="291"/>
      <c r="L62" s="78"/>
      <c r="M62" s="161"/>
      <c r="N62" s="41">
        <f t="shared" si="52"/>
        <v>0</v>
      </c>
      <c r="O62" s="178">
        <f t="shared" si="33"/>
        <v>0</v>
      </c>
      <c r="P62" s="291"/>
      <c r="Q62" s="78"/>
      <c r="R62" s="161"/>
      <c r="S62" s="41">
        <f t="shared" si="53"/>
        <v>0</v>
      </c>
      <c r="T62" s="178">
        <f t="shared" si="24"/>
        <v>0</v>
      </c>
      <c r="U62" s="291"/>
      <c r="V62" s="78"/>
      <c r="W62" s="161"/>
      <c r="X62" s="41">
        <f t="shared" si="54"/>
        <v>0</v>
      </c>
      <c r="Y62" s="178">
        <f t="shared" si="46"/>
        <v>0</v>
      </c>
      <c r="Z62" s="291"/>
      <c r="AA62" s="78"/>
      <c r="AB62" s="161"/>
      <c r="AC62" s="41">
        <f t="shared" si="55"/>
        <v>0</v>
      </c>
      <c r="AD62" s="178">
        <f t="shared" si="47"/>
        <v>0</v>
      </c>
      <c r="AE62" s="291"/>
      <c r="AF62" s="78"/>
      <c r="AG62" s="161"/>
      <c r="AH62" s="41">
        <f t="shared" si="56"/>
        <v>0</v>
      </c>
      <c r="AI62" s="178">
        <f t="shared" si="57"/>
        <v>0</v>
      </c>
      <c r="AJ62" s="291"/>
      <c r="AK62" s="78"/>
      <c r="AL62" s="161"/>
      <c r="AM62" s="41">
        <f t="shared" si="58"/>
        <v>0</v>
      </c>
      <c r="AN62" s="178">
        <f t="shared" si="6"/>
        <v>0</v>
      </c>
      <c r="AO62" s="291"/>
      <c r="AP62" s="210">
        <f t="shared" si="59"/>
        <v>0</v>
      </c>
      <c r="AQ62" s="210">
        <f t="shared" si="60"/>
        <v>0</v>
      </c>
      <c r="AR62" s="106">
        <f t="shared" si="61"/>
        <v>0</v>
      </c>
      <c r="AS62" s="178">
        <f t="shared" si="48"/>
        <v>0</v>
      </c>
      <c r="AT62" s="79"/>
      <c r="AU62" s="210">
        <f t="shared" si="62"/>
        <v>0</v>
      </c>
      <c r="AV62" s="210">
        <f t="shared" si="63"/>
        <v>0</v>
      </c>
      <c r="AW62" s="210">
        <f t="shared" si="64"/>
        <v>0</v>
      </c>
      <c r="AX62" s="178">
        <f t="shared" si="49"/>
        <v>0</v>
      </c>
      <c r="AY62" s="79"/>
    </row>
    <row r="63" spans="1:53" ht="93" customHeight="1" outlineLevel="2" x14ac:dyDescent="0.25">
      <c r="A63" s="237"/>
      <c r="B63" s="19" t="s">
        <v>36</v>
      </c>
      <c r="C63" s="129"/>
      <c r="D63" s="128"/>
      <c r="E63" s="120">
        <f t="shared" si="50"/>
        <v>0</v>
      </c>
      <c r="F63" s="178">
        <f t="shared" si="65"/>
        <v>0</v>
      </c>
      <c r="G63" s="78"/>
      <c r="H63" s="161"/>
      <c r="I63" s="41">
        <f t="shared" si="51"/>
        <v>0</v>
      </c>
      <c r="J63" s="178">
        <f>I63/$I$87</f>
        <v>0</v>
      </c>
      <c r="K63" s="291"/>
      <c r="L63" s="78">
        <v>600</v>
      </c>
      <c r="M63" s="161"/>
      <c r="N63" s="41">
        <f t="shared" si="52"/>
        <v>600</v>
      </c>
      <c r="O63" s="178">
        <f t="shared" si="33"/>
        <v>5.9421809779369977E-4</v>
      </c>
      <c r="P63" s="291" t="s">
        <v>194</v>
      </c>
      <c r="Q63" s="78">
        <v>1000</v>
      </c>
      <c r="R63" s="161"/>
      <c r="S63" s="41">
        <f t="shared" si="53"/>
        <v>1000</v>
      </c>
      <c r="T63" s="178">
        <f t="shared" si="24"/>
        <v>3.8136892034191694E-3</v>
      </c>
      <c r="U63" s="291" t="s">
        <v>209</v>
      </c>
      <c r="V63" s="78">
        <v>260</v>
      </c>
      <c r="W63" s="161"/>
      <c r="X63" s="41">
        <f t="shared" si="54"/>
        <v>260</v>
      </c>
      <c r="Y63" s="178">
        <f t="shared" si="46"/>
        <v>1.6181536108284558E-4</v>
      </c>
      <c r="Z63" s="291" t="s">
        <v>226</v>
      </c>
      <c r="AA63" s="78"/>
      <c r="AB63" s="161"/>
      <c r="AC63" s="41">
        <f t="shared" si="55"/>
        <v>0</v>
      </c>
      <c r="AD63" s="342">
        <f>AC63/$AC$87</f>
        <v>0</v>
      </c>
      <c r="AE63" s="291"/>
      <c r="AF63" s="78"/>
      <c r="AG63" s="161"/>
      <c r="AH63" s="41">
        <f t="shared" si="56"/>
        <v>0</v>
      </c>
      <c r="AI63" s="342">
        <f t="shared" ref="AI63:AI70" si="66">AH63/$AH$87</f>
        <v>0</v>
      </c>
      <c r="AJ63" s="291"/>
      <c r="AK63" s="78"/>
      <c r="AL63" s="161"/>
      <c r="AM63" s="41">
        <f t="shared" si="58"/>
        <v>0</v>
      </c>
      <c r="AN63" s="342">
        <f t="shared" si="6"/>
        <v>0</v>
      </c>
      <c r="AO63" s="291"/>
      <c r="AP63" s="39">
        <f>G63+L63+Q63+V63+AA63+AF63+AK63</f>
        <v>1860</v>
      </c>
      <c r="AQ63" s="39">
        <f t="shared" ref="AQ63:AQ69" si="67">H63+M63+R63+W63+AB63+AG63+AL63</f>
        <v>0</v>
      </c>
      <c r="AR63" s="106">
        <f t="shared" si="61"/>
        <v>1860</v>
      </c>
      <c r="AS63" s="178">
        <f t="shared" si="48"/>
        <v>4.6773489161625525E-4</v>
      </c>
      <c r="AT63" s="79"/>
      <c r="AU63" s="210">
        <f t="shared" si="62"/>
        <v>-1860</v>
      </c>
      <c r="AV63" s="210">
        <f t="shared" si="63"/>
        <v>0</v>
      </c>
      <c r="AW63" s="210">
        <f t="shared" si="64"/>
        <v>-1860</v>
      </c>
      <c r="AX63" s="178">
        <f t="shared" si="49"/>
        <v>2.3443199347166514E-3</v>
      </c>
      <c r="AY63" s="79"/>
    </row>
    <row r="64" spans="1:53" s="2" customFormat="1" ht="13.95" hidden="1" customHeight="1" outlineLevel="2" x14ac:dyDescent="0.25">
      <c r="A64" s="237"/>
      <c r="B64" s="19" t="s">
        <v>37</v>
      </c>
      <c r="C64" s="129"/>
      <c r="D64" s="128"/>
      <c r="E64" s="120">
        <f t="shared" si="50"/>
        <v>0</v>
      </c>
      <c r="F64" s="178">
        <f t="shared" si="65"/>
        <v>0</v>
      </c>
      <c r="G64" s="78"/>
      <c r="H64" s="161"/>
      <c r="I64" s="41">
        <f t="shared" si="51"/>
        <v>0</v>
      </c>
      <c r="J64" s="178"/>
      <c r="K64" s="291"/>
      <c r="L64" s="78"/>
      <c r="M64" s="161"/>
      <c r="N64" s="41">
        <f t="shared" si="52"/>
        <v>0</v>
      </c>
      <c r="O64" s="178">
        <f t="shared" si="33"/>
        <v>0</v>
      </c>
      <c r="P64" s="291"/>
      <c r="Q64" s="78"/>
      <c r="R64" s="161"/>
      <c r="S64" s="41">
        <f t="shared" si="53"/>
        <v>0</v>
      </c>
      <c r="T64" s="178">
        <f t="shared" si="24"/>
        <v>0</v>
      </c>
      <c r="U64" s="291"/>
      <c r="V64" s="78"/>
      <c r="W64" s="161"/>
      <c r="X64" s="41">
        <f t="shared" si="54"/>
        <v>0</v>
      </c>
      <c r="Y64" s="178">
        <f t="shared" si="46"/>
        <v>0</v>
      </c>
      <c r="Z64" s="291"/>
      <c r="AA64" s="78"/>
      <c r="AB64" s="161"/>
      <c r="AC64" s="41">
        <f t="shared" si="55"/>
        <v>0</v>
      </c>
      <c r="AD64" s="178">
        <f t="shared" si="47"/>
        <v>0</v>
      </c>
      <c r="AE64" s="291"/>
      <c r="AF64" s="78"/>
      <c r="AG64" s="161"/>
      <c r="AH64" s="41">
        <f t="shared" si="56"/>
        <v>0</v>
      </c>
      <c r="AI64" s="178">
        <f t="shared" si="66"/>
        <v>0</v>
      </c>
      <c r="AJ64" s="291"/>
      <c r="AK64" s="78"/>
      <c r="AL64" s="161"/>
      <c r="AM64" s="41">
        <f t="shared" si="58"/>
        <v>0</v>
      </c>
      <c r="AN64" s="178">
        <f t="shared" si="6"/>
        <v>0</v>
      </c>
      <c r="AO64" s="291"/>
      <c r="AP64" s="39">
        <f t="shared" ref="AP64:AP69" si="68">G64+L64+Q64+V64+AA64+AF64+AK64</f>
        <v>0</v>
      </c>
      <c r="AQ64" s="39">
        <f t="shared" si="67"/>
        <v>0</v>
      </c>
      <c r="AR64" s="106">
        <f t="shared" si="61"/>
        <v>0</v>
      </c>
      <c r="AS64" s="178">
        <f t="shared" si="48"/>
        <v>0</v>
      </c>
      <c r="AT64" s="79"/>
      <c r="AU64" s="210">
        <f t="shared" si="62"/>
        <v>0</v>
      </c>
      <c r="AV64" s="210">
        <f t="shared" si="63"/>
        <v>0</v>
      </c>
      <c r="AW64" s="210">
        <f t="shared" si="64"/>
        <v>0</v>
      </c>
      <c r="AX64" s="178">
        <f t="shared" si="49"/>
        <v>0</v>
      </c>
      <c r="AY64" s="79"/>
    </row>
    <row r="65" spans="1:52" s="2" customFormat="1" ht="102" hidden="1" customHeight="1" outlineLevel="2" x14ac:dyDescent="0.25">
      <c r="A65" s="237"/>
      <c r="B65" s="19" t="s">
        <v>3</v>
      </c>
      <c r="C65" s="129"/>
      <c r="D65" s="128"/>
      <c r="E65" s="120">
        <f t="shared" si="50"/>
        <v>0</v>
      </c>
      <c r="F65" s="178">
        <f t="shared" si="65"/>
        <v>0</v>
      </c>
      <c r="G65" s="78"/>
      <c r="H65" s="161"/>
      <c r="I65" s="41">
        <f t="shared" si="51"/>
        <v>0</v>
      </c>
      <c r="J65" s="178"/>
      <c r="K65" s="291"/>
      <c r="L65" s="78"/>
      <c r="M65" s="161"/>
      <c r="N65" s="41">
        <f t="shared" si="52"/>
        <v>0</v>
      </c>
      <c r="O65" s="178">
        <f t="shared" si="33"/>
        <v>0</v>
      </c>
      <c r="P65" s="291"/>
      <c r="Q65" s="78"/>
      <c r="R65" s="161"/>
      <c r="S65" s="41">
        <f t="shared" si="53"/>
        <v>0</v>
      </c>
      <c r="T65" s="178">
        <f t="shared" si="24"/>
        <v>0</v>
      </c>
      <c r="U65" s="291"/>
      <c r="V65" s="78"/>
      <c r="W65" s="161"/>
      <c r="X65" s="41">
        <f t="shared" si="54"/>
        <v>0</v>
      </c>
      <c r="Y65" s="178">
        <f t="shared" si="46"/>
        <v>0</v>
      </c>
      <c r="Z65" s="291"/>
      <c r="AA65" s="78"/>
      <c r="AB65" s="161"/>
      <c r="AC65" s="41">
        <f t="shared" si="55"/>
        <v>0</v>
      </c>
      <c r="AD65" s="178">
        <f t="shared" si="47"/>
        <v>0</v>
      </c>
      <c r="AE65" s="291"/>
      <c r="AF65" s="78"/>
      <c r="AG65" s="161"/>
      <c r="AH65" s="41">
        <f t="shared" si="56"/>
        <v>0</v>
      </c>
      <c r="AI65" s="178">
        <f t="shared" si="66"/>
        <v>0</v>
      </c>
      <c r="AJ65" s="291"/>
      <c r="AK65" s="78"/>
      <c r="AL65" s="161"/>
      <c r="AM65" s="41">
        <f t="shared" si="58"/>
        <v>0</v>
      </c>
      <c r="AN65" s="178">
        <f t="shared" si="6"/>
        <v>0</v>
      </c>
      <c r="AO65" s="291"/>
      <c r="AP65" s="39">
        <f t="shared" si="68"/>
        <v>0</v>
      </c>
      <c r="AQ65" s="39">
        <f t="shared" si="67"/>
        <v>0</v>
      </c>
      <c r="AR65" s="106">
        <f t="shared" si="61"/>
        <v>0</v>
      </c>
      <c r="AS65" s="178">
        <f t="shared" si="48"/>
        <v>0</v>
      </c>
      <c r="AT65" s="79"/>
      <c r="AU65" s="210">
        <f t="shared" si="62"/>
        <v>0</v>
      </c>
      <c r="AV65" s="210">
        <f t="shared" si="63"/>
        <v>0</v>
      </c>
      <c r="AW65" s="210">
        <f t="shared" si="64"/>
        <v>0</v>
      </c>
      <c r="AX65" s="178">
        <f t="shared" si="49"/>
        <v>0</v>
      </c>
      <c r="AY65" s="79"/>
    </row>
    <row r="66" spans="1:52" s="2" customFormat="1" ht="35.4" customHeight="1" outlineLevel="2" x14ac:dyDescent="0.25">
      <c r="A66" s="237"/>
      <c r="B66" s="19" t="s">
        <v>5</v>
      </c>
      <c r="C66" s="129"/>
      <c r="D66" s="128">
        <v>4000</v>
      </c>
      <c r="E66" s="120">
        <f t="shared" si="50"/>
        <v>4000</v>
      </c>
      <c r="F66" s="178">
        <f t="shared" si="65"/>
        <v>1.2519492536892628E-3</v>
      </c>
      <c r="G66" s="78"/>
      <c r="H66" s="161">
        <v>95</v>
      </c>
      <c r="I66" s="41">
        <f t="shared" si="51"/>
        <v>95</v>
      </c>
      <c r="J66" s="178"/>
      <c r="K66" s="291"/>
      <c r="L66" s="78"/>
      <c r="M66" s="161">
        <v>495</v>
      </c>
      <c r="N66" s="41">
        <f t="shared" si="52"/>
        <v>495</v>
      </c>
      <c r="O66" s="178">
        <f t="shared" si="33"/>
        <v>4.9022993067980233E-4</v>
      </c>
      <c r="P66" s="291"/>
      <c r="Q66" s="78"/>
      <c r="R66" s="161">
        <v>1373</v>
      </c>
      <c r="S66" s="41">
        <f t="shared" si="53"/>
        <v>1373</v>
      </c>
      <c r="T66" s="178">
        <f t="shared" si="24"/>
        <v>5.2361952762945193E-3</v>
      </c>
      <c r="U66" s="291"/>
      <c r="V66" s="78"/>
      <c r="W66" s="161">
        <v>1481</v>
      </c>
      <c r="X66" s="41">
        <f t="shared" si="54"/>
        <v>1481</v>
      </c>
      <c r="Y66" s="178">
        <f t="shared" si="46"/>
        <v>9.2172519139882428E-4</v>
      </c>
      <c r="Z66" s="291" t="s">
        <v>227</v>
      </c>
      <c r="AA66" s="78"/>
      <c r="AB66" s="161">
        <v>1689.55</v>
      </c>
      <c r="AC66" s="41">
        <f t="shared" si="55"/>
        <v>1689.55</v>
      </c>
      <c r="AD66" s="178">
        <f t="shared" si="47"/>
        <v>2.4834317597710988E-3</v>
      </c>
      <c r="AE66" s="291" t="s">
        <v>241</v>
      </c>
      <c r="AF66" s="78"/>
      <c r="AG66" s="362">
        <v>442</v>
      </c>
      <c r="AH66" s="41">
        <f t="shared" si="56"/>
        <v>442</v>
      </c>
      <c r="AI66" s="178">
        <f>AH66/$AH$87</f>
        <v>1.8050448206855384E-3</v>
      </c>
      <c r="AJ66" s="291"/>
      <c r="AK66" s="78"/>
      <c r="AL66" s="362"/>
      <c r="AM66" s="41">
        <f t="shared" si="58"/>
        <v>0</v>
      </c>
      <c r="AN66" s="178">
        <f t="shared" si="6"/>
        <v>0</v>
      </c>
      <c r="AO66" s="291"/>
      <c r="AP66" s="39">
        <f t="shared" si="68"/>
        <v>0</v>
      </c>
      <c r="AQ66" s="39">
        <f>H66+M66+R66+W66+AB66+AG66+AL66</f>
        <v>5575.55</v>
      </c>
      <c r="AR66" s="106">
        <f t="shared" si="61"/>
        <v>5575.55</v>
      </c>
      <c r="AS66" s="178">
        <f t="shared" si="48"/>
        <v>1.4020856316940926E-3</v>
      </c>
      <c r="AT66" s="79"/>
      <c r="AU66" s="210">
        <f t="shared" si="62"/>
        <v>0</v>
      </c>
      <c r="AV66" s="210">
        <f t="shared" si="63"/>
        <v>-1575.5500000000002</v>
      </c>
      <c r="AW66" s="210">
        <f t="shared" si="64"/>
        <v>-1575.5500000000002</v>
      </c>
      <c r="AX66" s="178">
        <f t="shared" si="49"/>
        <v>1.9858028350230217E-3</v>
      </c>
      <c r="AY66" s="79"/>
    </row>
    <row r="67" spans="1:52" s="2" customFormat="1" ht="13.8" outlineLevel="2" x14ac:dyDescent="0.25">
      <c r="A67" s="237"/>
      <c r="B67" s="19" t="s">
        <v>42</v>
      </c>
      <c r="C67" s="129"/>
      <c r="D67" s="128"/>
      <c r="E67" s="120">
        <f t="shared" si="50"/>
        <v>0</v>
      </c>
      <c r="F67" s="178">
        <f t="shared" si="65"/>
        <v>0</v>
      </c>
      <c r="G67" s="78"/>
      <c r="H67" s="161"/>
      <c r="I67" s="41">
        <f t="shared" si="51"/>
        <v>0</v>
      </c>
      <c r="J67" s="178">
        <f>I67/$I$87</f>
        <v>0</v>
      </c>
      <c r="K67" s="291"/>
      <c r="L67" s="78"/>
      <c r="M67" s="161"/>
      <c r="N67" s="41">
        <f t="shared" si="52"/>
        <v>0</v>
      </c>
      <c r="O67" s="178">
        <f t="shared" si="33"/>
        <v>0</v>
      </c>
      <c r="P67" s="291"/>
      <c r="Q67" s="78"/>
      <c r="R67" s="161"/>
      <c r="S67" s="41">
        <f t="shared" si="53"/>
        <v>0</v>
      </c>
      <c r="T67" s="178">
        <f t="shared" si="24"/>
        <v>0</v>
      </c>
      <c r="U67" s="291"/>
      <c r="V67" s="78"/>
      <c r="W67" s="161"/>
      <c r="X67" s="41">
        <f t="shared" si="54"/>
        <v>0</v>
      </c>
      <c r="Y67" s="178">
        <f t="shared" si="46"/>
        <v>0</v>
      </c>
      <c r="Z67" s="291"/>
      <c r="AA67" s="78"/>
      <c r="AB67" s="161"/>
      <c r="AC67" s="41">
        <f t="shared" si="55"/>
        <v>0</v>
      </c>
      <c r="AD67" s="178">
        <f t="shared" si="47"/>
        <v>0</v>
      </c>
      <c r="AE67" s="291"/>
      <c r="AF67" s="78"/>
      <c r="AG67" s="161"/>
      <c r="AH67" s="41">
        <f t="shared" si="56"/>
        <v>0</v>
      </c>
      <c r="AI67" s="178">
        <f t="shared" si="66"/>
        <v>0</v>
      </c>
      <c r="AJ67" s="291"/>
      <c r="AK67" s="78"/>
      <c r="AL67" s="161"/>
      <c r="AM67" s="41">
        <f t="shared" si="58"/>
        <v>0</v>
      </c>
      <c r="AN67" s="178">
        <f>AM67/$AH$87</f>
        <v>0</v>
      </c>
      <c r="AO67" s="291"/>
      <c r="AP67" s="39">
        <f t="shared" si="68"/>
        <v>0</v>
      </c>
      <c r="AQ67" s="39">
        <f t="shared" si="67"/>
        <v>0</v>
      </c>
      <c r="AR67" s="106">
        <f t="shared" si="61"/>
        <v>0</v>
      </c>
      <c r="AS67" s="178">
        <f t="shared" si="48"/>
        <v>0</v>
      </c>
      <c r="AT67" s="79"/>
      <c r="AU67" s="210">
        <f t="shared" si="62"/>
        <v>0</v>
      </c>
      <c r="AV67" s="210">
        <f t="shared" si="63"/>
        <v>0</v>
      </c>
      <c r="AW67" s="210">
        <f t="shared" si="64"/>
        <v>0</v>
      </c>
      <c r="AX67" s="178">
        <f>AW67/$E$87</f>
        <v>0</v>
      </c>
      <c r="AY67" s="79"/>
    </row>
    <row r="68" spans="1:52" s="2" customFormat="1" ht="22.95" customHeight="1" outlineLevel="2" x14ac:dyDescent="0.25">
      <c r="A68" s="237"/>
      <c r="B68" s="19" t="s">
        <v>6</v>
      </c>
      <c r="C68" s="129"/>
      <c r="D68" s="128"/>
      <c r="E68" s="120">
        <f t="shared" si="50"/>
        <v>0</v>
      </c>
      <c r="F68" s="178">
        <f t="shared" si="65"/>
        <v>0</v>
      </c>
      <c r="G68" s="78"/>
      <c r="H68" s="161"/>
      <c r="I68" s="41">
        <f t="shared" si="51"/>
        <v>0</v>
      </c>
      <c r="J68" s="178"/>
      <c r="K68" s="291"/>
      <c r="L68" s="78"/>
      <c r="M68" s="161"/>
      <c r="N68" s="41">
        <f t="shared" si="52"/>
        <v>0</v>
      </c>
      <c r="O68" s="178">
        <f t="shared" si="33"/>
        <v>0</v>
      </c>
      <c r="P68" s="291"/>
      <c r="Q68" s="78"/>
      <c r="R68" s="161">
        <v>4000</v>
      </c>
      <c r="S68" s="41">
        <f t="shared" si="53"/>
        <v>4000</v>
      </c>
      <c r="T68" s="178">
        <f t="shared" si="24"/>
        <v>1.5254756813676678E-2</v>
      </c>
      <c r="U68" s="291" t="s">
        <v>206</v>
      </c>
      <c r="V68" s="78"/>
      <c r="W68" s="161"/>
      <c r="X68" s="41">
        <f t="shared" si="54"/>
        <v>0</v>
      </c>
      <c r="Y68" s="178">
        <f t="shared" si="46"/>
        <v>0</v>
      </c>
      <c r="Z68" s="291"/>
      <c r="AA68" s="78"/>
      <c r="AB68" s="161"/>
      <c r="AC68" s="41">
        <f t="shared" si="55"/>
        <v>0</v>
      </c>
      <c r="AD68" s="178">
        <f t="shared" si="47"/>
        <v>0</v>
      </c>
      <c r="AE68" s="291"/>
      <c r="AF68" s="78"/>
      <c r="AG68" s="161"/>
      <c r="AH68" s="41">
        <f t="shared" si="56"/>
        <v>0</v>
      </c>
      <c r="AI68" s="178">
        <f t="shared" si="66"/>
        <v>0</v>
      </c>
      <c r="AJ68" s="291"/>
      <c r="AK68" s="78"/>
      <c r="AL68" s="161"/>
      <c r="AM68" s="41">
        <f t="shared" si="58"/>
        <v>0</v>
      </c>
      <c r="AN68" s="178">
        <f>AM68/$AH$87</f>
        <v>0</v>
      </c>
      <c r="AO68" s="291"/>
      <c r="AP68" s="39">
        <f t="shared" si="68"/>
        <v>0</v>
      </c>
      <c r="AQ68" s="39">
        <f t="shared" si="67"/>
        <v>4000</v>
      </c>
      <c r="AR68" s="106">
        <f t="shared" si="61"/>
        <v>4000</v>
      </c>
      <c r="AS68" s="178">
        <f t="shared" si="48"/>
        <v>1.0058814873467855E-3</v>
      </c>
      <c r="AT68" s="79"/>
      <c r="AU68" s="210">
        <f t="shared" si="62"/>
        <v>0</v>
      </c>
      <c r="AV68" s="210">
        <f t="shared" si="63"/>
        <v>-4000</v>
      </c>
      <c r="AW68" s="210">
        <f t="shared" si="64"/>
        <v>-4000</v>
      </c>
      <c r="AX68" s="178">
        <f>AW68/$E$87</f>
        <v>-1.2519492536892628E-3</v>
      </c>
      <c r="AY68" s="79"/>
    </row>
    <row r="69" spans="1:52" s="2" customFormat="1" ht="13.95" customHeight="1" outlineLevel="2" x14ac:dyDescent="0.25">
      <c r="A69" s="237"/>
      <c r="B69" s="19" t="s">
        <v>78</v>
      </c>
      <c r="C69" s="129"/>
      <c r="D69" s="128"/>
      <c r="E69" s="120">
        <f t="shared" si="50"/>
        <v>0</v>
      </c>
      <c r="F69" s="184">
        <f t="shared" si="65"/>
        <v>0</v>
      </c>
      <c r="G69" s="78"/>
      <c r="H69" s="161"/>
      <c r="I69" s="41">
        <f t="shared" si="51"/>
        <v>0</v>
      </c>
      <c r="J69" s="178"/>
      <c r="K69" s="291"/>
      <c r="L69" s="78"/>
      <c r="M69" s="161"/>
      <c r="N69" s="41">
        <f t="shared" si="52"/>
        <v>0</v>
      </c>
      <c r="O69" s="178">
        <f t="shared" si="33"/>
        <v>0</v>
      </c>
      <c r="P69" s="291"/>
      <c r="Q69" s="78"/>
      <c r="R69" s="161"/>
      <c r="S69" s="41">
        <f t="shared" si="53"/>
        <v>0</v>
      </c>
      <c r="T69" s="178">
        <f t="shared" si="24"/>
        <v>0</v>
      </c>
      <c r="U69" s="291"/>
      <c r="V69" s="78"/>
      <c r="W69" s="161"/>
      <c r="X69" s="41">
        <f t="shared" si="54"/>
        <v>0</v>
      </c>
      <c r="Y69" s="178">
        <f t="shared" si="46"/>
        <v>0</v>
      </c>
      <c r="Z69" s="291"/>
      <c r="AA69" s="78"/>
      <c r="AB69" s="161"/>
      <c r="AC69" s="41">
        <f t="shared" si="55"/>
        <v>0</v>
      </c>
      <c r="AD69" s="178">
        <f t="shared" si="47"/>
        <v>0</v>
      </c>
      <c r="AE69" s="291"/>
      <c r="AF69" s="78"/>
      <c r="AG69" s="161"/>
      <c r="AH69" s="41">
        <f t="shared" si="56"/>
        <v>0</v>
      </c>
      <c r="AI69" s="178">
        <f t="shared" si="66"/>
        <v>0</v>
      </c>
      <c r="AJ69" s="291"/>
      <c r="AK69" s="78"/>
      <c r="AL69" s="161"/>
      <c r="AM69" s="41">
        <f t="shared" si="58"/>
        <v>0</v>
      </c>
      <c r="AN69" s="178">
        <f>AM69/$AH$87</f>
        <v>0</v>
      </c>
      <c r="AO69" s="291"/>
      <c r="AP69" s="39">
        <f t="shared" si="68"/>
        <v>0</v>
      </c>
      <c r="AQ69" s="39">
        <f t="shared" si="67"/>
        <v>0</v>
      </c>
      <c r="AR69" s="106">
        <f t="shared" si="61"/>
        <v>0</v>
      </c>
      <c r="AS69" s="178">
        <f t="shared" si="48"/>
        <v>0</v>
      </c>
      <c r="AT69" s="79"/>
      <c r="AU69" s="210">
        <f t="shared" si="62"/>
        <v>0</v>
      </c>
      <c r="AV69" s="210">
        <f t="shared" si="63"/>
        <v>0</v>
      </c>
      <c r="AW69" s="210">
        <f t="shared" si="64"/>
        <v>0</v>
      </c>
      <c r="AX69" s="178">
        <f>AW69/$E$87</f>
        <v>0</v>
      </c>
      <c r="AY69" s="79"/>
    </row>
    <row r="70" spans="1:52" s="2" customFormat="1" ht="14.4" outlineLevel="2" thickBot="1" x14ac:dyDescent="0.3">
      <c r="A70" s="237"/>
      <c r="B70" s="19"/>
      <c r="C70" s="130"/>
      <c r="D70" s="131"/>
      <c r="E70" s="159"/>
      <c r="F70" s="184">
        <f t="shared" si="65"/>
        <v>0</v>
      </c>
      <c r="G70" s="160"/>
      <c r="H70" s="162"/>
      <c r="I70" s="62"/>
      <c r="J70" s="205"/>
      <c r="K70" s="276"/>
      <c r="L70" s="160"/>
      <c r="M70" s="162"/>
      <c r="N70" s="62"/>
      <c r="O70" s="205">
        <f t="shared" si="33"/>
        <v>0</v>
      </c>
      <c r="P70" s="276"/>
      <c r="Q70" s="160"/>
      <c r="R70" s="162"/>
      <c r="S70" s="62"/>
      <c r="T70" s="205">
        <f t="shared" si="24"/>
        <v>0</v>
      </c>
      <c r="U70" s="276"/>
      <c r="V70" s="160"/>
      <c r="W70" s="162"/>
      <c r="X70" s="62"/>
      <c r="Y70" s="205">
        <f>X70/$S$87</f>
        <v>0</v>
      </c>
      <c r="Z70" s="276"/>
      <c r="AA70" s="160"/>
      <c r="AB70" s="162"/>
      <c r="AC70" s="62"/>
      <c r="AD70" s="205">
        <f>AC70/$S$87</f>
        <v>0</v>
      </c>
      <c r="AE70" s="276"/>
      <c r="AF70" s="160"/>
      <c r="AG70" s="162"/>
      <c r="AH70" s="62"/>
      <c r="AI70" s="205">
        <f t="shared" si="66"/>
        <v>0</v>
      </c>
      <c r="AJ70" s="276"/>
      <c r="AK70" s="160"/>
      <c r="AL70" s="162"/>
      <c r="AM70" s="62"/>
      <c r="AN70" s="205">
        <f>AM70/$AH$87</f>
        <v>0</v>
      </c>
      <c r="AO70" s="276"/>
      <c r="AP70" s="210">
        <f>G70</f>
        <v>0</v>
      </c>
      <c r="AQ70" s="210">
        <f>H70</f>
        <v>0</v>
      </c>
      <c r="AR70" s="106"/>
      <c r="AS70" s="178">
        <f t="shared" si="48"/>
        <v>0</v>
      </c>
      <c r="AT70" s="79"/>
      <c r="AU70" s="210">
        <f t="shared" si="62"/>
        <v>0</v>
      </c>
      <c r="AV70" s="210">
        <f t="shared" si="63"/>
        <v>0</v>
      </c>
      <c r="AW70" s="210"/>
      <c r="AX70" s="178">
        <f>AW70/$E$87</f>
        <v>0</v>
      </c>
      <c r="AY70" s="79"/>
    </row>
    <row r="71" spans="1:52" s="2" customFormat="1" ht="14.4" outlineLevel="1" thickBot="1" x14ac:dyDescent="0.3">
      <c r="A71" s="237"/>
      <c r="B71" s="13" t="s">
        <v>4</v>
      </c>
      <c r="C71" s="132">
        <f>C72</f>
        <v>137728.68</v>
      </c>
      <c r="D71" s="133">
        <f>D72</f>
        <v>0</v>
      </c>
      <c r="E71" s="132">
        <f>E72</f>
        <v>137728.68</v>
      </c>
      <c r="F71" s="171">
        <f>E71/$E$87</f>
        <v>4.3107329534401821E-2</v>
      </c>
      <c r="G71" s="99">
        <f>G72</f>
        <v>0</v>
      </c>
      <c r="H71" s="63">
        <f>H72</f>
        <v>0</v>
      </c>
      <c r="I71" s="63">
        <f>I72</f>
        <v>0</v>
      </c>
      <c r="J71" s="194"/>
      <c r="K71" s="277"/>
      <c r="L71" s="99">
        <f>L72</f>
        <v>0</v>
      </c>
      <c r="M71" s="63">
        <f>M72</f>
        <v>0</v>
      </c>
      <c r="N71" s="63">
        <f>N72</f>
        <v>0</v>
      </c>
      <c r="O71" s="194">
        <f t="shared" si="33"/>
        <v>0</v>
      </c>
      <c r="P71" s="277"/>
      <c r="Q71" s="99">
        <f>Q72</f>
        <v>0</v>
      </c>
      <c r="R71" s="63">
        <f>R72</f>
        <v>0</v>
      </c>
      <c r="S71" s="63">
        <f>S72</f>
        <v>0</v>
      </c>
      <c r="T71" s="194">
        <f t="shared" si="24"/>
        <v>0</v>
      </c>
      <c r="U71" s="277"/>
      <c r="V71" s="99">
        <f>V72</f>
        <v>0</v>
      </c>
      <c r="W71" s="63">
        <f>W72</f>
        <v>0</v>
      </c>
      <c r="X71" s="63">
        <f>X72</f>
        <v>0</v>
      </c>
      <c r="Y71" s="194">
        <f>X71/$X$87</f>
        <v>0</v>
      </c>
      <c r="Z71" s="277"/>
      <c r="AA71" s="99">
        <f>AA72</f>
        <v>0</v>
      </c>
      <c r="AB71" s="63">
        <f>AB72</f>
        <v>0</v>
      </c>
      <c r="AC71" s="63">
        <f>AC72</f>
        <v>0</v>
      </c>
      <c r="AD71" s="194">
        <f>AC71/$AC$87</f>
        <v>0</v>
      </c>
      <c r="AE71" s="277"/>
      <c r="AF71" s="99">
        <f>AF72</f>
        <v>0</v>
      </c>
      <c r="AG71" s="63">
        <f>AG72</f>
        <v>0</v>
      </c>
      <c r="AH71" s="63">
        <f>AH72</f>
        <v>0</v>
      </c>
      <c r="AI71" s="194">
        <f>AH71/$AC$87</f>
        <v>0</v>
      </c>
      <c r="AJ71" s="277"/>
      <c r="AK71" s="99">
        <f>AK72</f>
        <v>0</v>
      </c>
      <c r="AL71" s="63">
        <f>AL72</f>
        <v>0</v>
      </c>
      <c r="AM71" s="63">
        <f>AM72</f>
        <v>0</v>
      </c>
      <c r="AN71" s="194">
        <f>AM71/$AC$87</f>
        <v>0</v>
      </c>
      <c r="AO71" s="277"/>
      <c r="AP71" s="139">
        <f>AP72</f>
        <v>0</v>
      </c>
      <c r="AQ71" s="63">
        <f>AQ72</f>
        <v>0</v>
      </c>
      <c r="AR71" s="60">
        <f>AR72</f>
        <v>0</v>
      </c>
      <c r="AS71" s="63"/>
      <c r="AT71" s="63"/>
      <c r="AU71" s="132">
        <f t="shared" si="62"/>
        <v>137728.68</v>
      </c>
      <c r="AV71" s="133">
        <f t="shared" si="63"/>
        <v>0</v>
      </c>
      <c r="AW71" s="132">
        <f>AW72</f>
        <v>137728.68</v>
      </c>
      <c r="AX71" s="171">
        <f>AW71/$E$87</f>
        <v>4.3107329534401821E-2</v>
      </c>
      <c r="AY71" s="63"/>
    </row>
    <row r="72" spans="1:52" s="2" customFormat="1" ht="14.4" outlineLevel="1" thickBot="1" x14ac:dyDescent="0.3">
      <c r="A72" s="20"/>
      <c r="B72" s="225" t="s">
        <v>64</v>
      </c>
      <c r="C72" s="129">
        <f>C6*3%</f>
        <v>137728.68</v>
      </c>
      <c r="D72" s="135"/>
      <c r="E72" s="136">
        <f>C72+D72</f>
        <v>137728.68</v>
      </c>
      <c r="F72" s="185"/>
      <c r="G72" s="163"/>
      <c r="H72" s="112"/>
      <c r="I72" s="41">
        <f>G72+H72*1</f>
        <v>0</v>
      </c>
      <c r="J72" s="177"/>
      <c r="K72" s="278"/>
      <c r="L72" s="163"/>
      <c r="M72" s="112"/>
      <c r="N72" s="41">
        <f>L72+M72*1</f>
        <v>0</v>
      </c>
      <c r="O72" s="177">
        <f t="shared" si="33"/>
        <v>0</v>
      </c>
      <c r="P72" s="278"/>
      <c r="Q72" s="163"/>
      <c r="R72" s="112"/>
      <c r="S72" s="41">
        <f>Q72+R72*1</f>
        <v>0</v>
      </c>
      <c r="T72" s="177">
        <f t="shared" si="24"/>
        <v>0</v>
      </c>
      <c r="U72" s="278"/>
      <c r="V72" s="163"/>
      <c r="W72" s="112"/>
      <c r="X72" s="41">
        <f>V72+W72*1</f>
        <v>0</v>
      </c>
      <c r="Y72" s="177">
        <f>X72/$X$87</f>
        <v>0</v>
      </c>
      <c r="Z72" s="278"/>
      <c r="AA72" s="163"/>
      <c r="AB72" s="112"/>
      <c r="AC72" s="41">
        <f>AA72+AB72*1</f>
        <v>0</v>
      </c>
      <c r="AD72" s="177">
        <f>AC72/$AC$87</f>
        <v>0</v>
      </c>
      <c r="AE72" s="278"/>
      <c r="AF72" s="163"/>
      <c r="AG72" s="112"/>
      <c r="AH72" s="41">
        <f>AF72+AG72*1</f>
        <v>0</v>
      </c>
      <c r="AI72" s="177">
        <f>AH72/$AC$87</f>
        <v>0</v>
      </c>
      <c r="AJ72" s="278"/>
      <c r="AK72" s="163"/>
      <c r="AL72" s="112"/>
      <c r="AM72" s="41">
        <f>AK72+AL72*1</f>
        <v>0</v>
      </c>
      <c r="AN72" s="177">
        <f>AM72/$AC$87</f>
        <v>0</v>
      </c>
      <c r="AO72" s="278"/>
      <c r="AP72" s="39">
        <f>AP6*0.03*0</f>
        <v>0</v>
      </c>
      <c r="AQ72" s="39">
        <f>H72+M72+R72+W72+AB72+AG72</f>
        <v>0</v>
      </c>
      <c r="AR72" s="106">
        <f>AP72+AQ72*1</f>
        <v>0</v>
      </c>
      <c r="AS72" s="64"/>
      <c r="AT72" s="64"/>
      <c r="AU72" s="210">
        <f t="shared" si="62"/>
        <v>137728.68</v>
      </c>
      <c r="AV72" s="210">
        <f t="shared" si="63"/>
        <v>0</v>
      </c>
      <c r="AW72" s="210">
        <f>AU72+AV72*1</f>
        <v>137728.68</v>
      </c>
      <c r="AX72" s="64"/>
      <c r="AY72" s="64"/>
    </row>
    <row r="73" spans="1:52" s="2" customFormat="1" ht="14.4" thickBot="1" x14ac:dyDescent="0.3">
      <c r="A73" s="5"/>
      <c r="B73" s="23" t="s">
        <v>48</v>
      </c>
      <c r="C73" s="137">
        <f>C36-C39-C48-C52</f>
        <v>2529929</v>
      </c>
      <c r="D73" s="137">
        <f>D36-D39-D48-D52</f>
        <v>-866315</v>
      </c>
      <c r="E73" s="138">
        <f>E36-E39-E48-E52</f>
        <v>1663614</v>
      </c>
      <c r="F73" s="172"/>
      <c r="G73" s="65">
        <f>G36-G39-G48-G52</f>
        <v>-44655</v>
      </c>
      <c r="H73" s="65">
        <f>H36-H39-H48-H52</f>
        <v>-30598</v>
      </c>
      <c r="I73" s="66">
        <f>I36-I39-I48-I52</f>
        <v>-75253</v>
      </c>
      <c r="J73" s="195"/>
      <c r="K73" s="279"/>
      <c r="L73" s="65">
        <f>L36-L39-L48-L52</f>
        <v>-959870.27400000009</v>
      </c>
      <c r="M73" s="65">
        <f>M36-M39-M48-M52</f>
        <v>-43876.796000000002</v>
      </c>
      <c r="N73" s="66">
        <f>N36-N39-N48-N52</f>
        <v>-1003747.0700000001</v>
      </c>
      <c r="O73" s="195"/>
      <c r="P73" s="279"/>
      <c r="Q73" s="65">
        <f>Q36-Q39-Q48-Q52</f>
        <v>-221007.61000000002</v>
      </c>
      <c r="R73" s="65">
        <f>R36-R39-R48-R52</f>
        <v>-36261</v>
      </c>
      <c r="S73" s="66">
        <f>S36-S39-S48-S52</f>
        <v>-257268.61000000002</v>
      </c>
      <c r="T73" s="195"/>
      <c r="U73" s="279"/>
      <c r="V73" s="65">
        <f>V36-V39-V48-V52</f>
        <v>1941287.824</v>
      </c>
      <c r="W73" s="65">
        <f>W36-W39-W48-W52</f>
        <v>-460123</v>
      </c>
      <c r="X73" s="66">
        <f>X36-X39-X48-X52</f>
        <v>1481164.824</v>
      </c>
      <c r="Y73" s="195"/>
      <c r="Z73" s="279"/>
      <c r="AA73" s="65">
        <f>AA36-AA39-AA48-AA52</f>
        <v>1087250.4400000002</v>
      </c>
      <c r="AB73" s="65">
        <f>AB36-AB39-AB48-AB52</f>
        <v>-262444.07</v>
      </c>
      <c r="AC73" s="66">
        <f>AC36-AC39-AC48-AC52</f>
        <v>824806.37</v>
      </c>
      <c r="AD73" s="195"/>
      <c r="AE73" s="279"/>
      <c r="AF73" s="65">
        <f>AF36-AF39-AF48-AF52</f>
        <v>467292.98731677025</v>
      </c>
      <c r="AG73" s="65">
        <f>AG36-AG39-AG48-AG52</f>
        <v>-181273.36</v>
      </c>
      <c r="AH73" s="66">
        <f>AH36-AH39-AH48-AH52</f>
        <v>286019.6273167702</v>
      </c>
      <c r="AI73" s="195"/>
      <c r="AJ73" s="279"/>
      <c r="AK73" s="65">
        <f>AK36-AK39-AK48-AK52</f>
        <v>-3489.2060000000001</v>
      </c>
      <c r="AL73" s="65">
        <f>AL36-AL39-AL48-AL52</f>
        <v>-80000</v>
      </c>
      <c r="AM73" s="66">
        <f>AM36-AM39-AM48-AM52</f>
        <v>-83489.206000000006</v>
      </c>
      <c r="AN73" s="195"/>
      <c r="AO73" s="279"/>
      <c r="AP73" s="65">
        <f>AP36-AP39-AP48-AP52</f>
        <v>2266809.1613167701</v>
      </c>
      <c r="AQ73" s="65">
        <f>AQ36-AQ39-AQ48-AQ52</f>
        <v>-1094576.226</v>
      </c>
      <c r="AR73" s="138">
        <f>AR36-AR39-AR48-AR52</f>
        <v>1172232.9353167696</v>
      </c>
      <c r="AS73" s="66"/>
      <c r="AT73" s="66"/>
      <c r="AU73" s="65">
        <f>AU36-AU39-AU48-AU52</f>
        <v>263119.83868322964</v>
      </c>
      <c r="AV73" s="65">
        <f>AV36-AV39-AV48-AV52</f>
        <v>228261.22599999997</v>
      </c>
      <c r="AW73" s="138">
        <f>AW36-AW39-AW48-AW52</f>
        <v>491381.0646832296</v>
      </c>
      <c r="AX73" s="66"/>
      <c r="AY73" s="66"/>
    </row>
    <row r="74" spans="1:52" s="2" customFormat="1" ht="13.8" x14ac:dyDescent="0.25">
      <c r="A74" s="294"/>
      <c r="B74" s="36" t="s">
        <v>49</v>
      </c>
      <c r="C74" s="157">
        <f>C73/C5</f>
        <v>0.55106801284961127</v>
      </c>
      <c r="D74" s="157" t="e">
        <f>D73/D5</f>
        <v>#DIV/0!</v>
      </c>
      <c r="E74" s="158">
        <f>E73/E5</f>
        <v>0.36236766372842605</v>
      </c>
      <c r="F74" s="167"/>
      <c r="G74" s="54" t="e">
        <f>G73/G5</f>
        <v>#DIV/0!</v>
      </c>
      <c r="H74" s="54" t="e">
        <f>H73/H5</f>
        <v>#DIV/0!</v>
      </c>
      <c r="I74" s="55" t="e">
        <f>I73/I5</f>
        <v>#DIV/0!</v>
      </c>
      <c r="J74" s="196"/>
      <c r="K74" s="280"/>
      <c r="L74" s="54" t="e">
        <f>L73/L5</f>
        <v>#DIV/0!</v>
      </c>
      <c r="M74" s="54" t="e">
        <f>M73/M5</f>
        <v>#DIV/0!</v>
      </c>
      <c r="N74" s="55" t="e">
        <f>N73/N5</f>
        <v>#DIV/0!</v>
      </c>
      <c r="O74" s="196"/>
      <c r="P74" s="280"/>
      <c r="Q74" s="54" t="e">
        <f>Q73/Q5</f>
        <v>#DIV/0!</v>
      </c>
      <c r="R74" s="54" t="e">
        <f>R73/R5</f>
        <v>#DIV/0!</v>
      </c>
      <c r="S74" s="55" t="e">
        <f>S73/S5</f>
        <v>#DIV/0!</v>
      </c>
      <c r="T74" s="196"/>
      <c r="U74" s="280"/>
      <c r="V74" s="54">
        <f>V73/V5</f>
        <v>0.64170765901819149</v>
      </c>
      <c r="W74" s="54" t="e">
        <f>W73/W5</f>
        <v>#DIV/0!</v>
      </c>
      <c r="X74" s="55">
        <f>X73/X5</f>
        <v>0.4896104534724221</v>
      </c>
      <c r="Y74" s="196"/>
      <c r="Z74" s="280"/>
      <c r="AA74" s="54">
        <f>AA73/AA5</f>
        <v>0.74048431557122008</v>
      </c>
      <c r="AB74" s="54" t="e">
        <f>AB73/AB5</f>
        <v>#DIV/0!</v>
      </c>
      <c r="AC74" s="55">
        <f>AC73/AC5</f>
        <v>0.56174378772220357</v>
      </c>
      <c r="AD74" s="196"/>
      <c r="AE74" s="280"/>
      <c r="AF74" s="54">
        <f>AF73/AF5</f>
        <v>0.9233261780904396</v>
      </c>
      <c r="AG74" s="54" t="e">
        <f>AG73/AG5</f>
        <v>#DIV/0!</v>
      </c>
      <c r="AH74" s="55">
        <f>AH73/AH5</f>
        <v>0.56514738401204268</v>
      </c>
      <c r="AI74" s="196"/>
      <c r="AJ74" s="280"/>
      <c r="AK74" s="54" t="e">
        <f>AK73/AK5</f>
        <v>#DIV/0!</v>
      </c>
      <c r="AL74" s="54" t="e">
        <f>AL73/AL5</f>
        <v>#DIV/0!</v>
      </c>
      <c r="AM74" s="55" t="e">
        <f>AM73/AM5</f>
        <v>#DIV/0!</v>
      </c>
      <c r="AN74" s="196"/>
      <c r="AO74" s="280"/>
      <c r="AP74" s="54">
        <f>AP73/AP5</f>
        <v>0.45339954150322082</v>
      </c>
      <c r="AQ74" s="54" t="e">
        <f>AQ73/AQ5</f>
        <v>#DIV/0!</v>
      </c>
      <c r="AR74" s="55">
        <f>AR73/AR5</f>
        <v>0.23446608760786025</v>
      </c>
      <c r="AS74" s="55"/>
      <c r="AT74" s="55"/>
      <c r="AU74" s="54">
        <f>AU73/AU5</f>
        <v>-0.64391021196956055</v>
      </c>
      <c r="AV74" s="54" t="e">
        <f>AV73/AV5</f>
        <v>#DIV/0!</v>
      </c>
      <c r="AW74" s="55">
        <f>AW73/AW5</f>
        <v>-1.2025139841276944</v>
      </c>
      <c r="AX74" s="55"/>
      <c r="AY74" s="55"/>
    </row>
    <row r="75" spans="1:52" s="2" customFormat="1" ht="14.4" outlineLevel="1" thickBot="1" x14ac:dyDescent="0.3">
      <c r="A75" s="294"/>
      <c r="B75" s="27" t="s">
        <v>9</v>
      </c>
      <c r="C75" s="139">
        <f>C76-C77</f>
        <v>-129947</v>
      </c>
      <c r="D75" s="139">
        <f>D76-D77</f>
        <v>0</v>
      </c>
      <c r="E75" s="140">
        <f>E76-E77</f>
        <v>-129947</v>
      </c>
      <c r="F75" s="173"/>
      <c r="G75" s="67">
        <f>G76-G77</f>
        <v>0</v>
      </c>
      <c r="H75" s="67">
        <f>H76-H77</f>
        <v>0</v>
      </c>
      <c r="I75" s="67">
        <f>I76-I77</f>
        <v>-4172.454545454545</v>
      </c>
      <c r="J75" s="197"/>
      <c r="K75" s="281"/>
      <c r="L75" s="67">
        <f>L76-L77</f>
        <v>0</v>
      </c>
      <c r="M75" s="67">
        <f>M76-M77</f>
        <v>0</v>
      </c>
      <c r="N75" s="67">
        <f>N76-N77</f>
        <v>-5983.1994545454554</v>
      </c>
      <c r="O75" s="197"/>
      <c r="P75" s="281"/>
      <c r="Q75" s="67">
        <f>Q76-Q77</f>
        <v>0</v>
      </c>
      <c r="R75" s="67">
        <f>R76-R77</f>
        <v>0</v>
      </c>
      <c r="S75" s="67">
        <f>S76-S77</f>
        <v>-4944.681818181818</v>
      </c>
      <c r="T75" s="197"/>
      <c r="U75" s="281"/>
      <c r="V75" s="67">
        <f>V76-V77</f>
        <v>0</v>
      </c>
      <c r="W75" s="67">
        <f>W76-W77</f>
        <v>0</v>
      </c>
      <c r="X75" s="67">
        <f>X76-X77</f>
        <v>-62744.045454545456</v>
      </c>
      <c r="Y75" s="197"/>
      <c r="Z75" s="281"/>
      <c r="AA75" s="67">
        <f>AA76-AA77</f>
        <v>0</v>
      </c>
      <c r="AB75" s="67">
        <f>AB76-AB77</f>
        <v>0</v>
      </c>
      <c r="AC75" s="67">
        <f>AC76-AC77</f>
        <v>-36838.729999575298</v>
      </c>
      <c r="AD75" s="197"/>
      <c r="AE75" s="281"/>
      <c r="AF75" s="67">
        <f>AF76-AF77</f>
        <v>0</v>
      </c>
      <c r="AG75" s="67">
        <f>AG76-AG77</f>
        <v>0</v>
      </c>
      <c r="AH75" s="67">
        <f>AH76-AH77</f>
        <v>-24791.483129312539</v>
      </c>
      <c r="AI75" s="197"/>
      <c r="AJ75" s="281"/>
      <c r="AK75" s="67">
        <f>AK76-AK77</f>
        <v>0</v>
      </c>
      <c r="AL75" s="67">
        <f>AL76-AL77</f>
        <v>0</v>
      </c>
      <c r="AM75" s="67">
        <f>AM76-AM77</f>
        <v>-11007.360889483707</v>
      </c>
      <c r="AN75" s="197"/>
      <c r="AO75" s="281"/>
      <c r="AP75" s="139">
        <f>AP76-AP77</f>
        <v>0</v>
      </c>
      <c r="AQ75" s="139">
        <f>AQ76-AQ77</f>
        <v>0</v>
      </c>
      <c r="AR75" s="140">
        <f>AR76-AR77</f>
        <v>-149260.39445454543</v>
      </c>
      <c r="AS75" s="67"/>
      <c r="AT75" s="67"/>
      <c r="AU75" s="139">
        <f>AU76-AU77</f>
        <v>-129947</v>
      </c>
      <c r="AV75" s="139">
        <f>AV76-AV77</f>
        <v>0</v>
      </c>
      <c r="AW75" s="140">
        <f>AW76-AW77</f>
        <v>31126.530818181811</v>
      </c>
      <c r="AX75" s="173"/>
      <c r="AY75" s="67"/>
    </row>
    <row r="76" spans="1:52" s="2" customFormat="1" ht="13.8" outlineLevel="2" x14ac:dyDescent="0.25">
      <c r="A76" s="11"/>
      <c r="B76" s="6" t="s">
        <v>43</v>
      </c>
      <c r="C76" s="141"/>
      <c r="D76" s="142"/>
      <c r="E76" s="119">
        <f>C76+D76*1.15</f>
        <v>0</v>
      </c>
      <c r="F76" s="186"/>
      <c r="G76" s="71"/>
      <c r="H76" s="71"/>
      <c r="I76" s="71">
        <f>G76+H76*1.15</f>
        <v>0</v>
      </c>
      <c r="J76" s="177"/>
      <c r="K76" s="265"/>
      <c r="L76" s="71"/>
      <c r="M76" s="71"/>
      <c r="N76" s="71">
        <f>L76+M76*1.15</f>
        <v>0</v>
      </c>
      <c r="O76" s="177"/>
      <c r="P76" s="265"/>
      <c r="Q76" s="71"/>
      <c r="R76" s="71"/>
      <c r="S76" s="71">
        <f>Q76+R76*1.15</f>
        <v>0</v>
      </c>
      <c r="T76" s="177"/>
      <c r="U76" s="265"/>
      <c r="V76" s="71"/>
      <c r="W76" s="71"/>
      <c r="X76" s="71">
        <f>V76+W76*1.15</f>
        <v>0</v>
      </c>
      <c r="Y76" s="177">
        <f>X76/$X$87</f>
        <v>0</v>
      </c>
      <c r="Z76" s="265"/>
      <c r="AA76" s="71"/>
      <c r="AB76" s="71"/>
      <c r="AC76" s="71">
        <f>AA76+AB76*1.15</f>
        <v>0</v>
      </c>
      <c r="AD76" s="177">
        <f>AC76/$X$87</f>
        <v>0</v>
      </c>
      <c r="AE76" s="265"/>
      <c r="AF76" s="71"/>
      <c r="AG76" s="71"/>
      <c r="AH76" s="71">
        <f>AF76+AG76*1.15</f>
        <v>0</v>
      </c>
      <c r="AI76" s="177">
        <f>AH76/$X$87</f>
        <v>0</v>
      </c>
      <c r="AJ76" s="265"/>
      <c r="AK76" s="71"/>
      <c r="AL76" s="71"/>
      <c r="AM76" s="71">
        <f>AK76+AL76*1.15</f>
        <v>0</v>
      </c>
      <c r="AN76" s="177">
        <f>AM76/$X$87</f>
        <v>0</v>
      </c>
      <c r="AO76" s="265"/>
      <c r="AP76" s="39">
        <f>G76+L76+Q76+V76+AA76+AF76+AK76</f>
        <v>0</v>
      </c>
      <c r="AQ76" s="39">
        <f>H76+M76+R76+W76+AB76+AG76+AL76</f>
        <v>0</v>
      </c>
      <c r="AR76" s="68">
        <f>AP76+AQ76*1.15</f>
        <v>0</v>
      </c>
      <c r="AS76" s="68"/>
      <c r="AT76" s="68"/>
      <c r="AU76" s="68"/>
      <c r="AV76" s="68"/>
      <c r="AW76" s="68">
        <f>AU76+AV76*1.15</f>
        <v>0</v>
      </c>
      <c r="AX76" s="68"/>
      <c r="AY76" s="68"/>
    </row>
    <row r="77" spans="1:52" s="2" customFormat="1" ht="13.8" outlineLevel="2" x14ac:dyDescent="0.25">
      <c r="A77" s="11"/>
      <c r="B77" s="24" t="s">
        <v>79</v>
      </c>
      <c r="C77" s="113">
        <v>129947</v>
      </c>
      <c r="D77" s="119"/>
      <c r="E77" s="119">
        <f>C77+D77*1.15</f>
        <v>129947</v>
      </c>
      <c r="F77" s="180">
        <f>E77/$E$87</f>
        <v>4.0671762417289654E-2</v>
      </c>
      <c r="G77" s="45"/>
      <c r="H77" s="45"/>
      <c r="I77" s="45">
        <f>(H8+H39+H48+H52)/0.88*0.12</f>
        <v>4172.454545454545</v>
      </c>
      <c r="J77" s="178"/>
      <c r="K77" s="265"/>
      <c r="L77" s="45"/>
      <c r="M77" s="45"/>
      <c r="N77" s="45">
        <f>(M8+M39+M48+M52)/0.88*0.12</f>
        <v>5983.1994545454554</v>
      </c>
      <c r="O77" s="178"/>
      <c r="P77" s="265"/>
      <c r="Q77" s="45"/>
      <c r="R77" s="45"/>
      <c r="S77" s="45">
        <f>(R8+R39+R48+R52)/0.88*0.12</f>
        <v>4944.681818181818</v>
      </c>
      <c r="T77" s="178"/>
      <c r="U77" s="265"/>
      <c r="V77" s="45"/>
      <c r="W77" s="45"/>
      <c r="X77" s="45">
        <f>(W8+W39+W48+W52)/0.88*0.12</f>
        <v>62744.045454545456</v>
      </c>
      <c r="Y77" s="178">
        <f>X77/$X$87</f>
        <v>3.9049809119329808E-2</v>
      </c>
      <c r="Z77" s="265"/>
      <c r="AA77" s="45"/>
      <c r="AB77" s="45"/>
      <c r="AC77" s="45">
        <f>(AB8+AB39+AB48+AB52)/(1-'расчет 2020'!E13)*'расчет 2020'!E13</f>
        <v>36838.729999575298</v>
      </c>
      <c r="AD77" s="178">
        <f>AC77/$X$87</f>
        <v>2.2927201525825898E-2</v>
      </c>
      <c r="AE77" s="265"/>
      <c r="AF77" s="45"/>
      <c r="AG77" s="45"/>
      <c r="AH77" s="45">
        <f>(AG8+AG39+AG48+AG52)/(1-'расчет 2020'!E14)*'расчет 2020'!E14</f>
        <v>24791.483129312539</v>
      </c>
      <c r="AI77" s="178">
        <f>AH77/$X$87</f>
        <v>1.5429395362880705E-2</v>
      </c>
      <c r="AJ77" s="265"/>
      <c r="AK77" s="45"/>
      <c r="AL77" s="45"/>
      <c r="AM77" s="45">
        <f>(AL8+AL39+AL48+AL52)/(1-'расчет 2020'!E15)*'расчет 2020'!E15</f>
        <v>11007.360889483707</v>
      </c>
      <c r="AN77" s="178">
        <f>AM77/$X$87</f>
        <v>6.8506156803884556E-3</v>
      </c>
      <c r="AO77" s="265"/>
      <c r="AP77" s="39">
        <f>G77+L77+Q77+V77+AA77+AF77+AK77</f>
        <v>0</v>
      </c>
      <c r="AQ77" s="39">
        <f>H77+M77+R77+W77+AB77+AG77+AL77</f>
        <v>0</v>
      </c>
      <c r="AR77" s="106">
        <f>(AQ8+AQ39+AQ48+AQ52)/0.88*0.12</f>
        <v>149260.39445454543</v>
      </c>
      <c r="AS77" s="45"/>
      <c r="AT77" s="45"/>
      <c r="AU77" s="210">
        <f>C77-AP77</f>
        <v>129947</v>
      </c>
      <c r="AV77" s="210">
        <f>D77-AQ77</f>
        <v>0</v>
      </c>
      <c r="AW77" s="210">
        <f>(AV8+AV39+AV48+AV52)/0.88*0.12</f>
        <v>-31126.530818181811</v>
      </c>
      <c r="AX77" s="178">
        <f>AW77/$E$87</f>
        <v>-9.7422092569396396E-3</v>
      </c>
      <c r="AY77" s="45"/>
    </row>
    <row r="78" spans="1:52" ht="13.8" outlineLevel="2" x14ac:dyDescent="0.25">
      <c r="A78" s="3"/>
      <c r="B78" s="25"/>
      <c r="C78" s="143"/>
      <c r="D78" s="144"/>
      <c r="E78" s="145"/>
      <c r="F78" s="187"/>
      <c r="G78" s="69"/>
      <c r="H78" s="69"/>
      <c r="I78" s="69"/>
      <c r="J78" s="177"/>
      <c r="K78" s="282"/>
      <c r="L78" s="69"/>
      <c r="M78" s="69"/>
      <c r="N78" s="69"/>
      <c r="O78" s="177"/>
      <c r="P78" s="282"/>
      <c r="Q78" s="69"/>
      <c r="R78" s="69"/>
      <c r="S78" s="69"/>
      <c r="T78" s="177"/>
      <c r="U78" s="282"/>
      <c r="V78" s="69"/>
      <c r="W78" s="69"/>
      <c r="X78" s="69"/>
      <c r="Y78" s="177"/>
      <c r="Z78" s="282"/>
      <c r="AA78" s="69"/>
      <c r="AB78" s="69"/>
      <c r="AC78" s="69"/>
      <c r="AD78" s="177"/>
      <c r="AE78" s="282"/>
      <c r="AF78" s="69"/>
      <c r="AG78" s="69"/>
      <c r="AH78" s="69"/>
      <c r="AI78" s="177"/>
      <c r="AJ78" s="282"/>
      <c r="AK78" s="69"/>
      <c r="AL78" s="69"/>
      <c r="AM78" s="69"/>
      <c r="AN78" s="177"/>
      <c r="AO78" s="282"/>
      <c r="AP78" s="69">
        <f>G78+L78+Q78</f>
        <v>0</v>
      </c>
      <c r="AQ78" s="69">
        <f>H78+M78+R78</f>
        <v>0</v>
      </c>
      <c r="AR78" s="69"/>
      <c r="AS78" s="69"/>
      <c r="AT78" s="69"/>
      <c r="AU78" s="69"/>
      <c r="AV78" s="69"/>
      <c r="AW78" s="69"/>
      <c r="AX78" s="69"/>
      <c r="AY78" s="69"/>
      <c r="AZ78" s="2"/>
    </row>
    <row r="79" spans="1:52" s="2" customFormat="1" ht="14.4" outlineLevel="1" thickBot="1" x14ac:dyDescent="0.3">
      <c r="A79" s="26"/>
      <c r="B79" s="27" t="s">
        <v>12</v>
      </c>
      <c r="C79" s="139">
        <f>(C73+C76)-C77</f>
        <v>2399982</v>
      </c>
      <c r="D79" s="139">
        <f>(D73+D76)-D77</f>
        <v>-866315</v>
      </c>
      <c r="E79" s="140">
        <f>(E73+E76)-E77</f>
        <v>1533667</v>
      </c>
      <c r="F79" s="173"/>
      <c r="G79" s="139">
        <f>(G73+G76)-G77</f>
        <v>-44655</v>
      </c>
      <c r="H79" s="139">
        <f>(H73+H76)-H77</f>
        <v>-30598</v>
      </c>
      <c r="I79" s="140">
        <f>(I73+I76)-I77</f>
        <v>-79425.454545454544</v>
      </c>
      <c r="J79" s="198"/>
      <c r="K79" s="283"/>
      <c r="L79" s="139">
        <f>(L73+L76)-L77</f>
        <v>-959870.27400000009</v>
      </c>
      <c r="M79" s="139">
        <f>(M73+M76)-M77</f>
        <v>-43876.796000000002</v>
      </c>
      <c r="N79" s="140">
        <f>(N73+N76)-N77</f>
        <v>-1009730.2694545456</v>
      </c>
      <c r="O79" s="198"/>
      <c r="P79" s="283"/>
      <c r="Q79" s="139">
        <f>(Q73+Q76)-Q77</f>
        <v>-221007.61000000002</v>
      </c>
      <c r="R79" s="139">
        <f>(R73+R76)-R77</f>
        <v>-36261</v>
      </c>
      <c r="S79" s="140">
        <f>(S73+S76)-S77</f>
        <v>-262213.29181818181</v>
      </c>
      <c r="T79" s="198"/>
      <c r="U79" s="283"/>
      <c r="V79" s="139">
        <f>(V73+V76)-V77</f>
        <v>1941287.824</v>
      </c>
      <c r="W79" s="139">
        <f>(W73+W76)-W77</f>
        <v>-460123</v>
      </c>
      <c r="X79" s="140">
        <f>(X73+X76)-X77</f>
        <v>1418420.7785454546</v>
      </c>
      <c r="Y79" s="198"/>
      <c r="Z79" s="283"/>
      <c r="AA79" s="139">
        <f>(AA73+AA76)-AA77</f>
        <v>1087250.4400000002</v>
      </c>
      <c r="AB79" s="139">
        <f>(AB73+AB76)-AB77</f>
        <v>-262444.07</v>
      </c>
      <c r="AC79" s="140">
        <f>(AC73+AC76)-AC77</f>
        <v>787967.6400004247</v>
      </c>
      <c r="AD79" s="198"/>
      <c r="AE79" s="283"/>
      <c r="AF79" s="139">
        <f>(AF73+AF76)-AF77</f>
        <v>467292.98731677025</v>
      </c>
      <c r="AG79" s="139">
        <f>(AG73+AG76)-AG77</f>
        <v>-181273.36</v>
      </c>
      <c r="AH79" s="140">
        <f>(AH73+AH76)-AH77</f>
        <v>261228.14418745766</v>
      </c>
      <c r="AI79" s="198"/>
      <c r="AJ79" s="283"/>
      <c r="AK79" s="139">
        <f>(AK73+AK76)-AK77</f>
        <v>-3489.2060000000001</v>
      </c>
      <c r="AL79" s="139">
        <f>(AL73+AL76)-AL77</f>
        <v>-80000</v>
      </c>
      <c r="AM79" s="140">
        <f>(AM73+AM76)-AM77</f>
        <v>-94496.566889483714</v>
      </c>
      <c r="AN79" s="198"/>
      <c r="AO79" s="283"/>
      <c r="AP79" s="139">
        <f>(AP73+AP76)-AP77</f>
        <v>2266809.1613167701</v>
      </c>
      <c r="AQ79" s="139">
        <f>(AQ73+AQ76)-AQ77</f>
        <v>-1094576.226</v>
      </c>
      <c r="AR79" s="140">
        <f>(AR73+AR76)-AR77</f>
        <v>1022972.5408622242</v>
      </c>
      <c r="AS79" s="67"/>
      <c r="AT79" s="67"/>
      <c r="AU79" s="139">
        <f>(AU73+AU76)-AU77</f>
        <v>133172.83868322964</v>
      </c>
      <c r="AV79" s="139">
        <f>(AV73+AV76)-AV77</f>
        <v>228261.22599999997</v>
      </c>
      <c r="AW79" s="140">
        <f>(AW73+AW76)-AW77</f>
        <v>522507.59550141142</v>
      </c>
      <c r="AX79" s="67"/>
      <c r="AY79" s="67"/>
    </row>
    <row r="80" spans="1:52" s="2" customFormat="1" ht="13.8" outlineLevel="2" x14ac:dyDescent="0.25">
      <c r="A80" s="293"/>
      <c r="B80" s="6" t="s">
        <v>38</v>
      </c>
      <c r="C80" s="141"/>
      <c r="D80" s="142"/>
      <c r="E80" s="146">
        <f>C80+D80</f>
        <v>0</v>
      </c>
      <c r="F80" s="180">
        <f>E80/$E$87</f>
        <v>0</v>
      </c>
      <c r="G80" s="141"/>
      <c r="H80" s="142"/>
      <c r="I80" s="146">
        <f>G80+H80</f>
        <v>0</v>
      </c>
      <c r="J80" s="178"/>
      <c r="K80" s="284"/>
      <c r="L80" s="141"/>
      <c r="M80" s="142"/>
      <c r="N80" s="146">
        <f>L80+M80</f>
        <v>0</v>
      </c>
      <c r="O80" s="178"/>
      <c r="P80" s="284"/>
      <c r="Q80" s="141"/>
      <c r="R80" s="142"/>
      <c r="S80" s="146">
        <f>Q80+R80</f>
        <v>0</v>
      </c>
      <c r="T80" s="178"/>
      <c r="U80" s="284"/>
      <c r="V80" s="141"/>
      <c r="W80" s="142"/>
      <c r="X80" s="146">
        <f>V80+W80</f>
        <v>0</v>
      </c>
      <c r="Y80" s="178">
        <f>X80/$X$87</f>
        <v>0</v>
      </c>
      <c r="Z80" s="284"/>
      <c r="AA80" s="141"/>
      <c r="AB80" s="142"/>
      <c r="AC80" s="146">
        <f>AA80+AB80</f>
        <v>0</v>
      </c>
      <c r="AD80" s="178">
        <f>AC80/$X$87</f>
        <v>0</v>
      </c>
      <c r="AE80" s="284"/>
      <c r="AF80" s="141"/>
      <c r="AG80" s="142"/>
      <c r="AH80" s="146">
        <f>AF80+AG80</f>
        <v>0</v>
      </c>
      <c r="AI80" s="178">
        <f>AH80/$X$87</f>
        <v>0</v>
      </c>
      <c r="AJ80" s="284"/>
      <c r="AK80" s="141"/>
      <c r="AL80" s="142"/>
      <c r="AM80" s="146">
        <f>AK80+AL80</f>
        <v>0</v>
      </c>
      <c r="AN80" s="178">
        <f>AM80/$X$87</f>
        <v>0</v>
      </c>
      <c r="AO80" s="284"/>
      <c r="AP80" s="39">
        <f>G80+L80+Q80+V80+AA80+AF80+AK80</f>
        <v>0</v>
      </c>
      <c r="AQ80" s="39">
        <f>H80+M80+R80+W80+AB80+AG80+AL80</f>
        <v>0</v>
      </c>
      <c r="AR80" s="146">
        <f>AP80+AQ80</f>
        <v>0</v>
      </c>
      <c r="AS80" s="101"/>
      <c r="AT80" s="101"/>
      <c r="AU80" s="141"/>
      <c r="AV80" s="142"/>
      <c r="AW80" s="146">
        <f>AU80+AV80</f>
        <v>0</v>
      </c>
      <c r="AX80" s="178">
        <f>AW80/$E$87</f>
        <v>0</v>
      </c>
      <c r="AY80" s="101"/>
    </row>
    <row r="81" spans="1:51" s="2" customFormat="1" ht="13.8" outlineLevel="1" x14ac:dyDescent="0.25">
      <c r="A81" s="11"/>
      <c r="B81" s="28" t="s">
        <v>13</v>
      </c>
      <c r="C81" s="147">
        <f>(C79+C7)-C34</f>
        <v>2399982</v>
      </c>
      <c r="D81" s="147">
        <f>(D79+D7)-D34</f>
        <v>-866315</v>
      </c>
      <c r="E81" s="147">
        <f>(E79+E7)-E34</f>
        <v>1533667</v>
      </c>
      <c r="F81" s="174"/>
      <c r="G81" s="147">
        <f>(G79+G7)-G34</f>
        <v>-44655</v>
      </c>
      <c r="H81" s="147">
        <f>(H79+H7)-H34</f>
        <v>-30598</v>
      </c>
      <c r="I81" s="148">
        <f>(I79+I7)-I34</f>
        <v>-79425.454545454544</v>
      </c>
      <c r="J81" s="199"/>
      <c r="K81" s="285"/>
      <c r="L81" s="147">
        <f>(L79+L7)-L34</f>
        <v>-959870.27400000009</v>
      </c>
      <c r="M81" s="147">
        <f>(M79+M7)-M34</f>
        <v>-43876.796000000002</v>
      </c>
      <c r="N81" s="148">
        <f>(N79+N7)-N34</f>
        <v>-1009730.2694545456</v>
      </c>
      <c r="O81" s="199"/>
      <c r="P81" s="285"/>
      <c r="Q81" s="147">
        <f>(Q79+Q7)-Q34</f>
        <v>-221007.61000000002</v>
      </c>
      <c r="R81" s="147">
        <f>(R79+R7)-R34</f>
        <v>-36261</v>
      </c>
      <c r="S81" s="148">
        <f>(S79+S7)-S34</f>
        <v>-262213.29181818181</v>
      </c>
      <c r="T81" s="199"/>
      <c r="U81" s="285"/>
      <c r="V81" s="147">
        <f>(V79+V7)-V34</f>
        <v>1941287.824</v>
      </c>
      <c r="W81" s="147">
        <f>(W79+W7)-W34</f>
        <v>-460123</v>
      </c>
      <c r="X81" s="148">
        <f>(X79+X7)-X34</f>
        <v>1418420.7785454546</v>
      </c>
      <c r="Y81" s="199"/>
      <c r="Z81" s="285"/>
      <c r="AA81" s="147">
        <f>(AA79+AA7)-AA34</f>
        <v>1087250.4400000002</v>
      </c>
      <c r="AB81" s="147">
        <f>(AB79+AB7)-AB34</f>
        <v>-262444.07</v>
      </c>
      <c r="AC81" s="148">
        <f>(AC79+AC7)-AC34</f>
        <v>787967.6400004247</v>
      </c>
      <c r="AD81" s="199"/>
      <c r="AE81" s="285"/>
      <c r="AF81" s="147">
        <f>(AF79+AF7)-AF34</f>
        <v>467292.98731677025</v>
      </c>
      <c r="AG81" s="147">
        <f>(AG79+AG7)-AG34</f>
        <v>-181273.36</v>
      </c>
      <c r="AH81" s="148">
        <f>(AH79+AH7)-AH34</f>
        <v>261228.14418745766</v>
      </c>
      <c r="AI81" s="199"/>
      <c r="AJ81" s="285"/>
      <c r="AK81" s="147">
        <f>(AK79+AK7)-AK34</f>
        <v>-3489.2060000000001</v>
      </c>
      <c r="AL81" s="147">
        <f>(AL79+AL7)-AL34</f>
        <v>-80000</v>
      </c>
      <c r="AM81" s="148">
        <f>(AM79+AM7)-AM34</f>
        <v>-94496.566889483714</v>
      </c>
      <c r="AN81" s="199"/>
      <c r="AO81" s="285"/>
      <c r="AP81" s="147">
        <f>(AP79+AP7)-AP34</f>
        <v>2266809.1613167701</v>
      </c>
      <c r="AQ81" s="147">
        <f>(AQ79+AQ7)-AQ34</f>
        <v>-1094576.226</v>
      </c>
      <c r="AR81" s="148">
        <f>(AR79+AR7)-AR34</f>
        <v>1022972.5408622242</v>
      </c>
      <c r="AS81" s="70"/>
      <c r="AT81" s="70"/>
      <c r="AU81" s="147">
        <f>(AU79+AU7)-AU34</f>
        <v>133172.83868322964</v>
      </c>
      <c r="AV81" s="147">
        <f>(AV79+AV7)-AV34</f>
        <v>228261.22599999997</v>
      </c>
      <c r="AW81" s="148">
        <f>(AW79+AW7)-AW34</f>
        <v>522507.59550141142</v>
      </c>
      <c r="AX81" s="70"/>
      <c r="AY81" s="70"/>
    </row>
    <row r="82" spans="1:51" s="2" customFormat="1" ht="14.4" outlineLevel="1" thickBot="1" x14ac:dyDescent="0.3">
      <c r="A82" s="11"/>
      <c r="B82" s="211" t="s">
        <v>14</v>
      </c>
      <c r="C82" s="212">
        <f>C81-C71-C80</f>
        <v>2262253.3199999998</v>
      </c>
      <c r="D82" s="212">
        <f>D81-D71-D80</f>
        <v>-866315</v>
      </c>
      <c r="E82" s="212">
        <f>E81-E71-E80</f>
        <v>1395938.32</v>
      </c>
      <c r="F82" s="214"/>
      <c r="G82" s="212">
        <f>G81-G71-G80</f>
        <v>-44655</v>
      </c>
      <c r="H82" s="212">
        <f>H81-H71-H80</f>
        <v>-30598</v>
      </c>
      <c r="I82" s="213">
        <f>I81-I71-I80</f>
        <v>-79425.454545454544</v>
      </c>
      <c r="J82" s="215"/>
      <c r="K82" s="286"/>
      <c r="L82" s="212">
        <f>L81-L71-L80</f>
        <v>-959870.27400000009</v>
      </c>
      <c r="M82" s="212">
        <f>M81-M71-M80</f>
        <v>-43876.796000000002</v>
      </c>
      <c r="N82" s="213">
        <f>N81-N71-N80</f>
        <v>-1009730.2694545456</v>
      </c>
      <c r="O82" s="215"/>
      <c r="P82" s="286"/>
      <c r="Q82" s="212">
        <f>Q81-Q71-Q80</f>
        <v>-221007.61000000002</v>
      </c>
      <c r="R82" s="212">
        <f>R81-R71-R80</f>
        <v>-36261</v>
      </c>
      <c r="S82" s="213">
        <f>S81-S71-S80</f>
        <v>-262213.29181818181</v>
      </c>
      <c r="T82" s="215"/>
      <c r="U82" s="286"/>
      <c r="V82" s="212">
        <f>V81-V71-V80</f>
        <v>1941287.824</v>
      </c>
      <c r="W82" s="212">
        <f>W81-W71-W80</f>
        <v>-460123</v>
      </c>
      <c r="X82" s="213">
        <f>X81-X71-X80</f>
        <v>1418420.7785454546</v>
      </c>
      <c r="Y82" s="215"/>
      <c r="Z82" s="286"/>
      <c r="AA82" s="212">
        <f>AA81-AA71-AA80</f>
        <v>1087250.4400000002</v>
      </c>
      <c r="AB82" s="212">
        <f>AB81-AB71-AB80</f>
        <v>-262444.07</v>
      </c>
      <c r="AC82" s="213">
        <f>AC81-AC71-AC80</f>
        <v>787967.6400004247</v>
      </c>
      <c r="AD82" s="215"/>
      <c r="AE82" s="286"/>
      <c r="AF82" s="212">
        <f>AF81-AF71-AF80</f>
        <v>467292.98731677025</v>
      </c>
      <c r="AG82" s="212">
        <f>AG81-AG71-AG80</f>
        <v>-181273.36</v>
      </c>
      <c r="AH82" s="213">
        <f>AH81-AH71-AH80</f>
        <v>261228.14418745766</v>
      </c>
      <c r="AI82" s="215"/>
      <c r="AJ82" s="286"/>
      <c r="AK82" s="212">
        <f>AK81-AK71-AK80</f>
        <v>-3489.2060000000001</v>
      </c>
      <c r="AL82" s="212">
        <f>AL81-AL71-AL80</f>
        <v>-80000</v>
      </c>
      <c r="AM82" s="213">
        <f>AM81-AM71-AM80</f>
        <v>-94496.566889483714</v>
      </c>
      <c r="AN82" s="215"/>
      <c r="AO82" s="286"/>
      <c r="AP82" s="213">
        <f>AP81-AP71-AP80</f>
        <v>2266809.1613167701</v>
      </c>
      <c r="AQ82" s="213">
        <f>AQ81-AQ71-AQ80</f>
        <v>-1094576.226</v>
      </c>
      <c r="AR82" s="213">
        <f>AR81-AR71-AR80</f>
        <v>1022972.5408622242</v>
      </c>
      <c r="AS82" s="82"/>
      <c r="AT82" s="82"/>
      <c r="AU82" s="212">
        <f>AU81-AU71-AU80</f>
        <v>-4555.8413167703548</v>
      </c>
      <c r="AV82" s="212">
        <f>AV81-AV71-AV80</f>
        <v>228261.22599999997</v>
      </c>
      <c r="AW82" s="213">
        <f>AW81-AW71-AW80</f>
        <v>384778.91550141142</v>
      </c>
      <c r="AX82" s="82"/>
      <c r="AY82" s="82"/>
    </row>
    <row r="83" spans="1:51" s="2" customFormat="1" ht="13.8" outlineLevel="3" x14ac:dyDescent="0.25">
      <c r="A83" s="293"/>
      <c r="B83" s="216" t="s">
        <v>44</v>
      </c>
      <c r="C83" s="141"/>
      <c r="D83" s="142"/>
      <c r="E83" s="146">
        <f>C83+D83</f>
        <v>0</v>
      </c>
      <c r="F83" s="217">
        <f>E83/$E$87</f>
        <v>0</v>
      </c>
      <c r="G83" s="102"/>
      <c r="H83" s="102"/>
      <c r="I83" s="146">
        <f>G83+H83</f>
        <v>0</v>
      </c>
      <c r="J83" s="218"/>
      <c r="K83" s="287"/>
      <c r="L83" s="102"/>
      <c r="M83" s="102"/>
      <c r="N83" s="146">
        <f>L83+M83</f>
        <v>0</v>
      </c>
      <c r="O83" s="218"/>
      <c r="P83" s="287"/>
      <c r="Q83" s="102"/>
      <c r="R83" s="102"/>
      <c r="S83" s="146">
        <f>Q83+R83</f>
        <v>0</v>
      </c>
      <c r="T83" s="218"/>
      <c r="U83" s="287"/>
      <c r="V83" s="102"/>
      <c r="W83" s="102"/>
      <c r="X83" s="146">
        <f>V83+W83</f>
        <v>0</v>
      </c>
      <c r="Y83" s="218">
        <f>X83/$X$87</f>
        <v>0</v>
      </c>
      <c r="Z83" s="287"/>
      <c r="AA83" s="102"/>
      <c r="AB83" s="102"/>
      <c r="AC83" s="146">
        <f>AA83+AB83</f>
        <v>0</v>
      </c>
      <c r="AD83" s="218">
        <f>AC83/$X$87</f>
        <v>0</v>
      </c>
      <c r="AE83" s="287"/>
      <c r="AF83" s="102"/>
      <c r="AG83" s="102"/>
      <c r="AH83" s="146">
        <f>AF83+AG83</f>
        <v>0</v>
      </c>
      <c r="AI83" s="218">
        <f>AH83/$X$87</f>
        <v>0</v>
      </c>
      <c r="AJ83" s="287"/>
      <c r="AK83" s="102"/>
      <c r="AL83" s="102"/>
      <c r="AM83" s="146">
        <f>AK83+AL83</f>
        <v>0</v>
      </c>
      <c r="AN83" s="218">
        <f>AM83/$X$87</f>
        <v>0</v>
      </c>
      <c r="AO83" s="287"/>
      <c r="AP83" s="39">
        <f>G83+L83+Q83+V83+AA83+AF83+AK83</f>
        <v>0</v>
      </c>
      <c r="AQ83" s="39">
        <f>H83+M83+R83+W83+AB83+AG83+AL83</f>
        <v>0</v>
      </c>
      <c r="AR83" s="219">
        <f>AP83+AQ83*1.15</f>
        <v>0</v>
      </c>
      <c r="AS83" s="102"/>
      <c r="AT83" s="102"/>
      <c r="AU83" s="220">
        <f>C83-AP83</f>
        <v>0</v>
      </c>
      <c r="AV83" s="220">
        <f>D83-AQ83</f>
        <v>0</v>
      </c>
      <c r="AW83" s="220">
        <f>AU83+AV83*1.15</f>
        <v>0</v>
      </c>
      <c r="AX83" s="218">
        <f>AW83/$E$87</f>
        <v>0</v>
      </c>
      <c r="AY83" s="102"/>
    </row>
    <row r="84" spans="1:51" s="2" customFormat="1" ht="27.6" x14ac:dyDescent="0.25">
      <c r="A84" s="11"/>
      <c r="B84" s="37" t="s">
        <v>50</v>
      </c>
      <c r="C84" s="149">
        <f>C82-C83</f>
        <v>2262253.3199999998</v>
      </c>
      <c r="D84" s="149">
        <f>D82-D83</f>
        <v>-866315</v>
      </c>
      <c r="E84" s="150">
        <f>E82-E83</f>
        <v>1395938.32</v>
      </c>
      <c r="F84" s="175"/>
      <c r="G84" s="72">
        <f>G82-G83</f>
        <v>-44655</v>
      </c>
      <c r="H84" s="72">
        <f>H82-H83</f>
        <v>-30598</v>
      </c>
      <c r="I84" s="73">
        <f>I82-I83</f>
        <v>-79425.454545454544</v>
      </c>
      <c r="J84" s="200"/>
      <c r="K84" s="288"/>
      <c r="L84" s="72">
        <f>L82-L83</f>
        <v>-959870.27400000009</v>
      </c>
      <c r="M84" s="72">
        <f>M82-M83</f>
        <v>-43876.796000000002</v>
      </c>
      <c r="N84" s="73">
        <f>N82-N83</f>
        <v>-1009730.2694545456</v>
      </c>
      <c r="O84" s="200"/>
      <c r="P84" s="288"/>
      <c r="Q84" s="72">
        <f>Q82-Q83</f>
        <v>-221007.61000000002</v>
      </c>
      <c r="R84" s="72">
        <f>R82-R83</f>
        <v>-36261</v>
      </c>
      <c r="S84" s="73">
        <f>S82-S83</f>
        <v>-262213.29181818181</v>
      </c>
      <c r="T84" s="200"/>
      <c r="U84" s="288"/>
      <c r="V84" s="72">
        <f>V82-V83</f>
        <v>1941287.824</v>
      </c>
      <c r="W84" s="72">
        <f>W82-W83</f>
        <v>-460123</v>
      </c>
      <c r="X84" s="73">
        <f>X82-X83</f>
        <v>1418420.7785454546</v>
      </c>
      <c r="Y84" s="200"/>
      <c r="Z84" s="288"/>
      <c r="AA84" s="72">
        <f>AA82-AA83</f>
        <v>1087250.4400000002</v>
      </c>
      <c r="AB84" s="72">
        <f>AB82-AB83</f>
        <v>-262444.07</v>
      </c>
      <c r="AC84" s="73">
        <f>AC82-AC83</f>
        <v>787967.6400004247</v>
      </c>
      <c r="AD84" s="200"/>
      <c r="AE84" s="288"/>
      <c r="AF84" s="72">
        <f>AF82-AF83</f>
        <v>467292.98731677025</v>
      </c>
      <c r="AG84" s="72">
        <f>AG82-AG83</f>
        <v>-181273.36</v>
      </c>
      <c r="AH84" s="73">
        <f>AH82-AH83</f>
        <v>261228.14418745766</v>
      </c>
      <c r="AI84" s="200"/>
      <c r="AJ84" s="288"/>
      <c r="AK84" s="72">
        <f>AK82-AK83</f>
        <v>-3489.2060000000001</v>
      </c>
      <c r="AL84" s="72">
        <f>AL82-AL83</f>
        <v>-80000</v>
      </c>
      <c r="AM84" s="73">
        <f>AM82-AM83</f>
        <v>-94496.566889483714</v>
      </c>
      <c r="AN84" s="200"/>
      <c r="AO84" s="288"/>
      <c r="AP84" s="150">
        <f>AP82-AP83</f>
        <v>2266809.1613167701</v>
      </c>
      <c r="AQ84" s="150">
        <f>AQ82-AQ83</f>
        <v>-1094576.226</v>
      </c>
      <c r="AR84" s="150">
        <f>AR82-AR83</f>
        <v>1022972.5408622242</v>
      </c>
      <c r="AS84" s="73"/>
      <c r="AT84" s="73"/>
      <c r="AU84" s="72">
        <f>AU82-AU83</f>
        <v>-4555.8413167703548</v>
      </c>
      <c r="AV84" s="72">
        <f>AV82-AV83</f>
        <v>228261.22599999997</v>
      </c>
      <c r="AW84" s="73">
        <f>AW82-AW83</f>
        <v>384778.91550141142</v>
      </c>
      <c r="AX84" s="73"/>
      <c r="AY84" s="73"/>
    </row>
    <row r="85" spans="1:51" s="2" customFormat="1" ht="14.4" thickBot="1" x14ac:dyDescent="0.3">
      <c r="A85" s="295"/>
      <c r="B85" s="29" t="s">
        <v>51</v>
      </c>
      <c r="C85" s="155">
        <f>C84/C5</f>
        <v>0.49276301493632257</v>
      </c>
      <c r="D85" s="151" t="e">
        <f>D84/D5</f>
        <v>#DIV/0!</v>
      </c>
      <c r="E85" s="156">
        <f>E84/E5</f>
        <v>0.30406266581513741</v>
      </c>
      <c r="F85" s="176"/>
      <c r="G85" s="74" t="e">
        <f>G84/G5</f>
        <v>#DIV/0!</v>
      </c>
      <c r="H85" s="74" t="e">
        <f>H84/H5</f>
        <v>#DIV/0!</v>
      </c>
      <c r="I85" s="75" t="e">
        <f>I84/I5</f>
        <v>#DIV/0!</v>
      </c>
      <c r="J85" s="201"/>
      <c r="K85" s="289"/>
      <c r="L85" s="74" t="e">
        <f>L84/L5</f>
        <v>#DIV/0!</v>
      </c>
      <c r="M85" s="74" t="e">
        <f>M84/M5</f>
        <v>#DIV/0!</v>
      </c>
      <c r="N85" s="75" t="e">
        <f>N84/N5</f>
        <v>#DIV/0!</v>
      </c>
      <c r="O85" s="201"/>
      <c r="P85" s="289"/>
      <c r="Q85" s="74" t="e">
        <f>Q84/Q5</f>
        <v>#DIV/0!</v>
      </c>
      <c r="R85" s="74" t="e">
        <f>R84/R5</f>
        <v>#DIV/0!</v>
      </c>
      <c r="S85" s="75" t="e">
        <f>S84/S5</f>
        <v>#DIV/0!</v>
      </c>
      <c r="T85" s="201"/>
      <c r="U85" s="289"/>
      <c r="V85" s="74">
        <f>V84/V5</f>
        <v>0.64170765901819149</v>
      </c>
      <c r="W85" s="74" t="e">
        <f>W84/W5</f>
        <v>#DIV/0!</v>
      </c>
      <c r="X85" s="75">
        <f>X84/X5</f>
        <v>0.46886992544345357</v>
      </c>
      <c r="Y85" s="201"/>
      <c r="Z85" s="289"/>
      <c r="AA85" s="74">
        <f>AA84/AA5</f>
        <v>0.74048431557122008</v>
      </c>
      <c r="AB85" s="74" t="e">
        <f>AB84/AB5</f>
        <v>#DIV/0!</v>
      </c>
      <c r="AC85" s="75">
        <f>AC84/AC5</f>
        <v>0.53665435039785681</v>
      </c>
      <c r="AD85" s="201"/>
      <c r="AE85" s="289"/>
      <c r="AF85" s="74">
        <f>AF84/AF5</f>
        <v>0.9233261780904396</v>
      </c>
      <c r="AG85" s="74" t="e">
        <f>AG84/AG5</f>
        <v>#DIV/0!</v>
      </c>
      <c r="AH85" s="75">
        <f>AH84/AH5</f>
        <v>0.51616178827601122</v>
      </c>
      <c r="AI85" s="201"/>
      <c r="AJ85" s="289"/>
      <c r="AK85" s="74" t="e">
        <f>AK84/AK5</f>
        <v>#DIV/0!</v>
      </c>
      <c r="AL85" s="74" t="e">
        <f>AL84/AL5</f>
        <v>#DIV/0!</v>
      </c>
      <c r="AM85" s="75" t="e">
        <f>AM84/AM5</f>
        <v>#DIV/0!</v>
      </c>
      <c r="AN85" s="201"/>
      <c r="AO85" s="289"/>
      <c r="AP85" s="155">
        <f>AP84/AP5</f>
        <v>0.45339954150322082</v>
      </c>
      <c r="AQ85" s="151" t="e">
        <f>AQ84/AQ5</f>
        <v>#DIV/0!</v>
      </c>
      <c r="AR85" s="156">
        <f>AR84/AR5</f>
        <v>0.20461152571303837</v>
      </c>
      <c r="AS85" s="75"/>
      <c r="AT85" s="75"/>
      <c r="AU85" s="74">
        <f>AU84/AU5</f>
        <v>1.1149112749012398E-2</v>
      </c>
      <c r="AV85" s="74" t="e">
        <f>AV84/AV5</f>
        <v>#DIV/0!</v>
      </c>
      <c r="AW85" s="75">
        <f>AW84/AW5</f>
        <v>-0.94163585034807584</v>
      </c>
      <c r="AX85" s="75"/>
      <c r="AY85" s="75"/>
    </row>
    <row r="86" spans="1:51" ht="13.8" x14ac:dyDescent="0.25">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208"/>
      <c r="AE86" s="208"/>
      <c r="AF86" s="76"/>
      <c r="AG86" s="76"/>
      <c r="AH86" s="76"/>
      <c r="AI86" s="208"/>
      <c r="AJ86" s="208"/>
      <c r="AK86" s="76"/>
      <c r="AL86" s="76"/>
      <c r="AM86" s="76"/>
      <c r="AN86" s="208"/>
      <c r="AO86" s="208"/>
      <c r="AP86" s="76"/>
      <c r="AQ86" s="76"/>
      <c r="AR86" s="76"/>
      <c r="AS86" s="76"/>
      <c r="AT86" s="76"/>
      <c r="AU86" s="76"/>
      <c r="AV86" s="76"/>
      <c r="AW86" s="76"/>
      <c r="AX86" s="76"/>
      <c r="AY86" s="76"/>
    </row>
    <row r="87" spans="1:51" x14ac:dyDescent="0.25">
      <c r="B87" s="221" t="s">
        <v>56</v>
      </c>
      <c r="C87" s="153"/>
      <c r="D87" s="153"/>
      <c r="E87" s="154">
        <f>E8+E34+E39+E48+E52+E71+E77+E80+E83</f>
        <v>3195017.68</v>
      </c>
      <c r="F87" s="189"/>
      <c r="I87" s="154">
        <f>I8+I34+I39+I48+I52+I71+I77+I80+I83</f>
        <v>79425.454545454544</v>
      </c>
      <c r="N87" s="154">
        <f>N8+N34+N39+N48+N52+N71+N77+N80+N83</f>
        <v>1009730.2694545456</v>
      </c>
      <c r="S87" s="154">
        <f>S8+S34+S39+S48+S52+S71+S77+S80+S83</f>
        <v>262213.29181818181</v>
      </c>
      <c r="X87" s="154">
        <f>X8+X34+X39+X48+X52+X71+X77+X80+X83</f>
        <v>1606769.5814545457</v>
      </c>
      <c r="AC87" s="154">
        <f>AC8+AC34+AC39+AC48+AC52+AC71+AC77+AC80+AC83</f>
        <v>680328.73999957542</v>
      </c>
      <c r="AH87" s="154">
        <f>AH8+AH34+AH39+AH48+AH52+AH71+AH77+AH80+AH83</f>
        <v>244869.26581254238</v>
      </c>
      <c r="AM87" s="154">
        <f>AM8+AM34+AM39+AM48+AM52+AM71+AM77+AM80+AM83</f>
        <v>94496.566889483714</v>
      </c>
      <c r="AR87" s="154">
        <f>AR8+AR34+AR39+AR48+AR52+AR71+AR77+AR80+AR83</f>
        <v>3976611.6091377758</v>
      </c>
      <c r="AU87" s="38"/>
      <c r="AV87" s="38"/>
      <c r="AW87" s="154">
        <f>AW8+AW34+AW39+AW48+AW52+AW71+AW77+AW80+AW83</f>
        <v>-793407.06550141191</v>
      </c>
      <c r="AX87" s="38"/>
      <c r="AY87" s="38"/>
    </row>
    <row r="88" spans="1:51" x14ac:dyDescent="0.25">
      <c r="C88" s="153"/>
      <c r="D88" s="153"/>
      <c r="E88" s="153"/>
    </row>
    <row r="89" spans="1:51" s="2" customFormat="1" x14ac:dyDescent="0.25">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row>
    <row r="90" spans="1:51" x14ac:dyDescent="0.25">
      <c r="C90" s="38"/>
      <c r="D90" s="38"/>
    </row>
    <row r="91" spans="1:51" s="2" customFormat="1" x14ac:dyDescent="0.25">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row>
    <row r="92" spans="1:51" s="2" customFormat="1" x14ac:dyDescent="0.25">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row>
    <row r="93" spans="1:51" s="2" customFormat="1" x14ac:dyDescent="0.25">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row>
    <row r="94" spans="1:51" s="2" customFormat="1" x14ac:dyDescent="0.25">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row>
    <row r="95" spans="1:51" x14ac:dyDescent="0.25">
      <c r="C95" s="38"/>
      <c r="D95" s="38"/>
    </row>
    <row r="96" spans="1:51" s="2" customFormat="1" x14ac:dyDescent="0.25">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row>
    <row r="97" spans="3:4" x14ac:dyDescent="0.25">
      <c r="C97" s="38"/>
      <c r="D97" s="38"/>
    </row>
  </sheetData>
  <mergeCells count="12">
    <mergeCell ref="A40:A46"/>
    <mergeCell ref="A2:F2"/>
    <mergeCell ref="G2:J3"/>
    <mergeCell ref="AP2:AT3"/>
    <mergeCell ref="AU2:AY3"/>
    <mergeCell ref="A3:F3"/>
    <mergeCell ref="L2:O3"/>
    <mergeCell ref="Q2:T3"/>
    <mergeCell ref="V2:Y3"/>
    <mergeCell ref="AA2:AD3"/>
    <mergeCell ref="AF2:AI3"/>
    <mergeCell ref="AK2:AN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39997558519241921"/>
  </sheetPr>
  <dimension ref="A1:AC109"/>
  <sheetViews>
    <sheetView topLeftCell="A16" zoomScaleNormal="100" workbookViewId="0">
      <selection activeCell="G30" sqref="G30"/>
    </sheetView>
  </sheetViews>
  <sheetFormatPr defaultRowHeight="14.4" outlineLevelRow="1" outlineLevelCol="1" x14ac:dyDescent="0.3"/>
  <cols>
    <col min="2" max="2" width="48.5546875" customWidth="1"/>
    <col min="3" max="3" width="13.6640625" bestFit="1" customWidth="1"/>
    <col min="4" max="4" width="14.109375" customWidth="1" outlineLevel="1"/>
    <col min="5" max="5" width="11.33203125" customWidth="1" outlineLevel="1"/>
    <col min="6" max="6" width="12.88671875" customWidth="1" outlineLevel="1"/>
    <col min="7" max="7" width="11.88671875" customWidth="1" outlineLevel="1"/>
    <col min="8" max="8" width="15.88671875" customWidth="1" outlineLevel="1"/>
    <col min="9" max="10" width="8.88671875" customWidth="1" outlineLevel="1"/>
    <col min="11" max="11" width="11.88671875" customWidth="1" outlineLevel="1"/>
    <col min="12" max="12" width="11.33203125" customWidth="1" outlineLevel="1"/>
    <col min="13" max="15" width="8.88671875" customWidth="1" outlineLevel="1"/>
    <col min="16" max="16" width="9.6640625" customWidth="1" outlineLevel="1"/>
    <col min="17" max="17" width="10.33203125" customWidth="1" outlineLevel="1"/>
    <col min="18" max="18" width="7.6640625" customWidth="1" outlineLevel="1"/>
    <col min="19" max="19" width="8" customWidth="1" outlineLevel="1"/>
    <col min="20" max="20" width="8.33203125" customWidth="1" outlineLevel="1"/>
    <col min="21" max="21" width="8.88671875" customWidth="1" outlineLevel="1"/>
    <col min="22" max="22" width="8.33203125" customWidth="1" outlineLevel="1"/>
    <col min="23" max="23" width="9.5546875" customWidth="1" outlineLevel="1"/>
    <col min="24" max="24" width="8.6640625" customWidth="1" outlineLevel="1"/>
    <col min="25" max="25" width="11.33203125" style="1324" customWidth="1" outlineLevel="1"/>
    <col min="26" max="26" width="11.33203125" style="2140" customWidth="1" outlineLevel="1"/>
    <col min="27" max="27" width="9.88671875" style="2140" customWidth="1" outlineLevel="1"/>
    <col min="28" max="28" width="9.88671875" style="2140" bestFit="1" customWidth="1"/>
    <col min="29" max="29" width="9.88671875" style="1324" bestFit="1" customWidth="1"/>
  </cols>
  <sheetData>
    <row r="1" spans="1:29" x14ac:dyDescent="0.3">
      <c r="C1" s="4038" t="s">
        <v>1148</v>
      </c>
      <c r="D1" s="4038"/>
      <c r="E1" s="4038"/>
      <c r="G1" s="4039" t="s">
        <v>1149</v>
      </c>
      <c r="H1" s="4039"/>
      <c r="I1" s="4039"/>
      <c r="K1" s="4040" t="s">
        <v>1150</v>
      </c>
      <c r="L1" s="4040"/>
      <c r="M1" s="4040"/>
    </row>
    <row r="2" spans="1:29" x14ac:dyDescent="0.3">
      <c r="A2" t="s">
        <v>259</v>
      </c>
      <c r="B2" s="917"/>
      <c r="C2" s="353">
        <f>SUM(D4:D23)/SUM(C4:C23)</f>
        <v>0.12232716688312938</v>
      </c>
      <c r="G2" s="353">
        <f>SUM(H4:H23)/SUM(G4:G23)</f>
        <v>0.11141855065902874</v>
      </c>
      <c r="K2" s="353">
        <f>SUM(L4:L23)/SUM(K4:K23)</f>
        <v>5.8979856190885527E-2</v>
      </c>
    </row>
    <row r="3" spans="1:29" outlineLevel="1" x14ac:dyDescent="0.3">
      <c r="C3" t="s">
        <v>256</v>
      </c>
      <c r="D3" t="s">
        <v>257</v>
      </c>
      <c r="E3" t="s">
        <v>258</v>
      </c>
      <c r="G3" t="s">
        <v>256</v>
      </c>
      <c r="H3" t="s">
        <v>257</v>
      </c>
      <c r="I3" t="s">
        <v>258</v>
      </c>
      <c r="K3" t="s">
        <v>256</v>
      </c>
      <c r="L3" t="s">
        <v>257</v>
      </c>
      <c r="M3" t="s">
        <v>258</v>
      </c>
    </row>
    <row r="4" spans="1:29" outlineLevel="1" x14ac:dyDescent="0.3">
      <c r="B4">
        <v>1</v>
      </c>
      <c r="C4" s="345">
        <v>2408426</v>
      </c>
      <c r="D4" s="345">
        <v>313095.38</v>
      </c>
      <c r="E4" s="350">
        <f>D4/C4</f>
        <v>0.13</v>
      </c>
      <c r="G4" s="345"/>
      <c r="H4" s="345"/>
      <c r="I4" s="350" t="e">
        <f>H4/G4</f>
        <v>#DIV/0!</v>
      </c>
      <c r="K4" s="345"/>
      <c r="L4" s="345"/>
      <c r="M4" s="350" t="e">
        <f>L4/K4</f>
        <v>#DIV/0!</v>
      </c>
    </row>
    <row r="5" spans="1:29" outlineLevel="1" x14ac:dyDescent="0.3">
      <c r="B5">
        <v>2</v>
      </c>
      <c r="C5" s="345">
        <v>3090864</v>
      </c>
      <c r="D5" s="345">
        <v>401812.32</v>
      </c>
      <c r="E5" s="444">
        <f>D5/C5</f>
        <v>0.13</v>
      </c>
      <c r="G5" s="345"/>
      <c r="H5" s="345"/>
      <c r="I5" s="444" t="e">
        <f>H5/G5</f>
        <v>#DIV/0!</v>
      </c>
      <c r="K5" s="345"/>
      <c r="L5" s="345"/>
      <c r="M5" s="444" t="e">
        <f>L5/K5</f>
        <v>#DIV/0!</v>
      </c>
    </row>
    <row r="6" spans="1:29" outlineLevel="1" x14ac:dyDescent="0.3">
      <c r="B6">
        <v>3</v>
      </c>
      <c r="C6" s="345">
        <v>0</v>
      </c>
      <c r="D6" s="345">
        <v>0</v>
      </c>
      <c r="E6" s="444">
        <v>0.13</v>
      </c>
      <c r="G6" s="345"/>
      <c r="H6" s="345"/>
      <c r="I6" s="444">
        <v>0.13</v>
      </c>
      <c r="K6" s="345"/>
      <c r="L6" s="345"/>
      <c r="M6" s="444">
        <v>0.13</v>
      </c>
      <c r="Y6"/>
      <c r="AC6"/>
    </row>
    <row r="7" spans="1:29" outlineLevel="1" x14ac:dyDescent="0.3">
      <c r="B7" s="1023" t="s">
        <v>1156</v>
      </c>
      <c r="C7" s="345">
        <v>5652236.7199999997</v>
      </c>
      <c r="D7" s="345">
        <v>621432.22</v>
      </c>
      <c r="E7" s="350">
        <f t="shared" ref="E7:E25" si="0">D7/C7</f>
        <v>0.10994447875849049</v>
      </c>
      <c r="G7" s="345">
        <v>63036</v>
      </c>
      <c r="H7" s="345">
        <v>8825</v>
      </c>
      <c r="I7" s="350">
        <f>H7/G7</f>
        <v>0.13999936544196967</v>
      </c>
      <c r="K7" s="345">
        <f>699476</f>
        <v>699476</v>
      </c>
      <c r="L7" s="345">
        <v>47451.54</v>
      </c>
      <c r="M7" s="350">
        <f>L7/K7</f>
        <v>6.7838696395587553E-2</v>
      </c>
      <c r="Y7"/>
      <c r="AC7"/>
    </row>
    <row r="8" spans="1:29" outlineLevel="1" x14ac:dyDescent="0.3">
      <c r="B8" s="1028" t="s">
        <v>1221</v>
      </c>
      <c r="C8" s="345">
        <v>10747681.039999999</v>
      </c>
      <c r="D8" s="345">
        <v>1359669.39</v>
      </c>
      <c r="E8" s="350">
        <f t="shared" si="0"/>
        <v>0.12650816347635119</v>
      </c>
      <c r="G8" s="345">
        <v>100378.2</v>
      </c>
      <c r="H8" s="345">
        <v>14052.95</v>
      </c>
      <c r="I8" s="350">
        <f>H8/G8</f>
        <v>0.140000019924645</v>
      </c>
      <c r="K8" s="345">
        <v>1340996</v>
      </c>
      <c r="L8" s="345">
        <v>46250</v>
      </c>
      <c r="M8" s="350">
        <f>L8/K8</f>
        <v>3.448929005008218E-2</v>
      </c>
      <c r="Y8"/>
      <c r="AC8"/>
    </row>
    <row r="9" spans="1:29" outlineLevel="1" x14ac:dyDescent="0.3">
      <c r="B9" s="1023" t="s">
        <v>1368</v>
      </c>
      <c r="C9" s="1360"/>
      <c r="D9" s="1360"/>
      <c r="E9" s="350" t="e">
        <f t="shared" si="0"/>
        <v>#DIV/0!</v>
      </c>
      <c r="G9" s="525">
        <v>618288.79</v>
      </c>
      <c r="H9" s="525">
        <v>25433.85</v>
      </c>
      <c r="I9" s="350">
        <f>H9/G9</f>
        <v>4.1135874386465904E-2</v>
      </c>
      <c r="K9" s="525">
        <v>4151566</v>
      </c>
      <c r="L9" s="525">
        <v>195298.3</v>
      </c>
      <c r="M9" s="350">
        <f>L9/K9</f>
        <v>4.7042080024742465E-2</v>
      </c>
      <c r="Y9"/>
      <c r="AC9"/>
    </row>
    <row r="10" spans="1:29" outlineLevel="1" x14ac:dyDescent="0.3">
      <c r="B10" s="1023" t="s">
        <v>1385</v>
      </c>
      <c r="C10" s="1360"/>
      <c r="D10" s="1360"/>
      <c r="E10" s="350" t="e">
        <f>D10/C10</f>
        <v>#DIV/0!</v>
      </c>
      <c r="G10" s="345">
        <v>150445</v>
      </c>
      <c r="H10" s="345">
        <v>16548.95</v>
      </c>
      <c r="I10" s="350">
        <f>H10/G10</f>
        <v>0.11</v>
      </c>
      <c r="K10" s="345">
        <v>1312900</v>
      </c>
      <c r="L10" s="345">
        <v>59465</v>
      </c>
      <c r="M10" s="350">
        <f>L10/K10</f>
        <v>4.5292863127427835E-2</v>
      </c>
      <c r="Y10"/>
      <c r="AC10"/>
    </row>
    <row r="11" spans="1:29" outlineLevel="1" x14ac:dyDescent="0.3">
      <c r="B11" s="1023" t="s">
        <v>1572</v>
      </c>
      <c r="C11" s="525">
        <v>3979360</v>
      </c>
      <c r="D11" s="525">
        <v>457626.4</v>
      </c>
      <c r="E11" s="444">
        <f>D11/C11</f>
        <v>0.115</v>
      </c>
      <c r="G11" s="525">
        <v>1267898.0399999998</v>
      </c>
      <c r="H11" s="525">
        <v>147703.56505</v>
      </c>
      <c r="I11" s="444">
        <f>H11/G11</f>
        <v>0.1164948287561041</v>
      </c>
      <c r="K11" s="525">
        <v>4368550</v>
      </c>
      <c r="L11" s="525">
        <v>204187.5</v>
      </c>
      <c r="M11" s="444">
        <f>L11/K11</f>
        <v>4.6740337182818101E-2</v>
      </c>
      <c r="Y11"/>
      <c r="AC11"/>
    </row>
    <row r="12" spans="1:29" outlineLevel="1" x14ac:dyDescent="0.3">
      <c r="B12" s="1023" t="s">
        <v>1554</v>
      </c>
      <c r="C12" s="345"/>
      <c r="D12" s="345"/>
      <c r="E12" s="350" t="e">
        <f t="shared" si="0"/>
        <v>#DIV/0!</v>
      </c>
      <c r="G12" s="345"/>
      <c r="H12" s="345"/>
      <c r="I12" s="350" t="e">
        <f t="shared" ref="I12:I23" si="1">H12/G12</f>
        <v>#DIV/0!</v>
      </c>
      <c r="K12" s="345">
        <v>200000</v>
      </c>
      <c r="L12" s="345">
        <v>6000</v>
      </c>
      <c r="M12" s="350">
        <f t="shared" ref="M12:M26" si="2">L12/K12</f>
        <v>0.03</v>
      </c>
      <c r="R12" s="2140"/>
      <c r="Y12"/>
      <c r="AC12"/>
    </row>
    <row r="13" spans="1:29" outlineLevel="1" x14ac:dyDescent="0.3">
      <c r="B13" s="1023" t="s">
        <v>1579</v>
      </c>
      <c r="C13" s="345">
        <v>2285664.7999999998</v>
      </c>
      <c r="D13" s="345">
        <v>262851.45</v>
      </c>
      <c r="E13" s="350">
        <f t="shared" si="0"/>
        <v>0.11499999912498107</v>
      </c>
      <c r="G13" s="345">
        <v>696620.59000000008</v>
      </c>
      <c r="H13" s="345">
        <v>80111.37000000001</v>
      </c>
      <c r="I13" s="350">
        <f t="shared" si="1"/>
        <v>0.11500000308632853</v>
      </c>
      <c r="K13" s="525">
        <v>200000</v>
      </c>
      <c r="L13" s="525">
        <v>6000</v>
      </c>
      <c r="M13" s="350">
        <f t="shared" si="2"/>
        <v>0.03</v>
      </c>
      <c r="R13" s="2140"/>
      <c r="Y13"/>
      <c r="AC13"/>
    </row>
    <row r="14" spans="1:29" outlineLevel="1" x14ac:dyDescent="0.3">
      <c r="B14" s="1023" t="s">
        <v>1606</v>
      </c>
      <c r="C14" s="345">
        <v>4006508.24</v>
      </c>
      <c r="D14" s="345">
        <v>475748.44760000001</v>
      </c>
      <c r="E14" s="350">
        <f t="shared" si="0"/>
        <v>0.11874390843633957</v>
      </c>
      <c r="G14" s="345">
        <f>655733.71+139000</f>
        <v>794733.71</v>
      </c>
      <c r="H14" s="345">
        <v>75409.376650000006</v>
      </c>
      <c r="I14" s="350">
        <f t="shared" si="1"/>
        <v>9.4886344571944739E-2</v>
      </c>
      <c r="K14" s="345">
        <v>4229000</v>
      </c>
      <c r="L14" s="345">
        <v>126870</v>
      </c>
      <c r="M14" s="350">
        <f t="shared" si="2"/>
        <v>0.03</v>
      </c>
      <c r="R14" s="2140"/>
      <c r="Y14"/>
      <c r="AC14"/>
    </row>
    <row r="15" spans="1:29" s="2140" customFormat="1" outlineLevel="1" x14ac:dyDescent="0.3">
      <c r="B15" s="1023" t="s">
        <v>1664</v>
      </c>
      <c r="C15" s="345">
        <v>2850000</v>
      </c>
      <c r="D15" s="345">
        <v>342000</v>
      </c>
      <c r="E15" s="350">
        <f t="shared" si="0"/>
        <v>0.12</v>
      </c>
      <c r="G15" s="345">
        <v>429137.72</v>
      </c>
      <c r="H15" s="345">
        <v>49350.837800000001</v>
      </c>
      <c r="I15" s="350">
        <f t="shared" si="1"/>
        <v>0.115</v>
      </c>
      <c r="K15" s="345">
        <v>1405340</v>
      </c>
      <c r="L15" s="345">
        <v>70267</v>
      </c>
      <c r="M15" s="350">
        <f t="shared" si="2"/>
        <v>0.05</v>
      </c>
    </row>
    <row r="16" spans="1:29" s="2140" customFormat="1" outlineLevel="1" x14ac:dyDescent="0.3">
      <c r="B16" s="1023" t="s">
        <v>1691</v>
      </c>
      <c r="C16" s="2647">
        <v>1889615.69</v>
      </c>
      <c r="D16" s="2648">
        <v>223397.72589999999</v>
      </c>
      <c r="E16" s="350">
        <f t="shared" si="0"/>
        <v>0.11822389445760793</v>
      </c>
      <c r="G16" s="345"/>
      <c r="H16" s="345"/>
      <c r="I16" s="350" t="e">
        <f t="shared" si="1"/>
        <v>#DIV/0!</v>
      </c>
      <c r="K16" s="2649">
        <v>2131701.4</v>
      </c>
      <c r="L16" s="2650">
        <v>109432.72000000002</v>
      </c>
      <c r="M16" s="350">
        <f t="shared" si="2"/>
        <v>5.1335857826992098E-2</v>
      </c>
      <c r="R16" s="345"/>
    </row>
    <row r="17" spans="2:29" s="2140" customFormat="1" outlineLevel="1" x14ac:dyDescent="0.3">
      <c r="B17" s="1023" t="s">
        <v>1699</v>
      </c>
      <c r="C17" s="2653">
        <v>5146581</v>
      </c>
      <c r="D17" s="2653">
        <v>637523</v>
      </c>
      <c r="E17" s="350">
        <f t="shared" si="0"/>
        <v>0.12387311110035963</v>
      </c>
      <c r="G17" s="345">
        <v>401936</v>
      </c>
      <c r="H17" s="345">
        <v>52252</v>
      </c>
      <c r="I17" s="350">
        <f t="shared" si="1"/>
        <v>0.13000079614665022</v>
      </c>
      <c r="K17" s="345">
        <v>1726170</v>
      </c>
      <c r="L17" s="345">
        <v>94939</v>
      </c>
      <c r="M17" s="350">
        <f t="shared" si="2"/>
        <v>5.4999797238974142E-2</v>
      </c>
    </row>
    <row r="18" spans="2:29" outlineLevel="1" x14ac:dyDescent="0.3">
      <c r="B18" s="1023" t="s">
        <v>1780</v>
      </c>
      <c r="C18" s="345">
        <v>1091840</v>
      </c>
      <c r="D18" s="345">
        <v>119011</v>
      </c>
      <c r="E18" s="350">
        <f t="shared" si="0"/>
        <v>0.10900040298944901</v>
      </c>
      <c r="G18" s="345">
        <v>483950</v>
      </c>
      <c r="H18" s="345">
        <v>53235</v>
      </c>
      <c r="I18" s="350">
        <f t="shared" si="1"/>
        <v>0.11000103316458312</v>
      </c>
      <c r="K18" s="345">
        <v>3202451</v>
      </c>
      <c r="L18" s="345">
        <v>167623</v>
      </c>
      <c r="M18" s="350">
        <f t="shared" si="2"/>
        <v>5.2342096725289472E-2</v>
      </c>
      <c r="AC18"/>
    </row>
    <row r="19" spans="2:29" s="2140" customFormat="1" outlineLevel="1" x14ac:dyDescent="0.3">
      <c r="B19" s="1023" t="s">
        <v>1937</v>
      </c>
      <c r="C19" s="345">
        <v>9462589.379999999</v>
      </c>
      <c r="D19" s="345">
        <v>1103619.2786999987</v>
      </c>
      <c r="E19" s="350">
        <f t="shared" si="0"/>
        <v>0.11662973361526112</v>
      </c>
      <c r="G19" s="345">
        <v>299954</v>
      </c>
      <c r="H19" s="345">
        <v>32994.94</v>
      </c>
      <c r="I19" s="350">
        <f t="shared" si="1"/>
        <v>0.11000000000000001</v>
      </c>
      <c r="K19" s="345">
        <v>1499970.19</v>
      </c>
      <c r="L19" s="345">
        <v>172496.57184999995</v>
      </c>
      <c r="M19" s="350">
        <f t="shared" si="2"/>
        <v>0.11499999999999998</v>
      </c>
    </row>
    <row r="20" spans="2:29" s="2140" customFormat="1" outlineLevel="1" x14ac:dyDescent="0.3">
      <c r="B20" s="1023" t="s">
        <v>2042</v>
      </c>
      <c r="C20" s="345">
        <v>7762830</v>
      </c>
      <c r="D20" s="345">
        <v>918259</v>
      </c>
      <c r="E20" s="350">
        <f t="shared" si="0"/>
        <v>0.11828920638478493</v>
      </c>
      <c r="G20" s="345">
        <v>543482</v>
      </c>
      <c r="H20" s="345">
        <v>70452</v>
      </c>
      <c r="I20" s="350">
        <f t="shared" si="1"/>
        <v>0.12963078814017759</v>
      </c>
      <c r="K20" s="345">
        <v>1318783</v>
      </c>
      <c r="L20" s="345">
        <v>157961</v>
      </c>
      <c r="M20" s="350">
        <f t="shared" si="2"/>
        <v>0.11977785579583601</v>
      </c>
    </row>
    <row r="21" spans="2:29" s="2140" customFormat="1" outlineLevel="1" x14ac:dyDescent="0.3">
      <c r="B21" s="1023" t="s">
        <v>2085</v>
      </c>
      <c r="C21" s="345">
        <v>4285951.03</v>
      </c>
      <c r="D21" s="345">
        <v>496273.3</v>
      </c>
      <c r="E21" s="350">
        <f t="shared" si="0"/>
        <v>0.11579070701608085</v>
      </c>
      <c r="G21" s="345">
        <v>449304.76499999996</v>
      </c>
      <c r="H21" s="345">
        <v>52029.49</v>
      </c>
      <c r="I21" s="350">
        <f t="shared" si="1"/>
        <v>0.11579999602274417</v>
      </c>
      <c r="K21" s="345">
        <f>1006651.19</f>
        <v>1006651.19</v>
      </c>
      <c r="L21" s="345">
        <v>116570.2</v>
      </c>
      <c r="M21" s="350">
        <f t="shared" si="2"/>
        <v>0.11579999224954972</v>
      </c>
    </row>
    <row r="22" spans="2:29" s="2140" customFormat="1" outlineLevel="1" x14ac:dyDescent="0.3">
      <c r="B22" s="3226" t="s">
        <v>2053</v>
      </c>
      <c r="C22" s="345">
        <v>5646078</v>
      </c>
      <c r="D22" s="345">
        <v>718987</v>
      </c>
      <c r="E22" s="350">
        <f t="shared" ref="E22" si="3">D22/C22</f>
        <v>0.12734273242417127</v>
      </c>
      <c r="G22" s="345">
        <v>123912</v>
      </c>
      <c r="H22" s="345">
        <v>17348</v>
      </c>
      <c r="I22" s="350">
        <f t="shared" ref="I22" si="4">H22/G22</f>
        <v>0.14000258247788752</v>
      </c>
      <c r="K22" s="345"/>
      <c r="L22" s="345"/>
      <c r="M22" s="350">
        <v>0.1273</v>
      </c>
    </row>
    <row r="23" spans="2:29" s="2140" customFormat="1" outlineLevel="1" x14ac:dyDescent="0.3">
      <c r="B23" s="3226" t="s">
        <v>2097</v>
      </c>
      <c r="C23" s="345">
        <v>9191143</v>
      </c>
      <c r="D23" s="345">
        <v>1273382</v>
      </c>
      <c r="E23" s="350">
        <f t="shared" si="0"/>
        <v>0.13854446612352783</v>
      </c>
      <c r="G23" s="345">
        <v>628409</v>
      </c>
      <c r="H23" s="345">
        <v>89919</v>
      </c>
      <c r="I23" s="350">
        <f t="shared" si="1"/>
        <v>0.14308993028425754</v>
      </c>
      <c r="K23" s="345">
        <v>1468605</v>
      </c>
      <c r="L23" s="345">
        <v>204046</v>
      </c>
      <c r="M23" s="350">
        <f t="shared" si="2"/>
        <v>0.13893865266698671</v>
      </c>
    </row>
    <row r="24" spans="2:29" outlineLevel="1" x14ac:dyDescent="0.3">
      <c r="B24" s="1023" t="s">
        <v>2159</v>
      </c>
      <c r="C24" s="345">
        <v>3135856</v>
      </c>
      <c r="D24" s="345">
        <v>394168</v>
      </c>
      <c r="E24" s="350">
        <f t="shared" si="0"/>
        <v>0.12569709833614809</v>
      </c>
      <c r="G24" s="345">
        <v>120000</v>
      </c>
      <c r="H24" s="345">
        <v>16200</v>
      </c>
      <c r="I24" s="350">
        <f>H24/G24</f>
        <v>0.13500000000000001</v>
      </c>
      <c r="K24" s="345">
        <v>1312728</v>
      </c>
      <c r="L24" s="352">
        <v>183782</v>
      </c>
      <c r="M24" s="350">
        <f t="shared" si="2"/>
        <v>0.14000006094179449</v>
      </c>
    </row>
    <row r="25" spans="2:29" s="2140" customFormat="1" outlineLevel="1" x14ac:dyDescent="0.3">
      <c r="B25" s="1023" t="s">
        <v>2160</v>
      </c>
      <c r="C25" s="345">
        <v>4891736</v>
      </c>
      <c r="D25" s="345">
        <v>629847</v>
      </c>
      <c r="E25" s="350">
        <f t="shared" si="0"/>
        <v>0.12875735730628146</v>
      </c>
      <c r="G25" s="345">
        <v>0</v>
      </c>
      <c r="H25" s="345">
        <v>0</v>
      </c>
      <c r="I25" s="350">
        <f>I24</f>
        <v>0.13500000000000001</v>
      </c>
      <c r="K25" s="345">
        <v>442477</v>
      </c>
      <c r="L25" s="352">
        <v>57522</v>
      </c>
      <c r="M25" s="350">
        <f t="shared" si="2"/>
        <v>0.12999997739995525</v>
      </c>
    </row>
    <row r="26" spans="2:29" s="2140" customFormat="1" outlineLevel="1" x14ac:dyDescent="0.3">
      <c r="B26" s="1023" t="s">
        <v>2161</v>
      </c>
      <c r="C26" s="345">
        <v>5338093</v>
      </c>
      <c r="D26" s="4014">
        <v>672676.2248999998</v>
      </c>
      <c r="E26" s="350">
        <f>D26/C26</f>
        <v>0.12601433225310982</v>
      </c>
      <c r="G26" s="345">
        <v>120000</v>
      </c>
      <c r="H26" s="345">
        <v>15600</v>
      </c>
      <c r="I26" s="350">
        <f>H26/G26</f>
        <v>0.13</v>
      </c>
      <c r="K26" s="345">
        <v>319855</v>
      </c>
      <c r="L26" s="352">
        <v>41581</v>
      </c>
      <c r="M26" s="350">
        <f t="shared" si="2"/>
        <v>0.12999953103750136</v>
      </c>
    </row>
    <row r="29" spans="2:29" ht="29.4" thickBot="1" x14ac:dyDescent="0.35">
      <c r="B29" s="528" t="s">
        <v>967</v>
      </c>
      <c r="C29" s="529">
        <v>15831479.972551942</v>
      </c>
      <c r="N29" s="352"/>
      <c r="O29" s="352"/>
      <c r="P29" s="352"/>
    </row>
    <row r="31" spans="2:29" x14ac:dyDescent="0.3">
      <c r="B31" s="3020" t="s">
        <v>1751</v>
      </c>
      <c r="C31" s="3020">
        <v>17670</v>
      </c>
    </row>
    <row r="32" spans="2:29" s="2140" customFormat="1" ht="28.8" x14ac:dyDescent="0.3">
      <c r="B32" s="2673"/>
      <c r="C32" s="2679" t="s">
        <v>1755</v>
      </c>
      <c r="D32" s="2679" t="s">
        <v>1756</v>
      </c>
      <c r="E32" s="2679" t="s">
        <v>1757</v>
      </c>
      <c r="F32" s="2679" t="s">
        <v>1749</v>
      </c>
      <c r="G32" s="3223" t="s">
        <v>2088</v>
      </c>
      <c r="H32" s="3223" t="s">
        <v>2087</v>
      </c>
      <c r="K32" s="370"/>
      <c r="L32" s="370"/>
      <c r="P32" s="370"/>
      <c r="Q32" s="370"/>
    </row>
    <row r="33" spans="2:29" s="2140" customFormat="1" x14ac:dyDescent="0.3">
      <c r="B33" s="2678" t="s">
        <v>1753</v>
      </c>
      <c r="C33" s="2680" t="e">
        <f>C41</f>
        <v>#REF!</v>
      </c>
      <c r="D33" s="2680">
        <f>SUM(D34:D38)</f>
        <v>58733285.152000003</v>
      </c>
      <c r="E33" s="2680">
        <f>SUM(E34:E38)</f>
        <v>17798640.960000001</v>
      </c>
      <c r="F33" s="2680" t="e">
        <f>SUM(F34:F38)</f>
        <v>#REF!</v>
      </c>
      <c r="G33" s="2680">
        <f>SUM(G34:G37)</f>
        <v>7750000</v>
      </c>
      <c r="H33" s="2680" t="e">
        <f>SUM(H34:H37)</f>
        <v>#REF!</v>
      </c>
    </row>
    <row r="34" spans="2:29" s="2140" customFormat="1" x14ac:dyDescent="0.3">
      <c r="B34" s="2677" t="s">
        <v>1148</v>
      </c>
      <c r="C34" s="2674" t="e">
        <f>53608622.52+721597+#REF!+#REF!</f>
        <v>#REF!</v>
      </c>
      <c r="D34" s="352">
        <f>C43</f>
        <v>44652349.152000003</v>
      </c>
      <c r="E34" s="352">
        <f>C61</f>
        <v>12993064.060000001</v>
      </c>
      <c r="F34" s="352" t="e">
        <f>C34-D34-E34+(C37/3*2)</f>
        <v>#REF!</v>
      </c>
      <c r="G34" s="352">
        <f>3000000+1000000/3*2+1500000+1000000/3*2</f>
        <v>5833333.333333333</v>
      </c>
      <c r="H34" s="3224" t="e">
        <f>F34-G34</f>
        <v>#REF!</v>
      </c>
      <c r="L34" s="352"/>
      <c r="Q34" s="352"/>
    </row>
    <row r="35" spans="2:29" s="2140" customFormat="1" x14ac:dyDescent="0.3">
      <c r="B35" s="2677" t="s">
        <v>1754</v>
      </c>
      <c r="C35" s="2674">
        <f>1563454.33+Техника!BH86+PL_Логистика!BH86+Техника!BM86+PL_Логистика!BM86</f>
        <v>1327791.9805549132</v>
      </c>
      <c r="D35" s="352">
        <f>C52</f>
        <v>2537197</v>
      </c>
      <c r="E35" s="352">
        <f>C62</f>
        <v>0</v>
      </c>
      <c r="F35" s="352">
        <f>C35-D35-E35</f>
        <v>-1209405.0194450868</v>
      </c>
      <c r="G35" s="352"/>
      <c r="H35" s="3224">
        <f>F35-G35</f>
        <v>-1209405.0194450868</v>
      </c>
    </row>
    <row r="36" spans="2:29" s="2140" customFormat="1" x14ac:dyDescent="0.3">
      <c r="B36" s="2677" t="s">
        <v>1150</v>
      </c>
      <c r="C36" s="2674" t="e">
        <f>24034035.74+#REF!+#REF!</f>
        <v>#REF!</v>
      </c>
      <c r="D36" s="352">
        <f>C55</f>
        <v>11543739</v>
      </c>
      <c r="E36" s="352">
        <f>C63</f>
        <v>4805576.9000000004</v>
      </c>
      <c r="F36" s="352" t="e">
        <f>C36-D36-E36+(C37/3)</f>
        <v>#REF!</v>
      </c>
      <c r="G36" s="352">
        <f>750000+1000000/3+500000+1000000/3</f>
        <v>1916666.6666666665</v>
      </c>
      <c r="H36" s="3224" t="e">
        <f>F36-G36</f>
        <v>#REF!</v>
      </c>
      <c r="L36" s="352"/>
      <c r="Q36" s="352"/>
    </row>
    <row r="37" spans="2:29" s="2687" customFormat="1" x14ac:dyDescent="0.3">
      <c r="B37" s="3172" t="s">
        <v>2051</v>
      </c>
      <c r="C37" s="3173" t="e">
        <f>-4674263.27+#REF!+#REF!</f>
        <v>#REF!</v>
      </c>
      <c r="F37" s="3174"/>
      <c r="H37" s="352"/>
    </row>
    <row r="38" spans="2:29" s="2140" customFormat="1" ht="13.95" customHeight="1" x14ac:dyDescent="0.3">
      <c r="B38" s="2673"/>
      <c r="C38" s="3222" t="e">
        <f>C33-C34-C35-C36-C37</f>
        <v>#REF!</v>
      </c>
      <c r="D38" s="352"/>
    </row>
    <row r="39" spans="2:29" s="2687" customFormat="1" ht="3" customHeight="1" x14ac:dyDescent="0.3">
      <c r="B39" s="3101" t="s">
        <v>1914</v>
      </c>
      <c r="C39" s="3101"/>
    </row>
    <row r="40" spans="2:29" s="2140" customFormat="1" x14ac:dyDescent="0.3">
      <c r="B40" s="2673"/>
      <c r="C40" s="2673"/>
    </row>
    <row r="41" spans="2:29" ht="15" thickBot="1" x14ac:dyDescent="0.35">
      <c r="B41" s="396" t="s">
        <v>2163</v>
      </c>
      <c r="C41" s="398" t="e">
        <f>75253446.36+#REF!</f>
        <v>#REF!</v>
      </c>
      <c r="D41" s="754">
        <v>44562</v>
      </c>
      <c r="E41" s="754">
        <v>44593</v>
      </c>
      <c r="F41" s="754">
        <v>44621</v>
      </c>
      <c r="G41" s="754">
        <v>44652</v>
      </c>
      <c r="H41" s="754">
        <v>44682</v>
      </c>
      <c r="I41" s="754">
        <v>44713</v>
      </c>
      <c r="J41" s="754">
        <v>44743</v>
      </c>
      <c r="K41" s="754">
        <v>44774</v>
      </c>
      <c r="L41" s="754">
        <v>44805</v>
      </c>
      <c r="M41" s="754">
        <v>44835</v>
      </c>
      <c r="N41" s="754">
        <v>44866</v>
      </c>
      <c r="O41" s="754">
        <v>44896</v>
      </c>
      <c r="P41" s="754" t="s">
        <v>1718</v>
      </c>
      <c r="Q41" s="754" t="s">
        <v>1719</v>
      </c>
      <c r="R41" s="754" t="s">
        <v>1720</v>
      </c>
      <c r="S41" s="754" t="s">
        <v>1721</v>
      </c>
      <c r="T41" s="754" t="s">
        <v>1722</v>
      </c>
      <c r="U41" s="754" t="s">
        <v>1724</v>
      </c>
      <c r="V41" s="754" t="s">
        <v>1725</v>
      </c>
      <c r="W41" s="754" t="s">
        <v>1723</v>
      </c>
      <c r="X41" s="754" t="s">
        <v>2048</v>
      </c>
      <c r="Y41" s="754" t="s">
        <v>2086</v>
      </c>
      <c r="Z41" s="754">
        <v>45231</v>
      </c>
      <c r="AA41" s="754">
        <v>45261</v>
      </c>
      <c r="AB41" s="754">
        <v>45292</v>
      </c>
      <c r="AC41" s="754">
        <v>45323</v>
      </c>
    </row>
    <row r="42" spans="2:29" s="2140" customFormat="1" x14ac:dyDescent="0.3">
      <c r="B42" s="2662" t="s">
        <v>1729</v>
      </c>
      <c r="C42" s="2663">
        <f>C43+C52+C55</f>
        <v>58733285.152000003</v>
      </c>
      <c r="D42" s="2664">
        <f>D43+D52+D55</f>
        <v>2050243.5599999998</v>
      </c>
      <c r="E42" s="2664">
        <f t="shared" ref="E42:W42" si="5">E43+E52+E55</f>
        <v>4709674.9619999994</v>
      </c>
      <c r="F42" s="2664">
        <f t="shared" si="5"/>
        <v>0</v>
      </c>
      <c r="G42" s="2664">
        <f t="shared" si="5"/>
        <v>0</v>
      </c>
      <c r="H42" s="2664">
        <f t="shared" si="5"/>
        <v>0</v>
      </c>
      <c r="I42" s="2664">
        <f t="shared" si="5"/>
        <v>8236445.2200000007</v>
      </c>
      <c r="J42" s="2664">
        <f t="shared" si="5"/>
        <v>5137258</v>
      </c>
      <c r="K42" s="2664">
        <f t="shared" si="5"/>
        <v>70679</v>
      </c>
      <c r="L42" s="2664">
        <f t="shared" si="5"/>
        <v>104504</v>
      </c>
      <c r="M42" s="2664">
        <f t="shared" si="5"/>
        <v>0</v>
      </c>
      <c r="N42" s="2664">
        <f t="shared" si="5"/>
        <v>1523104</v>
      </c>
      <c r="O42" s="2664">
        <f t="shared" si="5"/>
        <v>1035552</v>
      </c>
      <c r="P42" s="2664">
        <f t="shared" si="5"/>
        <v>0</v>
      </c>
      <c r="Q42" s="2664">
        <f t="shared" si="5"/>
        <v>11950</v>
      </c>
      <c r="R42" s="2664">
        <f t="shared" si="5"/>
        <v>0</v>
      </c>
      <c r="S42" s="2664">
        <f t="shared" si="5"/>
        <v>2755185</v>
      </c>
      <c r="T42" s="2664">
        <f t="shared" si="5"/>
        <v>1732918</v>
      </c>
      <c r="U42" s="2664">
        <f t="shared" si="5"/>
        <v>1710694</v>
      </c>
      <c r="V42" s="2664">
        <f t="shared" si="5"/>
        <v>7135821.2400000002</v>
      </c>
      <c r="W42" s="2664">
        <f t="shared" si="5"/>
        <v>2727303.17</v>
      </c>
      <c r="X42" s="2664">
        <f t="shared" ref="X42" si="6">X43+X52+X55</f>
        <v>4531917</v>
      </c>
      <c r="Y42" s="2664">
        <f>Y43+Y52+Y55</f>
        <v>3695119</v>
      </c>
      <c r="Z42" s="2664">
        <f>Z43+Z52+Z55</f>
        <v>4426615</v>
      </c>
      <c r="AA42" s="2664">
        <f>AA43+AA52+AA55</f>
        <v>1296000</v>
      </c>
      <c r="AB42" s="2664">
        <f>AB43+AB52+AB55</f>
        <v>4503782</v>
      </c>
      <c r="AC42" s="2664">
        <f>AC43+AC52+AC55</f>
        <v>1338520</v>
      </c>
    </row>
    <row r="43" spans="2:29" s="2140" customFormat="1" ht="15.6" x14ac:dyDescent="0.3">
      <c r="B43" s="2665" t="s">
        <v>1148</v>
      </c>
      <c r="C43" s="2666">
        <f>SUM(D43:AC43)</f>
        <v>44652349.152000003</v>
      </c>
      <c r="D43" s="2667">
        <f>SUM(D44:D51)</f>
        <v>2050243.5599999998</v>
      </c>
      <c r="E43" s="2667">
        <f t="shared" ref="E43:W43" si="7">SUM(E44:E51)</f>
        <v>4709674.9619999994</v>
      </c>
      <c r="F43" s="2667">
        <f t="shared" si="7"/>
        <v>0</v>
      </c>
      <c r="G43" s="2667">
        <f t="shared" si="7"/>
        <v>0</v>
      </c>
      <c r="H43" s="2667">
        <f t="shared" si="7"/>
        <v>0</v>
      </c>
      <c r="I43" s="2667">
        <f t="shared" si="7"/>
        <v>8236445.2200000007</v>
      </c>
      <c r="J43" s="2667">
        <f t="shared" si="7"/>
        <v>5137258</v>
      </c>
      <c r="K43" s="2667">
        <f t="shared" si="7"/>
        <v>9675</v>
      </c>
      <c r="L43" s="2667">
        <f t="shared" si="7"/>
        <v>43500</v>
      </c>
      <c r="M43" s="2667">
        <f t="shared" si="7"/>
        <v>0</v>
      </c>
      <c r="N43" s="2667">
        <f t="shared" si="7"/>
        <v>0</v>
      </c>
      <c r="O43" s="2667">
        <f t="shared" si="7"/>
        <v>143467</v>
      </c>
      <c r="P43" s="2667">
        <f t="shared" si="7"/>
        <v>0</v>
      </c>
      <c r="Q43" s="2667">
        <f t="shared" si="7"/>
        <v>11950</v>
      </c>
      <c r="R43" s="2667">
        <f t="shared" si="7"/>
        <v>0</v>
      </c>
      <c r="S43" s="2667">
        <f t="shared" si="7"/>
        <v>185</v>
      </c>
      <c r="T43" s="2667">
        <f t="shared" si="7"/>
        <v>154918</v>
      </c>
      <c r="U43" s="2667">
        <f t="shared" si="7"/>
        <v>1710694</v>
      </c>
      <c r="V43" s="2667">
        <f>SUM(V44:V51)</f>
        <v>5745210.2400000002</v>
      </c>
      <c r="W43" s="2667">
        <f t="shared" si="7"/>
        <v>1277703.1700000002</v>
      </c>
      <c r="X43" s="2667">
        <f t="shared" ref="X43" si="8">SUM(X44:X51)</f>
        <v>2941763</v>
      </c>
      <c r="Y43" s="2667">
        <f>SUM(Y44:Y51)</f>
        <v>5000000</v>
      </c>
      <c r="Z43" s="2667">
        <f>SUM(Z44:Z51)</f>
        <v>2300000</v>
      </c>
      <c r="AA43" s="2667">
        <f>SUM(AA44:AA51)</f>
        <v>0</v>
      </c>
      <c r="AB43" s="2667">
        <f>SUM(AB44:AB51)</f>
        <v>3841642</v>
      </c>
      <c r="AC43" s="2667">
        <f>SUM(AC44:AC51)</f>
        <v>1338020</v>
      </c>
    </row>
    <row r="44" spans="2:29" ht="14.4" customHeight="1" outlineLevel="1" x14ac:dyDescent="0.3">
      <c r="B44" s="2655" t="s">
        <v>175</v>
      </c>
      <c r="C44" s="2656">
        <f>SUM(D44:AC44)</f>
        <v>10624</v>
      </c>
      <c r="D44" s="2656"/>
      <c r="E44" s="2656">
        <f>10624</f>
        <v>10624</v>
      </c>
      <c r="F44" s="2668"/>
      <c r="G44" s="2656"/>
      <c r="H44" s="2656"/>
      <c r="I44" s="2656"/>
      <c r="J44" s="2656"/>
      <c r="K44" s="2656"/>
      <c r="L44" s="2656"/>
      <c r="M44" s="2656"/>
      <c r="N44" s="2656"/>
      <c r="O44" s="2656"/>
      <c r="P44" s="2656"/>
      <c r="Q44" s="2656"/>
      <c r="R44" s="2655"/>
      <c r="S44" s="2655"/>
      <c r="T44" s="2655"/>
      <c r="U44" s="2656"/>
      <c r="V44" s="2655"/>
      <c r="W44" s="2655"/>
      <c r="X44" s="2667"/>
      <c r="Y44" s="2667"/>
      <c r="Z44" s="2667"/>
      <c r="AA44" s="2667"/>
      <c r="AB44" s="2667"/>
      <c r="AC44" s="2667"/>
    </row>
    <row r="45" spans="2:29" s="2140" customFormat="1" ht="14.4" customHeight="1" outlineLevel="1" x14ac:dyDescent="0.3">
      <c r="B45" s="2655" t="s">
        <v>1626</v>
      </c>
      <c r="C45" s="2656">
        <f>SUM(D45:AC45)</f>
        <v>3436060</v>
      </c>
      <c r="D45" s="2656"/>
      <c r="E45" s="2656"/>
      <c r="F45" s="2668"/>
      <c r="G45" s="2656"/>
      <c r="H45" s="2656"/>
      <c r="I45" s="2656"/>
      <c r="J45" s="2656"/>
      <c r="K45" s="2656"/>
      <c r="L45" s="2656"/>
      <c r="M45" s="2655"/>
      <c r="N45" s="2656"/>
      <c r="O45" s="2656"/>
      <c r="P45" s="2656"/>
      <c r="Q45" s="2656"/>
      <c r="R45" s="2655"/>
      <c r="S45" s="2656"/>
      <c r="T45" s="2656"/>
      <c r="U45" s="2656">
        <f>1104300</f>
        <v>1104300</v>
      </c>
      <c r="V45" s="2656">
        <v>2331760</v>
      </c>
      <c r="W45" s="2656"/>
      <c r="X45" s="2667"/>
      <c r="Y45" s="2667"/>
      <c r="Z45" s="2667"/>
      <c r="AA45" s="2667"/>
      <c r="AB45" s="2667"/>
      <c r="AC45" s="2667"/>
    </row>
    <row r="46" spans="2:29" ht="15.6" customHeight="1" outlineLevel="1" x14ac:dyDescent="0.3">
      <c r="B46" s="2655" t="s">
        <v>946</v>
      </c>
      <c r="C46" s="2656">
        <f t="shared" ref="C46:C58" si="9">SUM(D46:AC46)</f>
        <v>22404427.221999999</v>
      </c>
      <c r="D46" s="2656">
        <f>1751726.91+20160+8400+25849.15+24000+13558+2058+7975.54+7280+3543+5765+17374+10345+3522+1674</f>
        <v>1903230.5999999999</v>
      </c>
      <c r="E46" s="2656">
        <f>3801067+2470+43500+116044+58479+114777.36*1.2+1696.38</f>
        <v>4160989.2119999998</v>
      </c>
      <c r="F46" s="2668"/>
      <c r="G46" s="2656"/>
      <c r="H46" s="2656"/>
      <c r="I46" s="2656"/>
      <c r="J46" s="2656"/>
      <c r="K46" s="2656">
        <v>9675</v>
      </c>
      <c r="L46" s="2656">
        <v>43500</v>
      </c>
      <c r="M46" s="2656"/>
      <c r="N46" s="2656"/>
      <c r="O46" s="2656">
        <v>143467</v>
      </c>
      <c r="P46" s="2656"/>
      <c r="Q46" s="2656">
        <v>11950</v>
      </c>
      <c r="R46" s="2655"/>
      <c r="S46" s="2656">
        <v>185</v>
      </c>
      <c r="T46" s="2656">
        <v>154918</v>
      </c>
      <c r="U46" s="2656">
        <v>606394</v>
      </c>
      <c r="V46" s="2656">
        <v>9010.24</v>
      </c>
      <c r="W46" s="2656">
        <f>1189652.33+74061.24+13989.6</f>
        <v>1277703.1700000002</v>
      </c>
      <c r="X46" s="2667">
        <f>2564195+360864+16704</f>
        <v>2941763</v>
      </c>
      <c r="Y46" s="2667">
        <v>5000000</v>
      </c>
      <c r="Z46" s="2667">
        <v>2300000</v>
      </c>
      <c r="AA46" s="2667"/>
      <c r="AB46" s="2667">
        <v>3841642</v>
      </c>
      <c r="AC46" s="2667"/>
    </row>
    <row r="47" spans="2:29" s="2140" customFormat="1" ht="15.6" customHeight="1" outlineLevel="1" x14ac:dyDescent="0.3">
      <c r="B47" s="2655" t="s">
        <v>1783</v>
      </c>
      <c r="C47" s="2656">
        <f t="shared" si="9"/>
        <v>3404440</v>
      </c>
      <c r="D47" s="2656"/>
      <c r="E47" s="2656"/>
      <c r="F47" s="2668"/>
      <c r="G47" s="2656"/>
      <c r="H47" s="2656"/>
      <c r="I47" s="2656"/>
      <c r="J47" s="2656"/>
      <c r="K47" s="2656"/>
      <c r="L47" s="2656"/>
      <c r="M47" s="2656"/>
      <c r="N47" s="2656"/>
      <c r="O47" s="2656"/>
      <c r="P47" s="2656"/>
      <c r="Q47" s="2656"/>
      <c r="R47" s="2655"/>
      <c r="S47" s="2656"/>
      <c r="T47" s="2656"/>
      <c r="U47" s="2656"/>
      <c r="V47" s="2656">
        <f>2300000+104440+1000000</f>
        <v>3404440</v>
      </c>
      <c r="W47" s="2655"/>
      <c r="X47" s="2667"/>
      <c r="Y47" s="2667"/>
      <c r="Z47" s="2667"/>
      <c r="AA47" s="2667"/>
      <c r="AB47" s="2667"/>
      <c r="AC47" s="2667"/>
    </row>
    <row r="48" spans="2:29" outlineLevel="1" x14ac:dyDescent="0.3">
      <c r="B48" s="2655" t="s">
        <v>265</v>
      </c>
      <c r="C48" s="2656">
        <f t="shared" si="9"/>
        <v>1765048</v>
      </c>
      <c r="D48" s="2656">
        <f>61004</f>
        <v>61004</v>
      </c>
      <c r="E48" s="2656">
        <f>61004</f>
        <v>61004</v>
      </c>
      <c r="F48" s="2668"/>
      <c r="G48" s="2656"/>
      <c r="H48" s="2656"/>
      <c r="I48" s="2656">
        <v>244016</v>
      </c>
      <c r="J48" s="2656">
        <v>61004</v>
      </c>
      <c r="K48" s="2656"/>
      <c r="L48" s="2656"/>
      <c r="M48" s="2656"/>
      <c r="N48" s="2656"/>
      <c r="O48" s="2656"/>
      <c r="P48" s="2656"/>
      <c r="Q48" s="2656"/>
      <c r="R48" s="2655"/>
      <c r="S48" s="2655"/>
      <c r="T48" s="2655"/>
      <c r="U48" s="2656"/>
      <c r="V48" s="2655"/>
      <c r="W48" s="2655"/>
      <c r="X48" s="2667"/>
      <c r="Y48" s="2667"/>
      <c r="Z48" s="2667"/>
      <c r="AA48" s="2667"/>
      <c r="AB48" s="2667"/>
      <c r="AC48" s="2667">
        <v>1338020</v>
      </c>
    </row>
    <row r="49" spans="1:29" outlineLevel="1" x14ac:dyDescent="0.3">
      <c r="B49" s="2655" t="s">
        <v>925</v>
      </c>
      <c r="C49" s="2656">
        <f t="shared" si="9"/>
        <v>13301771.220000001</v>
      </c>
      <c r="D49" s="2656"/>
      <c r="E49" s="2656">
        <v>279000</v>
      </c>
      <c r="F49" s="2668"/>
      <c r="G49" s="2656"/>
      <c r="H49" s="2656"/>
      <c r="I49" s="2656">
        <f>3174779.22+4817650</f>
        <v>7992429.2200000007</v>
      </c>
      <c r="J49" s="2656">
        <v>5030342</v>
      </c>
      <c r="K49" s="2656"/>
      <c r="L49" s="2655"/>
      <c r="M49" s="2656"/>
      <c r="N49" s="2656"/>
      <c r="O49" s="2656"/>
      <c r="P49" s="2656"/>
      <c r="Q49" s="2656"/>
      <c r="R49" s="2655"/>
      <c r="S49" s="2655"/>
      <c r="T49" s="2655"/>
      <c r="U49" s="2655"/>
      <c r="V49" s="2655"/>
      <c r="W49" s="2655"/>
      <c r="X49" s="2667"/>
      <c r="Y49" s="2667"/>
      <c r="Z49" s="2667"/>
      <c r="AA49" s="2667"/>
      <c r="AB49" s="2667"/>
      <c r="AC49" s="2667"/>
    </row>
    <row r="50" spans="1:29" outlineLevel="1" x14ac:dyDescent="0.3">
      <c r="B50" s="2655" t="s">
        <v>268</v>
      </c>
      <c r="C50" s="2656">
        <f t="shared" si="9"/>
        <v>219491</v>
      </c>
      <c r="D50" s="2656">
        <v>2609</v>
      </c>
      <c r="E50" s="2656">
        <f>23310+147660</f>
        <v>170970</v>
      </c>
      <c r="F50" s="2668"/>
      <c r="G50" s="2656"/>
      <c r="H50" s="2656"/>
      <c r="I50" s="2656"/>
      <c r="J50" s="2656">
        <v>45912</v>
      </c>
      <c r="K50" s="2656"/>
      <c r="L50" s="2656"/>
      <c r="M50" s="2656"/>
      <c r="N50" s="2656"/>
      <c r="O50" s="2656"/>
      <c r="P50" s="2656"/>
      <c r="Q50" s="2656"/>
      <c r="R50" s="2655"/>
      <c r="S50" s="2656"/>
      <c r="T50" s="2655"/>
      <c r="U50" s="2656"/>
      <c r="V50" s="2655"/>
      <c r="W50" s="2655"/>
      <c r="X50" s="2667"/>
      <c r="Y50" s="2667"/>
      <c r="Z50" s="2667"/>
      <c r="AA50" s="2667"/>
      <c r="AB50" s="2667"/>
      <c r="AC50" s="2667"/>
    </row>
    <row r="51" spans="1:29" outlineLevel="1" x14ac:dyDescent="0.3">
      <c r="B51" s="2655" t="s">
        <v>267</v>
      </c>
      <c r="C51" s="2656">
        <f t="shared" si="9"/>
        <v>110487.71</v>
      </c>
      <c r="D51" s="2656">
        <f>83399.96</f>
        <v>83399.960000000006</v>
      </c>
      <c r="E51" s="2656">
        <f>20111.75+6976</f>
        <v>27087.75</v>
      </c>
      <c r="F51" s="2668"/>
      <c r="G51" s="2656"/>
      <c r="H51" s="2656"/>
      <c r="I51" s="2656"/>
      <c r="J51" s="2656"/>
      <c r="K51" s="2656"/>
      <c r="L51" s="2656"/>
      <c r="M51" s="2656"/>
      <c r="N51" s="2656"/>
      <c r="O51" s="2656"/>
      <c r="P51" s="2656"/>
      <c r="Q51" s="2655"/>
      <c r="R51" s="2655"/>
      <c r="S51" s="2655"/>
      <c r="T51" s="2656"/>
      <c r="U51" s="2655"/>
      <c r="V51" s="2655"/>
      <c r="W51" s="2655"/>
      <c r="X51" s="2667"/>
      <c r="Y51" s="2667"/>
      <c r="Z51" s="2667"/>
      <c r="AA51" s="2667"/>
      <c r="AB51" s="2667"/>
      <c r="AC51" s="2667"/>
    </row>
    <row r="52" spans="1:29" s="2140" customFormat="1" ht="15.6" x14ac:dyDescent="0.3">
      <c r="B52" s="2665" t="s">
        <v>1149</v>
      </c>
      <c r="C52" s="2666">
        <f>SUM(C53:C54)</f>
        <v>2537197</v>
      </c>
      <c r="D52" s="2667">
        <f t="shared" ref="D52:X52" si="10">SUM(D53:D54)</f>
        <v>0</v>
      </c>
      <c r="E52" s="2667">
        <f t="shared" si="10"/>
        <v>0</v>
      </c>
      <c r="F52" s="2667">
        <f t="shared" si="10"/>
        <v>0</v>
      </c>
      <c r="G52" s="2667">
        <f t="shared" si="10"/>
        <v>0</v>
      </c>
      <c r="H52" s="2667">
        <f t="shared" si="10"/>
        <v>0</v>
      </c>
      <c r="I52" s="2667">
        <f t="shared" si="10"/>
        <v>0</v>
      </c>
      <c r="J52" s="2667">
        <f t="shared" si="10"/>
        <v>0</v>
      </c>
      <c r="K52" s="2667">
        <f t="shared" si="10"/>
        <v>61004</v>
      </c>
      <c r="L52" s="2667">
        <f t="shared" si="10"/>
        <v>61004</v>
      </c>
      <c r="M52" s="2667">
        <f t="shared" si="10"/>
        <v>0</v>
      </c>
      <c r="N52" s="2667">
        <f t="shared" si="10"/>
        <v>1523104</v>
      </c>
      <c r="O52" s="2667">
        <f t="shared" si="10"/>
        <v>892085</v>
      </c>
      <c r="P52" s="2667">
        <f t="shared" si="10"/>
        <v>0</v>
      </c>
      <c r="Q52" s="2667">
        <f t="shared" si="10"/>
        <v>0</v>
      </c>
      <c r="R52" s="2667">
        <f t="shared" si="10"/>
        <v>0</v>
      </c>
      <c r="S52" s="2667">
        <f t="shared" si="10"/>
        <v>0</v>
      </c>
      <c r="T52" s="2667">
        <f t="shared" si="10"/>
        <v>0</v>
      </c>
      <c r="U52" s="2667">
        <f t="shared" si="10"/>
        <v>0</v>
      </c>
      <c r="V52" s="2667">
        <f t="shared" si="10"/>
        <v>0</v>
      </c>
      <c r="W52" s="2667">
        <f t="shared" si="10"/>
        <v>0</v>
      </c>
      <c r="X52" s="2667">
        <f t="shared" si="10"/>
        <v>0</v>
      </c>
      <c r="Y52" s="2667">
        <f t="shared" ref="Y52:AC52" si="11">SUM(Y53:Y54)</f>
        <v>0</v>
      </c>
      <c r="Z52" s="2667">
        <f t="shared" si="11"/>
        <v>0</v>
      </c>
      <c r="AA52" s="2667">
        <f t="shared" ref="AA52:AB52" si="12">SUM(AA53:AA54)</f>
        <v>0</v>
      </c>
      <c r="AB52" s="2667">
        <f t="shared" si="12"/>
        <v>0</v>
      </c>
      <c r="AC52" s="2667">
        <f t="shared" si="11"/>
        <v>0</v>
      </c>
    </row>
    <row r="53" spans="1:29" s="2140" customFormat="1" outlineLevel="1" x14ac:dyDescent="0.3">
      <c r="B53" s="2655" t="s">
        <v>265</v>
      </c>
      <c r="C53" s="2656">
        <f t="shared" si="9"/>
        <v>244016</v>
      </c>
      <c r="D53" s="2656"/>
      <c r="E53" s="2656"/>
      <c r="F53" s="2668"/>
      <c r="G53" s="2656"/>
      <c r="H53" s="2656"/>
      <c r="I53" s="2656"/>
      <c r="J53" s="2656"/>
      <c r="K53" s="2656">
        <v>61004</v>
      </c>
      <c r="L53" s="2656">
        <v>61004</v>
      </c>
      <c r="M53" s="2656"/>
      <c r="N53" s="2656">
        <v>122008</v>
      </c>
      <c r="O53" s="2656"/>
      <c r="P53" s="2656"/>
      <c r="Q53" s="2655"/>
      <c r="R53" s="2655"/>
      <c r="S53" s="2655"/>
      <c r="T53" s="2656"/>
      <c r="U53" s="2655"/>
      <c r="V53" s="2655"/>
      <c r="W53" s="2655"/>
      <c r="X53" s="2667"/>
      <c r="Y53" s="2667"/>
      <c r="Z53" s="2667"/>
      <c r="AA53" s="2667"/>
      <c r="AB53" s="2667"/>
      <c r="AC53" s="2667"/>
    </row>
    <row r="54" spans="1:29" s="2140" customFormat="1" outlineLevel="1" x14ac:dyDescent="0.3">
      <c r="B54" s="2655" t="s">
        <v>925</v>
      </c>
      <c r="C54" s="2656">
        <f t="shared" si="9"/>
        <v>2293181</v>
      </c>
      <c r="D54" s="2656"/>
      <c r="E54" s="2656"/>
      <c r="F54" s="2668"/>
      <c r="G54" s="2656"/>
      <c r="H54" s="2656"/>
      <c r="I54" s="2656"/>
      <c r="J54" s="2656"/>
      <c r="K54" s="2656"/>
      <c r="L54" s="2656"/>
      <c r="M54" s="2656"/>
      <c r="N54" s="2656">
        <v>1401096</v>
      </c>
      <c r="O54" s="2656">
        <f>639485+210500*1.2</f>
        <v>892085</v>
      </c>
      <c r="P54" s="2656"/>
      <c r="Q54" s="2655"/>
      <c r="R54" s="2655"/>
      <c r="S54" s="2655"/>
      <c r="T54" s="2656"/>
      <c r="U54" s="2655"/>
      <c r="V54" s="2655"/>
      <c r="W54" s="2655"/>
      <c r="X54" s="2667"/>
      <c r="Y54" s="2667"/>
      <c r="Z54" s="2667"/>
      <c r="AA54" s="2667"/>
      <c r="AB54" s="2667"/>
      <c r="AC54" s="2667"/>
    </row>
    <row r="55" spans="1:29" s="2140" customFormat="1" ht="15.6" x14ac:dyDescent="0.3">
      <c r="B55" s="2665" t="s">
        <v>1150</v>
      </c>
      <c r="C55" s="2666">
        <f>SUM(C56:C58)</f>
        <v>11543739</v>
      </c>
      <c r="D55" s="2667">
        <f t="shared" ref="D55" si="13">SUM(D57:D58)</f>
        <v>0</v>
      </c>
      <c r="E55" s="2667">
        <f t="shared" ref="E55" si="14">SUM(E57:E58)</f>
        <v>0</v>
      </c>
      <c r="F55" s="2667">
        <f t="shared" ref="F55" si="15">SUM(F57:F58)</f>
        <v>0</v>
      </c>
      <c r="G55" s="2667">
        <f t="shared" ref="G55" si="16">SUM(G57:G58)</f>
        <v>0</v>
      </c>
      <c r="H55" s="2667">
        <f t="shared" ref="H55" si="17">SUM(H57:H58)</f>
        <v>0</v>
      </c>
      <c r="I55" s="2667">
        <f t="shared" ref="I55" si="18">SUM(I57:I58)</f>
        <v>0</v>
      </c>
      <c r="J55" s="2667">
        <f t="shared" ref="J55" si="19">SUM(J57:J58)</f>
        <v>0</v>
      </c>
      <c r="K55" s="2667">
        <f t="shared" ref="K55" si="20">SUM(K57:K58)</f>
        <v>0</v>
      </c>
      <c r="L55" s="2667">
        <f t="shared" ref="L55" si="21">SUM(L57:L58)</f>
        <v>0</v>
      </c>
      <c r="M55" s="2667">
        <f t="shared" ref="M55" si="22">SUM(M57:M58)</f>
        <v>0</v>
      </c>
      <c r="N55" s="2667">
        <f t="shared" ref="N55" si="23">SUM(N57:N58)</f>
        <v>0</v>
      </c>
      <c r="O55" s="2667">
        <f t="shared" ref="O55" si="24">SUM(O57:O58)</f>
        <v>0</v>
      </c>
      <c r="P55" s="2667">
        <f t="shared" ref="P55" si="25">SUM(P57:P58)</f>
        <v>0</v>
      </c>
      <c r="Q55" s="2667">
        <f>SUM(Q56:Q58)</f>
        <v>0</v>
      </c>
      <c r="R55" s="2667">
        <f t="shared" ref="R55:X55" si="26">SUM(R56:R58)</f>
        <v>0</v>
      </c>
      <c r="S55" s="2667">
        <f t="shared" si="26"/>
        <v>2755000</v>
      </c>
      <c r="T55" s="2667">
        <f t="shared" si="26"/>
        <v>1578000</v>
      </c>
      <c r="U55" s="2667">
        <f t="shared" si="26"/>
        <v>0</v>
      </c>
      <c r="V55" s="2667">
        <f t="shared" si="26"/>
        <v>1390611</v>
      </c>
      <c r="W55" s="2667">
        <f t="shared" si="26"/>
        <v>1449600</v>
      </c>
      <c r="X55" s="2667">
        <f t="shared" si="26"/>
        <v>1590154</v>
      </c>
      <c r="Y55" s="2667">
        <f t="shared" ref="Y55:AC55" si="27">SUM(Y56:Y58)</f>
        <v>-1304881</v>
      </c>
      <c r="Z55" s="2667">
        <f>SUM(Z56:Z58)</f>
        <v>2126615</v>
      </c>
      <c r="AA55" s="2667">
        <f t="shared" ref="AA55:AB55" si="28">SUM(AA56:AA58)</f>
        <v>1296000</v>
      </c>
      <c r="AB55" s="2667">
        <f t="shared" si="28"/>
        <v>662140</v>
      </c>
      <c r="AC55" s="2667">
        <f t="shared" si="27"/>
        <v>500</v>
      </c>
    </row>
    <row r="56" spans="1:29" s="2140" customFormat="1" outlineLevel="1" x14ac:dyDescent="0.3">
      <c r="B56" s="2657" t="s">
        <v>1783</v>
      </c>
      <c r="C56" s="2660">
        <f t="shared" si="9"/>
        <v>973391</v>
      </c>
      <c r="D56" s="3022"/>
      <c r="E56" s="3022"/>
      <c r="F56" s="3022"/>
      <c r="G56" s="3022"/>
      <c r="H56" s="3022"/>
      <c r="I56" s="3022"/>
      <c r="J56" s="3022"/>
      <c r="K56" s="3022"/>
      <c r="L56" s="3022"/>
      <c r="M56" s="3022"/>
      <c r="N56" s="3022"/>
      <c r="O56" s="3022"/>
      <c r="P56" s="3022"/>
      <c r="Q56" s="3022"/>
      <c r="R56" s="3022"/>
      <c r="S56" s="3022"/>
      <c r="T56" s="3022"/>
      <c r="U56" s="3022"/>
      <c r="V56" s="3022">
        <f>590611+300000</f>
        <v>890611</v>
      </c>
      <c r="W56" s="3022"/>
      <c r="X56" s="3022"/>
      <c r="Y56" s="3022"/>
      <c r="Z56" s="3022">
        <v>41140</v>
      </c>
      <c r="AA56" s="3022"/>
      <c r="AB56" s="3022">
        <v>41140</v>
      </c>
      <c r="AC56" s="3022">
        <v>500</v>
      </c>
    </row>
    <row r="57" spans="1:29" s="2140" customFormat="1" outlineLevel="1" x14ac:dyDescent="0.3">
      <c r="B57" s="2657" t="s">
        <v>265</v>
      </c>
      <c r="C57" s="2660">
        <f t="shared" si="9"/>
        <v>2065475</v>
      </c>
      <c r="D57" s="2660"/>
      <c r="E57" s="2660"/>
      <c r="F57" s="3023"/>
      <c r="G57" s="2660"/>
      <c r="H57" s="2660"/>
      <c r="I57" s="2660"/>
      <c r="J57" s="2660"/>
      <c r="K57" s="2660"/>
      <c r="L57" s="2660"/>
      <c r="M57" s="2660"/>
      <c r="N57" s="2660"/>
      <c r="O57" s="2660"/>
      <c r="P57" s="2660"/>
      <c r="Q57" s="2657"/>
      <c r="R57" s="2657"/>
      <c r="S57" s="2657"/>
      <c r="T57" s="2660"/>
      <c r="U57" s="2657"/>
      <c r="V57" s="3022"/>
      <c r="W57" s="2657"/>
      <c r="X57" s="3022"/>
      <c r="Y57" s="3022"/>
      <c r="Z57" s="3022">
        <f>1184000+544475</f>
        <v>1728475</v>
      </c>
      <c r="AA57" s="3022">
        <v>296000</v>
      </c>
      <c r="AB57" s="3022">
        <v>41000</v>
      </c>
      <c r="AC57" s="3022"/>
    </row>
    <row r="58" spans="1:29" s="2140" customFormat="1" outlineLevel="1" x14ac:dyDescent="0.3">
      <c r="B58" s="2657" t="s">
        <v>1626</v>
      </c>
      <c r="C58" s="2660">
        <f t="shared" si="9"/>
        <v>8504873</v>
      </c>
      <c r="D58" s="2660"/>
      <c r="E58" s="2660"/>
      <c r="F58" s="3023"/>
      <c r="G58" s="2660"/>
      <c r="H58" s="2660"/>
      <c r="I58" s="2660"/>
      <c r="J58" s="2660"/>
      <c r="K58" s="2660"/>
      <c r="L58" s="2660"/>
      <c r="M58" s="2660"/>
      <c r="N58" s="2660"/>
      <c r="O58" s="2660"/>
      <c r="P58" s="2660"/>
      <c r="Q58" s="2657"/>
      <c r="R58" s="2657"/>
      <c r="S58" s="2660">
        <f>S70</f>
        <v>2755000</v>
      </c>
      <c r="T58" s="2660">
        <f>738000+840000</f>
        <v>1578000</v>
      </c>
      <c r="U58" s="2657"/>
      <c r="V58" s="3022">
        <v>500000</v>
      </c>
      <c r="W58" s="3022">
        <v>1449600</v>
      </c>
      <c r="X58" s="3022">
        <f>250154+1340000</f>
        <v>1590154</v>
      </c>
      <c r="Y58" s="3022">
        <f>645119-1950000</f>
        <v>-1304881</v>
      </c>
      <c r="Z58" s="3022">
        <v>357000</v>
      </c>
      <c r="AA58" s="3022">
        <v>1000000</v>
      </c>
      <c r="AB58" s="3022">
        <v>580000</v>
      </c>
      <c r="AC58" s="3022"/>
    </row>
    <row r="59" spans="1:29" s="2140" customFormat="1" x14ac:dyDescent="0.3">
      <c r="C59" s="2142"/>
      <c r="D59" s="2142"/>
      <c r="E59" s="2142"/>
      <c r="F59" s="524"/>
      <c r="G59" s="2142"/>
      <c r="H59" s="2142"/>
      <c r="I59" s="2142"/>
      <c r="J59" s="2142"/>
      <c r="K59" s="2142"/>
      <c r="L59" s="2142"/>
      <c r="M59" s="2142">
        <f>2802191/2</f>
        <v>1401095.5</v>
      </c>
      <c r="N59" s="2142"/>
      <c r="O59" s="2142"/>
      <c r="P59" s="2142"/>
      <c r="Q59" s="526"/>
      <c r="S59" s="2142"/>
      <c r="T59" s="2142"/>
    </row>
    <row r="60" spans="1:29" s="2140" customFormat="1" x14ac:dyDescent="0.3">
      <c r="B60" s="2662" t="s">
        <v>44</v>
      </c>
      <c r="C60" s="2663">
        <f>SUM(C61:C63)</f>
        <v>17798640.960000001</v>
      </c>
      <c r="D60" s="2664">
        <f t="shared" ref="D60:X60" si="29">SUM(D61:D63)</f>
        <v>1000000</v>
      </c>
      <c r="E60" s="2664">
        <f t="shared" si="29"/>
        <v>1000000</v>
      </c>
      <c r="F60" s="2664">
        <f t="shared" si="29"/>
        <v>0</v>
      </c>
      <c r="G60" s="2664">
        <f t="shared" si="29"/>
        <v>0</v>
      </c>
      <c r="H60" s="2664">
        <f t="shared" si="29"/>
        <v>0</v>
      </c>
      <c r="I60" s="2664">
        <f t="shared" si="29"/>
        <v>0</v>
      </c>
      <c r="J60" s="2664">
        <f t="shared" si="29"/>
        <v>0</v>
      </c>
      <c r="K60" s="2664">
        <f t="shared" si="29"/>
        <v>200000</v>
      </c>
      <c r="L60" s="2664">
        <f t="shared" si="29"/>
        <v>0</v>
      </c>
      <c r="M60" s="2664">
        <f t="shared" si="29"/>
        <v>4250000</v>
      </c>
      <c r="N60" s="2664">
        <f t="shared" si="29"/>
        <v>118053</v>
      </c>
      <c r="O60" s="2664">
        <f t="shared" si="29"/>
        <v>2733229</v>
      </c>
      <c r="P60" s="2664">
        <f t="shared" si="29"/>
        <v>380592</v>
      </c>
      <c r="Q60" s="2664">
        <f t="shared" si="29"/>
        <v>0</v>
      </c>
      <c r="R60" s="2664">
        <f t="shared" si="29"/>
        <v>300000</v>
      </c>
      <c r="S60" s="2664">
        <f t="shared" si="29"/>
        <v>39400</v>
      </c>
      <c r="T60" s="2664">
        <f t="shared" si="29"/>
        <v>400000</v>
      </c>
      <c r="U60" s="2664">
        <f t="shared" si="29"/>
        <v>4089285.62</v>
      </c>
      <c r="V60" s="2664">
        <f t="shared" si="29"/>
        <v>310400</v>
      </c>
      <c r="W60" s="2664">
        <f t="shared" si="29"/>
        <v>0</v>
      </c>
      <c r="X60" s="2664">
        <f t="shared" si="29"/>
        <v>591044</v>
      </c>
      <c r="Y60" s="2664">
        <f t="shared" ref="Y60:AC60" si="30">SUM(Y61:Y63)</f>
        <v>1096558.73</v>
      </c>
      <c r="Z60" s="2664">
        <f t="shared" si="30"/>
        <v>430923.24</v>
      </c>
      <c r="AA60" s="2664">
        <f t="shared" ref="AA60:AB60" si="31">SUM(AA61:AA63)</f>
        <v>605897.77</v>
      </c>
      <c r="AB60" s="2664">
        <f t="shared" si="31"/>
        <v>131400.35</v>
      </c>
      <c r="AC60" s="2664">
        <f t="shared" si="30"/>
        <v>121857.25</v>
      </c>
    </row>
    <row r="61" spans="1:29" s="2140" customFormat="1" x14ac:dyDescent="0.3">
      <c r="B61" s="2655" t="s">
        <v>1148</v>
      </c>
      <c r="C61" s="2656">
        <f>SUM(D61:AC61)</f>
        <v>12993064.060000001</v>
      </c>
      <c r="D61" s="2681">
        <v>1000000</v>
      </c>
      <c r="E61" s="2681">
        <v>1000000</v>
      </c>
      <c r="F61" s="2681"/>
      <c r="G61" s="2681"/>
      <c r="H61" s="2681"/>
      <c r="I61" s="2681"/>
      <c r="J61" s="2681"/>
      <c r="K61" s="2681">
        <v>200000</v>
      </c>
      <c r="L61" s="2681"/>
      <c r="M61" s="2681">
        <v>4250000</v>
      </c>
      <c r="N61" s="2681"/>
      <c r="O61" s="2681"/>
      <c r="P61" s="2681">
        <v>221400</v>
      </c>
      <c r="Q61" s="2681"/>
      <c r="R61" s="2681"/>
      <c r="S61" s="2681">
        <f>18000+21400</f>
        <v>39400</v>
      </c>
      <c r="T61" s="2682"/>
      <c r="U61" s="2681">
        <f>38620+162026.62+3888639</f>
        <v>4089285.62</v>
      </c>
      <c r="V61" s="2681">
        <f>300000+10400</f>
        <v>310400</v>
      </c>
      <c r="W61" s="2681"/>
      <c r="X61" s="2681">
        <f>8815+20000+262229</f>
        <v>291044</v>
      </c>
      <c r="Y61" s="2681">
        <f>27435.54+21399.75+1047723.44</f>
        <v>1096558.73</v>
      </c>
      <c r="Z61" s="2681">
        <f>6121+424802.24</f>
        <v>430923.24</v>
      </c>
      <c r="AA61" s="2681">
        <f>6549.54</f>
        <v>6549.54</v>
      </c>
      <c r="AB61" s="2681">
        <v>9013</v>
      </c>
      <c r="AC61" s="2681">
        <f>45547.66+2942.27</f>
        <v>48489.93</v>
      </c>
    </row>
    <row r="62" spans="1:29" s="2140" customFormat="1" x14ac:dyDescent="0.3">
      <c r="A62" s="2687"/>
      <c r="B62" s="2655" t="s">
        <v>1149</v>
      </c>
      <c r="C62" s="2656">
        <f t="shared" ref="C62" si="32">SUM(D62:AC62)</f>
        <v>0</v>
      </c>
      <c r="D62" s="2683"/>
      <c r="E62" s="2683"/>
      <c r="F62" s="2684"/>
      <c r="G62" s="2683"/>
      <c r="H62" s="2683"/>
      <c r="I62" s="2683"/>
      <c r="J62" s="2683"/>
      <c r="K62" s="2683"/>
      <c r="L62" s="2683"/>
      <c r="M62" s="2683"/>
      <c r="N62" s="2683"/>
      <c r="O62" s="2683"/>
      <c r="P62" s="2683"/>
      <c r="Q62" s="2683"/>
      <c r="R62" s="2685"/>
      <c r="S62" s="2685"/>
      <c r="T62" s="2685"/>
      <c r="U62" s="2683"/>
      <c r="V62" s="2685"/>
      <c r="W62" s="2685"/>
      <c r="X62" s="2685"/>
      <c r="Y62" s="2685"/>
      <c r="Z62" s="2685"/>
      <c r="AA62" s="2685"/>
      <c r="AB62" s="2685"/>
      <c r="AC62" s="2685"/>
    </row>
    <row r="63" spans="1:29" s="2140" customFormat="1" x14ac:dyDescent="0.3">
      <c r="B63" s="2655" t="s">
        <v>1150</v>
      </c>
      <c r="C63" s="2656">
        <f>SUM(D63:AC63)</f>
        <v>4805576.9000000004</v>
      </c>
      <c r="D63" s="2683"/>
      <c r="E63" s="2683"/>
      <c r="F63" s="2684"/>
      <c r="G63" s="2683"/>
      <c r="H63" s="2683"/>
      <c r="I63" s="2683"/>
      <c r="J63" s="2683"/>
      <c r="K63" s="2683"/>
      <c r="L63" s="2683"/>
      <c r="M63" s="2685"/>
      <c r="N63" s="2683">
        <v>118053</v>
      </c>
      <c r="O63" s="2686">
        <f>2733229</f>
        <v>2733229</v>
      </c>
      <c r="P63" s="2683">
        <v>159192</v>
      </c>
      <c r="Q63" s="2683"/>
      <c r="R63" s="2683">
        <v>300000</v>
      </c>
      <c r="S63" s="2683"/>
      <c r="T63" s="2683">
        <v>400000</v>
      </c>
      <c r="U63" s="2683"/>
      <c r="V63" s="2683"/>
      <c r="W63" s="2683"/>
      <c r="X63" s="2683">
        <v>300000</v>
      </c>
      <c r="Y63" s="2683"/>
      <c r="Z63" s="2683"/>
      <c r="AA63" s="2683">
        <v>599348.23</v>
      </c>
      <c r="AB63" s="2683">
        <v>122387.35</v>
      </c>
      <c r="AC63" s="2683">
        <v>73367.320000000007</v>
      </c>
    </row>
    <row r="64" spans="1:29" s="2140" customFormat="1" x14ac:dyDescent="0.3">
      <c r="B64" s="358"/>
      <c r="C64" s="358"/>
      <c r="D64" s="755"/>
      <c r="E64" s="755"/>
      <c r="F64" s="755"/>
      <c r="G64" s="755"/>
      <c r="H64" s="755"/>
      <c r="I64" s="755"/>
      <c r="J64" s="755"/>
      <c r="K64" s="755"/>
      <c r="L64" s="755"/>
      <c r="M64" s="755"/>
      <c r="N64" s="755"/>
      <c r="O64" s="755"/>
      <c r="P64" s="755"/>
      <c r="Q64" s="755"/>
      <c r="R64" s="755"/>
      <c r="S64" s="755"/>
      <c r="T64" s="755"/>
      <c r="U64" s="755"/>
      <c r="V64" s="755"/>
      <c r="W64" s="755"/>
    </row>
    <row r="65" spans="2:29" ht="15" thickBot="1" x14ac:dyDescent="0.35">
      <c r="B65" s="396" t="s">
        <v>544</v>
      </c>
      <c r="C65" s="397" t="e">
        <f>C41-C42-C60</f>
        <v>#REF!</v>
      </c>
      <c r="Y65" s="2140"/>
    </row>
    <row r="66" spans="2:29" s="2657" customFormat="1" hidden="1" outlineLevel="1" x14ac:dyDescent="0.3">
      <c r="D66" s="2658">
        <v>44562</v>
      </c>
      <c r="E66" s="2658">
        <v>44593</v>
      </c>
      <c r="F66" s="2658">
        <v>44621</v>
      </c>
      <c r="G66" s="2658">
        <v>44652</v>
      </c>
      <c r="H66" s="2658">
        <v>44682</v>
      </c>
      <c r="I66" s="2658">
        <v>44713</v>
      </c>
      <c r="J66" s="2658">
        <v>44743</v>
      </c>
      <c r="K66" s="2658">
        <v>44774</v>
      </c>
      <c r="L66" s="2658">
        <v>44805</v>
      </c>
      <c r="M66" s="2658">
        <v>44835</v>
      </c>
      <c r="N66" s="2658">
        <v>44866</v>
      </c>
      <c r="O66" s="2658">
        <v>44896</v>
      </c>
      <c r="P66" s="2658" t="s">
        <v>1718</v>
      </c>
      <c r="Q66" s="2658" t="s">
        <v>1719</v>
      </c>
      <c r="R66" s="2658" t="s">
        <v>1720</v>
      </c>
      <c r="S66" s="2658" t="s">
        <v>1721</v>
      </c>
      <c r="T66" s="2658" t="s">
        <v>1722</v>
      </c>
      <c r="U66" s="2658" t="s">
        <v>1724</v>
      </c>
      <c r="V66" s="2658" t="s">
        <v>1725</v>
      </c>
      <c r="W66" s="2658" t="s">
        <v>1723</v>
      </c>
    </row>
    <row r="67" spans="2:29" s="2657" customFormat="1" hidden="1" outlineLevel="1" x14ac:dyDescent="0.3">
      <c r="B67" s="2659" t="s">
        <v>1730</v>
      </c>
      <c r="C67" s="2660">
        <f t="shared" ref="C67:C70" si="33">SUM(D67:W67)</f>
        <v>20086032.620000001</v>
      </c>
      <c r="D67" s="2660">
        <v>1000000</v>
      </c>
      <c r="E67" s="2660">
        <v>1000000</v>
      </c>
      <c r="F67" s="2660"/>
      <c r="G67" s="2660"/>
      <c r="H67" s="2660"/>
      <c r="I67" s="2660"/>
      <c r="J67" s="2660"/>
      <c r="K67" s="2660">
        <v>200000</v>
      </c>
      <c r="L67" s="2660"/>
      <c r="M67" s="2660">
        <v>4250000</v>
      </c>
      <c r="N67" s="2660">
        <v>118053</v>
      </c>
      <c r="O67" s="2660">
        <f>49068+2733229</f>
        <v>2782297</v>
      </c>
      <c r="P67" s="2660">
        <f>400737+21400</f>
        <v>422137</v>
      </c>
      <c r="Q67" s="2660">
        <v>47560</v>
      </c>
      <c r="R67" s="2660">
        <v>300000</v>
      </c>
      <c r="S67" s="2660">
        <f>118000+21400+2655000</f>
        <v>2794400</v>
      </c>
      <c r="T67" s="2660">
        <f>1578000+3888639+400000</f>
        <v>5866639</v>
      </c>
      <c r="U67" s="2660">
        <f>38620+162026.62+1104300</f>
        <v>1304946.6200000001</v>
      </c>
      <c r="V67" s="2660"/>
      <c r="W67" s="2660"/>
    </row>
    <row r="68" spans="2:29" s="2657" customFormat="1" hidden="1" outlineLevel="1" x14ac:dyDescent="0.3">
      <c r="B68" s="2657" t="s">
        <v>1148</v>
      </c>
      <c r="C68" s="2661">
        <f t="shared" si="33"/>
        <v>9704385.4800000004</v>
      </c>
      <c r="I68" s="2661"/>
      <c r="J68" s="2661"/>
      <c r="K68" s="2661"/>
      <c r="L68" s="2661"/>
      <c r="M68" s="2661">
        <v>4250000</v>
      </c>
      <c r="N68" s="2661"/>
      <c r="O68" s="2661"/>
      <c r="P68" s="2661">
        <f>200000+21400</f>
        <v>221400</v>
      </c>
      <c r="Q68" s="2661"/>
      <c r="R68" s="2661"/>
      <c r="S68" s="2661">
        <f>18000+21400</f>
        <v>39400</v>
      </c>
      <c r="T68" s="2661">
        <f>781442+3107196.86</f>
        <v>3888638.86</v>
      </c>
      <c r="U68" s="2661">
        <f>1104300+38620+162026.62</f>
        <v>1304946.6200000001</v>
      </c>
    </row>
    <row r="69" spans="2:29" s="2657" customFormat="1" hidden="1" outlineLevel="1" x14ac:dyDescent="0.3">
      <c r="B69" s="2657" t="s">
        <v>1149</v>
      </c>
      <c r="C69" s="2661">
        <f t="shared" si="33"/>
        <v>138173</v>
      </c>
      <c r="I69" s="2661"/>
      <c r="J69" s="2661"/>
      <c r="K69" s="2661"/>
      <c r="L69" s="2661"/>
      <c r="M69" s="2661"/>
      <c r="N69" s="2661"/>
      <c r="O69" s="2661">
        <v>49068</v>
      </c>
      <c r="P69" s="2661">
        <v>41545</v>
      </c>
      <c r="Q69" s="2661">
        <v>47560</v>
      </c>
      <c r="R69" s="2661"/>
      <c r="S69" s="2661"/>
      <c r="T69" s="2661"/>
      <c r="U69" s="2661"/>
    </row>
    <row r="70" spans="2:29" s="2657" customFormat="1" hidden="1" outlineLevel="1" x14ac:dyDescent="0.3">
      <c r="B70" s="2657" t="s">
        <v>1150</v>
      </c>
      <c r="C70" s="2661">
        <f t="shared" si="33"/>
        <v>8043474</v>
      </c>
      <c r="I70" s="2661"/>
      <c r="J70" s="2661"/>
      <c r="K70" s="2661"/>
      <c r="L70" s="2661"/>
      <c r="M70" s="2661"/>
      <c r="N70" s="2661">
        <v>118053</v>
      </c>
      <c r="O70" s="2661">
        <v>2733229</v>
      </c>
      <c r="P70" s="2661">
        <v>159192</v>
      </c>
      <c r="Q70" s="2661"/>
      <c r="R70" s="2661">
        <v>300000</v>
      </c>
      <c r="S70" s="2661">
        <f>100000+2655000</f>
        <v>2755000</v>
      </c>
      <c r="T70" s="2661">
        <f>400000+738000+840000</f>
        <v>1978000</v>
      </c>
      <c r="U70" s="2661"/>
    </row>
    <row r="71" spans="2:29" s="2657" customFormat="1" hidden="1" outlineLevel="1" x14ac:dyDescent="0.3">
      <c r="B71" s="2659"/>
      <c r="C71" s="2660"/>
      <c r="D71" s="2660"/>
      <c r="E71" s="2660"/>
      <c r="F71" s="2660"/>
      <c r="G71" s="2660"/>
      <c r="H71" s="2660"/>
      <c r="I71" s="2660"/>
      <c r="J71" s="2660"/>
      <c r="K71" s="2660"/>
      <c r="L71" s="2660"/>
      <c r="M71" s="2660"/>
      <c r="N71" s="2660"/>
      <c r="O71" s="2660"/>
      <c r="P71" s="2660"/>
      <c r="Q71" s="2660"/>
      <c r="R71" s="2660"/>
      <c r="S71" s="2660">
        <f>S67-S68-S69-S70</f>
        <v>0</v>
      </c>
      <c r="T71" s="2660">
        <f>T67-T68-T69-T70</f>
        <v>0.14000000013038516</v>
      </c>
      <c r="U71" s="2660">
        <f>U67-U68-U69-U70</f>
        <v>0</v>
      </c>
      <c r="V71" s="2660"/>
      <c r="W71" s="2660"/>
    </row>
    <row r="72" spans="2:29" collapsed="1" x14ac:dyDescent="0.3">
      <c r="B72" s="358"/>
      <c r="C72" s="358"/>
    </row>
    <row r="73" spans="2:29" ht="29.4" thickBot="1" x14ac:dyDescent="0.35">
      <c r="B73" s="832" t="s">
        <v>2188</v>
      </c>
      <c r="C73" s="833" t="e">
        <f>C65</f>
        <v>#REF!</v>
      </c>
      <c r="D73" s="345"/>
      <c r="X73" s="1324"/>
      <c r="Y73"/>
      <c r="AC73"/>
    </row>
    <row r="75" spans="2:29" s="2140" customFormat="1" ht="15" thickBot="1" x14ac:dyDescent="0.35">
      <c r="B75" s="832" t="s">
        <v>1749</v>
      </c>
      <c r="C75" s="833">
        <f>C78+C96+C105</f>
        <v>32351297.270000003</v>
      </c>
    </row>
    <row r="76" spans="2:29" s="2140" customFormat="1" x14ac:dyDescent="0.3">
      <c r="B76" s="2675" t="s">
        <v>1750</v>
      </c>
      <c r="C76" s="2676" t="e">
        <f>C73-C75</f>
        <v>#REF!</v>
      </c>
    </row>
    <row r="77" spans="2:29" s="2140" customFormat="1" x14ac:dyDescent="0.3"/>
    <row r="78" spans="2:29" x14ac:dyDescent="0.3">
      <c r="B78" s="2671" t="s">
        <v>1731</v>
      </c>
      <c r="C78" s="2672">
        <f>SUM(C79:C95)</f>
        <v>19495010.719999999</v>
      </c>
    </row>
    <row r="79" spans="2:29" x14ac:dyDescent="0.3">
      <c r="B79" s="2669" t="s">
        <v>1732</v>
      </c>
      <c r="C79" s="2670">
        <v>12792779.9</v>
      </c>
    </row>
    <row r="80" spans="2:29" s="2140" customFormat="1" x14ac:dyDescent="0.3">
      <c r="B80" s="2669" t="s">
        <v>2114</v>
      </c>
      <c r="C80" s="2670">
        <v>20092.509999999998</v>
      </c>
    </row>
    <row r="81" spans="2:3" s="2140" customFormat="1" x14ac:dyDescent="0.3">
      <c r="B81" s="2669" t="s">
        <v>2089</v>
      </c>
      <c r="C81" s="2670">
        <v>4750000</v>
      </c>
    </row>
    <row r="82" spans="2:3" x14ac:dyDescent="0.3">
      <c r="B82" s="2669" t="s">
        <v>1733</v>
      </c>
      <c r="C82" s="2670"/>
    </row>
    <row r="83" spans="2:3" x14ac:dyDescent="0.3">
      <c r="B83" s="2669" t="s">
        <v>1734</v>
      </c>
      <c r="C83" s="2670">
        <v>506.59</v>
      </c>
    </row>
    <row r="84" spans="2:3" x14ac:dyDescent="0.3">
      <c r="B84" s="2669" t="s">
        <v>1735</v>
      </c>
      <c r="C84" s="2670">
        <v>2017.24</v>
      </c>
    </row>
    <row r="85" spans="2:3" x14ac:dyDescent="0.3">
      <c r="B85" s="2669" t="s">
        <v>1736</v>
      </c>
      <c r="C85" s="2670">
        <v>0</v>
      </c>
    </row>
    <row r="86" spans="2:3" x14ac:dyDescent="0.3">
      <c r="B86" s="2669" t="s">
        <v>1737</v>
      </c>
      <c r="C86" s="2670">
        <v>55.97</v>
      </c>
    </row>
    <row r="87" spans="2:3" x14ac:dyDescent="0.3">
      <c r="B87" s="2669" t="s">
        <v>1626</v>
      </c>
      <c r="C87" s="2670">
        <v>440101.37</v>
      </c>
    </row>
    <row r="88" spans="2:3" s="2140" customFormat="1" x14ac:dyDescent="0.3">
      <c r="B88" s="2669" t="s">
        <v>2091</v>
      </c>
      <c r="C88" s="2670">
        <v>310152.61</v>
      </c>
    </row>
    <row r="89" spans="2:3" x14ac:dyDescent="0.3">
      <c r="B89" s="2669" t="s">
        <v>1738</v>
      </c>
      <c r="C89" s="2670">
        <v>3958.02</v>
      </c>
    </row>
    <row r="90" spans="2:3" x14ac:dyDescent="0.3">
      <c r="B90" s="2669" t="s">
        <v>1739</v>
      </c>
      <c r="C90" s="2670">
        <v>8355.2199999999993</v>
      </c>
    </row>
    <row r="91" spans="2:3" x14ac:dyDescent="0.3">
      <c r="B91" s="2669" t="s">
        <v>2090</v>
      </c>
      <c r="C91" s="2670">
        <f>30000*36.55</f>
        <v>1096500</v>
      </c>
    </row>
    <row r="92" spans="2:3" s="2140" customFormat="1" x14ac:dyDescent="0.3">
      <c r="B92" s="2669" t="s">
        <v>2092</v>
      </c>
      <c r="C92" s="2670">
        <v>3159.67</v>
      </c>
    </row>
    <row r="93" spans="2:3" s="2140" customFormat="1" x14ac:dyDescent="0.3">
      <c r="B93" s="2669" t="s">
        <v>2095</v>
      </c>
      <c r="C93" s="2670">
        <v>0</v>
      </c>
    </row>
    <row r="94" spans="2:3" s="2140" customFormat="1" x14ac:dyDescent="0.3">
      <c r="B94" s="2669" t="s">
        <v>2096</v>
      </c>
      <c r="C94" s="2670">
        <v>27.37</v>
      </c>
    </row>
    <row r="95" spans="2:3" x14ac:dyDescent="0.3">
      <c r="B95" s="2669" t="s">
        <v>1740</v>
      </c>
      <c r="C95" s="2670">
        <v>67304.25</v>
      </c>
    </row>
    <row r="96" spans="2:3" x14ac:dyDescent="0.3">
      <c r="B96" s="2671" t="s">
        <v>1741</v>
      </c>
      <c r="C96" s="2672">
        <f>SUM(C97:C104)</f>
        <v>10701157.550000003</v>
      </c>
    </row>
    <row r="97" spans="2:3" x14ac:dyDescent="0.3">
      <c r="B97" s="2669" t="s">
        <v>1742</v>
      </c>
      <c r="C97" s="3021">
        <v>4985000</v>
      </c>
    </row>
    <row r="98" spans="2:3" x14ac:dyDescent="0.3">
      <c r="B98" s="2669" t="s">
        <v>1743</v>
      </c>
      <c r="C98" s="3021">
        <v>4691315.41</v>
      </c>
    </row>
    <row r="99" spans="2:3" x14ac:dyDescent="0.3">
      <c r="B99" s="2669" t="s">
        <v>1744</v>
      </c>
      <c r="C99" s="3021">
        <v>678929.55</v>
      </c>
    </row>
    <row r="100" spans="2:3" x14ac:dyDescent="0.3">
      <c r="B100" s="2669" t="s">
        <v>1745</v>
      </c>
      <c r="C100" s="3021">
        <v>0</v>
      </c>
    </row>
    <row r="101" spans="2:3" x14ac:dyDescent="0.3">
      <c r="B101" s="2669" t="s">
        <v>1746</v>
      </c>
      <c r="C101" s="3021">
        <v>1705.33</v>
      </c>
    </row>
    <row r="102" spans="2:3" x14ac:dyDescent="0.3">
      <c r="B102" s="2669" t="s">
        <v>1728</v>
      </c>
      <c r="C102" s="3021">
        <v>128381.46</v>
      </c>
    </row>
    <row r="103" spans="2:3" x14ac:dyDescent="0.3">
      <c r="B103" s="2669" t="s">
        <v>1747</v>
      </c>
      <c r="C103" s="3021">
        <v>635.72</v>
      </c>
    </row>
    <row r="104" spans="2:3" x14ac:dyDescent="0.3">
      <c r="B104" s="2669" t="s">
        <v>1748</v>
      </c>
      <c r="C104" s="3021">
        <v>215190.08</v>
      </c>
    </row>
    <row r="105" spans="2:3" x14ac:dyDescent="0.3">
      <c r="B105" s="2671" t="s">
        <v>1752</v>
      </c>
      <c r="C105" s="2672">
        <f>104400+2050729</f>
        <v>2155129</v>
      </c>
    </row>
    <row r="106" spans="2:3" x14ac:dyDescent="0.3">
      <c r="B106" s="2669"/>
      <c r="C106" s="2670"/>
    </row>
    <row r="107" spans="2:3" x14ac:dyDescent="0.3">
      <c r="B107" s="2669"/>
      <c r="C107" s="2670"/>
    </row>
    <row r="108" spans="2:3" x14ac:dyDescent="0.3">
      <c r="B108" s="2669"/>
      <c r="C108" s="2670"/>
    </row>
    <row r="109" spans="2:3" x14ac:dyDescent="0.3">
      <c r="B109" s="2669"/>
      <c r="C109" s="2670"/>
    </row>
  </sheetData>
  <mergeCells count="3">
    <mergeCell ref="C1:E1"/>
    <mergeCell ref="G1:I1"/>
    <mergeCell ref="K1:M1"/>
  </mergeCell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pageSetUpPr fitToPage="1"/>
  </sheetPr>
  <dimension ref="A1:AL97"/>
  <sheetViews>
    <sheetView showZeros="0" zoomScale="80" zoomScaleNormal="80" workbookViewId="0">
      <pane xSplit="6" ySplit="5" topLeftCell="H51" activePane="bottomRight" state="frozen"/>
      <selection pane="topRight" activeCell="G1" sqref="G1"/>
      <selection pane="bottomLeft" activeCell="A6" sqref="A6"/>
      <selection pane="bottomRight" activeCell="N78" sqref="N78"/>
    </sheetView>
  </sheetViews>
  <sheetFormatPr defaultColWidth="7.44140625" defaultRowHeight="13.2" outlineLevelRow="3" outlineLevelCol="1" x14ac:dyDescent="0.25"/>
  <cols>
    <col min="1" max="1" width="5.5546875" style="8" customWidth="1"/>
    <col min="2" max="2" width="55" style="8" customWidth="1"/>
    <col min="3" max="3" width="15" style="77" hidden="1" customWidth="1" outlineLevel="1"/>
    <col min="4" max="4" width="15.5546875" style="77" hidden="1" customWidth="1" outlineLevel="1"/>
    <col min="5" max="5" width="16.33203125" style="38" hidden="1" customWidth="1" outlineLevel="1"/>
    <col min="6" max="6" width="9.5546875" style="38" hidden="1" customWidth="1" outlineLevel="1"/>
    <col min="7" max="9" width="16.33203125" style="38" hidden="1" customWidth="1" outlineLevel="1"/>
    <col min="10" max="10" width="8.6640625" style="38" hidden="1" customWidth="1" outlineLevel="1"/>
    <col min="11" max="11" width="31.44140625" style="38" hidden="1" customWidth="1" outlineLevel="1"/>
    <col min="12" max="14" width="16.33203125" style="38" hidden="1" customWidth="1" outlineLevel="1"/>
    <col min="15" max="15" width="8.6640625" style="38" hidden="1" customWidth="1" outlineLevel="1"/>
    <col min="16" max="16" width="31.44140625" style="38" hidden="1" customWidth="1" outlineLevel="1"/>
    <col min="17" max="19" width="16.33203125" style="38" hidden="1" customWidth="1" outlineLevel="1"/>
    <col min="20" max="20" width="8.6640625" style="38" hidden="1" customWidth="1" outlineLevel="1"/>
    <col min="21" max="21" width="31.44140625" style="38" hidden="1" customWidth="1" outlineLevel="1"/>
    <col min="22" max="22" width="16.33203125" style="38" customWidth="1" collapsed="1"/>
    <col min="23" max="24" width="16.33203125" style="38" customWidth="1"/>
    <col min="25" max="25" width="8.6640625" style="38" customWidth="1"/>
    <col min="26" max="26" width="31.44140625" style="38" customWidth="1"/>
    <col min="27" max="29" width="16.33203125" style="38" hidden="1" customWidth="1" outlineLevel="1"/>
    <col min="30" max="30" width="13.6640625" style="38" hidden="1" customWidth="1" outlineLevel="1"/>
    <col min="31" max="34" width="16.33203125" style="38" hidden="1" customWidth="1" outlineLevel="1"/>
    <col min="35" max="35" width="9" style="38" hidden="1" customWidth="1" outlineLevel="1"/>
    <col min="36" max="36" width="16.33203125" style="38" hidden="1" customWidth="1" outlineLevel="1"/>
    <col min="37" max="37" width="22.44140625" style="1" customWidth="1" collapsed="1"/>
    <col min="38" max="16384" width="7.44140625" style="1"/>
  </cols>
  <sheetData>
    <row r="1" spans="1:38" ht="13.8" thickBot="1" x14ac:dyDescent="0.3">
      <c r="C1" s="38"/>
      <c r="D1" s="38"/>
    </row>
    <row r="2" spans="1:38" ht="22.2" customHeight="1" x14ac:dyDescent="0.25">
      <c r="A2" s="4016" t="s">
        <v>85</v>
      </c>
      <c r="B2" s="4017"/>
      <c r="C2" s="4017"/>
      <c r="D2" s="4017"/>
      <c r="E2" s="4017"/>
      <c r="F2" s="4018"/>
      <c r="G2" s="4019" t="s">
        <v>135</v>
      </c>
      <c r="H2" s="4020"/>
      <c r="I2" s="4020"/>
      <c r="J2" s="4020"/>
      <c r="K2" s="323"/>
      <c r="L2" s="4019" t="s">
        <v>82</v>
      </c>
      <c r="M2" s="4020"/>
      <c r="N2" s="4020"/>
      <c r="O2" s="4020"/>
      <c r="P2" s="232"/>
      <c r="Q2" s="4019" t="s">
        <v>107</v>
      </c>
      <c r="R2" s="4020"/>
      <c r="S2" s="4020"/>
      <c r="T2" s="4020"/>
      <c r="U2" s="316"/>
      <c r="V2" s="4019" t="s">
        <v>136</v>
      </c>
      <c r="W2" s="4020"/>
      <c r="X2" s="4020"/>
      <c r="Y2" s="4020"/>
      <c r="Z2" s="323"/>
      <c r="AA2" s="4023" t="s">
        <v>177</v>
      </c>
      <c r="AB2" s="4024"/>
      <c r="AC2" s="4024"/>
      <c r="AD2" s="4024"/>
      <c r="AE2" s="4025"/>
      <c r="AF2" s="4029" t="s">
        <v>83</v>
      </c>
      <c r="AG2" s="4030"/>
      <c r="AH2" s="4030"/>
      <c r="AI2" s="4030"/>
      <c r="AJ2" s="4031"/>
    </row>
    <row r="3" spans="1:38" ht="14.4" customHeight="1" thickBot="1" x14ac:dyDescent="0.3">
      <c r="A3" s="4035" t="s">
        <v>54</v>
      </c>
      <c r="B3" s="4036"/>
      <c r="C3" s="4036"/>
      <c r="D3" s="4036"/>
      <c r="E3" s="4036"/>
      <c r="F3" s="4037"/>
      <c r="G3" s="4021"/>
      <c r="H3" s="4022"/>
      <c r="I3" s="4022"/>
      <c r="J3" s="4022"/>
      <c r="K3" s="324"/>
      <c r="L3" s="4021"/>
      <c r="M3" s="4022"/>
      <c r="N3" s="4022"/>
      <c r="O3" s="4022"/>
      <c r="P3" s="233"/>
      <c r="Q3" s="4021"/>
      <c r="R3" s="4022"/>
      <c r="S3" s="4022"/>
      <c r="T3" s="4022"/>
      <c r="U3" s="317"/>
      <c r="V3" s="4021"/>
      <c r="W3" s="4022"/>
      <c r="X3" s="4022"/>
      <c r="Y3" s="4022"/>
      <c r="Z3" s="324"/>
      <c r="AA3" s="4026"/>
      <c r="AB3" s="4027"/>
      <c r="AC3" s="4027"/>
      <c r="AD3" s="4027"/>
      <c r="AE3" s="4028"/>
      <c r="AF3" s="4032"/>
      <c r="AG3" s="4033"/>
      <c r="AH3" s="4033"/>
      <c r="AI3" s="4033"/>
      <c r="AJ3" s="4034"/>
    </row>
    <row r="4" spans="1:38" ht="41.4" thickBot="1" x14ac:dyDescent="0.3">
      <c r="A4" s="92"/>
      <c r="B4" s="93" t="s">
        <v>11</v>
      </c>
      <c r="C4" s="239" t="s">
        <v>55</v>
      </c>
      <c r="D4" s="239" t="s">
        <v>18</v>
      </c>
      <c r="E4" s="240" t="s">
        <v>39</v>
      </c>
      <c r="F4" s="209" t="s">
        <v>40</v>
      </c>
      <c r="G4" s="94" t="s">
        <v>55</v>
      </c>
      <c r="H4" s="94" t="s">
        <v>18</v>
      </c>
      <c r="I4" s="95" t="s">
        <v>39</v>
      </c>
      <c r="J4" s="209" t="s">
        <v>40</v>
      </c>
      <c r="K4" s="241" t="s">
        <v>86</v>
      </c>
      <c r="L4" s="94" t="s">
        <v>55</v>
      </c>
      <c r="M4" s="94" t="s">
        <v>18</v>
      </c>
      <c r="N4" s="95" t="s">
        <v>39</v>
      </c>
      <c r="O4" s="209" t="s">
        <v>40</v>
      </c>
      <c r="P4" s="241" t="s">
        <v>86</v>
      </c>
      <c r="Q4" s="94" t="s">
        <v>55</v>
      </c>
      <c r="R4" s="94" t="s">
        <v>18</v>
      </c>
      <c r="S4" s="95" t="s">
        <v>39</v>
      </c>
      <c r="T4" s="209" t="s">
        <v>40</v>
      </c>
      <c r="U4" s="241" t="s">
        <v>86</v>
      </c>
      <c r="V4" s="94" t="s">
        <v>55</v>
      </c>
      <c r="W4" s="94" t="s">
        <v>18</v>
      </c>
      <c r="X4" s="95" t="s">
        <v>39</v>
      </c>
      <c r="Y4" s="209" t="s">
        <v>40</v>
      </c>
      <c r="Z4" s="241" t="s">
        <v>86</v>
      </c>
      <c r="AA4" s="94" t="s">
        <v>55</v>
      </c>
      <c r="AB4" s="94" t="s">
        <v>18</v>
      </c>
      <c r="AC4" s="95" t="s">
        <v>39</v>
      </c>
      <c r="AD4" s="209" t="s">
        <v>40</v>
      </c>
      <c r="AE4" s="95" t="s">
        <v>19</v>
      </c>
      <c r="AF4" s="94" t="s">
        <v>55</v>
      </c>
      <c r="AG4" s="94" t="s">
        <v>18</v>
      </c>
      <c r="AH4" s="95" t="s">
        <v>39</v>
      </c>
      <c r="AI4" s="209" t="s">
        <v>40</v>
      </c>
      <c r="AJ4" s="95" t="s">
        <v>19</v>
      </c>
    </row>
    <row r="5" spans="1:38" s="88" customFormat="1" ht="14.4" thickBot="1" x14ac:dyDescent="0.3">
      <c r="A5" s="83"/>
      <c r="B5" s="84" t="s">
        <v>10</v>
      </c>
      <c r="C5" s="85">
        <f>C6</f>
        <v>0</v>
      </c>
      <c r="D5" s="85">
        <f>D6</f>
        <v>4969126.97</v>
      </c>
      <c r="E5" s="86">
        <f>E6</f>
        <v>4969126.97</v>
      </c>
      <c r="F5" s="87"/>
      <c r="G5" s="85">
        <f>G6</f>
        <v>0</v>
      </c>
      <c r="H5" s="85">
        <f>H6</f>
        <v>0</v>
      </c>
      <c r="I5" s="86">
        <f>I6</f>
        <v>0</v>
      </c>
      <c r="J5" s="87"/>
      <c r="K5" s="263"/>
      <c r="L5" s="85">
        <f>L6</f>
        <v>0</v>
      </c>
      <c r="M5" s="85">
        <f>M6</f>
        <v>1911138</v>
      </c>
      <c r="N5" s="86">
        <f>N6</f>
        <v>1911138</v>
      </c>
      <c r="O5" s="87"/>
      <c r="P5" s="263"/>
      <c r="Q5" s="85">
        <f>Q6</f>
        <v>0</v>
      </c>
      <c r="R5" s="85">
        <f>R6</f>
        <v>0</v>
      </c>
      <c r="S5" s="86">
        <f>S6</f>
        <v>0</v>
      </c>
      <c r="T5" s="87"/>
      <c r="U5" s="263"/>
      <c r="V5" s="85">
        <f>V6</f>
        <v>0</v>
      </c>
      <c r="W5" s="85">
        <f>W6</f>
        <v>2770509.28</v>
      </c>
      <c r="X5" s="86">
        <f>X6</f>
        <v>2770509.28</v>
      </c>
      <c r="Y5" s="87"/>
      <c r="Z5" s="263"/>
      <c r="AA5" s="87">
        <f>AA6</f>
        <v>0</v>
      </c>
      <c r="AB5" s="87">
        <f>AB6</f>
        <v>4681647.2799999993</v>
      </c>
      <c r="AC5" s="87">
        <f>AC6</f>
        <v>4681647.2799999993</v>
      </c>
      <c r="AD5" s="87"/>
      <c r="AE5" s="87"/>
      <c r="AF5" s="85">
        <f>AF6</f>
        <v>0</v>
      </c>
      <c r="AG5" s="85">
        <f>AG6</f>
        <v>287479.69000000041</v>
      </c>
      <c r="AH5" s="86">
        <f>AH6</f>
        <v>287479.69000000041</v>
      </c>
      <c r="AI5" s="87"/>
      <c r="AJ5" s="87"/>
      <c r="AK5" s="1"/>
      <c r="AL5" s="1"/>
    </row>
    <row r="6" spans="1:38" s="2" customFormat="1" ht="27.6" outlineLevel="1" x14ac:dyDescent="0.25">
      <c r="A6" s="238"/>
      <c r="B6" s="9" t="s">
        <v>17</v>
      </c>
      <c r="C6" s="104"/>
      <c r="D6" s="105">
        <v>4969126.97</v>
      </c>
      <c r="E6" s="106">
        <f>C6+D6</f>
        <v>4969126.97</v>
      </c>
      <c r="F6" s="39"/>
      <c r="G6" s="39"/>
      <c r="H6" s="39"/>
      <c r="I6" s="39">
        <f>G6+H6</f>
        <v>0</v>
      </c>
      <c r="J6" s="39"/>
      <c r="K6" s="291"/>
      <c r="L6" s="39"/>
      <c r="M6" s="39">
        <f>1911138</f>
        <v>1911138</v>
      </c>
      <c r="N6" s="39">
        <f>L6+M6</f>
        <v>1911138</v>
      </c>
      <c r="O6" s="39"/>
      <c r="P6" s="291" t="s">
        <v>137</v>
      </c>
      <c r="Q6" s="39"/>
      <c r="R6" s="39"/>
      <c r="S6" s="39">
        <f>Q6+R6</f>
        <v>0</v>
      </c>
      <c r="T6" s="39"/>
      <c r="U6" s="291"/>
      <c r="V6" s="39"/>
      <c r="W6" s="39">
        <f>3342509.28-572000</f>
        <v>2770509.28</v>
      </c>
      <c r="X6" s="39">
        <f>V6+W6</f>
        <v>2770509.28</v>
      </c>
      <c r="Y6" s="39"/>
      <c r="Z6" s="291" t="s">
        <v>178</v>
      </c>
      <c r="AA6" s="39">
        <f>L6+Q6+V6+G6</f>
        <v>0</v>
      </c>
      <c r="AB6" s="39">
        <f>M6+R6+W6+H6</f>
        <v>4681647.2799999993</v>
      </c>
      <c r="AC6" s="106">
        <f>AA6+AB6</f>
        <v>4681647.2799999993</v>
      </c>
      <c r="AD6" s="39"/>
      <c r="AE6" s="39"/>
      <c r="AF6" s="210">
        <f>C6-AA6</f>
        <v>0</v>
      </c>
      <c r="AG6" s="210">
        <f>D6-AB6</f>
        <v>287479.69000000041</v>
      </c>
      <c r="AH6" s="210">
        <f>AF6+AG6</f>
        <v>287479.69000000041</v>
      </c>
      <c r="AI6" s="39"/>
      <c r="AJ6" s="39"/>
      <c r="AK6" s="1"/>
      <c r="AL6" s="1"/>
    </row>
    <row r="7" spans="1:38" s="2" customFormat="1" ht="15" customHeight="1" outlineLevel="1" collapsed="1" thickBot="1" x14ac:dyDescent="0.3">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106">
        <f>AA7+AB7</f>
        <v>0</v>
      </c>
      <c r="AD7" s="40"/>
      <c r="AE7" s="40"/>
      <c r="AF7" s="210">
        <f>C7-AA7</f>
        <v>0</v>
      </c>
      <c r="AG7" s="210">
        <f>D7-AB7</f>
        <v>0</v>
      </c>
      <c r="AH7" s="210">
        <f>AF7+AG7</f>
        <v>0</v>
      </c>
      <c r="AI7" s="40"/>
      <c r="AJ7" s="40"/>
      <c r="AK7" s="1"/>
      <c r="AL7" s="1"/>
    </row>
    <row r="8" spans="1:38" s="88" customFormat="1" ht="15" customHeight="1" outlineLevel="1" thickBot="1" x14ac:dyDescent="0.3">
      <c r="A8" s="238"/>
      <c r="B8" s="84" t="s">
        <v>16</v>
      </c>
      <c r="C8" s="109">
        <f>SUM(C9:C31)</f>
        <v>975438</v>
      </c>
      <c r="D8" s="109">
        <f>SUM(D9:D31)</f>
        <v>2243523</v>
      </c>
      <c r="E8" s="110">
        <f>SUM(E9:E31)</f>
        <v>3218961</v>
      </c>
      <c r="F8" s="164">
        <f>E8/$E$87</f>
        <v>0.9574260008405463</v>
      </c>
      <c r="G8" s="109">
        <f>SUM(G9:G31)</f>
        <v>0</v>
      </c>
      <c r="H8" s="109">
        <f>SUM(H9:H31)</f>
        <v>480</v>
      </c>
      <c r="I8" s="110">
        <f>SUM(I9:I31)</f>
        <v>480</v>
      </c>
      <c r="J8" s="164">
        <f>I8/$N$87</f>
        <v>1.1248466702757235E-3</v>
      </c>
      <c r="K8" s="264"/>
      <c r="L8" s="109">
        <f>SUM(L9:L31)</f>
        <v>172736.59600000002</v>
      </c>
      <c r="M8" s="109">
        <f>SUM(M9:M31)</f>
        <v>163985.65000000002</v>
      </c>
      <c r="N8" s="110">
        <f>SUM(N9:N31)</f>
        <v>336722.24600000004</v>
      </c>
      <c r="O8" s="164">
        <f>N8/$N$87</f>
        <v>0.78908520254346481</v>
      </c>
      <c r="P8" s="264"/>
      <c r="Q8" s="109">
        <f>SUM(Q9:Q31)</f>
        <v>132386.06</v>
      </c>
      <c r="R8" s="109">
        <f>SUM(R9:R31)</f>
        <v>33025</v>
      </c>
      <c r="S8" s="110">
        <f>SUM(S9:S31)</f>
        <v>165411.06</v>
      </c>
      <c r="T8" s="164">
        <f>S8/$S$87</f>
        <v>0.71402738705677105</v>
      </c>
      <c r="U8" s="264"/>
      <c r="V8" s="109">
        <f>SUM(V9:V31)</f>
        <v>209487.06800000003</v>
      </c>
      <c r="W8" s="109">
        <f>SUM(W9:W31)</f>
        <v>296819.5</v>
      </c>
      <c r="X8" s="110">
        <f>SUM(X9:X31)</f>
        <v>506306.56800000003</v>
      </c>
      <c r="Y8" s="164">
        <f>X8/$X$87</f>
        <v>0.82906416769330915</v>
      </c>
      <c r="Z8" s="264"/>
      <c r="AA8" s="109">
        <f>SUM(AA9:AA31)</f>
        <v>514609.72400000005</v>
      </c>
      <c r="AB8" s="109">
        <f>SUM(AB9:AB31)</f>
        <v>494310.15</v>
      </c>
      <c r="AC8" s="110">
        <f>SUM(AC9:AC31)</f>
        <v>1008919.8740000001</v>
      </c>
      <c r="AD8" s="164">
        <f>AC8/$AC$87</f>
        <v>0.79240226940359226</v>
      </c>
      <c r="AE8" s="87"/>
      <c r="AF8" s="109">
        <f>SUM(AF9:AF31)</f>
        <v>460828.27599999995</v>
      </c>
      <c r="AG8" s="109">
        <f>SUM(AG9:AG31)</f>
        <v>1749212.85</v>
      </c>
      <c r="AH8" s="110">
        <f>SUM(AH9:AH31)</f>
        <v>2210041.1260000002</v>
      </c>
      <c r="AI8" s="164">
        <f>AH8/$AH$87</f>
        <v>0.91677174918896454</v>
      </c>
      <c r="AJ8" s="87"/>
      <c r="AK8" s="1"/>
      <c r="AL8" s="1"/>
    </row>
    <row r="9" spans="1:38" s="2" customFormat="1" ht="28.95" customHeight="1" outlineLevel="2" x14ac:dyDescent="0.25">
      <c r="A9" s="238"/>
      <c r="B9" s="31" t="s">
        <v>74</v>
      </c>
      <c r="C9" s="111">
        <v>51842</v>
      </c>
      <c r="D9" s="112"/>
      <c r="E9" s="106">
        <f t="shared" ref="E9:E31" si="0">C9+D9</f>
        <v>51842</v>
      </c>
      <c r="F9" s="177">
        <f t="shared" ref="F9:F31" si="1">E9/$E$87</f>
        <v>1.5419534047034307E-2</v>
      </c>
      <c r="G9" s="163"/>
      <c r="H9" s="112"/>
      <c r="I9" s="41">
        <f>G9+H9*1</f>
        <v>0</v>
      </c>
      <c r="J9" s="178">
        <f t="shared" ref="J9:J35" si="2">I9/$N$87</f>
        <v>0</v>
      </c>
      <c r="K9" s="265"/>
      <c r="L9" s="163">
        <f>5*3944.5</f>
        <v>19722.5</v>
      </c>
      <c r="M9" s="112"/>
      <c r="N9" s="41">
        <f>L9+M9*1</f>
        <v>19722.5</v>
      </c>
      <c r="O9" s="178">
        <f t="shared" ref="O9:O72" si="3">N9/$N$87</f>
        <v>4.6218309280235327E-2</v>
      </c>
      <c r="P9" s="265"/>
      <c r="Q9" s="163">
        <f>5*6842.5</f>
        <v>34212.5</v>
      </c>
      <c r="R9" s="112"/>
      <c r="S9" s="41">
        <f>Q9+R9*1</f>
        <v>34212.5</v>
      </c>
      <c r="T9" s="178">
        <f t="shared" ref="T9:T29" si="4">S9/$S$87</f>
        <v>0.14768457429436568</v>
      </c>
      <c r="U9" s="291" t="s">
        <v>108</v>
      </c>
      <c r="V9" s="163">
        <f>7*6842.5</f>
        <v>47897.5</v>
      </c>
      <c r="W9" s="112"/>
      <c r="X9" s="41">
        <f>V9+W9*1</f>
        <v>47897.5</v>
      </c>
      <c r="Y9" s="178">
        <f t="shared" ref="Y9:Y66" si="5">X9/$X$87</f>
        <v>7.8430941808541321E-2</v>
      </c>
      <c r="Z9" s="291" t="s">
        <v>138</v>
      </c>
      <c r="AA9" s="39">
        <f>L9+Q9+V9+G9</f>
        <v>101832.5</v>
      </c>
      <c r="AB9" s="39">
        <f t="shared" ref="AB9:AB31" si="6">M9+R9+W9+H9</f>
        <v>0</v>
      </c>
      <c r="AC9" s="210">
        <f>AA9+AB9*1</f>
        <v>101832.5</v>
      </c>
      <c r="AD9" s="178">
        <f t="shared" ref="AD9:AD31" si="7">AC9/$AC$87</f>
        <v>7.9978902367266985E-2</v>
      </c>
      <c r="AE9" s="42"/>
      <c r="AF9" s="210">
        <f>C9-AA9</f>
        <v>-49990.5</v>
      </c>
      <c r="AG9" s="210">
        <f>D9-AB9</f>
        <v>0</v>
      </c>
      <c r="AH9" s="210">
        <f>AF9+AG9*1</f>
        <v>-49990.5</v>
      </c>
      <c r="AI9" s="178">
        <f t="shared" ref="AI9:AI31" si="8">AH9/$AH$87</f>
        <v>-2.0737115517293288E-2</v>
      </c>
      <c r="AJ9" s="42"/>
      <c r="AK9" s="1"/>
      <c r="AL9" s="1"/>
    </row>
    <row r="10" spans="1:38" s="2" customFormat="1" ht="14.4" customHeight="1" outlineLevel="2" x14ac:dyDescent="0.25">
      <c r="A10" s="238"/>
      <c r="B10" s="31" t="s">
        <v>72</v>
      </c>
      <c r="C10" s="111">
        <v>14168</v>
      </c>
      <c r="D10" s="112"/>
      <c r="E10" s="106">
        <f t="shared" si="0"/>
        <v>14168</v>
      </c>
      <c r="F10" s="177">
        <f t="shared" si="1"/>
        <v>4.2140341495000592E-3</v>
      </c>
      <c r="G10" s="163"/>
      <c r="H10" s="112"/>
      <c r="I10" s="41">
        <f t="shared" ref="I10:I31" si="9">G10+H10*1</f>
        <v>0</v>
      </c>
      <c r="J10" s="178">
        <f t="shared" si="2"/>
        <v>0</v>
      </c>
      <c r="K10" s="290"/>
      <c r="L10" s="163">
        <f>955.5*5</f>
        <v>4777.5</v>
      </c>
      <c r="M10" s="112"/>
      <c r="N10" s="41">
        <f t="shared" ref="N10:N31" si="10">L10+M10*1</f>
        <v>4777.5</v>
      </c>
      <c r="O10" s="178">
        <f t="shared" si="3"/>
        <v>1.119573951508806E-2</v>
      </c>
      <c r="P10" s="290"/>
      <c r="Q10" s="163">
        <f>1657.5*5</f>
        <v>8287.5</v>
      </c>
      <c r="R10" s="112"/>
      <c r="S10" s="41">
        <f t="shared" ref="S10:S31" si="11">Q10+R10*1</f>
        <v>8287.5</v>
      </c>
      <c r="T10" s="178">
        <f>S10/$S$87</f>
        <v>3.5774524207951935E-2</v>
      </c>
      <c r="U10" s="290"/>
      <c r="V10" s="163">
        <f>(8500*19.5%)*7</f>
        <v>11602.5</v>
      </c>
      <c r="W10" s="112"/>
      <c r="X10" s="41">
        <f t="shared" ref="X10:X31" si="12">V10+W10*1</f>
        <v>11602.5</v>
      </c>
      <c r="Y10" s="178">
        <f t="shared" si="5"/>
        <v>1.8998799568528645E-2</v>
      </c>
      <c r="Z10" s="290"/>
      <c r="AA10" s="39">
        <f t="shared" ref="AA10:AA29" si="13">L10+Q10+V10+G10</f>
        <v>24667.5</v>
      </c>
      <c r="AB10" s="39">
        <f t="shared" si="6"/>
        <v>0</v>
      </c>
      <c r="AC10" s="210">
        <f t="shared" ref="AC10:AC31" si="14">AA10+AB10*1</f>
        <v>24667.5</v>
      </c>
      <c r="AD10" s="178">
        <f t="shared" si="7"/>
        <v>1.9373771380890758E-2</v>
      </c>
      <c r="AE10" s="42"/>
      <c r="AF10" s="210">
        <f t="shared" ref="AF10:AF31" si="15">C10-AA10</f>
        <v>-10499.5</v>
      </c>
      <c r="AG10" s="210">
        <f t="shared" ref="AG10:AG31" si="16">D10-AB10</f>
        <v>0</v>
      </c>
      <c r="AH10" s="210">
        <f t="shared" ref="AH10:AH31" si="17">AF10+AG10*1</f>
        <v>-10499.5</v>
      </c>
      <c r="AI10" s="178">
        <f t="shared" si="8"/>
        <v>-4.3554144162154989E-3</v>
      </c>
      <c r="AJ10" s="42"/>
      <c r="AK10" s="1"/>
      <c r="AL10" s="1"/>
    </row>
    <row r="11" spans="1:38" s="2" customFormat="1" ht="14.4" customHeight="1" outlineLevel="2" x14ac:dyDescent="0.25">
      <c r="A11" s="238"/>
      <c r="B11" s="31" t="s">
        <v>69</v>
      </c>
      <c r="C11" s="111">
        <v>12558</v>
      </c>
      <c r="D11" s="112"/>
      <c r="E11" s="106">
        <f t="shared" si="0"/>
        <v>12558</v>
      </c>
      <c r="F11" s="177">
        <f t="shared" si="1"/>
        <v>3.7351666325114163E-3</v>
      </c>
      <c r="G11" s="163"/>
      <c r="H11" s="112"/>
      <c r="I11" s="41">
        <f t="shared" si="9"/>
        <v>0</v>
      </c>
      <c r="J11" s="178">
        <f t="shared" si="2"/>
        <v>0</v>
      </c>
      <c r="K11" s="290"/>
      <c r="L11" s="163">
        <f>1078*5</f>
        <v>5390</v>
      </c>
      <c r="M11" s="112"/>
      <c r="N11" s="41">
        <f t="shared" si="10"/>
        <v>5390</v>
      </c>
      <c r="O11" s="178">
        <f t="shared" si="3"/>
        <v>1.2631090734971144E-2</v>
      </c>
      <c r="P11" s="290"/>
      <c r="Q11" s="163">
        <f>1870*5</f>
        <v>9350</v>
      </c>
      <c r="R11" s="112"/>
      <c r="S11" s="41">
        <f t="shared" si="11"/>
        <v>9350</v>
      </c>
      <c r="T11" s="178">
        <f t="shared" si="4"/>
        <v>4.0361001670509877E-2</v>
      </c>
      <c r="U11" s="290"/>
      <c r="V11" s="163">
        <f>(8500*22%)*7</f>
        <v>13090</v>
      </c>
      <c r="W11" s="112"/>
      <c r="X11" s="41">
        <f t="shared" si="12"/>
        <v>13090</v>
      </c>
      <c r="Y11" s="178">
        <f t="shared" si="5"/>
        <v>2.1434543102955395E-2</v>
      </c>
      <c r="Z11" s="290"/>
      <c r="AA11" s="39">
        <f t="shared" si="13"/>
        <v>27830</v>
      </c>
      <c r="AB11" s="39">
        <f t="shared" si="6"/>
        <v>0</v>
      </c>
      <c r="AC11" s="210">
        <f t="shared" si="14"/>
        <v>27830</v>
      </c>
      <c r="AD11" s="178">
        <f t="shared" si="7"/>
        <v>2.1857588224594701E-2</v>
      </c>
      <c r="AE11" s="42"/>
      <c r="AF11" s="210">
        <f t="shared" si="15"/>
        <v>-15272</v>
      </c>
      <c r="AG11" s="210">
        <f t="shared" si="16"/>
        <v>0</v>
      </c>
      <c r="AH11" s="210">
        <f t="shared" si="17"/>
        <v>-15272</v>
      </c>
      <c r="AI11" s="178">
        <f t="shared" si="8"/>
        <v>-6.3351482417679976E-3</v>
      </c>
      <c r="AJ11" s="42"/>
      <c r="AK11" s="1"/>
      <c r="AL11" s="1"/>
    </row>
    <row r="12" spans="1:38" s="2" customFormat="1" ht="15" customHeight="1" outlineLevel="2" x14ac:dyDescent="0.25">
      <c r="A12" s="238"/>
      <c r="B12" s="31" t="s">
        <v>73</v>
      </c>
      <c r="C12" s="111"/>
      <c r="D12" s="112"/>
      <c r="E12" s="106">
        <f t="shared" si="0"/>
        <v>0</v>
      </c>
      <c r="F12" s="177">
        <f t="shared" si="1"/>
        <v>0</v>
      </c>
      <c r="G12" s="163"/>
      <c r="H12" s="112"/>
      <c r="I12" s="41">
        <f t="shared" si="9"/>
        <v>0</v>
      </c>
      <c r="J12" s="178">
        <f t="shared" si="2"/>
        <v>0</v>
      </c>
      <c r="K12" s="291"/>
      <c r="L12" s="163"/>
      <c r="M12" s="112"/>
      <c r="N12" s="41">
        <f t="shared" si="10"/>
        <v>0</v>
      </c>
      <c r="O12" s="178">
        <f t="shared" si="3"/>
        <v>0</v>
      </c>
      <c r="P12" s="291"/>
      <c r="Q12" s="163"/>
      <c r="R12" s="112"/>
      <c r="S12" s="41">
        <f t="shared" si="11"/>
        <v>0</v>
      </c>
      <c r="T12" s="178">
        <f t="shared" si="4"/>
        <v>0</v>
      </c>
      <c r="U12" s="291"/>
      <c r="V12" s="163"/>
      <c r="W12" s="112"/>
      <c r="X12" s="41">
        <f t="shared" si="12"/>
        <v>0</v>
      </c>
      <c r="Y12" s="178">
        <f t="shared" si="5"/>
        <v>0</v>
      </c>
      <c r="Z12" s="291"/>
      <c r="AA12" s="39">
        <f t="shared" si="13"/>
        <v>0</v>
      </c>
      <c r="AB12" s="39">
        <f t="shared" si="6"/>
        <v>0</v>
      </c>
      <c r="AC12" s="210">
        <f t="shared" si="14"/>
        <v>0</v>
      </c>
      <c r="AD12" s="178">
        <f t="shared" si="7"/>
        <v>0</v>
      </c>
      <c r="AE12" s="42"/>
      <c r="AF12" s="210">
        <f t="shared" si="15"/>
        <v>0</v>
      </c>
      <c r="AG12" s="210">
        <f t="shared" si="16"/>
        <v>0</v>
      </c>
      <c r="AH12" s="210">
        <f t="shared" si="17"/>
        <v>0</v>
      </c>
      <c r="AI12" s="178">
        <f t="shared" si="8"/>
        <v>0</v>
      </c>
      <c r="AJ12" s="42"/>
      <c r="AK12" s="1"/>
      <c r="AL12" s="1"/>
    </row>
    <row r="13" spans="1:38" s="2" customFormat="1" ht="14.4" customHeight="1" outlineLevel="2" x14ac:dyDescent="0.25">
      <c r="A13" s="238"/>
      <c r="B13" s="31" t="s">
        <v>71</v>
      </c>
      <c r="C13" s="111"/>
      <c r="D13" s="112"/>
      <c r="E13" s="106">
        <f t="shared" si="0"/>
        <v>0</v>
      </c>
      <c r="F13" s="177">
        <f t="shared" si="1"/>
        <v>0</v>
      </c>
      <c r="G13" s="163"/>
      <c r="H13" s="112"/>
      <c r="I13" s="41">
        <f t="shared" si="9"/>
        <v>0</v>
      </c>
      <c r="J13" s="178">
        <f t="shared" si="2"/>
        <v>0</v>
      </c>
      <c r="K13" s="291"/>
      <c r="L13" s="163"/>
      <c r="M13" s="112"/>
      <c r="N13" s="41">
        <f t="shared" si="10"/>
        <v>0</v>
      </c>
      <c r="O13" s="178">
        <f t="shared" si="3"/>
        <v>0</v>
      </c>
      <c r="P13" s="291"/>
      <c r="Q13" s="163"/>
      <c r="R13" s="112"/>
      <c r="S13" s="41">
        <f t="shared" si="11"/>
        <v>0</v>
      </c>
      <c r="T13" s="178">
        <f t="shared" si="4"/>
        <v>0</v>
      </c>
      <c r="U13" s="291"/>
      <c r="V13" s="163"/>
      <c r="W13" s="112"/>
      <c r="X13" s="41">
        <f t="shared" si="12"/>
        <v>0</v>
      </c>
      <c r="Y13" s="178">
        <f t="shared" si="5"/>
        <v>0</v>
      </c>
      <c r="Z13" s="291"/>
      <c r="AA13" s="39">
        <f t="shared" si="13"/>
        <v>0</v>
      </c>
      <c r="AB13" s="39">
        <f t="shared" si="6"/>
        <v>0</v>
      </c>
      <c r="AC13" s="210">
        <f t="shared" si="14"/>
        <v>0</v>
      </c>
      <c r="AD13" s="178">
        <f t="shared" si="7"/>
        <v>0</v>
      </c>
      <c r="AE13" s="42"/>
      <c r="AF13" s="210">
        <f t="shared" si="15"/>
        <v>0</v>
      </c>
      <c r="AG13" s="210">
        <f t="shared" si="16"/>
        <v>0</v>
      </c>
      <c r="AH13" s="210">
        <f t="shared" si="17"/>
        <v>0</v>
      </c>
      <c r="AI13" s="178">
        <f t="shared" si="8"/>
        <v>0</v>
      </c>
      <c r="AJ13" s="42"/>
      <c r="AK13" s="1"/>
      <c r="AL13" s="1"/>
    </row>
    <row r="14" spans="1:38" s="2" customFormat="1" ht="14.4" customHeight="1" outlineLevel="2" x14ac:dyDescent="0.25">
      <c r="A14" s="238"/>
      <c r="B14" s="31" t="s">
        <v>70</v>
      </c>
      <c r="C14" s="111"/>
      <c r="D14" s="112"/>
      <c r="E14" s="106">
        <f t="shared" si="0"/>
        <v>0</v>
      </c>
      <c r="F14" s="177">
        <f t="shared" si="1"/>
        <v>0</v>
      </c>
      <c r="G14" s="163"/>
      <c r="H14" s="112"/>
      <c r="I14" s="41">
        <f t="shared" si="9"/>
        <v>0</v>
      </c>
      <c r="J14" s="178">
        <f t="shared" si="2"/>
        <v>0</v>
      </c>
      <c r="K14" s="291"/>
      <c r="L14" s="163"/>
      <c r="M14" s="112"/>
      <c r="N14" s="41">
        <f t="shared" si="10"/>
        <v>0</v>
      </c>
      <c r="O14" s="178">
        <f t="shared" si="3"/>
        <v>0</v>
      </c>
      <c r="P14" s="291"/>
      <c r="Q14" s="163"/>
      <c r="R14" s="112"/>
      <c r="S14" s="41">
        <f t="shared" si="11"/>
        <v>0</v>
      </c>
      <c r="T14" s="178">
        <f t="shared" si="4"/>
        <v>0</v>
      </c>
      <c r="U14" s="291"/>
      <c r="V14" s="163"/>
      <c r="W14" s="112"/>
      <c r="X14" s="41">
        <f t="shared" si="12"/>
        <v>0</v>
      </c>
      <c r="Y14" s="178">
        <f t="shared" si="5"/>
        <v>0</v>
      </c>
      <c r="Z14" s="291"/>
      <c r="AA14" s="39">
        <f t="shared" si="13"/>
        <v>0</v>
      </c>
      <c r="AB14" s="39">
        <f t="shared" si="6"/>
        <v>0</v>
      </c>
      <c r="AC14" s="210">
        <f t="shared" si="14"/>
        <v>0</v>
      </c>
      <c r="AD14" s="178">
        <f t="shared" si="7"/>
        <v>0</v>
      </c>
      <c r="AE14" s="42"/>
      <c r="AF14" s="210">
        <f t="shared" si="15"/>
        <v>0</v>
      </c>
      <c r="AG14" s="210">
        <f t="shared" si="16"/>
        <v>0</v>
      </c>
      <c r="AH14" s="210">
        <f t="shared" si="17"/>
        <v>0</v>
      </c>
      <c r="AI14" s="178">
        <f t="shared" si="8"/>
        <v>0</v>
      </c>
      <c r="AJ14" s="42"/>
      <c r="AK14" s="1"/>
      <c r="AL14" s="1"/>
    </row>
    <row r="15" spans="1:38" s="2" customFormat="1" ht="14.4" customHeight="1" outlineLevel="2" x14ac:dyDescent="0.25">
      <c r="A15" s="238"/>
      <c r="B15" s="7" t="s">
        <v>20</v>
      </c>
      <c r="C15" s="111"/>
      <c r="D15" s="113"/>
      <c r="E15" s="106">
        <f t="shared" si="0"/>
        <v>0</v>
      </c>
      <c r="F15" s="177">
        <f t="shared" si="1"/>
        <v>0</v>
      </c>
      <c r="G15" s="161"/>
      <c r="H15" s="113"/>
      <c r="I15" s="41">
        <f t="shared" si="9"/>
        <v>0</v>
      </c>
      <c r="J15" s="178">
        <f t="shared" si="2"/>
        <v>0</v>
      </c>
      <c r="K15" s="291"/>
      <c r="L15" s="161"/>
      <c r="M15" s="113"/>
      <c r="N15" s="41">
        <f t="shared" si="10"/>
        <v>0</v>
      </c>
      <c r="O15" s="178">
        <f t="shared" si="3"/>
        <v>0</v>
      </c>
      <c r="P15" s="291"/>
      <c r="Q15" s="161"/>
      <c r="R15" s="113"/>
      <c r="S15" s="41">
        <f t="shared" si="11"/>
        <v>0</v>
      </c>
      <c r="T15" s="178">
        <f t="shared" si="4"/>
        <v>0</v>
      </c>
      <c r="U15" s="291"/>
      <c r="V15" s="161"/>
      <c r="W15" s="113"/>
      <c r="X15" s="41">
        <f t="shared" si="12"/>
        <v>0</v>
      </c>
      <c r="Y15" s="178">
        <f t="shared" si="5"/>
        <v>0</v>
      </c>
      <c r="Z15" s="291"/>
      <c r="AA15" s="39">
        <f t="shared" si="13"/>
        <v>0</v>
      </c>
      <c r="AB15" s="39">
        <f t="shared" si="6"/>
        <v>0</v>
      </c>
      <c r="AC15" s="210">
        <f t="shared" si="14"/>
        <v>0</v>
      </c>
      <c r="AD15" s="178">
        <f t="shared" si="7"/>
        <v>0</v>
      </c>
      <c r="AE15" s="42"/>
      <c r="AF15" s="210">
        <f t="shared" si="15"/>
        <v>0</v>
      </c>
      <c r="AG15" s="210">
        <f t="shared" si="16"/>
        <v>0</v>
      </c>
      <c r="AH15" s="210">
        <f t="shared" si="17"/>
        <v>0</v>
      </c>
      <c r="AI15" s="178">
        <f t="shared" si="8"/>
        <v>0</v>
      </c>
      <c r="AJ15" s="42"/>
      <c r="AK15" s="1"/>
      <c r="AL15" s="1"/>
    </row>
    <row r="16" spans="1:38" s="2" customFormat="1" ht="14.4" customHeight="1" outlineLevel="2" x14ac:dyDescent="0.25">
      <c r="A16" s="292"/>
      <c r="B16" s="7" t="s">
        <v>21</v>
      </c>
      <c r="C16" s="111"/>
      <c r="D16" s="113">
        <v>1708693</v>
      </c>
      <c r="E16" s="106">
        <f>C16+D16</f>
        <v>1708693</v>
      </c>
      <c r="F16" s="177">
        <f t="shared" si="1"/>
        <v>0.50822209578004696</v>
      </c>
      <c r="G16" s="161"/>
      <c r="H16" s="113"/>
      <c r="I16" s="41">
        <f t="shared" si="9"/>
        <v>0</v>
      </c>
      <c r="J16" s="178">
        <f t="shared" si="2"/>
        <v>0</v>
      </c>
      <c r="K16" s="291"/>
      <c r="L16" s="161"/>
      <c r="M16" s="113">
        <f>135000-L9</f>
        <v>115277.5</v>
      </c>
      <c r="N16" s="41">
        <f t="shared" si="10"/>
        <v>115277.5</v>
      </c>
      <c r="O16" s="178">
        <f t="shared" si="3"/>
        <v>0.27014481673481189</v>
      </c>
      <c r="P16" s="291" t="s">
        <v>89</v>
      </c>
      <c r="Q16" s="161"/>
      <c r="R16" s="113"/>
      <c r="S16" s="41">
        <f t="shared" si="11"/>
        <v>0</v>
      </c>
      <c r="T16" s="178">
        <f t="shared" si="4"/>
        <v>0</v>
      </c>
      <c r="U16" s="291"/>
      <c r="V16" s="161"/>
      <c r="W16" s="113">
        <v>250552.5</v>
      </c>
      <c r="X16" s="41">
        <f t="shared" si="12"/>
        <v>250552.5</v>
      </c>
      <c r="Y16" s="178">
        <f t="shared" si="5"/>
        <v>0.41027336598955166</v>
      </c>
      <c r="Z16" s="291" t="s">
        <v>139</v>
      </c>
      <c r="AA16" s="39">
        <f t="shared" si="13"/>
        <v>0</v>
      </c>
      <c r="AB16" s="39">
        <f t="shared" si="6"/>
        <v>365830</v>
      </c>
      <c r="AC16" s="210">
        <f t="shared" si="14"/>
        <v>365830</v>
      </c>
      <c r="AD16" s="178">
        <f t="shared" si="7"/>
        <v>0.28732164930662885</v>
      </c>
      <c r="AE16" s="42"/>
      <c r="AF16" s="210">
        <f t="shared" si="15"/>
        <v>0</v>
      </c>
      <c r="AG16" s="210">
        <f t="shared" si="16"/>
        <v>1342863</v>
      </c>
      <c r="AH16" s="210">
        <f t="shared" si="17"/>
        <v>1342863</v>
      </c>
      <c r="AI16" s="178">
        <f t="shared" si="8"/>
        <v>0.5570479422069996</v>
      </c>
      <c r="AJ16" s="42"/>
    </row>
    <row r="17" spans="1:38" s="2" customFormat="1" ht="14.4" customHeight="1" outlineLevel="2" x14ac:dyDescent="0.25">
      <c r="A17" s="238"/>
      <c r="B17" s="7" t="s">
        <v>22</v>
      </c>
      <c r="C17" s="111"/>
      <c r="D17" s="113"/>
      <c r="E17" s="106">
        <f t="shared" si="0"/>
        <v>0</v>
      </c>
      <c r="F17" s="177">
        <f t="shared" si="1"/>
        <v>0</v>
      </c>
      <c r="G17" s="161"/>
      <c r="H17" s="113"/>
      <c r="I17" s="41">
        <f t="shared" si="9"/>
        <v>0</v>
      </c>
      <c r="J17" s="178">
        <f t="shared" si="2"/>
        <v>0</v>
      </c>
      <c r="K17" s="291"/>
      <c r="L17" s="161"/>
      <c r="M17" s="113"/>
      <c r="N17" s="41">
        <f t="shared" si="10"/>
        <v>0</v>
      </c>
      <c r="O17" s="178">
        <f t="shared" si="3"/>
        <v>0</v>
      </c>
      <c r="P17" s="291"/>
      <c r="Q17" s="161"/>
      <c r="R17" s="113"/>
      <c r="S17" s="41">
        <f t="shared" si="11"/>
        <v>0</v>
      </c>
      <c r="T17" s="178">
        <f t="shared" si="4"/>
        <v>0</v>
      </c>
      <c r="U17" s="291"/>
      <c r="V17" s="161"/>
      <c r="W17" s="113"/>
      <c r="X17" s="41">
        <f t="shared" si="12"/>
        <v>0</v>
      </c>
      <c r="Y17" s="178">
        <f t="shared" si="5"/>
        <v>0</v>
      </c>
      <c r="Z17" s="291"/>
      <c r="AA17" s="39">
        <f t="shared" si="13"/>
        <v>0</v>
      </c>
      <c r="AB17" s="39">
        <f t="shared" si="6"/>
        <v>0</v>
      </c>
      <c r="AC17" s="210">
        <f t="shared" si="14"/>
        <v>0</v>
      </c>
      <c r="AD17" s="178">
        <f t="shared" si="7"/>
        <v>0</v>
      </c>
      <c r="AE17" s="42"/>
      <c r="AF17" s="210">
        <f t="shared" si="15"/>
        <v>0</v>
      </c>
      <c r="AG17" s="210">
        <f t="shared" si="16"/>
        <v>0</v>
      </c>
      <c r="AH17" s="210">
        <f t="shared" si="17"/>
        <v>0</v>
      </c>
      <c r="AI17" s="178">
        <f t="shared" si="8"/>
        <v>0</v>
      </c>
      <c r="AJ17" s="42"/>
    </row>
    <row r="18" spans="1:38" s="2" customFormat="1" ht="55.2" customHeight="1" outlineLevel="2" x14ac:dyDescent="0.25">
      <c r="A18" s="238"/>
      <c r="B18" s="7" t="s">
        <v>0</v>
      </c>
      <c r="C18" s="111">
        <v>30000</v>
      </c>
      <c r="D18" s="113">
        <v>18830</v>
      </c>
      <c r="E18" s="106">
        <f t="shared" si="0"/>
        <v>48830</v>
      </c>
      <c r="F18" s="177">
        <f t="shared" si="1"/>
        <v>1.4523665127053069E-2</v>
      </c>
      <c r="G18" s="161"/>
      <c r="H18" s="113"/>
      <c r="I18" s="41">
        <f t="shared" si="9"/>
        <v>0</v>
      </c>
      <c r="J18" s="178">
        <f t="shared" si="2"/>
        <v>0</v>
      </c>
      <c r="K18" s="291"/>
      <c r="L18" s="161">
        <v>15000</v>
      </c>
      <c r="M18" s="113">
        <v>18830</v>
      </c>
      <c r="N18" s="41">
        <f t="shared" si="10"/>
        <v>33830</v>
      </c>
      <c r="O18" s="178">
        <f t="shared" si="3"/>
        <v>7.927825594880776E-2</v>
      </c>
      <c r="P18" s="291" t="s">
        <v>96</v>
      </c>
      <c r="Q18" s="161"/>
      <c r="R18" s="113">
        <v>7455</v>
      </c>
      <c r="S18" s="41">
        <f t="shared" si="11"/>
        <v>7455</v>
      </c>
      <c r="T18" s="178">
        <f t="shared" si="4"/>
        <v>3.2180884219641832E-2</v>
      </c>
      <c r="U18" s="291" t="s">
        <v>115</v>
      </c>
      <c r="V18" s="161">
        <v>21000</v>
      </c>
      <c r="W18" s="113"/>
      <c r="X18" s="41">
        <f t="shared" si="12"/>
        <v>21000</v>
      </c>
      <c r="Y18" s="178">
        <f t="shared" si="5"/>
        <v>3.4386967544848226E-2</v>
      </c>
      <c r="Z18" s="291" t="s">
        <v>140</v>
      </c>
      <c r="AA18" s="39">
        <f t="shared" si="13"/>
        <v>36000</v>
      </c>
      <c r="AB18" s="39">
        <f t="shared" si="6"/>
        <v>26285</v>
      </c>
      <c r="AC18" s="210">
        <f t="shared" si="14"/>
        <v>62285</v>
      </c>
      <c r="AD18" s="178">
        <f t="shared" si="7"/>
        <v>4.8918429125723355E-2</v>
      </c>
      <c r="AE18" s="42"/>
      <c r="AF18" s="210">
        <f t="shared" si="15"/>
        <v>-6000</v>
      </c>
      <c r="AG18" s="210">
        <f t="shared" si="16"/>
        <v>-7455</v>
      </c>
      <c r="AH18" s="210">
        <f t="shared" si="17"/>
        <v>-13455</v>
      </c>
      <c r="AI18" s="178">
        <f t="shared" si="8"/>
        <v>-5.5814182551721069E-3</v>
      </c>
      <c r="AJ18" s="42"/>
    </row>
    <row r="19" spans="1:38" s="2" customFormat="1" ht="16.2" customHeight="1" outlineLevel="2" x14ac:dyDescent="0.25">
      <c r="A19" s="238"/>
      <c r="B19" s="7" t="s">
        <v>53</v>
      </c>
      <c r="C19" s="114"/>
      <c r="D19" s="113"/>
      <c r="E19" s="106">
        <f t="shared" si="0"/>
        <v>0</v>
      </c>
      <c r="F19" s="177">
        <f t="shared" si="1"/>
        <v>0</v>
      </c>
      <c r="G19" s="161"/>
      <c r="H19" s="113"/>
      <c r="I19" s="41">
        <f t="shared" si="9"/>
        <v>0</v>
      </c>
      <c r="J19" s="178">
        <f t="shared" si="2"/>
        <v>0</v>
      </c>
      <c r="K19" s="291"/>
      <c r="L19" s="161"/>
      <c r="M19" s="113"/>
      <c r="N19" s="41">
        <f t="shared" si="10"/>
        <v>0</v>
      </c>
      <c r="O19" s="178">
        <f t="shared" si="3"/>
        <v>0</v>
      </c>
      <c r="P19" s="291"/>
      <c r="Q19" s="161"/>
      <c r="R19" s="113"/>
      <c r="S19" s="41">
        <f t="shared" si="11"/>
        <v>0</v>
      </c>
      <c r="T19" s="178">
        <f t="shared" si="4"/>
        <v>0</v>
      </c>
      <c r="U19" s="291"/>
      <c r="V19" s="161"/>
      <c r="W19" s="113"/>
      <c r="X19" s="41">
        <f t="shared" si="12"/>
        <v>0</v>
      </c>
      <c r="Y19" s="178">
        <f t="shared" si="5"/>
        <v>0</v>
      </c>
      <c r="Z19" s="291"/>
      <c r="AA19" s="39">
        <f t="shared" si="13"/>
        <v>0</v>
      </c>
      <c r="AB19" s="39">
        <f t="shared" si="6"/>
        <v>0</v>
      </c>
      <c r="AC19" s="210">
        <f t="shared" si="14"/>
        <v>0</v>
      </c>
      <c r="AD19" s="178">
        <f t="shared" si="7"/>
        <v>0</v>
      </c>
      <c r="AE19" s="42"/>
      <c r="AF19" s="210">
        <f t="shared" si="15"/>
        <v>0</v>
      </c>
      <c r="AG19" s="210">
        <f t="shared" si="16"/>
        <v>0</v>
      </c>
      <c r="AH19" s="210">
        <f t="shared" si="17"/>
        <v>0</v>
      </c>
      <c r="AI19" s="178">
        <f t="shared" si="8"/>
        <v>0</v>
      </c>
      <c r="AJ19" s="42"/>
    </row>
    <row r="20" spans="1:38" s="2" customFormat="1" ht="14.4" customHeight="1" outlineLevel="2" x14ac:dyDescent="0.25">
      <c r="A20" s="238"/>
      <c r="B20" s="7" t="s">
        <v>57</v>
      </c>
      <c r="C20" s="114"/>
      <c r="D20" s="113"/>
      <c r="E20" s="106">
        <f t="shared" si="0"/>
        <v>0</v>
      </c>
      <c r="F20" s="177">
        <f t="shared" si="1"/>
        <v>0</v>
      </c>
      <c r="G20" s="161"/>
      <c r="H20" s="113"/>
      <c r="I20" s="41">
        <f t="shared" si="9"/>
        <v>0</v>
      </c>
      <c r="J20" s="178">
        <f t="shared" si="2"/>
        <v>0</v>
      </c>
      <c r="K20" s="291"/>
      <c r="L20" s="161"/>
      <c r="M20" s="113"/>
      <c r="N20" s="41">
        <f t="shared" si="10"/>
        <v>0</v>
      </c>
      <c r="O20" s="178">
        <f t="shared" si="3"/>
        <v>0</v>
      </c>
      <c r="P20" s="291"/>
      <c r="Q20" s="161"/>
      <c r="R20" s="113"/>
      <c r="S20" s="41">
        <f t="shared" si="11"/>
        <v>0</v>
      </c>
      <c r="T20" s="178">
        <f t="shared" si="4"/>
        <v>0</v>
      </c>
      <c r="U20" s="291"/>
      <c r="V20" s="161"/>
      <c r="W20" s="113"/>
      <c r="X20" s="41">
        <f t="shared" si="12"/>
        <v>0</v>
      </c>
      <c r="Y20" s="178">
        <f t="shared" si="5"/>
        <v>0</v>
      </c>
      <c r="Z20" s="291"/>
      <c r="AA20" s="39">
        <f t="shared" si="13"/>
        <v>0</v>
      </c>
      <c r="AB20" s="39">
        <f t="shared" si="6"/>
        <v>0</v>
      </c>
      <c r="AC20" s="210">
        <f t="shared" si="14"/>
        <v>0</v>
      </c>
      <c r="AD20" s="178">
        <f t="shared" si="7"/>
        <v>0</v>
      </c>
      <c r="AE20" s="42"/>
      <c r="AF20" s="210">
        <f t="shared" si="15"/>
        <v>0</v>
      </c>
      <c r="AG20" s="210">
        <f t="shared" si="16"/>
        <v>0</v>
      </c>
      <c r="AH20" s="210">
        <f t="shared" si="17"/>
        <v>0</v>
      </c>
      <c r="AI20" s="178">
        <f t="shared" si="8"/>
        <v>0</v>
      </c>
      <c r="AJ20" s="42"/>
    </row>
    <row r="21" spans="1:38" s="2" customFormat="1" ht="37.200000000000003" customHeight="1" outlineLevel="2" x14ac:dyDescent="0.25">
      <c r="A21" s="238"/>
      <c r="B21" s="7" t="s">
        <v>58</v>
      </c>
      <c r="C21" s="114">
        <v>140000</v>
      </c>
      <c r="D21" s="113"/>
      <c r="E21" s="106">
        <f t="shared" si="0"/>
        <v>140000</v>
      </c>
      <c r="F21" s="177">
        <f t="shared" si="1"/>
        <v>4.1640653651186355E-2</v>
      </c>
      <c r="G21" s="161"/>
      <c r="H21" s="113"/>
      <c r="I21" s="41">
        <f t="shared" si="9"/>
        <v>0</v>
      </c>
      <c r="J21" s="178">
        <f t="shared" si="2"/>
        <v>0</v>
      </c>
      <c r="K21" s="291"/>
      <c r="L21" s="161">
        <v>48080.76</v>
      </c>
      <c r="M21" s="113"/>
      <c r="N21" s="41">
        <f t="shared" si="10"/>
        <v>48080.76</v>
      </c>
      <c r="O21" s="178">
        <f t="shared" si="3"/>
        <v>0.11267392247984624</v>
      </c>
      <c r="P21" s="291" t="s">
        <v>148</v>
      </c>
      <c r="Q21" s="161">
        <v>70536.06</v>
      </c>
      <c r="R21" s="113"/>
      <c r="S21" s="41">
        <f t="shared" si="11"/>
        <v>70536.06</v>
      </c>
      <c r="T21" s="178">
        <f t="shared" si="4"/>
        <v>0.30448192892953851</v>
      </c>
      <c r="U21" s="291" t="s">
        <v>147</v>
      </c>
      <c r="V21" s="161">
        <v>35664</v>
      </c>
      <c r="W21" s="113"/>
      <c r="X21" s="41">
        <f t="shared" si="12"/>
        <v>35664</v>
      </c>
      <c r="Y21" s="178">
        <f t="shared" si="5"/>
        <v>5.8398895739022245E-2</v>
      </c>
      <c r="Z21" s="291" t="s">
        <v>142</v>
      </c>
      <c r="AA21" s="39">
        <f t="shared" si="13"/>
        <v>154280.82</v>
      </c>
      <c r="AB21" s="39">
        <f t="shared" si="6"/>
        <v>0</v>
      </c>
      <c r="AC21" s="210">
        <f t="shared" si="14"/>
        <v>154280.82</v>
      </c>
      <c r="AD21" s="178">
        <f t="shared" si="7"/>
        <v>0.12117163616646838</v>
      </c>
      <c r="AE21" s="42"/>
      <c r="AF21" s="210">
        <f t="shared" si="15"/>
        <v>-14280.820000000007</v>
      </c>
      <c r="AG21" s="210">
        <f t="shared" si="16"/>
        <v>0</v>
      </c>
      <c r="AH21" s="210">
        <f t="shared" si="17"/>
        <v>-14280.820000000007</v>
      </c>
      <c r="AI21" s="178">
        <f t="shared" si="8"/>
        <v>-5.9239858377426206E-3</v>
      </c>
      <c r="AJ21" s="42"/>
    </row>
    <row r="22" spans="1:38" s="2" customFormat="1" ht="37.200000000000003" customHeight="1" outlineLevel="2" x14ac:dyDescent="0.25">
      <c r="A22" s="238"/>
      <c r="B22" s="7" t="s">
        <v>23</v>
      </c>
      <c r="C22" s="114">
        <v>145600</v>
      </c>
      <c r="D22" s="113"/>
      <c r="E22" s="106">
        <f t="shared" si="0"/>
        <v>145600</v>
      </c>
      <c r="F22" s="177">
        <f t="shared" si="1"/>
        <v>4.330627979723381E-2</v>
      </c>
      <c r="G22" s="161"/>
      <c r="H22" s="113"/>
      <c r="I22" s="41">
        <f t="shared" si="9"/>
        <v>0</v>
      </c>
      <c r="J22" s="178">
        <f t="shared" si="2"/>
        <v>0</v>
      </c>
      <c r="K22" s="291"/>
      <c r="L22" s="161">
        <f>(20833.35*1.2)+15000</f>
        <v>40000.019999999997</v>
      </c>
      <c r="M22" s="113"/>
      <c r="N22" s="41">
        <f t="shared" si="10"/>
        <v>40000.019999999997</v>
      </c>
      <c r="O22" s="178">
        <f t="shared" si="3"/>
        <v>9.3737269391588204E-2</v>
      </c>
      <c r="P22" s="291" t="s">
        <v>180</v>
      </c>
      <c r="Q22" s="161">
        <v>10000</v>
      </c>
      <c r="R22" s="113"/>
      <c r="S22" s="41">
        <f t="shared" si="11"/>
        <v>10000</v>
      </c>
      <c r="T22" s="178">
        <f t="shared" si="4"/>
        <v>4.3166846706427675E-2</v>
      </c>
      <c r="U22" s="291" t="s">
        <v>143</v>
      </c>
      <c r="V22" s="161">
        <f>8000*1.2</f>
        <v>9600</v>
      </c>
      <c r="W22" s="113"/>
      <c r="X22" s="41">
        <f t="shared" si="12"/>
        <v>9600</v>
      </c>
      <c r="Y22" s="178">
        <f t="shared" si="5"/>
        <v>1.5719756591930617E-2</v>
      </c>
      <c r="Z22" s="291" t="s">
        <v>153</v>
      </c>
      <c r="AA22" s="39">
        <f t="shared" si="13"/>
        <v>59600.02</v>
      </c>
      <c r="AB22" s="39">
        <f t="shared" si="6"/>
        <v>0</v>
      </c>
      <c r="AC22" s="210">
        <f t="shared" si="14"/>
        <v>59600.02</v>
      </c>
      <c r="AD22" s="178">
        <f t="shared" si="7"/>
        <v>4.6809654880977672E-2</v>
      </c>
      <c r="AE22" s="42"/>
      <c r="AF22" s="210">
        <f t="shared" si="15"/>
        <v>85999.98000000001</v>
      </c>
      <c r="AG22" s="210">
        <f t="shared" si="16"/>
        <v>0</v>
      </c>
      <c r="AH22" s="210">
        <f t="shared" si="17"/>
        <v>85999.98000000001</v>
      </c>
      <c r="AI22" s="178">
        <f t="shared" si="8"/>
        <v>3.567460857052665E-2</v>
      </c>
      <c r="AJ22" s="42"/>
    </row>
    <row r="23" spans="1:38" s="2" customFormat="1" ht="22.95" customHeight="1" outlineLevel="2" x14ac:dyDescent="0.25">
      <c r="A23" s="238"/>
      <c r="B23" s="7" t="s">
        <v>24</v>
      </c>
      <c r="C23" s="114">
        <v>302006</v>
      </c>
      <c r="D23" s="113"/>
      <c r="E23" s="106">
        <f t="shared" si="0"/>
        <v>302006</v>
      </c>
      <c r="F23" s="177">
        <f t="shared" si="1"/>
        <v>8.9826623189858484E-2</v>
      </c>
      <c r="G23" s="161"/>
      <c r="H23" s="113"/>
      <c r="I23" s="41">
        <f t="shared" si="9"/>
        <v>0</v>
      </c>
      <c r="J23" s="178">
        <f t="shared" si="2"/>
        <v>0</v>
      </c>
      <c r="K23" s="291"/>
      <c r="L23" s="161">
        <f>4769.8*1.2</f>
        <v>5723.76</v>
      </c>
      <c r="M23" s="113">
        <v>354.45</v>
      </c>
      <c r="N23" s="41">
        <f t="shared" si="10"/>
        <v>6078.21</v>
      </c>
      <c r="O23" s="178">
        <f t="shared" si="3"/>
        <v>1.4243863082784594E-2</v>
      </c>
      <c r="P23" s="291" t="s">
        <v>92</v>
      </c>
      <c r="Q23" s="161"/>
      <c r="R23" s="113">
        <v>300</v>
      </c>
      <c r="S23" s="41">
        <f t="shared" si="11"/>
        <v>300</v>
      </c>
      <c r="T23" s="178">
        <f t="shared" si="4"/>
        <v>1.2950054011928304E-3</v>
      </c>
      <c r="U23" s="291"/>
      <c r="V23" s="161">
        <v>11862.623999999998</v>
      </c>
      <c r="W23" s="113">
        <v>163.00000000000006</v>
      </c>
      <c r="X23" s="41">
        <f t="shared" si="12"/>
        <v>12025.623999999998</v>
      </c>
      <c r="Y23" s="178">
        <f t="shared" si="5"/>
        <v>1.9691654390216563E-2</v>
      </c>
      <c r="Z23" s="291" t="s">
        <v>144</v>
      </c>
      <c r="AA23" s="39">
        <f t="shared" si="13"/>
        <v>17586.383999999998</v>
      </c>
      <c r="AB23" s="39">
        <f t="shared" si="6"/>
        <v>817.45</v>
      </c>
      <c r="AC23" s="210">
        <f t="shared" si="14"/>
        <v>18403.833999999999</v>
      </c>
      <c r="AD23" s="178">
        <f t="shared" si="7"/>
        <v>1.4454309210413066E-2</v>
      </c>
      <c r="AE23" s="42"/>
      <c r="AF23" s="210">
        <f t="shared" si="15"/>
        <v>284419.61599999998</v>
      </c>
      <c r="AG23" s="210">
        <f t="shared" si="16"/>
        <v>-817.45</v>
      </c>
      <c r="AH23" s="210">
        <f t="shared" si="17"/>
        <v>283602.16599999997</v>
      </c>
      <c r="AI23" s="178">
        <f t="shared" si="8"/>
        <v>0.11764416993821998</v>
      </c>
      <c r="AJ23" s="42"/>
    </row>
    <row r="24" spans="1:38" s="2" customFormat="1" ht="14.4" customHeight="1" outlineLevel="2" x14ac:dyDescent="0.25">
      <c r="A24" s="238"/>
      <c r="B24" s="7" t="s">
        <v>45</v>
      </c>
      <c r="C24" s="114">
        <v>178192</v>
      </c>
      <c r="D24" s="113"/>
      <c r="E24" s="106">
        <f t="shared" si="0"/>
        <v>178192</v>
      </c>
      <c r="F24" s="177">
        <f t="shared" si="1"/>
        <v>5.3000223967229997E-2</v>
      </c>
      <c r="G24" s="161"/>
      <c r="H24" s="113"/>
      <c r="I24" s="41">
        <f t="shared" si="9"/>
        <v>0</v>
      </c>
      <c r="J24" s="178">
        <f t="shared" si="2"/>
        <v>0</v>
      </c>
      <c r="K24" s="291"/>
      <c r="L24" s="161">
        <f>28368.38*1.2</f>
        <v>34042.055999999997</v>
      </c>
      <c r="M24" s="113"/>
      <c r="N24" s="41">
        <f t="shared" si="10"/>
        <v>34042.055999999997</v>
      </c>
      <c r="O24" s="178">
        <f t="shared" si="3"/>
        <v>7.9775194460291063E-2</v>
      </c>
      <c r="P24" s="291"/>
      <c r="Q24" s="161"/>
      <c r="R24" s="113"/>
      <c r="S24" s="41">
        <f t="shared" si="11"/>
        <v>0</v>
      </c>
      <c r="T24" s="178">
        <f t="shared" si="4"/>
        <v>0</v>
      </c>
      <c r="U24" s="291"/>
      <c r="V24" s="161">
        <f>((72535.75+4808)*1.2)-L24</f>
        <v>58770.444000000003</v>
      </c>
      <c r="W24" s="113">
        <v>3503.7</v>
      </c>
      <c r="X24" s="41">
        <f t="shared" si="12"/>
        <v>62274.144</v>
      </c>
      <c r="Y24" s="178">
        <f t="shared" si="5"/>
        <v>0.1019723318386288</v>
      </c>
      <c r="Z24" s="291"/>
      <c r="AA24" s="39">
        <f t="shared" si="13"/>
        <v>92812.5</v>
      </c>
      <c r="AB24" s="39">
        <f t="shared" si="6"/>
        <v>3503.7</v>
      </c>
      <c r="AC24" s="210">
        <f t="shared" si="14"/>
        <v>96316.2</v>
      </c>
      <c r="AD24" s="178">
        <f t="shared" si="7"/>
        <v>7.5646418934879917E-2</v>
      </c>
      <c r="AE24" s="42"/>
      <c r="AF24" s="210">
        <f t="shared" si="15"/>
        <v>85379.5</v>
      </c>
      <c r="AG24" s="210">
        <f t="shared" si="16"/>
        <v>-3503.7</v>
      </c>
      <c r="AH24" s="210">
        <f t="shared" si="17"/>
        <v>81875.8</v>
      </c>
      <c r="AI24" s="178">
        <f t="shared" si="8"/>
        <v>3.3963811577615785E-2</v>
      </c>
      <c r="AJ24" s="42"/>
    </row>
    <row r="25" spans="1:38" s="2" customFormat="1" ht="14.4" customHeight="1" outlineLevel="2" x14ac:dyDescent="0.25">
      <c r="A25" s="238"/>
      <c r="B25" s="7" t="s">
        <v>25</v>
      </c>
      <c r="C25" s="114">
        <v>6000</v>
      </c>
      <c r="D25" s="113"/>
      <c r="E25" s="106">
        <f t="shared" si="0"/>
        <v>6000</v>
      </c>
      <c r="F25" s="177">
        <f t="shared" si="1"/>
        <v>1.7845994421937009E-3</v>
      </c>
      <c r="G25" s="161"/>
      <c r="H25" s="113"/>
      <c r="I25" s="41">
        <f t="shared" si="9"/>
        <v>0</v>
      </c>
      <c r="J25" s="178">
        <f t="shared" si="2"/>
        <v>0</v>
      </c>
      <c r="K25" s="291"/>
      <c r="L25" s="161"/>
      <c r="M25" s="113"/>
      <c r="N25" s="41">
        <f t="shared" si="10"/>
        <v>0</v>
      </c>
      <c r="O25" s="178">
        <f t="shared" si="3"/>
        <v>0</v>
      </c>
      <c r="P25" s="291"/>
      <c r="Q25" s="161"/>
      <c r="R25" s="113"/>
      <c r="S25" s="41">
        <f t="shared" si="11"/>
        <v>0</v>
      </c>
      <c r="T25" s="178">
        <f t="shared" si="4"/>
        <v>0</v>
      </c>
      <c r="U25" s="291"/>
      <c r="V25" s="161"/>
      <c r="W25" s="113"/>
      <c r="X25" s="41">
        <f t="shared" si="12"/>
        <v>0</v>
      </c>
      <c r="Y25" s="178">
        <f t="shared" si="5"/>
        <v>0</v>
      </c>
      <c r="Z25" s="291"/>
      <c r="AA25" s="39">
        <f t="shared" si="13"/>
        <v>0</v>
      </c>
      <c r="AB25" s="39">
        <f t="shared" si="6"/>
        <v>0</v>
      </c>
      <c r="AC25" s="210">
        <f t="shared" si="14"/>
        <v>0</v>
      </c>
      <c r="AD25" s="178">
        <f t="shared" si="7"/>
        <v>0</v>
      </c>
      <c r="AE25" s="42"/>
      <c r="AF25" s="210">
        <f t="shared" si="15"/>
        <v>6000</v>
      </c>
      <c r="AG25" s="210">
        <f t="shared" si="16"/>
        <v>0</v>
      </c>
      <c r="AH25" s="210">
        <f t="shared" si="17"/>
        <v>6000</v>
      </c>
      <c r="AI25" s="178">
        <f t="shared" si="8"/>
        <v>2.4889267581592448E-3</v>
      </c>
      <c r="AJ25" s="42"/>
      <c r="AK25" s="227"/>
      <c r="AL25" s="227"/>
    </row>
    <row r="26" spans="1:38" s="2" customFormat="1" ht="51" customHeight="1" outlineLevel="2" x14ac:dyDescent="0.25">
      <c r="A26" s="238"/>
      <c r="B26" s="7" t="s">
        <v>52</v>
      </c>
      <c r="C26" s="114">
        <v>45272</v>
      </c>
      <c r="D26" s="113"/>
      <c r="E26" s="106">
        <f t="shared" si="0"/>
        <v>45272</v>
      </c>
      <c r="F26" s="177">
        <f t="shared" si="1"/>
        <v>1.3465397657832206E-2</v>
      </c>
      <c r="G26" s="161"/>
      <c r="H26" s="113">
        <v>180</v>
      </c>
      <c r="I26" s="41">
        <f t="shared" si="9"/>
        <v>180</v>
      </c>
      <c r="J26" s="178">
        <f t="shared" si="2"/>
        <v>4.218175013533963E-4</v>
      </c>
      <c r="K26" s="291" t="s">
        <v>146</v>
      </c>
      <c r="L26" s="161"/>
      <c r="M26" s="113">
        <v>1273.7</v>
      </c>
      <c r="N26" s="41">
        <f t="shared" si="10"/>
        <v>1273.7</v>
      </c>
      <c r="O26" s="178">
        <f t="shared" si="3"/>
        <v>2.9848275081878939E-3</v>
      </c>
      <c r="P26" s="291" t="s">
        <v>90</v>
      </c>
      <c r="Q26" s="161"/>
      <c r="R26" s="113">
        <v>870</v>
      </c>
      <c r="S26" s="41">
        <f t="shared" si="11"/>
        <v>870</v>
      </c>
      <c r="T26" s="178">
        <f t="shared" si="4"/>
        <v>3.7555156634592078E-3</v>
      </c>
      <c r="U26" s="291" t="s">
        <v>109</v>
      </c>
      <c r="V26" s="161"/>
      <c r="W26" s="113">
        <f>3684-R26-M26</f>
        <v>1540.3</v>
      </c>
      <c r="X26" s="41">
        <f t="shared" si="12"/>
        <v>1540.3</v>
      </c>
      <c r="Y26" s="178">
        <f t="shared" si="5"/>
        <v>2.5222021956823677E-3</v>
      </c>
      <c r="Z26" s="291" t="s">
        <v>145</v>
      </c>
      <c r="AA26" s="39">
        <f t="shared" si="13"/>
        <v>0</v>
      </c>
      <c r="AB26" s="39">
        <f t="shared" si="6"/>
        <v>3864</v>
      </c>
      <c r="AC26" s="210">
        <f t="shared" si="14"/>
        <v>3864</v>
      </c>
      <c r="AD26" s="178">
        <f t="shared" si="7"/>
        <v>3.0347725799437274E-3</v>
      </c>
      <c r="AE26" s="42"/>
      <c r="AF26" s="210">
        <f t="shared" si="15"/>
        <v>45272</v>
      </c>
      <c r="AG26" s="210">
        <f t="shared" si="16"/>
        <v>-3864</v>
      </c>
      <c r="AH26" s="210">
        <f t="shared" si="17"/>
        <v>41408</v>
      </c>
      <c r="AI26" s="178">
        <f t="shared" si="8"/>
        <v>1.7176913200309667E-2</v>
      </c>
      <c r="AJ26" s="42"/>
      <c r="AK26" s="227"/>
    </row>
    <row r="27" spans="1:38" s="2" customFormat="1" ht="61.2" customHeight="1" outlineLevel="2" x14ac:dyDescent="0.25">
      <c r="A27" s="238"/>
      <c r="B27" s="7" t="s">
        <v>31</v>
      </c>
      <c r="C27" s="114">
        <v>49800</v>
      </c>
      <c r="D27" s="113"/>
      <c r="E27" s="106">
        <f t="shared" si="0"/>
        <v>49800</v>
      </c>
      <c r="F27" s="178">
        <f t="shared" si="1"/>
        <v>1.4812175370207719E-2</v>
      </c>
      <c r="G27" s="161"/>
      <c r="H27" s="113">
        <v>300</v>
      </c>
      <c r="I27" s="41">
        <f t="shared" si="9"/>
        <v>300</v>
      </c>
      <c r="J27" s="178">
        <f t="shared" si="2"/>
        <v>7.0302916892232717E-4</v>
      </c>
      <c r="K27" s="291"/>
      <c r="L27" s="161"/>
      <c r="M27" s="113">
        <v>10000</v>
      </c>
      <c r="N27" s="41">
        <f t="shared" si="10"/>
        <v>10000</v>
      </c>
      <c r="O27" s="178">
        <f t="shared" si="3"/>
        <v>2.3434305630744237E-2</v>
      </c>
      <c r="P27" s="291" t="s">
        <v>94</v>
      </c>
      <c r="Q27" s="161"/>
      <c r="R27" s="113">
        <v>13700</v>
      </c>
      <c r="S27" s="41">
        <f t="shared" si="11"/>
        <v>13700</v>
      </c>
      <c r="T27" s="178">
        <f t="shared" si="4"/>
        <v>5.9138579987805917E-2</v>
      </c>
      <c r="U27" s="291" t="s">
        <v>110</v>
      </c>
      <c r="V27" s="161"/>
      <c r="W27" s="113">
        <f>40800-R27-M27-H27</f>
        <v>16800</v>
      </c>
      <c r="X27" s="41">
        <f t="shared" si="12"/>
        <v>16800</v>
      </c>
      <c r="Y27" s="178">
        <f t="shared" si="5"/>
        <v>2.750957403587858E-2</v>
      </c>
      <c r="Z27" s="291" t="s">
        <v>149</v>
      </c>
      <c r="AA27" s="39">
        <f t="shared" si="13"/>
        <v>0</v>
      </c>
      <c r="AB27" s="39">
        <f t="shared" si="6"/>
        <v>40800</v>
      </c>
      <c r="AC27" s="210">
        <f t="shared" si="14"/>
        <v>40800</v>
      </c>
      <c r="AD27" s="178">
        <f t="shared" si="7"/>
        <v>3.2044182521144944E-2</v>
      </c>
      <c r="AE27" s="79"/>
      <c r="AF27" s="210">
        <f t="shared" si="15"/>
        <v>49800</v>
      </c>
      <c r="AG27" s="210">
        <f t="shared" si="16"/>
        <v>-40800</v>
      </c>
      <c r="AH27" s="210">
        <f t="shared" si="17"/>
        <v>9000</v>
      </c>
      <c r="AI27" s="178">
        <f t="shared" si="8"/>
        <v>3.733390137238867E-3</v>
      </c>
      <c r="AJ27" s="79"/>
    </row>
    <row r="28" spans="1:38" s="2" customFormat="1" ht="79.95" customHeight="1" outlineLevel="2" x14ac:dyDescent="0.25">
      <c r="A28" s="238"/>
      <c r="B28" s="7" t="s">
        <v>62</v>
      </c>
      <c r="C28" s="114"/>
      <c r="D28" s="113"/>
      <c r="E28" s="106">
        <f t="shared" si="0"/>
        <v>0</v>
      </c>
      <c r="F28" s="178">
        <f t="shared" si="1"/>
        <v>0</v>
      </c>
      <c r="G28" s="161"/>
      <c r="H28" s="113"/>
      <c r="I28" s="41">
        <f t="shared" si="9"/>
        <v>0</v>
      </c>
      <c r="J28" s="178">
        <f t="shared" si="2"/>
        <v>0</v>
      </c>
      <c r="K28" s="291"/>
      <c r="L28" s="161"/>
      <c r="M28" s="113">
        <f>13150</f>
        <v>13150</v>
      </c>
      <c r="N28" s="41">
        <f t="shared" si="10"/>
        <v>13150</v>
      </c>
      <c r="O28" s="178">
        <f t="shared" si="3"/>
        <v>3.0816111904428675E-2</v>
      </c>
      <c r="P28" s="291" t="s">
        <v>93</v>
      </c>
      <c r="Q28" s="161"/>
      <c r="R28" s="113">
        <v>7500</v>
      </c>
      <c r="S28" s="41">
        <f t="shared" si="11"/>
        <v>7500</v>
      </c>
      <c r="T28" s="178">
        <f t="shared" si="4"/>
        <v>3.2375135029820756E-2</v>
      </c>
      <c r="U28" s="291" t="s">
        <v>111</v>
      </c>
      <c r="V28" s="161"/>
      <c r="W28" s="113">
        <f>36710-R28-M28</f>
        <v>16060</v>
      </c>
      <c r="X28" s="41">
        <f t="shared" si="12"/>
        <v>16060</v>
      </c>
      <c r="Y28" s="178">
        <f t="shared" si="5"/>
        <v>2.629784279858393E-2</v>
      </c>
      <c r="Z28" s="291" t="s">
        <v>141</v>
      </c>
      <c r="AA28" s="39">
        <f t="shared" si="13"/>
        <v>0</v>
      </c>
      <c r="AB28" s="39">
        <f t="shared" si="6"/>
        <v>36710</v>
      </c>
      <c r="AC28" s="210">
        <f t="shared" si="14"/>
        <v>36710</v>
      </c>
      <c r="AD28" s="178">
        <f t="shared" si="7"/>
        <v>2.8831910302726249E-2</v>
      </c>
      <c r="AE28" s="79"/>
      <c r="AF28" s="210">
        <f t="shared" si="15"/>
        <v>0</v>
      </c>
      <c r="AG28" s="210">
        <f t="shared" si="16"/>
        <v>-36710</v>
      </c>
      <c r="AH28" s="210">
        <f t="shared" si="17"/>
        <v>-36710</v>
      </c>
      <c r="AI28" s="178">
        <f t="shared" si="8"/>
        <v>-1.522808354867098E-2</v>
      </c>
      <c r="AJ28" s="79"/>
    </row>
    <row r="29" spans="1:38" s="2" customFormat="1" ht="26.4" customHeight="1" outlineLevel="2" x14ac:dyDescent="0.25">
      <c r="A29" s="238"/>
      <c r="B29" s="7" t="s">
        <v>34</v>
      </c>
      <c r="C29" s="114"/>
      <c r="D29" s="113">
        <v>16000</v>
      </c>
      <c r="E29" s="106">
        <f t="shared" si="0"/>
        <v>16000</v>
      </c>
      <c r="F29" s="178">
        <f t="shared" si="1"/>
        <v>4.7589318458498694E-3</v>
      </c>
      <c r="G29" s="161"/>
      <c r="H29" s="113"/>
      <c r="I29" s="41">
        <f t="shared" si="9"/>
        <v>0</v>
      </c>
      <c r="J29" s="178">
        <f t="shared" si="2"/>
        <v>0</v>
      </c>
      <c r="K29" s="291"/>
      <c r="L29" s="161"/>
      <c r="M29" s="113">
        <f>4800+300</f>
        <v>5100</v>
      </c>
      <c r="N29" s="41">
        <f t="shared" si="10"/>
        <v>5100</v>
      </c>
      <c r="O29" s="178">
        <f t="shared" si="3"/>
        <v>1.1951495871679561E-2</v>
      </c>
      <c r="P29" s="291" t="s">
        <v>87</v>
      </c>
      <c r="Q29" s="161"/>
      <c r="R29" s="113">
        <v>3200</v>
      </c>
      <c r="S29" s="41">
        <f t="shared" si="11"/>
        <v>3200</v>
      </c>
      <c r="T29" s="178">
        <f t="shared" si="4"/>
        <v>1.3813390946056856E-2</v>
      </c>
      <c r="U29" s="291" t="s">
        <v>113</v>
      </c>
      <c r="V29" s="161"/>
      <c r="W29" s="113">
        <f>16500-R29-M29</f>
        <v>8200</v>
      </c>
      <c r="X29" s="41">
        <f t="shared" si="12"/>
        <v>8200</v>
      </c>
      <c r="Y29" s="178">
        <f t="shared" si="5"/>
        <v>1.3427292088940735E-2</v>
      </c>
      <c r="Z29" s="291"/>
      <c r="AA29" s="39">
        <f t="shared" si="13"/>
        <v>0</v>
      </c>
      <c r="AB29" s="39">
        <f t="shared" si="6"/>
        <v>16500</v>
      </c>
      <c r="AC29" s="210">
        <f t="shared" si="14"/>
        <v>16500</v>
      </c>
      <c r="AD29" s="178">
        <f t="shared" si="7"/>
        <v>1.2959044401933618E-2</v>
      </c>
      <c r="AE29" s="79"/>
      <c r="AF29" s="210">
        <f t="shared" si="15"/>
        <v>0</v>
      </c>
      <c r="AG29" s="210">
        <f t="shared" si="16"/>
        <v>-500</v>
      </c>
      <c r="AH29" s="210">
        <f t="shared" si="17"/>
        <v>-500</v>
      </c>
      <c r="AI29" s="178">
        <f t="shared" si="8"/>
        <v>-2.0741056317993706E-4</v>
      </c>
      <c r="AJ29" s="79"/>
    </row>
    <row r="30" spans="1:38" s="2" customFormat="1" ht="14.4" customHeight="1" outlineLevel="2" x14ac:dyDescent="0.25">
      <c r="A30" s="238"/>
      <c r="B30" s="32" t="s">
        <v>2</v>
      </c>
      <c r="C30" s="115"/>
      <c r="D30" s="116"/>
      <c r="E30" s="106">
        <f t="shared" si="0"/>
        <v>0</v>
      </c>
      <c r="F30" s="178">
        <f t="shared" si="1"/>
        <v>0</v>
      </c>
      <c r="G30" s="161"/>
      <c r="H30" s="116"/>
      <c r="I30" s="41">
        <f t="shared" si="9"/>
        <v>0</v>
      </c>
      <c r="J30" s="178">
        <f t="shared" si="2"/>
        <v>0</v>
      </c>
      <c r="K30" s="290"/>
      <c r="L30" s="161"/>
      <c r="M30" s="116"/>
      <c r="N30" s="41">
        <f t="shared" si="10"/>
        <v>0</v>
      </c>
      <c r="O30" s="178">
        <f t="shared" si="3"/>
        <v>0</v>
      </c>
      <c r="P30" s="290"/>
      <c r="Q30" s="161"/>
      <c r="R30" s="116"/>
      <c r="S30" s="41">
        <f t="shared" si="11"/>
        <v>0</v>
      </c>
      <c r="T30" s="178">
        <f t="shared" ref="T30:T35" si="18">S30/$N$87</f>
        <v>0</v>
      </c>
      <c r="U30" s="290"/>
      <c r="V30" s="161"/>
      <c r="W30" s="116"/>
      <c r="X30" s="41">
        <f t="shared" si="12"/>
        <v>0</v>
      </c>
      <c r="Y30" s="178">
        <f t="shared" si="5"/>
        <v>0</v>
      </c>
      <c r="Z30" s="290"/>
      <c r="AA30" s="210">
        <f>L30+Q30+V30</f>
        <v>0</v>
      </c>
      <c r="AB30" s="39">
        <f t="shared" si="6"/>
        <v>0</v>
      </c>
      <c r="AC30" s="210">
        <f t="shared" si="14"/>
        <v>0</v>
      </c>
      <c r="AD30" s="178">
        <f t="shared" si="7"/>
        <v>0</v>
      </c>
      <c r="AE30" s="79"/>
      <c r="AF30" s="210">
        <f t="shared" si="15"/>
        <v>0</v>
      </c>
      <c r="AG30" s="210">
        <f t="shared" si="16"/>
        <v>0</v>
      </c>
      <c r="AH30" s="210">
        <f t="shared" si="17"/>
        <v>0</v>
      </c>
      <c r="AI30" s="178">
        <f t="shared" si="8"/>
        <v>0</v>
      </c>
      <c r="AJ30" s="79"/>
    </row>
    <row r="31" spans="1:38" s="2" customFormat="1" ht="15" customHeight="1" outlineLevel="2" thickBot="1" x14ac:dyDescent="0.3">
      <c r="A31" s="238"/>
      <c r="B31" s="32" t="s">
        <v>75</v>
      </c>
      <c r="C31" s="115"/>
      <c r="D31" s="116">
        <v>500000</v>
      </c>
      <c r="E31" s="106">
        <f t="shared" si="0"/>
        <v>500000</v>
      </c>
      <c r="F31" s="178">
        <f t="shared" si="1"/>
        <v>0.14871662018280843</v>
      </c>
      <c r="G31" s="161"/>
      <c r="H31" s="116"/>
      <c r="I31" s="41">
        <f t="shared" si="9"/>
        <v>0</v>
      </c>
      <c r="J31" s="178">
        <f t="shared" si="2"/>
        <v>0</v>
      </c>
      <c r="K31" s="290"/>
      <c r="L31" s="161"/>
      <c r="M31" s="116"/>
      <c r="N31" s="41">
        <f t="shared" si="10"/>
        <v>0</v>
      </c>
      <c r="O31" s="178">
        <f t="shared" si="3"/>
        <v>0</v>
      </c>
      <c r="P31" s="290"/>
      <c r="Q31" s="161"/>
      <c r="R31" s="116"/>
      <c r="S31" s="41">
        <f t="shared" si="11"/>
        <v>0</v>
      </c>
      <c r="T31" s="178">
        <f t="shared" si="18"/>
        <v>0</v>
      </c>
      <c r="U31" s="290"/>
      <c r="V31" s="161"/>
      <c r="W31" s="116"/>
      <c r="X31" s="41">
        <f t="shared" si="12"/>
        <v>0</v>
      </c>
      <c r="Y31" s="178">
        <f t="shared" si="5"/>
        <v>0</v>
      </c>
      <c r="Z31" s="290"/>
      <c r="AA31" s="210">
        <f>L31+Q31+V31</f>
        <v>0</v>
      </c>
      <c r="AB31" s="39">
        <f t="shared" si="6"/>
        <v>0</v>
      </c>
      <c r="AC31" s="210">
        <f t="shared" si="14"/>
        <v>0</v>
      </c>
      <c r="AD31" s="178">
        <f t="shared" si="7"/>
        <v>0</v>
      </c>
      <c r="AE31" s="79"/>
      <c r="AF31" s="210">
        <f t="shared" si="15"/>
        <v>0</v>
      </c>
      <c r="AG31" s="210">
        <f t="shared" si="16"/>
        <v>500000</v>
      </c>
      <c r="AH31" s="210">
        <f t="shared" si="17"/>
        <v>500000</v>
      </c>
      <c r="AI31" s="178">
        <f t="shared" si="8"/>
        <v>0.20741056317993706</v>
      </c>
      <c r="AJ31" s="79"/>
    </row>
    <row r="32" spans="1:38" s="2" customFormat="1" ht="13.8" outlineLevel="2" x14ac:dyDescent="0.25">
      <c r="A32" s="238"/>
      <c r="B32" s="12"/>
      <c r="C32" s="46"/>
      <c r="D32" s="47"/>
      <c r="E32" s="48"/>
      <c r="F32" s="179"/>
      <c r="G32" s="96"/>
      <c r="H32" s="48"/>
      <c r="I32" s="48"/>
      <c r="J32" s="202">
        <f t="shared" si="2"/>
        <v>0</v>
      </c>
      <c r="K32" s="266"/>
      <c r="L32" s="96"/>
      <c r="M32" s="48"/>
      <c r="N32" s="48"/>
      <c r="O32" s="202">
        <f t="shared" si="3"/>
        <v>0</v>
      </c>
      <c r="P32" s="266"/>
      <c r="Q32" s="96"/>
      <c r="R32" s="48"/>
      <c r="S32" s="48"/>
      <c r="T32" s="202">
        <f t="shared" si="18"/>
        <v>0</v>
      </c>
      <c r="U32" s="266"/>
      <c r="V32" s="96"/>
      <c r="W32" s="48"/>
      <c r="X32" s="48"/>
      <c r="Y32" s="202">
        <f t="shared" si="5"/>
        <v>0</v>
      </c>
      <c r="Z32" s="266"/>
      <c r="AA32" s="48">
        <f>L32+Q32+V32</f>
        <v>0</v>
      </c>
      <c r="AB32" s="39">
        <f>M32+R32+W32+H32</f>
        <v>0</v>
      </c>
      <c r="AC32" s="48"/>
      <c r="AD32" s="48"/>
      <c r="AE32" s="48"/>
      <c r="AF32" s="48"/>
      <c r="AG32" s="48"/>
      <c r="AH32" s="48"/>
      <c r="AI32" s="48"/>
      <c r="AJ32" s="48"/>
    </row>
    <row r="33" spans="1:37" s="88" customFormat="1" ht="13.8" outlineLevel="1" x14ac:dyDescent="0.25">
      <c r="A33" s="238"/>
      <c r="B33" s="89" t="s">
        <v>80</v>
      </c>
      <c r="C33" s="90">
        <f>C34</f>
        <v>0</v>
      </c>
      <c r="D33" s="90">
        <f>D34</f>
        <v>0</v>
      </c>
      <c r="E33" s="91">
        <f>E34</f>
        <v>0</v>
      </c>
      <c r="F33" s="165">
        <f>E33/$E$87</f>
        <v>0</v>
      </c>
      <c r="G33" s="90">
        <f>G34</f>
        <v>0</v>
      </c>
      <c r="H33" s="90">
        <f>H34</f>
        <v>0</v>
      </c>
      <c r="I33" s="91">
        <f>I34</f>
        <v>0</v>
      </c>
      <c r="J33" s="190">
        <f t="shared" si="2"/>
        <v>0</v>
      </c>
      <c r="K33" s="267"/>
      <c r="L33" s="90">
        <f>L34</f>
        <v>0</v>
      </c>
      <c r="M33" s="90">
        <f>M34</f>
        <v>0</v>
      </c>
      <c r="N33" s="91">
        <f>N34</f>
        <v>0</v>
      </c>
      <c r="O33" s="190">
        <f t="shared" si="3"/>
        <v>0</v>
      </c>
      <c r="P33" s="267"/>
      <c r="Q33" s="90">
        <f>Q34</f>
        <v>0</v>
      </c>
      <c r="R33" s="90">
        <f>R34</f>
        <v>0</v>
      </c>
      <c r="S33" s="91">
        <f>S34</f>
        <v>0</v>
      </c>
      <c r="T33" s="190">
        <f t="shared" si="18"/>
        <v>0</v>
      </c>
      <c r="U33" s="267"/>
      <c r="V33" s="90">
        <f>V34</f>
        <v>0</v>
      </c>
      <c r="W33" s="90">
        <f>W34</f>
        <v>0</v>
      </c>
      <c r="X33" s="91">
        <f>X34</f>
        <v>0</v>
      </c>
      <c r="Y33" s="190">
        <f t="shared" si="5"/>
        <v>0</v>
      </c>
      <c r="Z33" s="267"/>
      <c r="AA33" s="90">
        <f>AA34</f>
        <v>0</v>
      </c>
      <c r="AB33" s="90">
        <f>AB34</f>
        <v>0</v>
      </c>
      <c r="AC33" s="91">
        <f>AC34</f>
        <v>0</v>
      </c>
      <c r="AD33" s="91"/>
      <c r="AE33" s="91"/>
      <c r="AF33" s="90">
        <f>AF34</f>
        <v>0</v>
      </c>
      <c r="AG33" s="90">
        <f>AG34</f>
        <v>0</v>
      </c>
      <c r="AH33" s="91">
        <f>AH34</f>
        <v>0</v>
      </c>
      <c r="AI33" s="91"/>
      <c r="AJ33" s="91"/>
    </row>
    <row r="34" spans="1:37" s="226" customFormat="1" ht="13.8" outlineLevel="3" x14ac:dyDescent="0.25">
      <c r="A34" s="238"/>
      <c r="B34" s="19" t="s">
        <v>81</v>
      </c>
      <c r="C34" s="43"/>
      <c r="D34" s="49"/>
      <c r="E34" s="44">
        <f>C34+D34</f>
        <v>0</v>
      </c>
      <c r="F34" s="180">
        <f>E34/$E$87</f>
        <v>0</v>
      </c>
      <c r="G34" s="97"/>
      <c r="H34" s="45"/>
      <c r="I34" s="41">
        <f>G34+H34*1</f>
        <v>0</v>
      </c>
      <c r="J34" s="178">
        <f t="shared" si="2"/>
        <v>0</v>
      </c>
      <c r="K34" s="265"/>
      <c r="L34" s="97"/>
      <c r="M34" s="45"/>
      <c r="N34" s="41">
        <f>L34+M34*1</f>
        <v>0</v>
      </c>
      <c r="O34" s="178">
        <f t="shared" si="3"/>
        <v>0</v>
      </c>
      <c r="P34" s="265"/>
      <c r="Q34" s="97"/>
      <c r="R34" s="45"/>
      <c r="S34" s="41">
        <f>Q34+R34*1</f>
        <v>0</v>
      </c>
      <c r="T34" s="178">
        <f t="shared" si="18"/>
        <v>0</v>
      </c>
      <c r="U34" s="265"/>
      <c r="V34" s="97"/>
      <c r="W34" s="45"/>
      <c r="X34" s="41">
        <f>V34+W34*1</f>
        <v>0</v>
      </c>
      <c r="Y34" s="178">
        <f t="shared" si="5"/>
        <v>0</v>
      </c>
      <c r="Z34" s="265"/>
      <c r="AA34" s="39">
        <f>L34+Q34+V34+G34</f>
        <v>0</v>
      </c>
      <c r="AB34" s="39">
        <f>M34+R34+W34+H34</f>
        <v>0</v>
      </c>
      <c r="AC34" s="106">
        <f>AA34+AB34*1</f>
        <v>0</v>
      </c>
      <c r="AD34" s="178">
        <f>AC34/$AC$87</f>
        <v>0</v>
      </c>
      <c r="AE34" s="45"/>
      <c r="AF34" s="210">
        <f>C34-AA34</f>
        <v>0</v>
      </c>
      <c r="AG34" s="210">
        <f>D34-AB34</f>
        <v>0</v>
      </c>
      <c r="AH34" s="210">
        <f>AF34+AG34*1</f>
        <v>0</v>
      </c>
      <c r="AI34" s="178">
        <f>AH34/$E$87</f>
        <v>0</v>
      </c>
      <c r="AJ34" s="45"/>
    </row>
    <row r="35" spans="1:37" s="2" customFormat="1" ht="14.4" outlineLevel="1" thickBot="1" x14ac:dyDescent="0.3">
      <c r="A35" s="4"/>
      <c r="B35" s="14"/>
      <c r="C35" s="50"/>
      <c r="D35" s="51"/>
      <c r="E35" s="52"/>
      <c r="F35" s="181"/>
      <c r="G35" s="98"/>
      <c r="H35" s="52"/>
      <c r="I35" s="52"/>
      <c r="J35" s="203">
        <f t="shared" si="2"/>
        <v>0</v>
      </c>
      <c r="K35" s="268"/>
      <c r="L35" s="98"/>
      <c r="M35" s="52"/>
      <c r="N35" s="52"/>
      <c r="O35" s="203">
        <f t="shared" si="3"/>
        <v>0</v>
      </c>
      <c r="P35" s="268"/>
      <c r="Q35" s="98"/>
      <c r="R35" s="52"/>
      <c r="S35" s="52"/>
      <c r="T35" s="203">
        <f t="shared" si="18"/>
        <v>0</v>
      </c>
      <c r="U35" s="268"/>
      <c r="V35" s="98"/>
      <c r="W35" s="52"/>
      <c r="X35" s="52"/>
      <c r="Y35" s="203">
        <f t="shared" si="5"/>
        <v>0</v>
      </c>
      <c r="Z35" s="268"/>
      <c r="AA35" s="39">
        <f>L35+Q35+V35+G35</f>
        <v>0</v>
      </c>
      <c r="AB35" s="39">
        <f>M35+R35+W35+H35</f>
        <v>0</v>
      </c>
      <c r="AC35" s="52"/>
      <c r="AD35" s="52"/>
      <c r="AE35" s="52"/>
      <c r="AF35" s="52"/>
      <c r="AG35" s="52"/>
      <c r="AH35" s="52"/>
      <c r="AI35" s="52"/>
      <c r="AJ35" s="52"/>
    </row>
    <row r="36" spans="1:37" ht="14.4" thickBot="1" x14ac:dyDescent="0.3">
      <c r="A36" s="33"/>
      <c r="B36" s="34" t="s">
        <v>46</v>
      </c>
      <c r="C36" s="53">
        <f>(C5)-(C8)</f>
        <v>-975438</v>
      </c>
      <c r="D36" s="53">
        <f>(D5)-(D8)</f>
        <v>2725603.9699999997</v>
      </c>
      <c r="E36" s="53">
        <f>(E5)-(E8)</f>
        <v>1750165.9699999997</v>
      </c>
      <c r="F36" s="166"/>
      <c r="G36" s="53">
        <f>(G5)-(G8)</f>
        <v>0</v>
      </c>
      <c r="H36" s="53">
        <f>(H5)-(H8)</f>
        <v>-480</v>
      </c>
      <c r="I36" s="53">
        <f>(I5)-(I8)</f>
        <v>-480</v>
      </c>
      <c r="J36" s="191"/>
      <c r="K36" s="269"/>
      <c r="L36" s="53">
        <f>(L5)-(L8)</f>
        <v>-172736.59600000002</v>
      </c>
      <c r="M36" s="53">
        <f>(M5)-(M8)</f>
        <v>1747152.35</v>
      </c>
      <c r="N36" s="53">
        <f>(N5)-(N8)</f>
        <v>1574415.754</v>
      </c>
      <c r="O36" s="191"/>
      <c r="P36" s="269"/>
      <c r="Q36" s="53">
        <f>(Q5)-(Q8)</f>
        <v>-132386.06</v>
      </c>
      <c r="R36" s="53">
        <f>(R5)-(R8)</f>
        <v>-33025</v>
      </c>
      <c r="S36" s="53">
        <f>(S5)-(S8)</f>
        <v>-165411.06</v>
      </c>
      <c r="T36" s="191"/>
      <c r="U36" s="269"/>
      <c r="V36" s="53">
        <f>(V5)-(V8)</f>
        <v>-209487.06800000003</v>
      </c>
      <c r="W36" s="53">
        <f>(W5)-(W8)</f>
        <v>2473689.7799999998</v>
      </c>
      <c r="X36" s="53">
        <f>(X5)-(X8)</f>
        <v>2264202.7119999998</v>
      </c>
      <c r="Y36" s="191">
        <f t="shared" si="5"/>
        <v>3.7075745320238727</v>
      </c>
      <c r="Z36" s="269"/>
      <c r="AA36" s="53">
        <f>(AA5)-(AA8)</f>
        <v>-514609.72400000005</v>
      </c>
      <c r="AB36" s="53">
        <f>(AB5)-(AB8)</f>
        <v>4187337.1299999994</v>
      </c>
      <c r="AC36" s="53">
        <f>(AC5)-(AC8)</f>
        <v>3672727.4059999995</v>
      </c>
      <c r="AD36" s="53"/>
      <c r="AE36" s="53"/>
      <c r="AF36" s="53">
        <f>(AF5)-(AF8)</f>
        <v>-460828.27599999995</v>
      </c>
      <c r="AG36" s="53">
        <f>(AG5)-(AG8)</f>
        <v>-1461733.1599999997</v>
      </c>
      <c r="AH36" s="53">
        <f>(AH5)-(AH8)</f>
        <v>-1922561.4359999998</v>
      </c>
      <c r="AI36" s="53"/>
      <c r="AJ36" s="53"/>
      <c r="AK36" s="2"/>
    </row>
    <row r="37" spans="1:37" ht="13.8" x14ac:dyDescent="0.25">
      <c r="A37" s="229"/>
      <c r="B37" s="15" t="s">
        <v>47</v>
      </c>
      <c r="C37" s="157" t="e">
        <f>C36/(C5)</f>
        <v>#DIV/0!</v>
      </c>
      <c r="D37" s="157">
        <f>D36/(D5)</f>
        <v>0.54850761239453694</v>
      </c>
      <c r="E37" s="158">
        <f>E36/(E5)</f>
        <v>0.35220793925497135</v>
      </c>
      <c r="F37" s="167"/>
      <c r="G37" s="157" t="e">
        <f>G36/(G5)</f>
        <v>#DIV/0!</v>
      </c>
      <c r="H37" s="157" t="e">
        <f>H36/(H5)</f>
        <v>#DIV/0!</v>
      </c>
      <c r="I37" s="158" t="e">
        <f>I36/(I5)</f>
        <v>#DIV/0!</v>
      </c>
      <c r="J37" s="192"/>
      <c r="K37" s="270"/>
      <c r="L37" s="157" t="e">
        <f>L36/(L5)</f>
        <v>#DIV/0!</v>
      </c>
      <c r="M37" s="157">
        <f>M36/(M5)</f>
        <v>0.91419476249229525</v>
      </c>
      <c r="N37" s="158">
        <f>N36/(N5)</f>
        <v>0.82381060603682199</v>
      </c>
      <c r="O37" s="192"/>
      <c r="P37" s="270"/>
      <c r="Q37" s="157" t="e">
        <f>Q36/(Q5)</f>
        <v>#DIV/0!</v>
      </c>
      <c r="R37" s="157" t="e">
        <f>R36/(R5)</f>
        <v>#DIV/0!</v>
      </c>
      <c r="S37" s="158" t="e">
        <f>S36/(S5)</f>
        <v>#DIV/0!</v>
      </c>
      <c r="T37" s="192"/>
      <c r="U37" s="270"/>
      <c r="V37" s="157" t="e">
        <f>V36/(V5)</f>
        <v>#DIV/0!</v>
      </c>
      <c r="W37" s="157">
        <f>W36/(W5)</f>
        <v>0.8928646432832017</v>
      </c>
      <c r="X37" s="158">
        <f>X36/(X5)</f>
        <v>0.81725144483183254</v>
      </c>
      <c r="Y37" s="192">
        <f t="shared" si="5"/>
        <v>1.3382285194958355E-6</v>
      </c>
      <c r="Z37" s="270"/>
      <c r="AA37" s="54" t="e">
        <f>AA36/(AA5)</f>
        <v>#DIV/0!</v>
      </c>
      <c r="AB37" s="54">
        <f>AB36/(AB5)</f>
        <v>0.89441533707340726</v>
      </c>
      <c r="AC37" s="55">
        <f>AC36/(AC5)</f>
        <v>0.78449468452907456</v>
      </c>
      <c r="AD37" s="55"/>
      <c r="AE37" s="55"/>
      <c r="AF37" s="54" t="e">
        <f>AF36/(AF5)</f>
        <v>#DIV/0!</v>
      </c>
      <c r="AG37" s="54">
        <f>AG36/(AG5)</f>
        <v>-5.0846484494261057</v>
      </c>
      <c r="AH37" s="55">
        <f>AH36/(AH5)</f>
        <v>-6.6876426505121005</v>
      </c>
      <c r="AI37" s="55"/>
      <c r="AJ37" s="55"/>
      <c r="AK37" s="2"/>
    </row>
    <row r="38" spans="1:37" ht="14.4" outlineLevel="1" thickBot="1" x14ac:dyDescent="0.3">
      <c r="A38" s="231"/>
      <c r="B38" s="16"/>
      <c r="C38" s="56"/>
      <c r="D38" s="57"/>
      <c r="E38" s="58"/>
      <c r="F38" s="168"/>
      <c r="G38" s="80"/>
      <c r="H38" s="80"/>
      <c r="I38" s="80"/>
      <c r="J38" s="193">
        <f t="shared" ref="J38:J72" si="19">I38/$N$87</f>
        <v>0</v>
      </c>
      <c r="K38" s="271"/>
      <c r="L38" s="80"/>
      <c r="M38" s="80"/>
      <c r="N38" s="80"/>
      <c r="O38" s="193">
        <f t="shared" si="3"/>
        <v>0</v>
      </c>
      <c r="P38" s="271"/>
      <c r="Q38" s="80"/>
      <c r="R38" s="80"/>
      <c r="S38" s="80"/>
      <c r="T38" s="193">
        <f>S38/$N$87</f>
        <v>0</v>
      </c>
      <c r="U38" s="271"/>
      <c r="V38" s="80"/>
      <c r="W38" s="80"/>
      <c r="X38" s="80"/>
      <c r="Y38" s="193">
        <f t="shared" si="5"/>
        <v>0</v>
      </c>
      <c r="Z38" s="271"/>
      <c r="AA38" s="58"/>
      <c r="AB38" s="39">
        <f>M38+R38+W38+H38</f>
        <v>0</v>
      </c>
      <c r="AC38" s="58"/>
      <c r="AD38" s="58"/>
      <c r="AE38" s="58"/>
      <c r="AF38" s="58"/>
      <c r="AG38" s="58"/>
      <c r="AH38" s="58"/>
      <c r="AI38" s="58"/>
      <c r="AJ38" s="58"/>
    </row>
    <row r="39" spans="1:37" ht="13.8" outlineLevel="1" x14ac:dyDescent="0.25">
      <c r="A39" s="11"/>
      <c r="B39" s="22" t="s">
        <v>26</v>
      </c>
      <c r="C39" s="117">
        <f>SUM(C40:C46)</f>
        <v>0</v>
      </c>
      <c r="D39" s="117">
        <f>SUM(D40:D46)</f>
        <v>3000</v>
      </c>
      <c r="E39" s="118">
        <f>SUM(E40:E46)</f>
        <v>3000</v>
      </c>
      <c r="F39" s="169">
        <f t="shared" ref="F39:F46" si="20">E39/$E$87</f>
        <v>8.9229972109685046E-4</v>
      </c>
      <c r="G39" s="117">
        <f>SUM(G40:G46)</f>
        <v>0</v>
      </c>
      <c r="H39" s="117">
        <f>SUM(H40:H46)</f>
        <v>0</v>
      </c>
      <c r="I39" s="118">
        <f>SUM(I40:I46)</f>
        <v>0</v>
      </c>
      <c r="J39" s="169">
        <f t="shared" si="19"/>
        <v>0</v>
      </c>
      <c r="K39" s="272"/>
      <c r="L39" s="117">
        <f>SUM(L40:L46)</f>
        <v>0</v>
      </c>
      <c r="M39" s="117">
        <f>SUM(M40:M46)</f>
        <v>0</v>
      </c>
      <c r="N39" s="118">
        <f>SUM(N40:N46)</f>
        <v>0</v>
      </c>
      <c r="O39" s="169">
        <f t="shared" si="3"/>
        <v>0</v>
      </c>
      <c r="P39" s="272"/>
      <c r="Q39" s="117">
        <f>SUM(Q40:Q46)</f>
        <v>414</v>
      </c>
      <c r="R39" s="117">
        <f>SUM(R40:R46)</f>
        <v>0</v>
      </c>
      <c r="S39" s="118">
        <f>SUM(S40:S46)</f>
        <v>414</v>
      </c>
      <c r="T39" s="169">
        <f t="shared" ref="T39:T46" si="21">S39/$S$87</f>
        <v>1.7871074536461059E-3</v>
      </c>
      <c r="U39" s="272"/>
      <c r="V39" s="117">
        <f>SUM(V40:V46)</f>
        <v>0</v>
      </c>
      <c r="W39" s="117">
        <f>SUM(W40:W46)</f>
        <v>0</v>
      </c>
      <c r="X39" s="118">
        <f>SUM(X40:X46)</f>
        <v>0</v>
      </c>
      <c r="Y39" s="169">
        <f t="shared" si="5"/>
        <v>0</v>
      </c>
      <c r="Z39" s="272"/>
      <c r="AA39" s="117">
        <f>SUM(AA40:AA46)</f>
        <v>414</v>
      </c>
      <c r="AB39" s="117">
        <f>SUM(AB40:AB46)</f>
        <v>0</v>
      </c>
      <c r="AC39" s="118">
        <f>SUM(AC40:AC46)</f>
        <v>414</v>
      </c>
      <c r="AD39" s="169">
        <f t="shared" ref="AD39:AD47" si="22">AC39/$AC$87</f>
        <v>3.2515420499397077E-4</v>
      </c>
      <c r="AE39" s="60"/>
      <c r="AF39" s="117">
        <f>SUM(AF40:AF46)</f>
        <v>-414</v>
      </c>
      <c r="AG39" s="117">
        <f>SUM(AG40:AG46)</f>
        <v>3000</v>
      </c>
      <c r="AH39" s="118">
        <f>SUM(AH40:AH46)</f>
        <v>2586</v>
      </c>
      <c r="AI39" s="60"/>
      <c r="AJ39" s="60"/>
    </row>
    <row r="40" spans="1:37" ht="43.2" customHeight="1" outlineLevel="2" x14ac:dyDescent="0.25">
      <c r="A40" s="4015"/>
      <c r="B40" s="18" t="s">
        <v>7</v>
      </c>
      <c r="C40" s="113"/>
      <c r="D40" s="119"/>
      <c r="E40" s="120">
        <f t="shared" ref="E40:E46" si="23">C40+D40</f>
        <v>0</v>
      </c>
      <c r="F40" s="178">
        <f t="shared" si="20"/>
        <v>0</v>
      </c>
      <c r="G40" s="78"/>
      <c r="H40" s="103"/>
      <c r="I40" s="41">
        <f t="shared" ref="I40:I46" si="24">G40+H40*1</f>
        <v>0</v>
      </c>
      <c r="J40" s="178">
        <f t="shared" si="19"/>
        <v>0</v>
      </c>
      <c r="K40" s="265"/>
      <c r="L40" s="78"/>
      <c r="M40" s="103"/>
      <c r="N40" s="41">
        <f t="shared" ref="N40:N46" si="25">L40+M40*1</f>
        <v>0</v>
      </c>
      <c r="O40" s="178">
        <f t="shared" si="3"/>
        <v>0</v>
      </c>
      <c r="P40" s="265"/>
      <c r="Q40" s="78"/>
      <c r="R40" s="103"/>
      <c r="S40" s="41">
        <f t="shared" ref="S40:S46" si="26">Q40+R40*1</f>
        <v>0</v>
      </c>
      <c r="T40" s="178">
        <f t="shared" si="21"/>
        <v>0</v>
      </c>
      <c r="U40" s="265"/>
      <c r="V40" s="78"/>
      <c r="W40" s="103"/>
      <c r="X40" s="41">
        <f t="shared" ref="X40:X46" si="27">V40+W40*1</f>
        <v>0</v>
      </c>
      <c r="Y40" s="178">
        <f t="shared" si="5"/>
        <v>0</v>
      </c>
      <c r="Z40" s="265"/>
      <c r="AA40" s="210">
        <f>L40</f>
        <v>0</v>
      </c>
      <c r="AB40" s="39">
        <f t="shared" ref="AB40:AB47" si="28">M40+R40+W40+H40</f>
        <v>0</v>
      </c>
      <c r="AC40" s="106">
        <f t="shared" ref="AC40:AC46" si="29">AA40+AB40*1</f>
        <v>0</v>
      </c>
      <c r="AD40" s="178">
        <f t="shared" si="22"/>
        <v>0</v>
      </c>
      <c r="AE40" s="79"/>
      <c r="AF40" s="210">
        <f t="shared" ref="AF40:AG46" si="30">C40-AA40</f>
        <v>0</v>
      </c>
      <c r="AG40" s="210">
        <f t="shared" si="30"/>
        <v>0</v>
      </c>
      <c r="AH40" s="210">
        <f t="shared" ref="AH40:AH46" si="31">AF40+AG40*1</f>
        <v>0</v>
      </c>
      <c r="AI40" s="178">
        <f t="shared" ref="AI40:AI46" si="32">AH40/$E$87</f>
        <v>0</v>
      </c>
      <c r="AJ40" s="79"/>
    </row>
    <row r="41" spans="1:37" ht="13.8" outlineLevel="2" x14ac:dyDescent="0.25">
      <c r="A41" s="4015"/>
      <c r="B41" s="18" t="s">
        <v>27</v>
      </c>
      <c r="C41" s="113"/>
      <c r="D41" s="119"/>
      <c r="E41" s="120">
        <f t="shared" si="23"/>
        <v>0</v>
      </c>
      <c r="F41" s="178">
        <f t="shared" si="20"/>
        <v>0</v>
      </c>
      <c r="G41" s="78"/>
      <c r="H41" s="103"/>
      <c r="I41" s="41">
        <f t="shared" si="24"/>
        <v>0</v>
      </c>
      <c r="J41" s="178">
        <f t="shared" si="19"/>
        <v>0</v>
      </c>
      <c r="K41" s="265"/>
      <c r="L41" s="78"/>
      <c r="M41" s="103"/>
      <c r="N41" s="41">
        <f t="shared" si="25"/>
        <v>0</v>
      </c>
      <c r="O41" s="178">
        <f t="shared" si="3"/>
        <v>0</v>
      </c>
      <c r="P41" s="265"/>
      <c r="Q41" s="78"/>
      <c r="R41" s="103"/>
      <c r="S41" s="41">
        <f t="shared" si="26"/>
        <v>0</v>
      </c>
      <c r="T41" s="178">
        <f t="shared" si="21"/>
        <v>0</v>
      </c>
      <c r="U41" s="265"/>
      <c r="V41" s="78"/>
      <c r="W41" s="103"/>
      <c r="X41" s="41">
        <f t="shared" si="27"/>
        <v>0</v>
      </c>
      <c r="Y41" s="178">
        <f t="shared" si="5"/>
        <v>0</v>
      </c>
      <c r="Z41" s="265"/>
      <c r="AA41" s="210">
        <f>L41</f>
        <v>0</v>
      </c>
      <c r="AB41" s="39">
        <f t="shared" si="28"/>
        <v>0</v>
      </c>
      <c r="AC41" s="106">
        <f t="shared" si="29"/>
        <v>0</v>
      </c>
      <c r="AD41" s="178">
        <f t="shared" si="22"/>
        <v>0</v>
      </c>
      <c r="AE41" s="79"/>
      <c r="AF41" s="210">
        <f t="shared" si="30"/>
        <v>0</v>
      </c>
      <c r="AG41" s="210">
        <f t="shared" si="30"/>
        <v>0</v>
      </c>
      <c r="AH41" s="210">
        <f t="shared" si="31"/>
        <v>0</v>
      </c>
      <c r="AI41" s="178">
        <f t="shared" si="32"/>
        <v>0</v>
      </c>
      <c r="AJ41" s="79"/>
    </row>
    <row r="42" spans="1:37" ht="67.2" customHeight="1" outlineLevel="2" x14ac:dyDescent="0.25">
      <c r="A42" s="4015"/>
      <c r="B42" s="19" t="s">
        <v>28</v>
      </c>
      <c r="C42" s="113"/>
      <c r="D42" s="119"/>
      <c r="E42" s="120">
        <f t="shared" si="23"/>
        <v>0</v>
      </c>
      <c r="F42" s="178">
        <f t="shared" si="20"/>
        <v>0</v>
      </c>
      <c r="G42" s="78"/>
      <c r="H42" s="103"/>
      <c r="I42" s="41">
        <f t="shared" si="24"/>
        <v>0</v>
      </c>
      <c r="J42" s="178">
        <f t="shared" si="19"/>
        <v>0</v>
      </c>
      <c r="K42" s="265"/>
      <c r="L42" s="78"/>
      <c r="M42" s="103"/>
      <c r="N42" s="41">
        <f t="shared" si="25"/>
        <v>0</v>
      </c>
      <c r="O42" s="178">
        <f t="shared" si="3"/>
        <v>0</v>
      </c>
      <c r="P42" s="265"/>
      <c r="Q42" s="78"/>
      <c r="R42" s="103"/>
      <c r="S42" s="41">
        <f t="shared" si="26"/>
        <v>0</v>
      </c>
      <c r="T42" s="178">
        <f t="shared" si="21"/>
        <v>0</v>
      </c>
      <c r="U42" s="265"/>
      <c r="V42" s="78"/>
      <c r="W42" s="103"/>
      <c r="X42" s="41">
        <f t="shared" si="27"/>
        <v>0</v>
      </c>
      <c r="Y42" s="178">
        <f t="shared" si="5"/>
        <v>0</v>
      </c>
      <c r="Z42" s="265"/>
      <c r="AA42" s="210">
        <f>L42</f>
        <v>0</v>
      </c>
      <c r="AB42" s="39">
        <f t="shared" si="28"/>
        <v>0</v>
      </c>
      <c r="AC42" s="106">
        <f t="shared" si="29"/>
        <v>0</v>
      </c>
      <c r="AD42" s="178">
        <f t="shared" si="22"/>
        <v>0</v>
      </c>
      <c r="AE42" s="79"/>
      <c r="AF42" s="210">
        <f t="shared" si="30"/>
        <v>0</v>
      </c>
      <c r="AG42" s="210">
        <f t="shared" si="30"/>
        <v>0</v>
      </c>
      <c r="AH42" s="210">
        <f t="shared" si="31"/>
        <v>0</v>
      </c>
      <c r="AI42" s="178">
        <f t="shared" si="32"/>
        <v>0</v>
      </c>
      <c r="AJ42" s="79"/>
    </row>
    <row r="43" spans="1:37" ht="13.8" outlineLevel="2" x14ac:dyDescent="0.25">
      <c r="A43" s="4015"/>
      <c r="B43" s="18" t="s">
        <v>8</v>
      </c>
      <c r="C43" s="113"/>
      <c r="D43" s="119">
        <v>2000</v>
      </c>
      <c r="E43" s="120">
        <f t="shared" si="23"/>
        <v>2000</v>
      </c>
      <c r="F43" s="178">
        <f t="shared" si="20"/>
        <v>5.9486648073123368E-4</v>
      </c>
      <c r="G43" s="78"/>
      <c r="H43" s="103"/>
      <c r="I43" s="41">
        <f t="shared" si="24"/>
        <v>0</v>
      </c>
      <c r="J43" s="178">
        <f t="shared" si="19"/>
        <v>0</v>
      </c>
      <c r="K43" s="265"/>
      <c r="L43" s="78"/>
      <c r="M43" s="103"/>
      <c r="N43" s="41">
        <f t="shared" si="25"/>
        <v>0</v>
      </c>
      <c r="O43" s="178">
        <f t="shared" si="3"/>
        <v>0</v>
      </c>
      <c r="P43" s="265"/>
      <c r="Q43" s="78"/>
      <c r="R43" s="103"/>
      <c r="S43" s="41">
        <f t="shared" si="26"/>
        <v>0</v>
      </c>
      <c r="T43" s="178">
        <f t="shared" si="21"/>
        <v>0</v>
      </c>
      <c r="U43" s="265"/>
      <c r="V43" s="78"/>
      <c r="W43" s="103"/>
      <c r="X43" s="41">
        <f t="shared" si="27"/>
        <v>0</v>
      </c>
      <c r="Y43" s="178">
        <f t="shared" si="5"/>
        <v>0</v>
      </c>
      <c r="Z43" s="265"/>
      <c r="AA43" s="210">
        <f>L43</f>
        <v>0</v>
      </c>
      <c r="AB43" s="39">
        <f t="shared" si="28"/>
        <v>0</v>
      </c>
      <c r="AC43" s="106">
        <f t="shared" si="29"/>
        <v>0</v>
      </c>
      <c r="AD43" s="178">
        <f t="shared" si="22"/>
        <v>0</v>
      </c>
      <c r="AE43" s="79"/>
      <c r="AF43" s="210">
        <f t="shared" si="30"/>
        <v>0</v>
      </c>
      <c r="AG43" s="210">
        <f t="shared" si="30"/>
        <v>2000</v>
      </c>
      <c r="AH43" s="210">
        <f t="shared" si="31"/>
        <v>2000</v>
      </c>
      <c r="AI43" s="178">
        <f t="shared" si="32"/>
        <v>5.9486648073123368E-4</v>
      </c>
      <c r="AJ43" s="79"/>
    </row>
    <row r="44" spans="1:37" ht="13.8" outlineLevel="2" x14ac:dyDescent="0.25">
      <c r="A44" s="4015"/>
      <c r="B44" s="18" t="s">
        <v>29</v>
      </c>
      <c r="C44" s="113"/>
      <c r="D44" s="119"/>
      <c r="E44" s="120">
        <f t="shared" si="23"/>
        <v>0</v>
      </c>
      <c r="F44" s="178">
        <f t="shared" si="20"/>
        <v>0</v>
      </c>
      <c r="G44" s="78"/>
      <c r="H44" s="103"/>
      <c r="I44" s="41">
        <f t="shared" si="24"/>
        <v>0</v>
      </c>
      <c r="J44" s="178">
        <f t="shared" si="19"/>
        <v>0</v>
      </c>
      <c r="K44" s="265"/>
      <c r="L44" s="78"/>
      <c r="M44" s="103"/>
      <c r="N44" s="41">
        <f t="shared" si="25"/>
        <v>0</v>
      </c>
      <c r="O44" s="178">
        <f t="shared" si="3"/>
        <v>0</v>
      </c>
      <c r="P44" s="265"/>
      <c r="Q44" s="78"/>
      <c r="R44" s="103"/>
      <c r="S44" s="41">
        <f t="shared" si="26"/>
        <v>0</v>
      </c>
      <c r="T44" s="178">
        <f t="shared" si="21"/>
        <v>0</v>
      </c>
      <c r="U44" s="265"/>
      <c r="V44" s="78"/>
      <c r="W44" s="103"/>
      <c r="X44" s="41">
        <f t="shared" si="27"/>
        <v>0</v>
      </c>
      <c r="Y44" s="178">
        <f t="shared" si="5"/>
        <v>0</v>
      </c>
      <c r="Z44" s="265"/>
      <c r="AA44" s="210">
        <f>L44</f>
        <v>0</v>
      </c>
      <c r="AB44" s="39">
        <f t="shared" si="28"/>
        <v>0</v>
      </c>
      <c r="AC44" s="106">
        <f t="shared" si="29"/>
        <v>0</v>
      </c>
      <c r="AD44" s="178">
        <f t="shared" si="22"/>
        <v>0</v>
      </c>
      <c r="AE44" s="79"/>
      <c r="AF44" s="210">
        <f t="shared" si="30"/>
        <v>0</v>
      </c>
      <c r="AG44" s="210">
        <f t="shared" si="30"/>
        <v>0</v>
      </c>
      <c r="AH44" s="210">
        <f t="shared" si="31"/>
        <v>0</v>
      </c>
      <c r="AI44" s="178">
        <f t="shared" si="32"/>
        <v>0</v>
      </c>
      <c r="AJ44" s="79"/>
    </row>
    <row r="45" spans="1:37" ht="13.8" outlineLevel="2" x14ac:dyDescent="0.25">
      <c r="A45" s="4015"/>
      <c r="B45" s="18" t="s">
        <v>30</v>
      </c>
      <c r="C45" s="113"/>
      <c r="D45" s="119">
        <v>1000</v>
      </c>
      <c r="E45" s="120">
        <f t="shared" si="23"/>
        <v>1000</v>
      </c>
      <c r="F45" s="178">
        <f t="shared" si="20"/>
        <v>2.9743324036561684E-4</v>
      </c>
      <c r="G45" s="78"/>
      <c r="H45" s="103"/>
      <c r="I45" s="41">
        <f t="shared" si="24"/>
        <v>0</v>
      </c>
      <c r="J45" s="178">
        <f t="shared" si="19"/>
        <v>0</v>
      </c>
      <c r="K45" s="265"/>
      <c r="L45" s="78"/>
      <c r="M45" s="103"/>
      <c r="N45" s="41">
        <f t="shared" si="25"/>
        <v>0</v>
      </c>
      <c r="O45" s="178">
        <f t="shared" si="3"/>
        <v>0</v>
      </c>
      <c r="P45" s="265"/>
      <c r="Q45" s="78"/>
      <c r="R45" s="103"/>
      <c r="S45" s="41">
        <f t="shared" si="26"/>
        <v>0</v>
      </c>
      <c r="T45" s="178">
        <f t="shared" si="21"/>
        <v>0</v>
      </c>
      <c r="U45" s="265"/>
      <c r="V45" s="78"/>
      <c r="W45" s="103"/>
      <c r="X45" s="41">
        <f t="shared" si="27"/>
        <v>0</v>
      </c>
      <c r="Y45" s="178">
        <f t="shared" si="5"/>
        <v>0</v>
      </c>
      <c r="Z45" s="265"/>
      <c r="AA45" s="39">
        <f>L45+Q45+V45+G45</f>
        <v>0</v>
      </c>
      <c r="AB45" s="39">
        <f t="shared" si="28"/>
        <v>0</v>
      </c>
      <c r="AC45" s="106">
        <f t="shared" si="29"/>
        <v>0</v>
      </c>
      <c r="AD45" s="178">
        <f t="shared" si="22"/>
        <v>0</v>
      </c>
      <c r="AE45" s="79"/>
      <c r="AF45" s="210">
        <f t="shared" si="30"/>
        <v>0</v>
      </c>
      <c r="AG45" s="210">
        <f t="shared" si="30"/>
        <v>1000</v>
      </c>
      <c r="AH45" s="210">
        <f t="shared" si="31"/>
        <v>1000</v>
      </c>
      <c r="AI45" s="178">
        <f t="shared" si="32"/>
        <v>2.9743324036561684E-4</v>
      </c>
      <c r="AJ45" s="79"/>
    </row>
    <row r="46" spans="1:37" ht="13.8" outlineLevel="2" x14ac:dyDescent="0.25">
      <c r="A46" s="4015"/>
      <c r="B46" s="18" t="s">
        <v>15</v>
      </c>
      <c r="C46" s="113"/>
      <c r="D46" s="119"/>
      <c r="E46" s="120">
        <f t="shared" si="23"/>
        <v>0</v>
      </c>
      <c r="F46" s="178">
        <f t="shared" si="20"/>
        <v>0</v>
      </c>
      <c r="G46" s="78"/>
      <c r="H46" s="103"/>
      <c r="I46" s="41">
        <f t="shared" si="24"/>
        <v>0</v>
      </c>
      <c r="J46" s="178">
        <f t="shared" si="19"/>
        <v>0</v>
      </c>
      <c r="K46" s="265"/>
      <c r="L46" s="78"/>
      <c r="M46" s="103"/>
      <c r="N46" s="41">
        <f t="shared" si="25"/>
        <v>0</v>
      </c>
      <c r="O46" s="178">
        <f t="shared" si="3"/>
        <v>0</v>
      </c>
      <c r="P46" s="265"/>
      <c r="Q46" s="78">
        <v>414</v>
      </c>
      <c r="R46" s="103"/>
      <c r="S46" s="41">
        <f t="shared" si="26"/>
        <v>414</v>
      </c>
      <c r="T46" s="178">
        <f t="shared" si="21"/>
        <v>1.7871074536461059E-3</v>
      </c>
      <c r="U46" s="265"/>
      <c r="V46" s="78"/>
      <c r="W46" s="103"/>
      <c r="X46" s="41">
        <f t="shared" si="27"/>
        <v>0</v>
      </c>
      <c r="Y46" s="178">
        <f t="shared" si="5"/>
        <v>0</v>
      </c>
      <c r="Z46" s="265"/>
      <c r="AA46" s="39">
        <f>L46+Q46+V46+G46</f>
        <v>414</v>
      </c>
      <c r="AB46" s="39">
        <f t="shared" si="28"/>
        <v>0</v>
      </c>
      <c r="AC46" s="106">
        <f t="shared" si="29"/>
        <v>414</v>
      </c>
      <c r="AD46" s="178">
        <f t="shared" si="22"/>
        <v>3.2515420499397077E-4</v>
      </c>
      <c r="AE46" s="79"/>
      <c r="AF46" s="210">
        <f t="shared" si="30"/>
        <v>-414</v>
      </c>
      <c r="AG46" s="210">
        <f t="shared" si="30"/>
        <v>0</v>
      </c>
      <c r="AH46" s="210">
        <f t="shared" si="31"/>
        <v>-414</v>
      </c>
      <c r="AI46" s="178">
        <f t="shared" si="32"/>
        <v>-1.2313736151136538E-4</v>
      </c>
      <c r="AJ46" s="79"/>
    </row>
    <row r="47" spans="1:37" s="2" customFormat="1" ht="14.4" outlineLevel="2" thickBot="1" x14ac:dyDescent="0.3">
      <c r="A47" s="11"/>
      <c r="B47" s="35"/>
      <c r="C47" s="116"/>
      <c r="D47" s="121"/>
      <c r="E47" s="122"/>
      <c r="F47" s="182"/>
      <c r="G47" s="222"/>
      <c r="H47" s="223"/>
      <c r="I47" s="52"/>
      <c r="J47" s="203">
        <f t="shared" si="19"/>
        <v>0</v>
      </c>
      <c r="K47" s="273"/>
      <c r="L47" s="222"/>
      <c r="M47" s="223"/>
      <c r="N47" s="52"/>
      <c r="O47" s="203">
        <f t="shared" si="3"/>
        <v>0</v>
      </c>
      <c r="P47" s="273"/>
      <c r="Q47" s="222"/>
      <c r="R47" s="223"/>
      <c r="S47" s="52"/>
      <c r="T47" s="203">
        <f>S47/$N$87</f>
        <v>0</v>
      </c>
      <c r="U47" s="273"/>
      <c r="V47" s="222"/>
      <c r="W47" s="223"/>
      <c r="X47" s="52"/>
      <c r="Y47" s="203">
        <f t="shared" si="5"/>
        <v>0</v>
      </c>
      <c r="Z47" s="273"/>
      <c r="AA47" s="39">
        <f>L47+Q47+V47+G47</f>
        <v>0</v>
      </c>
      <c r="AB47" s="39">
        <f t="shared" si="28"/>
        <v>0</v>
      </c>
      <c r="AC47" s="52"/>
      <c r="AD47" s="178">
        <f t="shared" si="22"/>
        <v>0</v>
      </c>
      <c r="AE47" s="52"/>
      <c r="AF47" s="52"/>
      <c r="AG47" s="52"/>
      <c r="AH47" s="52"/>
      <c r="AI47" s="52"/>
      <c r="AJ47" s="52"/>
    </row>
    <row r="48" spans="1:37" s="2" customFormat="1" ht="13.8" outlineLevel="1" x14ac:dyDescent="0.25">
      <c r="A48" s="229"/>
      <c r="B48" s="17" t="s">
        <v>59</v>
      </c>
      <c r="C48" s="123">
        <f>SUM(C49:C50)</f>
        <v>0</v>
      </c>
      <c r="D48" s="123">
        <f>SUM(D49:D50)</f>
        <v>0</v>
      </c>
      <c r="E48" s="123">
        <f>SUM(E49:E50)</f>
        <v>0</v>
      </c>
      <c r="F48" s="170">
        <f>E48/$E$87</f>
        <v>0</v>
      </c>
      <c r="G48" s="123">
        <f>SUM(G49:G50)</f>
        <v>0</v>
      </c>
      <c r="H48" s="123">
        <f>SUM(H49:H50)</f>
        <v>0</v>
      </c>
      <c r="I48" s="123">
        <f>SUM(I49:I50)</f>
        <v>0</v>
      </c>
      <c r="J48" s="170">
        <f t="shared" si="19"/>
        <v>0</v>
      </c>
      <c r="K48" s="274"/>
      <c r="L48" s="123">
        <f>SUM(L49:L50)</f>
        <v>0</v>
      </c>
      <c r="M48" s="123">
        <f>SUM(M49:M50)</f>
        <v>0</v>
      </c>
      <c r="N48" s="123">
        <f>SUM(N49:N50)</f>
        <v>0</v>
      </c>
      <c r="O48" s="170">
        <f t="shared" si="3"/>
        <v>0</v>
      </c>
      <c r="P48" s="274"/>
      <c r="Q48" s="123">
        <f>SUM(Q49:Q50)</f>
        <v>0</v>
      </c>
      <c r="R48" s="123">
        <f>SUM(R49:R50)</f>
        <v>0</v>
      </c>
      <c r="S48" s="123">
        <f>SUM(S49:S50)</f>
        <v>0</v>
      </c>
      <c r="T48" s="170">
        <f>S48/$N$87</f>
        <v>0</v>
      </c>
      <c r="U48" s="274"/>
      <c r="V48" s="123">
        <f>SUM(V49:V50)</f>
        <v>0</v>
      </c>
      <c r="W48" s="123">
        <f>SUM(W49:W50)</f>
        <v>0</v>
      </c>
      <c r="X48" s="123">
        <f>SUM(X49:X50)</f>
        <v>0</v>
      </c>
      <c r="Y48" s="170">
        <f t="shared" si="5"/>
        <v>0</v>
      </c>
      <c r="Z48" s="274"/>
      <c r="AA48" s="123">
        <f>AA50+AA49</f>
        <v>0</v>
      </c>
      <c r="AB48" s="123">
        <f>AB50+AB49</f>
        <v>0</v>
      </c>
      <c r="AC48" s="123">
        <f>SUM(AC49:AC50)</f>
        <v>0</v>
      </c>
      <c r="AD48" s="60"/>
      <c r="AE48" s="60"/>
      <c r="AF48" s="59">
        <f>AF50+AF49</f>
        <v>0</v>
      </c>
      <c r="AG48" s="59">
        <f>AG50+AG49</f>
        <v>0</v>
      </c>
      <c r="AH48" s="59">
        <f>SUM(AH49:AH50)</f>
        <v>0</v>
      </c>
      <c r="AI48" s="60"/>
      <c r="AJ48" s="60"/>
    </row>
    <row r="49" spans="1:38" s="226" customFormat="1" ht="13.8" outlineLevel="1" x14ac:dyDescent="0.25">
      <c r="A49" s="234"/>
      <c r="B49" s="18" t="s">
        <v>60</v>
      </c>
      <c r="C49" s="113"/>
      <c r="D49" s="119"/>
      <c r="E49" s="119">
        <f>C49+D49</f>
        <v>0</v>
      </c>
      <c r="F49" s="180">
        <f>E49/$E$87</f>
        <v>0</v>
      </c>
      <c r="G49" s="45"/>
      <c r="H49" s="45"/>
      <c r="I49" s="41">
        <f>G49+H49*1</f>
        <v>0</v>
      </c>
      <c r="J49" s="178">
        <f t="shared" si="19"/>
        <v>0</v>
      </c>
      <c r="K49" s="265"/>
      <c r="L49" s="45"/>
      <c r="M49" s="45"/>
      <c r="N49" s="41">
        <f>L49+M49*1</f>
        <v>0</v>
      </c>
      <c r="O49" s="178">
        <f t="shared" si="3"/>
        <v>0</v>
      </c>
      <c r="P49" s="265"/>
      <c r="Q49" s="45"/>
      <c r="R49" s="45"/>
      <c r="S49" s="41">
        <f>Q49+R49*1</f>
        <v>0</v>
      </c>
      <c r="T49" s="178">
        <f>S49/$N$87</f>
        <v>0</v>
      </c>
      <c r="U49" s="265"/>
      <c r="V49" s="45"/>
      <c r="W49" s="45"/>
      <c r="X49" s="41">
        <f>V49+W49*1</f>
        <v>0</v>
      </c>
      <c r="Y49" s="178">
        <f t="shared" si="5"/>
        <v>0</v>
      </c>
      <c r="Z49" s="265"/>
      <c r="AA49" s="210">
        <f>L49</f>
        <v>0</v>
      </c>
      <c r="AB49" s="39">
        <f>M49+R49+W49+H49</f>
        <v>0</v>
      </c>
      <c r="AC49" s="106">
        <f>AA49+AB49*1</f>
        <v>0</v>
      </c>
      <c r="AD49" s="178">
        <f>AC49/$AC$87</f>
        <v>0</v>
      </c>
      <c r="AE49" s="45"/>
      <c r="AF49" s="210">
        <f>C49-AA49</f>
        <v>0</v>
      </c>
      <c r="AG49" s="210">
        <f>D49-AB49</f>
        <v>0</v>
      </c>
      <c r="AH49" s="210">
        <f>AF49+AG49*1</f>
        <v>0</v>
      </c>
      <c r="AI49" s="178">
        <f>AH49/$E$87</f>
        <v>0</v>
      </c>
      <c r="AJ49" s="45"/>
    </row>
    <row r="50" spans="1:38" s="235" customFormat="1" ht="13.8" hidden="1" outlineLevel="2" x14ac:dyDescent="0.25">
      <c r="A50" s="234"/>
      <c r="B50" s="18" t="s">
        <v>61</v>
      </c>
      <c r="C50" s="113"/>
      <c r="D50" s="119"/>
      <c r="E50" s="119">
        <f>C50+D50</f>
        <v>0</v>
      </c>
      <c r="F50" s="180">
        <f>E50/$E$87</f>
        <v>0</v>
      </c>
      <c r="G50" s="45"/>
      <c r="H50" s="224"/>
      <c r="I50" s="41">
        <f>G50+H50*1</f>
        <v>0</v>
      </c>
      <c r="J50" s="178">
        <f t="shared" si="19"/>
        <v>0</v>
      </c>
      <c r="K50" s="265"/>
      <c r="L50" s="45"/>
      <c r="M50" s="224"/>
      <c r="N50" s="41">
        <f>L50+M50*1</f>
        <v>0</v>
      </c>
      <c r="O50" s="178">
        <f t="shared" si="3"/>
        <v>0</v>
      </c>
      <c r="P50" s="265"/>
      <c r="Q50" s="45"/>
      <c r="R50" s="224"/>
      <c r="S50" s="41">
        <f>Q50+R50*1</f>
        <v>0</v>
      </c>
      <c r="T50" s="178">
        <f>S50/$N$87</f>
        <v>0</v>
      </c>
      <c r="U50" s="265"/>
      <c r="V50" s="45"/>
      <c r="W50" s="224"/>
      <c r="X50" s="41">
        <f>V50+W50*1</f>
        <v>0</v>
      </c>
      <c r="Y50" s="178">
        <f t="shared" si="5"/>
        <v>0</v>
      </c>
      <c r="Z50" s="265"/>
      <c r="AA50" s="210">
        <f>L50</f>
        <v>0</v>
      </c>
      <c r="AB50" s="210">
        <f>M50</f>
        <v>0</v>
      </c>
      <c r="AC50" s="106">
        <f>AA50+AB50*1</f>
        <v>0</v>
      </c>
      <c r="AD50" s="178">
        <f>AC50/$AC$87</f>
        <v>0</v>
      </c>
      <c r="AE50" s="45"/>
      <c r="AF50" s="210">
        <f>C50-AA50</f>
        <v>0</v>
      </c>
      <c r="AG50" s="210">
        <f>D50-AB50</f>
        <v>0</v>
      </c>
      <c r="AH50" s="210">
        <f>AF50+AG50*1</f>
        <v>0</v>
      </c>
      <c r="AI50" s="178">
        <f>AH50/$E$87</f>
        <v>0</v>
      </c>
      <c r="AJ50" s="45"/>
    </row>
    <row r="51" spans="1:38" ht="14.4" outlineLevel="1" collapsed="1" thickBot="1" x14ac:dyDescent="0.3">
      <c r="A51" s="20"/>
      <c r="B51" s="21"/>
      <c r="C51" s="124"/>
      <c r="D51" s="125"/>
      <c r="E51" s="126"/>
      <c r="F51" s="183"/>
      <c r="G51" s="81"/>
      <c r="H51" s="81"/>
      <c r="I51" s="81"/>
      <c r="J51" s="204">
        <f t="shared" si="19"/>
        <v>0</v>
      </c>
      <c r="K51" s="275"/>
      <c r="L51" s="81"/>
      <c r="M51" s="81"/>
      <c r="N51" s="81"/>
      <c r="O51" s="204">
        <f t="shared" si="3"/>
        <v>0</v>
      </c>
      <c r="P51" s="275"/>
      <c r="Q51" s="81"/>
      <c r="R51" s="81"/>
      <c r="S51" s="81"/>
      <c r="T51" s="204">
        <f>S51/$N$87</f>
        <v>0</v>
      </c>
      <c r="U51" s="275"/>
      <c r="V51" s="81"/>
      <c r="W51" s="81"/>
      <c r="X51" s="81"/>
      <c r="Y51" s="204">
        <f t="shared" si="5"/>
        <v>0</v>
      </c>
      <c r="Z51" s="275"/>
      <c r="AA51" s="210"/>
      <c r="AB51" s="210"/>
      <c r="AC51" s="61"/>
      <c r="AD51" s="61"/>
      <c r="AE51" s="61"/>
      <c r="AF51" s="61"/>
      <c r="AG51" s="61"/>
      <c r="AH51" s="61"/>
      <c r="AI51" s="61"/>
      <c r="AJ51" s="61"/>
    </row>
    <row r="52" spans="1:38" ht="13.8" outlineLevel="1" x14ac:dyDescent="0.25">
      <c r="A52" s="236"/>
      <c r="B52" s="17" t="s">
        <v>1</v>
      </c>
      <c r="C52" s="123">
        <f>SUM(C53:C69)</f>
        <v>26643</v>
      </c>
      <c r="D52" s="123">
        <f>SUM(D53:D69)</f>
        <v>113495</v>
      </c>
      <c r="E52" s="127">
        <f>SUM(E53:E69)</f>
        <v>140138</v>
      </c>
      <c r="F52" s="170">
        <f>E52/$E$87</f>
        <v>4.1681699438356812E-2</v>
      </c>
      <c r="G52" s="123">
        <f>SUM(G53:G69)</f>
        <v>910</v>
      </c>
      <c r="H52" s="123">
        <f>SUM(H53:H69)</f>
        <v>3035</v>
      </c>
      <c r="I52" s="127">
        <f>SUM(I53:I69)</f>
        <v>3945</v>
      </c>
      <c r="J52" s="170">
        <f t="shared" si="19"/>
        <v>9.2448335713286017E-3</v>
      </c>
      <c r="K52" s="274"/>
      <c r="L52" s="123">
        <f>SUM(L53:L69)</f>
        <v>12007.36</v>
      </c>
      <c r="M52" s="123">
        <f>SUM(M53:M69)</f>
        <v>48303.8</v>
      </c>
      <c r="N52" s="127">
        <f>SUM(N53:N69)</f>
        <v>60311.16</v>
      </c>
      <c r="O52" s="170">
        <f t="shared" si="3"/>
        <v>0.14133501563847167</v>
      </c>
      <c r="P52" s="274"/>
      <c r="Q52" s="123">
        <f>SUM(Q53:Q69)</f>
        <v>20856.41</v>
      </c>
      <c r="R52" s="123">
        <f>SUM(R53:R69)</f>
        <v>35617.46</v>
      </c>
      <c r="S52" s="127">
        <f>SUM(S53:S69)</f>
        <v>56473.87</v>
      </c>
      <c r="T52" s="170">
        <f t="shared" ref="T52:T65" si="33">S52/$S$87</f>
        <v>0.24377988892087249</v>
      </c>
      <c r="U52" s="274"/>
      <c r="V52" s="123">
        <f>SUM(V53:V69)</f>
        <v>10842.32</v>
      </c>
      <c r="W52" s="123">
        <f>SUM(W53:W69)</f>
        <v>46703.54</v>
      </c>
      <c r="X52" s="127">
        <f>SUM(X53:X69)</f>
        <v>57545.86</v>
      </c>
      <c r="Y52" s="170">
        <f t="shared" si="5"/>
        <v>9.4229886674303792E-2</v>
      </c>
      <c r="Z52" s="274"/>
      <c r="AA52" s="123">
        <f>SUM(AA53:AA69)</f>
        <v>44616.09</v>
      </c>
      <c r="AB52" s="123">
        <f>SUM(AB53:AB69)</f>
        <v>133659.79999999999</v>
      </c>
      <c r="AC52" s="127">
        <f>SUM(AC53:AC69)</f>
        <v>178275.89</v>
      </c>
      <c r="AD52" s="169">
        <f t="shared" ref="AD52:AD60" si="34">AC52/$AC$87</f>
        <v>0.14001728329116567</v>
      </c>
      <c r="AE52" s="60"/>
      <c r="AF52" s="123">
        <f>SUM(AF53:AF69)</f>
        <v>-17973.09</v>
      </c>
      <c r="AG52" s="123">
        <f>SUM(AG53:AG69)</f>
        <v>-20164.800000000003</v>
      </c>
      <c r="AH52" s="127">
        <f>SUM(AH53:AH69)</f>
        <v>-38137.89</v>
      </c>
      <c r="AI52" s="170">
        <f t="shared" ref="AI52:AI66" si="35">AH52/$AH$87</f>
        <v>-1.5820402486788981E-2</v>
      </c>
      <c r="AJ52" s="60"/>
    </row>
    <row r="53" spans="1:38" ht="13.95" customHeight="1" outlineLevel="2" x14ac:dyDescent="0.25">
      <c r="A53" s="237"/>
      <c r="B53" s="19" t="s">
        <v>77</v>
      </c>
      <c r="C53" s="113">
        <v>5555</v>
      </c>
      <c r="D53" s="128">
        <v>28112</v>
      </c>
      <c r="E53" s="120">
        <f t="shared" ref="E53:E69" si="36">C53+D53</f>
        <v>33667</v>
      </c>
      <c r="F53" s="178">
        <f>E53/$E$87</f>
        <v>1.0013684903389221E-2</v>
      </c>
      <c r="G53" s="78"/>
      <c r="H53" s="161"/>
      <c r="I53" s="41">
        <f t="shared" ref="I53:I69" si="37">G53+H53*1</f>
        <v>0</v>
      </c>
      <c r="J53" s="178">
        <f t="shared" si="19"/>
        <v>0</v>
      </c>
      <c r="K53" s="291"/>
      <c r="L53" s="78"/>
      <c r="M53" s="161"/>
      <c r="N53" s="41">
        <f t="shared" ref="N53:N69" si="38">L53+M53*1</f>
        <v>0</v>
      </c>
      <c r="O53" s="178">
        <f t="shared" si="3"/>
        <v>0</v>
      </c>
      <c r="P53" s="291"/>
      <c r="Q53" s="78"/>
      <c r="R53" s="161"/>
      <c r="S53" s="41">
        <f t="shared" ref="S53:S69" si="39">Q53+R53*1</f>
        <v>0</v>
      </c>
      <c r="T53" s="178">
        <f t="shared" si="33"/>
        <v>0</v>
      </c>
      <c r="U53" s="291"/>
      <c r="V53" s="78"/>
      <c r="W53" s="161"/>
      <c r="X53" s="41">
        <f t="shared" ref="X53:X69" si="40">V53+W53*1</f>
        <v>0</v>
      </c>
      <c r="Y53" s="178">
        <f t="shared" si="5"/>
        <v>0</v>
      </c>
      <c r="Z53" s="291"/>
      <c r="AA53" s="210">
        <f>L53</f>
        <v>0</v>
      </c>
      <c r="AB53" s="39">
        <f t="shared" ref="AB53:AB70" si="41">M53+R53+W53+H53</f>
        <v>0</v>
      </c>
      <c r="AC53" s="106">
        <f t="shared" ref="AC53:AC69" si="42">AA53+AB53*1</f>
        <v>0</v>
      </c>
      <c r="AD53" s="178">
        <f t="shared" si="34"/>
        <v>0</v>
      </c>
      <c r="AE53" s="79"/>
      <c r="AF53" s="210">
        <f t="shared" ref="AF53:AF72" si="43">C53-AA53</f>
        <v>5555</v>
      </c>
      <c r="AG53" s="210">
        <f t="shared" ref="AG53:AG72" si="44">D53-AB53</f>
        <v>28112</v>
      </c>
      <c r="AH53" s="210">
        <f t="shared" ref="AH53:AH69" si="45">AF53+AG53*1</f>
        <v>33667</v>
      </c>
      <c r="AI53" s="178">
        <f t="shared" si="35"/>
        <v>1.3965782861157882E-2</v>
      </c>
      <c r="AJ53" s="79"/>
    </row>
    <row r="54" spans="1:38" ht="13.95" customHeight="1" outlineLevel="2" x14ac:dyDescent="0.25">
      <c r="A54" s="237"/>
      <c r="B54" s="19" t="s">
        <v>76</v>
      </c>
      <c r="C54" s="113">
        <v>1518</v>
      </c>
      <c r="D54" s="128"/>
      <c r="E54" s="120">
        <f t="shared" si="36"/>
        <v>1518</v>
      </c>
      <c r="F54" s="178">
        <f t="shared" ref="F54:F62" si="46">E54/$E$87</f>
        <v>4.5150365887500638E-4</v>
      </c>
      <c r="G54" s="163"/>
      <c r="H54" s="111"/>
      <c r="I54" s="41">
        <f t="shared" si="37"/>
        <v>0</v>
      </c>
      <c r="J54" s="178">
        <f t="shared" si="19"/>
        <v>0</v>
      </c>
      <c r="K54" s="291"/>
      <c r="L54" s="163"/>
      <c r="M54" s="111"/>
      <c r="N54" s="41">
        <f t="shared" si="38"/>
        <v>0</v>
      </c>
      <c r="O54" s="178">
        <f t="shared" si="3"/>
        <v>0</v>
      </c>
      <c r="P54" s="291"/>
      <c r="Q54" s="163"/>
      <c r="R54" s="111"/>
      <c r="S54" s="41">
        <f t="shared" si="39"/>
        <v>0</v>
      </c>
      <c r="T54" s="178">
        <f t="shared" si="33"/>
        <v>0</v>
      </c>
      <c r="U54" s="291"/>
      <c r="V54" s="163"/>
      <c r="W54" s="111"/>
      <c r="X54" s="41">
        <f t="shared" si="40"/>
        <v>0</v>
      </c>
      <c r="Y54" s="178">
        <f t="shared" si="5"/>
        <v>0</v>
      </c>
      <c r="Z54" s="291"/>
      <c r="AA54" s="210">
        <f>L54</f>
        <v>0</v>
      </c>
      <c r="AB54" s="39">
        <f t="shared" si="41"/>
        <v>0</v>
      </c>
      <c r="AC54" s="106">
        <f t="shared" si="42"/>
        <v>0</v>
      </c>
      <c r="AD54" s="178">
        <f t="shared" si="34"/>
        <v>0</v>
      </c>
      <c r="AE54" s="79"/>
      <c r="AF54" s="210">
        <f t="shared" si="43"/>
        <v>1518</v>
      </c>
      <c r="AG54" s="210">
        <f t="shared" si="44"/>
        <v>0</v>
      </c>
      <c r="AH54" s="210">
        <f t="shared" si="45"/>
        <v>1518</v>
      </c>
      <c r="AI54" s="178">
        <f t="shared" si="35"/>
        <v>6.2969846981428897E-4</v>
      </c>
      <c r="AJ54" s="79"/>
    </row>
    <row r="55" spans="1:38" ht="13.95" customHeight="1" outlineLevel="2" x14ac:dyDescent="0.25">
      <c r="A55" s="237"/>
      <c r="B55" s="19" t="s">
        <v>68</v>
      </c>
      <c r="C55" s="113">
        <v>1346</v>
      </c>
      <c r="D55" s="128"/>
      <c r="E55" s="120">
        <f t="shared" si="36"/>
        <v>1346</v>
      </c>
      <c r="F55" s="178">
        <f t="shared" si="46"/>
        <v>4.0034514153212026E-4</v>
      </c>
      <c r="G55" s="163"/>
      <c r="H55" s="111"/>
      <c r="I55" s="41">
        <f t="shared" si="37"/>
        <v>0</v>
      </c>
      <c r="J55" s="178">
        <f t="shared" si="19"/>
        <v>0</v>
      </c>
      <c r="K55" s="291"/>
      <c r="L55" s="163"/>
      <c r="M55" s="111"/>
      <c r="N55" s="41">
        <f t="shared" si="38"/>
        <v>0</v>
      </c>
      <c r="O55" s="178">
        <f t="shared" si="3"/>
        <v>0</v>
      </c>
      <c r="P55" s="291"/>
      <c r="Q55" s="163"/>
      <c r="R55" s="111"/>
      <c r="S55" s="41">
        <f t="shared" si="39"/>
        <v>0</v>
      </c>
      <c r="T55" s="178">
        <f t="shared" si="33"/>
        <v>0</v>
      </c>
      <c r="U55" s="291"/>
      <c r="V55" s="163"/>
      <c r="W55" s="111"/>
      <c r="X55" s="41">
        <f t="shared" si="40"/>
        <v>0</v>
      </c>
      <c r="Y55" s="178">
        <f t="shared" si="5"/>
        <v>0</v>
      </c>
      <c r="Z55" s="291"/>
      <c r="AA55" s="210">
        <f>L55</f>
        <v>0</v>
      </c>
      <c r="AB55" s="39">
        <f t="shared" si="41"/>
        <v>0</v>
      </c>
      <c r="AC55" s="106">
        <f t="shared" si="42"/>
        <v>0</v>
      </c>
      <c r="AD55" s="178">
        <f t="shared" si="34"/>
        <v>0</v>
      </c>
      <c r="AE55" s="79"/>
      <c r="AF55" s="210">
        <f t="shared" si="43"/>
        <v>1346</v>
      </c>
      <c r="AG55" s="210">
        <f t="shared" si="44"/>
        <v>0</v>
      </c>
      <c r="AH55" s="210">
        <f t="shared" si="45"/>
        <v>1346</v>
      </c>
      <c r="AI55" s="178">
        <f t="shared" si="35"/>
        <v>5.5834923608039056E-4</v>
      </c>
      <c r="AJ55" s="79"/>
    </row>
    <row r="56" spans="1:38" ht="14.4" customHeight="1" outlineLevel="2" thickBot="1" x14ac:dyDescent="0.35">
      <c r="A56" s="237"/>
      <c r="B56" s="19" t="s">
        <v>67</v>
      </c>
      <c r="C56" s="113">
        <v>7406</v>
      </c>
      <c r="D56" s="128">
        <v>67383</v>
      </c>
      <c r="E56" s="120">
        <f t="shared" si="36"/>
        <v>74789</v>
      </c>
      <c r="F56" s="178">
        <f t="shared" si="46"/>
        <v>2.2244734613704117E-2</v>
      </c>
      <c r="G56" s="163"/>
      <c r="H56" s="112"/>
      <c r="I56" s="41">
        <f t="shared" si="37"/>
        <v>0</v>
      </c>
      <c r="J56" s="178">
        <f t="shared" si="19"/>
        <v>0</v>
      </c>
      <c r="K56" s="291"/>
      <c r="L56" s="163">
        <v>4347</v>
      </c>
      <c r="M56" s="112">
        <v>28288</v>
      </c>
      <c r="N56" s="41">
        <f t="shared" si="38"/>
        <v>32635</v>
      </c>
      <c r="O56" s="178">
        <f t="shared" si="3"/>
        <v>7.6477856425933827E-2</v>
      </c>
      <c r="P56" s="291" t="s">
        <v>88</v>
      </c>
      <c r="Q56" s="163">
        <v>10465</v>
      </c>
      <c r="R56" s="112">
        <v>22535</v>
      </c>
      <c r="S56" s="41">
        <f t="shared" si="39"/>
        <v>33000</v>
      </c>
      <c r="T56" s="178">
        <f t="shared" si="33"/>
        <v>0.14245059413121133</v>
      </c>
      <c r="U56" s="291" t="s">
        <v>114</v>
      </c>
      <c r="V56" s="163">
        <v>5232.5</v>
      </c>
      <c r="W56" s="112">
        <v>11268</v>
      </c>
      <c r="X56" s="41">
        <f t="shared" si="40"/>
        <v>16500.5</v>
      </c>
      <c r="Y56" s="178">
        <f t="shared" si="5"/>
        <v>2.7019150379703243E-2</v>
      </c>
      <c r="Z56" s="291" t="s">
        <v>150</v>
      </c>
      <c r="AA56" s="39">
        <f t="shared" ref="AA56:AA66" si="47">L56+Q56+V56+G56</f>
        <v>20044.5</v>
      </c>
      <c r="AB56" s="39">
        <f t="shared" si="41"/>
        <v>62091</v>
      </c>
      <c r="AC56" s="106">
        <f t="shared" si="42"/>
        <v>82135.5</v>
      </c>
      <c r="AD56" s="178">
        <f t="shared" si="34"/>
        <v>6.4508944937879925E-2</v>
      </c>
      <c r="AE56" s="79"/>
      <c r="AF56" s="210">
        <f t="shared" si="43"/>
        <v>-12638.5</v>
      </c>
      <c r="AG56" s="210">
        <f t="shared" si="44"/>
        <v>5292</v>
      </c>
      <c r="AH56" s="210">
        <f t="shared" si="45"/>
        <v>-7346.5</v>
      </c>
      <c r="AI56" s="178">
        <f t="shared" si="35"/>
        <v>-3.0474834048028151E-3</v>
      </c>
      <c r="AJ56" s="79"/>
      <c r="AK56" s="227"/>
      <c r="AL56"/>
    </row>
    <row r="57" spans="1:38" ht="14.4" customHeight="1" outlineLevel="2" thickBot="1" x14ac:dyDescent="0.3">
      <c r="A57" s="237"/>
      <c r="B57" s="19" t="s">
        <v>66</v>
      </c>
      <c r="C57" s="113">
        <v>2024</v>
      </c>
      <c r="D57" s="128"/>
      <c r="E57" s="120">
        <f t="shared" si="36"/>
        <v>2024</v>
      </c>
      <c r="F57" s="178">
        <f t="shared" si="46"/>
        <v>6.0200487850000847E-4</v>
      </c>
      <c r="G57" s="163"/>
      <c r="H57" s="111"/>
      <c r="I57" s="41">
        <f t="shared" si="37"/>
        <v>0</v>
      </c>
      <c r="J57" s="178">
        <f t="shared" si="19"/>
        <v>0</v>
      </c>
      <c r="K57" s="291"/>
      <c r="L57" s="163">
        <v>1053</v>
      </c>
      <c r="M57" s="111"/>
      <c r="N57" s="41">
        <f t="shared" si="38"/>
        <v>1053</v>
      </c>
      <c r="O57" s="178">
        <f t="shared" si="3"/>
        <v>2.4676323829173684E-3</v>
      </c>
      <c r="P57" s="291"/>
      <c r="Q57" s="163">
        <v>2535</v>
      </c>
      <c r="R57" s="111"/>
      <c r="S57" s="41">
        <f t="shared" si="39"/>
        <v>2535</v>
      </c>
      <c r="T57" s="178">
        <f t="shared" si="33"/>
        <v>1.0942795640079417E-2</v>
      </c>
      <c r="U57" s="291"/>
      <c r="V57" s="163">
        <v>1267.5</v>
      </c>
      <c r="W57" s="111"/>
      <c r="X57" s="41">
        <f t="shared" si="40"/>
        <v>1267.5</v>
      </c>
      <c r="Y57" s="178">
        <f t="shared" si="5"/>
        <v>2.0754991125283393E-3</v>
      </c>
      <c r="Z57" s="291"/>
      <c r="AA57" s="39">
        <f t="shared" si="47"/>
        <v>4855.5</v>
      </c>
      <c r="AB57" s="39">
        <f t="shared" si="41"/>
        <v>0</v>
      </c>
      <c r="AC57" s="106">
        <f t="shared" si="42"/>
        <v>4855.5</v>
      </c>
      <c r="AD57" s="178">
        <f t="shared" si="34"/>
        <v>3.8134933390053748E-3</v>
      </c>
      <c r="AE57" s="79"/>
      <c r="AF57" s="210">
        <f t="shared" si="43"/>
        <v>-2831.5</v>
      </c>
      <c r="AG57" s="210">
        <f t="shared" si="44"/>
        <v>0</v>
      </c>
      <c r="AH57" s="210">
        <f t="shared" si="45"/>
        <v>-2831.5</v>
      </c>
      <c r="AI57" s="178">
        <f t="shared" si="35"/>
        <v>-1.1745660192879837E-3</v>
      </c>
      <c r="AJ57" s="79"/>
      <c r="AK57" s="228"/>
      <c r="AL57" s="227"/>
    </row>
    <row r="58" spans="1:38" ht="14.4" customHeight="1" outlineLevel="2" x14ac:dyDescent="0.25">
      <c r="A58" s="237"/>
      <c r="B58" s="19" t="s">
        <v>65</v>
      </c>
      <c r="C58" s="113">
        <v>1794</v>
      </c>
      <c r="D58" s="128"/>
      <c r="E58" s="120">
        <f t="shared" si="36"/>
        <v>1794</v>
      </c>
      <c r="F58" s="178">
        <f t="shared" si="46"/>
        <v>5.3359523321591662E-4</v>
      </c>
      <c r="G58" s="163"/>
      <c r="H58" s="111"/>
      <c r="I58" s="41">
        <f t="shared" si="37"/>
        <v>0</v>
      </c>
      <c r="J58" s="178">
        <f t="shared" si="19"/>
        <v>0</v>
      </c>
      <c r="K58" s="291"/>
      <c r="L58" s="163">
        <v>1188</v>
      </c>
      <c r="M58" s="111"/>
      <c r="N58" s="41">
        <f t="shared" si="38"/>
        <v>1188</v>
      </c>
      <c r="O58" s="178">
        <f t="shared" si="3"/>
        <v>2.7839955089324154E-3</v>
      </c>
      <c r="P58" s="291"/>
      <c r="Q58" s="163">
        <v>2860</v>
      </c>
      <c r="R58" s="111"/>
      <c r="S58" s="41">
        <f t="shared" si="39"/>
        <v>2860</v>
      </c>
      <c r="T58" s="178">
        <f t="shared" si="33"/>
        <v>1.2345718158038315E-2</v>
      </c>
      <c r="U58" s="291"/>
      <c r="V58" s="163">
        <v>1430</v>
      </c>
      <c r="W58" s="111"/>
      <c r="X58" s="41">
        <f t="shared" si="40"/>
        <v>1430</v>
      </c>
      <c r="Y58" s="178">
        <f t="shared" si="5"/>
        <v>2.3415887423396649E-3</v>
      </c>
      <c r="Z58" s="291"/>
      <c r="AA58" s="39">
        <f t="shared" si="47"/>
        <v>5478</v>
      </c>
      <c r="AB58" s="39">
        <f t="shared" si="41"/>
        <v>0</v>
      </c>
      <c r="AC58" s="106">
        <f t="shared" si="42"/>
        <v>5478</v>
      </c>
      <c r="AD58" s="178">
        <f t="shared" si="34"/>
        <v>4.3024027414419611E-3</v>
      </c>
      <c r="AE58" s="79"/>
      <c r="AF58" s="210">
        <f t="shared" si="43"/>
        <v>-3684</v>
      </c>
      <c r="AG58" s="210">
        <f t="shared" si="44"/>
        <v>0</v>
      </c>
      <c r="AH58" s="210">
        <f t="shared" si="45"/>
        <v>-3684</v>
      </c>
      <c r="AI58" s="178">
        <f t="shared" si="35"/>
        <v>-1.5282010295097762E-3</v>
      </c>
      <c r="AJ58" s="79"/>
    </row>
    <row r="59" spans="1:38" ht="13.95" customHeight="1" outlineLevel="2" x14ac:dyDescent="0.25">
      <c r="A59" s="237"/>
      <c r="B59" s="19" t="s">
        <v>32</v>
      </c>
      <c r="C59" s="113"/>
      <c r="D59" s="128"/>
      <c r="E59" s="120">
        <f t="shared" si="36"/>
        <v>0</v>
      </c>
      <c r="F59" s="178">
        <f t="shared" si="46"/>
        <v>0</v>
      </c>
      <c r="G59" s="78"/>
      <c r="H59" s="161"/>
      <c r="I59" s="41">
        <f t="shared" si="37"/>
        <v>0</v>
      </c>
      <c r="J59" s="178">
        <f t="shared" si="19"/>
        <v>0</v>
      </c>
      <c r="K59" s="291"/>
      <c r="L59" s="78"/>
      <c r="M59" s="161"/>
      <c r="N59" s="41">
        <f t="shared" si="38"/>
        <v>0</v>
      </c>
      <c r="O59" s="178">
        <f t="shared" si="3"/>
        <v>0</v>
      </c>
      <c r="P59" s="291"/>
      <c r="Q59" s="78"/>
      <c r="R59" s="161"/>
      <c r="S59" s="41">
        <f t="shared" si="39"/>
        <v>0</v>
      </c>
      <c r="T59" s="178">
        <f t="shared" si="33"/>
        <v>0</v>
      </c>
      <c r="U59" s="291"/>
      <c r="V59" s="78"/>
      <c r="W59" s="161"/>
      <c r="X59" s="41">
        <f t="shared" si="40"/>
        <v>0</v>
      </c>
      <c r="Y59" s="178">
        <f t="shared" si="5"/>
        <v>0</v>
      </c>
      <c r="Z59" s="291"/>
      <c r="AA59" s="39">
        <f t="shared" si="47"/>
        <v>0</v>
      </c>
      <c r="AB59" s="39">
        <f t="shared" si="41"/>
        <v>0</v>
      </c>
      <c r="AC59" s="106">
        <f t="shared" si="42"/>
        <v>0</v>
      </c>
      <c r="AD59" s="178">
        <f t="shared" si="34"/>
        <v>0</v>
      </c>
      <c r="AE59" s="79"/>
      <c r="AF59" s="210">
        <f t="shared" si="43"/>
        <v>0</v>
      </c>
      <c r="AG59" s="210">
        <f t="shared" si="44"/>
        <v>0</v>
      </c>
      <c r="AH59" s="210">
        <f t="shared" si="45"/>
        <v>0</v>
      </c>
      <c r="AI59" s="178">
        <f t="shared" si="35"/>
        <v>0</v>
      </c>
      <c r="AJ59" s="79"/>
    </row>
    <row r="60" spans="1:38" ht="30.6" customHeight="1" outlineLevel="2" x14ac:dyDescent="0.25">
      <c r="A60" s="237"/>
      <c r="B60" s="19" t="s">
        <v>33</v>
      </c>
      <c r="C60" s="129"/>
      <c r="D60" s="128"/>
      <c r="E60" s="120">
        <f t="shared" si="36"/>
        <v>0</v>
      </c>
      <c r="F60" s="178">
        <f t="shared" si="46"/>
        <v>0</v>
      </c>
      <c r="G60" s="78"/>
      <c r="H60" s="161"/>
      <c r="I60" s="41">
        <f t="shared" si="37"/>
        <v>0</v>
      </c>
      <c r="J60" s="178">
        <f t="shared" si="19"/>
        <v>0</v>
      </c>
      <c r="K60" s="291"/>
      <c r="L60" s="78"/>
      <c r="M60" s="161"/>
      <c r="N60" s="41">
        <f t="shared" si="38"/>
        <v>0</v>
      </c>
      <c r="O60" s="178">
        <f t="shared" si="3"/>
        <v>0</v>
      </c>
      <c r="P60" s="291"/>
      <c r="Q60" s="78"/>
      <c r="R60" s="161"/>
      <c r="S60" s="41">
        <f t="shared" si="39"/>
        <v>0</v>
      </c>
      <c r="T60" s="178">
        <f t="shared" si="33"/>
        <v>0</v>
      </c>
      <c r="U60" s="291"/>
      <c r="V60" s="78"/>
      <c r="W60" s="161"/>
      <c r="X60" s="41">
        <f t="shared" si="40"/>
        <v>0</v>
      </c>
      <c r="Y60" s="178">
        <f t="shared" si="5"/>
        <v>0</v>
      </c>
      <c r="Z60" s="291"/>
      <c r="AA60" s="39">
        <f t="shared" si="47"/>
        <v>0</v>
      </c>
      <c r="AB60" s="39">
        <f t="shared" si="41"/>
        <v>0</v>
      </c>
      <c r="AC60" s="106">
        <f t="shared" si="42"/>
        <v>0</v>
      </c>
      <c r="AD60" s="178">
        <f t="shared" si="34"/>
        <v>0</v>
      </c>
      <c r="AE60" s="79"/>
      <c r="AF60" s="210">
        <f t="shared" si="43"/>
        <v>0</v>
      </c>
      <c r="AG60" s="210">
        <f t="shared" si="44"/>
        <v>0</v>
      </c>
      <c r="AH60" s="210">
        <f t="shared" si="45"/>
        <v>0</v>
      </c>
      <c r="AI60" s="178">
        <f t="shared" si="35"/>
        <v>0</v>
      </c>
      <c r="AJ60" s="79"/>
    </row>
    <row r="61" spans="1:38" ht="31.95" customHeight="1" outlineLevel="2" x14ac:dyDescent="0.25">
      <c r="A61" s="237"/>
      <c r="B61" s="19" t="s">
        <v>35</v>
      </c>
      <c r="C61" s="129">
        <v>7000</v>
      </c>
      <c r="D61" s="128"/>
      <c r="E61" s="120">
        <f t="shared" si="36"/>
        <v>7000</v>
      </c>
      <c r="F61" s="178">
        <f t="shared" si="46"/>
        <v>2.0820326825593178E-3</v>
      </c>
      <c r="G61" s="78"/>
      <c r="H61" s="161"/>
      <c r="I61" s="41">
        <f t="shared" si="37"/>
        <v>0</v>
      </c>
      <c r="J61" s="178">
        <f t="shared" si="19"/>
        <v>0</v>
      </c>
      <c r="K61" s="291"/>
      <c r="L61" s="78">
        <v>5419.36</v>
      </c>
      <c r="M61" s="161">
        <v>412.8</v>
      </c>
      <c r="N61" s="41">
        <f t="shared" si="38"/>
        <v>5832.16</v>
      </c>
      <c r="O61" s="178">
        <f t="shared" si="3"/>
        <v>1.3667261992740131E-2</v>
      </c>
      <c r="P61" s="291" t="s">
        <v>91</v>
      </c>
      <c r="Q61" s="78">
        <v>4996.41</v>
      </c>
      <c r="R61" s="161"/>
      <c r="S61" s="41">
        <f t="shared" si="39"/>
        <v>4996.41</v>
      </c>
      <c r="T61" s="178">
        <f t="shared" si="33"/>
        <v>2.1567926455246231E-2</v>
      </c>
      <c r="U61" s="291" t="s">
        <v>88</v>
      </c>
      <c r="V61" s="78">
        <v>2912.32</v>
      </c>
      <c r="W61" s="161"/>
      <c r="X61" s="41">
        <f t="shared" si="40"/>
        <v>2912.32</v>
      </c>
      <c r="Y61" s="178">
        <f t="shared" si="5"/>
        <v>4.7688501581053516E-3</v>
      </c>
      <c r="Z61" s="291" t="s">
        <v>151</v>
      </c>
      <c r="AA61" s="39">
        <f t="shared" si="47"/>
        <v>13328.09</v>
      </c>
      <c r="AB61" s="39">
        <f t="shared" si="41"/>
        <v>412.8</v>
      </c>
      <c r="AC61" s="106">
        <f t="shared" si="42"/>
        <v>13740.89</v>
      </c>
      <c r="AD61" s="178">
        <f t="shared" ref="AD61:AD70" si="48">AC61/$AC$87</f>
        <v>1.0792048704974886E-2</v>
      </c>
      <c r="AE61" s="79"/>
      <c r="AF61" s="210">
        <f t="shared" si="43"/>
        <v>-6328.09</v>
      </c>
      <c r="AG61" s="210">
        <f t="shared" si="44"/>
        <v>-412.8</v>
      </c>
      <c r="AH61" s="210">
        <f t="shared" si="45"/>
        <v>-6740.89</v>
      </c>
      <c r="AI61" s="178">
        <f t="shared" si="35"/>
        <v>-2.796263582468012E-3</v>
      </c>
      <c r="AJ61" s="79"/>
    </row>
    <row r="62" spans="1:38" ht="31.2" customHeight="1" outlineLevel="2" x14ac:dyDescent="0.25">
      <c r="A62" s="237"/>
      <c r="B62" s="19" t="s">
        <v>63</v>
      </c>
      <c r="C62" s="129"/>
      <c r="D62" s="128"/>
      <c r="E62" s="120">
        <f t="shared" si="36"/>
        <v>0</v>
      </c>
      <c r="F62" s="178">
        <f t="shared" si="46"/>
        <v>0</v>
      </c>
      <c r="G62" s="78"/>
      <c r="H62" s="161"/>
      <c r="I62" s="41">
        <f t="shared" si="37"/>
        <v>0</v>
      </c>
      <c r="J62" s="178">
        <f t="shared" si="19"/>
        <v>0</v>
      </c>
      <c r="K62" s="291"/>
      <c r="L62" s="78"/>
      <c r="M62" s="161"/>
      <c r="N62" s="41">
        <f t="shared" si="38"/>
        <v>0</v>
      </c>
      <c r="O62" s="178">
        <f t="shared" si="3"/>
        <v>0</v>
      </c>
      <c r="P62" s="291"/>
      <c r="Q62" s="78"/>
      <c r="R62" s="161"/>
      <c r="S62" s="41">
        <f t="shared" si="39"/>
        <v>0</v>
      </c>
      <c r="T62" s="178">
        <f t="shared" si="33"/>
        <v>0</v>
      </c>
      <c r="U62" s="291"/>
      <c r="V62" s="78"/>
      <c r="W62" s="161"/>
      <c r="X62" s="41">
        <f t="shared" si="40"/>
        <v>0</v>
      </c>
      <c r="Y62" s="178">
        <f t="shared" si="5"/>
        <v>0</v>
      </c>
      <c r="Z62" s="291"/>
      <c r="AA62" s="39">
        <f t="shared" si="47"/>
        <v>0</v>
      </c>
      <c r="AB62" s="39">
        <f t="shared" si="41"/>
        <v>0</v>
      </c>
      <c r="AC62" s="106">
        <f t="shared" si="42"/>
        <v>0</v>
      </c>
      <c r="AD62" s="178">
        <f t="shared" si="48"/>
        <v>0</v>
      </c>
      <c r="AE62" s="79"/>
      <c r="AF62" s="210">
        <f t="shared" si="43"/>
        <v>0</v>
      </c>
      <c r="AG62" s="210">
        <f t="shared" si="44"/>
        <v>0</v>
      </c>
      <c r="AH62" s="210">
        <f t="shared" si="45"/>
        <v>0</v>
      </c>
      <c r="AI62" s="178">
        <f t="shared" si="35"/>
        <v>0</v>
      </c>
      <c r="AJ62" s="79"/>
    </row>
    <row r="63" spans="1:38" ht="93" customHeight="1" outlineLevel="2" x14ac:dyDescent="0.25">
      <c r="A63" s="237"/>
      <c r="B63" s="19" t="s">
        <v>36</v>
      </c>
      <c r="C63" s="129"/>
      <c r="D63" s="128">
        <v>18000</v>
      </c>
      <c r="E63" s="120">
        <f t="shared" si="36"/>
        <v>18000</v>
      </c>
      <c r="F63" s="178">
        <f t="shared" ref="F63:F69" si="49">E63/$E$87</f>
        <v>5.3537983265811032E-3</v>
      </c>
      <c r="G63" s="78">
        <v>910</v>
      </c>
      <c r="H63" s="161">
        <f>1820+1205</f>
        <v>3025</v>
      </c>
      <c r="I63" s="41">
        <f t="shared" si="37"/>
        <v>3935</v>
      </c>
      <c r="J63" s="178">
        <f t="shared" si="19"/>
        <v>9.2213992656978577E-3</v>
      </c>
      <c r="K63" s="291" t="s">
        <v>152</v>
      </c>
      <c r="L63" s="78"/>
      <c r="M63" s="161">
        <f>1983+7500+4000+1250+4680+180</f>
        <v>19593</v>
      </c>
      <c r="N63" s="41">
        <f t="shared" si="38"/>
        <v>19593</v>
      </c>
      <c r="O63" s="178">
        <f t="shared" si="3"/>
        <v>4.5914835022317184E-2</v>
      </c>
      <c r="P63" s="291" t="s">
        <v>95</v>
      </c>
      <c r="Q63" s="78"/>
      <c r="R63" s="161">
        <f>3120+7500+2325</f>
        <v>12945</v>
      </c>
      <c r="S63" s="41">
        <f t="shared" si="39"/>
        <v>12945</v>
      </c>
      <c r="T63" s="178">
        <f t="shared" si="33"/>
        <v>5.5879483061470628E-2</v>
      </c>
      <c r="U63" s="291" t="s">
        <v>112</v>
      </c>
      <c r="V63" s="78"/>
      <c r="W63" s="161">
        <v>8150</v>
      </c>
      <c r="X63" s="41">
        <f t="shared" si="40"/>
        <v>8150</v>
      </c>
      <c r="Y63" s="178">
        <f t="shared" si="5"/>
        <v>1.3345418356691096E-2</v>
      </c>
      <c r="Z63" s="291"/>
      <c r="AA63" s="39">
        <f t="shared" si="47"/>
        <v>910</v>
      </c>
      <c r="AB63" s="39">
        <f t="shared" si="41"/>
        <v>43713</v>
      </c>
      <c r="AC63" s="106">
        <f t="shared" si="42"/>
        <v>44623</v>
      </c>
      <c r="AD63" s="178">
        <f t="shared" si="48"/>
        <v>3.5046753839241447E-2</v>
      </c>
      <c r="AE63" s="79"/>
      <c r="AF63" s="210">
        <f t="shared" si="43"/>
        <v>-910</v>
      </c>
      <c r="AG63" s="210">
        <f t="shared" si="44"/>
        <v>-25713</v>
      </c>
      <c r="AH63" s="210">
        <f t="shared" si="45"/>
        <v>-26623</v>
      </c>
      <c r="AI63" s="178">
        <f t="shared" si="35"/>
        <v>-1.104378284707893E-2</v>
      </c>
      <c r="AJ63" s="79"/>
    </row>
    <row r="64" spans="1:38" s="2" customFormat="1" ht="13.95" customHeight="1" outlineLevel="2" x14ac:dyDescent="0.25">
      <c r="A64" s="237"/>
      <c r="B64" s="19" t="s">
        <v>37</v>
      </c>
      <c r="C64" s="129"/>
      <c r="D64" s="128"/>
      <c r="E64" s="120">
        <f t="shared" si="36"/>
        <v>0</v>
      </c>
      <c r="F64" s="178">
        <f t="shared" si="49"/>
        <v>0</v>
      </c>
      <c r="G64" s="78"/>
      <c r="H64" s="161"/>
      <c r="I64" s="41">
        <f t="shared" si="37"/>
        <v>0</v>
      </c>
      <c r="J64" s="178">
        <f t="shared" si="19"/>
        <v>0</v>
      </c>
      <c r="K64" s="291"/>
      <c r="L64" s="78"/>
      <c r="M64" s="161"/>
      <c r="N64" s="41">
        <f t="shared" si="38"/>
        <v>0</v>
      </c>
      <c r="O64" s="178">
        <f t="shared" si="3"/>
        <v>0</v>
      </c>
      <c r="P64" s="291"/>
      <c r="Q64" s="78"/>
      <c r="R64" s="161"/>
      <c r="S64" s="41">
        <f t="shared" si="39"/>
        <v>0</v>
      </c>
      <c r="T64" s="178">
        <f t="shared" si="33"/>
        <v>0</v>
      </c>
      <c r="U64" s="291"/>
      <c r="V64" s="78"/>
      <c r="W64" s="161"/>
      <c r="X64" s="41">
        <f t="shared" si="40"/>
        <v>0</v>
      </c>
      <c r="Y64" s="178">
        <f t="shared" si="5"/>
        <v>0</v>
      </c>
      <c r="Z64" s="291"/>
      <c r="AA64" s="39">
        <f t="shared" si="47"/>
        <v>0</v>
      </c>
      <c r="AB64" s="39">
        <f t="shared" si="41"/>
        <v>0</v>
      </c>
      <c r="AC64" s="106">
        <f t="shared" si="42"/>
        <v>0</v>
      </c>
      <c r="AD64" s="178">
        <f t="shared" si="48"/>
        <v>0</v>
      </c>
      <c r="AE64" s="79"/>
      <c r="AF64" s="210">
        <f t="shared" si="43"/>
        <v>0</v>
      </c>
      <c r="AG64" s="210">
        <f t="shared" si="44"/>
        <v>0</v>
      </c>
      <c r="AH64" s="210">
        <f t="shared" si="45"/>
        <v>0</v>
      </c>
      <c r="AI64" s="178">
        <f t="shared" si="35"/>
        <v>0</v>
      </c>
      <c r="AJ64" s="79"/>
    </row>
    <row r="65" spans="1:37" s="2" customFormat="1" ht="102" customHeight="1" outlineLevel="2" x14ac:dyDescent="0.25">
      <c r="A65" s="237"/>
      <c r="B65" s="19" t="s">
        <v>3</v>
      </c>
      <c r="C65" s="129"/>
      <c r="D65" s="128"/>
      <c r="E65" s="120">
        <f t="shared" si="36"/>
        <v>0</v>
      </c>
      <c r="F65" s="178">
        <f t="shared" si="49"/>
        <v>0</v>
      </c>
      <c r="G65" s="78"/>
      <c r="H65" s="161"/>
      <c r="I65" s="41">
        <f t="shared" si="37"/>
        <v>0</v>
      </c>
      <c r="J65" s="178">
        <f t="shared" si="19"/>
        <v>0</v>
      </c>
      <c r="K65" s="291"/>
      <c r="L65" s="78"/>
      <c r="M65" s="161"/>
      <c r="N65" s="41">
        <f t="shared" si="38"/>
        <v>0</v>
      </c>
      <c r="O65" s="178">
        <f t="shared" si="3"/>
        <v>0</v>
      </c>
      <c r="P65" s="291"/>
      <c r="Q65" s="78"/>
      <c r="R65" s="161"/>
      <c r="S65" s="41">
        <f t="shared" si="39"/>
        <v>0</v>
      </c>
      <c r="T65" s="178">
        <f t="shared" si="33"/>
        <v>0</v>
      </c>
      <c r="U65" s="291"/>
      <c r="V65" s="78"/>
      <c r="W65" s="161"/>
      <c r="X65" s="41">
        <f t="shared" si="40"/>
        <v>0</v>
      </c>
      <c r="Y65" s="178">
        <f t="shared" si="5"/>
        <v>0</v>
      </c>
      <c r="Z65" s="291"/>
      <c r="AA65" s="39">
        <f t="shared" si="47"/>
        <v>0</v>
      </c>
      <c r="AB65" s="39">
        <f t="shared" si="41"/>
        <v>0</v>
      </c>
      <c r="AC65" s="106">
        <f t="shared" si="42"/>
        <v>0</v>
      </c>
      <c r="AD65" s="178">
        <f t="shared" si="48"/>
        <v>0</v>
      </c>
      <c r="AE65" s="79"/>
      <c r="AF65" s="210">
        <f t="shared" si="43"/>
        <v>0</v>
      </c>
      <c r="AG65" s="210">
        <f t="shared" si="44"/>
        <v>0</v>
      </c>
      <c r="AH65" s="210">
        <f t="shared" si="45"/>
        <v>0</v>
      </c>
      <c r="AI65" s="178">
        <f t="shared" si="35"/>
        <v>0</v>
      </c>
      <c r="AJ65" s="79"/>
    </row>
    <row r="66" spans="1:37" s="2" customFormat="1" ht="13.95" customHeight="1" outlineLevel="2" x14ac:dyDescent="0.25">
      <c r="A66" s="237"/>
      <c r="B66" s="19" t="s">
        <v>5</v>
      </c>
      <c r="C66" s="129"/>
      <c r="D66" s="128"/>
      <c r="E66" s="120">
        <f t="shared" si="36"/>
        <v>0</v>
      </c>
      <c r="F66" s="178">
        <f t="shared" si="49"/>
        <v>0</v>
      </c>
      <c r="G66" s="78"/>
      <c r="H66" s="161">
        <v>10</v>
      </c>
      <c r="I66" s="41">
        <f t="shared" si="37"/>
        <v>10</v>
      </c>
      <c r="J66" s="178">
        <f t="shared" si="19"/>
        <v>2.3434305630744237E-5</v>
      </c>
      <c r="K66" s="291"/>
      <c r="L66" s="78"/>
      <c r="M66" s="161">
        <v>10</v>
      </c>
      <c r="N66" s="41">
        <f t="shared" si="38"/>
        <v>10</v>
      </c>
      <c r="O66" s="178">
        <f t="shared" si="3"/>
        <v>2.3434305630744237E-5</v>
      </c>
      <c r="P66" s="291"/>
      <c r="Q66" s="78"/>
      <c r="R66" s="161">
        <v>137.46</v>
      </c>
      <c r="S66" s="41">
        <f t="shared" si="39"/>
        <v>137.46</v>
      </c>
      <c r="T66" s="178">
        <f>S66/$S$87</f>
        <v>5.933714748265549E-4</v>
      </c>
      <c r="U66" s="291"/>
      <c r="V66" s="78"/>
      <c r="W66" s="161">
        <f>38.54+27247</f>
        <v>27285.54</v>
      </c>
      <c r="X66" s="41">
        <f t="shared" si="40"/>
        <v>27285.54</v>
      </c>
      <c r="Y66" s="178">
        <f t="shared" si="5"/>
        <v>4.4679379924936098E-2</v>
      </c>
      <c r="Z66" s="291"/>
      <c r="AA66" s="39">
        <f t="shared" si="47"/>
        <v>0</v>
      </c>
      <c r="AB66" s="39">
        <f t="shared" si="41"/>
        <v>27443</v>
      </c>
      <c r="AC66" s="106">
        <f t="shared" si="42"/>
        <v>27443</v>
      </c>
      <c r="AD66" s="178">
        <f t="shared" si="48"/>
        <v>2.1553639728622079E-2</v>
      </c>
      <c r="AE66" s="79"/>
      <c r="AF66" s="210">
        <f t="shared" si="43"/>
        <v>0</v>
      </c>
      <c r="AG66" s="210">
        <f t="shared" si="44"/>
        <v>-27443</v>
      </c>
      <c r="AH66" s="210">
        <f t="shared" si="45"/>
        <v>-27443</v>
      </c>
      <c r="AI66" s="178">
        <f t="shared" si="35"/>
        <v>-1.1383936170694026E-2</v>
      </c>
      <c r="AJ66" s="79"/>
    </row>
    <row r="67" spans="1:37" s="2" customFormat="1" ht="13.8" outlineLevel="2" x14ac:dyDescent="0.25">
      <c r="A67" s="237"/>
      <c r="B67" s="19" t="s">
        <v>42</v>
      </c>
      <c r="C67" s="129"/>
      <c r="D67" s="128"/>
      <c r="E67" s="120">
        <f t="shared" si="36"/>
        <v>0</v>
      </c>
      <c r="F67" s="178">
        <f t="shared" si="49"/>
        <v>0</v>
      </c>
      <c r="G67" s="78"/>
      <c r="H67" s="161"/>
      <c r="I67" s="41">
        <f t="shared" si="37"/>
        <v>0</v>
      </c>
      <c r="J67" s="178">
        <f t="shared" si="19"/>
        <v>0</v>
      </c>
      <c r="K67" s="291"/>
      <c r="L67" s="78"/>
      <c r="M67" s="161"/>
      <c r="N67" s="41">
        <f t="shared" si="38"/>
        <v>0</v>
      </c>
      <c r="O67" s="178">
        <f t="shared" si="3"/>
        <v>0</v>
      </c>
      <c r="P67" s="291"/>
      <c r="Q67" s="78"/>
      <c r="R67" s="161"/>
      <c r="S67" s="41">
        <f t="shared" si="39"/>
        <v>0</v>
      </c>
      <c r="T67" s="178">
        <f t="shared" ref="T67:T72" si="50">S67/$N$87</f>
        <v>0</v>
      </c>
      <c r="U67" s="291"/>
      <c r="V67" s="78"/>
      <c r="W67" s="161"/>
      <c r="X67" s="41">
        <f t="shared" si="40"/>
        <v>0</v>
      </c>
      <c r="Y67" s="178">
        <f t="shared" ref="Y67:Y72" si="51">X67/$N$87</f>
        <v>0</v>
      </c>
      <c r="Z67" s="291"/>
      <c r="AA67" s="210">
        <f>L67</f>
        <v>0</v>
      </c>
      <c r="AB67" s="39">
        <f t="shared" si="41"/>
        <v>0</v>
      </c>
      <c r="AC67" s="106">
        <f t="shared" si="42"/>
        <v>0</v>
      </c>
      <c r="AD67" s="178">
        <f t="shared" si="48"/>
        <v>0</v>
      </c>
      <c r="AE67" s="79"/>
      <c r="AF67" s="210">
        <f t="shared" si="43"/>
        <v>0</v>
      </c>
      <c r="AG67" s="210">
        <f t="shared" si="44"/>
        <v>0</v>
      </c>
      <c r="AH67" s="210">
        <f t="shared" si="45"/>
        <v>0</v>
      </c>
      <c r="AI67" s="178">
        <f>AH67/$E$87</f>
        <v>0</v>
      </c>
      <c r="AJ67" s="79"/>
    </row>
    <row r="68" spans="1:37" s="2" customFormat="1" ht="21.6" customHeight="1" outlineLevel="2" x14ac:dyDescent="0.25">
      <c r="A68" s="237"/>
      <c r="B68" s="19" t="s">
        <v>6</v>
      </c>
      <c r="C68" s="129"/>
      <c r="D68" s="128"/>
      <c r="E68" s="120">
        <f t="shared" si="36"/>
        <v>0</v>
      </c>
      <c r="F68" s="178">
        <f t="shared" si="49"/>
        <v>0</v>
      </c>
      <c r="G68" s="78"/>
      <c r="H68" s="161"/>
      <c r="I68" s="41">
        <f t="shared" si="37"/>
        <v>0</v>
      </c>
      <c r="J68" s="178">
        <f t="shared" si="19"/>
        <v>0</v>
      </c>
      <c r="K68" s="291"/>
      <c r="L68" s="78"/>
      <c r="M68" s="161"/>
      <c r="N68" s="41">
        <f t="shared" si="38"/>
        <v>0</v>
      </c>
      <c r="O68" s="178">
        <f t="shared" si="3"/>
        <v>0</v>
      </c>
      <c r="P68" s="291"/>
      <c r="Q68" s="78"/>
      <c r="R68" s="161"/>
      <c r="S68" s="41">
        <f t="shared" si="39"/>
        <v>0</v>
      </c>
      <c r="T68" s="178">
        <f t="shared" si="50"/>
        <v>0</v>
      </c>
      <c r="U68" s="291"/>
      <c r="V68" s="78"/>
      <c r="W68" s="161"/>
      <c r="X68" s="41">
        <f t="shared" si="40"/>
        <v>0</v>
      </c>
      <c r="Y68" s="178">
        <f t="shared" si="51"/>
        <v>0</v>
      </c>
      <c r="Z68" s="291"/>
      <c r="AA68" s="210">
        <f>L68</f>
        <v>0</v>
      </c>
      <c r="AB68" s="39">
        <f t="shared" si="41"/>
        <v>0</v>
      </c>
      <c r="AC68" s="106">
        <f t="shared" si="42"/>
        <v>0</v>
      </c>
      <c r="AD68" s="178">
        <f t="shared" si="48"/>
        <v>0</v>
      </c>
      <c r="AE68" s="79"/>
      <c r="AF68" s="210">
        <f t="shared" si="43"/>
        <v>0</v>
      </c>
      <c r="AG68" s="210">
        <f t="shared" si="44"/>
        <v>0</v>
      </c>
      <c r="AH68" s="210">
        <f t="shared" si="45"/>
        <v>0</v>
      </c>
      <c r="AI68" s="178">
        <f>AH68/$E$87</f>
        <v>0</v>
      </c>
      <c r="AJ68" s="79"/>
    </row>
    <row r="69" spans="1:37" s="2" customFormat="1" ht="13.95" customHeight="1" outlineLevel="2" x14ac:dyDescent="0.25">
      <c r="A69" s="237"/>
      <c r="B69" s="19" t="s">
        <v>78</v>
      </c>
      <c r="C69" s="129"/>
      <c r="D69" s="128"/>
      <c r="E69" s="120">
        <f t="shared" si="36"/>
        <v>0</v>
      </c>
      <c r="F69" s="184">
        <f t="shared" si="49"/>
        <v>0</v>
      </c>
      <c r="G69" s="78"/>
      <c r="H69" s="161"/>
      <c r="I69" s="41">
        <f t="shared" si="37"/>
        <v>0</v>
      </c>
      <c r="J69" s="178">
        <f t="shared" si="19"/>
        <v>0</v>
      </c>
      <c r="K69" s="291"/>
      <c r="L69" s="78"/>
      <c r="M69" s="161"/>
      <c r="N69" s="41">
        <f t="shared" si="38"/>
        <v>0</v>
      </c>
      <c r="O69" s="178">
        <f t="shared" si="3"/>
        <v>0</v>
      </c>
      <c r="P69" s="291"/>
      <c r="Q69" s="78"/>
      <c r="R69" s="161"/>
      <c r="S69" s="41">
        <f t="shared" si="39"/>
        <v>0</v>
      </c>
      <c r="T69" s="178">
        <f t="shared" si="50"/>
        <v>0</v>
      </c>
      <c r="U69" s="291"/>
      <c r="V69" s="78"/>
      <c r="W69" s="161"/>
      <c r="X69" s="41">
        <f t="shared" si="40"/>
        <v>0</v>
      </c>
      <c r="Y69" s="178">
        <f t="shared" si="51"/>
        <v>0</v>
      </c>
      <c r="Z69" s="291"/>
      <c r="AA69" s="210">
        <f>L69</f>
        <v>0</v>
      </c>
      <c r="AB69" s="39">
        <f t="shared" si="41"/>
        <v>0</v>
      </c>
      <c r="AC69" s="106">
        <f t="shared" si="42"/>
        <v>0</v>
      </c>
      <c r="AD69" s="178">
        <f t="shared" si="48"/>
        <v>0</v>
      </c>
      <c r="AE69" s="79"/>
      <c r="AF69" s="210">
        <f t="shared" si="43"/>
        <v>0</v>
      </c>
      <c r="AG69" s="210">
        <f t="shared" si="44"/>
        <v>0</v>
      </c>
      <c r="AH69" s="210">
        <f t="shared" si="45"/>
        <v>0</v>
      </c>
      <c r="AI69" s="178">
        <f>AH69/$E$87</f>
        <v>0</v>
      </c>
      <c r="AJ69" s="79"/>
    </row>
    <row r="70" spans="1:37" s="2" customFormat="1" ht="14.4" outlineLevel="2" thickBot="1" x14ac:dyDescent="0.3">
      <c r="A70" s="237"/>
      <c r="B70" s="19"/>
      <c r="C70" s="130"/>
      <c r="D70" s="131"/>
      <c r="E70" s="159"/>
      <c r="F70" s="184">
        <f>E70/$E$87</f>
        <v>0</v>
      </c>
      <c r="G70" s="160"/>
      <c r="H70" s="162"/>
      <c r="I70" s="62"/>
      <c r="J70" s="205">
        <f t="shared" si="19"/>
        <v>0</v>
      </c>
      <c r="K70" s="276"/>
      <c r="L70" s="160"/>
      <c r="M70" s="162"/>
      <c r="N70" s="62"/>
      <c r="O70" s="205">
        <f t="shared" si="3"/>
        <v>0</v>
      </c>
      <c r="P70" s="276"/>
      <c r="Q70" s="160"/>
      <c r="R70" s="162"/>
      <c r="S70" s="62"/>
      <c r="T70" s="205">
        <f t="shared" si="50"/>
        <v>0</v>
      </c>
      <c r="U70" s="276"/>
      <c r="V70" s="160"/>
      <c r="W70" s="162"/>
      <c r="X70" s="62"/>
      <c r="Y70" s="205">
        <f t="shared" si="51"/>
        <v>0</v>
      </c>
      <c r="Z70" s="276"/>
      <c r="AA70" s="210">
        <f>L70</f>
        <v>0</v>
      </c>
      <c r="AB70" s="39">
        <f t="shared" si="41"/>
        <v>0</v>
      </c>
      <c r="AC70" s="106"/>
      <c r="AD70" s="178">
        <f t="shared" si="48"/>
        <v>0</v>
      </c>
      <c r="AE70" s="79"/>
      <c r="AF70" s="210">
        <f t="shared" si="43"/>
        <v>0</v>
      </c>
      <c r="AG70" s="210">
        <f t="shared" si="44"/>
        <v>0</v>
      </c>
      <c r="AH70" s="210"/>
      <c r="AI70" s="178">
        <f>AH70/$E$87</f>
        <v>0</v>
      </c>
      <c r="AJ70" s="79"/>
    </row>
    <row r="71" spans="1:37" s="2" customFormat="1" ht="14.4" outlineLevel="1" thickBot="1" x14ac:dyDescent="0.3">
      <c r="A71" s="237"/>
      <c r="B71" s="13" t="s">
        <v>4</v>
      </c>
      <c r="C71" s="132">
        <f>C72</f>
        <v>0</v>
      </c>
      <c r="D71" s="133">
        <f>D72</f>
        <v>0</v>
      </c>
      <c r="E71" s="132">
        <f>E72</f>
        <v>0</v>
      </c>
      <c r="F71" s="171">
        <f>E71/$E$87</f>
        <v>0</v>
      </c>
      <c r="G71" s="99">
        <f>G72</f>
        <v>0</v>
      </c>
      <c r="H71" s="63">
        <f>H72</f>
        <v>0</v>
      </c>
      <c r="I71" s="63">
        <f>I72</f>
        <v>0</v>
      </c>
      <c r="J71" s="194">
        <f t="shared" si="19"/>
        <v>0</v>
      </c>
      <c r="K71" s="277"/>
      <c r="L71" s="99">
        <f>L72</f>
        <v>0</v>
      </c>
      <c r="M71" s="63">
        <f>M72</f>
        <v>0</v>
      </c>
      <c r="N71" s="63">
        <f>N72</f>
        <v>0</v>
      </c>
      <c r="O71" s="194">
        <f t="shared" si="3"/>
        <v>0</v>
      </c>
      <c r="P71" s="277"/>
      <c r="Q71" s="99">
        <f>Q72</f>
        <v>0</v>
      </c>
      <c r="R71" s="63">
        <f>R72</f>
        <v>0</v>
      </c>
      <c r="S71" s="63">
        <f>S72</f>
        <v>0</v>
      </c>
      <c r="T71" s="194">
        <f t="shared" si="50"/>
        <v>0</v>
      </c>
      <c r="U71" s="277"/>
      <c r="V71" s="99">
        <f>V72</f>
        <v>0</v>
      </c>
      <c r="W71" s="63">
        <f>W72</f>
        <v>0</v>
      </c>
      <c r="X71" s="63">
        <f>X72</f>
        <v>0</v>
      </c>
      <c r="Y71" s="194">
        <f t="shared" si="51"/>
        <v>0</v>
      </c>
      <c r="Z71" s="277"/>
      <c r="AA71" s="139">
        <f>AA72</f>
        <v>0</v>
      </c>
      <c r="AB71" s="63">
        <f>AB72</f>
        <v>0</v>
      </c>
      <c r="AC71" s="60">
        <f>AC72</f>
        <v>0</v>
      </c>
      <c r="AD71" s="63"/>
      <c r="AE71" s="63"/>
      <c r="AF71" s="132">
        <f t="shared" si="43"/>
        <v>0</v>
      </c>
      <c r="AG71" s="133">
        <f t="shared" si="44"/>
        <v>0</v>
      </c>
      <c r="AH71" s="132">
        <f>AH72</f>
        <v>0</v>
      </c>
      <c r="AI71" s="171">
        <f>AH71/$E$87</f>
        <v>0</v>
      </c>
      <c r="AJ71" s="63"/>
    </row>
    <row r="72" spans="1:37" s="2" customFormat="1" ht="14.4" outlineLevel="1" thickBot="1" x14ac:dyDescent="0.3">
      <c r="A72" s="20"/>
      <c r="B72" s="225" t="s">
        <v>64</v>
      </c>
      <c r="C72" s="134"/>
      <c r="D72" s="135"/>
      <c r="E72" s="136">
        <f>C72+D72</f>
        <v>0</v>
      </c>
      <c r="F72" s="185"/>
      <c r="G72" s="100"/>
      <c r="H72" s="64"/>
      <c r="I72" s="64">
        <f>G72+H72*1</f>
        <v>0</v>
      </c>
      <c r="J72" s="206">
        <f t="shared" si="19"/>
        <v>0</v>
      </c>
      <c r="K72" s="278"/>
      <c r="L72" s="100"/>
      <c r="M72" s="64"/>
      <c r="N72" s="64">
        <f>L72+M72*1</f>
        <v>0</v>
      </c>
      <c r="O72" s="206">
        <f t="shared" si="3"/>
        <v>0</v>
      </c>
      <c r="P72" s="278"/>
      <c r="Q72" s="100"/>
      <c r="R72" s="64"/>
      <c r="S72" s="64">
        <f>Q72+R72*1</f>
        <v>0</v>
      </c>
      <c r="T72" s="206">
        <f t="shared" si="50"/>
        <v>0</v>
      </c>
      <c r="U72" s="278"/>
      <c r="V72" s="100"/>
      <c r="W72" s="64"/>
      <c r="X72" s="64">
        <f>V72+W72*1</f>
        <v>0</v>
      </c>
      <c r="Y72" s="206">
        <f t="shared" si="51"/>
        <v>0</v>
      </c>
      <c r="Z72" s="278"/>
      <c r="AA72" s="100">
        <f>L72</f>
        <v>0</v>
      </c>
      <c r="AB72" s="39">
        <f>M72+R72+W72+H72</f>
        <v>0</v>
      </c>
      <c r="AC72" s="64">
        <f>AA72+AB72*1</f>
        <v>0</v>
      </c>
      <c r="AD72" s="64"/>
      <c r="AE72" s="64"/>
      <c r="AF72" s="210">
        <f t="shared" si="43"/>
        <v>0</v>
      </c>
      <c r="AG72" s="210">
        <f t="shared" si="44"/>
        <v>0</v>
      </c>
      <c r="AH72" s="210">
        <f>AF72+AG72*1</f>
        <v>0</v>
      </c>
      <c r="AI72" s="64"/>
      <c r="AJ72" s="64"/>
    </row>
    <row r="73" spans="1:37" s="2" customFormat="1" ht="14.4" thickBot="1" x14ac:dyDescent="0.3">
      <c r="A73" s="5"/>
      <c r="B73" s="23" t="s">
        <v>48</v>
      </c>
      <c r="C73" s="137">
        <f>C36-C39-C48-C52</f>
        <v>-1002081</v>
      </c>
      <c r="D73" s="137">
        <f>D36-D39-D48-D52</f>
        <v>2609108.9699999997</v>
      </c>
      <c r="E73" s="138">
        <f>E36-E39-E48-E52</f>
        <v>1607027.9699999997</v>
      </c>
      <c r="F73" s="172"/>
      <c r="G73" s="65">
        <f>G36-G39-G48-G52</f>
        <v>-910</v>
      </c>
      <c r="H73" s="65">
        <f>H36-H39-H48-H52</f>
        <v>-3515</v>
      </c>
      <c r="I73" s="66">
        <f>I36-I39-I48-I52</f>
        <v>-4425</v>
      </c>
      <c r="J73" s="195"/>
      <c r="K73" s="279"/>
      <c r="L73" s="65">
        <f>L36-L39-L48-L52</f>
        <v>-184743.95600000001</v>
      </c>
      <c r="M73" s="65">
        <f>M36-M39-M48-M52</f>
        <v>1698848.55</v>
      </c>
      <c r="N73" s="66">
        <f>N36-N39-N48-N52</f>
        <v>1514104.594</v>
      </c>
      <c r="O73" s="195"/>
      <c r="P73" s="279"/>
      <c r="Q73" s="65">
        <f>Q36-Q39-Q48-Q52</f>
        <v>-153656.47</v>
      </c>
      <c r="R73" s="65">
        <f>R36-R39-R48-R52</f>
        <v>-68642.459999999992</v>
      </c>
      <c r="S73" s="66">
        <f>S36-S39-S48-S52</f>
        <v>-222298.93</v>
      </c>
      <c r="T73" s="195"/>
      <c r="U73" s="279"/>
      <c r="V73" s="65">
        <f>V36-V39-V48-V52</f>
        <v>-220329.38800000004</v>
      </c>
      <c r="W73" s="65">
        <f>W36-W39-W48-W52</f>
        <v>2426986.2399999998</v>
      </c>
      <c r="X73" s="66">
        <f>X36-X39-X48-X52</f>
        <v>2206656.852</v>
      </c>
      <c r="Y73" s="195"/>
      <c r="Z73" s="279"/>
      <c r="AA73" s="65">
        <f>AA36-AA39-AA48-AA52</f>
        <v>-559639.81400000001</v>
      </c>
      <c r="AB73" s="65">
        <f>AB36-AB39-AB48-AB52</f>
        <v>4053677.3299999996</v>
      </c>
      <c r="AC73" s="66">
        <f>AC36-AC39-AC48-AC52</f>
        <v>3494037.5159999994</v>
      </c>
      <c r="AD73" s="66"/>
      <c r="AE73" s="66"/>
      <c r="AF73" s="65">
        <f>AF36-AF39-AF48-AF52</f>
        <v>-442441.18599999993</v>
      </c>
      <c r="AG73" s="65">
        <f>AG36-AG39-AG48-AG52</f>
        <v>-1444568.3599999996</v>
      </c>
      <c r="AH73" s="66">
        <f>AH36-AH39-AH48-AH52</f>
        <v>-1887009.5459999999</v>
      </c>
      <c r="AI73" s="66"/>
      <c r="AJ73" s="66"/>
    </row>
    <row r="74" spans="1:37" s="2" customFormat="1" ht="13.8" x14ac:dyDescent="0.25">
      <c r="A74" s="230"/>
      <c r="B74" s="36" t="s">
        <v>49</v>
      </c>
      <c r="C74" s="157" t="e">
        <f>C73/C5</f>
        <v>#DIV/0!</v>
      </c>
      <c r="D74" s="157">
        <f>D73/D5</f>
        <v>0.5250638564383473</v>
      </c>
      <c r="E74" s="158">
        <f>E73/E5</f>
        <v>0.32340247687412177</v>
      </c>
      <c r="F74" s="167"/>
      <c r="G74" s="54" t="e">
        <f>G73/G5</f>
        <v>#DIV/0!</v>
      </c>
      <c r="H74" s="54" t="e">
        <f>H73/H5</f>
        <v>#DIV/0!</v>
      </c>
      <c r="I74" s="55" t="e">
        <f>I73/I5</f>
        <v>#DIV/0!</v>
      </c>
      <c r="J74" s="196"/>
      <c r="K74" s="280"/>
      <c r="L74" s="54" t="e">
        <f>L73/L5</f>
        <v>#DIV/0!</v>
      </c>
      <c r="M74" s="54">
        <f>M73/M5</f>
        <v>0.88891987391805305</v>
      </c>
      <c r="N74" s="55">
        <f>N73/N5</f>
        <v>0.79225288493033996</v>
      </c>
      <c r="O74" s="196"/>
      <c r="P74" s="280"/>
      <c r="Q74" s="54" t="e">
        <f>Q73/Q5</f>
        <v>#DIV/0!</v>
      </c>
      <c r="R74" s="54" t="e">
        <f>R73/R5</f>
        <v>#DIV/0!</v>
      </c>
      <c r="S74" s="55" t="e">
        <f>S73/S5</f>
        <v>#DIV/0!</v>
      </c>
      <c r="T74" s="196"/>
      <c r="U74" s="280"/>
      <c r="V74" s="54" t="e">
        <f>V73/V5</f>
        <v>#DIV/0!</v>
      </c>
      <c r="W74" s="54">
        <f>W73/W5</f>
        <v>0.87600725885314479</v>
      </c>
      <c r="X74" s="55">
        <f>X73/X5</f>
        <v>0.79648058497028396</v>
      </c>
      <c r="Y74" s="196"/>
      <c r="Z74" s="280"/>
      <c r="AA74" s="54" t="e">
        <f>AA73/AA5</f>
        <v>#DIV/0!</v>
      </c>
      <c r="AB74" s="54">
        <f>AB73/AB5</f>
        <v>0.86586559976812272</v>
      </c>
      <c r="AC74" s="55">
        <f>AC73/AC5</f>
        <v>0.7463265186436685</v>
      </c>
      <c r="AD74" s="55"/>
      <c r="AE74" s="55"/>
      <c r="AF74" s="54" t="e">
        <f>AF73/AF5</f>
        <v>#DIV/0!</v>
      </c>
      <c r="AG74" s="54">
        <f>AG73/AG5</f>
        <v>-5.0249405792805657</v>
      </c>
      <c r="AH74" s="55">
        <f>AH73/AH5</f>
        <v>-6.5639751663847878</v>
      </c>
      <c r="AI74" s="55"/>
      <c r="AJ74" s="55"/>
    </row>
    <row r="75" spans="1:37" s="2" customFormat="1" ht="14.4" outlineLevel="1" thickBot="1" x14ac:dyDescent="0.3">
      <c r="A75" s="230"/>
      <c r="B75" s="27" t="s">
        <v>9</v>
      </c>
      <c r="C75" s="139">
        <f>C76-C77</f>
        <v>0</v>
      </c>
      <c r="D75" s="139">
        <f>D76-D77</f>
        <v>0</v>
      </c>
      <c r="E75" s="140">
        <f>E76-E77</f>
        <v>0</v>
      </c>
      <c r="F75" s="173"/>
      <c r="G75" s="67">
        <f>G76-G77</f>
        <v>0</v>
      </c>
      <c r="H75" s="67">
        <f>H76-H77</f>
        <v>0</v>
      </c>
      <c r="I75" s="67">
        <f>I76-I77</f>
        <v>-479.31818181818181</v>
      </c>
      <c r="J75" s="197">
        <f t="shared" ref="J75:J83" si="52">I75/$N$87</f>
        <v>-1.1232488767099909E-3</v>
      </c>
      <c r="K75" s="281"/>
      <c r="L75" s="67">
        <f>L76-L77</f>
        <v>0</v>
      </c>
      <c r="M75" s="67">
        <f>M76-M77</f>
        <v>0</v>
      </c>
      <c r="N75" s="67">
        <f>N76-N77</f>
        <v>-29691.42031107569</v>
      </c>
      <c r="O75" s="197">
        <f t="shared" ref="O75:O83" si="53">N75/$N$87</f>
        <v>-6.9579781818063485E-2</v>
      </c>
      <c r="P75" s="281"/>
      <c r="Q75" s="67">
        <f>Q76-Q77</f>
        <v>0</v>
      </c>
      <c r="R75" s="67">
        <f>R76-R77</f>
        <v>0</v>
      </c>
      <c r="S75" s="67">
        <f>S76-S77</f>
        <v>-9360.3354545454531</v>
      </c>
      <c r="T75" s="197">
        <f t="shared" ref="T75:T83" si="54">S75/$N$87</f>
        <v>-2.1935296184810944E-2</v>
      </c>
      <c r="U75" s="281"/>
      <c r="V75" s="67">
        <f>V76-V77</f>
        <v>0</v>
      </c>
      <c r="W75" s="67">
        <f>W76-W77</f>
        <v>0</v>
      </c>
      <c r="X75" s="67">
        <f>X76-X77</f>
        <v>-46844.050909090904</v>
      </c>
      <c r="Y75" s="197">
        <f t="shared" ref="Y75:Y83" si="55">X75/$N$87</f>
        <v>-0.10977578059857787</v>
      </c>
      <c r="Z75" s="281"/>
      <c r="AA75" s="139">
        <f>AA76-AA77</f>
        <v>0</v>
      </c>
      <c r="AB75" s="139">
        <f>AB76-AB77</f>
        <v>0</v>
      </c>
      <c r="AC75" s="140">
        <f>AC76-AC77</f>
        <v>-85632.2659090909</v>
      </c>
      <c r="AD75" s="67"/>
      <c r="AE75" s="67"/>
      <c r="AF75" s="139">
        <f>AF76-AF77</f>
        <v>0</v>
      </c>
      <c r="AG75" s="139">
        <f>AG76-AG77</f>
        <v>0</v>
      </c>
      <c r="AH75" s="140">
        <f>AH76-AH77</f>
        <v>-236188.37045454545</v>
      </c>
      <c r="AI75" s="173"/>
      <c r="AJ75" s="67"/>
    </row>
    <row r="76" spans="1:37" s="2" customFormat="1" ht="13.8" outlineLevel="2" x14ac:dyDescent="0.25">
      <c r="A76" s="11"/>
      <c r="B76" s="6" t="s">
        <v>43</v>
      </c>
      <c r="C76" s="141"/>
      <c r="D76" s="142"/>
      <c r="E76" s="119">
        <f>C76+D76*1.15</f>
        <v>0</v>
      </c>
      <c r="F76" s="186"/>
      <c r="G76" s="71"/>
      <c r="H76" s="71"/>
      <c r="I76" s="71">
        <f>G76+H76*1</f>
        <v>0</v>
      </c>
      <c r="J76" s="177">
        <f t="shared" si="52"/>
        <v>0</v>
      </c>
      <c r="K76" s="265"/>
      <c r="L76" s="71"/>
      <c r="M76" s="71"/>
      <c r="N76" s="71">
        <f>L76+M76*1</f>
        <v>0</v>
      </c>
      <c r="O76" s="177">
        <f t="shared" si="53"/>
        <v>0</v>
      </c>
      <c r="P76" s="265"/>
      <c r="Q76" s="71"/>
      <c r="R76" s="71"/>
      <c r="S76" s="71">
        <f>Q76+R76*1</f>
        <v>0</v>
      </c>
      <c r="T76" s="177">
        <f t="shared" si="54"/>
        <v>0</v>
      </c>
      <c r="U76" s="265"/>
      <c r="V76" s="71"/>
      <c r="W76" s="71"/>
      <c r="X76" s="71">
        <f>V76+W76*1</f>
        <v>0</v>
      </c>
      <c r="Y76" s="177">
        <f t="shared" si="55"/>
        <v>0</v>
      </c>
      <c r="Z76" s="265"/>
      <c r="AA76" s="68"/>
      <c r="AB76" s="68"/>
      <c r="AC76" s="68">
        <f>AA76+AB76*1</f>
        <v>0</v>
      </c>
      <c r="AD76" s="68"/>
      <c r="AE76" s="68"/>
      <c r="AF76" s="68"/>
      <c r="AG76" s="68"/>
      <c r="AH76" s="68">
        <f>AF76+AG76*1</f>
        <v>0</v>
      </c>
      <c r="AI76" s="68"/>
      <c r="AJ76" s="68"/>
    </row>
    <row r="77" spans="1:37" s="2" customFormat="1" ht="13.8" outlineLevel="2" x14ac:dyDescent="0.25">
      <c r="A77" s="11"/>
      <c r="B77" s="24" t="s">
        <v>79</v>
      </c>
      <c r="C77" s="113"/>
      <c r="D77" s="119"/>
      <c r="E77" s="119">
        <f>C77+D77*1.15</f>
        <v>0</v>
      </c>
      <c r="F77" s="180">
        <f>E77/$E$87</f>
        <v>0</v>
      </c>
      <c r="G77" s="45"/>
      <c r="H77" s="45"/>
      <c r="I77" s="45">
        <f>(H8+H39+H48+H52)/0.88*0.12</f>
        <v>479.31818181818181</v>
      </c>
      <c r="J77" s="178">
        <f t="shared" si="52"/>
        <v>1.1232488767099909E-3</v>
      </c>
      <c r="K77" s="265"/>
      <c r="L77" s="45"/>
      <c r="M77" s="45"/>
      <c r="N77" s="45">
        <f>(M8+M39+M48+M52)/(1-'расчет 2020'!E4)*'расчет 2020'!E4</f>
        <v>29691.42031107569</v>
      </c>
      <c r="O77" s="178">
        <f t="shared" si="53"/>
        <v>6.9579781818063485E-2</v>
      </c>
      <c r="P77" s="265"/>
      <c r="Q77" s="45"/>
      <c r="R77" s="45"/>
      <c r="S77" s="45">
        <f>(R8+R39+R48+R52)/0.88*0.12</f>
        <v>9360.3354545454531</v>
      </c>
      <c r="T77" s="178">
        <f t="shared" si="54"/>
        <v>2.1935296184810944E-2</v>
      </c>
      <c r="U77" s="265"/>
      <c r="V77" s="45"/>
      <c r="W77" s="45"/>
      <c r="X77" s="45">
        <f>(W8+W39+W48+W52)/0.88*0.12</f>
        <v>46844.050909090904</v>
      </c>
      <c r="Y77" s="178">
        <f t="shared" si="55"/>
        <v>0.10977578059857787</v>
      </c>
      <c r="Z77" s="265"/>
      <c r="AA77" s="39">
        <f>L77</f>
        <v>0</v>
      </c>
      <c r="AB77" s="39">
        <f>M77</f>
        <v>0</v>
      </c>
      <c r="AC77" s="106">
        <f>(AB8+AB39+AB48+AB52)/0.88*0.12</f>
        <v>85632.2659090909</v>
      </c>
      <c r="AD77" s="45"/>
      <c r="AE77" s="45"/>
      <c r="AF77" s="210">
        <f>C77-AA77</f>
        <v>0</v>
      </c>
      <c r="AG77" s="210">
        <f>D77-AB77</f>
        <v>0</v>
      </c>
      <c r="AH77" s="210">
        <f>(AG8+AG39+AG48+AG52)/0.88*0.12</f>
        <v>236188.37045454545</v>
      </c>
      <c r="AI77" s="178">
        <f>AH77/$E$87</f>
        <v>7.0250272360970173E-2</v>
      </c>
      <c r="AJ77" s="45"/>
    </row>
    <row r="78" spans="1:37" ht="13.8" outlineLevel="2" x14ac:dyDescent="0.25">
      <c r="A78" s="3"/>
      <c r="B78" s="25"/>
      <c r="C78" s="143"/>
      <c r="D78" s="144"/>
      <c r="E78" s="145"/>
      <c r="F78" s="187"/>
      <c r="G78" s="69"/>
      <c r="H78" s="69"/>
      <c r="I78" s="69"/>
      <c r="J78" s="207">
        <f t="shared" si="52"/>
        <v>0</v>
      </c>
      <c r="K78" s="282"/>
      <c r="L78" s="69"/>
      <c r="M78" s="69"/>
      <c r="N78" s="69"/>
      <c r="O78" s="207">
        <f t="shared" si="53"/>
        <v>0</v>
      </c>
      <c r="P78" s="282"/>
      <c r="Q78" s="69"/>
      <c r="R78" s="69"/>
      <c r="S78" s="69"/>
      <c r="T78" s="207">
        <f t="shared" si="54"/>
        <v>0</v>
      </c>
      <c r="U78" s="282"/>
      <c r="V78" s="69"/>
      <c r="W78" s="69"/>
      <c r="X78" s="69"/>
      <c r="Y78" s="207">
        <f t="shared" si="55"/>
        <v>0</v>
      </c>
      <c r="Z78" s="282"/>
      <c r="AA78" s="69"/>
      <c r="AB78" s="69"/>
      <c r="AC78" s="69"/>
      <c r="AD78" s="69"/>
      <c r="AE78" s="69"/>
      <c r="AF78" s="69"/>
      <c r="AG78" s="69"/>
      <c r="AH78" s="69"/>
      <c r="AI78" s="69"/>
      <c r="AJ78" s="69"/>
      <c r="AK78" s="2"/>
    </row>
    <row r="79" spans="1:37" s="2" customFormat="1" ht="14.4" outlineLevel="1" thickBot="1" x14ac:dyDescent="0.3">
      <c r="A79" s="26"/>
      <c r="B79" s="27" t="s">
        <v>12</v>
      </c>
      <c r="C79" s="139">
        <f>(C73+C76)-C77</f>
        <v>-1002081</v>
      </c>
      <c r="D79" s="139">
        <f>(D73+D76)-D77</f>
        <v>2609108.9699999997</v>
      </c>
      <c r="E79" s="140">
        <f>(E73+E76)-E77</f>
        <v>1607027.9699999997</v>
      </c>
      <c r="F79" s="173"/>
      <c r="G79" s="139">
        <f>(G73+G76)-G77</f>
        <v>-910</v>
      </c>
      <c r="H79" s="139">
        <f>(H73+H76)-H77</f>
        <v>-3515</v>
      </c>
      <c r="I79" s="140">
        <f>(I73+I76)-I77</f>
        <v>-4904.318181818182</v>
      </c>
      <c r="J79" s="198">
        <f t="shared" si="52"/>
        <v>-1.1492929118314317E-2</v>
      </c>
      <c r="K79" s="283"/>
      <c r="L79" s="139">
        <f>(L73+L76)-L77</f>
        <v>-184743.95600000001</v>
      </c>
      <c r="M79" s="139">
        <f>(M73+M76)-M77</f>
        <v>1698848.55</v>
      </c>
      <c r="N79" s="140">
        <f>(N73+N76)-N77</f>
        <v>1484413.1736889244</v>
      </c>
      <c r="O79" s="198">
        <f t="shared" si="53"/>
        <v>3.4786191994529285</v>
      </c>
      <c r="P79" s="283"/>
      <c r="Q79" s="139">
        <f>(Q73+Q76)-Q77</f>
        <v>-153656.47</v>
      </c>
      <c r="R79" s="139">
        <f>(R73+R76)-R77</f>
        <v>-68642.459999999992</v>
      </c>
      <c r="S79" s="140">
        <f>(S73+S76)-S77</f>
        <v>-231659.26545454544</v>
      </c>
      <c r="T79" s="198">
        <f t="shared" si="54"/>
        <v>-0.54287740288555286</v>
      </c>
      <c r="U79" s="283"/>
      <c r="V79" s="139">
        <f>(V73+V76)-V77</f>
        <v>-220329.38800000004</v>
      </c>
      <c r="W79" s="139">
        <f>(W73+W76)-W77</f>
        <v>2426986.2399999998</v>
      </c>
      <c r="X79" s="140">
        <f>(X73+X76)-X77</f>
        <v>2159812.8010909092</v>
      </c>
      <c r="Y79" s="198">
        <f t="shared" si="55"/>
        <v>5.0613713285958175</v>
      </c>
      <c r="Z79" s="283"/>
      <c r="AA79" s="139">
        <f>(AA73+AA76)-AA77</f>
        <v>-559639.81400000001</v>
      </c>
      <c r="AB79" s="139">
        <f>(AB73+AB76)-AB77</f>
        <v>4053677.3299999996</v>
      </c>
      <c r="AC79" s="140">
        <f>(AC73+AC76)-AC77</f>
        <v>3408405.2500909083</v>
      </c>
      <c r="AD79" s="67"/>
      <c r="AE79" s="67"/>
      <c r="AF79" s="139">
        <f>(AF73+AF76)-AF77</f>
        <v>-442441.18599999993</v>
      </c>
      <c r="AG79" s="139">
        <f>(AG73+AG76)-AG77</f>
        <v>-1444568.3599999996</v>
      </c>
      <c r="AH79" s="140">
        <f>(AH73+AH76)-AH77</f>
        <v>-2123197.9164545452</v>
      </c>
      <c r="AI79" s="67"/>
      <c r="AJ79" s="67"/>
    </row>
    <row r="80" spans="1:37" s="2" customFormat="1" ht="13.8" outlineLevel="2" x14ac:dyDescent="0.25">
      <c r="A80" s="229"/>
      <c r="B80" s="6" t="s">
        <v>38</v>
      </c>
      <c r="C80" s="141"/>
      <c r="D80" s="142"/>
      <c r="E80" s="146">
        <f>C80+D80</f>
        <v>0</v>
      </c>
      <c r="F80" s="180">
        <f>E80/$E$87</f>
        <v>0</v>
      </c>
      <c r="G80" s="141"/>
      <c r="H80" s="142"/>
      <c r="I80" s="146">
        <f>G80+H80</f>
        <v>0</v>
      </c>
      <c r="J80" s="178">
        <f t="shared" si="52"/>
        <v>0</v>
      </c>
      <c r="K80" s="284"/>
      <c r="L80" s="141"/>
      <c r="M80" s="142"/>
      <c r="N80" s="146">
        <f>L80+M80</f>
        <v>0</v>
      </c>
      <c r="O80" s="178">
        <f t="shared" si="53"/>
        <v>0</v>
      </c>
      <c r="P80" s="284"/>
      <c r="Q80" s="141"/>
      <c r="R80" s="142"/>
      <c r="S80" s="146">
        <f>Q80+R80</f>
        <v>0</v>
      </c>
      <c r="T80" s="178">
        <f t="shared" si="54"/>
        <v>0</v>
      </c>
      <c r="U80" s="284"/>
      <c r="V80" s="141"/>
      <c r="W80" s="142"/>
      <c r="X80" s="146">
        <f>V80+W80</f>
        <v>0</v>
      </c>
      <c r="Y80" s="178">
        <f t="shared" si="55"/>
        <v>0</v>
      </c>
      <c r="Z80" s="284"/>
      <c r="AA80" s="141"/>
      <c r="AB80" s="142"/>
      <c r="AC80" s="146">
        <f>AA80+AB80</f>
        <v>0</v>
      </c>
      <c r="AD80" s="101"/>
      <c r="AE80" s="101"/>
      <c r="AF80" s="141"/>
      <c r="AG80" s="142"/>
      <c r="AH80" s="146">
        <f>AF80+AG80</f>
        <v>0</v>
      </c>
      <c r="AI80" s="178">
        <f>AH80/$E$87</f>
        <v>0</v>
      </c>
      <c r="AJ80" s="101"/>
    </row>
    <row r="81" spans="1:36" s="2" customFormat="1" ht="13.8" outlineLevel="1" x14ac:dyDescent="0.25">
      <c r="A81" s="11"/>
      <c r="B81" s="28" t="s">
        <v>13</v>
      </c>
      <c r="C81" s="147">
        <f>(C79+C7)-C34</f>
        <v>-1002081</v>
      </c>
      <c r="D81" s="147">
        <f>(D79+D7)-D34</f>
        <v>2609108.9699999997</v>
      </c>
      <c r="E81" s="147">
        <f>(E79+E7)-E34</f>
        <v>1607027.9699999997</v>
      </c>
      <c r="F81" s="174"/>
      <c r="G81" s="147">
        <f>(G79+G7)-G34</f>
        <v>-910</v>
      </c>
      <c r="H81" s="147">
        <f>(H79+H7)-H34</f>
        <v>-3515</v>
      </c>
      <c r="I81" s="148">
        <f>(I79+I7)-I34</f>
        <v>-4904.318181818182</v>
      </c>
      <c r="J81" s="199">
        <f t="shared" si="52"/>
        <v>-1.1492929118314317E-2</v>
      </c>
      <c r="K81" s="285"/>
      <c r="L81" s="147">
        <f>(L79+L7)-L34</f>
        <v>-184743.95600000001</v>
      </c>
      <c r="M81" s="147">
        <f>(M79+M7)-M34</f>
        <v>1698848.55</v>
      </c>
      <c r="N81" s="148">
        <f>(N79+N7)-N34</f>
        <v>1484413.1736889244</v>
      </c>
      <c r="O81" s="199">
        <f t="shared" si="53"/>
        <v>3.4786191994529285</v>
      </c>
      <c r="P81" s="285"/>
      <c r="Q81" s="147">
        <f>(Q79+Q7)-Q34</f>
        <v>-153656.47</v>
      </c>
      <c r="R81" s="147">
        <f>(R79+R7)-R34</f>
        <v>-68642.459999999992</v>
      </c>
      <c r="S81" s="148">
        <f>(S79+S7)-S34</f>
        <v>-231659.26545454544</v>
      </c>
      <c r="T81" s="199">
        <f t="shared" si="54"/>
        <v>-0.54287740288555286</v>
      </c>
      <c r="U81" s="285"/>
      <c r="V81" s="147">
        <f>(V79+V7)-V34</f>
        <v>-220329.38800000004</v>
      </c>
      <c r="W81" s="147">
        <f>(W79+W7)-W34</f>
        <v>2426986.2399999998</v>
      </c>
      <c r="X81" s="148">
        <f>(X79+X7)-X34</f>
        <v>2159812.8010909092</v>
      </c>
      <c r="Y81" s="199">
        <f t="shared" si="55"/>
        <v>5.0613713285958175</v>
      </c>
      <c r="Z81" s="285"/>
      <c r="AA81" s="147">
        <f>(AA79+AA7)-AA34</f>
        <v>-559639.81400000001</v>
      </c>
      <c r="AB81" s="147">
        <f>(AB79+AB7)-AB34</f>
        <v>4053677.3299999996</v>
      </c>
      <c r="AC81" s="148">
        <f>(AC79+AC7)-AC34</f>
        <v>3408405.2500909083</v>
      </c>
      <c r="AD81" s="70"/>
      <c r="AE81" s="70"/>
      <c r="AF81" s="147">
        <f>(AF79+AF7)-AF34</f>
        <v>-442441.18599999993</v>
      </c>
      <c r="AG81" s="147">
        <f>(AG79+AG7)-AG34</f>
        <v>-1444568.3599999996</v>
      </c>
      <c r="AH81" s="148">
        <f>(AH79+AH7)-AH34</f>
        <v>-2123197.9164545452</v>
      </c>
      <c r="AI81" s="70"/>
      <c r="AJ81" s="70"/>
    </row>
    <row r="82" spans="1:36" s="2" customFormat="1" ht="14.4" outlineLevel="1" thickBot="1" x14ac:dyDescent="0.3">
      <c r="A82" s="11"/>
      <c r="B82" s="211" t="s">
        <v>14</v>
      </c>
      <c r="C82" s="212">
        <f>C81-C71-C80</f>
        <v>-1002081</v>
      </c>
      <c r="D82" s="212">
        <f>D81-D71-D80</f>
        <v>2609108.9699999997</v>
      </c>
      <c r="E82" s="212">
        <f>E81-E71-E80</f>
        <v>1607027.9699999997</v>
      </c>
      <c r="F82" s="214"/>
      <c r="G82" s="212">
        <f>G81-G71-G80</f>
        <v>-910</v>
      </c>
      <c r="H82" s="212">
        <f>H81-H71-H80</f>
        <v>-3515</v>
      </c>
      <c r="I82" s="213">
        <f>I81-I71-I80</f>
        <v>-4904.318181818182</v>
      </c>
      <c r="J82" s="215">
        <f t="shared" si="52"/>
        <v>-1.1492929118314317E-2</v>
      </c>
      <c r="K82" s="286"/>
      <c r="L82" s="212">
        <f>L81-L71-L80</f>
        <v>-184743.95600000001</v>
      </c>
      <c r="M82" s="212">
        <f>M81-M71-M80</f>
        <v>1698848.55</v>
      </c>
      <c r="N82" s="213">
        <f>N81-N71-N80</f>
        <v>1484413.1736889244</v>
      </c>
      <c r="O82" s="215">
        <f t="shared" si="53"/>
        <v>3.4786191994529285</v>
      </c>
      <c r="P82" s="286"/>
      <c r="Q82" s="212">
        <f>Q81-Q71-Q80</f>
        <v>-153656.47</v>
      </c>
      <c r="R82" s="212">
        <f>R81-R71-R80</f>
        <v>-68642.459999999992</v>
      </c>
      <c r="S82" s="213">
        <f>S81-S71-S80</f>
        <v>-231659.26545454544</v>
      </c>
      <c r="T82" s="215">
        <f t="shared" si="54"/>
        <v>-0.54287740288555286</v>
      </c>
      <c r="U82" s="286"/>
      <c r="V82" s="212">
        <f>V81-V71-V80</f>
        <v>-220329.38800000004</v>
      </c>
      <c r="W82" s="212">
        <f>W81-W71-W80</f>
        <v>2426986.2399999998</v>
      </c>
      <c r="X82" s="213">
        <f>X81-X71-X80</f>
        <v>2159812.8010909092</v>
      </c>
      <c r="Y82" s="215">
        <f t="shared" si="55"/>
        <v>5.0613713285958175</v>
      </c>
      <c r="Z82" s="286"/>
      <c r="AA82" s="212">
        <f>AA81-AA71-AA80</f>
        <v>-559639.81400000001</v>
      </c>
      <c r="AB82" s="212">
        <f>AB81-AB71-AB80</f>
        <v>4053677.3299999996</v>
      </c>
      <c r="AC82" s="213">
        <f>AC81-AC71-AC80</f>
        <v>3408405.2500909083</v>
      </c>
      <c r="AD82" s="82"/>
      <c r="AE82" s="82"/>
      <c r="AF82" s="212">
        <f>AF81-AF71-AF80</f>
        <v>-442441.18599999993</v>
      </c>
      <c r="AG82" s="212">
        <f>AG81-AG71-AG80</f>
        <v>-1444568.3599999996</v>
      </c>
      <c r="AH82" s="213">
        <f>AH81-AH71-AH80</f>
        <v>-2123197.9164545452</v>
      </c>
      <c r="AI82" s="82"/>
      <c r="AJ82" s="82"/>
    </row>
    <row r="83" spans="1:36" s="2" customFormat="1" ht="13.8" outlineLevel="3" x14ac:dyDescent="0.25">
      <c r="A83" s="229"/>
      <c r="B83" s="216" t="s">
        <v>44</v>
      </c>
      <c r="C83" s="141"/>
      <c r="D83" s="142"/>
      <c r="E83" s="146">
        <f>C83+D83</f>
        <v>0</v>
      </c>
      <c r="F83" s="217">
        <f>E83/$E$87</f>
        <v>0</v>
      </c>
      <c r="G83" s="102"/>
      <c r="H83" s="102"/>
      <c r="I83" s="146">
        <f>G83+H83</f>
        <v>0</v>
      </c>
      <c r="J83" s="218">
        <f t="shared" si="52"/>
        <v>0</v>
      </c>
      <c r="K83" s="287"/>
      <c r="L83" s="102"/>
      <c r="M83" s="102"/>
      <c r="N83" s="146">
        <f>L83+M83</f>
        <v>0</v>
      </c>
      <c r="O83" s="218">
        <f t="shared" si="53"/>
        <v>0</v>
      </c>
      <c r="P83" s="287"/>
      <c r="Q83" s="102"/>
      <c r="R83" s="102"/>
      <c r="S83" s="146">
        <f>Q83+R83</f>
        <v>0</v>
      </c>
      <c r="T83" s="218">
        <f t="shared" si="54"/>
        <v>0</v>
      </c>
      <c r="U83" s="287"/>
      <c r="V83" s="102"/>
      <c r="W83" s="102"/>
      <c r="X83" s="146">
        <f>V83+W83</f>
        <v>0</v>
      </c>
      <c r="Y83" s="218">
        <f t="shared" si="55"/>
        <v>0</v>
      </c>
      <c r="Z83" s="287"/>
      <c r="AA83" s="102">
        <f>L83</f>
        <v>0</v>
      </c>
      <c r="AB83" s="102">
        <f>M83</f>
        <v>0</v>
      </c>
      <c r="AC83" s="219">
        <f>AA83+AB83*1.15</f>
        <v>0</v>
      </c>
      <c r="AD83" s="102"/>
      <c r="AE83" s="102"/>
      <c r="AF83" s="220">
        <f>C83-AA83</f>
        <v>0</v>
      </c>
      <c r="AG83" s="220">
        <f>D83-AB83</f>
        <v>0</v>
      </c>
      <c r="AH83" s="220">
        <f>AF83+AG83*1.15</f>
        <v>0</v>
      </c>
      <c r="AI83" s="218">
        <f>AH83/$E$87</f>
        <v>0</v>
      </c>
      <c r="AJ83" s="102"/>
    </row>
    <row r="84" spans="1:36" s="2" customFormat="1" ht="27.6" x14ac:dyDescent="0.25">
      <c r="A84" s="11"/>
      <c r="B84" s="37" t="s">
        <v>50</v>
      </c>
      <c r="C84" s="149">
        <f>C82-C83</f>
        <v>-1002081</v>
      </c>
      <c r="D84" s="149">
        <f>D82-D83</f>
        <v>2609108.9699999997</v>
      </c>
      <c r="E84" s="150">
        <f>E82-E83</f>
        <v>1607027.9699999997</v>
      </c>
      <c r="F84" s="175"/>
      <c r="G84" s="72">
        <f>G82-G83</f>
        <v>-910</v>
      </c>
      <c r="H84" s="72">
        <f>H82-H83</f>
        <v>-3515</v>
      </c>
      <c r="I84" s="73">
        <f>I82-I83</f>
        <v>-4904.318181818182</v>
      </c>
      <c r="J84" s="200"/>
      <c r="K84" s="288"/>
      <c r="L84" s="72">
        <f>L82-L83</f>
        <v>-184743.95600000001</v>
      </c>
      <c r="M84" s="72">
        <f>M82-M83</f>
        <v>1698848.55</v>
      </c>
      <c r="N84" s="73">
        <f>N82-N83</f>
        <v>1484413.1736889244</v>
      </c>
      <c r="O84" s="200"/>
      <c r="P84" s="288"/>
      <c r="Q84" s="72">
        <f>Q82-Q83</f>
        <v>-153656.47</v>
      </c>
      <c r="R84" s="72">
        <f>R82-R83</f>
        <v>-68642.459999999992</v>
      </c>
      <c r="S84" s="73">
        <f>S82-S83</f>
        <v>-231659.26545454544</v>
      </c>
      <c r="T84" s="200"/>
      <c r="U84" s="288"/>
      <c r="V84" s="72">
        <f>V82-V83</f>
        <v>-220329.38800000004</v>
      </c>
      <c r="W84" s="72">
        <f>W82-W83</f>
        <v>2426986.2399999998</v>
      </c>
      <c r="X84" s="73">
        <f>X82-X83</f>
        <v>2159812.8010909092</v>
      </c>
      <c r="Y84" s="200"/>
      <c r="Z84" s="288"/>
      <c r="AA84" s="149">
        <f>AA82-AA83</f>
        <v>-559639.81400000001</v>
      </c>
      <c r="AB84" s="149">
        <f>AB82-AB83</f>
        <v>4053677.3299999996</v>
      </c>
      <c r="AC84" s="150">
        <f>AC82-AC83</f>
        <v>3408405.2500909083</v>
      </c>
      <c r="AD84" s="73"/>
      <c r="AE84" s="73"/>
      <c r="AF84" s="72">
        <f>AF82-AF83</f>
        <v>-442441.18599999993</v>
      </c>
      <c r="AG84" s="72">
        <f>AG82-AG83</f>
        <v>-1444568.3599999996</v>
      </c>
      <c r="AH84" s="73">
        <f>AH82-AH83</f>
        <v>-2123197.9164545452</v>
      </c>
      <c r="AI84" s="73"/>
      <c r="AJ84" s="73"/>
    </row>
    <row r="85" spans="1:36" s="2" customFormat="1" ht="14.4" thickBot="1" x14ac:dyDescent="0.3">
      <c r="A85" s="231"/>
      <c r="B85" s="29" t="s">
        <v>51</v>
      </c>
      <c r="C85" s="155" t="e">
        <f>C84/C5</f>
        <v>#DIV/0!</v>
      </c>
      <c r="D85" s="155">
        <f>D84/D5</f>
        <v>0.5250638564383473</v>
      </c>
      <c r="E85" s="156">
        <f>E84/E5</f>
        <v>0.32340247687412177</v>
      </c>
      <c r="F85" s="176"/>
      <c r="G85" s="74" t="e">
        <f>G84/G5</f>
        <v>#DIV/0!</v>
      </c>
      <c r="H85" s="74" t="e">
        <f>H84/H5</f>
        <v>#DIV/0!</v>
      </c>
      <c r="I85" s="75" t="e">
        <f>I84/I5</f>
        <v>#DIV/0!</v>
      </c>
      <c r="J85" s="201"/>
      <c r="K85" s="289"/>
      <c r="L85" s="74" t="e">
        <f>L84/L5</f>
        <v>#DIV/0!</v>
      </c>
      <c r="M85" s="74">
        <f>M84/M5</f>
        <v>0.88891987391805305</v>
      </c>
      <c r="N85" s="75">
        <f>N84/N5</f>
        <v>0.77671689521579523</v>
      </c>
      <c r="O85" s="201"/>
      <c r="P85" s="289"/>
      <c r="Q85" s="74" t="e">
        <f>Q84/Q5</f>
        <v>#DIV/0!</v>
      </c>
      <c r="R85" s="74" t="e">
        <f>R84/R5</f>
        <v>#DIV/0!</v>
      </c>
      <c r="S85" s="75" t="e">
        <f>S84/S5</f>
        <v>#DIV/0!</v>
      </c>
      <c r="T85" s="201"/>
      <c r="U85" s="289"/>
      <c r="V85" s="74" t="e">
        <f>V84/V5</f>
        <v>#DIV/0!</v>
      </c>
      <c r="W85" s="74">
        <f>W84/W5</f>
        <v>0.87600725885314479</v>
      </c>
      <c r="X85" s="75">
        <f>X84/X5</f>
        <v>0.77957248390480371</v>
      </c>
      <c r="Y85" s="201"/>
      <c r="Z85" s="289"/>
      <c r="AA85" s="155" t="e">
        <f>AA84/AA5</f>
        <v>#DIV/0!</v>
      </c>
      <c r="AB85" s="155">
        <f>AB84/AB5</f>
        <v>0.86586559976812272</v>
      </c>
      <c r="AC85" s="156">
        <f>AC84/AC5</f>
        <v>0.72803546406659425</v>
      </c>
      <c r="AD85" s="75"/>
      <c r="AE85" s="75"/>
      <c r="AF85" s="74" t="e">
        <f>AF84/AF5</f>
        <v>#DIV/0!</v>
      </c>
      <c r="AG85" s="74">
        <f>AG84/AG5</f>
        <v>-5.0249405792805657</v>
      </c>
      <c r="AH85" s="75">
        <f>AH84/AH5</f>
        <v>-7.3855579726503189</v>
      </c>
      <c r="AI85" s="75"/>
      <c r="AJ85" s="75"/>
    </row>
    <row r="86" spans="1:36" ht="13.8" x14ac:dyDescent="0.25">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76"/>
      <c r="AE86" s="76"/>
      <c r="AF86" s="76"/>
      <c r="AG86" s="76"/>
      <c r="AH86" s="76"/>
      <c r="AI86" s="76"/>
      <c r="AJ86" s="76"/>
    </row>
    <row r="87" spans="1:36" x14ac:dyDescent="0.25">
      <c r="B87" s="221" t="s">
        <v>56</v>
      </c>
      <c r="C87" s="153"/>
      <c r="D87" s="153"/>
      <c r="E87" s="154">
        <f>E8+E34+E39+E48+E52+E71+E77+E80+E83</f>
        <v>3362099</v>
      </c>
      <c r="F87" s="189"/>
      <c r="I87" s="154">
        <f>I8+I34+I39+I48+I52+I71+I77+I80+I83</f>
        <v>4904.318181818182</v>
      </c>
      <c r="N87" s="154">
        <f>N8+N34+N39+N48+N52+N71+N77+N80+N83</f>
        <v>426724.82631107577</v>
      </c>
      <c r="S87" s="154">
        <f>S8+S34+S39+S48+S52+S71+S77+S80+S83</f>
        <v>231659.26545454544</v>
      </c>
      <c r="X87" s="154">
        <f>X8+X34+X39+X48+X52+X71+X77+X80+X83</f>
        <v>610696.47890909098</v>
      </c>
      <c r="AC87" s="154">
        <f>AC8+AC34+AC39+AC48+AC52+AC71+AC77+AC80+AC83</f>
        <v>1273242.0299090908</v>
      </c>
      <c r="AH87" s="154">
        <f>AH8+AH34+AH39+AH48+AH52+AH71+AH77+AH80+AH83</f>
        <v>2410677.6064545456</v>
      </c>
    </row>
    <row r="88" spans="1:36" x14ac:dyDescent="0.25">
      <c r="C88" s="153"/>
      <c r="D88" s="153"/>
      <c r="E88" s="153"/>
    </row>
    <row r="89" spans="1:36" s="2" customFormat="1" x14ac:dyDescent="0.25">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row>
    <row r="90" spans="1:36" x14ac:dyDescent="0.25">
      <c r="C90" s="38"/>
      <c r="D90" s="38"/>
    </row>
    <row r="91" spans="1:36" s="2" customFormat="1" x14ac:dyDescent="0.25">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row>
    <row r="92" spans="1:36" s="2" customFormat="1" x14ac:dyDescent="0.25">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row>
    <row r="93" spans="1:36" s="2" customFormat="1" x14ac:dyDescent="0.25">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row>
    <row r="94" spans="1:36" s="2" customFormat="1" x14ac:dyDescent="0.25">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row>
    <row r="95" spans="1:36" x14ac:dyDescent="0.25">
      <c r="C95" s="38"/>
      <c r="D95" s="38"/>
    </row>
    <row r="96" spans="1:36" s="2" customFormat="1" x14ac:dyDescent="0.25">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row>
    <row r="97" spans="3:4" x14ac:dyDescent="0.25">
      <c r="C97" s="38"/>
      <c r="D97" s="38"/>
    </row>
  </sheetData>
  <mergeCells count="9">
    <mergeCell ref="A40:A46"/>
    <mergeCell ref="A2:F2"/>
    <mergeCell ref="L2:O3"/>
    <mergeCell ref="AA2:AE3"/>
    <mergeCell ref="AF2:AJ3"/>
    <mergeCell ref="A3:F3"/>
    <mergeCell ref="Q2:T3"/>
    <mergeCell ref="V2:Y3"/>
    <mergeCell ref="G2:J3"/>
  </mergeCells>
  <pageMargins left="0.39370078740157483" right="0.19685039370078741" top="0.19685039370078741" bottom="0.19685039370078741" header="0.11811023622047245" footer="0.11811023622047245"/>
  <pageSetup paperSize="9" scale="43" orientation="portrait" horizontalDpi="4294967295" verticalDpi="4294967295"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7:L46"/>
  <sheetViews>
    <sheetView view="pageBreakPreview" zoomScale="60" zoomScaleNormal="100" workbookViewId="0">
      <selection activeCell="E26" sqref="E26"/>
    </sheetView>
  </sheetViews>
  <sheetFormatPr defaultRowHeight="14.4" x14ac:dyDescent="0.3"/>
  <cols>
    <col min="1" max="1" width="32.6640625" customWidth="1"/>
    <col min="2" max="2" width="36.6640625" customWidth="1"/>
    <col min="3" max="3" width="32.6640625" customWidth="1"/>
  </cols>
  <sheetData>
    <row r="7" spans="1:12" ht="15" thickBot="1" x14ac:dyDescent="0.35">
      <c r="A7" s="227"/>
      <c r="B7" s="227"/>
      <c r="C7" s="227"/>
      <c r="D7" s="227"/>
      <c r="E7" s="227"/>
      <c r="F7" s="227"/>
      <c r="G7" s="227"/>
      <c r="H7" s="227"/>
      <c r="I7" s="227"/>
      <c r="J7" s="227"/>
      <c r="K7" s="227"/>
    </row>
    <row r="8" spans="1:12" ht="15" thickBot="1" x14ac:dyDescent="0.35">
      <c r="A8" s="371" t="s">
        <v>402</v>
      </c>
      <c r="B8" s="371" t="s">
        <v>403</v>
      </c>
      <c r="C8" s="371" t="s">
        <v>404</v>
      </c>
      <c r="D8" s="4138" t="s">
        <v>405</v>
      </c>
      <c r="E8" s="227"/>
      <c r="F8" s="227"/>
      <c r="G8" s="227"/>
      <c r="H8" s="227"/>
      <c r="I8" s="227"/>
      <c r="J8" s="227"/>
      <c r="K8" s="227"/>
      <c r="L8" s="227"/>
    </row>
    <row r="9" spans="1:12" ht="15" thickBot="1" x14ac:dyDescent="0.35">
      <c r="A9" s="371" t="s">
        <v>406</v>
      </c>
      <c r="B9" s="4135" t="s">
        <v>407</v>
      </c>
      <c r="C9" s="4137"/>
      <c r="D9" s="4139"/>
      <c r="E9" s="227"/>
      <c r="F9" s="227"/>
      <c r="G9" s="227"/>
      <c r="H9" s="227"/>
      <c r="I9" s="227"/>
      <c r="J9" s="227"/>
      <c r="K9" s="227"/>
      <c r="L9" s="227"/>
    </row>
    <row r="10" spans="1:12" ht="27" thickBot="1" x14ac:dyDescent="0.35">
      <c r="A10" s="372" t="s">
        <v>408</v>
      </c>
      <c r="B10" s="372" t="s">
        <v>409</v>
      </c>
      <c r="C10" s="372" t="s">
        <v>410</v>
      </c>
      <c r="D10" s="373">
        <v>9.08</v>
      </c>
      <c r="E10" s="227"/>
      <c r="F10" s="227"/>
      <c r="G10" s="227"/>
      <c r="H10" s="227"/>
      <c r="I10" s="227"/>
      <c r="J10" s="227"/>
      <c r="K10" s="227"/>
      <c r="L10" s="227"/>
    </row>
    <row r="11" spans="1:12" ht="15" thickBot="1" x14ac:dyDescent="0.35">
      <c r="A11" s="374" t="s">
        <v>411</v>
      </c>
      <c r="B11" s="4131"/>
      <c r="C11" s="4132"/>
      <c r="D11" s="349">
        <v>9.08</v>
      </c>
      <c r="E11" s="227"/>
      <c r="F11" s="227"/>
      <c r="G11" s="227"/>
      <c r="H11" s="227"/>
      <c r="I11" s="227"/>
      <c r="J11" s="227"/>
      <c r="K11" s="227"/>
      <c r="L11" s="227"/>
    </row>
    <row r="12" spans="1:12" ht="27" thickBot="1" x14ac:dyDescent="0.35">
      <c r="A12" s="372" t="s">
        <v>408</v>
      </c>
      <c r="B12" s="372" t="s">
        <v>412</v>
      </c>
      <c r="C12" s="372" t="s">
        <v>413</v>
      </c>
      <c r="D12" s="373">
        <v>7.5350000000000001</v>
      </c>
      <c r="E12" s="227"/>
      <c r="F12" s="227"/>
      <c r="G12" s="227"/>
      <c r="H12" s="227"/>
      <c r="I12" s="227"/>
      <c r="J12" s="227"/>
      <c r="K12" s="227"/>
      <c r="L12" s="227"/>
    </row>
    <row r="13" spans="1:12" ht="15" thickBot="1" x14ac:dyDescent="0.35">
      <c r="A13" s="374" t="s">
        <v>414</v>
      </c>
      <c r="B13" s="4131"/>
      <c r="C13" s="4132"/>
      <c r="D13" s="349">
        <v>7.5350000000000001</v>
      </c>
      <c r="E13" s="227"/>
      <c r="F13" s="227"/>
      <c r="G13" s="227"/>
      <c r="H13" s="227"/>
      <c r="I13" s="227"/>
      <c r="J13" s="227"/>
      <c r="K13" s="227"/>
      <c r="L13" s="227"/>
    </row>
    <row r="14" spans="1:12" ht="27" thickBot="1" x14ac:dyDescent="0.35">
      <c r="A14" s="372" t="s">
        <v>408</v>
      </c>
      <c r="B14" s="372" t="s">
        <v>415</v>
      </c>
      <c r="C14" s="372" t="s">
        <v>416</v>
      </c>
      <c r="D14" s="373">
        <v>0.71599999999999997</v>
      </c>
      <c r="E14" s="227"/>
      <c r="F14" s="227"/>
      <c r="G14" s="227"/>
      <c r="H14" s="227"/>
      <c r="I14" s="227"/>
      <c r="J14" s="227"/>
      <c r="K14" s="227"/>
      <c r="L14" s="227"/>
    </row>
    <row r="15" spans="1:12" ht="15" thickBot="1" x14ac:dyDescent="0.35">
      <c r="A15" s="374" t="s">
        <v>417</v>
      </c>
      <c r="B15" s="4131"/>
      <c r="C15" s="4132"/>
      <c r="D15" s="349">
        <v>0.71599999999999997</v>
      </c>
      <c r="E15" s="227"/>
      <c r="F15" s="227"/>
      <c r="G15" s="227"/>
      <c r="H15" s="227"/>
      <c r="I15" s="227"/>
      <c r="J15" s="227"/>
      <c r="K15" s="227"/>
      <c r="L15" s="227"/>
    </row>
    <row r="16" spans="1:12" ht="27" thickBot="1" x14ac:dyDescent="0.35">
      <c r="A16" s="372" t="s">
        <v>408</v>
      </c>
      <c r="B16" s="372" t="s">
        <v>418</v>
      </c>
      <c r="C16" s="372" t="s">
        <v>419</v>
      </c>
      <c r="D16" s="373">
        <v>19.254999999999999</v>
      </c>
      <c r="E16" s="227"/>
      <c r="F16" s="227"/>
      <c r="G16" s="227"/>
      <c r="H16" s="227"/>
      <c r="I16" s="227"/>
      <c r="J16" s="227"/>
      <c r="K16" s="227"/>
      <c r="L16" s="227"/>
    </row>
    <row r="17" spans="1:12" ht="15" thickBot="1" x14ac:dyDescent="0.35">
      <c r="A17" s="374" t="s">
        <v>420</v>
      </c>
      <c r="B17" s="4131"/>
      <c r="C17" s="4132"/>
      <c r="D17" s="349">
        <v>19.254999999999999</v>
      </c>
      <c r="E17" s="227"/>
      <c r="F17" s="227"/>
      <c r="G17" s="227"/>
      <c r="H17" s="227"/>
      <c r="I17" s="227"/>
      <c r="J17" s="227"/>
      <c r="K17" s="227"/>
      <c r="L17" s="227"/>
    </row>
    <row r="18" spans="1:12" ht="27" thickBot="1" x14ac:dyDescent="0.35">
      <c r="A18" s="372" t="s">
        <v>408</v>
      </c>
      <c r="B18" s="372" t="s">
        <v>421</v>
      </c>
      <c r="C18" s="372" t="s">
        <v>422</v>
      </c>
      <c r="D18" s="373">
        <v>20</v>
      </c>
      <c r="E18" s="227"/>
      <c r="F18" s="227"/>
      <c r="G18" s="227"/>
      <c r="H18" s="227"/>
      <c r="I18" s="227"/>
      <c r="J18" s="227"/>
      <c r="K18" s="227"/>
      <c r="L18" s="227"/>
    </row>
    <row r="19" spans="1:12" ht="15" thickBot="1" x14ac:dyDescent="0.35">
      <c r="A19" s="374" t="s">
        <v>423</v>
      </c>
      <c r="B19" s="4131"/>
      <c r="C19" s="4132"/>
      <c r="D19" s="349">
        <v>20</v>
      </c>
      <c r="E19" s="227"/>
      <c r="F19" s="227"/>
      <c r="G19" s="227"/>
      <c r="H19" s="227"/>
      <c r="I19" s="227"/>
      <c r="J19" s="227"/>
      <c r="K19" s="227"/>
      <c r="L19" s="227"/>
    </row>
    <row r="20" spans="1:12" ht="27" thickBot="1" x14ac:dyDescent="0.35">
      <c r="A20" s="372" t="s">
        <v>408</v>
      </c>
      <c r="B20" s="372" t="s">
        <v>424</v>
      </c>
      <c r="C20" s="372" t="s">
        <v>425</v>
      </c>
      <c r="D20" s="373">
        <v>20.704999999999998</v>
      </c>
      <c r="E20" s="227"/>
      <c r="F20" s="227"/>
      <c r="G20" s="227"/>
      <c r="H20" s="227"/>
      <c r="I20" s="227"/>
      <c r="J20" s="227"/>
      <c r="K20" s="227"/>
      <c r="L20" s="227"/>
    </row>
    <row r="21" spans="1:12" ht="15" thickBot="1" x14ac:dyDescent="0.35">
      <c r="A21" s="374" t="s">
        <v>426</v>
      </c>
      <c r="B21" s="4131"/>
      <c r="C21" s="4132"/>
      <c r="D21" s="349">
        <v>20.704999999999998</v>
      </c>
      <c r="E21" s="227"/>
      <c r="F21" s="227"/>
      <c r="G21" s="227"/>
      <c r="H21" s="227"/>
      <c r="I21" s="227"/>
      <c r="J21" s="227"/>
      <c r="K21" s="227"/>
      <c r="L21" s="227"/>
    </row>
    <row r="22" spans="1:12" ht="27" thickBot="1" x14ac:dyDescent="0.35">
      <c r="A22" s="372" t="s">
        <v>408</v>
      </c>
      <c r="B22" s="372" t="s">
        <v>427</v>
      </c>
      <c r="C22" s="372" t="s">
        <v>428</v>
      </c>
      <c r="D22" s="373">
        <v>18</v>
      </c>
      <c r="E22" s="227"/>
      <c r="F22" s="227"/>
      <c r="G22" s="227"/>
      <c r="H22" s="227"/>
      <c r="I22" s="227"/>
      <c r="J22" s="227"/>
      <c r="K22" s="227"/>
      <c r="L22" s="227"/>
    </row>
    <row r="23" spans="1:12" ht="15" thickBot="1" x14ac:dyDescent="0.35">
      <c r="A23" s="374" t="s">
        <v>429</v>
      </c>
      <c r="B23" s="4131"/>
      <c r="C23" s="4132"/>
      <c r="D23" s="349">
        <v>18</v>
      </c>
      <c r="E23" s="227"/>
      <c r="F23" s="227"/>
      <c r="G23" s="227"/>
      <c r="H23" s="227"/>
      <c r="I23" s="227"/>
      <c r="J23" s="227"/>
      <c r="K23" s="227"/>
      <c r="L23" s="227"/>
    </row>
    <row r="24" spans="1:12" ht="27" thickBot="1" x14ac:dyDescent="0.35">
      <c r="A24" s="372" t="s">
        <v>408</v>
      </c>
      <c r="B24" s="372" t="s">
        <v>430</v>
      </c>
      <c r="C24" s="372" t="s">
        <v>431</v>
      </c>
      <c r="D24" s="373">
        <v>15.72</v>
      </c>
      <c r="E24" s="227"/>
      <c r="F24" s="227"/>
      <c r="G24" s="227"/>
      <c r="H24" s="227"/>
      <c r="I24" s="227"/>
      <c r="J24" s="227"/>
      <c r="K24" s="227"/>
      <c r="L24" s="227"/>
    </row>
    <row r="25" spans="1:12" ht="15" thickBot="1" x14ac:dyDescent="0.35">
      <c r="A25" s="374" t="s">
        <v>432</v>
      </c>
      <c r="B25" s="4131"/>
      <c r="C25" s="4132"/>
      <c r="D25" s="349">
        <v>15.72</v>
      </c>
      <c r="E25" s="227"/>
      <c r="F25" s="227"/>
      <c r="G25" s="227"/>
      <c r="H25" s="227"/>
      <c r="I25" s="227"/>
      <c r="J25" s="227"/>
      <c r="K25" s="227"/>
      <c r="L25" s="227"/>
    </row>
    <row r="26" spans="1:12" ht="27" thickBot="1" x14ac:dyDescent="0.35">
      <c r="A26" s="372" t="s">
        <v>408</v>
      </c>
      <c r="B26" s="372" t="s">
        <v>433</v>
      </c>
      <c r="C26" s="372" t="s">
        <v>434</v>
      </c>
      <c r="D26" s="373">
        <v>18.7</v>
      </c>
      <c r="E26" s="227"/>
      <c r="F26" s="227"/>
      <c r="G26" s="227"/>
      <c r="H26" s="227"/>
      <c r="I26" s="227"/>
      <c r="J26" s="227"/>
      <c r="K26" s="227"/>
      <c r="L26" s="227"/>
    </row>
    <row r="27" spans="1:12" ht="15" thickBot="1" x14ac:dyDescent="0.35">
      <c r="A27" s="374" t="s">
        <v>435</v>
      </c>
      <c r="B27" s="4131"/>
      <c r="C27" s="4132"/>
      <c r="D27" s="349">
        <v>18.7</v>
      </c>
      <c r="E27" s="227"/>
      <c r="F27" s="227"/>
      <c r="G27" s="227"/>
      <c r="H27" s="227"/>
      <c r="I27" s="227"/>
      <c r="J27" s="227"/>
      <c r="K27" s="227"/>
      <c r="L27" s="227"/>
    </row>
    <row r="28" spans="1:12" ht="27" thickBot="1" x14ac:dyDescent="0.35">
      <c r="A28" s="372" t="s">
        <v>408</v>
      </c>
      <c r="B28" s="372" t="s">
        <v>436</v>
      </c>
      <c r="C28" s="372" t="s">
        <v>437</v>
      </c>
      <c r="D28" s="373">
        <v>14.62</v>
      </c>
      <c r="E28" s="227"/>
      <c r="F28" s="227"/>
      <c r="G28" s="227"/>
      <c r="H28" s="227"/>
      <c r="I28" s="227"/>
      <c r="J28" s="227"/>
      <c r="K28" s="227"/>
      <c r="L28" s="227"/>
    </row>
    <row r="29" spans="1:12" ht="15" thickBot="1" x14ac:dyDescent="0.35">
      <c r="A29" s="374" t="s">
        <v>438</v>
      </c>
      <c r="B29" s="4131"/>
      <c r="C29" s="4132"/>
      <c r="D29" s="349">
        <v>14.62</v>
      </c>
      <c r="E29" s="227"/>
      <c r="F29" s="227"/>
      <c r="G29" s="227"/>
      <c r="H29" s="227"/>
      <c r="I29" s="227"/>
      <c r="J29" s="227"/>
      <c r="K29" s="227"/>
      <c r="L29" s="227"/>
    </row>
    <row r="30" spans="1:12" ht="27" thickBot="1" x14ac:dyDescent="0.35">
      <c r="A30" s="372" t="s">
        <v>408</v>
      </c>
      <c r="B30" s="372" t="s">
        <v>439</v>
      </c>
      <c r="C30" s="372" t="s">
        <v>440</v>
      </c>
      <c r="D30" s="373">
        <v>21.975000000000001</v>
      </c>
      <c r="E30" s="227"/>
      <c r="F30" s="227"/>
      <c r="G30" s="227"/>
      <c r="H30" s="227"/>
      <c r="I30" s="227"/>
      <c r="J30" s="227"/>
      <c r="K30" s="227"/>
      <c r="L30" s="227"/>
    </row>
    <row r="31" spans="1:12" ht="15" thickBot="1" x14ac:dyDescent="0.35">
      <c r="A31" s="374" t="s">
        <v>441</v>
      </c>
      <c r="B31" s="4131"/>
      <c r="C31" s="4132"/>
      <c r="D31" s="349">
        <v>21.975000000000001</v>
      </c>
      <c r="E31" s="227"/>
      <c r="F31" s="227"/>
      <c r="G31" s="227"/>
      <c r="H31" s="227"/>
      <c r="I31" s="227"/>
      <c r="J31" s="227"/>
      <c r="K31" s="227"/>
      <c r="L31" s="227"/>
    </row>
    <row r="32" spans="1:12" ht="27" thickBot="1" x14ac:dyDescent="0.35">
      <c r="A32" s="372" t="s">
        <v>408</v>
      </c>
      <c r="B32" s="372" t="s">
        <v>442</v>
      </c>
      <c r="C32" s="372" t="s">
        <v>443</v>
      </c>
      <c r="D32" s="373">
        <v>18</v>
      </c>
      <c r="E32" s="227"/>
      <c r="F32" s="227"/>
      <c r="G32" s="227"/>
      <c r="H32" s="227"/>
      <c r="I32" s="227"/>
      <c r="J32" s="227"/>
      <c r="K32" s="227"/>
      <c r="L32" s="227"/>
    </row>
    <row r="33" spans="1:12" ht="15" thickBot="1" x14ac:dyDescent="0.35">
      <c r="A33" s="374" t="s">
        <v>444</v>
      </c>
      <c r="B33" s="4131"/>
      <c r="C33" s="4132"/>
      <c r="D33" s="349">
        <v>18</v>
      </c>
      <c r="E33" s="227"/>
      <c r="F33" s="227"/>
      <c r="G33" s="227"/>
      <c r="H33" s="227"/>
      <c r="I33" s="227"/>
      <c r="J33" s="227"/>
      <c r="K33" s="227"/>
      <c r="L33" s="227"/>
    </row>
    <row r="34" spans="1:12" ht="27" thickBot="1" x14ac:dyDescent="0.35">
      <c r="A34" s="372" t="s">
        <v>408</v>
      </c>
      <c r="B34" s="372" t="s">
        <v>445</v>
      </c>
      <c r="C34" s="372" t="s">
        <v>446</v>
      </c>
      <c r="D34" s="373">
        <v>7.35</v>
      </c>
      <c r="E34" s="227"/>
      <c r="F34" s="227"/>
      <c r="G34" s="227"/>
      <c r="H34" s="227"/>
      <c r="I34" s="227"/>
      <c r="J34" s="227"/>
      <c r="K34" s="227"/>
      <c r="L34" s="227"/>
    </row>
    <row r="35" spans="1:12" ht="15" thickBot="1" x14ac:dyDescent="0.35">
      <c r="A35" s="374" t="s">
        <v>447</v>
      </c>
      <c r="B35" s="4131"/>
      <c r="C35" s="4132"/>
      <c r="D35" s="349">
        <v>7.35</v>
      </c>
      <c r="E35" s="227"/>
      <c r="F35" s="227"/>
      <c r="G35" s="227"/>
      <c r="H35" s="227"/>
      <c r="I35" s="227"/>
      <c r="J35" s="227"/>
      <c r="K35" s="227"/>
      <c r="L35" s="227"/>
    </row>
    <row r="36" spans="1:12" ht="27" thickBot="1" x14ac:dyDescent="0.35">
      <c r="A36" s="372" t="s">
        <v>408</v>
      </c>
      <c r="B36" s="372" t="s">
        <v>448</v>
      </c>
      <c r="C36" s="372" t="s">
        <v>449</v>
      </c>
      <c r="D36" s="373">
        <v>15.79</v>
      </c>
      <c r="E36" s="227"/>
      <c r="F36" s="227"/>
      <c r="G36" s="227"/>
      <c r="H36" s="227"/>
      <c r="I36" s="227"/>
      <c r="J36" s="227"/>
      <c r="K36" s="227"/>
      <c r="L36" s="227"/>
    </row>
    <row r="37" spans="1:12" ht="15" thickBot="1" x14ac:dyDescent="0.35">
      <c r="A37" s="374" t="s">
        <v>450</v>
      </c>
      <c r="B37" s="4131"/>
      <c r="C37" s="4132"/>
      <c r="D37" s="349">
        <v>15.79</v>
      </c>
      <c r="E37" s="227"/>
      <c r="F37" s="227"/>
      <c r="G37" s="227"/>
      <c r="H37" s="227"/>
      <c r="I37" s="227"/>
      <c r="J37" s="227"/>
      <c r="K37" s="227"/>
      <c r="L37" s="227"/>
    </row>
    <row r="38" spans="1:12" ht="27" thickBot="1" x14ac:dyDescent="0.35">
      <c r="A38" s="372" t="s">
        <v>408</v>
      </c>
      <c r="B38" s="372" t="s">
        <v>451</v>
      </c>
      <c r="C38" s="372" t="s">
        <v>452</v>
      </c>
      <c r="D38" s="373">
        <v>18.059999999999999</v>
      </c>
      <c r="E38" s="227"/>
      <c r="F38" s="227"/>
      <c r="G38" s="227"/>
      <c r="H38" s="227"/>
      <c r="I38" s="227"/>
      <c r="J38" s="227"/>
      <c r="K38" s="227"/>
      <c r="L38" s="227"/>
    </row>
    <row r="39" spans="1:12" ht="15" thickBot="1" x14ac:dyDescent="0.35">
      <c r="A39" s="374" t="s">
        <v>453</v>
      </c>
      <c r="B39" s="4131"/>
      <c r="C39" s="4132"/>
      <c r="D39" s="349">
        <v>18.059999999999999</v>
      </c>
      <c r="E39" s="227"/>
      <c r="F39" s="227"/>
      <c r="G39" s="227"/>
      <c r="H39" s="227"/>
      <c r="I39" s="227"/>
      <c r="J39" s="227"/>
      <c r="K39" s="227"/>
      <c r="L39" s="227"/>
    </row>
    <row r="40" spans="1:12" ht="27" thickBot="1" x14ac:dyDescent="0.35">
      <c r="A40" s="372" t="s">
        <v>408</v>
      </c>
      <c r="B40" s="372" t="s">
        <v>454</v>
      </c>
      <c r="C40" s="372" t="s">
        <v>455</v>
      </c>
      <c r="D40" s="373">
        <v>15.92</v>
      </c>
      <c r="E40" s="227"/>
      <c r="F40" s="227"/>
      <c r="G40" s="227"/>
      <c r="H40" s="227"/>
      <c r="I40" s="227"/>
      <c r="J40" s="227"/>
      <c r="K40" s="227"/>
      <c r="L40" s="227"/>
    </row>
    <row r="41" spans="1:12" ht="15" thickBot="1" x14ac:dyDescent="0.35">
      <c r="A41" s="374" t="s">
        <v>456</v>
      </c>
      <c r="B41" s="4131"/>
      <c r="C41" s="4132"/>
      <c r="D41" s="349">
        <v>15.92</v>
      </c>
      <c r="E41" s="227"/>
      <c r="F41" s="227"/>
      <c r="G41" s="227"/>
      <c r="H41" s="227"/>
      <c r="I41" s="227"/>
      <c r="J41" s="227"/>
      <c r="K41" s="227"/>
      <c r="L41" s="227"/>
    </row>
    <row r="42" spans="1:12" ht="27" thickBot="1" x14ac:dyDescent="0.35">
      <c r="A42" s="372" t="s">
        <v>408</v>
      </c>
      <c r="B42" s="372" t="s">
        <v>457</v>
      </c>
      <c r="C42" s="372" t="s">
        <v>458</v>
      </c>
      <c r="D42" s="373">
        <v>0.7</v>
      </c>
      <c r="E42" s="227"/>
      <c r="F42" s="227"/>
      <c r="G42" s="227"/>
      <c r="H42" s="227"/>
      <c r="I42" s="227"/>
      <c r="J42" s="227"/>
      <c r="K42" s="227"/>
      <c r="L42" s="227"/>
    </row>
    <row r="43" spans="1:12" ht="15" thickBot="1" x14ac:dyDescent="0.35">
      <c r="A43" s="374" t="s">
        <v>459</v>
      </c>
      <c r="B43" s="4131"/>
      <c r="C43" s="4132"/>
      <c r="D43" s="349">
        <v>0.7</v>
      </c>
      <c r="E43" s="227"/>
      <c r="F43" s="227"/>
      <c r="G43" s="227"/>
      <c r="H43" s="227"/>
      <c r="I43" s="227"/>
      <c r="J43" s="227"/>
      <c r="K43" s="227"/>
      <c r="L43" s="227"/>
    </row>
    <row r="44" spans="1:12" ht="27" thickBot="1" x14ac:dyDescent="0.35">
      <c r="A44" s="372" t="s">
        <v>460</v>
      </c>
      <c r="B44" s="372" t="s">
        <v>461</v>
      </c>
      <c r="C44" s="372" t="s">
        <v>462</v>
      </c>
      <c r="D44" s="373">
        <v>2</v>
      </c>
      <c r="E44" s="227"/>
      <c r="F44" s="227"/>
      <c r="G44" s="227"/>
      <c r="H44" s="227"/>
      <c r="I44" s="227"/>
      <c r="J44" s="227"/>
      <c r="K44" s="227"/>
      <c r="L44" s="227"/>
    </row>
    <row r="45" spans="1:12" ht="15" thickBot="1" x14ac:dyDescent="0.35">
      <c r="A45" s="374" t="s">
        <v>461</v>
      </c>
      <c r="B45" s="4133"/>
      <c r="C45" s="4134"/>
      <c r="D45" s="349">
        <v>2</v>
      </c>
      <c r="E45" s="227"/>
      <c r="F45" s="227"/>
      <c r="G45" s="227"/>
      <c r="H45" s="227"/>
      <c r="I45" s="227"/>
      <c r="J45" s="227"/>
      <c r="K45" s="227"/>
      <c r="L45" s="227"/>
    </row>
    <row r="46" spans="1:12" ht="15" thickBot="1" x14ac:dyDescent="0.35">
      <c r="A46" s="4135" t="s">
        <v>463</v>
      </c>
      <c r="B46" s="4136"/>
      <c r="C46" s="4137"/>
      <c r="D46" s="375">
        <v>244.126</v>
      </c>
      <c r="E46" s="227"/>
      <c r="F46" s="227"/>
      <c r="G46" s="227"/>
      <c r="H46" s="227"/>
      <c r="I46" s="227"/>
      <c r="J46" s="227"/>
      <c r="K46" s="227"/>
      <c r="L46" s="227"/>
    </row>
  </sheetData>
  <mergeCells count="21">
    <mergeCell ref="B29:C29"/>
    <mergeCell ref="D8:D9"/>
    <mergeCell ref="B9:C9"/>
    <mergeCell ref="B11:C11"/>
    <mergeCell ref="B13:C13"/>
    <mergeCell ref="B15:C15"/>
    <mergeCell ref="B17:C17"/>
    <mergeCell ref="B19:C19"/>
    <mergeCell ref="B21:C21"/>
    <mergeCell ref="B23:C23"/>
    <mergeCell ref="B25:C25"/>
    <mergeCell ref="B27:C27"/>
    <mergeCell ref="B43:C43"/>
    <mergeCell ref="B45:C45"/>
    <mergeCell ref="A46:C46"/>
    <mergeCell ref="B31:C31"/>
    <mergeCell ref="B33:C33"/>
    <mergeCell ref="B35:C35"/>
    <mergeCell ref="B37:C37"/>
    <mergeCell ref="B39:C39"/>
    <mergeCell ref="B41:C41"/>
  </mergeCells>
  <pageMargins left="0.7" right="0.7" top="0.75" bottom="0.75" header="0.3" footer="0.3"/>
  <pageSetup paperSize="9" scale="7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CC"/>
  </sheetPr>
  <dimension ref="A3:Q19"/>
  <sheetViews>
    <sheetView workbookViewId="0">
      <selection activeCell="O20" sqref="O20"/>
    </sheetView>
  </sheetViews>
  <sheetFormatPr defaultRowHeight="14.4" x14ac:dyDescent="0.3"/>
  <cols>
    <col min="2" max="11" width="9.88671875" bestFit="1" customWidth="1"/>
    <col min="14" max="14" width="14.88671875" bestFit="1" customWidth="1"/>
  </cols>
  <sheetData>
    <row r="3" spans="1:17" x14ac:dyDescent="0.3">
      <c r="B3" t="s">
        <v>247</v>
      </c>
      <c r="P3" t="s">
        <v>254</v>
      </c>
      <c r="Q3" t="s">
        <v>255</v>
      </c>
    </row>
    <row r="4" spans="1:17" x14ac:dyDescent="0.3">
      <c r="B4">
        <v>1</v>
      </c>
      <c r="C4">
        <v>2</v>
      </c>
      <c r="D4">
        <v>3</v>
      </c>
      <c r="E4">
        <v>4</v>
      </c>
      <c r="F4">
        <v>5</v>
      </c>
      <c r="G4">
        <v>6</v>
      </c>
      <c r="H4">
        <v>7</v>
      </c>
      <c r="I4">
        <v>8</v>
      </c>
      <c r="J4">
        <v>9</v>
      </c>
      <c r="K4">
        <v>10</v>
      </c>
      <c r="L4">
        <v>11</v>
      </c>
      <c r="M4">
        <v>12</v>
      </c>
      <c r="P4">
        <v>10</v>
      </c>
      <c r="Q4">
        <v>10</v>
      </c>
    </row>
    <row r="5" spans="1:17" ht="15" thickBot="1" x14ac:dyDescent="0.35">
      <c r="A5" s="227"/>
      <c r="B5">
        <v>3477</v>
      </c>
      <c r="C5">
        <v>3856</v>
      </c>
      <c r="D5">
        <v>3422</v>
      </c>
      <c r="E5">
        <v>3514</v>
      </c>
      <c r="F5">
        <v>3165</v>
      </c>
      <c r="G5">
        <v>2282</v>
      </c>
      <c r="H5">
        <v>5053</v>
      </c>
      <c r="I5">
        <v>4720</v>
      </c>
      <c r="J5">
        <v>4882</v>
      </c>
      <c r="K5">
        <v>5679</v>
      </c>
      <c r="P5">
        <v>1329</v>
      </c>
      <c r="Q5">
        <v>4307</v>
      </c>
    </row>
    <row r="6" spans="1:17" ht="21" thickBot="1" x14ac:dyDescent="0.35">
      <c r="A6" s="343" t="s">
        <v>250</v>
      </c>
      <c r="B6" s="227">
        <v>230</v>
      </c>
      <c r="C6">
        <v>283</v>
      </c>
      <c r="D6">
        <v>309</v>
      </c>
      <c r="E6">
        <v>256</v>
      </c>
      <c r="F6">
        <v>246</v>
      </c>
      <c r="G6">
        <v>165</v>
      </c>
      <c r="H6">
        <v>320</v>
      </c>
      <c r="I6">
        <v>235</v>
      </c>
      <c r="J6">
        <v>301</v>
      </c>
      <c r="K6">
        <v>301</v>
      </c>
      <c r="P6">
        <v>85</v>
      </c>
      <c r="Q6">
        <v>216</v>
      </c>
    </row>
    <row r="7" spans="1:17" ht="41.4" thickBot="1" x14ac:dyDescent="0.35">
      <c r="A7" s="343" t="s">
        <v>249</v>
      </c>
      <c r="B7" s="227">
        <v>230</v>
      </c>
      <c r="C7">
        <v>288</v>
      </c>
      <c r="D7">
        <v>186</v>
      </c>
      <c r="E7">
        <v>281</v>
      </c>
      <c r="F7">
        <v>198</v>
      </c>
      <c r="G7">
        <v>165</v>
      </c>
      <c r="H7">
        <v>316</v>
      </c>
      <c r="I7">
        <v>277</v>
      </c>
      <c r="J7">
        <v>235</v>
      </c>
      <c r="K7">
        <v>312</v>
      </c>
      <c r="P7">
        <v>72</v>
      </c>
      <c r="Q7">
        <v>240</v>
      </c>
    </row>
    <row r="8" spans="1:17" ht="31.2" thickBot="1" x14ac:dyDescent="0.35">
      <c r="A8" s="343" t="s">
        <v>248</v>
      </c>
      <c r="B8" s="227">
        <v>231</v>
      </c>
      <c r="C8">
        <v>279</v>
      </c>
      <c r="D8">
        <v>220</v>
      </c>
      <c r="E8">
        <v>281</v>
      </c>
      <c r="F8">
        <v>198</v>
      </c>
      <c r="G8">
        <v>165</v>
      </c>
      <c r="H8">
        <v>260</v>
      </c>
      <c r="I8">
        <v>286</v>
      </c>
      <c r="J8">
        <v>297</v>
      </c>
      <c r="K8">
        <v>295</v>
      </c>
      <c r="P8">
        <v>55</v>
      </c>
      <c r="Q8">
        <v>240</v>
      </c>
    </row>
    <row r="9" spans="1:17" x14ac:dyDescent="0.3">
      <c r="A9" s="344" t="s">
        <v>251</v>
      </c>
      <c r="B9">
        <f t="shared" ref="B9:M9" si="0">B5-B6-B7-B8</f>
        <v>2786</v>
      </c>
      <c r="C9">
        <f t="shared" si="0"/>
        <v>3006</v>
      </c>
      <c r="D9">
        <f t="shared" si="0"/>
        <v>2707</v>
      </c>
      <c r="E9">
        <f t="shared" si="0"/>
        <v>2696</v>
      </c>
      <c r="F9">
        <f t="shared" si="0"/>
        <v>2523</v>
      </c>
      <c r="G9">
        <f t="shared" si="0"/>
        <v>1787</v>
      </c>
      <c r="H9">
        <f t="shared" si="0"/>
        <v>4157</v>
      </c>
      <c r="I9">
        <f t="shared" si="0"/>
        <v>3922</v>
      </c>
      <c r="J9">
        <f t="shared" si="0"/>
        <v>4049</v>
      </c>
      <c r="K9">
        <f t="shared" si="0"/>
        <v>4771</v>
      </c>
      <c r="L9">
        <f t="shared" si="0"/>
        <v>0</v>
      </c>
      <c r="M9">
        <f t="shared" si="0"/>
        <v>0</v>
      </c>
      <c r="P9">
        <f>P5-P6-P7-P8</f>
        <v>1117</v>
      </c>
      <c r="Q9">
        <f>Q5-Q6-Q7-Q8</f>
        <v>3611</v>
      </c>
    </row>
    <row r="11" spans="1:17" ht="15" thickBot="1" x14ac:dyDescent="0.35"/>
    <row r="12" spans="1:17" ht="21" thickBot="1" x14ac:dyDescent="0.35">
      <c r="A12" s="343" t="s">
        <v>250</v>
      </c>
      <c r="B12">
        <f>B6*100</f>
        <v>23000</v>
      </c>
      <c r="C12">
        <f t="shared" ref="C12:M12" si="1">C6*100</f>
        <v>28300</v>
      </c>
      <c r="D12">
        <f t="shared" si="1"/>
        <v>30900</v>
      </c>
      <c r="E12">
        <f t="shared" si="1"/>
        <v>25600</v>
      </c>
      <c r="F12">
        <f t="shared" si="1"/>
        <v>24600</v>
      </c>
      <c r="G12">
        <f t="shared" si="1"/>
        <v>16500</v>
      </c>
      <c r="H12">
        <f t="shared" si="1"/>
        <v>32000</v>
      </c>
      <c r="I12">
        <f t="shared" si="1"/>
        <v>23500</v>
      </c>
      <c r="J12">
        <f t="shared" si="1"/>
        <v>30100</v>
      </c>
      <c r="K12">
        <f t="shared" si="1"/>
        <v>30100</v>
      </c>
      <c r="L12">
        <f t="shared" si="1"/>
        <v>0</v>
      </c>
      <c r="M12">
        <f t="shared" si="1"/>
        <v>0</v>
      </c>
      <c r="P12">
        <f>P6*100</f>
        <v>8500</v>
      </c>
      <c r="Q12">
        <f>Q6*100</f>
        <v>21600</v>
      </c>
    </row>
    <row r="13" spans="1:17" ht="41.4" thickBot="1" x14ac:dyDescent="0.35">
      <c r="A13" s="343" t="s">
        <v>249</v>
      </c>
      <c r="B13">
        <f>B7*110</f>
        <v>25300</v>
      </c>
      <c r="C13">
        <f t="shared" ref="C13:M13" si="2">C7*110</f>
        <v>31680</v>
      </c>
      <c r="D13">
        <f t="shared" si="2"/>
        <v>20460</v>
      </c>
      <c r="E13">
        <f t="shared" si="2"/>
        <v>30910</v>
      </c>
      <c r="F13">
        <f t="shared" si="2"/>
        <v>21780</v>
      </c>
      <c r="G13">
        <f t="shared" si="2"/>
        <v>18150</v>
      </c>
      <c r="H13">
        <f t="shared" si="2"/>
        <v>34760</v>
      </c>
      <c r="I13">
        <f t="shared" si="2"/>
        <v>30470</v>
      </c>
      <c r="J13">
        <f t="shared" si="2"/>
        <v>25850</v>
      </c>
      <c r="K13">
        <f t="shared" si="2"/>
        <v>34320</v>
      </c>
      <c r="L13">
        <f t="shared" si="2"/>
        <v>0</v>
      </c>
      <c r="M13">
        <f t="shared" si="2"/>
        <v>0</v>
      </c>
      <c r="P13">
        <f>P7*110</f>
        <v>7920</v>
      </c>
      <c r="Q13">
        <f>Q7*110</f>
        <v>26400</v>
      </c>
    </row>
    <row r="14" spans="1:17" ht="31.2" thickBot="1" x14ac:dyDescent="0.35">
      <c r="A14" s="343" t="s">
        <v>248</v>
      </c>
      <c r="B14">
        <f>B8*95</f>
        <v>21945</v>
      </c>
      <c r="C14">
        <f t="shared" ref="C14:M14" si="3">C8*95</f>
        <v>26505</v>
      </c>
      <c r="D14">
        <f t="shared" si="3"/>
        <v>20900</v>
      </c>
      <c r="E14">
        <f t="shared" si="3"/>
        <v>26695</v>
      </c>
      <c r="F14">
        <f t="shared" si="3"/>
        <v>18810</v>
      </c>
      <c r="G14">
        <f t="shared" si="3"/>
        <v>15675</v>
      </c>
      <c r="H14">
        <f t="shared" si="3"/>
        <v>24700</v>
      </c>
      <c r="I14">
        <f t="shared" si="3"/>
        <v>27170</v>
      </c>
      <c r="J14">
        <f t="shared" si="3"/>
        <v>28215</v>
      </c>
      <c r="K14">
        <f t="shared" si="3"/>
        <v>28025</v>
      </c>
      <c r="L14">
        <f t="shared" si="3"/>
        <v>0</v>
      </c>
      <c r="M14">
        <f t="shared" si="3"/>
        <v>0</v>
      </c>
      <c r="P14">
        <f>P8*95</f>
        <v>5225</v>
      </c>
      <c r="Q14">
        <f>Q8*95</f>
        <v>22800</v>
      </c>
    </row>
    <row r="15" spans="1:17" x14ac:dyDescent="0.3">
      <c r="A15" s="344" t="s">
        <v>251</v>
      </c>
      <c r="B15">
        <f>B9*90</f>
        <v>250740</v>
      </c>
      <c r="C15">
        <f t="shared" ref="C15:M15" si="4">C9*90</f>
        <v>270540</v>
      </c>
      <c r="D15">
        <f t="shared" si="4"/>
        <v>243630</v>
      </c>
      <c r="E15">
        <f t="shared" si="4"/>
        <v>242640</v>
      </c>
      <c r="F15">
        <f t="shared" si="4"/>
        <v>227070</v>
      </c>
      <c r="G15">
        <f t="shared" si="4"/>
        <v>160830</v>
      </c>
      <c r="H15">
        <f t="shared" si="4"/>
        <v>374130</v>
      </c>
      <c r="I15">
        <f t="shared" si="4"/>
        <v>352980</v>
      </c>
      <c r="J15">
        <f t="shared" si="4"/>
        <v>364410</v>
      </c>
      <c r="K15">
        <f t="shared" si="4"/>
        <v>429390</v>
      </c>
      <c r="L15">
        <f t="shared" si="4"/>
        <v>0</v>
      </c>
      <c r="M15">
        <f t="shared" si="4"/>
        <v>0</v>
      </c>
      <c r="P15">
        <f>P9*90</f>
        <v>100530</v>
      </c>
      <c r="Q15">
        <f>Q9*90</f>
        <v>324990</v>
      </c>
    </row>
    <row r="16" spans="1:17" ht="18" x14ac:dyDescent="0.35">
      <c r="B16" s="345">
        <f>SUM(B12:B15)</f>
        <v>320985</v>
      </c>
      <c r="C16" s="345">
        <f t="shared" ref="C16:M16" si="5">SUM(C12:C15)</f>
        <v>357025</v>
      </c>
      <c r="D16" s="345">
        <f t="shared" si="5"/>
        <v>315890</v>
      </c>
      <c r="E16" s="345">
        <f t="shared" si="5"/>
        <v>325845</v>
      </c>
      <c r="F16" s="345">
        <f t="shared" si="5"/>
        <v>292260</v>
      </c>
      <c r="G16" s="345">
        <f t="shared" si="5"/>
        <v>211155</v>
      </c>
      <c r="H16" s="345">
        <f t="shared" si="5"/>
        <v>465590</v>
      </c>
      <c r="I16" s="345">
        <f t="shared" si="5"/>
        <v>434120</v>
      </c>
      <c r="J16" s="345">
        <f t="shared" si="5"/>
        <v>448575</v>
      </c>
      <c r="K16" s="345">
        <f>SUM(K12:K15)</f>
        <v>521835</v>
      </c>
      <c r="L16">
        <f t="shared" si="5"/>
        <v>0</v>
      </c>
      <c r="M16">
        <f t="shared" si="5"/>
        <v>0</v>
      </c>
      <c r="N16" s="347">
        <f>SUM(B16:M16)</f>
        <v>3693280</v>
      </c>
      <c r="P16">
        <f>SUM(P12:P15)</f>
        <v>122175</v>
      </c>
      <c r="Q16">
        <f>SUM(Q12:Q15)</f>
        <v>395790</v>
      </c>
    </row>
    <row r="17" spans="14:15" x14ac:dyDescent="0.3">
      <c r="N17" s="348">
        <v>365830</v>
      </c>
      <c r="O17" t="s">
        <v>252</v>
      </c>
    </row>
    <row r="18" spans="14:15" x14ac:dyDescent="0.3">
      <c r="N18">
        <v>371026.37</v>
      </c>
      <c r="O18" t="s">
        <v>253</v>
      </c>
    </row>
    <row r="19" spans="14:15" x14ac:dyDescent="0.3">
      <c r="N19" s="345">
        <f>N16+N17-N18</f>
        <v>3688083.63</v>
      </c>
      <c r="O19" t="s">
        <v>356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pageSetUpPr fitToPage="1"/>
  </sheetPr>
  <dimension ref="A1:AL97"/>
  <sheetViews>
    <sheetView showZeros="0" zoomScale="80" zoomScaleNormal="80" workbookViewId="0">
      <pane xSplit="6" ySplit="5" topLeftCell="U60" activePane="bottomRight" state="frozen"/>
      <selection pane="topRight" activeCell="G1" sqref="G1"/>
      <selection pane="bottomLeft" activeCell="A6" sqref="A6"/>
      <selection pane="bottomRight" activeCell="X60" sqref="X60"/>
    </sheetView>
  </sheetViews>
  <sheetFormatPr defaultColWidth="7.44140625" defaultRowHeight="13.2" outlineLevelRow="3" outlineLevelCol="2" x14ac:dyDescent="0.25"/>
  <cols>
    <col min="1" max="1" width="5.6640625" style="8" customWidth="1"/>
    <col min="2" max="2" width="55" style="8" customWidth="1"/>
    <col min="3" max="3" width="15" style="77" customWidth="1" outlineLevel="2"/>
    <col min="4" max="4" width="15.5546875" style="77" customWidth="1" outlineLevel="2"/>
    <col min="5" max="5" width="16.33203125" style="38" customWidth="1" outlineLevel="2"/>
    <col min="6" max="6" width="9.5546875" style="38" customWidth="1" outlineLevel="2"/>
    <col min="7" max="9" width="16.33203125" style="38" customWidth="1" outlineLevel="1"/>
    <col min="10" max="10" width="8.6640625" style="38" customWidth="1" outlineLevel="1"/>
    <col min="11" max="11" width="31" style="38" customWidth="1" outlineLevel="1"/>
    <col min="12" max="14" width="16.33203125" style="38" customWidth="1" outlineLevel="1"/>
    <col min="15" max="15" width="8.6640625" style="38" customWidth="1" outlineLevel="1"/>
    <col min="16" max="16" width="31" style="38" customWidth="1" outlineLevel="1"/>
    <col min="17" max="19" width="16.33203125" style="38" customWidth="1" outlineLevel="1"/>
    <col min="20" max="20" width="8.6640625" style="38" customWidth="1" outlineLevel="1"/>
    <col min="21" max="21" width="37.44140625" style="38" customWidth="1" outlineLevel="1"/>
    <col min="22" max="22" width="16.33203125" style="38" customWidth="1"/>
    <col min="23" max="23" width="15.88671875" style="38" customWidth="1"/>
    <col min="24" max="24" width="16.33203125" style="38" customWidth="1"/>
    <col min="25" max="25" width="8.6640625" style="38" customWidth="1"/>
    <col min="26" max="26" width="37.44140625" style="38" customWidth="1"/>
    <col min="27" max="29" width="16.33203125" style="38" customWidth="1" outlineLevel="1"/>
    <col min="30" max="30" width="13.6640625" style="38" customWidth="1" outlineLevel="1"/>
    <col min="31" max="34" width="16.33203125" style="38" customWidth="1" outlineLevel="1"/>
    <col min="35" max="35" width="9" style="38" customWidth="1" outlineLevel="1"/>
    <col min="36" max="36" width="16.33203125" style="38" customWidth="1" outlineLevel="1"/>
    <col min="37" max="37" width="22.44140625" style="1" customWidth="1"/>
    <col min="38" max="16384" width="7.44140625" style="1"/>
  </cols>
  <sheetData>
    <row r="1" spans="1:36" ht="13.8" thickBot="1" x14ac:dyDescent="0.3">
      <c r="C1" s="38"/>
      <c r="D1" s="38"/>
    </row>
    <row r="2" spans="1:36" ht="22.2" customHeight="1" x14ac:dyDescent="0.25">
      <c r="A2" s="4016" t="s">
        <v>84</v>
      </c>
      <c r="B2" s="4017"/>
      <c r="C2" s="4017"/>
      <c r="D2" s="4017"/>
      <c r="E2" s="4017"/>
      <c r="F2" s="4018"/>
      <c r="G2" s="4019" t="s">
        <v>135</v>
      </c>
      <c r="H2" s="4020"/>
      <c r="I2" s="4020"/>
      <c r="J2" s="4020"/>
      <c r="K2" s="327"/>
      <c r="L2" s="4019" t="s">
        <v>82</v>
      </c>
      <c r="M2" s="4020"/>
      <c r="N2" s="4020"/>
      <c r="O2" s="4020"/>
      <c r="P2" s="232"/>
      <c r="Q2" s="4019" t="s">
        <v>107</v>
      </c>
      <c r="R2" s="4020"/>
      <c r="S2" s="4020"/>
      <c r="T2" s="4020"/>
      <c r="U2" s="318"/>
      <c r="V2" s="4019" t="s">
        <v>136</v>
      </c>
      <c r="W2" s="4020"/>
      <c r="X2" s="4020"/>
      <c r="Y2" s="4020"/>
      <c r="Z2" s="325"/>
      <c r="AA2" s="4023" t="s">
        <v>170</v>
      </c>
      <c r="AB2" s="4024"/>
      <c r="AC2" s="4024"/>
      <c r="AD2" s="4024"/>
      <c r="AE2" s="4025"/>
      <c r="AF2" s="4029" t="s">
        <v>83</v>
      </c>
      <c r="AG2" s="4030"/>
      <c r="AH2" s="4030"/>
      <c r="AI2" s="4030"/>
      <c r="AJ2" s="4031"/>
    </row>
    <row r="3" spans="1:36" ht="14.4" customHeight="1" thickBot="1" x14ac:dyDescent="0.3">
      <c r="A3" s="4035" t="s">
        <v>54</v>
      </c>
      <c r="B3" s="4036"/>
      <c r="C3" s="4036"/>
      <c r="D3" s="4036"/>
      <c r="E3" s="4036"/>
      <c r="F3" s="4037"/>
      <c r="G3" s="4021"/>
      <c r="H3" s="4022"/>
      <c r="I3" s="4022"/>
      <c r="J3" s="4022"/>
      <c r="K3" s="328"/>
      <c r="L3" s="4021"/>
      <c r="M3" s="4022"/>
      <c r="N3" s="4022"/>
      <c r="O3" s="4022"/>
      <c r="P3" s="233"/>
      <c r="Q3" s="4021"/>
      <c r="R3" s="4022"/>
      <c r="S3" s="4022"/>
      <c r="T3" s="4022"/>
      <c r="U3" s="319"/>
      <c r="V3" s="4021"/>
      <c r="W3" s="4022"/>
      <c r="X3" s="4022"/>
      <c r="Y3" s="4022"/>
      <c r="Z3" s="326"/>
      <c r="AA3" s="4026"/>
      <c r="AB3" s="4027"/>
      <c r="AC3" s="4027"/>
      <c r="AD3" s="4027"/>
      <c r="AE3" s="4028"/>
      <c r="AF3" s="4032"/>
      <c r="AG3" s="4033"/>
      <c r="AH3" s="4033"/>
      <c r="AI3" s="4033"/>
      <c r="AJ3" s="4034"/>
    </row>
    <row r="4" spans="1:36" ht="41.4" thickBot="1" x14ac:dyDescent="0.3">
      <c r="A4" s="92"/>
      <c r="B4" s="93" t="s">
        <v>11</v>
      </c>
      <c r="C4" s="239" t="s">
        <v>55</v>
      </c>
      <c r="D4" s="239" t="s">
        <v>18</v>
      </c>
      <c r="E4" s="240" t="s">
        <v>39</v>
      </c>
      <c r="F4" s="209" t="s">
        <v>40</v>
      </c>
      <c r="G4" s="94" t="s">
        <v>55</v>
      </c>
      <c r="H4" s="94" t="s">
        <v>18</v>
      </c>
      <c r="I4" s="95" t="s">
        <v>39</v>
      </c>
      <c r="J4" s="209" t="s">
        <v>40</v>
      </c>
      <c r="K4" s="241" t="s">
        <v>86</v>
      </c>
      <c r="L4" s="94" t="s">
        <v>55</v>
      </c>
      <c r="M4" s="94" t="s">
        <v>18</v>
      </c>
      <c r="N4" s="95" t="s">
        <v>39</v>
      </c>
      <c r="O4" s="209" t="s">
        <v>40</v>
      </c>
      <c r="P4" s="241" t="s">
        <v>86</v>
      </c>
      <c r="Q4" s="94" t="s">
        <v>55</v>
      </c>
      <c r="R4" s="94" t="s">
        <v>18</v>
      </c>
      <c r="S4" s="95" t="s">
        <v>39</v>
      </c>
      <c r="T4" s="209" t="s">
        <v>40</v>
      </c>
      <c r="U4" s="241" t="s">
        <v>86</v>
      </c>
      <c r="V4" s="94" t="s">
        <v>55</v>
      </c>
      <c r="W4" s="94" t="s">
        <v>18</v>
      </c>
      <c r="X4" s="95" t="s">
        <v>39</v>
      </c>
      <c r="Y4" s="209" t="s">
        <v>40</v>
      </c>
      <c r="Z4" s="241" t="s">
        <v>86</v>
      </c>
      <c r="AA4" s="94" t="s">
        <v>55</v>
      </c>
      <c r="AB4" s="94" t="s">
        <v>18</v>
      </c>
      <c r="AC4" s="95" t="s">
        <v>39</v>
      </c>
      <c r="AD4" s="209" t="s">
        <v>40</v>
      </c>
      <c r="AE4" s="95" t="s">
        <v>19</v>
      </c>
      <c r="AF4" s="94" t="s">
        <v>55</v>
      </c>
      <c r="AG4" s="94" t="s">
        <v>18</v>
      </c>
      <c r="AH4" s="95" t="s">
        <v>39</v>
      </c>
      <c r="AI4" s="209" t="s">
        <v>40</v>
      </c>
      <c r="AJ4" s="95" t="s">
        <v>19</v>
      </c>
    </row>
    <row r="5" spans="1:36" s="88" customFormat="1" ht="14.4" thickBot="1" x14ac:dyDescent="0.3">
      <c r="A5" s="83"/>
      <c r="B5" s="84" t="s">
        <v>10</v>
      </c>
      <c r="C5" s="85">
        <f>C6</f>
        <v>3046281.3000000003</v>
      </c>
      <c r="D5" s="85">
        <f>D6</f>
        <v>0</v>
      </c>
      <c r="E5" s="86">
        <f>E6</f>
        <v>3046281.3000000003</v>
      </c>
      <c r="F5" s="87"/>
      <c r="G5" s="85">
        <f>G6</f>
        <v>841617.06</v>
      </c>
      <c r="H5" s="85">
        <f>H6</f>
        <v>1210000</v>
      </c>
      <c r="I5" s="86">
        <f>I6</f>
        <v>2051617.06</v>
      </c>
      <c r="J5" s="87"/>
      <c r="K5" s="87"/>
      <c r="L5" s="85">
        <f>L6</f>
        <v>0</v>
      </c>
      <c r="M5" s="85">
        <f>M6</f>
        <v>0</v>
      </c>
      <c r="N5" s="86">
        <f>N6</f>
        <v>0</v>
      </c>
      <c r="O5" s="87"/>
      <c r="P5" s="87"/>
      <c r="Q5" s="85">
        <f>Q6</f>
        <v>1003963.29</v>
      </c>
      <c r="R5" s="85">
        <f>R6</f>
        <v>0</v>
      </c>
      <c r="S5" s="86">
        <f>S6</f>
        <v>1003963.29</v>
      </c>
      <c r="T5" s="87"/>
      <c r="U5" s="87"/>
      <c r="V5" s="85">
        <f>V6</f>
        <v>1811159.76</v>
      </c>
      <c r="W5" s="85">
        <f>W6</f>
        <v>0</v>
      </c>
      <c r="X5" s="86">
        <f>X6</f>
        <v>1811159.76</v>
      </c>
      <c r="Y5" s="87"/>
      <c r="Z5" s="87"/>
      <c r="AA5" s="87">
        <f>AA6</f>
        <v>3656740.1100000003</v>
      </c>
      <c r="AB5" s="87">
        <f>AB6</f>
        <v>1210000</v>
      </c>
      <c r="AC5" s="87">
        <f>AC6</f>
        <v>4866740.1100000003</v>
      </c>
      <c r="AD5" s="87"/>
      <c r="AE5" s="87"/>
      <c r="AF5" s="85">
        <f>AF6</f>
        <v>-610458.81000000006</v>
      </c>
      <c r="AG5" s="85">
        <f>AG6</f>
        <v>-1210000</v>
      </c>
      <c r="AH5" s="86">
        <f>AH6</f>
        <v>-1820458.81</v>
      </c>
      <c r="AI5" s="87"/>
      <c r="AJ5" s="87"/>
    </row>
    <row r="6" spans="1:36" s="2" customFormat="1" ht="13.8" outlineLevel="1" x14ac:dyDescent="0.25">
      <c r="A6" s="238"/>
      <c r="B6" s="9" t="s">
        <v>17</v>
      </c>
      <c r="C6" s="104">
        <v>3046281.3000000003</v>
      </c>
      <c r="D6" s="105">
        <v>0</v>
      </c>
      <c r="E6" s="106">
        <f>C6+D6</f>
        <v>3046281.3000000003</v>
      </c>
      <c r="F6" s="39"/>
      <c r="G6" s="39">
        <f>2051617.06-H6</f>
        <v>841617.06</v>
      </c>
      <c r="H6" s="39">
        <f>1100000*1.1</f>
        <v>1210000</v>
      </c>
      <c r="I6" s="39">
        <f>G6+H6</f>
        <v>2051617.06</v>
      </c>
      <c r="J6" s="39"/>
      <c r="K6" s="291"/>
      <c r="L6" s="39"/>
      <c r="M6" s="39"/>
      <c r="N6" s="39">
        <f>L6+M6</f>
        <v>0</v>
      </c>
      <c r="O6" s="39"/>
      <c r="P6" s="291" t="s">
        <v>100</v>
      </c>
      <c r="Q6" s="39">
        <f>82210.91+504052.98+417699.4</f>
        <v>1003963.29</v>
      </c>
      <c r="R6" s="39"/>
      <c r="S6" s="39">
        <f>Q6+R6</f>
        <v>1003963.29</v>
      </c>
      <c r="T6" s="39"/>
      <c r="U6" s="291" t="s">
        <v>117</v>
      </c>
      <c r="V6" s="39">
        <f>404231.91+180701.72+1027339.15+132890.92+65996.06</f>
        <v>1811159.76</v>
      </c>
      <c r="W6" s="39"/>
      <c r="X6" s="39">
        <f>V6+W6</f>
        <v>1811159.76</v>
      </c>
      <c r="Y6" s="39"/>
      <c r="Z6" s="291" t="s">
        <v>155</v>
      </c>
      <c r="AA6" s="39">
        <f>G6+L6+Q6+V6</f>
        <v>3656740.1100000003</v>
      </c>
      <c r="AB6" s="39">
        <f>H6+M6+R6+W6</f>
        <v>1210000</v>
      </c>
      <c r="AC6" s="106">
        <f>AA6+AB6</f>
        <v>4866740.1100000003</v>
      </c>
      <c r="AD6" s="39"/>
      <c r="AE6" s="39"/>
      <c r="AF6" s="210">
        <f>C6-AA6</f>
        <v>-610458.81000000006</v>
      </c>
      <c r="AG6" s="210">
        <f>D6-AB6</f>
        <v>-1210000</v>
      </c>
      <c r="AH6" s="210">
        <f>AF6+AG6</f>
        <v>-1820458.81</v>
      </c>
      <c r="AI6" s="39"/>
      <c r="AJ6" s="39"/>
    </row>
    <row r="7" spans="1:36" s="2" customFormat="1" ht="15" customHeight="1" outlineLevel="1" collapsed="1" thickBot="1" x14ac:dyDescent="0.3">
      <c r="A7" s="238"/>
      <c r="B7" s="10" t="s">
        <v>41</v>
      </c>
      <c r="C7" s="107"/>
      <c r="D7" s="108"/>
      <c r="E7" s="106">
        <f>C7+D7</f>
        <v>0</v>
      </c>
      <c r="F7" s="40"/>
      <c r="G7" s="40"/>
      <c r="H7" s="40"/>
      <c r="I7" s="40">
        <f>G7+H7</f>
        <v>0</v>
      </c>
      <c r="J7" s="40"/>
      <c r="K7" s="40"/>
      <c r="L7" s="40"/>
      <c r="M7" s="40"/>
      <c r="N7" s="40">
        <f>L7+M7</f>
        <v>0</v>
      </c>
      <c r="O7" s="40"/>
      <c r="P7" s="40"/>
      <c r="Q7" s="40"/>
      <c r="R7" s="40"/>
      <c r="S7" s="40">
        <f>Q7+R7</f>
        <v>0</v>
      </c>
      <c r="T7" s="40"/>
      <c r="U7" s="40"/>
      <c r="V7" s="40"/>
      <c r="W7" s="40"/>
      <c r="X7" s="40">
        <f>V7+W7</f>
        <v>0</v>
      </c>
      <c r="Y7" s="40"/>
      <c r="Z7" s="40"/>
      <c r="AA7" s="40"/>
      <c r="AB7" s="40"/>
      <c r="AC7" s="106">
        <f>AA7+AB7</f>
        <v>0</v>
      </c>
      <c r="AD7" s="40"/>
      <c r="AE7" s="40"/>
      <c r="AF7" s="210">
        <f>C7-AA7</f>
        <v>0</v>
      </c>
      <c r="AG7" s="210">
        <f>D7-AB7</f>
        <v>0</v>
      </c>
      <c r="AH7" s="210">
        <f>AF7+AG7</f>
        <v>0</v>
      </c>
      <c r="AI7" s="40"/>
      <c r="AJ7" s="40"/>
    </row>
    <row r="8" spans="1:36" s="88" customFormat="1" ht="15" customHeight="1" outlineLevel="1" thickBot="1" x14ac:dyDescent="0.3">
      <c r="A8" s="238"/>
      <c r="B8" s="84" t="s">
        <v>16</v>
      </c>
      <c r="C8" s="109">
        <f>SUM(C9:C31)</f>
        <v>1355548.2291495714</v>
      </c>
      <c r="D8" s="109">
        <f>SUM(D9:D31)</f>
        <v>916057.78272772685</v>
      </c>
      <c r="E8" s="110">
        <f>SUM(E9:E31)</f>
        <v>2271606.0118772979</v>
      </c>
      <c r="F8" s="164">
        <f t="shared" ref="F8:F31" si="0">E8/$E$87</f>
        <v>0.9573068616137288</v>
      </c>
      <c r="G8" s="109">
        <f>SUM(G9:G31)</f>
        <v>1187368.5919999999</v>
      </c>
      <c r="H8" s="109">
        <f>SUM(H9:H31)</f>
        <v>504589.58</v>
      </c>
      <c r="I8" s="110">
        <f>SUM(I9:I31)</f>
        <v>1691958.1719999998</v>
      </c>
      <c r="J8" s="164">
        <f>I8/$N$87</f>
        <v>8.2470016975191704</v>
      </c>
      <c r="K8" s="242"/>
      <c r="L8" s="109">
        <f>SUM(L9:L31)</f>
        <v>107233.3</v>
      </c>
      <c r="M8" s="109">
        <f>SUM(M9:M31)</f>
        <v>56982</v>
      </c>
      <c r="N8" s="110">
        <f>SUM(N9:N31)</f>
        <v>164215.29999999999</v>
      </c>
      <c r="O8" s="164">
        <f>N8/$N$87</f>
        <v>0.80042395862409066</v>
      </c>
      <c r="P8" s="242"/>
      <c r="Q8" s="109">
        <f>SUM(Q9:Q31)</f>
        <v>467869.984</v>
      </c>
      <c r="R8" s="109">
        <f>SUM(R9:R31)</f>
        <v>241020</v>
      </c>
      <c r="S8" s="110">
        <f>SUM(S9:S31)</f>
        <v>708889.98399999994</v>
      </c>
      <c r="T8" s="164">
        <f>S8/$S$87</f>
        <v>0.95499387985633277</v>
      </c>
      <c r="U8" s="242"/>
      <c r="V8" s="109">
        <f>SUM(V9:V31)</f>
        <v>672023.0340499999</v>
      </c>
      <c r="W8" s="109">
        <f>SUM(W9:W31)</f>
        <v>239229.22</v>
      </c>
      <c r="X8" s="110">
        <f>SUM(X9:X31)</f>
        <v>911252.25404999999</v>
      </c>
      <c r="Y8" s="164">
        <f>X8/$X$87</f>
        <v>0.93131560089455523</v>
      </c>
      <c r="Z8" s="242"/>
      <c r="AA8" s="109">
        <f>SUM(AA9:AA31)</f>
        <v>2434494.9100499996</v>
      </c>
      <c r="AB8" s="109">
        <f>SUM(AB9:AB31)</f>
        <v>1041820.8</v>
      </c>
      <c r="AC8" s="110">
        <f>SUM(AC9:AC31)</f>
        <v>3632588.8300499991</v>
      </c>
      <c r="AD8" s="164">
        <f t="shared" ref="AD8:AD31" si="1">AC8/$AC$87</f>
        <v>0.95053082906896413</v>
      </c>
      <c r="AE8" s="87"/>
      <c r="AF8" s="109">
        <f>SUM(AF9:AF31)</f>
        <v>-1078946.6809004282</v>
      </c>
      <c r="AG8" s="109">
        <f>SUM(AG9:AG31)</f>
        <v>-125763.01727227327</v>
      </c>
      <c r="AH8" s="110">
        <f>SUM(AH9:AH31)</f>
        <v>-1223574.1507635424</v>
      </c>
      <c r="AI8" s="164">
        <f>AH8/$AH$87</f>
        <v>0.93996399111901396</v>
      </c>
      <c r="AJ8" s="87"/>
    </row>
    <row r="9" spans="1:36" s="2" customFormat="1" ht="35.4" customHeight="1" outlineLevel="2" x14ac:dyDescent="0.25">
      <c r="A9" s="238"/>
      <c r="B9" s="31" t="s">
        <v>74</v>
      </c>
      <c r="C9" s="111">
        <v>68327</v>
      </c>
      <c r="D9" s="112">
        <v>0</v>
      </c>
      <c r="E9" s="106">
        <f>C9+D9</f>
        <v>68327</v>
      </c>
      <c r="F9" s="177">
        <f t="shared" si="0"/>
        <v>2.8794564546615754E-2</v>
      </c>
      <c r="G9" s="39">
        <v>64805.000000000015</v>
      </c>
      <c r="H9" s="39">
        <v>0</v>
      </c>
      <c r="I9" s="41">
        <f>G9+H9</f>
        <v>64805.000000000015</v>
      </c>
      <c r="J9" s="178">
        <f t="shared" ref="J9:J14" si="2">I9/$N$87</f>
        <v>0.31587479752881864</v>
      </c>
      <c r="K9" s="291"/>
      <c r="L9" s="163">
        <v>47495</v>
      </c>
      <c r="M9" s="112"/>
      <c r="N9" s="41">
        <f>L9+M9</f>
        <v>47495</v>
      </c>
      <c r="O9" s="178">
        <f t="shared" ref="O9:O14" si="3">N9/$N$87</f>
        <v>0.23150179011852848</v>
      </c>
      <c r="P9" s="291" t="s">
        <v>105</v>
      </c>
      <c r="Q9" s="163">
        <f>(6842.5*9)+3079.12+(4392.5*2)</f>
        <v>73446.62</v>
      </c>
      <c r="R9" s="112"/>
      <c r="S9" s="41">
        <f>Q9+R9</f>
        <v>73446.62</v>
      </c>
      <c r="T9" s="178">
        <f>S9/$S$87</f>
        <v>9.8944933881494557E-2</v>
      </c>
      <c r="U9" s="291" t="s">
        <v>118</v>
      </c>
      <c r="V9" s="163">
        <v>3550.51</v>
      </c>
      <c r="W9" s="112"/>
      <c r="X9" s="41">
        <f>V9+W9</f>
        <v>3550.51</v>
      </c>
      <c r="Y9" s="178">
        <f t="shared" ref="Y9:Y66" si="4">X9/$X$87</f>
        <v>3.6286827708090293E-3</v>
      </c>
      <c r="Z9" s="291" t="s">
        <v>156</v>
      </c>
      <c r="AA9" s="210">
        <f t="shared" ref="AA9:AA31" si="5">G9+L9+Q9+V9</f>
        <v>189297.13</v>
      </c>
      <c r="AB9" s="210">
        <f t="shared" ref="AB9:AB31" si="6">H9+M9+R9+W9</f>
        <v>0</v>
      </c>
      <c r="AC9" s="210">
        <f>AA9+AB9*1.15</f>
        <v>189297.13</v>
      </c>
      <c r="AD9" s="178">
        <f t="shared" si="1"/>
        <v>4.953292715949878E-2</v>
      </c>
      <c r="AE9" s="42"/>
      <c r="AF9" s="210">
        <f t="shared" ref="AF9:AF31" si="7">C9-AA9</f>
        <v>-120970.13</v>
      </c>
      <c r="AG9" s="210">
        <f t="shared" ref="AG9:AG31" si="8">D9-AB9</f>
        <v>0</v>
      </c>
      <c r="AH9" s="210">
        <f t="shared" ref="AH9:AH31" si="9">AF9+AG9*1.15</f>
        <v>-120970.13</v>
      </c>
      <c r="AI9" s="178">
        <f t="shared" ref="AI9:AI31" si="10">AH9/$AH$87</f>
        <v>9.2930670470628571E-2</v>
      </c>
      <c r="AJ9" s="42"/>
    </row>
    <row r="10" spans="1:36" s="2" customFormat="1" ht="14.4" customHeight="1" outlineLevel="2" x14ac:dyDescent="0.25">
      <c r="A10" s="238"/>
      <c r="B10" s="31" t="s">
        <v>72</v>
      </c>
      <c r="C10" s="111">
        <v>13377</v>
      </c>
      <c r="D10" s="112"/>
      <c r="E10" s="106">
        <f t="shared" ref="E10:E31" si="11">C10+D10</f>
        <v>13377</v>
      </c>
      <c r="F10" s="177">
        <f t="shared" si="0"/>
        <v>5.6373745362752487E-3</v>
      </c>
      <c r="G10" s="39">
        <v>15700.000000000004</v>
      </c>
      <c r="H10" s="39">
        <v>0</v>
      </c>
      <c r="I10" s="41">
        <f t="shared" ref="I10:I31" si="12">G10+H10</f>
        <v>15700.000000000004</v>
      </c>
      <c r="J10" s="178">
        <f t="shared" si="2"/>
        <v>7.6525489101187449E-2</v>
      </c>
      <c r="K10" s="291"/>
      <c r="L10" s="163">
        <v>11505</v>
      </c>
      <c r="M10" s="112"/>
      <c r="N10" s="41">
        <f t="shared" ref="N10:N31" si="13">L10+M10</f>
        <v>11505</v>
      </c>
      <c r="O10" s="178">
        <f t="shared" si="3"/>
        <v>5.607807338274913E-2</v>
      </c>
      <c r="P10" s="291"/>
      <c r="Q10" s="163">
        <f>(1657.5*11)+745.88</f>
        <v>18978.38</v>
      </c>
      <c r="R10" s="112"/>
      <c r="S10" s="41">
        <f t="shared" ref="S10:S31" si="14">Q10+R10</f>
        <v>18978.38</v>
      </c>
      <c r="T10" s="178">
        <f t="shared" ref="T10:T31" si="15">S10/$S$87</f>
        <v>2.5567065635939117E-2</v>
      </c>
      <c r="U10" s="291"/>
      <c r="V10" s="163">
        <v>1657.5</v>
      </c>
      <c r="W10" s="112"/>
      <c r="X10" s="41">
        <f t="shared" ref="X10:X31" si="16">V10+W10</f>
        <v>1657.5</v>
      </c>
      <c r="Y10" s="178">
        <f t="shared" si="4"/>
        <v>1.6939937340314393E-3</v>
      </c>
      <c r="Z10" s="291"/>
      <c r="AA10" s="210">
        <f t="shared" si="5"/>
        <v>47840.880000000005</v>
      </c>
      <c r="AB10" s="210">
        <f t="shared" si="6"/>
        <v>0</v>
      </c>
      <c r="AC10" s="210">
        <f t="shared" ref="AC10:AC31" si="17">AA10+AB10*1.15</f>
        <v>47840.880000000005</v>
      </c>
      <c r="AD10" s="178">
        <f t="shared" si="1"/>
        <v>1.2518408621865118E-2</v>
      </c>
      <c r="AE10" s="42"/>
      <c r="AF10" s="210">
        <f t="shared" si="7"/>
        <v>-34463.880000000005</v>
      </c>
      <c r="AG10" s="210">
        <f t="shared" si="8"/>
        <v>0</v>
      </c>
      <c r="AH10" s="210">
        <f t="shared" si="9"/>
        <v>-34463.880000000005</v>
      </c>
      <c r="AI10" s="178">
        <f t="shared" si="10"/>
        <v>2.6475556200685962E-2</v>
      </c>
      <c r="AJ10" s="42"/>
    </row>
    <row r="11" spans="1:36" s="2" customFormat="1" ht="14.4" customHeight="1" outlineLevel="2" x14ac:dyDescent="0.25">
      <c r="A11" s="238"/>
      <c r="B11" s="31" t="s">
        <v>69</v>
      </c>
      <c r="C11" s="111">
        <v>15092</v>
      </c>
      <c r="D11" s="112">
        <v>0</v>
      </c>
      <c r="E11" s="106">
        <f t="shared" si="11"/>
        <v>15092</v>
      </c>
      <c r="F11" s="177">
        <f t="shared" si="0"/>
        <v>6.3601148614387424E-3</v>
      </c>
      <c r="G11" s="39">
        <v>17710</v>
      </c>
      <c r="H11" s="39">
        <v>0</v>
      </c>
      <c r="I11" s="41">
        <f t="shared" si="12"/>
        <v>17710</v>
      </c>
      <c r="J11" s="178">
        <f t="shared" si="2"/>
        <v>8.6322701400129265E-2</v>
      </c>
      <c r="K11" s="291"/>
      <c r="L11" s="163">
        <v>12980</v>
      </c>
      <c r="M11" s="112"/>
      <c r="N11" s="41">
        <f t="shared" si="13"/>
        <v>12980</v>
      </c>
      <c r="O11" s="178">
        <f t="shared" si="3"/>
        <v>6.3267569970281073E-2</v>
      </c>
      <c r="P11" s="291"/>
      <c r="Q11" s="163">
        <f>(1870*11)+841.5</f>
        <v>21411.5</v>
      </c>
      <c r="R11" s="112"/>
      <c r="S11" s="41">
        <f t="shared" si="14"/>
        <v>21411.5</v>
      </c>
      <c r="T11" s="178">
        <f t="shared" si="15"/>
        <v>2.8844886964214566E-2</v>
      </c>
      <c r="U11" s="291"/>
      <c r="V11" s="163">
        <v>1870</v>
      </c>
      <c r="W11" s="112"/>
      <c r="X11" s="41">
        <f t="shared" si="16"/>
        <v>1870</v>
      </c>
      <c r="Y11" s="178">
        <f t="shared" si="4"/>
        <v>1.9111724178816239E-3</v>
      </c>
      <c r="Z11" s="291"/>
      <c r="AA11" s="210">
        <f t="shared" si="5"/>
        <v>53971.5</v>
      </c>
      <c r="AB11" s="210">
        <f t="shared" si="6"/>
        <v>0</v>
      </c>
      <c r="AC11" s="210">
        <f t="shared" si="17"/>
        <v>53971.5</v>
      </c>
      <c r="AD11" s="178">
        <f t="shared" si="1"/>
        <v>1.4122593291239483E-2</v>
      </c>
      <c r="AE11" s="42"/>
      <c r="AF11" s="210">
        <f t="shared" si="7"/>
        <v>-38879.5</v>
      </c>
      <c r="AG11" s="210">
        <f t="shared" si="8"/>
        <v>0</v>
      </c>
      <c r="AH11" s="210">
        <f t="shared" si="9"/>
        <v>-38879.5</v>
      </c>
      <c r="AI11" s="178">
        <f t="shared" si="10"/>
        <v>2.9867687193217064E-2</v>
      </c>
      <c r="AJ11" s="42"/>
    </row>
    <row r="12" spans="1:36" s="2" customFormat="1" ht="14.4" customHeight="1" outlineLevel="2" x14ac:dyDescent="0.25">
      <c r="A12" s="238"/>
      <c r="B12" s="31" t="s">
        <v>73</v>
      </c>
      <c r="C12" s="111">
        <v>9901.5</v>
      </c>
      <c r="D12" s="112">
        <v>61973.499999999985</v>
      </c>
      <c r="E12" s="106">
        <f t="shared" si="11"/>
        <v>71874.999999999985</v>
      </c>
      <c r="F12" s="177">
        <f t="shared" si="0"/>
        <v>3.0289773102697422E-2</v>
      </c>
      <c r="G12" s="39">
        <v>3703</v>
      </c>
      <c r="H12" s="39">
        <v>39044.499999999993</v>
      </c>
      <c r="I12" s="41">
        <f t="shared" si="12"/>
        <v>42747.499999999993</v>
      </c>
      <c r="J12" s="178">
        <f t="shared" si="2"/>
        <v>0.20836135957662477</v>
      </c>
      <c r="K12" s="291"/>
      <c r="L12" s="163">
        <v>4266.5</v>
      </c>
      <c r="M12" s="112">
        <v>20734</v>
      </c>
      <c r="N12" s="41">
        <f t="shared" si="13"/>
        <v>25000.5</v>
      </c>
      <c r="O12" s="178">
        <f t="shared" si="3"/>
        <v>0.12185831148243544</v>
      </c>
      <c r="P12" s="291" t="s">
        <v>106</v>
      </c>
      <c r="Q12" s="163">
        <v>9660</v>
      </c>
      <c r="R12" s="112">
        <v>15340</v>
      </c>
      <c r="S12" s="41">
        <f t="shared" si="14"/>
        <v>25000</v>
      </c>
      <c r="T12" s="178">
        <f t="shared" si="15"/>
        <v>3.367919922029583E-2</v>
      </c>
      <c r="U12" s="291" t="s">
        <v>119</v>
      </c>
      <c r="V12" s="163">
        <v>7532.44</v>
      </c>
      <c r="W12" s="112">
        <v>17463.04</v>
      </c>
      <c r="X12" s="41">
        <f t="shared" si="16"/>
        <v>24995.48</v>
      </c>
      <c r="Y12" s="178">
        <f t="shared" si="4"/>
        <v>2.5545813875781698E-2</v>
      </c>
      <c r="Z12" s="291" t="s">
        <v>165</v>
      </c>
      <c r="AA12" s="210">
        <f t="shared" si="5"/>
        <v>25161.94</v>
      </c>
      <c r="AB12" s="210">
        <f t="shared" si="6"/>
        <v>92581.540000000008</v>
      </c>
      <c r="AC12" s="210">
        <f t="shared" si="17"/>
        <v>131630.71100000001</v>
      </c>
      <c r="AD12" s="178">
        <f t="shared" si="1"/>
        <v>3.4443493252729371E-2</v>
      </c>
      <c r="AE12" s="42"/>
      <c r="AF12" s="210">
        <f t="shared" si="7"/>
        <v>-15260.439999999999</v>
      </c>
      <c r="AG12" s="210">
        <f t="shared" si="8"/>
        <v>-30608.040000000023</v>
      </c>
      <c r="AH12" s="210">
        <f t="shared" si="9"/>
        <v>-50459.686000000016</v>
      </c>
      <c r="AI12" s="178">
        <f t="shared" si="10"/>
        <v>3.8763721686646047E-2</v>
      </c>
      <c r="AJ12" s="42"/>
    </row>
    <row r="13" spans="1:36" s="2" customFormat="1" ht="14.4" customHeight="1" outlineLevel="2" x14ac:dyDescent="0.25">
      <c r="A13" s="238"/>
      <c r="B13" s="31" t="s">
        <v>71</v>
      </c>
      <c r="C13" s="111">
        <v>2706</v>
      </c>
      <c r="D13" s="112">
        <v>0</v>
      </c>
      <c r="E13" s="106">
        <f t="shared" si="11"/>
        <v>2706</v>
      </c>
      <c r="F13" s="177">
        <f t="shared" si="0"/>
        <v>1.1403704489168591E-3</v>
      </c>
      <c r="G13" s="39">
        <v>897</v>
      </c>
      <c r="H13" s="39">
        <v>0</v>
      </c>
      <c r="I13" s="41">
        <f t="shared" si="12"/>
        <v>897</v>
      </c>
      <c r="J13" s="178">
        <f t="shared" si="2"/>
        <v>4.3721887722143393E-3</v>
      </c>
      <c r="K13" s="291"/>
      <c r="L13" s="163">
        <v>1033.5</v>
      </c>
      <c r="M13" s="112"/>
      <c r="N13" s="41">
        <f t="shared" si="13"/>
        <v>1033.5</v>
      </c>
      <c r="O13" s="178">
        <f t="shared" si="3"/>
        <v>5.0375218462469559E-3</v>
      </c>
      <c r="P13" s="291"/>
      <c r="Q13" s="163">
        <v>1883.7</v>
      </c>
      <c r="R13" s="112"/>
      <c r="S13" s="41">
        <f t="shared" si="14"/>
        <v>1883.7</v>
      </c>
      <c r="T13" s="178">
        <f t="shared" si="15"/>
        <v>2.53766030285085E-3</v>
      </c>
      <c r="U13" s="291"/>
      <c r="V13" s="163">
        <v>1824.6286500000001</v>
      </c>
      <c r="W13" s="112"/>
      <c r="X13" s="41">
        <f t="shared" si="16"/>
        <v>1824.6286500000001</v>
      </c>
      <c r="Y13" s="178">
        <f t="shared" si="4"/>
        <v>1.8648021116345367E-3</v>
      </c>
      <c r="Z13" s="291"/>
      <c r="AA13" s="210">
        <f t="shared" si="5"/>
        <v>5638.8286499999995</v>
      </c>
      <c r="AB13" s="210">
        <f t="shared" si="6"/>
        <v>0</v>
      </c>
      <c r="AC13" s="210">
        <f t="shared" si="17"/>
        <v>5638.8286499999995</v>
      </c>
      <c r="AD13" s="178">
        <f t="shared" si="1"/>
        <v>1.475498803311729E-3</v>
      </c>
      <c r="AE13" s="42"/>
      <c r="AF13" s="210">
        <f t="shared" si="7"/>
        <v>-2932.8286499999995</v>
      </c>
      <c r="AG13" s="210">
        <f t="shared" si="8"/>
        <v>0</v>
      </c>
      <c r="AH13" s="210">
        <f t="shared" si="9"/>
        <v>-2932.8286499999995</v>
      </c>
      <c r="AI13" s="178">
        <f t="shared" si="10"/>
        <v>2.2530333134300872E-3</v>
      </c>
      <c r="AJ13" s="42"/>
    </row>
    <row r="14" spans="1:36" s="2" customFormat="1" ht="14.4" customHeight="1" outlineLevel="2" x14ac:dyDescent="0.25">
      <c r="A14" s="238"/>
      <c r="B14" s="31" t="s">
        <v>70</v>
      </c>
      <c r="C14" s="111">
        <v>2398.5</v>
      </c>
      <c r="D14" s="112">
        <v>0</v>
      </c>
      <c r="E14" s="106">
        <f t="shared" si="11"/>
        <v>2398.5</v>
      </c>
      <c r="F14" s="177">
        <f t="shared" si="0"/>
        <v>1.0107828979035796E-3</v>
      </c>
      <c r="G14" s="39">
        <v>1012</v>
      </c>
      <c r="H14" s="39">
        <v>0</v>
      </c>
      <c r="I14" s="41">
        <f t="shared" si="12"/>
        <v>1012</v>
      </c>
      <c r="J14" s="178">
        <f t="shared" si="2"/>
        <v>4.9327257942931007E-3</v>
      </c>
      <c r="K14" s="291"/>
      <c r="L14" s="163">
        <v>1166</v>
      </c>
      <c r="M14" s="112"/>
      <c r="N14" s="41">
        <f t="shared" si="13"/>
        <v>1166</v>
      </c>
      <c r="O14" s="178">
        <f t="shared" si="3"/>
        <v>5.6833579803811807E-3</v>
      </c>
      <c r="P14" s="291"/>
      <c r="Q14" s="163">
        <v>2640</v>
      </c>
      <c r="R14" s="112"/>
      <c r="S14" s="41">
        <f t="shared" si="14"/>
        <v>2640</v>
      </c>
      <c r="T14" s="178">
        <f t="shared" si="15"/>
        <v>3.5565234376632392E-3</v>
      </c>
      <c r="U14" s="291"/>
      <c r="V14" s="163">
        <v>2058.5553999999997</v>
      </c>
      <c r="W14" s="112"/>
      <c r="X14" s="41">
        <f t="shared" si="16"/>
        <v>2058.5553999999997</v>
      </c>
      <c r="Y14" s="178">
        <f t="shared" si="4"/>
        <v>2.1038793054338357E-3</v>
      </c>
      <c r="Z14" s="291"/>
      <c r="AA14" s="210">
        <f t="shared" si="5"/>
        <v>6876.5553999999993</v>
      </c>
      <c r="AB14" s="210">
        <f t="shared" si="6"/>
        <v>0</v>
      </c>
      <c r="AC14" s="210">
        <f t="shared" si="17"/>
        <v>6876.5553999999993</v>
      </c>
      <c r="AD14" s="178">
        <f t="shared" si="1"/>
        <v>1.7993718010223291E-3</v>
      </c>
      <c r="AE14" s="42"/>
      <c r="AF14" s="210">
        <f t="shared" si="7"/>
        <v>-4478.0553999999993</v>
      </c>
      <c r="AG14" s="210">
        <f t="shared" si="8"/>
        <v>0</v>
      </c>
      <c r="AH14" s="210">
        <f t="shared" si="9"/>
        <v>-4478.0553999999993</v>
      </c>
      <c r="AI14" s="178">
        <f t="shared" si="10"/>
        <v>3.4400945979525584E-3</v>
      </c>
      <c r="AJ14" s="42"/>
    </row>
    <row r="15" spans="1:36" s="2" customFormat="1" ht="15" customHeight="1" outlineLevel="2" x14ac:dyDescent="0.25">
      <c r="A15" s="238"/>
      <c r="B15" s="7" t="s">
        <v>20</v>
      </c>
      <c r="C15" s="111"/>
      <c r="D15" s="113"/>
      <c r="E15" s="106">
        <f t="shared" si="11"/>
        <v>0</v>
      </c>
      <c r="F15" s="177">
        <f t="shared" si="0"/>
        <v>0</v>
      </c>
      <c r="G15" s="39">
        <v>0</v>
      </c>
      <c r="H15" s="39">
        <v>0</v>
      </c>
      <c r="I15" s="41">
        <f t="shared" si="12"/>
        <v>0</v>
      </c>
      <c r="J15" s="178">
        <f t="shared" ref="J15:J24" si="18">I15/$E$87</f>
        <v>0</v>
      </c>
      <c r="K15" s="291"/>
      <c r="L15" s="161"/>
      <c r="M15" s="113"/>
      <c r="N15" s="41">
        <f t="shared" si="13"/>
        <v>0</v>
      </c>
      <c r="O15" s="178">
        <f t="shared" ref="O15:O31" si="19">N15/$E$87</f>
        <v>0</v>
      </c>
      <c r="P15" s="291"/>
      <c r="Q15" s="161"/>
      <c r="R15" s="113"/>
      <c r="S15" s="41">
        <f t="shared" si="14"/>
        <v>0</v>
      </c>
      <c r="T15" s="178">
        <f t="shared" si="15"/>
        <v>0</v>
      </c>
      <c r="U15" s="291"/>
      <c r="V15" s="161"/>
      <c r="W15" s="113"/>
      <c r="X15" s="41">
        <f t="shared" si="16"/>
        <v>0</v>
      </c>
      <c r="Y15" s="178">
        <f t="shared" si="4"/>
        <v>0</v>
      </c>
      <c r="Z15" s="291"/>
      <c r="AA15" s="210">
        <f t="shared" si="5"/>
        <v>0</v>
      </c>
      <c r="AB15" s="210">
        <f t="shared" si="6"/>
        <v>0</v>
      </c>
      <c r="AC15" s="210">
        <f t="shared" si="17"/>
        <v>0</v>
      </c>
      <c r="AD15" s="178">
        <f t="shared" si="1"/>
        <v>0</v>
      </c>
      <c r="AE15" s="42"/>
      <c r="AF15" s="210">
        <f t="shared" si="7"/>
        <v>0</v>
      </c>
      <c r="AG15" s="210">
        <f t="shared" si="8"/>
        <v>0</v>
      </c>
      <c r="AH15" s="210">
        <f t="shared" si="9"/>
        <v>0</v>
      </c>
      <c r="AI15" s="178">
        <f t="shared" si="10"/>
        <v>0</v>
      </c>
      <c r="AJ15" s="42"/>
    </row>
    <row r="16" spans="1:36" s="226" customFormat="1" ht="25.95" customHeight="1" outlineLevel="2" x14ac:dyDescent="0.25">
      <c r="A16" s="238"/>
      <c r="B16" s="262" t="s">
        <v>21</v>
      </c>
      <c r="C16" s="111"/>
      <c r="D16" s="113">
        <v>634634.64293716056</v>
      </c>
      <c r="E16" s="106">
        <f t="shared" si="11"/>
        <v>634634.64293716056</v>
      </c>
      <c r="F16" s="177">
        <f t="shared" si="0"/>
        <v>0.26744959078508512</v>
      </c>
      <c r="G16" s="39">
        <v>0</v>
      </c>
      <c r="H16" s="39">
        <v>360320</v>
      </c>
      <c r="I16" s="41">
        <f t="shared" si="12"/>
        <v>360320</v>
      </c>
      <c r="J16" s="178">
        <f t="shared" si="18"/>
        <v>0.15184711018245478</v>
      </c>
      <c r="K16" s="291"/>
      <c r="L16" s="161"/>
      <c r="M16" s="113"/>
      <c r="N16" s="41">
        <f t="shared" si="13"/>
        <v>0</v>
      </c>
      <c r="O16" s="178">
        <f t="shared" si="19"/>
        <v>0</v>
      </c>
      <c r="P16" s="291"/>
      <c r="Q16" s="161"/>
      <c r="R16" s="113">
        <f>145166+47817</f>
        <v>192983</v>
      </c>
      <c r="S16" s="41">
        <f t="shared" si="14"/>
        <v>192983</v>
      </c>
      <c r="T16" s="178">
        <f t="shared" si="15"/>
        <v>0.259980516125214</v>
      </c>
      <c r="U16" s="291" t="s">
        <v>131</v>
      </c>
      <c r="V16" s="161"/>
      <c r="W16" s="113">
        <v>174796</v>
      </c>
      <c r="X16" s="41">
        <f t="shared" si="16"/>
        <v>174796</v>
      </c>
      <c r="Y16" s="178">
        <f t="shared" si="4"/>
        <v>0.17864454222247933</v>
      </c>
      <c r="Z16" s="291" t="s">
        <v>157</v>
      </c>
      <c r="AA16" s="210">
        <f t="shared" si="5"/>
        <v>0</v>
      </c>
      <c r="AB16" s="210">
        <f t="shared" si="6"/>
        <v>728099</v>
      </c>
      <c r="AC16" s="210">
        <f t="shared" si="17"/>
        <v>837313.85</v>
      </c>
      <c r="AD16" s="178">
        <f t="shared" si="1"/>
        <v>0.21909791205862172</v>
      </c>
      <c r="AE16" s="42"/>
      <c r="AF16" s="210">
        <f t="shared" si="7"/>
        <v>0</v>
      </c>
      <c r="AG16" s="210">
        <f t="shared" si="8"/>
        <v>-93464.357062839437</v>
      </c>
      <c r="AH16" s="210">
        <f t="shared" si="9"/>
        <v>-107484.01062226534</v>
      </c>
      <c r="AI16" s="178">
        <f t="shared" si="10"/>
        <v>8.2570475637244345E-2</v>
      </c>
      <c r="AJ16" s="42"/>
    </row>
    <row r="17" spans="1:38" s="2" customFormat="1" ht="14.4" customHeight="1" outlineLevel="2" x14ac:dyDescent="0.25">
      <c r="A17" s="238"/>
      <c r="B17" s="7" t="s">
        <v>22</v>
      </c>
      <c r="C17" s="111"/>
      <c r="D17" s="113"/>
      <c r="E17" s="106">
        <f t="shared" si="11"/>
        <v>0</v>
      </c>
      <c r="F17" s="177">
        <f t="shared" si="0"/>
        <v>0</v>
      </c>
      <c r="G17" s="39">
        <v>0</v>
      </c>
      <c r="H17" s="39">
        <v>0</v>
      </c>
      <c r="I17" s="41">
        <f t="shared" si="12"/>
        <v>0</v>
      </c>
      <c r="J17" s="178">
        <f t="shared" si="18"/>
        <v>0</v>
      </c>
      <c r="K17" s="291"/>
      <c r="L17" s="161"/>
      <c r="M17" s="113"/>
      <c r="N17" s="41">
        <f t="shared" si="13"/>
        <v>0</v>
      </c>
      <c r="O17" s="178">
        <f t="shared" si="19"/>
        <v>0</v>
      </c>
      <c r="P17" s="291"/>
      <c r="Q17" s="161"/>
      <c r="R17" s="113"/>
      <c r="S17" s="41">
        <f t="shared" si="14"/>
        <v>0</v>
      </c>
      <c r="T17" s="178">
        <f t="shared" si="15"/>
        <v>0</v>
      </c>
      <c r="U17" s="291"/>
      <c r="V17" s="161"/>
      <c r="W17" s="113">
        <v>12500</v>
      </c>
      <c r="X17" s="41">
        <f t="shared" si="16"/>
        <v>12500</v>
      </c>
      <c r="Y17" s="178">
        <f t="shared" si="4"/>
        <v>1.2775216697069679E-2</v>
      </c>
      <c r="Z17" s="291" t="s">
        <v>179</v>
      </c>
      <c r="AA17" s="210">
        <f t="shared" si="5"/>
        <v>0</v>
      </c>
      <c r="AB17" s="210">
        <f t="shared" si="6"/>
        <v>12500</v>
      </c>
      <c r="AC17" s="210">
        <f t="shared" si="17"/>
        <v>14374.999999999998</v>
      </c>
      <c r="AD17" s="178">
        <f t="shared" si="1"/>
        <v>3.7614718612891535E-3</v>
      </c>
      <c r="AE17" s="42"/>
      <c r="AF17" s="210">
        <f t="shared" si="7"/>
        <v>0</v>
      </c>
      <c r="AG17" s="210">
        <f t="shared" si="8"/>
        <v>-12500</v>
      </c>
      <c r="AH17" s="210">
        <f t="shared" si="9"/>
        <v>-14374.999999999998</v>
      </c>
      <c r="AI17" s="178">
        <f t="shared" si="10"/>
        <v>1.104304333652684E-2</v>
      </c>
      <c r="AJ17" s="42"/>
    </row>
    <row r="18" spans="1:38" s="2" customFormat="1" ht="14.4" customHeight="1" outlineLevel="2" x14ac:dyDescent="0.25">
      <c r="A18" s="238"/>
      <c r="B18" s="7" t="s">
        <v>0</v>
      </c>
      <c r="C18" s="111"/>
      <c r="D18" s="113"/>
      <c r="E18" s="106">
        <f t="shared" si="11"/>
        <v>0</v>
      </c>
      <c r="F18" s="177">
        <f t="shared" si="0"/>
        <v>0</v>
      </c>
      <c r="G18" s="39">
        <v>0</v>
      </c>
      <c r="H18" s="39">
        <v>300</v>
      </c>
      <c r="I18" s="41">
        <f t="shared" si="12"/>
        <v>300</v>
      </c>
      <c r="J18" s="178">
        <f t="shared" si="18"/>
        <v>1.264268790373458E-4</v>
      </c>
      <c r="K18" s="291"/>
      <c r="L18" s="161"/>
      <c r="M18" s="113"/>
      <c r="N18" s="41">
        <f t="shared" si="13"/>
        <v>0</v>
      </c>
      <c r="O18" s="178">
        <f t="shared" si="19"/>
        <v>0</v>
      </c>
      <c r="P18" s="291"/>
      <c r="Q18" s="161"/>
      <c r="R18" s="113"/>
      <c r="S18" s="41">
        <f t="shared" si="14"/>
        <v>0</v>
      </c>
      <c r="T18" s="178">
        <f t="shared" si="15"/>
        <v>0</v>
      </c>
      <c r="U18" s="291"/>
      <c r="V18" s="161"/>
      <c r="W18" s="113"/>
      <c r="X18" s="41">
        <f t="shared" si="16"/>
        <v>0</v>
      </c>
      <c r="Y18" s="178">
        <f t="shared" si="4"/>
        <v>0</v>
      </c>
      <c r="Z18" s="291"/>
      <c r="AA18" s="210">
        <f t="shared" si="5"/>
        <v>0</v>
      </c>
      <c r="AB18" s="210">
        <f t="shared" si="6"/>
        <v>300</v>
      </c>
      <c r="AC18" s="210">
        <f t="shared" si="17"/>
        <v>345</v>
      </c>
      <c r="AD18" s="178">
        <f t="shared" si="1"/>
        <v>9.0275324670939695E-5</v>
      </c>
      <c r="AE18" s="42"/>
      <c r="AF18" s="210">
        <f t="shared" si="7"/>
        <v>0</v>
      </c>
      <c r="AG18" s="210">
        <f t="shared" si="8"/>
        <v>-300</v>
      </c>
      <c r="AH18" s="210">
        <f t="shared" si="9"/>
        <v>-345</v>
      </c>
      <c r="AI18" s="178">
        <f t="shared" si="10"/>
        <v>2.6503304007664417E-4</v>
      </c>
      <c r="AJ18" s="42"/>
    </row>
    <row r="19" spans="1:38" s="2" customFormat="1" ht="28.2" customHeight="1" outlineLevel="2" x14ac:dyDescent="0.25">
      <c r="A19" s="238"/>
      <c r="B19" s="7" t="s">
        <v>53</v>
      </c>
      <c r="C19" s="114">
        <v>2000</v>
      </c>
      <c r="D19" s="113">
        <v>0</v>
      </c>
      <c r="E19" s="106">
        <f t="shared" si="11"/>
        <v>2000</v>
      </c>
      <c r="F19" s="177">
        <f t="shared" si="0"/>
        <v>8.4284586024897194E-4</v>
      </c>
      <c r="G19" s="39">
        <f>2640+850</f>
        <v>3490</v>
      </c>
      <c r="H19" s="39">
        <v>0</v>
      </c>
      <c r="I19" s="41">
        <f t="shared" si="12"/>
        <v>3490</v>
      </c>
      <c r="J19" s="178">
        <f t="shared" si="18"/>
        <v>1.470766026134456E-3</v>
      </c>
      <c r="K19" s="291"/>
      <c r="L19" s="161"/>
      <c r="M19" s="113"/>
      <c r="N19" s="41">
        <f t="shared" si="13"/>
        <v>0</v>
      </c>
      <c r="O19" s="178">
        <f t="shared" si="19"/>
        <v>0</v>
      </c>
      <c r="P19" s="291"/>
      <c r="Q19" s="161">
        <f>1080*1.2</f>
        <v>1296</v>
      </c>
      <c r="R19" s="113"/>
      <c r="S19" s="41">
        <f t="shared" si="14"/>
        <v>1296</v>
      </c>
      <c r="T19" s="178">
        <f t="shared" si="15"/>
        <v>1.7459296875801356E-3</v>
      </c>
      <c r="U19" s="291" t="s">
        <v>121</v>
      </c>
      <c r="V19" s="161">
        <f>150*1.2</f>
        <v>180</v>
      </c>
      <c r="W19" s="113"/>
      <c r="X19" s="41">
        <f t="shared" si="16"/>
        <v>180</v>
      </c>
      <c r="Y19" s="178">
        <f t="shared" si="4"/>
        <v>1.8396312043780338E-4</v>
      </c>
      <c r="Z19" s="291" t="s">
        <v>159</v>
      </c>
      <c r="AA19" s="210">
        <f t="shared" si="5"/>
        <v>4966</v>
      </c>
      <c r="AB19" s="210">
        <f t="shared" si="6"/>
        <v>0</v>
      </c>
      <c r="AC19" s="210">
        <f t="shared" si="17"/>
        <v>4966</v>
      </c>
      <c r="AD19" s="178">
        <f t="shared" si="1"/>
        <v>1.2994413400460479E-3</v>
      </c>
      <c r="AE19" s="42"/>
      <c r="AF19" s="210">
        <f t="shared" si="7"/>
        <v>-2966</v>
      </c>
      <c r="AG19" s="210">
        <f t="shared" si="8"/>
        <v>0</v>
      </c>
      <c r="AH19" s="210">
        <f t="shared" si="9"/>
        <v>-2966</v>
      </c>
      <c r="AI19" s="178">
        <f t="shared" si="10"/>
        <v>2.278515932948773E-3</v>
      </c>
      <c r="AJ19" s="42"/>
    </row>
    <row r="20" spans="1:38" s="2" customFormat="1" ht="14.4" customHeight="1" outlineLevel="2" x14ac:dyDescent="0.25">
      <c r="A20" s="238"/>
      <c r="B20" s="7" t="s">
        <v>57</v>
      </c>
      <c r="C20" s="114"/>
      <c r="D20" s="113"/>
      <c r="E20" s="106">
        <f t="shared" si="11"/>
        <v>0</v>
      </c>
      <c r="F20" s="177">
        <f t="shared" si="0"/>
        <v>0</v>
      </c>
      <c r="G20" s="39">
        <v>0</v>
      </c>
      <c r="H20" s="39">
        <v>0</v>
      </c>
      <c r="I20" s="41">
        <f t="shared" si="12"/>
        <v>0</v>
      </c>
      <c r="J20" s="178">
        <f t="shared" si="18"/>
        <v>0</v>
      </c>
      <c r="K20" s="291"/>
      <c r="L20" s="161"/>
      <c r="M20" s="113"/>
      <c r="N20" s="41">
        <f t="shared" si="13"/>
        <v>0</v>
      </c>
      <c r="O20" s="178">
        <f t="shared" si="19"/>
        <v>0</v>
      </c>
      <c r="P20" s="291"/>
      <c r="Q20" s="161"/>
      <c r="R20" s="113"/>
      <c r="S20" s="41">
        <f t="shared" si="14"/>
        <v>0</v>
      </c>
      <c r="T20" s="178">
        <f t="shared" si="15"/>
        <v>0</v>
      </c>
      <c r="U20" s="291"/>
      <c r="V20" s="161"/>
      <c r="W20" s="113"/>
      <c r="X20" s="41">
        <f t="shared" si="16"/>
        <v>0</v>
      </c>
      <c r="Y20" s="178">
        <f t="shared" si="4"/>
        <v>0</v>
      </c>
      <c r="Z20" s="291"/>
      <c r="AA20" s="210">
        <f t="shared" si="5"/>
        <v>0</v>
      </c>
      <c r="AB20" s="210">
        <f t="shared" si="6"/>
        <v>0</v>
      </c>
      <c r="AC20" s="210">
        <f t="shared" si="17"/>
        <v>0</v>
      </c>
      <c r="AD20" s="178">
        <f t="shared" si="1"/>
        <v>0</v>
      </c>
      <c r="AE20" s="42"/>
      <c r="AF20" s="210">
        <f t="shared" si="7"/>
        <v>0</v>
      </c>
      <c r="AG20" s="210">
        <f t="shared" si="8"/>
        <v>0</v>
      </c>
      <c r="AH20" s="210">
        <f t="shared" si="9"/>
        <v>0</v>
      </c>
      <c r="AI20" s="178">
        <f t="shared" si="10"/>
        <v>0</v>
      </c>
      <c r="AJ20" s="42"/>
    </row>
    <row r="21" spans="1:38" s="226" customFormat="1" ht="113.4" customHeight="1" outlineLevel="2" x14ac:dyDescent="0.25">
      <c r="A21" s="238"/>
      <c r="B21" s="262" t="s">
        <v>58</v>
      </c>
      <c r="C21" s="114">
        <v>194438.24</v>
      </c>
      <c r="D21" s="113">
        <v>0</v>
      </c>
      <c r="E21" s="106">
        <f t="shared" si="11"/>
        <v>194438.24</v>
      </c>
      <c r="F21" s="177">
        <f t="shared" si="0"/>
        <v>8.1940732829048027E-2</v>
      </c>
      <c r="G21" s="39">
        <v>151582.15600000002</v>
      </c>
      <c r="H21" s="39">
        <v>0</v>
      </c>
      <c r="I21" s="41">
        <f t="shared" si="12"/>
        <v>151582.15600000002</v>
      </c>
      <c r="J21" s="178">
        <f t="shared" si="18"/>
        <v>6.3880196336106934E-2</v>
      </c>
      <c r="K21" s="291"/>
      <c r="L21" s="161"/>
      <c r="M21" s="113"/>
      <c r="N21" s="41">
        <f t="shared" si="13"/>
        <v>0</v>
      </c>
      <c r="O21" s="178">
        <f t="shared" si="19"/>
        <v>0</v>
      </c>
      <c r="P21" s="291"/>
      <c r="Q21" s="161">
        <f>(35333.33*1.2)+73204</f>
        <v>115603.996</v>
      </c>
      <c r="R21" s="113"/>
      <c r="S21" s="41">
        <f t="shared" si="14"/>
        <v>115603.996</v>
      </c>
      <c r="T21" s="178">
        <f>S21/$S$87</f>
        <v>0.15573800047785127</v>
      </c>
      <c r="U21" s="291" t="s">
        <v>124</v>
      </c>
      <c r="V21" s="161">
        <f>2649.92+ ((16333.34+18333.33+8250+2000)*1.2)</f>
        <v>56549.923999999992</v>
      </c>
      <c r="W21" s="113"/>
      <c r="X21" s="41">
        <f t="shared" si="16"/>
        <v>56549.923999999992</v>
      </c>
      <c r="Y21" s="178">
        <f t="shared" si="4"/>
        <v>5.77950026642257E-2</v>
      </c>
      <c r="Z21" s="291" t="s">
        <v>158</v>
      </c>
      <c r="AA21" s="210">
        <f t="shared" si="5"/>
        <v>323736.076</v>
      </c>
      <c r="AB21" s="210">
        <f t="shared" si="6"/>
        <v>0</v>
      </c>
      <c r="AC21" s="210">
        <f t="shared" si="17"/>
        <v>323736.076</v>
      </c>
      <c r="AD21" s="178">
        <f t="shared" si="1"/>
        <v>8.4711244546655101E-2</v>
      </c>
      <c r="AE21" s="42"/>
      <c r="AF21" s="210">
        <f t="shared" si="7"/>
        <v>-129297.83600000001</v>
      </c>
      <c r="AG21" s="210">
        <f t="shared" si="8"/>
        <v>0</v>
      </c>
      <c r="AH21" s="210">
        <f t="shared" si="9"/>
        <v>-129297.83600000001</v>
      </c>
      <c r="AI21" s="178">
        <f t="shared" si="10"/>
        <v>9.9328111740322814E-2</v>
      </c>
      <c r="AJ21" s="42"/>
    </row>
    <row r="22" spans="1:38" s="2" customFormat="1" ht="64.2" customHeight="1" outlineLevel="2" x14ac:dyDescent="0.25">
      <c r="A22" s="238"/>
      <c r="B22" s="7" t="s">
        <v>23</v>
      </c>
      <c r="C22" s="114">
        <v>10000</v>
      </c>
      <c r="D22" s="113">
        <v>0</v>
      </c>
      <c r="E22" s="106">
        <f t="shared" si="11"/>
        <v>10000</v>
      </c>
      <c r="F22" s="177">
        <f t="shared" si="0"/>
        <v>4.2142293012448597E-3</v>
      </c>
      <c r="G22" s="39">
        <v>24239.999999999993</v>
      </c>
      <c r="H22" s="39">
        <v>3300</v>
      </c>
      <c r="I22" s="41">
        <f t="shared" si="12"/>
        <v>27539.999999999993</v>
      </c>
      <c r="J22" s="178">
        <f t="shared" si="18"/>
        <v>1.160598749562834E-2</v>
      </c>
      <c r="K22" s="291"/>
      <c r="L22" s="161"/>
      <c r="M22" s="113"/>
      <c r="N22" s="41">
        <f t="shared" si="13"/>
        <v>0</v>
      </c>
      <c r="O22" s="178">
        <f t="shared" si="19"/>
        <v>0</v>
      </c>
      <c r="P22" s="291"/>
      <c r="Q22" s="161">
        <f>500*1.2</f>
        <v>600</v>
      </c>
      <c r="R22" s="113"/>
      <c r="S22" s="41">
        <f t="shared" si="14"/>
        <v>600</v>
      </c>
      <c r="T22" s="178">
        <f t="shared" si="15"/>
        <v>8.0830078128709987E-4</v>
      </c>
      <c r="U22" s="291" t="s">
        <v>120</v>
      </c>
      <c r="V22" s="161">
        <f>(6833.34+2083.33)*1.2</f>
        <v>10700.003999999999</v>
      </c>
      <c r="W22" s="113">
        <v>2100</v>
      </c>
      <c r="X22" s="41">
        <f t="shared" si="16"/>
        <v>12800.003999999999</v>
      </c>
      <c r="Y22" s="178">
        <f t="shared" si="4"/>
        <v>1.3081825985868692E-2</v>
      </c>
      <c r="Z22" s="291" t="s">
        <v>162</v>
      </c>
      <c r="AA22" s="210">
        <f t="shared" si="5"/>
        <v>35540.003999999994</v>
      </c>
      <c r="AB22" s="210">
        <f t="shared" si="6"/>
        <v>5400</v>
      </c>
      <c r="AC22" s="210">
        <f t="shared" si="17"/>
        <v>41750.003999999994</v>
      </c>
      <c r="AD22" s="178">
        <f t="shared" si="1"/>
        <v>1.0924623669892842E-2</v>
      </c>
      <c r="AE22" s="42"/>
      <c r="AF22" s="210">
        <f t="shared" si="7"/>
        <v>-25540.003999999994</v>
      </c>
      <c r="AG22" s="210">
        <f t="shared" si="8"/>
        <v>-5400</v>
      </c>
      <c r="AH22" s="210">
        <f t="shared" si="9"/>
        <v>-31750.003999999994</v>
      </c>
      <c r="AI22" s="178">
        <f t="shared" si="10"/>
        <v>2.4390724877001772E-2</v>
      </c>
      <c r="AJ22" s="42"/>
    </row>
    <row r="23" spans="1:38" s="2" customFormat="1" ht="25.2" customHeight="1" outlineLevel="2" x14ac:dyDescent="0.25">
      <c r="A23" s="238"/>
      <c r="B23" s="7" t="s">
        <v>24</v>
      </c>
      <c r="C23" s="114">
        <v>50000</v>
      </c>
      <c r="D23" s="113">
        <v>0</v>
      </c>
      <c r="E23" s="106">
        <f t="shared" si="11"/>
        <v>50000</v>
      </c>
      <c r="F23" s="177">
        <f t="shared" si="0"/>
        <v>2.1071146506224298E-2</v>
      </c>
      <c r="G23" s="39">
        <v>26408.591999999997</v>
      </c>
      <c r="H23" s="39">
        <v>15324</v>
      </c>
      <c r="I23" s="41">
        <f t="shared" si="12"/>
        <v>41732.591999999997</v>
      </c>
      <c r="J23" s="178">
        <f t="shared" si="18"/>
        <v>1.758707120232968E-2</v>
      </c>
      <c r="K23" s="291"/>
      <c r="L23" s="161"/>
      <c r="M23" s="113"/>
      <c r="N23" s="41">
        <f t="shared" si="13"/>
        <v>0</v>
      </c>
      <c r="O23" s="178">
        <f t="shared" si="19"/>
        <v>0</v>
      </c>
      <c r="P23" s="291" t="s">
        <v>97</v>
      </c>
      <c r="Q23" s="161"/>
      <c r="R23" s="113">
        <v>2290</v>
      </c>
      <c r="S23" s="41">
        <f t="shared" si="14"/>
        <v>2290</v>
      </c>
      <c r="T23" s="178">
        <f t="shared" si="15"/>
        <v>3.0850146485790976E-3</v>
      </c>
      <c r="U23" s="291"/>
      <c r="V23" s="161">
        <f>34905.75*1.2</f>
        <v>41886.9</v>
      </c>
      <c r="W23" s="113">
        <f>993+260</f>
        <v>1253</v>
      </c>
      <c r="X23" s="41">
        <f t="shared" si="16"/>
        <v>43139.9</v>
      </c>
      <c r="Y23" s="178">
        <f t="shared" si="4"/>
        <v>4.4089725663193302E-2</v>
      </c>
      <c r="Z23" s="291" t="s">
        <v>163</v>
      </c>
      <c r="AA23" s="210">
        <f t="shared" si="5"/>
        <v>68295.491999999998</v>
      </c>
      <c r="AB23" s="210">
        <f t="shared" si="6"/>
        <v>18867</v>
      </c>
      <c r="AC23" s="210">
        <f t="shared" si="17"/>
        <v>89992.542000000001</v>
      </c>
      <c r="AD23" s="178">
        <f t="shared" si="1"/>
        <v>2.354813317974834E-2</v>
      </c>
      <c r="AE23" s="42"/>
      <c r="AF23" s="210">
        <f t="shared" si="7"/>
        <v>-18295.491999999998</v>
      </c>
      <c r="AG23" s="210">
        <f t="shared" si="8"/>
        <v>-18867</v>
      </c>
      <c r="AH23" s="210">
        <f t="shared" si="9"/>
        <v>-39992.542000000001</v>
      </c>
      <c r="AI23" s="178">
        <f t="shared" si="10"/>
        <v>3.0722739091747466E-2</v>
      </c>
      <c r="AJ23" s="42"/>
    </row>
    <row r="24" spans="1:38" s="2" customFormat="1" ht="25.2" customHeight="1" outlineLevel="2" x14ac:dyDescent="0.25">
      <c r="A24" s="238"/>
      <c r="B24" s="7" t="s">
        <v>45</v>
      </c>
      <c r="C24" s="114">
        <v>781652.62</v>
      </c>
      <c r="D24" s="113">
        <v>0</v>
      </c>
      <c r="E24" s="106">
        <f t="shared" si="11"/>
        <v>781652.62</v>
      </c>
      <c r="F24" s="177">
        <f t="shared" si="0"/>
        <v>0.3294063374598814</v>
      </c>
      <c r="G24" s="39">
        <v>818952.48</v>
      </c>
      <c r="H24" s="39">
        <v>1880</v>
      </c>
      <c r="I24" s="41">
        <f t="shared" si="12"/>
        <v>820832.48</v>
      </c>
      <c r="J24" s="178">
        <f t="shared" si="18"/>
        <v>0.34591762886294852</v>
      </c>
      <c r="K24" s="291"/>
      <c r="L24" s="161"/>
      <c r="M24" s="113"/>
      <c r="N24" s="41">
        <f t="shared" si="13"/>
        <v>0</v>
      </c>
      <c r="O24" s="178">
        <f t="shared" si="19"/>
        <v>0</v>
      </c>
      <c r="P24" s="291" t="s">
        <v>97</v>
      </c>
      <c r="Q24" s="161">
        <v>187286.42399999997</v>
      </c>
      <c r="R24" s="113"/>
      <c r="S24" s="41">
        <f t="shared" si="14"/>
        <v>187286.42399999997</v>
      </c>
      <c r="T24" s="178">
        <f t="shared" si="15"/>
        <v>0.25230627140611173</v>
      </c>
      <c r="U24" s="291" t="s">
        <v>125</v>
      </c>
      <c r="V24" s="161">
        <f>(416310.41+20360.05)*1.2</f>
        <v>524004.55199999991</v>
      </c>
      <c r="W24" s="113">
        <v>208</v>
      </c>
      <c r="X24" s="41">
        <f t="shared" si="16"/>
        <v>524212.55199999991</v>
      </c>
      <c r="Y24" s="178">
        <f t="shared" si="4"/>
        <v>0.5357543157699125</v>
      </c>
      <c r="Z24" s="291"/>
      <c r="AA24" s="210">
        <f t="shared" si="5"/>
        <v>1530243.4559999998</v>
      </c>
      <c r="AB24" s="210">
        <f t="shared" si="6"/>
        <v>2088</v>
      </c>
      <c r="AC24" s="210">
        <f t="shared" si="17"/>
        <v>1532644.6559999997</v>
      </c>
      <c r="AD24" s="178">
        <f t="shared" si="1"/>
        <v>0.40104346065385699</v>
      </c>
      <c r="AE24" s="42"/>
      <c r="AF24" s="210">
        <f t="shared" si="7"/>
        <v>-748590.83599999978</v>
      </c>
      <c r="AG24" s="210">
        <f t="shared" si="8"/>
        <v>-2088</v>
      </c>
      <c r="AH24" s="210">
        <f t="shared" si="9"/>
        <v>-750992.03599999973</v>
      </c>
      <c r="AI24" s="178">
        <f t="shared" si="10"/>
        <v>0.57692087644761891</v>
      </c>
      <c r="AJ24" s="42"/>
    </row>
    <row r="25" spans="1:38" s="2" customFormat="1" ht="63" customHeight="1" outlineLevel="2" x14ac:dyDescent="0.25">
      <c r="A25" s="238"/>
      <c r="B25" s="7" t="s">
        <v>25</v>
      </c>
      <c r="C25" s="114">
        <v>20000</v>
      </c>
      <c r="D25" s="113">
        <v>0</v>
      </c>
      <c r="E25" s="106">
        <f t="shared" si="11"/>
        <v>20000</v>
      </c>
      <c r="F25" s="177">
        <f t="shared" si="0"/>
        <v>8.4284586024897194E-3</v>
      </c>
      <c r="G25" s="39">
        <v>4.0000000044528861E-3</v>
      </c>
      <c r="H25" s="39">
        <v>0</v>
      </c>
      <c r="I25" s="41">
        <f t="shared" si="12"/>
        <v>4.0000000044528861E-3</v>
      </c>
      <c r="J25" s="178">
        <f>I25/$N$87</f>
        <v>1.9496939920096113E-8</v>
      </c>
      <c r="K25" s="291"/>
      <c r="L25" s="161">
        <v>5900</v>
      </c>
      <c r="M25" s="113"/>
      <c r="N25" s="41">
        <f t="shared" si="13"/>
        <v>5900</v>
      </c>
      <c r="O25" s="178">
        <f>N25/$N$87</f>
        <v>2.8757986350127759E-2</v>
      </c>
      <c r="P25" s="291" t="s">
        <v>104</v>
      </c>
      <c r="Q25" s="161">
        <f>12737.22*1.2</f>
        <v>15284.663999999999</v>
      </c>
      <c r="R25" s="113"/>
      <c r="S25" s="41">
        <f t="shared" si="14"/>
        <v>15284.663999999999</v>
      </c>
      <c r="T25" s="178">
        <f t="shared" si="15"/>
        <v>2.0591009754851345E-2</v>
      </c>
      <c r="U25" s="291" t="s">
        <v>123</v>
      </c>
      <c r="V25" s="161">
        <f>5773.35*1.2</f>
        <v>6928.02</v>
      </c>
      <c r="W25" s="113">
        <v>138</v>
      </c>
      <c r="X25" s="41">
        <f t="shared" si="16"/>
        <v>7066.02</v>
      </c>
      <c r="Y25" s="178">
        <f t="shared" si="4"/>
        <v>7.2215949348662638E-3</v>
      </c>
      <c r="Z25" s="291" t="s">
        <v>161</v>
      </c>
      <c r="AA25" s="210">
        <f t="shared" si="5"/>
        <v>28112.688000000006</v>
      </c>
      <c r="AB25" s="210">
        <f t="shared" si="6"/>
        <v>138</v>
      </c>
      <c r="AC25" s="210">
        <f t="shared" si="17"/>
        <v>28271.388000000006</v>
      </c>
      <c r="AD25" s="178">
        <f t="shared" si="1"/>
        <v>7.3977064655017652E-3</v>
      </c>
      <c r="AE25" s="42"/>
      <c r="AF25" s="210">
        <f t="shared" si="7"/>
        <v>-8112.6880000000056</v>
      </c>
      <c r="AG25" s="210">
        <f t="shared" si="8"/>
        <v>-138</v>
      </c>
      <c r="AH25" s="210">
        <f t="shared" si="9"/>
        <v>-8271.3880000000063</v>
      </c>
      <c r="AI25" s="178">
        <f t="shared" si="10"/>
        <v>6.3541771225897837E-3</v>
      </c>
      <c r="AJ25" s="42"/>
      <c r="AK25" s="227"/>
      <c r="AL25" s="227"/>
    </row>
    <row r="26" spans="1:38" s="226" customFormat="1" ht="71.400000000000006" customHeight="1" outlineLevel="2" x14ac:dyDescent="0.25">
      <c r="A26" s="238"/>
      <c r="B26" s="262" t="s">
        <v>52</v>
      </c>
      <c r="C26" s="114">
        <f>37431+50000</f>
        <v>87431</v>
      </c>
      <c r="D26" s="113">
        <v>10350</v>
      </c>
      <c r="E26" s="106">
        <f t="shared" si="11"/>
        <v>97781</v>
      </c>
      <c r="F26" s="177">
        <f t="shared" si="0"/>
        <v>4.1207155530502367E-2</v>
      </c>
      <c r="G26" s="39">
        <v>1238.3999999999999</v>
      </c>
      <c r="H26" s="39">
        <v>3051</v>
      </c>
      <c r="I26" s="41">
        <f t="shared" si="12"/>
        <v>4289.3999999999996</v>
      </c>
      <c r="J26" s="178">
        <f>I26/$N$87</f>
        <v>2.090754350004034E-2</v>
      </c>
      <c r="K26" s="291"/>
      <c r="L26" s="161"/>
      <c r="M26" s="113">
        <v>3000</v>
      </c>
      <c r="N26" s="41">
        <f t="shared" si="13"/>
        <v>3000</v>
      </c>
      <c r="O26" s="178">
        <f>N26/$N$87</f>
        <v>1.4622704923793776E-2</v>
      </c>
      <c r="P26" s="291" t="s">
        <v>128</v>
      </c>
      <c r="Q26" s="161"/>
      <c r="R26" s="113">
        <f>1018</f>
        <v>1018</v>
      </c>
      <c r="S26" s="41">
        <f t="shared" si="14"/>
        <v>1018</v>
      </c>
      <c r="T26" s="178">
        <f t="shared" si="15"/>
        <v>1.3714169922504462E-3</v>
      </c>
      <c r="U26" s="291" t="s">
        <v>126</v>
      </c>
      <c r="V26" s="161"/>
      <c r="W26" s="113">
        <v>1060</v>
      </c>
      <c r="X26" s="41">
        <f t="shared" si="16"/>
        <v>1060</v>
      </c>
      <c r="Y26" s="178">
        <f t="shared" si="4"/>
        <v>1.0833383759115088E-3</v>
      </c>
      <c r="Z26" s="291" t="s">
        <v>169</v>
      </c>
      <c r="AA26" s="210">
        <f t="shared" si="5"/>
        <v>1238.3999999999999</v>
      </c>
      <c r="AB26" s="210">
        <f t="shared" si="6"/>
        <v>8129</v>
      </c>
      <c r="AC26" s="210">
        <f t="shared" si="17"/>
        <v>10586.749999999998</v>
      </c>
      <c r="AD26" s="178">
        <f t="shared" si="1"/>
        <v>2.7702095462610742E-3</v>
      </c>
      <c r="AE26" s="42"/>
      <c r="AF26" s="210">
        <f t="shared" si="7"/>
        <v>86192.6</v>
      </c>
      <c r="AG26" s="210">
        <f t="shared" si="8"/>
        <v>2221</v>
      </c>
      <c r="AH26" s="210">
        <f t="shared" si="9"/>
        <v>88746.75</v>
      </c>
      <c r="AI26" s="178">
        <f t="shared" si="10"/>
        <v>-6.8176292607020059E-2</v>
      </c>
      <c r="AJ26" s="42"/>
      <c r="AK26" s="320"/>
    </row>
    <row r="27" spans="1:38" s="2" customFormat="1" ht="42.6" customHeight="1" outlineLevel="2" x14ac:dyDescent="0.25">
      <c r="A27" s="238"/>
      <c r="B27" s="7" t="s">
        <v>31</v>
      </c>
      <c r="C27" s="114">
        <v>0</v>
      </c>
      <c r="D27" s="113">
        <v>154368.56170334521</v>
      </c>
      <c r="E27" s="106">
        <f t="shared" si="11"/>
        <v>154368.56170334521</v>
      </c>
      <c r="F27" s="178">
        <f t="shared" si="0"/>
        <v>6.505445159212625E-2</v>
      </c>
      <c r="G27" s="39">
        <v>3400</v>
      </c>
      <c r="H27" s="39">
        <v>58700</v>
      </c>
      <c r="I27" s="41">
        <f t="shared" si="12"/>
        <v>62100</v>
      </c>
      <c r="J27" s="178">
        <f>I27/$N$87</f>
        <v>0.30268999192253115</v>
      </c>
      <c r="K27" s="291"/>
      <c r="L27" s="161"/>
      <c r="M27" s="113">
        <v>29600</v>
      </c>
      <c r="N27" s="41">
        <f t="shared" si="13"/>
        <v>29600</v>
      </c>
      <c r="O27" s="178">
        <f>N27/$N$87</f>
        <v>0.14427735524809859</v>
      </c>
      <c r="P27" s="291" t="s">
        <v>99</v>
      </c>
      <c r="Q27" s="161"/>
      <c r="R27" s="113">
        <f>900+22500</f>
        <v>23400</v>
      </c>
      <c r="S27" s="41">
        <f t="shared" si="14"/>
        <v>23400</v>
      </c>
      <c r="T27" s="178">
        <f t="shared" si="15"/>
        <v>3.1523730470196895E-2</v>
      </c>
      <c r="U27" s="291" t="s">
        <v>127</v>
      </c>
      <c r="V27" s="161"/>
      <c r="W27" s="113">
        <v>18400</v>
      </c>
      <c r="X27" s="41">
        <f t="shared" si="16"/>
        <v>18400</v>
      </c>
      <c r="Y27" s="178">
        <f t="shared" si="4"/>
        <v>1.8805118978086566E-2</v>
      </c>
      <c r="Z27" s="291" t="s">
        <v>164</v>
      </c>
      <c r="AA27" s="210">
        <f t="shared" si="5"/>
        <v>3400</v>
      </c>
      <c r="AB27" s="210">
        <f t="shared" si="6"/>
        <v>130100</v>
      </c>
      <c r="AC27" s="210">
        <f t="shared" si="17"/>
        <v>153015</v>
      </c>
      <c r="AD27" s="178">
        <f t="shared" si="1"/>
        <v>4.0039068998619816E-2</v>
      </c>
      <c r="AE27" s="79"/>
      <c r="AF27" s="210">
        <f t="shared" si="7"/>
        <v>-3400</v>
      </c>
      <c r="AG27" s="210">
        <f t="shared" si="8"/>
        <v>24268.561703345214</v>
      </c>
      <c r="AH27" s="210">
        <f t="shared" si="9"/>
        <v>24508.845958846996</v>
      </c>
      <c r="AI27" s="178">
        <f t="shared" si="10"/>
        <v>-1.8827982473169261E-2</v>
      </c>
      <c r="AJ27" s="79"/>
    </row>
    <row r="28" spans="1:38" s="2" customFormat="1" ht="28.95" customHeight="1" outlineLevel="2" x14ac:dyDescent="0.25">
      <c r="A28" s="238"/>
      <c r="B28" s="7" t="s">
        <v>62</v>
      </c>
      <c r="C28" s="114">
        <v>79640.11914957143</v>
      </c>
      <c r="D28" s="113">
        <v>5750</v>
      </c>
      <c r="E28" s="106">
        <f t="shared" si="11"/>
        <v>85390.11914957143</v>
      </c>
      <c r="F28" s="178">
        <f t="shared" si="0"/>
        <v>3.5985354215691372E-2</v>
      </c>
      <c r="G28" s="39">
        <v>38280</v>
      </c>
      <c r="H28" s="39">
        <v>6000</v>
      </c>
      <c r="I28" s="41">
        <f t="shared" si="12"/>
        <v>44280</v>
      </c>
      <c r="J28" s="178">
        <f>I28/$N$87</f>
        <v>0.21583112467519613</v>
      </c>
      <c r="K28" s="291"/>
      <c r="L28" s="161">
        <v>18180</v>
      </c>
      <c r="M28" s="113"/>
      <c r="N28" s="41">
        <f t="shared" si="13"/>
        <v>18180</v>
      </c>
      <c r="O28" s="178">
        <f>N28/$N$87</f>
        <v>8.8613591838190287E-2</v>
      </c>
      <c r="P28" s="291" t="s">
        <v>98</v>
      </c>
      <c r="Q28" s="161">
        <f>13500*1.2</f>
        <v>16200</v>
      </c>
      <c r="R28" s="113"/>
      <c r="S28" s="41">
        <f t="shared" si="14"/>
        <v>16200</v>
      </c>
      <c r="T28" s="178">
        <f t="shared" si="15"/>
        <v>2.1824121094751698E-2</v>
      </c>
      <c r="U28" s="291" t="s">
        <v>122</v>
      </c>
      <c r="V28" s="161">
        <f>8900*1.2</f>
        <v>10680</v>
      </c>
      <c r="W28" s="113"/>
      <c r="X28" s="41">
        <f t="shared" si="16"/>
        <v>10680</v>
      </c>
      <c r="Y28" s="178">
        <f t="shared" si="4"/>
        <v>1.0915145145976333E-2</v>
      </c>
      <c r="Z28" s="291" t="s">
        <v>160</v>
      </c>
      <c r="AA28" s="210">
        <f t="shared" si="5"/>
        <v>83340</v>
      </c>
      <c r="AB28" s="210">
        <f t="shared" si="6"/>
        <v>6000</v>
      </c>
      <c r="AC28" s="210">
        <f t="shared" si="17"/>
        <v>90240</v>
      </c>
      <c r="AD28" s="178">
        <f t="shared" si="1"/>
        <v>2.3612884922624922E-2</v>
      </c>
      <c r="AE28" s="79"/>
      <c r="AF28" s="210">
        <f t="shared" si="7"/>
        <v>-3699.8808504285698</v>
      </c>
      <c r="AG28" s="210">
        <f t="shared" si="8"/>
        <v>-250</v>
      </c>
      <c r="AH28" s="210">
        <f t="shared" si="9"/>
        <v>-3987.3808504285698</v>
      </c>
      <c r="AI28" s="178">
        <f t="shared" si="10"/>
        <v>3.063152662992692E-3</v>
      </c>
      <c r="AJ28" s="79"/>
    </row>
    <row r="29" spans="1:38" s="2" customFormat="1" ht="78" customHeight="1" outlineLevel="2" x14ac:dyDescent="0.25">
      <c r="A29" s="238"/>
      <c r="B29" s="7" t="s">
        <v>34</v>
      </c>
      <c r="C29" s="114">
        <f>37168.75-C61</f>
        <v>18584.25</v>
      </c>
      <c r="D29" s="113">
        <f>44662.9698725352+575</f>
        <v>45237.969872535199</v>
      </c>
      <c r="E29" s="106">
        <f t="shared" si="11"/>
        <v>63822.219872535199</v>
      </c>
      <c r="F29" s="178">
        <f t="shared" si="0"/>
        <v>2.6896146905732981E-2</v>
      </c>
      <c r="G29" s="39">
        <v>15949.96</v>
      </c>
      <c r="H29" s="39">
        <v>16670.080000000002</v>
      </c>
      <c r="I29" s="41">
        <f t="shared" si="12"/>
        <v>32620.04</v>
      </c>
      <c r="J29" s="178">
        <f>I29/$N$87</f>
        <v>0.1589977398407833</v>
      </c>
      <c r="K29" s="291"/>
      <c r="L29" s="161">
        <f>1968.3+2739</f>
        <v>4707.3</v>
      </c>
      <c r="M29" s="113">
        <v>3648</v>
      </c>
      <c r="N29" s="41">
        <f t="shared" si="13"/>
        <v>8355.2999999999993</v>
      </c>
      <c r="O29" s="178">
        <f>N29/$N$87</f>
        <v>4.0725695483258044E-2</v>
      </c>
      <c r="P29" s="291" t="s">
        <v>103</v>
      </c>
      <c r="Q29" s="161">
        <f>3578.7</f>
        <v>3578.7</v>
      </c>
      <c r="R29" s="113">
        <v>5989</v>
      </c>
      <c r="S29" s="41">
        <f t="shared" si="14"/>
        <v>9567.7000000000007</v>
      </c>
      <c r="T29" s="178">
        <f t="shared" si="15"/>
        <v>1.2889298975200976E-2</v>
      </c>
      <c r="U29" s="291" t="s">
        <v>132</v>
      </c>
      <c r="V29" s="161">
        <v>2600</v>
      </c>
      <c r="W29" s="113">
        <f>10397.18+834+80</f>
        <v>11311.18</v>
      </c>
      <c r="X29" s="41">
        <f t="shared" si="16"/>
        <v>13911.18</v>
      </c>
      <c r="Y29" s="178">
        <f t="shared" si="4"/>
        <v>1.4217467120955342E-2</v>
      </c>
      <c r="Z29" s="291" t="s">
        <v>168</v>
      </c>
      <c r="AA29" s="210">
        <f t="shared" si="5"/>
        <v>26835.96</v>
      </c>
      <c r="AB29" s="210">
        <f t="shared" si="6"/>
        <v>37618.26</v>
      </c>
      <c r="AC29" s="210">
        <f t="shared" si="17"/>
        <v>70096.959000000003</v>
      </c>
      <c r="AD29" s="178">
        <f t="shared" si="1"/>
        <v>1.8342103571508835E-2</v>
      </c>
      <c r="AE29" s="79"/>
      <c r="AF29" s="210">
        <f t="shared" si="7"/>
        <v>-8251.7099999999991</v>
      </c>
      <c r="AG29" s="210">
        <f t="shared" si="8"/>
        <v>7619.7098725351971</v>
      </c>
      <c r="AH29" s="210">
        <f t="shared" si="9"/>
        <v>510.95635341547677</v>
      </c>
      <c r="AI29" s="178">
        <f t="shared" si="10"/>
        <v>-3.9252265418023198E-4</v>
      </c>
      <c r="AJ29" s="79"/>
    </row>
    <row r="30" spans="1:38" s="2" customFormat="1" ht="14.4" customHeight="1" outlineLevel="2" x14ac:dyDescent="0.25">
      <c r="A30" s="238"/>
      <c r="B30" s="32" t="s">
        <v>2</v>
      </c>
      <c r="C30" s="115"/>
      <c r="D30" s="116"/>
      <c r="E30" s="106">
        <f t="shared" si="11"/>
        <v>0</v>
      </c>
      <c r="F30" s="178">
        <f t="shared" si="0"/>
        <v>0</v>
      </c>
      <c r="G30" s="39">
        <v>0</v>
      </c>
      <c r="H30" s="39">
        <v>0</v>
      </c>
      <c r="I30" s="41">
        <f t="shared" si="12"/>
        <v>0</v>
      </c>
      <c r="J30" s="178">
        <f>I30/$E$87</f>
        <v>0</v>
      </c>
      <c r="K30" s="291"/>
      <c r="L30" s="161"/>
      <c r="M30" s="116"/>
      <c r="N30" s="41">
        <f t="shared" si="13"/>
        <v>0</v>
      </c>
      <c r="O30" s="178">
        <f t="shared" si="19"/>
        <v>0</v>
      </c>
      <c r="P30" s="291"/>
      <c r="Q30" s="161"/>
      <c r="R30" s="116"/>
      <c r="S30" s="41">
        <f t="shared" si="14"/>
        <v>0</v>
      </c>
      <c r="T30" s="178">
        <f t="shared" si="15"/>
        <v>0</v>
      </c>
      <c r="U30" s="291"/>
      <c r="V30" s="161"/>
      <c r="W30" s="116"/>
      <c r="X30" s="41">
        <f t="shared" si="16"/>
        <v>0</v>
      </c>
      <c r="Y30" s="178">
        <f t="shared" si="4"/>
        <v>0</v>
      </c>
      <c r="Z30" s="291"/>
      <c r="AA30" s="210">
        <f t="shared" si="5"/>
        <v>0</v>
      </c>
      <c r="AB30" s="210">
        <f t="shared" si="6"/>
        <v>0</v>
      </c>
      <c r="AC30" s="210">
        <f t="shared" si="17"/>
        <v>0</v>
      </c>
      <c r="AD30" s="178">
        <f t="shared" si="1"/>
        <v>0</v>
      </c>
      <c r="AE30" s="79"/>
      <c r="AF30" s="210">
        <f t="shared" si="7"/>
        <v>0</v>
      </c>
      <c r="AG30" s="210">
        <f t="shared" si="8"/>
        <v>0</v>
      </c>
      <c r="AH30" s="210">
        <f t="shared" si="9"/>
        <v>0</v>
      </c>
      <c r="AI30" s="178">
        <f t="shared" si="10"/>
        <v>0</v>
      </c>
      <c r="AJ30" s="79"/>
    </row>
    <row r="31" spans="1:38" s="2" customFormat="1" ht="15" customHeight="1" outlineLevel="2" thickBot="1" x14ac:dyDescent="0.3">
      <c r="A31" s="238"/>
      <c r="B31" s="32" t="s">
        <v>75</v>
      </c>
      <c r="C31" s="115"/>
      <c r="D31" s="116">
        <v>3743.1082146858021</v>
      </c>
      <c r="E31" s="106">
        <f t="shared" si="11"/>
        <v>3743.1082146858021</v>
      </c>
      <c r="F31" s="178">
        <f t="shared" si="0"/>
        <v>1.5774316316059243E-3</v>
      </c>
      <c r="G31" s="39">
        <v>0</v>
      </c>
      <c r="H31" s="39">
        <v>0</v>
      </c>
      <c r="I31" s="41">
        <f t="shared" si="12"/>
        <v>0</v>
      </c>
      <c r="J31" s="178">
        <f>I31/$E$87</f>
        <v>0</v>
      </c>
      <c r="K31" s="291"/>
      <c r="L31" s="161"/>
      <c r="M31" s="116"/>
      <c r="N31" s="41">
        <f t="shared" si="13"/>
        <v>0</v>
      </c>
      <c r="O31" s="178">
        <f t="shared" si="19"/>
        <v>0</v>
      </c>
      <c r="P31" s="291"/>
      <c r="Q31" s="161"/>
      <c r="R31" s="116"/>
      <c r="S31" s="41">
        <f t="shared" si="14"/>
        <v>0</v>
      </c>
      <c r="T31" s="178">
        <f t="shared" si="15"/>
        <v>0</v>
      </c>
      <c r="U31" s="291"/>
      <c r="V31" s="161"/>
      <c r="W31" s="116"/>
      <c r="X31" s="41">
        <f t="shared" si="16"/>
        <v>0</v>
      </c>
      <c r="Y31" s="178">
        <f t="shared" si="4"/>
        <v>0</v>
      </c>
      <c r="Z31" s="291"/>
      <c r="AA31" s="210">
        <f t="shared" si="5"/>
        <v>0</v>
      </c>
      <c r="AB31" s="210">
        <f t="shared" si="6"/>
        <v>0</v>
      </c>
      <c r="AC31" s="210">
        <f t="shared" si="17"/>
        <v>0</v>
      </c>
      <c r="AD31" s="178">
        <f t="shared" si="1"/>
        <v>0</v>
      </c>
      <c r="AE31" s="79"/>
      <c r="AF31" s="210">
        <f t="shared" si="7"/>
        <v>0</v>
      </c>
      <c r="AG31" s="210">
        <f t="shared" si="8"/>
        <v>3743.1082146858021</v>
      </c>
      <c r="AH31" s="210">
        <f t="shared" si="9"/>
        <v>4304.5744468886724</v>
      </c>
      <c r="AI31" s="178">
        <f t="shared" si="10"/>
        <v>-3.306824498246794E-3</v>
      </c>
      <c r="AJ31" s="79"/>
    </row>
    <row r="32" spans="1:38" s="2" customFormat="1" ht="13.8" outlineLevel="2" x14ac:dyDescent="0.25">
      <c r="A32" s="238"/>
      <c r="B32" s="12"/>
      <c r="C32" s="46"/>
      <c r="D32" s="47"/>
      <c r="E32" s="48"/>
      <c r="F32" s="179"/>
      <c r="G32" s="96"/>
      <c r="H32" s="48"/>
      <c r="I32" s="48"/>
      <c r="J32" s="202"/>
      <c r="K32" s="202"/>
      <c r="L32" s="96"/>
      <c r="M32" s="48"/>
      <c r="N32" s="48"/>
      <c r="O32" s="202"/>
      <c r="P32" s="202"/>
      <c r="Q32" s="96"/>
      <c r="R32" s="48"/>
      <c r="S32" s="48"/>
      <c r="T32" s="202"/>
      <c r="U32" s="202"/>
      <c r="V32" s="96"/>
      <c r="W32" s="48"/>
      <c r="X32" s="48"/>
      <c r="Y32" s="202">
        <f t="shared" si="4"/>
        <v>0</v>
      </c>
      <c r="Z32" s="202"/>
      <c r="AA32" s="48"/>
      <c r="AB32" s="48"/>
      <c r="AC32" s="48"/>
      <c r="AD32" s="48"/>
      <c r="AE32" s="48"/>
      <c r="AF32" s="48"/>
      <c r="AG32" s="48"/>
      <c r="AH32" s="48"/>
      <c r="AI32" s="48"/>
      <c r="AJ32" s="48"/>
    </row>
    <row r="33" spans="1:37" s="88" customFormat="1" ht="13.8" outlineLevel="1" x14ac:dyDescent="0.25">
      <c r="A33" s="238"/>
      <c r="B33" s="89" t="s">
        <v>80</v>
      </c>
      <c r="C33" s="90">
        <f>C34</f>
        <v>0</v>
      </c>
      <c r="D33" s="90">
        <f>D34</f>
        <v>0</v>
      </c>
      <c r="E33" s="91">
        <f>E34</f>
        <v>0</v>
      </c>
      <c r="F33" s="165">
        <f>E33/$E$87</f>
        <v>0</v>
      </c>
      <c r="G33" s="90">
        <f>G34</f>
        <v>0</v>
      </c>
      <c r="H33" s="90">
        <f>H34</f>
        <v>0</v>
      </c>
      <c r="I33" s="91">
        <f>I34</f>
        <v>0</v>
      </c>
      <c r="J33" s="190">
        <f>I33/$E$87</f>
        <v>0</v>
      </c>
      <c r="K33" s="243"/>
      <c r="L33" s="90">
        <f>L34</f>
        <v>0</v>
      </c>
      <c r="M33" s="90">
        <f>M34</f>
        <v>0</v>
      </c>
      <c r="N33" s="91">
        <f>N34</f>
        <v>0</v>
      </c>
      <c r="O33" s="190">
        <f>N33/$E$87</f>
        <v>0</v>
      </c>
      <c r="P33" s="243"/>
      <c r="Q33" s="90">
        <f>Q34</f>
        <v>0</v>
      </c>
      <c r="R33" s="90">
        <f>R34</f>
        <v>0</v>
      </c>
      <c r="S33" s="91">
        <f>S34</f>
        <v>0</v>
      </c>
      <c r="T33" s="190">
        <f>S33/$S$87</f>
        <v>0</v>
      </c>
      <c r="U33" s="243"/>
      <c r="V33" s="90">
        <f>V34</f>
        <v>0</v>
      </c>
      <c r="W33" s="90">
        <f>W34</f>
        <v>0</v>
      </c>
      <c r="X33" s="91">
        <f>X34</f>
        <v>0</v>
      </c>
      <c r="Y33" s="190">
        <f t="shared" si="4"/>
        <v>0</v>
      </c>
      <c r="Z33" s="243"/>
      <c r="AA33" s="90">
        <f>AA34</f>
        <v>0</v>
      </c>
      <c r="AB33" s="90">
        <f>AB34</f>
        <v>0</v>
      </c>
      <c r="AC33" s="91">
        <f>AC34</f>
        <v>0</v>
      </c>
      <c r="AD33" s="91"/>
      <c r="AE33" s="91"/>
      <c r="AF33" s="90">
        <f>AF34</f>
        <v>0</v>
      </c>
      <c r="AG33" s="90">
        <f>AG34</f>
        <v>0</v>
      </c>
      <c r="AH33" s="91">
        <f>AH34</f>
        <v>0</v>
      </c>
      <c r="AI33" s="91"/>
      <c r="AJ33" s="91"/>
    </row>
    <row r="34" spans="1:37" s="226" customFormat="1" ht="13.8" outlineLevel="3" x14ac:dyDescent="0.25">
      <c r="A34" s="238"/>
      <c r="B34" s="19" t="s">
        <v>81</v>
      </c>
      <c r="C34" s="43"/>
      <c r="D34" s="49"/>
      <c r="E34" s="44">
        <f>C34+D34*1.15</f>
        <v>0</v>
      </c>
      <c r="F34" s="180">
        <f>E34/$E$87</f>
        <v>0</v>
      </c>
      <c r="G34" s="97"/>
      <c r="H34" s="45"/>
      <c r="I34" s="41">
        <f>G34+H34*1.15</f>
        <v>0</v>
      </c>
      <c r="J34" s="178">
        <f>I34/$E$87</f>
        <v>0</v>
      </c>
      <c r="K34" s="177"/>
      <c r="L34" s="97"/>
      <c r="M34" s="45"/>
      <c r="N34" s="41">
        <f>L34+M34*1.15</f>
        <v>0</v>
      </c>
      <c r="O34" s="178">
        <f>N34/$E$87</f>
        <v>0</v>
      </c>
      <c r="P34" s="177"/>
      <c r="Q34" s="97"/>
      <c r="R34" s="45"/>
      <c r="S34" s="41">
        <f>Q34+R34*1.15</f>
        <v>0</v>
      </c>
      <c r="T34" s="178">
        <f>S34/$S$87</f>
        <v>0</v>
      </c>
      <c r="U34" s="177"/>
      <c r="V34" s="97"/>
      <c r="W34" s="45"/>
      <c r="X34" s="41">
        <f>V34+W34*1.15</f>
        <v>0</v>
      </c>
      <c r="Y34" s="178">
        <f t="shared" si="4"/>
        <v>0</v>
      </c>
      <c r="Z34" s="177"/>
      <c r="AA34" s="210">
        <f>L34+Q34</f>
        <v>0</v>
      </c>
      <c r="AB34" s="210">
        <f>M34+R34</f>
        <v>0</v>
      </c>
      <c r="AC34" s="106">
        <f>AA34+AB34*1.15</f>
        <v>0</v>
      </c>
      <c r="AD34" s="178">
        <f>AC34/$AC$87</f>
        <v>0</v>
      </c>
      <c r="AE34" s="45"/>
      <c r="AF34" s="210">
        <f>C34-AA34</f>
        <v>0</v>
      </c>
      <c r="AG34" s="210">
        <f>D34-AB34</f>
        <v>0</v>
      </c>
      <c r="AH34" s="210">
        <f>AF34+AG34*1.15</f>
        <v>0</v>
      </c>
      <c r="AI34" s="178">
        <f>AH34/$E$87</f>
        <v>0</v>
      </c>
      <c r="AJ34" s="45"/>
    </row>
    <row r="35" spans="1:37" s="2" customFormat="1" ht="14.4" outlineLevel="1" thickBot="1" x14ac:dyDescent="0.3">
      <c r="A35" s="4"/>
      <c r="B35" s="14"/>
      <c r="C35" s="50"/>
      <c r="D35" s="51"/>
      <c r="E35" s="52"/>
      <c r="F35" s="181"/>
      <c r="G35" s="98"/>
      <c r="H35" s="52"/>
      <c r="I35" s="52"/>
      <c r="J35" s="203"/>
      <c r="K35" s="203"/>
      <c r="L35" s="98"/>
      <c r="M35" s="52"/>
      <c r="N35" s="52"/>
      <c r="O35" s="203"/>
      <c r="P35" s="203"/>
      <c r="Q35" s="98"/>
      <c r="R35" s="52"/>
      <c r="S35" s="52"/>
      <c r="T35" s="203"/>
      <c r="U35" s="203"/>
      <c r="V35" s="98"/>
      <c r="W35" s="52"/>
      <c r="X35" s="52"/>
      <c r="Y35" s="203">
        <f t="shared" si="4"/>
        <v>0</v>
      </c>
      <c r="Z35" s="203"/>
      <c r="AA35" s="52"/>
      <c r="AB35" s="52"/>
      <c r="AC35" s="52"/>
      <c r="AD35" s="52"/>
      <c r="AE35" s="52"/>
      <c r="AF35" s="52"/>
      <c r="AG35" s="52"/>
      <c r="AH35" s="52"/>
      <c r="AI35" s="52"/>
      <c r="AJ35" s="52"/>
    </row>
    <row r="36" spans="1:37" ht="14.4" thickBot="1" x14ac:dyDescent="0.3">
      <c r="A36" s="33"/>
      <c r="B36" s="34" t="s">
        <v>46</v>
      </c>
      <c r="C36" s="53">
        <f>(C5)-(C8)</f>
        <v>1690733.0708504289</v>
      </c>
      <c r="D36" s="53">
        <f>(D5)-(D8)</f>
        <v>-916057.78272772685</v>
      </c>
      <c r="E36" s="53">
        <f>(E5)-(E8)</f>
        <v>774675.28812270239</v>
      </c>
      <c r="F36" s="166"/>
      <c r="G36" s="53">
        <f>(G5)-(G8)</f>
        <v>-345751.53199999989</v>
      </c>
      <c r="H36" s="53">
        <f>(H5)-(H8)</f>
        <v>705410.41999999993</v>
      </c>
      <c r="I36" s="53">
        <f>(I5)-(I8)</f>
        <v>359658.88800000027</v>
      </c>
      <c r="J36" s="191"/>
      <c r="K36" s="191"/>
      <c r="L36" s="53">
        <f>(L5)-(L8)</f>
        <v>-107233.3</v>
      </c>
      <c r="M36" s="53">
        <f>(M5)-(M8)</f>
        <v>-56982</v>
      </c>
      <c r="N36" s="53">
        <f>(N5)-(N8)</f>
        <v>-164215.29999999999</v>
      </c>
      <c r="O36" s="191"/>
      <c r="P36" s="191"/>
      <c r="Q36" s="53">
        <f>(Q5)-(Q8)</f>
        <v>536093.3060000001</v>
      </c>
      <c r="R36" s="53">
        <f>(R5)-(R8)</f>
        <v>-241020</v>
      </c>
      <c r="S36" s="53">
        <f>(S5)-(S8)</f>
        <v>295073.3060000001</v>
      </c>
      <c r="T36" s="191"/>
      <c r="U36" s="191"/>
      <c r="V36" s="53">
        <f>(V5)-(V8)</f>
        <v>1139136.7259500001</v>
      </c>
      <c r="W36" s="53">
        <f>(W5)-(W8)</f>
        <v>-239229.22</v>
      </c>
      <c r="X36" s="53">
        <f>(X5)-(X8)</f>
        <v>899907.50595000002</v>
      </c>
      <c r="Y36" s="191">
        <f t="shared" si="4"/>
        <v>0.91972107166646178</v>
      </c>
      <c r="Z36" s="191"/>
      <c r="AA36" s="53">
        <f>(AA5)-(AA8)</f>
        <v>1222245.1999500007</v>
      </c>
      <c r="AB36" s="53">
        <f>(AB5)-(AB8)</f>
        <v>168179.19999999995</v>
      </c>
      <c r="AC36" s="53">
        <f>(AC5)-(AC8)</f>
        <v>1234151.2799500013</v>
      </c>
      <c r="AD36" s="53"/>
      <c r="AE36" s="53"/>
      <c r="AF36" s="53">
        <f>(AF5)-(AF8)</f>
        <v>468487.87090042816</v>
      </c>
      <c r="AG36" s="53">
        <f>(AG5)-(AG8)</f>
        <v>-1084236.9827277267</v>
      </c>
      <c r="AH36" s="53">
        <f>(AH5)-(AH8)</f>
        <v>-596884.65923645766</v>
      </c>
      <c r="AI36" s="53"/>
      <c r="AJ36" s="53"/>
      <c r="AK36" s="2"/>
    </row>
    <row r="37" spans="1:37" ht="13.8" x14ac:dyDescent="0.25">
      <c r="A37" s="229"/>
      <c r="B37" s="15" t="s">
        <v>47</v>
      </c>
      <c r="C37" s="157">
        <f>C36/(C5)</f>
        <v>0.55501541202069182</v>
      </c>
      <c r="D37" s="157" t="e">
        <f>D36/(D5)</f>
        <v>#DIV/0!</v>
      </c>
      <c r="E37" s="158">
        <f>E36/(E5)</f>
        <v>0.25430195436078157</v>
      </c>
      <c r="F37" s="167"/>
      <c r="G37" s="157">
        <f>G36/(G5)</f>
        <v>-0.41081811245603772</v>
      </c>
      <c r="H37" s="157">
        <f>H36/(H5)</f>
        <v>0.5829838181818181</v>
      </c>
      <c r="I37" s="158">
        <f>I36/(I5)</f>
        <v>0.17530507764446074</v>
      </c>
      <c r="J37" s="192"/>
      <c r="K37" s="244"/>
      <c r="L37" s="157" t="e">
        <f>L36/(L5)</f>
        <v>#DIV/0!</v>
      </c>
      <c r="M37" s="157" t="e">
        <f>M36/(M5)</f>
        <v>#DIV/0!</v>
      </c>
      <c r="N37" s="158" t="e">
        <f>N36/(N5)</f>
        <v>#DIV/0!</v>
      </c>
      <c r="O37" s="192"/>
      <c r="P37" s="244"/>
      <c r="Q37" s="157">
        <f>Q36/(Q5)</f>
        <v>0.5339770002945029</v>
      </c>
      <c r="R37" s="157" t="e">
        <f>R36/(R5)</f>
        <v>#DIV/0!</v>
      </c>
      <c r="S37" s="158">
        <f>S36/(S5)</f>
        <v>0.29390846153348904</v>
      </c>
      <c r="T37" s="192"/>
      <c r="U37" s="244"/>
      <c r="V37" s="157">
        <f>V36/(V5)</f>
        <v>0.62895430381580475</v>
      </c>
      <c r="W37" s="157" t="e">
        <f>W36/(W5)</f>
        <v>#DIV/0!</v>
      </c>
      <c r="X37" s="158">
        <f>X36/(X5)</f>
        <v>0.49686809845532348</v>
      </c>
      <c r="Y37" s="192">
        <f t="shared" si="4"/>
        <v>5.0780781021021673E-7</v>
      </c>
      <c r="Z37" s="244"/>
      <c r="AA37" s="54">
        <f>AA36/(AA5)</f>
        <v>0.33424448092648307</v>
      </c>
      <c r="AB37" s="54">
        <f>AB36/(AB5)</f>
        <v>0.13899107438016525</v>
      </c>
      <c r="AC37" s="55">
        <f>AC36/(AC5)</f>
        <v>0.25358890182241539</v>
      </c>
      <c r="AD37" s="55"/>
      <c r="AE37" s="55"/>
      <c r="AF37" s="54">
        <f>AF36/(AF5)</f>
        <v>-0.76743567825719172</v>
      </c>
      <c r="AG37" s="54">
        <f>AG36/(AG5)</f>
        <v>0.89606362208903034</v>
      </c>
      <c r="AH37" s="55">
        <f>AH36/(AH5)</f>
        <v>0.32787594861125019</v>
      </c>
      <c r="AI37" s="55"/>
      <c r="AJ37" s="55"/>
      <c r="AK37" s="2"/>
    </row>
    <row r="38" spans="1:37" ht="14.4" outlineLevel="1" thickBot="1" x14ac:dyDescent="0.3">
      <c r="A38" s="231"/>
      <c r="B38" s="16"/>
      <c r="C38" s="56"/>
      <c r="D38" s="57"/>
      <c r="E38" s="58"/>
      <c r="F38" s="168"/>
      <c r="G38" s="80"/>
      <c r="H38" s="80"/>
      <c r="I38" s="80"/>
      <c r="J38" s="193"/>
      <c r="K38" s="193"/>
      <c r="L38" s="80"/>
      <c r="M38" s="80"/>
      <c r="N38" s="80"/>
      <c r="O38" s="193"/>
      <c r="P38" s="193"/>
      <c r="Q38" s="80"/>
      <c r="R38" s="80"/>
      <c r="S38" s="80"/>
      <c r="T38" s="193"/>
      <c r="U38" s="193"/>
      <c r="V38" s="80"/>
      <c r="W38" s="80"/>
      <c r="X38" s="80"/>
      <c r="Y38" s="193">
        <f t="shared" si="4"/>
        <v>0</v>
      </c>
      <c r="Z38" s="193"/>
      <c r="AA38" s="58"/>
      <c r="AB38" s="58"/>
      <c r="AC38" s="58"/>
      <c r="AD38" s="58"/>
      <c r="AE38" s="58"/>
      <c r="AF38" s="58"/>
      <c r="AG38" s="58"/>
      <c r="AH38" s="58"/>
      <c r="AI38" s="58"/>
      <c r="AJ38" s="58"/>
    </row>
    <row r="39" spans="1:37" ht="13.8" outlineLevel="1" x14ac:dyDescent="0.25">
      <c r="A39" s="11"/>
      <c r="B39" s="22" t="s">
        <v>26</v>
      </c>
      <c r="C39" s="117">
        <f>SUM(C40:C46)</f>
        <v>3743.1082146858021</v>
      </c>
      <c r="D39" s="117">
        <f>SUM(D40:D46)</f>
        <v>0</v>
      </c>
      <c r="E39" s="118">
        <f>SUM(E40:E46)</f>
        <v>3743.1082146858021</v>
      </c>
      <c r="F39" s="169">
        <f t="shared" ref="F39:F46" si="20">E39/$E$87</f>
        <v>1.5774316316059243E-3</v>
      </c>
      <c r="G39" s="132">
        <f>SUM(G40:G46)</f>
        <v>434.78</v>
      </c>
      <c r="H39" s="132">
        <f>SUM(H40:H46)</f>
        <v>94</v>
      </c>
      <c r="I39" s="133">
        <f>SUM(I40:I46)</f>
        <v>528.78</v>
      </c>
      <c r="J39" s="169">
        <f t="shared" ref="J39:J46" si="21">I39/$E$87</f>
        <v>2.2284001699122567E-4</v>
      </c>
      <c r="K39" s="169"/>
      <c r="L39" s="117">
        <f>SUM(L40:L46)</f>
        <v>0</v>
      </c>
      <c r="M39" s="117">
        <f>SUM(M40:M46)</f>
        <v>0</v>
      </c>
      <c r="N39" s="118">
        <f>SUM(N40:N46)</f>
        <v>0</v>
      </c>
      <c r="O39" s="169">
        <f t="shared" ref="O39:O46" si="22">N39/$E$87</f>
        <v>0</v>
      </c>
      <c r="P39" s="245"/>
      <c r="Q39" s="117">
        <f>SUM(Q40:Q46)</f>
        <v>0</v>
      </c>
      <c r="R39" s="117">
        <f>SUM(R40:R46)</f>
        <v>0</v>
      </c>
      <c r="S39" s="118">
        <f>SUM(S40:S46)</f>
        <v>0</v>
      </c>
      <c r="T39" s="169">
        <f t="shared" ref="T39:T48" si="23">S39/$S$87</f>
        <v>0</v>
      </c>
      <c r="U39" s="245"/>
      <c r="V39" s="117">
        <f>SUM(V40:V46)</f>
        <v>0</v>
      </c>
      <c r="W39" s="117">
        <f>SUM(W40:W46)</f>
        <v>0</v>
      </c>
      <c r="X39" s="118">
        <f>SUM(X40:X46)</f>
        <v>0</v>
      </c>
      <c r="Y39" s="169">
        <f t="shared" si="4"/>
        <v>0</v>
      </c>
      <c r="Z39" s="245"/>
      <c r="AA39" s="117">
        <f>SUM(AA40:AA46)</f>
        <v>434.78</v>
      </c>
      <c r="AB39" s="117">
        <f>SUM(AB40:AB46)</f>
        <v>94</v>
      </c>
      <c r="AC39" s="118">
        <f>SUM(AC40:AC46)</f>
        <v>542.88</v>
      </c>
      <c r="AD39" s="169">
        <f t="shared" ref="AD39:AD47" si="24">AC39/$AC$87</f>
        <v>1.420541108908978E-4</v>
      </c>
      <c r="AE39" s="60"/>
      <c r="AF39" s="117">
        <f>SUM(AF40:AF46)</f>
        <v>3308.3282146858019</v>
      </c>
      <c r="AG39" s="117">
        <f>SUM(AG40:AG46)</f>
        <v>-94</v>
      </c>
      <c r="AH39" s="118">
        <f>SUM(AH40:AH46)</f>
        <v>3200.2282146858024</v>
      </c>
      <c r="AI39" s="60"/>
      <c r="AJ39" s="60"/>
    </row>
    <row r="40" spans="1:37" ht="43.2" hidden="1" customHeight="1" outlineLevel="2" x14ac:dyDescent="0.25">
      <c r="A40" s="4015"/>
      <c r="B40" s="18" t="s">
        <v>7</v>
      </c>
      <c r="C40" s="113"/>
      <c r="D40" s="119"/>
      <c r="E40" s="120">
        <f>C40+D40*1.15</f>
        <v>0</v>
      </c>
      <c r="F40" s="178">
        <f t="shared" si="20"/>
        <v>0</v>
      </c>
      <c r="G40" s="78"/>
      <c r="H40" s="103"/>
      <c r="I40" s="41">
        <f>G40+H40*1.15</f>
        <v>0</v>
      </c>
      <c r="J40" s="178">
        <f t="shared" si="21"/>
        <v>0</v>
      </c>
      <c r="K40" s="291"/>
      <c r="L40" s="78"/>
      <c r="M40" s="103"/>
      <c r="N40" s="41">
        <f>L40+M40*1.15</f>
        <v>0</v>
      </c>
      <c r="O40" s="178">
        <f t="shared" si="22"/>
        <v>0</v>
      </c>
      <c r="P40" s="291"/>
      <c r="Q40" s="78"/>
      <c r="R40" s="103"/>
      <c r="S40" s="41">
        <f>Q40+R40*1.15</f>
        <v>0</v>
      </c>
      <c r="T40" s="178">
        <f t="shared" si="23"/>
        <v>0</v>
      </c>
      <c r="U40" s="291"/>
      <c r="V40" s="78"/>
      <c r="W40" s="103"/>
      <c r="X40" s="41">
        <f>V40+W40*1.15</f>
        <v>0</v>
      </c>
      <c r="Y40" s="178">
        <f t="shared" si="4"/>
        <v>0</v>
      </c>
      <c r="Z40" s="291"/>
      <c r="AA40" s="210">
        <f>L40</f>
        <v>0</v>
      </c>
      <c r="AB40" s="210">
        <f>M40</f>
        <v>0</v>
      </c>
      <c r="AC40" s="106">
        <f>AA40+AB40*1.15</f>
        <v>0</v>
      </c>
      <c r="AD40" s="178">
        <f t="shared" si="24"/>
        <v>0</v>
      </c>
      <c r="AE40" s="79"/>
      <c r="AF40" s="210">
        <f t="shared" ref="AF40:AG46" si="25">C40-AA40</f>
        <v>0</v>
      </c>
      <c r="AG40" s="210">
        <f t="shared" si="25"/>
        <v>0</v>
      </c>
      <c r="AH40" s="210">
        <f t="shared" ref="AH40:AH46" si="26">AF40+AG40*1.15</f>
        <v>0</v>
      </c>
      <c r="AI40" s="178">
        <f t="shared" ref="AI40:AI46" si="27">AH40/$E$87</f>
        <v>0</v>
      </c>
      <c r="AJ40" s="79"/>
    </row>
    <row r="41" spans="1:37" ht="13.8" outlineLevel="2" x14ac:dyDescent="0.25">
      <c r="A41" s="4015"/>
      <c r="B41" s="18" t="s">
        <v>27</v>
      </c>
      <c r="C41" s="113"/>
      <c r="D41" s="119"/>
      <c r="E41" s="120">
        <f>C41+D41*1.15</f>
        <v>0</v>
      </c>
      <c r="F41" s="178">
        <f t="shared" si="20"/>
        <v>0</v>
      </c>
      <c r="G41" s="78"/>
      <c r="H41" s="103">
        <v>94</v>
      </c>
      <c r="I41" s="41">
        <f t="shared" ref="I41:I46" si="28">G41+H41</f>
        <v>94</v>
      </c>
      <c r="J41" s="178">
        <f t="shared" si="21"/>
        <v>3.9613755431701679E-5</v>
      </c>
      <c r="K41" s="291"/>
      <c r="L41" s="78"/>
      <c r="M41" s="103"/>
      <c r="N41" s="41">
        <f t="shared" ref="N41:N46" si="29">L41+M41</f>
        <v>0</v>
      </c>
      <c r="O41" s="178">
        <f t="shared" si="22"/>
        <v>0</v>
      </c>
      <c r="P41" s="291"/>
      <c r="Q41" s="78"/>
      <c r="R41" s="103"/>
      <c r="S41" s="41">
        <f t="shared" ref="S41:S46" si="30">Q41+R41</f>
        <v>0</v>
      </c>
      <c r="T41" s="178">
        <f t="shared" si="23"/>
        <v>0</v>
      </c>
      <c r="U41" s="291"/>
      <c r="V41" s="78"/>
      <c r="W41" s="103"/>
      <c r="X41" s="41">
        <f t="shared" ref="X41:X46" si="31">V41+W41</f>
        <v>0</v>
      </c>
      <c r="Y41" s="178">
        <f t="shared" si="4"/>
        <v>0</v>
      </c>
      <c r="Z41" s="291"/>
      <c r="AA41" s="210">
        <f t="shared" ref="AA41:AA46" si="32">G41+L41+Q41+V41</f>
        <v>0</v>
      </c>
      <c r="AB41" s="210">
        <f t="shared" ref="AB41:AB46" si="33">H41+M41+R41+W41</f>
        <v>94</v>
      </c>
      <c r="AC41" s="106">
        <f t="shared" ref="AC41:AC46" si="34">AA41+AB41*1.15</f>
        <v>108.1</v>
      </c>
      <c r="AD41" s="178">
        <f t="shared" si="24"/>
        <v>2.8286268396894438E-5</v>
      </c>
      <c r="AE41" s="79"/>
      <c r="AF41" s="210">
        <f t="shared" si="25"/>
        <v>0</v>
      </c>
      <c r="AG41" s="210">
        <f t="shared" si="25"/>
        <v>-94</v>
      </c>
      <c r="AH41" s="210">
        <f t="shared" si="26"/>
        <v>-108.1</v>
      </c>
      <c r="AI41" s="178">
        <f t="shared" si="27"/>
        <v>-4.555581874645693E-5</v>
      </c>
      <c r="AJ41" s="79"/>
    </row>
    <row r="42" spans="1:37" ht="67.2" customHeight="1" outlineLevel="2" x14ac:dyDescent="0.25">
      <c r="A42" s="4015"/>
      <c r="B42" s="19" t="s">
        <v>28</v>
      </c>
      <c r="C42" s="113">
        <v>1871.554107342901</v>
      </c>
      <c r="D42" s="119"/>
      <c r="E42" s="120">
        <f>C42+D42</f>
        <v>1871.554107342901</v>
      </c>
      <c r="F42" s="178">
        <f t="shared" si="20"/>
        <v>7.8871581580296213E-4</v>
      </c>
      <c r="G42" s="78">
        <v>335</v>
      </c>
      <c r="H42" s="103"/>
      <c r="I42" s="41">
        <f t="shared" si="28"/>
        <v>335</v>
      </c>
      <c r="J42" s="178">
        <f t="shared" si="21"/>
        <v>1.411766815917028E-4</v>
      </c>
      <c r="K42" s="291"/>
      <c r="L42" s="78"/>
      <c r="M42" s="103"/>
      <c r="N42" s="41">
        <f t="shared" si="29"/>
        <v>0</v>
      </c>
      <c r="O42" s="178">
        <f t="shared" si="22"/>
        <v>0</v>
      </c>
      <c r="P42" s="291"/>
      <c r="Q42" s="78"/>
      <c r="R42" s="103"/>
      <c r="S42" s="41">
        <f t="shared" si="30"/>
        <v>0</v>
      </c>
      <c r="T42" s="178">
        <f t="shared" si="23"/>
        <v>0</v>
      </c>
      <c r="U42" s="291"/>
      <c r="V42" s="78"/>
      <c r="W42" s="103"/>
      <c r="X42" s="41">
        <f t="shared" si="31"/>
        <v>0</v>
      </c>
      <c r="Y42" s="178">
        <f t="shared" si="4"/>
        <v>0</v>
      </c>
      <c r="Z42" s="291"/>
      <c r="AA42" s="210">
        <f t="shared" si="32"/>
        <v>335</v>
      </c>
      <c r="AB42" s="210">
        <f t="shared" si="33"/>
        <v>0</v>
      </c>
      <c r="AC42" s="106">
        <f t="shared" si="34"/>
        <v>335</v>
      </c>
      <c r="AD42" s="178">
        <f t="shared" si="24"/>
        <v>8.7658648593521156E-5</v>
      </c>
      <c r="AE42" s="79"/>
      <c r="AF42" s="210">
        <f t="shared" si="25"/>
        <v>1536.554107342901</v>
      </c>
      <c r="AG42" s="210">
        <f t="shared" si="25"/>
        <v>0</v>
      </c>
      <c r="AH42" s="210">
        <f t="shared" si="26"/>
        <v>1536.554107342901</v>
      </c>
      <c r="AI42" s="178">
        <f t="shared" si="27"/>
        <v>6.4753913421125933E-4</v>
      </c>
      <c r="AJ42" s="79"/>
    </row>
    <row r="43" spans="1:37" ht="13.8" hidden="1" outlineLevel="2" x14ac:dyDescent="0.25">
      <c r="A43" s="4015"/>
      <c r="B43" s="18" t="s">
        <v>8</v>
      </c>
      <c r="C43" s="113"/>
      <c r="D43" s="119"/>
      <c r="E43" s="120">
        <f>C43+D43</f>
        <v>0</v>
      </c>
      <c r="F43" s="178">
        <f t="shared" si="20"/>
        <v>0</v>
      </c>
      <c r="G43" s="78"/>
      <c r="H43" s="103"/>
      <c r="I43" s="41">
        <f t="shared" si="28"/>
        <v>0</v>
      </c>
      <c r="J43" s="178">
        <f t="shared" si="21"/>
        <v>0</v>
      </c>
      <c r="K43" s="291"/>
      <c r="L43" s="78"/>
      <c r="M43" s="103"/>
      <c r="N43" s="41">
        <f t="shared" si="29"/>
        <v>0</v>
      </c>
      <c r="O43" s="178">
        <f t="shared" si="22"/>
        <v>0</v>
      </c>
      <c r="P43" s="291"/>
      <c r="Q43" s="78"/>
      <c r="R43" s="103"/>
      <c r="S43" s="41">
        <f t="shared" si="30"/>
        <v>0</v>
      </c>
      <c r="T43" s="178">
        <f t="shared" si="23"/>
        <v>0</v>
      </c>
      <c r="U43" s="291"/>
      <c r="V43" s="78"/>
      <c r="W43" s="103"/>
      <c r="X43" s="41">
        <f t="shared" si="31"/>
        <v>0</v>
      </c>
      <c r="Y43" s="178">
        <f t="shared" si="4"/>
        <v>0</v>
      </c>
      <c r="Z43" s="291"/>
      <c r="AA43" s="210">
        <f t="shared" si="32"/>
        <v>0</v>
      </c>
      <c r="AB43" s="210">
        <f t="shared" si="33"/>
        <v>0</v>
      </c>
      <c r="AC43" s="106">
        <f t="shared" si="34"/>
        <v>0</v>
      </c>
      <c r="AD43" s="178">
        <f t="shared" si="24"/>
        <v>0</v>
      </c>
      <c r="AE43" s="79"/>
      <c r="AF43" s="210">
        <f t="shared" si="25"/>
        <v>0</v>
      </c>
      <c r="AG43" s="210">
        <f t="shared" si="25"/>
        <v>0</v>
      </c>
      <c r="AH43" s="210">
        <f t="shared" si="26"/>
        <v>0</v>
      </c>
      <c r="AI43" s="178">
        <f t="shared" si="27"/>
        <v>0</v>
      </c>
      <c r="AJ43" s="79"/>
    </row>
    <row r="44" spans="1:37" ht="13.8" hidden="1" outlineLevel="2" x14ac:dyDescent="0.25">
      <c r="A44" s="4015"/>
      <c r="B44" s="18" t="s">
        <v>29</v>
      </c>
      <c r="C44" s="113"/>
      <c r="D44" s="119"/>
      <c r="E44" s="120">
        <f>C44+D44</f>
        <v>0</v>
      </c>
      <c r="F44" s="178">
        <f t="shared" si="20"/>
        <v>0</v>
      </c>
      <c r="G44" s="78"/>
      <c r="H44" s="103"/>
      <c r="I44" s="41">
        <f t="shared" si="28"/>
        <v>0</v>
      </c>
      <c r="J44" s="178">
        <f t="shared" si="21"/>
        <v>0</v>
      </c>
      <c r="K44" s="291"/>
      <c r="L44" s="78"/>
      <c r="M44" s="103"/>
      <c r="N44" s="41">
        <f t="shared" si="29"/>
        <v>0</v>
      </c>
      <c r="O44" s="178">
        <f t="shared" si="22"/>
        <v>0</v>
      </c>
      <c r="P44" s="291"/>
      <c r="Q44" s="78"/>
      <c r="R44" s="103"/>
      <c r="S44" s="41">
        <f t="shared" si="30"/>
        <v>0</v>
      </c>
      <c r="T44" s="178">
        <f t="shared" si="23"/>
        <v>0</v>
      </c>
      <c r="U44" s="291"/>
      <c r="V44" s="78"/>
      <c r="W44" s="103"/>
      <c r="X44" s="41">
        <f t="shared" si="31"/>
        <v>0</v>
      </c>
      <c r="Y44" s="178">
        <f t="shared" si="4"/>
        <v>0</v>
      </c>
      <c r="Z44" s="291"/>
      <c r="AA44" s="210">
        <f t="shared" si="32"/>
        <v>0</v>
      </c>
      <c r="AB44" s="210">
        <f t="shared" si="33"/>
        <v>0</v>
      </c>
      <c r="AC44" s="106">
        <f t="shared" si="34"/>
        <v>0</v>
      </c>
      <c r="AD44" s="178">
        <f t="shared" si="24"/>
        <v>0</v>
      </c>
      <c r="AE44" s="79"/>
      <c r="AF44" s="210">
        <f t="shared" si="25"/>
        <v>0</v>
      </c>
      <c r="AG44" s="210">
        <f t="shared" si="25"/>
        <v>0</v>
      </c>
      <c r="AH44" s="210">
        <f t="shared" si="26"/>
        <v>0</v>
      </c>
      <c r="AI44" s="178">
        <f t="shared" si="27"/>
        <v>0</v>
      </c>
      <c r="AJ44" s="79"/>
    </row>
    <row r="45" spans="1:37" ht="13.8" hidden="1" outlineLevel="2" x14ac:dyDescent="0.25">
      <c r="A45" s="4015"/>
      <c r="B45" s="18" t="s">
        <v>30</v>
      </c>
      <c r="C45" s="113"/>
      <c r="D45" s="119"/>
      <c r="E45" s="120">
        <f>C45+D45</f>
        <v>0</v>
      </c>
      <c r="F45" s="178">
        <f t="shared" si="20"/>
        <v>0</v>
      </c>
      <c r="G45" s="78"/>
      <c r="H45" s="103"/>
      <c r="I45" s="41">
        <f t="shared" si="28"/>
        <v>0</v>
      </c>
      <c r="J45" s="178">
        <f t="shared" si="21"/>
        <v>0</v>
      </c>
      <c r="K45" s="291"/>
      <c r="L45" s="78"/>
      <c r="M45" s="103"/>
      <c r="N45" s="41">
        <f t="shared" si="29"/>
        <v>0</v>
      </c>
      <c r="O45" s="178">
        <f t="shared" si="22"/>
        <v>0</v>
      </c>
      <c r="P45" s="291"/>
      <c r="Q45" s="78"/>
      <c r="R45" s="103"/>
      <c r="S45" s="41">
        <f t="shared" si="30"/>
        <v>0</v>
      </c>
      <c r="T45" s="178">
        <f t="shared" si="23"/>
        <v>0</v>
      </c>
      <c r="U45" s="291"/>
      <c r="V45" s="78"/>
      <c r="W45" s="103"/>
      <c r="X45" s="41">
        <f t="shared" si="31"/>
        <v>0</v>
      </c>
      <c r="Y45" s="178">
        <f t="shared" si="4"/>
        <v>0</v>
      </c>
      <c r="Z45" s="291"/>
      <c r="AA45" s="210">
        <f t="shared" si="32"/>
        <v>0</v>
      </c>
      <c r="AB45" s="210">
        <f t="shared" si="33"/>
        <v>0</v>
      </c>
      <c r="AC45" s="106">
        <f t="shared" si="34"/>
        <v>0</v>
      </c>
      <c r="AD45" s="178">
        <f t="shared" si="24"/>
        <v>0</v>
      </c>
      <c r="AE45" s="79"/>
      <c r="AF45" s="210">
        <f t="shared" si="25"/>
        <v>0</v>
      </c>
      <c r="AG45" s="210">
        <f t="shared" si="25"/>
        <v>0</v>
      </c>
      <c r="AH45" s="210">
        <f t="shared" si="26"/>
        <v>0</v>
      </c>
      <c r="AI45" s="178">
        <f t="shared" si="27"/>
        <v>0</v>
      </c>
      <c r="AJ45" s="79"/>
    </row>
    <row r="46" spans="1:37" ht="13.8" outlineLevel="2" x14ac:dyDescent="0.25">
      <c r="A46" s="4015"/>
      <c r="B46" s="18" t="s">
        <v>15</v>
      </c>
      <c r="C46" s="113">
        <v>1871.554107342901</v>
      </c>
      <c r="D46" s="119"/>
      <c r="E46" s="120">
        <f>C46+D46</f>
        <v>1871.554107342901</v>
      </c>
      <c r="F46" s="178">
        <f t="shared" si="20"/>
        <v>7.8871581580296213E-4</v>
      </c>
      <c r="G46" s="78">
        <v>99.78</v>
      </c>
      <c r="H46" s="103"/>
      <c r="I46" s="41">
        <f t="shared" si="28"/>
        <v>99.78</v>
      </c>
      <c r="J46" s="178">
        <f t="shared" si="21"/>
        <v>4.2049579967821208E-5</v>
      </c>
      <c r="K46" s="291"/>
      <c r="L46" s="78"/>
      <c r="M46" s="103"/>
      <c r="N46" s="41">
        <f t="shared" si="29"/>
        <v>0</v>
      </c>
      <c r="O46" s="178">
        <f t="shared" si="22"/>
        <v>0</v>
      </c>
      <c r="P46" s="291"/>
      <c r="Q46" s="78"/>
      <c r="R46" s="103"/>
      <c r="S46" s="41">
        <f t="shared" si="30"/>
        <v>0</v>
      </c>
      <c r="T46" s="178">
        <f t="shared" si="23"/>
        <v>0</v>
      </c>
      <c r="U46" s="291"/>
      <c r="V46" s="78"/>
      <c r="W46" s="103"/>
      <c r="X46" s="41">
        <f t="shared" si="31"/>
        <v>0</v>
      </c>
      <c r="Y46" s="178">
        <f t="shared" si="4"/>
        <v>0</v>
      </c>
      <c r="Z46" s="291"/>
      <c r="AA46" s="210">
        <f t="shared" si="32"/>
        <v>99.78</v>
      </c>
      <c r="AB46" s="210">
        <f t="shared" si="33"/>
        <v>0</v>
      </c>
      <c r="AC46" s="106">
        <f t="shared" si="34"/>
        <v>99.78</v>
      </c>
      <c r="AD46" s="178">
        <f t="shared" si="24"/>
        <v>2.6109193900482212E-5</v>
      </c>
      <c r="AE46" s="79"/>
      <c r="AF46" s="210">
        <f t="shared" si="25"/>
        <v>1771.7741073429011</v>
      </c>
      <c r="AG46" s="210">
        <f t="shared" si="25"/>
        <v>0</v>
      </c>
      <c r="AH46" s="210">
        <f t="shared" si="26"/>
        <v>1771.7741073429011</v>
      </c>
      <c r="AI46" s="178">
        <f t="shared" si="27"/>
        <v>7.4666623583514091E-4</v>
      </c>
      <c r="AJ46" s="79"/>
    </row>
    <row r="47" spans="1:37" s="2" customFormat="1" ht="14.4" outlineLevel="2" thickBot="1" x14ac:dyDescent="0.3">
      <c r="A47" s="11"/>
      <c r="B47" s="35"/>
      <c r="C47" s="116"/>
      <c r="D47" s="121"/>
      <c r="E47" s="122"/>
      <c r="F47" s="182"/>
      <c r="G47" s="222"/>
      <c r="H47" s="223"/>
      <c r="I47" s="52"/>
      <c r="J47" s="203"/>
      <c r="K47" s="291"/>
      <c r="L47" s="222"/>
      <c r="M47" s="223"/>
      <c r="N47" s="52"/>
      <c r="O47" s="203"/>
      <c r="P47" s="291"/>
      <c r="Q47" s="222"/>
      <c r="R47" s="223"/>
      <c r="S47" s="52"/>
      <c r="T47" s="203">
        <f t="shared" si="23"/>
        <v>0</v>
      </c>
      <c r="U47" s="291"/>
      <c r="V47" s="222"/>
      <c r="W47" s="223"/>
      <c r="X47" s="52"/>
      <c r="Y47" s="203">
        <f t="shared" si="4"/>
        <v>0</v>
      </c>
      <c r="Z47" s="291"/>
      <c r="AA47" s="210"/>
      <c r="AB47" s="210"/>
      <c r="AC47" s="52"/>
      <c r="AD47" s="178">
        <f t="shared" si="24"/>
        <v>0</v>
      </c>
      <c r="AE47" s="52"/>
      <c r="AF47" s="52"/>
      <c r="AG47" s="52"/>
      <c r="AH47" s="52"/>
      <c r="AI47" s="52"/>
      <c r="AJ47" s="52"/>
    </row>
    <row r="48" spans="1:37" s="2" customFormat="1" ht="13.8" outlineLevel="1" x14ac:dyDescent="0.25">
      <c r="A48" s="229"/>
      <c r="B48" s="17" t="s">
        <v>59</v>
      </c>
      <c r="C48" s="123">
        <f>SUM(C49:C50)</f>
        <v>0</v>
      </c>
      <c r="D48" s="123">
        <f>SUM(D49:D50)</f>
        <v>0</v>
      </c>
      <c r="E48" s="123">
        <f>SUM(E49:E50)</f>
        <v>0</v>
      </c>
      <c r="F48" s="170">
        <f>E48/$E$87</f>
        <v>0</v>
      </c>
      <c r="G48" s="123">
        <f>SUM(G49:G50)</f>
        <v>0</v>
      </c>
      <c r="H48" s="123">
        <f>SUM(H49:H50)</f>
        <v>0</v>
      </c>
      <c r="I48" s="123">
        <f>SUM(I49:I50)</f>
        <v>0</v>
      </c>
      <c r="J48" s="170">
        <f>I48/$E$87</f>
        <v>0</v>
      </c>
      <c r="K48" s="246"/>
      <c r="L48" s="123">
        <f>SUM(L49:L50)</f>
        <v>0</v>
      </c>
      <c r="M48" s="123">
        <f>SUM(M49:M50)</f>
        <v>0</v>
      </c>
      <c r="N48" s="123">
        <f>SUM(N49:N50)</f>
        <v>0</v>
      </c>
      <c r="O48" s="170">
        <f>N48/$E$87</f>
        <v>0</v>
      </c>
      <c r="P48" s="246"/>
      <c r="Q48" s="123">
        <f>SUM(Q49:Q50)</f>
        <v>0</v>
      </c>
      <c r="R48" s="123">
        <f>SUM(R49:R50)</f>
        <v>0</v>
      </c>
      <c r="S48" s="123">
        <f>SUM(S49:S50)</f>
        <v>0</v>
      </c>
      <c r="T48" s="170">
        <f t="shared" si="23"/>
        <v>0</v>
      </c>
      <c r="U48" s="246"/>
      <c r="V48" s="123">
        <f>SUM(V49:V50)</f>
        <v>0</v>
      </c>
      <c r="W48" s="123">
        <f>SUM(W49:W50)</f>
        <v>0</v>
      </c>
      <c r="X48" s="123">
        <f>SUM(X49:X50)</f>
        <v>0</v>
      </c>
      <c r="Y48" s="170">
        <f t="shared" si="4"/>
        <v>0</v>
      </c>
      <c r="Z48" s="246"/>
      <c r="AA48" s="123">
        <f>AA50+AA49</f>
        <v>0</v>
      </c>
      <c r="AB48" s="123">
        <f>AB50+AB49</f>
        <v>0</v>
      </c>
      <c r="AC48" s="123">
        <f>AC50+AC49</f>
        <v>0</v>
      </c>
      <c r="AD48" s="60"/>
      <c r="AE48" s="60"/>
      <c r="AF48" s="59">
        <f>AF50+AF49</f>
        <v>0</v>
      </c>
      <c r="AG48" s="59">
        <f>AG50+AG49</f>
        <v>0</v>
      </c>
      <c r="AH48" s="59">
        <f>AH50+AH49</f>
        <v>0</v>
      </c>
      <c r="AI48" s="60"/>
      <c r="AJ48" s="60"/>
    </row>
    <row r="49" spans="1:38" s="226" customFormat="1" ht="13.8" outlineLevel="1" x14ac:dyDescent="0.25">
      <c r="A49" s="234"/>
      <c r="B49" s="18" t="s">
        <v>60</v>
      </c>
      <c r="C49" s="113"/>
      <c r="D49" s="119"/>
      <c r="E49" s="119">
        <f>C49+D49*1.15</f>
        <v>0</v>
      </c>
      <c r="F49" s="180">
        <f>E49/$E$87</f>
        <v>0</v>
      </c>
      <c r="G49" s="45"/>
      <c r="H49" s="45"/>
      <c r="I49" s="41">
        <f>G49+H49*1.15</f>
        <v>0</v>
      </c>
      <c r="J49" s="178">
        <f>I49/$E$87</f>
        <v>0</v>
      </c>
      <c r="K49" s="177"/>
      <c r="L49" s="45"/>
      <c r="M49" s="45"/>
      <c r="N49" s="41">
        <f>L49+M49*1.15</f>
        <v>0</v>
      </c>
      <c r="O49" s="178">
        <f>N49/$E$87</f>
        <v>0</v>
      </c>
      <c r="P49" s="177"/>
      <c r="Q49" s="45"/>
      <c r="R49" s="45"/>
      <c r="S49" s="41">
        <f>Q49+R49*1.15</f>
        <v>0</v>
      </c>
      <c r="T49" s="178">
        <f>S49/$E$87</f>
        <v>0</v>
      </c>
      <c r="U49" s="177"/>
      <c r="V49" s="45"/>
      <c r="W49" s="45"/>
      <c r="X49" s="41">
        <f>V49+W49*1.15</f>
        <v>0</v>
      </c>
      <c r="Y49" s="178">
        <f t="shared" si="4"/>
        <v>0</v>
      </c>
      <c r="Z49" s="177"/>
      <c r="AA49" s="210">
        <f t="shared" ref="AA49:AB51" si="35">L49+Q49+V49</f>
        <v>0</v>
      </c>
      <c r="AB49" s="210">
        <f t="shared" si="35"/>
        <v>0</v>
      </c>
      <c r="AC49" s="106">
        <f>AA49+AB49*1.15</f>
        <v>0</v>
      </c>
      <c r="AD49" s="178">
        <f>AC49/$AC$87</f>
        <v>0</v>
      </c>
      <c r="AE49" s="45"/>
      <c r="AF49" s="210">
        <f>C49-AA49</f>
        <v>0</v>
      </c>
      <c r="AG49" s="210">
        <f>D49-AB49</f>
        <v>0</v>
      </c>
      <c r="AH49" s="210">
        <f>AF49+AG49*1.15</f>
        <v>0</v>
      </c>
      <c r="AI49" s="178">
        <f>AH49/$E$87</f>
        <v>0</v>
      </c>
      <c r="AJ49" s="45"/>
    </row>
    <row r="50" spans="1:38" s="235" customFormat="1" ht="13.8" hidden="1" outlineLevel="2" x14ac:dyDescent="0.25">
      <c r="A50" s="234"/>
      <c r="B50" s="18" t="s">
        <v>61</v>
      </c>
      <c r="C50" s="113"/>
      <c r="D50" s="119"/>
      <c r="E50" s="119">
        <f>C50+D50*1.15</f>
        <v>0</v>
      </c>
      <c r="F50" s="180">
        <f>E50/$E$87</f>
        <v>0</v>
      </c>
      <c r="G50" s="45"/>
      <c r="H50" s="224"/>
      <c r="I50" s="41">
        <f>G50+H50*1.15</f>
        <v>0</v>
      </c>
      <c r="J50" s="178">
        <f>I50/$E$87</f>
        <v>0</v>
      </c>
      <c r="K50" s="177"/>
      <c r="L50" s="45"/>
      <c r="M50" s="224"/>
      <c r="N50" s="41">
        <f>L50+M50*1.15</f>
        <v>0</v>
      </c>
      <c r="O50" s="178">
        <f>N50/$E$87</f>
        <v>0</v>
      </c>
      <c r="P50" s="177"/>
      <c r="Q50" s="45"/>
      <c r="R50" s="224"/>
      <c r="S50" s="41">
        <f>Q50+R50*1.15</f>
        <v>0</v>
      </c>
      <c r="T50" s="178">
        <f>S50/$E$87</f>
        <v>0</v>
      </c>
      <c r="U50" s="177"/>
      <c r="V50" s="45"/>
      <c r="W50" s="224"/>
      <c r="X50" s="41">
        <f>V50+W50*1.15</f>
        <v>0</v>
      </c>
      <c r="Y50" s="178">
        <f t="shared" si="4"/>
        <v>0</v>
      </c>
      <c r="Z50" s="177"/>
      <c r="AA50" s="210">
        <f t="shared" si="35"/>
        <v>0</v>
      </c>
      <c r="AB50" s="210">
        <f t="shared" si="35"/>
        <v>0</v>
      </c>
      <c r="AC50" s="106">
        <f>AA50+AB50*1.15</f>
        <v>0</v>
      </c>
      <c r="AD50" s="178">
        <f>AC50/$AC$87</f>
        <v>0</v>
      </c>
      <c r="AE50" s="45"/>
      <c r="AF50" s="210">
        <f>C50-AA50</f>
        <v>0</v>
      </c>
      <c r="AG50" s="210">
        <f>D50-AB50</f>
        <v>0</v>
      </c>
      <c r="AH50" s="210">
        <f>AF50+AG50*1.15</f>
        <v>0</v>
      </c>
      <c r="AI50" s="178">
        <f>AH50/$E$87</f>
        <v>0</v>
      </c>
      <c r="AJ50" s="45"/>
    </row>
    <row r="51" spans="1:38" ht="14.4" outlineLevel="1" collapsed="1" thickBot="1" x14ac:dyDescent="0.3">
      <c r="A51" s="20"/>
      <c r="B51" s="21"/>
      <c r="C51" s="124"/>
      <c r="D51" s="125"/>
      <c r="E51" s="126"/>
      <c r="F51" s="183"/>
      <c r="G51" s="81"/>
      <c r="H51" s="81"/>
      <c r="I51" s="81"/>
      <c r="J51" s="204"/>
      <c r="K51" s="247"/>
      <c r="L51" s="81"/>
      <c r="M51" s="81"/>
      <c r="N51" s="81"/>
      <c r="O51" s="204"/>
      <c r="P51" s="247"/>
      <c r="Q51" s="81"/>
      <c r="R51" s="81"/>
      <c r="S51" s="81"/>
      <c r="T51" s="204"/>
      <c r="U51" s="247"/>
      <c r="V51" s="81"/>
      <c r="W51" s="81"/>
      <c r="X51" s="81"/>
      <c r="Y51" s="204">
        <f t="shared" si="4"/>
        <v>0</v>
      </c>
      <c r="Z51" s="247"/>
      <c r="AA51" s="210">
        <f t="shared" si="35"/>
        <v>0</v>
      </c>
      <c r="AB51" s="210">
        <f t="shared" si="35"/>
        <v>0</v>
      </c>
      <c r="AC51" s="61"/>
      <c r="AD51" s="61"/>
      <c r="AE51" s="61"/>
      <c r="AF51" s="61"/>
      <c r="AG51" s="61"/>
      <c r="AH51" s="61"/>
      <c r="AI51" s="61"/>
      <c r="AJ51" s="61"/>
    </row>
    <row r="52" spans="1:38" ht="13.8" outlineLevel="1" x14ac:dyDescent="0.25">
      <c r="A52" s="236"/>
      <c r="B52" s="17" t="s">
        <v>1</v>
      </c>
      <c r="C52" s="123">
        <f>SUM(C53:C69)</f>
        <v>33590.5</v>
      </c>
      <c r="D52" s="123">
        <f>SUM(D53:D69)</f>
        <v>63973.499999999985</v>
      </c>
      <c r="E52" s="127">
        <f>SUM(E53:E69)</f>
        <v>97563.999999999985</v>
      </c>
      <c r="F52" s="170">
        <f>E52/$E$87</f>
        <v>4.1115706754665346E-2</v>
      </c>
      <c r="G52" s="123">
        <f>SUM(G53:G69)</f>
        <v>13302.359999999999</v>
      </c>
      <c r="H52" s="123">
        <f>SUM(H53:H69)</f>
        <v>32081.13</v>
      </c>
      <c r="I52" s="127">
        <f>SUM(I53:I69)</f>
        <v>45383.49</v>
      </c>
      <c r="J52" s="170">
        <f>I52/$N$87</f>
        <v>0.22120979422731518</v>
      </c>
      <c r="K52" s="246"/>
      <c r="L52" s="123">
        <f>SUM(L53:L69)</f>
        <v>9611.4</v>
      </c>
      <c r="M52" s="123">
        <f>SUM(M53:M69)</f>
        <v>20497.23</v>
      </c>
      <c r="N52" s="127">
        <f>SUM(N53:N69)</f>
        <v>30108.63</v>
      </c>
      <c r="O52" s="170">
        <f t="shared" ref="O52:O66" si="36">N52/$N$87</f>
        <v>0.14675653738322833</v>
      </c>
      <c r="P52" s="246"/>
      <c r="Q52" s="123">
        <f>SUM(Q53:Q69)</f>
        <v>17921</v>
      </c>
      <c r="R52" s="123">
        <f>SUM(R53:R69)</f>
        <v>15486.95</v>
      </c>
      <c r="S52" s="127">
        <f>SUM(S53:S69)</f>
        <v>33407.949999999997</v>
      </c>
      <c r="T52" s="170">
        <f t="shared" ref="T52:T66" si="37">S52/$S$87</f>
        <v>4.5006120143667276E-2</v>
      </c>
      <c r="U52" s="246"/>
      <c r="V52" s="123">
        <f>SUM(V53:V69)</f>
        <v>18817.98</v>
      </c>
      <c r="W52" s="123">
        <f>SUM(W53:W69)</f>
        <v>14640</v>
      </c>
      <c r="X52" s="127">
        <f>SUM(X53:X69)</f>
        <v>33457.980000000003</v>
      </c>
      <c r="Y52" s="170">
        <f t="shared" si="4"/>
        <v>3.4194635579697874E-2</v>
      </c>
      <c r="Z52" s="246"/>
      <c r="AA52" s="123">
        <f>SUM(AA53:AA69)</f>
        <v>59652.739999999991</v>
      </c>
      <c r="AB52" s="123">
        <f>SUM(AB53:AB69)</f>
        <v>82705.31</v>
      </c>
      <c r="AC52" s="127">
        <f>SUM(AC53:AC69)</f>
        <v>154763.84650000001</v>
      </c>
      <c r="AD52" s="169">
        <f t="shared" ref="AD52:AD60" si="38">AC52/$AC$87</f>
        <v>4.0496685478582539E-2</v>
      </c>
      <c r="AE52" s="60"/>
      <c r="AF52" s="123">
        <f>SUM(AF53:AF69)</f>
        <v>-26062.239999999998</v>
      </c>
      <c r="AG52" s="123">
        <f>SUM(AG53:AG69)</f>
        <v>-18731.810000000016</v>
      </c>
      <c r="AH52" s="127">
        <f>SUM(AH53:AH69)</f>
        <v>-47603.821500000013</v>
      </c>
      <c r="AI52" s="170">
        <f t="shared" ref="AI52:AI66" si="39">AH52/$AH$87</f>
        <v>3.6569813134524405E-2</v>
      </c>
      <c r="AJ52" s="60"/>
    </row>
    <row r="53" spans="1:38" ht="13.95" hidden="1" customHeight="1" outlineLevel="2" x14ac:dyDescent="0.25">
      <c r="A53" s="237"/>
      <c r="B53" s="19" t="s">
        <v>77</v>
      </c>
      <c r="C53" s="113"/>
      <c r="D53" s="128"/>
      <c r="E53" s="120">
        <f>C53+D53*1.15</f>
        <v>0</v>
      </c>
      <c r="F53" s="178">
        <f>E53/$E$87</f>
        <v>0</v>
      </c>
      <c r="G53" s="78"/>
      <c r="H53" s="161"/>
      <c r="I53" s="41">
        <f>G53+H53*1.15</f>
        <v>0</v>
      </c>
      <c r="J53" s="178">
        <f>I53/$N$87</f>
        <v>0</v>
      </c>
      <c r="K53" s="177"/>
      <c r="L53" s="78"/>
      <c r="M53" s="161"/>
      <c r="N53" s="41">
        <f>L53+M53*1.15</f>
        <v>0</v>
      </c>
      <c r="O53" s="178">
        <f t="shared" si="36"/>
        <v>0</v>
      </c>
      <c r="P53" s="177"/>
      <c r="Q53" s="78"/>
      <c r="R53" s="161"/>
      <c r="S53" s="41">
        <f>Q53+R53*1.15</f>
        <v>0</v>
      </c>
      <c r="T53" s="178">
        <f t="shared" si="37"/>
        <v>0</v>
      </c>
      <c r="U53" s="177"/>
      <c r="V53" s="78"/>
      <c r="W53" s="161"/>
      <c r="X53" s="41">
        <f>V53+W53*1.15</f>
        <v>0</v>
      </c>
      <c r="Y53" s="178">
        <f t="shared" si="4"/>
        <v>0</v>
      </c>
      <c r="Z53" s="177"/>
      <c r="AA53" s="210">
        <f t="shared" ref="AA53:AB55" si="40">L53</f>
        <v>0</v>
      </c>
      <c r="AB53" s="210">
        <f t="shared" si="40"/>
        <v>0</v>
      </c>
      <c r="AC53" s="106">
        <f t="shared" ref="AC53:AC70" si="41">AA53+AB53*1.15</f>
        <v>0</v>
      </c>
      <c r="AD53" s="178">
        <f t="shared" si="38"/>
        <v>0</v>
      </c>
      <c r="AE53" s="79"/>
      <c r="AF53" s="210">
        <f t="shared" ref="AF53:AF72" si="42">C53-AA53</f>
        <v>0</v>
      </c>
      <c r="AG53" s="210">
        <f t="shared" ref="AG53:AG72" si="43">D53-AB53</f>
        <v>0</v>
      </c>
      <c r="AH53" s="210">
        <f t="shared" ref="AH53:AH71" si="44">AF53+AG53*1.15</f>
        <v>0</v>
      </c>
      <c r="AI53" s="178">
        <f t="shared" si="39"/>
        <v>0</v>
      </c>
      <c r="AJ53" s="79"/>
    </row>
    <row r="54" spans="1:38" ht="13.95" hidden="1" customHeight="1" outlineLevel="2" x14ac:dyDescent="0.25">
      <c r="A54" s="237"/>
      <c r="B54" s="19" t="s">
        <v>76</v>
      </c>
      <c r="C54" s="113"/>
      <c r="D54" s="128"/>
      <c r="E54" s="120">
        <f>C54+D54*1.15</f>
        <v>0</v>
      </c>
      <c r="F54" s="178">
        <f t="shared" ref="F54:F62" si="45">E54/$E$87</f>
        <v>0</v>
      </c>
      <c r="G54" s="163"/>
      <c r="H54" s="111"/>
      <c r="I54" s="41">
        <f>G54+H54*1.15</f>
        <v>0</v>
      </c>
      <c r="J54" s="178">
        <f>I54/$N$87</f>
        <v>0</v>
      </c>
      <c r="K54" s="177"/>
      <c r="L54" s="163"/>
      <c r="M54" s="111"/>
      <c r="N54" s="41">
        <f>L54+M54*1.15</f>
        <v>0</v>
      </c>
      <c r="O54" s="178">
        <f t="shared" si="36"/>
        <v>0</v>
      </c>
      <c r="P54" s="177"/>
      <c r="Q54" s="163"/>
      <c r="R54" s="111"/>
      <c r="S54" s="41">
        <f>Q54+R54*1.15</f>
        <v>0</v>
      </c>
      <c r="T54" s="178">
        <f t="shared" si="37"/>
        <v>0</v>
      </c>
      <c r="U54" s="177"/>
      <c r="V54" s="163"/>
      <c r="W54" s="111"/>
      <c r="X54" s="41">
        <f>V54+W54*1.15</f>
        <v>0</v>
      </c>
      <c r="Y54" s="178">
        <f t="shared" si="4"/>
        <v>0</v>
      </c>
      <c r="Z54" s="177"/>
      <c r="AA54" s="210">
        <f t="shared" si="40"/>
        <v>0</v>
      </c>
      <c r="AB54" s="210">
        <f t="shared" si="40"/>
        <v>0</v>
      </c>
      <c r="AC54" s="106">
        <f t="shared" si="41"/>
        <v>0</v>
      </c>
      <c r="AD54" s="178">
        <f t="shared" si="38"/>
        <v>0</v>
      </c>
      <c r="AE54" s="79"/>
      <c r="AF54" s="210">
        <f t="shared" si="42"/>
        <v>0</v>
      </c>
      <c r="AG54" s="210">
        <f t="shared" si="43"/>
        <v>0</v>
      </c>
      <c r="AH54" s="210">
        <f t="shared" si="44"/>
        <v>0</v>
      </c>
      <c r="AI54" s="178">
        <f t="shared" si="39"/>
        <v>0</v>
      </c>
      <c r="AJ54" s="79"/>
    </row>
    <row r="55" spans="1:38" ht="13.95" hidden="1" customHeight="1" outlineLevel="2" x14ac:dyDescent="0.25">
      <c r="A55" s="237"/>
      <c r="B55" s="19" t="s">
        <v>68</v>
      </c>
      <c r="C55" s="113"/>
      <c r="D55" s="128"/>
      <c r="E55" s="120">
        <f>C55+D55*1.15</f>
        <v>0</v>
      </c>
      <c r="F55" s="178">
        <f t="shared" si="45"/>
        <v>0</v>
      </c>
      <c r="G55" s="163"/>
      <c r="H55" s="111"/>
      <c r="I55" s="41">
        <f>G55+H55*1.15</f>
        <v>0</v>
      </c>
      <c r="J55" s="178">
        <f>I55/$N$87</f>
        <v>0</v>
      </c>
      <c r="K55" s="291"/>
      <c r="L55" s="163"/>
      <c r="M55" s="111"/>
      <c r="N55" s="41">
        <f>L55+M55*1.15</f>
        <v>0</v>
      </c>
      <c r="O55" s="178">
        <f t="shared" si="36"/>
        <v>0</v>
      </c>
      <c r="P55" s="291"/>
      <c r="Q55" s="163"/>
      <c r="R55" s="111"/>
      <c r="S55" s="41">
        <f>Q55+R55*1.15</f>
        <v>0</v>
      </c>
      <c r="T55" s="178">
        <f t="shared" si="37"/>
        <v>0</v>
      </c>
      <c r="U55" s="291"/>
      <c r="V55" s="163"/>
      <c r="W55" s="111"/>
      <c r="X55" s="41">
        <f>V55+W55*1.15</f>
        <v>0</v>
      </c>
      <c r="Y55" s="178">
        <f t="shared" si="4"/>
        <v>0</v>
      </c>
      <c r="Z55" s="291"/>
      <c r="AA55" s="210">
        <f t="shared" si="40"/>
        <v>0</v>
      </c>
      <c r="AB55" s="210">
        <f t="shared" si="40"/>
        <v>0</v>
      </c>
      <c r="AC55" s="106">
        <f t="shared" si="41"/>
        <v>0</v>
      </c>
      <c r="AD55" s="178">
        <f t="shared" si="38"/>
        <v>0</v>
      </c>
      <c r="AE55" s="79"/>
      <c r="AF55" s="210">
        <f t="shared" si="42"/>
        <v>0</v>
      </c>
      <c r="AG55" s="210">
        <f t="shared" si="43"/>
        <v>0</v>
      </c>
      <c r="AH55" s="210">
        <f t="shared" si="44"/>
        <v>0</v>
      </c>
      <c r="AI55" s="178">
        <f t="shared" si="39"/>
        <v>0</v>
      </c>
      <c r="AJ55" s="79"/>
    </row>
    <row r="56" spans="1:38" ht="43.95" customHeight="1" outlineLevel="2" x14ac:dyDescent="0.3">
      <c r="A56" s="237"/>
      <c r="B56" s="19" t="s">
        <v>67</v>
      </c>
      <c r="C56" s="113">
        <v>9901.5</v>
      </c>
      <c r="D56" s="128">
        <v>61973.499999999985</v>
      </c>
      <c r="E56" s="120">
        <f t="shared" ref="E56:E66" si="46">C56+D56</f>
        <v>71874.999999999985</v>
      </c>
      <c r="F56" s="178">
        <f t="shared" si="45"/>
        <v>3.0289773102697422E-2</v>
      </c>
      <c r="G56" s="163">
        <v>5555</v>
      </c>
      <c r="H56" s="112">
        <v>31945.5</v>
      </c>
      <c r="I56" s="41">
        <f t="shared" ref="I56:I66" si="47">G56+H56</f>
        <v>37500.5</v>
      </c>
      <c r="J56" s="178">
        <f>I56/$N$87</f>
        <v>0.1827862486649095</v>
      </c>
      <c r="K56" s="291"/>
      <c r="L56" s="163">
        <v>4552.75</v>
      </c>
      <c r="M56" s="112">
        <v>20447</v>
      </c>
      <c r="N56" s="41">
        <f t="shared" ref="N56:N66" si="48">L56+M56</f>
        <v>24999.75</v>
      </c>
      <c r="O56" s="178">
        <f>N56/$N$87</f>
        <v>0.12185465580620448</v>
      </c>
      <c r="P56" s="291" t="s">
        <v>101</v>
      </c>
      <c r="Q56" s="163">
        <v>10465</v>
      </c>
      <c r="R56" s="112">
        <v>14535</v>
      </c>
      <c r="S56" s="41">
        <f t="shared" ref="S56:S66" si="49">Q56+R56</f>
        <v>25000</v>
      </c>
      <c r="T56" s="178">
        <f t="shared" si="37"/>
        <v>3.367919922029583E-2</v>
      </c>
      <c r="U56" s="291" t="s">
        <v>129</v>
      </c>
      <c r="V56" s="163">
        <v>10465</v>
      </c>
      <c r="W56" s="112">
        <v>14335</v>
      </c>
      <c r="X56" s="41">
        <f t="shared" ref="X56:X66" si="50">V56+W56</f>
        <v>24800</v>
      </c>
      <c r="Y56" s="178">
        <f t="shared" si="4"/>
        <v>2.5346029926986244E-2</v>
      </c>
      <c r="Z56" s="291" t="s">
        <v>166</v>
      </c>
      <c r="AA56" s="210">
        <f t="shared" ref="AA56:AA70" si="51">G56+L56+Q56+V56</f>
        <v>31037.75</v>
      </c>
      <c r="AB56" s="210">
        <f t="shared" ref="AB56:AB70" si="52">H56+M56+R56+W56</f>
        <v>81262.5</v>
      </c>
      <c r="AC56" s="106">
        <f t="shared" si="41"/>
        <v>124489.625</v>
      </c>
      <c r="AD56" s="178">
        <f t="shared" si="38"/>
        <v>3.2574902362430526E-2</v>
      </c>
      <c r="AE56" s="79"/>
      <c r="AF56" s="210">
        <f t="shared" si="42"/>
        <v>-21136.25</v>
      </c>
      <c r="AG56" s="210">
        <f t="shared" si="43"/>
        <v>-19289.000000000015</v>
      </c>
      <c r="AH56" s="210">
        <f t="shared" si="44"/>
        <v>-43318.60000000002</v>
      </c>
      <c r="AI56" s="178">
        <f t="shared" si="39"/>
        <v>3.3277855796707605E-2</v>
      </c>
      <c r="AJ56" s="79"/>
      <c r="AK56" s="227"/>
      <c r="AL56"/>
    </row>
    <row r="57" spans="1:38" ht="14.4" customHeight="1" outlineLevel="2" x14ac:dyDescent="0.25">
      <c r="A57" s="237"/>
      <c r="B57" s="19" t="s">
        <v>66</v>
      </c>
      <c r="C57" s="113">
        <v>2706</v>
      </c>
      <c r="D57" s="128">
        <v>0</v>
      </c>
      <c r="E57" s="120">
        <f t="shared" si="46"/>
        <v>2706</v>
      </c>
      <c r="F57" s="178">
        <f t="shared" si="45"/>
        <v>1.1403704489168591E-3</v>
      </c>
      <c r="G57" s="163">
        <v>1346</v>
      </c>
      <c r="H57" s="111">
        <v>0</v>
      </c>
      <c r="I57" s="41">
        <f t="shared" si="47"/>
        <v>1346</v>
      </c>
      <c r="J57" s="178">
        <f t="shared" ref="J57:J66" si="53">I57/$N$87</f>
        <v>6.560720275808808E-3</v>
      </c>
      <c r="K57" s="291"/>
      <c r="L57" s="163">
        <v>1102.81</v>
      </c>
      <c r="M57" s="111"/>
      <c r="N57" s="41">
        <f t="shared" si="48"/>
        <v>1102.81</v>
      </c>
      <c r="O57" s="178">
        <f t="shared" si="36"/>
        <v>5.3753550723363375E-3</v>
      </c>
      <c r="P57" s="291"/>
      <c r="Q57" s="163">
        <v>2535</v>
      </c>
      <c r="R57" s="111"/>
      <c r="S57" s="41">
        <f t="shared" si="49"/>
        <v>2535</v>
      </c>
      <c r="T57" s="178">
        <f t="shared" si="37"/>
        <v>3.415070800937997E-3</v>
      </c>
      <c r="U57" s="291"/>
      <c r="V57" s="163">
        <v>2535</v>
      </c>
      <c r="W57" s="111"/>
      <c r="X57" s="41">
        <f t="shared" si="50"/>
        <v>2535</v>
      </c>
      <c r="Y57" s="178">
        <f t="shared" si="4"/>
        <v>2.5908139461657308E-3</v>
      </c>
      <c r="Z57" s="291"/>
      <c r="AA57" s="210">
        <f t="shared" si="51"/>
        <v>7518.8099999999995</v>
      </c>
      <c r="AB57" s="210">
        <f t="shared" si="52"/>
        <v>0</v>
      </c>
      <c r="AC57" s="106">
        <f t="shared" si="41"/>
        <v>7518.8099999999995</v>
      </c>
      <c r="AD57" s="178">
        <f t="shared" si="38"/>
        <v>1.9674290257655305E-3</v>
      </c>
      <c r="AE57" s="79"/>
      <c r="AF57" s="210">
        <f t="shared" si="42"/>
        <v>-4812.8099999999995</v>
      </c>
      <c r="AG57" s="210">
        <f t="shared" si="43"/>
        <v>0</v>
      </c>
      <c r="AH57" s="210">
        <f t="shared" si="44"/>
        <v>-4812.8099999999995</v>
      </c>
      <c r="AI57" s="178">
        <f t="shared" si="39"/>
        <v>3.6972570017718082E-3</v>
      </c>
      <c r="AJ57" s="79"/>
      <c r="AK57" s="227"/>
      <c r="AL57" s="227"/>
    </row>
    <row r="58" spans="1:38" ht="14.4" customHeight="1" outlineLevel="2" x14ac:dyDescent="0.25">
      <c r="A58" s="237"/>
      <c r="B58" s="19" t="s">
        <v>65</v>
      </c>
      <c r="C58" s="113">
        <v>2398.5</v>
      </c>
      <c r="D58" s="128">
        <v>0</v>
      </c>
      <c r="E58" s="120">
        <f t="shared" si="46"/>
        <v>2398.5</v>
      </c>
      <c r="F58" s="178">
        <f t="shared" si="45"/>
        <v>1.0107828979035796E-3</v>
      </c>
      <c r="G58" s="163">
        <v>1518</v>
      </c>
      <c r="H58" s="111">
        <v>0</v>
      </c>
      <c r="I58" s="41">
        <f t="shared" si="47"/>
        <v>1518</v>
      </c>
      <c r="J58" s="178">
        <f t="shared" si="53"/>
        <v>7.399088691439651E-3</v>
      </c>
      <c r="K58" s="291"/>
      <c r="L58" s="163">
        <v>1244.23</v>
      </c>
      <c r="M58" s="111"/>
      <c r="N58" s="41">
        <f t="shared" si="48"/>
        <v>1244.23</v>
      </c>
      <c r="O58" s="178">
        <f t="shared" si="36"/>
        <v>6.0646693824439766E-3</v>
      </c>
      <c r="P58" s="291"/>
      <c r="Q58" s="163">
        <v>2860</v>
      </c>
      <c r="R58" s="111"/>
      <c r="S58" s="41">
        <f t="shared" si="49"/>
        <v>2860</v>
      </c>
      <c r="T58" s="178">
        <f t="shared" si="37"/>
        <v>3.8529003908018425E-3</v>
      </c>
      <c r="U58" s="291"/>
      <c r="V58" s="163">
        <v>2860</v>
      </c>
      <c r="W58" s="111"/>
      <c r="X58" s="41">
        <f t="shared" si="50"/>
        <v>2860</v>
      </c>
      <c r="Y58" s="178">
        <f t="shared" si="4"/>
        <v>2.9229695802895426E-3</v>
      </c>
      <c r="Z58" s="291"/>
      <c r="AA58" s="210">
        <f t="shared" si="51"/>
        <v>8482.23</v>
      </c>
      <c r="AB58" s="210">
        <f t="shared" si="52"/>
        <v>0</v>
      </c>
      <c r="AC58" s="106">
        <f t="shared" si="41"/>
        <v>8482.23</v>
      </c>
      <c r="AD58" s="178">
        <f t="shared" si="38"/>
        <v>2.2195248324161877E-3</v>
      </c>
      <c r="AE58" s="79"/>
      <c r="AF58" s="210">
        <f t="shared" si="42"/>
        <v>-6083.73</v>
      </c>
      <c r="AG58" s="210">
        <f t="shared" si="43"/>
        <v>0</v>
      </c>
      <c r="AH58" s="210">
        <f t="shared" si="44"/>
        <v>-6083.73</v>
      </c>
      <c r="AI58" s="178">
        <f t="shared" si="39"/>
        <v>4.6735926287115427E-3</v>
      </c>
      <c r="AJ58" s="79"/>
      <c r="AK58" s="227"/>
    </row>
    <row r="59" spans="1:38" ht="13.95" customHeight="1" outlineLevel="2" x14ac:dyDescent="0.25">
      <c r="A59" s="237"/>
      <c r="B59" s="19" t="s">
        <v>32</v>
      </c>
      <c r="C59" s="113"/>
      <c r="D59" s="128"/>
      <c r="E59" s="120">
        <f t="shared" si="46"/>
        <v>0</v>
      </c>
      <c r="F59" s="178">
        <f t="shared" si="45"/>
        <v>0</v>
      </c>
      <c r="G59" s="78">
        <v>0</v>
      </c>
      <c r="H59" s="161">
        <v>0</v>
      </c>
      <c r="I59" s="41">
        <f t="shared" si="47"/>
        <v>0</v>
      </c>
      <c r="J59" s="178">
        <f t="shared" si="53"/>
        <v>0</v>
      </c>
      <c r="K59" s="291"/>
      <c r="L59" s="78"/>
      <c r="M59" s="161"/>
      <c r="N59" s="41">
        <f t="shared" si="48"/>
        <v>0</v>
      </c>
      <c r="O59" s="178">
        <f t="shared" si="36"/>
        <v>0</v>
      </c>
      <c r="P59" s="291"/>
      <c r="Q59" s="78"/>
      <c r="R59" s="161"/>
      <c r="S59" s="41">
        <f t="shared" si="49"/>
        <v>0</v>
      </c>
      <c r="T59" s="178">
        <f t="shared" si="37"/>
        <v>0</v>
      </c>
      <c r="U59" s="291"/>
      <c r="V59" s="78"/>
      <c r="W59" s="161"/>
      <c r="X59" s="41">
        <f t="shared" si="50"/>
        <v>0</v>
      </c>
      <c r="Y59" s="178">
        <f t="shared" si="4"/>
        <v>0</v>
      </c>
      <c r="Z59" s="291"/>
      <c r="AA59" s="210">
        <f t="shared" si="51"/>
        <v>0</v>
      </c>
      <c r="AB59" s="210">
        <f t="shared" si="52"/>
        <v>0</v>
      </c>
      <c r="AC59" s="106">
        <f t="shared" si="41"/>
        <v>0</v>
      </c>
      <c r="AD59" s="178">
        <f t="shared" si="38"/>
        <v>0</v>
      </c>
      <c r="AE59" s="79"/>
      <c r="AF59" s="210">
        <f t="shared" si="42"/>
        <v>0</v>
      </c>
      <c r="AG59" s="210">
        <f t="shared" si="43"/>
        <v>0</v>
      </c>
      <c r="AH59" s="210">
        <f t="shared" si="44"/>
        <v>0</v>
      </c>
      <c r="AI59" s="178">
        <f t="shared" si="39"/>
        <v>0</v>
      </c>
      <c r="AJ59" s="79"/>
      <c r="AK59" s="227"/>
    </row>
    <row r="60" spans="1:38" ht="30.6" customHeight="1" outlineLevel="2" x14ac:dyDescent="0.25">
      <c r="A60" s="237"/>
      <c r="B60" s="19" t="s">
        <v>33</v>
      </c>
      <c r="C60" s="129"/>
      <c r="D60" s="128"/>
      <c r="E60" s="120">
        <f t="shared" si="46"/>
        <v>0</v>
      </c>
      <c r="F60" s="178">
        <f t="shared" si="45"/>
        <v>0</v>
      </c>
      <c r="G60" s="78">
        <v>0</v>
      </c>
      <c r="H60" s="161">
        <v>0</v>
      </c>
      <c r="I60" s="41">
        <f t="shared" si="47"/>
        <v>0</v>
      </c>
      <c r="J60" s="178">
        <f t="shared" si="53"/>
        <v>0</v>
      </c>
      <c r="K60" s="291"/>
      <c r="L60" s="78"/>
      <c r="M60" s="161"/>
      <c r="N60" s="41">
        <f t="shared" si="48"/>
        <v>0</v>
      </c>
      <c r="O60" s="178">
        <f t="shared" si="36"/>
        <v>0</v>
      </c>
      <c r="P60" s="291"/>
      <c r="Q60" s="78"/>
      <c r="R60" s="161"/>
      <c r="S60" s="41">
        <f t="shared" si="49"/>
        <v>0</v>
      </c>
      <c r="T60" s="178">
        <f t="shared" si="37"/>
        <v>0</v>
      </c>
      <c r="U60" s="291"/>
      <c r="V60" s="78"/>
      <c r="W60" s="161"/>
      <c r="X60" s="41">
        <f t="shared" si="50"/>
        <v>0</v>
      </c>
      <c r="Y60" s="178">
        <f t="shared" si="4"/>
        <v>0</v>
      </c>
      <c r="Z60" s="291"/>
      <c r="AA60" s="210">
        <f t="shared" si="51"/>
        <v>0</v>
      </c>
      <c r="AB60" s="210">
        <f t="shared" si="52"/>
        <v>0</v>
      </c>
      <c r="AC60" s="106">
        <f t="shared" si="41"/>
        <v>0</v>
      </c>
      <c r="AD60" s="178">
        <f t="shared" si="38"/>
        <v>0</v>
      </c>
      <c r="AE60" s="79"/>
      <c r="AF60" s="210">
        <f t="shared" si="42"/>
        <v>0</v>
      </c>
      <c r="AG60" s="210">
        <f t="shared" si="43"/>
        <v>0</v>
      </c>
      <c r="AH60" s="210">
        <f t="shared" si="44"/>
        <v>0</v>
      </c>
      <c r="AI60" s="178">
        <f t="shared" si="39"/>
        <v>0</v>
      </c>
      <c r="AJ60" s="79"/>
      <c r="AK60" s="227"/>
    </row>
    <row r="61" spans="1:38" ht="57.6" customHeight="1" outlineLevel="2" x14ac:dyDescent="0.25">
      <c r="A61" s="237"/>
      <c r="B61" s="19" t="s">
        <v>35</v>
      </c>
      <c r="C61" s="129">
        <v>18584.5</v>
      </c>
      <c r="D61" s="128"/>
      <c r="E61" s="120">
        <f t="shared" si="46"/>
        <v>18584.5</v>
      </c>
      <c r="F61" s="178">
        <f t="shared" si="45"/>
        <v>7.8319344448985091E-3</v>
      </c>
      <c r="G61" s="78">
        <v>4883.3599999999988</v>
      </c>
      <c r="H61" s="161">
        <v>0</v>
      </c>
      <c r="I61" s="41">
        <f t="shared" si="47"/>
        <v>4883.3599999999988</v>
      </c>
      <c r="J61" s="178">
        <f t="shared" si="53"/>
        <v>2.3802644105552519E-2</v>
      </c>
      <c r="K61" s="291"/>
      <c r="L61" s="78">
        <v>2711.61</v>
      </c>
      <c r="M61" s="161"/>
      <c r="N61" s="41">
        <f t="shared" si="48"/>
        <v>2711.61</v>
      </c>
      <c r="O61" s="178">
        <f t="shared" si="36"/>
        <v>1.3217024299469481E-2</v>
      </c>
      <c r="P61" s="291" t="s">
        <v>102</v>
      </c>
      <c r="Q61" s="78">
        <f>2061</f>
        <v>2061</v>
      </c>
      <c r="R61" s="161"/>
      <c r="S61" s="41">
        <f t="shared" si="49"/>
        <v>2061</v>
      </c>
      <c r="T61" s="178">
        <f t="shared" si="37"/>
        <v>2.776513183721188E-3</v>
      </c>
      <c r="U61" s="291" t="s">
        <v>130</v>
      </c>
      <c r="V61" s="78">
        <v>2957.98</v>
      </c>
      <c r="W61" s="161"/>
      <c r="X61" s="41">
        <f t="shared" si="50"/>
        <v>2957.98</v>
      </c>
      <c r="Y61" s="178">
        <f t="shared" si="4"/>
        <v>3.0231068388478534E-3</v>
      </c>
      <c r="Z61" s="291" t="s">
        <v>167</v>
      </c>
      <c r="AA61" s="210">
        <f t="shared" si="51"/>
        <v>12613.949999999999</v>
      </c>
      <c r="AB61" s="210">
        <f t="shared" si="52"/>
        <v>0</v>
      </c>
      <c r="AC61" s="106">
        <f t="shared" si="41"/>
        <v>12613.949999999999</v>
      </c>
      <c r="AD61" s="178">
        <f t="shared" ref="AD61:AD70" si="54">AC61/$AC$87</f>
        <v>3.3006621206753614E-3</v>
      </c>
      <c r="AE61" s="79"/>
      <c r="AF61" s="210">
        <f t="shared" si="42"/>
        <v>5970.5500000000011</v>
      </c>
      <c r="AG61" s="210">
        <f t="shared" si="43"/>
        <v>0</v>
      </c>
      <c r="AH61" s="210">
        <f t="shared" si="44"/>
        <v>5970.5500000000011</v>
      </c>
      <c r="AI61" s="178">
        <f t="shared" si="39"/>
        <v>-4.5866464273321981E-3</v>
      </c>
      <c r="AJ61" s="79"/>
    </row>
    <row r="62" spans="1:38" ht="31.2" hidden="1" customHeight="1" outlineLevel="2" x14ac:dyDescent="0.25">
      <c r="A62" s="237"/>
      <c r="B62" s="19" t="s">
        <v>63</v>
      </c>
      <c r="C62" s="129"/>
      <c r="D62" s="128"/>
      <c r="E62" s="120">
        <f t="shared" si="46"/>
        <v>0</v>
      </c>
      <c r="F62" s="178">
        <f t="shared" si="45"/>
        <v>0</v>
      </c>
      <c r="G62" s="78">
        <v>0</v>
      </c>
      <c r="H62" s="161">
        <v>0</v>
      </c>
      <c r="I62" s="41">
        <f t="shared" si="47"/>
        <v>0</v>
      </c>
      <c r="J62" s="178">
        <f t="shared" si="53"/>
        <v>0</v>
      </c>
      <c r="K62" s="291"/>
      <c r="L62" s="78"/>
      <c r="M62" s="161"/>
      <c r="N62" s="41">
        <f t="shared" si="48"/>
        <v>0</v>
      </c>
      <c r="O62" s="178">
        <f t="shared" si="36"/>
        <v>0</v>
      </c>
      <c r="P62" s="291"/>
      <c r="Q62" s="78"/>
      <c r="R62" s="161"/>
      <c r="S62" s="41">
        <f t="shared" si="49"/>
        <v>0</v>
      </c>
      <c r="T62" s="178">
        <f t="shared" si="37"/>
        <v>0</v>
      </c>
      <c r="U62" s="291"/>
      <c r="V62" s="78"/>
      <c r="W62" s="161"/>
      <c r="X62" s="41">
        <f t="shared" si="50"/>
        <v>0</v>
      </c>
      <c r="Y62" s="178">
        <f t="shared" si="4"/>
        <v>0</v>
      </c>
      <c r="Z62" s="291"/>
      <c r="AA62" s="210">
        <f t="shared" si="51"/>
        <v>0</v>
      </c>
      <c r="AB62" s="210">
        <f t="shared" si="52"/>
        <v>0</v>
      </c>
      <c r="AC62" s="106">
        <f>AA62+AB62*1.15</f>
        <v>0</v>
      </c>
      <c r="AD62" s="178">
        <f t="shared" si="54"/>
        <v>0</v>
      </c>
      <c r="AE62" s="79"/>
      <c r="AF62" s="210">
        <f t="shared" si="42"/>
        <v>0</v>
      </c>
      <c r="AG62" s="210">
        <f t="shared" si="43"/>
        <v>0</v>
      </c>
      <c r="AH62" s="210">
        <f t="shared" si="44"/>
        <v>0</v>
      </c>
      <c r="AI62" s="178">
        <f t="shared" si="39"/>
        <v>0</v>
      </c>
      <c r="AJ62" s="79"/>
    </row>
    <row r="63" spans="1:38" ht="57" hidden="1" customHeight="1" outlineLevel="2" x14ac:dyDescent="0.25">
      <c r="A63" s="237"/>
      <c r="B63" s="19" t="s">
        <v>36</v>
      </c>
      <c r="C63" s="129"/>
      <c r="D63" s="128"/>
      <c r="E63" s="120">
        <f t="shared" si="46"/>
        <v>0</v>
      </c>
      <c r="F63" s="178">
        <f t="shared" ref="F63:F69" si="55">E63/$E$87</f>
        <v>0</v>
      </c>
      <c r="G63" s="78">
        <v>0</v>
      </c>
      <c r="H63" s="161">
        <v>0</v>
      </c>
      <c r="I63" s="41">
        <f t="shared" si="47"/>
        <v>0</v>
      </c>
      <c r="J63" s="178">
        <f t="shared" si="53"/>
        <v>0</v>
      </c>
      <c r="K63" s="291"/>
      <c r="L63" s="78"/>
      <c r="M63" s="161"/>
      <c r="N63" s="41">
        <f t="shared" si="48"/>
        <v>0</v>
      </c>
      <c r="O63" s="178">
        <f t="shared" si="36"/>
        <v>0</v>
      </c>
      <c r="P63" s="291"/>
      <c r="Q63" s="78"/>
      <c r="R63" s="161"/>
      <c r="S63" s="41">
        <f t="shared" si="49"/>
        <v>0</v>
      </c>
      <c r="T63" s="178">
        <f t="shared" si="37"/>
        <v>0</v>
      </c>
      <c r="U63" s="291"/>
      <c r="V63" s="78"/>
      <c r="W63" s="161"/>
      <c r="X63" s="41">
        <f t="shared" si="50"/>
        <v>0</v>
      </c>
      <c r="Y63" s="178">
        <f t="shared" si="4"/>
        <v>0</v>
      </c>
      <c r="Z63" s="291"/>
      <c r="AA63" s="210">
        <f t="shared" si="51"/>
        <v>0</v>
      </c>
      <c r="AB63" s="210">
        <f t="shared" si="52"/>
        <v>0</v>
      </c>
      <c r="AC63" s="106">
        <f t="shared" si="41"/>
        <v>0</v>
      </c>
      <c r="AD63" s="178">
        <f t="shared" si="54"/>
        <v>0</v>
      </c>
      <c r="AE63" s="79"/>
      <c r="AF63" s="210">
        <f t="shared" si="42"/>
        <v>0</v>
      </c>
      <c r="AG63" s="210">
        <f t="shared" si="43"/>
        <v>0</v>
      </c>
      <c r="AH63" s="210">
        <f t="shared" si="44"/>
        <v>0</v>
      </c>
      <c r="AI63" s="178">
        <f t="shared" si="39"/>
        <v>0</v>
      </c>
      <c r="AJ63" s="79"/>
    </row>
    <row r="64" spans="1:38" s="2" customFormat="1" ht="13.95" hidden="1" customHeight="1" outlineLevel="2" x14ac:dyDescent="0.25">
      <c r="A64" s="237"/>
      <c r="B64" s="19" t="s">
        <v>37</v>
      </c>
      <c r="C64" s="129"/>
      <c r="D64" s="128"/>
      <c r="E64" s="120">
        <f t="shared" si="46"/>
        <v>0</v>
      </c>
      <c r="F64" s="178">
        <f t="shared" si="55"/>
        <v>0</v>
      </c>
      <c r="G64" s="78">
        <v>0</v>
      </c>
      <c r="H64" s="161">
        <v>0</v>
      </c>
      <c r="I64" s="41">
        <f t="shared" si="47"/>
        <v>0</v>
      </c>
      <c r="J64" s="178">
        <f t="shared" si="53"/>
        <v>0</v>
      </c>
      <c r="K64" s="291"/>
      <c r="L64" s="78"/>
      <c r="M64" s="161"/>
      <c r="N64" s="41">
        <f t="shared" si="48"/>
        <v>0</v>
      </c>
      <c r="O64" s="178">
        <f t="shared" si="36"/>
        <v>0</v>
      </c>
      <c r="P64" s="291"/>
      <c r="Q64" s="78"/>
      <c r="R64" s="161"/>
      <c r="S64" s="41">
        <f t="shared" si="49"/>
        <v>0</v>
      </c>
      <c r="T64" s="178">
        <f t="shared" si="37"/>
        <v>0</v>
      </c>
      <c r="U64" s="291"/>
      <c r="V64" s="78"/>
      <c r="W64" s="161"/>
      <c r="X64" s="41">
        <f t="shared" si="50"/>
        <v>0</v>
      </c>
      <c r="Y64" s="178">
        <f t="shared" si="4"/>
        <v>0</v>
      </c>
      <c r="Z64" s="291"/>
      <c r="AA64" s="210">
        <f t="shared" si="51"/>
        <v>0</v>
      </c>
      <c r="AB64" s="210">
        <f t="shared" si="52"/>
        <v>0</v>
      </c>
      <c r="AC64" s="106">
        <f t="shared" si="41"/>
        <v>0</v>
      </c>
      <c r="AD64" s="178">
        <f t="shared" si="54"/>
        <v>0</v>
      </c>
      <c r="AE64" s="79"/>
      <c r="AF64" s="210">
        <f t="shared" si="42"/>
        <v>0</v>
      </c>
      <c r="AG64" s="210">
        <f t="shared" si="43"/>
        <v>0</v>
      </c>
      <c r="AH64" s="210">
        <f t="shared" si="44"/>
        <v>0</v>
      </c>
      <c r="AI64" s="178">
        <f t="shared" si="39"/>
        <v>0</v>
      </c>
      <c r="AJ64" s="79"/>
    </row>
    <row r="65" spans="1:37" s="2" customFormat="1" ht="102" hidden="1" customHeight="1" outlineLevel="2" x14ac:dyDescent="0.25">
      <c r="A65" s="237"/>
      <c r="B65" s="19" t="s">
        <v>3</v>
      </c>
      <c r="C65" s="129"/>
      <c r="D65" s="128"/>
      <c r="E65" s="120">
        <f t="shared" si="46"/>
        <v>0</v>
      </c>
      <c r="F65" s="178">
        <f t="shared" si="55"/>
        <v>0</v>
      </c>
      <c r="G65" s="78">
        <v>0</v>
      </c>
      <c r="H65" s="161">
        <v>0</v>
      </c>
      <c r="I65" s="41">
        <f t="shared" si="47"/>
        <v>0</v>
      </c>
      <c r="J65" s="178">
        <f t="shared" si="53"/>
        <v>0</v>
      </c>
      <c r="K65" s="291"/>
      <c r="L65" s="78"/>
      <c r="M65" s="161"/>
      <c r="N65" s="41">
        <f t="shared" si="48"/>
        <v>0</v>
      </c>
      <c r="O65" s="178">
        <f t="shared" si="36"/>
        <v>0</v>
      </c>
      <c r="P65" s="291"/>
      <c r="Q65" s="78"/>
      <c r="R65" s="161"/>
      <c r="S65" s="41">
        <f t="shared" si="49"/>
        <v>0</v>
      </c>
      <c r="T65" s="178">
        <f t="shared" si="37"/>
        <v>0</v>
      </c>
      <c r="U65" s="291"/>
      <c r="V65" s="78"/>
      <c r="W65" s="161"/>
      <c r="X65" s="41">
        <f t="shared" si="50"/>
        <v>0</v>
      </c>
      <c r="Y65" s="178">
        <f t="shared" si="4"/>
        <v>0</v>
      </c>
      <c r="Z65" s="291"/>
      <c r="AA65" s="210">
        <f t="shared" si="51"/>
        <v>0</v>
      </c>
      <c r="AB65" s="210">
        <f t="shared" si="52"/>
        <v>0</v>
      </c>
      <c r="AC65" s="106">
        <f t="shared" si="41"/>
        <v>0</v>
      </c>
      <c r="AD65" s="178">
        <f t="shared" si="54"/>
        <v>0</v>
      </c>
      <c r="AE65" s="79"/>
      <c r="AF65" s="210">
        <f t="shared" si="42"/>
        <v>0</v>
      </c>
      <c r="AG65" s="210">
        <f t="shared" si="43"/>
        <v>0</v>
      </c>
      <c r="AH65" s="210">
        <f t="shared" si="44"/>
        <v>0</v>
      </c>
      <c r="AI65" s="178">
        <f t="shared" si="39"/>
        <v>0</v>
      </c>
      <c r="AJ65" s="79"/>
    </row>
    <row r="66" spans="1:37" s="2" customFormat="1" ht="13.95" customHeight="1" outlineLevel="2" x14ac:dyDescent="0.25">
      <c r="A66" s="237"/>
      <c r="B66" s="19" t="s">
        <v>5</v>
      </c>
      <c r="C66" s="129"/>
      <c r="D66" s="128">
        <v>2000</v>
      </c>
      <c r="E66" s="120">
        <f t="shared" si="46"/>
        <v>2000</v>
      </c>
      <c r="F66" s="178">
        <f t="shared" si="55"/>
        <v>8.4284586024897194E-4</v>
      </c>
      <c r="G66" s="78">
        <v>0</v>
      </c>
      <c r="H66" s="161">
        <v>135.62999999999988</v>
      </c>
      <c r="I66" s="41">
        <f t="shared" si="47"/>
        <v>135.62999999999988</v>
      </c>
      <c r="J66" s="178">
        <f t="shared" si="53"/>
        <v>6.610924896047161E-4</v>
      </c>
      <c r="K66" s="177"/>
      <c r="L66" s="78"/>
      <c r="M66" s="161">
        <v>50.23</v>
      </c>
      <c r="N66" s="41">
        <f t="shared" si="48"/>
        <v>50.23</v>
      </c>
      <c r="O66" s="178">
        <f t="shared" si="36"/>
        <v>2.4483282277405375E-4</v>
      </c>
      <c r="P66" s="177"/>
      <c r="Q66" s="78"/>
      <c r="R66" s="161">
        <v>951.95</v>
      </c>
      <c r="S66" s="41">
        <f t="shared" si="49"/>
        <v>951.95</v>
      </c>
      <c r="T66" s="178">
        <f t="shared" si="37"/>
        <v>1.2824365479104246E-3</v>
      </c>
      <c r="U66" s="177"/>
      <c r="V66" s="78"/>
      <c r="W66" s="161">
        <v>305</v>
      </c>
      <c r="X66" s="41">
        <f t="shared" si="50"/>
        <v>305</v>
      </c>
      <c r="Y66" s="178">
        <f t="shared" si="4"/>
        <v>3.1171528740850016E-4</v>
      </c>
      <c r="Z66" s="177"/>
      <c r="AA66" s="210">
        <f t="shared" si="51"/>
        <v>0</v>
      </c>
      <c r="AB66" s="210">
        <f t="shared" si="52"/>
        <v>1442.81</v>
      </c>
      <c r="AC66" s="106">
        <f t="shared" si="41"/>
        <v>1659.2314999999999</v>
      </c>
      <c r="AD66" s="178">
        <f t="shared" si="54"/>
        <v>4.3416713729492831E-4</v>
      </c>
      <c r="AE66" s="79"/>
      <c r="AF66" s="210">
        <f t="shared" si="42"/>
        <v>0</v>
      </c>
      <c r="AG66" s="210">
        <f t="shared" si="43"/>
        <v>557.19000000000005</v>
      </c>
      <c r="AH66" s="210">
        <f t="shared" si="44"/>
        <v>640.76850000000002</v>
      </c>
      <c r="AI66" s="178">
        <f t="shared" si="39"/>
        <v>-4.9224586533435125E-4</v>
      </c>
      <c r="AJ66" s="79"/>
    </row>
    <row r="67" spans="1:37" s="2" customFormat="1" ht="13.8" hidden="1" outlineLevel="2" x14ac:dyDescent="0.25">
      <c r="A67" s="237"/>
      <c r="B67" s="19" t="s">
        <v>42</v>
      </c>
      <c r="C67" s="129"/>
      <c r="D67" s="128"/>
      <c r="E67" s="120">
        <f>C67+D67*1.15</f>
        <v>0</v>
      </c>
      <c r="F67" s="178">
        <f t="shared" si="55"/>
        <v>0</v>
      </c>
      <c r="G67" s="78"/>
      <c r="H67" s="161"/>
      <c r="I67" s="41">
        <f>G67+H67*1.15</f>
        <v>0</v>
      </c>
      <c r="J67" s="178">
        <f>I67/$E$87</f>
        <v>0</v>
      </c>
      <c r="K67" s="177"/>
      <c r="L67" s="78"/>
      <c r="M67" s="161"/>
      <c r="N67" s="41">
        <f>L67+M67*1.15</f>
        <v>0</v>
      </c>
      <c r="O67" s="178">
        <f>N67/$E$87</f>
        <v>0</v>
      </c>
      <c r="P67" s="177"/>
      <c r="Q67" s="78"/>
      <c r="R67" s="161"/>
      <c r="S67" s="41">
        <f>Q67+R67*1.15</f>
        <v>0</v>
      </c>
      <c r="T67" s="178">
        <f>S67/$E$87</f>
        <v>0</v>
      </c>
      <c r="U67" s="177"/>
      <c r="V67" s="78"/>
      <c r="W67" s="161"/>
      <c r="X67" s="41">
        <f>V67+W67*1.15</f>
        <v>0</v>
      </c>
      <c r="Y67" s="178">
        <f>X67/$E$87</f>
        <v>0</v>
      </c>
      <c r="Z67" s="177"/>
      <c r="AA67" s="210">
        <f t="shared" si="51"/>
        <v>0</v>
      </c>
      <c r="AB67" s="210">
        <f t="shared" si="52"/>
        <v>0</v>
      </c>
      <c r="AC67" s="106">
        <f t="shared" si="41"/>
        <v>0</v>
      </c>
      <c r="AD67" s="178">
        <f t="shared" si="54"/>
        <v>0</v>
      </c>
      <c r="AE67" s="79"/>
      <c r="AF67" s="210">
        <f t="shared" si="42"/>
        <v>0</v>
      </c>
      <c r="AG67" s="210">
        <f t="shared" si="43"/>
        <v>0</v>
      </c>
      <c r="AH67" s="210">
        <f t="shared" si="44"/>
        <v>0</v>
      </c>
      <c r="AI67" s="178">
        <f>AH67/$E$87</f>
        <v>0</v>
      </c>
      <c r="AJ67" s="79"/>
    </row>
    <row r="68" spans="1:37" s="2" customFormat="1" ht="21.6" hidden="1" customHeight="1" outlineLevel="2" x14ac:dyDescent="0.25">
      <c r="A68" s="237"/>
      <c r="B68" s="19" t="s">
        <v>6</v>
      </c>
      <c r="C68" s="129"/>
      <c r="D68" s="128"/>
      <c r="E68" s="120">
        <f>C68+D68*1.15</f>
        <v>0</v>
      </c>
      <c r="F68" s="178">
        <f t="shared" si="55"/>
        <v>0</v>
      </c>
      <c r="G68" s="78"/>
      <c r="H68" s="161"/>
      <c r="I68" s="41">
        <f>G68+H68*1.15</f>
        <v>0</v>
      </c>
      <c r="J68" s="178">
        <f>I68/$E$87</f>
        <v>0</v>
      </c>
      <c r="K68" s="177"/>
      <c r="L68" s="78"/>
      <c r="M68" s="161"/>
      <c r="N68" s="41">
        <f>L68+M68*1.15</f>
        <v>0</v>
      </c>
      <c r="O68" s="178">
        <f>N68/$E$87</f>
        <v>0</v>
      </c>
      <c r="P68" s="177"/>
      <c r="Q68" s="78"/>
      <c r="R68" s="161"/>
      <c r="S68" s="41">
        <f>Q68+R68*1.15</f>
        <v>0</v>
      </c>
      <c r="T68" s="178">
        <f>S68/$E$87</f>
        <v>0</v>
      </c>
      <c r="U68" s="177"/>
      <c r="V68" s="78"/>
      <c r="W68" s="161"/>
      <c r="X68" s="41">
        <f>V68+W68*1.15</f>
        <v>0</v>
      </c>
      <c r="Y68" s="178">
        <f>X68/$E$87</f>
        <v>0</v>
      </c>
      <c r="Z68" s="177"/>
      <c r="AA68" s="210">
        <f t="shared" si="51"/>
        <v>0</v>
      </c>
      <c r="AB68" s="210">
        <f t="shared" si="52"/>
        <v>0</v>
      </c>
      <c r="AC68" s="106">
        <f>AA68+AB68*1.15</f>
        <v>0</v>
      </c>
      <c r="AD68" s="178">
        <f t="shared" si="54"/>
        <v>0</v>
      </c>
      <c r="AE68" s="79"/>
      <c r="AF68" s="210">
        <f t="shared" si="42"/>
        <v>0</v>
      </c>
      <c r="AG68" s="210">
        <f t="shared" si="43"/>
        <v>0</v>
      </c>
      <c r="AH68" s="210">
        <f t="shared" si="44"/>
        <v>0</v>
      </c>
      <c r="AI68" s="178">
        <f>AH68/$E$87</f>
        <v>0</v>
      </c>
      <c r="AJ68" s="79"/>
    </row>
    <row r="69" spans="1:37" s="2" customFormat="1" ht="13.95" hidden="1" customHeight="1" outlineLevel="2" x14ac:dyDescent="0.25">
      <c r="A69" s="237"/>
      <c r="B69" s="19" t="s">
        <v>78</v>
      </c>
      <c r="C69" s="129"/>
      <c r="D69" s="128"/>
      <c r="E69" s="120">
        <f>C69+D69*1.15</f>
        <v>0</v>
      </c>
      <c r="F69" s="184">
        <f t="shared" si="55"/>
        <v>0</v>
      </c>
      <c r="G69" s="78"/>
      <c r="H69" s="161"/>
      <c r="I69" s="41">
        <f>G69+H69*1.15</f>
        <v>0</v>
      </c>
      <c r="J69" s="178">
        <f>I69/$E$87</f>
        <v>0</v>
      </c>
      <c r="K69" s="177"/>
      <c r="L69" s="78"/>
      <c r="M69" s="161"/>
      <c r="N69" s="41">
        <f>L69+M69*1.15</f>
        <v>0</v>
      </c>
      <c r="O69" s="178">
        <f>N69/$E$87</f>
        <v>0</v>
      </c>
      <c r="P69" s="177"/>
      <c r="Q69" s="78"/>
      <c r="R69" s="161"/>
      <c r="S69" s="41">
        <f>Q69+R69*1.15</f>
        <v>0</v>
      </c>
      <c r="T69" s="178">
        <f>S69/$E$87</f>
        <v>0</v>
      </c>
      <c r="U69" s="177"/>
      <c r="V69" s="78"/>
      <c r="W69" s="161"/>
      <c r="X69" s="41">
        <f>V69+W69*1.15</f>
        <v>0</v>
      </c>
      <c r="Y69" s="178">
        <f>X69/$E$87</f>
        <v>0</v>
      </c>
      <c r="Z69" s="177"/>
      <c r="AA69" s="210">
        <f t="shared" si="51"/>
        <v>0</v>
      </c>
      <c r="AB69" s="210">
        <f t="shared" si="52"/>
        <v>0</v>
      </c>
      <c r="AC69" s="106">
        <f t="shared" si="41"/>
        <v>0</v>
      </c>
      <c r="AD69" s="178">
        <f t="shared" si="54"/>
        <v>0</v>
      </c>
      <c r="AE69" s="79"/>
      <c r="AF69" s="210">
        <f t="shared" si="42"/>
        <v>0</v>
      </c>
      <c r="AG69" s="210">
        <f t="shared" si="43"/>
        <v>0</v>
      </c>
      <c r="AH69" s="210">
        <f>AF69+AG69*1.15</f>
        <v>0</v>
      </c>
      <c r="AI69" s="178">
        <f>AH69/$E$87</f>
        <v>0</v>
      </c>
      <c r="AJ69" s="79"/>
    </row>
    <row r="70" spans="1:37" s="2" customFormat="1" ht="14.4" outlineLevel="2" thickBot="1" x14ac:dyDescent="0.3">
      <c r="A70" s="237"/>
      <c r="B70" s="19"/>
      <c r="C70" s="130"/>
      <c r="D70" s="131"/>
      <c r="E70" s="159"/>
      <c r="F70" s="184">
        <f>E70/$E$87</f>
        <v>0</v>
      </c>
      <c r="G70" s="160"/>
      <c r="H70" s="162"/>
      <c r="I70" s="62"/>
      <c r="J70" s="205">
        <f>I70/$E$87</f>
        <v>0</v>
      </c>
      <c r="K70" s="248"/>
      <c r="L70" s="160"/>
      <c r="M70" s="162"/>
      <c r="N70" s="62"/>
      <c r="O70" s="205">
        <f>N70/$E$87</f>
        <v>0</v>
      </c>
      <c r="P70" s="248"/>
      <c r="Q70" s="160"/>
      <c r="R70" s="162"/>
      <c r="S70" s="62"/>
      <c r="T70" s="205">
        <f>S70/$E$87</f>
        <v>0</v>
      </c>
      <c r="U70" s="248"/>
      <c r="V70" s="160"/>
      <c r="W70" s="162"/>
      <c r="X70" s="62"/>
      <c r="Y70" s="205">
        <f>X70/$E$87</f>
        <v>0</v>
      </c>
      <c r="Z70" s="248"/>
      <c r="AA70" s="210">
        <f t="shared" si="51"/>
        <v>0</v>
      </c>
      <c r="AB70" s="210">
        <f t="shared" si="52"/>
        <v>0</v>
      </c>
      <c r="AC70" s="106">
        <f t="shared" si="41"/>
        <v>0</v>
      </c>
      <c r="AD70" s="178">
        <f t="shared" si="54"/>
        <v>0</v>
      </c>
      <c r="AE70" s="79"/>
      <c r="AF70" s="210">
        <f t="shared" si="42"/>
        <v>0</v>
      </c>
      <c r="AG70" s="210">
        <f t="shared" si="43"/>
        <v>0</v>
      </c>
      <c r="AH70" s="210">
        <f t="shared" si="44"/>
        <v>0</v>
      </c>
      <c r="AI70" s="178">
        <f>AH70/$E$87</f>
        <v>0</v>
      </c>
      <c r="AJ70" s="79"/>
    </row>
    <row r="71" spans="1:37" s="2" customFormat="1" ht="14.4" outlineLevel="1" thickBot="1" x14ac:dyDescent="0.3">
      <c r="A71" s="237"/>
      <c r="B71" s="13" t="s">
        <v>4</v>
      </c>
      <c r="C71" s="132">
        <f>C72</f>
        <v>0</v>
      </c>
      <c r="D71" s="133">
        <f>D72</f>
        <v>0</v>
      </c>
      <c r="E71" s="132">
        <f>E72</f>
        <v>0</v>
      </c>
      <c r="F71" s="171">
        <f>E71/$E$87</f>
        <v>0</v>
      </c>
      <c r="G71" s="99">
        <f>G72</f>
        <v>0</v>
      </c>
      <c r="H71" s="63">
        <f>H72</f>
        <v>0</v>
      </c>
      <c r="I71" s="63">
        <f>I72</f>
        <v>0</v>
      </c>
      <c r="J71" s="194">
        <f>I71/$E$87</f>
        <v>0</v>
      </c>
      <c r="K71" s="249"/>
      <c r="L71" s="99">
        <f>L72</f>
        <v>0</v>
      </c>
      <c r="M71" s="63">
        <f>M72</f>
        <v>0</v>
      </c>
      <c r="N71" s="63">
        <f>N72</f>
        <v>0</v>
      </c>
      <c r="O71" s="194">
        <f>N71/$E$87</f>
        <v>0</v>
      </c>
      <c r="P71" s="249"/>
      <c r="Q71" s="99">
        <f>Q72</f>
        <v>0</v>
      </c>
      <c r="R71" s="63">
        <f>R72</f>
        <v>0</v>
      </c>
      <c r="S71" s="63">
        <f>S72</f>
        <v>0</v>
      </c>
      <c r="T71" s="194">
        <f>S71/$E$87</f>
        <v>0</v>
      </c>
      <c r="U71" s="249"/>
      <c r="V71" s="99">
        <f>V72</f>
        <v>0</v>
      </c>
      <c r="W71" s="63">
        <f>W72</f>
        <v>0</v>
      </c>
      <c r="X71" s="63">
        <f>X72</f>
        <v>0</v>
      </c>
      <c r="Y71" s="194">
        <f>X71/$E$87</f>
        <v>0</v>
      </c>
      <c r="Z71" s="249"/>
      <c r="AA71" s="139">
        <f>AA72</f>
        <v>0</v>
      </c>
      <c r="AB71" s="63">
        <f>AB72</f>
        <v>0</v>
      </c>
      <c r="AC71" s="60">
        <f>AC72</f>
        <v>0</v>
      </c>
      <c r="AD71" s="63"/>
      <c r="AE71" s="63"/>
      <c r="AF71" s="132">
        <f t="shared" si="42"/>
        <v>0</v>
      </c>
      <c r="AG71" s="133">
        <f t="shared" si="43"/>
        <v>0</v>
      </c>
      <c r="AH71" s="132">
        <f t="shared" si="44"/>
        <v>0</v>
      </c>
      <c r="AI71" s="171">
        <f>AH71/$E$87</f>
        <v>0</v>
      </c>
      <c r="AJ71" s="63"/>
    </row>
    <row r="72" spans="1:37" s="2" customFormat="1" ht="14.4" outlineLevel="1" thickBot="1" x14ac:dyDescent="0.3">
      <c r="A72" s="20"/>
      <c r="B72" s="225" t="s">
        <v>64</v>
      </c>
      <c r="C72" s="134"/>
      <c r="D72" s="135"/>
      <c r="E72" s="136">
        <f>C72+D72</f>
        <v>0</v>
      </c>
      <c r="F72" s="185"/>
      <c r="G72" s="100"/>
      <c r="H72" s="64"/>
      <c r="I72" s="64">
        <f>G72+H72</f>
        <v>0</v>
      </c>
      <c r="J72" s="206"/>
      <c r="K72" s="206"/>
      <c r="L72" s="100"/>
      <c r="M72" s="64"/>
      <c r="N72" s="64">
        <f>L72+M72</f>
        <v>0</v>
      </c>
      <c r="O72" s="206"/>
      <c r="P72" s="206"/>
      <c r="Q72" s="100"/>
      <c r="R72" s="64"/>
      <c r="S72" s="64">
        <f>Q72+R72</f>
        <v>0</v>
      </c>
      <c r="T72" s="206"/>
      <c r="U72" s="206"/>
      <c r="V72" s="100"/>
      <c r="W72" s="64"/>
      <c r="X72" s="64">
        <f>V72+W72</f>
        <v>0</v>
      </c>
      <c r="Y72" s="206"/>
      <c r="Z72" s="206"/>
      <c r="AA72" s="100">
        <f>L72</f>
        <v>0</v>
      </c>
      <c r="AB72" s="64">
        <f>M72</f>
        <v>0</v>
      </c>
      <c r="AC72" s="64">
        <f>AA72+AB72</f>
        <v>0</v>
      </c>
      <c r="AD72" s="64"/>
      <c r="AE72" s="64"/>
      <c r="AF72" s="210">
        <f t="shared" si="42"/>
        <v>0</v>
      </c>
      <c r="AG72" s="210">
        <f t="shared" si="43"/>
        <v>0</v>
      </c>
      <c r="AH72" s="210">
        <f>AF72+AG72</f>
        <v>0</v>
      </c>
      <c r="AI72" s="64"/>
      <c r="AJ72" s="64"/>
    </row>
    <row r="73" spans="1:37" s="2" customFormat="1" ht="14.4" thickBot="1" x14ac:dyDescent="0.3">
      <c r="A73" s="5"/>
      <c r="B73" s="23" t="s">
        <v>48</v>
      </c>
      <c r="C73" s="137">
        <f>C36-C39-C48-C52</f>
        <v>1653399.4626357432</v>
      </c>
      <c r="D73" s="137">
        <f>D36-D39-D48-D52</f>
        <v>-980031.28272772685</v>
      </c>
      <c r="E73" s="138">
        <f>E36-E39-E48-E52</f>
        <v>673368.17990801658</v>
      </c>
      <c r="F73" s="172"/>
      <c r="G73" s="65">
        <f>G36-G39-G48-G52</f>
        <v>-359488.6719999999</v>
      </c>
      <c r="H73" s="65">
        <f>H36-H39-H48-H52</f>
        <v>673235.28999999992</v>
      </c>
      <c r="I73" s="66">
        <f>I36-I39-I48-I52</f>
        <v>313746.61800000025</v>
      </c>
      <c r="J73" s="195"/>
      <c r="K73" s="250"/>
      <c r="L73" s="65">
        <f>L36-L39-L48-L52</f>
        <v>-116844.7</v>
      </c>
      <c r="M73" s="65">
        <f>M36-M39-M48-M52</f>
        <v>-77479.23</v>
      </c>
      <c r="N73" s="66">
        <f>N36-N39-N48-N52</f>
        <v>-194323.93</v>
      </c>
      <c r="O73" s="195"/>
      <c r="P73" s="250"/>
      <c r="Q73" s="65">
        <f>Q36-Q39-Q48-Q52</f>
        <v>518172.3060000001</v>
      </c>
      <c r="R73" s="65">
        <f>R36-R39-R48-R52</f>
        <v>-256506.95</v>
      </c>
      <c r="S73" s="66">
        <f>S36-S39-S48-S52</f>
        <v>261665.35600000009</v>
      </c>
      <c r="T73" s="195"/>
      <c r="U73" s="250"/>
      <c r="V73" s="65">
        <f>V36-V39-V48-V52</f>
        <v>1120318.7459500001</v>
      </c>
      <c r="W73" s="65">
        <f>W36-W39-W48-W52</f>
        <v>-253869.22</v>
      </c>
      <c r="X73" s="66">
        <f>X36-X39-X48-X52</f>
        <v>866449.52595000004</v>
      </c>
      <c r="Y73" s="195"/>
      <c r="Z73" s="250"/>
      <c r="AA73" s="65">
        <f>AA36-AA39-AA48-AA52</f>
        <v>1162157.6799500007</v>
      </c>
      <c r="AB73" s="65">
        <f>AB36-AB39-AB48-AB52</f>
        <v>85379.889999999956</v>
      </c>
      <c r="AC73" s="66">
        <f>AC36-AC39-AC48-AC52</f>
        <v>1078844.5534500014</v>
      </c>
      <c r="AD73" s="66"/>
      <c r="AE73" s="66"/>
      <c r="AF73" s="65">
        <f>AF36-AF39-AF48-AF52</f>
        <v>491241.78268574236</v>
      </c>
      <c r="AG73" s="65">
        <f>AG36-AG39-AG48-AG52</f>
        <v>-1065411.1727277266</v>
      </c>
      <c r="AH73" s="66">
        <f>AH36-AH39-AH48-AH52</f>
        <v>-552481.06595114351</v>
      </c>
      <c r="AI73" s="66"/>
      <c r="AJ73" s="66"/>
    </row>
    <row r="74" spans="1:37" s="2" customFormat="1" ht="13.8" x14ac:dyDescent="0.25">
      <c r="A74" s="230"/>
      <c r="B74" s="36" t="s">
        <v>49</v>
      </c>
      <c r="C74" s="157">
        <f>C73/C5</f>
        <v>0.54275994230596603</v>
      </c>
      <c r="D74" s="157" t="e">
        <f>D73/D5</f>
        <v>#DIV/0!</v>
      </c>
      <c r="E74" s="158">
        <f>E73/E5</f>
        <v>0.22104596181187092</v>
      </c>
      <c r="F74" s="167"/>
      <c r="G74" s="54">
        <f>G73/G5</f>
        <v>-0.42714042892619108</v>
      </c>
      <c r="H74" s="54">
        <f>H73/H5</f>
        <v>0.55639280165289251</v>
      </c>
      <c r="I74" s="55">
        <f>I73/I5</f>
        <v>0.15292650081589798</v>
      </c>
      <c r="J74" s="196"/>
      <c r="K74" s="251"/>
      <c r="L74" s="54" t="e">
        <f>L73/L5</f>
        <v>#DIV/0!</v>
      </c>
      <c r="M74" s="54" t="e">
        <f>M73/M5</f>
        <v>#DIV/0!</v>
      </c>
      <c r="N74" s="55" t="e">
        <f>N73/N5</f>
        <v>#DIV/0!</v>
      </c>
      <c r="O74" s="196"/>
      <c r="P74" s="251"/>
      <c r="Q74" s="54">
        <f>Q73/Q5</f>
        <v>0.51612674602873188</v>
      </c>
      <c r="R74" s="54" t="e">
        <f>R73/R5</f>
        <v>#DIV/0!</v>
      </c>
      <c r="S74" s="55">
        <f>S73/S5</f>
        <v>0.26063239423823958</v>
      </c>
      <c r="T74" s="196"/>
      <c r="U74" s="251"/>
      <c r="V74" s="54">
        <f>V73/V5</f>
        <v>0.618564287200153</v>
      </c>
      <c r="W74" s="54" t="e">
        <f>W73/W5</f>
        <v>#DIV/0!</v>
      </c>
      <c r="X74" s="55">
        <f>X73/X5</f>
        <v>0.47839486338300719</v>
      </c>
      <c r="Y74" s="196"/>
      <c r="Z74" s="251"/>
      <c r="AA74" s="54">
        <f>AA73/AA5</f>
        <v>0.31781249008423534</v>
      </c>
      <c r="AB74" s="54">
        <f>AB73/AB5</f>
        <v>7.0561892561983433E-2</v>
      </c>
      <c r="AC74" s="55">
        <f>AC73/AC5</f>
        <v>0.22167704234570301</v>
      </c>
      <c r="AD74" s="55"/>
      <c r="AE74" s="55"/>
      <c r="AF74" s="54">
        <f>AF73/AF5</f>
        <v>-0.8047091378462411</v>
      </c>
      <c r="AG74" s="54">
        <f>AG73/AG5</f>
        <v>0.8805051014278733</v>
      </c>
      <c r="AH74" s="55">
        <f>AH73/AH5</f>
        <v>0.30348451880168797</v>
      </c>
      <c r="AI74" s="55"/>
      <c r="AJ74" s="55"/>
    </row>
    <row r="75" spans="1:37" s="2" customFormat="1" ht="14.4" outlineLevel="1" thickBot="1" x14ac:dyDescent="0.3">
      <c r="A75" s="230"/>
      <c r="B75" s="27" t="s">
        <v>9</v>
      </c>
      <c r="C75" s="139">
        <f>C76-C77</f>
        <v>0</v>
      </c>
      <c r="D75" s="139">
        <f>D76-D77</f>
        <v>0</v>
      </c>
      <c r="E75" s="140">
        <f>E76-E77</f>
        <v>0</v>
      </c>
      <c r="F75" s="173"/>
      <c r="G75" s="67">
        <f>G76-G77</f>
        <v>0</v>
      </c>
      <c r="H75" s="67">
        <f>H76-H77</f>
        <v>0</v>
      </c>
      <c r="I75" s="67">
        <f>I76-I77</f>
        <v>0</v>
      </c>
      <c r="J75" s="197"/>
      <c r="K75" s="252"/>
      <c r="L75" s="67">
        <f>L76-L77</f>
        <v>0</v>
      </c>
      <c r="M75" s="67">
        <f>M76-M77</f>
        <v>0</v>
      </c>
      <c r="N75" s="67">
        <f>N76-N77</f>
        <v>-10836.470598555437</v>
      </c>
      <c r="O75" s="197"/>
      <c r="P75" s="252"/>
      <c r="Q75" s="67">
        <f>Q76-Q77</f>
        <v>0</v>
      </c>
      <c r="R75" s="67">
        <f>R76-R77</f>
        <v>0</v>
      </c>
      <c r="S75" s="67">
        <f>S76-S77</f>
        <v>0</v>
      </c>
      <c r="T75" s="197"/>
      <c r="U75" s="252"/>
      <c r="V75" s="67">
        <f>V76-V77</f>
        <v>0</v>
      </c>
      <c r="W75" s="67">
        <f>W76-W77</f>
        <v>-29345</v>
      </c>
      <c r="X75" s="67">
        <f>X76-X77</f>
        <v>-33746.75</v>
      </c>
      <c r="Y75" s="197"/>
      <c r="Z75" s="252"/>
      <c r="AA75" s="139">
        <f>AA76-AA77</f>
        <v>0</v>
      </c>
      <c r="AB75" s="139">
        <f>AB76-AB77</f>
        <v>-29345</v>
      </c>
      <c r="AC75" s="140">
        <f>AC76-AC77</f>
        <v>-33746.75</v>
      </c>
      <c r="AD75" s="67"/>
      <c r="AE75" s="67"/>
      <c r="AF75" s="139">
        <f>AF76-AF77</f>
        <v>0</v>
      </c>
      <c r="AG75" s="139">
        <f>AG76-AG77</f>
        <v>29345</v>
      </c>
      <c r="AH75" s="140">
        <f>AH76-AH77</f>
        <v>33746.75</v>
      </c>
      <c r="AI75" s="173"/>
      <c r="AJ75" s="67"/>
    </row>
    <row r="76" spans="1:37" s="2" customFormat="1" ht="13.8" outlineLevel="2" x14ac:dyDescent="0.25">
      <c r="A76" s="11"/>
      <c r="B76" s="6" t="s">
        <v>43</v>
      </c>
      <c r="C76" s="141"/>
      <c r="D76" s="142"/>
      <c r="E76" s="119">
        <f>C76+D76*1.15</f>
        <v>0</v>
      </c>
      <c r="F76" s="186"/>
      <c r="G76" s="71"/>
      <c r="H76" s="71"/>
      <c r="I76" s="71">
        <f>G76+H76*1.15</f>
        <v>0</v>
      </c>
      <c r="J76" s="177"/>
      <c r="K76" s="177"/>
      <c r="L76" s="71"/>
      <c r="M76" s="71"/>
      <c r="N76" s="71">
        <f>L76+M76*1.15</f>
        <v>0</v>
      </c>
      <c r="O76" s="177"/>
      <c r="P76" s="177"/>
      <c r="Q76" s="71"/>
      <c r="R76" s="71"/>
      <c r="S76" s="71">
        <f>Q76+R76*1.15</f>
        <v>0</v>
      </c>
      <c r="T76" s="177"/>
      <c r="U76" s="177"/>
      <c r="V76" s="71"/>
      <c r="W76" s="71"/>
      <c r="X76" s="71">
        <f>V76+W76*1.15</f>
        <v>0</v>
      </c>
      <c r="Y76" s="177"/>
      <c r="Z76" s="177"/>
      <c r="AA76" s="68"/>
      <c r="AB76" s="68"/>
      <c r="AC76" s="68"/>
      <c r="AD76" s="68"/>
      <c r="AE76" s="68"/>
      <c r="AF76" s="68"/>
      <c r="AG76" s="68"/>
      <c r="AH76" s="68"/>
      <c r="AI76" s="68"/>
      <c r="AJ76" s="68"/>
    </row>
    <row r="77" spans="1:37" s="2" customFormat="1" ht="13.8" outlineLevel="2" x14ac:dyDescent="0.25">
      <c r="A77" s="11"/>
      <c r="B77" s="24" t="s">
        <v>79</v>
      </c>
      <c r="C77" s="113"/>
      <c r="D77" s="119"/>
      <c r="E77" s="119">
        <f>C77+D77*1.15</f>
        <v>0</v>
      </c>
      <c r="F77" s="180">
        <f>E77/$E$87</f>
        <v>0</v>
      </c>
      <c r="G77" s="45"/>
      <c r="H77" s="45"/>
      <c r="I77" s="45">
        <f>G77+H77*1.15</f>
        <v>0</v>
      </c>
      <c r="J77" s="178">
        <f>I77/$E$87</f>
        <v>0</v>
      </c>
      <c r="K77" s="177"/>
      <c r="L77" s="45"/>
      <c r="M77" s="45"/>
      <c r="N77" s="224">
        <f>(M8+M39+M48+M52)/(1-'расчет 2020'!E4)*'расчет 2020'!E4</f>
        <v>10836.470598555437</v>
      </c>
      <c r="O77" s="178">
        <f>N77/$E$87</f>
        <v>4.5667371918510745E-3</v>
      </c>
      <c r="P77" s="177"/>
      <c r="Q77" s="45"/>
      <c r="R77" s="45"/>
      <c r="S77" s="45">
        <f>Q77+R77*1.15</f>
        <v>0</v>
      </c>
      <c r="T77" s="178">
        <f>S77/$E$87</f>
        <v>0</v>
      </c>
      <c r="U77" s="177"/>
      <c r="V77" s="45"/>
      <c r="W77" s="78">
        <f>7300+7300+14745</f>
        <v>29345</v>
      </c>
      <c r="X77" s="45">
        <f>V77+W77*1.15</f>
        <v>33746.75</v>
      </c>
      <c r="Y77" s="178">
        <f>X77/$X$87</f>
        <v>3.4489763525746897E-2</v>
      </c>
      <c r="Z77" s="177"/>
      <c r="AA77" s="210">
        <f>G77+L77+Q77+V77</f>
        <v>0</v>
      </c>
      <c r="AB77" s="210">
        <f>H77+M77+R77+W77</f>
        <v>29345</v>
      </c>
      <c r="AC77" s="106">
        <f>AA77+AB77*1.15</f>
        <v>33746.75</v>
      </c>
      <c r="AD77" s="45"/>
      <c r="AE77" s="45"/>
      <c r="AF77" s="210">
        <f>C77-AA77</f>
        <v>0</v>
      </c>
      <c r="AG77" s="210">
        <f>D77-AB77</f>
        <v>-29345</v>
      </c>
      <c r="AH77" s="210">
        <f>AF77+AG77*1.15</f>
        <v>-33746.75</v>
      </c>
      <c r="AI77" s="178">
        <f>AH77/$E$87</f>
        <v>-1.4221654267178497E-2</v>
      </c>
      <c r="AJ77" s="45"/>
    </row>
    <row r="78" spans="1:37" ht="13.8" outlineLevel="2" x14ac:dyDescent="0.25">
      <c r="A78" s="3"/>
      <c r="B78" s="25"/>
      <c r="C78" s="143"/>
      <c r="D78" s="144"/>
      <c r="E78" s="145"/>
      <c r="F78" s="187"/>
      <c r="G78" s="69"/>
      <c r="H78" s="69"/>
      <c r="I78" s="69"/>
      <c r="J78" s="207"/>
      <c r="K78" s="207"/>
      <c r="L78" s="69"/>
      <c r="M78" s="69"/>
      <c r="N78" s="69"/>
      <c r="O78" s="207"/>
      <c r="P78" s="207"/>
      <c r="Q78" s="69"/>
      <c r="R78" s="69"/>
      <c r="S78" s="69"/>
      <c r="T78" s="207"/>
      <c r="U78" s="207"/>
      <c r="V78" s="69"/>
      <c r="W78" s="69"/>
      <c r="X78" s="69"/>
      <c r="Y78" s="207"/>
      <c r="Z78" s="207"/>
      <c r="AA78" s="69"/>
      <c r="AB78" s="69"/>
      <c r="AC78" s="69"/>
      <c r="AD78" s="69"/>
      <c r="AE78" s="69"/>
      <c r="AF78" s="69"/>
      <c r="AG78" s="69"/>
      <c r="AH78" s="69"/>
      <c r="AI78" s="69"/>
      <c r="AJ78" s="69"/>
      <c r="AK78" s="2"/>
    </row>
    <row r="79" spans="1:37" s="2" customFormat="1" ht="14.4" outlineLevel="1" thickBot="1" x14ac:dyDescent="0.3">
      <c r="A79" s="26"/>
      <c r="B79" s="27" t="s">
        <v>12</v>
      </c>
      <c r="C79" s="139">
        <f>(C73+C76)-C77</f>
        <v>1653399.4626357432</v>
      </c>
      <c r="D79" s="139">
        <f>(D73+D76)-D77</f>
        <v>-980031.28272772685</v>
      </c>
      <c r="E79" s="140">
        <f>(E73+E76)-E77</f>
        <v>673368.17990801658</v>
      </c>
      <c r="F79" s="173"/>
      <c r="G79" s="139">
        <f>(G73+G76)-G77</f>
        <v>-359488.6719999999</v>
      </c>
      <c r="H79" s="139">
        <f>(H73+H76)-H77</f>
        <v>673235.28999999992</v>
      </c>
      <c r="I79" s="140">
        <f>(I73+I76)-I77</f>
        <v>313746.61800000025</v>
      </c>
      <c r="J79" s="198"/>
      <c r="K79" s="253"/>
      <c r="L79" s="139">
        <f>(L73+L76)-L77</f>
        <v>-116844.7</v>
      </c>
      <c r="M79" s="139">
        <f>(M73+M76)-M77</f>
        <v>-77479.23</v>
      </c>
      <c r="N79" s="140">
        <f>(N73+N76)-N77</f>
        <v>-205160.40059855542</v>
      </c>
      <c r="O79" s="198"/>
      <c r="P79" s="253"/>
      <c r="Q79" s="139">
        <f>(Q73+Q76)-Q77</f>
        <v>518172.3060000001</v>
      </c>
      <c r="R79" s="139">
        <f>(R73+R76)-R77</f>
        <v>-256506.95</v>
      </c>
      <c r="S79" s="140">
        <f>(S73+S76)-S77</f>
        <v>261665.35600000009</v>
      </c>
      <c r="T79" s="198"/>
      <c r="U79" s="253"/>
      <c r="V79" s="139">
        <f>(V73+V76)-V77</f>
        <v>1120318.7459500001</v>
      </c>
      <c r="W79" s="139">
        <f>(W73+W76)-W77</f>
        <v>-283214.21999999997</v>
      </c>
      <c r="X79" s="140">
        <f>(X73+X76)-X77</f>
        <v>832702.77595000004</v>
      </c>
      <c r="Y79" s="198"/>
      <c r="Z79" s="253"/>
      <c r="AA79" s="139">
        <f>(AA73+AA76)-AA77</f>
        <v>1162157.6799500007</v>
      </c>
      <c r="AB79" s="139">
        <f>(AB73+AB76)-AB77</f>
        <v>56034.889999999956</v>
      </c>
      <c r="AC79" s="140">
        <f>(AC73+AC76)-AC77</f>
        <v>1045097.8034500014</v>
      </c>
      <c r="AD79" s="67"/>
      <c r="AE79" s="67"/>
      <c r="AF79" s="139">
        <f>(AF73+AF76)-AF77</f>
        <v>491241.78268574236</v>
      </c>
      <c r="AG79" s="139">
        <f>(AG73+AG76)-AG77</f>
        <v>-1036066.1727277266</v>
      </c>
      <c r="AH79" s="140">
        <f>(AH73+AH76)-AH77</f>
        <v>-518734.31595114351</v>
      </c>
      <c r="AI79" s="67"/>
      <c r="AJ79" s="67"/>
    </row>
    <row r="80" spans="1:37" s="2" customFormat="1" ht="13.8" outlineLevel="2" x14ac:dyDescent="0.25">
      <c r="A80" s="229"/>
      <c r="B80" s="6" t="s">
        <v>38</v>
      </c>
      <c r="C80" s="141"/>
      <c r="D80" s="142"/>
      <c r="E80" s="146">
        <f>C80+D80</f>
        <v>0</v>
      </c>
      <c r="F80" s="180">
        <f>E80/$E$87</f>
        <v>0</v>
      </c>
      <c r="G80" s="141"/>
      <c r="H80" s="142"/>
      <c r="I80" s="146">
        <f>G80+H80</f>
        <v>0</v>
      </c>
      <c r="J80" s="178">
        <f>I80/$E$87</f>
        <v>0</v>
      </c>
      <c r="K80" s="254"/>
      <c r="L80" s="141"/>
      <c r="M80" s="142"/>
      <c r="N80" s="146">
        <f>L80+M80</f>
        <v>0</v>
      </c>
      <c r="O80" s="178">
        <f>N80/$E$87</f>
        <v>0</v>
      </c>
      <c r="P80" s="254"/>
      <c r="Q80" s="141"/>
      <c r="R80" s="142"/>
      <c r="S80" s="146">
        <f>Q80+R80</f>
        <v>0</v>
      </c>
      <c r="T80" s="178">
        <f>S80/$E$87</f>
        <v>0</v>
      </c>
      <c r="U80" s="254"/>
      <c r="V80" s="141"/>
      <c r="W80" s="142"/>
      <c r="X80" s="146">
        <f>V80+W80</f>
        <v>0</v>
      </c>
      <c r="Y80" s="178">
        <f>X80/$E$87</f>
        <v>0</v>
      </c>
      <c r="Z80" s="254"/>
      <c r="AA80" s="141"/>
      <c r="AB80" s="142"/>
      <c r="AC80" s="146">
        <f>AA80+AB80</f>
        <v>0</v>
      </c>
      <c r="AD80" s="101"/>
      <c r="AE80" s="101"/>
      <c r="AF80" s="141"/>
      <c r="AG80" s="142"/>
      <c r="AH80" s="146">
        <f>AF80+AG80</f>
        <v>0</v>
      </c>
      <c r="AI80" s="178">
        <f>AH80/$E$87</f>
        <v>0</v>
      </c>
      <c r="AJ80" s="101"/>
    </row>
    <row r="81" spans="1:36" s="2" customFormat="1" ht="13.8" outlineLevel="1" x14ac:dyDescent="0.25">
      <c r="A81" s="11"/>
      <c r="B81" s="28" t="s">
        <v>13</v>
      </c>
      <c r="C81" s="147">
        <f>(C79+C7)-C34</f>
        <v>1653399.4626357432</v>
      </c>
      <c r="D81" s="147">
        <f>(D79+D7)-D34</f>
        <v>-980031.28272772685</v>
      </c>
      <c r="E81" s="147">
        <f>(E79+E7)-E34</f>
        <v>673368.17990801658</v>
      </c>
      <c r="F81" s="174"/>
      <c r="G81" s="147">
        <f>(G79+G7)-G34</f>
        <v>-359488.6719999999</v>
      </c>
      <c r="H81" s="147">
        <f>(H79+H7)-H34</f>
        <v>673235.28999999992</v>
      </c>
      <c r="I81" s="148">
        <f>(I79+I7)-I34</f>
        <v>313746.61800000025</v>
      </c>
      <c r="J81" s="199"/>
      <c r="K81" s="255"/>
      <c r="L81" s="147">
        <f>(L79+L7)-L34</f>
        <v>-116844.7</v>
      </c>
      <c r="M81" s="147">
        <f>(M79+M7)-M34</f>
        <v>-77479.23</v>
      </c>
      <c r="N81" s="148">
        <f>(N79+N7)-N34</f>
        <v>-205160.40059855542</v>
      </c>
      <c r="O81" s="199"/>
      <c r="P81" s="255"/>
      <c r="Q81" s="147">
        <f>(Q79+Q7)-Q34</f>
        <v>518172.3060000001</v>
      </c>
      <c r="R81" s="147">
        <f>(R79+R7)-R34</f>
        <v>-256506.95</v>
      </c>
      <c r="S81" s="148">
        <f>(S79+S7)-S34</f>
        <v>261665.35600000009</v>
      </c>
      <c r="T81" s="199"/>
      <c r="U81" s="255"/>
      <c r="V81" s="147">
        <f>(V79+V7)-V34</f>
        <v>1120318.7459500001</v>
      </c>
      <c r="W81" s="147">
        <f>(W79+W7)-W34</f>
        <v>-283214.21999999997</v>
      </c>
      <c r="X81" s="148">
        <f>(X79+X7)-X34</f>
        <v>832702.77595000004</v>
      </c>
      <c r="Y81" s="199"/>
      <c r="Z81" s="255"/>
      <c r="AA81" s="147">
        <f>(AA79+AA7)-AA34</f>
        <v>1162157.6799500007</v>
      </c>
      <c r="AB81" s="147">
        <f>(AB79+AB7)-AB34</f>
        <v>56034.889999999956</v>
      </c>
      <c r="AC81" s="148">
        <f>(AC79+AC7)-AC34</f>
        <v>1045097.8034500014</v>
      </c>
      <c r="AD81" s="70"/>
      <c r="AE81" s="70"/>
      <c r="AF81" s="147">
        <f>(AF79+AF7)-AF34</f>
        <v>491241.78268574236</v>
      </c>
      <c r="AG81" s="147">
        <f>(AG79+AG7)-AG34</f>
        <v>-1036066.1727277266</v>
      </c>
      <c r="AH81" s="148">
        <f>(AH79+AH7)-AH34</f>
        <v>-518734.31595114351</v>
      </c>
      <c r="AI81" s="70"/>
      <c r="AJ81" s="70"/>
    </row>
    <row r="82" spans="1:36" s="2" customFormat="1" ht="14.4" outlineLevel="1" thickBot="1" x14ac:dyDescent="0.3">
      <c r="A82" s="11"/>
      <c r="B82" s="211" t="s">
        <v>14</v>
      </c>
      <c r="C82" s="212">
        <f>C81-C71-C80</f>
        <v>1653399.4626357432</v>
      </c>
      <c r="D82" s="212">
        <f>D81-D71-D80</f>
        <v>-980031.28272772685</v>
      </c>
      <c r="E82" s="212">
        <f>E81-E71-E80</f>
        <v>673368.17990801658</v>
      </c>
      <c r="F82" s="214"/>
      <c r="G82" s="212">
        <f>G81-G71-G80</f>
        <v>-359488.6719999999</v>
      </c>
      <c r="H82" s="212">
        <f>H81-H71-H80</f>
        <v>673235.28999999992</v>
      </c>
      <c r="I82" s="213">
        <f>I81-I71-I80</f>
        <v>313746.61800000025</v>
      </c>
      <c r="J82" s="215"/>
      <c r="K82" s="256"/>
      <c r="L82" s="212">
        <f>L81-L71-L80</f>
        <v>-116844.7</v>
      </c>
      <c r="M82" s="212">
        <f>M81-M71-M80</f>
        <v>-77479.23</v>
      </c>
      <c r="N82" s="213">
        <f>N81-N71-N80</f>
        <v>-205160.40059855542</v>
      </c>
      <c r="O82" s="215"/>
      <c r="P82" s="256"/>
      <c r="Q82" s="212">
        <f>Q81-Q71-Q80</f>
        <v>518172.3060000001</v>
      </c>
      <c r="R82" s="212">
        <f>R81-R71-R80</f>
        <v>-256506.95</v>
      </c>
      <c r="S82" s="213">
        <f>S81-S71-S80</f>
        <v>261665.35600000009</v>
      </c>
      <c r="T82" s="215"/>
      <c r="U82" s="256"/>
      <c r="V82" s="212">
        <f>V81-V71-V80</f>
        <v>1120318.7459500001</v>
      </c>
      <c r="W82" s="212">
        <f>W81-W71-W80</f>
        <v>-283214.21999999997</v>
      </c>
      <c r="X82" s="213">
        <f>X81-X71-X80</f>
        <v>832702.77595000004</v>
      </c>
      <c r="Y82" s="215"/>
      <c r="Z82" s="256"/>
      <c r="AA82" s="212">
        <f>AA81-AA71-AA80</f>
        <v>1162157.6799500007</v>
      </c>
      <c r="AB82" s="212">
        <f>AB81-AB71-AB80</f>
        <v>56034.889999999956</v>
      </c>
      <c r="AC82" s="213">
        <f>AC81-AC71-AC80</f>
        <v>1045097.8034500014</v>
      </c>
      <c r="AD82" s="82"/>
      <c r="AE82" s="82"/>
      <c r="AF82" s="212">
        <f>AF81-AF71-AF80</f>
        <v>491241.78268574236</v>
      </c>
      <c r="AG82" s="212">
        <f>AG81-AG71-AG80</f>
        <v>-1036066.1727277266</v>
      </c>
      <c r="AH82" s="213">
        <f>AH81-AH71-AH80</f>
        <v>-518734.31595114351</v>
      </c>
      <c r="AI82" s="82"/>
      <c r="AJ82" s="82"/>
    </row>
    <row r="83" spans="1:36" s="2" customFormat="1" ht="13.8" outlineLevel="3" x14ac:dyDescent="0.25">
      <c r="A83" s="229"/>
      <c r="B83" s="216" t="s">
        <v>44</v>
      </c>
      <c r="C83" s="141"/>
      <c r="D83" s="142"/>
      <c r="E83" s="146">
        <f>C83+D83</f>
        <v>0</v>
      </c>
      <c r="F83" s="217">
        <f>E83/$E$87</f>
        <v>0</v>
      </c>
      <c r="G83" s="102"/>
      <c r="H83" s="102"/>
      <c r="I83" s="146">
        <f>G83+H83</f>
        <v>0</v>
      </c>
      <c r="J83" s="218">
        <f>I83/$E$87</f>
        <v>0</v>
      </c>
      <c r="K83" s="218"/>
      <c r="L83" s="102"/>
      <c r="M83" s="102"/>
      <c r="N83" s="146">
        <f>L83+M83</f>
        <v>0</v>
      </c>
      <c r="O83" s="218">
        <f>N83/$E$87</f>
        <v>0</v>
      </c>
      <c r="P83" s="218"/>
      <c r="Q83" s="102"/>
      <c r="R83" s="102"/>
      <c r="S83" s="146">
        <f>Q83+R83</f>
        <v>0</v>
      </c>
      <c r="T83" s="218">
        <f>S83/$E$87</f>
        <v>0</v>
      </c>
      <c r="U83" s="218"/>
      <c r="V83" s="102"/>
      <c r="W83" s="102"/>
      <c r="X83" s="146">
        <f>V83+W83</f>
        <v>0</v>
      </c>
      <c r="Y83" s="218">
        <f>X83/$E$87</f>
        <v>0</v>
      </c>
      <c r="Z83" s="218"/>
      <c r="AA83" s="102">
        <f>L83</f>
        <v>0</v>
      </c>
      <c r="AB83" s="102">
        <f>M83</f>
        <v>0</v>
      </c>
      <c r="AC83" s="219">
        <f>AA83+AB83*1.15</f>
        <v>0</v>
      </c>
      <c r="AD83" s="102"/>
      <c r="AE83" s="102"/>
      <c r="AF83" s="220">
        <f>C83-AA83</f>
        <v>0</v>
      </c>
      <c r="AG83" s="220">
        <f>D83-AB83</f>
        <v>0</v>
      </c>
      <c r="AH83" s="220">
        <f>AF83+AG83*1.15</f>
        <v>0</v>
      </c>
      <c r="AI83" s="218">
        <f>AH83/$E$87</f>
        <v>0</v>
      </c>
      <c r="AJ83" s="102"/>
    </row>
    <row r="84" spans="1:36" s="2" customFormat="1" ht="27.6" x14ac:dyDescent="0.25">
      <c r="A84" s="11"/>
      <c r="B84" s="37" t="s">
        <v>50</v>
      </c>
      <c r="C84" s="149">
        <f>C82-C83</f>
        <v>1653399.4626357432</v>
      </c>
      <c r="D84" s="149">
        <f>D82-D83</f>
        <v>-980031.28272772685</v>
      </c>
      <c r="E84" s="150">
        <f>E82-E83</f>
        <v>673368.17990801658</v>
      </c>
      <c r="F84" s="175"/>
      <c r="G84" s="72">
        <f>G82-G83</f>
        <v>-359488.6719999999</v>
      </c>
      <c r="H84" s="72">
        <f>H82-H83</f>
        <v>673235.28999999992</v>
      </c>
      <c r="I84" s="73">
        <f>I82-I83</f>
        <v>313746.61800000025</v>
      </c>
      <c r="J84" s="200"/>
      <c r="K84" s="257"/>
      <c r="L84" s="72">
        <f>L82-L83</f>
        <v>-116844.7</v>
      </c>
      <c r="M84" s="72">
        <f>M82-M83</f>
        <v>-77479.23</v>
      </c>
      <c r="N84" s="73">
        <f>N82-N83</f>
        <v>-205160.40059855542</v>
      </c>
      <c r="O84" s="200"/>
      <c r="P84" s="257"/>
      <c r="Q84" s="72">
        <f>Q82-Q83</f>
        <v>518172.3060000001</v>
      </c>
      <c r="R84" s="72">
        <f>R82-R83</f>
        <v>-256506.95</v>
      </c>
      <c r="S84" s="73">
        <f>S82-S83</f>
        <v>261665.35600000009</v>
      </c>
      <c r="T84" s="200"/>
      <c r="U84" s="257"/>
      <c r="V84" s="72">
        <f>V82-V83</f>
        <v>1120318.7459500001</v>
      </c>
      <c r="W84" s="72">
        <f>W82-W83</f>
        <v>-283214.21999999997</v>
      </c>
      <c r="X84" s="73">
        <f>X82-X83</f>
        <v>832702.77595000004</v>
      </c>
      <c r="Y84" s="200"/>
      <c r="Z84" s="257"/>
      <c r="AA84" s="149">
        <f>AA82-AA83</f>
        <v>1162157.6799500007</v>
      </c>
      <c r="AB84" s="149">
        <f>AB82-AB83</f>
        <v>56034.889999999956</v>
      </c>
      <c r="AC84" s="150">
        <f>AC82-AC83</f>
        <v>1045097.8034500014</v>
      </c>
      <c r="AD84" s="73"/>
      <c r="AE84" s="73"/>
      <c r="AF84" s="72">
        <f>AF82-AF83</f>
        <v>491241.78268574236</v>
      </c>
      <c r="AG84" s="72">
        <f>AG82-AG83</f>
        <v>-1036066.1727277266</v>
      </c>
      <c r="AH84" s="73">
        <f>AH82-AH83</f>
        <v>-518734.31595114351</v>
      </c>
      <c r="AI84" s="73"/>
      <c r="AJ84" s="73"/>
    </row>
    <row r="85" spans="1:36" s="2" customFormat="1" ht="14.4" thickBot="1" x14ac:dyDescent="0.3">
      <c r="A85" s="231"/>
      <c r="B85" s="29" t="s">
        <v>51</v>
      </c>
      <c r="C85" s="155">
        <f>C84/C5</f>
        <v>0.54275994230596603</v>
      </c>
      <c r="D85" s="151" t="e">
        <f>D84/D5</f>
        <v>#DIV/0!</v>
      </c>
      <c r="E85" s="156">
        <f>E84/E5</f>
        <v>0.22104596181187092</v>
      </c>
      <c r="F85" s="176"/>
      <c r="G85" s="74">
        <f>G84/G5</f>
        <v>-0.42714042892619108</v>
      </c>
      <c r="H85" s="74">
        <f>H84/H5</f>
        <v>0.55639280165289251</v>
      </c>
      <c r="I85" s="75">
        <f>I84/I5</f>
        <v>0.15292650081589798</v>
      </c>
      <c r="J85" s="201"/>
      <c r="K85" s="258"/>
      <c r="L85" s="74" t="e">
        <f>L84/L5</f>
        <v>#DIV/0!</v>
      </c>
      <c r="M85" s="74" t="e">
        <f>M84/M5</f>
        <v>#DIV/0!</v>
      </c>
      <c r="N85" s="75" t="e">
        <f>N84/N5</f>
        <v>#DIV/0!</v>
      </c>
      <c r="O85" s="201"/>
      <c r="P85" s="258"/>
      <c r="Q85" s="74">
        <f>Q84/Q5</f>
        <v>0.51612674602873188</v>
      </c>
      <c r="R85" s="74" t="e">
        <f>R84/R5</f>
        <v>#DIV/0!</v>
      </c>
      <c r="S85" s="75">
        <f>S84/S5</f>
        <v>0.26063239423823958</v>
      </c>
      <c r="T85" s="201"/>
      <c r="U85" s="258"/>
      <c r="V85" s="74">
        <f>V84/V5</f>
        <v>0.618564287200153</v>
      </c>
      <c r="W85" s="74" t="e">
        <f>W84/W5</f>
        <v>#DIV/0!</v>
      </c>
      <c r="X85" s="75">
        <f>X84/X5</f>
        <v>0.45976218903516275</v>
      </c>
      <c r="Y85" s="201"/>
      <c r="Z85" s="258"/>
      <c r="AA85" s="155">
        <f>AA84/AA5</f>
        <v>0.31781249008423534</v>
      </c>
      <c r="AB85" s="151">
        <f>AB84/AB5</f>
        <v>4.6309826446280955E-2</v>
      </c>
      <c r="AC85" s="156">
        <f>AC84/AC5</f>
        <v>0.21474288329113209</v>
      </c>
      <c r="AD85" s="75"/>
      <c r="AE85" s="75"/>
      <c r="AF85" s="74">
        <f>AF84/AF5</f>
        <v>-0.8047091378462411</v>
      </c>
      <c r="AG85" s="74">
        <f>AG84/AG5</f>
        <v>0.85625303531217078</v>
      </c>
      <c r="AH85" s="75">
        <f>AH84/AH5</f>
        <v>0.2849470216528236</v>
      </c>
      <c r="AI85" s="75"/>
      <c r="AJ85" s="75"/>
    </row>
    <row r="86" spans="1:36" ht="13.8" x14ac:dyDescent="0.25">
      <c r="A86" s="30"/>
      <c r="B86" s="30"/>
      <c r="C86" s="152"/>
      <c r="D86" s="152"/>
      <c r="E86" s="152"/>
      <c r="F86" s="188"/>
      <c r="G86" s="76"/>
      <c r="H86" s="76"/>
      <c r="I86" s="76"/>
      <c r="J86" s="208"/>
      <c r="K86" s="208"/>
      <c r="L86" s="76"/>
      <c r="M86" s="76"/>
      <c r="N86" s="76"/>
      <c r="O86" s="208"/>
      <c r="P86" s="208"/>
      <c r="Q86" s="76"/>
      <c r="R86" s="76"/>
      <c r="S86" s="76"/>
      <c r="T86" s="208"/>
      <c r="U86" s="208"/>
      <c r="V86" s="76"/>
      <c r="W86" s="76"/>
      <c r="X86" s="76"/>
      <c r="Y86" s="208"/>
      <c r="Z86" s="208"/>
      <c r="AA86" s="76"/>
      <c r="AB86" s="76"/>
      <c r="AC86" s="76"/>
      <c r="AD86" s="76"/>
      <c r="AE86" s="76"/>
      <c r="AF86" s="76"/>
      <c r="AG86" s="76"/>
      <c r="AH86" s="76"/>
      <c r="AI86" s="76"/>
      <c r="AJ86" s="76"/>
    </row>
    <row r="87" spans="1:36" x14ac:dyDescent="0.25">
      <c r="B87" s="221" t="s">
        <v>56</v>
      </c>
      <c r="C87" s="153"/>
      <c r="D87" s="153"/>
      <c r="E87" s="154">
        <f>E8+E34+E39+E48+E52+E71+E77+E80+E83</f>
        <v>2372913.1200919836</v>
      </c>
      <c r="F87" s="189"/>
      <c r="I87" s="154">
        <f>I8+I34+I39+I48+I52+I71+I77+I80+I83</f>
        <v>1737870.4419999998</v>
      </c>
      <c r="N87" s="154">
        <f>N8+N34+N39+N48+N52+N71+N77+N80+N83</f>
        <v>205160.40059855542</v>
      </c>
      <c r="S87" s="154">
        <f>S8+S34+S39+S48+S52+S71+S77+S80+S83</f>
        <v>742297.93399999989</v>
      </c>
      <c r="X87" s="154">
        <f>X8+X34+X39+X48+X52+X71+X77+X80+X83</f>
        <v>978456.98404999997</v>
      </c>
      <c r="AC87" s="154">
        <f>AC8+AC34+AC39+AC48+AC52+AC71+AC77+AC80+AC83</f>
        <v>3821642.3065499989</v>
      </c>
      <c r="AH87" s="154">
        <f>AH8+AH34+AH39+AH48+AH52+AH71+AH77+AH80+AH83</f>
        <v>-1301724.4940488567</v>
      </c>
    </row>
    <row r="88" spans="1:36" x14ac:dyDescent="0.25">
      <c r="C88" s="153"/>
      <c r="D88" s="153"/>
      <c r="E88" s="153"/>
    </row>
    <row r="89" spans="1:36" s="2" customFormat="1" x14ac:dyDescent="0.25">
      <c r="A89" s="8"/>
      <c r="B89" s="8"/>
      <c r="C89" s="153"/>
      <c r="D89" s="153"/>
      <c r="E89" s="153"/>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row>
    <row r="90" spans="1:36" x14ac:dyDescent="0.25">
      <c r="C90" s="38"/>
      <c r="D90" s="38"/>
    </row>
    <row r="91" spans="1:36" s="2" customFormat="1" x14ac:dyDescent="0.25">
      <c r="A91" s="8"/>
      <c r="B91" s="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row>
    <row r="92" spans="1:36" s="2" customFormat="1" x14ac:dyDescent="0.25">
      <c r="A92" s="8"/>
      <c r="B92" s="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row>
    <row r="93" spans="1:36" s="2" customFormat="1" x14ac:dyDescent="0.25">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row>
    <row r="94" spans="1:36" s="2" customFormat="1" x14ac:dyDescent="0.25">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row>
    <row r="95" spans="1:36" x14ac:dyDescent="0.25">
      <c r="C95" s="38"/>
      <c r="D95" s="38"/>
    </row>
    <row r="96" spans="1:36" s="2" customFormat="1" x14ac:dyDescent="0.25">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row>
    <row r="97" spans="3:4" x14ac:dyDescent="0.25">
      <c r="C97" s="38"/>
      <c r="D97" s="38"/>
    </row>
  </sheetData>
  <mergeCells count="9">
    <mergeCell ref="A40:A46"/>
    <mergeCell ref="A2:F2"/>
    <mergeCell ref="L2:O3"/>
    <mergeCell ref="AA2:AE3"/>
    <mergeCell ref="AF2:AJ3"/>
    <mergeCell ref="A3:F3"/>
    <mergeCell ref="Q2:T3"/>
    <mergeCell ref="V2:Y3"/>
    <mergeCell ref="G2:J3"/>
  </mergeCells>
  <pageMargins left="0.39370078740157483" right="0.19685039370078741" top="0.19685039370078741" bottom="0.19685039370078741" header="0.11811023622047245" footer="0.11811023622047245"/>
  <pageSetup paperSize="9" scale="13"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177D7"/>
  </sheetPr>
  <dimension ref="A1:W116"/>
  <sheetViews>
    <sheetView zoomScale="85" zoomScaleNormal="85" workbookViewId="0">
      <pane xSplit="6" ySplit="4" topLeftCell="G77" activePane="bottomRight" state="frozen"/>
      <selection pane="topRight" activeCell="G1" sqref="G1"/>
      <selection pane="bottomLeft" activeCell="A5" sqref="A5"/>
      <selection pane="bottomRight" activeCell="S86" sqref="S86"/>
    </sheetView>
  </sheetViews>
  <sheetFormatPr defaultColWidth="7.44140625" defaultRowHeight="13.2" outlineLevelRow="3" outlineLevelCol="1" x14ac:dyDescent="0.25"/>
  <cols>
    <col min="1" max="1" width="4.44140625" style="1417" customWidth="1"/>
    <col min="2" max="2" width="55" style="1417" customWidth="1"/>
    <col min="3" max="3" width="17.109375" style="1474" hidden="1" customWidth="1" outlineLevel="1"/>
    <col min="4" max="4" width="16.44140625" style="1474" hidden="1" customWidth="1" outlineLevel="1"/>
    <col min="5" max="5" width="17.109375" style="1968" hidden="1" customWidth="1" outlineLevel="1"/>
    <col min="6" max="6" width="9.5546875" style="1968" hidden="1" customWidth="1" outlineLevel="1"/>
    <col min="7" max="7" width="16.6640625" style="1968" hidden="1" customWidth="1" outlineLevel="1" collapsed="1"/>
    <col min="8" max="10" width="16.6640625" style="1968" hidden="1" customWidth="1" outlineLevel="1"/>
    <col min="11" max="11" width="22.33203125" style="1968" hidden="1" customWidth="1" outlineLevel="1"/>
    <col min="12" max="15" width="16.6640625" style="1968" hidden="1" customWidth="1" outlineLevel="1"/>
    <col min="16" max="16" width="17.88671875" style="1968" hidden="1" customWidth="1" outlineLevel="1"/>
    <col min="17" max="17" width="16.6640625" style="1968" customWidth="1" collapsed="1"/>
    <col min="18" max="21" width="16.6640625" style="1968" customWidth="1"/>
    <col min="22" max="22" width="7.88671875" style="1410" bestFit="1" customWidth="1"/>
    <col min="23" max="23" width="15.88671875" style="1410" bestFit="1" customWidth="1"/>
    <col min="24" max="16384" width="7.44140625" style="1410"/>
  </cols>
  <sheetData>
    <row r="1" spans="1:23" ht="13.8" thickBot="1" x14ac:dyDescent="0.3">
      <c r="C1" s="1968"/>
      <c r="D1" s="1968"/>
    </row>
    <row r="2" spans="1:23" ht="22.2" customHeight="1" thickBot="1" x14ac:dyDescent="0.3">
      <c r="A2" s="4016" t="s">
        <v>1929</v>
      </c>
      <c r="B2" s="4017"/>
      <c r="C2" s="4017"/>
      <c r="D2" s="4017"/>
      <c r="E2" s="4017"/>
      <c r="F2" s="4018"/>
      <c r="G2" s="4043" t="s">
        <v>1915</v>
      </c>
      <c r="H2" s="4044"/>
      <c r="I2" s="4044"/>
      <c r="J2" s="4044"/>
      <c r="K2" s="4146"/>
      <c r="L2" s="4148" t="s">
        <v>2040</v>
      </c>
      <c r="M2" s="4149"/>
      <c r="N2" s="4149"/>
      <c r="O2" s="4149"/>
      <c r="P2" s="4150"/>
      <c r="Q2" s="4089" t="s">
        <v>469</v>
      </c>
      <c r="R2" s="4090"/>
      <c r="S2" s="4090"/>
      <c r="T2" s="4090"/>
      <c r="U2" s="4091"/>
    </row>
    <row r="3" spans="1:23" ht="14.4" customHeight="1" thickBot="1" x14ac:dyDescent="0.3">
      <c r="A3" s="4016" t="s">
        <v>54</v>
      </c>
      <c r="B3" s="4017"/>
      <c r="C3" s="4017"/>
      <c r="D3" s="4017"/>
      <c r="E3" s="4017"/>
      <c r="F3" s="4018"/>
      <c r="G3" s="4045"/>
      <c r="H3" s="4046"/>
      <c r="I3" s="4046"/>
      <c r="J3" s="4046"/>
      <c r="K3" s="4147"/>
      <c r="L3" s="4151"/>
      <c r="M3" s="4152"/>
      <c r="N3" s="4152"/>
      <c r="O3" s="4152"/>
      <c r="P3" s="4153"/>
      <c r="Q3" s="4092"/>
      <c r="R3" s="4093"/>
      <c r="S3" s="4093"/>
      <c r="T3" s="4093"/>
      <c r="U3" s="4094"/>
    </row>
    <row r="4" spans="1:23" ht="41.4" thickBot="1" x14ac:dyDescent="0.3">
      <c r="A4" s="1486"/>
      <c r="B4" s="1489" t="s">
        <v>11</v>
      </c>
      <c r="C4" s="1588" t="s">
        <v>55</v>
      </c>
      <c r="D4" s="1588" t="s">
        <v>18</v>
      </c>
      <c r="E4" s="1589" t="s">
        <v>39</v>
      </c>
      <c r="F4" s="1978" t="s">
        <v>40</v>
      </c>
      <c r="G4" s="1972" t="s">
        <v>55</v>
      </c>
      <c r="H4" s="1972" t="s">
        <v>18</v>
      </c>
      <c r="I4" s="1489" t="s">
        <v>39</v>
      </c>
      <c r="J4" s="1978" t="s">
        <v>40</v>
      </c>
      <c r="K4" s="1489" t="s">
        <v>19</v>
      </c>
      <c r="L4" s="1972" t="s">
        <v>55</v>
      </c>
      <c r="M4" s="1972" t="s">
        <v>18</v>
      </c>
      <c r="N4" s="1489" t="s">
        <v>39</v>
      </c>
      <c r="O4" s="1978" t="s">
        <v>40</v>
      </c>
      <c r="P4" s="1489" t="s">
        <v>19</v>
      </c>
      <c r="Q4" s="1972" t="s">
        <v>55</v>
      </c>
      <c r="R4" s="1972" t="s">
        <v>18</v>
      </c>
      <c r="S4" s="1489" t="s">
        <v>39</v>
      </c>
      <c r="T4" s="1978" t="s">
        <v>40</v>
      </c>
      <c r="U4" s="1489" t="s">
        <v>19</v>
      </c>
    </row>
    <row r="5" spans="1:23" s="2483" customFormat="1" ht="24.6" customHeight="1" thickBot="1" x14ac:dyDescent="0.3">
      <c r="A5" s="1477"/>
      <c r="B5" s="977" t="s">
        <v>10</v>
      </c>
      <c r="C5" s="1479">
        <f>C6</f>
        <v>0</v>
      </c>
      <c r="D5" s="1479">
        <f>D6</f>
        <v>0</v>
      </c>
      <c r="E5" s="1971">
        <f>E6</f>
        <v>0</v>
      </c>
      <c r="F5" s="1481"/>
      <c r="G5" s="1971">
        <f>G6</f>
        <v>0</v>
      </c>
      <c r="H5" s="1481">
        <f>H6</f>
        <v>0</v>
      </c>
      <c r="I5" s="1481">
        <f>I6</f>
        <v>0</v>
      </c>
      <c r="J5" s="1481"/>
      <c r="K5" s="1481"/>
      <c r="L5" s="1971">
        <f>SUM(L6:L7)</f>
        <v>277178.11</v>
      </c>
      <c r="M5" s="1971">
        <f>SUM(M6:M7)</f>
        <v>0</v>
      </c>
      <c r="N5" s="1971">
        <f>SUM(N6:N7)</f>
        <v>277178.11</v>
      </c>
      <c r="O5" s="1481"/>
      <c r="P5" s="1481"/>
      <c r="Q5" s="1481">
        <f>Q6+Q7</f>
        <v>277178.11</v>
      </c>
      <c r="R5" s="1481">
        <f>R6+R7</f>
        <v>0</v>
      </c>
      <c r="S5" s="1481">
        <f>S6+S7</f>
        <v>277178.11</v>
      </c>
      <c r="T5" s="1481"/>
      <c r="U5" s="1481"/>
    </row>
    <row r="6" spans="1:23" s="1411" customFormat="1" ht="24.6" customHeight="1" outlineLevel="1" x14ac:dyDescent="0.25">
      <c r="A6" s="1587"/>
      <c r="B6" s="1439" t="s">
        <v>17</v>
      </c>
      <c r="C6" s="1990"/>
      <c r="D6" s="2027"/>
      <c r="E6" s="2028">
        <f>C6+D6</f>
        <v>0</v>
      </c>
      <c r="F6" s="2059"/>
      <c r="G6" s="2067"/>
      <c r="H6" s="2059"/>
      <c r="I6" s="2028">
        <f>G6+H6</f>
        <v>0</v>
      </c>
      <c r="J6" s="2059"/>
      <c r="K6" s="2059" t="s">
        <v>1930</v>
      </c>
      <c r="L6" s="2067">
        <v>277178.11</v>
      </c>
      <c r="M6" s="2059"/>
      <c r="N6" s="2028">
        <f>L6+M6</f>
        <v>277178.11</v>
      </c>
      <c r="O6" s="2059"/>
      <c r="P6" s="2062" t="s">
        <v>1930</v>
      </c>
      <c r="Q6" s="2059">
        <f>G6+L6</f>
        <v>277178.11</v>
      </c>
      <c r="R6" s="2059">
        <f>H6+M6</f>
        <v>0</v>
      </c>
      <c r="S6" s="2028">
        <f>Q6+R6</f>
        <v>277178.11</v>
      </c>
      <c r="T6" s="2059"/>
      <c r="U6" s="2059"/>
    </row>
    <row r="7" spans="1:23" s="1411" customFormat="1" ht="24.6" customHeight="1" outlineLevel="1" collapsed="1" thickBot="1" x14ac:dyDescent="0.3">
      <c r="A7" s="1587"/>
      <c r="B7" s="2606" t="s">
        <v>41</v>
      </c>
      <c r="C7" s="2495"/>
      <c r="D7" s="2496"/>
      <c r="E7" s="2028">
        <f>C7+D7</f>
        <v>0</v>
      </c>
      <c r="F7" s="1921"/>
      <c r="G7" s="2067"/>
      <c r="H7" s="2059"/>
      <c r="I7" s="2028">
        <f>G7+H7</f>
        <v>0</v>
      </c>
      <c r="J7" s="1921"/>
      <c r="K7" s="1922"/>
      <c r="L7" s="2067"/>
      <c r="M7" s="2059"/>
      <c r="N7" s="2028">
        <f>L7+M7</f>
        <v>0</v>
      </c>
      <c r="O7" s="1921"/>
      <c r="P7" s="2071"/>
      <c r="Q7" s="2059">
        <f>G7+L7</f>
        <v>0</v>
      </c>
      <c r="R7" s="2059">
        <f>H7+M7</f>
        <v>0</v>
      </c>
      <c r="S7" s="2028">
        <f>Q7+R7</f>
        <v>0</v>
      </c>
      <c r="T7" s="1921"/>
      <c r="U7" s="1921"/>
    </row>
    <row r="8" spans="1:23" s="2483" customFormat="1" ht="24.6" customHeight="1" thickBot="1" x14ac:dyDescent="0.3">
      <c r="A8" s="1587"/>
      <c r="B8" s="977" t="s">
        <v>16</v>
      </c>
      <c r="C8" s="1973">
        <f>SUM(C9:C33)</f>
        <v>0</v>
      </c>
      <c r="D8" s="1973">
        <f>SUM(D9:D33)</f>
        <v>0</v>
      </c>
      <c r="E8" s="1499">
        <f>SUM(E9:E33)</f>
        <v>0</v>
      </c>
      <c r="F8" s="1543" t="e">
        <f t="shared" ref="F8:F33" si="0">E8/$E$89</f>
        <v>#DIV/0!</v>
      </c>
      <c r="G8" s="1973">
        <f>SUM(G9:G33)</f>
        <v>37527.199999999997</v>
      </c>
      <c r="H8" s="1973">
        <f>SUM(H9:H33)</f>
        <v>0</v>
      </c>
      <c r="I8" s="1499">
        <f>SUM(I9:I33)</f>
        <v>37527.199999999997</v>
      </c>
      <c r="J8" s="1543">
        <f>I8/I$89</f>
        <v>0.9248938991388701</v>
      </c>
      <c r="K8" s="1615"/>
      <c r="L8" s="1973">
        <f>SUM(L9:L33)</f>
        <v>0</v>
      </c>
      <c r="M8" s="1973">
        <f>SUM(M9:M33)</f>
        <v>74675</v>
      </c>
      <c r="N8" s="1499">
        <f>SUM(N9:N33)</f>
        <v>74675</v>
      </c>
      <c r="O8" s="1543">
        <f>N8/N$89</f>
        <v>0.92133143527336669</v>
      </c>
      <c r="P8" s="1615"/>
      <c r="Q8" s="1973">
        <f>SUM(Q9:Q33)</f>
        <v>37527.199999999997</v>
      </c>
      <c r="R8" s="1973">
        <f>SUM(R9:R33)</f>
        <v>74675</v>
      </c>
      <c r="S8" s="1499">
        <f>SUM(S9:S33)</f>
        <v>112202.2</v>
      </c>
      <c r="T8" s="1543">
        <f>S8/$S$89</f>
        <v>0.92251988024249465</v>
      </c>
      <c r="U8" s="1481"/>
    </row>
    <row r="9" spans="1:23" s="1411" customFormat="1" ht="24.6" customHeight="1" x14ac:dyDescent="0.25">
      <c r="A9" s="1587"/>
      <c r="B9" s="1439" t="s">
        <v>74</v>
      </c>
      <c r="C9" s="1500"/>
      <c r="D9" s="1501"/>
      <c r="E9" s="2591">
        <f t="shared" ref="E9:E33" si="1">C9+D9</f>
        <v>0</v>
      </c>
      <c r="F9" s="1992" t="e">
        <f t="shared" si="0"/>
        <v>#DIV/0!</v>
      </c>
      <c r="G9" s="2067">
        <v>24761.8</v>
      </c>
      <c r="H9" s="2059"/>
      <c r="I9" s="2061">
        <f>G9+H9*1</f>
        <v>24761.8</v>
      </c>
      <c r="J9" s="2155">
        <f t="shared" ref="J9:J33" si="2">I9/I$89</f>
        <v>0.61027835148097576</v>
      </c>
      <c r="K9" s="1449"/>
      <c r="L9" s="1710"/>
      <c r="M9" s="2484"/>
      <c r="N9" s="1576">
        <f>L9+M9*1</f>
        <v>0</v>
      </c>
      <c r="O9" s="1574">
        <f t="shared" ref="O9:O33" si="3">N9/N$89</f>
        <v>0</v>
      </c>
      <c r="P9" s="1595"/>
      <c r="Q9" s="2059">
        <f t="shared" ref="Q9:Q33" si="4">G9+L9</f>
        <v>24761.8</v>
      </c>
      <c r="R9" s="2059">
        <f t="shared" ref="R9:R33" si="5">H9+M9</f>
        <v>0</v>
      </c>
      <c r="S9" s="2061">
        <f t="shared" ref="S9:S33" si="6">Q9+R9*1</f>
        <v>24761.8</v>
      </c>
      <c r="T9" s="2155">
        <f t="shared" ref="T9:T33" si="7">S9/$S$89</f>
        <v>0.20359006125181683</v>
      </c>
      <c r="U9" s="1449"/>
    </row>
    <row r="10" spans="1:23" s="1411" customFormat="1" ht="24.6" customHeight="1" x14ac:dyDescent="0.25">
      <c r="A10" s="1587"/>
      <c r="B10" s="1439" t="s">
        <v>72</v>
      </c>
      <c r="C10" s="1500"/>
      <c r="D10" s="1501"/>
      <c r="E10" s="2591">
        <f t="shared" si="1"/>
        <v>0</v>
      </c>
      <c r="F10" s="1992" t="e">
        <f t="shared" si="0"/>
        <v>#DIV/0!</v>
      </c>
      <c r="G10" s="2067">
        <v>5998.2</v>
      </c>
      <c r="H10" s="2059"/>
      <c r="I10" s="2061">
        <f t="shared" ref="I10:I33" si="8">G10+H10*1</f>
        <v>5998.2</v>
      </c>
      <c r="J10" s="2155">
        <f t="shared" si="2"/>
        <v>0.14783140191154071</v>
      </c>
      <c r="K10" s="1630"/>
      <c r="L10" s="2067"/>
      <c r="M10" s="2059"/>
      <c r="N10" s="2061">
        <f t="shared" ref="N10:N33" si="9">L10+M10*1</f>
        <v>0</v>
      </c>
      <c r="O10" s="2155">
        <f t="shared" si="3"/>
        <v>0</v>
      </c>
      <c r="P10" s="1630"/>
      <c r="Q10" s="2059">
        <f t="shared" si="4"/>
        <v>5998.2</v>
      </c>
      <c r="R10" s="2059">
        <f t="shared" si="5"/>
        <v>0</v>
      </c>
      <c r="S10" s="2061">
        <f t="shared" si="6"/>
        <v>5998.2</v>
      </c>
      <c r="T10" s="2155">
        <f t="shared" si="7"/>
        <v>4.9316847135533269E-2</v>
      </c>
      <c r="U10" s="1449"/>
    </row>
    <row r="11" spans="1:23" s="1411" customFormat="1" ht="24.6" customHeight="1" x14ac:dyDescent="0.25">
      <c r="A11" s="1587"/>
      <c r="B11" s="1439" t="s">
        <v>69</v>
      </c>
      <c r="C11" s="1500"/>
      <c r="D11" s="1501"/>
      <c r="E11" s="2591">
        <f t="shared" si="1"/>
        <v>0</v>
      </c>
      <c r="F11" s="1992" t="e">
        <f t="shared" si="0"/>
        <v>#DIV/0!</v>
      </c>
      <c r="G11" s="2067">
        <v>6767.2</v>
      </c>
      <c r="H11" s="2059"/>
      <c r="I11" s="2061">
        <f t="shared" si="8"/>
        <v>6767.2</v>
      </c>
      <c r="J11" s="2155">
        <f t="shared" si="2"/>
        <v>0.16678414574635364</v>
      </c>
      <c r="K11" s="1630"/>
      <c r="L11" s="2067"/>
      <c r="M11" s="2059"/>
      <c r="N11" s="2061">
        <f t="shared" si="9"/>
        <v>0</v>
      </c>
      <c r="O11" s="2155">
        <f t="shared" si="3"/>
        <v>0</v>
      </c>
      <c r="P11" s="1630"/>
      <c r="Q11" s="2059">
        <f t="shared" si="4"/>
        <v>6767.2</v>
      </c>
      <c r="R11" s="2059">
        <f t="shared" si="5"/>
        <v>0</v>
      </c>
      <c r="S11" s="2061">
        <f t="shared" si="6"/>
        <v>6767.2</v>
      </c>
      <c r="T11" s="2155">
        <f t="shared" si="7"/>
        <v>5.5639519845217027E-2</v>
      </c>
      <c r="U11" s="1449"/>
    </row>
    <row r="12" spans="1:23" s="1411" customFormat="1" ht="24.6" customHeight="1" x14ac:dyDescent="0.25">
      <c r="A12" s="1587"/>
      <c r="B12" s="1439" t="s">
        <v>73</v>
      </c>
      <c r="C12" s="1500"/>
      <c r="D12" s="1501"/>
      <c r="E12" s="2591">
        <f t="shared" si="1"/>
        <v>0</v>
      </c>
      <c r="F12" s="1992" t="e">
        <f t="shared" si="0"/>
        <v>#DIV/0!</v>
      </c>
      <c r="G12" s="2067"/>
      <c r="H12" s="2059"/>
      <c r="I12" s="2061">
        <f t="shared" si="8"/>
        <v>0</v>
      </c>
      <c r="J12" s="2155">
        <f t="shared" si="2"/>
        <v>0</v>
      </c>
      <c r="K12" s="2064"/>
      <c r="L12" s="2067"/>
      <c r="M12" s="2059"/>
      <c r="N12" s="2061">
        <f t="shared" si="9"/>
        <v>0</v>
      </c>
      <c r="O12" s="2155">
        <f t="shared" si="3"/>
        <v>0</v>
      </c>
      <c r="P12" s="2064"/>
      <c r="Q12" s="2059">
        <f t="shared" si="4"/>
        <v>0</v>
      </c>
      <c r="R12" s="2059">
        <f t="shared" si="5"/>
        <v>0</v>
      </c>
      <c r="S12" s="2061">
        <f t="shared" si="6"/>
        <v>0</v>
      </c>
      <c r="T12" s="2155">
        <f t="shared" si="7"/>
        <v>0</v>
      </c>
      <c r="U12" s="1449"/>
      <c r="W12" s="842"/>
    </row>
    <row r="13" spans="1:23" s="1411" customFormat="1" ht="24.6" customHeight="1" x14ac:dyDescent="0.25">
      <c r="A13" s="1587"/>
      <c r="B13" s="1439" t="s">
        <v>71</v>
      </c>
      <c r="C13" s="1500"/>
      <c r="D13" s="1501"/>
      <c r="E13" s="2591">
        <f t="shared" si="1"/>
        <v>0</v>
      </c>
      <c r="F13" s="1992" t="e">
        <f t="shared" si="0"/>
        <v>#DIV/0!</v>
      </c>
      <c r="G13" s="2067"/>
      <c r="H13" s="2059"/>
      <c r="I13" s="2061">
        <f t="shared" si="8"/>
        <v>0</v>
      </c>
      <c r="J13" s="2155">
        <f t="shared" si="2"/>
        <v>0</v>
      </c>
      <c r="K13" s="2064"/>
      <c r="L13" s="2067"/>
      <c r="M13" s="2059"/>
      <c r="N13" s="2061">
        <f t="shared" si="9"/>
        <v>0</v>
      </c>
      <c r="O13" s="2155">
        <f t="shared" si="3"/>
        <v>0</v>
      </c>
      <c r="P13" s="2064"/>
      <c r="Q13" s="2059">
        <f t="shared" si="4"/>
        <v>0</v>
      </c>
      <c r="R13" s="2059">
        <f t="shared" si="5"/>
        <v>0</v>
      </c>
      <c r="S13" s="2061">
        <f t="shared" si="6"/>
        <v>0</v>
      </c>
      <c r="T13" s="2155">
        <f t="shared" si="7"/>
        <v>0</v>
      </c>
      <c r="U13" s="1449"/>
    </row>
    <row r="14" spans="1:23" s="1411" customFormat="1" ht="24.6" customHeight="1" x14ac:dyDescent="0.25">
      <c r="A14" s="1587"/>
      <c r="B14" s="1439" t="s">
        <v>70</v>
      </c>
      <c r="C14" s="1500"/>
      <c r="D14" s="1501"/>
      <c r="E14" s="2591">
        <f t="shared" si="1"/>
        <v>0</v>
      </c>
      <c r="F14" s="1992" t="e">
        <f t="shared" si="0"/>
        <v>#DIV/0!</v>
      </c>
      <c r="G14" s="2067"/>
      <c r="H14" s="2059"/>
      <c r="I14" s="2061">
        <f t="shared" si="8"/>
        <v>0</v>
      </c>
      <c r="J14" s="2155">
        <f t="shared" si="2"/>
        <v>0</v>
      </c>
      <c r="K14" s="2064"/>
      <c r="L14" s="2067"/>
      <c r="M14" s="2059"/>
      <c r="N14" s="2061">
        <f t="shared" si="9"/>
        <v>0</v>
      </c>
      <c r="O14" s="2155">
        <f t="shared" si="3"/>
        <v>0</v>
      </c>
      <c r="P14" s="2064"/>
      <c r="Q14" s="2059">
        <f t="shared" si="4"/>
        <v>0</v>
      </c>
      <c r="R14" s="2059">
        <f t="shared" si="5"/>
        <v>0</v>
      </c>
      <c r="S14" s="2061">
        <f t="shared" si="6"/>
        <v>0</v>
      </c>
      <c r="T14" s="2155">
        <f t="shared" si="7"/>
        <v>0</v>
      </c>
      <c r="U14" s="1449"/>
    </row>
    <row r="15" spans="1:23" s="1411" customFormat="1" ht="24.6" customHeight="1" x14ac:dyDescent="0.25">
      <c r="A15" s="1587"/>
      <c r="B15" s="2577" t="s">
        <v>20</v>
      </c>
      <c r="C15" s="1500"/>
      <c r="D15" s="2578"/>
      <c r="E15" s="2591">
        <f t="shared" si="1"/>
        <v>0</v>
      </c>
      <c r="F15" s="1992" t="e">
        <f t="shared" si="0"/>
        <v>#DIV/0!</v>
      </c>
      <c r="G15" s="2067"/>
      <c r="H15" s="2059"/>
      <c r="I15" s="2061">
        <f t="shared" si="8"/>
        <v>0</v>
      </c>
      <c r="J15" s="2155">
        <f t="shared" si="2"/>
        <v>0</v>
      </c>
      <c r="K15" s="2064"/>
      <c r="L15" s="2067"/>
      <c r="M15" s="2059"/>
      <c r="N15" s="2061">
        <f t="shared" si="9"/>
        <v>0</v>
      </c>
      <c r="O15" s="2155">
        <f t="shared" si="3"/>
        <v>0</v>
      </c>
      <c r="P15" s="1630"/>
      <c r="Q15" s="2059">
        <f t="shared" si="4"/>
        <v>0</v>
      </c>
      <c r="R15" s="2059">
        <f t="shared" si="5"/>
        <v>0</v>
      </c>
      <c r="S15" s="2061">
        <f t="shared" si="6"/>
        <v>0</v>
      </c>
      <c r="T15" s="2155">
        <f t="shared" si="7"/>
        <v>0</v>
      </c>
      <c r="U15" s="1449"/>
    </row>
    <row r="16" spans="1:23" s="1411" customFormat="1" ht="24.6" customHeight="1" x14ac:dyDescent="0.25">
      <c r="A16" s="1587"/>
      <c r="B16" s="2577" t="s">
        <v>21</v>
      </c>
      <c r="C16" s="1500"/>
      <c r="D16" s="2578"/>
      <c r="E16" s="2591">
        <f t="shared" si="1"/>
        <v>0</v>
      </c>
      <c r="F16" s="1992" t="e">
        <f t="shared" si="0"/>
        <v>#DIV/0!</v>
      </c>
      <c r="G16" s="2067"/>
      <c r="H16" s="2059">
        <f>25395*0</f>
        <v>0</v>
      </c>
      <c r="I16" s="2061">
        <f t="shared" si="8"/>
        <v>0</v>
      </c>
      <c r="J16" s="2155">
        <f t="shared" si="2"/>
        <v>0</v>
      </c>
      <c r="K16" s="2062" t="s">
        <v>1931</v>
      </c>
      <c r="L16" s="2067"/>
      <c r="M16" s="2059">
        <v>66133</v>
      </c>
      <c r="N16" s="2061">
        <f t="shared" si="9"/>
        <v>66133</v>
      </c>
      <c r="O16" s="2155">
        <f t="shared" si="3"/>
        <v>0.81594123614239789</v>
      </c>
      <c r="P16" s="2062" t="s">
        <v>2082</v>
      </c>
      <c r="Q16" s="2059">
        <f t="shared" si="4"/>
        <v>0</v>
      </c>
      <c r="R16" s="2059">
        <f t="shared" si="5"/>
        <v>66133</v>
      </c>
      <c r="S16" s="2061">
        <f t="shared" si="6"/>
        <v>66133</v>
      </c>
      <c r="T16" s="2155">
        <f t="shared" si="7"/>
        <v>0.54374163109169782</v>
      </c>
      <c r="U16" s="1449"/>
    </row>
    <row r="17" spans="1:22" s="1411" customFormat="1" ht="24.6" customHeight="1" x14ac:dyDescent="0.25">
      <c r="A17" s="1587"/>
      <c r="B17" s="2577" t="s">
        <v>22</v>
      </c>
      <c r="C17" s="1500"/>
      <c r="D17" s="2578"/>
      <c r="E17" s="2591">
        <f t="shared" si="1"/>
        <v>0</v>
      </c>
      <c r="F17" s="1992" t="e">
        <f t="shared" si="0"/>
        <v>#DIV/0!</v>
      </c>
      <c r="G17" s="2067"/>
      <c r="H17" s="2059"/>
      <c r="I17" s="2061">
        <f t="shared" si="8"/>
        <v>0</v>
      </c>
      <c r="J17" s="2155">
        <f t="shared" si="2"/>
        <v>0</v>
      </c>
      <c r="K17" s="2064"/>
      <c r="L17" s="2067"/>
      <c r="M17" s="2059"/>
      <c r="N17" s="2061">
        <f t="shared" si="9"/>
        <v>0</v>
      </c>
      <c r="O17" s="2155">
        <f t="shared" si="3"/>
        <v>0</v>
      </c>
      <c r="P17" s="2064"/>
      <c r="Q17" s="2059">
        <f t="shared" si="4"/>
        <v>0</v>
      </c>
      <c r="R17" s="2059">
        <f t="shared" si="5"/>
        <v>0</v>
      </c>
      <c r="S17" s="2061">
        <f t="shared" si="6"/>
        <v>0</v>
      </c>
      <c r="T17" s="2155">
        <f t="shared" si="7"/>
        <v>0</v>
      </c>
      <c r="U17" s="1449"/>
    </row>
    <row r="18" spans="1:22" s="1411" customFormat="1" ht="24.6" customHeight="1" x14ac:dyDescent="0.25">
      <c r="A18" s="1587"/>
      <c r="B18" s="2577" t="s">
        <v>0</v>
      </c>
      <c r="C18" s="1500"/>
      <c r="D18" s="2578"/>
      <c r="E18" s="2591">
        <f t="shared" si="1"/>
        <v>0</v>
      </c>
      <c r="F18" s="1992" t="e">
        <f t="shared" si="0"/>
        <v>#DIV/0!</v>
      </c>
      <c r="G18" s="2067"/>
      <c r="H18" s="2059"/>
      <c r="I18" s="2061">
        <f t="shared" si="8"/>
        <v>0</v>
      </c>
      <c r="J18" s="2155">
        <f t="shared" si="2"/>
        <v>0</v>
      </c>
      <c r="K18" s="2062"/>
      <c r="L18" s="1633"/>
      <c r="M18" s="2059"/>
      <c r="N18" s="2061">
        <f t="shared" si="9"/>
        <v>0</v>
      </c>
      <c r="O18" s="2155">
        <f t="shared" si="3"/>
        <v>0</v>
      </c>
      <c r="P18" s="2071"/>
      <c r="Q18" s="2059">
        <f t="shared" si="4"/>
        <v>0</v>
      </c>
      <c r="R18" s="2059">
        <f t="shared" si="5"/>
        <v>0</v>
      </c>
      <c r="S18" s="2061">
        <f t="shared" si="6"/>
        <v>0</v>
      </c>
      <c r="T18" s="2155">
        <f t="shared" si="7"/>
        <v>0</v>
      </c>
      <c r="U18" s="1449"/>
    </row>
    <row r="19" spans="1:22" s="1411" customFormat="1" ht="24.6" customHeight="1" x14ac:dyDescent="0.25">
      <c r="A19" s="1587"/>
      <c r="B19" s="2577" t="s">
        <v>53</v>
      </c>
      <c r="C19" s="2156"/>
      <c r="D19" s="2578"/>
      <c r="E19" s="2591">
        <f t="shared" si="1"/>
        <v>0</v>
      </c>
      <c r="F19" s="1992" t="e">
        <f t="shared" si="0"/>
        <v>#DIV/0!</v>
      </c>
      <c r="G19" s="2067"/>
      <c r="H19" s="2059"/>
      <c r="I19" s="2061">
        <f t="shared" si="8"/>
        <v>0</v>
      </c>
      <c r="J19" s="2155">
        <f t="shared" si="2"/>
        <v>0</v>
      </c>
      <c r="K19" s="2064"/>
      <c r="L19" s="2067"/>
      <c r="M19" s="2059"/>
      <c r="N19" s="2061">
        <f t="shared" si="9"/>
        <v>0</v>
      </c>
      <c r="O19" s="2155">
        <f t="shared" si="3"/>
        <v>0</v>
      </c>
      <c r="P19" s="2064"/>
      <c r="Q19" s="2059">
        <f t="shared" si="4"/>
        <v>0</v>
      </c>
      <c r="R19" s="2059">
        <f t="shared" si="5"/>
        <v>0</v>
      </c>
      <c r="S19" s="2061">
        <f t="shared" si="6"/>
        <v>0</v>
      </c>
      <c r="T19" s="2155">
        <f t="shared" si="7"/>
        <v>0</v>
      </c>
      <c r="U19" s="1449"/>
    </row>
    <row r="20" spans="1:22" s="1411" customFormat="1" ht="24.6" customHeight="1" x14ac:dyDescent="0.25">
      <c r="A20" s="1587"/>
      <c r="B20" s="2577" t="s">
        <v>57</v>
      </c>
      <c r="C20" s="2156"/>
      <c r="D20" s="2578"/>
      <c r="E20" s="2591">
        <f t="shared" si="1"/>
        <v>0</v>
      </c>
      <c r="F20" s="1992" t="e">
        <f t="shared" si="0"/>
        <v>#DIV/0!</v>
      </c>
      <c r="G20" s="2067"/>
      <c r="H20" s="2059"/>
      <c r="I20" s="2061">
        <f t="shared" si="8"/>
        <v>0</v>
      </c>
      <c r="J20" s="2155">
        <f t="shared" si="2"/>
        <v>0</v>
      </c>
      <c r="K20" s="2064"/>
      <c r="L20" s="2067"/>
      <c r="M20" s="2059"/>
      <c r="N20" s="2061">
        <f t="shared" si="9"/>
        <v>0</v>
      </c>
      <c r="O20" s="2155">
        <f t="shared" si="3"/>
        <v>0</v>
      </c>
      <c r="P20" s="2064"/>
      <c r="Q20" s="2059">
        <f t="shared" si="4"/>
        <v>0</v>
      </c>
      <c r="R20" s="2059">
        <f t="shared" si="5"/>
        <v>0</v>
      </c>
      <c r="S20" s="2061">
        <f t="shared" si="6"/>
        <v>0</v>
      </c>
      <c r="T20" s="2155">
        <f t="shared" si="7"/>
        <v>0</v>
      </c>
      <c r="U20" s="1449"/>
    </row>
    <row r="21" spans="1:22" s="1411" customFormat="1" ht="24.6" customHeight="1" x14ac:dyDescent="0.25">
      <c r="A21" s="1587"/>
      <c r="B21" s="2577" t="s">
        <v>58</v>
      </c>
      <c r="C21" s="2156"/>
      <c r="D21" s="2578"/>
      <c r="E21" s="2591">
        <f t="shared" si="1"/>
        <v>0</v>
      </c>
      <c r="F21" s="1992" t="e">
        <f t="shared" si="0"/>
        <v>#DIV/0!</v>
      </c>
      <c r="G21" s="2067"/>
      <c r="H21" s="2059"/>
      <c r="I21" s="2061">
        <f t="shared" si="8"/>
        <v>0</v>
      </c>
      <c r="J21" s="2155">
        <f t="shared" si="2"/>
        <v>0</v>
      </c>
      <c r="K21" s="2062"/>
      <c r="L21" s="2067"/>
      <c r="M21" s="2059"/>
      <c r="N21" s="2061">
        <f t="shared" si="9"/>
        <v>0</v>
      </c>
      <c r="O21" s="2155">
        <f t="shared" si="3"/>
        <v>0</v>
      </c>
      <c r="P21" s="2064"/>
      <c r="Q21" s="2059">
        <f t="shared" si="4"/>
        <v>0</v>
      </c>
      <c r="R21" s="2059">
        <f t="shared" si="5"/>
        <v>0</v>
      </c>
      <c r="S21" s="2061">
        <f t="shared" si="6"/>
        <v>0</v>
      </c>
      <c r="T21" s="2155">
        <f t="shared" si="7"/>
        <v>0</v>
      </c>
      <c r="U21" s="1449"/>
    </row>
    <row r="22" spans="1:22" s="1411" customFormat="1" ht="24.6" customHeight="1" x14ac:dyDescent="0.25">
      <c r="A22" s="1587"/>
      <c r="B22" s="2577" t="s">
        <v>621</v>
      </c>
      <c r="C22" s="2156"/>
      <c r="D22" s="2578"/>
      <c r="E22" s="2591">
        <f t="shared" si="1"/>
        <v>0</v>
      </c>
      <c r="F22" s="1992" t="e">
        <f t="shared" si="0"/>
        <v>#DIV/0!</v>
      </c>
      <c r="G22" s="2067"/>
      <c r="H22" s="2059"/>
      <c r="I22" s="2061">
        <f t="shared" si="8"/>
        <v>0</v>
      </c>
      <c r="J22" s="2155">
        <f t="shared" si="2"/>
        <v>0</v>
      </c>
      <c r="K22" s="2064"/>
      <c r="L22" s="2067"/>
      <c r="M22" s="2059"/>
      <c r="N22" s="2061">
        <f t="shared" si="9"/>
        <v>0</v>
      </c>
      <c r="O22" s="2155">
        <f t="shared" si="3"/>
        <v>0</v>
      </c>
      <c r="P22" s="2064"/>
      <c r="Q22" s="2059">
        <f t="shared" si="4"/>
        <v>0</v>
      </c>
      <c r="R22" s="2059">
        <f t="shared" si="5"/>
        <v>0</v>
      </c>
      <c r="S22" s="2061">
        <f t="shared" si="6"/>
        <v>0</v>
      </c>
      <c r="T22" s="2155">
        <f t="shared" si="7"/>
        <v>0</v>
      </c>
      <c r="U22" s="1449"/>
    </row>
    <row r="23" spans="1:22" s="1411" customFormat="1" ht="24.6" customHeight="1" x14ac:dyDescent="0.25">
      <c r="A23" s="1587"/>
      <c r="B23" s="2577" t="s">
        <v>630</v>
      </c>
      <c r="C23" s="2156"/>
      <c r="D23" s="2578"/>
      <c r="E23" s="2591">
        <f t="shared" si="1"/>
        <v>0</v>
      </c>
      <c r="F23" s="1992" t="e">
        <f t="shared" si="0"/>
        <v>#DIV/0!</v>
      </c>
      <c r="G23" s="2067"/>
      <c r="H23" s="2059"/>
      <c r="I23" s="2061">
        <f t="shared" si="8"/>
        <v>0</v>
      </c>
      <c r="J23" s="2155">
        <f t="shared" si="2"/>
        <v>0</v>
      </c>
      <c r="K23" s="2064"/>
      <c r="L23" s="2067"/>
      <c r="M23" s="2059"/>
      <c r="N23" s="2061">
        <f t="shared" si="9"/>
        <v>0</v>
      </c>
      <c r="O23" s="2155">
        <f t="shared" si="3"/>
        <v>0</v>
      </c>
      <c r="P23" s="2064"/>
      <c r="Q23" s="2059">
        <f t="shared" si="4"/>
        <v>0</v>
      </c>
      <c r="R23" s="2059">
        <f t="shared" si="5"/>
        <v>0</v>
      </c>
      <c r="S23" s="2061">
        <f t="shared" si="6"/>
        <v>0</v>
      </c>
      <c r="T23" s="2155">
        <f t="shared" si="7"/>
        <v>0</v>
      </c>
      <c r="U23" s="1449"/>
    </row>
    <row r="24" spans="1:22" s="1411" customFormat="1" ht="24.6" customHeight="1" x14ac:dyDescent="0.25">
      <c r="A24" s="1587"/>
      <c r="B24" s="2577" t="s">
        <v>23</v>
      </c>
      <c r="C24" s="2156"/>
      <c r="D24" s="2578"/>
      <c r="E24" s="2591">
        <f t="shared" si="1"/>
        <v>0</v>
      </c>
      <c r="F24" s="1992" t="e">
        <f t="shared" si="0"/>
        <v>#DIV/0!</v>
      </c>
      <c r="G24" s="2067"/>
      <c r="H24" s="2059"/>
      <c r="I24" s="2061">
        <f t="shared" si="8"/>
        <v>0</v>
      </c>
      <c r="J24" s="2155">
        <f t="shared" si="2"/>
        <v>0</v>
      </c>
      <c r="K24" s="2064"/>
      <c r="L24" s="2067"/>
      <c r="M24" s="2059"/>
      <c r="N24" s="2061">
        <f t="shared" si="9"/>
        <v>0</v>
      </c>
      <c r="O24" s="2155">
        <f t="shared" si="3"/>
        <v>0</v>
      </c>
      <c r="P24" s="2062"/>
      <c r="Q24" s="2059">
        <f t="shared" si="4"/>
        <v>0</v>
      </c>
      <c r="R24" s="2059">
        <f t="shared" si="5"/>
        <v>0</v>
      </c>
      <c r="S24" s="2061">
        <f t="shared" si="6"/>
        <v>0</v>
      </c>
      <c r="T24" s="2155">
        <f t="shared" si="7"/>
        <v>0</v>
      </c>
      <c r="U24" s="1449"/>
    </row>
    <row r="25" spans="1:22" s="1411" customFormat="1" ht="24.6" customHeight="1" x14ac:dyDescent="0.25">
      <c r="A25" s="1587"/>
      <c r="B25" s="2577" t="s">
        <v>24</v>
      </c>
      <c r="C25" s="2156"/>
      <c r="D25" s="2578"/>
      <c r="E25" s="2591">
        <f t="shared" si="1"/>
        <v>0</v>
      </c>
      <c r="F25" s="1992" t="e">
        <f t="shared" si="0"/>
        <v>#DIV/0!</v>
      </c>
      <c r="G25" s="2067"/>
      <c r="H25" s="2059"/>
      <c r="I25" s="2061">
        <f t="shared" si="8"/>
        <v>0</v>
      </c>
      <c r="J25" s="2155">
        <f t="shared" si="2"/>
        <v>0</v>
      </c>
      <c r="K25" s="2062"/>
      <c r="L25" s="2067"/>
      <c r="M25" s="2059"/>
      <c r="N25" s="2061">
        <f t="shared" si="9"/>
        <v>0</v>
      </c>
      <c r="O25" s="2155">
        <f t="shared" si="3"/>
        <v>0</v>
      </c>
      <c r="P25" s="2062"/>
      <c r="Q25" s="2059">
        <f t="shared" si="4"/>
        <v>0</v>
      </c>
      <c r="R25" s="2059">
        <f t="shared" si="5"/>
        <v>0</v>
      </c>
      <c r="S25" s="2061">
        <f t="shared" si="6"/>
        <v>0</v>
      </c>
      <c r="T25" s="2155">
        <f t="shared" si="7"/>
        <v>0</v>
      </c>
      <c r="U25" s="1449"/>
    </row>
    <row r="26" spans="1:22" s="1411" customFormat="1" ht="24.6" customHeight="1" x14ac:dyDescent="0.25">
      <c r="A26" s="1587"/>
      <c r="B26" s="2577" t="s">
        <v>45</v>
      </c>
      <c r="C26" s="2156"/>
      <c r="D26" s="2578"/>
      <c r="E26" s="2591">
        <f t="shared" si="1"/>
        <v>0</v>
      </c>
      <c r="F26" s="1992" t="e">
        <f t="shared" si="0"/>
        <v>#DIV/0!</v>
      </c>
      <c r="G26" s="2067"/>
      <c r="H26" s="2059"/>
      <c r="I26" s="2061">
        <f t="shared" si="8"/>
        <v>0</v>
      </c>
      <c r="J26" s="2155">
        <f t="shared" si="2"/>
        <v>0</v>
      </c>
      <c r="K26" s="2064"/>
      <c r="L26" s="2067"/>
      <c r="M26" s="2059"/>
      <c r="N26" s="2061">
        <f t="shared" si="9"/>
        <v>0</v>
      </c>
      <c r="O26" s="2155">
        <f t="shared" si="3"/>
        <v>0</v>
      </c>
      <c r="P26" s="2064"/>
      <c r="Q26" s="2059">
        <f t="shared" si="4"/>
        <v>0</v>
      </c>
      <c r="R26" s="2059">
        <f t="shared" si="5"/>
        <v>0</v>
      </c>
      <c r="S26" s="2061">
        <f t="shared" si="6"/>
        <v>0</v>
      </c>
      <c r="T26" s="2155">
        <f t="shared" si="7"/>
        <v>0</v>
      </c>
      <c r="U26" s="1449"/>
    </row>
    <row r="27" spans="1:22" s="1411" customFormat="1" ht="24.6" customHeight="1" x14ac:dyDescent="0.25">
      <c r="A27" s="1587"/>
      <c r="B27" s="2577" t="s">
        <v>25</v>
      </c>
      <c r="C27" s="2156"/>
      <c r="D27" s="2578"/>
      <c r="E27" s="2591">
        <f t="shared" si="1"/>
        <v>0</v>
      </c>
      <c r="F27" s="1992" t="e">
        <f t="shared" si="0"/>
        <v>#DIV/0!</v>
      </c>
      <c r="G27" s="2067"/>
      <c r="H27" s="2059"/>
      <c r="I27" s="2061">
        <f t="shared" si="8"/>
        <v>0</v>
      </c>
      <c r="J27" s="2155">
        <f t="shared" si="2"/>
        <v>0</v>
      </c>
      <c r="K27" s="2062"/>
      <c r="L27" s="2067"/>
      <c r="M27" s="2059"/>
      <c r="N27" s="2061">
        <f t="shared" si="9"/>
        <v>0</v>
      </c>
      <c r="O27" s="2155">
        <f t="shared" si="3"/>
        <v>0</v>
      </c>
      <c r="P27" s="2062"/>
      <c r="Q27" s="2059">
        <f t="shared" si="4"/>
        <v>0</v>
      </c>
      <c r="R27" s="2059">
        <f t="shared" si="5"/>
        <v>0</v>
      </c>
      <c r="S27" s="2061">
        <f t="shared" si="6"/>
        <v>0</v>
      </c>
      <c r="T27" s="2155">
        <f t="shared" si="7"/>
        <v>0</v>
      </c>
      <c r="U27" s="1449"/>
    </row>
    <row r="28" spans="1:22" s="1411" customFormat="1" ht="24.6" customHeight="1" x14ac:dyDescent="0.25">
      <c r="A28" s="1587"/>
      <c r="B28" s="2577" t="s">
        <v>52</v>
      </c>
      <c r="C28" s="2156"/>
      <c r="D28" s="2578"/>
      <c r="E28" s="2591">
        <f t="shared" si="1"/>
        <v>0</v>
      </c>
      <c r="F28" s="1992" t="e">
        <f t="shared" si="0"/>
        <v>#DIV/0!</v>
      </c>
      <c r="G28" s="2067"/>
      <c r="H28" s="2059"/>
      <c r="I28" s="2061">
        <f t="shared" si="8"/>
        <v>0</v>
      </c>
      <c r="J28" s="2155">
        <f t="shared" si="2"/>
        <v>0</v>
      </c>
      <c r="K28" s="2062"/>
      <c r="L28" s="2067"/>
      <c r="M28" s="2059"/>
      <c r="N28" s="2061">
        <f t="shared" si="9"/>
        <v>0</v>
      </c>
      <c r="O28" s="2155">
        <f t="shared" si="3"/>
        <v>0</v>
      </c>
      <c r="P28" s="2062"/>
      <c r="Q28" s="2059">
        <f t="shared" si="4"/>
        <v>0</v>
      </c>
      <c r="R28" s="2059">
        <f t="shared" si="5"/>
        <v>0</v>
      </c>
      <c r="S28" s="2061">
        <f>Q28+R28*1</f>
        <v>0</v>
      </c>
      <c r="T28" s="2155">
        <f t="shared" si="7"/>
        <v>0</v>
      </c>
      <c r="U28" s="1449"/>
      <c r="V28" s="1680"/>
    </row>
    <row r="29" spans="1:22" s="1411" customFormat="1" ht="24.6" customHeight="1" x14ac:dyDescent="0.25">
      <c r="A29" s="1587"/>
      <c r="B29" s="2577" t="s">
        <v>31</v>
      </c>
      <c r="C29" s="2156"/>
      <c r="D29" s="2578"/>
      <c r="E29" s="2591">
        <f t="shared" si="1"/>
        <v>0</v>
      </c>
      <c r="F29" s="2155" t="e">
        <f t="shared" si="0"/>
        <v>#DIV/0!</v>
      </c>
      <c r="G29" s="2067"/>
      <c r="H29" s="2059"/>
      <c r="I29" s="2061">
        <f t="shared" si="8"/>
        <v>0</v>
      </c>
      <c r="J29" s="2155">
        <f t="shared" si="2"/>
        <v>0</v>
      </c>
      <c r="K29" s="2062"/>
      <c r="L29" s="2067"/>
      <c r="M29" s="2059">
        <v>742</v>
      </c>
      <c r="N29" s="2061">
        <f t="shared" si="9"/>
        <v>742</v>
      </c>
      <c r="O29" s="2155">
        <f t="shared" si="3"/>
        <v>9.1547094070684714E-3</v>
      </c>
      <c r="P29" s="2062"/>
      <c r="Q29" s="2059">
        <f t="shared" si="4"/>
        <v>0</v>
      </c>
      <c r="R29" s="2059">
        <f t="shared" si="5"/>
        <v>742</v>
      </c>
      <c r="S29" s="2061">
        <f t="shared" si="6"/>
        <v>742</v>
      </c>
      <c r="T29" s="2155">
        <f t="shared" si="7"/>
        <v>6.1006802998509035E-3</v>
      </c>
      <c r="U29" s="2157"/>
    </row>
    <row r="30" spans="1:22" s="1411" customFormat="1" ht="51" customHeight="1" x14ac:dyDescent="0.25">
      <c r="A30" s="1587"/>
      <c r="B30" s="2577" t="s">
        <v>62</v>
      </c>
      <c r="C30" s="2156"/>
      <c r="D30" s="2578"/>
      <c r="E30" s="2591">
        <f t="shared" si="1"/>
        <v>0</v>
      </c>
      <c r="F30" s="2155" t="e">
        <f t="shared" si="0"/>
        <v>#DIV/0!</v>
      </c>
      <c r="G30" s="2067"/>
      <c r="H30" s="2059"/>
      <c r="I30" s="2061">
        <f t="shared" si="8"/>
        <v>0</v>
      </c>
      <c r="J30" s="2155">
        <f t="shared" si="2"/>
        <v>0</v>
      </c>
      <c r="K30" s="2062"/>
      <c r="L30" s="2067"/>
      <c r="M30" s="2059">
        <v>7800</v>
      </c>
      <c r="N30" s="2061">
        <f t="shared" si="9"/>
        <v>7800</v>
      </c>
      <c r="O30" s="2155">
        <f t="shared" si="3"/>
        <v>9.6235489723900378E-2</v>
      </c>
      <c r="P30" s="2062"/>
      <c r="Q30" s="2059">
        <f t="shared" si="4"/>
        <v>0</v>
      </c>
      <c r="R30" s="2059">
        <f t="shared" si="5"/>
        <v>7800</v>
      </c>
      <c r="S30" s="2061">
        <f t="shared" si="6"/>
        <v>7800</v>
      </c>
      <c r="T30" s="2155">
        <f t="shared" si="7"/>
        <v>6.4131140618378768E-2</v>
      </c>
      <c r="U30" s="2157"/>
    </row>
    <row r="31" spans="1:22" s="1411" customFormat="1" ht="24.6" customHeight="1" x14ac:dyDescent="0.25">
      <c r="A31" s="1587"/>
      <c r="B31" s="2577" t="s">
        <v>34</v>
      </c>
      <c r="C31" s="2156"/>
      <c r="D31" s="2578"/>
      <c r="E31" s="2591">
        <f t="shared" si="1"/>
        <v>0</v>
      </c>
      <c r="F31" s="2155" t="e">
        <f t="shared" si="0"/>
        <v>#DIV/0!</v>
      </c>
      <c r="G31" s="2067"/>
      <c r="H31" s="2059"/>
      <c r="I31" s="2061">
        <f t="shared" si="8"/>
        <v>0</v>
      </c>
      <c r="J31" s="2155">
        <f t="shared" si="2"/>
        <v>0</v>
      </c>
      <c r="K31" s="2062"/>
      <c r="L31" s="2067"/>
      <c r="M31" s="2059"/>
      <c r="N31" s="2061">
        <f t="shared" si="9"/>
        <v>0</v>
      </c>
      <c r="O31" s="2155">
        <f t="shared" si="3"/>
        <v>0</v>
      </c>
      <c r="P31" s="2062"/>
      <c r="Q31" s="2059">
        <f t="shared" si="4"/>
        <v>0</v>
      </c>
      <c r="R31" s="2059">
        <f t="shared" si="5"/>
        <v>0</v>
      </c>
      <c r="S31" s="2061">
        <f t="shared" si="6"/>
        <v>0</v>
      </c>
      <c r="T31" s="2155">
        <f t="shared" si="7"/>
        <v>0</v>
      </c>
      <c r="U31" s="2157"/>
    </row>
    <row r="32" spans="1:22" s="1411" customFormat="1" ht="24.6" customHeight="1" x14ac:dyDescent="0.25">
      <c r="A32" s="1587"/>
      <c r="B32" s="2581" t="s">
        <v>2</v>
      </c>
      <c r="C32" s="2158"/>
      <c r="D32" s="2499"/>
      <c r="E32" s="2591">
        <f t="shared" si="1"/>
        <v>0</v>
      </c>
      <c r="F32" s="2155" t="e">
        <f t="shared" si="0"/>
        <v>#DIV/0!</v>
      </c>
      <c r="G32" s="2067"/>
      <c r="H32" s="2059"/>
      <c r="I32" s="2061">
        <f t="shared" si="8"/>
        <v>0</v>
      </c>
      <c r="J32" s="2155">
        <f t="shared" si="2"/>
        <v>0</v>
      </c>
      <c r="K32" s="2062"/>
      <c r="L32" s="2067"/>
      <c r="M32" s="2059"/>
      <c r="N32" s="2061">
        <f t="shared" si="9"/>
        <v>0</v>
      </c>
      <c r="O32" s="2155">
        <f t="shared" si="3"/>
        <v>0</v>
      </c>
      <c r="P32" s="2062"/>
      <c r="Q32" s="2059">
        <f t="shared" si="4"/>
        <v>0</v>
      </c>
      <c r="R32" s="2059">
        <f t="shared" si="5"/>
        <v>0</v>
      </c>
      <c r="S32" s="2061">
        <f t="shared" si="6"/>
        <v>0</v>
      </c>
      <c r="T32" s="2155">
        <f t="shared" si="7"/>
        <v>0</v>
      </c>
      <c r="U32" s="2157"/>
    </row>
    <row r="33" spans="1:21" s="1411" customFormat="1" ht="24.6" customHeight="1" thickBot="1" x14ac:dyDescent="0.3">
      <c r="A33" s="1587"/>
      <c r="B33" s="2582" t="s">
        <v>75</v>
      </c>
      <c r="C33" s="2161"/>
      <c r="D33" s="2583"/>
      <c r="E33" s="2591">
        <f t="shared" si="1"/>
        <v>0</v>
      </c>
      <c r="F33" s="2524" t="e">
        <f t="shared" si="0"/>
        <v>#DIV/0!</v>
      </c>
      <c r="G33" s="2044"/>
      <c r="H33" s="2041"/>
      <c r="I33" s="2042">
        <f t="shared" si="8"/>
        <v>0</v>
      </c>
      <c r="J33" s="2524">
        <f t="shared" si="2"/>
        <v>0</v>
      </c>
      <c r="K33" s="1690"/>
      <c r="L33" s="2044"/>
      <c r="M33" s="2041"/>
      <c r="N33" s="2042">
        <f t="shared" si="9"/>
        <v>0</v>
      </c>
      <c r="O33" s="2524">
        <f t="shared" si="3"/>
        <v>0</v>
      </c>
      <c r="P33" s="1690"/>
      <c r="Q33" s="2521">
        <f t="shared" si="4"/>
        <v>0</v>
      </c>
      <c r="R33" s="2522">
        <f t="shared" si="5"/>
        <v>0</v>
      </c>
      <c r="S33" s="2558">
        <f t="shared" si="6"/>
        <v>0</v>
      </c>
      <c r="T33" s="2524">
        <f t="shared" si="7"/>
        <v>0</v>
      </c>
      <c r="U33" s="2525"/>
    </row>
    <row r="34" spans="1:21" s="1411" customFormat="1" ht="24.6" customHeight="1" x14ac:dyDescent="0.25">
      <c r="A34" s="1587"/>
      <c r="B34" s="1087"/>
      <c r="C34" s="1632"/>
      <c r="D34" s="1633"/>
      <c r="E34" s="2040"/>
      <c r="F34" s="1635"/>
      <c r="G34" s="2067"/>
      <c r="H34" s="2059"/>
      <c r="I34" s="2040"/>
      <c r="J34" s="1992"/>
      <c r="K34" s="2040"/>
      <c r="L34" s="2067"/>
      <c r="M34" s="2059"/>
      <c r="N34" s="2040"/>
      <c r="O34" s="1992"/>
      <c r="P34" s="2040"/>
      <c r="Q34" s="2059"/>
      <c r="R34" s="2059"/>
      <c r="S34" s="2040"/>
      <c r="T34" s="2040"/>
      <c r="U34" s="2040"/>
    </row>
    <row r="35" spans="1:21" s="2483" customFormat="1" ht="24.6" customHeight="1" x14ac:dyDescent="0.25">
      <c r="A35" s="1587"/>
      <c r="B35" s="2607" t="s">
        <v>80</v>
      </c>
      <c r="C35" s="2515">
        <f>C36</f>
        <v>0</v>
      </c>
      <c r="D35" s="2515">
        <f>D36</f>
        <v>0</v>
      </c>
      <c r="E35" s="2526">
        <f>E36</f>
        <v>0</v>
      </c>
      <c r="F35" s="2564" t="e">
        <f>E35/$E$89</f>
        <v>#DIV/0!</v>
      </c>
      <c r="G35" s="2515"/>
      <c r="H35" s="2515"/>
      <c r="I35" s="2526">
        <f>I36</f>
        <v>0</v>
      </c>
      <c r="J35" s="2155">
        <f t="shared" ref="J35:J36" si="10">I35/I$89</f>
        <v>0</v>
      </c>
      <c r="K35" s="2527"/>
      <c r="L35" s="2515"/>
      <c r="M35" s="2515"/>
      <c r="N35" s="2526">
        <f>N36</f>
        <v>0</v>
      </c>
      <c r="O35" s="2526">
        <f t="shared" ref="O35:O36" si="11">N35/N$89</f>
        <v>0</v>
      </c>
      <c r="P35" s="2527"/>
      <c r="Q35" s="2515">
        <f t="shared" ref="Q35:R35" si="12">Q36</f>
        <v>0</v>
      </c>
      <c r="R35" s="2515">
        <f t="shared" si="12"/>
        <v>0</v>
      </c>
      <c r="S35" s="2526">
        <f>S36</f>
        <v>0</v>
      </c>
      <c r="T35" s="2515">
        <f>T36</f>
        <v>0</v>
      </c>
      <c r="U35" s="2526"/>
    </row>
    <row r="36" spans="1:21" s="1579" customFormat="1" ht="24.6" customHeight="1" outlineLevel="1" x14ac:dyDescent="0.25">
      <c r="A36" s="1587"/>
      <c r="B36" s="2608" t="s">
        <v>81</v>
      </c>
      <c r="C36" s="2584"/>
      <c r="D36" s="2585"/>
      <c r="E36" s="2591">
        <f>C36+D36</f>
        <v>0</v>
      </c>
      <c r="F36" s="2504" t="e">
        <f>E36/$E$89</f>
        <v>#DIV/0!</v>
      </c>
      <c r="G36" s="2067"/>
      <c r="H36" s="2059"/>
      <c r="I36" s="2028">
        <f>G36+H36*1</f>
        <v>0</v>
      </c>
      <c r="J36" s="2155">
        <f t="shared" si="10"/>
        <v>0</v>
      </c>
      <c r="K36" s="2062"/>
      <c r="L36" s="2067"/>
      <c r="M36" s="2059"/>
      <c r="N36" s="2028">
        <f>L36+M36*1</f>
        <v>0</v>
      </c>
      <c r="O36" s="2155">
        <f t="shared" si="11"/>
        <v>0</v>
      </c>
      <c r="P36" s="2062"/>
      <c r="Q36" s="2059">
        <f>G36+L36</f>
        <v>0</v>
      </c>
      <c r="R36" s="2059">
        <f>H36+M36</f>
        <v>0</v>
      </c>
      <c r="S36" s="2028">
        <f>Q36+R36*1</f>
        <v>0</v>
      </c>
      <c r="T36" s="2155">
        <f>S36/$S$89</f>
        <v>0</v>
      </c>
      <c r="U36" s="2164"/>
    </row>
    <row r="37" spans="1:21" s="1411" customFormat="1" ht="24.6" customHeight="1" thickBot="1" x14ac:dyDescent="0.3">
      <c r="A37" s="1413"/>
      <c r="B37" s="2609"/>
      <c r="C37" s="2586"/>
      <c r="D37" s="2587"/>
      <c r="E37" s="2528"/>
      <c r="F37" s="2588"/>
      <c r="G37" s="2044"/>
      <c r="H37" s="2041"/>
      <c r="I37" s="2528"/>
      <c r="J37" s="2524"/>
      <c r="K37" s="2529"/>
      <c r="L37" s="2044"/>
      <c r="M37" s="2041"/>
      <c r="N37" s="2528"/>
      <c r="O37" s="2524" t="e">
        <f t="shared" ref="O37" si="13">N37/$AN$89</f>
        <v>#DIV/0!</v>
      </c>
      <c r="P37" s="2529"/>
      <c r="Q37" s="2059"/>
      <c r="R37" s="2059"/>
      <c r="S37" s="2528"/>
      <c r="T37" s="2528"/>
      <c r="U37" s="2528"/>
    </row>
    <row r="38" spans="1:21" ht="24.6" customHeight="1" thickBot="1" x14ac:dyDescent="0.3">
      <c r="A38" s="1441"/>
      <c r="B38" s="981" t="s">
        <v>46</v>
      </c>
      <c r="C38" s="2018">
        <f>(C5)-(C8)</f>
        <v>0</v>
      </c>
      <c r="D38" s="2018">
        <f>(D5)-(D8)</f>
        <v>0</v>
      </c>
      <c r="E38" s="2018">
        <f>(E5)-(E8)</f>
        <v>0</v>
      </c>
      <c r="F38" s="1545"/>
      <c r="G38" s="2018">
        <f>(G5)-(G8)</f>
        <v>-37527.199999999997</v>
      </c>
      <c r="H38" s="2018">
        <f>(H5)-(H8)</f>
        <v>0</v>
      </c>
      <c r="I38" s="2018">
        <f>(I5)-(I8)</f>
        <v>-37527.199999999997</v>
      </c>
      <c r="J38" s="2018"/>
      <c r="K38" s="2037"/>
      <c r="L38" s="2018">
        <f>(L5)-(L8)</f>
        <v>277178.11</v>
      </c>
      <c r="M38" s="2018">
        <f>(M5)-(M8)</f>
        <v>-74675</v>
      </c>
      <c r="N38" s="2018">
        <f>(N5)-(N8)</f>
        <v>202503.11</v>
      </c>
      <c r="O38" s="2018"/>
      <c r="P38" s="2037"/>
      <c r="Q38" s="2018">
        <f>(Q5)-(Q8)</f>
        <v>239650.90999999997</v>
      </c>
      <c r="R38" s="2018">
        <f>(R5)-(R8)</f>
        <v>-74675</v>
      </c>
      <c r="S38" s="2018">
        <f>(S5)-(S8)</f>
        <v>164975.90999999997</v>
      </c>
      <c r="T38" s="2018"/>
      <c r="U38" s="2018"/>
    </row>
    <row r="39" spans="1:21" ht="24.6" customHeight="1" x14ac:dyDescent="0.25">
      <c r="A39" s="1580"/>
      <c r="B39" s="982" t="s">
        <v>47</v>
      </c>
      <c r="C39" s="1540" t="e">
        <f>C38/(C5)</f>
        <v>#DIV/0!</v>
      </c>
      <c r="D39" s="1540" t="e">
        <f>D38/(D5)</f>
        <v>#DIV/0!</v>
      </c>
      <c r="E39" s="1541" t="e">
        <f>E38/(E5)</f>
        <v>#DIV/0!</v>
      </c>
      <c r="F39" s="1546"/>
      <c r="G39" s="2019" t="e">
        <f>G38/(G5)</f>
        <v>#DIV/0!</v>
      </c>
      <c r="H39" s="2019" t="e">
        <f>H38/(H5)</f>
        <v>#DIV/0!</v>
      </c>
      <c r="I39" s="2020" t="e">
        <f>I38/(I5)</f>
        <v>#DIV/0!</v>
      </c>
      <c r="J39" s="2020"/>
      <c r="K39" s="2038"/>
      <c r="L39" s="2019">
        <f>L38/(L5)</f>
        <v>1</v>
      </c>
      <c r="M39" s="2019" t="e">
        <f>M38/(M5)</f>
        <v>#DIV/0!</v>
      </c>
      <c r="N39" s="2020">
        <f>N38/(N5)</f>
        <v>0.73058839314547597</v>
      </c>
      <c r="O39" s="2020"/>
      <c r="P39" s="2038"/>
      <c r="Q39" s="2019">
        <f>Q38/(Q5)</f>
        <v>0.86460979909272051</v>
      </c>
      <c r="R39" s="2019" t="e">
        <f>R38/(R5)</f>
        <v>#DIV/0!</v>
      </c>
      <c r="S39" s="2020">
        <f>S38/(S5)</f>
        <v>0.59519819223819648</v>
      </c>
      <c r="T39" s="2020"/>
      <c r="U39" s="2020"/>
    </row>
    <row r="40" spans="1:21" ht="24.6" customHeight="1" outlineLevel="1" thickBot="1" x14ac:dyDescent="0.3">
      <c r="A40" s="1582"/>
      <c r="B40" s="2610"/>
      <c r="C40" s="2611"/>
      <c r="D40" s="2612"/>
      <c r="E40" s="2106"/>
      <c r="F40" s="2144"/>
      <c r="G40" s="2530"/>
      <c r="H40" s="2516"/>
      <c r="I40" s="2516"/>
      <c r="J40" s="2516"/>
      <c r="K40" s="2531"/>
      <c r="L40" s="2530"/>
      <c r="M40" s="2516"/>
      <c r="N40" s="2516"/>
      <c r="O40" s="2516"/>
      <c r="P40" s="2531"/>
      <c r="Q40" s="2059"/>
      <c r="R40" s="2059"/>
      <c r="S40" s="2516"/>
      <c r="T40" s="2516"/>
      <c r="U40" s="2516"/>
    </row>
    <row r="41" spans="1:21" ht="24.6" customHeight="1" outlineLevel="1" x14ac:dyDescent="0.25">
      <c r="A41" s="1420"/>
      <c r="B41" s="2613" t="s">
        <v>26</v>
      </c>
      <c r="C41" s="2614">
        <f>SUM(C42:C48)</f>
        <v>0</v>
      </c>
      <c r="D41" s="2614">
        <f>SUM(D42:D48)</f>
        <v>0</v>
      </c>
      <c r="E41" s="2615">
        <f>SUM(E42:E48)</f>
        <v>0</v>
      </c>
      <c r="F41" s="2481" t="e">
        <f t="shared" ref="F41:F48" si="14">E41/$E$89</f>
        <v>#DIV/0!</v>
      </c>
      <c r="G41" s="2029">
        <f>SUM(G42:G48)</f>
        <v>0</v>
      </c>
      <c r="H41" s="2029">
        <f>SUM(H42:H48)</f>
        <v>0</v>
      </c>
      <c r="I41" s="2030">
        <f>SUM(I42:I48)</f>
        <v>0</v>
      </c>
      <c r="J41" s="2481">
        <f t="shared" ref="J41:J48" si="15">I41/I$89</f>
        <v>0</v>
      </c>
      <c r="K41" s="2039"/>
      <c r="L41" s="2029">
        <f>SUM(L42:L48)</f>
        <v>462.58</v>
      </c>
      <c r="M41" s="2029">
        <f>SUM(M42:M48)</f>
        <v>0</v>
      </c>
      <c r="N41" s="2030">
        <f>SUM(N42:N48)</f>
        <v>462.58</v>
      </c>
      <c r="O41" s="2481">
        <f t="shared" ref="O41:O48" si="16">N41/N$89</f>
        <v>5.7072580559592093E-3</v>
      </c>
      <c r="P41" s="2039"/>
      <c r="Q41" s="2029">
        <f>SUM(Q42:Q48)</f>
        <v>462.58</v>
      </c>
      <c r="R41" s="2029">
        <f>SUM(R42:R48)</f>
        <v>0</v>
      </c>
      <c r="S41" s="2030">
        <f>SUM(S42:S48)</f>
        <v>462.58</v>
      </c>
      <c r="T41" s="2481">
        <f t="shared" ref="T41:T49" si="17">S41/$S$89</f>
        <v>3.8033055163140578E-3</v>
      </c>
      <c r="U41" s="2022"/>
    </row>
    <row r="42" spans="1:21" ht="24.6" customHeight="1" outlineLevel="2" x14ac:dyDescent="0.25">
      <c r="A42" s="4015"/>
      <c r="B42" s="2579" t="s">
        <v>7</v>
      </c>
      <c r="C42" s="2578"/>
      <c r="D42" s="2523"/>
      <c r="E42" s="2591">
        <f t="shared" ref="E42:E48" si="18">C42+D42</f>
        <v>0</v>
      </c>
      <c r="F42" s="2155" t="e">
        <f t="shared" si="14"/>
        <v>#DIV/0!</v>
      </c>
      <c r="G42" s="2067"/>
      <c r="H42" s="2059"/>
      <c r="I42" s="2028">
        <f t="shared" ref="I42:I48" si="19">G42+H42*1</f>
        <v>0</v>
      </c>
      <c r="J42" s="2155">
        <f t="shared" si="15"/>
        <v>0</v>
      </c>
      <c r="K42" s="2062"/>
      <c r="L42" s="2067"/>
      <c r="M42" s="2059"/>
      <c r="N42" s="2028">
        <f t="shared" ref="N42:N48" si="20">L42+M42*1</f>
        <v>0</v>
      </c>
      <c r="O42" s="2155">
        <f t="shared" si="16"/>
        <v>0</v>
      </c>
      <c r="P42" s="2062"/>
      <c r="Q42" s="2059">
        <f t="shared" ref="Q42:Q48" si="21">G42+L42</f>
        <v>0</v>
      </c>
      <c r="R42" s="2059">
        <f t="shared" ref="R42:R48" si="22">H42+M42</f>
        <v>0</v>
      </c>
      <c r="S42" s="2028">
        <f t="shared" ref="S42:S48" si="23">Q42+R42*1</f>
        <v>0</v>
      </c>
      <c r="T42" s="2155">
        <f t="shared" si="17"/>
        <v>0</v>
      </c>
      <c r="U42" s="2157"/>
    </row>
    <row r="43" spans="1:21" ht="24.6" customHeight="1" outlineLevel="2" x14ac:dyDescent="0.25">
      <c r="A43" s="4015"/>
      <c r="B43" s="2579" t="s">
        <v>27</v>
      </c>
      <c r="C43" s="2578"/>
      <c r="D43" s="2523"/>
      <c r="E43" s="2591">
        <f t="shared" si="18"/>
        <v>0</v>
      </c>
      <c r="F43" s="2155" t="e">
        <f t="shared" si="14"/>
        <v>#DIV/0!</v>
      </c>
      <c r="G43" s="2067"/>
      <c r="H43" s="2059"/>
      <c r="I43" s="2028">
        <f t="shared" si="19"/>
        <v>0</v>
      </c>
      <c r="J43" s="2155">
        <f t="shared" si="15"/>
        <v>0</v>
      </c>
      <c r="K43" s="2062"/>
      <c r="L43" s="2067"/>
      <c r="M43" s="2059"/>
      <c r="N43" s="2028">
        <f t="shared" si="20"/>
        <v>0</v>
      </c>
      <c r="O43" s="2155">
        <f t="shared" si="16"/>
        <v>0</v>
      </c>
      <c r="P43" s="2062"/>
      <c r="Q43" s="2059">
        <f t="shared" si="21"/>
        <v>0</v>
      </c>
      <c r="R43" s="2059">
        <f t="shared" si="22"/>
        <v>0</v>
      </c>
      <c r="S43" s="2028">
        <f t="shared" si="23"/>
        <v>0</v>
      </c>
      <c r="T43" s="2155">
        <f t="shared" si="17"/>
        <v>0</v>
      </c>
      <c r="U43" s="2157"/>
    </row>
    <row r="44" spans="1:21" ht="24.6" customHeight="1" outlineLevel="2" x14ac:dyDescent="0.25">
      <c r="A44" s="4015"/>
      <c r="B44" s="2608" t="s">
        <v>28</v>
      </c>
      <c r="C44" s="2578"/>
      <c r="D44" s="2523"/>
      <c r="E44" s="2591">
        <f t="shared" si="18"/>
        <v>0</v>
      </c>
      <c r="F44" s="2155" t="e">
        <f t="shared" si="14"/>
        <v>#DIV/0!</v>
      </c>
      <c r="G44" s="2067"/>
      <c r="H44" s="2059"/>
      <c r="I44" s="2028">
        <f t="shared" si="19"/>
        <v>0</v>
      </c>
      <c r="J44" s="2155">
        <f t="shared" si="15"/>
        <v>0</v>
      </c>
      <c r="K44" s="2062"/>
      <c r="L44" s="2067"/>
      <c r="M44" s="2059"/>
      <c r="N44" s="2028">
        <f t="shared" si="20"/>
        <v>0</v>
      </c>
      <c r="O44" s="2155">
        <f t="shared" si="16"/>
        <v>0</v>
      </c>
      <c r="P44" s="2062"/>
      <c r="Q44" s="2059">
        <f t="shared" si="21"/>
        <v>0</v>
      </c>
      <c r="R44" s="2059">
        <f t="shared" si="22"/>
        <v>0</v>
      </c>
      <c r="S44" s="2028">
        <f t="shared" si="23"/>
        <v>0</v>
      </c>
      <c r="T44" s="2155">
        <f t="shared" si="17"/>
        <v>0</v>
      </c>
      <c r="U44" s="2157"/>
    </row>
    <row r="45" spans="1:21" ht="24.6" customHeight="1" outlineLevel="2" x14ac:dyDescent="0.25">
      <c r="A45" s="4015"/>
      <c r="B45" s="2579" t="s">
        <v>8</v>
      </c>
      <c r="C45" s="2578"/>
      <c r="D45" s="2523"/>
      <c r="E45" s="2591">
        <f t="shared" si="18"/>
        <v>0</v>
      </c>
      <c r="F45" s="2155" t="e">
        <f t="shared" si="14"/>
        <v>#DIV/0!</v>
      </c>
      <c r="G45" s="2067"/>
      <c r="H45" s="2059"/>
      <c r="I45" s="2028">
        <f t="shared" si="19"/>
        <v>0</v>
      </c>
      <c r="J45" s="2155">
        <f t="shared" si="15"/>
        <v>0</v>
      </c>
      <c r="K45" s="2062"/>
      <c r="L45" s="2067"/>
      <c r="M45" s="2059"/>
      <c r="N45" s="2028">
        <f t="shared" si="20"/>
        <v>0</v>
      </c>
      <c r="O45" s="2155">
        <f t="shared" si="16"/>
        <v>0</v>
      </c>
      <c r="P45" s="2062"/>
      <c r="Q45" s="2059">
        <f t="shared" si="21"/>
        <v>0</v>
      </c>
      <c r="R45" s="2059">
        <f t="shared" si="22"/>
        <v>0</v>
      </c>
      <c r="S45" s="2028">
        <f t="shared" si="23"/>
        <v>0</v>
      </c>
      <c r="T45" s="2155">
        <f t="shared" si="17"/>
        <v>0</v>
      </c>
      <c r="U45" s="2157"/>
    </row>
    <row r="46" spans="1:21" ht="24.6" customHeight="1" outlineLevel="2" x14ac:dyDescent="0.25">
      <c r="A46" s="4015"/>
      <c r="B46" s="2579" t="s">
        <v>29</v>
      </c>
      <c r="C46" s="2578"/>
      <c r="D46" s="2523"/>
      <c r="E46" s="2591">
        <f t="shared" si="18"/>
        <v>0</v>
      </c>
      <c r="F46" s="2155" t="e">
        <f t="shared" si="14"/>
        <v>#DIV/0!</v>
      </c>
      <c r="G46" s="2067"/>
      <c r="H46" s="2059"/>
      <c r="I46" s="2028">
        <f t="shared" si="19"/>
        <v>0</v>
      </c>
      <c r="J46" s="2155">
        <f t="shared" si="15"/>
        <v>0</v>
      </c>
      <c r="K46" s="2062"/>
      <c r="L46" s="2067"/>
      <c r="M46" s="2059"/>
      <c r="N46" s="2028">
        <f t="shared" si="20"/>
        <v>0</v>
      </c>
      <c r="O46" s="2155">
        <f t="shared" si="16"/>
        <v>0</v>
      </c>
      <c r="P46" s="2062"/>
      <c r="Q46" s="2059">
        <f t="shared" si="21"/>
        <v>0</v>
      </c>
      <c r="R46" s="2059">
        <f t="shared" si="22"/>
        <v>0</v>
      </c>
      <c r="S46" s="2028">
        <f t="shared" si="23"/>
        <v>0</v>
      </c>
      <c r="T46" s="2155">
        <f t="shared" si="17"/>
        <v>0</v>
      </c>
      <c r="U46" s="2157"/>
    </row>
    <row r="47" spans="1:21" ht="24.6" customHeight="1" outlineLevel="2" x14ac:dyDescent="0.25">
      <c r="A47" s="4015"/>
      <c r="B47" s="2579" t="s">
        <v>30</v>
      </c>
      <c r="C47" s="2578"/>
      <c r="D47" s="2523"/>
      <c r="E47" s="2591">
        <f t="shared" si="18"/>
        <v>0</v>
      </c>
      <c r="F47" s="2155" t="e">
        <f t="shared" si="14"/>
        <v>#DIV/0!</v>
      </c>
      <c r="G47" s="2067"/>
      <c r="H47" s="2059"/>
      <c r="I47" s="2028">
        <f t="shared" si="19"/>
        <v>0</v>
      </c>
      <c r="J47" s="2155">
        <f t="shared" si="15"/>
        <v>0</v>
      </c>
      <c r="K47" s="2062"/>
      <c r="L47" s="2067">
        <v>462.58</v>
      </c>
      <c r="M47" s="2059"/>
      <c r="N47" s="2028">
        <f t="shared" si="20"/>
        <v>462.58</v>
      </c>
      <c r="O47" s="2155">
        <f t="shared" si="16"/>
        <v>5.7072580559592093E-3</v>
      </c>
      <c r="P47" s="2062"/>
      <c r="Q47" s="2059">
        <f t="shared" si="21"/>
        <v>462.58</v>
      </c>
      <c r="R47" s="2059">
        <f t="shared" si="22"/>
        <v>0</v>
      </c>
      <c r="S47" s="2028">
        <f t="shared" si="23"/>
        <v>462.58</v>
      </c>
      <c r="T47" s="2155">
        <f t="shared" si="17"/>
        <v>3.8033055163140578E-3</v>
      </c>
      <c r="U47" s="2157"/>
    </row>
    <row r="48" spans="1:21" ht="24.6" customHeight="1" outlineLevel="2" x14ac:dyDescent="0.25">
      <c r="A48" s="4015"/>
      <c r="B48" s="2579" t="s">
        <v>15</v>
      </c>
      <c r="C48" s="2578"/>
      <c r="D48" s="2523"/>
      <c r="E48" s="2591">
        <f t="shared" si="18"/>
        <v>0</v>
      </c>
      <c r="F48" s="2155" t="e">
        <f t="shared" si="14"/>
        <v>#DIV/0!</v>
      </c>
      <c r="G48" s="2067"/>
      <c r="H48" s="2059"/>
      <c r="I48" s="2028">
        <f t="shared" si="19"/>
        <v>0</v>
      </c>
      <c r="J48" s="2155">
        <f t="shared" si="15"/>
        <v>0</v>
      </c>
      <c r="K48" s="2062"/>
      <c r="L48" s="2067"/>
      <c r="M48" s="2059"/>
      <c r="N48" s="2028">
        <f t="shared" si="20"/>
        <v>0</v>
      </c>
      <c r="O48" s="2155">
        <f t="shared" si="16"/>
        <v>0</v>
      </c>
      <c r="P48" s="2062"/>
      <c r="Q48" s="2059">
        <f t="shared" si="21"/>
        <v>0</v>
      </c>
      <c r="R48" s="2059">
        <f t="shared" si="22"/>
        <v>0</v>
      </c>
      <c r="S48" s="2028">
        <f t="shared" si="23"/>
        <v>0</v>
      </c>
      <c r="T48" s="2155">
        <f t="shared" si="17"/>
        <v>0</v>
      </c>
      <c r="U48" s="2157"/>
    </row>
    <row r="49" spans="1:21" s="1411" customFormat="1" ht="24.6" customHeight="1" outlineLevel="2" thickBot="1" x14ac:dyDescent="0.3">
      <c r="A49" s="1420"/>
      <c r="B49" s="2616"/>
      <c r="C49" s="2499"/>
      <c r="D49" s="2503"/>
      <c r="E49" s="2145"/>
      <c r="F49" s="2146"/>
      <c r="G49" s="2067"/>
      <c r="H49" s="2059"/>
      <c r="I49" s="2528"/>
      <c r="J49" s="2155"/>
      <c r="K49" s="2532"/>
      <c r="L49" s="2067"/>
      <c r="M49" s="2059"/>
      <c r="N49" s="2528"/>
      <c r="O49" s="2155"/>
      <c r="P49" s="2532"/>
      <c r="Q49" s="2059"/>
      <c r="R49" s="2059"/>
      <c r="S49" s="2528"/>
      <c r="T49" s="2155">
        <f t="shared" si="17"/>
        <v>0</v>
      </c>
      <c r="U49" s="2528"/>
    </row>
    <row r="50" spans="1:21" s="1411" customFormat="1" ht="24.6" customHeight="1" outlineLevel="1" x14ac:dyDescent="0.25">
      <c r="A50" s="1580"/>
      <c r="B50" s="993" t="s">
        <v>59</v>
      </c>
      <c r="C50" s="2031">
        <f>SUM(C51:C52)</f>
        <v>0</v>
      </c>
      <c r="D50" s="2031">
        <f>SUM(D51:D52)</f>
        <v>0</v>
      </c>
      <c r="E50" s="2031">
        <f>SUM(E51:E52)</f>
        <v>0</v>
      </c>
      <c r="F50" s="1549" t="e">
        <f>E50/$E$89</f>
        <v>#DIV/0!</v>
      </c>
      <c r="G50" s="2031">
        <f>G52+G51</f>
        <v>0</v>
      </c>
      <c r="H50" s="2031">
        <f>H52+H51</f>
        <v>0</v>
      </c>
      <c r="I50" s="2031">
        <f>SUM(I51:I52)</f>
        <v>0</v>
      </c>
      <c r="J50" s="2022">
        <f t="shared" ref="J50:J52" si="24">I50/I$89</f>
        <v>0</v>
      </c>
      <c r="K50" s="2000"/>
      <c r="L50" s="2031">
        <f>L52+L51</f>
        <v>0</v>
      </c>
      <c r="M50" s="2031">
        <f>M52+M51</f>
        <v>0</v>
      </c>
      <c r="N50" s="2031">
        <f>SUM(N51:N52)</f>
        <v>0</v>
      </c>
      <c r="O50" s="2022">
        <f t="shared" ref="O50:O52" si="25">N50/N$89</f>
        <v>0</v>
      </c>
      <c r="P50" s="2000"/>
      <c r="Q50" s="2031">
        <f>Q52+Q51</f>
        <v>0</v>
      </c>
      <c r="R50" s="2031">
        <f>R52+R51</f>
        <v>0</v>
      </c>
      <c r="S50" s="2031">
        <f>SUM(S51:S52)</f>
        <v>0</v>
      </c>
      <c r="T50" s="2022"/>
      <c r="U50" s="2022"/>
    </row>
    <row r="51" spans="1:21" s="1579" customFormat="1" ht="24.6" customHeight="1" outlineLevel="1" x14ac:dyDescent="0.25">
      <c r="A51" s="1583"/>
      <c r="B51" s="2579" t="s">
        <v>60</v>
      </c>
      <c r="C51" s="2578"/>
      <c r="D51" s="2523"/>
      <c r="E51" s="2591">
        <f>C51+D51</f>
        <v>0</v>
      </c>
      <c r="F51" s="2504" t="e">
        <f>E51/$E$89</f>
        <v>#DIV/0!</v>
      </c>
      <c r="G51" s="2067"/>
      <c r="H51" s="2059"/>
      <c r="I51" s="2028">
        <f>G51+H51*1</f>
        <v>0</v>
      </c>
      <c r="J51" s="2155">
        <f t="shared" si="24"/>
        <v>0</v>
      </c>
      <c r="K51" s="2533"/>
      <c r="L51" s="2067"/>
      <c r="M51" s="2059"/>
      <c r="N51" s="2028">
        <f>L51+M51*1</f>
        <v>0</v>
      </c>
      <c r="O51" s="2155">
        <f t="shared" si="25"/>
        <v>0</v>
      </c>
      <c r="P51" s="2533"/>
      <c r="Q51" s="2059">
        <f t="shared" ref="Q51:Q52" si="26">G51+L51</f>
        <v>0</v>
      </c>
      <c r="R51" s="2059">
        <f t="shared" ref="R51:R52" si="27">H51+M51</f>
        <v>0</v>
      </c>
      <c r="S51" s="2028">
        <f>Q51+R51*1</f>
        <v>0</v>
      </c>
      <c r="T51" s="2155">
        <f>S51/$S$89</f>
        <v>0</v>
      </c>
      <c r="U51" s="2164"/>
    </row>
    <row r="52" spans="1:21" s="1584" customFormat="1" ht="24.6" customHeight="1" outlineLevel="2" x14ac:dyDescent="0.25">
      <c r="A52" s="1583"/>
      <c r="B52" s="2579" t="s">
        <v>61</v>
      </c>
      <c r="C52" s="2578"/>
      <c r="D52" s="2523"/>
      <c r="E52" s="2591">
        <f>C52+D52</f>
        <v>0</v>
      </c>
      <c r="F52" s="2504" t="e">
        <f>E52/$E$89</f>
        <v>#DIV/0!</v>
      </c>
      <c r="G52" s="2067"/>
      <c r="H52" s="2059"/>
      <c r="I52" s="2028">
        <f>G52+H52*1</f>
        <v>0</v>
      </c>
      <c r="J52" s="2155">
        <f t="shared" si="24"/>
        <v>0</v>
      </c>
      <c r="K52" s="2062"/>
      <c r="L52" s="2067"/>
      <c r="M52" s="2059"/>
      <c r="N52" s="2028">
        <f>L52+M52*1</f>
        <v>0</v>
      </c>
      <c r="O52" s="2155">
        <f t="shared" si="25"/>
        <v>0</v>
      </c>
      <c r="P52" s="2062"/>
      <c r="Q52" s="2059">
        <f t="shared" si="26"/>
        <v>0</v>
      </c>
      <c r="R52" s="2059">
        <f t="shared" si="27"/>
        <v>0</v>
      </c>
      <c r="S52" s="2028">
        <f>Q52+R52*1</f>
        <v>0</v>
      </c>
      <c r="T52" s="2155">
        <f>S52/$S$89</f>
        <v>0</v>
      </c>
      <c r="U52" s="2164"/>
    </row>
    <row r="53" spans="1:21" ht="24.6" customHeight="1" outlineLevel="1" thickBot="1" x14ac:dyDescent="0.3">
      <c r="A53" s="1428"/>
      <c r="B53" s="2582"/>
      <c r="C53" s="2593"/>
      <c r="D53" s="2594"/>
      <c r="E53" s="2595"/>
      <c r="F53" s="2596"/>
      <c r="G53" s="2067"/>
      <c r="H53" s="2059"/>
      <c r="I53" s="2534"/>
      <c r="J53" s="2534"/>
      <c r="K53" s="2535"/>
      <c r="L53" s="2067"/>
      <c r="M53" s="2059"/>
      <c r="N53" s="2534"/>
      <c r="O53" s="2534"/>
      <c r="P53" s="2535"/>
      <c r="Q53" s="2059"/>
      <c r="R53" s="2059"/>
      <c r="S53" s="2534"/>
      <c r="T53" s="2534"/>
      <c r="U53" s="2534"/>
    </row>
    <row r="54" spans="1:21" ht="24.6" customHeight="1" outlineLevel="1" x14ac:dyDescent="0.25">
      <c r="A54" s="1585"/>
      <c r="B54" s="993" t="s">
        <v>1</v>
      </c>
      <c r="C54" s="2031">
        <f>SUM(C55:C71)</f>
        <v>0</v>
      </c>
      <c r="D54" s="2031">
        <f>SUM(D55:D71)</f>
        <v>0</v>
      </c>
      <c r="E54" s="1991">
        <f>SUM(E55:E71)</f>
        <v>0</v>
      </c>
      <c r="F54" s="1549" t="e">
        <f>E54/$E$89</f>
        <v>#DIV/0!</v>
      </c>
      <c r="G54" s="2031">
        <f>SUM(G55:G72)</f>
        <v>0</v>
      </c>
      <c r="H54" s="2031">
        <f>SUM(H55:H72)</f>
        <v>0</v>
      </c>
      <c r="I54" s="2031">
        <f>SUM(I55:I72)</f>
        <v>0</v>
      </c>
      <c r="J54" s="2481">
        <f t="shared" ref="J54:J71" si="28">I54/I$89</f>
        <v>0</v>
      </c>
      <c r="K54" s="2000"/>
      <c r="L54" s="2031">
        <f>SUM(L55:L72)</f>
        <v>0</v>
      </c>
      <c r="M54" s="2031">
        <f>SUM(M55:M72)</f>
        <v>0</v>
      </c>
      <c r="N54" s="2031">
        <f>SUM(N55:N72)</f>
        <v>0</v>
      </c>
      <c r="O54" s="2481">
        <f t="shared" ref="O54:O71" si="29">N54/N$89</f>
        <v>0</v>
      </c>
      <c r="P54" s="2000"/>
      <c r="Q54" s="2031">
        <f>SUM(Q55:Q72)</f>
        <v>0</v>
      </c>
      <c r="R54" s="2031">
        <f>SUM(R55:R72)</f>
        <v>0</v>
      </c>
      <c r="S54" s="2031">
        <f>SUM(S55:S72)</f>
        <v>0</v>
      </c>
      <c r="T54" s="2481">
        <f t="shared" ref="T54:T71" si="30">S54/$S$89</f>
        <v>0</v>
      </c>
      <c r="U54" s="2022"/>
    </row>
    <row r="55" spans="1:21" ht="24.6" customHeight="1" outlineLevel="2" x14ac:dyDescent="0.25">
      <c r="A55" s="1586"/>
      <c r="B55" s="2608" t="s">
        <v>77</v>
      </c>
      <c r="C55" s="2578"/>
      <c r="D55" s="2580"/>
      <c r="E55" s="2591">
        <f>C55+D55</f>
        <v>0</v>
      </c>
      <c r="F55" s="2155" t="e">
        <f>E55/$E$89</f>
        <v>#DIV/0!</v>
      </c>
      <c r="G55" s="2027"/>
      <c r="H55" s="2061"/>
      <c r="I55" s="2028">
        <f t="shared" ref="I55:I71" si="31">G55+H55*1</f>
        <v>0</v>
      </c>
      <c r="J55" s="2155">
        <f t="shared" si="28"/>
        <v>0</v>
      </c>
      <c r="K55" s="2062"/>
      <c r="L55" s="2027"/>
      <c r="M55" s="2061"/>
      <c r="N55" s="2028">
        <f t="shared" ref="N55:N62" si="32">L55+M55*1</f>
        <v>0</v>
      </c>
      <c r="O55" s="2155">
        <f t="shared" si="29"/>
        <v>0</v>
      </c>
      <c r="P55" s="2062"/>
      <c r="Q55" s="2059">
        <f t="shared" ref="Q55:Q71" si="33">G55+L55</f>
        <v>0</v>
      </c>
      <c r="R55" s="2059">
        <f t="shared" ref="R55:R71" si="34">H55+M55</f>
        <v>0</v>
      </c>
      <c r="S55" s="2028">
        <f t="shared" ref="S55:S71" si="35">Q55+R55*1</f>
        <v>0</v>
      </c>
      <c r="T55" s="2155">
        <f t="shared" si="30"/>
        <v>0</v>
      </c>
      <c r="U55" s="2157"/>
    </row>
    <row r="56" spans="1:21" ht="24.6" customHeight="1" outlineLevel="2" x14ac:dyDescent="0.25">
      <c r="A56" s="1586"/>
      <c r="B56" s="2608" t="s">
        <v>76</v>
      </c>
      <c r="C56" s="2578"/>
      <c r="D56" s="2580"/>
      <c r="E56" s="2591">
        <f t="shared" ref="E56:E71" si="36">C56+D56</f>
        <v>0</v>
      </c>
      <c r="F56" s="2155" t="e">
        <f t="shared" ref="F56:F72" si="37">E56/$E$89</f>
        <v>#DIV/0!</v>
      </c>
      <c r="G56" s="2027"/>
      <c r="H56" s="2061"/>
      <c r="I56" s="2028">
        <f t="shared" si="31"/>
        <v>0</v>
      </c>
      <c r="J56" s="2155">
        <f t="shared" si="28"/>
        <v>0</v>
      </c>
      <c r="K56" s="2062"/>
      <c r="L56" s="2027"/>
      <c r="M56" s="2061"/>
      <c r="N56" s="2028">
        <f t="shared" si="32"/>
        <v>0</v>
      </c>
      <c r="O56" s="2155">
        <f t="shared" si="29"/>
        <v>0</v>
      </c>
      <c r="P56" s="2062"/>
      <c r="Q56" s="2059">
        <f t="shared" si="33"/>
        <v>0</v>
      </c>
      <c r="R56" s="2059">
        <f t="shared" si="34"/>
        <v>0</v>
      </c>
      <c r="S56" s="2028">
        <f t="shared" si="35"/>
        <v>0</v>
      </c>
      <c r="T56" s="2155">
        <f t="shared" si="30"/>
        <v>0</v>
      </c>
      <c r="U56" s="2157"/>
    </row>
    <row r="57" spans="1:21" ht="24.6" customHeight="1" outlineLevel="2" x14ac:dyDescent="0.25">
      <c r="A57" s="1586"/>
      <c r="B57" s="2608" t="s">
        <v>68</v>
      </c>
      <c r="C57" s="2578"/>
      <c r="D57" s="2580"/>
      <c r="E57" s="2591">
        <f t="shared" si="36"/>
        <v>0</v>
      </c>
      <c r="F57" s="2155" t="e">
        <f t="shared" si="37"/>
        <v>#DIV/0!</v>
      </c>
      <c r="G57" s="2027"/>
      <c r="H57" s="2061"/>
      <c r="I57" s="2028">
        <f t="shared" si="31"/>
        <v>0</v>
      </c>
      <c r="J57" s="2155">
        <f t="shared" si="28"/>
        <v>0</v>
      </c>
      <c r="K57" s="2062"/>
      <c r="L57" s="2027"/>
      <c r="M57" s="2061"/>
      <c r="N57" s="2028">
        <f t="shared" si="32"/>
        <v>0</v>
      </c>
      <c r="O57" s="2155">
        <f t="shared" si="29"/>
        <v>0</v>
      </c>
      <c r="P57" s="2062"/>
      <c r="Q57" s="2059">
        <f t="shared" si="33"/>
        <v>0</v>
      </c>
      <c r="R57" s="2059">
        <f t="shared" si="34"/>
        <v>0</v>
      </c>
      <c r="S57" s="2028">
        <f t="shared" si="35"/>
        <v>0</v>
      </c>
      <c r="T57" s="2155">
        <f t="shared" si="30"/>
        <v>0</v>
      </c>
      <c r="U57" s="2157"/>
    </row>
    <row r="58" spans="1:21" ht="24.6" customHeight="1" outlineLevel="2" x14ac:dyDescent="0.25">
      <c r="A58" s="1586"/>
      <c r="B58" s="2608" t="s">
        <v>67</v>
      </c>
      <c r="C58" s="2578"/>
      <c r="D58" s="2580"/>
      <c r="E58" s="2591">
        <f t="shared" si="36"/>
        <v>0</v>
      </c>
      <c r="F58" s="2155" t="e">
        <f t="shared" si="37"/>
        <v>#DIV/0!</v>
      </c>
      <c r="G58" s="2027"/>
      <c r="H58" s="2061"/>
      <c r="I58" s="2028">
        <f t="shared" si="31"/>
        <v>0</v>
      </c>
      <c r="J58" s="2155">
        <f t="shared" si="28"/>
        <v>0</v>
      </c>
      <c r="K58" s="2062"/>
      <c r="L58" s="2027"/>
      <c r="M58" s="2061"/>
      <c r="N58" s="2028">
        <f t="shared" si="32"/>
        <v>0</v>
      </c>
      <c r="O58" s="2155">
        <f t="shared" si="29"/>
        <v>0</v>
      </c>
      <c r="P58" s="2062"/>
      <c r="Q58" s="2059">
        <f t="shared" si="33"/>
        <v>0</v>
      </c>
      <c r="R58" s="2059">
        <f t="shared" si="34"/>
        <v>0</v>
      </c>
      <c r="S58" s="2028">
        <f t="shared" si="35"/>
        <v>0</v>
      </c>
      <c r="T58" s="2155">
        <f t="shared" si="30"/>
        <v>0</v>
      </c>
      <c r="U58" s="2157"/>
    </row>
    <row r="59" spans="1:21" ht="24.6" customHeight="1" outlineLevel="2" x14ac:dyDescent="0.25">
      <c r="A59" s="1586"/>
      <c r="B59" s="2608" t="s">
        <v>66</v>
      </c>
      <c r="C59" s="2578"/>
      <c r="D59" s="2580"/>
      <c r="E59" s="2591">
        <f t="shared" si="36"/>
        <v>0</v>
      </c>
      <c r="F59" s="2155" t="e">
        <f t="shared" si="37"/>
        <v>#DIV/0!</v>
      </c>
      <c r="G59" s="2027"/>
      <c r="H59" s="2061"/>
      <c r="I59" s="2028">
        <f t="shared" si="31"/>
        <v>0</v>
      </c>
      <c r="J59" s="2155">
        <f t="shared" si="28"/>
        <v>0</v>
      </c>
      <c r="K59" s="2062"/>
      <c r="L59" s="2027"/>
      <c r="M59" s="2061"/>
      <c r="N59" s="2028">
        <f t="shared" si="32"/>
        <v>0</v>
      </c>
      <c r="O59" s="2155">
        <f t="shared" si="29"/>
        <v>0</v>
      </c>
      <c r="P59" s="2062"/>
      <c r="Q59" s="2059">
        <f t="shared" si="33"/>
        <v>0</v>
      </c>
      <c r="R59" s="2059">
        <f t="shared" si="34"/>
        <v>0</v>
      </c>
      <c r="S59" s="2028">
        <f t="shared" si="35"/>
        <v>0</v>
      </c>
      <c r="T59" s="2155">
        <f t="shared" si="30"/>
        <v>0</v>
      </c>
      <c r="U59" s="2157"/>
    </row>
    <row r="60" spans="1:21" ht="24.6" customHeight="1" outlineLevel="2" x14ac:dyDescent="0.25">
      <c r="A60" s="1586"/>
      <c r="B60" s="2608" t="s">
        <v>65</v>
      </c>
      <c r="C60" s="2578"/>
      <c r="D60" s="2580"/>
      <c r="E60" s="2591">
        <f t="shared" si="36"/>
        <v>0</v>
      </c>
      <c r="F60" s="2155" t="e">
        <f t="shared" si="37"/>
        <v>#DIV/0!</v>
      </c>
      <c r="G60" s="2027"/>
      <c r="H60" s="2061"/>
      <c r="I60" s="2028">
        <f t="shared" si="31"/>
        <v>0</v>
      </c>
      <c r="J60" s="2155">
        <f t="shared" si="28"/>
        <v>0</v>
      </c>
      <c r="K60" s="2062"/>
      <c r="L60" s="2027"/>
      <c r="M60" s="2061"/>
      <c r="N60" s="2028">
        <f t="shared" si="32"/>
        <v>0</v>
      </c>
      <c r="O60" s="2155">
        <f t="shared" si="29"/>
        <v>0</v>
      </c>
      <c r="P60" s="2062"/>
      <c r="Q60" s="2059">
        <f t="shared" si="33"/>
        <v>0</v>
      </c>
      <c r="R60" s="2059">
        <f t="shared" si="34"/>
        <v>0</v>
      </c>
      <c r="S60" s="2028">
        <f t="shared" si="35"/>
        <v>0</v>
      </c>
      <c r="T60" s="2155">
        <f t="shared" si="30"/>
        <v>0</v>
      </c>
      <c r="U60" s="2157"/>
    </row>
    <row r="61" spans="1:21" ht="24.6" customHeight="1" outlineLevel="2" x14ac:dyDescent="0.25">
      <c r="A61" s="1586"/>
      <c r="B61" s="2608" t="s">
        <v>32</v>
      </c>
      <c r="C61" s="2578"/>
      <c r="D61" s="2580"/>
      <c r="E61" s="2591">
        <f t="shared" si="36"/>
        <v>0</v>
      </c>
      <c r="F61" s="2155" t="e">
        <f t="shared" si="37"/>
        <v>#DIV/0!</v>
      </c>
      <c r="G61" s="2027"/>
      <c r="H61" s="2061"/>
      <c r="I61" s="2028">
        <f t="shared" si="31"/>
        <v>0</v>
      </c>
      <c r="J61" s="2155">
        <f t="shared" si="28"/>
        <v>0</v>
      </c>
      <c r="K61" s="2062"/>
      <c r="L61" s="2027"/>
      <c r="M61" s="2061"/>
      <c r="N61" s="2028">
        <f t="shared" si="32"/>
        <v>0</v>
      </c>
      <c r="O61" s="2155">
        <f t="shared" si="29"/>
        <v>0</v>
      </c>
      <c r="P61" s="2062"/>
      <c r="Q61" s="2059">
        <f t="shared" si="33"/>
        <v>0</v>
      </c>
      <c r="R61" s="2059">
        <f t="shared" si="34"/>
        <v>0</v>
      </c>
      <c r="S61" s="2028">
        <f t="shared" si="35"/>
        <v>0</v>
      </c>
      <c r="T61" s="2155">
        <f t="shared" si="30"/>
        <v>0</v>
      </c>
      <c r="U61" s="2157"/>
    </row>
    <row r="62" spans="1:21" ht="24.6" customHeight="1" outlineLevel="2" x14ac:dyDescent="0.25">
      <c r="A62" s="1586"/>
      <c r="B62" s="2608" t="s">
        <v>33</v>
      </c>
      <c r="C62" s="2578"/>
      <c r="D62" s="2580"/>
      <c r="E62" s="2591">
        <f t="shared" si="36"/>
        <v>0</v>
      </c>
      <c r="F62" s="2155" t="e">
        <f t="shared" si="37"/>
        <v>#DIV/0!</v>
      </c>
      <c r="G62" s="2027"/>
      <c r="H62" s="2061"/>
      <c r="I62" s="2028">
        <f t="shared" si="31"/>
        <v>0</v>
      </c>
      <c r="J62" s="2155">
        <f t="shared" si="28"/>
        <v>0</v>
      </c>
      <c r="K62" s="2062"/>
      <c r="L62" s="2027"/>
      <c r="M62" s="2061"/>
      <c r="N62" s="2028">
        <f t="shared" si="32"/>
        <v>0</v>
      </c>
      <c r="O62" s="2155">
        <f t="shared" si="29"/>
        <v>0</v>
      </c>
      <c r="P62" s="2062"/>
      <c r="Q62" s="2059">
        <f t="shared" si="33"/>
        <v>0</v>
      </c>
      <c r="R62" s="2059">
        <f t="shared" si="34"/>
        <v>0</v>
      </c>
      <c r="S62" s="2028">
        <f t="shared" si="35"/>
        <v>0</v>
      </c>
      <c r="T62" s="2155">
        <f t="shared" si="30"/>
        <v>0</v>
      </c>
      <c r="U62" s="2157"/>
    </row>
    <row r="63" spans="1:21" ht="24.6" customHeight="1" outlineLevel="2" x14ac:dyDescent="0.25">
      <c r="A63" s="1586"/>
      <c r="B63" s="2608" t="s">
        <v>35</v>
      </c>
      <c r="C63" s="2578"/>
      <c r="D63" s="2580"/>
      <c r="E63" s="2591">
        <f t="shared" si="36"/>
        <v>0</v>
      </c>
      <c r="F63" s="2155" t="e">
        <f t="shared" si="37"/>
        <v>#DIV/0!</v>
      </c>
      <c r="G63" s="2027"/>
      <c r="H63" s="1967"/>
      <c r="I63" s="2028">
        <f t="shared" si="31"/>
        <v>0</v>
      </c>
      <c r="J63" s="2155">
        <f t="shared" si="28"/>
        <v>0</v>
      </c>
      <c r="K63" s="2062"/>
      <c r="L63" s="2027"/>
      <c r="M63" s="1967"/>
      <c r="N63" s="2028">
        <f>L63+M63*1</f>
        <v>0</v>
      </c>
      <c r="O63" s="2155">
        <f t="shared" si="29"/>
        <v>0</v>
      </c>
      <c r="P63" s="2062"/>
      <c r="Q63" s="2059">
        <f t="shared" si="33"/>
        <v>0</v>
      </c>
      <c r="R63" s="2059">
        <f t="shared" si="34"/>
        <v>0</v>
      </c>
      <c r="S63" s="2028">
        <f t="shared" si="35"/>
        <v>0</v>
      </c>
      <c r="T63" s="2155">
        <f t="shared" si="30"/>
        <v>0</v>
      </c>
      <c r="U63" s="2157"/>
    </row>
    <row r="64" spans="1:21" ht="24.6" customHeight="1" outlineLevel="2" x14ac:dyDescent="0.25">
      <c r="A64" s="1586"/>
      <c r="B64" s="2608" t="s">
        <v>63</v>
      </c>
      <c r="C64" s="2578"/>
      <c r="D64" s="2580"/>
      <c r="E64" s="2591">
        <f t="shared" si="36"/>
        <v>0</v>
      </c>
      <c r="F64" s="2155" t="e">
        <f t="shared" si="37"/>
        <v>#DIV/0!</v>
      </c>
      <c r="G64" s="2027"/>
      <c r="H64" s="2061"/>
      <c r="I64" s="2028">
        <f t="shared" si="31"/>
        <v>0</v>
      </c>
      <c r="J64" s="2155">
        <f t="shared" si="28"/>
        <v>0</v>
      </c>
      <c r="K64" s="2062"/>
      <c r="L64" s="2027"/>
      <c r="M64" s="2061"/>
      <c r="N64" s="2028">
        <f>L64+M64*1</f>
        <v>0</v>
      </c>
      <c r="O64" s="2155">
        <f t="shared" si="29"/>
        <v>0</v>
      </c>
      <c r="P64" s="2062"/>
      <c r="Q64" s="2059">
        <f t="shared" si="33"/>
        <v>0</v>
      </c>
      <c r="R64" s="2059">
        <f t="shared" si="34"/>
        <v>0</v>
      </c>
      <c r="S64" s="2028">
        <f t="shared" si="35"/>
        <v>0</v>
      </c>
      <c r="T64" s="2155">
        <f t="shared" si="30"/>
        <v>0</v>
      </c>
      <c r="U64" s="2157"/>
    </row>
    <row r="65" spans="1:23" ht="24.6" customHeight="1" outlineLevel="2" x14ac:dyDescent="0.25">
      <c r="A65" s="1586"/>
      <c r="B65" s="2608" t="s">
        <v>36</v>
      </c>
      <c r="C65" s="2578"/>
      <c r="D65" s="2580"/>
      <c r="E65" s="2591">
        <f t="shared" si="36"/>
        <v>0</v>
      </c>
      <c r="F65" s="2155" t="e">
        <f t="shared" si="37"/>
        <v>#DIV/0!</v>
      </c>
      <c r="G65" s="2027"/>
      <c r="H65" s="2061"/>
      <c r="I65" s="2028">
        <f t="shared" si="31"/>
        <v>0</v>
      </c>
      <c r="J65" s="2155">
        <f t="shared" si="28"/>
        <v>0</v>
      </c>
      <c r="K65" s="2062"/>
      <c r="L65" s="2061"/>
      <c r="M65" s="2061"/>
      <c r="N65" s="2028">
        <f t="shared" ref="N65:N71" si="38">L65+M65*1</f>
        <v>0</v>
      </c>
      <c r="O65" s="2155">
        <f t="shared" si="29"/>
        <v>0</v>
      </c>
      <c r="P65" s="2062"/>
      <c r="Q65" s="2059">
        <f t="shared" si="33"/>
        <v>0</v>
      </c>
      <c r="R65" s="2059">
        <f t="shared" si="34"/>
        <v>0</v>
      </c>
      <c r="S65" s="2028">
        <f t="shared" si="35"/>
        <v>0</v>
      </c>
      <c r="T65" s="2155">
        <f t="shared" si="30"/>
        <v>0</v>
      </c>
      <c r="U65" s="2157"/>
    </row>
    <row r="66" spans="1:23" s="1411" customFormat="1" ht="24.6" customHeight="1" outlineLevel="2" x14ac:dyDescent="0.25">
      <c r="A66" s="1586"/>
      <c r="B66" s="2608" t="s">
        <v>37</v>
      </c>
      <c r="C66" s="2578"/>
      <c r="D66" s="2580"/>
      <c r="E66" s="2591">
        <f t="shared" si="36"/>
        <v>0</v>
      </c>
      <c r="F66" s="2155" t="e">
        <f t="shared" si="37"/>
        <v>#DIV/0!</v>
      </c>
      <c r="G66" s="2027"/>
      <c r="H66" s="2059"/>
      <c r="I66" s="2028">
        <f t="shared" si="31"/>
        <v>0</v>
      </c>
      <c r="J66" s="2155">
        <f t="shared" si="28"/>
        <v>0</v>
      </c>
      <c r="K66" s="2062"/>
      <c r="L66" s="2027"/>
      <c r="M66" s="2059"/>
      <c r="N66" s="2028">
        <f t="shared" si="38"/>
        <v>0</v>
      </c>
      <c r="O66" s="2155">
        <f t="shared" si="29"/>
        <v>0</v>
      </c>
      <c r="P66" s="2062"/>
      <c r="Q66" s="2059">
        <f t="shared" si="33"/>
        <v>0</v>
      </c>
      <c r="R66" s="2059">
        <f t="shared" si="34"/>
        <v>0</v>
      </c>
      <c r="S66" s="2028">
        <f t="shared" si="35"/>
        <v>0</v>
      </c>
      <c r="T66" s="2155">
        <f t="shared" si="30"/>
        <v>0</v>
      </c>
      <c r="U66" s="2157"/>
    </row>
    <row r="67" spans="1:23" s="1411" customFormat="1" ht="24.6" customHeight="1" outlineLevel="2" x14ac:dyDescent="0.25">
      <c r="A67" s="1586"/>
      <c r="B67" s="2608" t="s">
        <v>3</v>
      </c>
      <c r="C67" s="2578"/>
      <c r="D67" s="2580"/>
      <c r="E67" s="2591">
        <f t="shared" si="36"/>
        <v>0</v>
      </c>
      <c r="F67" s="2155" t="e">
        <f t="shared" si="37"/>
        <v>#DIV/0!</v>
      </c>
      <c r="G67" s="2027"/>
      <c r="H67" s="2027"/>
      <c r="I67" s="2028">
        <f t="shared" si="31"/>
        <v>0</v>
      </c>
      <c r="J67" s="2155">
        <f t="shared" si="28"/>
        <v>0</v>
      </c>
      <c r="K67" s="2062"/>
      <c r="L67" s="2027"/>
      <c r="M67" s="2027"/>
      <c r="N67" s="2028">
        <f t="shared" si="38"/>
        <v>0</v>
      </c>
      <c r="O67" s="2155">
        <f t="shared" si="29"/>
        <v>0</v>
      </c>
      <c r="P67" s="2062"/>
      <c r="Q67" s="2059">
        <f t="shared" si="33"/>
        <v>0</v>
      </c>
      <c r="R67" s="2059">
        <f t="shared" si="34"/>
        <v>0</v>
      </c>
      <c r="S67" s="2028">
        <f t="shared" si="35"/>
        <v>0</v>
      </c>
      <c r="T67" s="2155">
        <f t="shared" si="30"/>
        <v>0</v>
      </c>
      <c r="U67" s="2157"/>
    </row>
    <row r="68" spans="1:23" s="1411" customFormat="1" ht="24.6" customHeight="1" outlineLevel="2" x14ac:dyDescent="0.25">
      <c r="A68" s="1586"/>
      <c r="B68" s="2608" t="s">
        <v>5</v>
      </c>
      <c r="C68" s="2578"/>
      <c r="D68" s="2580"/>
      <c r="E68" s="2591">
        <f t="shared" si="36"/>
        <v>0</v>
      </c>
      <c r="F68" s="2155" t="e">
        <f t="shared" si="37"/>
        <v>#DIV/0!</v>
      </c>
      <c r="G68" s="2027"/>
      <c r="H68" s="2059"/>
      <c r="I68" s="2028">
        <f t="shared" si="31"/>
        <v>0</v>
      </c>
      <c r="J68" s="2155">
        <f t="shared" si="28"/>
        <v>0</v>
      </c>
      <c r="K68" s="2062"/>
      <c r="L68" s="2059"/>
      <c r="M68" s="2059"/>
      <c r="N68" s="2028">
        <f t="shared" si="38"/>
        <v>0</v>
      </c>
      <c r="O68" s="2155">
        <f t="shared" si="29"/>
        <v>0</v>
      </c>
      <c r="P68" s="2062"/>
      <c r="Q68" s="2059">
        <f t="shared" si="33"/>
        <v>0</v>
      </c>
      <c r="R68" s="2059">
        <f t="shared" si="34"/>
        <v>0</v>
      </c>
      <c r="S68" s="2028">
        <f t="shared" si="35"/>
        <v>0</v>
      </c>
      <c r="T68" s="2155">
        <f t="shared" si="30"/>
        <v>0</v>
      </c>
      <c r="U68" s="2157"/>
    </row>
    <row r="69" spans="1:23" s="1411" customFormat="1" ht="24.6" customHeight="1" outlineLevel="2" x14ac:dyDescent="0.25">
      <c r="A69" s="1586"/>
      <c r="B69" s="2608" t="s">
        <v>42</v>
      </c>
      <c r="C69" s="2578"/>
      <c r="D69" s="2580"/>
      <c r="E69" s="2591">
        <f t="shared" si="36"/>
        <v>0</v>
      </c>
      <c r="F69" s="2155" t="e">
        <f t="shared" si="37"/>
        <v>#DIV/0!</v>
      </c>
      <c r="G69" s="2027"/>
      <c r="H69" s="2059"/>
      <c r="I69" s="2028">
        <f t="shared" si="31"/>
        <v>0</v>
      </c>
      <c r="J69" s="2155">
        <f t="shared" si="28"/>
        <v>0</v>
      </c>
      <c r="K69" s="2505"/>
      <c r="L69" s="2027"/>
      <c r="M69" s="2059"/>
      <c r="N69" s="2028">
        <f t="shared" si="38"/>
        <v>0</v>
      </c>
      <c r="O69" s="2155">
        <f t="shared" si="29"/>
        <v>0</v>
      </c>
      <c r="P69" s="2505"/>
      <c r="Q69" s="2059">
        <f t="shared" si="33"/>
        <v>0</v>
      </c>
      <c r="R69" s="2059">
        <f t="shared" si="34"/>
        <v>0</v>
      </c>
      <c r="S69" s="2028">
        <f t="shared" si="35"/>
        <v>0</v>
      </c>
      <c r="T69" s="2155">
        <f t="shared" si="30"/>
        <v>0</v>
      </c>
      <c r="U69" s="2157"/>
    </row>
    <row r="70" spans="1:23" s="1411" customFormat="1" ht="24.6" customHeight="1" outlineLevel="2" x14ac:dyDescent="0.25">
      <c r="A70" s="1586"/>
      <c r="B70" s="2608" t="s">
        <v>6</v>
      </c>
      <c r="C70" s="2597"/>
      <c r="D70" s="2580"/>
      <c r="E70" s="2591">
        <f t="shared" si="36"/>
        <v>0</v>
      </c>
      <c r="F70" s="2155" t="e">
        <f t="shared" si="37"/>
        <v>#DIV/0!</v>
      </c>
      <c r="G70" s="2027"/>
      <c r="H70" s="2067"/>
      <c r="I70" s="2028">
        <f t="shared" si="31"/>
        <v>0</v>
      </c>
      <c r="J70" s="2155">
        <f t="shared" si="28"/>
        <v>0</v>
      </c>
      <c r="K70" s="2062"/>
      <c r="L70" s="2027"/>
      <c r="M70" s="2067"/>
      <c r="N70" s="2028">
        <f t="shared" si="38"/>
        <v>0</v>
      </c>
      <c r="O70" s="2155">
        <f t="shared" si="29"/>
        <v>0</v>
      </c>
      <c r="P70" s="2062"/>
      <c r="Q70" s="2059">
        <f t="shared" si="33"/>
        <v>0</v>
      </c>
      <c r="R70" s="2059">
        <f t="shared" si="34"/>
        <v>0</v>
      </c>
      <c r="S70" s="2028">
        <f t="shared" si="35"/>
        <v>0</v>
      </c>
      <c r="T70" s="2155">
        <f>S70/$S$89</f>
        <v>0</v>
      </c>
      <c r="U70" s="2157"/>
    </row>
    <row r="71" spans="1:23" s="1411" customFormat="1" ht="24.6" customHeight="1" outlineLevel="2" x14ac:dyDescent="0.25">
      <c r="A71" s="1586"/>
      <c r="B71" s="2608" t="s">
        <v>234</v>
      </c>
      <c r="C71" s="2597"/>
      <c r="D71" s="2580"/>
      <c r="E71" s="2591">
        <f t="shared" si="36"/>
        <v>0</v>
      </c>
      <c r="F71" s="2033" t="e">
        <f t="shared" si="37"/>
        <v>#DIV/0!</v>
      </c>
      <c r="G71" s="2067"/>
      <c r="H71" s="2059"/>
      <c r="I71" s="2028">
        <f t="shared" si="31"/>
        <v>0</v>
      </c>
      <c r="J71" s="2155">
        <f t="shared" si="28"/>
        <v>0</v>
      </c>
      <c r="K71" s="2062"/>
      <c r="L71" s="2067"/>
      <c r="M71" s="2059"/>
      <c r="N71" s="2028">
        <f t="shared" si="38"/>
        <v>0</v>
      </c>
      <c r="O71" s="2155">
        <f t="shared" si="29"/>
        <v>0</v>
      </c>
      <c r="P71" s="2062"/>
      <c r="Q71" s="2059">
        <f t="shared" si="33"/>
        <v>0</v>
      </c>
      <c r="R71" s="2059">
        <f t="shared" si="34"/>
        <v>0</v>
      </c>
      <c r="S71" s="2028">
        <f t="shared" si="35"/>
        <v>0</v>
      </c>
      <c r="T71" s="2155">
        <f t="shared" si="30"/>
        <v>0</v>
      </c>
      <c r="U71" s="2157"/>
    </row>
    <row r="72" spans="1:23" s="1411" customFormat="1" ht="24.6" customHeight="1" outlineLevel="2" thickBot="1" x14ac:dyDescent="0.3">
      <c r="A72" s="1586"/>
      <c r="B72" s="2617"/>
      <c r="C72" s="2508"/>
      <c r="D72" s="2509"/>
      <c r="E72" s="2591"/>
      <c r="F72" s="2033" t="e">
        <f t="shared" si="37"/>
        <v>#DIV/0!</v>
      </c>
      <c r="G72" s="2045"/>
      <c r="H72" s="2043"/>
      <c r="I72" s="2046"/>
      <c r="J72" s="2033"/>
      <c r="K72" s="2006"/>
      <c r="L72" s="2045"/>
      <c r="M72" s="2043"/>
      <c r="N72" s="2046"/>
      <c r="O72" s="2033"/>
      <c r="P72" s="2006"/>
      <c r="Q72" s="2059"/>
      <c r="R72" s="2059"/>
      <c r="S72" s="2046"/>
      <c r="T72" s="2033">
        <f>S72/$S$89</f>
        <v>0</v>
      </c>
      <c r="U72" s="1944"/>
    </row>
    <row r="73" spans="1:23" s="1411" customFormat="1" ht="14.4" customHeight="1" outlineLevel="1" thickBot="1" x14ac:dyDescent="0.3">
      <c r="A73" s="1586"/>
      <c r="B73" s="996" t="s">
        <v>4</v>
      </c>
      <c r="C73" s="1599">
        <f>C74</f>
        <v>0</v>
      </c>
      <c r="D73" s="843">
        <f>D74</f>
        <v>0</v>
      </c>
      <c r="E73" s="1599">
        <f>E74</f>
        <v>0</v>
      </c>
      <c r="F73" s="838" t="e">
        <f>E73/$E$89</f>
        <v>#DIV/0!</v>
      </c>
      <c r="G73" s="1599">
        <f>G74</f>
        <v>0</v>
      </c>
      <c r="H73" s="1599">
        <f>H74</f>
        <v>0</v>
      </c>
      <c r="I73" s="1703">
        <f>I74</f>
        <v>0</v>
      </c>
      <c r="J73" s="1704">
        <f t="shared" ref="J73:J74" si="39">I73/I$89</f>
        <v>0</v>
      </c>
      <c r="K73" s="1747"/>
      <c r="L73" s="1599">
        <f>L74</f>
        <v>0</v>
      </c>
      <c r="M73" s="1599">
        <f>M74</f>
        <v>0</v>
      </c>
      <c r="N73" s="1703">
        <f>N74</f>
        <v>0</v>
      </c>
      <c r="O73" s="1704">
        <f t="shared" ref="O73:O74" si="40">N73/N$89</f>
        <v>0</v>
      </c>
      <c r="P73" s="1747"/>
      <c r="Q73" s="1599">
        <f>Q74</f>
        <v>0</v>
      </c>
      <c r="R73" s="1704">
        <f>R74</f>
        <v>0</v>
      </c>
      <c r="S73" s="1703">
        <f>S74</f>
        <v>0</v>
      </c>
      <c r="T73" s="1704"/>
      <c r="U73" s="1704"/>
    </row>
    <row r="74" spans="1:23" s="1411" customFormat="1" ht="14.4" customHeight="1" outlineLevel="1" thickBot="1" x14ac:dyDescent="0.3">
      <c r="A74" s="1428"/>
      <c r="B74" s="995" t="s">
        <v>64</v>
      </c>
      <c r="C74" s="304"/>
      <c r="D74" s="305"/>
      <c r="E74" s="306">
        <f>C74+D74</f>
        <v>0</v>
      </c>
      <c r="F74" s="307"/>
      <c r="G74" s="2044"/>
      <c r="H74" s="2041"/>
      <c r="I74" s="1643">
        <f>G74+H74*1</f>
        <v>0</v>
      </c>
      <c r="J74" s="1679">
        <f t="shared" si="39"/>
        <v>0</v>
      </c>
      <c r="K74" s="1690"/>
      <c r="L74" s="2044"/>
      <c r="M74" s="2041"/>
      <c r="N74" s="1643">
        <f>L74+M74*1</f>
        <v>0</v>
      </c>
      <c r="O74" s="1679">
        <f t="shared" si="40"/>
        <v>0</v>
      </c>
      <c r="P74" s="1690"/>
      <c r="Q74" s="2059">
        <f>G74+L74</f>
        <v>0</v>
      </c>
      <c r="R74" s="2059">
        <f>H74+M74</f>
        <v>0</v>
      </c>
      <c r="S74" s="1643">
        <f>Q74+R74*1</f>
        <v>0</v>
      </c>
      <c r="T74" s="1679">
        <f>S74/$S$89</f>
        <v>0</v>
      </c>
      <c r="U74" s="1663"/>
    </row>
    <row r="75" spans="1:23" s="1411" customFormat="1" ht="14.4" customHeight="1" thickBot="1" x14ac:dyDescent="0.3">
      <c r="A75" s="1414"/>
      <c r="B75" s="981" t="s">
        <v>48</v>
      </c>
      <c r="C75" s="1974">
        <f>C38-C41-C50-C54</f>
        <v>0</v>
      </c>
      <c r="D75" s="1974">
        <f>D38-D41-D50-D54</f>
        <v>0</v>
      </c>
      <c r="E75" s="1523">
        <f>E38-E41-E50-E54</f>
        <v>0</v>
      </c>
      <c r="F75" s="1551"/>
      <c r="G75" s="1465">
        <f>G38-G41-G50-G54</f>
        <v>-37527.199999999997</v>
      </c>
      <c r="H75" s="1465">
        <f>H38-H41-H50-H54</f>
        <v>0</v>
      </c>
      <c r="I75" s="1523">
        <f>I38-I41-I50-I54</f>
        <v>-37527.199999999997</v>
      </c>
      <c r="J75" s="1969"/>
      <c r="K75" s="1675"/>
      <c r="L75" s="1465">
        <f>L38-L41-L50-L54</f>
        <v>276715.52999999997</v>
      </c>
      <c r="M75" s="1465">
        <f>M38-M41-M50-M54</f>
        <v>-74675</v>
      </c>
      <c r="N75" s="1523">
        <f>N38-N41-N50-N54</f>
        <v>202040.53</v>
      </c>
      <c r="O75" s="1969"/>
      <c r="P75" s="1675"/>
      <c r="Q75" s="1465">
        <f>Q38-Q41-Q50-Q54</f>
        <v>239188.33</v>
      </c>
      <c r="R75" s="1465">
        <f>R38-R41-R50-R54</f>
        <v>-74675</v>
      </c>
      <c r="S75" s="1523">
        <f>S38-S41-S50-S54</f>
        <v>164513.32999999999</v>
      </c>
      <c r="T75" s="1969"/>
      <c r="U75" s="1969"/>
    </row>
    <row r="76" spans="1:23" s="1411" customFormat="1" ht="14.4" customHeight="1" x14ac:dyDescent="0.25">
      <c r="A76" s="1581"/>
      <c r="B76" s="982" t="s">
        <v>49</v>
      </c>
      <c r="C76" s="1540" t="e">
        <f>C75/C5</f>
        <v>#DIV/0!</v>
      </c>
      <c r="D76" s="1540" t="e">
        <f>D75/D5</f>
        <v>#DIV/0!</v>
      </c>
      <c r="E76" s="1541" t="e">
        <f>E75/E5</f>
        <v>#DIV/0!</v>
      </c>
      <c r="F76" s="1546"/>
      <c r="G76" s="2019" t="e">
        <f>G75/G5</f>
        <v>#DIV/0!</v>
      </c>
      <c r="H76" s="2019" t="e">
        <f>H75/H5</f>
        <v>#DIV/0!</v>
      </c>
      <c r="I76" s="2020" t="e">
        <f>I75/I5</f>
        <v>#DIV/0!</v>
      </c>
      <c r="J76" s="2020"/>
      <c r="K76" s="1676"/>
      <c r="L76" s="2019">
        <f>L75/L5</f>
        <v>0.99833110919184775</v>
      </c>
      <c r="M76" s="2019" t="e">
        <f>M75/M5</f>
        <v>#DIV/0!</v>
      </c>
      <c r="N76" s="2020">
        <f>N75/N5</f>
        <v>0.72891950233732383</v>
      </c>
      <c r="O76" s="2020"/>
      <c r="P76" s="1676"/>
      <c r="Q76" s="2019">
        <f>Q75/Q5</f>
        <v>0.86294090828456838</v>
      </c>
      <c r="R76" s="2019" t="e">
        <f>R75/R5</f>
        <v>#DIV/0!</v>
      </c>
      <c r="S76" s="2020">
        <f>S75/S5</f>
        <v>0.59352930143004434</v>
      </c>
      <c r="T76" s="2020"/>
      <c r="U76" s="2020"/>
    </row>
    <row r="77" spans="1:23" s="1411" customFormat="1" ht="14.4" customHeight="1" outlineLevel="1" thickBot="1" x14ac:dyDescent="0.3">
      <c r="A77" s="1581"/>
      <c r="B77" s="2618" t="s">
        <v>9</v>
      </c>
      <c r="C77" s="2536">
        <f>C78-C79</f>
        <v>0</v>
      </c>
      <c r="D77" s="2536">
        <f>D78-D79</f>
        <v>0</v>
      </c>
      <c r="E77" s="2537">
        <f>E78-E79</f>
        <v>0</v>
      </c>
      <c r="F77" s="2567"/>
      <c r="G77" s="2536">
        <f>G78-G79</f>
        <v>0</v>
      </c>
      <c r="H77" s="2536">
        <f>H78-H79</f>
        <v>0</v>
      </c>
      <c r="I77" s="2537">
        <f>I78-I79</f>
        <v>-3047.4</v>
      </c>
      <c r="J77" s="2538"/>
      <c r="K77" s="2539"/>
      <c r="L77" s="2536">
        <f>L78-L79</f>
        <v>0</v>
      </c>
      <c r="M77" s="2536">
        <f>M78-M79</f>
        <v>0</v>
      </c>
      <c r="N77" s="2537">
        <f>N78-N79</f>
        <v>-5913.6</v>
      </c>
      <c r="O77" s="2538">
        <f t="shared" ref="O77" si="41">N77/N$89</f>
        <v>-7.2961306670674006E-2</v>
      </c>
      <c r="P77" s="2539"/>
      <c r="Q77" s="2536">
        <f>Q78-Q79</f>
        <v>0</v>
      </c>
      <c r="R77" s="2536">
        <f>R79</f>
        <v>0</v>
      </c>
      <c r="S77" s="2537">
        <f>S78-S79</f>
        <v>-8961</v>
      </c>
      <c r="T77" s="2538"/>
      <c r="U77" s="2538"/>
    </row>
    <row r="78" spans="1:23" s="1411" customFormat="1" ht="14.4" customHeight="1" outlineLevel="2" x14ac:dyDescent="0.25">
      <c r="A78" s="1420"/>
      <c r="B78" s="1637" t="s">
        <v>43</v>
      </c>
      <c r="C78" s="1525"/>
      <c r="D78" s="1526"/>
      <c r="E78" s="2523">
        <f>C78+D78*1.15</f>
        <v>0</v>
      </c>
      <c r="F78" s="1562"/>
      <c r="G78" s="2067"/>
      <c r="H78" s="2059"/>
      <c r="I78" s="1467">
        <f>G78+H78*1.15</f>
        <v>0</v>
      </c>
      <c r="J78" s="2155"/>
      <c r="K78" s="1677"/>
      <c r="L78" s="1633"/>
      <c r="M78" s="1689"/>
      <c r="N78" s="1467">
        <f>L78+M78*1.15</f>
        <v>0</v>
      </c>
      <c r="O78" s="2155" t="e">
        <f>N78/$AN$89</f>
        <v>#DIV/0!</v>
      </c>
      <c r="P78" s="1677"/>
      <c r="Q78" s="2059">
        <f t="shared" ref="Q78:Q79" si="42">G78+L78</f>
        <v>0</v>
      </c>
      <c r="R78" s="2059">
        <f t="shared" ref="R78:R79" si="43">H78+M78</f>
        <v>0</v>
      </c>
      <c r="S78" s="2028">
        <f>Q78+R78*1</f>
        <v>0</v>
      </c>
      <c r="T78" s="1467"/>
      <c r="U78" s="1467"/>
    </row>
    <row r="79" spans="1:23" s="1411" customFormat="1" ht="14.4" customHeight="1" outlineLevel="2" x14ac:dyDescent="0.25">
      <c r="A79" s="1420"/>
      <c r="B79" s="2577" t="s">
        <v>79</v>
      </c>
      <c r="C79" s="2811"/>
      <c r="D79" s="2826"/>
      <c r="E79" s="2826">
        <f>C79+D79</f>
        <v>0</v>
      </c>
      <c r="F79" s="2831" t="e">
        <f>E79/$E$89</f>
        <v>#DIV/0!</v>
      </c>
      <c r="G79" s="2067"/>
      <c r="H79" s="2059">
        <v>0</v>
      </c>
      <c r="I79" s="3102">
        <v>3047.4</v>
      </c>
      <c r="J79" s="2809">
        <f>I79/I$89</f>
        <v>7.5106100861129871E-2</v>
      </c>
      <c r="K79" s="2832"/>
      <c r="L79" s="1633"/>
      <c r="M79" s="1689"/>
      <c r="N79" s="3102">
        <v>5913.6</v>
      </c>
      <c r="O79" s="2809">
        <f t="shared" ref="O79" si="44">N79/N$89</f>
        <v>7.2961306670674006E-2</v>
      </c>
      <c r="P79" s="2654" t="s">
        <v>1710</v>
      </c>
      <c r="Q79" s="2059">
        <f t="shared" si="42"/>
        <v>0</v>
      </c>
      <c r="R79" s="2059">
        <f t="shared" si="43"/>
        <v>0</v>
      </c>
      <c r="S79" s="2059">
        <f>I79+N79</f>
        <v>8961</v>
      </c>
      <c r="T79" s="2164"/>
      <c r="U79" s="2164"/>
      <c r="V79" s="3166">
        <v>8961</v>
      </c>
      <c r="W79" s="3166">
        <f>V79-S79</f>
        <v>0</v>
      </c>
    </row>
    <row r="80" spans="1:23" ht="14.4" customHeight="1" outlineLevel="2" x14ac:dyDescent="0.25">
      <c r="A80" s="1412"/>
      <c r="B80" s="2619"/>
      <c r="C80" s="2602"/>
      <c r="D80" s="2603"/>
      <c r="E80" s="2511"/>
      <c r="F80" s="2512"/>
      <c r="G80" s="2067"/>
      <c r="H80" s="2059"/>
      <c r="I80" s="2482"/>
      <c r="J80" s="2482"/>
      <c r="K80" s="2540"/>
      <c r="L80" s="2067"/>
      <c r="M80" s="2059"/>
      <c r="N80" s="2482"/>
      <c r="O80" s="2482"/>
      <c r="P80" s="2540"/>
      <c r="Q80" s="2059"/>
      <c r="R80" s="2059"/>
      <c r="S80" s="2482"/>
      <c r="T80" s="2482"/>
      <c r="U80" s="2482"/>
    </row>
    <row r="81" spans="1:21" s="1411" customFormat="1" ht="14.4" customHeight="1" outlineLevel="1" thickBot="1" x14ac:dyDescent="0.3">
      <c r="A81" s="1434"/>
      <c r="B81" s="2618" t="s">
        <v>12</v>
      </c>
      <c r="C81" s="2536">
        <f>(C75+C78)-C79</f>
        <v>0</v>
      </c>
      <c r="D81" s="2536">
        <f>(D75+D78)-D79</f>
        <v>0</v>
      </c>
      <c r="E81" s="2537">
        <f>(E75+E78)-E79</f>
        <v>0</v>
      </c>
      <c r="F81" s="2567"/>
      <c r="G81" s="2536">
        <f>(G75+G78)-G79</f>
        <v>-37527.199999999997</v>
      </c>
      <c r="H81" s="2536">
        <f>(H75+H78)-H79</f>
        <v>0</v>
      </c>
      <c r="I81" s="2537">
        <f>(I75+I78)-I79</f>
        <v>-40574.6</v>
      </c>
      <c r="J81" s="2538"/>
      <c r="K81" s="2539"/>
      <c r="L81" s="2536">
        <f>(L75+L78)-L79</f>
        <v>276715.52999999997</v>
      </c>
      <c r="M81" s="2536">
        <f>(M75+M78)-M79</f>
        <v>-74675</v>
      </c>
      <c r="N81" s="2537">
        <f>(N75+N78)-N79</f>
        <v>196126.93</v>
      </c>
      <c r="O81" s="2538"/>
      <c r="P81" s="2539"/>
      <c r="Q81" s="2537">
        <f>(Q75+Q78)-Q79</f>
        <v>239188.33</v>
      </c>
      <c r="R81" s="2537">
        <f>(R75+R78)-R79</f>
        <v>-74675</v>
      </c>
      <c r="S81" s="2537">
        <f>(S75+S78)-S79</f>
        <v>155552.32999999999</v>
      </c>
      <c r="T81" s="2538"/>
      <c r="U81" s="2538"/>
    </row>
    <row r="82" spans="1:21" s="1411" customFormat="1" ht="14.4" customHeight="1" outlineLevel="2" x14ac:dyDescent="0.25">
      <c r="A82" s="1580"/>
      <c r="B82" s="1637" t="s">
        <v>38</v>
      </c>
      <c r="C82" s="1525"/>
      <c r="D82" s="1526"/>
      <c r="E82" s="1530">
        <f>C82+D82</f>
        <v>0</v>
      </c>
      <c r="F82" s="2504" t="e">
        <f>E82/$E$89</f>
        <v>#DIV/0!</v>
      </c>
      <c r="G82" s="2067"/>
      <c r="H82" s="2059"/>
      <c r="I82" s="1530">
        <f>G82+H82</f>
        <v>0</v>
      </c>
      <c r="J82" s="1491"/>
      <c r="K82" s="2062"/>
      <c r="L82" s="2067"/>
      <c r="M82" s="2059"/>
      <c r="N82" s="1530">
        <f>L82+M82</f>
        <v>0</v>
      </c>
      <c r="O82" s="1491"/>
      <c r="P82" s="2062"/>
      <c r="Q82" s="2059">
        <f>G82+L82</f>
        <v>0</v>
      </c>
      <c r="R82" s="2059">
        <f>H82+M82</f>
        <v>0</v>
      </c>
      <c r="S82" s="1530">
        <f>Q82+R82</f>
        <v>0</v>
      </c>
      <c r="T82" s="1491"/>
      <c r="U82" s="1491"/>
    </row>
    <row r="83" spans="1:21" s="1411" customFormat="1" ht="14.4" customHeight="1" outlineLevel="1" x14ac:dyDescent="0.25">
      <c r="A83" s="1420"/>
      <c r="B83" s="2620" t="s">
        <v>13</v>
      </c>
      <c r="C83" s="2541">
        <f t="shared" ref="C83:E83" si="45">(C81)-C36</f>
        <v>0</v>
      </c>
      <c r="D83" s="2541">
        <f t="shared" si="45"/>
        <v>0</v>
      </c>
      <c r="E83" s="2541">
        <f t="shared" si="45"/>
        <v>0</v>
      </c>
      <c r="F83" s="2570"/>
      <c r="G83" s="2541">
        <f>(G81+G7)-G36</f>
        <v>-37527.199999999997</v>
      </c>
      <c r="H83" s="2541">
        <f>(H81+H7)-H36</f>
        <v>0</v>
      </c>
      <c r="I83" s="2542">
        <f>(I81+I7)-I36</f>
        <v>-40574.6</v>
      </c>
      <c r="J83" s="2543"/>
      <c r="K83" s="2544"/>
      <c r="L83" s="2541">
        <f>(L81+L7)-L36</f>
        <v>276715.52999999997</v>
      </c>
      <c r="M83" s="2541">
        <f>(M81+M7)-M36</f>
        <v>-74675</v>
      </c>
      <c r="N83" s="2542">
        <f>(N81+N7)-N36</f>
        <v>196126.93</v>
      </c>
      <c r="O83" s="2543"/>
      <c r="P83" s="2544"/>
      <c r="Q83" s="2541">
        <f>(Q81)-Q36</f>
        <v>239188.33</v>
      </c>
      <c r="R83" s="2541">
        <f>(R81)-R36</f>
        <v>-74675</v>
      </c>
      <c r="S83" s="2542">
        <f>(S81)-S36</f>
        <v>155552.32999999999</v>
      </c>
      <c r="T83" s="2543"/>
      <c r="U83" s="2543"/>
    </row>
    <row r="84" spans="1:21" s="1411" customFormat="1" ht="14.4" customHeight="1" outlineLevel="1" thickBot="1" x14ac:dyDescent="0.3">
      <c r="A84" s="1420"/>
      <c r="B84" s="2621" t="s">
        <v>14</v>
      </c>
      <c r="C84" s="2560">
        <f>C83-C73-C82</f>
        <v>0</v>
      </c>
      <c r="D84" s="2560">
        <f>D83-D73-D82</f>
        <v>0</v>
      </c>
      <c r="E84" s="2560">
        <f>E83-E73-E82</f>
        <v>0</v>
      </c>
      <c r="F84" s="2571"/>
      <c r="G84" s="2518">
        <f>G83-G73-G82</f>
        <v>-37527.199999999997</v>
      </c>
      <c r="H84" s="2518">
        <f>H83-H73-H82</f>
        <v>0</v>
      </c>
      <c r="I84" s="2518">
        <f>I83-I73-I82</f>
        <v>-40574.6</v>
      </c>
      <c r="J84" s="2519"/>
      <c r="K84" s="2545"/>
      <c r="L84" s="2518">
        <f>L83-L73-L82</f>
        <v>276715.52999999997</v>
      </c>
      <c r="M84" s="2518">
        <f>M83-M73-M82</f>
        <v>-74675</v>
      </c>
      <c r="N84" s="2518">
        <f>N83-N73-N82</f>
        <v>196126.93</v>
      </c>
      <c r="O84" s="2519"/>
      <c r="P84" s="2545"/>
      <c r="Q84" s="2518">
        <f>Q83-Q73-Q82</f>
        <v>239188.33</v>
      </c>
      <c r="R84" s="2518">
        <f>R83-R73-R82</f>
        <v>-74675</v>
      </c>
      <c r="S84" s="2518">
        <f>S83-S73-S82</f>
        <v>155552.32999999999</v>
      </c>
      <c r="T84" s="2519"/>
      <c r="U84" s="2519"/>
    </row>
    <row r="85" spans="1:21" s="1411" customFormat="1" ht="14.4" customHeight="1" outlineLevel="3" x14ac:dyDescent="0.25">
      <c r="A85" s="1580"/>
      <c r="B85" s="1439" t="s">
        <v>44</v>
      </c>
      <c r="C85" s="1501"/>
      <c r="D85" s="1101"/>
      <c r="E85" s="1102">
        <f>C85+D85</f>
        <v>0</v>
      </c>
      <c r="F85" s="1602" t="e">
        <f>E85/$E$89</f>
        <v>#DIV/0!</v>
      </c>
      <c r="G85" s="2067"/>
      <c r="H85" s="2059"/>
      <c r="I85" s="2028">
        <f>G85+H85*1</f>
        <v>0</v>
      </c>
      <c r="J85" s="1491"/>
      <c r="K85" s="1763"/>
      <c r="L85" s="2067"/>
      <c r="M85" s="2059"/>
      <c r="N85" s="2028">
        <f>L85+M85*1</f>
        <v>0</v>
      </c>
      <c r="O85" s="1491"/>
      <c r="P85" s="1763"/>
      <c r="Q85" s="2059">
        <f>G85+L85</f>
        <v>0</v>
      </c>
      <c r="R85" s="2059">
        <f>H85+M85</f>
        <v>0</v>
      </c>
      <c r="S85" s="2028">
        <f>Q85+R85*1.15</f>
        <v>0</v>
      </c>
      <c r="T85" s="1491"/>
      <c r="U85" s="1491"/>
    </row>
    <row r="86" spans="1:21" s="1411" customFormat="1" ht="14.4" customHeight="1" x14ac:dyDescent="0.25">
      <c r="A86" s="1420"/>
      <c r="B86" s="2622" t="s">
        <v>50</v>
      </c>
      <c r="C86" s="2561">
        <f>C84-C85</f>
        <v>0</v>
      </c>
      <c r="D86" s="2561">
        <f>D84-D85</f>
        <v>0</v>
      </c>
      <c r="E86" s="2546">
        <f>E84-E85</f>
        <v>0</v>
      </c>
      <c r="F86" s="2573"/>
      <c r="G86" s="2546">
        <f>G84-G85</f>
        <v>-37527.199999999997</v>
      </c>
      <c r="H86" s="2546">
        <f>H84-H85</f>
        <v>0</v>
      </c>
      <c r="I86" s="2546">
        <f>I84-I85</f>
        <v>-40574.6</v>
      </c>
      <c r="J86" s="2547"/>
      <c r="K86" s="2544"/>
      <c r="L86" s="2546">
        <f>L84</f>
        <v>276715.52999999997</v>
      </c>
      <c r="M86" s="2546">
        <f t="shared" ref="M86" si="46">M84</f>
        <v>-74675</v>
      </c>
      <c r="N86" s="2546">
        <f>N84</f>
        <v>196126.93</v>
      </c>
      <c r="O86" s="2547"/>
      <c r="P86" s="2544"/>
      <c r="Q86" s="2546">
        <f>Q84-Q85</f>
        <v>239188.33</v>
      </c>
      <c r="R86" s="2546">
        <f>R84-R85</f>
        <v>-74675</v>
      </c>
      <c r="S86" s="2546">
        <f>S84-S85</f>
        <v>155552.32999999999</v>
      </c>
      <c r="T86" s="2547"/>
      <c r="U86" s="2547"/>
    </row>
    <row r="87" spans="1:21" s="1411" customFormat="1" ht="14.4" customHeight="1" thickBot="1" x14ac:dyDescent="0.3">
      <c r="A87" s="1582"/>
      <c r="B87" s="2623" t="s">
        <v>51</v>
      </c>
      <c r="C87" s="2548" t="e">
        <f>C86/C5</f>
        <v>#DIV/0!</v>
      </c>
      <c r="D87" s="2549" t="e">
        <f>D86/D5</f>
        <v>#DIV/0!</v>
      </c>
      <c r="E87" s="2550" t="e">
        <f>E86/E5</f>
        <v>#DIV/0!</v>
      </c>
      <c r="F87" s="2575"/>
      <c r="G87" s="2548" t="e">
        <f>G86/G5</f>
        <v>#DIV/0!</v>
      </c>
      <c r="H87" s="2549" t="e">
        <f>H86/H5</f>
        <v>#DIV/0!</v>
      </c>
      <c r="I87" s="2550" t="e">
        <f>I86/I5</f>
        <v>#DIV/0!</v>
      </c>
      <c r="J87" s="2551"/>
      <c r="K87" s="2552"/>
      <c r="L87" s="2548">
        <f>L86/L5</f>
        <v>0.99833110919184775</v>
      </c>
      <c r="M87" s="2549" t="e">
        <f>M86/M5</f>
        <v>#DIV/0!</v>
      </c>
      <c r="N87" s="2550">
        <f>N86/N5</f>
        <v>0.70758448421486098</v>
      </c>
      <c r="O87" s="2551"/>
      <c r="P87" s="2552"/>
      <c r="Q87" s="2548">
        <f>Q86/Q5</f>
        <v>0.86294090828456838</v>
      </c>
      <c r="R87" s="2549" t="e">
        <f>R86/R5</f>
        <v>#DIV/0!</v>
      </c>
      <c r="S87" s="2550">
        <f>S86/S5</f>
        <v>0.56119990860750146</v>
      </c>
      <c r="T87" s="2551"/>
      <c r="U87" s="2551"/>
    </row>
    <row r="88" spans="1:21" ht="13.8" x14ac:dyDescent="0.25">
      <c r="A88" s="1438"/>
      <c r="B88" s="1438"/>
      <c r="C88" s="1536"/>
      <c r="D88" s="1536"/>
      <c r="E88" s="1536"/>
      <c r="F88" s="1564"/>
      <c r="G88" s="1970"/>
      <c r="H88" s="1970"/>
      <c r="I88" s="1970"/>
      <c r="J88" s="1970"/>
      <c r="K88" s="1620"/>
      <c r="L88" s="1970"/>
      <c r="M88" s="1970"/>
      <c r="N88" s="1970"/>
      <c r="O88" s="1970"/>
      <c r="P88" s="1620"/>
      <c r="Q88" s="1970"/>
      <c r="R88" s="1970"/>
      <c r="S88" s="1970"/>
      <c r="T88" s="1970"/>
      <c r="U88" s="1970"/>
    </row>
    <row r="89" spans="1:21" x14ac:dyDescent="0.25">
      <c r="B89" s="1577" t="s">
        <v>56</v>
      </c>
      <c r="C89" s="1537"/>
      <c r="D89" s="1537"/>
      <c r="E89" s="1976">
        <f>E8+E36+E41+E50+E54+E73+E79+E82+E85</f>
        <v>0</v>
      </c>
      <c r="F89" s="189"/>
      <c r="I89" s="1976">
        <f>I8+I36+I41+I50+I54+I73+I79+I82+I85</f>
        <v>40574.6</v>
      </c>
      <c r="K89" s="1621"/>
      <c r="N89" s="1976">
        <f>N8+N36+N41+N50+N54+N73+N79+N82+N85</f>
        <v>81051.180000000008</v>
      </c>
      <c r="P89" s="1621"/>
      <c r="S89" s="1976">
        <f>S8+S36+S41+S50+S54+S73+S79+S82+S85-S78</f>
        <v>121625.78</v>
      </c>
    </row>
    <row r="90" spans="1:21" s="2487" customFormat="1" ht="13.95" customHeight="1" x14ac:dyDescent="0.25">
      <c r="A90" s="1349"/>
      <c r="B90" s="1349"/>
      <c r="C90" s="1354"/>
      <c r="D90" s="1354"/>
      <c r="E90" s="1354"/>
      <c r="F90" s="2485"/>
      <c r="G90" s="2485"/>
      <c r="H90" s="2485"/>
      <c r="I90" s="2485"/>
      <c r="J90" s="2485"/>
      <c r="K90" s="1872"/>
      <c r="L90" s="2485"/>
      <c r="M90" s="2485"/>
      <c r="N90" s="2485"/>
      <c r="O90" s="2485"/>
      <c r="P90" s="1872"/>
      <c r="Q90" s="2485"/>
      <c r="R90" s="2485"/>
      <c r="S90" s="1607">
        <f>(I89+N89)-S89</f>
        <v>0</v>
      </c>
      <c r="T90" s="2485"/>
      <c r="U90" s="2485"/>
    </row>
    <row r="91" spans="1:21" s="2486" customFormat="1" x14ac:dyDescent="0.25">
      <c r="A91" s="1349"/>
      <c r="B91" s="1349"/>
      <c r="C91" s="1349"/>
      <c r="D91" s="1349"/>
      <c r="E91" s="1349"/>
      <c r="F91" s="2485"/>
      <c r="G91" s="2485"/>
      <c r="H91" s="2485"/>
      <c r="I91" s="2485"/>
      <c r="J91" s="2485"/>
      <c r="K91" s="1872"/>
      <c r="L91" s="2485"/>
      <c r="M91" s="1601"/>
      <c r="N91" s="1601"/>
      <c r="O91" s="1601"/>
      <c r="P91" s="1872"/>
      <c r="Q91" s="1075"/>
      <c r="R91" s="1075"/>
      <c r="S91" s="2485"/>
      <c r="T91" s="2485"/>
      <c r="U91" s="2485"/>
    </row>
    <row r="92" spans="1:21" x14ac:dyDescent="0.25">
      <c r="C92" s="1417"/>
      <c r="D92" s="1417"/>
      <c r="E92" s="1417"/>
      <c r="G92" s="1621"/>
      <c r="H92" s="1621"/>
      <c r="I92" s="1621"/>
      <c r="J92" s="1621"/>
      <c r="K92" s="1621"/>
      <c r="L92" s="2485"/>
      <c r="M92" s="1230"/>
      <c r="N92" s="1230"/>
      <c r="O92" s="1230"/>
      <c r="P92" s="1355"/>
      <c r="Q92" s="1075"/>
      <c r="R92" s="1075" t="s">
        <v>1666</v>
      </c>
      <c r="S92" s="1968">
        <v>147236.98669999998</v>
      </c>
    </row>
    <row r="93" spans="1:21" s="1411" customFormat="1" x14ac:dyDescent="0.25">
      <c r="A93" s="1417"/>
      <c r="B93" s="1417"/>
      <c r="C93" s="1417"/>
      <c r="D93" s="1417"/>
      <c r="E93" s="1417"/>
      <c r="F93" s="1968"/>
      <c r="G93" s="1621"/>
      <c r="H93" s="1621"/>
      <c r="I93" s="1621"/>
      <c r="J93" s="1621"/>
      <c r="K93" s="1621"/>
      <c r="L93" s="2485"/>
      <c r="M93" s="1230"/>
      <c r="N93" s="1230"/>
      <c r="O93" s="1230"/>
      <c r="P93" s="1046"/>
      <c r="Q93" s="1075"/>
      <c r="R93" s="1075" t="s">
        <v>1665</v>
      </c>
      <c r="S93" s="1968">
        <f>S92-S86</f>
        <v>-8315.3433000000077</v>
      </c>
      <c r="T93" s="1968"/>
      <c r="U93" s="1968"/>
    </row>
    <row r="94" spans="1:21" s="1411" customFormat="1" x14ac:dyDescent="0.25">
      <c r="A94" s="1417"/>
      <c r="B94" s="1417"/>
      <c r="C94" s="1417"/>
      <c r="D94" s="1417"/>
      <c r="E94" s="1417"/>
      <c r="F94" s="1968"/>
      <c r="G94" s="1979"/>
      <c r="H94" s="1979"/>
      <c r="I94" s="1979"/>
      <c r="J94" s="1979"/>
      <c r="K94" s="1979"/>
      <c r="L94" s="1979"/>
      <c r="M94" s="1979"/>
      <c r="N94" s="1979"/>
      <c r="O94" s="1979"/>
      <c r="P94" s="1979"/>
      <c r="Q94" s="1075"/>
      <c r="R94" s="1075"/>
      <c r="S94" s="1968"/>
      <c r="T94" s="1968"/>
      <c r="U94" s="1968"/>
    </row>
    <row r="95" spans="1:21" s="1411" customFormat="1" x14ac:dyDescent="0.25">
      <c r="A95" s="1417"/>
      <c r="B95" s="1417"/>
      <c r="C95" s="1417"/>
      <c r="D95" s="1417"/>
      <c r="E95" s="1417"/>
      <c r="F95" s="1968"/>
      <c r="G95" s="1979"/>
      <c r="H95" s="1979"/>
      <c r="I95" s="1979"/>
      <c r="J95" s="1979"/>
      <c r="K95" s="1979"/>
      <c r="L95" s="1979"/>
      <c r="M95" s="1979"/>
      <c r="N95" s="1979"/>
      <c r="O95" s="1979"/>
      <c r="P95" s="1979"/>
      <c r="Q95" s="1075"/>
      <c r="R95" s="1075" t="s">
        <v>1692</v>
      </c>
      <c r="S95" s="1968">
        <v>8315.3432999999986</v>
      </c>
      <c r="T95" s="1968"/>
      <c r="U95" s="1968"/>
    </row>
    <row r="96" spans="1:21" s="1411" customFormat="1" x14ac:dyDescent="0.25">
      <c r="A96" s="1417"/>
      <c r="B96" s="1417"/>
      <c r="C96" s="1968"/>
      <c r="D96" s="1968"/>
      <c r="E96" s="1968"/>
      <c r="F96" s="1968"/>
      <c r="G96" s="1968"/>
      <c r="H96" s="1968"/>
      <c r="I96" s="1968"/>
      <c r="J96" s="1968"/>
      <c r="K96" s="1968"/>
      <c r="L96" s="1968"/>
      <c r="M96" s="1601"/>
      <c r="N96" s="1601"/>
      <c r="O96" s="1601"/>
      <c r="P96" s="1968"/>
      <c r="Q96" s="1075"/>
      <c r="R96" s="1075"/>
      <c r="S96" s="1968"/>
      <c r="T96" s="1968"/>
      <c r="U96" s="1968"/>
    </row>
    <row r="97" spans="3:19" x14ac:dyDescent="0.25">
      <c r="C97" s="1968"/>
      <c r="D97" s="1968"/>
      <c r="M97" s="1601"/>
      <c r="N97" s="1601"/>
      <c r="O97" s="1601"/>
      <c r="Q97" s="1075"/>
      <c r="R97" s="756" t="s">
        <v>1750</v>
      </c>
      <c r="S97" s="756">
        <f>SUM(S93:S96)</f>
        <v>0</v>
      </c>
    </row>
    <row r="98" spans="3:19" x14ac:dyDescent="0.25">
      <c r="M98" s="1601"/>
      <c r="N98" s="1601"/>
      <c r="O98" s="1601"/>
      <c r="Q98" s="1075"/>
      <c r="R98" s="1075"/>
    </row>
    <row r="99" spans="3:19" x14ac:dyDescent="0.25">
      <c r="M99" s="1601"/>
      <c r="N99" s="1601"/>
      <c r="O99" s="1601"/>
      <c r="Q99" s="1075"/>
      <c r="R99" s="1075"/>
    </row>
    <row r="100" spans="3:19" x14ac:dyDescent="0.25">
      <c r="M100" s="1601"/>
      <c r="N100" s="1601"/>
      <c r="O100" s="1601"/>
      <c r="Q100" s="1075"/>
      <c r="R100" s="1075"/>
    </row>
    <row r="101" spans="3:19" x14ac:dyDescent="0.25">
      <c r="M101" s="1601"/>
      <c r="N101" s="1601"/>
      <c r="O101" s="1601"/>
      <c r="Q101" s="1075"/>
      <c r="R101" s="1075"/>
    </row>
    <row r="102" spans="3:19" x14ac:dyDescent="0.25">
      <c r="M102" s="1601"/>
      <c r="N102" s="1601"/>
      <c r="O102" s="1601"/>
      <c r="Q102" s="1075"/>
      <c r="R102" s="1075"/>
    </row>
    <row r="103" spans="3:19" x14ac:dyDescent="0.25">
      <c r="M103" s="1601"/>
      <c r="N103" s="1601"/>
      <c r="O103" s="1601"/>
    </row>
    <row r="111" spans="3:19" x14ac:dyDescent="0.25">
      <c r="L111" s="1410"/>
      <c r="M111" s="1410"/>
      <c r="N111" s="1410"/>
      <c r="O111" s="1410"/>
      <c r="P111" s="1410"/>
    </row>
    <row r="112" spans="3:19" x14ac:dyDescent="0.25">
      <c r="L112" s="1410"/>
      <c r="M112" s="1410"/>
      <c r="N112" s="1410"/>
      <c r="O112" s="1410"/>
      <c r="P112" s="1410"/>
    </row>
    <row r="113" spans="12:16" x14ac:dyDescent="0.25">
      <c r="L113" s="1410"/>
      <c r="M113" s="1410"/>
      <c r="N113" s="1410"/>
      <c r="O113" s="1410"/>
      <c r="P113" s="1410"/>
    </row>
    <row r="114" spans="12:16" x14ac:dyDescent="0.25">
      <c r="L114" s="1410"/>
      <c r="M114" s="1410"/>
      <c r="N114" s="1410"/>
      <c r="O114" s="1410"/>
      <c r="P114" s="1410"/>
    </row>
    <row r="115" spans="12:16" x14ac:dyDescent="0.25">
      <c r="L115" s="1410"/>
      <c r="M115" s="1410"/>
      <c r="N115" s="1410"/>
      <c r="O115" s="1410"/>
      <c r="P115" s="1410"/>
    </row>
    <row r="116" spans="12:16" x14ac:dyDescent="0.25">
      <c r="L116" s="1410"/>
      <c r="M116" s="1410"/>
      <c r="N116" s="1410"/>
      <c r="O116" s="1410"/>
      <c r="P116" s="1410"/>
    </row>
  </sheetData>
  <mergeCells count="6">
    <mergeCell ref="A2:F2"/>
    <mergeCell ref="G2:K3"/>
    <mergeCell ref="Q2:U3"/>
    <mergeCell ref="A3:F3"/>
    <mergeCell ref="A42:A48"/>
    <mergeCell ref="L2:P3"/>
  </mergeCell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177D7"/>
    <pageSetUpPr fitToPage="1"/>
  </sheetPr>
  <dimension ref="A1:FV116"/>
  <sheetViews>
    <sheetView showZeros="0" zoomScale="70" zoomScaleNormal="70" workbookViewId="0">
      <pane xSplit="6" ySplit="5" topLeftCell="G69" activePane="bottomRight" state="frozen"/>
      <selection activeCell="C26" sqref="C25:C26"/>
      <selection pane="topRight" activeCell="C26" sqref="C25:C26"/>
      <selection pane="bottomLeft" activeCell="C26" sqref="C25:C26"/>
      <selection pane="bottomRight" activeCell="CJ26" sqref="CJ26"/>
    </sheetView>
  </sheetViews>
  <sheetFormatPr defaultColWidth="7.44140625" defaultRowHeight="13.2" outlineLevelRow="3" outlineLevelCol="1" x14ac:dyDescent="0.25"/>
  <cols>
    <col min="1" max="1" width="4.44140625" style="1417" customWidth="1"/>
    <col min="2" max="2" width="49.44140625" style="1417" customWidth="1"/>
    <col min="3" max="3" width="17.109375" style="1474" hidden="1" customWidth="1"/>
    <col min="4" max="4" width="15.5546875" style="1474" hidden="1" customWidth="1"/>
    <col min="5" max="5" width="17.109375" style="1968" hidden="1" customWidth="1"/>
    <col min="6" max="6" width="9.5546875" style="1968" hidden="1" customWidth="1"/>
    <col min="7" max="10" width="16.6640625" style="1968" hidden="1" customWidth="1" outlineLevel="1"/>
    <col min="11" max="11" width="11.5546875" style="1968" hidden="1" customWidth="1" outlineLevel="1"/>
    <col min="12" max="12" width="3.109375" style="1968" customWidth="1" collapsed="1"/>
    <col min="13" max="16" width="16.6640625" style="1968" hidden="1" customWidth="1" outlineLevel="1"/>
    <col min="17" max="17" width="39.6640625" style="1968" hidden="1" customWidth="1" outlineLevel="1"/>
    <col min="18" max="18" width="16.6640625" style="1968" hidden="1" customWidth="1" outlineLevel="1" collapsed="1"/>
    <col min="19" max="21" width="16.6640625" style="1968" hidden="1" customWidth="1" outlineLevel="1"/>
    <col min="22" max="22" width="43.6640625" style="1968" hidden="1" customWidth="1" outlineLevel="1"/>
    <col min="23" max="23" width="16.6640625" style="1968" hidden="1" customWidth="1" outlineLevel="1" collapsed="1"/>
    <col min="24" max="26" width="16.6640625" style="1968" hidden="1" customWidth="1" outlineLevel="1"/>
    <col min="27" max="27" width="46.109375" style="1968" hidden="1" customWidth="1" outlineLevel="1"/>
    <col min="28" max="29" width="16.6640625" style="1601" hidden="1" customWidth="1" outlineLevel="1"/>
    <col min="30" max="30" width="22.109375" style="1601" hidden="1" customWidth="1" outlineLevel="1"/>
    <col min="31" max="31" width="16.6640625" style="1601" hidden="1" customWidth="1" outlineLevel="1"/>
    <col min="32" max="32" width="49.6640625" style="1601" hidden="1" customWidth="1" outlineLevel="1"/>
    <col min="33" max="33" width="17.44140625" style="1968" hidden="1" customWidth="1" outlineLevel="1" collapsed="1"/>
    <col min="34" max="34" width="16.6640625" style="1968" hidden="1" customWidth="1" outlineLevel="1"/>
    <col min="35" max="35" width="17.44140625" style="1968" hidden="1" customWidth="1" outlineLevel="1"/>
    <col min="36" max="36" width="16.6640625" style="1968" hidden="1" customWidth="1" outlineLevel="1"/>
    <col min="37" max="37" width="55.33203125" style="1968" hidden="1" customWidth="1" outlineLevel="1"/>
    <col min="38" max="41" width="16.6640625" style="1968" hidden="1" customWidth="1" outlineLevel="1"/>
    <col min="42" max="42" width="43.6640625" style="1968" hidden="1" customWidth="1" outlineLevel="1"/>
    <col min="43" max="43" width="16.6640625" style="1968" hidden="1" customWidth="1" outlineLevel="1" collapsed="1"/>
    <col min="44" max="46" width="16.6640625" style="1968" hidden="1" customWidth="1" outlineLevel="1"/>
    <col min="47" max="47" width="34.44140625" style="1968" hidden="1" customWidth="1" outlineLevel="1"/>
    <col min="48" max="51" width="16.6640625" style="1968" hidden="1" customWidth="1" outlineLevel="1"/>
    <col min="52" max="52" width="35.6640625" style="1968" hidden="1" customWidth="1" outlineLevel="1"/>
    <col min="53" max="56" width="16.6640625" style="1968" hidden="1" customWidth="1" outlineLevel="1"/>
    <col min="57" max="57" width="44.6640625" style="1968" hidden="1" customWidth="1" outlineLevel="1"/>
    <col min="58" max="61" width="16.6640625" style="1968" hidden="1" customWidth="1" outlineLevel="1"/>
    <col min="62" max="62" width="43.6640625" style="1968" hidden="1" customWidth="1" outlineLevel="1"/>
    <col min="63" max="66" width="16.6640625" style="1968" hidden="1" customWidth="1" outlineLevel="1"/>
    <col min="67" max="67" width="29.33203125" style="1968" hidden="1" customWidth="1" outlineLevel="1"/>
    <col min="68" max="71" width="16.6640625" style="1968" hidden="1" customWidth="1" outlineLevel="1"/>
    <col min="72" max="72" width="40.44140625" style="1968" hidden="1" customWidth="1" outlineLevel="1"/>
    <col min="73" max="76" width="16.6640625" style="1968" hidden="1" customWidth="1" outlineLevel="1"/>
    <col min="77" max="77" width="40.44140625" style="1968" hidden="1" customWidth="1" outlineLevel="1"/>
    <col min="78" max="78" width="16.6640625" style="1968" hidden="1" customWidth="1" outlineLevel="1" collapsed="1"/>
    <col min="79" max="81" width="16.6640625" style="1968" hidden="1" customWidth="1" outlineLevel="1"/>
    <col min="82" max="82" width="17.88671875" style="1968" hidden="1" customWidth="1" outlineLevel="1"/>
    <col min="83" max="83" width="16.6640625" style="1968" customWidth="1" collapsed="1"/>
    <col min="84" max="86" width="16.6640625" style="1968" customWidth="1"/>
    <col min="87" max="87" width="17.88671875" style="1968" customWidth="1"/>
    <col min="88" max="88" width="16.6640625" style="1968" customWidth="1" collapsed="1"/>
    <col min="89" max="91" width="16.6640625" style="1968" customWidth="1"/>
    <col min="92" max="92" width="17.88671875" style="1968" customWidth="1"/>
    <col min="93" max="93" width="17.44140625" style="1968" bestFit="1" customWidth="1"/>
    <col min="94" max="94" width="18.88671875" style="1968" customWidth="1"/>
    <col min="95" max="95" width="17.44140625" style="1968" bestFit="1" customWidth="1"/>
    <col min="96" max="96" width="16.6640625" style="1968" customWidth="1"/>
    <col min="97" max="97" width="21.6640625" style="1968" customWidth="1"/>
    <col min="98" max="98" width="16.33203125" style="3170" customWidth="1"/>
    <col min="99" max="99" width="15.33203125" style="3217" customWidth="1"/>
    <col min="100" max="100" width="12.44140625" style="1584" bestFit="1" customWidth="1"/>
    <col min="101" max="101" width="13.6640625" style="1584" customWidth="1"/>
    <col min="102" max="102" width="15.33203125" style="1584" bestFit="1" customWidth="1"/>
    <col min="103" max="178" width="7.44140625" style="1584"/>
    <col min="179" max="16384" width="7.44140625" style="1410"/>
  </cols>
  <sheetData>
    <row r="1" spans="1:178" ht="13.8" thickBot="1" x14ac:dyDescent="0.3">
      <c r="C1" s="1968"/>
      <c r="D1" s="1968"/>
    </row>
    <row r="2" spans="1:178" ht="22.2" customHeight="1" thickBot="1" x14ac:dyDescent="0.3">
      <c r="A2" s="4016" t="s">
        <v>1146</v>
      </c>
      <c r="B2" s="4017"/>
      <c r="C2" s="4017"/>
      <c r="D2" s="4017"/>
      <c r="E2" s="4017"/>
      <c r="F2" s="4018"/>
      <c r="G2" s="4140" t="s">
        <v>1669</v>
      </c>
      <c r="H2" s="4141"/>
      <c r="I2" s="4141"/>
      <c r="J2" s="4141"/>
      <c r="K2" s="4142"/>
      <c r="L2" s="3175"/>
      <c r="M2" s="4140" t="s">
        <v>1079</v>
      </c>
      <c r="N2" s="4141"/>
      <c r="O2" s="4141"/>
      <c r="P2" s="4141"/>
      <c r="Q2" s="3175"/>
      <c r="R2" s="4160" t="s">
        <v>1161</v>
      </c>
      <c r="S2" s="4161"/>
      <c r="T2" s="4161"/>
      <c r="U2" s="4161"/>
      <c r="V2" s="4162"/>
      <c r="W2" s="4053" t="s">
        <v>1303</v>
      </c>
      <c r="X2" s="4054"/>
      <c r="Y2" s="4054"/>
      <c r="Z2" s="4054"/>
      <c r="AA2" s="4055"/>
      <c r="AB2" s="4166" t="s">
        <v>1383</v>
      </c>
      <c r="AC2" s="4167"/>
      <c r="AD2" s="4167"/>
      <c r="AE2" s="4167"/>
      <c r="AF2" s="4168"/>
      <c r="AG2" s="4172" t="s">
        <v>1470</v>
      </c>
      <c r="AH2" s="4173"/>
      <c r="AI2" s="4173"/>
      <c r="AJ2" s="4173"/>
      <c r="AK2" s="4174"/>
      <c r="AL2" s="4071" t="s">
        <v>1554</v>
      </c>
      <c r="AM2" s="4072"/>
      <c r="AN2" s="4072"/>
      <c r="AO2" s="4072"/>
      <c r="AP2" s="4073"/>
      <c r="AQ2" s="4077" t="s">
        <v>1579</v>
      </c>
      <c r="AR2" s="4078"/>
      <c r="AS2" s="4078"/>
      <c r="AT2" s="4078"/>
      <c r="AU2" s="4079"/>
      <c r="AV2" s="4047" t="s">
        <v>1606</v>
      </c>
      <c r="AW2" s="4048"/>
      <c r="AX2" s="4048"/>
      <c r="AY2" s="4048"/>
      <c r="AZ2" s="4049"/>
      <c r="BA2" s="4043" t="s">
        <v>1627</v>
      </c>
      <c r="BB2" s="4044"/>
      <c r="BC2" s="4044"/>
      <c r="BD2" s="4044"/>
      <c r="BE2" s="4146"/>
      <c r="BF2" s="4065" t="s">
        <v>1657</v>
      </c>
      <c r="BG2" s="4066"/>
      <c r="BH2" s="4066"/>
      <c r="BI2" s="4066"/>
      <c r="BJ2" s="4067"/>
      <c r="BK2" s="4071" t="s">
        <v>1698</v>
      </c>
      <c r="BL2" s="4072"/>
      <c r="BM2" s="4072"/>
      <c r="BN2" s="4072"/>
      <c r="BO2" s="4073"/>
      <c r="BP2" s="4154" t="s">
        <v>1758</v>
      </c>
      <c r="BQ2" s="4155"/>
      <c r="BR2" s="4155"/>
      <c r="BS2" s="4155"/>
      <c r="BT2" s="4156"/>
      <c r="BU2" s="4077" t="s">
        <v>1915</v>
      </c>
      <c r="BV2" s="4078"/>
      <c r="BW2" s="4078"/>
      <c r="BX2" s="4078"/>
      <c r="BY2" s="4079"/>
      <c r="BZ2" s="4047" t="s">
        <v>2040</v>
      </c>
      <c r="CA2" s="4048"/>
      <c r="CB2" s="4048"/>
      <c r="CC2" s="4048"/>
      <c r="CD2" s="4049"/>
      <c r="CE2" s="4077" t="s">
        <v>2052</v>
      </c>
      <c r="CF2" s="4078"/>
      <c r="CG2" s="4078"/>
      <c r="CH2" s="4078"/>
      <c r="CI2" s="4079"/>
      <c r="CJ2" s="4154" t="s">
        <v>2053</v>
      </c>
      <c r="CK2" s="4155"/>
      <c r="CL2" s="4155"/>
      <c r="CM2" s="4155"/>
      <c r="CN2" s="4156"/>
      <c r="CO2" s="4089" t="s">
        <v>469</v>
      </c>
      <c r="CP2" s="4090"/>
      <c r="CQ2" s="4090"/>
      <c r="CR2" s="4090"/>
      <c r="CS2" s="4091"/>
      <c r="CT2" s="1968"/>
      <c r="CU2" s="1584"/>
    </row>
    <row r="3" spans="1:178" ht="14.4" customHeight="1" thickBot="1" x14ac:dyDescent="0.3">
      <c r="A3" s="4016" t="s">
        <v>54</v>
      </c>
      <c r="B3" s="4017"/>
      <c r="C3" s="4017"/>
      <c r="D3" s="4017"/>
      <c r="E3" s="4017"/>
      <c r="F3" s="4018"/>
      <c r="G3" s="4143"/>
      <c r="H3" s="4144"/>
      <c r="I3" s="4144"/>
      <c r="J3" s="4144"/>
      <c r="K3" s="4145"/>
      <c r="L3" s="3176"/>
      <c r="M3" s="4143"/>
      <c r="N3" s="4144"/>
      <c r="O3" s="4144"/>
      <c r="P3" s="4144"/>
      <c r="Q3" s="3176"/>
      <c r="R3" s="4163"/>
      <c r="S3" s="4164"/>
      <c r="T3" s="4164"/>
      <c r="U3" s="4164"/>
      <c r="V3" s="4165"/>
      <c r="W3" s="4056"/>
      <c r="X3" s="4057"/>
      <c r="Y3" s="4057"/>
      <c r="Z3" s="4057"/>
      <c r="AA3" s="4058"/>
      <c r="AB3" s="4169"/>
      <c r="AC3" s="4170"/>
      <c r="AD3" s="4170"/>
      <c r="AE3" s="4170"/>
      <c r="AF3" s="4171"/>
      <c r="AG3" s="4175"/>
      <c r="AH3" s="4176"/>
      <c r="AI3" s="4176"/>
      <c r="AJ3" s="4176"/>
      <c r="AK3" s="4177"/>
      <c r="AL3" s="4074"/>
      <c r="AM3" s="4075"/>
      <c r="AN3" s="4075"/>
      <c r="AO3" s="4075"/>
      <c r="AP3" s="4076"/>
      <c r="AQ3" s="4080"/>
      <c r="AR3" s="4081"/>
      <c r="AS3" s="4081"/>
      <c r="AT3" s="4081"/>
      <c r="AU3" s="4082"/>
      <c r="AV3" s="4050"/>
      <c r="AW3" s="4051"/>
      <c r="AX3" s="4051"/>
      <c r="AY3" s="4051"/>
      <c r="AZ3" s="4052"/>
      <c r="BA3" s="4045"/>
      <c r="BB3" s="4046"/>
      <c r="BC3" s="4046"/>
      <c r="BD3" s="4046"/>
      <c r="BE3" s="4147"/>
      <c r="BF3" s="4068"/>
      <c r="BG3" s="4069"/>
      <c r="BH3" s="4069"/>
      <c r="BI3" s="4069"/>
      <c r="BJ3" s="4070"/>
      <c r="BK3" s="4074"/>
      <c r="BL3" s="4075"/>
      <c r="BM3" s="4075"/>
      <c r="BN3" s="4075"/>
      <c r="BO3" s="4076"/>
      <c r="BP3" s="4157"/>
      <c r="BQ3" s="4158"/>
      <c r="BR3" s="4158"/>
      <c r="BS3" s="4158"/>
      <c r="BT3" s="4159"/>
      <c r="BU3" s="4080"/>
      <c r="BV3" s="4081"/>
      <c r="BW3" s="4081"/>
      <c r="BX3" s="4081"/>
      <c r="BY3" s="4082"/>
      <c r="BZ3" s="4050"/>
      <c r="CA3" s="4051"/>
      <c r="CB3" s="4051"/>
      <c r="CC3" s="4051"/>
      <c r="CD3" s="4052"/>
      <c r="CE3" s="4080"/>
      <c r="CF3" s="4081"/>
      <c r="CG3" s="4081"/>
      <c r="CH3" s="4081"/>
      <c r="CI3" s="4082"/>
      <c r="CJ3" s="4157"/>
      <c r="CK3" s="4158"/>
      <c r="CL3" s="4158"/>
      <c r="CM3" s="4158"/>
      <c r="CN3" s="4159"/>
      <c r="CO3" s="4092"/>
      <c r="CP3" s="4093"/>
      <c r="CQ3" s="4093"/>
      <c r="CR3" s="4093"/>
      <c r="CS3" s="4094"/>
      <c r="CT3" s="1968"/>
      <c r="CU3" s="1584"/>
    </row>
    <row r="4" spans="1:178" ht="41.4" thickBot="1" x14ac:dyDescent="0.3">
      <c r="A4" s="1486"/>
      <c r="B4" s="1489" t="s">
        <v>11</v>
      </c>
      <c r="C4" s="1588" t="s">
        <v>55</v>
      </c>
      <c r="D4" s="1588" t="s">
        <v>18</v>
      </c>
      <c r="E4" s="1589" t="s">
        <v>39</v>
      </c>
      <c r="F4" s="1978" t="s">
        <v>40</v>
      </c>
      <c r="G4" s="1972" t="s">
        <v>55</v>
      </c>
      <c r="H4" s="1972" t="s">
        <v>18</v>
      </c>
      <c r="I4" s="1972" t="s">
        <v>39</v>
      </c>
      <c r="J4" s="1978" t="s">
        <v>40</v>
      </c>
      <c r="K4" s="1489" t="s">
        <v>19</v>
      </c>
      <c r="L4" s="1489"/>
      <c r="M4" s="1972" t="s">
        <v>55</v>
      </c>
      <c r="N4" s="1972" t="s">
        <v>18</v>
      </c>
      <c r="O4" s="1972" t="s">
        <v>39</v>
      </c>
      <c r="P4" s="1978" t="s">
        <v>40</v>
      </c>
      <c r="Q4" s="1489" t="s">
        <v>19</v>
      </c>
      <c r="R4" s="1972" t="s">
        <v>55</v>
      </c>
      <c r="S4" s="1972" t="s">
        <v>18</v>
      </c>
      <c r="T4" s="1489" t="s">
        <v>39</v>
      </c>
      <c r="U4" s="1978" t="s">
        <v>40</v>
      </c>
      <c r="V4" s="1489" t="s">
        <v>19</v>
      </c>
      <c r="W4" s="1972" t="s">
        <v>55</v>
      </c>
      <c r="X4" s="1972" t="s">
        <v>18</v>
      </c>
      <c r="Y4" s="1489" t="s">
        <v>39</v>
      </c>
      <c r="Z4" s="1978" t="s">
        <v>40</v>
      </c>
      <c r="AA4" s="1489" t="s">
        <v>19</v>
      </c>
      <c r="AB4" s="1782" t="s">
        <v>1428</v>
      </c>
      <c r="AC4" s="1782" t="s">
        <v>18</v>
      </c>
      <c r="AD4" s="1783" t="s">
        <v>39</v>
      </c>
      <c r="AE4" s="1784" t="s">
        <v>40</v>
      </c>
      <c r="AF4" s="1783" t="s">
        <v>19</v>
      </c>
      <c r="AG4" s="1972" t="s">
        <v>55</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O4" s="1972" t="s">
        <v>55</v>
      </c>
      <c r="CP4" s="1972" t="s">
        <v>18</v>
      </c>
      <c r="CQ4" s="1489" t="s">
        <v>39</v>
      </c>
      <c r="CR4" s="1978" t="s">
        <v>40</v>
      </c>
      <c r="CS4" s="1489" t="s">
        <v>19</v>
      </c>
      <c r="CT4" s="1968"/>
      <c r="CU4" s="1584"/>
    </row>
    <row r="5" spans="1:178" s="2483" customFormat="1" ht="14.4" thickBot="1" x14ac:dyDescent="0.3">
      <c r="A5" s="1477"/>
      <c r="B5" s="977" t="s">
        <v>10</v>
      </c>
      <c r="C5" s="1479">
        <f>C6</f>
        <v>116246095.55673152</v>
      </c>
      <c r="D5" s="1479">
        <f>D6</f>
        <v>0</v>
      </c>
      <c r="E5" s="1971">
        <f>E6</f>
        <v>116246095.55673152</v>
      </c>
      <c r="F5" s="1481"/>
      <c r="G5" s="1982">
        <f t="shared" ref="G5:I5" si="0">SUM(G6:G7)</f>
        <v>72033301.069999993</v>
      </c>
      <c r="H5" s="1971">
        <f t="shared" si="0"/>
        <v>33800</v>
      </c>
      <c r="I5" s="1982">
        <f t="shared" si="0"/>
        <v>72067101.069999993</v>
      </c>
      <c r="J5" s="1971"/>
      <c r="K5" s="1481"/>
      <c r="L5" s="1481"/>
      <c r="M5" s="1982">
        <f>M6</f>
        <v>0</v>
      </c>
      <c r="N5" s="1971">
        <f>N6</f>
        <v>0</v>
      </c>
      <c r="O5" s="1982">
        <f t="shared" ref="O5" si="1">SUM(O6:O7)</f>
        <v>0</v>
      </c>
      <c r="P5" s="1971"/>
      <c r="Q5" s="1481"/>
      <c r="R5" s="1971">
        <f>R6</f>
        <v>6367140.5599999996</v>
      </c>
      <c r="S5" s="1481">
        <f>S6</f>
        <v>0</v>
      </c>
      <c r="T5" s="1481">
        <f t="shared" ref="T5" si="2">SUM(T6:T7)</f>
        <v>6379340.5599999996</v>
      </c>
      <c r="U5" s="1481"/>
      <c r="V5" s="1481"/>
      <c r="W5" s="1971">
        <f>W6</f>
        <v>10069393.84</v>
      </c>
      <c r="X5" s="1481">
        <f>X6</f>
        <v>0</v>
      </c>
      <c r="Y5" s="1481">
        <f t="shared" ref="Y5" si="3">SUM(Y6:Y7)</f>
        <v>10069393.84</v>
      </c>
      <c r="Z5" s="1481"/>
      <c r="AA5" s="1481"/>
      <c r="AB5" s="1785">
        <f>AB6</f>
        <v>14596554.17</v>
      </c>
      <c r="AC5" s="1786">
        <f>AC6</f>
        <v>0</v>
      </c>
      <c r="AD5" s="1786">
        <f t="shared" ref="AD5" si="4">SUM(AD6:AD7)</f>
        <v>14630354.17</v>
      </c>
      <c r="AE5" s="1786"/>
      <c r="AF5" s="1786"/>
      <c r="AG5" s="1971">
        <f>AG6</f>
        <v>40642098.050000004</v>
      </c>
      <c r="AH5" s="1481">
        <f>AH6</f>
        <v>0</v>
      </c>
      <c r="AI5" s="1481">
        <f t="shared" ref="AI5" si="5">SUM(AI6:AI7)</f>
        <v>40642098.050000004</v>
      </c>
      <c r="AJ5" s="1481"/>
      <c r="AK5" s="1481"/>
      <c r="AL5" s="1982">
        <f t="shared" ref="AL5:AN5" si="6">SUM(AL6:AL7)</f>
        <v>10120759.310000001</v>
      </c>
      <c r="AM5" s="1971">
        <f t="shared" si="6"/>
        <v>0</v>
      </c>
      <c r="AN5" s="1982">
        <f t="shared" si="6"/>
        <v>10120759.310000001</v>
      </c>
      <c r="AO5" s="1971"/>
      <c r="AP5" s="1481"/>
      <c r="AQ5" s="1982">
        <f t="shared" ref="AQ5:AS5" si="7">SUM(AQ6:AQ7)</f>
        <v>9035135.8599999975</v>
      </c>
      <c r="AR5" s="1971">
        <f t="shared" si="7"/>
        <v>0</v>
      </c>
      <c r="AS5" s="1982">
        <f t="shared" si="7"/>
        <v>9035135.8599999975</v>
      </c>
      <c r="AT5" s="1971"/>
      <c r="AU5" s="1481"/>
      <c r="AV5" s="1982">
        <f t="shared" ref="AV5:AX5" si="8">SUM(AV6:AV7)</f>
        <v>2608077.8499999996</v>
      </c>
      <c r="AW5" s="1971">
        <f t="shared" si="8"/>
        <v>0</v>
      </c>
      <c r="AX5" s="1982">
        <f t="shared" si="8"/>
        <v>2608077.8499999996</v>
      </c>
      <c r="AY5" s="1971"/>
      <c r="AZ5" s="1481"/>
      <c r="BA5" s="1982">
        <f t="shared" ref="BA5:BC5" si="9">SUM(BA6:BA7)</f>
        <v>3393091.4500000007</v>
      </c>
      <c r="BB5" s="1971">
        <f t="shared" si="9"/>
        <v>0</v>
      </c>
      <c r="BC5" s="1982">
        <f t="shared" si="9"/>
        <v>3393091.4500000007</v>
      </c>
      <c r="BD5" s="1971"/>
      <c r="BE5" s="1481"/>
      <c r="BF5" s="1982">
        <f t="shared" ref="BF5:BH5" si="10">SUM(BF6:BF7)</f>
        <v>8064584.6699999999</v>
      </c>
      <c r="BG5" s="1971">
        <f t="shared" si="10"/>
        <v>0</v>
      </c>
      <c r="BH5" s="1982">
        <f t="shared" si="10"/>
        <v>8064584.6699999999</v>
      </c>
      <c r="BI5" s="1971"/>
      <c r="BJ5" s="1481"/>
      <c r="BK5" s="1971">
        <f>SUM(BK6:BK7)</f>
        <v>10574709.249999998</v>
      </c>
      <c r="BL5" s="1971">
        <f>SUM(BL6:BL7)</f>
        <v>0</v>
      </c>
      <c r="BM5" s="1971">
        <f>SUM(BM6:BM7)</f>
        <v>10574709.249999998</v>
      </c>
      <c r="BN5" s="1481"/>
      <c r="BO5" s="1481"/>
      <c r="BP5" s="1971">
        <f>SUM(BP6:BP7)</f>
        <v>1669771.26</v>
      </c>
      <c r="BQ5" s="1971">
        <f>SUM(BQ6:BQ7)</f>
        <v>41200</v>
      </c>
      <c r="BR5" s="1971">
        <f>SUM(BR6:BR7)</f>
        <v>1710971.26</v>
      </c>
      <c r="BS5" s="1481"/>
      <c r="BT5" s="1481"/>
      <c r="BU5" s="1971">
        <f>SUM(BU6:BU7)</f>
        <v>0</v>
      </c>
      <c r="BV5" s="1971">
        <f>SUM(BV6:BV7)</f>
        <v>0</v>
      </c>
      <c r="BW5" s="1971">
        <f>SUM(BW6:BW7)</f>
        <v>0</v>
      </c>
      <c r="BX5" s="1481"/>
      <c r="BY5" s="1481"/>
      <c r="BZ5" s="1971">
        <f>SUM(BZ6:BZ7)</f>
        <v>0</v>
      </c>
      <c r="CA5" s="1971">
        <f>SUM(CA6:CA7)</f>
        <v>0</v>
      </c>
      <c r="CB5" s="1971">
        <f>SUM(CB6:CB7)</f>
        <v>0</v>
      </c>
      <c r="CC5" s="1481"/>
      <c r="CD5" s="1481"/>
      <c r="CE5" s="1971">
        <f>SUM(CE6:CE7)</f>
        <v>0</v>
      </c>
      <c r="CF5" s="1971">
        <f>SUM(CF6:CF7)</f>
        <v>0</v>
      </c>
      <c r="CG5" s="1971">
        <f>SUM(CG6:CG7)</f>
        <v>0</v>
      </c>
      <c r="CH5" s="1481"/>
      <c r="CI5" s="1481"/>
      <c r="CJ5" s="1971">
        <f>SUM(CJ6:CJ7)</f>
        <v>4750</v>
      </c>
      <c r="CK5" s="1971">
        <f>SUM(CK6:CK7)</f>
        <v>0</v>
      </c>
      <c r="CL5" s="1971">
        <f>SUM(CL6:CL7)</f>
        <v>4750</v>
      </c>
      <c r="CM5" s="1481"/>
      <c r="CN5" s="1481"/>
      <c r="CO5" s="1982">
        <f t="shared" ref="CO5:CQ5" si="11">SUM(CO6:CO7)</f>
        <v>117151066.27000001</v>
      </c>
      <c r="CP5" s="1971">
        <f t="shared" si="11"/>
        <v>82200</v>
      </c>
      <c r="CQ5" s="1982">
        <f t="shared" si="11"/>
        <v>117233266.27000001</v>
      </c>
      <c r="CR5" s="1971"/>
      <c r="CS5" s="1481"/>
      <c r="CT5" s="1982"/>
      <c r="CU5" s="916"/>
      <c r="CV5" s="1579"/>
      <c r="CW5" s="1579"/>
      <c r="CX5" s="1579"/>
      <c r="CY5" s="1579"/>
      <c r="CZ5" s="1579"/>
      <c r="DA5" s="1579"/>
      <c r="DB5" s="1579"/>
      <c r="DC5" s="1579"/>
      <c r="DD5" s="1579"/>
      <c r="DE5" s="1579"/>
      <c r="DF5" s="1579"/>
      <c r="DG5" s="1579"/>
      <c r="DH5" s="1579"/>
      <c r="DI5" s="1579"/>
      <c r="DJ5" s="1579"/>
      <c r="DK5" s="1579"/>
      <c r="DL5" s="1579"/>
      <c r="DM5" s="1579"/>
      <c r="DN5" s="1579"/>
      <c r="DO5" s="1579"/>
      <c r="DP5" s="1579"/>
      <c r="DQ5" s="1579"/>
      <c r="DR5" s="1579"/>
      <c r="DS5" s="1579"/>
      <c r="DT5" s="1579"/>
      <c r="DU5" s="1579"/>
      <c r="DV5" s="1579"/>
      <c r="DW5" s="1579"/>
      <c r="DX5" s="1579"/>
      <c r="DY5" s="1579"/>
      <c r="DZ5" s="1579"/>
      <c r="EA5" s="1579"/>
      <c r="EB5" s="1579"/>
      <c r="EC5" s="1579"/>
      <c r="ED5" s="1579"/>
      <c r="EE5" s="1579"/>
      <c r="EF5" s="1579"/>
      <c r="EG5" s="1579"/>
      <c r="EH5" s="1579"/>
      <c r="EI5" s="1579"/>
      <c r="EJ5" s="1579"/>
      <c r="EK5" s="1579"/>
      <c r="EL5" s="1579"/>
      <c r="EM5" s="1579"/>
      <c r="EN5" s="1579"/>
      <c r="EO5" s="1579"/>
      <c r="EP5" s="1579"/>
      <c r="EQ5" s="1579"/>
      <c r="ER5" s="1579"/>
      <c r="ES5" s="1579"/>
      <c r="ET5" s="1579"/>
      <c r="EU5" s="1579"/>
      <c r="EV5" s="1579"/>
      <c r="EW5" s="1579"/>
      <c r="EX5" s="1579"/>
      <c r="EY5" s="1579"/>
      <c r="EZ5" s="1579"/>
      <c r="FA5" s="1579"/>
      <c r="FB5" s="1579"/>
      <c r="FC5" s="1579"/>
      <c r="FD5" s="1579"/>
      <c r="FE5" s="1579"/>
      <c r="FF5" s="1579"/>
      <c r="FG5" s="1579"/>
      <c r="FH5" s="1579"/>
      <c r="FI5" s="1579"/>
      <c r="FJ5" s="1579"/>
      <c r="FK5" s="1579"/>
      <c r="FL5" s="1579"/>
      <c r="FM5" s="1579"/>
      <c r="FN5" s="1579"/>
      <c r="FO5" s="1579"/>
      <c r="FP5" s="1579"/>
      <c r="FQ5" s="1579"/>
      <c r="FR5" s="1579"/>
      <c r="FS5" s="1579"/>
      <c r="FT5" s="1579"/>
      <c r="FU5" s="1579"/>
      <c r="FV5" s="1579"/>
    </row>
    <row r="6" spans="1:178" s="1411" customFormat="1" ht="120.6" customHeight="1" outlineLevel="1" x14ac:dyDescent="0.25">
      <c r="A6" s="1587"/>
      <c r="B6" s="1439" t="s">
        <v>17</v>
      </c>
      <c r="C6" s="1990">
        <v>116246095.55673152</v>
      </c>
      <c r="D6" s="2027"/>
      <c r="E6" s="3102">
        <f>C6+D6</f>
        <v>116246095.55673152</v>
      </c>
      <c r="F6" s="2059"/>
      <c r="G6" s="1995">
        <f>71675115.07+300000</f>
        <v>71975115.069999993</v>
      </c>
      <c r="H6" s="2067">
        <v>0</v>
      </c>
      <c r="I6" s="3103">
        <f>G6+H6</f>
        <v>71975115.069999993</v>
      </c>
      <c r="J6" s="2067"/>
      <c r="K6" s="2059"/>
      <c r="L6" s="2059"/>
      <c r="M6" s="1995"/>
      <c r="N6" s="2067"/>
      <c r="O6" s="3103">
        <f>M6+N6</f>
        <v>0</v>
      </c>
      <c r="P6" s="2067"/>
      <c r="Q6" s="2059"/>
      <c r="R6" s="3061">
        <v>6367140.5599999996</v>
      </c>
      <c r="S6" s="3070"/>
      <c r="T6" s="3104">
        <f>R6+S6</f>
        <v>6367140.5599999996</v>
      </c>
      <c r="U6" s="3070"/>
      <c r="V6" s="3065" t="s">
        <v>1789</v>
      </c>
      <c r="W6" s="3061">
        <v>10069393.84</v>
      </c>
      <c r="X6" s="3070"/>
      <c r="Y6" s="3104">
        <f>W6+X6</f>
        <v>10069393.84</v>
      </c>
      <c r="Z6" s="3070"/>
      <c r="AA6" s="3065" t="s">
        <v>1790</v>
      </c>
      <c r="AB6" s="3061">
        <v>14596554.17</v>
      </c>
      <c r="AC6" s="3070"/>
      <c r="AD6" s="3104">
        <f>AB6+AC6</f>
        <v>14596554.17</v>
      </c>
      <c r="AE6" s="3070"/>
      <c r="AF6" s="3065" t="s">
        <v>1791</v>
      </c>
      <c r="AG6" s="3061">
        <f>40833641.74-191543.69</f>
        <v>40642098.050000004</v>
      </c>
      <c r="AH6" s="3070"/>
      <c r="AI6" s="3104">
        <f>AG6+AH6</f>
        <v>40642098.050000004</v>
      </c>
      <c r="AJ6" s="3070"/>
      <c r="AK6" s="3065" t="s">
        <v>1891</v>
      </c>
      <c r="AL6" s="3061">
        <f>687983.93+495158.69+1353191.2+101104+462147.01+569352.1+131347.91+10268+201315.97+459352.26+1425420.2+160676.44+232179.71+90921.44+237729.71+228771.6+296195.12+114264.22+1318038.58+188115.88+457996+16851.2+226420.38+288485.74+367472.02</f>
        <v>10120759.310000001</v>
      </c>
      <c r="AM6" s="3070"/>
      <c r="AN6" s="3104">
        <f>AL6+AM6</f>
        <v>10120759.310000001</v>
      </c>
      <c r="AO6" s="3070"/>
      <c r="AP6" s="3065" t="s">
        <v>1555</v>
      </c>
      <c r="AQ6" s="3061">
        <v>9007149.8599999975</v>
      </c>
      <c r="AR6" s="3070"/>
      <c r="AS6" s="3104">
        <f>AQ6+AR6</f>
        <v>9007149.8599999975</v>
      </c>
      <c r="AT6" s="3070"/>
      <c r="AU6" s="3070"/>
      <c r="AV6" s="3061">
        <f>143790.94+43654.34+90324.26+171400.67+49606.97+256614.62+89239.98+87807.19+63997.12+134221.08+65849.88+154522.55+370532.12+298509.13+233262.74+6017.3+6814.46+145350.58+178561.92</f>
        <v>2590077.8499999996</v>
      </c>
      <c r="AW6" s="3070"/>
      <c r="AX6" s="3104">
        <f>AV6+AW6</f>
        <v>2590077.8499999996</v>
      </c>
      <c r="AY6" s="3070"/>
      <c r="AZ6" s="3065" t="s">
        <v>1619</v>
      </c>
      <c r="BA6" s="3061">
        <f>280633.03+22189.5+117375.41+34950.32+49131.3+29101.46+153245.24+864575.47+365068.42+332436.62+64677.56+80545.24+97357.45+901804.43</f>
        <v>3393091.4500000007</v>
      </c>
      <c r="BB6" s="3070"/>
      <c r="BC6" s="3104">
        <f>BA6+BB6</f>
        <v>3393091.4500000007</v>
      </c>
      <c r="BD6" s="3065"/>
      <c r="BE6" s="3065" t="s">
        <v>1628</v>
      </c>
      <c r="BF6" s="3061">
        <f>300000+16364.28+354383.22+1329168.68+922645.63+1592084.62+1831750.16+128616.35+694370.48+895201.25</f>
        <v>8064584.6699999999</v>
      </c>
      <c r="BG6" s="3070"/>
      <c r="BH6" s="3104">
        <f>BF6+BG6</f>
        <v>8064584.6699999999</v>
      </c>
      <c r="BI6" s="3065"/>
      <c r="BJ6" s="3065" t="s">
        <v>1670</v>
      </c>
      <c r="BK6" s="3061">
        <f>348777.38+321007.63+701597.32+156068.29+1898008.08+890777.03+3664704.94+660828.67+1096764.79+120858.72+180580.36+139736.04+395000</f>
        <v>10574709.249999998</v>
      </c>
      <c r="BL6" s="3070"/>
      <c r="BM6" s="3104">
        <f>BK6+BL6</f>
        <v>10574709.249999998</v>
      </c>
      <c r="BN6" s="3070"/>
      <c r="BO6" s="3065" t="s">
        <v>1700</v>
      </c>
      <c r="BP6" s="3061">
        <f>643846.93+153545.98+171900.58+72872.11+487834.48+139771.18</f>
        <v>1669771.26</v>
      </c>
      <c r="BQ6" s="3070"/>
      <c r="BR6" s="3104">
        <f>BP6+BQ6</f>
        <v>1669771.26</v>
      </c>
      <c r="BS6" s="3070"/>
      <c r="BT6" s="3065" t="s">
        <v>1759</v>
      </c>
      <c r="BU6" s="3061"/>
      <c r="BV6" s="3070"/>
      <c r="BW6" s="3104">
        <f>BU6+BV6</f>
        <v>0</v>
      </c>
      <c r="BX6" s="3070"/>
      <c r="BY6" s="3065"/>
      <c r="BZ6" s="3061"/>
      <c r="CA6" s="3070"/>
      <c r="CB6" s="3104">
        <f>BZ6+CA6</f>
        <v>0</v>
      </c>
      <c r="CC6" s="3070"/>
      <c r="CD6" s="3065"/>
      <c r="CE6" s="3061"/>
      <c r="CF6" s="3070"/>
      <c r="CG6" s="3104">
        <f>CE6+CF6</f>
        <v>0</v>
      </c>
      <c r="CH6" s="3070"/>
      <c r="CI6" s="3065"/>
      <c r="CJ6" s="3061"/>
      <c r="CK6" s="3070"/>
      <c r="CL6" s="3104">
        <f>CJ6+CK6</f>
        <v>0</v>
      </c>
      <c r="CM6" s="3070"/>
      <c r="CN6" s="3065"/>
      <c r="CO6" s="2059">
        <f>M6+R6+W6+AB6+AG6+AL6+AQ6+AV6+BA6+BF6+BK6+BP6+BU6+BZ6+CE6+CJ6</f>
        <v>117095330.27000001</v>
      </c>
      <c r="CP6" s="2059">
        <f>N6+S6+X6+AC6+AH6+AM6+AR6+AW6+BB6+BG6+BL6+BQ6+BV6+CA6+CF6+CK6</f>
        <v>0</v>
      </c>
      <c r="CQ6" s="3102">
        <f>CO6+CP6</f>
        <v>117095330.27000001</v>
      </c>
      <c r="CR6" s="2059"/>
      <c r="CS6" s="2062" t="s">
        <v>2054</v>
      </c>
      <c r="CT6" s="920"/>
      <c r="CU6" s="1579"/>
      <c r="CV6" s="1579"/>
      <c r="CW6" s="3218"/>
      <c r="CX6" s="1579"/>
      <c r="CY6" s="1579"/>
      <c r="CZ6" s="1579"/>
      <c r="DA6" s="1579"/>
      <c r="DB6" s="1579"/>
      <c r="DC6" s="1579"/>
      <c r="DD6" s="1579"/>
      <c r="DE6" s="1579"/>
      <c r="DF6" s="1579"/>
      <c r="DG6" s="1579"/>
      <c r="DH6" s="1579"/>
      <c r="DI6" s="1579"/>
      <c r="DJ6" s="1579"/>
      <c r="DK6" s="1579"/>
      <c r="DL6" s="1579"/>
      <c r="DM6" s="1579"/>
      <c r="DN6" s="1579"/>
      <c r="DO6" s="1579"/>
      <c r="DP6" s="1579"/>
      <c r="DQ6" s="1579"/>
      <c r="DR6" s="1579"/>
      <c r="DS6" s="1579"/>
      <c r="DT6" s="1579"/>
      <c r="DU6" s="1579"/>
      <c r="DV6" s="1579"/>
      <c r="DW6" s="1579"/>
      <c r="DX6" s="1579"/>
      <c r="DY6" s="1579"/>
      <c r="DZ6" s="1579"/>
      <c r="EA6" s="1579"/>
      <c r="EB6" s="1579"/>
      <c r="EC6" s="1579"/>
      <c r="ED6" s="1579"/>
      <c r="EE6" s="1579"/>
      <c r="EF6" s="1579"/>
      <c r="EG6" s="1579"/>
      <c r="EH6" s="1579"/>
      <c r="EI6" s="1579"/>
      <c r="EJ6" s="1579"/>
      <c r="EK6" s="1579"/>
      <c r="EL6" s="1579"/>
      <c r="EM6" s="1579"/>
      <c r="EN6" s="1579"/>
      <c r="EO6" s="1579"/>
      <c r="EP6" s="1579"/>
      <c r="EQ6" s="1579"/>
      <c r="ER6" s="1579"/>
      <c r="ES6" s="1579"/>
      <c r="ET6" s="1579"/>
      <c r="EU6" s="1579"/>
      <c r="EV6" s="1579"/>
      <c r="EW6" s="1579"/>
      <c r="EX6" s="1579"/>
      <c r="EY6" s="1579"/>
      <c r="EZ6" s="1579"/>
      <c r="FA6" s="1579"/>
      <c r="FB6" s="1579"/>
      <c r="FC6" s="1579"/>
      <c r="FD6" s="1579"/>
      <c r="FE6" s="1579"/>
      <c r="FF6" s="1579"/>
      <c r="FG6" s="1579"/>
      <c r="FH6" s="1579"/>
      <c r="FI6" s="1579"/>
      <c r="FJ6" s="1579"/>
      <c r="FK6" s="1579"/>
      <c r="FL6" s="1579"/>
      <c r="FM6" s="1579"/>
      <c r="FN6" s="1579"/>
      <c r="FO6" s="1579"/>
      <c r="FP6" s="1579"/>
      <c r="FQ6" s="1579"/>
      <c r="FR6" s="1579"/>
      <c r="FS6" s="1579"/>
      <c r="FT6" s="1579"/>
      <c r="FU6" s="1579"/>
      <c r="FV6" s="1579"/>
    </row>
    <row r="7" spans="1:178" s="1411" customFormat="1" ht="304.2" outlineLevel="1" collapsed="1" thickBot="1" x14ac:dyDescent="0.3">
      <c r="A7" s="1587"/>
      <c r="B7" s="3177" t="s">
        <v>41</v>
      </c>
      <c r="C7" s="2805">
        <v>861749.02078548993</v>
      </c>
      <c r="D7" s="2806"/>
      <c r="E7" s="3102">
        <f>C7+D7</f>
        <v>861749.02078548993</v>
      </c>
      <c r="F7" s="2807"/>
      <c r="G7" s="1995">
        <v>58186</v>
      </c>
      <c r="H7" s="2067">
        <v>33800</v>
      </c>
      <c r="I7" s="3103">
        <f>G7+H7</f>
        <v>91986</v>
      </c>
      <c r="J7" s="3178"/>
      <c r="K7" s="2808"/>
      <c r="L7" s="2808"/>
      <c r="M7" s="1995"/>
      <c r="N7" s="2067"/>
      <c r="O7" s="3103">
        <f>M7+N7</f>
        <v>0</v>
      </c>
      <c r="P7" s="3178"/>
      <c r="Q7" s="2808"/>
      <c r="R7" s="2067">
        <v>5000</v>
      </c>
      <c r="S7" s="2059">
        <f>7200</f>
        <v>7200</v>
      </c>
      <c r="T7" s="3102">
        <f>R7+S7</f>
        <v>12200</v>
      </c>
      <c r="U7" s="2807"/>
      <c r="V7" s="3065" t="s">
        <v>2055</v>
      </c>
      <c r="W7" s="2067"/>
      <c r="X7" s="2059"/>
      <c r="Y7" s="3102">
        <f>W7+X7</f>
        <v>0</v>
      </c>
      <c r="Z7" s="2807"/>
      <c r="AA7" s="2808"/>
      <c r="AB7" s="3061"/>
      <c r="AC7" s="3070">
        <v>33800</v>
      </c>
      <c r="AD7" s="3104">
        <f>AB7+AC7</f>
        <v>33800</v>
      </c>
      <c r="AE7" s="3179"/>
      <c r="AF7" s="3179" t="s">
        <v>2056</v>
      </c>
      <c r="AG7" s="2067"/>
      <c r="AH7" s="2059"/>
      <c r="AI7" s="3102">
        <f>AG7+AH7</f>
        <v>0</v>
      </c>
      <c r="AJ7" s="2807"/>
      <c r="AK7" s="2808"/>
      <c r="AL7" s="2067"/>
      <c r="AM7" s="2059"/>
      <c r="AN7" s="3102">
        <f>AL7+AM7</f>
        <v>0</v>
      </c>
      <c r="AO7" s="2807"/>
      <c r="AP7" s="2808"/>
      <c r="AQ7" s="2067">
        <v>27986</v>
      </c>
      <c r="AR7" s="2059"/>
      <c r="AS7" s="3102">
        <f>AQ7+AR7</f>
        <v>27986</v>
      </c>
      <c r="AT7" s="2807"/>
      <c r="AU7" s="2808" t="s">
        <v>2057</v>
      </c>
      <c r="AV7" s="2067">
        <v>18000</v>
      </c>
      <c r="AW7" s="2059"/>
      <c r="AX7" s="3102">
        <f>AV7+AW7</f>
        <v>18000</v>
      </c>
      <c r="AY7" s="2807"/>
      <c r="AZ7" s="2808" t="s">
        <v>2058</v>
      </c>
      <c r="BA7" s="2067"/>
      <c r="BB7" s="2059"/>
      <c r="BC7" s="3102">
        <f>BA7+BB7</f>
        <v>0</v>
      </c>
      <c r="BD7" s="2807"/>
      <c r="BE7" s="2808"/>
      <c r="BF7" s="3061"/>
      <c r="BG7" s="3070"/>
      <c r="BH7" s="3104">
        <f>BF7+BG7</f>
        <v>0</v>
      </c>
      <c r="BI7" s="3179"/>
      <c r="BJ7" s="3179"/>
      <c r="BK7" s="2067"/>
      <c r="BL7" s="2059"/>
      <c r="BM7" s="3102">
        <f>BK7+BL7</f>
        <v>0</v>
      </c>
      <c r="BN7" s="2807"/>
      <c r="BO7" s="2071"/>
      <c r="BP7" s="3061"/>
      <c r="BQ7" s="3061">
        <f>(675587.42+8533.43)*0+41200</f>
        <v>41200</v>
      </c>
      <c r="BR7" s="3104">
        <f>BP7+BQ7</f>
        <v>41200</v>
      </c>
      <c r="BS7" s="3179"/>
      <c r="BT7" s="3065" t="s">
        <v>2059</v>
      </c>
      <c r="BU7" s="3061">
        <f>684120.85*0</f>
        <v>0</v>
      </c>
      <c r="BV7" s="3070"/>
      <c r="BW7" s="3104">
        <f>BU7+BV7</f>
        <v>0</v>
      </c>
      <c r="BX7" s="3179"/>
      <c r="BY7" s="3065" t="s">
        <v>2060</v>
      </c>
      <c r="BZ7" s="3061"/>
      <c r="CA7" s="3070"/>
      <c r="CB7" s="3104">
        <f>BZ7+CA7</f>
        <v>0</v>
      </c>
      <c r="CC7" s="3179"/>
      <c r="CD7" s="3065"/>
      <c r="CE7" s="3061"/>
      <c r="CF7" s="3070"/>
      <c r="CG7" s="3104">
        <f>CE7+CF7</f>
        <v>0</v>
      </c>
      <c r="CH7" s="3179"/>
      <c r="CI7" s="3065"/>
      <c r="CJ7" s="3061">
        <f>10*475</f>
        <v>4750</v>
      </c>
      <c r="CK7" s="3070"/>
      <c r="CL7" s="3104">
        <f>CJ7+CK7</f>
        <v>4750</v>
      </c>
      <c r="CM7" s="3179"/>
      <c r="CN7" s="3065" t="s">
        <v>2061</v>
      </c>
      <c r="CO7" s="2059">
        <f>M7+R7+W7+AB7+AG7+AL7+AQ7+AV7+BA7+BF7+BK7+BP7+BU7+BZ7+CE7+CJ7</f>
        <v>55736</v>
      </c>
      <c r="CP7" s="2059">
        <f>N7+S7+X7+AC7+AH7+AM7+AR7+AW7+BB7+BG7+BL7+BQ7+BV7+CA7+CF7+CK7</f>
        <v>82200</v>
      </c>
      <c r="CQ7" s="3102">
        <f>CO7+CP7</f>
        <v>137936</v>
      </c>
      <c r="CR7" s="2807"/>
      <c r="CS7" s="3163" t="s">
        <v>2081</v>
      </c>
      <c r="CT7" s="919"/>
      <c r="CU7" s="3219"/>
      <c r="CV7" s="1579"/>
      <c r="CW7" s="3218"/>
      <c r="CX7" s="1579"/>
      <c r="CY7" s="1579"/>
      <c r="CZ7" s="1579"/>
      <c r="DA7" s="1579"/>
      <c r="DB7" s="1579"/>
      <c r="DC7" s="1579"/>
      <c r="DD7" s="1579"/>
      <c r="DE7" s="1579"/>
      <c r="DF7" s="1579"/>
      <c r="DG7" s="1579"/>
      <c r="DH7" s="1579"/>
      <c r="DI7" s="1579"/>
      <c r="DJ7" s="1579"/>
      <c r="DK7" s="1579"/>
      <c r="DL7" s="1579"/>
      <c r="DM7" s="1579"/>
      <c r="DN7" s="1579"/>
      <c r="DO7" s="1579"/>
      <c r="DP7" s="1579"/>
      <c r="DQ7" s="1579"/>
      <c r="DR7" s="1579"/>
      <c r="DS7" s="1579"/>
      <c r="DT7" s="1579"/>
      <c r="DU7" s="1579"/>
      <c r="DV7" s="1579"/>
      <c r="DW7" s="1579"/>
      <c r="DX7" s="1579"/>
      <c r="DY7" s="1579"/>
      <c r="DZ7" s="1579"/>
      <c r="EA7" s="1579"/>
      <c r="EB7" s="1579"/>
      <c r="EC7" s="1579"/>
      <c r="ED7" s="1579"/>
      <c r="EE7" s="1579"/>
      <c r="EF7" s="1579"/>
      <c r="EG7" s="1579"/>
      <c r="EH7" s="1579"/>
      <c r="EI7" s="1579"/>
      <c r="EJ7" s="1579"/>
      <c r="EK7" s="1579"/>
      <c r="EL7" s="1579"/>
      <c r="EM7" s="1579"/>
      <c r="EN7" s="1579"/>
      <c r="EO7" s="1579"/>
      <c r="EP7" s="1579"/>
      <c r="EQ7" s="1579"/>
      <c r="ER7" s="1579"/>
      <c r="ES7" s="1579"/>
      <c r="ET7" s="1579"/>
      <c r="EU7" s="1579"/>
      <c r="EV7" s="1579"/>
      <c r="EW7" s="1579"/>
      <c r="EX7" s="1579"/>
      <c r="EY7" s="1579"/>
      <c r="EZ7" s="1579"/>
      <c r="FA7" s="1579"/>
      <c r="FB7" s="1579"/>
      <c r="FC7" s="1579"/>
      <c r="FD7" s="1579"/>
      <c r="FE7" s="1579"/>
      <c r="FF7" s="1579"/>
      <c r="FG7" s="1579"/>
      <c r="FH7" s="1579"/>
      <c r="FI7" s="1579"/>
      <c r="FJ7" s="1579"/>
      <c r="FK7" s="1579"/>
      <c r="FL7" s="1579"/>
      <c r="FM7" s="1579"/>
      <c r="FN7" s="1579"/>
      <c r="FO7" s="1579"/>
      <c r="FP7" s="1579"/>
      <c r="FQ7" s="1579"/>
      <c r="FR7" s="1579"/>
      <c r="FS7" s="1579"/>
      <c r="FT7" s="1579"/>
      <c r="FU7" s="1579"/>
      <c r="FV7" s="1579"/>
    </row>
    <row r="8" spans="1:178" s="2483" customFormat="1" ht="14.4" customHeight="1" thickBot="1" x14ac:dyDescent="0.3">
      <c r="A8" s="1587"/>
      <c r="B8" s="977" t="s">
        <v>16</v>
      </c>
      <c r="C8" s="1973">
        <f>SUM(C9:C33)</f>
        <v>0</v>
      </c>
      <c r="D8" s="1973">
        <f>SUM(D9:D33)</f>
        <v>0</v>
      </c>
      <c r="E8" s="1499">
        <f>SUM(E9:E33)</f>
        <v>0</v>
      </c>
      <c r="F8" s="1543" t="e">
        <f t="shared" ref="F8:F33" si="12">E8/$E$89</f>
        <v>#DIV/0!</v>
      </c>
      <c r="G8" s="1973">
        <f>SUM(G9:G33)</f>
        <v>49124967.185999997</v>
      </c>
      <c r="H8" s="1499">
        <f>SUM(H9:H33)</f>
        <v>4713059.05</v>
      </c>
      <c r="I8" s="1973">
        <f>SUM(I9:I33)</f>
        <v>53838026.236000009</v>
      </c>
      <c r="J8" s="1985">
        <f>I8/I$89</f>
        <v>0.9833812307920301</v>
      </c>
      <c r="K8" s="1615"/>
      <c r="L8" s="1615"/>
      <c r="M8" s="1973">
        <f>SUM(M9:M33)</f>
        <v>850777.49</v>
      </c>
      <c r="N8" s="1499">
        <f>SUM(N9:N33)</f>
        <v>279053.75</v>
      </c>
      <c r="O8" s="1973">
        <f>SUM(O9:O33)</f>
        <v>1129831.24</v>
      </c>
      <c r="P8" s="1985">
        <f t="shared" ref="P8:P33" si="13">O8/$AS$89</f>
        <v>0.16245677284352289</v>
      </c>
      <c r="Q8" s="1615"/>
      <c r="R8" s="1973">
        <f>SUM(R9:R33)</f>
        <v>2508966.2739999997</v>
      </c>
      <c r="S8" s="1499">
        <f>SUM(S9:S33)</f>
        <v>676989.8</v>
      </c>
      <c r="T8" s="1499">
        <f>SUM(T9:T33)</f>
        <v>3185956.0739999996</v>
      </c>
      <c r="U8" s="1543">
        <f t="shared" ref="U8:U33" si="14">T8/$AS$89</f>
        <v>0.45810393966736129</v>
      </c>
      <c r="V8" s="1615"/>
      <c r="W8" s="1973">
        <f>SUM(W9:W33)</f>
        <v>5649753.2079999987</v>
      </c>
      <c r="X8" s="1973">
        <f>SUM(X9:X33)</f>
        <v>1009669.83</v>
      </c>
      <c r="Y8" s="1499">
        <f>SUM(Y9:Y33)</f>
        <v>6659423.0379999988</v>
      </c>
      <c r="Z8" s="1543">
        <f t="shared" ref="Z8:Z33" si="15">Y8/$AS$89</f>
        <v>0.95754864748941526</v>
      </c>
      <c r="AA8" s="1615"/>
      <c r="AB8" s="1788">
        <f>SUM(AB9:AB33)</f>
        <v>10383543.917999998</v>
      </c>
      <c r="AC8" s="1788">
        <f>SUM(AC9:AC33)</f>
        <v>1157723.7999999998</v>
      </c>
      <c r="AD8" s="1789">
        <f>SUM(AD9:AD33)</f>
        <v>11541267.717999998</v>
      </c>
      <c r="AE8" s="1790">
        <f t="shared" ref="AE8:AE33" si="16">AD8/$AS$89</f>
        <v>1.659501916400727</v>
      </c>
      <c r="AF8" s="1786"/>
      <c r="AG8" s="1973">
        <f>SUM(AG9:AG33)</f>
        <v>30045602.292000003</v>
      </c>
      <c r="AH8" s="1973">
        <f>SUM(AH9:AH33)</f>
        <v>1608506.8099999998</v>
      </c>
      <c r="AI8" s="1499">
        <f>SUM(AI9:AI33)</f>
        <v>31654109.102000002</v>
      </c>
      <c r="AJ8" s="1543">
        <f t="shared" ref="AJ8:AJ33" si="17">AI8/$AS$89</f>
        <v>4.5514978077148101</v>
      </c>
      <c r="AK8" s="1615"/>
      <c r="AL8" s="1973">
        <f>SUM(AL9:AL33)</f>
        <v>5120880.9239999996</v>
      </c>
      <c r="AM8" s="1973">
        <f>SUM(AM9:AM33)</f>
        <v>1114643.3899999999</v>
      </c>
      <c r="AN8" s="1499">
        <f>SUM(AN9:AN33)</f>
        <v>6235524.3140000002</v>
      </c>
      <c r="AO8" s="1543">
        <f>AN8/$AN$89</f>
        <v>0.97247529174731395</v>
      </c>
      <c r="AP8" s="1615"/>
      <c r="AQ8" s="1973">
        <f>SUM(AQ9:AQ33)</f>
        <v>5979483.6419999991</v>
      </c>
      <c r="AR8" s="1973">
        <f>SUM(AR9:AR33)</f>
        <v>779534.22</v>
      </c>
      <c r="AS8" s="1499">
        <f>SUM(AS9:AS33)</f>
        <v>6759017.8619999997</v>
      </c>
      <c r="AT8" s="1543">
        <f t="shared" ref="AT8:AT33" si="18">AS8/$AS$89</f>
        <v>0.97186924080117287</v>
      </c>
      <c r="AU8" s="1615"/>
      <c r="AV8" s="1973">
        <f>SUM(AV9:AV33)</f>
        <v>2116879.986</v>
      </c>
      <c r="AW8" s="1973">
        <f>SUM(AW9:AW33)</f>
        <v>630805.27999999991</v>
      </c>
      <c r="AX8" s="1499">
        <f>SUM(AX9:AX33)</f>
        <v>2747685.2659999998</v>
      </c>
      <c r="AY8" s="1543">
        <f t="shared" ref="AY8:AY33" si="19">AX8/$AX$89</f>
        <v>0.94763544420103529</v>
      </c>
      <c r="AZ8" s="1615"/>
      <c r="BA8" s="1973">
        <f>SUM(BA9:BA33)</f>
        <v>2409386.2419999996</v>
      </c>
      <c r="BB8" s="1973">
        <f>SUM(BB9:BB33)</f>
        <v>908728.84000000008</v>
      </c>
      <c r="BC8" s="1499">
        <f>SUM(BC9:BC33)</f>
        <v>3318115.0819999995</v>
      </c>
      <c r="BD8" s="1543">
        <f t="shared" ref="BD8:BD33" si="20">BC8/$BC$89</f>
        <v>0.9464733461518271</v>
      </c>
      <c r="BE8" s="1615"/>
      <c r="BF8" s="1973">
        <f>SUM(BF9:BF33)</f>
        <v>3754619.16</v>
      </c>
      <c r="BG8" s="1973">
        <f>SUM(BG9:BG33)</f>
        <v>624531.01</v>
      </c>
      <c r="BH8" s="1499">
        <f>SUM(BH9:BH33)</f>
        <v>4379150.17</v>
      </c>
      <c r="BI8" s="1543">
        <f>BH8/BH$89</f>
        <v>0.96062263805219339</v>
      </c>
      <c r="BJ8" s="1615"/>
      <c r="BK8" s="1973">
        <f>SUM(BK9:BK33)</f>
        <v>4688266.57</v>
      </c>
      <c r="BL8" s="1973">
        <f>SUM(BL9:BL33)</f>
        <v>1181798.69</v>
      </c>
      <c r="BM8" s="1499">
        <f>SUM(BM9:BM33)</f>
        <v>5870065.2599999998</v>
      </c>
      <c r="BN8" s="1543">
        <f>BM8/BM$89</f>
        <v>0.96746177204742023</v>
      </c>
      <c r="BO8" s="1615"/>
      <c r="BP8" s="1973">
        <f>SUM(BP9:BP33)</f>
        <v>1577787.872</v>
      </c>
      <c r="BQ8" s="1973">
        <f>SUM(BQ9:BQ33)</f>
        <v>702356.1</v>
      </c>
      <c r="BR8" s="1499">
        <f>SUM(BR9:BR33)</f>
        <v>2280143.9720000001</v>
      </c>
      <c r="BS8" s="1543">
        <f>BR8/BR$89</f>
        <v>0.93123460888910492</v>
      </c>
      <c r="BT8" s="1615"/>
      <c r="BU8" s="1973">
        <f>SUM(BU9:BU33)</f>
        <v>147455.12600000002</v>
      </c>
      <c r="BV8" s="1973">
        <f>SUM(BV9:BV33)</f>
        <v>290000</v>
      </c>
      <c r="BW8" s="1499">
        <f>SUM(BW9:BW33)</f>
        <v>437455.12600000005</v>
      </c>
      <c r="BX8" s="1543">
        <f>BW8/BW$89</f>
        <v>0.81038375056551137</v>
      </c>
      <c r="BY8" s="1615"/>
      <c r="BZ8" s="1973">
        <f>SUM(BZ9:BZ33)</f>
        <v>3567778.71</v>
      </c>
      <c r="CA8" s="1973">
        <f>SUM(CA9:CA33)</f>
        <v>0</v>
      </c>
      <c r="CB8" s="1499">
        <f>SUM(CB9:CB33)</f>
        <v>3567778.71</v>
      </c>
      <c r="CC8" s="1543">
        <f>CB8/CB$89</f>
        <v>0.99782844743094823</v>
      </c>
      <c r="CD8" s="1615"/>
      <c r="CE8" s="1973">
        <f>SUM(CE9:CE33)</f>
        <v>2009530.5899999999</v>
      </c>
      <c r="CF8" s="1973">
        <f>SUM(CF9:CF33)</f>
        <v>0</v>
      </c>
      <c r="CG8" s="1499">
        <f>SUM(CG9:CG33)</f>
        <v>2009530.5899999999</v>
      </c>
      <c r="CH8" s="1543">
        <f>CG8/CG$89</f>
        <v>1</v>
      </c>
      <c r="CI8" s="1615"/>
      <c r="CJ8" s="1973">
        <f>SUM(CJ9:CJ33)</f>
        <v>4750</v>
      </c>
      <c r="CK8" s="1973">
        <f>SUM(CK9:CK33)</f>
        <v>0</v>
      </c>
      <c r="CL8" s="1499">
        <f>SUM(CL9:CL33)</f>
        <v>4750</v>
      </c>
      <c r="CM8" s="1543">
        <f>CL8/CL$89</f>
        <v>1</v>
      </c>
      <c r="CN8" s="1615"/>
      <c r="CO8" s="1973">
        <f>SUM(CO9:CO33)</f>
        <v>80815462.004000008</v>
      </c>
      <c r="CP8" s="1973">
        <f>SUM(CP9:CP33)</f>
        <v>10964341.52</v>
      </c>
      <c r="CQ8" s="1499">
        <f>SUM(CQ9:CQ33)</f>
        <v>91779803.524000019</v>
      </c>
      <c r="CR8" s="1543">
        <f t="shared" ref="CR8:CR33" si="21">CQ8/$CQ$89</f>
        <v>0.97544175079347895</v>
      </c>
      <c r="CS8" s="1481"/>
      <c r="CT8" s="919"/>
      <c r="CU8" s="1579"/>
      <c r="CV8" s="1579"/>
      <c r="CW8" s="1579"/>
      <c r="CX8" s="1579"/>
      <c r="CY8" s="1579"/>
      <c r="CZ8" s="1579"/>
      <c r="DA8" s="1579"/>
      <c r="DB8" s="1579"/>
      <c r="DC8" s="1579"/>
      <c r="DD8" s="1579"/>
      <c r="DE8" s="1579"/>
      <c r="DF8" s="1579"/>
      <c r="DG8" s="1579"/>
      <c r="DH8" s="1579"/>
      <c r="DI8" s="1579"/>
      <c r="DJ8" s="1579"/>
      <c r="DK8" s="1579"/>
      <c r="DL8" s="1579"/>
      <c r="DM8" s="1579"/>
      <c r="DN8" s="1579"/>
      <c r="DO8" s="1579"/>
      <c r="DP8" s="1579"/>
      <c r="DQ8" s="1579"/>
      <c r="DR8" s="1579"/>
      <c r="DS8" s="1579"/>
      <c r="DT8" s="1579"/>
      <c r="DU8" s="1579"/>
      <c r="DV8" s="1579"/>
      <c r="DW8" s="1579"/>
      <c r="DX8" s="1579"/>
      <c r="DY8" s="1579"/>
      <c r="DZ8" s="1579"/>
      <c r="EA8" s="1579"/>
      <c r="EB8" s="1579"/>
      <c r="EC8" s="1579"/>
      <c r="ED8" s="1579"/>
      <c r="EE8" s="1579"/>
      <c r="EF8" s="1579"/>
      <c r="EG8" s="1579"/>
      <c r="EH8" s="1579"/>
      <c r="EI8" s="1579"/>
      <c r="EJ8" s="1579"/>
      <c r="EK8" s="1579"/>
      <c r="EL8" s="1579"/>
      <c r="EM8" s="1579"/>
      <c r="EN8" s="1579"/>
      <c r="EO8" s="1579"/>
      <c r="EP8" s="1579"/>
      <c r="EQ8" s="1579"/>
      <c r="ER8" s="1579"/>
      <c r="ES8" s="1579"/>
      <c r="ET8" s="1579"/>
      <c r="EU8" s="1579"/>
      <c r="EV8" s="1579"/>
      <c r="EW8" s="1579"/>
      <c r="EX8" s="1579"/>
      <c r="EY8" s="1579"/>
      <c r="EZ8" s="1579"/>
      <c r="FA8" s="1579"/>
      <c r="FB8" s="1579"/>
      <c r="FC8" s="1579"/>
      <c r="FD8" s="1579"/>
      <c r="FE8" s="1579"/>
      <c r="FF8" s="1579"/>
      <c r="FG8" s="1579"/>
      <c r="FH8" s="1579"/>
      <c r="FI8" s="1579"/>
      <c r="FJ8" s="1579"/>
      <c r="FK8" s="1579"/>
      <c r="FL8" s="1579"/>
      <c r="FM8" s="1579"/>
      <c r="FN8" s="1579"/>
      <c r="FO8" s="1579"/>
      <c r="FP8" s="1579"/>
      <c r="FQ8" s="1579"/>
      <c r="FR8" s="1579"/>
      <c r="FS8" s="1579"/>
      <c r="FT8" s="1579"/>
      <c r="FU8" s="1579"/>
      <c r="FV8" s="1579"/>
    </row>
    <row r="9" spans="1:178" s="1411" customFormat="1" ht="37.950000000000003" customHeight="1" x14ac:dyDescent="0.25">
      <c r="A9" s="1587"/>
      <c r="B9" s="799" t="s">
        <v>74</v>
      </c>
      <c r="C9" s="1980"/>
      <c r="D9" s="1525"/>
      <c r="E9" s="3105">
        <f t="shared" ref="E9:E33" si="22">C9+D9</f>
        <v>0</v>
      </c>
      <c r="F9" s="1574" t="e">
        <f t="shared" si="12"/>
        <v>#DIV/0!</v>
      </c>
      <c r="G9" s="2553">
        <v>832913.70000000007</v>
      </c>
      <c r="H9" s="2099">
        <v>0</v>
      </c>
      <c r="I9" s="1998">
        <f>G9+H9*1</f>
        <v>832913.70000000007</v>
      </c>
      <c r="J9" s="2554">
        <f t="shared" ref="J9:J36" si="23">I9/I$89</f>
        <v>1.5213627926460889E-2</v>
      </c>
      <c r="K9" s="2555"/>
      <c r="L9" s="2555"/>
      <c r="M9" s="3055">
        <v>112903.98</v>
      </c>
      <c r="N9" s="3056">
        <v>0</v>
      </c>
      <c r="O9" s="3057">
        <f>M9+N9*1</f>
        <v>112903.98</v>
      </c>
      <c r="P9" s="3058">
        <f t="shared" si="13"/>
        <v>1.6234297284955276E-2</v>
      </c>
      <c r="Q9" s="3059"/>
      <c r="R9" s="3055">
        <v>173603.46</v>
      </c>
      <c r="S9" s="3056">
        <v>0</v>
      </c>
      <c r="T9" s="3068">
        <f>R9+S9*1</f>
        <v>173603.46</v>
      </c>
      <c r="U9" s="3071">
        <f t="shared" si="14"/>
        <v>2.4962186269579176E-2</v>
      </c>
      <c r="V9" s="3072"/>
      <c r="W9" s="3056">
        <v>186798.83</v>
      </c>
      <c r="X9" s="3081"/>
      <c r="Y9" s="3082">
        <f>W9+X9*1</f>
        <v>186798.83</v>
      </c>
      <c r="Z9" s="3071">
        <f t="shared" si="15"/>
        <v>2.6859529121133038E-2</v>
      </c>
      <c r="AA9" s="3065" t="s">
        <v>1792</v>
      </c>
      <c r="AB9" s="3061">
        <v>158675.04</v>
      </c>
      <c r="AC9" s="3081"/>
      <c r="AD9" s="3085">
        <f>AB9+AC9*1</f>
        <v>158675.04</v>
      </c>
      <c r="AE9" s="3071">
        <f t="shared" si="16"/>
        <v>2.2815650706575357E-2</v>
      </c>
      <c r="AF9" s="3065" t="s">
        <v>1793</v>
      </c>
      <c r="AG9" s="3056">
        <v>161851.1</v>
      </c>
      <c r="AH9" s="3081"/>
      <c r="AI9" s="3082">
        <f>AG9+AH9*1</f>
        <v>161851.1</v>
      </c>
      <c r="AJ9" s="3071">
        <f t="shared" si="17"/>
        <v>2.3272331704312151E-2</v>
      </c>
      <c r="AK9" s="3092"/>
      <c r="AL9" s="3056">
        <f>115583.3+532.76</f>
        <v>116116.06</v>
      </c>
      <c r="AM9" s="3081"/>
      <c r="AN9" s="3082">
        <f t="shared" ref="AN9:AN33" si="24">AL9+AM9*1</f>
        <v>116116.06</v>
      </c>
      <c r="AO9" s="3071">
        <f t="shared" ref="AO9:AO33" si="25">AN9/$AN$89</f>
        <v>1.8109142654054063E-2</v>
      </c>
      <c r="AP9" s="3096" t="s">
        <v>1556</v>
      </c>
      <c r="AQ9" s="3061">
        <v>112280.69</v>
      </c>
      <c r="AR9" s="3081"/>
      <c r="AS9" s="3082">
        <f>AQ9+AR9*1</f>
        <v>112280.69</v>
      </c>
      <c r="AT9" s="3071">
        <f t="shared" si="18"/>
        <v>1.6144675332259367E-2</v>
      </c>
      <c r="AU9" s="3092"/>
      <c r="AV9" s="3056">
        <v>92573.03</v>
      </c>
      <c r="AW9" s="3081"/>
      <c r="AX9" s="3082">
        <f>AV9+AW9*1</f>
        <v>92573.03</v>
      </c>
      <c r="AY9" s="1574">
        <f t="shared" si="19"/>
        <v>3.1927049830126272E-2</v>
      </c>
      <c r="AZ9" s="1595"/>
      <c r="BA9" s="3056">
        <f>85985.58+61398.09</f>
        <v>147383.66999999998</v>
      </c>
      <c r="BB9" s="3081"/>
      <c r="BC9" s="3082">
        <f>BA9+BB9*1</f>
        <v>147383.66999999998</v>
      </c>
      <c r="BD9" s="3071">
        <f t="shared" si="20"/>
        <v>4.2040348772037155E-2</v>
      </c>
      <c r="BE9" s="3092"/>
      <c r="BF9" s="3056">
        <v>54343.14</v>
      </c>
      <c r="BG9" s="3081"/>
      <c r="BH9" s="3082">
        <f>BF9+BG9*1</f>
        <v>54343.14</v>
      </c>
      <c r="BI9" s="3071">
        <f t="shared" ref="BI9:BI36" si="26">BH9/BH$89</f>
        <v>1.1920863290888166E-2</v>
      </c>
      <c r="BJ9" s="3096" t="s">
        <v>1671</v>
      </c>
      <c r="BK9" s="3056">
        <v>56018.5</v>
      </c>
      <c r="BL9" s="3081"/>
      <c r="BM9" s="3082">
        <f>BK9+BL9*1</f>
        <v>56018.5</v>
      </c>
      <c r="BN9" s="3071">
        <f t="shared" ref="BN9:BN33" si="27">BM9/BM$89</f>
        <v>9.2325646951050104E-3</v>
      </c>
      <c r="BO9" s="3096" t="s">
        <v>1704</v>
      </c>
      <c r="BP9" s="3061">
        <v>28901.34</v>
      </c>
      <c r="BQ9" s="3070"/>
      <c r="BR9" s="3082">
        <f>BP9+BQ9*1</f>
        <v>28901.34</v>
      </c>
      <c r="BS9" s="3071">
        <f t="shared" ref="BS9:BS33" si="28">BR9/BR$89</f>
        <v>1.1803609062310143E-2</v>
      </c>
      <c r="BT9" s="3065" t="s">
        <v>1760</v>
      </c>
      <c r="BU9" s="3061"/>
      <c r="BV9" s="3070"/>
      <c r="BW9" s="3082">
        <f>BU9+BV9*1</f>
        <v>0</v>
      </c>
      <c r="BX9" s="3071">
        <f t="shared" ref="BX9:BX33" si="29">BW9/BW$89</f>
        <v>0</v>
      </c>
      <c r="BY9" s="3065"/>
      <c r="BZ9" s="3061"/>
      <c r="CA9" s="3070"/>
      <c r="CB9" s="3082">
        <f>BZ9+CA9*1</f>
        <v>0</v>
      </c>
      <c r="CC9" s="3071">
        <f t="shared" ref="CC9:CC33" si="30">CB9/CB$89</f>
        <v>0</v>
      </c>
      <c r="CD9" s="3065"/>
      <c r="CE9" s="3061"/>
      <c r="CF9" s="3070"/>
      <c r="CG9" s="3082">
        <f>CE9+CF9*1</f>
        <v>0</v>
      </c>
      <c r="CH9" s="3071">
        <f t="shared" ref="CH9:CH33" si="31">CG9/CG$89</f>
        <v>0</v>
      </c>
      <c r="CI9" s="3065"/>
      <c r="CJ9" s="3061"/>
      <c r="CK9" s="3070"/>
      <c r="CL9" s="3082">
        <f>CJ9+CK9*1</f>
        <v>0</v>
      </c>
      <c r="CM9" s="3071">
        <f t="shared" ref="CM9:CM33" si="32">CL9/CL$89</f>
        <v>0</v>
      </c>
      <c r="CN9" s="3065"/>
      <c r="CO9" s="2059">
        <f t="shared" ref="CO9:CO33" si="33">M9+R9+W9+AB9+AG9+AL9+AQ9+AV9+BA9+BF9+BK9+BP9+BU9+BZ9+CE9+CJ9</f>
        <v>1401448.8399999999</v>
      </c>
      <c r="CP9" s="2059">
        <f t="shared" ref="CP9:CP33" si="34">N9+S9+X9+AC9+AH9+AM9+AR9+AW9+BB9+BG9+BL9+BQ9+BV9+CA9+CF9+CK9</f>
        <v>0</v>
      </c>
      <c r="CQ9" s="3097">
        <f t="shared" ref="CQ9:CQ33" si="35">CO9+CP9*1</f>
        <v>1401448.8399999999</v>
      </c>
      <c r="CR9" s="1574">
        <f t="shared" si="21"/>
        <v>1.4894689873460201E-2</v>
      </c>
      <c r="CS9" s="1595"/>
      <c r="CT9" s="919"/>
      <c r="CU9" s="1579"/>
      <c r="CV9" s="1579"/>
      <c r="CW9" s="1579"/>
      <c r="CX9" s="1579"/>
      <c r="CY9" s="1579"/>
      <c r="CZ9" s="1579"/>
      <c r="DA9" s="1579"/>
      <c r="DB9" s="1579"/>
      <c r="DC9" s="1579"/>
      <c r="DD9" s="1579"/>
      <c r="DE9" s="1579"/>
      <c r="DF9" s="1579"/>
      <c r="DG9" s="1579"/>
      <c r="DH9" s="1579"/>
      <c r="DI9" s="1579"/>
      <c r="DJ9" s="1579"/>
      <c r="DK9" s="1579"/>
      <c r="DL9" s="1579"/>
      <c r="DM9" s="1579"/>
      <c r="DN9" s="1579"/>
      <c r="DO9" s="1579"/>
      <c r="DP9" s="1579"/>
      <c r="DQ9" s="1579"/>
      <c r="DR9" s="1579"/>
      <c r="DS9" s="1579"/>
      <c r="DT9" s="1579"/>
      <c r="DU9" s="1579"/>
      <c r="DV9" s="1579"/>
      <c r="DW9" s="1579"/>
      <c r="DX9" s="1579"/>
      <c r="DY9" s="1579"/>
      <c r="DZ9" s="1579"/>
      <c r="EA9" s="1579"/>
      <c r="EB9" s="1579"/>
      <c r="EC9" s="1579"/>
      <c r="ED9" s="1579"/>
      <c r="EE9" s="1579"/>
      <c r="EF9" s="1579"/>
      <c r="EG9" s="1579"/>
      <c r="EH9" s="1579"/>
      <c r="EI9" s="1579"/>
      <c r="EJ9" s="1579"/>
      <c r="EK9" s="1579"/>
      <c r="EL9" s="1579"/>
      <c r="EM9" s="1579"/>
      <c r="EN9" s="1579"/>
      <c r="EO9" s="1579"/>
      <c r="EP9" s="1579"/>
      <c r="EQ9" s="1579"/>
      <c r="ER9" s="1579"/>
      <c r="ES9" s="1579"/>
      <c r="ET9" s="1579"/>
      <c r="EU9" s="1579"/>
      <c r="EV9" s="1579"/>
      <c r="EW9" s="1579"/>
      <c r="EX9" s="1579"/>
      <c r="EY9" s="1579"/>
      <c r="EZ9" s="1579"/>
      <c r="FA9" s="1579"/>
      <c r="FB9" s="1579"/>
      <c r="FC9" s="1579"/>
      <c r="FD9" s="1579"/>
      <c r="FE9" s="1579"/>
      <c r="FF9" s="1579"/>
      <c r="FG9" s="1579"/>
      <c r="FH9" s="1579"/>
      <c r="FI9" s="1579"/>
      <c r="FJ9" s="1579"/>
      <c r="FK9" s="1579"/>
      <c r="FL9" s="1579"/>
      <c r="FM9" s="1579"/>
      <c r="FN9" s="1579"/>
      <c r="FO9" s="1579"/>
      <c r="FP9" s="1579"/>
      <c r="FQ9" s="1579"/>
      <c r="FR9" s="1579"/>
      <c r="FS9" s="1579"/>
      <c r="FT9" s="1579"/>
      <c r="FU9" s="1579"/>
      <c r="FV9" s="1579"/>
    </row>
    <row r="10" spans="1:178" s="1411" customFormat="1" ht="13.8" x14ac:dyDescent="0.25">
      <c r="A10" s="1587"/>
      <c r="B10" s="3106" t="s">
        <v>72</v>
      </c>
      <c r="C10" s="1500"/>
      <c r="D10" s="1501"/>
      <c r="E10" s="3102">
        <f t="shared" si="22"/>
        <v>0</v>
      </c>
      <c r="F10" s="1992" t="e">
        <f t="shared" si="12"/>
        <v>#DIV/0!</v>
      </c>
      <c r="G10" s="2556">
        <v>209423.29</v>
      </c>
      <c r="H10" s="2016">
        <v>0</v>
      </c>
      <c r="I10" s="1998">
        <f t="shared" ref="I10:I33" si="36">G10+H10*1</f>
        <v>209423.29</v>
      </c>
      <c r="J10" s="3107">
        <f t="shared" si="23"/>
        <v>3.8252318495845578E-3</v>
      </c>
      <c r="K10" s="2122"/>
      <c r="L10" s="2122"/>
      <c r="M10" s="3060">
        <v>32126.68</v>
      </c>
      <c r="N10" s="3061">
        <v>0</v>
      </c>
      <c r="O10" s="3062">
        <f t="shared" ref="O10:O33" si="37">M10+N10*1</f>
        <v>32126.68</v>
      </c>
      <c r="P10" s="3063">
        <f t="shared" si="13"/>
        <v>4.6194480823317915E-3</v>
      </c>
      <c r="Q10" s="3064"/>
      <c r="R10" s="3060">
        <v>42053.13</v>
      </c>
      <c r="S10" s="3061">
        <v>0</v>
      </c>
      <c r="T10" s="3068">
        <f t="shared" ref="T10:T33" si="38">R10+S10*1</f>
        <v>42053.13</v>
      </c>
      <c r="U10" s="3180">
        <f t="shared" si="14"/>
        <v>6.0467577332780579E-3</v>
      </c>
      <c r="V10" s="3065"/>
      <c r="W10" s="3061">
        <v>45249.4</v>
      </c>
      <c r="X10" s="3070"/>
      <c r="Y10" s="3083">
        <f t="shared" ref="Y10:Y33" si="39">W10+X10*1</f>
        <v>45249.4</v>
      </c>
      <c r="Z10" s="3180">
        <f t="shared" si="15"/>
        <v>6.5063446972007128E-3</v>
      </c>
      <c r="AA10" s="3064"/>
      <c r="AB10" s="3061">
        <v>38436.800000000003</v>
      </c>
      <c r="AC10" s="3070"/>
      <c r="AD10" s="3086">
        <f t="shared" ref="AD10:AD33" si="40">AB10+AC10*1</f>
        <v>38436.800000000003</v>
      </c>
      <c r="AE10" s="3180">
        <f t="shared" si="16"/>
        <v>5.526770959556687E-3</v>
      </c>
      <c r="AF10" s="3084"/>
      <c r="AG10" s="3061">
        <v>39206.19</v>
      </c>
      <c r="AH10" s="3070"/>
      <c r="AI10" s="3083">
        <f t="shared" ref="AI10:AI33" si="41">AG10+AH10*1</f>
        <v>39206.19</v>
      </c>
      <c r="AJ10" s="3180">
        <f t="shared" si="17"/>
        <v>5.6374004164462645E-3</v>
      </c>
      <c r="AK10" s="3084"/>
      <c r="AL10" s="3061">
        <v>28127.58</v>
      </c>
      <c r="AM10" s="3070"/>
      <c r="AN10" s="3083">
        <f t="shared" si="24"/>
        <v>28127.58</v>
      </c>
      <c r="AO10" s="3180">
        <f t="shared" si="25"/>
        <v>4.3867003301121142E-3</v>
      </c>
      <c r="AP10" s="3084"/>
      <c r="AQ10" s="3061">
        <v>27198.42</v>
      </c>
      <c r="AR10" s="3070"/>
      <c r="AS10" s="3083">
        <f t="shared" ref="AS10:AS33" si="42">AQ10+AR10*1</f>
        <v>27198.42</v>
      </c>
      <c r="AT10" s="3180">
        <f t="shared" si="18"/>
        <v>3.9108208228006954E-3</v>
      </c>
      <c r="AU10" s="3084"/>
      <c r="AV10" s="3108">
        <v>23086.22</v>
      </c>
      <c r="AW10" s="3181"/>
      <c r="AX10" s="3182">
        <f t="shared" ref="AX10:AX33" si="43">AV10+AW10*1</f>
        <v>23086.22</v>
      </c>
      <c r="AY10" s="2809">
        <f t="shared" si="19"/>
        <v>7.9620910791108144E-3</v>
      </c>
      <c r="AZ10" s="3183"/>
      <c r="BA10" s="3108">
        <f>45578.41+17757.02</f>
        <v>63335.430000000008</v>
      </c>
      <c r="BB10" s="3181"/>
      <c r="BC10" s="3182">
        <f t="shared" ref="BC10:BC33" si="44">BA10+BB10*1</f>
        <v>63335.430000000008</v>
      </c>
      <c r="BD10" s="3180">
        <f t="shared" si="20"/>
        <v>1.8066069102682446E-2</v>
      </c>
      <c r="BE10" s="3184"/>
      <c r="BF10" s="3108">
        <v>12957.85</v>
      </c>
      <c r="BG10" s="3181"/>
      <c r="BH10" s="3182">
        <f t="shared" ref="BH10:BH33" si="45">BF10+BG10*1</f>
        <v>12957.85</v>
      </c>
      <c r="BI10" s="3180">
        <f t="shared" si="26"/>
        <v>2.8424702436008523E-3</v>
      </c>
      <c r="BJ10" s="3184"/>
      <c r="BK10" s="3061">
        <v>13043.18</v>
      </c>
      <c r="BL10" s="3070"/>
      <c r="BM10" s="3083">
        <f t="shared" ref="BM10:BM33" si="46">BK10+BL10*1</f>
        <v>13043.18</v>
      </c>
      <c r="BN10" s="3180">
        <f t="shared" si="27"/>
        <v>2.1496827508751533E-3</v>
      </c>
      <c r="BO10" s="3084"/>
      <c r="BP10" s="3061">
        <v>7558.71</v>
      </c>
      <c r="BQ10" s="3070"/>
      <c r="BR10" s="3083">
        <f t="shared" ref="BR10:BR33" si="47">BP10+BQ10*1</f>
        <v>7558.71</v>
      </c>
      <c r="BS10" s="3180">
        <f t="shared" si="28"/>
        <v>3.0870560968928877E-3</v>
      </c>
      <c r="BT10" s="3065"/>
      <c r="BU10" s="3061"/>
      <c r="BV10" s="3070"/>
      <c r="BW10" s="3083">
        <f t="shared" ref="BW10:BW33" si="48">BU10+BV10*1</f>
        <v>0</v>
      </c>
      <c r="BX10" s="3180">
        <f t="shared" si="29"/>
        <v>0</v>
      </c>
      <c r="BY10" s="3065"/>
      <c r="BZ10" s="3061"/>
      <c r="CA10" s="3070"/>
      <c r="CB10" s="3083">
        <f t="shared" ref="CB10:CB33" si="49">BZ10+CA10*1</f>
        <v>0</v>
      </c>
      <c r="CC10" s="3180">
        <f t="shared" si="30"/>
        <v>0</v>
      </c>
      <c r="CD10" s="3065"/>
      <c r="CE10" s="3061"/>
      <c r="CF10" s="3070"/>
      <c r="CG10" s="3083">
        <f t="shared" ref="CG10:CG33" si="50">CE10+CF10*1</f>
        <v>0</v>
      </c>
      <c r="CH10" s="3180">
        <f t="shared" si="31"/>
        <v>0</v>
      </c>
      <c r="CI10" s="3065"/>
      <c r="CJ10" s="3061"/>
      <c r="CK10" s="3070"/>
      <c r="CL10" s="3083">
        <f t="shared" ref="CL10:CL33" si="51">CJ10+CK10*1</f>
        <v>0</v>
      </c>
      <c r="CM10" s="3180">
        <f t="shared" si="32"/>
        <v>0</v>
      </c>
      <c r="CN10" s="3065"/>
      <c r="CO10" s="3185">
        <f t="shared" si="33"/>
        <v>372379.59</v>
      </c>
      <c r="CP10" s="3185">
        <f t="shared" si="34"/>
        <v>0</v>
      </c>
      <c r="CQ10" s="3186">
        <f t="shared" si="35"/>
        <v>372379.59</v>
      </c>
      <c r="CR10" s="2809">
        <f t="shared" si="21"/>
        <v>3.9576746221119726E-3</v>
      </c>
      <c r="CS10" s="2813"/>
      <c r="CT10" s="919"/>
      <c r="CU10" s="1579"/>
      <c r="CV10" s="1579"/>
      <c r="CW10" s="1579"/>
      <c r="CX10" s="1579"/>
      <c r="CY10" s="1579"/>
      <c r="CZ10" s="1579"/>
      <c r="DA10" s="1579"/>
      <c r="DB10" s="1579"/>
      <c r="DC10" s="1579"/>
      <c r="DD10" s="1579"/>
      <c r="DE10" s="1579"/>
      <c r="DF10" s="1579"/>
      <c r="DG10" s="1579"/>
      <c r="DH10" s="1579"/>
      <c r="DI10" s="1579"/>
      <c r="DJ10" s="1579"/>
      <c r="DK10" s="1579"/>
      <c r="DL10" s="1579"/>
      <c r="DM10" s="1579"/>
      <c r="DN10" s="1579"/>
      <c r="DO10" s="1579"/>
      <c r="DP10" s="1579"/>
      <c r="DQ10" s="1579"/>
      <c r="DR10" s="1579"/>
      <c r="DS10" s="1579"/>
      <c r="DT10" s="1579"/>
      <c r="DU10" s="1579"/>
      <c r="DV10" s="1579"/>
      <c r="DW10" s="1579"/>
      <c r="DX10" s="1579"/>
      <c r="DY10" s="1579"/>
      <c r="DZ10" s="1579"/>
      <c r="EA10" s="1579"/>
      <c r="EB10" s="1579"/>
      <c r="EC10" s="1579"/>
      <c r="ED10" s="1579"/>
      <c r="EE10" s="1579"/>
      <c r="EF10" s="1579"/>
      <c r="EG10" s="1579"/>
      <c r="EH10" s="1579"/>
      <c r="EI10" s="1579"/>
      <c r="EJ10" s="1579"/>
      <c r="EK10" s="1579"/>
      <c r="EL10" s="1579"/>
      <c r="EM10" s="1579"/>
      <c r="EN10" s="1579"/>
      <c r="EO10" s="1579"/>
      <c r="EP10" s="1579"/>
      <c r="EQ10" s="1579"/>
      <c r="ER10" s="1579"/>
      <c r="ES10" s="1579"/>
      <c r="ET10" s="1579"/>
      <c r="EU10" s="1579"/>
      <c r="EV10" s="1579"/>
      <c r="EW10" s="1579"/>
      <c r="EX10" s="1579"/>
      <c r="EY10" s="1579"/>
      <c r="EZ10" s="1579"/>
      <c r="FA10" s="1579"/>
      <c r="FB10" s="1579"/>
      <c r="FC10" s="1579"/>
      <c r="FD10" s="1579"/>
      <c r="FE10" s="1579"/>
      <c r="FF10" s="1579"/>
      <c r="FG10" s="1579"/>
      <c r="FH10" s="1579"/>
      <c r="FI10" s="1579"/>
      <c r="FJ10" s="1579"/>
      <c r="FK10" s="1579"/>
      <c r="FL10" s="1579"/>
      <c r="FM10" s="1579"/>
      <c r="FN10" s="1579"/>
      <c r="FO10" s="1579"/>
      <c r="FP10" s="1579"/>
      <c r="FQ10" s="1579"/>
      <c r="FR10" s="1579"/>
      <c r="FS10" s="1579"/>
      <c r="FT10" s="1579"/>
      <c r="FU10" s="1579"/>
      <c r="FV10" s="1579"/>
    </row>
    <row r="11" spans="1:178" s="1411" customFormat="1" ht="28.2" thickBot="1" x14ac:dyDescent="0.3">
      <c r="A11" s="1587"/>
      <c r="B11" s="3106" t="s">
        <v>69</v>
      </c>
      <c r="C11" s="1500"/>
      <c r="D11" s="1501"/>
      <c r="E11" s="3102">
        <f t="shared" si="22"/>
        <v>0</v>
      </c>
      <c r="F11" s="1992" t="e">
        <f t="shared" si="12"/>
        <v>#DIV/0!</v>
      </c>
      <c r="G11" s="2556">
        <v>238881.74</v>
      </c>
      <c r="H11" s="2016">
        <v>0</v>
      </c>
      <c r="I11" s="1998">
        <f t="shared" si="36"/>
        <v>238881.74</v>
      </c>
      <c r="J11" s="3107">
        <f t="shared" si="23"/>
        <v>4.3633066796542894E-3</v>
      </c>
      <c r="K11" s="2122"/>
      <c r="L11" s="2122"/>
      <c r="M11" s="3060">
        <v>36245.360000000001</v>
      </c>
      <c r="N11" s="3061">
        <v>0</v>
      </c>
      <c r="O11" s="3062">
        <f t="shared" si="37"/>
        <v>36245.360000000001</v>
      </c>
      <c r="P11" s="3063">
        <f t="shared" si="13"/>
        <v>5.2116670239634299E-3</v>
      </c>
      <c r="Q11" s="3064"/>
      <c r="R11" s="3060">
        <v>47803.6</v>
      </c>
      <c r="S11" s="3061">
        <v>0</v>
      </c>
      <c r="T11" s="3068">
        <f t="shared" si="38"/>
        <v>47803.6</v>
      </c>
      <c r="U11" s="3180">
        <f t="shared" si="14"/>
        <v>6.8736093598391126E-3</v>
      </c>
      <c r="V11" s="3065"/>
      <c r="W11" s="3061">
        <v>52196.43</v>
      </c>
      <c r="X11" s="3070"/>
      <c r="Y11" s="3083">
        <f t="shared" si="39"/>
        <v>52196.43</v>
      </c>
      <c r="Z11" s="3180">
        <f t="shared" si="15"/>
        <v>7.505247926896449E-3</v>
      </c>
      <c r="AA11" s="3064"/>
      <c r="AB11" s="3061">
        <v>43364.6</v>
      </c>
      <c r="AC11" s="3070"/>
      <c r="AD11" s="3086">
        <f t="shared" si="40"/>
        <v>43364.6</v>
      </c>
      <c r="AE11" s="3180">
        <f t="shared" si="16"/>
        <v>6.2353320763641066E-3</v>
      </c>
      <c r="AF11" s="3084"/>
      <c r="AG11" s="3061">
        <v>44521.01</v>
      </c>
      <c r="AH11" s="3070"/>
      <c r="AI11" s="3083">
        <f t="shared" si="41"/>
        <v>44521.01</v>
      </c>
      <c r="AJ11" s="3180">
        <f t="shared" si="17"/>
        <v>6.4016105700300972E-3</v>
      </c>
      <c r="AK11" s="3084"/>
      <c r="AL11" s="3061">
        <v>35148.69</v>
      </c>
      <c r="AM11" s="3070"/>
      <c r="AN11" s="3083">
        <f t="shared" si="24"/>
        <v>35148.69</v>
      </c>
      <c r="AO11" s="3180">
        <f t="shared" si="25"/>
        <v>5.4816934135822693E-3</v>
      </c>
      <c r="AP11" s="3084"/>
      <c r="AQ11" s="3061">
        <v>32488.65</v>
      </c>
      <c r="AR11" s="3070"/>
      <c r="AS11" s="3083">
        <f t="shared" si="42"/>
        <v>32488.65</v>
      </c>
      <c r="AT11" s="3180">
        <f t="shared" si="18"/>
        <v>4.6714952164384482E-3</v>
      </c>
      <c r="AU11" s="3084"/>
      <c r="AV11" s="3061">
        <v>27440.94</v>
      </c>
      <c r="AW11" s="3070"/>
      <c r="AX11" s="3083">
        <f t="shared" si="43"/>
        <v>27440.94</v>
      </c>
      <c r="AY11" s="2809">
        <f t="shared" si="19"/>
        <v>9.4639687041193892E-3</v>
      </c>
      <c r="AZ11" s="1630"/>
      <c r="BA11" s="3061">
        <f>51421.71+21962.34</f>
        <v>73384.05</v>
      </c>
      <c r="BB11" s="3070"/>
      <c r="BC11" s="3083">
        <f t="shared" si="44"/>
        <v>73384.05</v>
      </c>
      <c r="BD11" s="3180">
        <f t="shared" si="20"/>
        <v>2.0932380475425897E-2</v>
      </c>
      <c r="BE11" s="3084"/>
      <c r="BF11" s="3061">
        <v>13768.55</v>
      </c>
      <c r="BG11" s="3070"/>
      <c r="BH11" s="3083">
        <f t="shared" si="45"/>
        <v>13768.55</v>
      </c>
      <c r="BI11" s="3180">
        <f t="shared" si="26"/>
        <v>3.0203076646612296E-3</v>
      </c>
      <c r="BJ11" s="3084"/>
      <c r="BK11" s="3061">
        <v>12541.78</v>
      </c>
      <c r="BL11" s="3070"/>
      <c r="BM11" s="3083">
        <f t="shared" si="46"/>
        <v>12541.78</v>
      </c>
      <c r="BN11" s="3180">
        <f t="shared" si="27"/>
        <v>2.067045623174025E-3</v>
      </c>
      <c r="BO11" s="3084"/>
      <c r="BP11" s="3061">
        <v>8667.34</v>
      </c>
      <c r="BQ11" s="3070"/>
      <c r="BR11" s="3083">
        <f t="shared" si="47"/>
        <v>8667.34</v>
      </c>
      <c r="BS11" s="3180">
        <f t="shared" si="28"/>
        <v>3.5398321659176769E-3</v>
      </c>
      <c r="BT11" s="3065"/>
      <c r="BU11" s="3061"/>
      <c r="BV11" s="3070"/>
      <c r="BW11" s="3083">
        <f t="shared" si="48"/>
        <v>0</v>
      </c>
      <c r="BX11" s="3180">
        <f t="shared" si="29"/>
        <v>0</v>
      </c>
      <c r="BY11" s="3065"/>
      <c r="BZ11" s="3061"/>
      <c r="CA11" s="3070"/>
      <c r="CB11" s="3083">
        <f t="shared" si="49"/>
        <v>0</v>
      </c>
      <c r="CC11" s="3180">
        <f t="shared" si="30"/>
        <v>0</v>
      </c>
      <c r="CD11" s="3065"/>
      <c r="CE11" s="3061"/>
      <c r="CF11" s="3070"/>
      <c r="CG11" s="3083">
        <f t="shared" si="50"/>
        <v>0</v>
      </c>
      <c r="CH11" s="3180">
        <f t="shared" si="31"/>
        <v>0</v>
      </c>
      <c r="CI11" s="3065"/>
      <c r="CJ11" s="3061"/>
      <c r="CK11" s="3070"/>
      <c r="CL11" s="3083">
        <f t="shared" si="51"/>
        <v>0</v>
      </c>
      <c r="CM11" s="3180">
        <f t="shared" si="32"/>
        <v>0</v>
      </c>
      <c r="CN11" s="3065"/>
      <c r="CO11" s="2059">
        <f t="shared" si="33"/>
        <v>427571.00000000006</v>
      </c>
      <c r="CP11" s="2059">
        <f t="shared" si="34"/>
        <v>0</v>
      </c>
      <c r="CQ11" s="2498">
        <f t="shared" si="35"/>
        <v>427571.00000000006</v>
      </c>
      <c r="CR11" s="2809">
        <f t="shared" si="21"/>
        <v>4.5442525350302861E-3</v>
      </c>
      <c r="CS11" s="1449"/>
      <c r="CT11" s="919"/>
      <c r="CU11" s="1579"/>
      <c r="CV11" s="1579"/>
      <c r="CW11" s="1579"/>
      <c r="CX11" s="1579"/>
      <c r="CY11" s="1579"/>
      <c r="CZ11" s="1579"/>
      <c r="DA11" s="1579"/>
      <c r="DB11" s="1579"/>
      <c r="DC11" s="1579"/>
      <c r="DD11" s="1579"/>
      <c r="DE11" s="1579"/>
      <c r="DF11" s="1579"/>
      <c r="DG11" s="1579"/>
      <c r="DH11" s="1579"/>
      <c r="DI11" s="1579"/>
      <c r="DJ11" s="1579"/>
      <c r="DK11" s="1579"/>
      <c r="DL11" s="1579"/>
      <c r="DM11" s="1579"/>
      <c r="DN11" s="1579"/>
      <c r="DO11" s="1579"/>
      <c r="DP11" s="1579"/>
      <c r="DQ11" s="1579"/>
      <c r="DR11" s="1579"/>
      <c r="DS11" s="1579"/>
      <c r="DT11" s="1579"/>
      <c r="DU11" s="1579"/>
      <c r="DV11" s="1579"/>
      <c r="DW11" s="1579"/>
      <c r="DX11" s="1579"/>
      <c r="DY11" s="1579"/>
      <c r="DZ11" s="1579"/>
      <c r="EA11" s="1579"/>
      <c r="EB11" s="1579"/>
      <c r="EC11" s="1579"/>
      <c r="ED11" s="1579"/>
      <c r="EE11" s="1579"/>
      <c r="EF11" s="1579"/>
      <c r="EG11" s="1579"/>
      <c r="EH11" s="1579"/>
      <c r="EI11" s="1579"/>
      <c r="EJ11" s="1579"/>
      <c r="EK11" s="1579"/>
      <c r="EL11" s="1579"/>
      <c r="EM11" s="1579"/>
      <c r="EN11" s="1579"/>
      <c r="EO11" s="1579"/>
      <c r="EP11" s="1579"/>
      <c r="EQ11" s="1579"/>
      <c r="ER11" s="1579"/>
      <c r="ES11" s="1579"/>
      <c r="ET11" s="1579"/>
      <c r="EU11" s="1579"/>
      <c r="EV11" s="1579"/>
      <c r="EW11" s="1579"/>
      <c r="EX11" s="1579"/>
      <c r="EY11" s="1579"/>
      <c r="EZ11" s="1579"/>
      <c r="FA11" s="1579"/>
      <c r="FB11" s="1579"/>
      <c r="FC11" s="1579"/>
      <c r="FD11" s="1579"/>
      <c r="FE11" s="1579"/>
      <c r="FF11" s="1579"/>
      <c r="FG11" s="1579"/>
      <c r="FH11" s="1579"/>
      <c r="FI11" s="1579"/>
      <c r="FJ11" s="1579"/>
      <c r="FK11" s="1579"/>
      <c r="FL11" s="1579"/>
      <c r="FM11" s="1579"/>
      <c r="FN11" s="1579"/>
      <c r="FO11" s="1579"/>
      <c r="FP11" s="1579"/>
      <c r="FQ11" s="1579"/>
      <c r="FR11" s="1579"/>
      <c r="FS11" s="1579"/>
      <c r="FT11" s="1579"/>
      <c r="FU11" s="1579"/>
      <c r="FV11" s="1579"/>
    </row>
    <row r="12" spans="1:178" s="1411" customFormat="1" ht="51" customHeight="1" x14ac:dyDescent="0.25">
      <c r="A12" s="1587"/>
      <c r="B12" s="3106" t="s">
        <v>73</v>
      </c>
      <c r="C12" s="1500"/>
      <c r="D12" s="1501"/>
      <c r="E12" s="3102">
        <f t="shared" si="22"/>
        <v>0</v>
      </c>
      <c r="F12" s="1992" t="e">
        <f t="shared" si="12"/>
        <v>#DIV/0!</v>
      </c>
      <c r="G12" s="2556">
        <v>151190.74</v>
      </c>
      <c r="H12" s="2016">
        <v>266785.40000000002</v>
      </c>
      <c r="I12" s="1998">
        <f t="shared" si="36"/>
        <v>417976.14</v>
      </c>
      <c r="J12" s="3107">
        <f t="shared" si="23"/>
        <v>7.6345646326844256E-3</v>
      </c>
      <c r="K12" s="2010"/>
      <c r="L12" s="2010"/>
      <c r="M12" s="3060">
        <v>31006.65</v>
      </c>
      <c r="N12" s="3061">
        <v>54993.5</v>
      </c>
      <c r="O12" s="3062">
        <f t="shared" si="37"/>
        <v>86000.15</v>
      </c>
      <c r="P12" s="3063">
        <f t="shared" si="13"/>
        <v>1.2365835125127974E-2</v>
      </c>
      <c r="Q12" s="3065" t="s">
        <v>1794</v>
      </c>
      <c r="R12" s="3060">
        <v>31006.65</v>
      </c>
      <c r="S12" s="3061">
        <v>54993.5</v>
      </c>
      <c r="T12" s="3068">
        <f t="shared" si="38"/>
        <v>86000.15</v>
      </c>
      <c r="U12" s="3180">
        <f t="shared" si="14"/>
        <v>1.2365835125127974E-2</v>
      </c>
      <c r="V12" s="3065" t="s">
        <v>1795</v>
      </c>
      <c r="W12" s="3061">
        <v>26411.66</v>
      </c>
      <c r="X12" s="3070">
        <v>45588.4</v>
      </c>
      <c r="Y12" s="3083">
        <f t="shared" si="39"/>
        <v>72000.06</v>
      </c>
      <c r="Z12" s="3180">
        <f t="shared" si="15"/>
        <v>1.0352782767929145E-2</v>
      </c>
      <c r="AA12" s="3065" t="s">
        <v>1796</v>
      </c>
      <c r="AB12" s="3061">
        <v>27776.78</v>
      </c>
      <c r="AC12" s="3070">
        <v>54605</v>
      </c>
      <c r="AD12" s="3086">
        <f t="shared" si="40"/>
        <v>82381.78</v>
      </c>
      <c r="AE12" s="3180">
        <f t="shared" si="16"/>
        <v>1.1845555022805952E-2</v>
      </c>
      <c r="AF12" s="3065" t="s">
        <v>1797</v>
      </c>
      <c r="AG12" s="3061">
        <v>31395</v>
      </c>
      <c r="AH12" s="3070">
        <v>56605</v>
      </c>
      <c r="AI12" s="3083">
        <f t="shared" si="41"/>
        <v>88000</v>
      </c>
      <c r="AJ12" s="3180">
        <f t="shared" si="17"/>
        <v>1.2653390616310109E-2</v>
      </c>
      <c r="AK12" s="3064" t="s">
        <v>1798</v>
      </c>
      <c r="AL12" s="3061">
        <v>20930</v>
      </c>
      <c r="AM12" s="3070">
        <v>39070</v>
      </c>
      <c r="AN12" s="3083">
        <f t="shared" si="24"/>
        <v>60000</v>
      </c>
      <c r="AO12" s="3180">
        <f t="shared" si="25"/>
        <v>9.3574356488089917E-3</v>
      </c>
      <c r="AP12" s="3084" t="s">
        <v>1557</v>
      </c>
      <c r="AQ12" s="3061">
        <v>20930</v>
      </c>
      <c r="AR12" s="3070">
        <f>19500-23094+19500</f>
        <v>15906</v>
      </c>
      <c r="AS12" s="3083">
        <f t="shared" si="42"/>
        <v>36836</v>
      </c>
      <c r="AT12" s="3180">
        <f t="shared" si="18"/>
        <v>5.2965942811636271E-3</v>
      </c>
      <c r="AU12" s="3084" t="s">
        <v>1580</v>
      </c>
      <c r="AV12" s="3061">
        <v>20982.98</v>
      </c>
      <c r="AW12" s="3070">
        <v>35600</v>
      </c>
      <c r="AX12" s="3083">
        <f t="shared" si="43"/>
        <v>56582.979999999996</v>
      </c>
      <c r="AY12" s="2809">
        <f t="shared" si="19"/>
        <v>1.9514621288695404E-2</v>
      </c>
      <c r="AZ12" s="2062" t="s">
        <v>1585</v>
      </c>
      <c r="BA12" s="3061">
        <f>29490.11+3594</f>
        <v>33084.11</v>
      </c>
      <c r="BB12" s="3070">
        <v>57200</v>
      </c>
      <c r="BC12" s="3083">
        <f t="shared" si="44"/>
        <v>90284.11</v>
      </c>
      <c r="BD12" s="3180">
        <f t="shared" si="20"/>
        <v>2.575302591510286E-2</v>
      </c>
      <c r="BE12" s="3084" t="s">
        <v>1629</v>
      </c>
      <c r="BF12" s="3061">
        <v>31062.15</v>
      </c>
      <c r="BG12" s="3070">
        <v>56800</v>
      </c>
      <c r="BH12" s="3083">
        <f t="shared" si="45"/>
        <v>87862.15</v>
      </c>
      <c r="BI12" s="3180">
        <f t="shared" si="26"/>
        <v>1.9273687140520579E-2</v>
      </c>
      <c r="BJ12" s="3084" t="s">
        <v>1629</v>
      </c>
      <c r="BK12" s="3061">
        <v>26627.97</v>
      </c>
      <c r="BL12" s="3070">
        <v>52800</v>
      </c>
      <c r="BM12" s="3083">
        <f t="shared" si="46"/>
        <v>79427.97</v>
      </c>
      <c r="BN12" s="3180">
        <f t="shared" si="27"/>
        <v>1.3090744515220149E-2</v>
      </c>
      <c r="BO12" s="3096" t="s">
        <v>1629</v>
      </c>
      <c r="BP12" s="3061">
        <v>10502.49</v>
      </c>
      <c r="BQ12" s="3070">
        <v>19500</v>
      </c>
      <c r="BR12" s="3083">
        <f t="shared" si="47"/>
        <v>30002.489999999998</v>
      </c>
      <c r="BS12" s="3180">
        <f t="shared" si="28"/>
        <v>1.2253330221223978E-2</v>
      </c>
      <c r="BT12" s="3065" t="s">
        <v>1761</v>
      </c>
      <c r="BU12" s="3061"/>
      <c r="BV12" s="3070"/>
      <c r="BW12" s="3083">
        <f t="shared" si="48"/>
        <v>0</v>
      </c>
      <c r="BX12" s="3180">
        <f t="shared" si="29"/>
        <v>0</v>
      </c>
      <c r="BY12" s="3065"/>
      <c r="BZ12" s="3061"/>
      <c r="CA12" s="3070"/>
      <c r="CB12" s="3083">
        <f t="shared" si="49"/>
        <v>0</v>
      </c>
      <c r="CC12" s="3180">
        <f t="shared" si="30"/>
        <v>0</v>
      </c>
      <c r="CD12" s="3065"/>
      <c r="CE12" s="3061"/>
      <c r="CF12" s="3070"/>
      <c r="CG12" s="3083">
        <f t="shared" si="50"/>
        <v>0</v>
      </c>
      <c r="CH12" s="3180">
        <f t="shared" si="31"/>
        <v>0</v>
      </c>
      <c r="CI12" s="3065"/>
      <c r="CJ12" s="3061"/>
      <c r="CK12" s="3070"/>
      <c r="CL12" s="3083">
        <f t="shared" si="51"/>
        <v>0</v>
      </c>
      <c r="CM12" s="3180">
        <f t="shared" si="32"/>
        <v>0</v>
      </c>
      <c r="CN12" s="3065"/>
      <c r="CO12" s="2059">
        <f t="shared" si="33"/>
        <v>311716.44000000006</v>
      </c>
      <c r="CP12" s="2059">
        <f t="shared" si="34"/>
        <v>543661.4</v>
      </c>
      <c r="CQ12" s="2498">
        <f t="shared" si="35"/>
        <v>855377.84000000008</v>
      </c>
      <c r="CR12" s="2809">
        <f t="shared" si="21"/>
        <v>9.0910115929956192E-3</v>
      </c>
      <c r="CS12" s="1449"/>
      <c r="CT12" s="919"/>
      <c r="CU12" s="1579"/>
      <c r="CV12" s="1579"/>
      <c r="CW12" s="1579"/>
      <c r="CX12" s="1579"/>
      <c r="CY12" s="1579"/>
      <c r="CZ12" s="1579"/>
      <c r="DA12" s="1579"/>
      <c r="DB12" s="1579"/>
      <c r="DC12" s="1579"/>
      <c r="DD12" s="1579"/>
      <c r="DE12" s="1579"/>
      <c r="DF12" s="1579"/>
      <c r="DG12" s="1579"/>
      <c r="DH12" s="1579"/>
      <c r="DI12" s="1579"/>
      <c r="DJ12" s="1579"/>
      <c r="DK12" s="1579"/>
      <c r="DL12" s="1579"/>
      <c r="DM12" s="1579"/>
      <c r="DN12" s="1579"/>
      <c r="DO12" s="1579"/>
      <c r="DP12" s="1579"/>
      <c r="DQ12" s="1579"/>
      <c r="DR12" s="1579"/>
      <c r="DS12" s="1579"/>
      <c r="DT12" s="1579"/>
      <c r="DU12" s="1579"/>
      <c r="DV12" s="1579"/>
      <c r="DW12" s="1579"/>
      <c r="DX12" s="1579"/>
      <c r="DY12" s="1579"/>
      <c r="DZ12" s="1579"/>
      <c r="EA12" s="1579"/>
      <c r="EB12" s="1579"/>
      <c r="EC12" s="1579"/>
      <c r="ED12" s="1579"/>
      <c r="EE12" s="1579"/>
      <c r="EF12" s="1579"/>
      <c r="EG12" s="1579"/>
      <c r="EH12" s="1579"/>
      <c r="EI12" s="1579"/>
      <c r="EJ12" s="1579"/>
      <c r="EK12" s="1579"/>
      <c r="EL12" s="1579"/>
      <c r="EM12" s="1579"/>
      <c r="EN12" s="1579"/>
      <c r="EO12" s="1579"/>
      <c r="EP12" s="1579"/>
      <c r="EQ12" s="1579"/>
      <c r="ER12" s="1579"/>
      <c r="ES12" s="1579"/>
      <c r="ET12" s="1579"/>
      <c r="EU12" s="1579"/>
      <c r="EV12" s="1579"/>
      <c r="EW12" s="1579"/>
      <c r="EX12" s="1579"/>
      <c r="EY12" s="1579"/>
      <c r="EZ12" s="1579"/>
      <c r="FA12" s="1579"/>
      <c r="FB12" s="1579"/>
      <c r="FC12" s="1579"/>
      <c r="FD12" s="1579"/>
      <c r="FE12" s="1579"/>
      <c r="FF12" s="1579"/>
      <c r="FG12" s="1579"/>
      <c r="FH12" s="1579"/>
      <c r="FI12" s="1579"/>
      <c r="FJ12" s="1579"/>
      <c r="FK12" s="1579"/>
      <c r="FL12" s="1579"/>
      <c r="FM12" s="1579"/>
      <c r="FN12" s="1579"/>
      <c r="FO12" s="1579"/>
      <c r="FP12" s="1579"/>
      <c r="FQ12" s="1579"/>
      <c r="FR12" s="1579"/>
      <c r="FS12" s="1579"/>
      <c r="FT12" s="1579"/>
      <c r="FU12" s="1579"/>
      <c r="FV12" s="1579"/>
    </row>
    <row r="13" spans="1:178" s="1411" customFormat="1" ht="13.8" x14ac:dyDescent="0.25">
      <c r="A13" s="1587"/>
      <c r="B13" s="3106" t="s">
        <v>71</v>
      </c>
      <c r="C13" s="1500"/>
      <c r="D13" s="1501"/>
      <c r="E13" s="3102">
        <f t="shared" si="22"/>
        <v>0</v>
      </c>
      <c r="F13" s="1992" t="e">
        <f t="shared" si="12"/>
        <v>#DIV/0!</v>
      </c>
      <c r="G13" s="2556">
        <v>35753.300000000003</v>
      </c>
      <c r="H13" s="2016">
        <v>0</v>
      </c>
      <c r="I13" s="1998">
        <f t="shared" si="36"/>
        <v>35753.300000000003</v>
      </c>
      <c r="J13" s="3107">
        <f t="shared" si="23"/>
        <v>6.5305373575093566E-4</v>
      </c>
      <c r="K13" s="2010"/>
      <c r="L13" s="2010"/>
      <c r="M13" s="3060">
        <v>7510.95</v>
      </c>
      <c r="N13" s="3061">
        <v>0</v>
      </c>
      <c r="O13" s="3062">
        <f t="shared" si="37"/>
        <v>7510.95</v>
      </c>
      <c r="P13" s="3063">
        <f t="shared" si="13"/>
        <v>1.0799884573815274E-3</v>
      </c>
      <c r="Q13" s="3065"/>
      <c r="R13" s="3060">
        <v>7510.95</v>
      </c>
      <c r="S13" s="3061">
        <v>0</v>
      </c>
      <c r="T13" s="3068">
        <f t="shared" si="38"/>
        <v>7510.95</v>
      </c>
      <c r="U13" s="3180">
        <f t="shared" si="14"/>
        <v>1.0799884573815274E-3</v>
      </c>
      <c r="V13" s="3065"/>
      <c r="W13" s="3061">
        <v>6397.86</v>
      </c>
      <c r="X13" s="3070"/>
      <c r="Y13" s="3083">
        <f t="shared" si="39"/>
        <v>6397.86</v>
      </c>
      <c r="Z13" s="3180">
        <f t="shared" si="15"/>
        <v>9.1993888282347494E-4</v>
      </c>
      <c r="AA13" s="3064"/>
      <c r="AB13" s="3061">
        <v>6728.54</v>
      </c>
      <c r="AC13" s="3070"/>
      <c r="AD13" s="3086">
        <f t="shared" si="40"/>
        <v>6728.54</v>
      </c>
      <c r="AE13" s="3180">
        <f t="shared" si="16"/>
        <v>9.6748687383485478E-4</v>
      </c>
      <c r="AF13" s="3065"/>
      <c r="AG13" s="3061">
        <v>7605</v>
      </c>
      <c r="AH13" s="3070"/>
      <c r="AI13" s="3083">
        <f t="shared" si="41"/>
        <v>7605</v>
      </c>
      <c r="AJ13" s="3180">
        <f t="shared" si="17"/>
        <v>1.093511768602709E-3</v>
      </c>
      <c r="AK13" s="3064"/>
      <c r="AL13" s="3061">
        <v>5070</v>
      </c>
      <c r="AM13" s="3070"/>
      <c r="AN13" s="3083">
        <f t="shared" si="24"/>
        <v>5070</v>
      </c>
      <c r="AO13" s="3180">
        <f t="shared" si="25"/>
        <v>7.9070331232435976E-4</v>
      </c>
      <c r="AP13" s="3064"/>
      <c r="AQ13" s="3061">
        <v>5070</v>
      </c>
      <c r="AR13" s="3070"/>
      <c r="AS13" s="3083">
        <f t="shared" si="42"/>
        <v>5070</v>
      </c>
      <c r="AT13" s="3180">
        <f t="shared" si="18"/>
        <v>7.2900784573513931E-4</v>
      </c>
      <c r="AU13" s="3064"/>
      <c r="AV13" s="3061">
        <v>5082.84</v>
      </c>
      <c r="AW13" s="3070"/>
      <c r="AX13" s="3083">
        <f t="shared" si="43"/>
        <v>5082.84</v>
      </c>
      <c r="AY13" s="2809">
        <f t="shared" si="19"/>
        <v>1.7529952941862121E-3</v>
      </c>
      <c r="AZ13" s="2064"/>
      <c r="BA13" s="3061">
        <v>7143.57</v>
      </c>
      <c r="BB13" s="3070"/>
      <c r="BC13" s="3083">
        <f t="shared" si="44"/>
        <v>7143.57</v>
      </c>
      <c r="BD13" s="3180">
        <f t="shared" si="20"/>
        <v>2.0376624783292577E-3</v>
      </c>
      <c r="BE13" s="3064"/>
      <c r="BF13" s="3061">
        <v>7524.37</v>
      </c>
      <c r="BG13" s="3070"/>
      <c r="BH13" s="3083">
        <f t="shared" si="45"/>
        <v>7524.37</v>
      </c>
      <c r="BI13" s="3180">
        <f t="shared" si="26"/>
        <v>1.6505668630863101E-3</v>
      </c>
      <c r="BJ13" s="3064"/>
      <c r="BK13" s="3061">
        <v>6450.27</v>
      </c>
      <c r="BL13" s="3070"/>
      <c r="BM13" s="3083">
        <f t="shared" si="46"/>
        <v>6450.27</v>
      </c>
      <c r="BN13" s="3180">
        <f t="shared" si="27"/>
        <v>1.0630869279951265E-3</v>
      </c>
      <c r="BO13" s="3064"/>
      <c r="BP13" s="3061">
        <v>2544.08</v>
      </c>
      <c r="BQ13" s="3070"/>
      <c r="BR13" s="3083">
        <f t="shared" si="47"/>
        <v>2544.08</v>
      </c>
      <c r="BS13" s="3180">
        <f t="shared" si="28"/>
        <v>1.0390288389134201E-3</v>
      </c>
      <c r="BT13" s="3064"/>
      <c r="BU13" s="3061"/>
      <c r="BV13" s="3070"/>
      <c r="BW13" s="3083">
        <f t="shared" si="48"/>
        <v>0</v>
      </c>
      <c r="BX13" s="3180">
        <f t="shared" si="29"/>
        <v>0</v>
      </c>
      <c r="BY13" s="3064"/>
      <c r="BZ13" s="3061"/>
      <c r="CA13" s="3070"/>
      <c r="CB13" s="3083">
        <f t="shared" si="49"/>
        <v>0</v>
      </c>
      <c r="CC13" s="3180">
        <f t="shared" si="30"/>
        <v>0</v>
      </c>
      <c r="CD13" s="3064"/>
      <c r="CE13" s="3061"/>
      <c r="CF13" s="3070"/>
      <c r="CG13" s="3083">
        <f t="shared" si="50"/>
        <v>0</v>
      </c>
      <c r="CH13" s="3180">
        <f t="shared" si="31"/>
        <v>0</v>
      </c>
      <c r="CI13" s="3064"/>
      <c r="CJ13" s="3061"/>
      <c r="CK13" s="3070"/>
      <c r="CL13" s="3083">
        <f t="shared" si="51"/>
        <v>0</v>
      </c>
      <c r="CM13" s="3180">
        <f t="shared" si="32"/>
        <v>0</v>
      </c>
      <c r="CN13" s="3064"/>
      <c r="CO13" s="2059">
        <f t="shared" si="33"/>
        <v>74638.430000000008</v>
      </c>
      <c r="CP13" s="2059">
        <f t="shared" si="34"/>
        <v>0</v>
      </c>
      <c r="CQ13" s="2498">
        <f t="shared" si="35"/>
        <v>74638.430000000008</v>
      </c>
      <c r="CR13" s="2809">
        <f t="shared" si="21"/>
        <v>7.932621125805551E-4</v>
      </c>
      <c r="CS13" s="1449"/>
      <c r="CT13" s="919"/>
      <c r="CU13" s="1579"/>
      <c r="CV13" s="1579"/>
      <c r="CW13" s="1579"/>
      <c r="CX13" s="1579"/>
      <c r="CY13" s="1579"/>
      <c r="CZ13" s="1579"/>
      <c r="DA13" s="1579"/>
      <c r="DB13" s="1579"/>
      <c r="DC13" s="1579"/>
      <c r="DD13" s="1579"/>
      <c r="DE13" s="1579"/>
      <c r="DF13" s="1579"/>
      <c r="DG13" s="1579"/>
      <c r="DH13" s="1579"/>
      <c r="DI13" s="1579"/>
      <c r="DJ13" s="1579"/>
      <c r="DK13" s="1579"/>
      <c r="DL13" s="1579"/>
      <c r="DM13" s="1579"/>
      <c r="DN13" s="1579"/>
      <c r="DO13" s="1579"/>
      <c r="DP13" s="1579"/>
      <c r="DQ13" s="1579"/>
      <c r="DR13" s="1579"/>
      <c r="DS13" s="1579"/>
      <c r="DT13" s="1579"/>
      <c r="DU13" s="1579"/>
      <c r="DV13" s="1579"/>
      <c r="DW13" s="1579"/>
      <c r="DX13" s="1579"/>
      <c r="DY13" s="1579"/>
      <c r="DZ13" s="1579"/>
      <c r="EA13" s="1579"/>
      <c r="EB13" s="1579"/>
      <c r="EC13" s="1579"/>
      <c r="ED13" s="1579"/>
      <c r="EE13" s="1579"/>
      <c r="EF13" s="1579"/>
      <c r="EG13" s="1579"/>
      <c r="EH13" s="1579"/>
      <c r="EI13" s="1579"/>
      <c r="EJ13" s="1579"/>
      <c r="EK13" s="1579"/>
      <c r="EL13" s="1579"/>
      <c r="EM13" s="1579"/>
      <c r="EN13" s="1579"/>
      <c r="EO13" s="1579"/>
      <c r="EP13" s="1579"/>
      <c r="EQ13" s="1579"/>
      <c r="ER13" s="1579"/>
      <c r="ES13" s="1579"/>
      <c r="ET13" s="1579"/>
      <c r="EU13" s="1579"/>
      <c r="EV13" s="1579"/>
      <c r="EW13" s="1579"/>
      <c r="EX13" s="1579"/>
      <c r="EY13" s="1579"/>
      <c r="EZ13" s="1579"/>
      <c r="FA13" s="1579"/>
      <c r="FB13" s="1579"/>
      <c r="FC13" s="1579"/>
      <c r="FD13" s="1579"/>
      <c r="FE13" s="1579"/>
      <c r="FF13" s="1579"/>
      <c r="FG13" s="1579"/>
      <c r="FH13" s="1579"/>
      <c r="FI13" s="1579"/>
      <c r="FJ13" s="1579"/>
      <c r="FK13" s="1579"/>
      <c r="FL13" s="1579"/>
      <c r="FM13" s="1579"/>
      <c r="FN13" s="1579"/>
      <c r="FO13" s="1579"/>
      <c r="FP13" s="1579"/>
      <c r="FQ13" s="1579"/>
      <c r="FR13" s="1579"/>
      <c r="FS13" s="1579"/>
      <c r="FT13" s="1579"/>
      <c r="FU13" s="1579"/>
      <c r="FV13" s="1579"/>
    </row>
    <row r="14" spans="1:178" s="1411" customFormat="1" ht="13.8" x14ac:dyDescent="0.25">
      <c r="A14" s="1587"/>
      <c r="B14" s="3106" t="s">
        <v>70</v>
      </c>
      <c r="C14" s="1500"/>
      <c r="D14" s="1501"/>
      <c r="E14" s="3102">
        <f t="shared" si="22"/>
        <v>0</v>
      </c>
      <c r="F14" s="1992" t="e">
        <f t="shared" si="12"/>
        <v>#DIV/0!</v>
      </c>
      <c r="G14" s="2556">
        <v>40336.99</v>
      </c>
      <c r="H14" s="2016">
        <v>0</v>
      </c>
      <c r="I14" s="1998">
        <f t="shared" si="36"/>
        <v>40336.99</v>
      </c>
      <c r="J14" s="3107">
        <f t="shared" si="23"/>
        <v>7.3677736064777606E-4</v>
      </c>
      <c r="K14" s="2010"/>
      <c r="L14" s="2010"/>
      <c r="M14" s="3060">
        <v>8473.86</v>
      </c>
      <c r="N14" s="3061">
        <v>0</v>
      </c>
      <c r="O14" s="3062">
        <f t="shared" si="37"/>
        <v>8473.86</v>
      </c>
      <c r="P14" s="3063">
        <f t="shared" si="13"/>
        <v>1.2184438705446091E-3</v>
      </c>
      <c r="Q14" s="3065"/>
      <c r="R14" s="3060">
        <v>8473.86</v>
      </c>
      <c r="S14" s="3061">
        <v>0</v>
      </c>
      <c r="T14" s="3068">
        <f t="shared" si="38"/>
        <v>8473.86</v>
      </c>
      <c r="U14" s="3180">
        <f t="shared" si="14"/>
        <v>1.2184438705446091E-3</v>
      </c>
      <c r="V14" s="3065"/>
      <c r="W14" s="3061">
        <v>7218.1</v>
      </c>
      <c r="X14" s="3070"/>
      <c r="Y14" s="3083">
        <f t="shared" si="39"/>
        <v>7218.1</v>
      </c>
      <c r="Z14" s="3180">
        <f t="shared" si="15"/>
        <v>1.0378799864498636E-3</v>
      </c>
      <c r="AA14" s="3064"/>
      <c r="AB14" s="3061">
        <v>7591.17</v>
      </c>
      <c r="AC14" s="3070"/>
      <c r="AD14" s="3086">
        <f t="shared" si="40"/>
        <v>7591.17</v>
      </c>
      <c r="AE14" s="3180">
        <f t="shared" si="16"/>
        <v>1.0915231732365319E-3</v>
      </c>
      <c r="AF14" s="3065"/>
      <c r="AG14" s="3061">
        <v>8580</v>
      </c>
      <c r="AH14" s="3070"/>
      <c r="AI14" s="3083">
        <f t="shared" si="41"/>
        <v>8580</v>
      </c>
      <c r="AJ14" s="3180">
        <f t="shared" si="17"/>
        <v>1.2337055850902357E-3</v>
      </c>
      <c r="AK14" s="3064"/>
      <c r="AL14" s="3061">
        <v>5720</v>
      </c>
      <c r="AM14" s="3070"/>
      <c r="AN14" s="3083">
        <f t="shared" si="24"/>
        <v>5720</v>
      </c>
      <c r="AO14" s="3180">
        <f t="shared" si="25"/>
        <v>8.9207553185312392E-4</v>
      </c>
      <c r="AP14" s="3064"/>
      <c r="AQ14" s="3061">
        <v>5720</v>
      </c>
      <c r="AR14" s="3070"/>
      <c r="AS14" s="3083">
        <f t="shared" si="42"/>
        <v>5720</v>
      </c>
      <c r="AT14" s="3180">
        <f t="shared" si="18"/>
        <v>8.2247039006015708E-4</v>
      </c>
      <c r="AU14" s="3064"/>
      <c r="AV14" s="3061">
        <v>5734.48</v>
      </c>
      <c r="AW14" s="3070"/>
      <c r="AX14" s="3083">
        <f t="shared" si="43"/>
        <v>5734.48</v>
      </c>
      <c r="AY14" s="2809">
        <f t="shared" si="19"/>
        <v>1.9777361582510858E-3</v>
      </c>
      <c r="AZ14" s="2064"/>
      <c r="BA14" s="3061">
        <v>8059.41</v>
      </c>
      <c r="BB14" s="3070"/>
      <c r="BC14" s="3083">
        <f t="shared" si="44"/>
        <v>8059.41</v>
      </c>
      <c r="BD14" s="3180">
        <f t="shared" si="20"/>
        <v>2.2989005993462098E-3</v>
      </c>
      <c r="BE14" s="3064"/>
      <c r="BF14" s="3061">
        <v>8489.0300000000007</v>
      </c>
      <c r="BG14" s="3070"/>
      <c r="BH14" s="3083">
        <f t="shared" si="45"/>
        <v>8489.0300000000007</v>
      </c>
      <c r="BI14" s="3180">
        <f t="shared" si="26"/>
        <v>1.8621773806638405E-3</v>
      </c>
      <c r="BJ14" s="3064"/>
      <c r="BK14" s="3061">
        <v>7107.98</v>
      </c>
      <c r="BL14" s="3070"/>
      <c r="BM14" s="3083">
        <f t="shared" si="46"/>
        <v>7107.98</v>
      </c>
      <c r="BN14" s="3180">
        <f t="shared" si="27"/>
        <v>1.1714859412785509E-3</v>
      </c>
      <c r="BO14" s="3064"/>
      <c r="BP14" s="3061">
        <v>2870.25</v>
      </c>
      <c r="BQ14" s="3070"/>
      <c r="BR14" s="3083">
        <f t="shared" si="47"/>
        <v>2870.25</v>
      </c>
      <c r="BS14" s="3180">
        <f t="shared" si="28"/>
        <v>1.172240072989546E-3</v>
      </c>
      <c r="BT14" s="3064"/>
      <c r="BU14" s="3061"/>
      <c r="BV14" s="3070"/>
      <c r="BW14" s="3083">
        <f t="shared" si="48"/>
        <v>0</v>
      </c>
      <c r="BX14" s="3180">
        <f t="shared" si="29"/>
        <v>0</v>
      </c>
      <c r="BY14" s="3064"/>
      <c r="BZ14" s="3061"/>
      <c r="CA14" s="3070"/>
      <c r="CB14" s="3083">
        <f t="shared" si="49"/>
        <v>0</v>
      </c>
      <c r="CC14" s="3180">
        <f t="shared" si="30"/>
        <v>0</v>
      </c>
      <c r="CD14" s="3064"/>
      <c r="CE14" s="3061"/>
      <c r="CF14" s="3070"/>
      <c r="CG14" s="3083">
        <f t="shared" si="50"/>
        <v>0</v>
      </c>
      <c r="CH14" s="3180">
        <f t="shared" si="31"/>
        <v>0</v>
      </c>
      <c r="CI14" s="3064"/>
      <c r="CJ14" s="3061"/>
      <c r="CK14" s="3070"/>
      <c r="CL14" s="3083">
        <f t="shared" si="51"/>
        <v>0</v>
      </c>
      <c r="CM14" s="3180">
        <f t="shared" si="32"/>
        <v>0</v>
      </c>
      <c r="CN14" s="3064"/>
      <c r="CO14" s="2059">
        <f t="shared" si="33"/>
        <v>84038.14</v>
      </c>
      <c r="CP14" s="2059">
        <f t="shared" si="34"/>
        <v>0</v>
      </c>
      <c r="CQ14" s="2498">
        <f t="shared" si="35"/>
        <v>84038.14</v>
      </c>
      <c r="CR14" s="2809">
        <f t="shared" si="21"/>
        <v>8.9316284484735871E-4</v>
      </c>
      <c r="CS14" s="1449"/>
      <c r="CT14" s="919"/>
      <c r="CU14" s="1579"/>
      <c r="CV14" s="1579"/>
      <c r="CW14" s="1579"/>
      <c r="CX14" s="1579"/>
      <c r="CY14" s="1579"/>
      <c r="CZ14" s="1579"/>
      <c r="DA14" s="1579"/>
      <c r="DB14" s="1579"/>
      <c r="DC14" s="1579"/>
      <c r="DD14" s="1579"/>
      <c r="DE14" s="1579"/>
      <c r="DF14" s="1579"/>
      <c r="DG14" s="1579"/>
      <c r="DH14" s="1579"/>
      <c r="DI14" s="1579"/>
      <c r="DJ14" s="1579"/>
      <c r="DK14" s="1579"/>
      <c r="DL14" s="1579"/>
      <c r="DM14" s="1579"/>
      <c r="DN14" s="1579"/>
      <c r="DO14" s="1579"/>
      <c r="DP14" s="1579"/>
      <c r="DQ14" s="1579"/>
      <c r="DR14" s="1579"/>
      <c r="DS14" s="1579"/>
      <c r="DT14" s="1579"/>
      <c r="DU14" s="1579"/>
      <c r="DV14" s="1579"/>
      <c r="DW14" s="1579"/>
      <c r="DX14" s="1579"/>
      <c r="DY14" s="1579"/>
      <c r="DZ14" s="1579"/>
      <c r="EA14" s="1579"/>
      <c r="EB14" s="1579"/>
      <c r="EC14" s="1579"/>
      <c r="ED14" s="1579"/>
      <c r="EE14" s="1579"/>
      <c r="EF14" s="1579"/>
      <c r="EG14" s="1579"/>
      <c r="EH14" s="1579"/>
      <c r="EI14" s="1579"/>
      <c r="EJ14" s="1579"/>
      <c r="EK14" s="1579"/>
      <c r="EL14" s="1579"/>
      <c r="EM14" s="1579"/>
      <c r="EN14" s="1579"/>
      <c r="EO14" s="1579"/>
      <c r="EP14" s="1579"/>
      <c r="EQ14" s="1579"/>
      <c r="ER14" s="1579"/>
      <c r="ES14" s="1579"/>
      <c r="ET14" s="1579"/>
      <c r="EU14" s="1579"/>
      <c r="EV14" s="1579"/>
      <c r="EW14" s="1579"/>
      <c r="EX14" s="1579"/>
      <c r="EY14" s="1579"/>
      <c r="EZ14" s="1579"/>
      <c r="FA14" s="1579"/>
      <c r="FB14" s="1579"/>
      <c r="FC14" s="1579"/>
      <c r="FD14" s="1579"/>
      <c r="FE14" s="1579"/>
      <c r="FF14" s="1579"/>
      <c r="FG14" s="1579"/>
      <c r="FH14" s="1579"/>
      <c r="FI14" s="1579"/>
      <c r="FJ14" s="1579"/>
      <c r="FK14" s="1579"/>
      <c r="FL14" s="1579"/>
      <c r="FM14" s="1579"/>
      <c r="FN14" s="1579"/>
      <c r="FO14" s="1579"/>
      <c r="FP14" s="1579"/>
      <c r="FQ14" s="1579"/>
      <c r="FR14" s="1579"/>
      <c r="FS14" s="1579"/>
      <c r="FT14" s="1579"/>
      <c r="FU14" s="1579"/>
      <c r="FV14" s="1579"/>
    </row>
    <row r="15" spans="1:178" s="1411" customFormat="1" ht="60" customHeight="1" x14ac:dyDescent="0.25">
      <c r="A15" s="1587"/>
      <c r="B15" s="3106" t="s">
        <v>20</v>
      </c>
      <c r="C15" s="1500"/>
      <c r="D15" s="2811"/>
      <c r="E15" s="3102">
        <f t="shared" si="22"/>
        <v>0</v>
      </c>
      <c r="F15" s="1992" t="e">
        <f t="shared" si="12"/>
        <v>#DIV/0!</v>
      </c>
      <c r="G15" s="1995">
        <v>0</v>
      </c>
      <c r="H15" s="2067">
        <f>111794.58-10000</f>
        <v>101794.58</v>
      </c>
      <c r="I15" s="1998">
        <f t="shared" si="36"/>
        <v>101794.58</v>
      </c>
      <c r="J15" s="3024">
        <f t="shared" si="23"/>
        <v>1.8593341243520873E-3</v>
      </c>
      <c r="K15" s="2062"/>
      <c r="L15" s="2062"/>
      <c r="M15" s="1995"/>
      <c r="N15" s="2067"/>
      <c r="O15" s="1998">
        <f t="shared" si="37"/>
        <v>0</v>
      </c>
      <c r="P15" s="3024">
        <f t="shared" si="13"/>
        <v>0</v>
      </c>
      <c r="Q15" s="2062"/>
      <c r="R15" s="3060"/>
      <c r="S15" s="3061">
        <v>13444.58</v>
      </c>
      <c r="T15" s="3068">
        <f t="shared" si="38"/>
        <v>13444.58</v>
      </c>
      <c r="U15" s="3180">
        <f t="shared" si="14"/>
        <v>1.9331763910480748E-3</v>
      </c>
      <c r="V15" s="3065" t="s">
        <v>1799</v>
      </c>
      <c r="W15" s="3061"/>
      <c r="X15" s="3070">
        <v>36950</v>
      </c>
      <c r="Y15" s="3083">
        <f t="shared" si="39"/>
        <v>36950</v>
      </c>
      <c r="Z15" s="3180">
        <f t="shared" si="15"/>
        <v>5.3129861735529381E-3</v>
      </c>
      <c r="AA15" s="3065" t="s">
        <v>1800</v>
      </c>
      <c r="AB15" s="3061"/>
      <c r="AC15" s="3070">
        <v>20900</v>
      </c>
      <c r="AD15" s="3086">
        <f t="shared" si="40"/>
        <v>20900</v>
      </c>
      <c r="AE15" s="3180">
        <f t="shared" si="16"/>
        <v>3.0051802713736511E-3</v>
      </c>
      <c r="AF15" s="3065" t="s">
        <v>1801</v>
      </c>
      <c r="AG15" s="3061"/>
      <c r="AH15" s="3070">
        <v>40500</v>
      </c>
      <c r="AI15" s="3083">
        <f t="shared" si="41"/>
        <v>40500</v>
      </c>
      <c r="AJ15" s="3180">
        <f t="shared" si="17"/>
        <v>5.8234354540972659E-3</v>
      </c>
      <c r="AK15" s="3064"/>
      <c r="AL15" s="3061"/>
      <c r="AM15" s="3070">
        <v>27000</v>
      </c>
      <c r="AN15" s="3083">
        <f t="shared" si="24"/>
        <v>27000</v>
      </c>
      <c r="AO15" s="3180">
        <f t="shared" si="25"/>
        <v>4.2108460419640467E-3</v>
      </c>
      <c r="AP15" s="3064"/>
      <c r="AQ15" s="3061"/>
      <c r="AR15" s="3070">
        <v>21500</v>
      </c>
      <c r="AS15" s="3083">
        <f t="shared" si="42"/>
        <v>21500</v>
      </c>
      <c r="AT15" s="3180">
        <f t="shared" si="18"/>
        <v>3.0914533892121292E-3</v>
      </c>
      <c r="AU15" s="3064"/>
      <c r="AV15" s="3061"/>
      <c r="AW15" s="3070">
        <v>16890</v>
      </c>
      <c r="AX15" s="3083">
        <f t="shared" si="43"/>
        <v>16890</v>
      </c>
      <c r="AY15" s="2809">
        <f t="shared" si="19"/>
        <v>5.8251077190714486E-3</v>
      </c>
      <c r="AZ15" s="2064"/>
      <c r="BA15" s="3061"/>
      <c r="BB15" s="3070">
        <v>18035</v>
      </c>
      <c r="BC15" s="3083">
        <f t="shared" si="44"/>
        <v>18035</v>
      </c>
      <c r="BD15" s="3180">
        <f t="shared" si="20"/>
        <v>5.1443805823514245E-3</v>
      </c>
      <c r="BE15" s="3064"/>
      <c r="BF15" s="3061"/>
      <c r="BG15" s="3070">
        <v>18200</v>
      </c>
      <c r="BH15" s="3083">
        <f t="shared" si="45"/>
        <v>18200</v>
      </c>
      <c r="BI15" s="3180">
        <f t="shared" si="26"/>
        <v>3.9924029398037105E-3</v>
      </c>
      <c r="BJ15" s="3064"/>
      <c r="BK15" s="3061"/>
      <c r="BL15" s="3070">
        <v>17800</v>
      </c>
      <c r="BM15" s="3083">
        <f t="shared" si="46"/>
        <v>17800</v>
      </c>
      <c r="BN15" s="3180">
        <f t="shared" si="27"/>
        <v>2.9336674772239379E-3</v>
      </c>
      <c r="BO15" s="3084"/>
      <c r="BP15" s="3061"/>
      <c r="BQ15" s="3070"/>
      <c r="BR15" s="3083">
        <f t="shared" si="47"/>
        <v>0</v>
      </c>
      <c r="BS15" s="3180">
        <f t="shared" si="28"/>
        <v>0</v>
      </c>
      <c r="BT15" s="3084"/>
      <c r="BU15" s="3061"/>
      <c r="BV15" s="3070"/>
      <c r="BW15" s="3083">
        <f t="shared" si="48"/>
        <v>0</v>
      </c>
      <c r="BX15" s="3180">
        <f t="shared" si="29"/>
        <v>0</v>
      </c>
      <c r="BY15" s="3084"/>
      <c r="BZ15" s="3061"/>
      <c r="CA15" s="3070"/>
      <c r="CB15" s="3083">
        <f t="shared" si="49"/>
        <v>0</v>
      </c>
      <c r="CC15" s="3180">
        <f t="shared" si="30"/>
        <v>0</v>
      </c>
      <c r="CD15" s="3084"/>
      <c r="CE15" s="3061"/>
      <c r="CF15" s="3070"/>
      <c r="CG15" s="3083">
        <f t="shared" si="50"/>
        <v>0</v>
      </c>
      <c r="CH15" s="3180">
        <f t="shared" si="31"/>
        <v>0</v>
      </c>
      <c r="CI15" s="3084"/>
      <c r="CJ15" s="3061"/>
      <c r="CK15" s="3070"/>
      <c r="CL15" s="3083">
        <f t="shared" si="51"/>
        <v>0</v>
      </c>
      <c r="CM15" s="3180">
        <f t="shared" si="32"/>
        <v>0</v>
      </c>
      <c r="CN15" s="3084"/>
      <c r="CO15" s="2059">
        <f t="shared" si="33"/>
        <v>0</v>
      </c>
      <c r="CP15" s="2059">
        <f t="shared" si="34"/>
        <v>231219.58000000002</v>
      </c>
      <c r="CQ15" s="2498">
        <f t="shared" si="35"/>
        <v>231219.58000000002</v>
      </c>
      <c r="CR15" s="2809">
        <f t="shared" si="21"/>
        <v>2.4574168092869673E-3</v>
      </c>
      <c r="CS15" s="1449"/>
      <c r="CT15" s="919"/>
      <c r="CU15" s="1579"/>
      <c r="CV15" s="1579"/>
      <c r="CW15" s="1579"/>
      <c r="CX15" s="1579"/>
      <c r="CY15" s="1579"/>
      <c r="CZ15" s="1579"/>
      <c r="DA15" s="1579"/>
      <c r="DB15" s="1579"/>
      <c r="DC15" s="1579"/>
      <c r="DD15" s="1579"/>
      <c r="DE15" s="1579"/>
      <c r="DF15" s="1579"/>
      <c r="DG15" s="1579"/>
      <c r="DH15" s="1579"/>
      <c r="DI15" s="1579"/>
      <c r="DJ15" s="1579"/>
      <c r="DK15" s="1579"/>
      <c r="DL15" s="1579"/>
      <c r="DM15" s="1579"/>
      <c r="DN15" s="1579"/>
      <c r="DO15" s="1579"/>
      <c r="DP15" s="1579"/>
      <c r="DQ15" s="1579"/>
      <c r="DR15" s="1579"/>
      <c r="DS15" s="1579"/>
      <c r="DT15" s="1579"/>
      <c r="DU15" s="1579"/>
      <c r="DV15" s="1579"/>
      <c r="DW15" s="1579"/>
      <c r="DX15" s="1579"/>
      <c r="DY15" s="1579"/>
      <c r="DZ15" s="1579"/>
      <c r="EA15" s="1579"/>
      <c r="EB15" s="1579"/>
      <c r="EC15" s="1579"/>
      <c r="ED15" s="1579"/>
      <c r="EE15" s="1579"/>
      <c r="EF15" s="1579"/>
      <c r="EG15" s="1579"/>
      <c r="EH15" s="1579"/>
      <c r="EI15" s="1579"/>
      <c r="EJ15" s="1579"/>
      <c r="EK15" s="1579"/>
      <c r="EL15" s="1579"/>
      <c r="EM15" s="1579"/>
      <c r="EN15" s="1579"/>
      <c r="EO15" s="1579"/>
      <c r="EP15" s="1579"/>
      <c r="EQ15" s="1579"/>
      <c r="ER15" s="1579"/>
      <c r="ES15" s="1579"/>
      <c r="ET15" s="1579"/>
      <c r="EU15" s="1579"/>
      <c r="EV15" s="1579"/>
      <c r="EW15" s="1579"/>
      <c r="EX15" s="1579"/>
      <c r="EY15" s="1579"/>
      <c r="EZ15" s="1579"/>
      <c r="FA15" s="1579"/>
      <c r="FB15" s="1579"/>
      <c r="FC15" s="1579"/>
      <c r="FD15" s="1579"/>
      <c r="FE15" s="1579"/>
      <c r="FF15" s="1579"/>
      <c r="FG15" s="1579"/>
      <c r="FH15" s="1579"/>
      <c r="FI15" s="1579"/>
      <c r="FJ15" s="1579"/>
      <c r="FK15" s="1579"/>
      <c r="FL15" s="1579"/>
      <c r="FM15" s="1579"/>
      <c r="FN15" s="1579"/>
      <c r="FO15" s="1579"/>
      <c r="FP15" s="1579"/>
      <c r="FQ15" s="1579"/>
      <c r="FR15" s="1579"/>
      <c r="FS15" s="1579"/>
      <c r="FT15" s="1579"/>
      <c r="FU15" s="1579"/>
      <c r="FV15" s="1579"/>
    </row>
    <row r="16" spans="1:178" s="1411" customFormat="1" ht="58.2" customHeight="1" x14ac:dyDescent="0.25">
      <c r="A16" s="1587"/>
      <c r="B16" s="3106" t="s">
        <v>21</v>
      </c>
      <c r="C16" s="1500"/>
      <c r="D16" s="2811"/>
      <c r="E16" s="3102">
        <f t="shared" si="22"/>
        <v>0</v>
      </c>
      <c r="F16" s="1992" t="e">
        <f t="shared" si="12"/>
        <v>#DIV/0!</v>
      </c>
      <c r="G16" s="1995">
        <v>0</v>
      </c>
      <c r="H16" s="2067">
        <v>3024017.3899999997</v>
      </c>
      <c r="I16" s="1998">
        <f t="shared" si="36"/>
        <v>3024017.3899999997</v>
      </c>
      <c r="J16" s="3024">
        <f t="shared" si="23"/>
        <v>5.5235344807760232E-2</v>
      </c>
      <c r="K16" s="2062"/>
      <c r="L16" s="2062"/>
      <c r="M16" s="1995"/>
      <c r="N16" s="2067"/>
      <c r="O16" s="1998">
        <f t="shared" si="37"/>
        <v>0</v>
      </c>
      <c r="P16" s="3024">
        <f t="shared" si="13"/>
        <v>0</v>
      </c>
      <c r="Q16" s="2062"/>
      <c r="R16" s="3060"/>
      <c r="S16" s="3061">
        <v>466818.92</v>
      </c>
      <c r="T16" s="3068">
        <f t="shared" si="38"/>
        <v>466818.92</v>
      </c>
      <c r="U16" s="3180">
        <f t="shared" si="14"/>
        <v>6.7123206157318399E-2</v>
      </c>
      <c r="V16" s="3065" t="s">
        <v>1802</v>
      </c>
      <c r="W16" s="3061"/>
      <c r="X16" s="3061">
        <v>829328.42999999993</v>
      </c>
      <c r="Y16" s="3083">
        <f t="shared" si="39"/>
        <v>829328.42999999993</v>
      </c>
      <c r="Z16" s="3180">
        <f t="shared" si="15"/>
        <v>0.11924791561364995</v>
      </c>
      <c r="AA16" s="3065" t="s">
        <v>1803</v>
      </c>
      <c r="AB16" s="3061"/>
      <c r="AC16" s="3070">
        <v>943574.04999999993</v>
      </c>
      <c r="AD16" s="3086">
        <f t="shared" si="40"/>
        <v>943574.04999999993</v>
      </c>
      <c r="AE16" s="3180">
        <f t="shared" si="16"/>
        <v>0.13567512534163323</v>
      </c>
      <c r="AF16" s="3065" t="s">
        <v>1804</v>
      </c>
      <c r="AG16" s="3061"/>
      <c r="AH16" s="3070">
        <f>22500+2805+1450.8+3012+34160+37660+3229.2+12936+60140+25762.65+26781.2+15769+5025+25009.15+24528+54500+56051+19285+119915.36+48259.54+25582.82+35005.2+1020+104236.95+19672.12</f>
        <v>784295.98999999987</v>
      </c>
      <c r="AI16" s="3083">
        <f t="shared" si="41"/>
        <v>784295.98999999987</v>
      </c>
      <c r="AJ16" s="3180">
        <f t="shared" si="17"/>
        <v>0.11277276727585961</v>
      </c>
      <c r="AK16" s="3084" t="s">
        <v>1805</v>
      </c>
      <c r="AL16" s="3061"/>
      <c r="AM16" s="3070">
        <f>27045.2+33405+42288.52+36633.49+1800+56334.9+13410+1080+89609.49+98948.15+92800+23346.16+69539+1540+44135</f>
        <v>631914.90999999992</v>
      </c>
      <c r="AN16" s="3083">
        <f t="shared" si="24"/>
        <v>631914.90999999992</v>
      </c>
      <c r="AO16" s="3180">
        <f t="shared" si="25"/>
        <v>9.8551718430798754E-2</v>
      </c>
      <c r="AP16" s="3065" t="s">
        <v>1558</v>
      </c>
      <c r="AQ16" s="3061"/>
      <c r="AR16" s="3070">
        <f>28265+72269.75+22259+32340+60685+14820+88145+20205+21156+19872.18+34171.2+30080+9000+5550</f>
        <v>458818.13</v>
      </c>
      <c r="AS16" s="3083">
        <f t="shared" si="42"/>
        <v>458818.13</v>
      </c>
      <c r="AT16" s="3180">
        <f t="shared" si="18"/>
        <v>6.5972784326533543E-2</v>
      </c>
      <c r="AU16" s="3065" t="s">
        <v>1581</v>
      </c>
      <c r="AV16" s="3061"/>
      <c r="AW16" s="3070">
        <f>2700+23835+25209.45+20281.35+8000+37872.82+58918.8+42460+77630.8</f>
        <v>296908.21999999997</v>
      </c>
      <c r="AX16" s="3083">
        <f t="shared" si="43"/>
        <v>296908.21999999997</v>
      </c>
      <c r="AY16" s="2809">
        <f t="shared" si="19"/>
        <v>0.10239919266890253</v>
      </c>
      <c r="AZ16" s="3065" t="s">
        <v>1620</v>
      </c>
      <c r="BA16" s="3061"/>
      <c r="BB16" s="3070">
        <f>21136.1+17276.71+17900.55+35085+25800+10950+79765+35185+11348.3+39550+7453.65+7500+7140+19600+25000</f>
        <v>360690.31</v>
      </c>
      <c r="BC16" s="3083">
        <f t="shared" si="44"/>
        <v>360690.31</v>
      </c>
      <c r="BD16" s="3180">
        <f t="shared" si="20"/>
        <v>0.10288484762995929</v>
      </c>
      <c r="BE16" s="3065" t="s">
        <v>1630</v>
      </c>
      <c r="BF16" s="3061"/>
      <c r="BG16" s="3070">
        <f>45500+45990+21776.35+25780+102134.7+45430+9000+52170+69300+10962+34185+15000+8499.68</f>
        <v>485727.73</v>
      </c>
      <c r="BH16" s="3083">
        <f t="shared" si="45"/>
        <v>485727.73</v>
      </c>
      <c r="BI16" s="3180">
        <f t="shared" si="26"/>
        <v>0.10655059435143863</v>
      </c>
      <c r="BJ16" s="3065" t="s">
        <v>1672</v>
      </c>
      <c r="BK16" s="3061"/>
      <c r="BL16" s="3070">
        <f>34910.32+23040+95958.56+141797.4+76579+12364+10540+24563+18100+38291.7+58049+25751+82298+140140+100541.3-49095.98</f>
        <v>833827.3</v>
      </c>
      <c r="BM16" s="3083">
        <f t="shared" si="46"/>
        <v>833827.3</v>
      </c>
      <c r="BN16" s="3180">
        <f t="shared" si="27"/>
        <v>0.1374253950354746</v>
      </c>
      <c r="BO16" s="3065" t="s">
        <v>1702</v>
      </c>
      <c r="BP16" s="3061"/>
      <c r="BQ16" s="3070">
        <f>60006+116550+81250</f>
        <v>257806</v>
      </c>
      <c r="BR16" s="3083">
        <f t="shared" si="47"/>
        <v>257806</v>
      </c>
      <c r="BS16" s="3180">
        <f t="shared" si="28"/>
        <v>0.10529066257543521</v>
      </c>
      <c r="BT16" s="3065" t="s">
        <v>1762</v>
      </c>
      <c r="BU16" s="3061"/>
      <c r="BV16" s="3070"/>
      <c r="BW16" s="3083">
        <f t="shared" si="48"/>
        <v>0</v>
      </c>
      <c r="BX16" s="3180">
        <f t="shared" si="29"/>
        <v>0</v>
      </c>
      <c r="BY16" s="2071"/>
      <c r="BZ16" s="3061"/>
      <c r="CA16" s="3070"/>
      <c r="CB16" s="3083">
        <f t="shared" si="49"/>
        <v>0</v>
      </c>
      <c r="CC16" s="3180">
        <f t="shared" si="30"/>
        <v>0</v>
      </c>
      <c r="CD16" s="2071"/>
      <c r="CE16" s="3061"/>
      <c r="CF16" s="3070"/>
      <c r="CG16" s="3083">
        <f t="shared" si="50"/>
        <v>0</v>
      </c>
      <c r="CH16" s="3180">
        <f t="shared" si="31"/>
        <v>0</v>
      </c>
      <c r="CI16" s="2071"/>
      <c r="CJ16" s="3061"/>
      <c r="CK16" s="3070"/>
      <c r="CL16" s="3083">
        <f t="shared" si="51"/>
        <v>0</v>
      </c>
      <c r="CM16" s="3180">
        <f t="shared" si="32"/>
        <v>0</v>
      </c>
      <c r="CN16" s="2071"/>
      <c r="CO16" s="2059">
        <f t="shared" si="33"/>
        <v>0</v>
      </c>
      <c r="CP16" s="2059">
        <f t="shared" si="34"/>
        <v>6349709.9899999993</v>
      </c>
      <c r="CQ16" s="2498">
        <f t="shared" si="35"/>
        <v>6349709.9899999993</v>
      </c>
      <c r="CR16" s="2809">
        <f t="shared" si="21"/>
        <v>6.7485132805463005E-2</v>
      </c>
      <c r="CS16" s="1449"/>
      <c r="CT16" s="919"/>
      <c r="CU16" s="1579"/>
      <c r="CV16" s="1579"/>
      <c r="CW16" s="1579"/>
      <c r="CX16" s="1579"/>
      <c r="CY16" s="1579"/>
      <c r="CZ16" s="1579"/>
      <c r="DA16" s="1579"/>
      <c r="DB16" s="1579"/>
      <c r="DC16" s="1579"/>
      <c r="DD16" s="1579"/>
      <c r="DE16" s="1579"/>
      <c r="DF16" s="1579"/>
      <c r="DG16" s="1579"/>
      <c r="DH16" s="1579"/>
      <c r="DI16" s="1579"/>
      <c r="DJ16" s="1579"/>
      <c r="DK16" s="1579"/>
      <c r="DL16" s="1579"/>
      <c r="DM16" s="1579"/>
      <c r="DN16" s="1579"/>
      <c r="DO16" s="1579"/>
      <c r="DP16" s="1579"/>
      <c r="DQ16" s="1579"/>
      <c r="DR16" s="1579"/>
      <c r="DS16" s="1579"/>
      <c r="DT16" s="1579"/>
      <c r="DU16" s="1579"/>
      <c r="DV16" s="1579"/>
      <c r="DW16" s="1579"/>
      <c r="DX16" s="1579"/>
      <c r="DY16" s="1579"/>
      <c r="DZ16" s="1579"/>
      <c r="EA16" s="1579"/>
      <c r="EB16" s="1579"/>
      <c r="EC16" s="1579"/>
      <c r="ED16" s="1579"/>
      <c r="EE16" s="1579"/>
      <c r="EF16" s="1579"/>
      <c r="EG16" s="1579"/>
      <c r="EH16" s="1579"/>
      <c r="EI16" s="1579"/>
      <c r="EJ16" s="1579"/>
      <c r="EK16" s="1579"/>
      <c r="EL16" s="1579"/>
      <c r="EM16" s="1579"/>
      <c r="EN16" s="1579"/>
      <c r="EO16" s="1579"/>
      <c r="EP16" s="1579"/>
      <c r="EQ16" s="1579"/>
      <c r="ER16" s="1579"/>
      <c r="ES16" s="1579"/>
      <c r="ET16" s="1579"/>
      <c r="EU16" s="1579"/>
      <c r="EV16" s="1579"/>
      <c r="EW16" s="1579"/>
      <c r="EX16" s="1579"/>
      <c r="EY16" s="1579"/>
      <c r="EZ16" s="1579"/>
      <c r="FA16" s="1579"/>
      <c r="FB16" s="1579"/>
      <c r="FC16" s="1579"/>
      <c r="FD16" s="1579"/>
      <c r="FE16" s="1579"/>
      <c r="FF16" s="1579"/>
      <c r="FG16" s="1579"/>
      <c r="FH16" s="1579"/>
      <c r="FI16" s="1579"/>
      <c r="FJ16" s="1579"/>
      <c r="FK16" s="1579"/>
      <c r="FL16" s="1579"/>
      <c r="FM16" s="1579"/>
      <c r="FN16" s="1579"/>
      <c r="FO16" s="1579"/>
      <c r="FP16" s="1579"/>
      <c r="FQ16" s="1579"/>
      <c r="FR16" s="1579"/>
      <c r="FS16" s="1579"/>
      <c r="FT16" s="1579"/>
      <c r="FU16" s="1579"/>
      <c r="FV16" s="1579"/>
    </row>
    <row r="17" spans="1:178" s="1411" customFormat="1" ht="13.8" x14ac:dyDescent="0.25">
      <c r="A17" s="1587"/>
      <c r="B17" s="3106" t="s">
        <v>22</v>
      </c>
      <c r="C17" s="1500"/>
      <c r="D17" s="2811"/>
      <c r="E17" s="3102">
        <f t="shared" si="22"/>
        <v>0</v>
      </c>
      <c r="F17" s="1992" t="e">
        <f t="shared" si="12"/>
        <v>#DIV/0!</v>
      </c>
      <c r="G17" s="1995">
        <v>0</v>
      </c>
      <c r="H17" s="2067">
        <v>600</v>
      </c>
      <c r="I17" s="1998">
        <f t="shared" si="36"/>
        <v>600</v>
      </c>
      <c r="J17" s="3024">
        <f t="shared" si="23"/>
        <v>1.0959330787663275E-5</v>
      </c>
      <c r="K17" s="2062"/>
      <c r="L17" s="2062"/>
      <c r="M17" s="1995"/>
      <c r="N17" s="2067"/>
      <c r="O17" s="1998">
        <f t="shared" si="37"/>
        <v>0</v>
      </c>
      <c r="P17" s="3024">
        <f t="shared" si="13"/>
        <v>0</v>
      </c>
      <c r="Q17" s="2062"/>
      <c r="R17" s="3060"/>
      <c r="S17" s="3061">
        <v>600</v>
      </c>
      <c r="T17" s="3068">
        <f t="shared" si="38"/>
        <v>600</v>
      </c>
      <c r="U17" s="3180">
        <f t="shared" si="14"/>
        <v>8.6273117838478022E-5</v>
      </c>
      <c r="V17" s="3065" t="s">
        <v>1806</v>
      </c>
      <c r="W17" s="2067"/>
      <c r="X17" s="2059"/>
      <c r="Y17" s="2061">
        <f t="shared" si="39"/>
        <v>0</v>
      </c>
      <c r="Z17" s="2809">
        <f t="shared" si="15"/>
        <v>0</v>
      </c>
      <c r="AA17" s="2064"/>
      <c r="AB17" s="3061"/>
      <c r="AC17" s="3070"/>
      <c r="AD17" s="3086">
        <f t="shared" si="40"/>
        <v>0</v>
      </c>
      <c r="AE17" s="3180">
        <f t="shared" si="16"/>
        <v>0</v>
      </c>
      <c r="AF17" s="3064"/>
      <c r="AG17" s="2067"/>
      <c r="AH17" s="2059"/>
      <c r="AI17" s="2061">
        <f t="shared" si="41"/>
        <v>0</v>
      </c>
      <c r="AJ17" s="2809">
        <f t="shared" si="17"/>
        <v>0</v>
      </c>
      <c r="AK17" s="2064"/>
      <c r="AL17" s="3061"/>
      <c r="AM17" s="3070"/>
      <c r="AN17" s="3083">
        <f t="shared" si="24"/>
        <v>0</v>
      </c>
      <c r="AO17" s="3180">
        <f t="shared" si="25"/>
        <v>0</v>
      </c>
      <c r="AP17" s="3064"/>
      <c r="AQ17" s="3061"/>
      <c r="AR17" s="3070"/>
      <c r="AS17" s="3083">
        <f t="shared" si="42"/>
        <v>0</v>
      </c>
      <c r="AT17" s="3180">
        <f t="shared" si="18"/>
        <v>0</v>
      </c>
      <c r="AU17" s="3064"/>
      <c r="AV17" s="2067"/>
      <c r="AW17" s="2059"/>
      <c r="AX17" s="2061">
        <f t="shared" si="43"/>
        <v>0</v>
      </c>
      <c r="AY17" s="2809">
        <f t="shared" si="19"/>
        <v>0</v>
      </c>
      <c r="AZ17" s="2064"/>
      <c r="BA17" s="2067"/>
      <c r="BB17" s="2059"/>
      <c r="BC17" s="2061">
        <f t="shared" si="44"/>
        <v>0</v>
      </c>
      <c r="BD17" s="2809">
        <f t="shared" si="20"/>
        <v>0</v>
      </c>
      <c r="BE17" s="2064"/>
      <c r="BF17" s="2067"/>
      <c r="BG17" s="2059"/>
      <c r="BH17" s="2061">
        <f t="shared" si="45"/>
        <v>0</v>
      </c>
      <c r="BI17" s="2809">
        <f t="shared" si="26"/>
        <v>0</v>
      </c>
      <c r="BJ17" s="2064"/>
      <c r="BK17" s="3061"/>
      <c r="BL17" s="3070"/>
      <c r="BM17" s="3083">
        <f t="shared" si="46"/>
        <v>0</v>
      </c>
      <c r="BN17" s="3180">
        <f t="shared" si="27"/>
        <v>0</v>
      </c>
      <c r="BO17" s="3064"/>
      <c r="BP17" s="2067"/>
      <c r="BQ17" s="2059"/>
      <c r="BR17" s="2061">
        <f t="shared" si="47"/>
        <v>0</v>
      </c>
      <c r="BS17" s="2809">
        <f t="shared" si="28"/>
        <v>0</v>
      </c>
      <c r="BT17" s="2064"/>
      <c r="BU17" s="2067"/>
      <c r="BV17" s="2059">
        <v>30000</v>
      </c>
      <c r="BW17" s="2061">
        <f t="shared" si="48"/>
        <v>30000</v>
      </c>
      <c r="BX17" s="2809">
        <f t="shared" si="29"/>
        <v>5.5574871734307529E-2</v>
      </c>
      <c r="BY17" s="2065" t="s">
        <v>1916</v>
      </c>
      <c r="BZ17" s="2067"/>
      <c r="CA17" s="2059"/>
      <c r="CB17" s="2061">
        <f t="shared" si="49"/>
        <v>0</v>
      </c>
      <c r="CC17" s="2809">
        <f t="shared" si="30"/>
        <v>0</v>
      </c>
      <c r="CD17" s="2065"/>
      <c r="CE17" s="2067"/>
      <c r="CF17" s="2059"/>
      <c r="CG17" s="2061">
        <f t="shared" si="50"/>
        <v>0</v>
      </c>
      <c r="CH17" s="2809">
        <f t="shared" si="31"/>
        <v>0</v>
      </c>
      <c r="CI17" s="2065"/>
      <c r="CJ17" s="2067"/>
      <c r="CK17" s="2059"/>
      <c r="CL17" s="2061">
        <f t="shared" si="51"/>
        <v>0</v>
      </c>
      <c r="CM17" s="2809">
        <f t="shared" si="32"/>
        <v>0</v>
      </c>
      <c r="CN17" s="2065"/>
      <c r="CO17" s="2059">
        <f t="shared" si="33"/>
        <v>0</v>
      </c>
      <c r="CP17" s="2059">
        <f t="shared" si="34"/>
        <v>30600</v>
      </c>
      <c r="CQ17" s="2498">
        <f t="shared" si="35"/>
        <v>30600</v>
      </c>
      <c r="CR17" s="2809">
        <f t="shared" si="21"/>
        <v>3.252188000868317E-4</v>
      </c>
      <c r="CS17" s="1449"/>
      <c r="CT17" s="919"/>
      <c r="CU17" s="1579"/>
      <c r="CV17" s="1579"/>
      <c r="CW17" s="1579"/>
      <c r="CX17" s="1579"/>
      <c r="CY17" s="1579"/>
      <c r="CZ17" s="1579"/>
      <c r="DA17" s="1579"/>
      <c r="DB17" s="1579"/>
      <c r="DC17" s="1579"/>
      <c r="DD17" s="1579"/>
      <c r="DE17" s="1579"/>
      <c r="DF17" s="1579"/>
      <c r="DG17" s="1579"/>
      <c r="DH17" s="1579"/>
      <c r="DI17" s="1579"/>
      <c r="DJ17" s="1579"/>
      <c r="DK17" s="1579"/>
      <c r="DL17" s="1579"/>
      <c r="DM17" s="1579"/>
      <c r="DN17" s="1579"/>
      <c r="DO17" s="1579"/>
      <c r="DP17" s="1579"/>
      <c r="DQ17" s="1579"/>
      <c r="DR17" s="1579"/>
      <c r="DS17" s="1579"/>
      <c r="DT17" s="1579"/>
      <c r="DU17" s="1579"/>
      <c r="DV17" s="1579"/>
      <c r="DW17" s="1579"/>
      <c r="DX17" s="1579"/>
      <c r="DY17" s="1579"/>
      <c r="DZ17" s="1579"/>
      <c r="EA17" s="1579"/>
      <c r="EB17" s="1579"/>
      <c r="EC17" s="1579"/>
      <c r="ED17" s="1579"/>
      <c r="EE17" s="1579"/>
      <c r="EF17" s="1579"/>
      <c r="EG17" s="1579"/>
      <c r="EH17" s="1579"/>
      <c r="EI17" s="1579"/>
      <c r="EJ17" s="1579"/>
      <c r="EK17" s="1579"/>
      <c r="EL17" s="1579"/>
      <c r="EM17" s="1579"/>
      <c r="EN17" s="1579"/>
      <c r="EO17" s="1579"/>
      <c r="EP17" s="1579"/>
      <c r="EQ17" s="1579"/>
      <c r="ER17" s="1579"/>
      <c r="ES17" s="1579"/>
      <c r="ET17" s="1579"/>
      <c r="EU17" s="1579"/>
      <c r="EV17" s="1579"/>
      <c r="EW17" s="1579"/>
      <c r="EX17" s="1579"/>
      <c r="EY17" s="1579"/>
      <c r="EZ17" s="1579"/>
      <c r="FA17" s="1579"/>
      <c r="FB17" s="1579"/>
      <c r="FC17" s="1579"/>
      <c r="FD17" s="1579"/>
      <c r="FE17" s="1579"/>
      <c r="FF17" s="1579"/>
      <c r="FG17" s="1579"/>
      <c r="FH17" s="1579"/>
      <c r="FI17" s="1579"/>
      <c r="FJ17" s="1579"/>
      <c r="FK17" s="1579"/>
      <c r="FL17" s="1579"/>
      <c r="FM17" s="1579"/>
      <c r="FN17" s="1579"/>
      <c r="FO17" s="1579"/>
      <c r="FP17" s="1579"/>
      <c r="FQ17" s="1579"/>
      <c r="FR17" s="1579"/>
      <c r="FS17" s="1579"/>
      <c r="FT17" s="1579"/>
      <c r="FU17" s="1579"/>
      <c r="FV17" s="1579"/>
    </row>
    <row r="18" spans="1:178" s="1411" customFormat="1" ht="86.4" customHeight="1" x14ac:dyDescent="0.25">
      <c r="A18" s="1587"/>
      <c r="B18" s="3106" t="s">
        <v>0</v>
      </c>
      <c r="C18" s="1500"/>
      <c r="D18" s="2811"/>
      <c r="E18" s="3102">
        <f t="shared" si="22"/>
        <v>0</v>
      </c>
      <c r="F18" s="1992" t="e">
        <f t="shared" si="12"/>
        <v>#DIV/0!</v>
      </c>
      <c r="G18" s="1995">
        <f>21335084.596+2678867</f>
        <v>24013951.596000001</v>
      </c>
      <c r="H18" s="2067">
        <v>6000</v>
      </c>
      <c r="I18" s="1998">
        <f t="shared" si="36"/>
        <v>24019951.596000001</v>
      </c>
      <c r="J18" s="3024">
        <f t="shared" si="23"/>
        <v>0.43873765840704071</v>
      </c>
      <c r="K18" s="2062"/>
      <c r="L18" s="2062"/>
      <c r="M18" s="3060">
        <v>16270</v>
      </c>
      <c r="N18" s="3061">
        <v>1000</v>
      </c>
      <c r="O18" s="3062">
        <f t="shared" si="37"/>
        <v>17270</v>
      </c>
      <c r="P18" s="3063">
        <f t="shared" si="13"/>
        <v>2.483227908450859E-3</v>
      </c>
      <c r="Q18" s="3065" t="s">
        <v>1874</v>
      </c>
      <c r="R18" s="3073">
        <f>7890+6390+3000</f>
        <v>17280</v>
      </c>
      <c r="S18" s="3061">
        <v>5000</v>
      </c>
      <c r="T18" s="3068">
        <f t="shared" si="38"/>
        <v>22280</v>
      </c>
      <c r="U18" s="3180">
        <f t="shared" si="14"/>
        <v>3.2036084424021507E-3</v>
      </c>
      <c r="V18" s="3065" t="s">
        <v>1878</v>
      </c>
      <c r="W18" s="3061">
        <f>3725+5480+186065+35001+4500</f>
        <v>234771</v>
      </c>
      <c r="X18" s="3070">
        <v>0</v>
      </c>
      <c r="Y18" s="3083">
        <f t="shared" si="39"/>
        <v>234771</v>
      </c>
      <c r="Z18" s="3180">
        <f t="shared" si="15"/>
        <v>3.3757376913428873E-2</v>
      </c>
      <c r="AA18" s="3065" t="s">
        <v>1885</v>
      </c>
      <c r="AB18" s="3061">
        <f>4581890+3600+3900</f>
        <v>4589390</v>
      </c>
      <c r="AC18" s="3070"/>
      <c r="AD18" s="3086">
        <f t="shared" si="40"/>
        <v>4589390</v>
      </c>
      <c r="AE18" s="3180">
        <f t="shared" si="16"/>
        <v>0.65990164046122102</v>
      </c>
      <c r="AF18" s="3084" t="s">
        <v>1888</v>
      </c>
      <c r="AG18" s="3061">
        <f>792+1752+38520+40450*1.2+313740+196000+2678867.9+13475765.2+504+74266.25+351165+661835.82</f>
        <v>17841748.170000002</v>
      </c>
      <c r="AH18" s="3070"/>
      <c r="AI18" s="3083">
        <f t="shared" si="41"/>
        <v>17841748.170000002</v>
      </c>
      <c r="AJ18" s="3180">
        <f t="shared" si="17"/>
        <v>2.5654387371914327</v>
      </c>
      <c r="AK18" s="3084" t="s">
        <v>1892</v>
      </c>
      <c r="AL18" s="3061">
        <f>16580.84+97524.01+133526.18+2000+87098</f>
        <v>336729.02999999997</v>
      </c>
      <c r="AM18" s="3070"/>
      <c r="AN18" s="3083">
        <f t="shared" si="24"/>
        <v>336729.02999999997</v>
      </c>
      <c r="AO18" s="3180">
        <f t="shared" si="25"/>
        <v>5.2515337155181203E-2</v>
      </c>
      <c r="AP18" s="3065" t="s">
        <v>1897</v>
      </c>
      <c r="AQ18" s="3061">
        <f>489920.66+176054.59+18000</f>
        <v>683975.25</v>
      </c>
      <c r="AR18" s="3070"/>
      <c r="AS18" s="3083">
        <f t="shared" si="42"/>
        <v>683975.25</v>
      </c>
      <c r="AT18" s="3180">
        <f t="shared" si="18"/>
        <v>9.8347795569754107E-2</v>
      </c>
      <c r="AU18" s="3065" t="s">
        <v>2062</v>
      </c>
      <c r="AV18" s="3061">
        <f>10960+148391.88+142173+28078.18</f>
        <v>329603.06</v>
      </c>
      <c r="AW18" s="3070"/>
      <c r="AX18" s="3083">
        <f t="shared" si="43"/>
        <v>329603.06</v>
      </c>
      <c r="AY18" s="3180">
        <f t="shared" si="19"/>
        <v>0.11367515269600768</v>
      </c>
      <c r="AZ18" s="3065" t="s">
        <v>1903</v>
      </c>
      <c r="BA18" s="3061">
        <f>3000</f>
        <v>3000</v>
      </c>
      <c r="BB18" s="3070"/>
      <c r="BC18" s="3083">
        <f t="shared" si="44"/>
        <v>3000</v>
      </c>
      <c r="BD18" s="3180">
        <f t="shared" si="20"/>
        <v>8.5573283876097994E-4</v>
      </c>
      <c r="BE18" s="3065" t="s">
        <v>1855</v>
      </c>
      <c r="BF18" s="3061">
        <f>61160+37700+58000+101500+90000</f>
        <v>348360</v>
      </c>
      <c r="BG18" s="3070"/>
      <c r="BH18" s="3083">
        <f t="shared" si="45"/>
        <v>348360</v>
      </c>
      <c r="BI18" s="3180">
        <f t="shared" si="26"/>
        <v>7.6417224621429705E-2</v>
      </c>
      <c r="BJ18" s="3065" t="s">
        <v>1907</v>
      </c>
      <c r="BK18" s="3061">
        <f>45500+54810+2260</f>
        <v>102570</v>
      </c>
      <c r="BL18" s="3070"/>
      <c r="BM18" s="3083">
        <f t="shared" si="46"/>
        <v>102570</v>
      </c>
      <c r="BN18" s="3180">
        <f t="shared" si="27"/>
        <v>1.6904846805553896E-2</v>
      </c>
      <c r="BO18" s="3065" t="s">
        <v>1857</v>
      </c>
      <c r="BP18" s="3061">
        <f>4205+40365+244589.63+46496.89+21372.98+29180+220620.89+275431.7</f>
        <v>882262.09000000008</v>
      </c>
      <c r="BQ18" s="3070"/>
      <c r="BR18" s="3083">
        <f t="shared" si="47"/>
        <v>882262.09000000008</v>
      </c>
      <c r="BS18" s="3180">
        <f t="shared" si="28"/>
        <v>0.36032505070203275</v>
      </c>
      <c r="BT18" s="3065" t="s">
        <v>1917</v>
      </c>
      <c r="BU18" s="3061">
        <f>37262.26+20000+47096.2*0+4401.67+55871.2+24900*0</f>
        <v>117535.13</v>
      </c>
      <c r="BV18" s="3070"/>
      <c r="BW18" s="3083">
        <f t="shared" si="48"/>
        <v>117535.13</v>
      </c>
      <c r="BX18" s="3180">
        <f t="shared" si="29"/>
        <v>0.21773332580083871</v>
      </c>
      <c r="BY18" s="2071" t="s">
        <v>2063</v>
      </c>
      <c r="BZ18" s="3061">
        <f>39246.83*1.2+803031.91*1.2+1325409.74*0+399999.99+24900</f>
        <v>1435634.4780000001</v>
      </c>
      <c r="CA18" s="3070"/>
      <c r="CB18" s="3083">
        <f t="shared" si="49"/>
        <v>1435634.4780000001</v>
      </c>
      <c r="CC18" s="3180">
        <f t="shared" si="30"/>
        <v>0.40151507105693784</v>
      </c>
      <c r="CD18" s="2071" t="s">
        <v>2064</v>
      </c>
      <c r="CE18" s="3061">
        <f>1325409.74</f>
        <v>1325409.74</v>
      </c>
      <c r="CF18" s="3070"/>
      <c r="CG18" s="3083">
        <f t="shared" si="50"/>
        <v>1325409.74</v>
      </c>
      <c r="CH18" s="3180">
        <f t="shared" si="31"/>
        <v>0.65956186315133436</v>
      </c>
      <c r="CI18" s="3147" t="s">
        <v>2072</v>
      </c>
      <c r="CJ18" s="3061"/>
      <c r="CK18" s="3070"/>
      <c r="CL18" s="3083">
        <f t="shared" si="51"/>
        <v>0</v>
      </c>
      <c r="CM18" s="3180">
        <f t="shared" si="32"/>
        <v>0</v>
      </c>
      <c r="CN18" s="2071"/>
      <c r="CO18" s="2059">
        <f t="shared" si="33"/>
        <v>28264537.947999999</v>
      </c>
      <c r="CP18" s="2059">
        <f t="shared" si="34"/>
        <v>6000</v>
      </c>
      <c r="CQ18" s="3098">
        <f t="shared" si="35"/>
        <v>28270537.947999999</v>
      </c>
      <c r="CR18" s="2809">
        <f t="shared" si="21"/>
        <v>0.30046112513914386</v>
      </c>
      <c r="CS18" s="1449"/>
      <c r="CT18" s="919"/>
      <c r="CU18" s="1579"/>
      <c r="CV18" s="1579"/>
      <c r="CW18" s="1579"/>
      <c r="CX18" s="1579"/>
      <c r="CY18" s="1579"/>
      <c r="CZ18" s="1579"/>
      <c r="DA18" s="1579"/>
      <c r="DB18" s="1579"/>
      <c r="DC18" s="1579"/>
      <c r="DD18" s="1579"/>
      <c r="DE18" s="1579"/>
      <c r="DF18" s="1579"/>
      <c r="DG18" s="1579"/>
      <c r="DH18" s="1579"/>
      <c r="DI18" s="1579"/>
      <c r="DJ18" s="1579"/>
      <c r="DK18" s="1579"/>
      <c r="DL18" s="1579"/>
      <c r="DM18" s="1579"/>
      <c r="DN18" s="1579"/>
      <c r="DO18" s="1579"/>
      <c r="DP18" s="1579"/>
      <c r="DQ18" s="1579"/>
      <c r="DR18" s="1579"/>
      <c r="DS18" s="1579"/>
      <c r="DT18" s="1579"/>
      <c r="DU18" s="1579"/>
      <c r="DV18" s="1579"/>
      <c r="DW18" s="1579"/>
      <c r="DX18" s="1579"/>
      <c r="DY18" s="1579"/>
      <c r="DZ18" s="1579"/>
      <c r="EA18" s="1579"/>
      <c r="EB18" s="1579"/>
      <c r="EC18" s="1579"/>
      <c r="ED18" s="1579"/>
      <c r="EE18" s="1579"/>
      <c r="EF18" s="1579"/>
      <c r="EG18" s="1579"/>
      <c r="EH18" s="1579"/>
      <c r="EI18" s="1579"/>
      <c r="EJ18" s="1579"/>
      <c r="EK18" s="1579"/>
      <c r="EL18" s="1579"/>
      <c r="EM18" s="1579"/>
      <c r="EN18" s="1579"/>
      <c r="EO18" s="1579"/>
      <c r="EP18" s="1579"/>
      <c r="EQ18" s="1579"/>
      <c r="ER18" s="1579"/>
      <c r="ES18" s="1579"/>
      <c r="ET18" s="1579"/>
      <c r="EU18" s="1579"/>
      <c r="EV18" s="1579"/>
      <c r="EW18" s="1579"/>
      <c r="EX18" s="1579"/>
      <c r="EY18" s="1579"/>
      <c r="EZ18" s="1579"/>
      <c r="FA18" s="1579"/>
      <c r="FB18" s="1579"/>
      <c r="FC18" s="1579"/>
      <c r="FD18" s="1579"/>
      <c r="FE18" s="1579"/>
      <c r="FF18" s="1579"/>
      <c r="FG18" s="1579"/>
      <c r="FH18" s="1579"/>
      <c r="FI18" s="1579"/>
      <c r="FJ18" s="1579"/>
      <c r="FK18" s="1579"/>
      <c r="FL18" s="1579"/>
      <c r="FM18" s="1579"/>
      <c r="FN18" s="1579"/>
      <c r="FO18" s="1579"/>
      <c r="FP18" s="1579"/>
      <c r="FQ18" s="1579"/>
      <c r="FR18" s="1579"/>
      <c r="FS18" s="1579"/>
      <c r="FT18" s="1579"/>
      <c r="FU18" s="1579"/>
      <c r="FV18" s="1579"/>
    </row>
    <row r="19" spans="1:178" s="1411" customFormat="1" ht="36" x14ac:dyDescent="0.25">
      <c r="A19" s="1587"/>
      <c r="B19" s="3106" t="s">
        <v>53</v>
      </c>
      <c r="C19" s="2696"/>
      <c r="D19" s="2811"/>
      <c r="E19" s="3102">
        <f t="shared" si="22"/>
        <v>0</v>
      </c>
      <c r="F19" s="1992" t="e">
        <f t="shared" si="12"/>
        <v>#DIV/0!</v>
      </c>
      <c r="G19" s="1995">
        <v>15673.64</v>
      </c>
      <c r="H19" s="2067">
        <v>0</v>
      </c>
      <c r="I19" s="1998">
        <f t="shared" si="36"/>
        <v>15673.64</v>
      </c>
      <c r="J19" s="3024">
        <f t="shared" si="23"/>
        <v>2.8628767567791767E-4</v>
      </c>
      <c r="K19" s="2062"/>
      <c r="L19" s="2062"/>
      <c r="M19" s="3060">
        <f>7400+5060+4320+5400</f>
        <v>22180</v>
      </c>
      <c r="N19" s="3061"/>
      <c r="O19" s="3062">
        <f t="shared" si="37"/>
        <v>22180</v>
      </c>
      <c r="P19" s="3063">
        <f t="shared" si="13"/>
        <v>3.1892295894290707E-3</v>
      </c>
      <c r="Q19" s="3065" t="s">
        <v>1868</v>
      </c>
      <c r="R19" s="3073"/>
      <c r="S19" s="3061"/>
      <c r="T19" s="3068">
        <f t="shared" si="38"/>
        <v>0</v>
      </c>
      <c r="U19" s="3180">
        <f t="shared" si="14"/>
        <v>0</v>
      </c>
      <c r="V19" s="3065"/>
      <c r="W19" s="3061">
        <f>10000*2+2820+1200</f>
        <v>24020</v>
      </c>
      <c r="X19" s="3070"/>
      <c r="Y19" s="3083">
        <f t="shared" si="39"/>
        <v>24020</v>
      </c>
      <c r="Z19" s="3180">
        <f t="shared" si="15"/>
        <v>3.4538004841337369E-3</v>
      </c>
      <c r="AA19" s="3065" t="s">
        <v>1884</v>
      </c>
      <c r="AB19" s="3061">
        <f>500+2000+1500+4500+3000</f>
        <v>11500</v>
      </c>
      <c r="AC19" s="3070"/>
      <c r="AD19" s="3086">
        <f t="shared" si="40"/>
        <v>11500</v>
      </c>
      <c r="AE19" s="3180">
        <f t="shared" si="16"/>
        <v>1.653568091904162E-3</v>
      </c>
      <c r="AF19" s="3084" t="s">
        <v>1887</v>
      </c>
      <c r="AG19" s="3061">
        <f>428.64+3000+720+11000</f>
        <v>15148.64</v>
      </c>
      <c r="AH19" s="3070"/>
      <c r="AI19" s="3083">
        <f t="shared" si="41"/>
        <v>15148.64</v>
      </c>
      <c r="AJ19" s="3180">
        <f t="shared" si="17"/>
        <v>2.1782006730211361E-3</v>
      </c>
      <c r="AK19" s="3084" t="s">
        <v>1893</v>
      </c>
      <c r="AL19" s="3061"/>
      <c r="AM19" s="3070"/>
      <c r="AN19" s="3083">
        <f t="shared" si="24"/>
        <v>0</v>
      </c>
      <c r="AO19" s="3180">
        <f t="shared" si="25"/>
        <v>0</v>
      </c>
      <c r="AP19" s="3064"/>
      <c r="AQ19" s="3061"/>
      <c r="AR19" s="3070"/>
      <c r="AS19" s="3083">
        <f t="shared" si="42"/>
        <v>0</v>
      </c>
      <c r="AT19" s="3180">
        <f t="shared" si="18"/>
        <v>0</v>
      </c>
      <c r="AU19" s="3065"/>
      <c r="AV19" s="3061"/>
      <c r="AW19" s="3070"/>
      <c r="AX19" s="3083">
        <f t="shared" si="43"/>
        <v>0</v>
      </c>
      <c r="AY19" s="3180">
        <f t="shared" si="19"/>
        <v>0</v>
      </c>
      <c r="AZ19" s="3064"/>
      <c r="BA19" s="3061">
        <v>11000</v>
      </c>
      <c r="BB19" s="3070"/>
      <c r="BC19" s="3083">
        <f t="shared" si="44"/>
        <v>11000</v>
      </c>
      <c r="BD19" s="3180">
        <f t="shared" si="20"/>
        <v>3.1376870754569264E-3</v>
      </c>
      <c r="BE19" s="3064" t="s">
        <v>1871</v>
      </c>
      <c r="BF19" s="3061"/>
      <c r="BG19" s="3070"/>
      <c r="BH19" s="3083">
        <f t="shared" si="45"/>
        <v>0</v>
      </c>
      <c r="BI19" s="3180">
        <f t="shared" si="26"/>
        <v>0</v>
      </c>
      <c r="BJ19" s="3065"/>
      <c r="BK19" s="3061">
        <f>12600*3</f>
        <v>37800</v>
      </c>
      <c r="BL19" s="3070"/>
      <c r="BM19" s="3083">
        <f t="shared" si="46"/>
        <v>37800</v>
      </c>
      <c r="BN19" s="3180">
        <f t="shared" si="27"/>
        <v>6.2299230696103852E-3</v>
      </c>
      <c r="BO19" s="3065" t="s">
        <v>1910</v>
      </c>
      <c r="BP19" s="3061"/>
      <c r="BQ19" s="3070"/>
      <c r="BR19" s="3083">
        <f t="shared" si="47"/>
        <v>0</v>
      </c>
      <c r="BS19" s="3180">
        <f t="shared" si="28"/>
        <v>0</v>
      </c>
      <c r="BT19" s="3065"/>
      <c r="BU19" s="3061"/>
      <c r="BV19" s="3070"/>
      <c r="BW19" s="3083">
        <f t="shared" si="48"/>
        <v>0</v>
      </c>
      <c r="BX19" s="3180">
        <f t="shared" si="29"/>
        <v>0</v>
      </c>
      <c r="BY19" s="2071"/>
      <c r="BZ19" s="3061"/>
      <c r="CA19" s="3070"/>
      <c r="CB19" s="3083">
        <f t="shared" si="49"/>
        <v>0</v>
      </c>
      <c r="CC19" s="3180">
        <f t="shared" si="30"/>
        <v>0</v>
      </c>
      <c r="CD19" s="2071"/>
      <c r="CE19" s="3061"/>
      <c r="CF19" s="3070"/>
      <c r="CG19" s="3083">
        <f t="shared" si="50"/>
        <v>0</v>
      </c>
      <c r="CH19" s="3180">
        <f t="shared" si="31"/>
        <v>0</v>
      </c>
      <c r="CI19" s="2071"/>
      <c r="CJ19" s="3061"/>
      <c r="CK19" s="3070"/>
      <c r="CL19" s="3083">
        <f t="shared" si="51"/>
        <v>0</v>
      </c>
      <c r="CM19" s="3180">
        <f t="shared" si="32"/>
        <v>0</v>
      </c>
      <c r="CN19" s="2071"/>
      <c r="CO19" s="2059">
        <f t="shared" si="33"/>
        <v>121648.64</v>
      </c>
      <c r="CP19" s="2059">
        <f t="shared" si="34"/>
        <v>0</v>
      </c>
      <c r="CQ19" s="3099">
        <f t="shared" si="35"/>
        <v>121648.64</v>
      </c>
      <c r="CR19" s="2809">
        <f t="shared" si="21"/>
        <v>1.292889697156698E-3</v>
      </c>
      <c r="CS19" s="1449"/>
      <c r="CT19" s="919"/>
      <c r="CU19" s="1579"/>
      <c r="CV19" s="1579"/>
      <c r="CW19" s="1579"/>
      <c r="CX19" s="1579"/>
      <c r="CY19" s="1579"/>
      <c r="CZ19" s="1579"/>
      <c r="DA19" s="1579"/>
      <c r="DB19" s="1579"/>
      <c r="DC19" s="1579"/>
      <c r="DD19" s="1579"/>
      <c r="DE19" s="1579"/>
      <c r="DF19" s="1579"/>
      <c r="DG19" s="1579"/>
      <c r="DH19" s="1579"/>
      <c r="DI19" s="1579"/>
      <c r="DJ19" s="1579"/>
      <c r="DK19" s="1579"/>
      <c r="DL19" s="1579"/>
      <c r="DM19" s="1579"/>
      <c r="DN19" s="1579"/>
      <c r="DO19" s="1579"/>
      <c r="DP19" s="1579"/>
      <c r="DQ19" s="1579"/>
      <c r="DR19" s="1579"/>
      <c r="DS19" s="1579"/>
      <c r="DT19" s="1579"/>
      <c r="DU19" s="1579"/>
      <c r="DV19" s="1579"/>
      <c r="DW19" s="1579"/>
      <c r="DX19" s="1579"/>
      <c r="DY19" s="1579"/>
      <c r="DZ19" s="1579"/>
      <c r="EA19" s="1579"/>
      <c r="EB19" s="1579"/>
      <c r="EC19" s="1579"/>
      <c r="ED19" s="1579"/>
      <c r="EE19" s="1579"/>
      <c r="EF19" s="1579"/>
      <c r="EG19" s="1579"/>
      <c r="EH19" s="1579"/>
      <c r="EI19" s="1579"/>
      <c r="EJ19" s="1579"/>
      <c r="EK19" s="1579"/>
      <c r="EL19" s="1579"/>
      <c r="EM19" s="1579"/>
      <c r="EN19" s="1579"/>
      <c r="EO19" s="1579"/>
      <c r="EP19" s="1579"/>
      <c r="EQ19" s="1579"/>
      <c r="ER19" s="1579"/>
      <c r="ES19" s="1579"/>
      <c r="ET19" s="1579"/>
      <c r="EU19" s="1579"/>
      <c r="EV19" s="1579"/>
      <c r="EW19" s="1579"/>
      <c r="EX19" s="1579"/>
      <c r="EY19" s="1579"/>
      <c r="EZ19" s="1579"/>
      <c r="FA19" s="1579"/>
      <c r="FB19" s="1579"/>
      <c r="FC19" s="1579"/>
      <c r="FD19" s="1579"/>
      <c r="FE19" s="1579"/>
      <c r="FF19" s="1579"/>
      <c r="FG19" s="1579"/>
      <c r="FH19" s="1579"/>
      <c r="FI19" s="1579"/>
      <c r="FJ19" s="1579"/>
      <c r="FK19" s="1579"/>
      <c r="FL19" s="1579"/>
      <c r="FM19" s="1579"/>
      <c r="FN19" s="1579"/>
      <c r="FO19" s="1579"/>
      <c r="FP19" s="1579"/>
      <c r="FQ19" s="1579"/>
      <c r="FR19" s="1579"/>
      <c r="FS19" s="1579"/>
      <c r="FT19" s="1579"/>
      <c r="FU19" s="1579"/>
      <c r="FV19" s="1579"/>
    </row>
    <row r="20" spans="1:178" s="1411" customFormat="1" ht="33.6" customHeight="1" x14ac:dyDescent="0.25">
      <c r="A20" s="1587"/>
      <c r="B20" s="3106" t="s">
        <v>57</v>
      </c>
      <c r="C20" s="2696"/>
      <c r="D20" s="2811"/>
      <c r="E20" s="3102">
        <f t="shared" si="22"/>
        <v>0</v>
      </c>
      <c r="F20" s="1992" t="e">
        <f t="shared" si="12"/>
        <v>#DIV/0!</v>
      </c>
      <c r="G20" s="1995">
        <v>115471.33199999999</v>
      </c>
      <c r="H20" s="2067">
        <v>0</v>
      </c>
      <c r="I20" s="1998">
        <f t="shared" si="36"/>
        <v>115471.33199999999</v>
      </c>
      <c r="J20" s="3024">
        <f t="shared" si="23"/>
        <v>2.109147539800146E-3</v>
      </c>
      <c r="K20" s="2062"/>
      <c r="L20" s="2062"/>
      <c r="M20" s="1995"/>
      <c r="N20" s="2067"/>
      <c r="O20" s="1998">
        <f t="shared" si="37"/>
        <v>0</v>
      </c>
      <c r="P20" s="3024">
        <f t="shared" si="13"/>
        <v>0</v>
      </c>
      <c r="Q20" s="2062"/>
      <c r="R20" s="3073">
        <v>10510.94</v>
      </c>
      <c r="S20" s="3061"/>
      <c r="T20" s="3068">
        <f t="shared" si="38"/>
        <v>10510.94</v>
      </c>
      <c r="U20" s="3180">
        <f t="shared" si="14"/>
        <v>1.5113526086886204E-3</v>
      </c>
      <c r="V20" s="3064" t="s">
        <v>1858</v>
      </c>
      <c r="W20" s="3061">
        <v>67100.432000000001</v>
      </c>
      <c r="X20" s="3070"/>
      <c r="Y20" s="3083">
        <f t="shared" si="39"/>
        <v>67100.432000000001</v>
      </c>
      <c r="Z20" s="3180">
        <f t="shared" si="15"/>
        <v>9.6482724615813021E-3</v>
      </c>
      <c r="AA20" s="3065" t="s">
        <v>2065</v>
      </c>
      <c r="AB20" s="3061">
        <v>62928.14</v>
      </c>
      <c r="AC20" s="3070"/>
      <c r="AD20" s="3086">
        <f t="shared" si="40"/>
        <v>62928.14</v>
      </c>
      <c r="AE20" s="3180">
        <f t="shared" si="16"/>
        <v>9.0483447292937363E-3</v>
      </c>
      <c r="AF20" s="3084" t="s">
        <v>2066</v>
      </c>
      <c r="AG20" s="3061"/>
      <c r="AH20" s="3070"/>
      <c r="AI20" s="3083">
        <f t="shared" si="41"/>
        <v>0</v>
      </c>
      <c r="AJ20" s="3180">
        <f t="shared" si="17"/>
        <v>0</v>
      </c>
      <c r="AK20" s="3064"/>
      <c r="AL20" s="3061"/>
      <c r="AM20" s="3070"/>
      <c r="AN20" s="3083">
        <f t="shared" si="24"/>
        <v>0</v>
      </c>
      <c r="AO20" s="3180">
        <f t="shared" si="25"/>
        <v>0</v>
      </c>
      <c r="AP20" s="3064"/>
      <c r="AQ20" s="3061">
        <v>21180</v>
      </c>
      <c r="AR20" s="3070"/>
      <c r="AS20" s="3083">
        <f t="shared" si="42"/>
        <v>21180</v>
      </c>
      <c r="AT20" s="3180">
        <f t="shared" si="18"/>
        <v>3.045441059698274E-3</v>
      </c>
      <c r="AU20" s="3065" t="s">
        <v>1860</v>
      </c>
      <c r="AV20" s="3061">
        <f>2846.05*1.2</f>
        <v>3415.26</v>
      </c>
      <c r="AW20" s="3070"/>
      <c r="AX20" s="3083">
        <f t="shared" si="43"/>
        <v>3415.26</v>
      </c>
      <c r="AY20" s="3180">
        <f t="shared" si="19"/>
        <v>1.1778719590666642E-3</v>
      </c>
      <c r="AZ20" s="3065" t="s">
        <v>1861</v>
      </c>
      <c r="BA20" s="3061"/>
      <c r="BB20" s="3070"/>
      <c r="BC20" s="3083">
        <f t="shared" si="44"/>
        <v>0</v>
      </c>
      <c r="BD20" s="3180">
        <f t="shared" si="20"/>
        <v>0</v>
      </c>
      <c r="BE20" s="3064"/>
      <c r="BF20" s="3061">
        <f>37264+1851.26</f>
        <v>39115.26</v>
      </c>
      <c r="BG20" s="3070"/>
      <c r="BH20" s="3083">
        <f t="shared" si="45"/>
        <v>39115.26</v>
      </c>
      <c r="BI20" s="3180">
        <f t="shared" si="26"/>
        <v>8.5804329129223356E-3</v>
      </c>
      <c r="BJ20" s="3065" t="s">
        <v>1856</v>
      </c>
      <c r="BK20" s="3061"/>
      <c r="BL20" s="3070"/>
      <c r="BM20" s="3083">
        <f t="shared" si="46"/>
        <v>0</v>
      </c>
      <c r="BN20" s="3180">
        <f t="shared" si="27"/>
        <v>0</v>
      </c>
      <c r="BO20" s="3064"/>
      <c r="BP20" s="3061">
        <f>856.078</f>
        <v>856.07799999999997</v>
      </c>
      <c r="BQ20" s="3070"/>
      <c r="BR20" s="3083">
        <f t="shared" si="47"/>
        <v>856.07799999999997</v>
      </c>
      <c r="BS20" s="3180">
        <f t="shared" si="28"/>
        <v>3.4963119491498805E-4</v>
      </c>
      <c r="BT20" s="3065" t="s">
        <v>758</v>
      </c>
      <c r="BU20" s="3061"/>
      <c r="BV20" s="3070"/>
      <c r="BW20" s="3083">
        <f t="shared" si="48"/>
        <v>0</v>
      </c>
      <c r="BX20" s="3180">
        <f t="shared" si="29"/>
        <v>0</v>
      </c>
      <c r="BY20" s="2071"/>
      <c r="BZ20" s="3061"/>
      <c r="CA20" s="3070"/>
      <c r="CB20" s="3083">
        <f t="shared" si="49"/>
        <v>0</v>
      </c>
      <c r="CC20" s="3180">
        <f t="shared" si="30"/>
        <v>0</v>
      </c>
      <c r="CD20" s="2071"/>
      <c r="CE20" s="3061"/>
      <c r="CF20" s="3070"/>
      <c r="CG20" s="3083">
        <f t="shared" si="50"/>
        <v>0</v>
      </c>
      <c r="CH20" s="3180">
        <f t="shared" si="31"/>
        <v>0</v>
      </c>
      <c r="CI20" s="2071"/>
      <c r="CJ20" s="3061"/>
      <c r="CK20" s="3070"/>
      <c r="CL20" s="3083">
        <f t="shared" si="51"/>
        <v>0</v>
      </c>
      <c r="CM20" s="3180">
        <f t="shared" si="32"/>
        <v>0</v>
      </c>
      <c r="CN20" s="2071"/>
      <c r="CO20" s="2059">
        <f t="shared" si="33"/>
        <v>205106.11000000002</v>
      </c>
      <c r="CP20" s="2059">
        <f t="shared" si="34"/>
        <v>0</v>
      </c>
      <c r="CQ20" s="3099">
        <f t="shared" si="35"/>
        <v>205106.11000000002</v>
      </c>
      <c r="CR20" s="2809">
        <f t="shared" si="21"/>
        <v>2.1798811432901214E-3</v>
      </c>
      <c r="CS20" s="1449"/>
      <c r="CT20" s="919"/>
      <c r="CU20" s="1579"/>
      <c r="CV20" s="1579"/>
      <c r="CW20" s="1579"/>
      <c r="CX20" s="1579"/>
      <c r="CY20" s="1579"/>
      <c r="CZ20" s="1579"/>
      <c r="DA20" s="1579"/>
      <c r="DB20" s="1579"/>
      <c r="DC20" s="1579"/>
      <c r="DD20" s="1579"/>
      <c r="DE20" s="1579"/>
      <c r="DF20" s="1579"/>
      <c r="DG20" s="1579"/>
      <c r="DH20" s="1579"/>
      <c r="DI20" s="1579"/>
      <c r="DJ20" s="1579"/>
      <c r="DK20" s="1579"/>
      <c r="DL20" s="1579"/>
      <c r="DM20" s="1579"/>
      <c r="DN20" s="1579"/>
      <c r="DO20" s="1579"/>
      <c r="DP20" s="1579"/>
      <c r="DQ20" s="1579"/>
      <c r="DR20" s="1579"/>
      <c r="DS20" s="1579"/>
      <c r="DT20" s="1579"/>
      <c r="DU20" s="1579"/>
      <c r="DV20" s="1579"/>
      <c r="DW20" s="1579"/>
      <c r="DX20" s="1579"/>
      <c r="DY20" s="1579"/>
      <c r="DZ20" s="1579"/>
      <c r="EA20" s="1579"/>
      <c r="EB20" s="1579"/>
      <c r="EC20" s="1579"/>
      <c r="ED20" s="1579"/>
      <c r="EE20" s="1579"/>
      <c r="EF20" s="1579"/>
      <c r="EG20" s="1579"/>
      <c r="EH20" s="1579"/>
      <c r="EI20" s="1579"/>
      <c r="EJ20" s="1579"/>
      <c r="EK20" s="1579"/>
      <c r="EL20" s="1579"/>
      <c r="EM20" s="1579"/>
      <c r="EN20" s="1579"/>
      <c r="EO20" s="1579"/>
      <c r="EP20" s="1579"/>
      <c r="EQ20" s="1579"/>
      <c r="ER20" s="1579"/>
      <c r="ES20" s="1579"/>
      <c r="ET20" s="1579"/>
      <c r="EU20" s="1579"/>
      <c r="EV20" s="1579"/>
      <c r="EW20" s="1579"/>
      <c r="EX20" s="1579"/>
      <c r="EY20" s="1579"/>
      <c r="EZ20" s="1579"/>
      <c r="FA20" s="1579"/>
      <c r="FB20" s="1579"/>
      <c r="FC20" s="1579"/>
      <c r="FD20" s="1579"/>
      <c r="FE20" s="1579"/>
      <c r="FF20" s="1579"/>
      <c r="FG20" s="1579"/>
      <c r="FH20" s="1579"/>
      <c r="FI20" s="1579"/>
      <c r="FJ20" s="1579"/>
      <c r="FK20" s="1579"/>
      <c r="FL20" s="1579"/>
      <c r="FM20" s="1579"/>
      <c r="FN20" s="1579"/>
      <c r="FO20" s="1579"/>
      <c r="FP20" s="1579"/>
      <c r="FQ20" s="1579"/>
      <c r="FR20" s="1579"/>
      <c r="FS20" s="1579"/>
      <c r="FT20" s="1579"/>
      <c r="FU20" s="1579"/>
      <c r="FV20" s="1579"/>
    </row>
    <row r="21" spans="1:178" s="1579" customFormat="1" ht="33.6" customHeight="1" x14ac:dyDescent="0.25">
      <c r="A21" s="1587"/>
      <c r="B21" s="3109" t="s">
        <v>58</v>
      </c>
      <c r="C21" s="2696"/>
      <c r="D21" s="2811"/>
      <c r="E21" s="3102">
        <f t="shared" si="22"/>
        <v>0</v>
      </c>
      <c r="F21" s="1992" t="e">
        <f t="shared" si="12"/>
        <v>#DIV/0!</v>
      </c>
      <c r="G21" s="1995">
        <v>620935.11</v>
      </c>
      <c r="H21" s="2067">
        <v>0</v>
      </c>
      <c r="I21" s="1998">
        <f t="shared" si="36"/>
        <v>620935.11</v>
      </c>
      <c r="J21" s="3024">
        <f t="shared" si="23"/>
        <v>1.1341722113606803E-2</v>
      </c>
      <c r="K21" s="2062"/>
      <c r="L21" s="2062"/>
      <c r="M21" s="3060">
        <v>212309.65</v>
      </c>
      <c r="N21" s="3061"/>
      <c r="O21" s="3062">
        <f t="shared" si="37"/>
        <v>212309.65</v>
      </c>
      <c r="P21" s="3063">
        <f t="shared" si="13"/>
        <v>3.052769242116004E-2</v>
      </c>
      <c r="Q21" s="3065" t="s">
        <v>1875</v>
      </c>
      <c r="R21" s="3073">
        <v>290476.33</v>
      </c>
      <c r="S21" s="3061"/>
      <c r="T21" s="3068">
        <f t="shared" si="38"/>
        <v>290476.33</v>
      </c>
      <c r="U21" s="3180">
        <f t="shared" si="14"/>
        <v>4.1767164412297712E-2</v>
      </c>
      <c r="V21" s="3065" t="s">
        <v>1807</v>
      </c>
      <c r="W21" s="2067">
        <v>306041.84000000003</v>
      </c>
      <c r="X21" s="2059"/>
      <c r="Y21" s="2061">
        <f t="shared" si="39"/>
        <v>306041.84000000003</v>
      </c>
      <c r="Z21" s="2809">
        <f t="shared" si="15"/>
        <v>4.4005306209707731E-2</v>
      </c>
      <c r="AA21" s="2064"/>
      <c r="AB21" s="3061">
        <v>291734.8</v>
      </c>
      <c r="AC21" s="3084"/>
      <c r="AD21" s="3086">
        <f t="shared" si="40"/>
        <v>291734.8</v>
      </c>
      <c r="AE21" s="3180">
        <f t="shared" si="16"/>
        <v>4.1948117963308031E-2</v>
      </c>
      <c r="AF21" s="3084" t="s">
        <v>1808</v>
      </c>
      <c r="AG21" s="3061">
        <v>278612.8</v>
      </c>
      <c r="AH21" s="3070"/>
      <c r="AI21" s="3083">
        <f t="shared" si="41"/>
        <v>278612.8</v>
      </c>
      <c r="AJ21" s="3180">
        <f t="shared" si="17"/>
        <v>4.0061324876180512E-2</v>
      </c>
      <c r="AK21" s="3084" t="s">
        <v>1809</v>
      </c>
      <c r="AL21" s="3061">
        <f>77626.58+73545.64+16057.2+48555.54</f>
        <v>215784.96000000002</v>
      </c>
      <c r="AM21" s="3070"/>
      <c r="AN21" s="3083">
        <f t="shared" si="24"/>
        <v>215784.96000000002</v>
      </c>
      <c r="AO21" s="3180">
        <f t="shared" si="25"/>
        <v>3.3653231286347042E-2</v>
      </c>
      <c r="AP21" s="3084" t="s">
        <v>1559</v>
      </c>
      <c r="AQ21" s="3061">
        <v>170938.82</v>
      </c>
      <c r="AR21" s="3070"/>
      <c r="AS21" s="3083">
        <f t="shared" si="42"/>
        <v>170938.82</v>
      </c>
      <c r="AT21" s="3180">
        <f t="shared" si="18"/>
        <v>2.4579041601717307E-2</v>
      </c>
      <c r="AU21" s="3065" t="s">
        <v>1582</v>
      </c>
      <c r="AV21" s="3061">
        <v>240630.69</v>
      </c>
      <c r="AW21" s="3070"/>
      <c r="AX21" s="3083">
        <f t="shared" si="43"/>
        <v>240630.69</v>
      </c>
      <c r="AY21" s="3180">
        <f t="shared" si="19"/>
        <v>8.2989916504706274E-2</v>
      </c>
      <c r="AZ21" s="3065" t="s">
        <v>1621</v>
      </c>
      <c r="BA21" s="3061">
        <v>294151.3</v>
      </c>
      <c r="BB21" s="3070"/>
      <c r="BC21" s="3083">
        <f t="shared" si="44"/>
        <v>294151.3</v>
      </c>
      <c r="BD21" s="3180">
        <f t="shared" si="20"/>
        <v>8.3904975658077544E-2</v>
      </c>
      <c r="BE21" s="3065" t="s">
        <v>1631</v>
      </c>
      <c r="BF21" s="3061">
        <v>301696.45999999996</v>
      </c>
      <c r="BG21" s="3070"/>
      <c r="BH21" s="3083">
        <f t="shared" si="45"/>
        <v>301696.45999999996</v>
      </c>
      <c r="BI21" s="3180">
        <f t="shared" si="26"/>
        <v>6.618097988089959E-2</v>
      </c>
      <c r="BJ21" s="3065" t="s">
        <v>1673</v>
      </c>
      <c r="BK21" s="3061">
        <v>163076.87</v>
      </c>
      <c r="BL21" s="3070"/>
      <c r="BM21" s="3083">
        <f t="shared" si="46"/>
        <v>163076.87</v>
      </c>
      <c r="BN21" s="3180">
        <f t="shared" si="27"/>
        <v>2.6877152236318883E-2</v>
      </c>
      <c r="BO21" s="3065" t="s">
        <v>1703</v>
      </c>
      <c r="BP21" s="3061">
        <v>32228.74</v>
      </c>
      <c r="BQ21" s="3070"/>
      <c r="BR21" s="3083">
        <f t="shared" si="47"/>
        <v>32228.74</v>
      </c>
      <c r="BS21" s="3180">
        <f t="shared" si="28"/>
        <v>1.3162553969152897E-2</v>
      </c>
      <c r="BT21" s="3065" t="s">
        <v>1763</v>
      </c>
      <c r="BU21" s="3061"/>
      <c r="BV21" s="3070"/>
      <c r="BW21" s="3083">
        <f t="shared" si="48"/>
        <v>0</v>
      </c>
      <c r="BX21" s="3180">
        <f t="shared" si="29"/>
        <v>0</v>
      </c>
      <c r="BY21" s="3065"/>
      <c r="BZ21" s="3061"/>
      <c r="CA21" s="3070"/>
      <c r="CB21" s="3083">
        <f t="shared" si="49"/>
        <v>0</v>
      </c>
      <c r="CC21" s="3180">
        <f t="shared" si="30"/>
        <v>0</v>
      </c>
      <c r="CD21" s="3065"/>
      <c r="CE21" s="3061"/>
      <c r="CF21" s="3070"/>
      <c r="CG21" s="3083">
        <f t="shared" si="50"/>
        <v>0</v>
      </c>
      <c r="CH21" s="3180">
        <f t="shared" si="31"/>
        <v>0</v>
      </c>
      <c r="CI21" s="3065"/>
      <c r="CJ21" s="3061"/>
      <c r="CK21" s="3070"/>
      <c r="CL21" s="3083">
        <f t="shared" si="51"/>
        <v>0</v>
      </c>
      <c r="CM21" s="3180">
        <f t="shared" si="32"/>
        <v>0</v>
      </c>
      <c r="CN21" s="3065"/>
      <c r="CO21" s="2059">
        <f t="shared" si="33"/>
        <v>2797683.2600000002</v>
      </c>
      <c r="CP21" s="2059">
        <f t="shared" si="34"/>
        <v>0</v>
      </c>
      <c r="CQ21" s="2061">
        <f t="shared" si="35"/>
        <v>2797683.2600000002</v>
      </c>
      <c r="CR21" s="2809">
        <f t="shared" si="21"/>
        <v>2.9733960550333848E-2</v>
      </c>
      <c r="CS21" s="1449"/>
      <c r="CT21" s="919"/>
      <c r="CU21" s="3219"/>
    </row>
    <row r="22" spans="1:178" s="1411" customFormat="1" ht="33.6" customHeight="1" x14ac:dyDescent="0.25">
      <c r="A22" s="1587"/>
      <c r="B22" s="3106" t="s">
        <v>621</v>
      </c>
      <c r="C22" s="2696"/>
      <c r="D22" s="2811"/>
      <c r="E22" s="3102">
        <f t="shared" si="22"/>
        <v>0</v>
      </c>
      <c r="F22" s="1992" t="e">
        <f t="shared" si="12"/>
        <v>#DIV/0!</v>
      </c>
      <c r="G22" s="1995">
        <v>406302.96799999999</v>
      </c>
      <c r="H22" s="2067">
        <v>5700</v>
      </c>
      <c r="I22" s="1998">
        <f t="shared" si="36"/>
        <v>412002.96799999999</v>
      </c>
      <c r="J22" s="3024">
        <f t="shared" si="23"/>
        <v>7.525461353018412E-3</v>
      </c>
      <c r="K22" s="2062"/>
      <c r="L22" s="2062"/>
      <c r="M22" s="3060">
        <f>12960+10800+5400+6480+116100+18200+9800+11200+4800</f>
        <v>195740</v>
      </c>
      <c r="N22" s="3061">
        <v>5100</v>
      </c>
      <c r="O22" s="3062">
        <f t="shared" si="37"/>
        <v>200840</v>
      </c>
      <c r="P22" s="3063">
        <f t="shared" si="13"/>
        <v>2.887848831113321E-2</v>
      </c>
      <c r="Q22" s="3065" t="s">
        <v>1876</v>
      </c>
      <c r="R22" s="3074">
        <f>1500+23000*2+12000+10800</f>
        <v>70300</v>
      </c>
      <c r="S22" s="3061">
        <v>600</v>
      </c>
      <c r="T22" s="3068">
        <f t="shared" si="38"/>
        <v>70900</v>
      </c>
      <c r="U22" s="3180">
        <f t="shared" si="14"/>
        <v>1.0194606757913486E-2</v>
      </c>
      <c r="V22" s="3065" t="s">
        <v>1879</v>
      </c>
      <c r="W22" s="3061">
        <f>6750+14000+23000*2+13000+8100+9000</f>
        <v>96850</v>
      </c>
      <c r="X22" s="3070"/>
      <c r="Y22" s="3083">
        <f t="shared" si="39"/>
        <v>96850</v>
      </c>
      <c r="Z22" s="3180">
        <f t="shared" si="15"/>
        <v>1.3925919104427661E-2</v>
      </c>
      <c r="AA22" s="3084" t="s">
        <v>1869</v>
      </c>
      <c r="AB22" s="3061">
        <f>14000+23000*2+6900+17400</f>
        <v>84300</v>
      </c>
      <c r="AC22" s="3070"/>
      <c r="AD22" s="3086">
        <f t="shared" si="40"/>
        <v>84300</v>
      </c>
      <c r="AE22" s="3180">
        <f t="shared" si="16"/>
        <v>1.2121373056306162E-2</v>
      </c>
      <c r="AF22" s="3084" t="s">
        <v>1870</v>
      </c>
      <c r="AG22" s="3061">
        <f>10500+9200+54000</f>
        <v>73700</v>
      </c>
      <c r="AH22" s="3070"/>
      <c r="AI22" s="3083">
        <f t="shared" si="41"/>
        <v>73700</v>
      </c>
      <c r="AJ22" s="3180">
        <f t="shared" si="17"/>
        <v>1.0597214641159716E-2</v>
      </c>
      <c r="AK22" s="3084" t="s">
        <v>1894</v>
      </c>
      <c r="AL22" s="3061">
        <f>4166.68*1.2</f>
        <v>5000.0160000000005</v>
      </c>
      <c r="AM22" s="3070"/>
      <c r="AN22" s="3083">
        <f t="shared" si="24"/>
        <v>5000.0160000000005</v>
      </c>
      <c r="AO22" s="3180">
        <f t="shared" si="25"/>
        <v>7.7978879938358906E-4</v>
      </c>
      <c r="AP22" s="3084" t="s">
        <v>1898</v>
      </c>
      <c r="AQ22" s="3061">
        <f>5200+10150+7700+2750+5700+1500+6600+1500+6175</f>
        <v>47275</v>
      </c>
      <c r="AR22" s="3070"/>
      <c r="AS22" s="3083">
        <f t="shared" si="42"/>
        <v>47275</v>
      </c>
      <c r="AT22" s="3180">
        <f t="shared" si="18"/>
        <v>6.7976027430234143E-3</v>
      </c>
      <c r="AU22" s="3065" t="s">
        <v>1900</v>
      </c>
      <c r="AV22" s="3061">
        <f>5500+6300+5500+12600+21600+22200+10000+9500+1700+9500</f>
        <v>104400</v>
      </c>
      <c r="AW22" s="3070"/>
      <c r="AX22" s="3083">
        <f t="shared" si="43"/>
        <v>104400</v>
      </c>
      <c r="AY22" s="3180">
        <f t="shared" si="19"/>
        <v>3.6005994426942523E-2</v>
      </c>
      <c r="AZ22" s="3065" t="s">
        <v>1904</v>
      </c>
      <c r="BA22" s="3061">
        <f>30400+4000+8400+1300+27000+10500+25050+6500</f>
        <v>113150</v>
      </c>
      <c r="BB22" s="3070"/>
      <c r="BC22" s="3083">
        <f t="shared" si="44"/>
        <v>113150</v>
      </c>
      <c r="BD22" s="3180">
        <f t="shared" si="20"/>
        <v>3.2275390235268292E-2</v>
      </c>
      <c r="BE22" s="3065" t="s">
        <v>1906</v>
      </c>
      <c r="BF22" s="3061">
        <f>39200+33046+3500+21250+13750+5000+6600+12600</f>
        <v>134946</v>
      </c>
      <c r="BG22" s="3070"/>
      <c r="BH22" s="3083">
        <f t="shared" si="45"/>
        <v>134946</v>
      </c>
      <c r="BI22" s="3180">
        <f t="shared" si="26"/>
        <v>2.9602132259052283E-2</v>
      </c>
      <c r="BJ22" s="3065" t="s">
        <v>1872</v>
      </c>
      <c r="BK22" s="3061">
        <f>9800+4000+4500+6000+30800</f>
        <v>55100</v>
      </c>
      <c r="BL22" s="3070"/>
      <c r="BM22" s="3083">
        <f t="shared" si="46"/>
        <v>55100</v>
      </c>
      <c r="BN22" s="3180">
        <f t="shared" si="27"/>
        <v>9.0811841570246632E-3</v>
      </c>
      <c r="BO22" s="3065" t="s">
        <v>1911</v>
      </c>
      <c r="BP22" s="3061">
        <f>2700+6000+13440</f>
        <v>22140</v>
      </c>
      <c r="BQ22" s="3070"/>
      <c r="BR22" s="3083">
        <f t="shared" si="47"/>
        <v>22140</v>
      </c>
      <c r="BS22" s="3180">
        <f t="shared" si="28"/>
        <v>9.0422072000656915E-3</v>
      </c>
      <c r="BT22" s="3065" t="s">
        <v>1764</v>
      </c>
      <c r="BU22" s="3061"/>
      <c r="BV22" s="3070"/>
      <c r="BW22" s="3083">
        <f t="shared" si="48"/>
        <v>0</v>
      </c>
      <c r="BX22" s="3180">
        <f t="shared" si="29"/>
        <v>0</v>
      </c>
      <c r="BY22" s="3065"/>
      <c r="BZ22" s="3061"/>
      <c r="CA22" s="3070"/>
      <c r="CB22" s="3083">
        <f t="shared" si="49"/>
        <v>0</v>
      </c>
      <c r="CC22" s="3180">
        <f t="shared" si="30"/>
        <v>0</v>
      </c>
      <c r="CD22" s="3065"/>
      <c r="CE22" s="3061"/>
      <c r="CF22" s="3070"/>
      <c r="CG22" s="3083">
        <f t="shared" si="50"/>
        <v>0</v>
      </c>
      <c r="CH22" s="3180">
        <f t="shared" si="31"/>
        <v>0</v>
      </c>
      <c r="CI22" s="3065"/>
      <c r="CJ22" s="3061"/>
      <c r="CK22" s="3070"/>
      <c r="CL22" s="3083">
        <f t="shared" si="51"/>
        <v>0</v>
      </c>
      <c r="CM22" s="3180">
        <f t="shared" si="32"/>
        <v>0</v>
      </c>
      <c r="CN22" s="3065"/>
      <c r="CO22" s="2059">
        <f t="shared" si="33"/>
        <v>1002901.0159999999</v>
      </c>
      <c r="CP22" s="2059">
        <f t="shared" si="34"/>
        <v>5700</v>
      </c>
      <c r="CQ22" s="3099">
        <f t="shared" si="35"/>
        <v>1008601.0159999999</v>
      </c>
      <c r="CR22" s="2809">
        <f t="shared" si="21"/>
        <v>1.0719477522545076E-2</v>
      </c>
      <c r="CS22" s="1449"/>
      <c r="CT22" s="919"/>
      <c r="CU22" s="1579"/>
      <c r="CV22" s="1579"/>
      <c r="CW22" s="1579"/>
      <c r="CX22" s="1579"/>
      <c r="CY22" s="1579"/>
      <c r="CZ22" s="1579"/>
      <c r="DA22" s="1579"/>
      <c r="DB22" s="1579"/>
      <c r="DC22" s="1579"/>
      <c r="DD22" s="1579"/>
      <c r="DE22" s="1579"/>
      <c r="DF22" s="1579"/>
      <c r="DG22" s="1579"/>
      <c r="DH22" s="1579"/>
      <c r="DI22" s="1579"/>
      <c r="DJ22" s="1579"/>
      <c r="DK22" s="1579"/>
      <c r="DL22" s="1579"/>
      <c r="DM22" s="1579"/>
      <c r="DN22" s="1579"/>
      <c r="DO22" s="1579"/>
      <c r="DP22" s="1579"/>
      <c r="DQ22" s="1579"/>
      <c r="DR22" s="1579"/>
      <c r="DS22" s="1579"/>
      <c r="DT22" s="1579"/>
      <c r="DU22" s="1579"/>
      <c r="DV22" s="1579"/>
      <c r="DW22" s="1579"/>
      <c r="DX22" s="1579"/>
      <c r="DY22" s="1579"/>
      <c r="DZ22" s="1579"/>
      <c r="EA22" s="1579"/>
      <c r="EB22" s="1579"/>
      <c r="EC22" s="1579"/>
      <c r="ED22" s="1579"/>
      <c r="EE22" s="1579"/>
      <c r="EF22" s="1579"/>
      <c r="EG22" s="1579"/>
      <c r="EH22" s="1579"/>
      <c r="EI22" s="1579"/>
      <c r="EJ22" s="1579"/>
      <c r="EK22" s="1579"/>
      <c r="EL22" s="1579"/>
      <c r="EM22" s="1579"/>
      <c r="EN22" s="1579"/>
      <c r="EO22" s="1579"/>
      <c r="EP22" s="1579"/>
      <c r="EQ22" s="1579"/>
      <c r="ER22" s="1579"/>
      <c r="ES22" s="1579"/>
      <c r="ET22" s="1579"/>
      <c r="EU22" s="1579"/>
      <c r="EV22" s="1579"/>
      <c r="EW22" s="1579"/>
      <c r="EX22" s="1579"/>
      <c r="EY22" s="1579"/>
      <c r="EZ22" s="1579"/>
      <c r="FA22" s="1579"/>
      <c r="FB22" s="1579"/>
      <c r="FC22" s="1579"/>
      <c r="FD22" s="1579"/>
      <c r="FE22" s="1579"/>
      <c r="FF22" s="1579"/>
      <c r="FG22" s="1579"/>
      <c r="FH22" s="1579"/>
      <c r="FI22" s="1579"/>
      <c r="FJ22" s="1579"/>
      <c r="FK22" s="1579"/>
      <c r="FL22" s="1579"/>
      <c r="FM22" s="1579"/>
      <c r="FN22" s="1579"/>
      <c r="FO22" s="1579"/>
      <c r="FP22" s="1579"/>
      <c r="FQ22" s="1579"/>
      <c r="FR22" s="1579"/>
      <c r="FS22" s="1579"/>
      <c r="FT22" s="1579"/>
      <c r="FU22" s="1579"/>
      <c r="FV22" s="1579"/>
    </row>
    <row r="23" spans="1:178" s="1411" customFormat="1" ht="33.6" customHeight="1" x14ac:dyDescent="0.25">
      <c r="A23" s="1587"/>
      <c r="B23" s="3106" t="s">
        <v>630</v>
      </c>
      <c r="C23" s="2696"/>
      <c r="D23" s="2811"/>
      <c r="E23" s="3102">
        <f t="shared" si="22"/>
        <v>0</v>
      </c>
      <c r="F23" s="1992" t="e">
        <f t="shared" si="12"/>
        <v>#DIV/0!</v>
      </c>
      <c r="G23" s="1995">
        <v>0</v>
      </c>
      <c r="H23" s="2067">
        <v>0</v>
      </c>
      <c r="I23" s="1998">
        <f t="shared" si="36"/>
        <v>0</v>
      </c>
      <c r="J23" s="3024">
        <f t="shared" si="23"/>
        <v>0</v>
      </c>
      <c r="K23" s="2062"/>
      <c r="L23" s="2062"/>
      <c r="M23" s="1995"/>
      <c r="N23" s="2067"/>
      <c r="O23" s="1998">
        <f t="shared" si="37"/>
        <v>0</v>
      </c>
      <c r="P23" s="3024">
        <f t="shared" si="13"/>
        <v>0</v>
      </c>
      <c r="Q23" s="2062"/>
      <c r="R23" s="2068"/>
      <c r="S23" s="2067"/>
      <c r="T23" s="2027">
        <f t="shared" si="38"/>
        <v>0</v>
      </c>
      <c r="U23" s="2809">
        <f t="shared" si="14"/>
        <v>0</v>
      </c>
      <c r="V23" s="2064"/>
      <c r="W23" s="3061"/>
      <c r="X23" s="3070"/>
      <c r="Y23" s="3083">
        <f t="shared" si="39"/>
        <v>0</v>
      </c>
      <c r="Z23" s="3180">
        <f t="shared" si="15"/>
        <v>0</v>
      </c>
      <c r="AA23" s="3064"/>
      <c r="AB23" s="3061"/>
      <c r="AC23" s="3070"/>
      <c r="AD23" s="3086">
        <f t="shared" si="40"/>
        <v>0</v>
      </c>
      <c r="AE23" s="3180">
        <f t="shared" si="16"/>
        <v>0</v>
      </c>
      <c r="AF23" s="3064"/>
      <c r="AG23" s="2067"/>
      <c r="AH23" s="2059"/>
      <c r="AI23" s="2061">
        <f t="shared" si="41"/>
        <v>0</v>
      </c>
      <c r="AJ23" s="2809">
        <f t="shared" si="17"/>
        <v>0</v>
      </c>
      <c r="AK23" s="2064"/>
      <c r="AL23" s="3061"/>
      <c r="AM23" s="3070"/>
      <c r="AN23" s="3083">
        <f t="shared" si="24"/>
        <v>0</v>
      </c>
      <c r="AO23" s="3180">
        <f t="shared" si="25"/>
        <v>0</v>
      </c>
      <c r="AP23" s="3064"/>
      <c r="AQ23" s="3061"/>
      <c r="AR23" s="3070"/>
      <c r="AS23" s="3083">
        <f t="shared" si="42"/>
        <v>0</v>
      </c>
      <c r="AT23" s="3180">
        <f t="shared" si="18"/>
        <v>0</v>
      </c>
      <c r="AU23" s="3065"/>
      <c r="AV23" s="3061"/>
      <c r="AW23" s="3070"/>
      <c r="AX23" s="3083">
        <f t="shared" si="43"/>
        <v>0</v>
      </c>
      <c r="AY23" s="3180">
        <f t="shared" si="19"/>
        <v>0</v>
      </c>
      <c r="AZ23" s="3064"/>
      <c r="BA23" s="2067"/>
      <c r="BB23" s="2059"/>
      <c r="BC23" s="2061">
        <f t="shared" si="44"/>
        <v>0</v>
      </c>
      <c r="BD23" s="2809">
        <f t="shared" si="20"/>
        <v>0</v>
      </c>
      <c r="BE23" s="2064"/>
      <c r="BF23" s="3061"/>
      <c r="BG23" s="3070"/>
      <c r="BH23" s="3083">
        <f t="shared" si="45"/>
        <v>0</v>
      </c>
      <c r="BI23" s="3180">
        <f t="shared" si="26"/>
        <v>0</v>
      </c>
      <c r="BJ23" s="3065"/>
      <c r="BK23" s="3061"/>
      <c r="BL23" s="3070"/>
      <c r="BM23" s="3083">
        <f t="shared" si="46"/>
        <v>0</v>
      </c>
      <c r="BN23" s="3180">
        <f t="shared" si="27"/>
        <v>0</v>
      </c>
      <c r="BO23" s="3064"/>
      <c r="BP23" s="3061"/>
      <c r="BQ23" s="3070"/>
      <c r="BR23" s="3083">
        <f t="shared" si="47"/>
        <v>0</v>
      </c>
      <c r="BS23" s="3180">
        <f t="shared" si="28"/>
        <v>0</v>
      </c>
      <c r="BT23" s="3064"/>
      <c r="BU23" s="3061"/>
      <c r="BV23" s="3070"/>
      <c r="BW23" s="3083">
        <f t="shared" si="48"/>
        <v>0</v>
      </c>
      <c r="BX23" s="3180">
        <f t="shared" si="29"/>
        <v>0</v>
      </c>
      <c r="BY23" s="3064"/>
      <c r="BZ23" s="3061"/>
      <c r="CA23" s="3070"/>
      <c r="CB23" s="3083">
        <f t="shared" si="49"/>
        <v>0</v>
      </c>
      <c r="CC23" s="3180">
        <f t="shared" si="30"/>
        <v>0</v>
      </c>
      <c r="CD23" s="3064"/>
      <c r="CE23" s="3061"/>
      <c r="CF23" s="3070"/>
      <c r="CG23" s="3083">
        <f t="shared" si="50"/>
        <v>0</v>
      </c>
      <c r="CH23" s="3180">
        <f t="shared" si="31"/>
        <v>0</v>
      </c>
      <c r="CI23" s="3064"/>
      <c r="CJ23" s="3061"/>
      <c r="CK23" s="3070"/>
      <c r="CL23" s="3083">
        <f t="shared" si="51"/>
        <v>0</v>
      </c>
      <c r="CM23" s="3180">
        <f t="shared" si="32"/>
        <v>0</v>
      </c>
      <c r="CN23" s="3064"/>
      <c r="CO23" s="2059">
        <f t="shared" si="33"/>
        <v>0</v>
      </c>
      <c r="CP23" s="2059">
        <f t="shared" si="34"/>
        <v>0</v>
      </c>
      <c r="CQ23" s="2061">
        <f t="shared" si="35"/>
        <v>0</v>
      </c>
      <c r="CR23" s="2809">
        <f t="shared" si="21"/>
        <v>0</v>
      </c>
      <c r="CS23" s="1449"/>
      <c r="CT23" s="919"/>
      <c r="CU23" s="1579"/>
      <c r="CV23" s="1579"/>
      <c r="CW23" s="1579"/>
      <c r="CX23" s="1579"/>
      <c r="CY23" s="1579"/>
      <c r="CZ23" s="1579"/>
      <c r="DA23" s="1579"/>
      <c r="DB23" s="1579"/>
      <c r="DC23" s="1579"/>
      <c r="DD23" s="1579"/>
      <c r="DE23" s="1579"/>
      <c r="DF23" s="1579"/>
      <c r="DG23" s="1579"/>
      <c r="DH23" s="1579"/>
      <c r="DI23" s="1579"/>
      <c r="DJ23" s="1579"/>
      <c r="DK23" s="1579"/>
      <c r="DL23" s="1579"/>
      <c r="DM23" s="1579"/>
      <c r="DN23" s="1579"/>
      <c r="DO23" s="1579"/>
      <c r="DP23" s="1579"/>
      <c r="DQ23" s="1579"/>
      <c r="DR23" s="1579"/>
      <c r="DS23" s="1579"/>
      <c r="DT23" s="1579"/>
      <c r="DU23" s="1579"/>
      <c r="DV23" s="1579"/>
      <c r="DW23" s="1579"/>
      <c r="DX23" s="1579"/>
      <c r="DY23" s="1579"/>
      <c r="DZ23" s="1579"/>
      <c r="EA23" s="1579"/>
      <c r="EB23" s="1579"/>
      <c r="EC23" s="1579"/>
      <c r="ED23" s="1579"/>
      <c r="EE23" s="1579"/>
      <c r="EF23" s="1579"/>
      <c r="EG23" s="1579"/>
      <c r="EH23" s="1579"/>
      <c r="EI23" s="1579"/>
      <c r="EJ23" s="1579"/>
      <c r="EK23" s="1579"/>
      <c r="EL23" s="1579"/>
      <c r="EM23" s="1579"/>
      <c r="EN23" s="1579"/>
      <c r="EO23" s="1579"/>
      <c r="EP23" s="1579"/>
      <c r="EQ23" s="1579"/>
      <c r="ER23" s="1579"/>
      <c r="ES23" s="1579"/>
      <c r="ET23" s="1579"/>
      <c r="EU23" s="1579"/>
      <c r="EV23" s="1579"/>
      <c r="EW23" s="1579"/>
      <c r="EX23" s="1579"/>
      <c r="EY23" s="1579"/>
      <c r="EZ23" s="1579"/>
      <c r="FA23" s="1579"/>
      <c r="FB23" s="1579"/>
      <c r="FC23" s="1579"/>
      <c r="FD23" s="1579"/>
      <c r="FE23" s="1579"/>
      <c r="FF23" s="1579"/>
      <c r="FG23" s="1579"/>
      <c r="FH23" s="1579"/>
      <c r="FI23" s="1579"/>
      <c r="FJ23" s="1579"/>
      <c r="FK23" s="1579"/>
      <c r="FL23" s="1579"/>
      <c r="FM23" s="1579"/>
      <c r="FN23" s="1579"/>
      <c r="FO23" s="1579"/>
      <c r="FP23" s="1579"/>
      <c r="FQ23" s="1579"/>
      <c r="FR23" s="1579"/>
      <c r="FS23" s="1579"/>
      <c r="FT23" s="1579"/>
      <c r="FU23" s="1579"/>
      <c r="FV23" s="1579"/>
    </row>
    <row r="24" spans="1:178" s="1411" customFormat="1" ht="33.6" customHeight="1" x14ac:dyDescent="0.25">
      <c r="A24" s="1587"/>
      <c r="B24" s="3106" t="s">
        <v>23</v>
      </c>
      <c r="C24" s="2696"/>
      <c r="D24" s="2811"/>
      <c r="E24" s="3102">
        <f t="shared" si="22"/>
        <v>0</v>
      </c>
      <c r="F24" s="1992" t="e">
        <f t="shared" si="12"/>
        <v>#DIV/0!</v>
      </c>
      <c r="G24" s="1995">
        <v>249849.19199999998</v>
      </c>
      <c r="H24" s="2067">
        <v>3765</v>
      </c>
      <c r="I24" s="1998">
        <f t="shared" si="36"/>
        <v>253614.19199999998</v>
      </c>
      <c r="J24" s="3024">
        <f t="shared" si="23"/>
        <v>4.6324030376232415E-3</v>
      </c>
      <c r="K24" s="2062"/>
      <c r="L24" s="2062"/>
      <c r="M24" s="3060">
        <f>8200*3+20000+48000+33000+1200+26000</f>
        <v>152800</v>
      </c>
      <c r="N24" s="3061">
        <v>3600</v>
      </c>
      <c r="O24" s="3062">
        <f t="shared" si="37"/>
        <v>156400</v>
      </c>
      <c r="P24" s="3063">
        <f t="shared" si="13"/>
        <v>2.2488526049896602E-2</v>
      </c>
      <c r="Q24" s="3065" t="s">
        <v>1877</v>
      </c>
      <c r="R24" s="3073">
        <f>6000+3200</f>
        <v>9200</v>
      </c>
      <c r="S24" s="3061">
        <v>165</v>
      </c>
      <c r="T24" s="3068">
        <f t="shared" si="38"/>
        <v>9365</v>
      </c>
      <c r="U24" s="3180">
        <f t="shared" si="14"/>
        <v>1.3465795809289112E-3</v>
      </c>
      <c r="V24" s="3065" t="s">
        <v>1880</v>
      </c>
      <c r="W24" s="3061">
        <v>2250</v>
      </c>
      <c r="X24" s="3070"/>
      <c r="Y24" s="3083">
        <f t="shared" si="39"/>
        <v>2250</v>
      </c>
      <c r="Z24" s="3180">
        <f t="shared" si="15"/>
        <v>3.2352419189429256E-4</v>
      </c>
      <c r="AA24" s="3064" t="s">
        <v>1862</v>
      </c>
      <c r="AB24" s="3061">
        <f>3000+3000+1800+6000+4000+3000+3000+4000+9000+16000</f>
        <v>52800</v>
      </c>
      <c r="AC24" s="3070"/>
      <c r="AD24" s="3086">
        <f t="shared" si="40"/>
        <v>52800</v>
      </c>
      <c r="AE24" s="3180">
        <f t="shared" si="16"/>
        <v>7.5920343697860656E-3</v>
      </c>
      <c r="AF24" s="3064" t="s">
        <v>1863</v>
      </c>
      <c r="AG24" s="3061">
        <f>18000+12000+3000+4000+6000+1500</f>
        <v>44500</v>
      </c>
      <c r="AH24" s="3070"/>
      <c r="AI24" s="3083">
        <f t="shared" si="41"/>
        <v>44500</v>
      </c>
      <c r="AJ24" s="3180">
        <f t="shared" si="17"/>
        <v>6.3985895730204528E-3</v>
      </c>
      <c r="AK24" s="3065" t="s">
        <v>1865</v>
      </c>
      <c r="AL24" s="3061">
        <f>3500+6000</f>
        <v>9500</v>
      </c>
      <c r="AM24" s="3070"/>
      <c r="AN24" s="3083">
        <f t="shared" si="24"/>
        <v>9500</v>
      </c>
      <c r="AO24" s="3180">
        <f t="shared" si="25"/>
        <v>1.4815939777280903E-3</v>
      </c>
      <c r="AP24" s="3065" t="s">
        <v>1866</v>
      </c>
      <c r="AQ24" s="3061">
        <f>2300+6000</f>
        <v>8300</v>
      </c>
      <c r="AR24" s="3070"/>
      <c r="AS24" s="3083">
        <f t="shared" si="42"/>
        <v>8300</v>
      </c>
      <c r="AT24" s="3180">
        <f t="shared" si="18"/>
        <v>1.1934447967656126E-3</v>
      </c>
      <c r="AU24" s="3065" t="s">
        <v>1901</v>
      </c>
      <c r="AV24" s="3061">
        <f>16700+10400+7200+675+23000+17000</f>
        <v>74975</v>
      </c>
      <c r="AW24" s="3070"/>
      <c r="AX24" s="3083">
        <f t="shared" si="43"/>
        <v>74975</v>
      </c>
      <c r="AY24" s="3180">
        <f t="shared" si="19"/>
        <v>2.5857753181609346E-2</v>
      </c>
      <c r="AZ24" s="3065" t="s">
        <v>1867</v>
      </c>
      <c r="BA24" s="3061">
        <f>525+41400+9000+6000</f>
        <v>56925</v>
      </c>
      <c r="BB24" s="3070"/>
      <c r="BC24" s="3083">
        <f t="shared" si="44"/>
        <v>56925</v>
      </c>
      <c r="BD24" s="3180">
        <f t="shared" si="20"/>
        <v>1.6237530615489593E-2</v>
      </c>
      <c r="BE24" s="3065" t="s">
        <v>1632</v>
      </c>
      <c r="BF24" s="3061">
        <f>5760+1995+24500+4000+9600</f>
        <v>45855</v>
      </c>
      <c r="BG24" s="3070"/>
      <c r="BH24" s="3083">
        <f t="shared" si="45"/>
        <v>45855</v>
      </c>
      <c r="BI24" s="3180">
        <f t="shared" si="26"/>
        <v>1.0058881143115338E-2</v>
      </c>
      <c r="BJ24" s="3065" t="s">
        <v>1674</v>
      </c>
      <c r="BK24" s="3061">
        <f>3460+360+2000</f>
        <v>5820</v>
      </c>
      <c r="BL24" s="3070"/>
      <c r="BM24" s="3083">
        <f t="shared" si="46"/>
        <v>5820</v>
      </c>
      <c r="BN24" s="3180">
        <f t="shared" si="27"/>
        <v>9.592103773844562E-4</v>
      </c>
      <c r="BO24" s="3065" t="s">
        <v>1714</v>
      </c>
      <c r="BP24" s="3061">
        <f>-3500+35000+88000+36000</f>
        <v>155500</v>
      </c>
      <c r="BQ24" s="3070"/>
      <c r="BR24" s="3083">
        <f t="shared" si="47"/>
        <v>155500</v>
      </c>
      <c r="BS24" s="3180">
        <f t="shared" si="28"/>
        <v>6.3507823830633012E-2</v>
      </c>
      <c r="BT24" s="3065" t="s">
        <v>1765</v>
      </c>
      <c r="BU24" s="3061">
        <f>18333.33*1.2</f>
        <v>21999.996000000003</v>
      </c>
      <c r="BV24" s="3070"/>
      <c r="BW24" s="3083">
        <f t="shared" si="48"/>
        <v>21999.996000000003</v>
      </c>
      <c r="BX24" s="3180">
        <f t="shared" si="29"/>
        <v>4.0754898528509297E-2</v>
      </c>
      <c r="BY24" s="3065" t="s">
        <v>1918</v>
      </c>
      <c r="BZ24" s="3061"/>
      <c r="CA24" s="3070"/>
      <c r="CB24" s="3083">
        <f t="shared" si="49"/>
        <v>0</v>
      </c>
      <c r="CC24" s="3180">
        <f t="shared" si="30"/>
        <v>0</v>
      </c>
      <c r="CD24" s="3065"/>
      <c r="CE24" s="3061"/>
      <c r="CF24" s="3070"/>
      <c r="CG24" s="3083">
        <f t="shared" si="50"/>
        <v>0</v>
      </c>
      <c r="CH24" s="3180">
        <f t="shared" si="31"/>
        <v>0</v>
      </c>
      <c r="CI24" s="3065"/>
      <c r="CJ24" s="3061"/>
      <c r="CK24" s="3070"/>
      <c r="CL24" s="3083">
        <f t="shared" si="51"/>
        <v>0</v>
      </c>
      <c r="CM24" s="3180">
        <f t="shared" si="32"/>
        <v>0</v>
      </c>
      <c r="CN24" s="3065"/>
      <c r="CO24" s="2059">
        <f t="shared" si="33"/>
        <v>640424.99600000004</v>
      </c>
      <c r="CP24" s="2059">
        <f t="shared" si="34"/>
        <v>3765</v>
      </c>
      <c r="CQ24" s="2061">
        <f t="shared" si="35"/>
        <v>644189.99600000004</v>
      </c>
      <c r="CR24" s="2809">
        <f t="shared" si="21"/>
        <v>6.8464933832372852E-3</v>
      </c>
      <c r="CS24" s="1449"/>
      <c r="CT24" s="919"/>
      <c r="CU24" s="1579"/>
      <c r="CV24" s="1579"/>
      <c r="CW24" s="1579"/>
      <c r="CX24" s="1579"/>
      <c r="CY24" s="1579"/>
      <c r="CZ24" s="1579"/>
      <c r="DA24" s="1579"/>
      <c r="DB24" s="1579"/>
      <c r="DC24" s="1579"/>
      <c r="DD24" s="1579"/>
      <c r="DE24" s="1579"/>
      <c r="DF24" s="1579"/>
      <c r="DG24" s="1579"/>
      <c r="DH24" s="1579"/>
      <c r="DI24" s="1579"/>
      <c r="DJ24" s="1579"/>
      <c r="DK24" s="1579"/>
      <c r="DL24" s="1579"/>
      <c r="DM24" s="1579"/>
      <c r="DN24" s="1579"/>
      <c r="DO24" s="1579"/>
      <c r="DP24" s="1579"/>
      <c r="DQ24" s="1579"/>
      <c r="DR24" s="1579"/>
      <c r="DS24" s="1579"/>
      <c r="DT24" s="1579"/>
      <c r="DU24" s="1579"/>
      <c r="DV24" s="1579"/>
      <c r="DW24" s="1579"/>
      <c r="DX24" s="1579"/>
      <c r="DY24" s="1579"/>
      <c r="DZ24" s="1579"/>
      <c r="EA24" s="1579"/>
      <c r="EB24" s="1579"/>
      <c r="EC24" s="1579"/>
      <c r="ED24" s="1579"/>
      <c r="EE24" s="1579"/>
      <c r="EF24" s="1579"/>
      <c r="EG24" s="1579"/>
      <c r="EH24" s="1579"/>
      <c r="EI24" s="1579"/>
      <c r="EJ24" s="1579"/>
      <c r="EK24" s="1579"/>
      <c r="EL24" s="1579"/>
      <c r="EM24" s="1579"/>
      <c r="EN24" s="1579"/>
      <c r="EO24" s="1579"/>
      <c r="EP24" s="1579"/>
      <c r="EQ24" s="1579"/>
      <c r="ER24" s="1579"/>
      <c r="ES24" s="1579"/>
      <c r="ET24" s="1579"/>
      <c r="EU24" s="1579"/>
      <c r="EV24" s="1579"/>
      <c r="EW24" s="1579"/>
      <c r="EX24" s="1579"/>
      <c r="EY24" s="1579"/>
      <c r="EZ24" s="1579"/>
      <c r="FA24" s="1579"/>
      <c r="FB24" s="1579"/>
      <c r="FC24" s="1579"/>
      <c r="FD24" s="1579"/>
      <c r="FE24" s="1579"/>
      <c r="FF24" s="1579"/>
      <c r="FG24" s="1579"/>
      <c r="FH24" s="1579"/>
      <c r="FI24" s="1579"/>
      <c r="FJ24" s="1579"/>
      <c r="FK24" s="1579"/>
      <c r="FL24" s="1579"/>
      <c r="FM24" s="1579"/>
      <c r="FN24" s="1579"/>
      <c r="FO24" s="1579"/>
      <c r="FP24" s="1579"/>
      <c r="FQ24" s="1579"/>
      <c r="FR24" s="1579"/>
      <c r="FS24" s="1579"/>
      <c r="FT24" s="1579"/>
      <c r="FU24" s="1579"/>
      <c r="FV24" s="1579"/>
    </row>
    <row r="25" spans="1:178" s="1411" customFormat="1" ht="33.6" customHeight="1" x14ac:dyDescent="0.25">
      <c r="A25" s="1587"/>
      <c r="B25" s="3106" t="s">
        <v>24</v>
      </c>
      <c r="C25" s="2696"/>
      <c r="D25" s="2811"/>
      <c r="E25" s="3102">
        <f t="shared" si="22"/>
        <v>0</v>
      </c>
      <c r="F25" s="1992" t="e">
        <f t="shared" si="12"/>
        <v>#DIV/0!</v>
      </c>
      <c r="G25" s="1995">
        <v>186866.03999999998</v>
      </c>
      <c r="H25" s="2067">
        <v>9050.4699999999993</v>
      </c>
      <c r="I25" s="1998">
        <f t="shared" si="36"/>
        <v>195916.50999999998</v>
      </c>
      <c r="J25" s="3024">
        <f t="shared" si="23"/>
        <v>3.578523066424233E-3</v>
      </c>
      <c r="K25" s="2062"/>
      <c r="L25" s="2062"/>
      <c r="M25" s="1995"/>
      <c r="N25" s="3061">
        <v>420</v>
      </c>
      <c r="O25" s="3062">
        <f t="shared" si="37"/>
        <v>420</v>
      </c>
      <c r="P25" s="3063">
        <f t="shared" si="13"/>
        <v>6.0391182486934613E-5</v>
      </c>
      <c r="Q25" s="3065" t="s">
        <v>1810</v>
      </c>
      <c r="R25" s="3025">
        <f>35281.63*1.2</f>
        <v>42337.955999999998</v>
      </c>
      <c r="S25" s="3061">
        <v>798</v>
      </c>
      <c r="T25" s="3068">
        <f t="shared" si="38"/>
        <v>43135.955999999998</v>
      </c>
      <c r="U25" s="3180">
        <f t="shared" si="14"/>
        <v>6.2024556917723381E-3</v>
      </c>
      <c r="V25" s="3065" t="s">
        <v>1811</v>
      </c>
      <c r="W25" s="2067">
        <v>70956.887999999992</v>
      </c>
      <c r="X25" s="2076">
        <v>2069</v>
      </c>
      <c r="Y25" s="2061">
        <f t="shared" si="39"/>
        <v>73025.887999999992</v>
      </c>
      <c r="Z25" s="2809">
        <f t="shared" si="15"/>
        <v>1.0500285067805828E-2</v>
      </c>
      <c r="AA25" s="2078" t="s">
        <v>1812</v>
      </c>
      <c r="AB25" s="3061"/>
      <c r="AC25" s="3070">
        <v>5600</v>
      </c>
      <c r="AD25" s="3086">
        <f t="shared" si="40"/>
        <v>5600</v>
      </c>
      <c r="AE25" s="3180">
        <f t="shared" si="16"/>
        <v>8.0521576649246148E-4</v>
      </c>
      <c r="AF25" s="3065" t="s">
        <v>1813</v>
      </c>
      <c r="AG25" s="3061">
        <f>(125+210)*1.2+60974.96*1.2</f>
        <v>73571.95199999999</v>
      </c>
      <c r="AH25" s="3061">
        <f>273.47-110</f>
        <v>163.47000000000003</v>
      </c>
      <c r="AI25" s="3083">
        <f t="shared" si="41"/>
        <v>73735.421999999991</v>
      </c>
      <c r="AJ25" s="3180">
        <f t="shared" si="17"/>
        <v>1.0602307918459839E-2</v>
      </c>
      <c r="AK25" s="3065" t="s">
        <v>1814</v>
      </c>
      <c r="AL25" s="2016">
        <f>53205.51*1.2</f>
        <v>63846.612000000001</v>
      </c>
      <c r="AM25" s="2009">
        <v>2931</v>
      </c>
      <c r="AN25" s="2013">
        <f t="shared" si="24"/>
        <v>66777.611999999994</v>
      </c>
      <c r="AO25" s="3187">
        <f t="shared" si="25"/>
        <v>1.0414453451185584E-2</v>
      </c>
      <c r="AP25" s="2120" t="s">
        <v>1560</v>
      </c>
      <c r="AQ25" s="3061">
        <f>33189.25*1.2</f>
        <v>39827.1</v>
      </c>
      <c r="AR25" s="3070">
        <v>4242.88</v>
      </c>
      <c r="AS25" s="3083">
        <f t="shared" si="42"/>
        <v>44069.979999999996</v>
      </c>
      <c r="AT25" s="3180">
        <f t="shared" si="18"/>
        <v>6.3367576294656152E-3</v>
      </c>
      <c r="AU25" s="3065" t="s">
        <v>1583</v>
      </c>
      <c r="AV25" s="3061">
        <f>40125.41*1.2</f>
        <v>48150.492000000006</v>
      </c>
      <c r="AW25" s="3070">
        <v>927.6</v>
      </c>
      <c r="AX25" s="3083">
        <f t="shared" si="43"/>
        <v>49078.092000000004</v>
      </c>
      <c r="AY25" s="3180">
        <f t="shared" si="19"/>
        <v>1.6926297960124258E-2</v>
      </c>
      <c r="AZ25" s="3065"/>
      <c r="BA25" s="3061">
        <f>14549.27*1.2</f>
        <v>17459.124</v>
      </c>
      <c r="BB25" s="3070">
        <v>3432.57</v>
      </c>
      <c r="BC25" s="3083">
        <f t="shared" si="44"/>
        <v>20891.694</v>
      </c>
      <c r="BD25" s="3180">
        <f t="shared" si="20"/>
        <v>5.9592362043819104E-3</v>
      </c>
      <c r="BE25" s="3065"/>
      <c r="BF25" s="3061">
        <f>24303.51*1.2</f>
        <v>29164.211999999996</v>
      </c>
      <c r="BG25" s="3070">
        <v>1466.3</v>
      </c>
      <c r="BH25" s="3083">
        <f t="shared" si="45"/>
        <v>30630.511999999995</v>
      </c>
      <c r="BI25" s="3180">
        <f t="shared" si="26"/>
        <v>6.7191948437633417E-3</v>
      </c>
      <c r="BJ25" s="3065"/>
      <c r="BK25" s="3061">
        <f>41458.17*1.2</f>
        <v>49749.803999999996</v>
      </c>
      <c r="BL25" s="3070"/>
      <c r="BM25" s="3083">
        <f t="shared" si="46"/>
        <v>49749.803999999996</v>
      </c>
      <c r="BN25" s="3180">
        <f t="shared" si="27"/>
        <v>8.1994034827564816E-3</v>
      </c>
      <c r="BO25" s="3065"/>
      <c r="BP25" s="3061">
        <f>8861.16*1.2</f>
        <v>10633.392</v>
      </c>
      <c r="BQ25" s="3070"/>
      <c r="BR25" s="3083">
        <f t="shared" si="47"/>
        <v>10633.392</v>
      </c>
      <c r="BS25" s="3180">
        <f t="shared" si="28"/>
        <v>4.3427883334923624E-3</v>
      </c>
      <c r="BT25" s="3065" t="s">
        <v>1786</v>
      </c>
      <c r="BU25" s="3061"/>
      <c r="BV25" s="3070"/>
      <c r="BW25" s="3083">
        <f t="shared" si="48"/>
        <v>0</v>
      </c>
      <c r="BX25" s="3180">
        <f t="shared" si="29"/>
        <v>0</v>
      </c>
      <c r="BY25" s="3065"/>
      <c r="BZ25" s="3061">
        <f>2486.14*1.2+95337.936</f>
        <v>98321.304000000004</v>
      </c>
      <c r="CA25" s="3070"/>
      <c r="CB25" s="3083">
        <f t="shared" si="49"/>
        <v>98321.304000000004</v>
      </c>
      <c r="CC25" s="3180">
        <f t="shared" si="30"/>
        <v>2.7498284533377434E-2</v>
      </c>
      <c r="CD25" s="3065" t="s">
        <v>2067</v>
      </c>
      <c r="CE25" s="3061"/>
      <c r="CF25" s="3070"/>
      <c r="CG25" s="3083"/>
      <c r="CH25" s="3180"/>
      <c r="CI25" s="3065"/>
      <c r="CJ25" s="3061"/>
      <c r="CK25" s="3070"/>
      <c r="CL25" s="3083">
        <f t="shared" si="51"/>
        <v>0</v>
      </c>
      <c r="CM25" s="3180">
        <f t="shared" si="32"/>
        <v>0</v>
      </c>
      <c r="CN25" s="3065"/>
      <c r="CO25" s="2059">
        <f t="shared" si="33"/>
        <v>544018.83600000001</v>
      </c>
      <c r="CP25" s="2059">
        <f t="shared" si="34"/>
        <v>22050.819999999996</v>
      </c>
      <c r="CQ25" s="2061">
        <f t="shared" si="35"/>
        <v>566069.65599999996</v>
      </c>
      <c r="CR25" s="2809">
        <f t="shared" si="21"/>
        <v>6.0162253035910326E-3</v>
      </c>
      <c r="CS25" s="1449"/>
      <c r="CT25" s="919"/>
      <c r="CU25" s="1579"/>
      <c r="CV25" s="1579"/>
      <c r="CW25" s="1579"/>
      <c r="CX25" s="1579"/>
      <c r="CY25" s="1579"/>
      <c r="CZ25" s="1579"/>
      <c r="DA25" s="1579"/>
      <c r="DB25" s="1579"/>
      <c r="DC25" s="1579"/>
      <c r="DD25" s="1579"/>
      <c r="DE25" s="1579"/>
      <c r="DF25" s="1579"/>
      <c r="DG25" s="1579"/>
      <c r="DH25" s="1579"/>
      <c r="DI25" s="1579"/>
      <c r="DJ25" s="1579"/>
      <c r="DK25" s="1579"/>
      <c r="DL25" s="1579"/>
      <c r="DM25" s="1579"/>
      <c r="DN25" s="1579"/>
      <c r="DO25" s="1579"/>
      <c r="DP25" s="1579"/>
      <c r="DQ25" s="1579"/>
      <c r="DR25" s="1579"/>
      <c r="DS25" s="1579"/>
      <c r="DT25" s="1579"/>
      <c r="DU25" s="1579"/>
      <c r="DV25" s="1579"/>
      <c r="DW25" s="1579"/>
      <c r="DX25" s="1579"/>
      <c r="DY25" s="1579"/>
      <c r="DZ25" s="1579"/>
      <c r="EA25" s="1579"/>
      <c r="EB25" s="1579"/>
      <c r="EC25" s="1579"/>
      <c r="ED25" s="1579"/>
      <c r="EE25" s="1579"/>
      <c r="EF25" s="1579"/>
      <c r="EG25" s="1579"/>
      <c r="EH25" s="1579"/>
      <c r="EI25" s="1579"/>
      <c r="EJ25" s="1579"/>
      <c r="EK25" s="1579"/>
      <c r="EL25" s="1579"/>
      <c r="EM25" s="1579"/>
      <c r="EN25" s="1579"/>
      <c r="EO25" s="1579"/>
      <c r="EP25" s="1579"/>
      <c r="EQ25" s="1579"/>
      <c r="ER25" s="1579"/>
      <c r="ES25" s="1579"/>
      <c r="ET25" s="1579"/>
      <c r="EU25" s="1579"/>
      <c r="EV25" s="1579"/>
      <c r="EW25" s="1579"/>
      <c r="EX25" s="1579"/>
      <c r="EY25" s="1579"/>
      <c r="EZ25" s="1579"/>
      <c r="FA25" s="1579"/>
      <c r="FB25" s="1579"/>
      <c r="FC25" s="1579"/>
      <c r="FD25" s="1579"/>
      <c r="FE25" s="1579"/>
      <c r="FF25" s="1579"/>
      <c r="FG25" s="1579"/>
      <c r="FH25" s="1579"/>
      <c r="FI25" s="1579"/>
      <c r="FJ25" s="1579"/>
      <c r="FK25" s="1579"/>
      <c r="FL25" s="1579"/>
      <c r="FM25" s="1579"/>
      <c r="FN25" s="1579"/>
      <c r="FO25" s="1579"/>
      <c r="FP25" s="1579"/>
      <c r="FQ25" s="1579"/>
      <c r="FR25" s="1579"/>
      <c r="FS25" s="1579"/>
      <c r="FT25" s="1579"/>
      <c r="FU25" s="1579"/>
      <c r="FV25" s="1579"/>
    </row>
    <row r="26" spans="1:178" s="1411" customFormat="1" ht="33.6" customHeight="1" x14ac:dyDescent="0.25">
      <c r="A26" s="1587"/>
      <c r="B26" s="3106" t="s">
        <v>45</v>
      </c>
      <c r="C26" s="2696"/>
      <c r="D26" s="2811"/>
      <c r="E26" s="3102">
        <f t="shared" si="22"/>
        <v>0</v>
      </c>
      <c r="F26" s="1992" t="e">
        <f t="shared" si="12"/>
        <v>#DIV/0!</v>
      </c>
      <c r="G26" s="1995">
        <f>24418012.788-2678867</f>
        <v>21739145.787999999</v>
      </c>
      <c r="H26" s="2067">
        <v>0</v>
      </c>
      <c r="I26" s="1998">
        <f t="shared" si="36"/>
        <v>21739145.787999999</v>
      </c>
      <c r="J26" s="3024">
        <f t="shared" si="23"/>
        <v>0.39707748288654798</v>
      </c>
      <c r="K26" s="2062"/>
      <c r="L26" s="2062"/>
      <c r="M26" s="1995"/>
      <c r="N26" s="2067"/>
      <c r="O26" s="1998">
        <f t="shared" si="37"/>
        <v>0</v>
      </c>
      <c r="P26" s="3024">
        <f t="shared" si="13"/>
        <v>0</v>
      </c>
      <c r="Q26" s="2062"/>
      <c r="R26" s="3060">
        <f>1420729.64*1.2</f>
        <v>1704875.5679999997</v>
      </c>
      <c r="S26" s="3061"/>
      <c r="T26" s="3068">
        <f t="shared" si="38"/>
        <v>1704875.5679999997</v>
      </c>
      <c r="U26" s="3180">
        <f t="shared" si="14"/>
        <v>0.24514155129667686</v>
      </c>
      <c r="V26" s="3065"/>
      <c r="W26" s="3061">
        <f>3742567.29*1.2</f>
        <v>4491080.7479999997</v>
      </c>
      <c r="X26" s="3070"/>
      <c r="Y26" s="3083">
        <f>W26+X26*1</f>
        <v>4491080.7479999997</v>
      </c>
      <c r="Z26" s="3180">
        <f>Y26/$AS$89</f>
        <v>0.6457658976572066</v>
      </c>
      <c r="AA26" s="3065" t="s">
        <v>1815</v>
      </c>
      <c r="AB26" s="3061">
        <f>4134877.54*1.2+675+933</f>
        <v>4963461.0479999995</v>
      </c>
      <c r="AC26" s="3070"/>
      <c r="AD26" s="3086">
        <f t="shared" si="40"/>
        <v>4963461.0479999995</v>
      </c>
      <c r="AE26" s="3180">
        <f t="shared" si="16"/>
        <v>0.71368876646799928</v>
      </c>
      <c r="AF26" s="3084" t="s">
        <v>1816</v>
      </c>
      <c r="AG26" s="3061">
        <f>9447333.95*1.2+((-2678867-13475765)*0)+82480-91220</f>
        <v>11328060.739999998</v>
      </c>
      <c r="AH26" s="3070"/>
      <c r="AI26" s="3083">
        <f t="shared" si="41"/>
        <v>11328060.739999998</v>
      </c>
      <c r="AJ26" s="3180">
        <f t="shared" si="17"/>
        <v>1.6288451985057606</v>
      </c>
      <c r="AK26" s="3084" t="s">
        <v>1895</v>
      </c>
      <c r="AL26" s="2016">
        <f>3553354.98*1.2</f>
        <v>4264025.9759999998</v>
      </c>
      <c r="AM26" s="2009"/>
      <c r="AN26" s="2013">
        <f t="shared" si="24"/>
        <v>4264025.9759999998</v>
      </c>
      <c r="AO26" s="3187">
        <f t="shared" si="25"/>
        <v>0.6650058112544992</v>
      </c>
      <c r="AP26" s="2120" t="s">
        <v>1561</v>
      </c>
      <c r="AQ26" s="3061">
        <f>3992533.71*1.2</f>
        <v>4791040.4519999996</v>
      </c>
      <c r="AR26" s="3070"/>
      <c r="AS26" s="3083">
        <f t="shared" si="42"/>
        <v>4791040.4519999996</v>
      </c>
      <c r="AT26" s="3180">
        <f t="shared" si="18"/>
        <v>0.68889666247385162</v>
      </c>
      <c r="AU26" s="3065" t="s">
        <v>1584</v>
      </c>
      <c r="AV26" s="3061">
        <f>942771.47*1.2</f>
        <v>1131325.764</v>
      </c>
      <c r="AW26" s="3070"/>
      <c r="AX26" s="3083">
        <f t="shared" si="43"/>
        <v>1131325.764</v>
      </c>
      <c r="AY26" s="3180">
        <f t="shared" si="19"/>
        <v>0.3901772907436829</v>
      </c>
      <c r="AZ26" s="3064"/>
      <c r="BA26" s="3061">
        <f>1294954.44*1.2</f>
        <v>1553945.328</v>
      </c>
      <c r="BB26" s="3070"/>
      <c r="BC26" s="3083">
        <f t="shared" si="44"/>
        <v>1553945.328</v>
      </c>
      <c r="BD26" s="3180">
        <f t="shared" si="20"/>
        <v>0.44325401560293404</v>
      </c>
      <c r="BE26" s="3064"/>
      <c r="BF26" s="3061">
        <f>2122874.59*1.2+125331*1.2</f>
        <v>2697846.7080000001</v>
      </c>
      <c r="BG26" s="3070"/>
      <c r="BH26" s="3083">
        <f t="shared" si="45"/>
        <v>2697846.7080000001</v>
      </c>
      <c r="BI26" s="3180">
        <f t="shared" si="26"/>
        <v>0.59180720484389904</v>
      </c>
      <c r="BJ26" s="3065" t="s">
        <v>1675</v>
      </c>
      <c r="BK26" s="3061">
        <f>3428204.53*1.2</f>
        <v>4113845.4359999998</v>
      </c>
      <c r="BL26" s="3070"/>
      <c r="BM26" s="3083">
        <f t="shared" si="46"/>
        <v>4113845.4359999998</v>
      </c>
      <c r="BN26" s="3180">
        <f t="shared" si="27"/>
        <v>0.67801430123142314</v>
      </c>
      <c r="BO26" s="3064"/>
      <c r="BP26" s="3070">
        <f>902465.86*1.2-684120.85</f>
        <v>398838.18199999991</v>
      </c>
      <c r="BQ26" s="3070"/>
      <c r="BR26" s="3083">
        <f t="shared" si="47"/>
        <v>398838.18199999991</v>
      </c>
      <c r="BS26" s="3180">
        <f t="shared" si="28"/>
        <v>0.16288967845264271</v>
      </c>
      <c r="BT26" s="3065" t="s">
        <v>1785</v>
      </c>
      <c r="BU26" s="3070"/>
      <c r="BV26" s="3070"/>
      <c r="BW26" s="3083">
        <f t="shared" si="48"/>
        <v>0</v>
      </c>
      <c r="BX26" s="3180">
        <f t="shared" si="29"/>
        <v>0</v>
      </c>
      <c r="BY26" s="3065"/>
      <c r="BZ26" s="3070">
        <f>406404.6*1.2+684120.85*0+1546137.408</f>
        <v>2033822.9280000001</v>
      </c>
      <c r="CA26" s="3070"/>
      <c r="CB26" s="3083">
        <f t="shared" si="49"/>
        <v>2033822.9280000001</v>
      </c>
      <c r="CC26" s="3180">
        <f t="shared" si="30"/>
        <v>0.56881509184063306</v>
      </c>
      <c r="CD26" s="3065" t="s">
        <v>2068</v>
      </c>
      <c r="CE26" s="3070">
        <f>684120.85</f>
        <v>684120.85</v>
      </c>
      <c r="CF26" s="3070"/>
      <c r="CG26" s="3083">
        <f t="shared" si="50"/>
        <v>684120.85</v>
      </c>
      <c r="CH26" s="3180"/>
      <c r="CI26" s="3065" t="s">
        <v>2073</v>
      </c>
      <c r="CJ26" s="3070">
        <f>10*475</f>
        <v>4750</v>
      </c>
      <c r="CK26" s="3070"/>
      <c r="CL26" s="3083">
        <f t="shared" si="51"/>
        <v>4750</v>
      </c>
      <c r="CM26" s="3180">
        <f t="shared" si="32"/>
        <v>1</v>
      </c>
      <c r="CN26" s="3065" t="s">
        <v>2061</v>
      </c>
      <c r="CO26" s="2059">
        <f t="shared" si="33"/>
        <v>44161039.727999993</v>
      </c>
      <c r="CP26" s="2059">
        <f t="shared" si="34"/>
        <v>0</v>
      </c>
      <c r="CQ26" s="2061">
        <f t="shared" si="35"/>
        <v>44161039.727999993</v>
      </c>
      <c r="CR26" s="2809">
        <f t="shared" si="21"/>
        <v>0.46934641669696281</v>
      </c>
      <c r="CS26" s="1449"/>
      <c r="CT26" s="919"/>
      <c r="CU26" s="3218"/>
      <c r="CV26" s="1579"/>
      <c r="CW26" s="1579"/>
      <c r="CX26" s="916"/>
      <c r="CY26" s="1579"/>
      <c r="CZ26" s="1579"/>
      <c r="DA26" s="1579"/>
      <c r="DB26" s="1579"/>
      <c r="DC26" s="1579"/>
      <c r="DD26" s="1579"/>
      <c r="DE26" s="1579"/>
      <c r="DF26" s="1579"/>
      <c r="DG26" s="1579"/>
      <c r="DH26" s="1579"/>
      <c r="DI26" s="1579"/>
      <c r="DJ26" s="1579"/>
      <c r="DK26" s="1579"/>
      <c r="DL26" s="1579"/>
      <c r="DM26" s="1579"/>
      <c r="DN26" s="1579"/>
      <c r="DO26" s="1579"/>
      <c r="DP26" s="1579"/>
      <c r="DQ26" s="1579"/>
      <c r="DR26" s="1579"/>
      <c r="DS26" s="1579"/>
      <c r="DT26" s="1579"/>
      <c r="DU26" s="1579"/>
      <c r="DV26" s="1579"/>
      <c r="DW26" s="1579"/>
      <c r="DX26" s="1579"/>
      <c r="DY26" s="1579"/>
      <c r="DZ26" s="1579"/>
      <c r="EA26" s="1579"/>
      <c r="EB26" s="1579"/>
      <c r="EC26" s="1579"/>
      <c r="ED26" s="1579"/>
      <c r="EE26" s="1579"/>
      <c r="EF26" s="1579"/>
      <c r="EG26" s="1579"/>
      <c r="EH26" s="1579"/>
      <c r="EI26" s="1579"/>
      <c r="EJ26" s="1579"/>
      <c r="EK26" s="1579"/>
      <c r="EL26" s="1579"/>
      <c r="EM26" s="1579"/>
      <c r="EN26" s="1579"/>
      <c r="EO26" s="1579"/>
      <c r="EP26" s="1579"/>
      <c r="EQ26" s="1579"/>
      <c r="ER26" s="1579"/>
      <c r="ES26" s="1579"/>
      <c r="ET26" s="1579"/>
      <c r="EU26" s="1579"/>
      <c r="EV26" s="1579"/>
      <c r="EW26" s="1579"/>
      <c r="EX26" s="1579"/>
      <c r="EY26" s="1579"/>
      <c r="EZ26" s="1579"/>
      <c r="FA26" s="1579"/>
      <c r="FB26" s="1579"/>
      <c r="FC26" s="1579"/>
      <c r="FD26" s="1579"/>
      <c r="FE26" s="1579"/>
      <c r="FF26" s="1579"/>
      <c r="FG26" s="1579"/>
      <c r="FH26" s="1579"/>
      <c r="FI26" s="1579"/>
      <c r="FJ26" s="1579"/>
      <c r="FK26" s="1579"/>
      <c r="FL26" s="1579"/>
      <c r="FM26" s="1579"/>
      <c r="FN26" s="1579"/>
      <c r="FO26" s="1579"/>
      <c r="FP26" s="1579"/>
      <c r="FQ26" s="1579"/>
      <c r="FR26" s="1579"/>
      <c r="FS26" s="1579"/>
      <c r="FT26" s="1579"/>
      <c r="FU26" s="1579"/>
      <c r="FV26" s="1579"/>
    </row>
    <row r="27" spans="1:178" s="1411" customFormat="1" ht="33.6" customHeight="1" x14ac:dyDescent="0.25">
      <c r="A27" s="1587"/>
      <c r="B27" s="3106" t="s">
        <v>25</v>
      </c>
      <c r="C27" s="2696"/>
      <c r="D27" s="2811"/>
      <c r="E27" s="3102">
        <f t="shared" si="22"/>
        <v>0</v>
      </c>
      <c r="F27" s="1992" t="e">
        <f t="shared" si="12"/>
        <v>#DIV/0!</v>
      </c>
      <c r="G27" s="1995">
        <v>38520</v>
      </c>
      <c r="H27" s="2067">
        <v>1350</v>
      </c>
      <c r="I27" s="1998">
        <f t="shared" si="36"/>
        <v>39870</v>
      </c>
      <c r="J27" s="3024">
        <f t="shared" si="23"/>
        <v>7.2824753084022465E-4</v>
      </c>
      <c r="K27" s="2062"/>
      <c r="L27" s="2062"/>
      <c r="M27" s="1995"/>
      <c r="N27" s="2067"/>
      <c r="O27" s="1998">
        <f t="shared" si="37"/>
        <v>0</v>
      </c>
      <c r="P27" s="3024">
        <f t="shared" si="13"/>
        <v>0</v>
      </c>
      <c r="Q27" s="2062"/>
      <c r="R27" s="3073">
        <v>15023.52</v>
      </c>
      <c r="S27" s="3061">
        <v>600</v>
      </c>
      <c r="T27" s="3068">
        <f t="shared" si="38"/>
        <v>15623.52</v>
      </c>
      <c r="U27" s="3180">
        <f t="shared" si="14"/>
        <v>2.2464829700196971E-3</v>
      </c>
      <c r="V27" s="3065" t="s">
        <v>1881</v>
      </c>
      <c r="W27" s="3061">
        <f>400.02+345+200+400+1801+1856+2126</f>
        <v>7128.02</v>
      </c>
      <c r="X27" s="3070">
        <v>750</v>
      </c>
      <c r="Y27" s="3083">
        <f t="shared" si="39"/>
        <v>7878.02</v>
      </c>
      <c r="Z27" s="3180">
        <f t="shared" si="15"/>
        <v>1.1327689129898111E-3</v>
      </c>
      <c r="AA27" s="3065" t="s">
        <v>1886</v>
      </c>
      <c r="AB27" s="3061">
        <v>11375</v>
      </c>
      <c r="AC27" s="3070"/>
      <c r="AD27" s="3086">
        <f t="shared" si="40"/>
        <v>11375</v>
      </c>
      <c r="AE27" s="3180">
        <f t="shared" si="16"/>
        <v>1.6355945256878125E-3</v>
      </c>
      <c r="AF27" s="3065" t="s">
        <v>1853</v>
      </c>
      <c r="AG27" s="3061">
        <v>1752</v>
      </c>
      <c r="AH27" s="3070"/>
      <c r="AI27" s="3083">
        <f t="shared" si="41"/>
        <v>1752</v>
      </c>
      <c r="AJ27" s="3180">
        <f t="shared" si="17"/>
        <v>2.5191750408835579E-4</v>
      </c>
      <c r="AK27" s="3065" t="s">
        <v>1864</v>
      </c>
      <c r="AL27" s="2016"/>
      <c r="AM27" s="2009"/>
      <c r="AN27" s="2013">
        <f t="shared" si="24"/>
        <v>0</v>
      </c>
      <c r="AO27" s="3187">
        <f t="shared" si="25"/>
        <v>0</v>
      </c>
      <c r="AP27" s="2010"/>
      <c r="AQ27" s="3061"/>
      <c r="AR27" s="3070"/>
      <c r="AS27" s="3083">
        <f t="shared" si="42"/>
        <v>0</v>
      </c>
      <c r="AT27" s="3180">
        <f t="shared" si="18"/>
        <v>0</v>
      </c>
      <c r="AU27" s="3065"/>
      <c r="AV27" s="3061"/>
      <c r="AW27" s="3070">
        <v>1450</v>
      </c>
      <c r="AX27" s="3083">
        <f t="shared" si="43"/>
        <v>1450</v>
      </c>
      <c r="AY27" s="3180">
        <f t="shared" si="19"/>
        <v>5.0008325592975733E-4</v>
      </c>
      <c r="AZ27" s="3065" t="s">
        <v>1622</v>
      </c>
      <c r="BA27" s="3061">
        <f>10939.43</f>
        <v>10939.43</v>
      </c>
      <c r="BB27" s="3070"/>
      <c r="BC27" s="3083">
        <f t="shared" si="44"/>
        <v>10939.43</v>
      </c>
      <c r="BD27" s="3180">
        <f t="shared" si="20"/>
        <v>3.1204098294423423E-3</v>
      </c>
      <c r="BE27" s="3065" t="s">
        <v>1633</v>
      </c>
      <c r="BF27" s="3061">
        <f>4366.21+3828</f>
        <v>8194.2099999999991</v>
      </c>
      <c r="BG27" s="3070"/>
      <c r="BH27" s="3083">
        <f t="shared" si="45"/>
        <v>8194.2099999999991</v>
      </c>
      <c r="BI27" s="3180">
        <f t="shared" si="26"/>
        <v>1.7975048402949978E-3</v>
      </c>
      <c r="BJ27" s="3065" t="s">
        <v>1908</v>
      </c>
      <c r="BK27" s="3061">
        <f>2460+2931+3120+460+876+8497</f>
        <v>18344</v>
      </c>
      <c r="BL27" s="3070"/>
      <c r="BM27" s="3083">
        <f t="shared" si="46"/>
        <v>18344</v>
      </c>
      <c r="BN27" s="3180">
        <f t="shared" si="27"/>
        <v>3.0233256293368494E-3</v>
      </c>
      <c r="BO27" s="3065" t="s">
        <v>1912</v>
      </c>
      <c r="BP27" s="3061">
        <f>630+7660.33</f>
        <v>8290.33</v>
      </c>
      <c r="BQ27" s="3070"/>
      <c r="BR27" s="3083">
        <f t="shared" si="47"/>
        <v>8290.33</v>
      </c>
      <c r="BS27" s="3180">
        <f t="shared" si="28"/>
        <v>3.3858573449376964E-3</v>
      </c>
      <c r="BT27" s="3065" t="s">
        <v>1766</v>
      </c>
      <c r="BU27" s="3061"/>
      <c r="BV27" s="3070"/>
      <c r="BW27" s="3083">
        <f t="shared" si="48"/>
        <v>0</v>
      </c>
      <c r="BX27" s="3180">
        <f t="shared" si="29"/>
        <v>0</v>
      </c>
      <c r="BY27" s="3065"/>
      <c r="BZ27" s="3061"/>
      <c r="CA27" s="3070"/>
      <c r="CB27" s="3083">
        <f t="shared" si="49"/>
        <v>0</v>
      </c>
      <c r="CC27" s="3180">
        <f t="shared" si="30"/>
        <v>0</v>
      </c>
      <c r="CD27" s="3065"/>
      <c r="CE27" s="3061"/>
      <c r="CF27" s="3070"/>
      <c r="CG27" s="3083">
        <f t="shared" si="50"/>
        <v>0</v>
      </c>
      <c r="CH27" s="3180">
        <f t="shared" si="31"/>
        <v>0</v>
      </c>
      <c r="CI27" s="3065"/>
      <c r="CJ27" s="3061"/>
      <c r="CK27" s="3070"/>
      <c r="CL27" s="3083">
        <f t="shared" si="51"/>
        <v>0</v>
      </c>
      <c r="CM27" s="3180">
        <f t="shared" si="32"/>
        <v>0</v>
      </c>
      <c r="CN27" s="3065"/>
      <c r="CO27" s="2059">
        <f t="shared" si="33"/>
        <v>81046.509999999995</v>
      </c>
      <c r="CP27" s="2059">
        <f t="shared" si="34"/>
        <v>2800</v>
      </c>
      <c r="CQ27" s="2061">
        <f t="shared" si="35"/>
        <v>83846.509999999995</v>
      </c>
      <c r="CR27" s="2809">
        <f t="shared" si="21"/>
        <v>8.9112618868197825E-4</v>
      </c>
      <c r="CS27" s="1449"/>
      <c r="CT27" s="919"/>
      <c r="CU27" s="1579"/>
      <c r="CV27" s="1579"/>
      <c r="CW27" s="1579"/>
      <c r="CX27" s="1579"/>
      <c r="CY27" s="1579"/>
      <c r="CZ27" s="1579"/>
      <c r="DA27" s="1579"/>
      <c r="DB27" s="1579"/>
      <c r="DC27" s="1579"/>
      <c r="DD27" s="1579"/>
      <c r="DE27" s="1579"/>
      <c r="DF27" s="1579"/>
      <c r="DG27" s="1579"/>
      <c r="DH27" s="1579"/>
      <c r="DI27" s="1579"/>
      <c r="DJ27" s="1579"/>
      <c r="DK27" s="1579"/>
      <c r="DL27" s="1579"/>
      <c r="DM27" s="1579"/>
      <c r="DN27" s="1579"/>
      <c r="DO27" s="1579"/>
      <c r="DP27" s="1579"/>
      <c r="DQ27" s="1579"/>
      <c r="DR27" s="1579"/>
      <c r="DS27" s="1579"/>
      <c r="DT27" s="1579"/>
      <c r="DU27" s="1579"/>
      <c r="DV27" s="1579"/>
      <c r="DW27" s="1579"/>
      <c r="DX27" s="1579"/>
      <c r="DY27" s="1579"/>
      <c r="DZ27" s="1579"/>
      <c r="EA27" s="1579"/>
      <c r="EB27" s="1579"/>
      <c r="EC27" s="1579"/>
      <c r="ED27" s="1579"/>
      <c r="EE27" s="1579"/>
      <c r="EF27" s="1579"/>
      <c r="EG27" s="1579"/>
      <c r="EH27" s="1579"/>
      <c r="EI27" s="1579"/>
      <c r="EJ27" s="1579"/>
      <c r="EK27" s="1579"/>
      <c r="EL27" s="1579"/>
      <c r="EM27" s="1579"/>
      <c r="EN27" s="1579"/>
      <c r="EO27" s="1579"/>
      <c r="EP27" s="1579"/>
      <c r="EQ27" s="1579"/>
      <c r="ER27" s="1579"/>
      <c r="ES27" s="1579"/>
      <c r="ET27" s="1579"/>
      <c r="EU27" s="1579"/>
      <c r="EV27" s="1579"/>
      <c r="EW27" s="1579"/>
      <c r="EX27" s="1579"/>
      <c r="EY27" s="1579"/>
      <c r="EZ27" s="1579"/>
      <c r="FA27" s="1579"/>
      <c r="FB27" s="1579"/>
      <c r="FC27" s="1579"/>
      <c r="FD27" s="1579"/>
      <c r="FE27" s="1579"/>
      <c r="FF27" s="1579"/>
      <c r="FG27" s="1579"/>
      <c r="FH27" s="1579"/>
      <c r="FI27" s="1579"/>
      <c r="FJ27" s="1579"/>
      <c r="FK27" s="1579"/>
      <c r="FL27" s="1579"/>
      <c r="FM27" s="1579"/>
      <c r="FN27" s="1579"/>
      <c r="FO27" s="1579"/>
      <c r="FP27" s="1579"/>
      <c r="FQ27" s="1579"/>
      <c r="FR27" s="1579"/>
      <c r="FS27" s="1579"/>
      <c r="FT27" s="1579"/>
      <c r="FU27" s="1579"/>
      <c r="FV27" s="1579"/>
    </row>
    <row r="28" spans="1:178" s="1411" customFormat="1" ht="33.6" customHeight="1" x14ac:dyDescent="0.25">
      <c r="A28" s="1587"/>
      <c r="B28" s="3106" t="s">
        <v>52</v>
      </c>
      <c r="C28" s="2696"/>
      <c r="D28" s="2811"/>
      <c r="E28" s="3102">
        <f t="shared" si="22"/>
        <v>0</v>
      </c>
      <c r="F28" s="1992" t="e">
        <f t="shared" si="12"/>
        <v>#DIV/0!</v>
      </c>
      <c r="G28" s="1995">
        <v>28700.05</v>
      </c>
      <c r="H28" s="2067">
        <v>8382.4600000000009</v>
      </c>
      <c r="I28" s="1998">
        <f t="shared" si="36"/>
        <v>37082.51</v>
      </c>
      <c r="J28" s="3024">
        <f t="shared" si="23"/>
        <v>6.7733248921138548E-4</v>
      </c>
      <c r="K28" s="2062"/>
      <c r="L28" s="2062"/>
      <c r="M28" s="3060">
        <f>472+660+4400+4418.36</f>
        <v>9950.36</v>
      </c>
      <c r="N28" s="3061">
        <v>3206</v>
      </c>
      <c r="O28" s="3062">
        <f t="shared" si="37"/>
        <v>13156.36</v>
      </c>
      <c r="P28" s="3063">
        <f t="shared" si="13"/>
        <v>1.8917336610090646E-3</v>
      </c>
      <c r="Q28" s="3065" t="s">
        <v>1854</v>
      </c>
      <c r="R28" s="3073">
        <f>94+250+4400+16158+792+1000</f>
        <v>22694</v>
      </c>
      <c r="S28" s="3061">
        <v>2539.8000000000002</v>
      </c>
      <c r="T28" s="3068">
        <f t="shared" si="38"/>
        <v>25233.8</v>
      </c>
      <c r="U28" s="3180">
        <f t="shared" si="14"/>
        <v>3.6283310015209776E-3</v>
      </c>
      <c r="V28" s="3065" t="s">
        <v>1882</v>
      </c>
      <c r="W28" s="3061">
        <f>1900+4400+250</f>
        <v>6550</v>
      </c>
      <c r="X28" s="3070"/>
      <c r="Y28" s="3083">
        <f t="shared" si="39"/>
        <v>6550</v>
      </c>
      <c r="Z28" s="3180">
        <f t="shared" si="15"/>
        <v>9.4181486973671843E-4</v>
      </c>
      <c r="AA28" s="3065" t="s">
        <v>1859</v>
      </c>
      <c r="AB28" s="3061">
        <f>4000+3000+1900+250+4400</f>
        <v>13550</v>
      </c>
      <c r="AC28" s="3070">
        <v>1899.75</v>
      </c>
      <c r="AD28" s="3086">
        <f t="shared" si="40"/>
        <v>15449.75</v>
      </c>
      <c r="AE28" s="3180">
        <f t="shared" si="16"/>
        <v>2.2214968372083763E-3</v>
      </c>
      <c r="AF28" s="3065" t="s">
        <v>1890</v>
      </c>
      <c r="AG28" s="3061">
        <f>1889.69+250+4400+1500</f>
        <v>8039.6900000000005</v>
      </c>
      <c r="AH28" s="3070">
        <f>249.92+300+76.99+110</f>
        <v>736.91</v>
      </c>
      <c r="AI28" s="3083">
        <f t="shared" si="41"/>
        <v>8776.6</v>
      </c>
      <c r="AJ28" s="3180">
        <f t="shared" si="17"/>
        <v>1.2619744100353103E-3</v>
      </c>
      <c r="AK28" s="3065" t="s">
        <v>1896</v>
      </c>
      <c r="AL28" s="3061">
        <f>1900+250+4400+792</f>
        <v>7342</v>
      </c>
      <c r="AM28" s="3070">
        <v>80</v>
      </c>
      <c r="AN28" s="3083">
        <f t="shared" si="24"/>
        <v>7422</v>
      </c>
      <c r="AO28" s="3180">
        <f t="shared" si="25"/>
        <v>1.1575147897576723E-3</v>
      </c>
      <c r="AP28" s="3065" t="s">
        <v>1899</v>
      </c>
      <c r="AQ28" s="3061">
        <f>2599.26+3520+250</f>
        <v>6369.26</v>
      </c>
      <c r="AR28" s="3070"/>
      <c r="AS28" s="3083">
        <f t="shared" si="42"/>
        <v>6369.26</v>
      </c>
      <c r="AT28" s="3180">
        <f t="shared" si="18"/>
        <v>9.1582653087317421E-4</v>
      </c>
      <c r="AU28" s="3065" t="s">
        <v>1902</v>
      </c>
      <c r="AV28" s="3061">
        <f>792+250+1417.23</f>
        <v>2459.23</v>
      </c>
      <c r="AW28" s="3070"/>
      <c r="AX28" s="3083">
        <f t="shared" si="43"/>
        <v>2459.23</v>
      </c>
      <c r="AY28" s="3180">
        <f t="shared" si="19"/>
        <v>8.48151548606991E-4</v>
      </c>
      <c r="AZ28" s="3065" t="s">
        <v>1905</v>
      </c>
      <c r="BA28" s="3061">
        <f>20621.36-BA63</f>
        <v>8235.82</v>
      </c>
      <c r="BB28" s="3070"/>
      <c r="BC28" s="3083">
        <f t="shared" si="44"/>
        <v>8235.82</v>
      </c>
      <c r="BD28" s="3180">
        <f t="shared" si="20"/>
        <v>2.3492205427081514E-3</v>
      </c>
      <c r="BE28" s="3065" t="s">
        <v>1634</v>
      </c>
      <c r="BF28" s="3061">
        <f>792+2200+4724.22+1900+500</f>
        <v>10116.220000000001</v>
      </c>
      <c r="BG28" s="3070"/>
      <c r="BH28" s="3083">
        <f t="shared" si="45"/>
        <v>10116.220000000001</v>
      </c>
      <c r="BI28" s="3180">
        <f t="shared" si="26"/>
        <v>2.2191223333901701E-3</v>
      </c>
      <c r="BJ28" s="3065" t="s">
        <v>1909</v>
      </c>
      <c r="BK28" s="3061">
        <f>9910.78+2200</f>
        <v>12110.78</v>
      </c>
      <c r="BL28" s="3070"/>
      <c r="BM28" s="3083">
        <f t="shared" si="46"/>
        <v>12110.78</v>
      </c>
      <c r="BN28" s="3180">
        <f t="shared" si="27"/>
        <v>1.9960113151580969E-3</v>
      </c>
      <c r="BO28" s="3065" t="s">
        <v>1713</v>
      </c>
      <c r="BP28" s="3061">
        <f>1490.31+1417.27*2+250*2</f>
        <v>4824.8500000000004</v>
      </c>
      <c r="BQ28" s="3070"/>
      <c r="BR28" s="3083">
        <f t="shared" si="47"/>
        <v>4824.8500000000004</v>
      </c>
      <c r="BS28" s="3180">
        <f t="shared" si="28"/>
        <v>1.9705191241751107E-3</v>
      </c>
      <c r="BT28" s="3065" t="s">
        <v>1913</v>
      </c>
      <c r="BU28" s="3061">
        <f>6600*1.2</f>
        <v>7920</v>
      </c>
      <c r="BV28" s="3070"/>
      <c r="BW28" s="3083">
        <f t="shared" si="48"/>
        <v>7920</v>
      </c>
      <c r="BX28" s="3180">
        <f t="shared" si="29"/>
        <v>1.4671766137857188E-2</v>
      </c>
      <c r="BY28" s="3065" t="s">
        <v>1919</v>
      </c>
      <c r="BZ28" s="3061"/>
      <c r="CA28" s="3070"/>
      <c r="CB28" s="3083">
        <f t="shared" si="49"/>
        <v>0</v>
      </c>
      <c r="CC28" s="3180">
        <f t="shared" si="30"/>
        <v>0</v>
      </c>
      <c r="CD28" s="3065"/>
      <c r="CE28" s="3061"/>
      <c r="CF28" s="3070"/>
      <c r="CG28" s="3083">
        <f t="shared" si="50"/>
        <v>0</v>
      </c>
      <c r="CH28" s="3180">
        <f t="shared" si="31"/>
        <v>0</v>
      </c>
      <c r="CI28" s="3065"/>
      <c r="CJ28" s="3061"/>
      <c r="CK28" s="3070"/>
      <c r="CL28" s="3083">
        <f t="shared" si="51"/>
        <v>0</v>
      </c>
      <c r="CM28" s="3180">
        <f t="shared" si="32"/>
        <v>0</v>
      </c>
      <c r="CN28" s="3065"/>
      <c r="CO28" s="2059">
        <f t="shared" si="33"/>
        <v>120162.20999999999</v>
      </c>
      <c r="CP28" s="2059">
        <f t="shared" si="34"/>
        <v>8462.4600000000009</v>
      </c>
      <c r="CQ28" s="2061">
        <f>CO28+CP28*1</f>
        <v>128624.67</v>
      </c>
      <c r="CR28" s="2809">
        <f t="shared" si="21"/>
        <v>1.3670313999661666E-3</v>
      </c>
      <c r="CS28" s="1449"/>
      <c r="CT28" s="919"/>
      <c r="CU28" s="1579"/>
      <c r="CV28" s="1579"/>
      <c r="CW28" s="1579"/>
      <c r="CX28" s="1579"/>
      <c r="CY28" s="1579"/>
      <c r="CZ28" s="1579"/>
      <c r="DA28" s="1579"/>
      <c r="DB28" s="1579"/>
      <c r="DC28" s="1579"/>
      <c r="DD28" s="1579"/>
      <c r="DE28" s="1579"/>
      <c r="DF28" s="1579"/>
      <c r="DG28" s="1579"/>
      <c r="DH28" s="1579"/>
      <c r="DI28" s="1579"/>
      <c r="DJ28" s="1579"/>
      <c r="DK28" s="1579"/>
      <c r="DL28" s="1579"/>
      <c r="DM28" s="1579"/>
      <c r="DN28" s="1579"/>
      <c r="DO28" s="1579"/>
      <c r="DP28" s="1579"/>
      <c r="DQ28" s="1579"/>
      <c r="DR28" s="1579"/>
      <c r="DS28" s="1579"/>
      <c r="DT28" s="1579"/>
      <c r="DU28" s="1579"/>
      <c r="DV28" s="1579"/>
      <c r="DW28" s="1579"/>
      <c r="DX28" s="1579"/>
      <c r="DY28" s="1579"/>
      <c r="DZ28" s="1579"/>
      <c r="EA28" s="1579"/>
      <c r="EB28" s="1579"/>
      <c r="EC28" s="1579"/>
      <c r="ED28" s="1579"/>
      <c r="EE28" s="1579"/>
      <c r="EF28" s="1579"/>
      <c r="EG28" s="1579"/>
      <c r="EH28" s="1579"/>
      <c r="EI28" s="1579"/>
      <c r="EJ28" s="1579"/>
      <c r="EK28" s="1579"/>
      <c r="EL28" s="1579"/>
      <c r="EM28" s="1579"/>
      <c r="EN28" s="1579"/>
      <c r="EO28" s="1579"/>
      <c r="EP28" s="1579"/>
      <c r="EQ28" s="1579"/>
      <c r="ER28" s="1579"/>
      <c r="ES28" s="1579"/>
      <c r="ET28" s="1579"/>
      <c r="EU28" s="1579"/>
      <c r="EV28" s="1579"/>
      <c r="EW28" s="1579"/>
      <c r="EX28" s="1579"/>
      <c r="EY28" s="1579"/>
      <c r="EZ28" s="1579"/>
      <c r="FA28" s="1579"/>
      <c r="FB28" s="1579"/>
      <c r="FC28" s="1579"/>
      <c r="FD28" s="1579"/>
      <c r="FE28" s="1579"/>
      <c r="FF28" s="1579"/>
      <c r="FG28" s="1579"/>
      <c r="FH28" s="1579"/>
      <c r="FI28" s="1579"/>
      <c r="FJ28" s="1579"/>
      <c r="FK28" s="1579"/>
      <c r="FL28" s="1579"/>
      <c r="FM28" s="1579"/>
      <c r="FN28" s="1579"/>
      <c r="FO28" s="1579"/>
      <c r="FP28" s="1579"/>
      <c r="FQ28" s="1579"/>
      <c r="FR28" s="1579"/>
      <c r="FS28" s="1579"/>
      <c r="FT28" s="1579"/>
      <c r="FU28" s="1579"/>
      <c r="FV28" s="1579"/>
    </row>
    <row r="29" spans="1:178" s="1411" customFormat="1" ht="33.6" customHeight="1" x14ac:dyDescent="0.25">
      <c r="A29" s="1587"/>
      <c r="B29" s="3106" t="s">
        <v>31</v>
      </c>
      <c r="C29" s="2696"/>
      <c r="D29" s="2811"/>
      <c r="E29" s="3102">
        <f t="shared" si="22"/>
        <v>0</v>
      </c>
      <c r="F29" s="2809" t="e">
        <f t="shared" si="12"/>
        <v>#DIV/0!</v>
      </c>
      <c r="G29" s="1995">
        <v>121355.4</v>
      </c>
      <c r="H29" s="2067">
        <v>7210.6900000000005</v>
      </c>
      <c r="I29" s="1998">
        <f t="shared" si="36"/>
        <v>128566.09</v>
      </c>
      <c r="J29" s="3024">
        <f t="shared" si="23"/>
        <v>2.3483305139774791E-3</v>
      </c>
      <c r="K29" s="2062"/>
      <c r="L29" s="2062"/>
      <c r="M29" s="3060">
        <v>13260</v>
      </c>
      <c r="N29" s="3061"/>
      <c r="O29" s="3062">
        <f t="shared" si="37"/>
        <v>13260</v>
      </c>
      <c r="P29" s="3063">
        <f t="shared" si="13"/>
        <v>1.9066359042303643E-3</v>
      </c>
      <c r="Q29" s="3065" t="s">
        <v>1817</v>
      </c>
      <c r="R29" s="3073">
        <v>12120</v>
      </c>
      <c r="S29" s="3061"/>
      <c r="T29" s="3068">
        <f t="shared" si="38"/>
        <v>12120</v>
      </c>
      <c r="U29" s="3180">
        <f t="shared" si="14"/>
        <v>1.7427169803372561E-3</v>
      </c>
      <c r="V29" s="3065" t="s">
        <v>1818</v>
      </c>
      <c r="W29" s="3061">
        <v>18732</v>
      </c>
      <c r="X29" s="3070"/>
      <c r="Y29" s="3083">
        <f t="shared" si="39"/>
        <v>18732</v>
      </c>
      <c r="Z29" s="3180">
        <f t="shared" si="15"/>
        <v>2.6934467389172836E-3</v>
      </c>
      <c r="AA29" s="3065"/>
      <c r="AB29" s="3061">
        <v>19932</v>
      </c>
      <c r="AC29" s="3070"/>
      <c r="AD29" s="3086">
        <f t="shared" si="40"/>
        <v>19932</v>
      </c>
      <c r="AE29" s="3180">
        <f t="shared" si="16"/>
        <v>2.8659929745942399E-3</v>
      </c>
      <c r="AF29" s="3065" t="s">
        <v>1889</v>
      </c>
      <c r="AG29" s="3061">
        <v>11310</v>
      </c>
      <c r="AH29" s="3070">
        <f>240+250+5320+545.69+855</f>
        <v>7210.6900000000005</v>
      </c>
      <c r="AI29" s="3083">
        <f t="shared" si="41"/>
        <v>18520.690000000002</v>
      </c>
      <c r="AJ29" s="3180">
        <f t="shared" si="17"/>
        <v>2.6630627846998696E-3</v>
      </c>
      <c r="AK29" s="3065" t="s">
        <v>1819</v>
      </c>
      <c r="AL29" s="3061">
        <f>910+3640+2990</f>
        <v>7540</v>
      </c>
      <c r="AM29" s="3070">
        <v>6426.73</v>
      </c>
      <c r="AN29" s="3083">
        <f t="shared" si="24"/>
        <v>13966.73</v>
      </c>
      <c r="AO29" s="3180">
        <f t="shared" si="25"/>
        <v>2.1782129533215E-3</v>
      </c>
      <c r="AP29" s="3065" t="s">
        <v>1562</v>
      </c>
      <c r="AQ29" s="3061">
        <v>6890</v>
      </c>
      <c r="AR29" s="3070"/>
      <c r="AS29" s="3083">
        <f t="shared" si="42"/>
        <v>6890</v>
      </c>
      <c r="AT29" s="3180">
        <f t="shared" si="18"/>
        <v>9.9070296984518917E-4</v>
      </c>
      <c r="AU29" s="3065" t="s">
        <v>1585</v>
      </c>
      <c r="AV29" s="3061">
        <f>3900+3120</f>
        <v>7020</v>
      </c>
      <c r="AW29" s="3070"/>
      <c r="AX29" s="3083">
        <f t="shared" si="43"/>
        <v>7020</v>
      </c>
      <c r="AY29" s="3180">
        <f t="shared" si="19"/>
        <v>2.4210927287082041E-3</v>
      </c>
      <c r="AZ29" s="3065" t="s">
        <v>1623</v>
      </c>
      <c r="BA29" s="3061">
        <f>3640+910+3640</f>
        <v>8190</v>
      </c>
      <c r="BB29" s="3070"/>
      <c r="BC29" s="3083">
        <f t="shared" si="44"/>
        <v>8190</v>
      </c>
      <c r="BD29" s="3180">
        <f t="shared" si="20"/>
        <v>2.3361506498174754E-3</v>
      </c>
      <c r="BE29" s="3065" t="s">
        <v>1635</v>
      </c>
      <c r="BF29" s="3061">
        <f>3380+3250+4550</f>
        <v>11180</v>
      </c>
      <c r="BG29" s="3070"/>
      <c r="BH29" s="3083">
        <f t="shared" si="45"/>
        <v>11180</v>
      </c>
      <c r="BI29" s="3180">
        <f t="shared" si="26"/>
        <v>2.4524760915937078E-3</v>
      </c>
      <c r="BJ29" s="3065" t="s">
        <v>1676</v>
      </c>
      <c r="BK29" s="3061">
        <v>8060</v>
      </c>
      <c r="BL29" s="3070"/>
      <c r="BM29" s="3083">
        <f t="shared" si="46"/>
        <v>8060</v>
      </c>
      <c r="BN29" s="3180">
        <f t="shared" si="27"/>
        <v>1.3283910037317382E-3</v>
      </c>
      <c r="BO29" s="3065" t="s">
        <v>1629</v>
      </c>
      <c r="BP29" s="3061">
        <v>1170</v>
      </c>
      <c r="BQ29" s="3070"/>
      <c r="BR29" s="3083">
        <f t="shared" si="47"/>
        <v>1170</v>
      </c>
      <c r="BS29" s="3180">
        <f t="shared" si="28"/>
        <v>4.7784021788965033E-4</v>
      </c>
      <c r="BT29" s="3065" t="s">
        <v>1767</v>
      </c>
      <c r="BU29" s="3061"/>
      <c r="BV29" s="3070"/>
      <c r="BW29" s="3083">
        <f t="shared" si="48"/>
        <v>0</v>
      </c>
      <c r="BX29" s="3180">
        <f t="shared" si="29"/>
        <v>0</v>
      </c>
      <c r="BY29" s="3065"/>
      <c r="BZ29" s="3061"/>
      <c r="CA29" s="3070"/>
      <c r="CB29" s="3083">
        <f t="shared" si="49"/>
        <v>0</v>
      </c>
      <c r="CC29" s="3180">
        <f t="shared" si="30"/>
        <v>0</v>
      </c>
      <c r="CD29" s="3065"/>
      <c r="CE29" s="3061"/>
      <c r="CF29" s="3070"/>
      <c r="CG29" s="3083">
        <f t="shared" si="50"/>
        <v>0</v>
      </c>
      <c r="CH29" s="3180">
        <f t="shared" si="31"/>
        <v>0</v>
      </c>
      <c r="CI29" s="3065"/>
      <c r="CJ29" s="3061"/>
      <c r="CK29" s="3070"/>
      <c r="CL29" s="3083">
        <f t="shared" si="51"/>
        <v>0</v>
      </c>
      <c r="CM29" s="3180">
        <f t="shared" si="32"/>
        <v>0</v>
      </c>
      <c r="CN29" s="3065"/>
      <c r="CO29" s="2059">
        <f t="shared" si="33"/>
        <v>125404</v>
      </c>
      <c r="CP29" s="2059">
        <f t="shared" si="34"/>
        <v>13637.42</v>
      </c>
      <c r="CQ29" s="3100">
        <f t="shared" si="35"/>
        <v>139041.42000000001</v>
      </c>
      <c r="CR29" s="2809">
        <f t="shared" si="21"/>
        <v>1.477741299829059E-3</v>
      </c>
      <c r="CS29" s="2813"/>
      <c r="CT29" s="919"/>
      <c r="CU29" s="1579"/>
      <c r="CV29" s="1579"/>
      <c r="CW29" s="1579"/>
      <c r="CX29" s="1579"/>
      <c r="CY29" s="1579"/>
      <c r="CZ29" s="1579"/>
      <c r="DA29" s="1579"/>
      <c r="DB29" s="1579"/>
      <c r="DC29" s="1579"/>
      <c r="DD29" s="1579"/>
      <c r="DE29" s="1579"/>
      <c r="DF29" s="1579"/>
      <c r="DG29" s="1579"/>
      <c r="DH29" s="1579"/>
      <c r="DI29" s="1579"/>
      <c r="DJ29" s="1579"/>
      <c r="DK29" s="1579"/>
      <c r="DL29" s="1579"/>
      <c r="DM29" s="1579"/>
      <c r="DN29" s="1579"/>
      <c r="DO29" s="1579"/>
      <c r="DP29" s="1579"/>
      <c r="DQ29" s="1579"/>
      <c r="DR29" s="1579"/>
      <c r="DS29" s="1579"/>
      <c r="DT29" s="1579"/>
      <c r="DU29" s="1579"/>
      <c r="DV29" s="1579"/>
      <c r="DW29" s="1579"/>
      <c r="DX29" s="1579"/>
      <c r="DY29" s="1579"/>
      <c r="DZ29" s="1579"/>
      <c r="EA29" s="1579"/>
      <c r="EB29" s="1579"/>
      <c r="EC29" s="1579"/>
      <c r="ED29" s="1579"/>
      <c r="EE29" s="1579"/>
      <c r="EF29" s="1579"/>
      <c r="EG29" s="1579"/>
      <c r="EH29" s="1579"/>
      <c r="EI29" s="1579"/>
      <c r="EJ29" s="1579"/>
      <c r="EK29" s="1579"/>
      <c r="EL29" s="1579"/>
      <c r="EM29" s="1579"/>
      <c r="EN29" s="1579"/>
      <c r="EO29" s="1579"/>
      <c r="EP29" s="1579"/>
      <c r="EQ29" s="1579"/>
      <c r="ER29" s="1579"/>
      <c r="ES29" s="1579"/>
      <c r="ET29" s="1579"/>
      <c r="EU29" s="1579"/>
      <c r="EV29" s="1579"/>
      <c r="EW29" s="1579"/>
      <c r="EX29" s="1579"/>
      <c r="EY29" s="1579"/>
      <c r="EZ29" s="1579"/>
      <c r="FA29" s="1579"/>
      <c r="FB29" s="1579"/>
      <c r="FC29" s="1579"/>
      <c r="FD29" s="1579"/>
      <c r="FE29" s="1579"/>
      <c r="FF29" s="1579"/>
      <c r="FG29" s="1579"/>
      <c r="FH29" s="1579"/>
      <c r="FI29" s="1579"/>
      <c r="FJ29" s="1579"/>
      <c r="FK29" s="1579"/>
      <c r="FL29" s="1579"/>
      <c r="FM29" s="1579"/>
      <c r="FN29" s="1579"/>
      <c r="FO29" s="1579"/>
      <c r="FP29" s="1579"/>
      <c r="FQ29" s="1579"/>
      <c r="FR29" s="1579"/>
      <c r="FS29" s="1579"/>
      <c r="FT29" s="1579"/>
      <c r="FU29" s="1579"/>
      <c r="FV29" s="1579"/>
    </row>
    <row r="30" spans="1:178" s="1411" customFormat="1" ht="33.6" customHeight="1" x14ac:dyDescent="0.25">
      <c r="A30" s="1587"/>
      <c r="B30" s="3106" t="s">
        <v>62</v>
      </c>
      <c r="C30" s="2696"/>
      <c r="D30" s="2811"/>
      <c r="E30" s="3102">
        <f t="shared" si="22"/>
        <v>0</v>
      </c>
      <c r="F30" s="2809" t="e">
        <f t="shared" si="12"/>
        <v>#DIV/0!</v>
      </c>
      <c r="G30" s="1995">
        <v>0</v>
      </c>
      <c r="H30" s="2067">
        <f>607560.31-1674.25</f>
        <v>605886.06000000006</v>
      </c>
      <c r="I30" s="1998">
        <f t="shared" si="36"/>
        <v>605886.06000000006</v>
      </c>
      <c r="J30" s="3024">
        <f t="shared" si="23"/>
        <v>1.1066842918623332E-2</v>
      </c>
      <c r="K30" s="2062"/>
      <c r="L30" s="2062"/>
      <c r="M30" s="1995"/>
      <c r="N30" s="3061">
        <v>201166.25</v>
      </c>
      <c r="O30" s="3062">
        <f t="shared" si="37"/>
        <v>201166.25</v>
      </c>
      <c r="P30" s="3063">
        <f t="shared" si="13"/>
        <v>2.8925399318957882E-2</v>
      </c>
      <c r="Q30" s="3065" t="s">
        <v>1820</v>
      </c>
      <c r="R30" s="3073"/>
      <c r="S30" s="3061">
        <v>110205</v>
      </c>
      <c r="T30" s="3068">
        <f t="shared" si="38"/>
        <v>110205</v>
      </c>
      <c r="U30" s="3180">
        <f t="shared" si="14"/>
        <v>1.584621491898245E-2</v>
      </c>
      <c r="V30" s="3065" t="s">
        <v>1821</v>
      </c>
      <c r="W30" s="3061"/>
      <c r="X30" s="3070">
        <v>94560</v>
      </c>
      <c r="Y30" s="3083">
        <f t="shared" si="39"/>
        <v>94560</v>
      </c>
      <c r="Z30" s="3180">
        <f t="shared" si="15"/>
        <v>1.3596643371344136E-2</v>
      </c>
      <c r="AA30" s="3065" t="s">
        <v>1822</v>
      </c>
      <c r="AB30" s="3061"/>
      <c r="AC30" s="3070">
        <v>95345</v>
      </c>
      <c r="AD30" s="3086">
        <f t="shared" si="40"/>
        <v>95345</v>
      </c>
      <c r="AE30" s="3180">
        <f t="shared" si="16"/>
        <v>1.3709517367182811E-2</v>
      </c>
      <c r="AF30" s="3065" t="s">
        <v>1823</v>
      </c>
      <c r="AG30" s="3061"/>
      <c r="AH30" s="3070">
        <f>25000+16000+9000+14000+12000+1500+10000+18784.06</f>
        <v>106284.06</v>
      </c>
      <c r="AI30" s="3083">
        <f t="shared" si="41"/>
        <v>106284.06</v>
      </c>
      <c r="AJ30" s="3180">
        <f t="shared" si="17"/>
        <v>1.5282428721219781E-2</v>
      </c>
      <c r="AK30" s="3065" t="s">
        <v>1824</v>
      </c>
      <c r="AL30" s="3061"/>
      <c r="AM30" s="3070">
        <f>82000+17094.02</f>
        <v>99094.02</v>
      </c>
      <c r="AN30" s="3083">
        <f t="shared" si="24"/>
        <v>99094.02</v>
      </c>
      <c r="AO30" s="3180">
        <f t="shared" si="25"/>
        <v>1.545443192219652E-2</v>
      </c>
      <c r="AP30" s="3065" t="s">
        <v>1563</v>
      </c>
      <c r="AQ30" s="3061"/>
      <c r="AR30" s="3070">
        <f>63000+17741.46-1674.25</f>
        <v>79067.209999999992</v>
      </c>
      <c r="AS30" s="3083">
        <f t="shared" si="42"/>
        <v>79067.209999999992</v>
      </c>
      <c r="AT30" s="3180">
        <f t="shared" si="18"/>
        <v>1.1368957875816144E-2</v>
      </c>
      <c r="AU30" s="3065" t="s">
        <v>1586</v>
      </c>
      <c r="AV30" s="3061"/>
      <c r="AW30" s="3070">
        <f>61000+18029.46</f>
        <v>79029.459999999992</v>
      </c>
      <c r="AX30" s="3083">
        <f t="shared" si="43"/>
        <v>79029.459999999992</v>
      </c>
      <c r="AY30" s="3180">
        <f t="shared" si="19"/>
        <v>2.7256075635290009E-2</v>
      </c>
      <c r="AZ30" s="3065" t="s">
        <v>1624</v>
      </c>
      <c r="BA30" s="2067"/>
      <c r="BB30" s="3070">
        <f>54000+8365.7</f>
        <v>62365.7</v>
      </c>
      <c r="BC30" s="3083">
        <f t="shared" si="44"/>
        <v>62365.7</v>
      </c>
      <c r="BD30" s="3180">
        <f t="shared" si="20"/>
        <v>1.778945916743855E-2</v>
      </c>
      <c r="BE30" s="3065" t="s">
        <v>1636</v>
      </c>
      <c r="BF30" s="3061"/>
      <c r="BG30" s="3070">
        <f>61370.61</f>
        <v>61370.61</v>
      </c>
      <c r="BH30" s="3083">
        <f t="shared" si="45"/>
        <v>61370.61</v>
      </c>
      <c r="BI30" s="3180">
        <f t="shared" si="26"/>
        <v>1.3462428779205879E-2</v>
      </c>
      <c r="BJ30" s="3065" t="s">
        <v>1677</v>
      </c>
      <c r="BK30" s="3061"/>
      <c r="BL30" s="3070">
        <v>61238.35</v>
      </c>
      <c r="BM30" s="3083">
        <f t="shared" si="46"/>
        <v>61238.35</v>
      </c>
      <c r="BN30" s="3180">
        <f t="shared" si="27"/>
        <v>1.009286268280093E-2</v>
      </c>
      <c r="BO30" s="3065" t="s">
        <v>1705</v>
      </c>
      <c r="BP30" s="3061"/>
      <c r="BQ30" s="3061">
        <f>16000+8581.1</f>
        <v>24581.1</v>
      </c>
      <c r="BR30" s="3083">
        <f t="shared" si="47"/>
        <v>24581.1</v>
      </c>
      <c r="BS30" s="3180">
        <f t="shared" si="28"/>
        <v>1.0039177931595969E-2</v>
      </c>
      <c r="BT30" s="3065" t="s">
        <v>1784</v>
      </c>
      <c r="BU30" s="3061"/>
      <c r="BV30" s="3061">
        <v>10000</v>
      </c>
      <c r="BW30" s="3083">
        <f t="shared" si="48"/>
        <v>10000</v>
      </c>
      <c r="BX30" s="3180">
        <f t="shared" si="29"/>
        <v>1.8524957244769179E-2</v>
      </c>
      <c r="BY30" s="3065" t="s">
        <v>1920</v>
      </c>
      <c r="BZ30" s="3061"/>
      <c r="CA30" s="3061"/>
      <c r="CB30" s="3083">
        <f t="shared" si="49"/>
        <v>0</v>
      </c>
      <c r="CC30" s="3180">
        <f t="shared" si="30"/>
        <v>0</v>
      </c>
      <c r="CD30" s="3065"/>
      <c r="CE30" s="3061"/>
      <c r="CF30" s="3061"/>
      <c r="CG30" s="3083">
        <f t="shared" si="50"/>
        <v>0</v>
      </c>
      <c r="CH30" s="3180">
        <f t="shared" si="31"/>
        <v>0</v>
      </c>
      <c r="CI30" s="3065"/>
      <c r="CJ30" s="3061"/>
      <c r="CK30" s="3061"/>
      <c r="CL30" s="3083">
        <f t="shared" si="51"/>
        <v>0</v>
      </c>
      <c r="CM30" s="3180">
        <f t="shared" si="32"/>
        <v>0</v>
      </c>
      <c r="CN30" s="3065"/>
      <c r="CO30" s="2059">
        <f t="shared" si="33"/>
        <v>0</v>
      </c>
      <c r="CP30" s="2059">
        <f t="shared" si="34"/>
        <v>1084306.76</v>
      </c>
      <c r="CQ30" s="3100">
        <f t="shared" si="35"/>
        <v>1084306.76</v>
      </c>
      <c r="CR30" s="2809">
        <f t="shared" si="21"/>
        <v>1.1524083118079745E-2</v>
      </c>
      <c r="CS30" s="2813"/>
      <c r="CT30" s="919"/>
      <c r="CU30" s="1579"/>
      <c r="CV30" s="1579"/>
      <c r="CW30" s="1579"/>
      <c r="CX30" s="1579"/>
      <c r="CY30" s="1579"/>
      <c r="CZ30" s="1579"/>
      <c r="DA30" s="1579"/>
      <c r="DB30" s="1579"/>
      <c r="DC30" s="1579"/>
      <c r="DD30" s="1579"/>
      <c r="DE30" s="1579"/>
      <c r="DF30" s="1579"/>
      <c r="DG30" s="1579"/>
      <c r="DH30" s="1579"/>
      <c r="DI30" s="1579"/>
      <c r="DJ30" s="1579"/>
      <c r="DK30" s="1579"/>
      <c r="DL30" s="1579"/>
      <c r="DM30" s="1579"/>
      <c r="DN30" s="1579"/>
      <c r="DO30" s="1579"/>
      <c r="DP30" s="1579"/>
      <c r="DQ30" s="1579"/>
      <c r="DR30" s="1579"/>
      <c r="DS30" s="1579"/>
      <c r="DT30" s="1579"/>
      <c r="DU30" s="1579"/>
      <c r="DV30" s="1579"/>
      <c r="DW30" s="1579"/>
      <c r="DX30" s="1579"/>
      <c r="DY30" s="1579"/>
      <c r="DZ30" s="1579"/>
      <c r="EA30" s="1579"/>
      <c r="EB30" s="1579"/>
      <c r="EC30" s="1579"/>
      <c r="ED30" s="1579"/>
      <c r="EE30" s="1579"/>
      <c r="EF30" s="1579"/>
      <c r="EG30" s="1579"/>
      <c r="EH30" s="1579"/>
      <c r="EI30" s="1579"/>
      <c r="EJ30" s="1579"/>
      <c r="EK30" s="1579"/>
      <c r="EL30" s="1579"/>
      <c r="EM30" s="1579"/>
      <c r="EN30" s="1579"/>
      <c r="EO30" s="1579"/>
      <c r="EP30" s="1579"/>
      <c r="EQ30" s="1579"/>
      <c r="ER30" s="1579"/>
      <c r="ES30" s="1579"/>
      <c r="ET30" s="1579"/>
      <c r="EU30" s="1579"/>
      <c r="EV30" s="1579"/>
      <c r="EW30" s="1579"/>
      <c r="EX30" s="1579"/>
      <c r="EY30" s="1579"/>
      <c r="EZ30" s="1579"/>
      <c r="FA30" s="1579"/>
      <c r="FB30" s="1579"/>
      <c r="FC30" s="1579"/>
      <c r="FD30" s="1579"/>
      <c r="FE30" s="1579"/>
      <c r="FF30" s="1579"/>
      <c r="FG30" s="1579"/>
      <c r="FH30" s="1579"/>
      <c r="FI30" s="1579"/>
      <c r="FJ30" s="1579"/>
      <c r="FK30" s="1579"/>
      <c r="FL30" s="1579"/>
      <c r="FM30" s="1579"/>
      <c r="FN30" s="1579"/>
      <c r="FO30" s="1579"/>
      <c r="FP30" s="1579"/>
      <c r="FQ30" s="1579"/>
      <c r="FR30" s="1579"/>
      <c r="FS30" s="1579"/>
      <c r="FT30" s="1579"/>
      <c r="FU30" s="1579"/>
      <c r="FV30" s="1579"/>
    </row>
    <row r="31" spans="1:178" s="1411" customFormat="1" ht="54.6" customHeight="1" x14ac:dyDescent="0.25">
      <c r="A31" s="1587"/>
      <c r="B31" s="3106" t="s">
        <v>34</v>
      </c>
      <c r="C31" s="2696"/>
      <c r="D31" s="2811"/>
      <c r="E31" s="3102">
        <f t="shared" si="22"/>
        <v>0</v>
      </c>
      <c r="F31" s="2809" t="e">
        <f t="shared" si="12"/>
        <v>#DIV/0!</v>
      </c>
      <c r="G31" s="1995">
        <v>3696.31</v>
      </c>
      <c r="H31" s="2067">
        <v>18307</v>
      </c>
      <c r="I31" s="1998">
        <f t="shared" si="36"/>
        <v>22003.31</v>
      </c>
      <c r="J31" s="3024">
        <f t="shared" si="23"/>
        <v>4.0190258785583203E-4</v>
      </c>
      <c r="K31" s="2062"/>
      <c r="L31" s="2062"/>
      <c r="M31" s="1995"/>
      <c r="N31" s="3061">
        <v>9568</v>
      </c>
      <c r="O31" s="3062">
        <f t="shared" si="37"/>
        <v>9568</v>
      </c>
      <c r="P31" s="3063">
        <f t="shared" si="13"/>
        <v>1.3757686524642628E-3</v>
      </c>
      <c r="Q31" s="3065" t="s">
        <v>1825</v>
      </c>
      <c r="R31" s="3073">
        <v>3696.31</v>
      </c>
      <c r="S31" s="3061">
        <v>6315</v>
      </c>
      <c r="T31" s="3068">
        <f t="shared" si="38"/>
        <v>10011.31</v>
      </c>
      <c r="U31" s="3180">
        <f t="shared" si="14"/>
        <v>1.4395115455792223E-3</v>
      </c>
      <c r="V31" s="3065" t="s">
        <v>1826</v>
      </c>
      <c r="W31" s="3061"/>
      <c r="X31" s="3070">
        <v>424</v>
      </c>
      <c r="Y31" s="3083">
        <f t="shared" si="39"/>
        <v>424</v>
      </c>
      <c r="Z31" s="3180">
        <f t="shared" si="15"/>
        <v>6.0966336605857803E-5</v>
      </c>
      <c r="AA31" s="3065" t="s">
        <v>1827</v>
      </c>
      <c r="AB31" s="3061"/>
      <c r="AC31" s="3070">
        <v>2000</v>
      </c>
      <c r="AD31" s="3086">
        <f t="shared" si="40"/>
        <v>2000</v>
      </c>
      <c r="AE31" s="3180">
        <f t="shared" si="16"/>
        <v>2.8757705946159338E-4</v>
      </c>
      <c r="AF31" s="3065" t="s">
        <v>1828</v>
      </c>
      <c r="AG31" s="3061"/>
      <c r="AH31" s="3070">
        <v>7210.6900000000005</v>
      </c>
      <c r="AI31" s="3083">
        <f t="shared" si="41"/>
        <v>7210.6900000000005</v>
      </c>
      <c r="AJ31" s="3180">
        <f t="shared" si="17"/>
        <v>1.0368145134445586E-3</v>
      </c>
      <c r="AK31" s="3065" t="s">
        <v>2069</v>
      </c>
      <c r="AL31" s="2016"/>
      <c r="AM31" s="2009">
        <v>6426.73</v>
      </c>
      <c r="AN31" s="2013">
        <f t="shared" si="24"/>
        <v>6426.73</v>
      </c>
      <c r="AO31" s="3187">
        <f t="shared" si="25"/>
        <v>1.0022952067878367E-3</v>
      </c>
      <c r="AP31" s="2010" t="s">
        <v>2070</v>
      </c>
      <c r="AQ31" s="3061"/>
      <c r="AR31" s="3070"/>
      <c r="AS31" s="3083">
        <f t="shared" si="42"/>
        <v>0</v>
      </c>
      <c r="AT31" s="3180">
        <f t="shared" si="18"/>
        <v>0</v>
      </c>
      <c r="AU31" s="3065"/>
      <c r="AV31" s="3061"/>
      <c r="AW31" s="3070"/>
      <c r="AX31" s="3083">
        <f t="shared" si="43"/>
        <v>0</v>
      </c>
      <c r="AY31" s="3180">
        <f t="shared" si="19"/>
        <v>0</v>
      </c>
      <c r="AZ31" s="3065"/>
      <c r="BA31" s="2067"/>
      <c r="BB31" s="3070">
        <f>677.93+1327.33</f>
        <v>2005.2599999999998</v>
      </c>
      <c r="BC31" s="3083">
        <f t="shared" si="44"/>
        <v>2005.2599999999998</v>
      </c>
      <c r="BD31" s="3180">
        <f t="shared" si="20"/>
        <v>5.7198894408461414E-4</v>
      </c>
      <c r="BE31" s="3065" t="s">
        <v>1637</v>
      </c>
      <c r="BF31" s="2067"/>
      <c r="BG31" s="2059">
        <v>966.37</v>
      </c>
      <c r="BH31" s="2061">
        <f t="shared" si="45"/>
        <v>966.37</v>
      </c>
      <c r="BI31" s="2809">
        <f t="shared" si="26"/>
        <v>2.1198562796363252E-4</v>
      </c>
      <c r="BJ31" s="2062"/>
      <c r="BK31" s="3061"/>
      <c r="BL31" s="3070">
        <v>4133.04</v>
      </c>
      <c r="BM31" s="3083">
        <f t="shared" si="46"/>
        <v>4133.04</v>
      </c>
      <c r="BN31" s="3180">
        <f t="shared" si="27"/>
        <v>6.8117781067784412E-4</v>
      </c>
      <c r="BO31" s="3065"/>
      <c r="BP31" s="3061"/>
      <c r="BQ31" s="3070">
        <v>469</v>
      </c>
      <c r="BR31" s="3083">
        <f t="shared" si="47"/>
        <v>469</v>
      </c>
      <c r="BS31" s="3180">
        <f t="shared" si="28"/>
        <v>1.9154449759850085E-4</v>
      </c>
      <c r="BT31" s="3065" t="s">
        <v>1768</v>
      </c>
      <c r="BU31" s="3061"/>
      <c r="BV31" s="3070"/>
      <c r="BW31" s="3083">
        <f t="shared" si="48"/>
        <v>0</v>
      </c>
      <c r="BX31" s="3180">
        <f t="shared" si="29"/>
        <v>0</v>
      </c>
      <c r="BY31" s="3065"/>
      <c r="BZ31" s="3061"/>
      <c r="CA31" s="3070"/>
      <c r="CB31" s="3083">
        <f t="shared" si="49"/>
        <v>0</v>
      </c>
      <c r="CC31" s="3180">
        <f t="shared" si="30"/>
        <v>0</v>
      </c>
      <c r="CD31" s="3065"/>
      <c r="CE31" s="3061"/>
      <c r="CF31" s="3070"/>
      <c r="CG31" s="3083">
        <f t="shared" si="50"/>
        <v>0</v>
      </c>
      <c r="CH31" s="3180">
        <f t="shared" si="31"/>
        <v>0</v>
      </c>
      <c r="CI31" s="3065"/>
      <c r="CJ31" s="3061"/>
      <c r="CK31" s="3070"/>
      <c r="CL31" s="3083">
        <f t="shared" si="51"/>
        <v>0</v>
      </c>
      <c r="CM31" s="3180">
        <f t="shared" si="32"/>
        <v>0</v>
      </c>
      <c r="CN31" s="3065"/>
      <c r="CO31" s="2059">
        <f t="shared" si="33"/>
        <v>3696.31</v>
      </c>
      <c r="CP31" s="2059">
        <f t="shared" si="34"/>
        <v>39518.090000000004</v>
      </c>
      <c r="CQ31" s="3100">
        <f t="shared" si="35"/>
        <v>43214.400000000001</v>
      </c>
      <c r="CR31" s="2809">
        <f t="shared" si="21"/>
        <v>4.5928546779321506E-4</v>
      </c>
      <c r="CS31" s="2813"/>
      <c r="CT31" s="919"/>
      <c r="CU31" s="1579"/>
      <c r="CV31" s="1579"/>
      <c r="CW31" s="1579"/>
      <c r="CX31" s="1579"/>
      <c r="CY31" s="1579"/>
      <c r="CZ31" s="1579"/>
      <c r="DA31" s="1579"/>
      <c r="DB31" s="1579"/>
      <c r="DC31" s="1579"/>
      <c r="DD31" s="1579"/>
      <c r="DE31" s="1579"/>
      <c r="DF31" s="1579"/>
      <c r="DG31" s="1579"/>
      <c r="DH31" s="1579"/>
      <c r="DI31" s="1579"/>
      <c r="DJ31" s="1579"/>
      <c r="DK31" s="1579"/>
      <c r="DL31" s="1579"/>
      <c r="DM31" s="1579"/>
      <c r="DN31" s="1579"/>
      <c r="DO31" s="1579"/>
      <c r="DP31" s="1579"/>
      <c r="DQ31" s="1579"/>
      <c r="DR31" s="1579"/>
      <c r="DS31" s="1579"/>
      <c r="DT31" s="1579"/>
      <c r="DU31" s="1579"/>
      <c r="DV31" s="1579"/>
      <c r="DW31" s="1579"/>
      <c r="DX31" s="1579"/>
      <c r="DY31" s="1579"/>
      <c r="DZ31" s="1579"/>
      <c r="EA31" s="1579"/>
      <c r="EB31" s="1579"/>
      <c r="EC31" s="1579"/>
      <c r="ED31" s="1579"/>
      <c r="EE31" s="1579"/>
      <c r="EF31" s="1579"/>
      <c r="EG31" s="1579"/>
      <c r="EH31" s="1579"/>
      <c r="EI31" s="1579"/>
      <c r="EJ31" s="1579"/>
      <c r="EK31" s="1579"/>
      <c r="EL31" s="1579"/>
      <c r="EM31" s="1579"/>
      <c r="EN31" s="1579"/>
      <c r="EO31" s="1579"/>
      <c r="EP31" s="1579"/>
      <c r="EQ31" s="1579"/>
      <c r="ER31" s="1579"/>
      <c r="ES31" s="1579"/>
      <c r="ET31" s="1579"/>
      <c r="EU31" s="1579"/>
      <c r="EV31" s="1579"/>
      <c r="EW31" s="1579"/>
      <c r="EX31" s="1579"/>
      <c r="EY31" s="1579"/>
      <c r="EZ31" s="1579"/>
      <c r="FA31" s="1579"/>
      <c r="FB31" s="1579"/>
      <c r="FC31" s="1579"/>
      <c r="FD31" s="1579"/>
      <c r="FE31" s="1579"/>
      <c r="FF31" s="1579"/>
      <c r="FG31" s="1579"/>
      <c r="FH31" s="1579"/>
      <c r="FI31" s="1579"/>
      <c r="FJ31" s="1579"/>
      <c r="FK31" s="1579"/>
      <c r="FL31" s="1579"/>
      <c r="FM31" s="1579"/>
      <c r="FN31" s="1579"/>
      <c r="FO31" s="1579"/>
      <c r="FP31" s="1579"/>
      <c r="FQ31" s="1579"/>
      <c r="FR31" s="1579"/>
      <c r="FS31" s="1579"/>
      <c r="FT31" s="1579"/>
      <c r="FU31" s="1579"/>
      <c r="FV31" s="1579"/>
    </row>
    <row r="32" spans="1:178" s="1411" customFormat="1" ht="13.8" x14ac:dyDescent="0.25">
      <c r="A32" s="1587"/>
      <c r="B32" s="3106" t="s">
        <v>2</v>
      </c>
      <c r="C32" s="2816"/>
      <c r="D32" s="2817"/>
      <c r="E32" s="3102">
        <f t="shared" si="22"/>
        <v>0</v>
      </c>
      <c r="F32" s="2809" t="e">
        <f t="shared" si="12"/>
        <v>#DIV/0!</v>
      </c>
      <c r="G32" s="1995">
        <v>0</v>
      </c>
      <c r="H32" s="2067">
        <v>0</v>
      </c>
      <c r="I32" s="1998">
        <f t="shared" si="36"/>
        <v>0</v>
      </c>
      <c r="J32" s="3024">
        <f t="shared" si="23"/>
        <v>0</v>
      </c>
      <c r="K32" s="2062"/>
      <c r="L32" s="2062"/>
      <c r="M32" s="1995"/>
      <c r="N32" s="2067"/>
      <c r="O32" s="1998">
        <f t="shared" si="37"/>
        <v>0</v>
      </c>
      <c r="P32" s="3024">
        <f t="shared" si="13"/>
        <v>0</v>
      </c>
      <c r="Q32" s="2062"/>
      <c r="R32" s="3073"/>
      <c r="S32" s="3061"/>
      <c r="T32" s="3068">
        <f t="shared" si="38"/>
        <v>0</v>
      </c>
      <c r="U32" s="3180">
        <f t="shared" si="14"/>
        <v>0</v>
      </c>
      <c r="V32" s="3065"/>
      <c r="W32" s="2067"/>
      <c r="X32" s="2059"/>
      <c r="Y32" s="2061">
        <f t="shared" si="39"/>
        <v>0</v>
      </c>
      <c r="Z32" s="2809">
        <f t="shared" si="15"/>
        <v>0</v>
      </c>
      <c r="AA32" s="2062"/>
      <c r="AB32" s="3061"/>
      <c r="AC32" s="3070"/>
      <c r="AD32" s="3086">
        <f t="shared" si="40"/>
        <v>0</v>
      </c>
      <c r="AE32" s="3180">
        <f t="shared" si="16"/>
        <v>0</v>
      </c>
      <c r="AF32" s="3065"/>
      <c r="AG32" s="3061"/>
      <c r="AH32" s="3070"/>
      <c r="AI32" s="3083">
        <f t="shared" si="41"/>
        <v>0</v>
      </c>
      <c r="AJ32" s="3180">
        <f t="shared" si="17"/>
        <v>0</v>
      </c>
      <c r="AK32" s="3065"/>
      <c r="AL32" s="2016"/>
      <c r="AM32" s="3070"/>
      <c r="AN32" s="3083">
        <f t="shared" si="24"/>
        <v>0</v>
      </c>
      <c r="AO32" s="3180">
        <f t="shared" si="25"/>
        <v>0</v>
      </c>
      <c r="AP32" s="3065"/>
      <c r="AQ32" s="3061"/>
      <c r="AR32" s="3070"/>
      <c r="AS32" s="3083">
        <f t="shared" si="42"/>
        <v>0</v>
      </c>
      <c r="AT32" s="3180">
        <f t="shared" si="18"/>
        <v>0</v>
      </c>
      <c r="AU32" s="3065"/>
      <c r="AV32" s="3061"/>
      <c r="AW32" s="3070"/>
      <c r="AX32" s="3083">
        <f t="shared" si="43"/>
        <v>0</v>
      </c>
      <c r="AY32" s="3180">
        <f t="shared" si="19"/>
        <v>0</v>
      </c>
      <c r="AZ32" s="3065"/>
      <c r="BA32" s="2067"/>
      <c r="BB32" s="3070"/>
      <c r="BC32" s="3083">
        <f t="shared" si="44"/>
        <v>0</v>
      </c>
      <c r="BD32" s="3180">
        <f t="shared" si="20"/>
        <v>0</v>
      </c>
      <c r="BE32" s="3065"/>
      <c r="BF32" s="2067"/>
      <c r="BG32" s="2059"/>
      <c r="BH32" s="2061">
        <f t="shared" si="45"/>
        <v>0</v>
      </c>
      <c r="BI32" s="2809">
        <f t="shared" si="26"/>
        <v>0</v>
      </c>
      <c r="BJ32" s="2062"/>
      <c r="BK32" s="3061"/>
      <c r="BL32" s="3070"/>
      <c r="BM32" s="3083">
        <f t="shared" si="46"/>
        <v>0</v>
      </c>
      <c r="BN32" s="3180">
        <f t="shared" si="27"/>
        <v>0</v>
      </c>
      <c r="BO32" s="3065"/>
      <c r="BP32" s="2067"/>
      <c r="BQ32" s="3070"/>
      <c r="BR32" s="3083">
        <f t="shared" si="47"/>
        <v>0</v>
      </c>
      <c r="BS32" s="3180">
        <f t="shared" si="28"/>
        <v>0</v>
      </c>
      <c r="BT32" s="3065"/>
      <c r="BU32" s="2067"/>
      <c r="BV32" s="3070"/>
      <c r="BW32" s="3083">
        <f t="shared" si="48"/>
        <v>0</v>
      </c>
      <c r="BX32" s="3180">
        <f t="shared" si="29"/>
        <v>0</v>
      </c>
      <c r="BY32" s="3065"/>
      <c r="BZ32" s="2067"/>
      <c r="CA32" s="3070"/>
      <c r="CB32" s="3083">
        <f t="shared" si="49"/>
        <v>0</v>
      </c>
      <c r="CC32" s="3180">
        <f t="shared" si="30"/>
        <v>0</v>
      </c>
      <c r="CD32" s="3065"/>
      <c r="CE32" s="2067"/>
      <c r="CF32" s="3070"/>
      <c r="CG32" s="3083">
        <f t="shared" si="50"/>
        <v>0</v>
      </c>
      <c r="CH32" s="3180">
        <f t="shared" si="31"/>
        <v>0</v>
      </c>
      <c r="CI32" s="3065"/>
      <c r="CJ32" s="2067"/>
      <c r="CK32" s="3070"/>
      <c r="CL32" s="3083">
        <f t="shared" si="51"/>
        <v>0</v>
      </c>
      <c r="CM32" s="3180">
        <f t="shared" si="32"/>
        <v>0</v>
      </c>
      <c r="CN32" s="3065"/>
      <c r="CO32" s="2059">
        <f t="shared" si="33"/>
        <v>0</v>
      </c>
      <c r="CP32" s="2059">
        <f t="shared" si="34"/>
        <v>0</v>
      </c>
      <c r="CQ32" s="2061">
        <f t="shared" si="35"/>
        <v>0</v>
      </c>
      <c r="CR32" s="2809">
        <f t="shared" si="21"/>
        <v>0</v>
      </c>
      <c r="CS32" s="2813"/>
      <c r="CT32" s="919"/>
      <c r="CU32" s="1579"/>
      <c r="CV32" s="1579"/>
      <c r="CW32" s="1579"/>
      <c r="CX32" s="1579"/>
      <c r="CY32" s="1579"/>
      <c r="CZ32" s="1579"/>
      <c r="DA32" s="1579"/>
      <c r="DB32" s="1579"/>
      <c r="DC32" s="1579"/>
      <c r="DD32" s="1579"/>
      <c r="DE32" s="1579"/>
      <c r="DF32" s="1579"/>
      <c r="DG32" s="1579"/>
      <c r="DH32" s="1579"/>
      <c r="DI32" s="1579"/>
      <c r="DJ32" s="1579"/>
      <c r="DK32" s="1579"/>
      <c r="DL32" s="1579"/>
      <c r="DM32" s="1579"/>
      <c r="DN32" s="1579"/>
      <c r="DO32" s="1579"/>
      <c r="DP32" s="1579"/>
      <c r="DQ32" s="1579"/>
      <c r="DR32" s="1579"/>
      <c r="DS32" s="1579"/>
      <c r="DT32" s="1579"/>
      <c r="DU32" s="1579"/>
      <c r="DV32" s="1579"/>
      <c r="DW32" s="1579"/>
      <c r="DX32" s="1579"/>
      <c r="DY32" s="1579"/>
      <c r="DZ32" s="1579"/>
      <c r="EA32" s="1579"/>
      <c r="EB32" s="1579"/>
      <c r="EC32" s="1579"/>
      <c r="ED32" s="1579"/>
      <c r="EE32" s="1579"/>
      <c r="EF32" s="1579"/>
      <c r="EG32" s="1579"/>
      <c r="EH32" s="1579"/>
      <c r="EI32" s="1579"/>
      <c r="EJ32" s="1579"/>
      <c r="EK32" s="1579"/>
      <c r="EL32" s="1579"/>
      <c r="EM32" s="1579"/>
      <c r="EN32" s="1579"/>
      <c r="EO32" s="1579"/>
      <c r="EP32" s="1579"/>
      <c r="EQ32" s="1579"/>
      <c r="ER32" s="1579"/>
      <c r="ES32" s="1579"/>
      <c r="ET32" s="1579"/>
      <c r="EU32" s="1579"/>
      <c r="EV32" s="1579"/>
      <c r="EW32" s="1579"/>
      <c r="EX32" s="1579"/>
      <c r="EY32" s="1579"/>
      <c r="EZ32" s="1579"/>
      <c r="FA32" s="1579"/>
      <c r="FB32" s="1579"/>
      <c r="FC32" s="1579"/>
      <c r="FD32" s="1579"/>
      <c r="FE32" s="1579"/>
      <c r="FF32" s="1579"/>
      <c r="FG32" s="1579"/>
      <c r="FH32" s="1579"/>
      <c r="FI32" s="1579"/>
      <c r="FJ32" s="1579"/>
      <c r="FK32" s="1579"/>
      <c r="FL32" s="1579"/>
      <c r="FM32" s="1579"/>
      <c r="FN32" s="1579"/>
      <c r="FO32" s="1579"/>
      <c r="FP32" s="1579"/>
      <c r="FQ32" s="1579"/>
      <c r="FR32" s="1579"/>
      <c r="FS32" s="1579"/>
      <c r="FT32" s="1579"/>
      <c r="FU32" s="1579"/>
      <c r="FV32" s="1579"/>
    </row>
    <row r="33" spans="1:178" s="1411" customFormat="1" ht="25.95" customHeight="1" thickBot="1" x14ac:dyDescent="0.3">
      <c r="A33" s="1587"/>
      <c r="B33" s="3110" t="s">
        <v>75</v>
      </c>
      <c r="C33" s="2908"/>
      <c r="D33" s="2909"/>
      <c r="E33" s="3111">
        <f t="shared" si="22"/>
        <v>0</v>
      </c>
      <c r="F33" s="2910" t="e">
        <f t="shared" si="12"/>
        <v>#DIV/0!</v>
      </c>
      <c r="G33" s="2003">
        <v>76000</v>
      </c>
      <c r="H33" s="2044">
        <v>654210</v>
      </c>
      <c r="I33" s="1999">
        <f t="shared" si="36"/>
        <v>730210</v>
      </c>
      <c r="J33" s="3026">
        <f t="shared" si="23"/>
        <v>1.3337688224099333E-2</v>
      </c>
      <c r="K33" s="2911"/>
      <c r="L33" s="2911"/>
      <c r="M33" s="2003"/>
      <c r="N33" s="2044"/>
      <c r="O33" s="1999">
        <f t="shared" si="37"/>
        <v>0</v>
      </c>
      <c r="P33" s="3026">
        <f t="shared" si="13"/>
        <v>0</v>
      </c>
      <c r="Q33" s="2911"/>
      <c r="R33" s="3075"/>
      <c r="S33" s="3076">
        <v>14910</v>
      </c>
      <c r="T33" s="3077">
        <f t="shared" si="38"/>
        <v>14910</v>
      </c>
      <c r="U33" s="3078">
        <f t="shared" si="14"/>
        <v>2.1438869782861789E-3</v>
      </c>
      <c r="V33" s="3079" t="s">
        <v>1829</v>
      </c>
      <c r="W33" s="2044"/>
      <c r="X33" s="2041"/>
      <c r="Y33" s="2042">
        <f t="shared" si="39"/>
        <v>0</v>
      </c>
      <c r="Z33" s="2910">
        <f t="shared" si="15"/>
        <v>0</v>
      </c>
      <c r="AA33" s="2911"/>
      <c r="AB33" s="3087"/>
      <c r="AC33" s="3088">
        <v>33800</v>
      </c>
      <c r="AD33" s="3089">
        <f t="shared" si="40"/>
        <v>33800</v>
      </c>
      <c r="AE33" s="3078">
        <f t="shared" si="16"/>
        <v>4.8600523049009284E-3</v>
      </c>
      <c r="AF33" s="3090" t="s">
        <v>1830</v>
      </c>
      <c r="AG33" s="3076">
        <v>76000</v>
      </c>
      <c r="AH33" s="3093">
        <f>500000+5500+100000</f>
        <v>605500</v>
      </c>
      <c r="AI33" s="3094">
        <f t="shared" si="41"/>
        <v>681500</v>
      </c>
      <c r="AJ33" s="3078">
        <f t="shared" si="17"/>
        <v>9.7991883011537953E-2</v>
      </c>
      <c r="AK33" s="3079" t="s">
        <v>1831</v>
      </c>
      <c r="AL33" s="2124"/>
      <c r="AM33" s="3093">
        <v>301700</v>
      </c>
      <c r="AN33" s="3094">
        <f t="shared" si="24"/>
        <v>301700</v>
      </c>
      <c r="AO33" s="3078">
        <f t="shared" si="25"/>
        <v>4.705230558742788E-2</v>
      </c>
      <c r="AP33" s="3079" t="s">
        <v>1564</v>
      </c>
      <c r="AQ33" s="3076"/>
      <c r="AR33" s="3093">
        <v>200000</v>
      </c>
      <c r="AS33" s="3094">
        <f t="shared" si="42"/>
        <v>200000</v>
      </c>
      <c r="AT33" s="3078">
        <f t="shared" si="18"/>
        <v>2.875770594615934E-2</v>
      </c>
      <c r="AU33" s="3065" t="s">
        <v>1587</v>
      </c>
      <c r="AV33" s="3076"/>
      <c r="AW33" s="3093">
        <v>200000</v>
      </c>
      <c r="AX33" s="3094">
        <f t="shared" si="43"/>
        <v>200000</v>
      </c>
      <c r="AY33" s="3078">
        <f t="shared" si="19"/>
        <v>6.8977000817897552E-2</v>
      </c>
      <c r="AZ33" s="3065" t="s">
        <v>1587</v>
      </c>
      <c r="BA33" s="2044"/>
      <c r="BB33" s="3093">
        <f>200000+200000+5000</f>
        <v>405000</v>
      </c>
      <c r="BC33" s="3094">
        <f t="shared" si="44"/>
        <v>405000</v>
      </c>
      <c r="BD33" s="3078">
        <f t="shared" si="20"/>
        <v>0.1155239332327323</v>
      </c>
      <c r="BE33" s="3079"/>
      <c r="BF33" s="2044"/>
      <c r="BG33" s="2041"/>
      <c r="BH33" s="2042">
        <f t="shared" si="45"/>
        <v>0</v>
      </c>
      <c r="BI33" s="2910">
        <f t="shared" si="26"/>
        <v>0</v>
      </c>
      <c r="BJ33" s="1690"/>
      <c r="BK33" s="3076"/>
      <c r="BL33" s="3093">
        <f>212000</f>
        <v>212000</v>
      </c>
      <c r="BM33" s="3094">
        <f t="shared" si="46"/>
        <v>212000</v>
      </c>
      <c r="BN33" s="3078">
        <f t="shared" si="27"/>
        <v>3.4940309279296339E-2</v>
      </c>
      <c r="BO33" s="3079" t="s">
        <v>1706</v>
      </c>
      <c r="BP33" s="2044"/>
      <c r="BQ33" s="3093">
        <v>400000</v>
      </c>
      <c r="BR33" s="3094">
        <f t="shared" si="47"/>
        <v>400000</v>
      </c>
      <c r="BS33" s="3078">
        <f t="shared" si="28"/>
        <v>0.16336417705629069</v>
      </c>
      <c r="BT33" s="3079" t="s">
        <v>1769</v>
      </c>
      <c r="BU33" s="2044"/>
      <c r="BV33" s="3093">
        <v>250000</v>
      </c>
      <c r="BW33" s="3094">
        <f t="shared" si="48"/>
        <v>250000</v>
      </c>
      <c r="BX33" s="3078">
        <f t="shared" si="29"/>
        <v>0.46312393111922945</v>
      </c>
      <c r="BY33" s="3079" t="s">
        <v>1769</v>
      </c>
      <c r="BZ33" s="2044"/>
      <c r="CA33" s="3093"/>
      <c r="CB33" s="3094">
        <f t="shared" si="49"/>
        <v>0</v>
      </c>
      <c r="CC33" s="3078">
        <f t="shared" si="30"/>
        <v>0</v>
      </c>
      <c r="CD33" s="3079"/>
      <c r="CE33" s="2044"/>
      <c r="CF33" s="3093"/>
      <c r="CG33" s="3094">
        <f t="shared" si="50"/>
        <v>0</v>
      </c>
      <c r="CH33" s="3078">
        <f t="shared" si="31"/>
        <v>0</v>
      </c>
      <c r="CI33" s="3079"/>
      <c r="CJ33" s="2044"/>
      <c r="CK33" s="3093"/>
      <c r="CL33" s="3094">
        <f t="shared" si="51"/>
        <v>0</v>
      </c>
      <c r="CM33" s="3078">
        <f t="shared" si="32"/>
        <v>0</v>
      </c>
      <c r="CN33" s="3079"/>
      <c r="CO33" s="2857">
        <f t="shared" si="33"/>
        <v>76000</v>
      </c>
      <c r="CP33" s="2913">
        <f t="shared" si="34"/>
        <v>2622910</v>
      </c>
      <c r="CQ33" s="3019">
        <f t="shared" si="35"/>
        <v>2698910</v>
      </c>
      <c r="CR33" s="2910">
        <f t="shared" si="21"/>
        <v>2.8684191887004933E-2</v>
      </c>
      <c r="CS33" s="2914"/>
      <c r="CT33" s="919"/>
      <c r="CU33" s="1579"/>
      <c r="CV33" s="1579"/>
      <c r="CW33" s="1579"/>
      <c r="CX33" s="1579"/>
      <c r="CY33" s="1579"/>
      <c r="CZ33" s="1579"/>
      <c r="DA33" s="1579"/>
      <c r="DB33" s="1579"/>
      <c r="DC33" s="1579"/>
      <c r="DD33" s="1579"/>
      <c r="DE33" s="1579"/>
      <c r="DF33" s="1579"/>
      <c r="DG33" s="1579"/>
      <c r="DH33" s="1579"/>
      <c r="DI33" s="1579"/>
      <c r="DJ33" s="1579"/>
      <c r="DK33" s="1579"/>
      <c r="DL33" s="1579"/>
      <c r="DM33" s="1579"/>
      <c r="DN33" s="1579"/>
      <c r="DO33" s="1579"/>
      <c r="DP33" s="1579"/>
      <c r="DQ33" s="1579"/>
      <c r="DR33" s="1579"/>
      <c r="DS33" s="1579"/>
      <c r="DT33" s="1579"/>
      <c r="DU33" s="1579"/>
      <c r="DV33" s="1579"/>
      <c r="DW33" s="1579"/>
      <c r="DX33" s="1579"/>
      <c r="DY33" s="1579"/>
      <c r="DZ33" s="1579"/>
      <c r="EA33" s="1579"/>
      <c r="EB33" s="1579"/>
      <c r="EC33" s="1579"/>
      <c r="ED33" s="1579"/>
      <c r="EE33" s="1579"/>
      <c r="EF33" s="1579"/>
      <c r="EG33" s="1579"/>
      <c r="EH33" s="1579"/>
      <c r="EI33" s="1579"/>
      <c r="EJ33" s="1579"/>
      <c r="EK33" s="1579"/>
      <c r="EL33" s="1579"/>
      <c r="EM33" s="1579"/>
      <c r="EN33" s="1579"/>
      <c r="EO33" s="1579"/>
      <c r="EP33" s="1579"/>
      <c r="EQ33" s="1579"/>
      <c r="ER33" s="1579"/>
      <c r="ES33" s="1579"/>
      <c r="ET33" s="1579"/>
      <c r="EU33" s="1579"/>
      <c r="EV33" s="1579"/>
      <c r="EW33" s="1579"/>
      <c r="EX33" s="1579"/>
      <c r="EY33" s="1579"/>
      <c r="EZ33" s="1579"/>
      <c r="FA33" s="1579"/>
      <c r="FB33" s="1579"/>
      <c r="FC33" s="1579"/>
      <c r="FD33" s="1579"/>
      <c r="FE33" s="1579"/>
      <c r="FF33" s="1579"/>
      <c r="FG33" s="1579"/>
      <c r="FH33" s="1579"/>
      <c r="FI33" s="1579"/>
      <c r="FJ33" s="1579"/>
      <c r="FK33" s="1579"/>
      <c r="FL33" s="1579"/>
      <c r="FM33" s="1579"/>
      <c r="FN33" s="1579"/>
      <c r="FO33" s="1579"/>
      <c r="FP33" s="1579"/>
      <c r="FQ33" s="1579"/>
      <c r="FR33" s="1579"/>
      <c r="FS33" s="1579"/>
      <c r="FT33" s="1579"/>
      <c r="FU33" s="1579"/>
      <c r="FV33" s="1579"/>
    </row>
    <row r="34" spans="1:178" s="1411" customFormat="1" ht="14.4" customHeight="1" x14ac:dyDescent="0.25">
      <c r="A34" s="1587"/>
      <c r="B34" s="1087"/>
      <c r="C34" s="1632"/>
      <c r="D34" s="1633"/>
      <c r="E34" s="2040"/>
      <c r="F34" s="1635"/>
      <c r="G34" s="1995"/>
      <c r="H34" s="2067"/>
      <c r="I34" s="2001"/>
      <c r="J34" s="2002"/>
      <c r="K34" s="2040"/>
      <c r="L34" s="2040"/>
      <c r="M34" s="1995"/>
      <c r="N34" s="2067"/>
      <c r="O34" s="2001"/>
      <c r="P34" s="2002"/>
      <c r="Q34" s="2040"/>
      <c r="R34" s="2068"/>
      <c r="S34" s="2067"/>
      <c r="T34" s="2040"/>
      <c r="U34" s="1992"/>
      <c r="V34" s="2040"/>
      <c r="W34" s="2067"/>
      <c r="X34" s="2059"/>
      <c r="Y34" s="2040"/>
      <c r="Z34" s="1992"/>
      <c r="AA34" s="2040"/>
      <c r="AB34" s="2072"/>
      <c r="AC34" s="2066"/>
      <c r="AD34" s="2050"/>
      <c r="AE34" s="2007"/>
      <c r="AF34" s="2050"/>
      <c r="AG34" s="2067"/>
      <c r="AH34" s="2059"/>
      <c r="AI34" s="2040"/>
      <c r="AJ34" s="1992"/>
      <c r="AK34" s="2040"/>
      <c r="AL34" s="2067"/>
      <c r="AM34" s="2059"/>
      <c r="AN34" s="2040"/>
      <c r="AO34" s="1992"/>
      <c r="AP34" s="2040"/>
      <c r="AQ34" s="2067"/>
      <c r="AR34" s="2059"/>
      <c r="AS34" s="2040"/>
      <c r="AT34" s="1992"/>
      <c r="AU34" s="2062"/>
      <c r="AV34" s="2067"/>
      <c r="AW34" s="2059"/>
      <c r="AX34" s="2040"/>
      <c r="AY34" s="1992"/>
      <c r="AZ34" s="2040"/>
      <c r="BA34" s="2067"/>
      <c r="BB34" s="2059"/>
      <c r="BC34" s="2040"/>
      <c r="BD34" s="1992"/>
      <c r="BE34" s="2040"/>
      <c r="BF34" s="2067"/>
      <c r="BG34" s="2059"/>
      <c r="BH34" s="2040"/>
      <c r="BI34" s="1992"/>
      <c r="BJ34" s="2040"/>
      <c r="BK34" s="2067"/>
      <c r="BL34" s="2059"/>
      <c r="BM34" s="2040"/>
      <c r="BN34" s="1992"/>
      <c r="BO34" s="2040"/>
      <c r="BP34" s="2067"/>
      <c r="BQ34" s="2059"/>
      <c r="BR34" s="2040"/>
      <c r="BS34" s="1992"/>
      <c r="BT34" s="2040"/>
      <c r="BU34" s="2067"/>
      <c r="BV34" s="2059"/>
      <c r="BW34" s="2040"/>
      <c r="BX34" s="1992"/>
      <c r="BY34" s="2040"/>
      <c r="BZ34" s="2067"/>
      <c r="CA34" s="2059"/>
      <c r="CB34" s="2040"/>
      <c r="CC34" s="1992"/>
      <c r="CD34" s="2040"/>
      <c r="CE34" s="2067"/>
      <c r="CF34" s="2059"/>
      <c r="CG34" s="2040"/>
      <c r="CH34" s="1992"/>
      <c r="CI34" s="2040"/>
      <c r="CJ34" s="2067"/>
      <c r="CK34" s="2059"/>
      <c r="CL34" s="2040"/>
      <c r="CM34" s="1992"/>
      <c r="CN34" s="2040"/>
      <c r="CO34" s="2059"/>
      <c r="CP34" s="2059"/>
      <c r="CQ34" s="2040"/>
      <c r="CR34" s="2040"/>
      <c r="CS34" s="2040"/>
      <c r="CT34" s="919"/>
      <c r="CU34" s="1579"/>
      <c r="CV34" s="1579"/>
      <c r="CW34" s="1579"/>
      <c r="CX34" s="1579"/>
      <c r="CY34" s="1579"/>
      <c r="CZ34" s="1579"/>
      <c r="DA34" s="1579"/>
      <c r="DB34" s="1579"/>
      <c r="DC34" s="1579"/>
      <c r="DD34" s="1579"/>
      <c r="DE34" s="1579"/>
      <c r="DF34" s="1579"/>
      <c r="DG34" s="1579"/>
      <c r="DH34" s="1579"/>
      <c r="DI34" s="1579"/>
      <c r="DJ34" s="1579"/>
      <c r="DK34" s="1579"/>
      <c r="DL34" s="1579"/>
      <c r="DM34" s="1579"/>
      <c r="DN34" s="1579"/>
      <c r="DO34" s="1579"/>
      <c r="DP34" s="1579"/>
      <c r="DQ34" s="1579"/>
      <c r="DR34" s="1579"/>
      <c r="DS34" s="1579"/>
      <c r="DT34" s="1579"/>
      <c r="DU34" s="1579"/>
      <c r="DV34" s="1579"/>
      <c r="DW34" s="1579"/>
      <c r="DX34" s="1579"/>
      <c r="DY34" s="1579"/>
      <c r="DZ34" s="1579"/>
      <c r="EA34" s="1579"/>
      <c r="EB34" s="1579"/>
      <c r="EC34" s="1579"/>
      <c r="ED34" s="1579"/>
      <c r="EE34" s="1579"/>
      <c r="EF34" s="1579"/>
      <c r="EG34" s="1579"/>
      <c r="EH34" s="1579"/>
      <c r="EI34" s="1579"/>
      <c r="EJ34" s="1579"/>
      <c r="EK34" s="1579"/>
      <c r="EL34" s="1579"/>
      <c r="EM34" s="1579"/>
      <c r="EN34" s="1579"/>
      <c r="EO34" s="1579"/>
      <c r="EP34" s="1579"/>
      <c r="EQ34" s="1579"/>
      <c r="ER34" s="1579"/>
      <c r="ES34" s="1579"/>
      <c r="ET34" s="1579"/>
      <c r="EU34" s="1579"/>
      <c r="EV34" s="1579"/>
      <c r="EW34" s="1579"/>
      <c r="EX34" s="1579"/>
      <c r="EY34" s="1579"/>
      <c r="EZ34" s="1579"/>
      <c r="FA34" s="1579"/>
      <c r="FB34" s="1579"/>
      <c r="FC34" s="1579"/>
      <c r="FD34" s="1579"/>
      <c r="FE34" s="1579"/>
      <c r="FF34" s="1579"/>
      <c r="FG34" s="1579"/>
      <c r="FH34" s="1579"/>
      <c r="FI34" s="1579"/>
      <c r="FJ34" s="1579"/>
      <c r="FK34" s="1579"/>
      <c r="FL34" s="1579"/>
      <c r="FM34" s="1579"/>
      <c r="FN34" s="1579"/>
      <c r="FO34" s="1579"/>
      <c r="FP34" s="1579"/>
      <c r="FQ34" s="1579"/>
      <c r="FR34" s="1579"/>
      <c r="FS34" s="1579"/>
      <c r="FT34" s="1579"/>
      <c r="FU34" s="1579"/>
      <c r="FV34" s="1579"/>
    </row>
    <row r="35" spans="1:178" s="2483" customFormat="1" ht="14.4" customHeight="1" x14ac:dyDescent="0.25">
      <c r="A35" s="1587"/>
      <c r="B35" s="3112" t="s">
        <v>80</v>
      </c>
      <c r="C35" s="2818">
        <f>C36</f>
        <v>0</v>
      </c>
      <c r="D35" s="2818">
        <f>D36</f>
        <v>0</v>
      </c>
      <c r="E35" s="2819">
        <f>E36</f>
        <v>0</v>
      </c>
      <c r="F35" s="2820" t="e">
        <f>E35/$E$89</f>
        <v>#DIV/0!</v>
      </c>
      <c r="G35" s="2818">
        <f t="shared" ref="G35:I35" si="52">G36</f>
        <v>55274.12</v>
      </c>
      <c r="H35" s="2818">
        <f t="shared" si="52"/>
        <v>0</v>
      </c>
      <c r="I35" s="2818">
        <f t="shared" si="52"/>
        <v>55274.12</v>
      </c>
      <c r="J35" s="2818">
        <f t="shared" si="23"/>
        <v>1.009612275128324E-3</v>
      </c>
      <c r="K35" s="2818"/>
      <c r="L35" s="2818"/>
      <c r="M35" s="2818">
        <f>M36</f>
        <v>10700.16</v>
      </c>
      <c r="N35" s="2818">
        <f>N36</f>
        <v>0</v>
      </c>
      <c r="O35" s="2818">
        <f t="shared" ref="O35" si="53">O36</f>
        <v>10700.16</v>
      </c>
      <c r="P35" s="2818">
        <f>O35/$AS$89</f>
        <v>1.5385602742842815E-3</v>
      </c>
      <c r="Q35" s="2818"/>
      <c r="R35" s="2818">
        <v>26028</v>
      </c>
      <c r="S35" s="2819">
        <v>0</v>
      </c>
      <c r="T35" s="2818">
        <f t="shared" ref="T35" si="54">T36</f>
        <v>23373.56</v>
      </c>
      <c r="U35" s="2818">
        <f>T35/$AS$89</f>
        <v>3.3608498269745608E-3</v>
      </c>
      <c r="V35" s="2818"/>
      <c r="W35" s="2818">
        <v>0</v>
      </c>
      <c r="X35" s="2818">
        <v>0</v>
      </c>
      <c r="Y35" s="2818">
        <f t="shared" ref="Y35" si="55">Y36</f>
        <v>0</v>
      </c>
      <c r="Z35" s="2818">
        <f>Y35/$AS$89</f>
        <v>0</v>
      </c>
      <c r="AA35" s="2818">
        <v>0</v>
      </c>
      <c r="AB35" s="2818">
        <f>AB36</f>
        <v>21200.399999999998</v>
      </c>
      <c r="AC35" s="2818">
        <f>AC36</f>
        <v>0</v>
      </c>
      <c r="AD35" s="2818">
        <f t="shared" ref="AD35" si="56">AD36</f>
        <v>21200.399999999998</v>
      </c>
      <c r="AE35" s="2818">
        <f>AD35/$AS$89</f>
        <v>3.048374345704782E-3</v>
      </c>
      <c r="AF35" s="3027"/>
      <c r="AG35" s="2818">
        <f t="shared" ref="AG35:CR35" si="57">AG36</f>
        <v>0</v>
      </c>
      <c r="AH35" s="2818">
        <f t="shared" si="57"/>
        <v>0</v>
      </c>
      <c r="AI35" s="2818">
        <f t="shared" si="57"/>
        <v>0</v>
      </c>
      <c r="AJ35" s="2818">
        <f>AI35/$AS$89</f>
        <v>0</v>
      </c>
      <c r="AK35" s="2818">
        <f t="shared" si="57"/>
        <v>0</v>
      </c>
      <c r="AL35" s="2818">
        <f t="shared" si="57"/>
        <v>0</v>
      </c>
      <c r="AM35" s="2818">
        <f t="shared" si="57"/>
        <v>0</v>
      </c>
      <c r="AN35" s="2818">
        <f t="shared" si="57"/>
        <v>0</v>
      </c>
      <c r="AO35" s="2818">
        <f t="shared" si="57"/>
        <v>0</v>
      </c>
      <c r="AP35" s="2818">
        <f t="shared" si="57"/>
        <v>0</v>
      </c>
      <c r="AQ35" s="2818">
        <f t="shared" si="57"/>
        <v>0</v>
      </c>
      <c r="AR35" s="2818">
        <f t="shared" si="57"/>
        <v>0</v>
      </c>
      <c r="AS35" s="2818">
        <f t="shared" si="57"/>
        <v>0</v>
      </c>
      <c r="AT35" s="2818">
        <f>AS35/$AS$89</f>
        <v>0</v>
      </c>
      <c r="AU35" s="2818"/>
      <c r="AV35" s="2818">
        <f t="shared" si="57"/>
        <v>0</v>
      </c>
      <c r="AW35" s="2818">
        <f t="shared" si="57"/>
        <v>0</v>
      </c>
      <c r="AX35" s="2818">
        <f t="shared" si="57"/>
        <v>0</v>
      </c>
      <c r="AY35" s="2818">
        <f t="shared" si="57"/>
        <v>0</v>
      </c>
      <c r="AZ35" s="2818">
        <f t="shared" si="57"/>
        <v>0</v>
      </c>
      <c r="BA35" s="2818">
        <f t="shared" si="57"/>
        <v>0</v>
      </c>
      <c r="BB35" s="2818">
        <f t="shared" si="57"/>
        <v>0</v>
      </c>
      <c r="BC35" s="2818">
        <f t="shared" si="57"/>
        <v>0</v>
      </c>
      <c r="BD35" s="2818">
        <f t="shared" si="57"/>
        <v>0</v>
      </c>
      <c r="BE35" s="2818">
        <f t="shared" si="57"/>
        <v>0</v>
      </c>
      <c r="BF35" s="2818">
        <f t="shared" si="57"/>
        <v>0</v>
      </c>
      <c r="BG35" s="2818">
        <f t="shared" si="57"/>
        <v>0</v>
      </c>
      <c r="BH35" s="2818">
        <f t="shared" si="57"/>
        <v>0</v>
      </c>
      <c r="BI35" s="2818">
        <f t="shared" si="26"/>
        <v>0</v>
      </c>
      <c r="BJ35" s="2818">
        <f t="shared" si="57"/>
        <v>0</v>
      </c>
      <c r="BK35" s="2818"/>
      <c r="BL35" s="2818"/>
      <c r="BM35" s="2819">
        <f>BM36</f>
        <v>0</v>
      </c>
      <c r="BN35" s="2819">
        <f t="shared" ref="BN35:BN36" si="58">BM35/BM$89</f>
        <v>0</v>
      </c>
      <c r="BO35" s="2821"/>
      <c r="BP35" s="2818"/>
      <c r="BQ35" s="2818"/>
      <c r="BR35" s="2819">
        <f>BR36</f>
        <v>0</v>
      </c>
      <c r="BS35" s="2819">
        <f t="shared" ref="BS35:BS36" si="59">BR35/BR$89</f>
        <v>0</v>
      </c>
      <c r="BT35" s="2821"/>
      <c r="BU35" s="2818"/>
      <c r="BV35" s="2818"/>
      <c r="BW35" s="2819">
        <f>BW36</f>
        <v>0</v>
      </c>
      <c r="BX35" s="2819">
        <f t="shared" ref="BX35:BX36" si="60">BW35/BW$89</f>
        <v>0</v>
      </c>
      <c r="BY35" s="2821"/>
      <c r="BZ35" s="2818"/>
      <c r="CA35" s="2818"/>
      <c r="CB35" s="2819">
        <f>CB36</f>
        <v>0</v>
      </c>
      <c r="CC35" s="2819">
        <f t="shared" ref="CC35:CC36" si="61">CB35/CB$89</f>
        <v>0</v>
      </c>
      <c r="CD35" s="2821"/>
      <c r="CE35" s="2818"/>
      <c r="CF35" s="2818"/>
      <c r="CG35" s="2819">
        <f>CG36</f>
        <v>0</v>
      </c>
      <c r="CH35" s="2819">
        <f t="shared" ref="CH35:CH36" si="62">CG35/CG$89</f>
        <v>0</v>
      </c>
      <c r="CI35" s="2821"/>
      <c r="CJ35" s="2818"/>
      <c r="CK35" s="2818"/>
      <c r="CL35" s="2819">
        <f>CL36</f>
        <v>0</v>
      </c>
      <c r="CM35" s="2819">
        <f t="shared" ref="CM35:CM36" si="63">CL35/CL$89</f>
        <v>0</v>
      </c>
      <c r="CN35" s="2821"/>
      <c r="CO35" s="2818">
        <f t="shared" si="57"/>
        <v>55274.119999999995</v>
      </c>
      <c r="CP35" s="2818">
        <f t="shared" si="57"/>
        <v>0</v>
      </c>
      <c r="CQ35" s="2818">
        <f t="shared" si="57"/>
        <v>55274.119999999995</v>
      </c>
      <c r="CR35" s="2818">
        <f t="shared" si="57"/>
        <v>5.8745696020442962E-4</v>
      </c>
      <c r="CS35" s="2819"/>
      <c r="CT35" s="919"/>
      <c r="CU35" s="1579"/>
      <c r="CV35" s="1579"/>
      <c r="CW35" s="1579"/>
      <c r="CX35" s="1579"/>
      <c r="CY35" s="1579"/>
      <c r="CZ35" s="1579"/>
      <c r="DA35" s="1579"/>
      <c r="DB35" s="1579"/>
      <c r="DC35" s="1579"/>
      <c r="DD35" s="1579"/>
      <c r="DE35" s="1579"/>
      <c r="DF35" s="1579"/>
      <c r="DG35" s="1579"/>
      <c r="DH35" s="1579"/>
      <c r="DI35" s="1579"/>
      <c r="DJ35" s="1579"/>
      <c r="DK35" s="1579"/>
      <c r="DL35" s="1579"/>
      <c r="DM35" s="1579"/>
      <c r="DN35" s="1579"/>
      <c r="DO35" s="1579"/>
      <c r="DP35" s="1579"/>
      <c r="DQ35" s="1579"/>
      <c r="DR35" s="1579"/>
      <c r="DS35" s="1579"/>
      <c r="DT35" s="1579"/>
      <c r="DU35" s="1579"/>
      <c r="DV35" s="1579"/>
      <c r="DW35" s="1579"/>
      <c r="DX35" s="1579"/>
      <c r="DY35" s="1579"/>
      <c r="DZ35" s="1579"/>
      <c r="EA35" s="1579"/>
      <c r="EB35" s="1579"/>
      <c r="EC35" s="1579"/>
      <c r="ED35" s="1579"/>
      <c r="EE35" s="1579"/>
      <c r="EF35" s="1579"/>
      <c r="EG35" s="1579"/>
      <c r="EH35" s="1579"/>
      <c r="EI35" s="1579"/>
      <c r="EJ35" s="1579"/>
      <c r="EK35" s="1579"/>
      <c r="EL35" s="1579"/>
      <c r="EM35" s="1579"/>
      <c r="EN35" s="1579"/>
      <c r="EO35" s="1579"/>
      <c r="EP35" s="1579"/>
      <c r="EQ35" s="1579"/>
      <c r="ER35" s="1579"/>
      <c r="ES35" s="1579"/>
      <c r="ET35" s="1579"/>
      <c r="EU35" s="1579"/>
      <c r="EV35" s="1579"/>
      <c r="EW35" s="1579"/>
      <c r="EX35" s="1579"/>
      <c r="EY35" s="1579"/>
      <c r="EZ35" s="1579"/>
      <c r="FA35" s="1579"/>
      <c r="FB35" s="1579"/>
      <c r="FC35" s="1579"/>
      <c r="FD35" s="1579"/>
      <c r="FE35" s="1579"/>
      <c r="FF35" s="1579"/>
      <c r="FG35" s="1579"/>
      <c r="FH35" s="1579"/>
      <c r="FI35" s="1579"/>
      <c r="FJ35" s="1579"/>
      <c r="FK35" s="1579"/>
      <c r="FL35" s="1579"/>
      <c r="FM35" s="1579"/>
      <c r="FN35" s="1579"/>
      <c r="FO35" s="1579"/>
      <c r="FP35" s="1579"/>
      <c r="FQ35" s="1579"/>
      <c r="FR35" s="1579"/>
      <c r="FS35" s="1579"/>
      <c r="FT35" s="1579"/>
      <c r="FU35" s="1579"/>
      <c r="FV35" s="1579"/>
    </row>
    <row r="36" spans="1:178" s="1579" customFormat="1" ht="42.6" customHeight="1" outlineLevel="1" x14ac:dyDescent="0.25">
      <c r="A36" s="1587"/>
      <c r="B36" s="3113" t="s">
        <v>81</v>
      </c>
      <c r="C36" s="2822"/>
      <c r="D36" s="2823"/>
      <c r="E36" s="3102">
        <f>C36+D36</f>
        <v>0</v>
      </c>
      <c r="F36" s="2831" t="e">
        <f>E36/$E$89</f>
        <v>#DIV/0!</v>
      </c>
      <c r="G36" s="1995">
        <v>55274.12</v>
      </c>
      <c r="H36" s="2067">
        <v>0</v>
      </c>
      <c r="I36" s="3103">
        <f>G36+H36*1</f>
        <v>55274.12</v>
      </c>
      <c r="J36" s="3024">
        <f t="shared" si="23"/>
        <v>1.009612275128324E-3</v>
      </c>
      <c r="K36" s="2062"/>
      <c r="L36" s="2062"/>
      <c r="M36" s="3060">
        <v>10700.16</v>
      </c>
      <c r="N36" s="3061"/>
      <c r="O36" s="3114">
        <f>M36+N36*1</f>
        <v>10700.16</v>
      </c>
      <c r="P36" s="3063">
        <f>O36/$AS$89</f>
        <v>1.5385602742842815E-3</v>
      </c>
      <c r="Q36" s="3065" t="s">
        <v>1832</v>
      </c>
      <c r="R36" s="3073">
        <f>7800+7400+2200+2900+3073.56</f>
        <v>23373.56</v>
      </c>
      <c r="S36" s="3061"/>
      <c r="T36" s="3104">
        <f>R36+S36*1</f>
        <v>23373.56</v>
      </c>
      <c r="U36" s="3180">
        <f>T36/$AS$89</f>
        <v>3.3608498269745608E-3</v>
      </c>
      <c r="V36" s="3065" t="s">
        <v>1883</v>
      </c>
      <c r="W36" s="2067"/>
      <c r="X36" s="2059"/>
      <c r="Y36" s="3102">
        <f>W36+X36*1</f>
        <v>0</v>
      </c>
      <c r="Z36" s="2809">
        <f>Y36/$AS$89</f>
        <v>0</v>
      </c>
      <c r="AA36" s="2062"/>
      <c r="AB36" s="3061">
        <v>21200.399999999998</v>
      </c>
      <c r="AC36" s="3070"/>
      <c r="AD36" s="3104">
        <f>AB36+AC36*1</f>
        <v>21200.399999999998</v>
      </c>
      <c r="AE36" s="3180">
        <f>AD36/$AS$89</f>
        <v>3.048374345704782E-3</v>
      </c>
      <c r="AF36" s="3065" t="s">
        <v>1833</v>
      </c>
      <c r="AG36" s="2067"/>
      <c r="AH36" s="2059"/>
      <c r="AI36" s="3102">
        <f>AG36+AH36*1</f>
        <v>0</v>
      </c>
      <c r="AJ36" s="2809">
        <f>AI36/$AS$89</f>
        <v>0</v>
      </c>
      <c r="AK36" s="2062"/>
      <c r="AL36" s="2067"/>
      <c r="AM36" s="2059"/>
      <c r="AN36" s="3102">
        <f>AL36+AM36*1</f>
        <v>0</v>
      </c>
      <c r="AO36" s="2809"/>
      <c r="AP36" s="2062"/>
      <c r="AQ36" s="2067">
        <f>(4500+4761.67+1696.75)*1.2*0</f>
        <v>0</v>
      </c>
      <c r="AR36" s="2059"/>
      <c r="AS36" s="3102">
        <f>AQ36+AR36*1</f>
        <v>0</v>
      </c>
      <c r="AT36" s="2809">
        <f>AS36/$AS$89</f>
        <v>0</v>
      </c>
      <c r="AU36" s="2062" t="s">
        <v>1662</v>
      </c>
      <c r="AV36" s="2067"/>
      <c r="AW36" s="2059"/>
      <c r="AX36" s="3102">
        <f>AV36+AW36*1</f>
        <v>0</v>
      </c>
      <c r="AY36" s="2809">
        <f>AX36/$AX$89</f>
        <v>0</v>
      </c>
      <c r="AZ36" s="2062"/>
      <c r="BA36" s="2067"/>
      <c r="BB36" s="2059"/>
      <c r="BC36" s="3102">
        <f>BA36+BB36*1</f>
        <v>0</v>
      </c>
      <c r="BD36" s="2809">
        <f>BC36/$AX$89</f>
        <v>0</v>
      </c>
      <c r="BE36" s="2062"/>
      <c r="BF36" s="2067"/>
      <c r="BG36" s="2059"/>
      <c r="BH36" s="3102">
        <f>BF36+BG36*1</f>
        <v>0</v>
      </c>
      <c r="BI36" s="2809">
        <f t="shared" si="26"/>
        <v>0</v>
      </c>
      <c r="BJ36" s="2062"/>
      <c r="BK36" s="2067"/>
      <c r="BL36" s="2059"/>
      <c r="BM36" s="3102">
        <f>BK36+BL36*1</f>
        <v>0</v>
      </c>
      <c r="BN36" s="2809">
        <f t="shared" si="58"/>
        <v>0</v>
      </c>
      <c r="BO36" s="2062"/>
      <c r="BP36" s="2067"/>
      <c r="BQ36" s="2059"/>
      <c r="BR36" s="3102">
        <f>BP36+BQ36*1</f>
        <v>0</v>
      </c>
      <c r="BS36" s="2809">
        <f t="shared" si="59"/>
        <v>0</v>
      </c>
      <c r="BT36" s="2062"/>
      <c r="BU36" s="2067"/>
      <c r="BV36" s="2059"/>
      <c r="BW36" s="3102">
        <f>BU36+BV36*1</f>
        <v>0</v>
      </c>
      <c r="BX36" s="2809">
        <f t="shared" si="60"/>
        <v>0</v>
      </c>
      <c r="BY36" s="2062"/>
      <c r="BZ36" s="2067"/>
      <c r="CA36" s="2059"/>
      <c r="CB36" s="3102">
        <f>BZ36+CA36*1</f>
        <v>0</v>
      </c>
      <c r="CC36" s="2809">
        <f t="shared" si="61"/>
        <v>0</v>
      </c>
      <c r="CD36" s="2062"/>
      <c r="CE36" s="2067"/>
      <c r="CF36" s="2059"/>
      <c r="CG36" s="3102">
        <f>CE36+CF36*1</f>
        <v>0</v>
      </c>
      <c r="CH36" s="2809">
        <f t="shared" si="62"/>
        <v>0</v>
      </c>
      <c r="CI36" s="2062"/>
      <c r="CJ36" s="2067"/>
      <c r="CK36" s="2059"/>
      <c r="CL36" s="3102">
        <f>CJ36+CK36*1</f>
        <v>0</v>
      </c>
      <c r="CM36" s="2809">
        <f t="shared" si="63"/>
        <v>0</v>
      </c>
      <c r="CN36" s="2062"/>
      <c r="CO36" s="2059">
        <f>M36+R36+W36+AB36+AG36+AL36+AQ36+AV36+BA36+BF36+BK36+BP36+BU36+BZ36+CE36+CJ36</f>
        <v>55274.119999999995</v>
      </c>
      <c r="CP36" s="2059">
        <f>N36+S36+X36+AC36+AH36+AM36+AR36+AW36+BB36+BG36+BL36+BQ36+BV36+CA36+CF36+CK36</f>
        <v>0</v>
      </c>
      <c r="CQ36" s="3102">
        <f>CO36+CP36*1</f>
        <v>55274.119999999995</v>
      </c>
      <c r="CR36" s="2809">
        <f>CQ36/$CQ$89</f>
        <v>5.8745696020442962E-4</v>
      </c>
      <c r="CS36" s="2824"/>
      <c r="CT36" s="919"/>
    </row>
    <row r="37" spans="1:178" s="1411" customFormat="1" ht="14.4" customHeight="1" thickBot="1" x14ac:dyDescent="0.3">
      <c r="A37" s="1413"/>
      <c r="B37" s="2858"/>
      <c r="C37" s="2927"/>
      <c r="D37" s="2860"/>
      <c r="E37" s="2929"/>
      <c r="F37" s="2930"/>
      <c r="G37" s="2003"/>
      <c r="H37" s="2044"/>
      <c r="I37" s="3028"/>
      <c r="J37" s="3026"/>
      <c r="K37" s="2931"/>
      <c r="L37" s="2931"/>
      <c r="M37" s="2003"/>
      <c r="N37" s="2044"/>
      <c r="O37" s="3028"/>
      <c r="P37" s="3026"/>
      <c r="Q37" s="2931"/>
      <c r="R37" s="1755"/>
      <c r="S37" s="2044"/>
      <c r="T37" s="2929"/>
      <c r="U37" s="2910"/>
      <c r="V37" s="2931"/>
      <c r="W37" s="2044"/>
      <c r="X37" s="2041"/>
      <c r="Y37" s="2929"/>
      <c r="Z37" s="2910"/>
      <c r="AA37" s="2931"/>
      <c r="AB37" s="1793"/>
      <c r="AC37" s="2048"/>
      <c r="AD37" s="3029"/>
      <c r="AE37" s="3030"/>
      <c r="AF37" s="3029"/>
      <c r="AG37" s="2044"/>
      <c r="AH37" s="2041"/>
      <c r="AI37" s="2929"/>
      <c r="AJ37" s="2910"/>
      <c r="AK37" s="2931"/>
      <c r="AL37" s="2044"/>
      <c r="AM37" s="2041"/>
      <c r="AN37" s="2929"/>
      <c r="AO37" s="2910"/>
      <c r="AP37" s="2931"/>
      <c r="AQ37" s="2044"/>
      <c r="AR37" s="2041"/>
      <c r="AS37" s="2929"/>
      <c r="AT37" s="2910"/>
      <c r="AU37" s="2931"/>
      <c r="AV37" s="2044"/>
      <c r="AW37" s="2041"/>
      <c r="AX37" s="2929"/>
      <c r="AY37" s="2910"/>
      <c r="AZ37" s="2931"/>
      <c r="BA37" s="2044"/>
      <c r="BB37" s="2041"/>
      <c r="BC37" s="2929"/>
      <c r="BD37" s="2910"/>
      <c r="BE37" s="2931"/>
      <c r="BF37" s="2044"/>
      <c r="BG37" s="2041"/>
      <c r="BH37" s="2929"/>
      <c r="BI37" s="2910"/>
      <c r="BJ37" s="2931"/>
      <c r="BK37" s="2044"/>
      <c r="BL37" s="2041"/>
      <c r="BM37" s="2929"/>
      <c r="BN37" s="2910">
        <f t="shared" ref="BN37" si="64">BM37/$BM$89</f>
        <v>0</v>
      </c>
      <c r="BO37" s="2931"/>
      <c r="BP37" s="2044"/>
      <c r="BQ37" s="2041"/>
      <c r="BR37" s="2929"/>
      <c r="BS37" s="2910">
        <f t="shared" ref="BS37" si="65">BR37/$BM$89</f>
        <v>0</v>
      </c>
      <c r="BT37" s="2931"/>
      <c r="BU37" s="2044"/>
      <c r="BV37" s="2041"/>
      <c r="BW37" s="2929"/>
      <c r="BX37" s="2910">
        <f t="shared" ref="BX37" si="66">BW37/$BM$89</f>
        <v>0</v>
      </c>
      <c r="BY37" s="2931"/>
      <c r="BZ37" s="2044"/>
      <c r="CA37" s="2041"/>
      <c r="CB37" s="2929"/>
      <c r="CC37" s="2910">
        <f t="shared" ref="CC37" si="67">CB37/$BM$89</f>
        <v>0</v>
      </c>
      <c r="CD37" s="2931"/>
      <c r="CE37" s="2044"/>
      <c r="CF37" s="2041"/>
      <c r="CG37" s="2929"/>
      <c r="CH37" s="2910">
        <f t="shared" ref="CH37" si="68">CG37/$BM$89</f>
        <v>0</v>
      </c>
      <c r="CI37" s="2931"/>
      <c r="CJ37" s="2044"/>
      <c r="CK37" s="2041"/>
      <c r="CL37" s="2929"/>
      <c r="CM37" s="2910">
        <f t="shared" ref="CM37" si="69">CL37/$BM$89</f>
        <v>0</v>
      </c>
      <c r="CN37" s="2931"/>
      <c r="CO37" s="2041"/>
      <c r="CP37" s="2041"/>
      <c r="CQ37" s="2929"/>
      <c r="CR37" s="2929"/>
      <c r="CS37" s="2929"/>
      <c r="CT37" s="919"/>
      <c r="CU37" s="1579"/>
      <c r="CV37" s="1579"/>
      <c r="CW37" s="1579"/>
      <c r="CX37" s="1579"/>
      <c r="CY37" s="1579"/>
      <c r="CZ37" s="1579"/>
      <c r="DA37" s="1579"/>
      <c r="DB37" s="1579"/>
      <c r="DC37" s="1579"/>
      <c r="DD37" s="1579"/>
      <c r="DE37" s="1579"/>
      <c r="DF37" s="1579"/>
      <c r="DG37" s="1579"/>
      <c r="DH37" s="1579"/>
      <c r="DI37" s="1579"/>
      <c r="DJ37" s="1579"/>
      <c r="DK37" s="1579"/>
      <c r="DL37" s="1579"/>
      <c r="DM37" s="1579"/>
      <c r="DN37" s="1579"/>
      <c r="DO37" s="1579"/>
      <c r="DP37" s="1579"/>
      <c r="DQ37" s="1579"/>
      <c r="DR37" s="1579"/>
      <c r="DS37" s="1579"/>
      <c r="DT37" s="1579"/>
      <c r="DU37" s="1579"/>
      <c r="DV37" s="1579"/>
      <c r="DW37" s="1579"/>
      <c r="DX37" s="1579"/>
      <c r="DY37" s="1579"/>
      <c r="DZ37" s="1579"/>
      <c r="EA37" s="1579"/>
      <c r="EB37" s="1579"/>
      <c r="EC37" s="1579"/>
      <c r="ED37" s="1579"/>
      <c r="EE37" s="1579"/>
      <c r="EF37" s="1579"/>
      <c r="EG37" s="1579"/>
      <c r="EH37" s="1579"/>
      <c r="EI37" s="1579"/>
      <c r="EJ37" s="1579"/>
      <c r="EK37" s="1579"/>
      <c r="EL37" s="1579"/>
      <c r="EM37" s="1579"/>
      <c r="EN37" s="1579"/>
      <c r="EO37" s="1579"/>
      <c r="EP37" s="1579"/>
      <c r="EQ37" s="1579"/>
      <c r="ER37" s="1579"/>
      <c r="ES37" s="1579"/>
      <c r="ET37" s="1579"/>
      <c r="EU37" s="1579"/>
      <c r="EV37" s="1579"/>
      <c r="EW37" s="1579"/>
      <c r="EX37" s="1579"/>
      <c r="EY37" s="1579"/>
      <c r="EZ37" s="1579"/>
      <c r="FA37" s="1579"/>
      <c r="FB37" s="1579"/>
      <c r="FC37" s="1579"/>
      <c r="FD37" s="1579"/>
      <c r="FE37" s="1579"/>
      <c r="FF37" s="1579"/>
      <c r="FG37" s="1579"/>
      <c r="FH37" s="1579"/>
      <c r="FI37" s="1579"/>
      <c r="FJ37" s="1579"/>
      <c r="FK37" s="1579"/>
      <c r="FL37" s="1579"/>
      <c r="FM37" s="1579"/>
      <c r="FN37" s="1579"/>
      <c r="FO37" s="1579"/>
      <c r="FP37" s="1579"/>
      <c r="FQ37" s="1579"/>
      <c r="FR37" s="1579"/>
      <c r="FS37" s="1579"/>
      <c r="FT37" s="1579"/>
      <c r="FU37" s="1579"/>
      <c r="FV37" s="1579"/>
    </row>
    <row r="38" spans="1:178" ht="14.4" customHeight="1" thickBot="1" x14ac:dyDescent="0.3">
      <c r="A38" s="1441"/>
      <c r="B38" s="981" t="s">
        <v>46</v>
      </c>
      <c r="C38" s="2018">
        <f>(C5)-(C8)</f>
        <v>116246095.55673152</v>
      </c>
      <c r="D38" s="2018">
        <f>(D5)-(D8)</f>
        <v>0</v>
      </c>
      <c r="E38" s="2018">
        <f>(E5)-(E8)</f>
        <v>116246095.55673152</v>
      </c>
      <c r="F38" s="1545"/>
      <c r="G38" s="2004">
        <f>(G5)-(G8)</f>
        <v>22908333.883999996</v>
      </c>
      <c r="H38" s="2018">
        <f>(H5)-(H8)</f>
        <v>-4679259.05</v>
      </c>
      <c r="I38" s="2004">
        <f>(I5)-(I8)</f>
        <v>18229074.833999984</v>
      </c>
      <c r="J38" s="2018"/>
      <c r="K38" s="2037"/>
      <c r="L38" s="2037"/>
      <c r="M38" s="2004">
        <v>-862459.10200000007</v>
      </c>
      <c r="N38" s="2018">
        <v>-279053.75</v>
      </c>
      <c r="O38" s="2004">
        <f>(O5)-(O8)</f>
        <v>-1129831.24</v>
      </c>
      <c r="P38" s="2018"/>
      <c r="Q38" s="2037"/>
      <c r="R38" s="2018">
        <v>3882820.1979999999</v>
      </c>
      <c r="S38" s="2018">
        <v>-676989.8</v>
      </c>
      <c r="T38" s="2018">
        <f>(T5)-(T8)</f>
        <v>3193384.486</v>
      </c>
      <c r="U38" s="2018"/>
      <c r="V38" s="2037"/>
      <c r="W38" s="2018">
        <v>4761338.62</v>
      </c>
      <c r="X38" s="2018">
        <v>-1009669.83</v>
      </c>
      <c r="Y38" s="2018">
        <f>(Y5)-(Y8)</f>
        <v>3409970.8020000011</v>
      </c>
      <c r="Z38" s="2018"/>
      <c r="AA38" s="2037"/>
      <c r="AB38" s="2051">
        <v>8892366.3939999975</v>
      </c>
      <c r="AC38" s="2051">
        <v>-1157723.7999999998</v>
      </c>
      <c r="AD38" s="2051">
        <f>(AD5)-(AD8)</f>
        <v>3089086.4520000014</v>
      </c>
      <c r="AE38" s="2051"/>
      <c r="AF38" s="2051"/>
      <c r="AG38" s="2018">
        <f>(AG5)-(AG8)</f>
        <v>10596495.758000001</v>
      </c>
      <c r="AH38" s="2018">
        <f>(AH5)-(AH8)</f>
        <v>-1608506.8099999998</v>
      </c>
      <c r="AI38" s="2018">
        <f>(AI5)-(AI8)</f>
        <v>8987988.9480000027</v>
      </c>
      <c r="AJ38" s="2018"/>
      <c r="AK38" s="2037"/>
      <c r="AL38" s="2018">
        <f>(AL5)-(AL8)</f>
        <v>4999878.3860000009</v>
      </c>
      <c r="AM38" s="2018">
        <f>(AM5)-(AM8)</f>
        <v>-1114643.3899999999</v>
      </c>
      <c r="AN38" s="2018">
        <f>(AN5)-(AN8)</f>
        <v>3885234.9960000003</v>
      </c>
      <c r="AO38" s="2018"/>
      <c r="AP38" s="2037"/>
      <c r="AQ38" s="2018">
        <f>(AQ5)-(AQ8)</f>
        <v>3055652.2179999985</v>
      </c>
      <c r="AR38" s="2018">
        <f>(AR5)-(AR8)</f>
        <v>-779534.22</v>
      </c>
      <c r="AS38" s="2018">
        <f>(AS5)-(AS8)</f>
        <v>2276117.9979999978</v>
      </c>
      <c r="AT38" s="2018"/>
      <c r="AU38" s="2037"/>
      <c r="AV38" s="2018">
        <f>(AV5)-(AV8)</f>
        <v>491197.86399999959</v>
      </c>
      <c r="AW38" s="2018">
        <f>(AW5)-(AW8)</f>
        <v>-630805.27999999991</v>
      </c>
      <c r="AX38" s="2018">
        <f>(AX5)-(AX8)</f>
        <v>-139607.4160000002</v>
      </c>
      <c r="AY38" s="2018"/>
      <c r="AZ38" s="2037"/>
      <c r="BA38" s="2018">
        <f>(BA5)-(BA8)</f>
        <v>983705.20800000103</v>
      </c>
      <c r="BB38" s="2018">
        <f>(BB5)-(BB8)</f>
        <v>-908728.84000000008</v>
      </c>
      <c r="BC38" s="2018">
        <f>(BC5)-(BC8)</f>
        <v>74976.368000001181</v>
      </c>
      <c r="BD38" s="2018"/>
      <c r="BE38" s="2037"/>
      <c r="BF38" s="2018">
        <f>(BF5)-(BF8)</f>
        <v>4309965.51</v>
      </c>
      <c r="BG38" s="2018">
        <f>(BG5)-(BG8)</f>
        <v>-624531.01</v>
      </c>
      <c r="BH38" s="2018">
        <f>(BH5)-(BH8)</f>
        <v>3685434.5</v>
      </c>
      <c r="BI38" s="2018"/>
      <c r="BJ38" s="2037"/>
      <c r="BK38" s="2018">
        <f>(BK5)-(BK8)</f>
        <v>5886442.6799999978</v>
      </c>
      <c r="BL38" s="2018">
        <f>(BL5)-(BL8)</f>
        <v>-1181798.69</v>
      </c>
      <c r="BM38" s="2018">
        <f>(BM5)-(BM8)</f>
        <v>4704643.9899999984</v>
      </c>
      <c r="BN38" s="2018"/>
      <c r="BO38" s="2037"/>
      <c r="BP38" s="2018">
        <f>(BP5)-(BP8)</f>
        <v>91983.388000000035</v>
      </c>
      <c r="BQ38" s="2018">
        <f>(BQ5)-(BQ8)</f>
        <v>-661156.1</v>
      </c>
      <c r="BR38" s="2018">
        <f>(BR5)-(BR8)</f>
        <v>-569172.71200000006</v>
      </c>
      <c r="BS38" s="2018"/>
      <c r="BT38" s="2037"/>
      <c r="BU38" s="2018">
        <f>(BU5)-(BU8)</f>
        <v>-147455.12600000002</v>
      </c>
      <c r="BV38" s="2018">
        <f>(BV5)-(BV8)</f>
        <v>-290000</v>
      </c>
      <c r="BW38" s="2018">
        <f>(BW5)-(BW8)</f>
        <v>-437455.12600000005</v>
      </c>
      <c r="BX38" s="2018"/>
      <c r="BY38" s="2037"/>
      <c r="BZ38" s="2018">
        <f>(BZ5)-(BZ8)</f>
        <v>-3567778.71</v>
      </c>
      <c r="CA38" s="2018">
        <f>(CA5)-(CA8)</f>
        <v>0</v>
      </c>
      <c r="CB38" s="2018">
        <f>(CB5)-(CB8)</f>
        <v>-3567778.71</v>
      </c>
      <c r="CC38" s="2018"/>
      <c r="CD38" s="2037"/>
      <c r="CE38" s="2018">
        <f>(CE5)-(CE8)</f>
        <v>-2009530.5899999999</v>
      </c>
      <c r="CF38" s="2018">
        <f>(CF5)-(CF8)</f>
        <v>0</v>
      </c>
      <c r="CG38" s="2018">
        <f>(CG5)-(CG8)</f>
        <v>-2009530.5899999999</v>
      </c>
      <c r="CH38" s="2018"/>
      <c r="CI38" s="2037"/>
      <c r="CJ38" s="2018">
        <f>(CJ5)-(CJ8)</f>
        <v>0</v>
      </c>
      <c r="CK38" s="2018">
        <f>(CK5)-(CK8)</f>
        <v>0</v>
      </c>
      <c r="CL38" s="2018">
        <f>(CL5)-(CL8)</f>
        <v>0</v>
      </c>
      <c r="CM38" s="2018"/>
      <c r="CN38" s="2037"/>
      <c r="CO38" s="2018">
        <f>(CO5)-(CO8)</f>
        <v>36335604.266000003</v>
      </c>
      <c r="CP38" s="2018">
        <f>(CP5)-(CP8)</f>
        <v>-10882141.52</v>
      </c>
      <c r="CQ38" s="2018">
        <f>(CQ5)-(CQ8)</f>
        <v>25453462.745999992</v>
      </c>
      <c r="CR38" s="2018"/>
      <c r="CS38" s="2018"/>
      <c r="CT38" s="919"/>
      <c r="CU38" s="1579"/>
      <c r="CV38" s="1579"/>
      <c r="CW38" s="1579"/>
    </row>
    <row r="39" spans="1:178" ht="14.4" customHeight="1" x14ac:dyDescent="0.25">
      <c r="A39" s="1580"/>
      <c r="B39" s="982" t="s">
        <v>47</v>
      </c>
      <c r="C39" s="1540">
        <f>C38/(C5)</f>
        <v>1</v>
      </c>
      <c r="D39" s="1540" t="e">
        <f>D38/(D5)</f>
        <v>#DIV/0!</v>
      </c>
      <c r="E39" s="1541">
        <f>E38/(E5)</f>
        <v>1</v>
      </c>
      <c r="F39" s="1546"/>
      <c r="G39" s="2019">
        <f>G38/(G5)</f>
        <v>0.31802421301972961</v>
      </c>
      <c r="H39" s="2020">
        <f>H38/(H5)</f>
        <v>-138.43961686390531</v>
      </c>
      <c r="I39" s="2019">
        <f>I38/(I5)</f>
        <v>0.25294585966894623</v>
      </c>
      <c r="J39" s="2020"/>
      <c r="K39" s="2038"/>
      <c r="L39" s="2038"/>
      <c r="M39" s="2019" t="e">
        <v>#DIV/0!</v>
      </c>
      <c r="N39" s="2020" t="e">
        <v>#DIV/0!</v>
      </c>
      <c r="O39" s="2019" t="e">
        <f>O38/(O5)</f>
        <v>#DIV/0!</v>
      </c>
      <c r="P39" s="2020"/>
      <c r="Q39" s="2038"/>
      <c r="R39" s="2019">
        <v>0.60982161349968533</v>
      </c>
      <c r="S39" s="2019" t="e">
        <v>#DIV/0!</v>
      </c>
      <c r="T39" s="2020">
        <f>T38/(T5)</f>
        <v>0.50058222412882125</v>
      </c>
      <c r="U39" s="2020"/>
      <c r="V39" s="2038"/>
      <c r="W39" s="2019">
        <v>0.47285255653482317</v>
      </c>
      <c r="X39" s="2019" t="e">
        <v>#DIV/0!</v>
      </c>
      <c r="Y39" s="2020">
        <f>Y38/(Y5)</f>
        <v>0.33864707808469247</v>
      </c>
      <c r="Z39" s="2020"/>
      <c r="AA39" s="2038"/>
      <c r="AB39" s="2052">
        <v>0.60920997452099335</v>
      </c>
      <c r="AC39" s="2052" t="e">
        <v>#DIV/0!</v>
      </c>
      <c r="AD39" s="2053">
        <f>AD38/(AD5)</f>
        <v>0.2111422878835203</v>
      </c>
      <c r="AE39" s="2053"/>
      <c r="AF39" s="2053"/>
      <c r="AG39" s="2019">
        <f>AG38/(AG5)</f>
        <v>0.26072708512645304</v>
      </c>
      <c r="AH39" s="2019" t="e">
        <f>AH38/(AH5)</f>
        <v>#DIV/0!</v>
      </c>
      <c r="AI39" s="2020">
        <f>AI38/(AI5)</f>
        <v>0.22114972846486702</v>
      </c>
      <c r="AJ39" s="2020"/>
      <c r="AK39" s="2038"/>
      <c r="AL39" s="2019">
        <f>AL38/(AL5)</f>
        <v>0.49402206226362683</v>
      </c>
      <c r="AM39" s="2019" t="e">
        <f>AM38/(AM5)</f>
        <v>#DIV/0!</v>
      </c>
      <c r="AN39" s="2020">
        <f>AN38/(AN5)</f>
        <v>0.38388769824425356</v>
      </c>
      <c r="AO39" s="2020"/>
      <c r="AP39" s="2038"/>
      <c r="AQ39" s="2019">
        <f>AQ38/(AQ5)</f>
        <v>0.3381965988500365</v>
      </c>
      <c r="AR39" s="2019" t="e">
        <f>AR38/(AR5)</f>
        <v>#DIV/0!</v>
      </c>
      <c r="AS39" s="2020">
        <f>AS38/(AS5)</f>
        <v>0.2519185138185624</v>
      </c>
      <c r="AT39" s="2020"/>
      <c r="AU39" s="2038"/>
      <c r="AV39" s="2019">
        <f>AV38/(AV5)</f>
        <v>0.18833711731419353</v>
      </c>
      <c r="AW39" s="2019" t="e">
        <f>AW38/(AW5)</f>
        <v>#DIV/0!</v>
      </c>
      <c r="AX39" s="2020">
        <f>AX38/(AX5)</f>
        <v>-5.3528853059351823E-2</v>
      </c>
      <c r="AY39" s="2020"/>
      <c r="AZ39" s="2038"/>
      <c r="BA39" s="2019">
        <f>BA38/(BA5)</f>
        <v>0.2899141454027126</v>
      </c>
      <c r="BB39" s="2019" t="e">
        <f>BB38/(BB5)</f>
        <v>#DIV/0!</v>
      </c>
      <c r="BC39" s="2020">
        <f>BC38/(BC5)</f>
        <v>2.2096771957030855E-2</v>
      </c>
      <c r="BD39" s="2020"/>
      <c r="BE39" s="2038"/>
      <c r="BF39" s="2019">
        <f>BF38/(BF5)</f>
        <v>0.53443118106663756</v>
      </c>
      <c r="BG39" s="2019" t="e">
        <f>BG38/(BG5)</f>
        <v>#DIV/0!</v>
      </c>
      <c r="BH39" s="2020">
        <f>BH38/(BH5)</f>
        <v>0.45698999400548174</v>
      </c>
      <c r="BI39" s="2020"/>
      <c r="BJ39" s="2038"/>
      <c r="BK39" s="2019">
        <f>BK38/(BK5)</f>
        <v>0.55665291033888231</v>
      </c>
      <c r="BL39" s="2019" t="e">
        <f>BL38/(BL5)</f>
        <v>#DIV/0!</v>
      </c>
      <c r="BM39" s="2020">
        <f>BM38/(BM5)</f>
        <v>0.44489582444075226</v>
      </c>
      <c r="BN39" s="2020"/>
      <c r="BO39" s="2038"/>
      <c r="BP39" s="2019">
        <f>BP38/(BP5)</f>
        <v>5.5087418380886516E-2</v>
      </c>
      <c r="BQ39" s="2019">
        <f>BQ38/(BQ5)</f>
        <v>-16.047478155339807</v>
      </c>
      <c r="BR39" s="2020">
        <f>BR38/(BR5)</f>
        <v>-0.33266059185587959</v>
      </c>
      <c r="BS39" s="2020"/>
      <c r="BT39" s="2038"/>
      <c r="BU39" s="2019" t="e">
        <f>BU38/(BU5)</f>
        <v>#DIV/0!</v>
      </c>
      <c r="BV39" s="2019" t="e">
        <f>BV38/(BV5)</f>
        <v>#DIV/0!</v>
      </c>
      <c r="BW39" s="2020" t="e">
        <f>BW38/(BW5)</f>
        <v>#DIV/0!</v>
      </c>
      <c r="BX39" s="2020"/>
      <c r="BY39" s="2038"/>
      <c r="BZ39" s="2019" t="e">
        <f>BZ38/(BZ5)</f>
        <v>#DIV/0!</v>
      </c>
      <c r="CA39" s="2019" t="e">
        <f>CA38/(CA5)</f>
        <v>#DIV/0!</v>
      </c>
      <c r="CB39" s="2020" t="e">
        <f>CB38/(CB5)</f>
        <v>#DIV/0!</v>
      </c>
      <c r="CC39" s="2020"/>
      <c r="CD39" s="2038"/>
      <c r="CE39" s="2019" t="e">
        <f>CE38/(CE5)</f>
        <v>#DIV/0!</v>
      </c>
      <c r="CF39" s="2019" t="e">
        <f>CF38/(CF5)</f>
        <v>#DIV/0!</v>
      </c>
      <c r="CG39" s="2020" t="e">
        <f>CG38/(CG5)</f>
        <v>#DIV/0!</v>
      </c>
      <c r="CH39" s="2020"/>
      <c r="CI39" s="2038"/>
      <c r="CJ39" s="2019">
        <f>CJ38/(CJ5)</f>
        <v>0</v>
      </c>
      <c r="CK39" s="2019" t="e">
        <f>CK38/(CK5)</f>
        <v>#DIV/0!</v>
      </c>
      <c r="CL39" s="2020">
        <f>CL38/(CL5)</f>
        <v>0</v>
      </c>
      <c r="CM39" s="2020"/>
      <c r="CN39" s="2038"/>
      <c r="CO39" s="2019">
        <f>CO38/(CO5)</f>
        <v>0.31016025225290506</v>
      </c>
      <c r="CP39" s="2019">
        <f>CP38/(CP5)</f>
        <v>-132.38614987834549</v>
      </c>
      <c r="CQ39" s="2020">
        <f>CQ38/(CQ5)</f>
        <v>0.21711808905313706</v>
      </c>
      <c r="CR39" s="2020"/>
      <c r="CS39" s="2020"/>
      <c r="CT39" s="919"/>
      <c r="CU39" s="1579"/>
      <c r="CV39" s="1579"/>
      <c r="CW39" s="1579"/>
    </row>
    <row r="40" spans="1:178" ht="14.4" customHeight="1" outlineLevel="1" thickBot="1" x14ac:dyDescent="0.3">
      <c r="A40" s="1582"/>
      <c r="B40" s="3188"/>
      <c r="C40" s="3189"/>
      <c r="D40" s="3190"/>
      <c r="E40" s="3191"/>
      <c r="F40" s="3192"/>
      <c r="G40" s="3031"/>
      <c r="H40" s="2861"/>
      <c r="I40" s="3031"/>
      <c r="J40" s="2861"/>
      <c r="K40" s="2937"/>
      <c r="L40" s="2937"/>
      <c r="M40" s="3031"/>
      <c r="N40" s="2861"/>
      <c r="O40" s="3031"/>
      <c r="P40" s="2861"/>
      <c r="Q40" s="2937"/>
      <c r="R40" s="2861"/>
      <c r="S40" s="2935"/>
      <c r="T40" s="2935"/>
      <c r="U40" s="2935"/>
      <c r="V40" s="2937"/>
      <c r="W40" s="2861"/>
      <c r="X40" s="2935"/>
      <c r="Y40" s="2935"/>
      <c r="Z40" s="2935"/>
      <c r="AA40" s="2937"/>
      <c r="AB40" s="3032"/>
      <c r="AC40" s="3033"/>
      <c r="AD40" s="3033"/>
      <c r="AE40" s="3033"/>
      <c r="AF40" s="3033"/>
      <c r="AG40" s="2861"/>
      <c r="AH40" s="2935"/>
      <c r="AI40" s="2935"/>
      <c r="AJ40" s="2935"/>
      <c r="AK40" s="2937"/>
      <c r="AL40" s="2861"/>
      <c r="AM40" s="2935"/>
      <c r="AN40" s="2935"/>
      <c r="AO40" s="2935"/>
      <c r="AP40" s="2937"/>
      <c r="AQ40" s="2861"/>
      <c r="AR40" s="2935"/>
      <c r="AS40" s="2935"/>
      <c r="AT40" s="2935"/>
      <c r="AU40" s="2937"/>
      <c r="AV40" s="2861"/>
      <c r="AW40" s="2935"/>
      <c r="AX40" s="2935"/>
      <c r="AY40" s="2935"/>
      <c r="AZ40" s="2937"/>
      <c r="BA40" s="2861"/>
      <c r="BB40" s="2935"/>
      <c r="BC40" s="2935"/>
      <c r="BD40" s="2935"/>
      <c r="BE40" s="2937"/>
      <c r="BF40" s="2861"/>
      <c r="BG40" s="2935"/>
      <c r="BH40" s="2935"/>
      <c r="BI40" s="2935"/>
      <c r="BJ40" s="2937"/>
      <c r="BK40" s="2861"/>
      <c r="BL40" s="2935"/>
      <c r="BM40" s="2935"/>
      <c r="BN40" s="2935"/>
      <c r="BO40" s="2937"/>
      <c r="BP40" s="2861"/>
      <c r="BQ40" s="2935"/>
      <c r="BR40" s="2935"/>
      <c r="BS40" s="2935"/>
      <c r="BT40" s="2937"/>
      <c r="BU40" s="2861"/>
      <c r="BV40" s="2935"/>
      <c r="BW40" s="2935"/>
      <c r="BX40" s="2935"/>
      <c r="BY40" s="2937"/>
      <c r="BZ40" s="2861"/>
      <c r="CA40" s="2935"/>
      <c r="CB40" s="2935"/>
      <c r="CC40" s="2935"/>
      <c r="CD40" s="2937"/>
      <c r="CE40" s="2861"/>
      <c r="CF40" s="2935"/>
      <c r="CG40" s="2935"/>
      <c r="CH40" s="2935"/>
      <c r="CI40" s="2937"/>
      <c r="CJ40" s="2861"/>
      <c r="CK40" s="2935"/>
      <c r="CL40" s="2935"/>
      <c r="CM40" s="2935"/>
      <c r="CN40" s="2937"/>
      <c r="CO40" s="2935"/>
      <c r="CP40" s="2935"/>
      <c r="CQ40" s="2935"/>
      <c r="CR40" s="2935"/>
      <c r="CS40" s="2935"/>
      <c r="CT40" s="919"/>
      <c r="CU40" s="1579"/>
      <c r="CV40" s="1579"/>
      <c r="CW40" s="1579"/>
    </row>
    <row r="41" spans="1:178" ht="14.4" customHeight="1" outlineLevel="1" x14ac:dyDescent="0.25">
      <c r="A41" s="1420"/>
      <c r="B41" s="3115" t="s">
        <v>26</v>
      </c>
      <c r="C41" s="3116">
        <f>SUM(C42:C48)</f>
        <v>0</v>
      </c>
      <c r="D41" s="3116">
        <f>SUM(D42:D48)</f>
        <v>0</v>
      </c>
      <c r="E41" s="3117">
        <f>SUM(E42:E48)</f>
        <v>0</v>
      </c>
      <c r="F41" s="2825" t="e">
        <f t="shared" ref="F41:F48" si="70">E41/$E$89</f>
        <v>#DIV/0!</v>
      </c>
      <c r="G41" s="2029">
        <f>SUM(G42:G48)</f>
        <v>58130.85</v>
      </c>
      <c r="H41" s="2030">
        <f>SUM(H42:H48)</f>
        <v>2568.79</v>
      </c>
      <c r="I41" s="2029">
        <f>SUM(I42:I48)</f>
        <v>60699.64</v>
      </c>
      <c r="J41" s="3034">
        <f t="shared" ref="J41:J48" si="71">I41/I$89</f>
        <v>1.1087123890867953E-3</v>
      </c>
      <c r="K41" s="2039"/>
      <c r="L41" s="2039"/>
      <c r="M41" s="2029">
        <v>10629.06</v>
      </c>
      <c r="N41" s="2030">
        <v>593</v>
      </c>
      <c r="O41" s="2029">
        <f>SUM(O42:O48)</f>
        <v>12824.06</v>
      </c>
      <c r="P41" s="3034">
        <f>O41/$AS$89</f>
        <v>1.8439527325795207E-3</v>
      </c>
      <c r="Q41" s="2039"/>
      <c r="R41" s="2029">
        <v>6301.16</v>
      </c>
      <c r="S41" s="2029">
        <v>567.79</v>
      </c>
      <c r="T41" s="2030">
        <f>SUM(T42:T48)</f>
        <v>7275</v>
      </c>
      <c r="U41" s="2825">
        <f>T41/$AS$89</f>
        <v>1.0460615537915461E-3</v>
      </c>
      <c r="V41" s="2039"/>
      <c r="W41" s="2029">
        <v>7263.97</v>
      </c>
      <c r="X41" s="2029">
        <v>1258</v>
      </c>
      <c r="Y41" s="2030">
        <f>SUM(Y42:Y48)</f>
        <v>4681.6499999999996</v>
      </c>
      <c r="Z41" s="2825">
        <f>Y41/$AS$89</f>
        <v>6.7316757021418437E-4</v>
      </c>
      <c r="AA41" s="2039"/>
      <c r="AB41" s="2054">
        <f>SUM(AB42:AB48)</f>
        <v>6839.58</v>
      </c>
      <c r="AC41" s="2054">
        <f>SUM(AC42:AC48)</f>
        <v>0</v>
      </c>
      <c r="AD41" s="2054">
        <f>SUM(AD42:AD48)</f>
        <v>6839.58</v>
      </c>
      <c r="AE41" s="3193">
        <f>AD41/$AS$89</f>
        <v>9.8345315217616253E-4</v>
      </c>
      <c r="AF41" s="2055"/>
      <c r="AG41" s="2029">
        <f>SUM(AG42:AG48)</f>
        <v>22270.14</v>
      </c>
      <c r="AH41" s="2029">
        <f>SUM(AH42:AH48)</f>
        <v>150</v>
      </c>
      <c r="AI41" s="2030">
        <f>SUM(AI42:AI48)</f>
        <v>22420.14</v>
      </c>
      <c r="AJ41" s="2825">
        <f>AI41/$AS$89</f>
        <v>3.223758966958624E-3</v>
      </c>
      <c r="AK41" s="2039"/>
      <c r="AL41" s="2029">
        <f>SUM(AL42:AL48)</f>
        <v>8553.7099999999991</v>
      </c>
      <c r="AM41" s="2029">
        <f>SUM(AM42:AM48)</f>
        <v>0</v>
      </c>
      <c r="AN41" s="2030">
        <f>SUM(AN42:AN48)</f>
        <v>8553.7099999999991</v>
      </c>
      <c r="AO41" s="2825">
        <f t="shared" ref="AO41:AO49" si="72">AN41/$AN$89</f>
        <v>1.3340131813928992E-3</v>
      </c>
      <c r="AP41" s="2039"/>
      <c r="AQ41" s="2029">
        <f>SUM(AQ42:AQ48)</f>
        <v>9856.1299999999992</v>
      </c>
      <c r="AR41" s="2029">
        <f>SUM(AR42:AR48)</f>
        <v>0</v>
      </c>
      <c r="AS41" s="2030">
        <f>SUM(AS42:AS48)</f>
        <v>9856.1299999999992</v>
      </c>
      <c r="AT41" s="2825">
        <f>AS41/$AS$89</f>
        <v>1.4171984415355971E-3</v>
      </c>
      <c r="AU41" s="2039"/>
      <c r="AV41" s="2029">
        <f>SUM(AV42:AV48)</f>
        <v>7747.32</v>
      </c>
      <c r="AW41" s="2029">
        <f>SUM(AW42:AW48)</f>
        <v>0</v>
      </c>
      <c r="AX41" s="2030">
        <f>SUM(AX42:AX48)</f>
        <v>7747.32</v>
      </c>
      <c r="AY41" s="2825">
        <f t="shared" ref="AY41:AY48" si="73">AX41/$AX$89</f>
        <v>2.6719344898825702E-3</v>
      </c>
      <c r="AZ41" s="2039"/>
      <c r="BA41" s="2029">
        <f>SUM(BA42:BA48)</f>
        <v>4550.3700000000008</v>
      </c>
      <c r="BB41" s="2029">
        <f>SUM(BB42:BB48)</f>
        <v>0</v>
      </c>
      <c r="BC41" s="2030">
        <f>SUM(BC42:BC48)</f>
        <v>4550.3700000000008</v>
      </c>
      <c r="BD41" s="2825">
        <f t="shared" ref="BD41:BD48" si="74">BC41/$BC$89</f>
        <v>1.2979670125042671E-3</v>
      </c>
      <c r="BE41" s="2039"/>
      <c r="BF41" s="2029">
        <f>SUM(BF42:BF48)</f>
        <v>6866.3399999999992</v>
      </c>
      <c r="BG41" s="2029">
        <f>SUM(BG42:BG48)</f>
        <v>665.5</v>
      </c>
      <c r="BH41" s="2030">
        <f>SUM(BH42:BH48)</f>
        <v>7531.8399999999992</v>
      </c>
      <c r="BI41" s="2825">
        <f t="shared" ref="BI41:BI48" si="75">BH41/BH$89</f>
        <v>1.6522055031940206E-3</v>
      </c>
      <c r="BJ41" s="2039"/>
      <c r="BK41" s="2029">
        <f>SUM(BK42:BK48)</f>
        <v>6591.3239999999996</v>
      </c>
      <c r="BL41" s="2029">
        <f>SUM(BL42:BL48)</f>
        <v>805.5</v>
      </c>
      <c r="BM41" s="2030">
        <f>SUM(BM42:BM48)</f>
        <v>7396.8239999999996</v>
      </c>
      <c r="BN41" s="2825">
        <f t="shared" ref="BN41:BN48" si="76">BM41/BM$89</f>
        <v>1.2190911237949145E-3</v>
      </c>
      <c r="BO41" s="2039"/>
      <c r="BP41" s="2029">
        <f>SUM(BP42:BP48)</f>
        <v>1365.654</v>
      </c>
      <c r="BQ41" s="2029">
        <f>SUM(BQ42:BQ48)</f>
        <v>43</v>
      </c>
      <c r="BR41" s="2030">
        <f>SUM(BR42:BR48)</f>
        <v>1408.654</v>
      </c>
      <c r="BS41" s="2825">
        <f t="shared" ref="BS41:BS48" si="77">BR41/BR$89</f>
        <v>5.753090036676303E-4</v>
      </c>
      <c r="BT41" s="2039"/>
      <c r="BU41" s="2029">
        <f>SUM(BU42:BU48)</f>
        <v>488.00599999999997</v>
      </c>
      <c r="BV41" s="2029">
        <f>SUM(BV42:BV48)</f>
        <v>0</v>
      </c>
      <c r="BW41" s="2030">
        <f>SUM(BW42:BW48)</f>
        <v>488.00599999999997</v>
      </c>
      <c r="BX41" s="2825">
        <f t="shared" ref="BX41:BX48" si="78">BW41/BW$89</f>
        <v>9.040290285190827E-4</v>
      </c>
      <c r="BY41" s="2039"/>
      <c r="BZ41" s="2029">
        <f>SUM(BZ42:BZ48)</f>
        <v>7764.4800000000005</v>
      </c>
      <c r="CA41" s="2029">
        <f>SUM(CA42:CA48)</f>
        <v>0</v>
      </c>
      <c r="CB41" s="2030">
        <f>SUM(CB42:CB48)</f>
        <v>7764.4800000000005</v>
      </c>
      <c r="CC41" s="2825">
        <f t="shared" ref="CC41:CC48" si="79">CB41/CB$89</f>
        <v>2.171552569051753E-3</v>
      </c>
      <c r="CD41" s="2039"/>
      <c r="CE41" s="2029">
        <f>SUM(CE42:CE48)</f>
        <v>0</v>
      </c>
      <c r="CF41" s="2029">
        <f>SUM(CF42:CF48)</f>
        <v>0</v>
      </c>
      <c r="CG41" s="2030">
        <f>SUM(CG42:CG48)</f>
        <v>0</v>
      </c>
      <c r="CH41" s="2825">
        <f t="shared" ref="CH41:CH48" si="80">CG41/CG$89</f>
        <v>0</v>
      </c>
      <c r="CI41" s="2039"/>
      <c r="CJ41" s="2029">
        <f>SUM(CJ42:CJ48)</f>
        <v>0</v>
      </c>
      <c r="CK41" s="2029">
        <f>SUM(CK42:CK48)</f>
        <v>0</v>
      </c>
      <c r="CL41" s="2030">
        <f>SUM(CL42:CL48)</f>
        <v>0</v>
      </c>
      <c r="CM41" s="2825">
        <f t="shared" ref="CM41:CM48" si="81">CL41/CL$89</f>
        <v>0</v>
      </c>
      <c r="CN41" s="2039"/>
      <c r="CO41" s="2029">
        <f>SUM(CO42:CO48)</f>
        <v>105254.974</v>
      </c>
      <c r="CP41" s="2029">
        <f>SUM(CP42:CP48)</f>
        <v>4082.79</v>
      </c>
      <c r="CQ41" s="2030">
        <f>SUM(CQ42:CQ48)</f>
        <v>109337.76400000001</v>
      </c>
      <c r="CR41" s="2825">
        <f t="shared" ref="CR41:CR49" si="82">CQ41/$CQ$89</f>
        <v>1.162048902361346E-3</v>
      </c>
      <c r="CS41" s="2022"/>
      <c r="CT41" s="919"/>
      <c r="CU41" s="1579"/>
      <c r="CV41" s="1579"/>
      <c r="CW41" s="1579"/>
    </row>
    <row r="42" spans="1:178" ht="14.4" customHeight="1" outlineLevel="2" x14ac:dyDescent="0.25">
      <c r="A42" s="4015"/>
      <c r="B42" s="2812" t="s">
        <v>7</v>
      </c>
      <c r="C42" s="2811"/>
      <c r="D42" s="2826"/>
      <c r="E42" s="3102">
        <f t="shared" ref="E42:E48" si="83">C42+D42</f>
        <v>0</v>
      </c>
      <c r="F42" s="2809" t="e">
        <f t="shared" si="70"/>
        <v>#DIV/0!</v>
      </c>
      <c r="G42" s="1995">
        <v>0</v>
      </c>
      <c r="H42" s="2067">
        <v>120</v>
      </c>
      <c r="I42" s="3103">
        <f t="shared" ref="I42:I48" si="84">G42+H42*1</f>
        <v>120</v>
      </c>
      <c r="J42" s="3024">
        <f t="shared" si="71"/>
        <v>2.1918661575326551E-6</v>
      </c>
      <c r="K42" s="2062"/>
      <c r="L42" s="2062"/>
      <c r="M42" s="1995"/>
      <c r="N42" s="2067"/>
      <c r="O42" s="3103">
        <f t="shared" ref="O42:O48" si="85">M42+N42*1</f>
        <v>0</v>
      </c>
      <c r="P42" s="3024">
        <f t="shared" ref="P42:P48" si="86">O42/$AS$89</f>
        <v>0</v>
      </c>
      <c r="Q42" s="2062"/>
      <c r="R42" s="2067"/>
      <c r="S42" s="2059"/>
      <c r="T42" s="3102">
        <f t="shared" ref="T42:T48" si="87">R42+S42*1</f>
        <v>0</v>
      </c>
      <c r="U42" s="2809">
        <f t="shared" ref="U42:U48" si="88">T42/$AS$89</f>
        <v>0</v>
      </c>
      <c r="V42" s="2062"/>
      <c r="W42" s="3061"/>
      <c r="X42" s="3070">
        <v>120</v>
      </c>
      <c r="Y42" s="3104">
        <f t="shared" ref="Y42:Y48" si="89">W42+X42*1</f>
        <v>120</v>
      </c>
      <c r="Z42" s="3180">
        <f t="shared" ref="Z42:Z48" si="90">Y42/$AS$89</f>
        <v>1.7254623567695605E-5</v>
      </c>
      <c r="AA42" s="3065" t="s">
        <v>1834</v>
      </c>
      <c r="AB42" s="3061"/>
      <c r="AC42" s="3070"/>
      <c r="AD42" s="3104">
        <f t="shared" ref="AD42:AD48" si="91">AB42+AC42*1</f>
        <v>0</v>
      </c>
      <c r="AE42" s="3180">
        <f t="shared" ref="AE42:AE48" si="92">AD42/$AS$89</f>
        <v>0</v>
      </c>
      <c r="AF42" s="3065"/>
      <c r="AG42" s="2067"/>
      <c r="AH42" s="2059"/>
      <c r="AI42" s="3102">
        <f t="shared" ref="AI42:AI48" si="93">AG42+AH42*1</f>
        <v>0</v>
      </c>
      <c r="AJ42" s="2809">
        <f t="shared" ref="AJ42:AJ48" si="94">AI42/$AS$89</f>
        <v>0</v>
      </c>
      <c r="AK42" s="2062"/>
      <c r="AL42" s="3061"/>
      <c r="AM42" s="3070"/>
      <c r="AN42" s="3104">
        <f t="shared" ref="AN42:AN48" si="95">AL42+AM42*1</f>
        <v>0</v>
      </c>
      <c r="AO42" s="3180">
        <f t="shared" si="72"/>
        <v>0</v>
      </c>
      <c r="AP42" s="3065"/>
      <c r="AQ42" s="3061"/>
      <c r="AR42" s="3070"/>
      <c r="AS42" s="3104">
        <f t="shared" ref="AS42:AS48" si="96">AQ42+AR42*1</f>
        <v>0</v>
      </c>
      <c r="AT42" s="3180">
        <f t="shared" ref="AT42:AT48" si="97">AS42/$AS$89</f>
        <v>0</v>
      </c>
      <c r="AU42" s="3065"/>
      <c r="AV42" s="2067"/>
      <c r="AW42" s="2059"/>
      <c r="AX42" s="3102">
        <f t="shared" ref="AX42:AX48" si="98">AV42+AW42*1</f>
        <v>0</v>
      </c>
      <c r="AY42" s="2809">
        <f t="shared" si="73"/>
        <v>0</v>
      </c>
      <c r="AZ42" s="2062"/>
      <c r="BA42" s="3061"/>
      <c r="BB42" s="3070"/>
      <c r="BC42" s="3104">
        <f t="shared" ref="BC42:BC48" si="99">BA42+BB42*1</f>
        <v>0</v>
      </c>
      <c r="BD42" s="3180">
        <f t="shared" si="74"/>
        <v>0</v>
      </c>
      <c r="BE42" s="3065"/>
      <c r="BF42" s="3061"/>
      <c r="BG42" s="3070"/>
      <c r="BH42" s="3104">
        <f t="shared" ref="BH42:BH48" si="100">BF42+BG42*1</f>
        <v>0</v>
      </c>
      <c r="BI42" s="3180">
        <f t="shared" si="75"/>
        <v>0</v>
      </c>
      <c r="BJ42" s="3065"/>
      <c r="BK42" s="3061"/>
      <c r="BL42" s="3070"/>
      <c r="BM42" s="3104">
        <f t="shared" ref="BM42:BM48" si="101">BK42+BL42*1</f>
        <v>0</v>
      </c>
      <c r="BN42" s="3180">
        <f t="shared" si="76"/>
        <v>0</v>
      </c>
      <c r="BO42" s="3065"/>
      <c r="BP42" s="2067"/>
      <c r="BQ42" s="2059"/>
      <c r="BR42" s="3102">
        <f t="shared" ref="BR42:BR48" si="102">BP42+BQ42*1</f>
        <v>0</v>
      </c>
      <c r="BS42" s="2809">
        <f t="shared" si="77"/>
        <v>0</v>
      </c>
      <c r="BT42" s="2062"/>
      <c r="BU42" s="2067"/>
      <c r="BV42" s="2059"/>
      <c r="BW42" s="3102">
        <f t="shared" ref="BW42:BW48" si="103">BU42+BV42*1</f>
        <v>0</v>
      </c>
      <c r="BX42" s="2809">
        <f t="shared" si="78"/>
        <v>0</v>
      </c>
      <c r="BY42" s="2062"/>
      <c r="BZ42" s="2067"/>
      <c r="CA42" s="2059"/>
      <c r="CB42" s="3102">
        <f t="shared" ref="CB42:CB48" si="104">BZ42+CA42*1</f>
        <v>0</v>
      </c>
      <c r="CC42" s="2809">
        <f t="shared" si="79"/>
        <v>0</v>
      </c>
      <c r="CD42" s="2062"/>
      <c r="CE42" s="2067"/>
      <c r="CF42" s="2059"/>
      <c r="CG42" s="3102">
        <f t="shared" ref="CG42:CG48" si="105">CE42+CF42*1</f>
        <v>0</v>
      </c>
      <c r="CH42" s="2809">
        <f t="shared" si="80"/>
        <v>0</v>
      </c>
      <c r="CI42" s="2062"/>
      <c r="CJ42" s="2067"/>
      <c r="CK42" s="2059"/>
      <c r="CL42" s="3102">
        <f t="shared" ref="CL42:CL48" si="106">CJ42+CK42*1</f>
        <v>0</v>
      </c>
      <c r="CM42" s="2809">
        <f t="shared" si="81"/>
        <v>0</v>
      </c>
      <c r="CN42" s="2062"/>
      <c r="CO42" s="2059">
        <f t="shared" ref="CO42:CO48" si="107">M42+R42+W42+AB42+AG42+AL42+AQ42+AV42+BA42+BF42+BK42+BP42+BU42+BZ42+CE42+CJ42</f>
        <v>0</v>
      </c>
      <c r="CP42" s="2059">
        <f t="shared" ref="CP42:CP48" si="108">N42+S42+X42+AC42+AH42+AM42+AR42+AW42+BB42+BG42+BL42+BQ42+BV42+CA42+CF42+CK42</f>
        <v>120</v>
      </c>
      <c r="CQ42" s="3118">
        <f t="shared" ref="CQ42:CQ48" si="109">CO42+CP42*1</f>
        <v>120</v>
      </c>
      <c r="CR42" s="2809">
        <f t="shared" si="82"/>
        <v>1.2753678434777715E-6</v>
      </c>
      <c r="CS42" s="2813"/>
      <c r="CT42" s="919"/>
      <c r="CU42" s="1579"/>
      <c r="CV42" s="1579"/>
      <c r="CW42" s="1579"/>
    </row>
    <row r="43" spans="1:178" ht="55.2" outlineLevel="2" x14ac:dyDescent="0.25">
      <c r="A43" s="4015"/>
      <c r="B43" s="2812" t="s">
        <v>27</v>
      </c>
      <c r="C43" s="2811"/>
      <c r="D43" s="2826"/>
      <c r="E43" s="3102">
        <f t="shared" si="83"/>
        <v>0</v>
      </c>
      <c r="F43" s="2809" t="e">
        <f t="shared" si="70"/>
        <v>#DIV/0!</v>
      </c>
      <c r="G43" s="1995">
        <v>756</v>
      </c>
      <c r="H43" s="2067">
        <v>1569</v>
      </c>
      <c r="I43" s="3103">
        <f t="shared" si="84"/>
        <v>2325</v>
      </c>
      <c r="J43" s="3024">
        <f t="shared" si="71"/>
        <v>4.2467406802195193E-5</v>
      </c>
      <c r="K43" s="2062"/>
      <c r="L43" s="2062"/>
      <c r="M43" s="3060"/>
      <c r="N43" s="3061">
        <v>593</v>
      </c>
      <c r="O43" s="3114">
        <f t="shared" si="85"/>
        <v>593</v>
      </c>
      <c r="P43" s="3063">
        <f t="shared" si="86"/>
        <v>8.5266598130362439E-5</v>
      </c>
      <c r="Q43" s="3065" t="s">
        <v>1835</v>
      </c>
      <c r="R43" s="3061"/>
      <c r="S43" s="3061">
        <v>474</v>
      </c>
      <c r="T43" s="3104">
        <f t="shared" si="87"/>
        <v>474</v>
      </c>
      <c r="U43" s="3180">
        <f t="shared" si="88"/>
        <v>6.8155763092397635E-5</v>
      </c>
      <c r="V43" s="3065" t="s">
        <v>1836</v>
      </c>
      <c r="W43" s="3061"/>
      <c r="X43" s="3070">
        <v>502</v>
      </c>
      <c r="Y43" s="3104">
        <f t="shared" si="89"/>
        <v>502</v>
      </c>
      <c r="Z43" s="3180">
        <f t="shared" si="90"/>
        <v>7.218184192485994E-5</v>
      </c>
      <c r="AA43" s="3065" t="s">
        <v>1837</v>
      </c>
      <c r="AB43" s="3061"/>
      <c r="AC43" s="3070"/>
      <c r="AD43" s="3104">
        <f t="shared" si="91"/>
        <v>0</v>
      </c>
      <c r="AE43" s="3180">
        <f t="shared" si="92"/>
        <v>0</v>
      </c>
      <c r="AF43" s="3065"/>
      <c r="AG43" s="3061">
        <f>630*1.2</f>
        <v>756</v>
      </c>
      <c r="AH43" s="3070"/>
      <c r="AI43" s="3104">
        <f t="shared" si="93"/>
        <v>756</v>
      </c>
      <c r="AJ43" s="3180">
        <f t="shared" si="94"/>
        <v>1.0870412847648231E-4</v>
      </c>
      <c r="AK43" s="3065" t="s">
        <v>1838</v>
      </c>
      <c r="AL43" s="3061"/>
      <c r="AM43" s="3070"/>
      <c r="AN43" s="3104">
        <f t="shared" si="95"/>
        <v>0</v>
      </c>
      <c r="AO43" s="3180">
        <f t="shared" si="72"/>
        <v>0</v>
      </c>
      <c r="AP43" s="3065"/>
      <c r="AQ43" s="3061"/>
      <c r="AR43" s="3070"/>
      <c r="AS43" s="3104">
        <f t="shared" si="96"/>
        <v>0</v>
      </c>
      <c r="AT43" s="3180">
        <f t="shared" si="97"/>
        <v>0</v>
      </c>
      <c r="AU43" s="3065"/>
      <c r="AV43" s="3061"/>
      <c r="AW43" s="3070"/>
      <c r="AX43" s="3104">
        <f t="shared" si="98"/>
        <v>0</v>
      </c>
      <c r="AY43" s="3180">
        <f t="shared" si="73"/>
        <v>0</v>
      </c>
      <c r="AZ43" s="3065"/>
      <c r="BA43" s="3061">
        <f>310*1.2</f>
        <v>372</v>
      </c>
      <c r="BB43" s="3070"/>
      <c r="BC43" s="3104">
        <f t="shared" si="99"/>
        <v>372</v>
      </c>
      <c r="BD43" s="3180">
        <f t="shared" si="74"/>
        <v>1.0611087200636151E-4</v>
      </c>
      <c r="BE43" s="3065"/>
      <c r="BF43" s="3061">
        <f>1015.3*1.2</f>
        <v>1218.3599999999999</v>
      </c>
      <c r="BG43" s="3070">
        <v>590.5</v>
      </c>
      <c r="BH43" s="3104">
        <f t="shared" si="100"/>
        <v>1808.86</v>
      </c>
      <c r="BI43" s="3180">
        <f t="shared" si="75"/>
        <v>3.9679659240073295E-4</v>
      </c>
      <c r="BJ43" s="3065" t="s">
        <v>1678</v>
      </c>
      <c r="BK43" s="3061">
        <f>1229.47*1.2</f>
        <v>1475.364</v>
      </c>
      <c r="BL43" s="3070">
        <v>725.5</v>
      </c>
      <c r="BM43" s="3104">
        <f t="shared" si="101"/>
        <v>2200.864</v>
      </c>
      <c r="BN43" s="3180">
        <f t="shared" si="76"/>
        <v>3.6273051340410028E-4</v>
      </c>
      <c r="BO43" s="3065" t="s">
        <v>1708</v>
      </c>
      <c r="BP43" s="3061">
        <v>272.02</v>
      </c>
      <c r="BQ43" s="3070"/>
      <c r="BR43" s="3104">
        <f t="shared" si="102"/>
        <v>272.02</v>
      </c>
      <c r="BS43" s="3180">
        <f t="shared" si="77"/>
        <v>1.1109580860713049E-4</v>
      </c>
      <c r="BT43" s="3065"/>
      <c r="BU43" s="3061"/>
      <c r="BV43" s="3070"/>
      <c r="BW43" s="3104">
        <f t="shared" si="103"/>
        <v>0</v>
      </c>
      <c r="BX43" s="3180">
        <f t="shared" si="78"/>
        <v>0</v>
      </c>
      <c r="BY43" s="3065"/>
      <c r="BZ43" s="3061">
        <f>734*1.2+6883.68</f>
        <v>7764.4800000000005</v>
      </c>
      <c r="CA43" s="3070"/>
      <c r="CB43" s="3104">
        <f t="shared" si="104"/>
        <v>7764.4800000000005</v>
      </c>
      <c r="CC43" s="3180">
        <f t="shared" si="79"/>
        <v>2.171552569051753E-3</v>
      </c>
      <c r="CD43" s="3065" t="s">
        <v>2071</v>
      </c>
      <c r="CE43" s="3061"/>
      <c r="CF43" s="3070"/>
      <c r="CG43" s="3104">
        <f t="shared" si="105"/>
        <v>0</v>
      </c>
      <c r="CH43" s="3180">
        <f t="shared" si="80"/>
        <v>0</v>
      </c>
      <c r="CI43" s="3065"/>
      <c r="CJ43" s="3061"/>
      <c r="CK43" s="3070"/>
      <c r="CL43" s="3104">
        <f t="shared" si="106"/>
        <v>0</v>
      </c>
      <c r="CM43" s="3180">
        <f t="shared" si="81"/>
        <v>0</v>
      </c>
      <c r="CN43" s="3065"/>
      <c r="CO43" s="2059">
        <f t="shared" si="107"/>
        <v>11858.224</v>
      </c>
      <c r="CP43" s="2059">
        <f t="shared" si="108"/>
        <v>2885</v>
      </c>
      <c r="CQ43" s="3118">
        <f t="shared" si="109"/>
        <v>14743.224</v>
      </c>
      <c r="CR43" s="2809">
        <f t="shared" si="82"/>
        <v>1.5669194832324768E-4</v>
      </c>
      <c r="CS43" s="2813"/>
      <c r="CT43" s="919"/>
      <c r="CU43" s="1579"/>
      <c r="CV43" s="1579"/>
      <c r="CW43" s="1579"/>
    </row>
    <row r="44" spans="1:178" ht="14.4" customHeight="1" outlineLevel="2" x14ac:dyDescent="0.25">
      <c r="A44" s="4015"/>
      <c r="B44" s="3113" t="s">
        <v>28</v>
      </c>
      <c r="C44" s="2811"/>
      <c r="D44" s="2826"/>
      <c r="E44" s="3102">
        <f t="shared" si="83"/>
        <v>0</v>
      </c>
      <c r="F44" s="2809" t="e">
        <f t="shared" si="70"/>
        <v>#DIV/0!</v>
      </c>
      <c r="G44" s="1995">
        <v>0</v>
      </c>
      <c r="H44" s="2067">
        <v>0</v>
      </c>
      <c r="I44" s="3103">
        <f t="shared" si="84"/>
        <v>0</v>
      </c>
      <c r="J44" s="3024">
        <f t="shared" si="71"/>
        <v>0</v>
      </c>
      <c r="K44" s="2062"/>
      <c r="L44" s="2062"/>
      <c r="M44" s="3060"/>
      <c r="N44" s="3061"/>
      <c r="O44" s="3114">
        <f t="shared" si="85"/>
        <v>0</v>
      </c>
      <c r="P44" s="3063">
        <f t="shared" si="86"/>
        <v>0</v>
      </c>
      <c r="Q44" s="3065"/>
      <c r="R44" s="3061"/>
      <c r="S44" s="3061"/>
      <c r="T44" s="3104">
        <f t="shared" si="87"/>
        <v>0</v>
      </c>
      <c r="U44" s="3180">
        <f t="shared" si="88"/>
        <v>0</v>
      </c>
      <c r="V44" s="3065"/>
      <c r="W44" s="3061"/>
      <c r="X44" s="3070"/>
      <c r="Y44" s="3104">
        <f t="shared" si="89"/>
        <v>0</v>
      </c>
      <c r="Z44" s="3180">
        <f t="shared" si="90"/>
        <v>0</v>
      </c>
      <c r="AA44" s="3065"/>
      <c r="AB44" s="3061"/>
      <c r="AC44" s="3070"/>
      <c r="AD44" s="3104">
        <f t="shared" si="91"/>
        <v>0</v>
      </c>
      <c r="AE44" s="3180">
        <f t="shared" si="92"/>
        <v>0</v>
      </c>
      <c r="AF44" s="3065"/>
      <c r="AG44" s="3061"/>
      <c r="AH44" s="3070"/>
      <c r="AI44" s="3104">
        <f t="shared" si="93"/>
        <v>0</v>
      </c>
      <c r="AJ44" s="3180">
        <f t="shared" si="94"/>
        <v>0</v>
      </c>
      <c r="AK44" s="3065"/>
      <c r="AL44" s="3061"/>
      <c r="AM44" s="3070"/>
      <c r="AN44" s="3104">
        <f t="shared" si="95"/>
        <v>0</v>
      </c>
      <c r="AO44" s="3180">
        <f t="shared" si="72"/>
        <v>0</v>
      </c>
      <c r="AP44" s="3065"/>
      <c r="AQ44" s="3061"/>
      <c r="AR44" s="3070"/>
      <c r="AS44" s="3104">
        <f t="shared" si="96"/>
        <v>0</v>
      </c>
      <c r="AT44" s="3180">
        <f t="shared" si="97"/>
        <v>0</v>
      </c>
      <c r="AU44" s="3065"/>
      <c r="AV44" s="3061"/>
      <c r="AW44" s="3070"/>
      <c r="AX44" s="3104">
        <f t="shared" si="98"/>
        <v>0</v>
      </c>
      <c r="AY44" s="3180">
        <f t="shared" si="73"/>
        <v>0</v>
      </c>
      <c r="AZ44" s="3065"/>
      <c r="BA44" s="3061"/>
      <c r="BB44" s="3070"/>
      <c r="BC44" s="3104">
        <f t="shared" si="99"/>
        <v>0</v>
      </c>
      <c r="BD44" s="3180">
        <f t="shared" si="74"/>
        <v>0</v>
      </c>
      <c r="BE44" s="3065"/>
      <c r="BF44" s="3061"/>
      <c r="BG44" s="3070"/>
      <c r="BH44" s="3104">
        <f t="shared" si="100"/>
        <v>0</v>
      </c>
      <c r="BI44" s="3180">
        <f t="shared" si="75"/>
        <v>0</v>
      </c>
      <c r="BJ44" s="3065"/>
      <c r="BK44" s="3061"/>
      <c r="BL44" s="3070"/>
      <c r="BM44" s="3104">
        <f t="shared" si="101"/>
        <v>0</v>
      </c>
      <c r="BN44" s="3180">
        <f t="shared" si="76"/>
        <v>0</v>
      </c>
      <c r="BO44" s="3065"/>
      <c r="BP44" s="3061"/>
      <c r="BQ44" s="3070"/>
      <c r="BR44" s="3104">
        <f t="shared" si="102"/>
        <v>0</v>
      </c>
      <c r="BS44" s="3180">
        <f t="shared" si="77"/>
        <v>0</v>
      </c>
      <c r="BT44" s="3065"/>
      <c r="BU44" s="3061"/>
      <c r="BV44" s="3070"/>
      <c r="BW44" s="3104">
        <f t="shared" si="103"/>
        <v>0</v>
      </c>
      <c r="BX44" s="3180">
        <f t="shared" si="78"/>
        <v>0</v>
      </c>
      <c r="BY44" s="3065"/>
      <c r="BZ44" s="3061"/>
      <c r="CA44" s="3070"/>
      <c r="CB44" s="3104">
        <f t="shared" si="104"/>
        <v>0</v>
      </c>
      <c r="CC44" s="3180">
        <f t="shared" si="79"/>
        <v>0</v>
      </c>
      <c r="CD44" s="3065"/>
      <c r="CE44" s="3061"/>
      <c r="CF44" s="3070"/>
      <c r="CG44" s="3104">
        <f t="shared" si="105"/>
        <v>0</v>
      </c>
      <c r="CH44" s="3180">
        <f t="shared" si="80"/>
        <v>0</v>
      </c>
      <c r="CI44" s="3065"/>
      <c r="CJ44" s="3061"/>
      <c r="CK44" s="3070"/>
      <c r="CL44" s="3104">
        <f t="shared" si="106"/>
        <v>0</v>
      </c>
      <c r="CM44" s="3180">
        <f t="shared" si="81"/>
        <v>0</v>
      </c>
      <c r="CN44" s="3065"/>
      <c r="CO44" s="2059">
        <f t="shared" si="107"/>
        <v>0</v>
      </c>
      <c r="CP44" s="2059">
        <f t="shared" si="108"/>
        <v>0</v>
      </c>
      <c r="CQ44" s="3102">
        <f t="shared" si="109"/>
        <v>0</v>
      </c>
      <c r="CR44" s="2809">
        <f t="shared" si="82"/>
        <v>0</v>
      </c>
      <c r="CS44" s="2813"/>
      <c r="CT44" s="919"/>
      <c r="CU44" s="1579"/>
      <c r="CV44" s="1579"/>
      <c r="CW44" s="1579"/>
    </row>
    <row r="45" spans="1:178" ht="14.4" customHeight="1" outlineLevel="2" x14ac:dyDescent="0.25">
      <c r="A45" s="4015"/>
      <c r="B45" s="2812" t="s">
        <v>8</v>
      </c>
      <c r="C45" s="2811"/>
      <c r="D45" s="2826"/>
      <c r="E45" s="3102">
        <f t="shared" si="83"/>
        <v>0</v>
      </c>
      <c r="F45" s="2809" t="e">
        <f t="shared" si="70"/>
        <v>#DIV/0!</v>
      </c>
      <c r="G45" s="1995">
        <v>13803</v>
      </c>
      <c r="H45" s="2067">
        <v>0</v>
      </c>
      <c r="I45" s="3103">
        <f t="shared" si="84"/>
        <v>13803</v>
      </c>
      <c r="J45" s="3024">
        <f t="shared" si="71"/>
        <v>2.5211940477019363E-4</v>
      </c>
      <c r="K45" s="2062"/>
      <c r="L45" s="2062"/>
      <c r="M45" s="3060">
        <f>5478+1602</f>
        <v>7080</v>
      </c>
      <c r="N45" s="3061"/>
      <c r="O45" s="3114">
        <f t="shared" si="85"/>
        <v>7080</v>
      </c>
      <c r="P45" s="3063">
        <f t="shared" si="86"/>
        <v>1.0180227904940406E-3</v>
      </c>
      <c r="Q45" s="3065"/>
      <c r="R45" s="3061">
        <v>2175</v>
      </c>
      <c r="S45" s="3061"/>
      <c r="T45" s="3104">
        <f t="shared" si="87"/>
        <v>2175</v>
      </c>
      <c r="U45" s="3180">
        <f t="shared" si="88"/>
        <v>3.1274005216448285E-4</v>
      </c>
      <c r="V45" s="3065"/>
      <c r="W45" s="3061"/>
      <c r="X45" s="3070"/>
      <c r="Y45" s="3104">
        <f t="shared" si="89"/>
        <v>0</v>
      </c>
      <c r="Z45" s="3180">
        <f t="shared" si="90"/>
        <v>0</v>
      </c>
      <c r="AA45" s="3065"/>
      <c r="AB45" s="3061"/>
      <c r="AC45" s="3070"/>
      <c r="AD45" s="3104">
        <f t="shared" si="91"/>
        <v>0</v>
      </c>
      <c r="AE45" s="3180">
        <f t="shared" si="92"/>
        <v>0</v>
      </c>
      <c r="AF45" s="3065"/>
      <c r="AG45" s="3061">
        <f>5125*1.2</f>
        <v>6150</v>
      </c>
      <c r="AH45" s="3070"/>
      <c r="AI45" s="3104">
        <f t="shared" si="93"/>
        <v>6150</v>
      </c>
      <c r="AJ45" s="3180">
        <f t="shared" si="94"/>
        <v>8.8429945784439972E-4</v>
      </c>
      <c r="AK45" s="3065" t="s">
        <v>1541</v>
      </c>
      <c r="AL45" s="3061">
        <f>1812.5*1.2</f>
        <v>2175</v>
      </c>
      <c r="AM45" s="3070"/>
      <c r="AN45" s="3104">
        <f t="shared" si="95"/>
        <v>2175</v>
      </c>
      <c r="AO45" s="3180">
        <f t="shared" si="72"/>
        <v>3.3920704226932596E-4</v>
      </c>
      <c r="AP45" s="3065" t="s">
        <v>1541</v>
      </c>
      <c r="AQ45" s="3061">
        <f>1250*1.2</f>
        <v>1500</v>
      </c>
      <c r="AR45" s="3070"/>
      <c r="AS45" s="3104">
        <f t="shared" si="96"/>
        <v>1500</v>
      </c>
      <c r="AT45" s="3180">
        <f t="shared" si="97"/>
        <v>2.1568279459619505E-4</v>
      </c>
      <c r="AU45" s="3065" t="s">
        <v>1588</v>
      </c>
      <c r="AV45" s="3061">
        <f>1250*1.2</f>
        <v>1500</v>
      </c>
      <c r="AW45" s="3070"/>
      <c r="AX45" s="3104">
        <f t="shared" si="98"/>
        <v>1500</v>
      </c>
      <c r="AY45" s="3180">
        <f t="shared" si="73"/>
        <v>5.1732750613423168E-4</v>
      </c>
      <c r="AZ45" s="3065"/>
      <c r="BA45" s="3061">
        <f>875*1.2</f>
        <v>1050</v>
      </c>
      <c r="BB45" s="3070"/>
      <c r="BC45" s="3104">
        <f t="shared" si="99"/>
        <v>1050</v>
      </c>
      <c r="BD45" s="3180">
        <f t="shared" si="74"/>
        <v>2.9950649356634296E-4</v>
      </c>
      <c r="BE45" s="3065"/>
      <c r="BF45" s="3061">
        <f>250*1.2</f>
        <v>300</v>
      </c>
      <c r="BG45" s="3070"/>
      <c r="BH45" s="3104">
        <f t="shared" si="100"/>
        <v>300</v>
      </c>
      <c r="BI45" s="3180">
        <f t="shared" si="75"/>
        <v>6.5808839667094132E-5</v>
      </c>
      <c r="BJ45" s="3065"/>
      <c r="BK45" s="3061">
        <f>3250*1.2</f>
        <v>3900</v>
      </c>
      <c r="BL45" s="3070"/>
      <c r="BM45" s="3104">
        <f t="shared" si="101"/>
        <v>3900</v>
      </c>
      <c r="BN45" s="3180">
        <f t="shared" si="76"/>
        <v>6.4276984051535725E-4</v>
      </c>
      <c r="BO45" s="3065"/>
      <c r="BP45" s="3061">
        <v>225</v>
      </c>
      <c r="BQ45" s="3070"/>
      <c r="BR45" s="3104">
        <f t="shared" si="102"/>
        <v>225</v>
      </c>
      <c r="BS45" s="3180">
        <f t="shared" si="77"/>
        <v>9.1892349594163521E-5</v>
      </c>
      <c r="BT45" s="3065"/>
      <c r="BU45" s="3061"/>
      <c r="BV45" s="3070"/>
      <c r="BW45" s="3104">
        <f t="shared" si="103"/>
        <v>0</v>
      </c>
      <c r="BX45" s="3180">
        <f t="shared" si="78"/>
        <v>0</v>
      </c>
      <c r="BY45" s="3065"/>
      <c r="BZ45" s="3061"/>
      <c r="CA45" s="3070"/>
      <c r="CB45" s="3104">
        <f t="shared" si="104"/>
        <v>0</v>
      </c>
      <c r="CC45" s="3180">
        <f t="shared" si="79"/>
        <v>0</v>
      </c>
      <c r="CD45" s="3065"/>
      <c r="CE45" s="3061"/>
      <c r="CF45" s="3070"/>
      <c r="CG45" s="3104">
        <f t="shared" si="105"/>
        <v>0</v>
      </c>
      <c r="CH45" s="3180">
        <f t="shared" si="80"/>
        <v>0</v>
      </c>
      <c r="CI45" s="3065"/>
      <c r="CJ45" s="3061"/>
      <c r="CK45" s="3070"/>
      <c r="CL45" s="3104">
        <f t="shared" si="106"/>
        <v>0</v>
      </c>
      <c r="CM45" s="3180">
        <f t="shared" si="81"/>
        <v>0</v>
      </c>
      <c r="CN45" s="3065"/>
      <c r="CO45" s="2059">
        <f t="shared" si="107"/>
        <v>26055</v>
      </c>
      <c r="CP45" s="2059">
        <f t="shared" si="108"/>
        <v>0</v>
      </c>
      <c r="CQ45" s="3118">
        <f t="shared" si="109"/>
        <v>26055</v>
      </c>
      <c r="CR45" s="2809">
        <f t="shared" si="82"/>
        <v>2.7691424301511114E-4</v>
      </c>
      <c r="CS45" s="2813"/>
      <c r="CT45" s="919"/>
      <c r="CU45" s="1579"/>
      <c r="CV45" s="1579"/>
      <c r="CW45" s="1579"/>
    </row>
    <row r="46" spans="1:178" ht="14.4" customHeight="1" outlineLevel="2" x14ac:dyDescent="0.25">
      <c r="A46" s="4015"/>
      <c r="B46" s="2812" t="s">
        <v>29</v>
      </c>
      <c r="C46" s="2811"/>
      <c r="D46" s="2826"/>
      <c r="E46" s="3102">
        <f t="shared" si="83"/>
        <v>0</v>
      </c>
      <c r="F46" s="2809" t="e">
        <f t="shared" si="70"/>
        <v>#DIV/0!</v>
      </c>
      <c r="G46" s="1995">
        <v>0</v>
      </c>
      <c r="H46" s="2067">
        <v>0</v>
      </c>
      <c r="I46" s="3103">
        <f t="shared" si="84"/>
        <v>0</v>
      </c>
      <c r="J46" s="3024">
        <f t="shared" si="71"/>
        <v>0</v>
      </c>
      <c r="K46" s="2062"/>
      <c r="L46" s="2062"/>
      <c r="M46" s="3060"/>
      <c r="N46" s="3061"/>
      <c r="O46" s="3114">
        <f t="shared" si="85"/>
        <v>0</v>
      </c>
      <c r="P46" s="3063">
        <f t="shared" si="86"/>
        <v>0</v>
      </c>
      <c r="Q46" s="3065"/>
      <c r="R46" s="3061"/>
      <c r="S46" s="3061"/>
      <c r="T46" s="3104">
        <f t="shared" si="87"/>
        <v>0</v>
      </c>
      <c r="U46" s="3180">
        <f t="shared" si="88"/>
        <v>0</v>
      </c>
      <c r="V46" s="3065"/>
      <c r="W46" s="3061"/>
      <c r="X46" s="3070"/>
      <c r="Y46" s="3104">
        <f t="shared" si="89"/>
        <v>0</v>
      </c>
      <c r="Z46" s="3180">
        <f t="shared" si="90"/>
        <v>0</v>
      </c>
      <c r="AA46" s="3065"/>
      <c r="AB46" s="3061"/>
      <c r="AC46" s="3070"/>
      <c r="AD46" s="3104">
        <f t="shared" si="91"/>
        <v>0</v>
      </c>
      <c r="AE46" s="3180">
        <f t="shared" si="92"/>
        <v>0</v>
      </c>
      <c r="AF46" s="3065"/>
      <c r="AG46" s="3061"/>
      <c r="AH46" s="3070"/>
      <c r="AI46" s="3104">
        <f t="shared" si="93"/>
        <v>0</v>
      </c>
      <c r="AJ46" s="3180">
        <f t="shared" si="94"/>
        <v>0</v>
      </c>
      <c r="AK46" s="3065"/>
      <c r="AL46" s="3061"/>
      <c r="AM46" s="3070"/>
      <c r="AN46" s="3104">
        <f t="shared" si="95"/>
        <v>0</v>
      </c>
      <c r="AO46" s="3180">
        <f t="shared" si="72"/>
        <v>0</v>
      </c>
      <c r="AP46" s="3065"/>
      <c r="AQ46" s="3061"/>
      <c r="AR46" s="3070"/>
      <c r="AS46" s="3104">
        <f t="shared" si="96"/>
        <v>0</v>
      </c>
      <c r="AT46" s="3180">
        <f t="shared" si="97"/>
        <v>0</v>
      </c>
      <c r="AU46" s="3065"/>
      <c r="AV46" s="3061"/>
      <c r="AW46" s="3070"/>
      <c r="AX46" s="3104">
        <f t="shared" si="98"/>
        <v>0</v>
      </c>
      <c r="AY46" s="3180">
        <f t="shared" si="73"/>
        <v>0</v>
      </c>
      <c r="AZ46" s="3065"/>
      <c r="BA46" s="3061"/>
      <c r="BB46" s="3070"/>
      <c r="BC46" s="3104">
        <f t="shared" si="99"/>
        <v>0</v>
      </c>
      <c r="BD46" s="3180">
        <f t="shared" si="74"/>
        <v>0</v>
      </c>
      <c r="BE46" s="3065"/>
      <c r="BF46" s="3061"/>
      <c r="BG46" s="3070"/>
      <c r="BH46" s="3104">
        <f t="shared" si="100"/>
        <v>0</v>
      </c>
      <c r="BI46" s="3180">
        <f t="shared" si="75"/>
        <v>0</v>
      </c>
      <c r="BJ46" s="3065"/>
      <c r="BK46" s="3061"/>
      <c r="BL46" s="3070"/>
      <c r="BM46" s="3104">
        <f t="shared" si="101"/>
        <v>0</v>
      </c>
      <c r="BN46" s="3180">
        <f t="shared" si="76"/>
        <v>0</v>
      </c>
      <c r="BO46" s="3065"/>
      <c r="BP46" s="3061"/>
      <c r="BQ46" s="3070"/>
      <c r="BR46" s="3104">
        <f t="shared" si="102"/>
        <v>0</v>
      </c>
      <c r="BS46" s="3180">
        <f t="shared" si="77"/>
        <v>0</v>
      </c>
      <c r="BT46" s="3065"/>
      <c r="BU46" s="3061"/>
      <c r="BV46" s="3070"/>
      <c r="BW46" s="3104">
        <f t="shared" si="103"/>
        <v>0</v>
      </c>
      <c r="BX46" s="3180">
        <f t="shared" si="78"/>
        <v>0</v>
      </c>
      <c r="BY46" s="3065"/>
      <c r="BZ46" s="3061"/>
      <c r="CA46" s="3070"/>
      <c r="CB46" s="3104">
        <f t="shared" si="104"/>
        <v>0</v>
      </c>
      <c r="CC46" s="3180">
        <f t="shared" si="79"/>
        <v>0</v>
      </c>
      <c r="CD46" s="3065"/>
      <c r="CE46" s="3061"/>
      <c r="CF46" s="3070"/>
      <c r="CG46" s="3104">
        <f t="shared" si="105"/>
        <v>0</v>
      </c>
      <c r="CH46" s="3180">
        <f t="shared" si="80"/>
        <v>0</v>
      </c>
      <c r="CI46" s="3065"/>
      <c r="CJ46" s="3061"/>
      <c r="CK46" s="3070"/>
      <c r="CL46" s="3104">
        <f t="shared" si="106"/>
        <v>0</v>
      </c>
      <c r="CM46" s="3180">
        <f t="shared" si="81"/>
        <v>0</v>
      </c>
      <c r="CN46" s="3065"/>
      <c r="CO46" s="2059">
        <f t="shared" si="107"/>
        <v>0</v>
      </c>
      <c r="CP46" s="2059">
        <f t="shared" si="108"/>
        <v>0</v>
      </c>
      <c r="CQ46" s="3102">
        <f t="shared" si="109"/>
        <v>0</v>
      </c>
      <c r="CR46" s="2809">
        <f t="shared" si="82"/>
        <v>0</v>
      </c>
      <c r="CS46" s="2813"/>
      <c r="CT46" s="919"/>
      <c r="CU46" s="1579"/>
      <c r="CV46" s="1579"/>
      <c r="CW46" s="1579"/>
    </row>
    <row r="47" spans="1:178" ht="22.95" customHeight="1" outlineLevel="2" x14ac:dyDescent="0.25">
      <c r="A47" s="4015"/>
      <c r="B47" s="2812" t="s">
        <v>30</v>
      </c>
      <c r="C47" s="2811"/>
      <c r="D47" s="2826"/>
      <c r="E47" s="3102">
        <f t="shared" si="83"/>
        <v>0</v>
      </c>
      <c r="F47" s="2809" t="e">
        <f t="shared" si="70"/>
        <v>#DIV/0!</v>
      </c>
      <c r="G47" s="2559">
        <v>29145.309999999998</v>
      </c>
      <c r="H47" s="2121">
        <v>879.79</v>
      </c>
      <c r="I47" s="3119">
        <f t="shared" si="84"/>
        <v>30025.1</v>
      </c>
      <c r="J47" s="3120">
        <f t="shared" si="71"/>
        <v>5.484250047211143E-4</v>
      </c>
      <c r="K47" s="1769"/>
      <c r="L47" s="1769"/>
      <c r="M47" s="3060">
        <v>2311.06</v>
      </c>
      <c r="N47" s="3061"/>
      <c r="O47" s="3114">
        <f t="shared" si="85"/>
        <v>2311.06</v>
      </c>
      <c r="P47" s="3063">
        <f t="shared" si="86"/>
        <v>3.3230391951965502E-4</v>
      </c>
      <c r="Q47" s="3065"/>
      <c r="R47" s="3061">
        <f>4126.16+406.05</f>
        <v>4532.21</v>
      </c>
      <c r="S47" s="3061">
        <v>93.79</v>
      </c>
      <c r="T47" s="3104">
        <f t="shared" si="87"/>
        <v>4626</v>
      </c>
      <c r="U47" s="3180">
        <f t="shared" si="88"/>
        <v>6.651657385346655E-4</v>
      </c>
      <c r="V47" s="3065" t="s">
        <v>486</v>
      </c>
      <c r="W47" s="3061">
        <v>1505.17</v>
      </c>
      <c r="X47" s="3070">
        <v>636</v>
      </c>
      <c r="Y47" s="3104">
        <f t="shared" si="89"/>
        <v>2141.17</v>
      </c>
      <c r="Z47" s="3180">
        <f t="shared" si="90"/>
        <v>3.0787568620369E-4</v>
      </c>
      <c r="AA47" s="3065" t="s">
        <v>1839</v>
      </c>
      <c r="AB47" s="3061">
        <v>5838.78</v>
      </c>
      <c r="AC47" s="3070"/>
      <c r="AD47" s="3104">
        <f t="shared" si="91"/>
        <v>5838.78</v>
      </c>
      <c r="AE47" s="3180">
        <f t="shared" si="92"/>
        <v>8.3954959162158113E-4</v>
      </c>
      <c r="AF47" s="3065" t="s">
        <v>486</v>
      </c>
      <c r="AG47" s="3061">
        <v>15364.14</v>
      </c>
      <c r="AH47" s="3070">
        <v>150</v>
      </c>
      <c r="AI47" s="3104">
        <f t="shared" si="93"/>
        <v>15514.14</v>
      </c>
      <c r="AJ47" s="3180">
        <f t="shared" si="94"/>
        <v>2.2307553806377423E-3</v>
      </c>
      <c r="AK47" s="3065" t="s">
        <v>1840</v>
      </c>
      <c r="AL47" s="3061">
        <v>6378.71</v>
      </c>
      <c r="AM47" s="3070"/>
      <c r="AN47" s="3104">
        <f t="shared" si="95"/>
        <v>6378.71</v>
      </c>
      <c r="AO47" s="3180">
        <f t="shared" si="72"/>
        <v>9.9480613912357333E-4</v>
      </c>
      <c r="AP47" s="3065" t="s">
        <v>486</v>
      </c>
      <c r="AQ47" s="3061">
        <v>8305.73</v>
      </c>
      <c r="AR47" s="3070"/>
      <c r="AS47" s="3104">
        <f t="shared" si="96"/>
        <v>8305.73</v>
      </c>
      <c r="AT47" s="3180">
        <f t="shared" si="97"/>
        <v>1.1942687050409701E-3</v>
      </c>
      <c r="AU47" s="3065" t="s">
        <v>486</v>
      </c>
      <c r="AV47" s="3061">
        <v>4979.0600000000004</v>
      </c>
      <c r="AW47" s="3070"/>
      <c r="AX47" s="3104">
        <f t="shared" si="98"/>
        <v>4979.0600000000004</v>
      </c>
      <c r="AY47" s="3180">
        <f t="shared" si="73"/>
        <v>1.7172031284618053E-3</v>
      </c>
      <c r="AZ47" s="3065" t="s">
        <v>486</v>
      </c>
      <c r="BA47" s="3061">
        <f>3129.36-0.99</f>
        <v>3128.3700000000003</v>
      </c>
      <c r="BB47" s="3070"/>
      <c r="BC47" s="3104">
        <f t="shared" si="99"/>
        <v>3128.3700000000003</v>
      </c>
      <c r="BD47" s="3065" t="s">
        <v>486</v>
      </c>
      <c r="BE47" s="3065"/>
      <c r="BF47" s="3061">
        <v>5003.16</v>
      </c>
      <c r="BG47" s="3070">
        <v>75</v>
      </c>
      <c r="BH47" s="3104">
        <f t="shared" si="100"/>
        <v>5078.16</v>
      </c>
      <c r="BI47" s="3065">
        <f t="shared" si="75"/>
        <v>1.1139593908128357E-3</v>
      </c>
      <c r="BJ47" s="3065"/>
      <c r="BK47" s="3061">
        <v>839.58</v>
      </c>
      <c r="BL47" s="3070">
        <v>80</v>
      </c>
      <c r="BM47" s="3104">
        <f t="shared" si="101"/>
        <v>919.58</v>
      </c>
      <c r="BN47" s="3180">
        <f t="shared" si="76"/>
        <v>1.5155853588233646E-4</v>
      </c>
      <c r="BO47" s="3065"/>
      <c r="BP47" s="3061">
        <f>780.07+0.004</f>
        <v>780.07400000000007</v>
      </c>
      <c r="BQ47" s="3070">
        <v>43</v>
      </c>
      <c r="BR47" s="3104">
        <f t="shared" si="102"/>
        <v>823.07400000000007</v>
      </c>
      <c r="BS47" s="3180">
        <f t="shared" si="77"/>
        <v>3.3615201666607357E-4</v>
      </c>
      <c r="BT47" s="3065" t="s">
        <v>1770</v>
      </c>
      <c r="BU47" s="3061">
        <f>135.01+288.33*1.2+7</f>
        <v>488.00599999999997</v>
      </c>
      <c r="BV47" s="3070"/>
      <c r="BW47" s="3104">
        <f t="shared" si="103"/>
        <v>488.00599999999997</v>
      </c>
      <c r="BX47" s="3180">
        <f t="shared" si="78"/>
        <v>9.040290285190827E-4</v>
      </c>
      <c r="BY47" s="3065" t="s">
        <v>1935</v>
      </c>
      <c r="BZ47" s="3061"/>
      <c r="CA47" s="3070"/>
      <c r="CB47" s="3104">
        <f t="shared" si="104"/>
        <v>0</v>
      </c>
      <c r="CC47" s="3180">
        <f t="shared" si="79"/>
        <v>0</v>
      </c>
      <c r="CD47" s="3065"/>
      <c r="CE47" s="3061"/>
      <c r="CF47" s="3070"/>
      <c r="CG47" s="3104">
        <f t="shared" si="105"/>
        <v>0</v>
      </c>
      <c r="CH47" s="3180">
        <f t="shared" si="80"/>
        <v>0</v>
      </c>
      <c r="CI47" s="3065"/>
      <c r="CJ47" s="3061"/>
      <c r="CK47" s="3070"/>
      <c r="CL47" s="3104">
        <f t="shared" si="106"/>
        <v>0</v>
      </c>
      <c r="CM47" s="3180">
        <f t="shared" si="81"/>
        <v>0</v>
      </c>
      <c r="CN47" s="3065"/>
      <c r="CO47" s="2059">
        <f t="shared" si="107"/>
        <v>59454.05</v>
      </c>
      <c r="CP47" s="2059">
        <f t="shared" si="108"/>
        <v>1077.79</v>
      </c>
      <c r="CQ47" s="3118">
        <f t="shared" si="109"/>
        <v>60531.840000000004</v>
      </c>
      <c r="CR47" s="2809">
        <f t="shared" si="82"/>
        <v>6.4333635202117924E-4</v>
      </c>
      <c r="CS47" s="2813"/>
      <c r="CT47" s="919"/>
      <c r="CU47" s="1579"/>
      <c r="CV47" s="1579"/>
      <c r="CW47" s="1579"/>
    </row>
    <row r="48" spans="1:178" ht="14.4" customHeight="1" outlineLevel="2" x14ac:dyDescent="0.25">
      <c r="A48" s="4015"/>
      <c r="B48" s="2812" t="s">
        <v>15</v>
      </c>
      <c r="C48" s="2811"/>
      <c r="D48" s="2826"/>
      <c r="E48" s="3102">
        <f t="shared" si="83"/>
        <v>0</v>
      </c>
      <c r="F48" s="2809" t="e">
        <f t="shared" si="70"/>
        <v>#DIV/0!</v>
      </c>
      <c r="G48" s="1995">
        <v>14426.539999999999</v>
      </c>
      <c r="H48" s="2067">
        <v>0</v>
      </c>
      <c r="I48" s="3103">
        <f t="shared" si="84"/>
        <v>14426.539999999999</v>
      </c>
      <c r="J48" s="3024">
        <f t="shared" si="71"/>
        <v>2.6350870663575953E-4</v>
      </c>
      <c r="K48" s="2827"/>
      <c r="L48" s="2827"/>
      <c r="M48" s="3060">
        <v>2840</v>
      </c>
      <c r="N48" s="3061"/>
      <c r="O48" s="3114">
        <f t="shared" si="85"/>
        <v>2840</v>
      </c>
      <c r="P48" s="3063">
        <f t="shared" si="86"/>
        <v>4.0835942443546264E-4</v>
      </c>
      <c r="Q48" s="3194"/>
      <c r="R48" s="2067"/>
      <c r="S48" s="2059"/>
      <c r="T48" s="3102">
        <f t="shared" si="87"/>
        <v>0</v>
      </c>
      <c r="U48" s="2809">
        <f t="shared" si="88"/>
        <v>0</v>
      </c>
      <c r="V48" s="2827"/>
      <c r="W48" s="3061">
        <v>1918.48</v>
      </c>
      <c r="X48" s="3070"/>
      <c r="Y48" s="3104">
        <f t="shared" si="89"/>
        <v>1918.48</v>
      </c>
      <c r="Z48" s="3180">
        <f t="shared" si="90"/>
        <v>2.7585541851793887E-4</v>
      </c>
      <c r="AA48" s="3194"/>
      <c r="AB48" s="3061">
        <v>1000.8</v>
      </c>
      <c r="AC48" s="3070"/>
      <c r="AD48" s="3104">
        <f t="shared" si="91"/>
        <v>1000.8</v>
      </c>
      <c r="AE48" s="3180">
        <f t="shared" si="92"/>
        <v>1.4390356055458134E-4</v>
      </c>
      <c r="AF48" s="3194" t="s">
        <v>1841</v>
      </c>
      <c r="AG48" s="3061"/>
      <c r="AH48" s="3070"/>
      <c r="AI48" s="3104">
        <f t="shared" si="93"/>
        <v>0</v>
      </c>
      <c r="AJ48" s="3180">
        <f t="shared" si="94"/>
        <v>0</v>
      </c>
      <c r="AK48" s="3194"/>
      <c r="AL48" s="2067"/>
      <c r="AM48" s="2059"/>
      <c r="AN48" s="3102">
        <f t="shared" si="95"/>
        <v>0</v>
      </c>
      <c r="AO48" s="2809">
        <f t="shared" si="72"/>
        <v>0</v>
      </c>
      <c r="AP48" s="2827"/>
      <c r="AQ48" s="3061">
        <f>42*1.2</f>
        <v>50.4</v>
      </c>
      <c r="AR48" s="3070"/>
      <c r="AS48" s="3104">
        <f t="shared" si="96"/>
        <v>50.4</v>
      </c>
      <c r="AT48" s="3180">
        <f t="shared" si="97"/>
        <v>7.2469418984321538E-6</v>
      </c>
      <c r="AU48" s="3194"/>
      <c r="AV48" s="3061">
        <f>623.55*1.2+520</f>
        <v>1268.2599999999998</v>
      </c>
      <c r="AW48" s="3070"/>
      <c r="AX48" s="3104">
        <f t="shared" si="98"/>
        <v>1268.2599999999998</v>
      </c>
      <c r="AY48" s="3180">
        <f t="shared" si="73"/>
        <v>4.3740385528653371E-4</v>
      </c>
      <c r="AZ48" s="3194"/>
      <c r="BA48" s="3061"/>
      <c r="BB48" s="3070"/>
      <c r="BC48" s="3104">
        <f t="shared" si="99"/>
        <v>0</v>
      </c>
      <c r="BD48" s="3180">
        <f t="shared" si="74"/>
        <v>0</v>
      </c>
      <c r="BE48" s="3065"/>
      <c r="BF48" s="3061">
        <f>287.35*1.2</f>
        <v>344.82</v>
      </c>
      <c r="BG48" s="3070"/>
      <c r="BH48" s="3104">
        <f t="shared" si="100"/>
        <v>344.82</v>
      </c>
      <c r="BI48" s="3180">
        <f t="shared" si="75"/>
        <v>7.564068031335799E-5</v>
      </c>
      <c r="BJ48" s="3065"/>
      <c r="BK48" s="3061">
        <f>313.65*1.2</f>
        <v>376.37999999999994</v>
      </c>
      <c r="BL48" s="3070"/>
      <c r="BM48" s="3104">
        <f t="shared" si="101"/>
        <v>376.37999999999994</v>
      </c>
      <c r="BN48" s="3180">
        <f t="shared" si="76"/>
        <v>6.2032233993120539E-5</v>
      </c>
      <c r="BO48" s="3065"/>
      <c r="BP48" s="3061">
        <v>88.559999999999988</v>
      </c>
      <c r="BQ48" s="3070"/>
      <c r="BR48" s="3104">
        <f t="shared" si="102"/>
        <v>88.559999999999988</v>
      </c>
      <c r="BS48" s="3180">
        <f t="shared" si="77"/>
        <v>3.6168828800262758E-5</v>
      </c>
      <c r="BT48" s="3065"/>
      <c r="BU48" s="3061"/>
      <c r="BV48" s="3070"/>
      <c r="BW48" s="3104">
        <f t="shared" si="103"/>
        <v>0</v>
      </c>
      <c r="BX48" s="3180">
        <f t="shared" si="78"/>
        <v>0</v>
      </c>
      <c r="BY48" s="3065"/>
      <c r="BZ48" s="3061"/>
      <c r="CA48" s="3070"/>
      <c r="CB48" s="3104">
        <f t="shared" si="104"/>
        <v>0</v>
      </c>
      <c r="CC48" s="3180">
        <f t="shared" si="79"/>
        <v>0</v>
      </c>
      <c r="CD48" s="3065"/>
      <c r="CE48" s="3061"/>
      <c r="CF48" s="3070"/>
      <c r="CG48" s="3104">
        <f t="shared" si="105"/>
        <v>0</v>
      </c>
      <c r="CH48" s="3180">
        <f t="shared" si="80"/>
        <v>0</v>
      </c>
      <c r="CI48" s="3065"/>
      <c r="CJ48" s="3061"/>
      <c r="CK48" s="3070"/>
      <c r="CL48" s="3104">
        <f t="shared" si="106"/>
        <v>0</v>
      </c>
      <c r="CM48" s="3180">
        <f t="shared" si="81"/>
        <v>0</v>
      </c>
      <c r="CN48" s="3065"/>
      <c r="CO48" s="2059">
        <f t="shared" si="107"/>
        <v>7887.6999999999989</v>
      </c>
      <c r="CP48" s="2059">
        <f t="shared" si="108"/>
        <v>0</v>
      </c>
      <c r="CQ48" s="3118">
        <f t="shared" si="109"/>
        <v>7887.6999999999989</v>
      </c>
      <c r="CR48" s="2809">
        <f t="shared" si="82"/>
        <v>8.3830991158330136E-5</v>
      </c>
      <c r="CS48" s="2813"/>
      <c r="CT48" s="919"/>
      <c r="CU48" s="1579"/>
      <c r="CV48" s="1579"/>
      <c r="CW48" s="1579"/>
    </row>
    <row r="49" spans="1:178" s="1411" customFormat="1" ht="14.4" customHeight="1" outlineLevel="2" thickBot="1" x14ac:dyDescent="0.3">
      <c r="A49" s="1420"/>
      <c r="B49" s="3195"/>
      <c r="C49" s="2817"/>
      <c r="D49" s="2828"/>
      <c r="E49" s="2829"/>
      <c r="F49" s="2830"/>
      <c r="G49" s="1995"/>
      <c r="H49" s="2067"/>
      <c r="I49" s="3028"/>
      <c r="J49" s="3024"/>
      <c r="K49" s="2948"/>
      <c r="L49" s="2948"/>
      <c r="M49" s="3060"/>
      <c r="N49" s="3061"/>
      <c r="O49" s="3066"/>
      <c r="P49" s="3063"/>
      <c r="Q49" s="3067"/>
      <c r="R49" s="2067"/>
      <c r="S49" s="2059"/>
      <c r="T49" s="2929"/>
      <c r="U49" s="2809"/>
      <c r="V49" s="2948"/>
      <c r="W49" s="2067"/>
      <c r="X49" s="2059"/>
      <c r="Y49" s="2929"/>
      <c r="Z49" s="2809"/>
      <c r="AA49" s="2948"/>
      <c r="AB49" s="2072"/>
      <c r="AC49" s="2066"/>
      <c r="AD49" s="3029"/>
      <c r="AE49" s="3196"/>
      <c r="AF49" s="3035"/>
      <c r="AG49" s="2067"/>
      <c r="AH49" s="2059"/>
      <c r="AI49" s="2929"/>
      <c r="AJ49" s="2809"/>
      <c r="AK49" s="2948"/>
      <c r="AL49" s="2067"/>
      <c r="AM49" s="2059"/>
      <c r="AN49" s="2929"/>
      <c r="AO49" s="2809">
        <f t="shared" si="72"/>
        <v>0</v>
      </c>
      <c r="AP49" s="2948"/>
      <c r="AQ49" s="2067"/>
      <c r="AR49" s="2059"/>
      <c r="AS49" s="2929"/>
      <c r="AT49" s="2809"/>
      <c r="AU49" s="2948"/>
      <c r="AV49" s="3061"/>
      <c r="AW49" s="3070"/>
      <c r="AX49" s="3121"/>
      <c r="AY49" s="3180"/>
      <c r="AZ49" s="3067"/>
      <c r="BA49" s="2067"/>
      <c r="BB49" s="2059"/>
      <c r="BC49" s="2929"/>
      <c r="BD49" s="2809"/>
      <c r="BE49" s="2948"/>
      <c r="BF49" s="2067"/>
      <c r="BG49" s="2059"/>
      <c r="BH49" s="2929"/>
      <c r="BI49" s="2809"/>
      <c r="BJ49" s="2948"/>
      <c r="BK49" s="2067"/>
      <c r="BL49" s="2059"/>
      <c r="BM49" s="2929"/>
      <c r="BN49" s="2809"/>
      <c r="BO49" s="2948"/>
      <c r="BP49" s="3061"/>
      <c r="BQ49" s="3070"/>
      <c r="BR49" s="3121"/>
      <c r="BS49" s="3180"/>
      <c r="BT49" s="3067"/>
      <c r="BU49" s="3061"/>
      <c r="BV49" s="3070"/>
      <c r="BW49" s="3121"/>
      <c r="BX49" s="3180"/>
      <c r="BY49" s="3067"/>
      <c r="BZ49" s="3061"/>
      <c r="CA49" s="3070"/>
      <c r="CB49" s="3121"/>
      <c r="CC49" s="3180"/>
      <c r="CD49" s="3067"/>
      <c r="CE49" s="3061"/>
      <c r="CF49" s="3070"/>
      <c r="CG49" s="3121"/>
      <c r="CH49" s="3180"/>
      <c r="CI49" s="3067"/>
      <c r="CJ49" s="3061"/>
      <c r="CK49" s="3070"/>
      <c r="CL49" s="3121"/>
      <c r="CM49" s="3180"/>
      <c r="CN49" s="3067"/>
      <c r="CO49" s="2059">
        <f>G49+AL49+AQ49+AV49+BA49+BF49</f>
        <v>0</v>
      </c>
      <c r="CP49" s="2059">
        <f>H49+AM49+AR49+AW49+BB49+BG49</f>
        <v>0</v>
      </c>
      <c r="CQ49" s="2929"/>
      <c r="CR49" s="2809">
        <f t="shared" si="82"/>
        <v>0</v>
      </c>
      <c r="CS49" s="2929"/>
      <c r="CT49" s="919"/>
      <c r="CU49" s="1579"/>
      <c r="CV49" s="1579"/>
      <c r="CW49" s="1579"/>
      <c r="CX49" s="1579"/>
      <c r="CY49" s="1579"/>
      <c r="CZ49" s="1579"/>
      <c r="DA49" s="1579"/>
      <c r="DB49" s="1579"/>
      <c r="DC49" s="1579"/>
      <c r="DD49" s="1579"/>
      <c r="DE49" s="1579"/>
      <c r="DF49" s="1579"/>
      <c r="DG49" s="1579"/>
      <c r="DH49" s="1579"/>
      <c r="DI49" s="1579"/>
      <c r="DJ49" s="1579"/>
      <c r="DK49" s="1579"/>
      <c r="DL49" s="1579"/>
      <c r="DM49" s="1579"/>
      <c r="DN49" s="1579"/>
      <c r="DO49" s="1579"/>
      <c r="DP49" s="1579"/>
      <c r="DQ49" s="1579"/>
      <c r="DR49" s="1579"/>
      <c r="DS49" s="1579"/>
      <c r="DT49" s="1579"/>
      <c r="DU49" s="1579"/>
      <c r="DV49" s="1579"/>
      <c r="DW49" s="1579"/>
      <c r="DX49" s="1579"/>
      <c r="DY49" s="1579"/>
      <c r="DZ49" s="1579"/>
      <c r="EA49" s="1579"/>
      <c r="EB49" s="1579"/>
      <c r="EC49" s="1579"/>
      <c r="ED49" s="1579"/>
      <c r="EE49" s="1579"/>
      <c r="EF49" s="1579"/>
      <c r="EG49" s="1579"/>
      <c r="EH49" s="1579"/>
      <c r="EI49" s="1579"/>
      <c r="EJ49" s="1579"/>
      <c r="EK49" s="1579"/>
      <c r="EL49" s="1579"/>
      <c r="EM49" s="1579"/>
      <c r="EN49" s="1579"/>
      <c r="EO49" s="1579"/>
      <c r="EP49" s="1579"/>
      <c r="EQ49" s="1579"/>
      <c r="ER49" s="1579"/>
      <c r="ES49" s="1579"/>
      <c r="ET49" s="1579"/>
      <c r="EU49" s="1579"/>
      <c r="EV49" s="1579"/>
      <c r="EW49" s="1579"/>
      <c r="EX49" s="1579"/>
      <c r="EY49" s="1579"/>
      <c r="EZ49" s="1579"/>
      <c r="FA49" s="1579"/>
      <c r="FB49" s="1579"/>
      <c r="FC49" s="1579"/>
      <c r="FD49" s="1579"/>
      <c r="FE49" s="1579"/>
      <c r="FF49" s="1579"/>
      <c r="FG49" s="1579"/>
      <c r="FH49" s="1579"/>
      <c r="FI49" s="1579"/>
      <c r="FJ49" s="1579"/>
      <c r="FK49" s="1579"/>
      <c r="FL49" s="1579"/>
      <c r="FM49" s="1579"/>
      <c r="FN49" s="1579"/>
      <c r="FO49" s="1579"/>
      <c r="FP49" s="1579"/>
      <c r="FQ49" s="1579"/>
      <c r="FR49" s="1579"/>
      <c r="FS49" s="1579"/>
      <c r="FT49" s="1579"/>
      <c r="FU49" s="1579"/>
      <c r="FV49" s="1579"/>
    </row>
    <row r="50" spans="1:178" s="1411" customFormat="1" ht="14.4" customHeight="1" outlineLevel="1" x14ac:dyDescent="0.25">
      <c r="A50" s="1580"/>
      <c r="B50" s="993" t="s">
        <v>59</v>
      </c>
      <c r="C50" s="2031">
        <f>SUM(C51:C52)</f>
        <v>0</v>
      </c>
      <c r="D50" s="2031">
        <f>SUM(D51:D52)</f>
        <v>0</v>
      </c>
      <c r="E50" s="2031">
        <f>SUM(E51:E52)</f>
        <v>0</v>
      </c>
      <c r="F50" s="1549" t="e">
        <f>E50/$E$89</f>
        <v>#DIV/0!</v>
      </c>
      <c r="G50" s="2031">
        <f>G52+G51</f>
        <v>0</v>
      </c>
      <c r="H50" s="1991">
        <f>H52+H51</f>
        <v>0</v>
      </c>
      <c r="I50" s="2031">
        <f>SUM(I51:I52)</f>
        <v>0</v>
      </c>
      <c r="J50" s="2022">
        <f t="shared" ref="J50:J52" si="110">I50/I$89</f>
        <v>0</v>
      </c>
      <c r="K50" s="2000"/>
      <c r="L50" s="2000"/>
      <c r="M50" s="2031">
        <v>0</v>
      </c>
      <c r="N50" s="1991">
        <v>0</v>
      </c>
      <c r="O50" s="2031">
        <f>SUM(O51:O52)</f>
        <v>0</v>
      </c>
      <c r="P50" s="2022">
        <f>O50/$AS$89</f>
        <v>0</v>
      </c>
      <c r="Q50" s="2000"/>
      <c r="R50" s="2031">
        <v>0</v>
      </c>
      <c r="S50" s="2031">
        <v>0</v>
      </c>
      <c r="T50" s="2031">
        <f>SUM(T51:T52)</f>
        <v>0</v>
      </c>
      <c r="U50" s="2022">
        <f>T50/$AS$89</f>
        <v>0</v>
      </c>
      <c r="V50" s="2000"/>
      <c r="W50" s="2031">
        <v>0</v>
      </c>
      <c r="X50" s="2031">
        <v>0</v>
      </c>
      <c r="Y50" s="2031">
        <f>SUM(Y51:Y52)</f>
        <v>0</v>
      </c>
      <c r="Z50" s="2022">
        <f>Y50/$AS$89</f>
        <v>0</v>
      </c>
      <c r="AA50" s="2000"/>
      <c r="AB50" s="2056">
        <v>0</v>
      </c>
      <c r="AC50" s="2056">
        <v>0</v>
      </c>
      <c r="AD50" s="2056">
        <f>SUM(AD51:AD52)</f>
        <v>0</v>
      </c>
      <c r="AE50" s="2055">
        <f>AD50/$AS$89</f>
        <v>0</v>
      </c>
      <c r="AF50" s="1811"/>
      <c r="AG50" s="2031">
        <f>AG52+AG51</f>
        <v>0</v>
      </c>
      <c r="AH50" s="2031">
        <f>AH52+AH51</f>
        <v>0</v>
      </c>
      <c r="AI50" s="2031">
        <f>SUM(AI51:AI52)</f>
        <v>0</v>
      </c>
      <c r="AJ50" s="2022">
        <f>AI50/$AS$89</f>
        <v>0</v>
      </c>
      <c r="AK50" s="2000"/>
      <c r="AL50" s="2031">
        <f>AL52+AL51</f>
        <v>0</v>
      </c>
      <c r="AM50" s="2031">
        <f>AM52+AM51</f>
        <v>0</v>
      </c>
      <c r="AN50" s="2031">
        <f>SUM(AN51:AN52)</f>
        <v>0</v>
      </c>
      <c r="AO50" s="2022">
        <f t="shared" ref="AO50:AO52" si="111">AN50/AN$89</f>
        <v>0</v>
      </c>
      <c r="AP50" s="2000"/>
      <c r="AQ50" s="2031">
        <f>AQ52+AQ51</f>
        <v>0</v>
      </c>
      <c r="AR50" s="2031">
        <f>AR52+AR51</f>
        <v>0</v>
      </c>
      <c r="AS50" s="2031">
        <f>SUM(AS51:AS52)</f>
        <v>0</v>
      </c>
      <c r="AT50" s="2022">
        <f>AS50/$AS$89</f>
        <v>0</v>
      </c>
      <c r="AU50" s="2000"/>
      <c r="AV50" s="2031">
        <f>AV52+AV51</f>
        <v>0</v>
      </c>
      <c r="AW50" s="2031">
        <f>AW52+AW51</f>
        <v>0</v>
      </c>
      <c r="AX50" s="2031">
        <f>SUM(AX51:AX52)</f>
        <v>0</v>
      </c>
      <c r="AY50" s="2022">
        <f t="shared" ref="AY50:AY52" si="112">AX50/AX$89</f>
        <v>0</v>
      </c>
      <c r="AZ50" s="2000"/>
      <c r="BA50" s="2031">
        <f>BA52+BA51</f>
        <v>0</v>
      </c>
      <c r="BB50" s="2031">
        <f>BB52+BB51</f>
        <v>0</v>
      </c>
      <c r="BC50" s="2031">
        <f>SUM(BC51:BC52)</f>
        <v>0</v>
      </c>
      <c r="BD50" s="2022">
        <f t="shared" ref="BD50:BD52" si="113">BC50/$BC$89</f>
        <v>0</v>
      </c>
      <c r="BE50" s="2000"/>
      <c r="BF50" s="2031">
        <f>BF52+BF51</f>
        <v>0</v>
      </c>
      <c r="BG50" s="2031">
        <f>BG52+BG51</f>
        <v>0</v>
      </c>
      <c r="BH50" s="2031">
        <f>SUM(BH51:BH52)</f>
        <v>0</v>
      </c>
      <c r="BI50" s="2022">
        <f t="shared" ref="BI50:BI52" si="114">BH50/BH$89</f>
        <v>0</v>
      </c>
      <c r="BJ50" s="2000"/>
      <c r="BK50" s="2031">
        <f>BK52+BK51</f>
        <v>0</v>
      </c>
      <c r="BL50" s="2031">
        <f>BL52+BL51</f>
        <v>0</v>
      </c>
      <c r="BM50" s="2031">
        <f>SUM(BM51:BM52)</f>
        <v>0</v>
      </c>
      <c r="BN50" s="2022">
        <f t="shared" ref="BN50:BN52" si="115">BM50/BM$89</f>
        <v>0</v>
      </c>
      <c r="BO50" s="2000"/>
      <c r="BP50" s="2031">
        <f>BP52+BP51</f>
        <v>0</v>
      </c>
      <c r="BQ50" s="2031">
        <f>BQ52+BQ51</f>
        <v>0</v>
      </c>
      <c r="BR50" s="2031">
        <f>SUM(BR51:BR52)</f>
        <v>0</v>
      </c>
      <c r="BS50" s="2022">
        <f t="shared" ref="BS50:BS52" si="116">BR50/BR$89</f>
        <v>0</v>
      </c>
      <c r="BT50" s="2000"/>
      <c r="BU50" s="2031">
        <f>BU52+BU51</f>
        <v>0</v>
      </c>
      <c r="BV50" s="2031">
        <f>BV52+BV51</f>
        <v>0</v>
      </c>
      <c r="BW50" s="2031">
        <f>SUM(BW51:BW52)</f>
        <v>0</v>
      </c>
      <c r="BX50" s="2022">
        <f t="shared" ref="BX50:BX52" si="117">BW50/BW$89</f>
        <v>0</v>
      </c>
      <c r="BY50" s="2000"/>
      <c r="BZ50" s="2031">
        <f>BZ52+BZ51</f>
        <v>0</v>
      </c>
      <c r="CA50" s="2031">
        <f>CA52+CA51</f>
        <v>0</v>
      </c>
      <c r="CB50" s="2031">
        <f>SUM(CB51:CB52)</f>
        <v>0</v>
      </c>
      <c r="CC50" s="2022">
        <f t="shared" ref="CC50:CC52" si="118">CB50/CB$89</f>
        <v>0</v>
      </c>
      <c r="CD50" s="2000"/>
      <c r="CE50" s="2031">
        <f>CE52+CE51</f>
        <v>0</v>
      </c>
      <c r="CF50" s="2031">
        <f>CF52+CF51</f>
        <v>0</v>
      </c>
      <c r="CG50" s="2031">
        <f>SUM(CG51:CG52)</f>
        <v>0</v>
      </c>
      <c r="CH50" s="2022">
        <f t="shared" ref="CH50:CH52" si="119">CG50/CG$89</f>
        <v>0</v>
      </c>
      <c r="CI50" s="2000"/>
      <c r="CJ50" s="2031">
        <f>CJ52+CJ51</f>
        <v>0</v>
      </c>
      <c r="CK50" s="2031">
        <f>CK52+CK51</f>
        <v>0</v>
      </c>
      <c r="CL50" s="2031">
        <f>SUM(CL51:CL52)</f>
        <v>0</v>
      </c>
      <c r="CM50" s="2022">
        <f t="shared" ref="CM50:CM52" si="120">CL50/CL$89</f>
        <v>0</v>
      </c>
      <c r="CN50" s="2000"/>
      <c r="CO50" s="2031">
        <f>CO52+CO51</f>
        <v>0</v>
      </c>
      <c r="CP50" s="2031">
        <f>CP52+CP51</f>
        <v>0</v>
      </c>
      <c r="CQ50" s="2031">
        <f>SUM(CQ51:CQ52)</f>
        <v>0</v>
      </c>
      <c r="CR50" s="2022"/>
      <c r="CS50" s="2022"/>
      <c r="CT50" s="919"/>
      <c r="CU50" s="1579"/>
      <c r="CV50" s="1579"/>
      <c r="CW50" s="1579"/>
      <c r="CX50" s="1579"/>
      <c r="CY50" s="1579"/>
      <c r="CZ50" s="1579"/>
      <c r="DA50" s="1579"/>
      <c r="DB50" s="1579"/>
      <c r="DC50" s="1579"/>
      <c r="DD50" s="1579"/>
      <c r="DE50" s="1579"/>
      <c r="DF50" s="1579"/>
      <c r="DG50" s="1579"/>
      <c r="DH50" s="1579"/>
      <c r="DI50" s="1579"/>
      <c r="DJ50" s="1579"/>
      <c r="DK50" s="1579"/>
      <c r="DL50" s="1579"/>
      <c r="DM50" s="1579"/>
      <c r="DN50" s="1579"/>
      <c r="DO50" s="1579"/>
      <c r="DP50" s="1579"/>
      <c r="DQ50" s="1579"/>
      <c r="DR50" s="1579"/>
      <c r="DS50" s="1579"/>
      <c r="DT50" s="1579"/>
      <c r="DU50" s="1579"/>
      <c r="DV50" s="1579"/>
      <c r="DW50" s="1579"/>
      <c r="DX50" s="1579"/>
      <c r="DY50" s="1579"/>
      <c r="DZ50" s="1579"/>
      <c r="EA50" s="1579"/>
      <c r="EB50" s="1579"/>
      <c r="EC50" s="1579"/>
      <c r="ED50" s="1579"/>
      <c r="EE50" s="1579"/>
      <c r="EF50" s="1579"/>
      <c r="EG50" s="1579"/>
      <c r="EH50" s="1579"/>
      <c r="EI50" s="1579"/>
      <c r="EJ50" s="1579"/>
      <c r="EK50" s="1579"/>
      <c r="EL50" s="1579"/>
      <c r="EM50" s="1579"/>
      <c r="EN50" s="1579"/>
      <c r="EO50" s="1579"/>
      <c r="EP50" s="1579"/>
      <c r="EQ50" s="1579"/>
      <c r="ER50" s="1579"/>
      <c r="ES50" s="1579"/>
      <c r="ET50" s="1579"/>
      <c r="EU50" s="1579"/>
      <c r="EV50" s="1579"/>
      <c r="EW50" s="1579"/>
      <c r="EX50" s="1579"/>
      <c r="EY50" s="1579"/>
      <c r="EZ50" s="1579"/>
      <c r="FA50" s="1579"/>
      <c r="FB50" s="1579"/>
      <c r="FC50" s="1579"/>
      <c r="FD50" s="1579"/>
      <c r="FE50" s="1579"/>
      <c r="FF50" s="1579"/>
      <c r="FG50" s="1579"/>
      <c r="FH50" s="1579"/>
      <c r="FI50" s="1579"/>
      <c r="FJ50" s="1579"/>
      <c r="FK50" s="1579"/>
      <c r="FL50" s="1579"/>
      <c r="FM50" s="1579"/>
      <c r="FN50" s="1579"/>
      <c r="FO50" s="1579"/>
      <c r="FP50" s="1579"/>
      <c r="FQ50" s="1579"/>
      <c r="FR50" s="1579"/>
      <c r="FS50" s="1579"/>
      <c r="FT50" s="1579"/>
      <c r="FU50" s="1579"/>
      <c r="FV50" s="1579"/>
    </row>
    <row r="51" spans="1:178" s="1579" customFormat="1" ht="14.4" customHeight="1" outlineLevel="1" x14ac:dyDescent="0.25">
      <c r="A51" s="1583"/>
      <c r="B51" s="2812" t="s">
        <v>60</v>
      </c>
      <c r="C51" s="2811"/>
      <c r="D51" s="2826"/>
      <c r="E51" s="3102">
        <f>C51+D51</f>
        <v>0</v>
      </c>
      <c r="F51" s="2831" t="e">
        <f>E51/$E$89</f>
        <v>#DIV/0!</v>
      </c>
      <c r="G51" s="1995">
        <v>0</v>
      </c>
      <c r="H51" s="2067">
        <v>0</v>
      </c>
      <c r="I51" s="3103">
        <f>G51+H51*1</f>
        <v>0</v>
      </c>
      <c r="J51" s="3024">
        <f t="shared" si="110"/>
        <v>0</v>
      </c>
      <c r="K51" s="2832"/>
      <c r="L51" s="2832"/>
      <c r="M51" s="1995"/>
      <c r="N51" s="2067"/>
      <c r="O51" s="3103">
        <f>M51+N51*1</f>
        <v>0</v>
      </c>
      <c r="P51" s="3024">
        <f>O51/$AS$89</f>
        <v>0</v>
      </c>
      <c r="Q51" s="2832"/>
      <c r="R51" s="2067"/>
      <c r="S51" s="2059"/>
      <c r="T51" s="3102">
        <f>R51+S51*1</f>
        <v>0</v>
      </c>
      <c r="U51" s="2809">
        <f>T51/$AS$89</f>
        <v>0</v>
      </c>
      <c r="V51" s="2832"/>
      <c r="W51" s="2067"/>
      <c r="X51" s="2059"/>
      <c r="Y51" s="3102">
        <f>W51+X51*1</f>
        <v>0</v>
      </c>
      <c r="Z51" s="2809">
        <f>Y51/$AS$89</f>
        <v>0</v>
      </c>
      <c r="AA51" s="2832"/>
      <c r="AB51" s="2072"/>
      <c r="AC51" s="2066"/>
      <c r="AD51" s="3122">
        <f>AB51+AC51*1</f>
        <v>0</v>
      </c>
      <c r="AE51" s="3196">
        <f>AD51/$AS$89</f>
        <v>0</v>
      </c>
      <c r="AF51" s="3197"/>
      <c r="AG51" s="2067"/>
      <c r="AH51" s="2059"/>
      <c r="AI51" s="3102">
        <f>AG51+AH51*1</f>
        <v>0</v>
      </c>
      <c r="AJ51" s="2809">
        <f>AI51/$AS$89</f>
        <v>0</v>
      </c>
      <c r="AK51" s="2832"/>
      <c r="AL51" s="2067"/>
      <c r="AM51" s="2059"/>
      <c r="AN51" s="3102">
        <f>AL51+AM51*1</f>
        <v>0</v>
      </c>
      <c r="AO51" s="3024">
        <f t="shared" si="111"/>
        <v>0</v>
      </c>
      <c r="AP51" s="2832"/>
      <c r="AQ51" s="2067"/>
      <c r="AR51" s="2059"/>
      <c r="AS51" s="3102">
        <f>AQ51+AR51*1</f>
        <v>0</v>
      </c>
      <c r="AT51" s="2809">
        <f>AS51/$AS$89</f>
        <v>0</v>
      </c>
      <c r="AU51" s="2832"/>
      <c r="AV51" s="2067"/>
      <c r="AW51" s="2059"/>
      <c r="AX51" s="3102">
        <f>AV51+AW51*1</f>
        <v>0</v>
      </c>
      <c r="AY51" s="3024">
        <f t="shared" si="112"/>
        <v>0</v>
      </c>
      <c r="AZ51" s="2832"/>
      <c r="BA51" s="2067"/>
      <c r="BB51" s="2059"/>
      <c r="BC51" s="3102">
        <f>BA51+BB51*1</f>
        <v>0</v>
      </c>
      <c r="BD51" s="2809">
        <f t="shared" si="113"/>
        <v>0</v>
      </c>
      <c r="BE51" s="2832"/>
      <c r="BF51" s="2067"/>
      <c r="BG51" s="2059"/>
      <c r="BH51" s="3102">
        <f>BF51+BG51*1</f>
        <v>0</v>
      </c>
      <c r="BI51" s="2809">
        <f t="shared" si="114"/>
        <v>0</v>
      </c>
      <c r="BJ51" s="2832"/>
      <c r="BK51" s="2067"/>
      <c r="BL51" s="2059"/>
      <c r="BM51" s="3102">
        <f>BK51+BL51*1</f>
        <v>0</v>
      </c>
      <c r="BN51" s="2809">
        <f t="shared" si="115"/>
        <v>0</v>
      </c>
      <c r="BO51" s="2832"/>
      <c r="BP51" s="2067"/>
      <c r="BQ51" s="2059"/>
      <c r="BR51" s="3102">
        <f>BP51+BQ51*1</f>
        <v>0</v>
      </c>
      <c r="BS51" s="2809">
        <f t="shared" si="116"/>
        <v>0</v>
      </c>
      <c r="BT51" s="2832"/>
      <c r="BU51" s="2067"/>
      <c r="BV51" s="2059"/>
      <c r="BW51" s="3102">
        <f>BU51+BV51*1</f>
        <v>0</v>
      </c>
      <c r="BX51" s="2809">
        <f t="shared" si="117"/>
        <v>0</v>
      </c>
      <c r="BY51" s="2832"/>
      <c r="BZ51" s="2067"/>
      <c r="CA51" s="2059"/>
      <c r="CB51" s="3102">
        <f>BZ51+CA51*1</f>
        <v>0</v>
      </c>
      <c r="CC51" s="2809">
        <f t="shared" si="118"/>
        <v>0</v>
      </c>
      <c r="CD51" s="2832"/>
      <c r="CE51" s="2067"/>
      <c r="CF51" s="2059"/>
      <c r="CG51" s="3102">
        <f>CE51+CF51*1</f>
        <v>0</v>
      </c>
      <c r="CH51" s="2809">
        <f t="shared" si="119"/>
        <v>0</v>
      </c>
      <c r="CI51" s="2832"/>
      <c r="CJ51" s="2067"/>
      <c r="CK51" s="2059"/>
      <c r="CL51" s="3102">
        <f>CJ51+CK51*1</f>
        <v>0</v>
      </c>
      <c r="CM51" s="2809">
        <f t="shared" si="120"/>
        <v>0</v>
      </c>
      <c r="CN51" s="2832"/>
      <c r="CO51" s="2059">
        <f t="shared" ref="CO51:CO52" si="121">M51+R51+W51+AB51+AG51+AL51+AQ51+AV51+BA51+BF51+BK51+BP51+BU51+BZ51+CE51+CJ51</f>
        <v>0</v>
      </c>
      <c r="CP51" s="2059">
        <f t="shared" ref="CP51:CP52" si="122">N51+S51+X51+AC51+AH51+AM51+AR51+AW51+BB51+BG51+BL51+BQ51+BV51+CA51+CF51+CK51</f>
        <v>0</v>
      </c>
      <c r="CQ51" s="3102">
        <f>CO51+CP51*1</f>
        <v>0</v>
      </c>
      <c r="CR51" s="2809">
        <f>CQ51/$CQ$89</f>
        <v>0</v>
      </c>
      <c r="CS51" s="2824"/>
      <c r="CT51" s="919"/>
    </row>
    <row r="52" spans="1:178" s="1584" customFormat="1" ht="14.4" customHeight="1" outlineLevel="2" x14ac:dyDescent="0.25">
      <c r="A52" s="1583"/>
      <c r="B52" s="2812" t="s">
        <v>61</v>
      </c>
      <c r="C52" s="2811"/>
      <c r="D52" s="2826"/>
      <c r="E52" s="3102">
        <f>C52+D52</f>
        <v>0</v>
      </c>
      <c r="F52" s="2831" t="e">
        <f>E52/$E$89</f>
        <v>#DIV/0!</v>
      </c>
      <c r="G52" s="1995">
        <v>0</v>
      </c>
      <c r="H52" s="2067">
        <v>0</v>
      </c>
      <c r="I52" s="3103">
        <f>G52+H52*1</f>
        <v>0</v>
      </c>
      <c r="J52" s="3024">
        <f t="shared" si="110"/>
        <v>0</v>
      </c>
      <c r="K52" s="2062"/>
      <c r="L52" s="2062"/>
      <c r="M52" s="1995"/>
      <c r="N52" s="2067"/>
      <c r="O52" s="3103">
        <f>M52+N52*1</f>
        <v>0</v>
      </c>
      <c r="P52" s="3024">
        <f>O52/$AS$89</f>
        <v>0</v>
      </c>
      <c r="Q52" s="2062"/>
      <c r="R52" s="2067"/>
      <c r="S52" s="2059"/>
      <c r="T52" s="3102">
        <f>R52+S52*1</f>
        <v>0</v>
      </c>
      <c r="U52" s="2809">
        <f>T52/$AS$89</f>
        <v>0</v>
      </c>
      <c r="V52" s="2062"/>
      <c r="W52" s="2067"/>
      <c r="X52" s="2059"/>
      <c r="Y52" s="3102">
        <f>W52+X52*1</f>
        <v>0</v>
      </c>
      <c r="Z52" s="2809">
        <f>Y52/$AS$89</f>
        <v>0</v>
      </c>
      <c r="AA52" s="2062"/>
      <c r="AB52" s="2072"/>
      <c r="AC52" s="2066"/>
      <c r="AD52" s="3122">
        <f>AB52+AC52*1</f>
        <v>0</v>
      </c>
      <c r="AE52" s="3196">
        <f>AD52/$AS$89</f>
        <v>0</v>
      </c>
      <c r="AF52" s="2071"/>
      <c r="AG52" s="2067"/>
      <c r="AH52" s="2059"/>
      <c r="AI52" s="3102">
        <f>AG52+AH52*1</f>
        <v>0</v>
      </c>
      <c r="AJ52" s="2809">
        <f>AI52/$AS$89</f>
        <v>0</v>
      </c>
      <c r="AK52" s="2062"/>
      <c r="AL52" s="2067"/>
      <c r="AM52" s="2059"/>
      <c r="AN52" s="3102">
        <f>AL52+AM52*1</f>
        <v>0</v>
      </c>
      <c r="AO52" s="3024">
        <f t="shared" si="111"/>
        <v>0</v>
      </c>
      <c r="AP52" s="2062"/>
      <c r="AQ52" s="2067"/>
      <c r="AR52" s="2059"/>
      <c r="AS52" s="3102">
        <f>AQ52+AR52*1</f>
        <v>0</v>
      </c>
      <c r="AT52" s="2809">
        <f>AS52/$AS$89</f>
        <v>0</v>
      </c>
      <c r="AU52" s="2062"/>
      <c r="AV52" s="2067"/>
      <c r="AW52" s="2059"/>
      <c r="AX52" s="3102">
        <f>AV52+AW52*1</f>
        <v>0</v>
      </c>
      <c r="AY52" s="3024">
        <f t="shared" si="112"/>
        <v>0</v>
      </c>
      <c r="AZ52" s="2062"/>
      <c r="BA52" s="2067"/>
      <c r="BB52" s="2059"/>
      <c r="BC52" s="3102">
        <f>BA52+BB52*1</f>
        <v>0</v>
      </c>
      <c r="BD52" s="2809">
        <f t="shared" si="113"/>
        <v>0</v>
      </c>
      <c r="BE52" s="2062"/>
      <c r="BF52" s="2067"/>
      <c r="BG52" s="2059"/>
      <c r="BH52" s="3102">
        <f>BF52+BG52*1</f>
        <v>0</v>
      </c>
      <c r="BI52" s="2809">
        <f t="shared" si="114"/>
        <v>0</v>
      </c>
      <c r="BJ52" s="2062"/>
      <c r="BK52" s="2067"/>
      <c r="BL52" s="2059"/>
      <c r="BM52" s="3102">
        <f>BK52+BL52*1</f>
        <v>0</v>
      </c>
      <c r="BN52" s="2809">
        <f t="shared" si="115"/>
        <v>0</v>
      </c>
      <c r="BO52" s="2062"/>
      <c r="BP52" s="2067"/>
      <c r="BQ52" s="2059"/>
      <c r="BR52" s="3102">
        <f>BP52+BQ52*1</f>
        <v>0</v>
      </c>
      <c r="BS52" s="2809">
        <f t="shared" si="116"/>
        <v>0</v>
      </c>
      <c r="BT52" s="2062"/>
      <c r="BU52" s="2067"/>
      <c r="BV52" s="2059"/>
      <c r="BW52" s="3102">
        <f>BU52+BV52*1</f>
        <v>0</v>
      </c>
      <c r="BX52" s="2809">
        <f t="shared" si="117"/>
        <v>0</v>
      </c>
      <c r="BY52" s="2062"/>
      <c r="BZ52" s="2067"/>
      <c r="CA52" s="2059"/>
      <c r="CB52" s="3102">
        <f>BZ52+CA52*1</f>
        <v>0</v>
      </c>
      <c r="CC52" s="2809">
        <f t="shared" si="118"/>
        <v>0</v>
      </c>
      <c r="CD52" s="2062"/>
      <c r="CE52" s="2067"/>
      <c r="CF52" s="2059"/>
      <c r="CG52" s="3102">
        <f>CE52+CF52*1</f>
        <v>0</v>
      </c>
      <c r="CH52" s="2809">
        <f t="shared" si="119"/>
        <v>0</v>
      </c>
      <c r="CI52" s="2062"/>
      <c r="CJ52" s="2067"/>
      <c r="CK52" s="2059"/>
      <c r="CL52" s="3102">
        <f>CJ52+CK52*1</f>
        <v>0</v>
      </c>
      <c r="CM52" s="2809">
        <f t="shared" si="120"/>
        <v>0</v>
      </c>
      <c r="CN52" s="2062"/>
      <c r="CO52" s="2059">
        <f t="shared" si="121"/>
        <v>0</v>
      </c>
      <c r="CP52" s="2059">
        <f t="shared" si="122"/>
        <v>0</v>
      </c>
      <c r="CQ52" s="3102">
        <f>CO52+CP52*1</f>
        <v>0</v>
      </c>
      <c r="CR52" s="2809">
        <f>CQ52/$CQ$89</f>
        <v>0</v>
      </c>
      <c r="CS52" s="2824"/>
      <c r="CT52" s="919"/>
      <c r="CU52" s="1579"/>
      <c r="CV52" s="1579"/>
      <c r="CW52" s="1579"/>
    </row>
    <row r="53" spans="1:178" ht="14.4" customHeight="1" outlineLevel="1" thickBot="1" x14ac:dyDescent="0.3">
      <c r="A53" s="1428"/>
      <c r="B53" s="2855"/>
      <c r="C53" s="2952"/>
      <c r="D53" s="2863"/>
      <c r="E53" s="2954"/>
      <c r="F53" s="2955"/>
      <c r="G53" s="1995"/>
      <c r="H53" s="2067"/>
      <c r="I53" s="3036"/>
      <c r="J53" s="3037"/>
      <c r="K53" s="2957"/>
      <c r="L53" s="2957"/>
      <c r="M53" s="1995"/>
      <c r="N53" s="2067"/>
      <c r="O53" s="3036"/>
      <c r="P53" s="3037"/>
      <c r="Q53" s="2957"/>
      <c r="R53" s="2067"/>
      <c r="S53" s="2059"/>
      <c r="T53" s="2956"/>
      <c r="U53" s="2956"/>
      <c r="V53" s="2957"/>
      <c r="W53" s="2067"/>
      <c r="X53" s="2059"/>
      <c r="Y53" s="2956"/>
      <c r="Z53" s="2956"/>
      <c r="AA53" s="2957"/>
      <c r="AB53" s="2072"/>
      <c r="AC53" s="2066"/>
      <c r="AD53" s="3038"/>
      <c r="AE53" s="3038"/>
      <c r="AF53" s="3039"/>
      <c r="AG53" s="2067"/>
      <c r="AH53" s="2059"/>
      <c r="AI53" s="2956"/>
      <c r="AJ53" s="2956"/>
      <c r="AK53" s="2957"/>
      <c r="AL53" s="2067"/>
      <c r="AM53" s="2059"/>
      <c r="AN53" s="2956"/>
      <c r="AO53" s="2956"/>
      <c r="AP53" s="2957"/>
      <c r="AQ53" s="2067"/>
      <c r="AR53" s="2059"/>
      <c r="AS53" s="2956"/>
      <c r="AT53" s="2956"/>
      <c r="AU53" s="2957"/>
      <c r="AV53" s="2067"/>
      <c r="AW53" s="2059"/>
      <c r="AX53" s="2956"/>
      <c r="AY53" s="2956"/>
      <c r="AZ53" s="2957"/>
      <c r="BA53" s="2067"/>
      <c r="BB53" s="2059"/>
      <c r="BC53" s="2956"/>
      <c r="BD53" s="2956"/>
      <c r="BE53" s="2957"/>
      <c r="BF53" s="2067"/>
      <c r="BG53" s="2059"/>
      <c r="BH53" s="2956"/>
      <c r="BI53" s="2956"/>
      <c r="BJ53" s="2957"/>
      <c r="BK53" s="2067"/>
      <c r="BL53" s="2059"/>
      <c r="BM53" s="2956"/>
      <c r="BN53" s="2956"/>
      <c r="BO53" s="2957"/>
      <c r="BP53" s="2067"/>
      <c r="BQ53" s="2059"/>
      <c r="BR53" s="2956"/>
      <c r="BS53" s="2956"/>
      <c r="BT53" s="2957"/>
      <c r="BU53" s="2067"/>
      <c r="BV53" s="2059"/>
      <c r="BW53" s="2956"/>
      <c r="BX53" s="2956"/>
      <c r="BY53" s="2957"/>
      <c r="BZ53" s="2067"/>
      <c r="CA53" s="2059"/>
      <c r="CB53" s="2956"/>
      <c r="CC53" s="2956"/>
      <c r="CD53" s="2957"/>
      <c r="CE53" s="2067"/>
      <c r="CF53" s="2059"/>
      <c r="CG53" s="2956"/>
      <c r="CH53" s="2956"/>
      <c r="CI53" s="2957"/>
      <c r="CJ53" s="2067"/>
      <c r="CK53" s="2059"/>
      <c r="CL53" s="2956"/>
      <c r="CM53" s="2956"/>
      <c r="CN53" s="2957"/>
      <c r="CO53" s="2059">
        <f>G53+AL53+AQ53+AV53+BA53+BF53</f>
        <v>0</v>
      </c>
      <c r="CP53" s="2059">
        <f>H53+AM53+AR53+AW53+BB53+BG53</f>
        <v>0</v>
      </c>
      <c r="CQ53" s="2956"/>
      <c r="CR53" s="2956"/>
      <c r="CS53" s="2956"/>
      <c r="CT53" s="919"/>
      <c r="CU53" s="1579"/>
      <c r="CV53" s="1579"/>
      <c r="CW53" s="1579"/>
    </row>
    <row r="54" spans="1:178" ht="14.4" customHeight="1" outlineLevel="1" x14ac:dyDescent="0.25">
      <c r="A54" s="1585"/>
      <c r="B54" s="993" t="s">
        <v>1</v>
      </c>
      <c r="C54" s="2031">
        <f>SUM(C55:C71)</f>
        <v>0</v>
      </c>
      <c r="D54" s="2031">
        <f>SUM(D55:D71)</f>
        <v>0</v>
      </c>
      <c r="E54" s="1991">
        <f>SUM(E55:E71)</f>
        <v>0</v>
      </c>
      <c r="F54" s="1549" t="e">
        <f>E54/$E$89</f>
        <v>#DIV/0!</v>
      </c>
      <c r="G54" s="2031">
        <f>SUM(G55:G72)</f>
        <v>148686.62999999998</v>
      </c>
      <c r="H54" s="1991">
        <f>SUM(H55:H72)</f>
        <v>153329.81</v>
      </c>
      <c r="I54" s="2031">
        <f>SUM(I55:I72)</f>
        <v>302016.43999999994</v>
      </c>
      <c r="J54" s="3034">
        <f t="shared" ref="J54:J71" si="123">I54/I$89</f>
        <v>5.5164967821207623E-3</v>
      </c>
      <c r="K54" s="2000"/>
      <c r="L54" s="2000"/>
      <c r="M54" s="2031">
        <v>41646.49</v>
      </c>
      <c r="N54" s="1991">
        <v>28773.3</v>
      </c>
      <c r="O54" s="2031">
        <f>SUM(O55:O72)</f>
        <v>79499.37</v>
      </c>
      <c r="P54" s="3034">
        <f>O54/$AS$89</f>
        <v>1.1431097526824606E-2</v>
      </c>
      <c r="Q54" s="2000"/>
      <c r="R54" s="2031">
        <v>30332.25</v>
      </c>
      <c r="S54" s="1991">
        <v>29308.36</v>
      </c>
      <c r="T54" s="2031">
        <f>SUM(T55:T72)</f>
        <v>68720.190000000017</v>
      </c>
      <c r="U54" s="2825">
        <f>T54/$AS$89</f>
        <v>9.8811750829210006E-3</v>
      </c>
      <c r="V54" s="2000"/>
      <c r="W54" s="2031">
        <v>26078.15</v>
      </c>
      <c r="X54" s="2031">
        <v>28964.5</v>
      </c>
      <c r="Y54" s="2031">
        <f>SUM(Y55:Y72)</f>
        <v>55042.65</v>
      </c>
      <c r="Z54" s="2825">
        <f>Y54/$AS$89</f>
        <v>7.9145017159868367E-3</v>
      </c>
      <c r="AA54" s="2000"/>
      <c r="AB54" s="2056">
        <f>SUM(AB55:AB71)</f>
        <v>27839.739999999998</v>
      </c>
      <c r="AC54" s="2056">
        <f>SUM(AC55:AC71)</f>
        <v>33836.26</v>
      </c>
      <c r="AD54" s="2056">
        <f>SUM(AD55:AD72)</f>
        <v>61676</v>
      </c>
      <c r="AE54" s="3193">
        <f>AD54/$AS$89</f>
        <v>8.8683013596766169E-3</v>
      </c>
      <c r="AF54" s="1811"/>
      <c r="AG54" s="2031">
        <f>SUM(AG55:AG72)</f>
        <v>45105.11</v>
      </c>
      <c r="AH54" s="2031">
        <f>SUM(AH55:AH72)</f>
        <v>32447.39</v>
      </c>
      <c r="AI54" s="2031">
        <f>SUM(AI55:AI72)</f>
        <v>77552.5</v>
      </c>
      <c r="AJ54" s="2825">
        <f>AI54/$AS$89</f>
        <v>1.1151159951947612E-2</v>
      </c>
      <c r="AK54" s="2000"/>
      <c r="AL54" s="2031">
        <f>SUM(AL55:AL72)</f>
        <v>41769.759999999995</v>
      </c>
      <c r="AM54" s="2031">
        <f>SUM(AM55:AM72)</f>
        <v>42499.41</v>
      </c>
      <c r="AN54" s="2031">
        <f>SUM(AN55:AN72)</f>
        <v>84269.170000000013</v>
      </c>
      <c r="AO54" s="2825">
        <f t="shared" ref="AO54:AO72" si="124">AN54/$AN$89</f>
        <v>1.3142388924225756E-2</v>
      </c>
      <c r="AP54" s="2000"/>
      <c r="AQ54" s="2031">
        <f>SUM(AQ55:AQ72)</f>
        <v>39961.86</v>
      </c>
      <c r="AR54" s="2031">
        <f>SUM(AR55:AR72)</f>
        <v>16765.550000000003</v>
      </c>
      <c r="AS54" s="2031">
        <f>SUM(AS55:AS72)</f>
        <v>56727.41</v>
      </c>
      <c r="AT54" s="2825">
        <f>AS54/$AS$89</f>
        <v>8.1567508793360943E-3</v>
      </c>
      <c r="AU54" s="2000"/>
      <c r="AV54" s="2031">
        <f>SUM(AV55:AV72)</f>
        <v>40152.550000000003</v>
      </c>
      <c r="AW54" s="2031">
        <f>SUM(AW55:AW72)</f>
        <v>30537.200000000001</v>
      </c>
      <c r="AX54" s="2031">
        <f>SUM(AX55:AX72)</f>
        <v>70689.75</v>
      </c>
      <c r="AY54" s="2825">
        <f t="shared" ref="AY54:AY71" si="125">AX54/$AX$89</f>
        <v>2.4379834717834871E-2</v>
      </c>
      <c r="AZ54" s="2000"/>
      <c r="BA54" s="2031">
        <f>SUM(BA55:BA72)</f>
        <v>47650.04</v>
      </c>
      <c r="BB54" s="2031">
        <f>SUM(BB55:BB72)</f>
        <v>36296.800000000003</v>
      </c>
      <c r="BC54" s="2031">
        <f>SUM(BC55:BC72)</f>
        <v>83946.840000000011</v>
      </c>
      <c r="BD54" s="2825">
        <f t="shared" ref="BD54:BD71" si="126">BC54/$BC$89</f>
        <v>2.3945355899404597E-2</v>
      </c>
      <c r="BE54" s="2000"/>
      <c r="BF54" s="2031">
        <f>SUM(BF55:BF72)</f>
        <v>38972.129999999997</v>
      </c>
      <c r="BG54" s="2031">
        <f>SUM(BG55:BG72)</f>
        <v>39225.1</v>
      </c>
      <c r="BH54" s="2031">
        <f>SUM(BH55:BH72)</f>
        <v>78197.23000000001</v>
      </c>
      <c r="BI54" s="2825">
        <f t="shared" ref="BI54:BI71" si="127">BH54/BH$89</f>
        <v>1.7153563238269613E-2</v>
      </c>
      <c r="BJ54" s="2000"/>
      <c r="BK54" s="2031">
        <f>SUM(BK55:BK72)</f>
        <v>34483.520000000004</v>
      </c>
      <c r="BL54" s="2031">
        <f>SUM(BL55:BL72)</f>
        <v>41997.24</v>
      </c>
      <c r="BM54" s="2031">
        <f>SUM(BM55:BM72)</f>
        <v>76480.759999999995</v>
      </c>
      <c r="BN54" s="2825">
        <f t="shared" ref="BN54:BN71" si="128">BM54/BM$89</f>
        <v>1.2605006642998285E-2</v>
      </c>
      <c r="BO54" s="2000"/>
      <c r="BP54" s="2031">
        <f>SUM(BP55:BP72)</f>
        <v>29527.16</v>
      </c>
      <c r="BQ54" s="2031">
        <f>SUM(BQ55:BQ72)</f>
        <v>35831.199999999997</v>
      </c>
      <c r="BR54" s="2031">
        <f>SUM(BR55:BR72)</f>
        <v>65358.36</v>
      </c>
      <c r="BS54" s="2825">
        <f t="shared" ref="BS54:BS71" si="129">BR54/BR$89</f>
        <v>2.6693036737871972E-2</v>
      </c>
      <c r="BT54" s="2000"/>
      <c r="BU54" s="2031">
        <f>SUM(BU55:BU72)</f>
        <v>0</v>
      </c>
      <c r="BV54" s="2031">
        <f>SUM(BV55:BV72)</f>
        <v>60820.7</v>
      </c>
      <c r="BW54" s="2031">
        <f>SUM(BW55:BW72)</f>
        <v>60820.7</v>
      </c>
      <c r="BX54" s="2825">
        <f t="shared" ref="BX54:BX71" si="130">BW54/BW$89</f>
        <v>0.11267008670969327</v>
      </c>
      <c r="BY54" s="2000"/>
      <c r="BZ54" s="2031">
        <f>SUM(BZ55:BZ72)</f>
        <v>0</v>
      </c>
      <c r="CA54" s="2031">
        <f>SUM(CA55:CA72)</f>
        <v>0</v>
      </c>
      <c r="CB54" s="2031">
        <f>SUM(CB55:CB72)</f>
        <v>0</v>
      </c>
      <c r="CC54" s="2825">
        <f t="shared" ref="CC54:CC71" si="131">CB54/CB$89</f>
        <v>0</v>
      </c>
      <c r="CD54" s="2000"/>
      <c r="CE54" s="2031">
        <f>SUM(CE55:CE72)</f>
        <v>0</v>
      </c>
      <c r="CF54" s="2031">
        <f>SUM(CF55:CF72)</f>
        <v>0</v>
      </c>
      <c r="CG54" s="2031">
        <f>SUM(CG55:CG72)</f>
        <v>0</v>
      </c>
      <c r="CH54" s="2825">
        <f t="shared" ref="CH54:CH71" si="132">CG54/CG$89</f>
        <v>0</v>
      </c>
      <c r="CI54" s="2000"/>
      <c r="CJ54" s="2031">
        <f>SUM(CJ55:CJ72)</f>
        <v>0</v>
      </c>
      <c r="CK54" s="2031">
        <f>SUM(CK55:CK72)</f>
        <v>0</v>
      </c>
      <c r="CL54" s="2031">
        <f>SUM(CL55:CL72)</f>
        <v>0</v>
      </c>
      <c r="CM54" s="2825">
        <f t="shared" ref="CM54:CM71" si="133">CL54/CL$89</f>
        <v>0</v>
      </c>
      <c r="CN54" s="2000"/>
      <c r="CO54" s="2031">
        <f>SUM(CO55:CO72)</f>
        <v>461677.92000000004</v>
      </c>
      <c r="CP54" s="2031">
        <f>SUM(CP55:CP72)</f>
        <v>457303.01</v>
      </c>
      <c r="CQ54" s="2031">
        <f>SUM(CQ55:CQ72)</f>
        <v>918980.92999999993</v>
      </c>
      <c r="CR54" s="2825">
        <f t="shared" ref="CR54:CR71" si="134">CQ54/$CQ$89</f>
        <v>9.7669893907608059E-3</v>
      </c>
      <c r="CS54" s="2022"/>
      <c r="CT54" s="919"/>
      <c r="CU54" s="1579"/>
      <c r="CV54" s="1579"/>
      <c r="CW54" s="1579"/>
    </row>
    <row r="55" spans="1:178" ht="14.4" customHeight="1" outlineLevel="2" x14ac:dyDescent="0.25">
      <c r="A55" s="1586"/>
      <c r="B55" s="3113" t="s">
        <v>77</v>
      </c>
      <c r="C55" s="2811"/>
      <c r="D55" s="2814"/>
      <c r="E55" s="3102">
        <f t="shared" ref="E55:E71" si="135">C55+D55</f>
        <v>0</v>
      </c>
      <c r="F55" s="2809" t="e">
        <f>E55/$E$89</f>
        <v>#DIV/0!</v>
      </c>
      <c r="G55" s="1998">
        <v>0</v>
      </c>
      <c r="H55" s="2027">
        <v>0</v>
      </c>
      <c r="I55" s="3103">
        <f t="shared" ref="I55:I71" si="136">G55+H55*1</f>
        <v>0</v>
      </c>
      <c r="J55" s="3024">
        <f t="shared" si="123"/>
        <v>0</v>
      </c>
      <c r="K55" s="2062"/>
      <c r="L55" s="2062"/>
      <c r="M55" s="1998"/>
      <c r="N55" s="2027"/>
      <c r="O55" s="3103">
        <f t="shared" ref="O55:O62" si="137">M55+N55*1</f>
        <v>0</v>
      </c>
      <c r="P55" s="3024">
        <f t="shared" ref="P55:P71" si="138">O55/$AS$89</f>
        <v>0</v>
      </c>
      <c r="Q55" s="2062"/>
      <c r="R55" s="1990"/>
      <c r="S55" s="2027"/>
      <c r="T55" s="3102">
        <f t="shared" ref="T55:T62" si="139">R55+S55*1</f>
        <v>0</v>
      </c>
      <c r="U55" s="2809">
        <f t="shared" ref="U55:U71" si="140">T55/$AS$89</f>
        <v>0</v>
      </c>
      <c r="V55" s="2062"/>
      <c r="W55" s="2027"/>
      <c r="X55" s="2061"/>
      <c r="Y55" s="3102">
        <f t="shared" ref="Y55:Y62" si="141">W55+X55*1</f>
        <v>0</v>
      </c>
      <c r="Z55" s="2809">
        <f t="shared" ref="Z55:Z71" si="142">Y55/$AS$89</f>
        <v>0</v>
      </c>
      <c r="AA55" s="2062"/>
      <c r="AB55" s="2057"/>
      <c r="AC55" s="2073"/>
      <c r="AD55" s="3122">
        <f t="shared" ref="AD55:AD62" si="143">AB55+AC55*1</f>
        <v>0</v>
      </c>
      <c r="AE55" s="3196">
        <f t="shared" ref="AE55:AE71" si="144">AD55/$AS$89</f>
        <v>0</v>
      </c>
      <c r="AF55" s="2071"/>
      <c r="AG55" s="3068"/>
      <c r="AH55" s="3083"/>
      <c r="AI55" s="3104">
        <f t="shared" ref="AI55:AI62" si="145">AG55+AH55*1</f>
        <v>0</v>
      </c>
      <c r="AJ55" s="3180">
        <f t="shared" ref="AJ55:AJ71" si="146">AI55/$AS$89</f>
        <v>0</v>
      </c>
      <c r="AK55" s="3065"/>
      <c r="AL55" s="2027">
        <v>532.76</v>
      </c>
      <c r="AM55" s="2061"/>
      <c r="AN55" s="3102">
        <f t="shared" ref="AN55:AN71" si="147">AL55+AM55*1</f>
        <v>532.76</v>
      </c>
      <c r="AO55" s="2809">
        <f t="shared" si="124"/>
        <v>8.3087790270991305E-5</v>
      </c>
      <c r="AP55" s="2062"/>
      <c r="AQ55" s="2027"/>
      <c r="AR55" s="2061"/>
      <c r="AS55" s="3102">
        <f t="shared" ref="AS55:AS71" si="148">AQ55+AR55*1</f>
        <v>0</v>
      </c>
      <c r="AT55" s="2809">
        <f t="shared" ref="AT55:AT71" si="149">AS55/$AS$89</f>
        <v>0</v>
      </c>
      <c r="AU55" s="2062"/>
      <c r="AV55" s="2027"/>
      <c r="AW55" s="2061"/>
      <c r="AX55" s="3102">
        <f t="shared" ref="AX55:AX71" si="150">AV55+AW55*1</f>
        <v>0</v>
      </c>
      <c r="AY55" s="2809">
        <f t="shared" si="125"/>
        <v>0</v>
      </c>
      <c r="AZ55" s="2062"/>
      <c r="BA55" s="3068"/>
      <c r="BB55" s="3083"/>
      <c r="BC55" s="3104">
        <f t="shared" ref="BC55:BC71" si="151">BA55+BB55*1</f>
        <v>0</v>
      </c>
      <c r="BD55" s="3180">
        <f t="shared" si="126"/>
        <v>0</v>
      </c>
      <c r="BE55" s="3065"/>
      <c r="BF55" s="2027"/>
      <c r="BG55" s="2061"/>
      <c r="BH55" s="3102">
        <f t="shared" ref="BH55:BH71" si="152">BF55+BG55*1</f>
        <v>0</v>
      </c>
      <c r="BI55" s="2809">
        <f t="shared" si="127"/>
        <v>0</v>
      </c>
      <c r="BJ55" s="2062"/>
      <c r="BK55" s="2027"/>
      <c r="BL55" s="2061"/>
      <c r="BM55" s="3102">
        <f t="shared" ref="BM55:BM62" si="153">BK55+BL55*1</f>
        <v>0</v>
      </c>
      <c r="BN55" s="2809">
        <f t="shared" si="128"/>
        <v>0</v>
      </c>
      <c r="BO55" s="2062"/>
      <c r="BP55" s="2027"/>
      <c r="BQ55" s="2061"/>
      <c r="BR55" s="3102">
        <f t="shared" ref="BR55:BR62" si="154">BP55+BQ55*1</f>
        <v>0</v>
      </c>
      <c r="BS55" s="2809">
        <f t="shared" si="129"/>
        <v>0</v>
      </c>
      <c r="BT55" s="2062"/>
      <c r="BU55" s="2027"/>
      <c r="BV55" s="2061"/>
      <c r="BW55" s="3102">
        <f t="shared" ref="BW55:BW62" si="155">BU55+BV55*1</f>
        <v>0</v>
      </c>
      <c r="BX55" s="2809">
        <f t="shared" si="130"/>
        <v>0</v>
      </c>
      <c r="BY55" s="2062"/>
      <c r="BZ55" s="2027"/>
      <c r="CA55" s="2061"/>
      <c r="CB55" s="3102">
        <f t="shared" ref="CB55:CB58" si="156">BZ55+CA55*1</f>
        <v>0</v>
      </c>
      <c r="CC55" s="2809">
        <f t="shared" si="131"/>
        <v>0</v>
      </c>
      <c r="CD55" s="2062"/>
      <c r="CE55" s="2027"/>
      <c r="CF55" s="2061"/>
      <c r="CG55" s="3102">
        <f t="shared" ref="CG55:CG58" si="157">CE55+CF55*1</f>
        <v>0</v>
      </c>
      <c r="CH55" s="2809">
        <f t="shared" si="132"/>
        <v>0</v>
      </c>
      <c r="CI55" s="2062"/>
      <c r="CJ55" s="2027"/>
      <c r="CK55" s="2061"/>
      <c r="CL55" s="3102">
        <f t="shared" ref="CL55:CL58" si="158">CJ55+CK55*1</f>
        <v>0</v>
      </c>
      <c r="CM55" s="2809">
        <f t="shared" si="133"/>
        <v>0</v>
      </c>
      <c r="CN55" s="2062"/>
      <c r="CO55" s="2059">
        <f t="shared" ref="CO55:CO71" si="159">M55+R55+W55+AB55+AG55+AL55+AQ55+AV55+BA55+BF55+BK55+BP55+BU55+BZ55+CE55+CJ55</f>
        <v>532.76</v>
      </c>
      <c r="CP55" s="2059">
        <f t="shared" ref="CP55:CP71" si="160">N55+S55+X55+AC55+AH55+AM55+AR55+AW55+BB55+BG55+BL55+BQ55+BV55+CA55+CF55+CK55</f>
        <v>0</v>
      </c>
      <c r="CQ55" s="3102">
        <f t="shared" ref="CQ55:CQ71" si="161">CO55+CP55*1</f>
        <v>532.76</v>
      </c>
      <c r="CR55" s="2809">
        <f t="shared" si="134"/>
        <v>5.6622081024268128E-6</v>
      </c>
      <c r="CS55" s="2813"/>
      <c r="CT55" s="919"/>
      <c r="CU55" s="1579"/>
      <c r="CV55" s="1579"/>
      <c r="CW55" s="1579"/>
    </row>
    <row r="56" spans="1:178" ht="14.4" customHeight="1" outlineLevel="2" x14ac:dyDescent="0.25">
      <c r="A56" s="1586"/>
      <c r="B56" s="3113" t="s">
        <v>76</v>
      </c>
      <c r="C56" s="2811"/>
      <c r="D56" s="2814"/>
      <c r="E56" s="3102">
        <f t="shared" si="135"/>
        <v>0</v>
      </c>
      <c r="F56" s="2809" t="e">
        <f t="shared" ref="F56:F72" si="162">E56/$E$89</f>
        <v>#DIV/0!</v>
      </c>
      <c r="G56" s="1998">
        <v>0</v>
      </c>
      <c r="H56" s="2027">
        <v>0</v>
      </c>
      <c r="I56" s="3103">
        <f t="shared" si="136"/>
        <v>0</v>
      </c>
      <c r="J56" s="3024">
        <f t="shared" si="123"/>
        <v>0</v>
      </c>
      <c r="K56" s="2062"/>
      <c r="L56" s="2062"/>
      <c r="M56" s="3062"/>
      <c r="N56" s="3068"/>
      <c r="O56" s="3114">
        <f t="shared" si="137"/>
        <v>0</v>
      </c>
      <c r="P56" s="3063">
        <f t="shared" si="138"/>
        <v>0</v>
      </c>
      <c r="Q56" s="3065"/>
      <c r="R56" s="1990"/>
      <c r="S56" s="2027"/>
      <c r="T56" s="3102">
        <f t="shared" si="139"/>
        <v>0</v>
      </c>
      <c r="U56" s="2809">
        <f t="shared" si="140"/>
        <v>0</v>
      </c>
      <c r="V56" s="2062"/>
      <c r="W56" s="3068"/>
      <c r="X56" s="3083"/>
      <c r="Y56" s="3104">
        <f t="shared" si="141"/>
        <v>0</v>
      </c>
      <c r="Z56" s="3180">
        <f t="shared" si="142"/>
        <v>0</v>
      </c>
      <c r="AA56" s="3065"/>
      <c r="AB56" s="3068"/>
      <c r="AC56" s="3083"/>
      <c r="AD56" s="3104">
        <f t="shared" si="143"/>
        <v>0</v>
      </c>
      <c r="AE56" s="3180">
        <f t="shared" si="144"/>
        <v>0</v>
      </c>
      <c r="AF56" s="3065"/>
      <c r="AG56" s="3068"/>
      <c r="AH56" s="3083"/>
      <c r="AI56" s="3104">
        <f t="shared" si="145"/>
        <v>0</v>
      </c>
      <c r="AJ56" s="3180">
        <f t="shared" si="146"/>
        <v>0</v>
      </c>
      <c r="AK56" s="3065"/>
      <c r="AL56" s="3068"/>
      <c r="AM56" s="3083"/>
      <c r="AN56" s="3104">
        <f t="shared" si="147"/>
        <v>0</v>
      </c>
      <c r="AO56" s="3180">
        <f t="shared" si="124"/>
        <v>0</v>
      </c>
      <c r="AP56" s="3065"/>
      <c r="AQ56" s="3068"/>
      <c r="AR56" s="3083"/>
      <c r="AS56" s="3104">
        <f t="shared" si="148"/>
        <v>0</v>
      </c>
      <c r="AT56" s="3180">
        <f t="shared" si="149"/>
        <v>0</v>
      </c>
      <c r="AU56" s="3065"/>
      <c r="AV56" s="3068"/>
      <c r="AW56" s="3083"/>
      <c r="AX56" s="3104">
        <f t="shared" si="150"/>
        <v>0</v>
      </c>
      <c r="AY56" s="3180">
        <f t="shared" si="125"/>
        <v>0</v>
      </c>
      <c r="AZ56" s="3065"/>
      <c r="BA56" s="3068"/>
      <c r="BB56" s="3083"/>
      <c r="BC56" s="3104">
        <f t="shared" si="151"/>
        <v>0</v>
      </c>
      <c r="BD56" s="3180">
        <f t="shared" si="126"/>
        <v>0</v>
      </c>
      <c r="BE56" s="3065"/>
      <c r="BF56" s="3068"/>
      <c r="BG56" s="3083"/>
      <c r="BH56" s="3104">
        <f t="shared" si="152"/>
        <v>0</v>
      </c>
      <c r="BI56" s="3180">
        <f t="shared" si="127"/>
        <v>0</v>
      </c>
      <c r="BJ56" s="3065"/>
      <c r="BK56" s="2027"/>
      <c r="BL56" s="2061"/>
      <c r="BM56" s="3102">
        <f t="shared" si="153"/>
        <v>0</v>
      </c>
      <c r="BN56" s="2809">
        <f t="shared" si="128"/>
        <v>0</v>
      </c>
      <c r="BO56" s="2062"/>
      <c r="BP56" s="2027"/>
      <c r="BQ56" s="2061"/>
      <c r="BR56" s="3102">
        <f t="shared" si="154"/>
        <v>0</v>
      </c>
      <c r="BS56" s="2809">
        <f t="shared" si="129"/>
        <v>0</v>
      </c>
      <c r="BT56" s="2062"/>
      <c r="BU56" s="2027"/>
      <c r="BV56" s="2061"/>
      <c r="BW56" s="3102">
        <f t="shared" si="155"/>
        <v>0</v>
      </c>
      <c r="BX56" s="2809">
        <f t="shared" si="130"/>
        <v>0</v>
      </c>
      <c r="BY56" s="2062"/>
      <c r="BZ56" s="2027"/>
      <c r="CA56" s="2061"/>
      <c r="CB56" s="3102">
        <f t="shared" si="156"/>
        <v>0</v>
      </c>
      <c r="CC56" s="2809">
        <f t="shared" si="131"/>
        <v>0</v>
      </c>
      <c r="CD56" s="2062"/>
      <c r="CE56" s="2027"/>
      <c r="CF56" s="2061"/>
      <c r="CG56" s="3102">
        <f t="shared" si="157"/>
        <v>0</v>
      </c>
      <c r="CH56" s="2809">
        <f t="shared" si="132"/>
        <v>0</v>
      </c>
      <c r="CI56" s="2062"/>
      <c r="CJ56" s="2027"/>
      <c r="CK56" s="2061"/>
      <c r="CL56" s="3102">
        <f t="shared" si="158"/>
        <v>0</v>
      </c>
      <c r="CM56" s="2809">
        <f t="shared" si="133"/>
        <v>0</v>
      </c>
      <c r="CN56" s="2062"/>
      <c r="CO56" s="2059">
        <f t="shared" si="159"/>
        <v>0</v>
      </c>
      <c r="CP56" s="2059">
        <f t="shared" si="160"/>
        <v>0</v>
      </c>
      <c r="CQ56" s="3102">
        <f t="shared" si="161"/>
        <v>0</v>
      </c>
      <c r="CR56" s="2809">
        <f t="shared" si="134"/>
        <v>0</v>
      </c>
      <c r="CS56" s="2813"/>
      <c r="CT56" s="919"/>
      <c r="CU56" s="1579"/>
      <c r="CV56" s="1579"/>
      <c r="CW56" s="1579"/>
    </row>
    <row r="57" spans="1:178" ht="14.4" customHeight="1" outlineLevel="2" x14ac:dyDescent="0.25">
      <c r="A57" s="1586"/>
      <c r="B57" s="3113" t="s">
        <v>68</v>
      </c>
      <c r="C57" s="2811"/>
      <c r="D57" s="2814"/>
      <c r="E57" s="3102">
        <f t="shared" si="135"/>
        <v>0</v>
      </c>
      <c r="F57" s="2809" t="e">
        <f t="shared" si="162"/>
        <v>#DIV/0!</v>
      </c>
      <c r="G57" s="1998">
        <v>0</v>
      </c>
      <c r="H57" s="2027">
        <v>0</v>
      </c>
      <c r="I57" s="3103">
        <f t="shared" si="136"/>
        <v>0</v>
      </c>
      <c r="J57" s="3024">
        <f t="shared" si="123"/>
        <v>0</v>
      </c>
      <c r="K57" s="2062"/>
      <c r="L57" s="2062"/>
      <c r="M57" s="3062"/>
      <c r="N57" s="3068"/>
      <c r="O57" s="3114">
        <f t="shared" si="137"/>
        <v>0</v>
      </c>
      <c r="P57" s="3063">
        <f t="shared" si="138"/>
        <v>0</v>
      </c>
      <c r="Q57" s="3065"/>
      <c r="R57" s="3080"/>
      <c r="S57" s="3068"/>
      <c r="T57" s="3104">
        <f t="shared" si="139"/>
        <v>0</v>
      </c>
      <c r="U57" s="3180">
        <f t="shared" si="140"/>
        <v>0</v>
      </c>
      <c r="V57" s="3065"/>
      <c r="W57" s="3068"/>
      <c r="X57" s="3083"/>
      <c r="Y57" s="3104">
        <f t="shared" si="141"/>
        <v>0</v>
      </c>
      <c r="Z57" s="3180">
        <f t="shared" si="142"/>
        <v>0</v>
      </c>
      <c r="AA57" s="3065"/>
      <c r="AB57" s="3068"/>
      <c r="AC57" s="3083"/>
      <c r="AD57" s="3104">
        <f t="shared" si="143"/>
        <v>0</v>
      </c>
      <c r="AE57" s="3180">
        <f t="shared" si="144"/>
        <v>0</v>
      </c>
      <c r="AF57" s="3065"/>
      <c r="AG57" s="3068"/>
      <c r="AH57" s="3083"/>
      <c r="AI57" s="3104">
        <f t="shared" si="145"/>
        <v>0</v>
      </c>
      <c r="AJ57" s="3180">
        <f t="shared" si="146"/>
        <v>0</v>
      </c>
      <c r="AK57" s="3065"/>
      <c r="AL57" s="3068"/>
      <c r="AM57" s="3083"/>
      <c r="AN57" s="3104">
        <f t="shared" si="147"/>
        <v>0</v>
      </c>
      <c r="AO57" s="3180">
        <f t="shared" si="124"/>
        <v>0</v>
      </c>
      <c r="AP57" s="3065"/>
      <c r="AQ57" s="3068"/>
      <c r="AR57" s="3083"/>
      <c r="AS57" s="3104">
        <f t="shared" si="148"/>
        <v>0</v>
      </c>
      <c r="AT57" s="3180">
        <f t="shared" si="149"/>
        <v>0</v>
      </c>
      <c r="AU57" s="3065"/>
      <c r="AV57" s="3068"/>
      <c r="AW57" s="3083"/>
      <c r="AX57" s="3104">
        <f t="shared" si="150"/>
        <v>0</v>
      </c>
      <c r="AY57" s="3180">
        <f t="shared" si="125"/>
        <v>0</v>
      </c>
      <c r="AZ57" s="3065"/>
      <c r="BA57" s="3068"/>
      <c r="BB57" s="3083"/>
      <c r="BC57" s="3104">
        <f t="shared" si="151"/>
        <v>0</v>
      </c>
      <c r="BD57" s="3180">
        <f t="shared" si="126"/>
        <v>0</v>
      </c>
      <c r="BE57" s="3065"/>
      <c r="BF57" s="3068"/>
      <c r="BG57" s="3083"/>
      <c r="BH57" s="3104">
        <f t="shared" si="152"/>
        <v>0</v>
      </c>
      <c r="BI57" s="3180">
        <f t="shared" si="127"/>
        <v>0</v>
      </c>
      <c r="BJ57" s="3065"/>
      <c r="BK57" s="3068"/>
      <c r="BL57" s="3083"/>
      <c r="BM57" s="3104">
        <f t="shared" si="153"/>
        <v>0</v>
      </c>
      <c r="BN57" s="3180">
        <f t="shared" si="128"/>
        <v>0</v>
      </c>
      <c r="BO57" s="3065"/>
      <c r="BP57" s="3068"/>
      <c r="BQ57" s="3095"/>
      <c r="BR57" s="3104">
        <f t="shared" si="154"/>
        <v>0</v>
      </c>
      <c r="BS57" s="3180">
        <f t="shared" si="129"/>
        <v>0</v>
      </c>
      <c r="BT57" s="3065"/>
      <c r="BU57" s="3068"/>
      <c r="BV57" s="3095"/>
      <c r="BW57" s="3104">
        <f t="shared" si="155"/>
        <v>0</v>
      </c>
      <c r="BX57" s="3180">
        <f t="shared" si="130"/>
        <v>0</v>
      </c>
      <c r="BY57" s="3065"/>
      <c r="BZ57" s="3068"/>
      <c r="CA57" s="3095"/>
      <c r="CB57" s="3104">
        <f t="shared" si="156"/>
        <v>0</v>
      </c>
      <c r="CC57" s="3180">
        <f t="shared" si="131"/>
        <v>0</v>
      </c>
      <c r="CD57" s="3065"/>
      <c r="CE57" s="3068"/>
      <c r="CF57" s="3095"/>
      <c r="CG57" s="3104">
        <f t="shared" si="157"/>
        <v>0</v>
      </c>
      <c r="CH57" s="3180">
        <f t="shared" si="132"/>
        <v>0</v>
      </c>
      <c r="CI57" s="3065"/>
      <c r="CJ57" s="3068"/>
      <c r="CK57" s="3095"/>
      <c r="CL57" s="3104">
        <f t="shared" si="158"/>
        <v>0</v>
      </c>
      <c r="CM57" s="3180">
        <f t="shared" si="133"/>
        <v>0</v>
      </c>
      <c r="CN57" s="3065"/>
      <c r="CO57" s="2059">
        <f t="shared" si="159"/>
        <v>0</v>
      </c>
      <c r="CP57" s="2059">
        <f t="shared" si="160"/>
        <v>0</v>
      </c>
      <c r="CQ57" s="3102">
        <f t="shared" si="161"/>
        <v>0</v>
      </c>
      <c r="CR57" s="2809">
        <f t="shared" si="134"/>
        <v>0</v>
      </c>
      <c r="CS57" s="2813"/>
      <c r="CT57" s="919"/>
      <c r="CU57" s="1579"/>
      <c r="CV57" s="1579"/>
      <c r="CW57" s="1579"/>
    </row>
    <row r="58" spans="1:178" ht="14.4" customHeight="1" outlineLevel="2" x14ac:dyDescent="0.25">
      <c r="A58" s="1586"/>
      <c r="B58" s="3113" t="s">
        <v>67</v>
      </c>
      <c r="C58" s="2811"/>
      <c r="D58" s="2814"/>
      <c r="E58" s="3102">
        <f t="shared" si="135"/>
        <v>0</v>
      </c>
      <c r="F58" s="2809" t="e">
        <f t="shared" si="162"/>
        <v>#DIV/0!</v>
      </c>
      <c r="G58" s="1998">
        <v>56298.31</v>
      </c>
      <c r="H58" s="2027">
        <v>115101.3</v>
      </c>
      <c r="I58" s="3103">
        <f t="shared" si="136"/>
        <v>171399.61</v>
      </c>
      <c r="J58" s="3024">
        <f t="shared" si="123"/>
        <v>3.1307083714441301E-3</v>
      </c>
      <c r="K58" s="2062"/>
      <c r="L58" s="2062"/>
      <c r="M58" s="3062">
        <v>11347.76</v>
      </c>
      <c r="N58" s="3068">
        <v>28652.3</v>
      </c>
      <c r="O58" s="3114">
        <f t="shared" si="137"/>
        <v>40000.06</v>
      </c>
      <c r="P58" s="3063">
        <f t="shared" si="138"/>
        <v>5.7515498165436512E-3</v>
      </c>
      <c r="Q58" s="3065" t="s">
        <v>1842</v>
      </c>
      <c r="R58" s="3080">
        <v>11140.55</v>
      </c>
      <c r="S58" s="3068">
        <v>28859.5</v>
      </c>
      <c r="T58" s="3104">
        <f t="shared" si="139"/>
        <v>40000.050000000003</v>
      </c>
      <c r="U58" s="3180">
        <f t="shared" si="140"/>
        <v>5.7515483786583551E-3</v>
      </c>
      <c r="V58" s="3065" t="s">
        <v>1843</v>
      </c>
      <c r="W58" s="3068">
        <v>11270</v>
      </c>
      <c r="X58" s="3083">
        <v>28859.5</v>
      </c>
      <c r="Y58" s="3104">
        <f t="shared" si="141"/>
        <v>40129.5</v>
      </c>
      <c r="Z58" s="3180">
        <f t="shared" si="142"/>
        <v>5.7701618038320064E-3</v>
      </c>
      <c r="AA58" s="3065" t="s">
        <v>1844</v>
      </c>
      <c r="AB58" s="3068">
        <v>11270</v>
      </c>
      <c r="AC58" s="3083">
        <v>28730</v>
      </c>
      <c r="AD58" s="3104">
        <f t="shared" si="143"/>
        <v>40000</v>
      </c>
      <c r="AE58" s="3180">
        <f t="shared" si="144"/>
        <v>5.7515411892318678E-3</v>
      </c>
      <c r="AF58" s="3065" t="s">
        <v>1844</v>
      </c>
      <c r="AG58" s="3068">
        <v>11270</v>
      </c>
      <c r="AH58" s="3083"/>
      <c r="AI58" s="3104">
        <f t="shared" si="145"/>
        <v>11270</v>
      </c>
      <c r="AJ58" s="3180">
        <f t="shared" si="146"/>
        <v>1.6204967300660789E-3</v>
      </c>
      <c r="AK58" s="3065" t="s">
        <v>1845</v>
      </c>
      <c r="AL58" s="3068">
        <v>13139.13</v>
      </c>
      <c r="AM58" s="3083">
        <v>26860.95</v>
      </c>
      <c r="AN58" s="3104">
        <f t="shared" si="147"/>
        <v>40000.080000000002</v>
      </c>
      <c r="AO58" s="3180">
        <f t="shared" si="124"/>
        <v>6.2383029091201934E-3</v>
      </c>
      <c r="AP58" s="3065" t="s">
        <v>1565</v>
      </c>
      <c r="AQ58" s="3068">
        <v>13573.26</v>
      </c>
      <c r="AR58" s="3083">
        <f>26400-23094</f>
        <v>3306</v>
      </c>
      <c r="AS58" s="3104">
        <f t="shared" si="148"/>
        <v>16879.260000000002</v>
      </c>
      <c r="AT58" s="3180">
        <f t="shared" si="149"/>
        <v>2.4270439783438476E-3</v>
      </c>
      <c r="AU58" s="3065" t="s">
        <v>1565</v>
      </c>
      <c r="AV58" s="3068">
        <v>13282.5</v>
      </c>
      <c r="AW58" s="3083">
        <v>26800</v>
      </c>
      <c r="AX58" s="3104">
        <f t="shared" si="150"/>
        <v>40082.5</v>
      </c>
      <c r="AY58" s="3180">
        <f t="shared" si="125"/>
        <v>1.3823853176416894E-2</v>
      </c>
      <c r="AZ58" s="3065" t="s">
        <v>1565</v>
      </c>
      <c r="BA58" s="3068">
        <v>13282.5</v>
      </c>
      <c r="BB58" s="3083">
        <v>31710</v>
      </c>
      <c r="BC58" s="3104">
        <f t="shared" si="151"/>
        <v>44992.5</v>
      </c>
      <c r="BD58" s="3180">
        <f t="shared" si="126"/>
        <v>1.2833853249317797E-2</v>
      </c>
      <c r="BE58" s="3065" t="s">
        <v>1565</v>
      </c>
      <c r="BF58" s="3068">
        <v>13282.5</v>
      </c>
      <c r="BG58" s="3083">
        <v>31700</v>
      </c>
      <c r="BH58" s="3104">
        <f t="shared" si="152"/>
        <v>44982.5</v>
      </c>
      <c r="BI58" s="3180">
        <f t="shared" si="127"/>
        <v>9.8674871010835385E-3</v>
      </c>
      <c r="BJ58" s="3065" t="s">
        <v>1565</v>
      </c>
      <c r="BK58" s="3068">
        <v>13282.5</v>
      </c>
      <c r="BL58" s="3083">
        <v>31700</v>
      </c>
      <c r="BM58" s="3104">
        <f t="shared" si="153"/>
        <v>44982.5</v>
      </c>
      <c r="BN58" s="3180">
        <f t="shared" si="128"/>
        <v>7.4136908592261682E-3</v>
      </c>
      <c r="BO58" s="3065" t="s">
        <v>1565</v>
      </c>
      <c r="BP58" s="3068">
        <v>12945.65</v>
      </c>
      <c r="BQ58" s="3095">
        <v>31400</v>
      </c>
      <c r="BR58" s="3104">
        <f t="shared" si="154"/>
        <v>44345.65</v>
      </c>
      <c r="BS58" s="3180">
        <f t="shared" si="129"/>
        <v>1.8111226545690747E-2</v>
      </c>
      <c r="BT58" s="3065" t="s">
        <v>1565</v>
      </c>
      <c r="BU58" s="3068"/>
      <c r="BV58" s="3095">
        <f>31400*0</f>
        <v>0</v>
      </c>
      <c r="BW58" s="3104">
        <f t="shared" si="155"/>
        <v>0</v>
      </c>
      <c r="BX58" s="3180">
        <f t="shared" si="130"/>
        <v>0</v>
      </c>
      <c r="BY58" s="3065" t="s">
        <v>1565</v>
      </c>
      <c r="BZ58" s="3068"/>
      <c r="CA58" s="3095">
        <f>31400*0</f>
        <v>0</v>
      </c>
      <c r="CB58" s="3104">
        <f t="shared" si="156"/>
        <v>0</v>
      </c>
      <c r="CC58" s="3180">
        <f t="shared" si="131"/>
        <v>0</v>
      </c>
      <c r="CD58" s="3065"/>
      <c r="CE58" s="3068"/>
      <c r="CF58" s="3095">
        <f>31400*0</f>
        <v>0</v>
      </c>
      <c r="CG58" s="3104">
        <f t="shared" si="157"/>
        <v>0</v>
      </c>
      <c r="CH58" s="3180">
        <f t="shared" si="132"/>
        <v>0</v>
      </c>
      <c r="CI58" s="3065"/>
      <c r="CJ58" s="3068"/>
      <c r="CK58" s="3095">
        <f>31400*0</f>
        <v>0</v>
      </c>
      <c r="CL58" s="3104">
        <f t="shared" si="158"/>
        <v>0</v>
      </c>
      <c r="CM58" s="3180">
        <f t="shared" si="133"/>
        <v>0</v>
      </c>
      <c r="CN58" s="3065"/>
      <c r="CO58" s="2059">
        <f t="shared" si="159"/>
        <v>149086.35</v>
      </c>
      <c r="CP58" s="2059">
        <f t="shared" si="160"/>
        <v>298578.25</v>
      </c>
      <c r="CQ58" s="3102">
        <f t="shared" si="161"/>
        <v>447664.6</v>
      </c>
      <c r="CR58" s="2809">
        <f t="shared" si="134"/>
        <v>4.757808629194493E-3</v>
      </c>
      <c r="CS58" s="2813"/>
      <c r="CT58" s="919"/>
      <c r="CU58" s="1579"/>
      <c r="CV58" s="1579"/>
      <c r="CW58" s="1579"/>
    </row>
    <row r="59" spans="1:178" ht="14.4" customHeight="1" outlineLevel="2" x14ac:dyDescent="0.25">
      <c r="A59" s="1586"/>
      <c r="B59" s="3113" t="s">
        <v>66</v>
      </c>
      <c r="C59" s="2811"/>
      <c r="D59" s="2814"/>
      <c r="E59" s="3102">
        <f t="shared" si="135"/>
        <v>0</v>
      </c>
      <c r="F59" s="2809" t="e">
        <f t="shared" si="162"/>
        <v>#DIV/0!</v>
      </c>
      <c r="G59" s="1998">
        <v>14333.46</v>
      </c>
      <c r="H59" s="2027">
        <v>0</v>
      </c>
      <c r="I59" s="3103">
        <f t="shared" si="136"/>
        <v>14333.46</v>
      </c>
      <c r="J59" s="3024">
        <f t="shared" si="123"/>
        <v>2.6180854911956675E-4</v>
      </c>
      <c r="K59" s="2062"/>
      <c r="L59" s="2062"/>
      <c r="M59" s="3062">
        <v>2748.84</v>
      </c>
      <c r="N59" s="3068"/>
      <c r="O59" s="3114">
        <f t="shared" si="137"/>
        <v>2748.84</v>
      </c>
      <c r="P59" s="3063">
        <f t="shared" si="138"/>
        <v>3.9525166206520323E-4</v>
      </c>
      <c r="Q59" s="3065"/>
      <c r="R59" s="3080">
        <v>3044.62</v>
      </c>
      <c r="S59" s="3068"/>
      <c r="T59" s="3104">
        <f t="shared" si="139"/>
        <v>3044.62</v>
      </c>
      <c r="U59" s="3180">
        <f t="shared" si="140"/>
        <v>4.3778143338897823E-4</v>
      </c>
      <c r="V59" s="3065"/>
      <c r="W59" s="3068">
        <v>3080</v>
      </c>
      <c r="X59" s="3083"/>
      <c r="Y59" s="3104">
        <f t="shared" si="141"/>
        <v>3080</v>
      </c>
      <c r="Z59" s="3180">
        <f t="shared" si="142"/>
        <v>4.4286867157085385E-4</v>
      </c>
      <c r="AA59" s="3065"/>
      <c r="AB59" s="3068">
        <v>2730</v>
      </c>
      <c r="AC59" s="3083"/>
      <c r="AD59" s="3104">
        <f t="shared" si="143"/>
        <v>2730</v>
      </c>
      <c r="AE59" s="3180">
        <f t="shared" si="144"/>
        <v>3.9254268616507496E-4</v>
      </c>
      <c r="AF59" s="3091" t="s">
        <v>1384</v>
      </c>
      <c r="AG59" s="3068">
        <v>2730</v>
      </c>
      <c r="AH59" s="3083"/>
      <c r="AI59" s="3104">
        <f t="shared" si="145"/>
        <v>2730</v>
      </c>
      <c r="AJ59" s="3180">
        <f t="shared" si="146"/>
        <v>3.9254268616507496E-4</v>
      </c>
      <c r="AK59" s="3065"/>
      <c r="AL59" s="3068">
        <v>3182.75</v>
      </c>
      <c r="AM59" s="3083"/>
      <c r="AN59" s="3104">
        <f t="shared" si="147"/>
        <v>3182.75</v>
      </c>
      <c r="AO59" s="3180">
        <f t="shared" si="124"/>
        <v>4.9637297185411359E-4</v>
      </c>
      <c r="AP59" s="3065"/>
      <c r="AQ59" s="3068">
        <v>3287.94</v>
      </c>
      <c r="AR59" s="3083"/>
      <c r="AS59" s="3104">
        <f t="shared" si="148"/>
        <v>3287.94</v>
      </c>
      <c r="AT59" s="3180">
        <f t="shared" si="149"/>
        <v>4.7276805844307572E-4</v>
      </c>
      <c r="AU59" s="3065"/>
      <c r="AV59" s="3068">
        <v>3217.5</v>
      </c>
      <c r="AW59" s="3083"/>
      <c r="AX59" s="3104">
        <f t="shared" si="150"/>
        <v>3217.5</v>
      </c>
      <c r="AY59" s="3180">
        <f t="shared" si="125"/>
        <v>1.109667500657927E-3</v>
      </c>
      <c r="AZ59" s="3065"/>
      <c r="BA59" s="3068">
        <v>3217.5</v>
      </c>
      <c r="BB59" s="3083"/>
      <c r="BC59" s="3104">
        <f t="shared" si="151"/>
        <v>3217.5</v>
      </c>
      <c r="BD59" s="3180">
        <f t="shared" si="126"/>
        <v>9.1777346957115104E-4</v>
      </c>
      <c r="BE59" s="3065"/>
      <c r="BF59" s="3068">
        <v>3217.5</v>
      </c>
      <c r="BG59" s="3083"/>
      <c r="BH59" s="3104">
        <f t="shared" si="152"/>
        <v>3217.5</v>
      </c>
      <c r="BI59" s="3180">
        <f t="shared" si="127"/>
        <v>7.0579980542958458E-4</v>
      </c>
      <c r="BJ59" s="3065"/>
      <c r="BK59" s="3068">
        <v>3217.5</v>
      </c>
      <c r="BL59" s="3083"/>
      <c r="BM59" s="3104">
        <f t="shared" si="153"/>
        <v>3217.5</v>
      </c>
      <c r="BN59" s="3180">
        <f t="shared" si="128"/>
        <v>5.3028511842516976E-4</v>
      </c>
      <c r="BO59" s="3065"/>
      <c r="BP59" s="3068">
        <v>2597.63</v>
      </c>
      <c r="BQ59" s="3095"/>
      <c r="BR59" s="3104">
        <f t="shared" si="154"/>
        <v>2597.63</v>
      </c>
      <c r="BS59" s="3180">
        <f t="shared" si="129"/>
        <v>1.0608992181168312E-3</v>
      </c>
      <c r="BT59" s="3065"/>
      <c r="BU59" s="3068"/>
      <c r="BV59" s="3095"/>
      <c r="BW59" s="3104">
        <f t="shared" si="155"/>
        <v>0</v>
      </c>
      <c r="BX59" s="3180">
        <f t="shared" si="130"/>
        <v>0</v>
      </c>
      <c r="BY59" s="3065"/>
      <c r="BZ59" s="3068"/>
      <c r="CA59" s="3095"/>
      <c r="CB59" s="3104"/>
      <c r="CC59" s="3180">
        <f t="shared" si="131"/>
        <v>0</v>
      </c>
      <c r="CD59" s="3065"/>
      <c r="CE59" s="3068"/>
      <c r="CF59" s="3095"/>
      <c r="CG59" s="3104"/>
      <c r="CH59" s="3180">
        <f t="shared" si="132"/>
        <v>0</v>
      </c>
      <c r="CI59" s="3065"/>
      <c r="CJ59" s="3068"/>
      <c r="CK59" s="3095"/>
      <c r="CL59" s="3104"/>
      <c r="CM59" s="3180">
        <f t="shared" si="133"/>
        <v>0</v>
      </c>
      <c r="CN59" s="3065"/>
      <c r="CO59" s="2059">
        <f t="shared" si="159"/>
        <v>36271.779999999992</v>
      </c>
      <c r="CP59" s="2059">
        <f t="shared" si="160"/>
        <v>0</v>
      </c>
      <c r="CQ59" s="3102">
        <f t="shared" si="161"/>
        <v>36271.779999999992</v>
      </c>
      <c r="CR59" s="2809">
        <f t="shared" si="134"/>
        <v>3.8549884864750125E-4</v>
      </c>
      <c r="CS59" s="2813"/>
      <c r="CT59" s="919"/>
      <c r="CU59" s="1579"/>
      <c r="CV59" s="1579"/>
      <c r="CW59" s="1579"/>
    </row>
    <row r="60" spans="1:178" ht="14.4" customHeight="1" outlineLevel="2" x14ac:dyDescent="0.25">
      <c r="A60" s="1586"/>
      <c r="B60" s="3113" t="s">
        <v>65</v>
      </c>
      <c r="C60" s="2811"/>
      <c r="D60" s="2814"/>
      <c r="E60" s="3102">
        <f t="shared" si="135"/>
        <v>0</v>
      </c>
      <c r="F60" s="2809" t="e">
        <f t="shared" si="162"/>
        <v>#DIV/0!</v>
      </c>
      <c r="G60" s="1998">
        <v>14689.9</v>
      </c>
      <c r="H60" s="2027">
        <v>0</v>
      </c>
      <c r="I60" s="3103">
        <f t="shared" si="136"/>
        <v>14689.9</v>
      </c>
      <c r="J60" s="3024">
        <f t="shared" si="123"/>
        <v>2.6831912222949122E-4</v>
      </c>
      <c r="K60" s="2062"/>
      <c r="L60" s="2062"/>
      <c r="M60" s="3062">
        <v>3101.25</v>
      </c>
      <c r="N60" s="3068"/>
      <c r="O60" s="3114">
        <f t="shared" si="137"/>
        <v>3101.25</v>
      </c>
      <c r="P60" s="3063">
        <f t="shared" si="138"/>
        <v>4.4592417782763326E-4</v>
      </c>
      <c r="Q60" s="3065"/>
      <c r="R60" s="3080">
        <v>2698.65</v>
      </c>
      <c r="S60" s="3068"/>
      <c r="T60" s="3104">
        <f t="shared" si="139"/>
        <v>2698.65</v>
      </c>
      <c r="U60" s="3180">
        <f t="shared" si="140"/>
        <v>3.8803491575801455E-4</v>
      </c>
      <c r="V60" s="3065"/>
      <c r="W60" s="3068">
        <v>2730</v>
      </c>
      <c r="X60" s="3083"/>
      <c r="Y60" s="3104">
        <f t="shared" si="141"/>
        <v>2730</v>
      </c>
      <c r="Z60" s="3180">
        <f t="shared" si="142"/>
        <v>3.9254268616507496E-4</v>
      </c>
      <c r="AA60" s="3065"/>
      <c r="AB60" s="3068">
        <v>3080</v>
      </c>
      <c r="AC60" s="3083"/>
      <c r="AD60" s="3104">
        <f t="shared" si="143"/>
        <v>3080</v>
      </c>
      <c r="AE60" s="3180">
        <f t="shared" si="144"/>
        <v>4.4286867157085385E-4</v>
      </c>
      <c r="AF60" s="3091" t="s">
        <v>1384</v>
      </c>
      <c r="AG60" s="3068">
        <v>3080</v>
      </c>
      <c r="AH60" s="3083"/>
      <c r="AI60" s="3104">
        <f t="shared" si="145"/>
        <v>3080</v>
      </c>
      <c r="AJ60" s="3180">
        <f t="shared" si="146"/>
        <v>4.4286867157085385E-4</v>
      </c>
      <c r="AK60" s="3065"/>
      <c r="AL60" s="3068">
        <v>3040.8</v>
      </c>
      <c r="AM60" s="3083"/>
      <c r="AN60" s="3104">
        <f t="shared" si="147"/>
        <v>3040.8</v>
      </c>
      <c r="AO60" s="3180">
        <f t="shared" si="124"/>
        <v>4.7423483868163973E-4</v>
      </c>
      <c r="AP60" s="3065"/>
      <c r="AQ60" s="3068">
        <v>3159.46</v>
      </c>
      <c r="AR60" s="3083"/>
      <c r="AS60" s="3104">
        <f t="shared" si="148"/>
        <v>3159.46</v>
      </c>
      <c r="AT60" s="3180">
        <f t="shared" si="149"/>
        <v>4.5429410814326295E-4</v>
      </c>
      <c r="AU60" s="3065"/>
      <c r="AV60" s="3068">
        <v>3080</v>
      </c>
      <c r="AW60" s="3083"/>
      <c r="AX60" s="3104">
        <f t="shared" si="150"/>
        <v>3080</v>
      </c>
      <c r="AY60" s="3180">
        <f t="shared" si="125"/>
        <v>1.0622458125956224E-3</v>
      </c>
      <c r="AZ60" s="3065"/>
      <c r="BA60" s="3068">
        <v>3080</v>
      </c>
      <c r="BB60" s="3083"/>
      <c r="BC60" s="3104">
        <f t="shared" si="151"/>
        <v>3080</v>
      </c>
      <c r="BD60" s="3180">
        <f t="shared" si="126"/>
        <v>8.7855238112793943E-4</v>
      </c>
      <c r="BE60" s="3065"/>
      <c r="BF60" s="3068">
        <v>3080</v>
      </c>
      <c r="BG60" s="3083"/>
      <c r="BH60" s="3104">
        <f t="shared" si="152"/>
        <v>3080</v>
      </c>
      <c r="BI60" s="3180">
        <f t="shared" si="127"/>
        <v>6.7563742058216641E-4</v>
      </c>
      <c r="BJ60" s="3065"/>
      <c r="BK60" s="3068">
        <v>3080</v>
      </c>
      <c r="BL60" s="3083"/>
      <c r="BM60" s="3104">
        <f t="shared" si="153"/>
        <v>3080</v>
      </c>
      <c r="BN60" s="3180">
        <f t="shared" si="128"/>
        <v>5.0762336122751287E-4</v>
      </c>
      <c r="BO60" s="3065"/>
      <c r="BP60" s="3068">
        <v>3861.83</v>
      </c>
      <c r="BQ60" s="3095"/>
      <c r="BR60" s="3104">
        <f t="shared" si="154"/>
        <v>3861.83</v>
      </c>
      <c r="BS60" s="3180">
        <f t="shared" si="129"/>
        <v>1.5772116997032379E-3</v>
      </c>
      <c r="BT60" s="3065"/>
      <c r="BU60" s="3068"/>
      <c r="BV60" s="3095"/>
      <c r="BW60" s="3104">
        <f t="shared" si="155"/>
        <v>0</v>
      </c>
      <c r="BX60" s="3180">
        <f t="shared" si="130"/>
        <v>0</v>
      </c>
      <c r="BY60" s="3065"/>
      <c r="BZ60" s="3068"/>
      <c r="CA60" s="3095"/>
      <c r="CB60" s="3104"/>
      <c r="CC60" s="3180">
        <f t="shared" si="131"/>
        <v>0</v>
      </c>
      <c r="CD60" s="3065"/>
      <c r="CE60" s="3068"/>
      <c r="CF60" s="3095"/>
      <c r="CG60" s="3104"/>
      <c r="CH60" s="3180">
        <f t="shared" si="132"/>
        <v>0</v>
      </c>
      <c r="CI60" s="3065"/>
      <c r="CJ60" s="3068"/>
      <c r="CK60" s="3095"/>
      <c r="CL60" s="3104"/>
      <c r="CM60" s="3180">
        <f t="shared" si="133"/>
        <v>0</v>
      </c>
      <c r="CN60" s="3065"/>
      <c r="CO60" s="2059">
        <f t="shared" si="159"/>
        <v>37071.990000000005</v>
      </c>
      <c r="CP60" s="2059">
        <f t="shared" si="160"/>
        <v>0</v>
      </c>
      <c r="CQ60" s="3102">
        <f t="shared" si="161"/>
        <v>37071.990000000005</v>
      </c>
      <c r="CR60" s="2809">
        <f t="shared" si="134"/>
        <v>3.9400353283107931E-4</v>
      </c>
      <c r="CS60" s="2813"/>
      <c r="CT60" s="919"/>
      <c r="CU60" s="1579"/>
      <c r="CV60" s="1579"/>
      <c r="CW60" s="1579"/>
    </row>
    <row r="61" spans="1:178" ht="14.4" customHeight="1" outlineLevel="2" x14ac:dyDescent="0.25">
      <c r="A61" s="1586"/>
      <c r="B61" s="3113" t="s">
        <v>32</v>
      </c>
      <c r="C61" s="2811"/>
      <c r="D61" s="2814"/>
      <c r="E61" s="3102">
        <f t="shared" si="135"/>
        <v>0</v>
      </c>
      <c r="F61" s="2809" t="e">
        <f t="shared" si="162"/>
        <v>#DIV/0!</v>
      </c>
      <c r="G61" s="1998">
        <v>0</v>
      </c>
      <c r="H61" s="2027">
        <v>0</v>
      </c>
      <c r="I61" s="3103">
        <f t="shared" si="136"/>
        <v>0</v>
      </c>
      <c r="J61" s="3024">
        <f t="shared" si="123"/>
        <v>0</v>
      </c>
      <c r="K61" s="2062"/>
      <c r="L61" s="2062"/>
      <c r="M61" s="3062"/>
      <c r="N61" s="3068"/>
      <c r="O61" s="3114">
        <f t="shared" si="137"/>
        <v>0</v>
      </c>
      <c r="P61" s="3063">
        <f t="shared" si="138"/>
        <v>0</v>
      </c>
      <c r="Q61" s="3065"/>
      <c r="R61" s="3080"/>
      <c r="S61" s="3068"/>
      <c r="T61" s="3104">
        <f t="shared" si="139"/>
        <v>0</v>
      </c>
      <c r="U61" s="3180">
        <f t="shared" si="140"/>
        <v>0</v>
      </c>
      <c r="V61" s="3065"/>
      <c r="W61" s="3068"/>
      <c r="X61" s="3083"/>
      <c r="Y61" s="3104">
        <f t="shared" si="141"/>
        <v>0</v>
      </c>
      <c r="Z61" s="3180">
        <f t="shared" si="142"/>
        <v>0</v>
      </c>
      <c r="AA61" s="3065"/>
      <c r="AB61" s="3068"/>
      <c r="AC61" s="3083"/>
      <c r="AD61" s="3104">
        <f t="shared" si="143"/>
        <v>0</v>
      </c>
      <c r="AE61" s="3180">
        <f t="shared" si="144"/>
        <v>0</v>
      </c>
      <c r="AF61" s="3065"/>
      <c r="AG61" s="3068"/>
      <c r="AH61" s="3083"/>
      <c r="AI61" s="3104">
        <f t="shared" si="145"/>
        <v>0</v>
      </c>
      <c r="AJ61" s="3180">
        <f t="shared" si="146"/>
        <v>0</v>
      </c>
      <c r="AK61" s="3065"/>
      <c r="AL61" s="3068"/>
      <c r="AM61" s="3083"/>
      <c r="AN61" s="3104">
        <f t="shared" si="147"/>
        <v>0</v>
      </c>
      <c r="AO61" s="3180">
        <f t="shared" si="124"/>
        <v>0</v>
      </c>
      <c r="AP61" s="3065"/>
      <c r="AQ61" s="3068"/>
      <c r="AR61" s="3083"/>
      <c r="AS61" s="3104">
        <f t="shared" si="148"/>
        <v>0</v>
      </c>
      <c r="AT61" s="3180">
        <f t="shared" si="149"/>
        <v>0</v>
      </c>
      <c r="AU61" s="3065"/>
      <c r="AV61" s="3068"/>
      <c r="AW61" s="3083"/>
      <c r="AX61" s="3104">
        <f t="shared" si="150"/>
        <v>0</v>
      </c>
      <c r="AY61" s="3180">
        <f t="shared" si="125"/>
        <v>0</v>
      </c>
      <c r="AZ61" s="3065"/>
      <c r="BA61" s="3068"/>
      <c r="BB61" s="3083"/>
      <c r="BC61" s="3104">
        <f t="shared" si="151"/>
        <v>0</v>
      </c>
      <c r="BD61" s="3180">
        <f t="shared" si="126"/>
        <v>0</v>
      </c>
      <c r="BE61" s="3065"/>
      <c r="BF61" s="3068"/>
      <c r="BG61" s="3083"/>
      <c r="BH61" s="3104">
        <f t="shared" si="152"/>
        <v>0</v>
      </c>
      <c r="BI61" s="3180">
        <f t="shared" si="127"/>
        <v>0</v>
      </c>
      <c r="BJ61" s="3065"/>
      <c r="BK61" s="3068"/>
      <c r="BL61" s="3083"/>
      <c r="BM61" s="3104">
        <f t="shared" si="153"/>
        <v>0</v>
      </c>
      <c r="BN61" s="3180">
        <f t="shared" si="128"/>
        <v>0</v>
      </c>
      <c r="BO61" s="3065"/>
      <c r="BP61" s="3068"/>
      <c r="BQ61" s="3095">
        <f>60000*0</f>
        <v>0</v>
      </c>
      <c r="BR61" s="3104">
        <f t="shared" si="154"/>
        <v>0</v>
      </c>
      <c r="BS61" s="3180">
        <f t="shared" si="129"/>
        <v>0</v>
      </c>
      <c r="BT61" s="3065"/>
      <c r="BU61" s="3068"/>
      <c r="BV61" s="3095">
        <f>30000+30000+292000*0</f>
        <v>60000</v>
      </c>
      <c r="BW61" s="3104">
        <f t="shared" si="155"/>
        <v>60000</v>
      </c>
      <c r="BX61" s="3180">
        <f t="shared" si="130"/>
        <v>0.11114974346861506</v>
      </c>
      <c r="BY61" s="3065" t="s">
        <v>1921</v>
      </c>
      <c r="BZ61" s="3068"/>
      <c r="CA61" s="3095"/>
      <c r="CB61" s="3104"/>
      <c r="CC61" s="3180">
        <f t="shared" si="131"/>
        <v>0</v>
      </c>
      <c r="CD61" s="3065"/>
      <c r="CE61" s="3068"/>
      <c r="CF61" s="3095"/>
      <c r="CG61" s="3104"/>
      <c r="CH61" s="3180">
        <f t="shared" si="132"/>
        <v>0</v>
      </c>
      <c r="CI61" s="3065"/>
      <c r="CJ61" s="3068"/>
      <c r="CK61" s="3095"/>
      <c r="CL61" s="3104"/>
      <c r="CM61" s="3180">
        <f t="shared" si="133"/>
        <v>0</v>
      </c>
      <c r="CN61" s="3065"/>
      <c r="CO61" s="2059">
        <f t="shared" si="159"/>
        <v>0</v>
      </c>
      <c r="CP61" s="2059">
        <f t="shared" si="160"/>
        <v>60000</v>
      </c>
      <c r="CQ61" s="3102">
        <f t="shared" si="161"/>
        <v>60000</v>
      </c>
      <c r="CR61" s="2809">
        <f t="shared" si="134"/>
        <v>6.3768392173888574E-4</v>
      </c>
      <c r="CS61" s="2813"/>
      <c r="CT61" s="919"/>
      <c r="CU61" s="1579"/>
      <c r="CV61" s="1579"/>
      <c r="CW61" s="1579"/>
    </row>
    <row r="62" spans="1:178" ht="14.4" customHeight="1" outlineLevel="2" x14ac:dyDescent="0.25">
      <c r="A62" s="1586"/>
      <c r="B62" s="3113" t="s">
        <v>33</v>
      </c>
      <c r="C62" s="2833"/>
      <c r="D62" s="2814"/>
      <c r="E62" s="3102">
        <f t="shared" si="135"/>
        <v>0</v>
      </c>
      <c r="F62" s="2809" t="e">
        <f t="shared" si="162"/>
        <v>#DIV/0!</v>
      </c>
      <c r="G62" s="1998">
        <v>0</v>
      </c>
      <c r="H62" s="2027">
        <v>0</v>
      </c>
      <c r="I62" s="3103">
        <f t="shared" si="136"/>
        <v>0</v>
      </c>
      <c r="J62" s="3024">
        <f t="shared" si="123"/>
        <v>0</v>
      </c>
      <c r="K62" s="2062"/>
      <c r="L62" s="2062"/>
      <c r="M62" s="3062"/>
      <c r="N62" s="3068"/>
      <c r="O62" s="3114">
        <f t="shared" si="137"/>
        <v>0</v>
      </c>
      <c r="P62" s="3063">
        <f t="shared" si="138"/>
        <v>0</v>
      </c>
      <c r="Q62" s="3065"/>
      <c r="R62" s="3080"/>
      <c r="S62" s="3068"/>
      <c r="T62" s="3104">
        <f t="shared" si="139"/>
        <v>0</v>
      </c>
      <c r="U62" s="3180">
        <f t="shared" si="140"/>
        <v>0</v>
      </c>
      <c r="V62" s="3065"/>
      <c r="W62" s="3068"/>
      <c r="X62" s="3083"/>
      <c r="Y62" s="3104">
        <f t="shared" si="141"/>
        <v>0</v>
      </c>
      <c r="Z62" s="3180">
        <f t="shared" si="142"/>
        <v>0</v>
      </c>
      <c r="AA62" s="3065"/>
      <c r="AB62" s="3068"/>
      <c r="AC62" s="3083"/>
      <c r="AD62" s="3104">
        <f t="shared" si="143"/>
        <v>0</v>
      </c>
      <c r="AE62" s="3180">
        <f t="shared" si="144"/>
        <v>0</v>
      </c>
      <c r="AF62" s="3065"/>
      <c r="AG62" s="3068"/>
      <c r="AH62" s="3083"/>
      <c r="AI62" s="3104">
        <f t="shared" si="145"/>
        <v>0</v>
      </c>
      <c r="AJ62" s="3180">
        <f t="shared" si="146"/>
        <v>0</v>
      </c>
      <c r="AK62" s="3065"/>
      <c r="AL62" s="3068"/>
      <c r="AM62" s="3083"/>
      <c r="AN62" s="3104">
        <f t="shared" si="147"/>
        <v>0</v>
      </c>
      <c r="AO62" s="3180">
        <f t="shared" si="124"/>
        <v>0</v>
      </c>
      <c r="AP62" s="3065"/>
      <c r="AQ62" s="3068"/>
      <c r="AR62" s="3083"/>
      <c r="AS62" s="3104">
        <f t="shared" si="148"/>
        <v>0</v>
      </c>
      <c r="AT62" s="3180">
        <f t="shared" si="149"/>
        <v>0</v>
      </c>
      <c r="AU62" s="3065"/>
      <c r="AV62" s="3068"/>
      <c r="AW62" s="3083"/>
      <c r="AX62" s="3104">
        <f t="shared" si="150"/>
        <v>0</v>
      </c>
      <c r="AY62" s="3180">
        <f t="shared" si="125"/>
        <v>0</v>
      </c>
      <c r="AZ62" s="3065"/>
      <c r="BA62" s="3068"/>
      <c r="BB62" s="3083"/>
      <c r="BC62" s="3104">
        <f t="shared" si="151"/>
        <v>0</v>
      </c>
      <c r="BD62" s="3180">
        <f t="shared" si="126"/>
        <v>0</v>
      </c>
      <c r="BE62" s="3065"/>
      <c r="BF62" s="3068"/>
      <c r="BG62" s="3083"/>
      <c r="BH62" s="3104">
        <f t="shared" si="152"/>
        <v>0</v>
      </c>
      <c r="BI62" s="3180">
        <f t="shared" si="127"/>
        <v>0</v>
      </c>
      <c r="BJ62" s="3065"/>
      <c r="BK62" s="3068"/>
      <c r="BL62" s="3083"/>
      <c r="BM62" s="3104">
        <f t="shared" si="153"/>
        <v>0</v>
      </c>
      <c r="BN62" s="3180">
        <f t="shared" si="128"/>
        <v>0</v>
      </c>
      <c r="BO62" s="3065"/>
      <c r="BP62" s="3068"/>
      <c r="BQ62" s="3095"/>
      <c r="BR62" s="3104">
        <f t="shared" si="154"/>
        <v>0</v>
      </c>
      <c r="BS62" s="3180">
        <f t="shared" si="129"/>
        <v>0</v>
      </c>
      <c r="BT62" s="3065"/>
      <c r="BU62" s="3068"/>
      <c r="BV62" s="3095"/>
      <c r="BW62" s="3104">
        <f t="shared" si="155"/>
        <v>0</v>
      </c>
      <c r="BX62" s="3180">
        <f t="shared" si="130"/>
        <v>0</v>
      </c>
      <c r="BY62" s="3065"/>
      <c r="BZ62" s="3068"/>
      <c r="CA62" s="3095"/>
      <c r="CB62" s="3104"/>
      <c r="CC62" s="3180">
        <f t="shared" si="131"/>
        <v>0</v>
      </c>
      <c r="CD62" s="3065"/>
      <c r="CE62" s="3068"/>
      <c r="CF62" s="3095"/>
      <c r="CG62" s="3104"/>
      <c r="CH62" s="3180">
        <f t="shared" si="132"/>
        <v>0</v>
      </c>
      <c r="CI62" s="3065"/>
      <c r="CJ62" s="3068"/>
      <c r="CK62" s="3095"/>
      <c r="CL62" s="3104"/>
      <c r="CM62" s="3180">
        <f t="shared" si="133"/>
        <v>0</v>
      </c>
      <c r="CN62" s="3065"/>
      <c r="CO62" s="2059">
        <f t="shared" si="159"/>
        <v>0</v>
      </c>
      <c r="CP62" s="2059">
        <f t="shared" si="160"/>
        <v>0</v>
      </c>
      <c r="CQ62" s="3102">
        <f t="shared" si="161"/>
        <v>0</v>
      </c>
      <c r="CR62" s="2809">
        <f t="shared" si="134"/>
        <v>0</v>
      </c>
      <c r="CS62" s="2813"/>
      <c r="CT62" s="919"/>
      <c r="CU62" s="1579"/>
      <c r="CV62" s="1579"/>
      <c r="CW62" s="1579"/>
    </row>
    <row r="63" spans="1:178" ht="19.2" customHeight="1" outlineLevel="2" x14ac:dyDescent="0.25">
      <c r="A63" s="1586"/>
      <c r="B63" s="3113" t="s">
        <v>35</v>
      </c>
      <c r="C63" s="2833"/>
      <c r="D63" s="2814"/>
      <c r="E63" s="3102">
        <f t="shared" si="135"/>
        <v>0</v>
      </c>
      <c r="F63" s="2809" t="e">
        <f t="shared" si="162"/>
        <v>#DIV/0!</v>
      </c>
      <c r="G63" s="1998">
        <v>37014.959999999999</v>
      </c>
      <c r="H63" s="2027">
        <v>0</v>
      </c>
      <c r="I63" s="3103">
        <f t="shared" si="136"/>
        <v>37014.959999999999</v>
      </c>
      <c r="J63" s="3024">
        <f t="shared" si="123"/>
        <v>6.7609865122020773E-4</v>
      </c>
      <c r="K63" s="2062"/>
      <c r="L63" s="2062"/>
      <c r="M63" s="3062">
        <v>16648.64</v>
      </c>
      <c r="N63" s="3068"/>
      <c r="O63" s="3114">
        <f>M63+N63*1</f>
        <v>16648.64</v>
      </c>
      <c r="P63" s="3063">
        <f t="shared" si="138"/>
        <v>2.393883467617331E-3</v>
      </c>
      <c r="Q63" s="3065" t="s">
        <v>1846</v>
      </c>
      <c r="R63" s="3080">
        <v>5648.43</v>
      </c>
      <c r="S63" s="3068"/>
      <c r="T63" s="3104">
        <f>R63+S63*1</f>
        <v>5648.43</v>
      </c>
      <c r="U63" s="3180">
        <f t="shared" si="140"/>
        <v>8.1217944498732401E-4</v>
      </c>
      <c r="V63" s="3065" t="s">
        <v>1847</v>
      </c>
      <c r="W63" s="3068">
        <v>8998.15</v>
      </c>
      <c r="X63" s="3083"/>
      <c r="Y63" s="3104">
        <f>W63+X63*1</f>
        <v>8998.15</v>
      </c>
      <c r="Z63" s="3180">
        <f t="shared" si="142"/>
        <v>1.2938307587971683E-3</v>
      </c>
      <c r="AA63" s="3065" t="s">
        <v>1848</v>
      </c>
      <c r="AB63" s="3068">
        <v>5719.74</v>
      </c>
      <c r="AC63" s="3083"/>
      <c r="AD63" s="3104">
        <f>AB63+AC63*1</f>
        <v>5719.74</v>
      </c>
      <c r="AE63" s="3180">
        <f t="shared" si="144"/>
        <v>8.2243300504242711E-4</v>
      </c>
      <c r="AF63" s="3065" t="s">
        <v>1844</v>
      </c>
      <c r="AG63" s="3068">
        <f>5205.82+6860+5205.82+3.47</f>
        <v>17275.11</v>
      </c>
      <c r="AH63" s="3095"/>
      <c r="AI63" s="3104">
        <f>AG63+AH63*1</f>
        <v>17275.11</v>
      </c>
      <c r="AJ63" s="3180">
        <f t="shared" si="146"/>
        <v>2.4839626678377835E-3</v>
      </c>
      <c r="AK63" s="3065" t="s">
        <v>1573</v>
      </c>
      <c r="AL63" s="3068">
        <f>5205.82+6860</f>
        <v>12065.82</v>
      </c>
      <c r="AM63" s="3095"/>
      <c r="AN63" s="3104">
        <f t="shared" si="147"/>
        <v>12065.82</v>
      </c>
      <c r="AO63" s="3180">
        <f t="shared" si="124"/>
        <v>1.8817522366685417E-3</v>
      </c>
      <c r="AP63" s="3065" t="s">
        <v>1573</v>
      </c>
      <c r="AQ63" s="3068">
        <v>11507.2</v>
      </c>
      <c r="AR63" s="3095"/>
      <c r="AS63" s="3104">
        <f>AQ63+AR63*1</f>
        <v>11507.2</v>
      </c>
      <c r="AT63" s="3180">
        <f t="shared" si="149"/>
        <v>1.6546033693182239E-3</v>
      </c>
      <c r="AU63" s="3065" t="s">
        <v>1573</v>
      </c>
      <c r="AV63" s="3068">
        <v>12205.55</v>
      </c>
      <c r="AW63" s="3095"/>
      <c r="AX63" s="3104">
        <f t="shared" si="150"/>
        <v>12205.55</v>
      </c>
      <c r="AY63" s="3180">
        <f t="shared" si="125"/>
        <v>4.2095111616644474E-3</v>
      </c>
      <c r="AZ63" s="3065" t="s">
        <v>1573</v>
      </c>
      <c r="BA63" s="3068">
        <f>8166.04+4219.5</f>
        <v>12385.54</v>
      </c>
      <c r="BB63" s="3095"/>
      <c r="BC63" s="3104">
        <f t="shared" si="151"/>
        <v>12385.54</v>
      </c>
      <c r="BD63" s="3180">
        <f t="shared" si="126"/>
        <v>3.5329044345958896E-3</v>
      </c>
      <c r="BE63" s="3065" t="s">
        <v>1573</v>
      </c>
      <c r="BF63" s="3068">
        <v>12592.13</v>
      </c>
      <c r="BG63" s="3095"/>
      <c r="BH63" s="3104">
        <f t="shared" si="152"/>
        <v>12592.13</v>
      </c>
      <c r="BI63" s="3180">
        <f t="shared" si="127"/>
        <v>2.7622448807906866E-3</v>
      </c>
      <c r="BJ63" s="3065" t="s">
        <v>1573</v>
      </c>
      <c r="BK63" s="3068">
        <v>8303.52</v>
      </c>
      <c r="BL63" s="3095"/>
      <c r="BM63" s="3104">
        <f>BK63+BL63*1</f>
        <v>8303.52</v>
      </c>
      <c r="BN63" s="3180">
        <f t="shared" si="128"/>
        <v>1.3685262118246356E-3</v>
      </c>
      <c r="BO63" s="3065" t="s">
        <v>1573</v>
      </c>
      <c r="BP63" s="3068">
        <v>3355.05</v>
      </c>
      <c r="BQ63" s="3095"/>
      <c r="BR63" s="3104">
        <f>BP63+BQ63*1</f>
        <v>3355.05</v>
      </c>
      <c r="BS63" s="3180">
        <f t="shared" si="129"/>
        <v>1.3702374555817705E-3</v>
      </c>
      <c r="BT63" s="3065" t="s">
        <v>1689</v>
      </c>
      <c r="BU63" s="3068"/>
      <c r="BV63" s="3095"/>
      <c r="BW63" s="3104">
        <f>BU63+BV63*1</f>
        <v>0</v>
      </c>
      <c r="BX63" s="3180">
        <f t="shared" si="130"/>
        <v>0</v>
      </c>
      <c r="BY63" s="3065"/>
      <c r="BZ63" s="3068"/>
      <c r="CA63" s="3095"/>
      <c r="CB63" s="3104"/>
      <c r="CC63" s="3180">
        <f t="shared" si="131"/>
        <v>0</v>
      </c>
      <c r="CD63" s="3065"/>
      <c r="CE63" s="3068"/>
      <c r="CF63" s="3095"/>
      <c r="CG63" s="3104"/>
      <c r="CH63" s="3180">
        <f t="shared" si="132"/>
        <v>0</v>
      </c>
      <c r="CI63" s="3065"/>
      <c r="CJ63" s="3068"/>
      <c r="CK63" s="3095"/>
      <c r="CL63" s="3104"/>
      <c r="CM63" s="3180">
        <f t="shared" si="133"/>
        <v>0</v>
      </c>
      <c r="CN63" s="3065"/>
      <c r="CO63" s="2059">
        <f t="shared" si="159"/>
        <v>126704.88</v>
      </c>
      <c r="CP63" s="2059">
        <f t="shared" si="160"/>
        <v>0</v>
      </c>
      <c r="CQ63" s="3123">
        <f t="shared" si="161"/>
        <v>126704.88</v>
      </c>
      <c r="CR63" s="2809">
        <f t="shared" si="134"/>
        <v>1.3466277463642484E-3</v>
      </c>
      <c r="CS63" s="2813"/>
      <c r="CT63" s="919"/>
      <c r="CU63" s="1579"/>
      <c r="CV63" s="1579"/>
      <c r="CW63" s="1579"/>
    </row>
    <row r="64" spans="1:178" ht="18.600000000000001" customHeight="1" outlineLevel="2" x14ac:dyDescent="0.25">
      <c r="A64" s="1586"/>
      <c r="B64" s="3113" t="s">
        <v>63</v>
      </c>
      <c r="C64" s="2833"/>
      <c r="D64" s="2814"/>
      <c r="E64" s="3102">
        <f t="shared" si="135"/>
        <v>0</v>
      </c>
      <c r="F64" s="2809" t="e">
        <f t="shared" si="162"/>
        <v>#DIV/0!</v>
      </c>
      <c r="G64" s="2753">
        <v>0</v>
      </c>
      <c r="H64" s="2027">
        <v>0</v>
      </c>
      <c r="I64" s="3103">
        <f t="shared" si="136"/>
        <v>0</v>
      </c>
      <c r="J64" s="3024">
        <f t="shared" si="123"/>
        <v>0</v>
      </c>
      <c r="K64" s="2062"/>
      <c r="L64" s="2062"/>
      <c r="M64" s="3069"/>
      <c r="N64" s="3068"/>
      <c r="O64" s="3114">
        <f t="shared" ref="O64:O66" si="163">M64+N64*1</f>
        <v>0</v>
      </c>
      <c r="P64" s="3063">
        <f t="shared" si="138"/>
        <v>0</v>
      </c>
      <c r="Q64" s="3065"/>
      <c r="R64" s="3080"/>
      <c r="S64" s="3068"/>
      <c r="T64" s="3104">
        <f t="shared" ref="T64:T66" si="164">R64+S64*1</f>
        <v>0</v>
      </c>
      <c r="U64" s="3180">
        <f t="shared" si="140"/>
        <v>0</v>
      </c>
      <c r="V64" s="3065"/>
      <c r="W64" s="3068"/>
      <c r="X64" s="3083"/>
      <c r="Y64" s="3104">
        <f t="shared" ref="Y64:Y66" si="165">W64+X64*1</f>
        <v>0</v>
      </c>
      <c r="Z64" s="3180">
        <f t="shared" si="142"/>
        <v>0</v>
      </c>
      <c r="AA64" s="3065"/>
      <c r="AB64" s="3068"/>
      <c r="AC64" s="3083"/>
      <c r="AD64" s="3104">
        <f t="shared" ref="AD64:AD66" si="166">AB64+AC64*1</f>
        <v>0</v>
      </c>
      <c r="AE64" s="3180">
        <f t="shared" si="144"/>
        <v>0</v>
      </c>
      <c r="AF64" s="3065"/>
      <c r="AG64" s="3068"/>
      <c r="AH64" s="3083"/>
      <c r="AI64" s="3104">
        <f t="shared" ref="AI64:AI66" si="167">AG64+AH64*1</f>
        <v>0</v>
      </c>
      <c r="AJ64" s="3180">
        <f t="shared" si="146"/>
        <v>0</v>
      </c>
      <c r="AK64" s="3065"/>
      <c r="AL64" s="3068"/>
      <c r="AM64" s="3083"/>
      <c r="AN64" s="3104">
        <f t="shared" si="147"/>
        <v>0</v>
      </c>
      <c r="AO64" s="3180">
        <f t="shared" si="124"/>
        <v>0</v>
      </c>
      <c r="AP64" s="3065"/>
      <c r="AQ64" s="3068"/>
      <c r="AR64" s="3083"/>
      <c r="AS64" s="3104">
        <f t="shared" si="148"/>
        <v>0</v>
      </c>
      <c r="AT64" s="3180">
        <f t="shared" si="149"/>
        <v>0</v>
      </c>
      <c r="AU64" s="3065"/>
      <c r="AV64" s="3068"/>
      <c r="AW64" s="3083"/>
      <c r="AX64" s="3104">
        <f t="shared" si="150"/>
        <v>0</v>
      </c>
      <c r="AY64" s="3180">
        <f t="shared" si="125"/>
        <v>0</v>
      </c>
      <c r="AZ64" s="3065"/>
      <c r="BA64" s="3068"/>
      <c r="BB64" s="3083"/>
      <c r="BC64" s="3104">
        <f t="shared" si="151"/>
        <v>0</v>
      </c>
      <c r="BD64" s="3180">
        <f t="shared" si="126"/>
        <v>0</v>
      </c>
      <c r="BE64" s="3065"/>
      <c r="BF64" s="3068"/>
      <c r="BG64" s="3083"/>
      <c r="BH64" s="3104">
        <f t="shared" si="152"/>
        <v>0</v>
      </c>
      <c r="BI64" s="3180">
        <f t="shared" si="127"/>
        <v>0</v>
      </c>
      <c r="BJ64" s="3065"/>
      <c r="BK64" s="3068"/>
      <c r="BL64" s="3083"/>
      <c r="BM64" s="3104">
        <f>BK64+BL64*1</f>
        <v>0</v>
      </c>
      <c r="BN64" s="3180">
        <f t="shared" si="128"/>
        <v>0</v>
      </c>
      <c r="BO64" s="3065"/>
      <c r="BP64" s="3068"/>
      <c r="BQ64" s="3083"/>
      <c r="BR64" s="3104">
        <f>BP64+BQ64*1</f>
        <v>0</v>
      </c>
      <c r="BS64" s="3180">
        <f t="shared" si="129"/>
        <v>0</v>
      </c>
      <c r="BT64" s="3065"/>
      <c r="BU64" s="3068"/>
      <c r="BV64" s="3083"/>
      <c r="BW64" s="3104">
        <f>BU64+BV64*1</f>
        <v>0</v>
      </c>
      <c r="BX64" s="3180">
        <f t="shared" si="130"/>
        <v>0</v>
      </c>
      <c r="BY64" s="3065"/>
      <c r="BZ64" s="3068"/>
      <c r="CA64" s="3083"/>
      <c r="CB64" s="3104"/>
      <c r="CC64" s="3180">
        <f t="shared" si="131"/>
        <v>0</v>
      </c>
      <c r="CD64" s="3065"/>
      <c r="CE64" s="3068"/>
      <c r="CF64" s="3083"/>
      <c r="CG64" s="3104"/>
      <c r="CH64" s="3180">
        <f t="shared" si="132"/>
        <v>0</v>
      </c>
      <c r="CI64" s="3065"/>
      <c r="CJ64" s="3068"/>
      <c r="CK64" s="3083"/>
      <c r="CL64" s="3104"/>
      <c r="CM64" s="3180">
        <f t="shared" si="133"/>
        <v>0</v>
      </c>
      <c r="CN64" s="3065"/>
      <c r="CO64" s="2059">
        <f t="shared" si="159"/>
        <v>0</v>
      </c>
      <c r="CP64" s="2059">
        <f t="shared" si="160"/>
        <v>0</v>
      </c>
      <c r="CQ64" s="3102">
        <f t="shared" si="161"/>
        <v>0</v>
      </c>
      <c r="CR64" s="2809">
        <f t="shared" si="134"/>
        <v>0</v>
      </c>
      <c r="CS64" s="2813"/>
      <c r="CT64" s="919"/>
      <c r="CU64" s="1579"/>
      <c r="CV64" s="1579"/>
      <c r="CW64" s="1579"/>
    </row>
    <row r="65" spans="1:178" ht="36.6" customHeight="1" outlineLevel="2" x14ac:dyDescent="0.25">
      <c r="A65" s="1586"/>
      <c r="B65" s="3113" t="s">
        <v>36</v>
      </c>
      <c r="C65" s="2833"/>
      <c r="D65" s="2814"/>
      <c r="E65" s="3102">
        <f t="shared" si="135"/>
        <v>0</v>
      </c>
      <c r="F65" s="2809" t="e">
        <f t="shared" si="162"/>
        <v>#DIV/0!</v>
      </c>
      <c r="G65" s="1995">
        <v>26350</v>
      </c>
      <c r="H65" s="2027">
        <v>12885</v>
      </c>
      <c r="I65" s="3103">
        <f t="shared" si="136"/>
        <v>39235</v>
      </c>
      <c r="J65" s="3024">
        <f t="shared" si="123"/>
        <v>7.1664890575661431E-4</v>
      </c>
      <c r="K65" s="2062"/>
      <c r="L65" s="2062"/>
      <c r="M65" s="3060">
        <f>7800+18159.16/2</f>
        <v>16879.580000000002</v>
      </c>
      <c r="N65" s="3068"/>
      <c r="O65" s="3114">
        <f t="shared" si="163"/>
        <v>16879.580000000002</v>
      </c>
      <c r="P65" s="3063">
        <f t="shared" si="138"/>
        <v>2.4270899906733618E-3</v>
      </c>
      <c r="Q65" s="3065" t="s">
        <v>1849</v>
      </c>
      <c r="R65" s="3080">
        <f>7800+18159.16/2</f>
        <v>16879.580000000002</v>
      </c>
      <c r="S65" s="3068"/>
      <c r="T65" s="3104">
        <f t="shared" si="164"/>
        <v>16879.580000000002</v>
      </c>
      <c r="U65" s="3180">
        <f t="shared" si="140"/>
        <v>2.4270899906733618E-3</v>
      </c>
      <c r="V65" s="3065" t="s">
        <v>1850</v>
      </c>
      <c r="W65" s="3061"/>
      <c r="X65" s="3083"/>
      <c r="Y65" s="3104">
        <f t="shared" si="165"/>
        <v>0</v>
      </c>
      <c r="Z65" s="3180">
        <f t="shared" si="142"/>
        <v>0</v>
      </c>
      <c r="AA65" s="3065"/>
      <c r="AB65" s="2057"/>
      <c r="AC65" s="2073"/>
      <c r="AD65" s="3122">
        <f t="shared" si="166"/>
        <v>0</v>
      </c>
      <c r="AE65" s="3196">
        <f t="shared" si="144"/>
        <v>0</v>
      </c>
      <c r="AF65" s="2071"/>
      <c r="AG65" s="3061">
        <f>8200+2550</f>
        <v>10750</v>
      </c>
      <c r="AH65" s="3083">
        <v>12885</v>
      </c>
      <c r="AI65" s="3104">
        <f t="shared" si="167"/>
        <v>23635</v>
      </c>
      <c r="AJ65" s="3180">
        <f t="shared" si="146"/>
        <v>3.3984419001873798E-3</v>
      </c>
      <c r="AK65" s="3065" t="s">
        <v>1851</v>
      </c>
      <c r="AL65" s="3061">
        <f>1300+200+5800+2508.5</f>
        <v>9808.5</v>
      </c>
      <c r="AM65" s="3083"/>
      <c r="AN65" s="3104">
        <f t="shared" si="147"/>
        <v>9808.5</v>
      </c>
      <c r="AO65" s="3180">
        <f t="shared" si="124"/>
        <v>1.5297067926890499E-3</v>
      </c>
      <c r="AP65" s="3065" t="s">
        <v>1578</v>
      </c>
      <c r="AQ65" s="3068">
        <f>800+3600+(2017+2017)</f>
        <v>8434</v>
      </c>
      <c r="AR65" s="3083">
        <v>1068.8499999999999</v>
      </c>
      <c r="AS65" s="3104">
        <f t="shared" si="148"/>
        <v>9502.85</v>
      </c>
      <c r="AT65" s="3180">
        <f t="shared" si="149"/>
        <v>1.3664008297523014E-3</v>
      </c>
      <c r="AU65" s="3065" t="s">
        <v>1589</v>
      </c>
      <c r="AV65" s="3068">
        <f>200+6000+2167</f>
        <v>8367</v>
      </c>
      <c r="AW65" s="3083"/>
      <c r="AX65" s="3104">
        <f t="shared" si="150"/>
        <v>8367</v>
      </c>
      <c r="AY65" s="3180">
        <f t="shared" si="125"/>
        <v>2.8856528292167441E-3</v>
      </c>
      <c r="AZ65" s="3065" t="s">
        <v>1625</v>
      </c>
      <c r="BA65" s="3068">
        <f>800+400+5200+400+750+4134+4000.5</f>
        <v>15684.5</v>
      </c>
      <c r="BB65" s="3083">
        <v>1268</v>
      </c>
      <c r="BC65" s="3104">
        <f t="shared" si="151"/>
        <v>16952.5</v>
      </c>
      <c r="BD65" s="3180">
        <f>BC65/$BC$89</f>
        <v>4.8356036496985041E-3</v>
      </c>
      <c r="BE65" s="3065" t="s">
        <v>1638</v>
      </c>
      <c r="BF65" s="3068">
        <f>6400+400</f>
        <v>6800</v>
      </c>
      <c r="BG65" s="3083">
        <v>1028</v>
      </c>
      <c r="BH65" s="3104">
        <f t="shared" si="152"/>
        <v>7828</v>
      </c>
      <c r="BI65" s="3180">
        <f t="shared" si="127"/>
        <v>1.7171719897133761E-3</v>
      </c>
      <c r="BJ65" s="3065" t="s">
        <v>1679</v>
      </c>
      <c r="BK65" s="3083">
        <v>6600</v>
      </c>
      <c r="BL65" s="3083">
        <f>1500+2633.04</f>
        <v>4133.04</v>
      </c>
      <c r="BM65" s="3104">
        <f t="shared" ref="BM65:BM71" si="168">BK65+BL65*1</f>
        <v>10733.04</v>
      </c>
      <c r="BN65" s="3180">
        <f t="shared" si="128"/>
        <v>1.7689421561653718E-3</v>
      </c>
      <c r="BO65" s="3065" t="s">
        <v>1711</v>
      </c>
      <c r="BP65" s="3083">
        <f>400+2167+400+3800</f>
        <v>6767</v>
      </c>
      <c r="BQ65" s="3083">
        <v>1430</v>
      </c>
      <c r="BR65" s="3104">
        <f t="shared" ref="BR65:BR71" si="169">BP65+BQ65*1</f>
        <v>8197</v>
      </c>
      <c r="BS65" s="3180">
        <f t="shared" si="129"/>
        <v>3.3477403983260372E-3</v>
      </c>
      <c r="BT65" s="3065" t="s">
        <v>1787</v>
      </c>
      <c r="BU65" s="3083"/>
      <c r="BV65" s="3083"/>
      <c r="BW65" s="3104">
        <f t="shared" ref="BW65:BW71" si="170">BU65+BV65*1</f>
        <v>0</v>
      </c>
      <c r="BX65" s="3180">
        <f t="shared" si="130"/>
        <v>0</v>
      </c>
      <c r="BY65" s="3065"/>
      <c r="BZ65" s="3083"/>
      <c r="CA65" s="3083"/>
      <c r="CB65" s="3104"/>
      <c r="CC65" s="3180">
        <f t="shared" si="131"/>
        <v>0</v>
      </c>
      <c r="CD65" s="3065"/>
      <c r="CE65" s="3083"/>
      <c r="CF65" s="3083"/>
      <c r="CG65" s="3104"/>
      <c r="CH65" s="3180">
        <f t="shared" si="132"/>
        <v>0</v>
      </c>
      <c r="CI65" s="3065"/>
      <c r="CJ65" s="3083"/>
      <c r="CK65" s="3083"/>
      <c r="CL65" s="3104"/>
      <c r="CM65" s="3180">
        <f t="shared" si="133"/>
        <v>0</v>
      </c>
      <c r="CN65" s="3065"/>
      <c r="CO65" s="2059">
        <f t="shared" si="159"/>
        <v>106970.16</v>
      </c>
      <c r="CP65" s="2059">
        <f t="shared" si="160"/>
        <v>21812.89</v>
      </c>
      <c r="CQ65" s="3123">
        <f t="shared" si="161"/>
        <v>128783.05</v>
      </c>
      <c r="CR65" s="2809">
        <f t="shared" si="134"/>
        <v>1.3687146729582501E-3</v>
      </c>
      <c r="CS65" s="2813"/>
      <c r="CT65" s="919"/>
      <c r="CU65" s="1579"/>
      <c r="CV65" s="1579"/>
      <c r="CW65" s="1579"/>
    </row>
    <row r="66" spans="1:178" s="1411" customFormat="1" ht="14.4" customHeight="1" outlineLevel="2" x14ac:dyDescent="0.25">
      <c r="A66" s="1586"/>
      <c r="B66" s="3113" t="s">
        <v>37</v>
      </c>
      <c r="C66" s="2833"/>
      <c r="D66" s="2814"/>
      <c r="E66" s="3102">
        <f t="shared" si="135"/>
        <v>0</v>
      </c>
      <c r="F66" s="2809" t="e">
        <f t="shared" si="162"/>
        <v>#DIV/0!</v>
      </c>
      <c r="G66" s="1995">
        <v>0</v>
      </c>
      <c r="H66" s="2067">
        <v>0</v>
      </c>
      <c r="I66" s="3103">
        <f t="shared" si="136"/>
        <v>0</v>
      </c>
      <c r="J66" s="3024">
        <f t="shared" si="123"/>
        <v>0</v>
      </c>
      <c r="K66" s="2062"/>
      <c r="L66" s="2062"/>
      <c r="M66" s="3060"/>
      <c r="N66" s="3061"/>
      <c r="O66" s="3114">
        <f t="shared" si="163"/>
        <v>0</v>
      </c>
      <c r="P66" s="3063">
        <f t="shared" si="138"/>
        <v>0</v>
      </c>
      <c r="Q66" s="3065"/>
      <c r="R66" s="3080"/>
      <c r="S66" s="3068"/>
      <c r="T66" s="3104">
        <f t="shared" si="164"/>
        <v>0</v>
      </c>
      <c r="U66" s="3180">
        <f t="shared" si="140"/>
        <v>0</v>
      </c>
      <c r="V66" s="3065"/>
      <c r="W66" s="3061"/>
      <c r="X66" s="3070"/>
      <c r="Y66" s="3104">
        <f t="shared" si="165"/>
        <v>0</v>
      </c>
      <c r="Z66" s="3180">
        <f t="shared" si="142"/>
        <v>0</v>
      </c>
      <c r="AA66" s="3065"/>
      <c r="AB66" s="2057"/>
      <c r="AC66" s="2066"/>
      <c r="AD66" s="3122">
        <f t="shared" si="166"/>
        <v>0</v>
      </c>
      <c r="AE66" s="3196">
        <f t="shared" si="144"/>
        <v>0</v>
      </c>
      <c r="AF66" s="2071"/>
      <c r="AG66" s="3061"/>
      <c r="AH66" s="3070"/>
      <c r="AI66" s="3104">
        <f t="shared" si="167"/>
        <v>0</v>
      </c>
      <c r="AJ66" s="3180">
        <f t="shared" si="146"/>
        <v>0</v>
      </c>
      <c r="AK66" s="3065"/>
      <c r="AL66" s="3061"/>
      <c r="AM66" s="3083"/>
      <c r="AN66" s="3104">
        <f t="shared" si="147"/>
        <v>0</v>
      </c>
      <c r="AO66" s="3180">
        <f t="shared" si="124"/>
        <v>0</v>
      </c>
      <c r="AP66" s="3065"/>
      <c r="AQ66" s="3068"/>
      <c r="AR66" s="3070"/>
      <c r="AS66" s="3104">
        <f t="shared" si="148"/>
        <v>0</v>
      </c>
      <c r="AT66" s="3180">
        <f t="shared" si="149"/>
        <v>0</v>
      </c>
      <c r="AU66" s="3065"/>
      <c r="AV66" s="3068"/>
      <c r="AW66" s="3070"/>
      <c r="AX66" s="3104">
        <f t="shared" si="150"/>
        <v>0</v>
      </c>
      <c r="AY66" s="3180">
        <f t="shared" si="125"/>
        <v>0</v>
      </c>
      <c r="AZ66" s="3065"/>
      <c r="BA66" s="3068"/>
      <c r="BB66" s="3070"/>
      <c r="BC66" s="3104">
        <f t="shared" si="151"/>
        <v>0</v>
      </c>
      <c r="BD66" s="3180">
        <f t="shared" si="126"/>
        <v>0</v>
      </c>
      <c r="BE66" s="3065"/>
      <c r="BF66" s="3068"/>
      <c r="BG66" s="3070"/>
      <c r="BH66" s="3104">
        <f t="shared" si="152"/>
        <v>0</v>
      </c>
      <c r="BI66" s="3180">
        <f t="shared" si="127"/>
        <v>0</v>
      </c>
      <c r="BJ66" s="3065"/>
      <c r="BK66" s="3068"/>
      <c r="BL66" s="3070">
        <v>1300</v>
      </c>
      <c r="BM66" s="3104">
        <f t="shared" si="168"/>
        <v>1300</v>
      </c>
      <c r="BN66" s="3180">
        <f t="shared" si="128"/>
        <v>2.1425661350511907E-4</v>
      </c>
      <c r="BO66" s="3065" t="s">
        <v>1707</v>
      </c>
      <c r="BP66" s="3068"/>
      <c r="BQ66" s="3070"/>
      <c r="BR66" s="3104">
        <f t="shared" si="169"/>
        <v>0</v>
      </c>
      <c r="BS66" s="3180">
        <f t="shared" si="129"/>
        <v>0</v>
      </c>
      <c r="BT66" s="3065"/>
      <c r="BU66" s="3068"/>
      <c r="BV66" s="3070"/>
      <c r="BW66" s="3104">
        <f t="shared" si="170"/>
        <v>0</v>
      </c>
      <c r="BX66" s="3180">
        <f t="shared" si="130"/>
        <v>0</v>
      </c>
      <c r="BY66" s="3065"/>
      <c r="BZ66" s="3068"/>
      <c r="CA66" s="3070"/>
      <c r="CB66" s="3104"/>
      <c r="CC66" s="3180">
        <f t="shared" si="131"/>
        <v>0</v>
      </c>
      <c r="CD66" s="3065"/>
      <c r="CE66" s="3068"/>
      <c r="CF66" s="3070"/>
      <c r="CG66" s="3104"/>
      <c r="CH66" s="3180">
        <f t="shared" si="132"/>
        <v>0</v>
      </c>
      <c r="CI66" s="3065"/>
      <c r="CJ66" s="3068"/>
      <c r="CK66" s="3070"/>
      <c r="CL66" s="3104"/>
      <c r="CM66" s="3180">
        <f t="shared" si="133"/>
        <v>0</v>
      </c>
      <c r="CN66" s="3065"/>
      <c r="CO66" s="2059">
        <f t="shared" si="159"/>
        <v>0</v>
      </c>
      <c r="CP66" s="2059">
        <f t="shared" si="160"/>
        <v>1300</v>
      </c>
      <c r="CQ66" s="3118">
        <f t="shared" si="161"/>
        <v>1300</v>
      </c>
      <c r="CR66" s="2809">
        <f t="shared" si="134"/>
        <v>1.3816484971009191E-5</v>
      </c>
      <c r="CS66" s="2813"/>
      <c r="CT66" s="919"/>
      <c r="CU66" s="1579"/>
      <c r="CV66" s="1579"/>
      <c r="CW66" s="1579"/>
      <c r="CX66" s="1579"/>
      <c r="CY66" s="1579"/>
      <c r="CZ66" s="1579"/>
      <c r="DA66" s="1579"/>
      <c r="DB66" s="1579"/>
      <c r="DC66" s="1579"/>
      <c r="DD66" s="1579"/>
      <c r="DE66" s="1579"/>
      <c r="DF66" s="1579"/>
      <c r="DG66" s="1579"/>
      <c r="DH66" s="1579"/>
      <c r="DI66" s="1579"/>
      <c r="DJ66" s="1579"/>
      <c r="DK66" s="1579"/>
      <c r="DL66" s="1579"/>
      <c r="DM66" s="1579"/>
      <c r="DN66" s="1579"/>
      <c r="DO66" s="1579"/>
      <c r="DP66" s="1579"/>
      <c r="DQ66" s="1579"/>
      <c r="DR66" s="1579"/>
      <c r="DS66" s="1579"/>
      <c r="DT66" s="1579"/>
      <c r="DU66" s="1579"/>
      <c r="DV66" s="1579"/>
      <c r="DW66" s="1579"/>
      <c r="DX66" s="1579"/>
      <c r="DY66" s="1579"/>
      <c r="DZ66" s="1579"/>
      <c r="EA66" s="1579"/>
      <c r="EB66" s="1579"/>
      <c r="EC66" s="1579"/>
      <c r="ED66" s="1579"/>
      <c r="EE66" s="1579"/>
      <c r="EF66" s="1579"/>
      <c r="EG66" s="1579"/>
      <c r="EH66" s="1579"/>
      <c r="EI66" s="1579"/>
      <c r="EJ66" s="1579"/>
      <c r="EK66" s="1579"/>
      <c r="EL66" s="1579"/>
      <c r="EM66" s="1579"/>
      <c r="EN66" s="1579"/>
      <c r="EO66" s="1579"/>
      <c r="EP66" s="1579"/>
      <c r="EQ66" s="1579"/>
      <c r="ER66" s="1579"/>
      <c r="ES66" s="1579"/>
      <c r="ET66" s="1579"/>
      <c r="EU66" s="1579"/>
      <c r="EV66" s="1579"/>
      <c r="EW66" s="1579"/>
      <c r="EX66" s="1579"/>
      <c r="EY66" s="1579"/>
      <c r="EZ66" s="1579"/>
      <c r="FA66" s="1579"/>
      <c r="FB66" s="1579"/>
      <c r="FC66" s="1579"/>
      <c r="FD66" s="1579"/>
      <c r="FE66" s="1579"/>
      <c r="FF66" s="1579"/>
      <c r="FG66" s="1579"/>
      <c r="FH66" s="1579"/>
      <c r="FI66" s="1579"/>
      <c r="FJ66" s="1579"/>
      <c r="FK66" s="1579"/>
      <c r="FL66" s="1579"/>
      <c r="FM66" s="1579"/>
      <c r="FN66" s="1579"/>
      <c r="FO66" s="1579"/>
      <c r="FP66" s="1579"/>
      <c r="FQ66" s="1579"/>
      <c r="FR66" s="1579"/>
      <c r="FS66" s="1579"/>
      <c r="FT66" s="1579"/>
      <c r="FU66" s="1579"/>
      <c r="FV66" s="1579"/>
    </row>
    <row r="67" spans="1:178" s="1411" customFormat="1" ht="14.4" customHeight="1" outlineLevel="2" x14ac:dyDescent="0.25">
      <c r="A67" s="1586"/>
      <c r="B67" s="3113" t="s">
        <v>3</v>
      </c>
      <c r="C67" s="2833"/>
      <c r="D67" s="2814"/>
      <c r="E67" s="3102">
        <f t="shared" si="135"/>
        <v>0</v>
      </c>
      <c r="F67" s="2809" t="e">
        <f t="shared" si="162"/>
        <v>#DIV/0!</v>
      </c>
      <c r="G67" s="1995">
        <v>0</v>
      </c>
      <c r="H67" s="2067">
        <v>0</v>
      </c>
      <c r="I67" s="3103">
        <f t="shared" si="136"/>
        <v>0</v>
      </c>
      <c r="J67" s="3024">
        <f t="shared" si="123"/>
        <v>0</v>
      </c>
      <c r="K67" s="2062"/>
      <c r="L67" s="2062"/>
      <c r="M67" s="3060"/>
      <c r="N67" s="3061"/>
      <c r="O67" s="3114">
        <f>M67+N67*1</f>
        <v>0</v>
      </c>
      <c r="P67" s="3063">
        <f t="shared" si="138"/>
        <v>0</v>
      </c>
      <c r="Q67" s="3065"/>
      <c r="R67" s="3080"/>
      <c r="S67" s="3068"/>
      <c r="T67" s="3104">
        <f>R67+S67*1</f>
        <v>0</v>
      </c>
      <c r="U67" s="3180">
        <f t="shared" si="140"/>
        <v>0</v>
      </c>
      <c r="V67" s="3065"/>
      <c r="W67" s="3061"/>
      <c r="X67" s="3070"/>
      <c r="Y67" s="3104">
        <f>W67+X67*1</f>
        <v>0</v>
      </c>
      <c r="Z67" s="3180">
        <f t="shared" si="142"/>
        <v>0</v>
      </c>
      <c r="AA67" s="3065"/>
      <c r="AB67" s="2072"/>
      <c r="AC67" s="2066"/>
      <c r="AD67" s="3122">
        <f>AB67+AC67*1</f>
        <v>0</v>
      </c>
      <c r="AE67" s="3196">
        <f t="shared" si="144"/>
        <v>0</v>
      </c>
      <c r="AF67" s="2071"/>
      <c r="AG67" s="3061"/>
      <c r="AH67" s="3061"/>
      <c r="AI67" s="3104">
        <f>AG67+AH67*1</f>
        <v>0</v>
      </c>
      <c r="AJ67" s="3180">
        <f t="shared" si="146"/>
        <v>0</v>
      </c>
      <c r="AK67" s="3065"/>
      <c r="AL67" s="3061"/>
      <c r="AM67" s="3083"/>
      <c r="AN67" s="3104">
        <f t="shared" si="147"/>
        <v>0</v>
      </c>
      <c r="AO67" s="3180">
        <f t="shared" si="124"/>
        <v>0</v>
      </c>
      <c r="AP67" s="3065"/>
      <c r="AQ67" s="3068"/>
      <c r="AR67" s="3068"/>
      <c r="AS67" s="3104">
        <f>AQ67+AR67*1</f>
        <v>0</v>
      </c>
      <c r="AT67" s="3180">
        <f t="shared" si="149"/>
        <v>0</v>
      </c>
      <c r="AU67" s="3065"/>
      <c r="AV67" s="3068"/>
      <c r="AW67" s="3068"/>
      <c r="AX67" s="3104">
        <f t="shared" si="150"/>
        <v>0</v>
      </c>
      <c r="AY67" s="3180">
        <f t="shared" si="125"/>
        <v>0</v>
      </c>
      <c r="AZ67" s="3065"/>
      <c r="BA67" s="3068"/>
      <c r="BB67" s="3068"/>
      <c r="BC67" s="3104">
        <f t="shared" si="151"/>
        <v>0</v>
      </c>
      <c r="BD67" s="3180">
        <f t="shared" si="126"/>
        <v>0</v>
      </c>
      <c r="BE67" s="3065"/>
      <c r="BF67" s="3068"/>
      <c r="BG67" s="3068"/>
      <c r="BH67" s="3104">
        <f t="shared" si="152"/>
        <v>0</v>
      </c>
      <c r="BI67" s="3180">
        <f t="shared" si="127"/>
        <v>0</v>
      </c>
      <c r="BJ67" s="3065"/>
      <c r="BK67" s="3068"/>
      <c r="BL67" s="3068"/>
      <c r="BM67" s="3104">
        <f t="shared" si="168"/>
        <v>0</v>
      </c>
      <c r="BN67" s="3180">
        <f t="shared" si="128"/>
        <v>0</v>
      </c>
      <c r="BO67" s="3065"/>
      <c r="BP67" s="3068"/>
      <c r="BQ67" s="3068"/>
      <c r="BR67" s="3104">
        <f t="shared" si="169"/>
        <v>0</v>
      </c>
      <c r="BS67" s="3180">
        <f t="shared" si="129"/>
        <v>0</v>
      </c>
      <c r="BT67" s="3065"/>
      <c r="BU67" s="3068"/>
      <c r="BV67" s="3068"/>
      <c r="BW67" s="3104">
        <f t="shared" si="170"/>
        <v>0</v>
      </c>
      <c r="BX67" s="3180">
        <f t="shared" si="130"/>
        <v>0</v>
      </c>
      <c r="BY67" s="3065"/>
      <c r="BZ67" s="3068"/>
      <c r="CA67" s="3068"/>
      <c r="CB67" s="3104"/>
      <c r="CC67" s="3180">
        <f t="shared" si="131"/>
        <v>0</v>
      </c>
      <c r="CD67" s="3065"/>
      <c r="CE67" s="3068"/>
      <c r="CF67" s="3068"/>
      <c r="CG67" s="3104"/>
      <c r="CH67" s="3180">
        <f t="shared" si="132"/>
        <v>0</v>
      </c>
      <c r="CI67" s="3065"/>
      <c r="CJ67" s="3068"/>
      <c r="CK67" s="3068"/>
      <c r="CL67" s="3104"/>
      <c r="CM67" s="3180">
        <f t="shared" si="133"/>
        <v>0</v>
      </c>
      <c r="CN67" s="3065"/>
      <c r="CO67" s="2059">
        <f t="shared" si="159"/>
        <v>0</v>
      </c>
      <c r="CP67" s="2059">
        <f t="shared" si="160"/>
        <v>0</v>
      </c>
      <c r="CQ67" s="3102">
        <f t="shared" si="161"/>
        <v>0</v>
      </c>
      <c r="CR67" s="2809">
        <f t="shared" si="134"/>
        <v>0</v>
      </c>
      <c r="CS67" s="2813"/>
      <c r="CT67" s="919"/>
      <c r="CU67" s="1579"/>
      <c r="CV67" s="1579"/>
      <c r="CW67" s="1579"/>
      <c r="CX67" s="1579"/>
      <c r="CY67" s="1579"/>
      <c r="CZ67" s="1579"/>
      <c r="DA67" s="1579"/>
      <c r="DB67" s="1579"/>
      <c r="DC67" s="1579"/>
      <c r="DD67" s="1579"/>
      <c r="DE67" s="1579"/>
      <c r="DF67" s="1579"/>
      <c r="DG67" s="1579"/>
      <c r="DH67" s="1579"/>
      <c r="DI67" s="1579"/>
      <c r="DJ67" s="1579"/>
      <c r="DK67" s="1579"/>
      <c r="DL67" s="1579"/>
      <c r="DM67" s="1579"/>
      <c r="DN67" s="1579"/>
      <c r="DO67" s="1579"/>
      <c r="DP67" s="1579"/>
      <c r="DQ67" s="1579"/>
      <c r="DR67" s="1579"/>
      <c r="DS67" s="1579"/>
      <c r="DT67" s="1579"/>
      <c r="DU67" s="1579"/>
      <c r="DV67" s="1579"/>
      <c r="DW67" s="1579"/>
      <c r="DX67" s="1579"/>
      <c r="DY67" s="1579"/>
      <c r="DZ67" s="1579"/>
      <c r="EA67" s="1579"/>
      <c r="EB67" s="1579"/>
      <c r="EC67" s="1579"/>
      <c r="ED67" s="1579"/>
      <c r="EE67" s="1579"/>
      <c r="EF67" s="1579"/>
      <c r="EG67" s="1579"/>
      <c r="EH67" s="1579"/>
      <c r="EI67" s="1579"/>
      <c r="EJ67" s="1579"/>
      <c r="EK67" s="1579"/>
      <c r="EL67" s="1579"/>
      <c r="EM67" s="1579"/>
      <c r="EN67" s="1579"/>
      <c r="EO67" s="1579"/>
      <c r="EP67" s="1579"/>
      <c r="EQ67" s="1579"/>
      <c r="ER67" s="1579"/>
      <c r="ES67" s="1579"/>
      <c r="ET67" s="1579"/>
      <c r="EU67" s="1579"/>
      <c r="EV67" s="1579"/>
      <c r="EW67" s="1579"/>
      <c r="EX67" s="1579"/>
      <c r="EY67" s="1579"/>
      <c r="EZ67" s="1579"/>
      <c r="FA67" s="1579"/>
      <c r="FB67" s="1579"/>
      <c r="FC67" s="1579"/>
      <c r="FD67" s="1579"/>
      <c r="FE67" s="1579"/>
      <c r="FF67" s="1579"/>
      <c r="FG67" s="1579"/>
      <c r="FH67" s="1579"/>
      <c r="FI67" s="1579"/>
      <c r="FJ67" s="1579"/>
      <c r="FK67" s="1579"/>
      <c r="FL67" s="1579"/>
      <c r="FM67" s="1579"/>
      <c r="FN67" s="1579"/>
      <c r="FO67" s="1579"/>
      <c r="FP67" s="1579"/>
      <c r="FQ67" s="1579"/>
      <c r="FR67" s="1579"/>
      <c r="FS67" s="1579"/>
      <c r="FT67" s="1579"/>
      <c r="FU67" s="1579"/>
      <c r="FV67" s="1579"/>
    </row>
    <row r="68" spans="1:178" s="1411" customFormat="1" ht="27.6" customHeight="1" outlineLevel="2" x14ac:dyDescent="0.25">
      <c r="A68" s="1586"/>
      <c r="B68" s="3113" t="s">
        <v>5</v>
      </c>
      <c r="C68" s="2833"/>
      <c r="D68" s="2814"/>
      <c r="E68" s="3102">
        <f t="shared" si="135"/>
        <v>0</v>
      </c>
      <c r="F68" s="2809" t="e">
        <f t="shared" si="162"/>
        <v>#DIV/0!</v>
      </c>
      <c r="G68" s="1995">
        <v>0</v>
      </c>
      <c r="H68" s="2067">
        <v>23343.51</v>
      </c>
      <c r="I68" s="3103">
        <f t="shared" si="136"/>
        <v>23343.51</v>
      </c>
      <c r="J68" s="3024">
        <f t="shared" si="123"/>
        <v>4.2638207972520918E-4</v>
      </c>
      <c r="K68" s="2062"/>
      <c r="L68" s="2062"/>
      <c r="M68" s="3060"/>
      <c r="N68" s="3061">
        <v>121</v>
      </c>
      <c r="O68" s="3114">
        <f t="shared" ref="O68:O71" si="171">M68+N68*1</f>
        <v>121</v>
      </c>
      <c r="P68" s="3063">
        <f t="shared" si="138"/>
        <v>1.7398412097426399E-5</v>
      </c>
      <c r="Q68" s="3065"/>
      <c r="R68" s="3080"/>
      <c r="S68" s="3068">
        <v>448.86</v>
      </c>
      <c r="T68" s="3104">
        <f t="shared" ref="T68:T71" si="172">R68+S68*1</f>
        <v>448.86</v>
      </c>
      <c r="U68" s="3180">
        <f t="shared" si="140"/>
        <v>6.4540919454965414E-5</v>
      </c>
      <c r="V68" s="3065"/>
      <c r="W68" s="3061"/>
      <c r="X68" s="3070">
        <v>105</v>
      </c>
      <c r="Y68" s="3104">
        <f t="shared" ref="Y68:Y71" si="173">W68+X68*1</f>
        <v>105</v>
      </c>
      <c r="Z68" s="3180">
        <f t="shared" si="142"/>
        <v>1.5097795621733653E-5</v>
      </c>
      <c r="AA68" s="3065" t="s">
        <v>951</v>
      </c>
      <c r="AB68" s="3061"/>
      <c r="AC68" s="3070">
        <v>3106.26</v>
      </c>
      <c r="AD68" s="3104">
        <f t="shared" ref="AD68:AD71" si="174">AB68+AC68*1</f>
        <v>3106.26</v>
      </c>
      <c r="AE68" s="3180">
        <f t="shared" si="144"/>
        <v>4.4664455836158456E-4</v>
      </c>
      <c r="AF68" s="3065"/>
      <c r="AG68" s="3061"/>
      <c r="AH68" s="3070">
        <v>19562.39</v>
      </c>
      <c r="AI68" s="3104">
        <f t="shared" ref="AI68:AI71" si="175">AG68+AH68*1</f>
        <v>19562.39</v>
      </c>
      <c r="AJ68" s="3180">
        <f t="shared" si="146"/>
        <v>2.8128472961204401E-3</v>
      </c>
      <c r="AK68" s="3065" t="s">
        <v>1542</v>
      </c>
      <c r="AL68" s="3061"/>
      <c r="AM68" s="3083">
        <v>5638.46</v>
      </c>
      <c r="AN68" s="3104">
        <f t="shared" si="147"/>
        <v>5638.46</v>
      </c>
      <c r="AO68" s="3180">
        <f t="shared" si="124"/>
        <v>8.7935877680639244E-4</v>
      </c>
      <c r="AP68" s="3065" t="s">
        <v>1542</v>
      </c>
      <c r="AQ68" s="3068"/>
      <c r="AR68" s="3070">
        <v>12390.7</v>
      </c>
      <c r="AS68" s="3104">
        <f t="shared" si="148"/>
        <v>12390.7</v>
      </c>
      <c r="AT68" s="3180">
        <f t="shared" si="149"/>
        <v>1.7816405353353827E-3</v>
      </c>
      <c r="AU68" s="3065" t="s">
        <v>1542</v>
      </c>
      <c r="AV68" s="3068"/>
      <c r="AW68" s="3070">
        <v>3737.2</v>
      </c>
      <c r="AX68" s="3104">
        <f t="shared" si="150"/>
        <v>3737.2</v>
      </c>
      <c r="AY68" s="3180">
        <f t="shared" si="125"/>
        <v>1.2889042372832336E-3</v>
      </c>
      <c r="AZ68" s="3065" t="s">
        <v>1542</v>
      </c>
      <c r="BA68" s="3068"/>
      <c r="BB68" s="3070">
        <v>3318.8</v>
      </c>
      <c r="BC68" s="3104">
        <f t="shared" si="151"/>
        <v>3318.8</v>
      </c>
      <c r="BD68" s="3180">
        <f t="shared" si="126"/>
        <v>9.4666871509331346E-4</v>
      </c>
      <c r="BE68" s="3065" t="s">
        <v>1542</v>
      </c>
      <c r="BF68" s="3068"/>
      <c r="BG68" s="3070">
        <v>6497.1</v>
      </c>
      <c r="BH68" s="3104">
        <f t="shared" si="152"/>
        <v>6497.1</v>
      </c>
      <c r="BI68" s="3180">
        <f t="shared" si="127"/>
        <v>1.4252220406702576E-3</v>
      </c>
      <c r="BJ68" s="3065" t="s">
        <v>1542</v>
      </c>
      <c r="BK68" s="3068"/>
      <c r="BL68" s="3070">
        <v>4864.2</v>
      </c>
      <c r="BM68" s="3104">
        <f t="shared" si="168"/>
        <v>4864.2</v>
      </c>
      <c r="BN68" s="3180">
        <f t="shared" si="128"/>
        <v>8.0168232262430787E-4</v>
      </c>
      <c r="BO68" s="3065" t="s">
        <v>1542</v>
      </c>
      <c r="BP68" s="3068"/>
      <c r="BQ68" s="3070">
        <v>3001.2</v>
      </c>
      <c r="BR68" s="3104">
        <f t="shared" si="169"/>
        <v>3001.2</v>
      </c>
      <c r="BS68" s="3180">
        <f t="shared" si="129"/>
        <v>1.2257214204533491E-3</v>
      </c>
      <c r="BT68" s="3065" t="s">
        <v>1542</v>
      </c>
      <c r="BU68" s="3068"/>
      <c r="BV68" s="3070">
        <v>820.7</v>
      </c>
      <c r="BW68" s="3104">
        <f t="shared" si="170"/>
        <v>820.7</v>
      </c>
      <c r="BX68" s="3180">
        <f t="shared" si="130"/>
        <v>1.5203432410782064E-3</v>
      </c>
      <c r="BY68" s="3065" t="s">
        <v>1542</v>
      </c>
      <c r="BZ68" s="3068"/>
      <c r="CA68" s="3070"/>
      <c r="CB68" s="3104"/>
      <c r="CC68" s="3180">
        <f t="shared" si="131"/>
        <v>0</v>
      </c>
      <c r="CD68" s="3065"/>
      <c r="CE68" s="3068"/>
      <c r="CF68" s="3070"/>
      <c r="CG68" s="3104"/>
      <c r="CH68" s="3180">
        <f t="shared" si="132"/>
        <v>0</v>
      </c>
      <c r="CI68" s="3065"/>
      <c r="CJ68" s="3068"/>
      <c r="CK68" s="3070"/>
      <c r="CL68" s="3104"/>
      <c r="CM68" s="3180">
        <f>CL68/CL$89</f>
        <v>0</v>
      </c>
      <c r="CN68" s="3065"/>
      <c r="CO68" s="2059">
        <f t="shared" si="159"/>
        <v>0</v>
      </c>
      <c r="CP68" s="2059">
        <f t="shared" si="160"/>
        <v>63611.869999999988</v>
      </c>
      <c r="CQ68" s="3118">
        <f t="shared" si="161"/>
        <v>63611.869999999988</v>
      </c>
      <c r="CR68" s="2809">
        <f t="shared" si="134"/>
        <v>6.760711121790694E-4</v>
      </c>
      <c r="CS68" s="2813"/>
      <c r="CT68" s="919"/>
      <c r="CU68" s="1579"/>
      <c r="CV68" s="1579"/>
      <c r="CW68" s="1579"/>
      <c r="CX68" s="1579"/>
      <c r="CY68" s="1579"/>
      <c r="CZ68" s="1579"/>
      <c r="DA68" s="1579"/>
      <c r="DB68" s="1579"/>
      <c r="DC68" s="1579"/>
      <c r="DD68" s="1579"/>
      <c r="DE68" s="1579"/>
      <c r="DF68" s="1579"/>
      <c r="DG68" s="1579"/>
      <c r="DH68" s="1579"/>
      <c r="DI68" s="1579"/>
      <c r="DJ68" s="1579"/>
      <c r="DK68" s="1579"/>
      <c r="DL68" s="1579"/>
      <c r="DM68" s="1579"/>
      <c r="DN68" s="1579"/>
      <c r="DO68" s="1579"/>
      <c r="DP68" s="1579"/>
      <c r="DQ68" s="1579"/>
      <c r="DR68" s="1579"/>
      <c r="DS68" s="1579"/>
      <c r="DT68" s="1579"/>
      <c r="DU68" s="1579"/>
      <c r="DV68" s="1579"/>
      <c r="DW68" s="1579"/>
      <c r="DX68" s="1579"/>
      <c r="DY68" s="1579"/>
      <c r="DZ68" s="1579"/>
      <c r="EA68" s="1579"/>
      <c r="EB68" s="1579"/>
      <c r="EC68" s="1579"/>
      <c r="ED68" s="1579"/>
      <c r="EE68" s="1579"/>
      <c r="EF68" s="1579"/>
      <c r="EG68" s="1579"/>
      <c r="EH68" s="1579"/>
      <c r="EI68" s="1579"/>
      <c r="EJ68" s="1579"/>
      <c r="EK68" s="1579"/>
      <c r="EL68" s="1579"/>
      <c r="EM68" s="1579"/>
      <c r="EN68" s="1579"/>
      <c r="EO68" s="1579"/>
      <c r="EP68" s="1579"/>
      <c r="EQ68" s="1579"/>
      <c r="ER68" s="1579"/>
      <c r="ES68" s="1579"/>
      <c r="ET68" s="1579"/>
      <c r="EU68" s="1579"/>
      <c r="EV68" s="1579"/>
      <c r="EW68" s="1579"/>
      <c r="EX68" s="1579"/>
      <c r="EY68" s="1579"/>
      <c r="EZ68" s="1579"/>
      <c r="FA68" s="1579"/>
      <c r="FB68" s="1579"/>
      <c r="FC68" s="1579"/>
      <c r="FD68" s="1579"/>
      <c r="FE68" s="1579"/>
      <c r="FF68" s="1579"/>
      <c r="FG68" s="1579"/>
      <c r="FH68" s="1579"/>
      <c r="FI68" s="1579"/>
      <c r="FJ68" s="1579"/>
      <c r="FK68" s="1579"/>
      <c r="FL68" s="1579"/>
      <c r="FM68" s="1579"/>
      <c r="FN68" s="1579"/>
      <c r="FO68" s="1579"/>
      <c r="FP68" s="1579"/>
      <c r="FQ68" s="1579"/>
      <c r="FR68" s="1579"/>
      <c r="FS68" s="1579"/>
      <c r="FT68" s="1579"/>
      <c r="FU68" s="1579"/>
      <c r="FV68" s="1579"/>
    </row>
    <row r="69" spans="1:178" s="1411" customFormat="1" ht="14.4" customHeight="1" outlineLevel="2" x14ac:dyDescent="0.25">
      <c r="A69" s="1586"/>
      <c r="B69" s="3113" t="s">
        <v>42</v>
      </c>
      <c r="C69" s="2833"/>
      <c r="D69" s="2814"/>
      <c r="E69" s="3102">
        <f t="shared" si="135"/>
        <v>0</v>
      </c>
      <c r="F69" s="2809" t="e">
        <f t="shared" si="162"/>
        <v>#DIV/0!</v>
      </c>
      <c r="G69" s="1995">
        <v>0</v>
      </c>
      <c r="H69" s="2067">
        <v>0</v>
      </c>
      <c r="I69" s="3103">
        <f t="shared" si="136"/>
        <v>0</v>
      </c>
      <c r="J69" s="3024">
        <f t="shared" si="123"/>
        <v>0</v>
      </c>
      <c r="K69" s="2062"/>
      <c r="L69" s="2062"/>
      <c r="M69" s="3060"/>
      <c r="N69" s="3061"/>
      <c r="O69" s="3114">
        <f t="shared" si="171"/>
        <v>0</v>
      </c>
      <c r="P69" s="3063">
        <f t="shared" si="138"/>
        <v>0</v>
      </c>
      <c r="Q69" s="3065"/>
      <c r="R69" s="3073"/>
      <c r="S69" s="3061"/>
      <c r="T69" s="3104">
        <f t="shared" si="172"/>
        <v>0</v>
      </c>
      <c r="U69" s="3180">
        <f t="shared" si="140"/>
        <v>0</v>
      </c>
      <c r="V69" s="3065"/>
      <c r="W69" s="3061"/>
      <c r="X69" s="3070"/>
      <c r="Y69" s="3104">
        <f t="shared" si="173"/>
        <v>0</v>
      </c>
      <c r="Z69" s="3180">
        <f t="shared" si="142"/>
        <v>0</v>
      </c>
      <c r="AA69" s="3065"/>
      <c r="AB69" s="3061">
        <v>5040</v>
      </c>
      <c r="AC69" s="3070"/>
      <c r="AD69" s="3104">
        <f t="shared" si="174"/>
        <v>5040</v>
      </c>
      <c r="AE69" s="3180">
        <f t="shared" si="144"/>
        <v>7.2469418984321538E-4</v>
      </c>
      <c r="AF69" s="3065" t="s">
        <v>1873</v>
      </c>
      <c r="AG69" s="3061"/>
      <c r="AH69" s="3070"/>
      <c r="AI69" s="3104">
        <f t="shared" si="175"/>
        <v>0</v>
      </c>
      <c r="AJ69" s="3180">
        <f t="shared" si="146"/>
        <v>0</v>
      </c>
      <c r="AK69" s="3065"/>
      <c r="AL69" s="3061"/>
      <c r="AM69" s="3083"/>
      <c r="AN69" s="3104">
        <f t="shared" si="147"/>
        <v>0</v>
      </c>
      <c r="AO69" s="3180">
        <f t="shared" si="124"/>
        <v>0</v>
      </c>
      <c r="AP69" s="3065"/>
      <c r="AQ69" s="3068"/>
      <c r="AR69" s="3070"/>
      <c r="AS69" s="3104">
        <f t="shared" si="148"/>
        <v>0</v>
      </c>
      <c r="AT69" s="3180">
        <f t="shared" si="149"/>
        <v>0</v>
      </c>
      <c r="AU69" s="3198"/>
      <c r="AV69" s="3068"/>
      <c r="AW69" s="3070"/>
      <c r="AX69" s="3104">
        <f t="shared" si="150"/>
        <v>0</v>
      </c>
      <c r="AY69" s="3180">
        <f t="shared" si="125"/>
        <v>0</v>
      </c>
      <c r="AZ69" s="3198"/>
      <c r="BA69" s="3068"/>
      <c r="BB69" s="3070"/>
      <c r="BC69" s="3104">
        <f t="shared" si="151"/>
        <v>0</v>
      </c>
      <c r="BD69" s="3180">
        <f t="shared" si="126"/>
        <v>0</v>
      </c>
      <c r="BE69" s="3198"/>
      <c r="BF69" s="3068"/>
      <c r="BG69" s="3070"/>
      <c r="BH69" s="3104">
        <f t="shared" si="152"/>
        <v>0</v>
      </c>
      <c r="BI69" s="3180">
        <f t="shared" si="127"/>
        <v>0</v>
      </c>
      <c r="BJ69" s="3198"/>
      <c r="BK69" s="3068"/>
      <c r="BL69" s="3070"/>
      <c r="BM69" s="3104">
        <f t="shared" si="168"/>
        <v>0</v>
      </c>
      <c r="BN69" s="3180">
        <f t="shared" si="128"/>
        <v>0</v>
      </c>
      <c r="BO69" s="3198"/>
      <c r="BP69" s="3068"/>
      <c r="BQ69" s="3070"/>
      <c r="BR69" s="3104">
        <f t="shared" si="169"/>
        <v>0</v>
      </c>
      <c r="BS69" s="3180">
        <f t="shared" si="129"/>
        <v>0</v>
      </c>
      <c r="BT69" s="3198"/>
      <c r="BU69" s="3068"/>
      <c r="BV69" s="3070"/>
      <c r="BW69" s="3104">
        <f t="shared" si="170"/>
        <v>0</v>
      </c>
      <c r="BX69" s="3180">
        <f t="shared" si="130"/>
        <v>0</v>
      </c>
      <c r="BY69" s="3198"/>
      <c r="BZ69" s="3068"/>
      <c r="CA69" s="3070"/>
      <c r="CB69" s="3104"/>
      <c r="CC69" s="3180">
        <f t="shared" si="131"/>
        <v>0</v>
      </c>
      <c r="CD69" s="3198"/>
      <c r="CE69" s="3068"/>
      <c r="CF69" s="3070"/>
      <c r="CG69" s="3104"/>
      <c r="CH69" s="3180">
        <f t="shared" si="132"/>
        <v>0</v>
      </c>
      <c r="CI69" s="3198"/>
      <c r="CJ69" s="3068"/>
      <c r="CK69" s="3070"/>
      <c r="CL69" s="3104"/>
      <c r="CM69" s="3180">
        <f t="shared" si="133"/>
        <v>0</v>
      </c>
      <c r="CN69" s="3198"/>
      <c r="CO69" s="2059">
        <f t="shared" si="159"/>
        <v>5040</v>
      </c>
      <c r="CP69" s="2059">
        <f t="shared" si="160"/>
        <v>0</v>
      </c>
      <c r="CQ69" s="3118">
        <f t="shared" si="161"/>
        <v>5040</v>
      </c>
      <c r="CR69" s="2809">
        <f t="shared" si="134"/>
        <v>5.3565449426066403E-5</v>
      </c>
      <c r="CS69" s="2813"/>
      <c r="CT69" s="919"/>
      <c r="CU69" s="1579"/>
      <c r="CV69" s="1579"/>
      <c r="CW69" s="1579"/>
      <c r="CX69" s="1579"/>
      <c r="CY69" s="1579"/>
      <c r="CZ69" s="1579"/>
      <c r="DA69" s="1579"/>
      <c r="DB69" s="1579"/>
      <c r="DC69" s="1579"/>
      <c r="DD69" s="1579"/>
      <c r="DE69" s="1579"/>
      <c r="DF69" s="1579"/>
      <c r="DG69" s="1579"/>
      <c r="DH69" s="1579"/>
      <c r="DI69" s="1579"/>
      <c r="DJ69" s="1579"/>
      <c r="DK69" s="1579"/>
      <c r="DL69" s="1579"/>
      <c r="DM69" s="1579"/>
      <c r="DN69" s="1579"/>
      <c r="DO69" s="1579"/>
      <c r="DP69" s="1579"/>
      <c r="DQ69" s="1579"/>
      <c r="DR69" s="1579"/>
      <c r="DS69" s="1579"/>
      <c r="DT69" s="1579"/>
      <c r="DU69" s="1579"/>
      <c r="DV69" s="1579"/>
      <c r="DW69" s="1579"/>
      <c r="DX69" s="1579"/>
      <c r="DY69" s="1579"/>
      <c r="DZ69" s="1579"/>
      <c r="EA69" s="1579"/>
      <c r="EB69" s="1579"/>
      <c r="EC69" s="1579"/>
      <c r="ED69" s="1579"/>
      <c r="EE69" s="1579"/>
      <c r="EF69" s="1579"/>
      <c r="EG69" s="1579"/>
      <c r="EH69" s="1579"/>
      <c r="EI69" s="1579"/>
      <c r="EJ69" s="1579"/>
      <c r="EK69" s="1579"/>
      <c r="EL69" s="1579"/>
      <c r="EM69" s="1579"/>
      <c r="EN69" s="1579"/>
      <c r="EO69" s="1579"/>
      <c r="EP69" s="1579"/>
      <c r="EQ69" s="1579"/>
      <c r="ER69" s="1579"/>
      <c r="ES69" s="1579"/>
      <c r="ET69" s="1579"/>
      <c r="EU69" s="1579"/>
      <c r="EV69" s="1579"/>
      <c r="EW69" s="1579"/>
      <c r="EX69" s="1579"/>
      <c r="EY69" s="1579"/>
      <c r="EZ69" s="1579"/>
      <c r="FA69" s="1579"/>
      <c r="FB69" s="1579"/>
      <c r="FC69" s="1579"/>
      <c r="FD69" s="1579"/>
      <c r="FE69" s="1579"/>
      <c r="FF69" s="1579"/>
      <c r="FG69" s="1579"/>
      <c r="FH69" s="1579"/>
      <c r="FI69" s="1579"/>
      <c r="FJ69" s="1579"/>
      <c r="FK69" s="1579"/>
      <c r="FL69" s="1579"/>
      <c r="FM69" s="1579"/>
      <c r="FN69" s="1579"/>
      <c r="FO69" s="1579"/>
      <c r="FP69" s="1579"/>
      <c r="FQ69" s="1579"/>
      <c r="FR69" s="1579"/>
      <c r="FS69" s="1579"/>
      <c r="FT69" s="1579"/>
      <c r="FU69" s="1579"/>
      <c r="FV69" s="1579"/>
    </row>
    <row r="70" spans="1:178" s="1411" customFormat="1" ht="14.4" customHeight="1" outlineLevel="2" x14ac:dyDescent="0.25">
      <c r="A70" s="1586"/>
      <c r="B70" s="3113" t="s">
        <v>6</v>
      </c>
      <c r="C70" s="2833"/>
      <c r="D70" s="2814"/>
      <c r="E70" s="3102">
        <f t="shared" si="135"/>
        <v>0</v>
      </c>
      <c r="F70" s="2809" t="e">
        <f t="shared" si="162"/>
        <v>#DIV/0!</v>
      </c>
      <c r="G70" s="1995">
        <v>0</v>
      </c>
      <c r="H70" s="2067">
        <v>0</v>
      </c>
      <c r="I70" s="3103">
        <f t="shared" si="136"/>
        <v>0</v>
      </c>
      <c r="J70" s="3024">
        <f t="shared" si="123"/>
        <v>0</v>
      </c>
      <c r="K70" s="2062"/>
      <c r="L70" s="2062"/>
      <c r="M70" s="3060"/>
      <c r="N70" s="3061"/>
      <c r="O70" s="3114">
        <f t="shared" si="171"/>
        <v>0</v>
      </c>
      <c r="P70" s="3063">
        <f t="shared" si="138"/>
        <v>0</v>
      </c>
      <c r="Q70" s="3065"/>
      <c r="R70" s="3073"/>
      <c r="S70" s="3061"/>
      <c r="T70" s="3104">
        <f t="shared" si="172"/>
        <v>0</v>
      </c>
      <c r="U70" s="3180">
        <f t="shared" si="140"/>
        <v>0</v>
      </c>
      <c r="V70" s="3065"/>
      <c r="W70" s="3061"/>
      <c r="X70" s="3070"/>
      <c r="Y70" s="3104">
        <f t="shared" si="173"/>
        <v>0</v>
      </c>
      <c r="Z70" s="3180">
        <f t="shared" si="142"/>
        <v>0</v>
      </c>
      <c r="AA70" s="3065"/>
      <c r="AB70" s="3061"/>
      <c r="AC70" s="3070"/>
      <c r="AD70" s="3104">
        <f t="shared" si="174"/>
        <v>0</v>
      </c>
      <c r="AE70" s="3180">
        <f t="shared" si="144"/>
        <v>0</v>
      </c>
      <c r="AF70" s="3065"/>
      <c r="AG70" s="3061"/>
      <c r="AH70" s="3061"/>
      <c r="AI70" s="3104">
        <f t="shared" si="175"/>
        <v>0</v>
      </c>
      <c r="AJ70" s="3180">
        <f t="shared" si="146"/>
        <v>0</v>
      </c>
      <c r="AK70" s="3065"/>
      <c r="AL70" s="3061"/>
      <c r="AM70" s="3083"/>
      <c r="AN70" s="3104">
        <f t="shared" si="147"/>
        <v>0</v>
      </c>
      <c r="AO70" s="3180">
        <f t="shared" si="124"/>
        <v>0</v>
      </c>
      <c r="AP70" s="3065"/>
      <c r="AQ70" s="3068"/>
      <c r="AR70" s="3061"/>
      <c r="AS70" s="3104">
        <f t="shared" si="148"/>
        <v>0</v>
      </c>
      <c r="AT70" s="3180">
        <f t="shared" si="149"/>
        <v>0</v>
      </c>
      <c r="AU70" s="3065"/>
      <c r="AV70" s="3068"/>
      <c r="AW70" s="3061"/>
      <c r="AX70" s="3104">
        <f t="shared" si="150"/>
        <v>0</v>
      </c>
      <c r="AY70" s="3180">
        <f t="shared" si="125"/>
        <v>0</v>
      </c>
      <c r="AZ70" s="3065"/>
      <c r="BA70" s="3068"/>
      <c r="BB70" s="3061"/>
      <c r="BC70" s="3104">
        <f t="shared" si="151"/>
        <v>0</v>
      </c>
      <c r="BD70" s="3180">
        <f t="shared" si="126"/>
        <v>0</v>
      </c>
      <c r="BE70" s="3065"/>
      <c r="BF70" s="3068"/>
      <c r="BG70" s="3061"/>
      <c r="BH70" s="3104">
        <f t="shared" si="152"/>
        <v>0</v>
      </c>
      <c r="BI70" s="3180">
        <f t="shared" si="127"/>
        <v>0</v>
      </c>
      <c r="BJ70" s="3065"/>
      <c r="BK70" s="3068"/>
      <c r="BL70" s="3061"/>
      <c r="BM70" s="3104">
        <f t="shared" si="168"/>
        <v>0</v>
      </c>
      <c r="BN70" s="3180">
        <f t="shared" si="128"/>
        <v>0</v>
      </c>
      <c r="BO70" s="3065"/>
      <c r="BP70" s="3068"/>
      <c r="BQ70" s="3061"/>
      <c r="BR70" s="3104">
        <f t="shared" si="169"/>
        <v>0</v>
      </c>
      <c r="BS70" s="3180">
        <f t="shared" si="129"/>
        <v>0</v>
      </c>
      <c r="BT70" s="3065"/>
      <c r="BU70" s="3068"/>
      <c r="BV70" s="3061"/>
      <c r="BW70" s="3104">
        <f t="shared" si="170"/>
        <v>0</v>
      </c>
      <c r="BX70" s="3180">
        <f t="shared" si="130"/>
        <v>0</v>
      </c>
      <c r="BY70" s="3065"/>
      <c r="BZ70" s="3068"/>
      <c r="CA70" s="3061"/>
      <c r="CB70" s="3104"/>
      <c r="CC70" s="3180">
        <f t="shared" si="131"/>
        <v>0</v>
      </c>
      <c r="CD70" s="3065"/>
      <c r="CE70" s="3068"/>
      <c r="CF70" s="3061"/>
      <c r="CG70" s="3104"/>
      <c r="CH70" s="3180">
        <f t="shared" si="132"/>
        <v>0</v>
      </c>
      <c r="CI70" s="3065"/>
      <c r="CJ70" s="3068"/>
      <c r="CK70" s="3061"/>
      <c r="CL70" s="3104"/>
      <c r="CM70" s="3180">
        <f t="shared" si="133"/>
        <v>0</v>
      </c>
      <c r="CN70" s="3065"/>
      <c r="CO70" s="2059">
        <f t="shared" si="159"/>
        <v>0</v>
      </c>
      <c r="CP70" s="2059">
        <f t="shared" si="160"/>
        <v>0</v>
      </c>
      <c r="CQ70" s="3102">
        <f t="shared" si="161"/>
        <v>0</v>
      </c>
      <c r="CR70" s="2809">
        <f>CQ70/$CQ$89</f>
        <v>0</v>
      </c>
      <c r="CS70" s="2813"/>
      <c r="CT70" s="919"/>
      <c r="CU70" s="1579"/>
      <c r="CV70" s="1579"/>
      <c r="CW70" s="1579"/>
      <c r="CX70" s="1579"/>
      <c r="CY70" s="1579"/>
      <c r="CZ70" s="1579"/>
      <c r="DA70" s="1579"/>
      <c r="DB70" s="1579"/>
      <c r="DC70" s="1579"/>
      <c r="DD70" s="1579"/>
      <c r="DE70" s="1579"/>
      <c r="DF70" s="1579"/>
      <c r="DG70" s="1579"/>
      <c r="DH70" s="1579"/>
      <c r="DI70" s="1579"/>
      <c r="DJ70" s="1579"/>
      <c r="DK70" s="1579"/>
      <c r="DL70" s="1579"/>
      <c r="DM70" s="1579"/>
      <c r="DN70" s="1579"/>
      <c r="DO70" s="1579"/>
      <c r="DP70" s="1579"/>
      <c r="DQ70" s="1579"/>
      <c r="DR70" s="1579"/>
      <c r="DS70" s="1579"/>
      <c r="DT70" s="1579"/>
      <c r="DU70" s="1579"/>
      <c r="DV70" s="1579"/>
      <c r="DW70" s="1579"/>
      <c r="DX70" s="1579"/>
      <c r="DY70" s="1579"/>
      <c r="DZ70" s="1579"/>
      <c r="EA70" s="1579"/>
      <c r="EB70" s="1579"/>
      <c r="EC70" s="1579"/>
      <c r="ED70" s="1579"/>
      <c r="EE70" s="1579"/>
      <c r="EF70" s="1579"/>
      <c r="EG70" s="1579"/>
      <c r="EH70" s="1579"/>
      <c r="EI70" s="1579"/>
      <c r="EJ70" s="1579"/>
      <c r="EK70" s="1579"/>
      <c r="EL70" s="1579"/>
      <c r="EM70" s="1579"/>
      <c r="EN70" s="1579"/>
      <c r="EO70" s="1579"/>
      <c r="EP70" s="1579"/>
      <c r="EQ70" s="1579"/>
      <c r="ER70" s="1579"/>
      <c r="ES70" s="1579"/>
      <c r="ET70" s="1579"/>
      <c r="EU70" s="1579"/>
      <c r="EV70" s="1579"/>
      <c r="EW70" s="1579"/>
      <c r="EX70" s="1579"/>
      <c r="EY70" s="1579"/>
      <c r="EZ70" s="1579"/>
      <c r="FA70" s="1579"/>
      <c r="FB70" s="1579"/>
      <c r="FC70" s="1579"/>
      <c r="FD70" s="1579"/>
      <c r="FE70" s="1579"/>
      <c r="FF70" s="1579"/>
      <c r="FG70" s="1579"/>
      <c r="FH70" s="1579"/>
      <c r="FI70" s="1579"/>
      <c r="FJ70" s="1579"/>
      <c r="FK70" s="1579"/>
      <c r="FL70" s="1579"/>
      <c r="FM70" s="1579"/>
      <c r="FN70" s="1579"/>
      <c r="FO70" s="1579"/>
      <c r="FP70" s="1579"/>
      <c r="FQ70" s="1579"/>
      <c r="FR70" s="1579"/>
      <c r="FS70" s="1579"/>
      <c r="FT70" s="1579"/>
      <c r="FU70" s="1579"/>
      <c r="FV70" s="1579"/>
    </row>
    <row r="71" spans="1:178" s="1411" customFormat="1" ht="32.4" customHeight="1" outlineLevel="2" x14ac:dyDescent="0.25">
      <c r="A71" s="1586"/>
      <c r="B71" s="3113" t="s">
        <v>234</v>
      </c>
      <c r="C71" s="2833"/>
      <c r="D71" s="2814"/>
      <c r="E71" s="3102">
        <f t="shared" si="135"/>
        <v>0</v>
      </c>
      <c r="F71" s="2835" t="e">
        <f t="shared" si="162"/>
        <v>#DIV/0!</v>
      </c>
      <c r="G71" s="1995">
        <v>0</v>
      </c>
      <c r="H71" s="2067">
        <v>2000</v>
      </c>
      <c r="I71" s="3103">
        <f t="shared" si="136"/>
        <v>2000</v>
      </c>
      <c r="J71" s="3024">
        <f t="shared" si="123"/>
        <v>3.6531102625544252E-5</v>
      </c>
      <c r="K71" s="2062"/>
      <c r="L71" s="2062"/>
      <c r="M71" s="3060"/>
      <c r="N71" s="3061"/>
      <c r="O71" s="3114">
        <f t="shared" si="171"/>
        <v>0</v>
      </c>
      <c r="P71" s="3063">
        <f t="shared" si="138"/>
        <v>0</v>
      </c>
      <c r="Q71" s="3065"/>
      <c r="R71" s="3073"/>
      <c r="S71" s="3061"/>
      <c r="T71" s="3104">
        <f t="shared" si="172"/>
        <v>0</v>
      </c>
      <c r="U71" s="3180">
        <f t="shared" si="140"/>
        <v>0</v>
      </c>
      <c r="V71" s="3065"/>
      <c r="W71" s="3061"/>
      <c r="X71" s="3070"/>
      <c r="Y71" s="3104">
        <f t="shared" si="173"/>
        <v>0</v>
      </c>
      <c r="Z71" s="3180">
        <f t="shared" si="142"/>
        <v>0</v>
      </c>
      <c r="AA71" s="3065"/>
      <c r="AB71" s="3061"/>
      <c r="AC71" s="3070">
        <v>2000</v>
      </c>
      <c r="AD71" s="3104">
        <f t="shared" si="174"/>
        <v>2000</v>
      </c>
      <c r="AE71" s="3180">
        <f t="shared" si="144"/>
        <v>2.8757705946159338E-4</v>
      </c>
      <c r="AF71" s="3065" t="s">
        <v>1852</v>
      </c>
      <c r="AG71" s="2067"/>
      <c r="AH71" s="2059"/>
      <c r="AI71" s="3102">
        <f t="shared" si="175"/>
        <v>0</v>
      </c>
      <c r="AJ71" s="2809">
        <f t="shared" si="146"/>
        <v>0</v>
      </c>
      <c r="AK71" s="2062"/>
      <c r="AL71" s="3061"/>
      <c r="AM71" s="3083">
        <v>10000</v>
      </c>
      <c r="AN71" s="3104">
        <f t="shared" si="147"/>
        <v>10000</v>
      </c>
      <c r="AO71" s="3180">
        <f t="shared" si="124"/>
        <v>1.5595726081348319E-3</v>
      </c>
      <c r="AP71" s="3065" t="s">
        <v>1566</v>
      </c>
      <c r="AQ71" s="3061"/>
      <c r="AR71" s="3070"/>
      <c r="AS71" s="3104">
        <f t="shared" si="148"/>
        <v>0</v>
      </c>
      <c r="AT71" s="3180">
        <f t="shared" si="149"/>
        <v>0</v>
      </c>
      <c r="AU71" s="3065"/>
      <c r="AV71" s="3061"/>
      <c r="AW71" s="3070"/>
      <c r="AX71" s="3104">
        <f t="shared" si="150"/>
        <v>0</v>
      </c>
      <c r="AY71" s="3180">
        <f t="shared" si="125"/>
        <v>0</v>
      </c>
      <c r="AZ71" s="3065"/>
      <c r="BA71" s="3061"/>
      <c r="BB71" s="3070"/>
      <c r="BC71" s="3104">
        <f t="shared" si="151"/>
        <v>0</v>
      </c>
      <c r="BD71" s="3180">
        <f t="shared" si="126"/>
        <v>0</v>
      </c>
      <c r="BE71" s="3065"/>
      <c r="BF71" s="3061"/>
      <c r="BG71" s="3070"/>
      <c r="BH71" s="3104">
        <f t="shared" si="152"/>
        <v>0</v>
      </c>
      <c r="BI71" s="3180">
        <f t="shared" si="127"/>
        <v>0</v>
      </c>
      <c r="BJ71" s="3065"/>
      <c r="BK71" s="2067"/>
      <c r="BL71" s="2059"/>
      <c r="BM71" s="3102">
        <f t="shared" si="168"/>
        <v>0</v>
      </c>
      <c r="BN71" s="2809">
        <f t="shared" si="128"/>
        <v>0</v>
      </c>
      <c r="BO71" s="2062"/>
      <c r="BP71" s="3061"/>
      <c r="BQ71" s="3070"/>
      <c r="BR71" s="3104">
        <f t="shared" si="169"/>
        <v>0</v>
      </c>
      <c r="BS71" s="3180">
        <f t="shared" si="129"/>
        <v>0</v>
      </c>
      <c r="BT71" s="3065"/>
      <c r="BU71" s="3061"/>
      <c r="BV71" s="3070"/>
      <c r="BW71" s="3104">
        <f t="shared" si="170"/>
        <v>0</v>
      </c>
      <c r="BX71" s="3180">
        <f t="shared" si="130"/>
        <v>0</v>
      </c>
      <c r="BY71" s="3065"/>
      <c r="BZ71" s="3061"/>
      <c r="CA71" s="3070"/>
      <c r="CB71" s="3104"/>
      <c r="CC71" s="3180">
        <f t="shared" si="131"/>
        <v>0</v>
      </c>
      <c r="CD71" s="3065"/>
      <c r="CE71" s="3061"/>
      <c r="CF71" s="3070"/>
      <c r="CG71" s="3104"/>
      <c r="CH71" s="3180">
        <f t="shared" si="132"/>
        <v>0</v>
      </c>
      <c r="CI71" s="3065"/>
      <c r="CJ71" s="3061"/>
      <c r="CK71" s="3070"/>
      <c r="CL71" s="3104"/>
      <c r="CM71" s="3180">
        <f t="shared" si="133"/>
        <v>0</v>
      </c>
      <c r="CN71" s="3065"/>
      <c r="CO71" s="2059">
        <f t="shared" si="159"/>
        <v>0</v>
      </c>
      <c r="CP71" s="2059">
        <f t="shared" si="160"/>
        <v>12000</v>
      </c>
      <c r="CQ71" s="3118">
        <f t="shared" si="161"/>
        <v>12000</v>
      </c>
      <c r="CR71" s="2809">
        <f t="shared" si="134"/>
        <v>1.2753678434777714E-4</v>
      </c>
      <c r="CS71" s="2813"/>
      <c r="CT71" s="919"/>
      <c r="CU71" s="1579"/>
      <c r="CV71" s="1579"/>
      <c r="CW71" s="1579"/>
      <c r="CX71" s="1579"/>
      <c r="CY71" s="1579"/>
      <c r="CZ71" s="1579"/>
      <c r="DA71" s="1579"/>
      <c r="DB71" s="1579"/>
      <c r="DC71" s="1579"/>
      <c r="DD71" s="1579"/>
      <c r="DE71" s="1579"/>
      <c r="DF71" s="1579"/>
      <c r="DG71" s="1579"/>
      <c r="DH71" s="1579"/>
      <c r="DI71" s="1579"/>
      <c r="DJ71" s="1579"/>
      <c r="DK71" s="1579"/>
      <c r="DL71" s="1579"/>
      <c r="DM71" s="1579"/>
      <c r="DN71" s="1579"/>
      <c r="DO71" s="1579"/>
      <c r="DP71" s="1579"/>
      <c r="DQ71" s="1579"/>
      <c r="DR71" s="1579"/>
      <c r="DS71" s="1579"/>
      <c r="DT71" s="1579"/>
      <c r="DU71" s="1579"/>
      <c r="DV71" s="1579"/>
      <c r="DW71" s="1579"/>
      <c r="DX71" s="1579"/>
      <c r="DY71" s="1579"/>
      <c r="DZ71" s="1579"/>
      <c r="EA71" s="1579"/>
      <c r="EB71" s="1579"/>
      <c r="EC71" s="1579"/>
      <c r="ED71" s="1579"/>
      <c r="EE71" s="1579"/>
      <c r="EF71" s="1579"/>
      <c r="EG71" s="1579"/>
      <c r="EH71" s="1579"/>
      <c r="EI71" s="1579"/>
      <c r="EJ71" s="1579"/>
      <c r="EK71" s="1579"/>
      <c r="EL71" s="1579"/>
      <c r="EM71" s="1579"/>
      <c r="EN71" s="1579"/>
      <c r="EO71" s="1579"/>
      <c r="EP71" s="1579"/>
      <c r="EQ71" s="1579"/>
      <c r="ER71" s="1579"/>
      <c r="ES71" s="1579"/>
      <c r="ET71" s="1579"/>
      <c r="EU71" s="1579"/>
      <c r="EV71" s="1579"/>
      <c r="EW71" s="1579"/>
      <c r="EX71" s="1579"/>
      <c r="EY71" s="1579"/>
      <c r="EZ71" s="1579"/>
      <c r="FA71" s="1579"/>
      <c r="FB71" s="1579"/>
      <c r="FC71" s="1579"/>
      <c r="FD71" s="1579"/>
      <c r="FE71" s="1579"/>
      <c r="FF71" s="1579"/>
      <c r="FG71" s="1579"/>
      <c r="FH71" s="1579"/>
      <c r="FI71" s="1579"/>
      <c r="FJ71" s="1579"/>
      <c r="FK71" s="1579"/>
      <c r="FL71" s="1579"/>
      <c r="FM71" s="1579"/>
      <c r="FN71" s="1579"/>
      <c r="FO71" s="1579"/>
      <c r="FP71" s="1579"/>
      <c r="FQ71" s="1579"/>
      <c r="FR71" s="1579"/>
      <c r="FS71" s="1579"/>
      <c r="FT71" s="1579"/>
      <c r="FU71" s="1579"/>
      <c r="FV71" s="1579"/>
    </row>
    <row r="72" spans="1:178" s="1411" customFormat="1" ht="14.4" customHeight="1" outlineLevel="2" thickBot="1" x14ac:dyDescent="0.3">
      <c r="A72" s="1586"/>
      <c r="B72" s="3199"/>
      <c r="C72" s="2836"/>
      <c r="D72" s="2837"/>
      <c r="E72" s="3200"/>
      <c r="F72" s="2835" t="e">
        <f t="shared" si="162"/>
        <v>#DIV/0!</v>
      </c>
      <c r="G72" s="1996"/>
      <c r="H72" s="2045"/>
      <c r="I72" s="3124"/>
      <c r="J72" s="3201"/>
      <c r="K72" s="2838"/>
      <c r="L72" s="2838"/>
      <c r="M72" s="1996"/>
      <c r="N72" s="2045"/>
      <c r="O72" s="3124"/>
      <c r="P72" s="3201"/>
      <c r="Q72" s="2838"/>
      <c r="R72" s="1756"/>
      <c r="S72" s="2044"/>
      <c r="T72" s="3125"/>
      <c r="U72" s="2835"/>
      <c r="V72" s="2838"/>
      <c r="W72" s="2045"/>
      <c r="X72" s="2043"/>
      <c r="Y72" s="3125"/>
      <c r="Z72" s="2835"/>
      <c r="AA72" s="2838"/>
      <c r="AB72" s="1838"/>
      <c r="AC72" s="2058"/>
      <c r="AD72" s="3126"/>
      <c r="AE72" s="3202"/>
      <c r="AF72" s="3203"/>
      <c r="AG72" s="2045"/>
      <c r="AH72" s="2043"/>
      <c r="AI72" s="3125"/>
      <c r="AJ72" s="2835"/>
      <c r="AK72" s="2838"/>
      <c r="AL72" s="2045"/>
      <c r="AM72" s="2043"/>
      <c r="AN72" s="3125"/>
      <c r="AO72" s="2835">
        <f t="shared" si="124"/>
        <v>0</v>
      </c>
      <c r="AP72" s="2838"/>
      <c r="AQ72" s="2045"/>
      <c r="AR72" s="2043"/>
      <c r="AS72" s="3125"/>
      <c r="AT72" s="2835"/>
      <c r="AU72" s="2838"/>
      <c r="AV72" s="2045"/>
      <c r="AW72" s="2043"/>
      <c r="AX72" s="3125"/>
      <c r="AY72" s="2835"/>
      <c r="AZ72" s="2838"/>
      <c r="BA72" s="2045"/>
      <c r="BB72" s="2043"/>
      <c r="BC72" s="3125"/>
      <c r="BD72" s="2835"/>
      <c r="BE72" s="2838"/>
      <c r="BF72" s="2045"/>
      <c r="BG72" s="2043"/>
      <c r="BH72" s="3125"/>
      <c r="BI72" s="2835"/>
      <c r="BJ72" s="2838"/>
      <c r="BK72" s="2045"/>
      <c r="BL72" s="2043"/>
      <c r="BM72" s="3125"/>
      <c r="BN72" s="2835"/>
      <c r="BO72" s="2838"/>
      <c r="BP72" s="2045"/>
      <c r="BQ72" s="2043"/>
      <c r="BR72" s="3125"/>
      <c r="BS72" s="2835"/>
      <c r="BT72" s="2838"/>
      <c r="BU72" s="2045"/>
      <c r="BV72" s="2043"/>
      <c r="BW72" s="3125"/>
      <c r="BX72" s="2835"/>
      <c r="BY72" s="2838"/>
      <c r="BZ72" s="2045"/>
      <c r="CA72" s="2043"/>
      <c r="CB72" s="3125"/>
      <c r="CC72" s="2835"/>
      <c r="CD72" s="2838"/>
      <c r="CE72" s="2045"/>
      <c r="CF72" s="2043"/>
      <c r="CG72" s="3125"/>
      <c r="CH72" s="2835"/>
      <c r="CI72" s="2838"/>
      <c r="CJ72" s="2045"/>
      <c r="CK72" s="2043"/>
      <c r="CL72" s="3125"/>
      <c r="CM72" s="2835"/>
      <c r="CN72" s="2838"/>
      <c r="CO72" s="2043"/>
      <c r="CP72" s="2043"/>
      <c r="CQ72" s="3125"/>
      <c r="CR72" s="2835">
        <f>CQ72/$CQ$89</f>
        <v>0</v>
      </c>
      <c r="CS72" s="2839"/>
      <c r="CT72" s="919"/>
      <c r="CU72" s="1579"/>
      <c r="CV72" s="1579"/>
      <c r="CW72" s="1579"/>
      <c r="CX72" s="1579"/>
      <c r="CY72" s="1579"/>
      <c r="CZ72" s="1579"/>
      <c r="DA72" s="1579"/>
      <c r="DB72" s="1579"/>
      <c r="DC72" s="1579"/>
      <c r="DD72" s="1579"/>
      <c r="DE72" s="1579"/>
      <c r="DF72" s="1579"/>
      <c r="DG72" s="1579"/>
      <c r="DH72" s="1579"/>
      <c r="DI72" s="1579"/>
      <c r="DJ72" s="1579"/>
      <c r="DK72" s="1579"/>
      <c r="DL72" s="1579"/>
      <c r="DM72" s="1579"/>
      <c r="DN72" s="1579"/>
      <c r="DO72" s="1579"/>
      <c r="DP72" s="1579"/>
      <c r="DQ72" s="1579"/>
      <c r="DR72" s="1579"/>
      <c r="DS72" s="1579"/>
      <c r="DT72" s="1579"/>
      <c r="DU72" s="1579"/>
      <c r="DV72" s="1579"/>
      <c r="DW72" s="1579"/>
      <c r="DX72" s="1579"/>
      <c r="DY72" s="1579"/>
      <c r="DZ72" s="1579"/>
      <c r="EA72" s="1579"/>
      <c r="EB72" s="1579"/>
      <c r="EC72" s="1579"/>
      <c r="ED72" s="1579"/>
      <c r="EE72" s="1579"/>
      <c r="EF72" s="1579"/>
      <c r="EG72" s="1579"/>
      <c r="EH72" s="1579"/>
      <c r="EI72" s="1579"/>
      <c r="EJ72" s="1579"/>
      <c r="EK72" s="1579"/>
      <c r="EL72" s="1579"/>
      <c r="EM72" s="1579"/>
      <c r="EN72" s="1579"/>
      <c r="EO72" s="1579"/>
      <c r="EP72" s="1579"/>
      <c r="EQ72" s="1579"/>
      <c r="ER72" s="1579"/>
      <c r="ES72" s="1579"/>
      <c r="ET72" s="1579"/>
      <c r="EU72" s="1579"/>
      <c r="EV72" s="1579"/>
      <c r="EW72" s="1579"/>
      <c r="EX72" s="1579"/>
      <c r="EY72" s="1579"/>
      <c r="EZ72" s="1579"/>
      <c r="FA72" s="1579"/>
      <c r="FB72" s="1579"/>
      <c r="FC72" s="1579"/>
      <c r="FD72" s="1579"/>
      <c r="FE72" s="1579"/>
      <c r="FF72" s="1579"/>
      <c r="FG72" s="1579"/>
      <c r="FH72" s="1579"/>
      <c r="FI72" s="1579"/>
      <c r="FJ72" s="1579"/>
      <c r="FK72" s="1579"/>
      <c r="FL72" s="1579"/>
      <c r="FM72" s="1579"/>
      <c r="FN72" s="1579"/>
      <c r="FO72" s="1579"/>
      <c r="FP72" s="1579"/>
      <c r="FQ72" s="1579"/>
      <c r="FR72" s="1579"/>
      <c r="FS72" s="1579"/>
      <c r="FT72" s="1579"/>
      <c r="FU72" s="1579"/>
      <c r="FV72" s="1579"/>
    </row>
    <row r="73" spans="1:178" s="1411" customFormat="1" ht="14.4" customHeight="1" outlineLevel="1" thickBot="1" x14ac:dyDescent="0.3">
      <c r="A73" s="1586"/>
      <c r="B73" s="996" t="s">
        <v>4</v>
      </c>
      <c r="C73" s="1599">
        <f>C74</f>
        <v>0</v>
      </c>
      <c r="D73" s="843">
        <f>D74</f>
        <v>0</v>
      </c>
      <c r="E73" s="1599">
        <f>E74</f>
        <v>0</v>
      </c>
      <c r="F73" s="838" t="e">
        <f>E73/$E$89</f>
        <v>#DIV/0!</v>
      </c>
      <c r="G73" s="1599">
        <f>G74</f>
        <v>0</v>
      </c>
      <c r="H73" s="843">
        <f>H74</f>
        <v>0</v>
      </c>
      <c r="I73" s="1987">
        <f>I74</f>
        <v>0</v>
      </c>
      <c r="J73" s="1986">
        <f>I73/$BC$89</f>
        <v>0</v>
      </c>
      <c r="K73" s="1747"/>
      <c r="L73" s="1747"/>
      <c r="M73" s="1599">
        <f>M74</f>
        <v>0</v>
      </c>
      <c r="N73" s="843">
        <f>N74</f>
        <v>0</v>
      </c>
      <c r="O73" s="1987">
        <f>O74</f>
        <v>0</v>
      </c>
      <c r="P73" s="1986">
        <f>O73/$AS$89</f>
        <v>0</v>
      </c>
      <c r="Q73" s="1747"/>
      <c r="R73" s="1599">
        <f>R74</f>
        <v>0</v>
      </c>
      <c r="S73" s="1599">
        <f>S74</f>
        <v>0</v>
      </c>
      <c r="T73" s="1703">
        <f>T74</f>
        <v>0</v>
      </c>
      <c r="U73" s="1704">
        <f>T73/$AS$89</f>
        <v>0</v>
      </c>
      <c r="V73" s="1747"/>
      <c r="W73" s="1599">
        <f>W74</f>
        <v>0</v>
      </c>
      <c r="X73" s="1599">
        <f>X74</f>
        <v>0</v>
      </c>
      <c r="Y73" s="1703">
        <f>Y74</f>
        <v>0</v>
      </c>
      <c r="Z73" s="1704">
        <f>Y73/$AS$89</f>
        <v>0</v>
      </c>
      <c r="AA73" s="1747"/>
      <c r="AB73" s="1815">
        <f>AB74</f>
        <v>0</v>
      </c>
      <c r="AC73" s="1815">
        <f>AC74</f>
        <v>0</v>
      </c>
      <c r="AD73" s="1816">
        <f>AD74</f>
        <v>0</v>
      </c>
      <c r="AE73" s="1817">
        <f>AD73/$AS$89</f>
        <v>0</v>
      </c>
      <c r="AF73" s="1818"/>
      <c r="AG73" s="1599">
        <f>AG74</f>
        <v>0</v>
      </c>
      <c r="AH73" s="1599">
        <f>AH74</f>
        <v>0</v>
      </c>
      <c r="AI73" s="1703">
        <f>AI74</f>
        <v>0</v>
      </c>
      <c r="AJ73" s="1704">
        <f>AI73/$AS$89</f>
        <v>0</v>
      </c>
      <c r="AK73" s="1747"/>
      <c r="AL73" s="1599">
        <f>AL74</f>
        <v>0</v>
      </c>
      <c r="AM73" s="1599">
        <f>AM74</f>
        <v>0</v>
      </c>
      <c r="AN73" s="1703">
        <f>AN74</f>
        <v>0</v>
      </c>
      <c r="AO73" s="1704"/>
      <c r="AP73" s="1747"/>
      <c r="AQ73" s="1599">
        <f>AQ74</f>
        <v>0</v>
      </c>
      <c r="AR73" s="1599">
        <f>AR74</f>
        <v>0</v>
      </c>
      <c r="AS73" s="1703">
        <f>AS74</f>
        <v>0</v>
      </c>
      <c r="AT73" s="1704">
        <f>AS73/$AS$89</f>
        <v>0</v>
      </c>
      <c r="AU73" s="1747"/>
      <c r="AV73" s="1599">
        <f>AV74</f>
        <v>0</v>
      </c>
      <c r="AW73" s="1599">
        <f>AW74</f>
        <v>0</v>
      </c>
      <c r="AX73" s="1703">
        <f>AX74</f>
        <v>0</v>
      </c>
      <c r="AY73" s="1704"/>
      <c r="AZ73" s="1747"/>
      <c r="BA73" s="1599">
        <f>BA74</f>
        <v>0</v>
      </c>
      <c r="BB73" s="1599">
        <f>BB74</f>
        <v>0</v>
      </c>
      <c r="BC73" s="1703">
        <f>BC74</f>
        <v>0</v>
      </c>
      <c r="BD73" s="1704">
        <f>BC73/$BC$89</f>
        <v>0</v>
      </c>
      <c r="BE73" s="1747"/>
      <c r="BF73" s="1599">
        <f>BF74</f>
        <v>0</v>
      </c>
      <c r="BG73" s="1599">
        <f>BG74</f>
        <v>0</v>
      </c>
      <c r="BH73" s="1703">
        <f>BH74</f>
        <v>0</v>
      </c>
      <c r="BI73" s="1704">
        <f>BH73/$BC$89</f>
        <v>0</v>
      </c>
      <c r="BJ73" s="1747"/>
      <c r="BK73" s="1599">
        <f>BK74</f>
        <v>0</v>
      </c>
      <c r="BL73" s="1599">
        <f>BL74</f>
        <v>0</v>
      </c>
      <c r="BM73" s="1703">
        <f>BM74</f>
        <v>0</v>
      </c>
      <c r="BN73" s="1704">
        <f t="shared" ref="BN73:BN74" si="176">BM73/BM$89</f>
        <v>0</v>
      </c>
      <c r="BO73" s="1747"/>
      <c r="BP73" s="1599">
        <f>BP74</f>
        <v>0</v>
      </c>
      <c r="BQ73" s="1599">
        <f>BQ74</f>
        <v>0</v>
      </c>
      <c r="BR73" s="1703">
        <f>BR74</f>
        <v>0</v>
      </c>
      <c r="BS73" s="1704">
        <f t="shared" ref="BS73:BS74" si="177">BR73/BR$89</f>
        <v>0</v>
      </c>
      <c r="BT73" s="1747"/>
      <c r="BU73" s="1599">
        <f>BU74</f>
        <v>0</v>
      </c>
      <c r="BV73" s="1599">
        <f>BV74</f>
        <v>0</v>
      </c>
      <c r="BW73" s="1703">
        <f>BW74</f>
        <v>0</v>
      </c>
      <c r="BX73" s="1704">
        <f t="shared" ref="BX73:BX74" si="178">BW73/BW$89</f>
        <v>0</v>
      </c>
      <c r="BY73" s="1747"/>
      <c r="BZ73" s="1599">
        <f>BZ74</f>
        <v>0</v>
      </c>
      <c r="CA73" s="1599">
        <f>CA74</f>
        <v>0</v>
      </c>
      <c r="CB73" s="1703">
        <f>CB74</f>
        <v>0</v>
      </c>
      <c r="CC73" s="1704">
        <f t="shared" ref="CC73:CC74" si="179">CB73/CB$89</f>
        <v>0</v>
      </c>
      <c r="CD73" s="1747"/>
      <c r="CE73" s="1599">
        <f>CE74</f>
        <v>0</v>
      </c>
      <c r="CF73" s="1599">
        <f>CF74</f>
        <v>0</v>
      </c>
      <c r="CG73" s="1703">
        <f>CG74</f>
        <v>0</v>
      </c>
      <c r="CH73" s="1704">
        <f t="shared" ref="CH73:CH74" si="180">CG73/CG$89</f>
        <v>0</v>
      </c>
      <c r="CI73" s="1747"/>
      <c r="CJ73" s="1599">
        <f>CJ74</f>
        <v>0</v>
      </c>
      <c r="CK73" s="1599">
        <f>CK74</f>
        <v>0</v>
      </c>
      <c r="CL73" s="1703">
        <f>CL74</f>
        <v>0</v>
      </c>
      <c r="CM73" s="1704">
        <f t="shared" ref="CM73:CM74" si="181">CL73/CL$89</f>
        <v>0</v>
      </c>
      <c r="CN73" s="1747"/>
      <c r="CO73" s="1599">
        <f>CO74</f>
        <v>0</v>
      </c>
      <c r="CP73" s="1704">
        <f>CP74</f>
        <v>0</v>
      </c>
      <c r="CQ73" s="1703">
        <f>CQ74</f>
        <v>0</v>
      </c>
      <c r="CR73" s="1704"/>
      <c r="CS73" s="1704"/>
      <c r="CT73" s="919"/>
      <c r="CU73" s="1579"/>
      <c r="CV73" s="1579"/>
      <c r="CW73" s="1579"/>
      <c r="CX73" s="1579"/>
      <c r="CY73" s="1579"/>
      <c r="CZ73" s="1579"/>
      <c r="DA73" s="1579"/>
      <c r="DB73" s="1579"/>
      <c r="DC73" s="1579"/>
      <c r="DD73" s="1579"/>
      <c r="DE73" s="1579"/>
      <c r="DF73" s="1579"/>
      <c r="DG73" s="1579"/>
      <c r="DH73" s="1579"/>
      <c r="DI73" s="1579"/>
      <c r="DJ73" s="1579"/>
      <c r="DK73" s="1579"/>
      <c r="DL73" s="1579"/>
      <c r="DM73" s="1579"/>
      <c r="DN73" s="1579"/>
      <c r="DO73" s="1579"/>
      <c r="DP73" s="1579"/>
      <c r="DQ73" s="1579"/>
      <c r="DR73" s="1579"/>
      <c r="DS73" s="1579"/>
      <c r="DT73" s="1579"/>
      <c r="DU73" s="1579"/>
      <c r="DV73" s="1579"/>
      <c r="DW73" s="1579"/>
      <c r="DX73" s="1579"/>
      <c r="DY73" s="1579"/>
      <c r="DZ73" s="1579"/>
      <c r="EA73" s="1579"/>
      <c r="EB73" s="1579"/>
      <c r="EC73" s="1579"/>
      <c r="ED73" s="1579"/>
      <c r="EE73" s="1579"/>
      <c r="EF73" s="1579"/>
      <c r="EG73" s="1579"/>
      <c r="EH73" s="1579"/>
      <c r="EI73" s="1579"/>
      <c r="EJ73" s="1579"/>
      <c r="EK73" s="1579"/>
      <c r="EL73" s="1579"/>
      <c r="EM73" s="1579"/>
      <c r="EN73" s="1579"/>
      <c r="EO73" s="1579"/>
      <c r="EP73" s="1579"/>
      <c r="EQ73" s="1579"/>
      <c r="ER73" s="1579"/>
      <c r="ES73" s="1579"/>
      <c r="ET73" s="1579"/>
      <c r="EU73" s="1579"/>
      <c r="EV73" s="1579"/>
      <c r="EW73" s="1579"/>
      <c r="EX73" s="1579"/>
      <c r="EY73" s="1579"/>
      <c r="EZ73" s="1579"/>
      <c r="FA73" s="1579"/>
      <c r="FB73" s="1579"/>
      <c r="FC73" s="1579"/>
      <c r="FD73" s="1579"/>
      <c r="FE73" s="1579"/>
      <c r="FF73" s="1579"/>
      <c r="FG73" s="1579"/>
      <c r="FH73" s="1579"/>
      <c r="FI73" s="1579"/>
      <c r="FJ73" s="1579"/>
      <c r="FK73" s="1579"/>
      <c r="FL73" s="1579"/>
      <c r="FM73" s="1579"/>
      <c r="FN73" s="1579"/>
      <c r="FO73" s="1579"/>
      <c r="FP73" s="1579"/>
      <c r="FQ73" s="1579"/>
      <c r="FR73" s="1579"/>
      <c r="FS73" s="1579"/>
      <c r="FT73" s="1579"/>
      <c r="FU73" s="1579"/>
      <c r="FV73" s="1579"/>
    </row>
    <row r="74" spans="1:178" s="1411" customFormat="1" ht="14.4" customHeight="1" outlineLevel="1" thickBot="1" x14ac:dyDescent="0.3">
      <c r="A74" s="1428"/>
      <c r="B74" s="995" t="s">
        <v>64</v>
      </c>
      <c r="C74" s="304"/>
      <c r="D74" s="305"/>
      <c r="E74" s="306">
        <f>C74+D74</f>
        <v>0</v>
      </c>
      <c r="F74" s="307"/>
      <c r="G74" s="2003">
        <v>0</v>
      </c>
      <c r="H74" s="2044">
        <v>0</v>
      </c>
      <c r="I74" s="3127">
        <f>G74+H74*1</f>
        <v>0</v>
      </c>
      <c r="J74" s="1988">
        <f>I74/$BC$89</f>
        <v>0</v>
      </c>
      <c r="K74" s="1690"/>
      <c r="L74" s="1690"/>
      <c r="M74" s="2003"/>
      <c r="N74" s="2044"/>
      <c r="O74" s="3127">
        <f>M74+N74*1</f>
        <v>0</v>
      </c>
      <c r="P74" s="1988">
        <f>O74/$AS$89</f>
        <v>0</v>
      </c>
      <c r="Q74" s="1690"/>
      <c r="R74" s="2044"/>
      <c r="S74" s="2041"/>
      <c r="T74" s="3111">
        <f>R74+S74*1</f>
        <v>0</v>
      </c>
      <c r="U74" s="1679">
        <f>T74/$AS$89</f>
        <v>0</v>
      </c>
      <c r="V74" s="1690"/>
      <c r="W74" s="2044"/>
      <c r="X74" s="2041"/>
      <c r="Y74" s="3111">
        <f>W74+X74*1</f>
        <v>0</v>
      </c>
      <c r="Z74" s="1679">
        <f>Y74/$AS$89</f>
        <v>0</v>
      </c>
      <c r="AA74" s="1690"/>
      <c r="AB74" s="1793"/>
      <c r="AC74" s="2048"/>
      <c r="AD74" s="3128">
        <f>AB74+AC74*1</f>
        <v>0</v>
      </c>
      <c r="AE74" s="1842">
        <f>AD74/$AS$89</f>
        <v>0</v>
      </c>
      <c r="AF74" s="1843"/>
      <c r="AG74" s="2044"/>
      <c r="AH74" s="2041"/>
      <c r="AI74" s="3111">
        <f>AG74+AH74*1</f>
        <v>0</v>
      </c>
      <c r="AJ74" s="1679">
        <f>AI74/$AS$89</f>
        <v>0</v>
      </c>
      <c r="AK74" s="1690"/>
      <c r="AL74" s="2044"/>
      <c r="AM74" s="2041"/>
      <c r="AN74" s="3111">
        <f>AL74+AM74*1</f>
        <v>0</v>
      </c>
      <c r="AO74" s="1679"/>
      <c r="AP74" s="1690"/>
      <c r="AQ74" s="2044"/>
      <c r="AR74" s="2041"/>
      <c r="AS74" s="3111">
        <f>AQ74+AR74*1</f>
        <v>0</v>
      </c>
      <c r="AT74" s="1679">
        <f>AS74/$AS$89</f>
        <v>0</v>
      </c>
      <c r="AU74" s="1690"/>
      <c r="AV74" s="2044"/>
      <c r="AW74" s="2041"/>
      <c r="AX74" s="3111">
        <f>AV74+AW74*1</f>
        <v>0</v>
      </c>
      <c r="AY74" s="1679">
        <f>AX74/$AX$89</f>
        <v>0</v>
      </c>
      <c r="AZ74" s="1690"/>
      <c r="BA74" s="2044"/>
      <c r="BB74" s="2041"/>
      <c r="BC74" s="3111">
        <f>BA74+BB74*1</f>
        <v>0</v>
      </c>
      <c r="BD74" s="1679">
        <f>BC74/$BC$89</f>
        <v>0</v>
      </c>
      <c r="BE74" s="1690"/>
      <c r="BF74" s="2044"/>
      <c r="BG74" s="2041"/>
      <c r="BH74" s="3111">
        <f>BF74+BG74*1</f>
        <v>0</v>
      </c>
      <c r="BI74" s="1679">
        <f>BH74/$BC$89</f>
        <v>0</v>
      </c>
      <c r="BJ74" s="1690"/>
      <c r="BK74" s="2044"/>
      <c r="BL74" s="2041"/>
      <c r="BM74" s="3111">
        <f>BK74+BL74*1</f>
        <v>0</v>
      </c>
      <c r="BN74" s="1679">
        <f t="shared" si="176"/>
        <v>0</v>
      </c>
      <c r="BO74" s="1690"/>
      <c r="BP74" s="2044"/>
      <c r="BQ74" s="2041"/>
      <c r="BR74" s="3111">
        <f>BP74+BQ74*1</f>
        <v>0</v>
      </c>
      <c r="BS74" s="1679">
        <f t="shared" si="177"/>
        <v>0</v>
      </c>
      <c r="BT74" s="1690"/>
      <c r="BU74" s="2044"/>
      <c r="BV74" s="2041"/>
      <c r="BW74" s="3111">
        <f>BU74+BV74*1</f>
        <v>0</v>
      </c>
      <c r="BX74" s="1679">
        <f t="shared" si="178"/>
        <v>0</v>
      </c>
      <c r="BY74" s="1690"/>
      <c r="BZ74" s="2044"/>
      <c r="CA74" s="2041"/>
      <c r="CB74" s="3111">
        <f>BZ74+CA74*1</f>
        <v>0</v>
      </c>
      <c r="CC74" s="1679">
        <f t="shared" si="179"/>
        <v>0</v>
      </c>
      <c r="CD74" s="1690"/>
      <c r="CE74" s="2044"/>
      <c r="CF74" s="2041"/>
      <c r="CG74" s="3111">
        <f>CE74+CF74*1</f>
        <v>0</v>
      </c>
      <c r="CH74" s="1679">
        <f t="shared" si="180"/>
        <v>0</v>
      </c>
      <c r="CI74" s="1690"/>
      <c r="CJ74" s="2044"/>
      <c r="CK74" s="2041"/>
      <c r="CL74" s="3111">
        <f>CJ74+CK74*1</f>
        <v>0</v>
      </c>
      <c r="CM74" s="1679">
        <f t="shared" si="181"/>
        <v>0</v>
      </c>
      <c r="CN74" s="1690"/>
      <c r="CO74" s="2059">
        <f>M74+R74+W74+AB74+AG74+AL74+AQ74+AV74+BA74+BF74+BK74+BP74+BU74+BZ74+CE74+CJ74</f>
        <v>0</v>
      </c>
      <c r="CP74" s="2059">
        <f>N74+S74+X74+AC74+AH74+AM74+AR74+AW74+BB74+BG74+BL74+BQ74+BV74+CA74+CF74+CK74</f>
        <v>0</v>
      </c>
      <c r="CQ74" s="3111">
        <f>CO74+CP74*1</f>
        <v>0</v>
      </c>
      <c r="CR74" s="1679">
        <f>CQ74/$CQ$89</f>
        <v>0</v>
      </c>
      <c r="CS74" s="1663"/>
      <c r="CT74" s="919"/>
      <c r="CU74" s="1579"/>
      <c r="CV74" s="1579"/>
      <c r="CW74" s="1579"/>
      <c r="CX74" s="1579"/>
      <c r="CY74" s="1579"/>
      <c r="CZ74" s="1579"/>
      <c r="DA74" s="1579"/>
      <c r="DB74" s="1579"/>
      <c r="DC74" s="1579"/>
      <c r="DD74" s="1579"/>
      <c r="DE74" s="1579"/>
      <c r="DF74" s="1579"/>
      <c r="DG74" s="1579"/>
      <c r="DH74" s="1579"/>
      <c r="DI74" s="1579"/>
      <c r="DJ74" s="1579"/>
      <c r="DK74" s="1579"/>
      <c r="DL74" s="1579"/>
      <c r="DM74" s="1579"/>
      <c r="DN74" s="1579"/>
      <c r="DO74" s="1579"/>
      <c r="DP74" s="1579"/>
      <c r="DQ74" s="1579"/>
      <c r="DR74" s="1579"/>
      <c r="DS74" s="1579"/>
      <c r="DT74" s="1579"/>
      <c r="DU74" s="1579"/>
      <c r="DV74" s="1579"/>
      <c r="DW74" s="1579"/>
      <c r="DX74" s="1579"/>
      <c r="DY74" s="1579"/>
      <c r="DZ74" s="1579"/>
      <c r="EA74" s="1579"/>
      <c r="EB74" s="1579"/>
      <c r="EC74" s="1579"/>
      <c r="ED74" s="1579"/>
      <c r="EE74" s="1579"/>
      <c r="EF74" s="1579"/>
      <c r="EG74" s="1579"/>
      <c r="EH74" s="1579"/>
      <c r="EI74" s="1579"/>
      <c r="EJ74" s="1579"/>
      <c r="EK74" s="1579"/>
      <c r="EL74" s="1579"/>
      <c r="EM74" s="1579"/>
      <c r="EN74" s="1579"/>
      <c r="EO74" s="1579"/>
      <c r="EP74" s="1579"/>
      <c r="EQ74" s="1579"/>
      <c r="ER74" s="1579"/>
      <c r="ES74" s="1579"/>
      <c r="ET74" s="1579"/>
      <c r="EU74" s="1579"/>
      <c r="EV74" s="1579"/>
      <c r="EW74" s="1579"/>
      <c r="EX74" s="1579"/>
      <c r="EY74" s="1579"/>
      <c r="EZ74" s="1579"/>
      <c r="FA74" s="1579"/>
      <c r="FB74" s="1579"/>
      <c r="FC74" s="1579"/>
      <c r="FD74" s="1579"/>
      <c r="FE74" s="1579"/>
      <c r="FF74" s="1579"/>
      <c r="FG74" s="1579"/>
      <c r="FH74" s="1579"/>
      <c r="FI74" s="1579"/>
      <c r="FJ74" s="1579"/>
      <c r="FK74" s="1579"/>
      <c r="FL74" s="1579"/>
      <c r="FM74" s="1579"/>
      <c r="FN74" s="1579"/>
      <c r="FO74" s="1579"/>
      <c r="FP74" s="1579"/>
      <c r="FQ74" s="1579"/>
      <c r="FR74" s="1579"/>
      <c r="FS74" s="1579"/>
      <c r="FT74" s="1579"/>
      <c r="FU74" s="1579"/>
      <c r="FV74" s="1579"/>
    </row>
    <row r="75" spans="1:178" s="1411" customFormat="1" ht="14.4" customHeight="1" thickBot="1" x14ac:dyDescent="0.3">
      <c r="A75" s="1414"/>
      <c r="B75" s="981" t="s">
        <v>48</v>
      </c>
      <c r="C75" s="1974">
        <f>C38-C41-C50-C54</f>
        <v>116246095.55673152</v>
      </c>
      <c r="D75" s="1974">
        <f>D38-D41-D50-D54</f>
        <v>0</v>
      </c>
      <c r="E75" s="1523">
        <f>E38-E41-E50-E54</f>
        <v>116246095.55673152</v>
      </c>
      <c r="F75" s="1551"/>
      <c r="G75" s="1465">
        <f>G38-G41-G50-G54</f>
        <v>22701516.403999995</v>
      </c>
      <c r="H75" s="1969">
        <f>H38-H41-H50-H54</f>
        <v>-4835157.6499999994</v>
      </c>
      <c r="I75" s="1974">
        <f>I38-I41-I50-I54</f>
        <v>17866358.753999982</v>
      </c>
      <c r="J75" s="1969"/>
      <c r="K75" s="1675"/>
      <c r="L75" s="1675"/>
      <c r="M75" s="1465">
        <f>M38-M41-M50-M54</f>
        <v>-914734.65200000012</v>
      </c>
      <c r="N75" s="1969">
        <f>N38-N41-N50-N54</f>
        <v>-308420.05</v>
      </c>
      <c r="O75" s="1974">
        <f>O38-O41-O50-O54</f>
        <v>-1222154.67</v>
      </c>
      <c r="P75" s="1969"/>
      <c r="Q75" s="1675"/>
      <c r="R75" s="1465">
        <f>R38-R41-R50-R54</f>
        <v>3846186.7879999997</v>
      </c>
      <c r="S75" s="1465">
        <f>S38-S41-S50-S54</f>
        <v>-706865.95000000007</v>
      </c>
      <c r="T75" s="1523">
        <f>T38-T41-T50-T54</f>
        <v>3117389.2960000001</v>
      </c>
      <c r="U75" s="1969"/>
      <c r="V75" s="1675"/>
      <c r="W75" s="1465">
        <f>W38-W41-W50-W54</f>
        <v>4727996.5</v>
      </c>
      <c r="X75" s="1465">
        <f>X38-X41-X50-X54</f>
        <v>-1039892.33</v>
      </c>
      <c r="Y75" s="1523">
        <f>Y38-Y41-Y50-Y54</f>
        <v>3350246.5020000013</v>
      </c>
      <c r="Z75" s="1969"/>
      <c r="AA75" s="1675"/>
      <c r="AB75" s="1819">
        <f>AB38-AB41-AB50-AB54</f>
        <v>8857687.0739999972</v>
      </c>
      <c r="AC75" s="1819">
        <f>AC38-AC41-AC50-AC54</f>
        <v>-1191560.0599999998</v>
      </c>
      <c r="AD75" s="1820">
        <f>AD38-AD41-AD50-AD54</f>
        <v>3020570.8720000014</v>
      </c>
      <c r="AE75" s="1821"/>
      <c r="AF75" s="1822"/>
      <c r="AG75" s="1465">
        <f>AG38-AG41-AG50-AG54</f>
        <v>10529120.508000001</v>
      </c>
      <c r="AH75" s="1465">
        <f>AH38-AH41-AH50-AH54</f>
        <v>-1641104.1999999997</v>
      </c>
      <c r="AI75" s="1523">
        <f>AI38-AI41-AI50-AI54</f>
        <v>8888016.3080000021</v>
      </c>
      <c r="AJ75" s="1969"/>
      <c r="AK75" s="1675"/>
      <c r="AL75" s="1465">
        <f>AL38-AL41-AL50-AL54</f>
        <v>4949554.9160000011</v>
      </c>
      <c r="AM75" s="1465">
        <f>AM38-AM41-AM50-AM54</f>
        <v>-1157142.7999999998</v>
      </c>
      <c r="AN75" s="1523">
        <f>AN38-AN41-AN50-AN54</f>
        <v>3792412.1160000004</v>
      </c>
      <c r="AO75" s="1969"/>
      <c r="AP75" s="1675"/>
      <c r="AQ75" s="1465">
        <f>AQ38-AQ41-AQ50-AQ54</f>
        <v>3005834.2279999987</v>
      </c>
      <c r="AR75" s="1465">
        <f>AR38-AR41-AR50-AR54</f>
        <v>-796299.77</v>
      </c>
      <c r="AS75" s="1523">
        <f>AS38-AS41-AS50-AS54</f>
        <v>2209534.4579999978</v>
      </c>
      <c r="AT75" s="1969"/>
      <c r="AU75" s="1675"/>
      <c r="AV75" s="1465">
        <f>AV38-AV41-AV50-AV54</f>
        <v>443297.9939999996</v>
      </c>
      <c r="AW75" s="1465">
        <f>AW38-AW41-AW50-AW54</f>
        <v>-661342.47999999986</v>
      </c>
      <c r="AX75" s="1523">
        <f>AX38-AX41-AX50-AX54</f>
        <v>-218044.48600000021</v>
      </c>
      <c r="AY75" s="1969"/>
      <c r="AZ75" s="1675"/>
      <c r="BA75" s="1465">
        <f>BA38-BA41-BA50-BA54</f>
        <v>931504.798000001</v>
      </c>
      <c r="BB75" s="1465">
        <f>BB38-BB41-BB50-BB54</f>
        <v>-945025.64000000013</v>
      </c>
      <c r="BC75" s="1523">
        <f>BC38-BC41-BC50-BC54</f>
        <v>-13520.841999998825</v>
      </c>
      <c r="BD75" s="1969"/>
      <c r="BE75" s="1675"/>
      <c r="BF75" s="1465">
        <f>BF38-BF41-BF50-BF54</f>
        <v>4264127.04</v>
      </c>
      <c r="BG75" s="1465">
        <f>BG38-BG41-BG50-BG54</f>
        <v>-664421.61</v>
      </c>
      <c r="BH75" s="1523">
        <f>BH38-BH41-BH50-BH54</f>
        <v>3599705.43</v>
      </c>
      <c r="BI75" s="1969"/>
      <c r="BJ75" s="1675"/>
      <c r="BK75" s="1465">
        <f>BK38-BK41-BK50-BK54</f>
        <v>5845367.8359999983</v>
      </c>
      <c r="BL75" s="1465">
        <f>BL38-BL41-BL50-BL54</f>
        <v>-1224601.43</v>
      </c>
      <c r="BM75" s="1523">
        <f>BM38-BM41-BM50-BM54</f>
        <v>4620766.4059999986</v>
      </c>
      <c r="BN75" s="1969"/>
      <c r="BO75" s="1675"/>
      <c r="BP75" s="1465">
        <f>BP38-BP41-BP50-BP54</f>
        <v>61090.574000000037</v>
      </c>
      <c r="BQ75" s="1465">
        <f>BQ38-BQ41-BQ50-BQ54</f>
        <v>-697030.29999999993</v>
      </c>
      <c r="BR75" s="1523">
        <f>BR38-BR41-BR50-BR54</f>
        <v>-635939.72600000002</v>
      </c>
      <c r="BS75" s="1969"/>
      <c r="BT75" s="1675"/>
      <c r="BU75" s="1465">
        <f>BU38-BU41-BU50-BU54</f>
        <v>-147943.13200000001</v>
      </c>
      <c r="BV75" s="1465">
        <f>BV38-BV41-BV50-BV54</f>
        <v>-350820.7</v>
      </c>
      <c r="BW75" s="1523">
        <f>BW38-BW41-BW50-BW54</f>
        <v>-498763.83200000005</v>
      </c>
      <c r="BX75" s="1969"/>
      <c r="BY75" s="1675"/>
      <c r="BZ75" s="1465">
        <f>BZ38-BZ41-BZ50-BZ54</f>
        <v>-3575543.19</v>
      </c>
      <c r="CA75" s="1465">
        <f>CA38-CA41-CA50-CA54</f>
        <v>0</v>
      </c>
      <c r="CB75" s="1523">
        <f>CB38-CB41-CB50-CB54</f>
        <v>-3575543.19</v>
      </c>
      <c r="CC75" s="1969"/>
      <c r="CD75" s="1675"/>
      <c r="CE75" s="1465">
        <f>CE38-CE41-CE50-CE54</f>
        <v>-2009530.5899999999</v>
      </c>
      <c r="CF75" s="1465">
        <f>CF38-CF41-CF50-CF54</f>
        <v>0</v>
      </c>
      <c r="CG75" s="1523">
        <f>CG38-CG41-CG50-CG54</f>
        <v>-2009530.5899999999</v>
      </c>
      <c r="CH75" s="1969"/>
      <c r="CI75" s="1675"/>
      <c r="CJ75" s="1465">
        <f>CJ38-CJ41-CJ50-CJ54</f>
        <v>0</v>
      </c>
      <c r="CK75" s="1465">
        <f>CK38-CK41-CK50-CK54</f>
        <v>0</v>
      </c>
      <c r="CL75" s="1523">
        <f>CL38-CL41-CL50-CL54</f>
        <v>0</v>
      </c>
      <c r="CM75" s="1969"/>
      <c r="CN75" s="1675"/>
      <c r="CO75" s="1465">
        <f>CO38-CO41-CO50-CO54</f>
        <v>35768671.372000001</v>
      </c>
      <c r="CP75" s="1465">
        <f>CP38-CP41-CP50-CP54</f>
        <v>-11343527.319999998</v>
      </c>
      <c r="CQ75" s="1523">
        <f>CQ38-CQ41-CQ50-CQ54</f>
        <v>24425144.051999994</v>
      </c>
      <c r="CR75" s="1969"/>
      <c r="CS75" s="1969"/>
      <c r="CT75" s="919"/>
      <c r="CU75" s="1579"/>
      <c r="CV75" s="1579"/>
      <c r="CW75" s="1579"/>
      <c r="CX75" s="1579"/>
      <c r="CY75" s="1579"/>
      <c r="CZ75" s="1579"/>
      <c r="DA75" s="1579"/>
      <c r="DB75" s="1579"/>
      <c r="DC75" s="1579"/>
      <c r="DD75" s="1579"/>
      <c r="DE75" s="1579"/>
      <c r="DF75" s="1579"/>
      <c r="DG75" s="1579"/>
      <c r="DH75" s="1579"/>
      <c r="DI75" s="1579"/>
      <c r="DJ75" s="1579"/>
      <c r="DK75" s="1579"/>
      <c r="DL75" s="1579"/>
      <c r="DM75" s="1579"/>
      <c r="DN75" s="1579"/>
      <c r="DO75" s="1579"/>
      <c r="DP75" s="1579"/>
      <c r="DQ75" s="1579"/>
      <c r="DR75" s="1579"/>
      <c r="DS75" s="1579"/>
      <c r="DT75" s="1579"/>
      <c r="DU75" s="1579"/>
      <c r="DV75" s="1579"/>
      <c r="DW75" s="1579"/>
      <c r="DX75" s="1579"/>
      <c r="DY75" s="1579"/>
      <c r="DZ75" s="1579"/>
      <c r="EA75" s="1579"/>
      <c r="EB75" s="1579"/>
      <c r="EC75" s="1579"/>
      <c r="ED75" s="1579"/>
      <c r="EE75" s="1579"/>
      <c r="EF75" s="1579"/>
      <c r="EG75" s="1579"/>
      <c r="EH75" s="1579"/>
      <c r="EI75" s="1579"/>
      <c r="EJ75" s="1579"/>
      <c r="EK75" s="1579"/>
      <c r="EL75" s="1579"/>
      <c r="EM75" s="1579"/>
      <c r="EN75" s="1579"/>
      <c r="EO75" s="1579"/>
      <c r="EP75" s="1579"/>
      <c r="EQ75" s="1579"/>
      <c r="ER75" s="1579"/>
      <c r="ES75" s="1579"/>
      <c r="ET75" s="1579"/>
      <c r="EU75" s="1579"/>
      <c r="EV75" s="1579"/>
      <c r="EW75" s="1579"/>
      <c r="EX75" s="1579"/>
      <c r="EY75" s="1579"/>
      <c r="EZ75" s="1579"/>
      <c r="FA75" s="1579"/>
      <c r="FB75" s="1579"/>
      <c r="FC75" s="1579"/>
      <c r="FD75" s="1579"/>
      <c r="FE75" s="1579"/>
      <c r="FF75" s="1579"/>
      <c r="FG75" s="1579"/>
      <c r="FH75" s="1579"/>
      <c r="FI75" s="1579"/>
      <c r="FJ75" s="1579"/>
      <c r="FK75" s="1579"/>
      <c r="FL75" s="1579"/>
      <c r="FM75" s="1579"/>
      <c r="FN75" s="1579"/>
      <c r="FO75" s="1579"/>
      <c r="FP75" s="1579"/>
      <c r="FQ75" s="1579"/>
      <c r="FR75" s="1579"/>
      <c r="FS75" s="1579"/>
      <c r="FT75" s="1579"/>
      <c r="FU75" s="1579"/>
      <c r="FV75" s="1579"/>
    </row>
    <row r="76" spans="1:178" s="1411" customFormat="1" ht="14.4" customHeight="1" x14ac:dyDescent="0.25">
      <c r="A76" s="1581"/>
      <c r="B76" s="982" t="s">
        <v>49</v>
      </c>
      <c r="C76" s="1540">
        <f>C75/C5</f>
        <v>1</v>
      </c>
      <c r="D76" s="1540" t="e">
        <f>D75/D5</f>
        <v>#DIV/0!</v>
      </c>
      <c r="E76" s="1541">
        <f>E75/E5</f>
        <v>1</v>
      </c>
      <c r="F76" s="1546"/>
      <c r="G76" s="2019">
        <f>G75/G5</f>
        <v>0.31515307596328651</v>
      </c>
      <c r="H76" s="2020">
        <f>H75/H5</f>
        <v>-143.05200147928991</v>
      </c>
      <c r="I76" s="2019">
        <f>I75/I5</f>
        <v>0.24791282691732092</v>
      </c>
      <c r="J76" s="2020"/>
      <c r="K76" s="1676"/>
      <c r="L76" s="1676"/>
      <c r="M76" s="2019" t="e">
        <f>M75/M5</f>
        <v>#DIV/0!</v>
      </c>
      <c r="N76" s="2020" t="e">
        <f>N75/N5</f>
        <v>#DIV/0!</v>
      </c>
      <c r="O76" s="2019" t="e">
        <f>O75/O5</f>
        <v>#DIV/0!</v>
      </c>
      <c r="P76" s="2020"/>
      <c r="Q76" s="1676"/>
      <c r="R76" s="2019">
        <f>R75/R5</f>
        <v>0.60406814515180107</v>
      </c>
      <c r="S76" s="2019" t="e">
        <f>S75/S5</f>
        <v>#DIV/0!</v>
      </c>
      <c r="T76" s="2020">
        <f>T75/T5</f>
        <v>0.48866952103902106</v>
      </c>
      <c r="U76" s="2020"/>
      <c r="V76" s="1676"/>
      <c r="W76" s="2019">
        <f>W75/W5</f>
        <v>0.46954132245958513</v>
      </c>
      <c r="X76" s="2019" t="e">
        <f>X75/X5</f>
        <v>#DIV/0!</v>
      </c>
      <c r="Y76" s="2020">
        <f>Y75/Y5</f>
        <v>0.33271580744923979</v>
      </c>
      <c r="Z76" s="2020"/>
      <c r="AA76" s="1676"/>
      <c r="AB76" s="2052">
        <f>AB75/AB5</f>
        <v>0.60683411789098973</v>
      </c>
      <c r="AC76" s="2052" t="e">
        <f>AC75/AC5</f>
        <v>#DIV/0!</v>
      </c>
      <c r="AD76" s="2053">
        <f>AD75/AD5</f>
        <v>0.20645917637412883</v>
      </c>
      <c r="AE76" s="2053"/>
      <c r="AF76" s="1823"/>
      <c r="AG76" s="2019">
        <f>AG75/AG5</f>
        <v>0.25906931514821246</v>
      </c>
      <c r="AH76" s="2019" t="e">
        <f>AH75/AH5</f>
        <v>#DIV/0!</v>
      </c>
      <c r="AI76" s="2020">
        <f>AI75/AI5</f>
        <v>0.21868989876126735</v>
      </c>
      <c r="AJ76" s="2020"/>
      <c r="AK76" s="1676"/>
      <c r="AL76" s="2019">
        <f>AL75/AL5</f>
        <v>0.48904976043739162</v>
      </c>
      <c r="AM76" s="2019" t="e">
        <f>AM75/AM5</f>
        <v>#DIV/0!</v>
      </c>
      <c r="AN76" s="2020">
        <f>AN75/AN5</f>
        <v>0.37471616504631611</v>
      </c>
      <c r="AO76" s="2020"/>
      <c r="AP76" s="1676"/>
      <c r="AQ76" s="2019">
        <f>AQ75/AQ5</f>
        <v>0.3326827924422599</v>
      </c>
      <c r="AR76" s="2019" t="e">
        <f>AR75/AR5</f>
        <v>#DIV/0!</v>
      </c>
      <c r="AS76" s="2020">
        <f>AS75/AS5</f>
        <v>0.24454911273464772</v>
      </c>
      <c r="AT76" s="2020"/>
      <c r="AU76" s="1676"/>
      <c r="AV76" s="2019">
        <f>AV75/AV5</f>
        <v>0.16997115097618717</v>
      </c>
      <c r="AW76" s="2019" t="e">
        <f>AW75/AW5</f>
        <v>#DIV/0!</v>
      </c>
      <c r="AX76" s="2020">
        <f>AX75/AX5</f>
        <v>-8.3603518967043197E-2</v>
      </c>
      <c r="AY76" s="2020"/>
      <c r="AZ76" s="1676"/>
      <c r="BA76" s="2019">
        <f>BA75/BA5</f>
        <v>0.27452982382776653</v>
      </c>
      <c r="BB76" s="2019" t="e">
        <f>BB75/BB5</f>
        <v>#DIV/0!</v>
      </c>
      <c r="BC76" s="2020">
        <f>BC75/BC5</f>
        <v>-3.9848150865485288E-3</v>
      </c>
      <c r="BD76" s="2020"/>
      <c r="BE76" s="1676"/>
      <c r="BF76" s="2019">
        <f>BF75/BF5</f>
        <v>0.52874725909474518</v>
      </c>
      <c r="BG76" s="2019" t="e">
        <f>BG75/BG5</f>
        <v>#DIV/0!</v>
      </c>
      <c r="BH76" s="2020">
        <f>BH75/BH5</f>
        <v>0.4463596796733737</v>
      </c>
      <c r="BI76" s="2020"/>
      <c r="BJ76" s="1676"/>
      <c r="BK76" s="2019">
        <f>BK75/BK5</f>
        <v>0.5527686575401588</v>
      </c>
      <c r="BL76" s="2019" t="e">
        <f>BL75/BL5</f>
        <v>#DIV/0!</v>
      </c>
      <c r="BM76" s="2020">
        <f>BM75/BM5</f>
        <v>0.43696391992999706</v>
      </c>
      <c r="BN76" s="2020"/>
      <c r="BO76" s="1676"/>
      <c r="BP76" s="2019">
        <f>BP75/BP5</f>
        <v>3.6586193249008275E-2</v>
      </c>
      <c r="BQ76" s="2019">
        <f>BQ75/BQ5</f>
        <v>-16.918211165048543</v>
      </c>
      <c r="BR76" s="2020">
        <f>BR75/BR5</f>
        <v>-0.37168346474738567</v>
      </c>
      <c r="BS76" s="2020"/>
      <c r="BT76" s="1676"/>
      <c r="BU76" s="2019" t="e">
        <f>BU75/BU5</f>
        <v>#DIV/0!</v>
      </c>
      <c r="BV76" s="2019" t="e">
        <f>BV75/BV5</f>
        <v>#DIV/0!</v>
      </c>
      <c r="BW76" s="2020" t="e">
        <f>BW75/BW5</f>
        <v>#DIV/0!</v>
      </c>
      <c r="BX76" s="2020"/>
      <c r="BY76" s="1676"/>
      <c r="BZ76" s="2019" t="e">
        <f>BZ75/BZ5</f>
        <v>#DIV/0!</v>
      </c>
      <c r="CA76" s="2019" t="e">
        <f>CA75/CA5</f>
        <v>#DIV/0!</v>
      </c>
      <c r="CB76" s="2020" t="e">
        <f>CB75/CB5</f>
        <v>#DIV/0!</v>
      </c>
      <c r="CC76" s="2020"/>
      <c r="CD76" s="1676"/>
      <c r="CE76" s="2019" t="e">
        <f>CE75/CE5</f>
        <v>#DIV/0!</v>
      </c>
      <c r="CF76" s="2019" t="e">
        <f>CF75/CF5</f>
        <v>#DIV/0!</v>
      </c>
      <c r="CG76" s="2020" t="e">
        <f>CG75/CG5</f>
        <v>#DIV/0!</v>
      </c>
      <c r="CH76" s="2020"/>
      <c r="CI76" s="1676"/>
      <c r="CJ76" s="2019">
        <f>CJ75/CJ5</f>
        <v>0</v>
      </c>
      <c r="CK76" s="2019" t="e">
        <f>CK75/CK5</f>
        <v>#DIV/0!</v>
      </c>
      <c r="CL76" s="2020">
        <f>CL75/CL5</f>
        <v>0</v>
      </c>
      <c r="CM76" s="2020"/>
      <c r="CN76" s="1676"/>
      <c r="CO76" s="2019">
        <f>CO75/CO5</f>
        <v>0.30532092033685249</v>
      </c>
      <c r="CP76" s="2019">
        <f>CP75/CP5</f>
        <v>-137.99911581508513</v>
      </c>
      <c r="CQ76" s="2020">
        <f>CQ75/CQ5</f>
        <v>0.20834652849939733</v>
      </c>
      <c r="CR76" s="2020"/>
      <c r="CS76" s="2020"/>
      <c r="CT76" s="919"/>
      <c r="CU76" s="1579"/>
      <c r="CV76" s="1579"/>
      <c r="CW76" s="1579"/>
      <c r="CX76" s="1579"/>
      <c r="CY76" s="1579"/>
      <c r="CZ76" s="1579"/>
      <c r="DA76" s="1579"/>
      <c r="DB76" s="1579"/>
      <c r="DC76" s="1579"/>
      <c r="DD76" s="1579"/>
      <c r="DE76" s="1579"/>
      <c r="DF76" s="1579"/>
      <c r="DG76" s="1579"/>
      <c r="DH76" s="1579"/>
      <c r="DI76" s="1579"/>
      <c r="DJ76" s="1579"/>
      <c r="DK76" s="1579"/>
      <c r="DL76" s="1579"/>
      <c r="DM76" s="1579"/>
      <c r="DN76" s="1579"/>
      <c r="DO76" s="1579"/>
      <c r="DP76" s="1579"/>
      <c r="DQ76" s="1579"/>
      <c r="DR76" s="1579"/>
      <c r="DS76" s="1579"/>
      <c r="DT76" s="1579"/>
      <c r="DU76" s="1579"/>
      <c r="DV76" s="1579"/>
      <c r="DW76" s="1579"/>
      <c r="DX76" s="1579"/>
      <c r="DY76" s="1579"/>
      <c r="DZ76" s="1579"/>
      <c r="EA76" s="1579"/>
      <c r="EB76" s="1579"/>
      <c r="EC76" s="1579"/>
      <c r="ED76" s="1579"/>
      <c r="EE76" s="1579"/>
      <c r="EF76" s="1579"/>
      <c r="EG76" s="1579"/>
      <c r="EH76" s="1579"/>
      <c r="EI76" s="1579"/>
      <c r="EJ76" s="1579"/>
      <c r="EK76" s="1579"/>
      <c r="EL76" s="1579"/>
      <c r="EM76" s="1579"/>
      <c r="EN76" s="1579"/>
      <c r="EO76" s="1579"/>
      <c r="EP76" s="1579"/>
      <c r="EQ76" s="1579"/>
      <c r="ER76" s="1579"/>
      <c r="ES76" s="1579"/>
      <c r="ET76" s="1579"/>
      <c r="EU76" s="1579"/>
      <c r="EV76" s="1579"/>
      <c r="EW76" s="1579"/>
      <c r="EX76" s="1579"/>
      <c r="EY76" s="1579"/>
      <c r="EZ76" s="1579"/>
      <c r="FA76" s="1579"/>
      <c r="FB76" s="1579"/>
      <c r="FC76" s="1579"/>
      <c r="FD76" s="1579"/>
      <c r="FE76" s="1579"/>
      <c r="FF76" s="1579"/>
      <c r="FG76" s="1579"/>
      <c r="FH76" s="1579"/>
      <c r="FI76" s="1579"/>
      <c r="FJ76" s="1579"/>
      <c r="FK76" s="1579"/>
      <c r="FL76" s="1579"/>
      <c r="FM76" s="1579"/>
      <c r="FN76" s="1579"/>
      <c r="FO76" s="1579"/>
      <c r="FP76" s="1579"/>
      <c r="FQ76" s="1579"/>
      <c r="FR76" s="1579"/>
      <c r="FS76" s="1579"/>
      <c r="FT76" s="1579"/>
      <c r="FU76" s="1579"/>
      <c r="FV76" s="1579"/>
    </row>
    <row r="77" spans="1:178" s="1411" customFormat="1" ht="14.4" customHeight="1" outlineLevel="1" thickBot="1" x14ac:dyDescent="0.3">
      <c r="A77" s="1581"/>
      <c r="B77" s="2864" t="s">
        <v>9</v>
      </c>
      <c r="C77" s="2974">
        <f>C78-C79</f>
        <v>0</v>
      </c>
      <c r="D77" s="2974">
        <f>D78-D79</f>
        <v>0</v>
      </c>
      <c r="E77" s="2866">
        <f>E78-E79</f>
        <v>0</v>
      </c>
      <c r="F77" s="2867"/>
      <c r="G77" s="2974">
        <f>G78-G79</f>
        <v>0</v>
      </c>
      <c r="H77" s="2866">
        <f>H78-H79</f>
        <v>0</v>
      </c>
      <c r="I77" s="2974">
        <f>I78-I79</f>
        <v>-491851.99</v>
      </c>
      <c r="J77" s="2868">
        <f t="shared" ref="J77" si="182">I77/I$89</f>
        <v>-8.9839477616340813E-3</v>
      </c>
      <c r="K77" s="2869"/>
      <c r="L77" s="2869"/>
      <c r="M77" s="2974">
        <f>M78-M79</f>
        <v>0</v>
      </c>
      <c r="N77" s="2866">
        <f>N78-N79</f>
        <v>0</v>
      </c>
      <c r="O77" s="2974">
        <f>O78-O79</f>
        <v>-34259.56</v>
      </c>
      <c r="P77" s="2868"/>
      <c r="Q77" s="2869"/>
      <c r="R77" s="2974">
        <f>R78-R79</f>
        <v>0</v>
      </c>
      <c r="S77" s="2974">
        <f>S78-S79</f>
        <v>0</v>
      </c>
      <c r="T77" s="2866">
        <f>T78-T79</f>
        <v>-68583.839999999997</v>
      </c>
      <c r="U77" s="2868"/>
      <c r="V77" s="2869"/>
      <c r="W77" s="2974">
        <f>W78-W79</f>
        <v>0</v>
      </c>
      <c r="X77" s="2974">
        <f>X78-X79</f>
        <v>0</v>
      </c>
      <c r="Y77" s="2866">
        <f>Y78-Y79</f>
        <v>-115784.57</v>
      </c>
      <c r="Z77" s="2868"/>
      <c r="AA77" s="2869"/>
      <c r="AB77" s="3204">
        <f>AB78-AB79</f>
        <v>0</v>
      </c>
      <c r="AC77" s="3204">
        <f>AC78-AC79</f>
        <v>0</v>
      </c>
      <c r="AD77" s="3040">
        <f>AD78-AD79</f>
        <v>-35288.300000000003</v>
      </c>
      <c r="AE77" s="3041"/>
      <c r="AF77" s="3042"/>
      <c r="AG77" s="2974">
        <f>AG78-AG79</f>
        <v>0</v>
      </c>
      <c r="AH77" s="2974">
        <f>AH78-AH79</f>
        <v>0</v>
      </c>
      <c r="AI77" s="2866">
        <f>AI78-AI79</f>
        <v>-237935.72</v>
      </c>
      <c r="AJ77" s="2868"/>
      <c r="AK77" s="2869"/>
      <c r="AL77" s="2974">
        <f>AL78-AL79</f>
        <v>0</v>
      </c>
      <c r="AM77" s="2974">
        <f>AM78-AM79</f>
        <v>0</v>
      </c>
      <c r="AN77" s="2866">
        <f>AN78-AN79</f>
        <v>-83665.91</v>
      </c>
      <c r="AO77" s="2868"/>
      <c r="AP77" s="2869"/>
      <c r="AQ77" s="2974">
        <f>AQ78-AQ79</f>
        <v>0</v>
      </c>
      <c r="AR77" s="2974">
        <f>AR78-AR79</f>
        <v>0</v>
      </c>
      <c r="AS77" s="2866">
        <f>AS78-AS79</f>
        <v>-129056.26</v>
      </c>
      <c r="AT77" s="2868"/>
      <c r="AU77" s="2869"/>
      <c r="AV77" s="2974">
        <f>AV78-AV79</f>
        <v>0</v>
      </c>
      <c r="AW77" s="2974">
        <f>AW78-AW79</f>
        <v>0</v>
      </c>
      <c r="AX77" s="2866">
        <f>AX78-AX79</f>
        <v>-73394.86</v>
      </c>
      <c r="AY77" s="2868"/>
      <c r="AZ77" s="2869"/>
      <c r="BA77" s="2974">
        <f>BA78-BA79</f>
        <v>0</v>
      </c>
      <c r="BB77" s="2974">
        <f>BB78-BB79</f>
        <v>0</v>
      </c>
      <c r="BC77" s="2866">
        <f>BC78-BC79</f>
        <v>-99154.77</v>
      </c>
      <c r="BD77" s="2868">
        <f>BC77/$BC$89</f>
        <v>-2.828333093626402E-2</v>
      </c>
      <c r="BE77" s="2869"/>
      <c r="BF77" s="2974">
        <f>BF78-BF79</f>
        <v>0</v>
      </c>
      <c r="BG77" s="2974">
        <f>BG78-BG79</f>
        <v>0</v>
      </c>
      <c r="BH77" s="2866">
        <f>BH78-BH79</f>
        <v>-93778.86</v>
      </c>
      <c r="BI77" s="2868">
        <f>BH77/$BC$89</f>
        <v>-2.6749883361189504E-2</v>
      </c>
      <c r="BJ77" s="2869"/>
      <c r="BK77" s="2974">
        <f>BK78-BK79</f>
        <v>0</v>
      </c>
      <c r="BL77" s="2974">
        <f>BL78-BL79</f>
        <v>0</v>
      </c>
      <c r="BM77" s="2866">
        <f>BM78-BM79</f>
        <v>-113547.81</v>
      </c>
      <c r="BN77" s="2868">
        <f t="shared" ref="BN77" si="183">BM77/BM$89</f>
        <v>-1.8714130185786687E-2</v>
      </c>
      <c r="BO77" s="2869"/>
      <c r="BP77" s="2974">
        <f>BP78-BP79</f>
        <v>0</v>
      </c>
      <c r="BQ77" s="2974">
        <f>BQ78-BQ79</f>
        <v>0</v>
      </c>
      <c r="BR77" s="2866">
        <f>BR78-BR79</f>
        <v>-101606.23</v>
      </c>
      <c r="BS77" s="2868">
        <f t="shared" ref="BS77" si="184">BR77/BR$89</f>
        <v>-4.1497045369355487E-2</v>
      </c>
      <c r="BT77" s="2869"/>
      <c r="BU77" s="2974">
        <f>BU78-BU79</f>
        <v>0</v>
      </c>
      <c r="BV77" s="2974">
        <f>BV78-BV79</f>
        <v>0</v>
      </c>
      <c r="BW77" s="2866">
        <f>BW78-BW79</f>
        <v>-41048.480000000003</v>
      </c>
      <c r="BX77" s="2868">
        <f t="shared" ref="BX77" si="185">BW77/BW$89</f>
        <v>-7.6042133696276271E-2</v>
      </c>
      <c r="BY77" s="2869"/>
      <c r="BZ77" s="2974">
        <f>BZ78-BZ79</f>
        <v>0</v>
      </c>
      <c r="CA77" s="2974">
        <f>CA78-CA79</f>
        <v>0</v>
      </c>
      <c r="CB77" s="2866">
        <f>CB78-CB79</f>
        <v>0</v>
      </c>
      <c r="CC77" s="2868">
        <f t="shared" ref="CC77" si="186">CB77/CB$89</f>
        <v>0</v>
      </c>
      <c r="CD77" s="2869"/>
      <c r="CE77" s="2974">
        <f>CE78-CE79</f>
        <v>0</v>
      </c>
      <c r="CF77" s="2974">
        <f>CF78-CF79</f>
        <v>0</v>
      </c>
      <c r="CG77" s="2866">
        <f>CG78-CG79</f>
        <v>0</v>
      </c>
      <c r="CH77" s="2868">
        <f t="shared" ref="CH77" si="187">CG77/CG$89</f>
        <v>0</v>
      </c>
      <c r="CI77" s="2869"/>
      <c r="CJ77" s="2974">
        <f>CJ78-CJ79</f>
        <v>0</v>
      </c>
      <c r="CK77" s="2974">
        <f>CK78-CK79</f>
        <v>0</v>
      </c>
      <c r="CL77" s="2866">
        <f>CL78-CL79</f>
        <v>0</v>
      </c>
      <c r="CM77" s="2868">
        <f t="shared" ref="CM77" si="188">CL77/CL$89</f>
        <v>0</v>
      </c>
      <c r="CN77" s="2869"/>
      <c r="CO77" s="2974">
        <f>CO78-CO79</f>
        <v>0</v>
      </c>
      <c r="CP77" s="2974">
        <f>CP79</f>
        <v>0</v>
      </c>
      <c r="CQ77" s="2866">
        <f>CQ78-CQ79</f>
        <v>-1227105.17</v>
      </c>
      <c r="CR77" s="2868"/>
      <c r="CS77" s="2868"/>
      <c r="CT77" s="919"/>
      <c r="CU77" s="1579"/>
      <c r="CV77" s="1579"/>
      <c r="CW77" s="1579"/>
      <c r="CX77" s="1579"/>
      <c r="CY77" s="1579"/>
      <c r="CZ77" s="1579"/>
      <c r="DA77" s="1579"/>
      <c r="DB77" s="1579"/>
      <c r="DC77" s="1579"/>
      <c r="DD77" s="1579"/>
      <c r="DE77" s="1579"/>
      <c r="DF77" s="1579"/>
      <c r="DG77" s="1579"/>
      <c r="DH77" s="1579"/>
      <c r="DI77" s="1579"/>
      <c r="DJ77" s="1579"/>
      <c r="DK77" s="1579"/>
      <c r="DL77" s="1579"/>
      <c r="DM77" s="1579"/>
      <c r="DN77" s="1579"/>
      <c r="DO77" s="1579"/>
      <c r="DP77" s="1579"/>
      <c r="DQ77" s="1579"/>
      <c r="DR77" s="1579"/>
      <c r="DS77" s="1579"/>
      <c r="DT77" s="1579"/>
      <c r="DU77" s="1579"/>
      <c r="DV77" s="1579"/>
      <c r="DW77" s="1579"/>
      <c r="DX77" s="1579"/>
      <c r="DY77" s="1579"/>
      <c r="DZ77" s="1579"/>
      <c r="EA77" s="1579"/>
      <c r="EB77" s="1579"/>
      <c r="EC77" s="1579"/>
      <c r="ED77" s="1579"/>
      <c r="EE77" s="1579"/>
      <c r="EF77" s="1579"/>
      <c r="EG77" s="1579"/>
      <c r="EH77" s="1579"/>
      <c r="EI77" s="1579"/>
      <c r="EJ77" s="1579"/>
      <c r="EK77" s="1579"/>
      <c r="EL77" s="1579"/>
      <c r="EM77" s="1579"/>
      <c r="EN77" s="1579"/>
      <c r="EO77" s="1579"/>
      <c r="EP77" s="1579"/>
      <c r="EQ77" s="1579"/>
      <c r="ER77" s="1579"/>
      <c r="ES77" s="1579"/>
      <c r="ET77" s="1579"/>
      <c r="EU77" s="1579"/>
      <c r="EV77" s="1579"/>
      <c r="EW77" s="1579"/>
      <c r="EX77" s="1579"/>
      <c r="EY77" s="1579"/>
      <c r="EZ77" s="1579"/>
      <c r="FA77" s="1579"/>
      <c r="FB77" s="1579"/>
      <c r="FC77" s="1579"/>
      <c r="FD77" s="1579"/>
      <c r="FE77" s="1579"/>
      <c r="FF77" s="1579"/>
      <c r="FG77" s="1579"/>
      <c r="FH77" s="1579"/>
      <c r="FI77" s="1579"/>
      <c r="FJ77" s="1579"/>
      <c r="FK77" s="1579"/>
      <c r="FL77" s="1579"/>
      <c r="FM77" s="1579"/>
      <c r="FN77" s="1579"/>
      <c r="FO77" s="1579"/>
      <c r="FP77" s="1579"/>
      <c r="FQ77" s="1579"/>
      <c r="FR77" s="1579"/>
      <c r="FS77" s="1579"/>
      <c r="FT77" s="1579"/>
      <c r="FU77" s="1579"/>
      <c r="FV77" s="1579"/>
    </row>
    <row r="78" spans="1:178" s="1411" customFormat="1" ht="14.4" customHeight="1" outlineLevel="2" x14ac:dyDescent="0.25">
      <c r="A78" s="1420"/>
      <c r="B78" s="1637" t="s">
        <v>43</v>
      </c>
      <c r="C78" s="1525"/>
      <c r="D78" s="1526"/>
      <c r="E78" s="2826">
        <f>C78+D78*1.15</f>
        <v>0</v>
      </c>
      <c r="F78" s="1562"/>
      <c r="G78" s="1995">
        <v>0</v>
      </c>
      <c r="H78" s="2067">
        <v>0</v>
      </c>
      <c r="I78" s="1981">
        <f>G78+H78*1.15</f>
        <v>0</v>
      </c>
      <c r="J78" s="1983">
        <f>I78/$BC$89</f>
        <v>0</v>
      </c>
      <c r="K78" s="1677"/>
      <c r="L78" s="1677"/>
      <c r="M78" s="1995"/>
      <c r="N78" s="2067"/>
      <c r="O78" s="1981">
        <f>M78+N78*1.15</f>
        <v>0</v>
      </c>
      <c r="P78" s="1983"/>
      <c r="Q78" s="1677"/>
      <c r="R78" s="2067"/>
      <c r="S78" s="2059"/>
      <c r="T78" s="1467">
        <f>R78+S78*1.15</f>
        <v>0</v>
      </c>
      <c r="U78" s="2809"/>
      <c r="V78" s="1677"/>
      <c r="W78" s="2067"/>
      <c r="X78" s="2059"/>
      <c r="Y78" s="1467">
        <f>W78+X78*1.15</f>
        <v>0</v>
      </c>
      <c r="Z78" s="2809"/>
      <c r="AA78" s="1677"/>
      <c r="AB78" s="2072"/>
      <c r="AC78" s="2066"/>
      <c r="AD78" s="1825">
        <f>AB78+AC78*1.15</f>
        <v>0</v>
      </c>
      <c r="AE78" s="3196"/>
      <c r="AF78" s="1826"/>
      <c r="AG78" s="2067"/>
      <c r="AH78" s="2059"/>
      <c r="AI78" s="1467">
        <f>AG78+AH78*1.15</f>
        <v>0</v>
      </c>
      <c r="AJ78" s="2809"/>
      <c r="AK78" s="1677"/>
      <c r="AL78" s="2067"/>
      <c r="AM78" s="2059"/>
      <c r="AN78" s="1467">
        <f>AL78+AM78*1.15</f>
        <v>0</v>
      </c>
      <c r="AO78" s="2809"/>
      <c r="AP78" s="1677"/>
      <c r="AQ78" s="2067"/>
      <c r="AR78" s="2059"/>
      <c r="AS78" s="1467">
        <f>AQ78+AR78*1.15</f>
        <v>0</v>
      </c>
      <c r="AT78" s="2809"/>
      <c r="AU78" s="1677"/>
      <c r="AV78" s="2067"/>
      <c r="AW78" s="2059"/>
      <c r="AX78" s="1467">
        <f>AV78+AW78*1.15</f>
        <v>0</v>
      </c>
      <c r="AY78" s="2809"/>
      <c r="AZ78" s="1677"/>
      <c r="BA78" s="2067"/>
      <c r="BB78" s="2059"/>
      <c r="BC78" s="1467">
        <f>BA78+BB78*1.15</f>
        <v>0</v>
      </c>
      <c r="BD78" s="2809">
        <f>BC78/$BC$89</f>
        <v>0</v>
      </c>
      <c r="BE78" s="1677"/>
      <c r="BF78" s="2067"/>
      <c r="BG78" s="2059"/>
      <c r="BH78" s="1467">
        <f>BF78+BG78*1.15</f>
        <v>0</v>
      </c>
      <c r="BI78" s="2809">
        <f>BH78/$BC$89</f>
        <v>0</v>
      </c>
      <c r="BJ78" s="1677"/>
      <c r="BK78" s="2067"/>
      <c r="BL78" s="2059"/>
      <c r="BM78" s="1467">
        <f>BK78+BL78*1.15</f>
        <v>0</v>
      </c>
      <c r="BN78" s="2809">
        <f>BM78/$BM$89</f>
        <v>0</v>
      </c>
      <c r="BO78" s="1677"/>
      <c r="BP78" s="2067"/>
      <c r="BQ78" s="2059"/>
      <c r="BR78" s="1467">
        <f>BP78+BQ78*1.15</f>
        <v>0</v>
      </c>
      <c r="BS78" s="2809">
        <f>BR78/$BM$89</f>
        <v>0</v>
      </c>
      <c r="BT78" s="1677"/>
      <c r="BU78" s="2067"/>
      <c r="BV78" s="2059"/>
      <c r="BW78" s="1467">
        <f>BU78+BV78*1.15</f>
        <v>0</v>
      </c>
      <c r="BX78" s="2809">
        <f>BW78/$BM$89</f>
        <v>0</v>
      </c>
      <c r="BY78" s="1677"/>
      <c r="BZ78" s="2067"/>
      <c r="CA78" s="2059"/>
      <c r="CB78" s="1467">
        <f>BZ78+CA78*1.15</f>
        <v>0</v>
      </c>
      <c r="CC78" s="2809">
        <f>CB78/$BM$89</f>
        <v>0</v>
      </c>
      <c r="CD78" s="1677"/>
      <c r="CE78" s="2067"/>
      <c r="CF78" s="2059"/>
      <c r="CG78" s="1467">
        <f>CE78+CF78*1.15</f>
        <v>0</v>
      </c>
      <c r="CH78" s="2809">
        <f>CG78/$BM$89</f>
        <v>0</v>
      </c>
      <c r="CI78" s="1677"/>
      <c r="CJ78" s="2067"/>
      <c r="CK78" s="2059"/>
      <c r="CL78" s="1467">
        <f>CJ78+CK78*1.15</f>
        <v>0</v>
      </c>
      <c r="CM78" s="2809">
        <f>CL78/$BM$89</f>
        <v>0</v>
      </c>
      <c r="CN78" s="1677"/>
      <c r="CO78" s="2059">
        <f t="shared" ref="CO78:CO79" si="189">M78+R78+W78+AB78+AG78+AL78+AQ78+AV78+BA78+BF78+BK78+BP78+BU78+BZ78+CE78+CJ78</f>
        <v>0</v>
      </c>
      <c r="CP78" s="2059">
        <f t="shared" ref="CP78:CQ79" si="190">N78+S78+X78+AC78+AH78+AM78+AR78+AW78+BB78+BG78+BL78+BQ78+BV78+CA78+CF78+CK78</f>
        <v>0</v>
      </c>
      <c r="CQ78" s="3102">
        <f>CO78+CP78*1</f>
        <v>0</v>
      </c>
      <c r="CR78" s="1467"/>
      <c r="CS78" s="1467"/>
      <c r="CT78" s="919"/>
      <c r="CU78" s="1579"/>
      <c r="CV78" s="1579"/>
      <c r="CW78" s="1579"/>
      <c r="CX78" s="1579"/>
      <c r="CY78" s="1579"/>
      <c r="CZ78" s="1579"/>
      <c r="DA78" s="1579"/>
      <c r="DB78" s="1579"/>
      <c r="DC78" s="1579"/>
      <c r="DD78" s="1579"/>
      <c r="DE78" s="1579"/>
      <c r="DF78" s="1579"/>
      <c r="DG78" s="1579"/>
      <c r="DH78" s="1579"/>
      <c r="DI78" s="1579"/>
      <c r="DJ78" s="1579"/>
      <c r="DK78" s="1579"/>
      <c r="DL78" s="1579"/>
      <c r="DM78" s="1579"/>
      <c r="DN78" s="1579"/>
      <c r="DO78" s="1579"/>
      <c r="DP78" s="1579"/>
      <c r="DQ78" s="1579"/>
      <c r="DR78" s="1579"/>
      <c r="DS78" s="1579"/>
      <c r="DT78" s="1579"/>
      <c r="DU78" s="1579"/>
      <c r="DV78" s="1579"/>
      <c r="DW78" s="1579"/>
      <c r="DX78" s="1579"/>
      <c r="DY78" s="1579"/>
      <c r="DZ78" s="1579"/>
      <c r="EA78" s="1579"/>
      <c r="EB78" s="1579"/>
      <c r="EC78" s="1579"/>
      <c r="ED78" s="1579"/>
      <c r="EE78" s="1579"/>
      <c r="EF78" s="1579"/>
      <c r="EG78" s="1579"/>
      <c r="EH78" s="1579"/>
      <c r="EI78" s="1579"/>
      <c r="EJ78" s="1579"/>
      <c r="EK78" s="1579"/>
      <c r="EL78" s="1579"/>
      <c r="EM78" s="1579"/>
      <c r="EN78" s="1579"/>
      <c r="EO78" s="1579"/>
      <c r="EP78" s="1579"/>
      <c r="EQ78" s="1579"/>
      <c r="ER78" s="1579"/>
      <c r="ES78" s="1579"/>
      <c r="ET78" s="1579"/>
      <c r="EU78" s="1579"/>
      <c r="EV78" s="1579"/>
      <c r="EW78" s="1579"/>
      <c r="EX78" s="1579"/>
      <c r="EY78" s="1579"/>
      <c r="EZ78" s="1579"/>
      <c r="FA78" s="1579"/>
      <c r="FB78" s="1579"/>
      <c r="FC78" s="1579"/>
      <c r="FD78" s="1579"/>
      <c r="FE78" s="1579"/>
      <c r="FF78" s="1579"/>
      <c r="FG78" s="1579"/>
      <c r="FH78" s="1579"/>
      <c r="FI78" s="1579"/>
      <c r="FJ78" s="1579"/>
      <c r="FK78" s="1579"/>
      <c r="FL78" s="1579"/>
      <c r="FM78" s="1579"/>
      <c r="FN78" s="1579"/>
      <c r="FO78" s="1579"/>
      <c r="FP78" s="1579"/>
      <c r="FQ78" s="1579"/>
      <c r="FR78" s="1579"/>
      <c r="FS78" s="1579"/>
      <c r="FT78" s="1579"/>
      <c r="FU78" s="1579"/>
      <c r="FV78" s="1579"/>
    </row>
    <row r="79" spans="1:178" s="1411" customFormat="1" ht="14.4" customHeight="1" outlineLevel="2" x14ac:dyDescent="0.25">
      <c r="A79" s="1420"/>
      <c r="B79" s="2810" t="s">
        <v>79</v>
      </c>
      <c r="C79" s="2811"/>
      <c r="D79" s="2826"/>
      <c r="E79" s="2826">
        <f>C79+D79*1.15</f>
        <v>0</v>
      </c>
      <c r="F79" s="2831" t="e">
        <f>E79/$E$89</f>
        <v>#DIV/0!</v>
      </c>
      <c r="G79" s="1995">
        <v>0</v>
      </c>
      <c r="H79" s="2067">
        <v>0</v>
      </c>
      <c r="I79" s="2067">
        <v>491851.99</v>
      </c>
      <c r="J79" s="3024">
        <f t="shared" ref="J79" si="191">I79/I$89</f>
        <v>8.9839477616340813E-3</v>
      </c>
      <c r="K79" s="2832"/>
      <c r="L79" s="2832"/>
      <c r="M79" s="1995"/>
      <c r="N79" s="2067"/>
      <c r="O79" s="3103">
        <v>34259.56</v>
      </c>
      <c r="P79" s="3024">
        <f>O79/$AS$89</f>
        <v>4.9261317616240132E-3</v>
      </c>
      <c r="Q79" s="2832"/>
      <c r="R79" s="2067"/>
      <c r="S79" s="2059"/>
      <c r="T79" s="3129">
        <v>68583.839999999997</v>
      </c>
      <c r="U79" s="2809">
        <f>T79/$AS$89</f>
        <v>9.8615695168922032E-3</v>
      </c>
      <c r="V79" s="2832"/>
      <c r="W79" s="2067"/>
      <c r="X79" s="3102"/>
      <c r="Y79" s="3129">
        <f>115784.57</f>
        <v>115784.57</v>
      </c>
      <c r="Z79" s="2809">
        <f>Y79/$AS$89</f>
        <v>1.6648493085812514E-2</v>
      </c>
      <c r="AA79" s="2832"/>
      <c r="AB79" s="2072"/>
      <c r="AC79" s="2066">
        <v>0</v>
      </c>
      <c r="AD79" s="3129">
        <f>35288.3</f>
        <v>35288.300000000003</v>
      </c>
      <c r="AE79" s="3196">
        <f>AD79/$AS$89</f>
        <v>5.0740527736992738E-3</v>
      </c>
      <c r="AF79" s="3197"/>
      <c r="AG79" s="2067"/>
      <c r="AH79" s="2059">
        <v>0</v>
      </c>
      <c r="AI79" s="3129">
        <f>237935.72</f>
        <v>237935.72</v>
      </c>
      <c r="AJ79" s="2809">
        <f>AI79/$AS$89</f>
        <v>3.4212427349238517E-2</v>
      </c>
      <c r="AK79" s="2832"/>
      <c r="AL79" s="2067"/>
      <c r="AM79" s="2059">
        <v>0</v>
      </c>
      <c r="AN79" s="3122">
        <f>83665.91</f>
        <v>83665.91</v>
      </c>
      <c r="AO79" s="2809">
        <f>AN79/$AN$89</f>
        <v>1.3048306147067413E-2</v>
      </c>
      <c r="AP79" s="2832"/>
      <c r="AQ79" s="2067"/>
      <c r="AR79" s="2059">
        <v>0</v>
      </c>
      <c r="AS79" s="3122">
        <f>129056.26</f>
        <v>129056.26</v>
      </c>
      <c r="AT79" s="2809">
        <f>AS79/$AS$89</f>
        <v>1.8556809877955428E-2</v>
      </c>
      <c r="AU79" s="2832"/>
      <c r="AV79" s="2067"/>
      <c r="AW79" s="2059">
        <v>0</v>
      </c>
      <c r="AX79" s="3122">
        <v>73394.86</v>
      </c>
      <c r="AY79" s="2809">
        <f>AX79/$AX$89</f>
        <v>2.5312786591247385E-2</v>
      </c>
      <c r="AZ79" s="2832"/>
      <c r="BA79" s="2067"/>
      <c r="BB79" s="2059">
        <v>0</v>
      </c>
      <c r="BC79" s="3122">
        <f>99154.77</f>
        <v>99154.77</v>
      </c>
      <c r="BD79" s="2809">
        <f>BC79/$BC$89</f>
        <v>2.828333093626402E-2</v>
      </c>
      <c r="BE79" s="2832"/>
      <c r="BF79" s="2067"/>
      <c r="BG79" s="2059">
        <v>0</v>
      </c>
      <c r="BH79" s="3122">
        <f>93778.86</f>
        <v>93778.86</v>
      </c>
      <c r="BI79" s="2809">
        <f t="shared" ref="BI79" si="192">BH79/BH$89</f>
        <v>2.057159320634289E-2</v>
      </c>
      <c r="BJ79" s="2832"/>
      <c r="BK79" s="2067"/>
      <c r="BL79" s="2059">
        <v>0</v>
      </c>
      <c r="BM79" s="3122">
        <f>113547.81</f>
        <v>113547.81</v>
      </c>
      <c r="BN79" s="2809">
        <f t="shared" ref="BN79" si="193">BM79/BM$89</f>
        <v>1.8714130185786687E-2</v>
      </c>
      <c r="BO79" s="2832"/>
      <c r="BP79" s="2067"/>
      <c r="BQ79" s="2059">
        <v>0</v>
      </c>
      <c r="BR79" s="3122">
        <f>101606.23</f>
        <v>101606.23</v>
      </c>
      <c r="BS79" s="2809">
        <f t="shared" ref="BS79" si="194">BR79/BR$89</f>
        <v>4.1497045369355487E-2</v>
      </c>
      <c r="BT79" s="2832"/>
      <c r="BU79" s="2067"/>
      <c r="BV79" s="2059">
        <v>0</v>
      </c>
      <c r="BW79" s="3122">
        <f>41048.48</f>
        <v>41048.480000000003</v>
      </c>
      <c r="BX79" s="2809">
        <f>BW79/BW$89</f>
        <v>7.6042133696276271E-2</v>
      </c>
      <c r="BY79" s="2832"/>
      <c r="BZ79" s="2067"/>
      <c r="CA79" s="2059">
        <v>0</v>
      </c>
      <c r="CB79" s="3122"/>
      <c r="CC79" s="2809">
        <f>CB79/CB$89</f>
        <v>0</v>
      </c>
      <c r="CD79" s="2832"/>
      <c r="CE79" s="2067"/>
      <c r="CF79" s="2059">
        <v>0</v>
      </c>
      <c r="CG79" s="3122"/>
      <c r="CH79" s="2809">
        <f>CG79/CG$89</f>
        <v>0</v>
      </c>
      <c r="CI79" s="2832"/>
      <c r="CJ79" s="2067"/>
      <c r="CK79" s="2059">
        <v>0</v>
      </c>
      <c r="CL79" s="3122"/>
      <c r="CM79" s="2809">
        <f>CL79/CL$89</f>
        <v>0</v>
      </c>
      <c r="CN79" s="2832"/>
      <c r="CO79" s="2059">
        <f t="shared" si="189"/>
        <v>0</v>
      </c>
      <c r="CP79" s="2059">
        <f t="shared" si="190"/>
        <v>0</v>
      </c>
      <c r="CQ79" s="2059">
        <f t="shared" si="190"/>
        <v>1227105.17</v>
      </c>
      <c r="CR79" s="2824"/>
      <c r="CS79" s="2824"/>
      <c r="CT79" s="919"/>
      <c r="CU79" s="1579"/>
      <c r="CV79" s="1579"/>
      <c r="CW79" s="1579"/>
      <c r="CX79" s="1579"/>
      <c r="CY79" s="1579"/>
      <c r="CZ79" s="1579"/>
      <c r="DA79" s="1579"/>
      <c r="DB79" s="1579"/>
      <c r="DC79" s="1579"/>
      <c r="DD79" s="1579"/>
      <c r="DE79" s="1579"/>
      <c r="DF79" s="1579"/>
      <c r="DG79" s="1579"/>
      <c r="DH79" s="1579"/>
      <c r="DI79" s="1579"/>
      <c r="DJ79" s="1579"/>
      <c r="DK79" s="1579"/>
      <c r="DL79" s="1579"/>
      <c r="DM79" s="1579"/>
      <c r="DN79" s="1579"/>
      <c r="DO79" s="1579"/>
      <c r="DP79" s="1579"/>
      <c r="DQ79" s="1579"/>
      <c r="DR79" s="1579"/>
      <c r="DS79" s="1579"/>
      <c r="DT79" s="1579"/>
      <c r="DU79" s="1579"/>
      <c r="DV79" s="1579"/>
      <c r="DW79" s="1579"/>
      <c r="DX79" s="1579"/>
      <c r="DY79" s="1579"/>
      <c r="DZ79" s="1579"/>
      <c r="EA79" s="1579"/>
      <c r="EB79" s="1579"/>
      <c r="EC79" s="1579"/>
      <c r="ED79" s="1579"/>
      <c r="EE79" s="1579"/>
      <c r="EF79" s="1579"/>
      <c r="EG79" s="1579"/>
      <c r="EH79" s="1579"/>
      <c r="EI79" s="1579"/>
      <c r="EJ79" s="1579"/>
      <c r="EK79" s="1579"/>
      <c r="EL79" s="1579"/>
      <c r="EM79" s="1579"/>
      <c r="EN79" s="1579"/>
      <c r="EO79" s="1579"/>
      <c r="EP79" s="1579"/>
      <c r="EQ79" s="1579"/>
      <c r="ER79" s="1579"/>
      <c r="ES79" s="1579"/>
      <c r="ET79" s="1579"/>
      <c r="EU79" s="1579"/>
      <c r="EV79" s="1579"/>
      <c r="EW79" s="1579"/>
      <c r="EX79" s="1579"/>
      <c r="EY79" s="1579"/>
      <c r="EZ79" s="1579"/>
      <c r="FA79" s="1579"/>
      <c r="FB79" s="1579"/>
      <c r="FC79" s="1579"/>
      <c r="FD79" s="1579"/>
      <c r="FE79" s="1579"/>
      <c r="FF79" s="1579"/>
      <c r="FG79" s="1579"/>
      <c r="FH79" s="1579"/>
      <c r="FI79" s="1579"/>
      <c r="FJ79" s="1579"/>
      <c r="FK79" s="1579"/>
      <c r="FL79" s="1579"/>
      <c r="FM79" s="1579"/>
      <c r="FN79" s="1579"/>
      <c r="FO79" s="1579"/>
      <c r="FP79" s="1579"/>
      <c r="FQ79" s="1579"/>
      <c r="FR79" s="1579"/>
      <c r="FS79" s="1579"/>
      <c r="FT79" s="1579"/>
      <c r="FU79" s="1579"/>
      <c r="FV79" s="1579"/>
    </row>
    <row r="80" spans="1:178" ht="14.4" customHeight="1" outlineLevel="2" x14ac:dyDescent="0.25">
      <c r="A80" s="1412"/>
      <c r="B80" s="3130"/>
      <c r="C80" s="2840"/>
      <c r="D80" s="2841"/>
      <c r="E80" s="2842"/>
      <c r="F80" s="2843"/>
      <c r="G80" s="1995"/>
      <c r="H80" s="2067"/>
      <c r="I80" s="2804"/>
      <c r="J80" s="3043"/>
      <c r="K80" s="2845"/>
      <c r="L80" s="2845"/>
      <c r="M80" s="1995"/>
      <c r="N80" s="2067"/>
      <c r="O80" s="2804"/>
      <c r="P80" s="3043"/>
      <c r="Q80" s="2845"/>
      <c r="R80" s="2067"/>
      <c r="S80" s="2059"/>
      <c r="T80" s="2844"/>
      <c r="U80" s="2844"/>
      <c r="V80" s="2845"/>
      <c r="W80" s="2067"/>
      <c r="X80" s="2059"/>
      <c r="Y80" s="2844"/>
      <c r="Z80" s="2844"/>
      <c r="AA80" s="2845"/>
      <c r="AB80" s="2072"/>
      <c r="AC80" s="2066"/>
      <c r="AD80" s="3205"/>
      <c r="AE80" s="3205"/>
      <c r="AF80" s="3206"/>
      <c r="AG80" s="2067"/>
      <c r="AH80" s="2059"/>
      <c r="AI80" s="2844"/>
      <c r="AJ80" s="2844"/>
      <c r="AK80" s="2845"/>
      <c r="AL80" s="2067"/>
      <c r="AM80" s="2059"/>
      <c r="AN80" s="2844"/>
      <c r="AO80" s="2844"/>
      <c r="AP80" s="2845"/>
      <c r="AQ80" s="2067"/>
      <c r="AR80" s="2059"/>
      <c r="AS80" s="2844"/>
      <c r="AT80" s="2844"/>
      <c r="AU80" s="2845"/>
      <c r="AV80" s="2067"/>
      <c r="AW80" s="2059"/>
      <c r="AX80" s="2844"/>
      <c r="AY80" s="2844"/>
      <c r="AZ80" s="2845"/>
      <c r="BA80" s="2067"/>
      <c r="BB80" s="2059"/>
      <c r="BC80" s="2844"/>
      <c r="BD80" s="2844"/>
      <c r="BE80" s="2845"/>
      <c r="BF80" s="2067"/>
      <c r="BG80" s="2059"/>
      <c r="BH80" s="2844"/>
      <c r="BI80" s="2844"/>
      <c r="BJ80" s="2845"/>
      <c r="BK80" s="2067"/>
      <c r="BL80" s="2059"/>
      <c r="BM80" s="2844"/>
      <c r="BN80" s="2844"/>
      <c r="BO80" s="2845"/>
      <c r="BP80" s="2067"/>
      <c r="BQ80" s="2059"/>
      <c r="BR80" s="2844"/>
      <c r="BS80" s="2844"/>
      <c r="BT80" s="2845"/>
      <c r="BU80" s="2067"/>
      <c r="BV80" s="2059"/>
      <c r="BW80" s="2844"/>
      <c r="BX80" s="2844"/>
      <c r="BY80" s="2845"/>
      <c r="BZ80" s="2067"/>
      <c r="CA80" s="2059"/>
      <c r="CB80" s="2844"/>
      <c r="CC80" s="2844"/>
      <c r="CD80" s="2845"/>
      <c r="CE80" s="2067"/>
      <c r="CF80" s="2059"/>
      <c r="CG80" s="2844"/>
      <c r="CH80" s="2844"/>
      <c r="CI80" s="2845"/>
      <c r="CJ80" s="2067"/>
      <c r="CK80" s="2059"/>
      <c r="CL80" s="2844"/>
      <c r="CM80" s="2844"/>
      <c r="CN80" s="2845"/>
      <c r="CO80" s="2059">
        <f>G80+AL80+AQ80+AV80+BA80+BF80</f>
        <v>0</v>
      </c>
      <c r="CP80" s="2059">
        <f>H80+AM80+AR80+AW80+BB80+BG80</f>
        <v>0</v>
      </c>
      <c r="CQ80" s="2844">
        <f>CO80+CP80*1</f>
        <v>0</v>
      </c>
      <c r="CR80" s="2844"/>
      <c r="CS80" s="2844"/>
      <c r="CT80" s="919"/>
      <c r="CU80" s="1579"/>
      <c r="CV80" s="1579"/>
      <c r="CW80" s="1579"/>
    </row>
    <row r="81" spans="1:178" s="1411" customFormat="1" ht="14.4" customHeight="1" outlineLevel="1" thickBot="1" x14ac:dyDescent="0.3">
      <c r="A81" s="1434"/>
      <c r="B81" s="2864" t="s">
        <v>12</v>
      </c>
      <c r="C81" s="2974">
        <f>(C75+C78)-C79</f>
        <v>116246095.55673152</v>
      </c>
      <c r="D81" s="2974">
        <f>(D75+D78)-D79</f>
        <v>0</v>
      </c>
      <c r="E81" s="2866">
        <f>(E75+E78)-E79</f>
        <v>116246095.55673152</v>
      </c>
      <c r="F81" s="2867"/>
      <c r="G81" s="2974">
        <f>(G75+G78)-G79</f>
        <v>22701516.403999995</v>
      </c>
      <c r="H81" s="2866">
        <f>(H75+H78)-H79</f>
        <v>-4835157.6499999994</v>
      </c>
      <c r="I81" s="2974">
        <f>(I75+I78)-I79</f>
        <v>17374506.763999984</v>
      </c>
      <c r="J81" s="2868"/>
      <c r="K81" s="2869"/>
      <c r="L81" s="2869"/>
      <c r="M81" s="2974">
        <f>(M75+M78)-M79</f>
        <v>-914734.65200000012</v>
      </c>
      <c r="N81" s="2866">
        <f>(N75+N78)-N79</f>
        <v>-308420.05</v>
      </c>
      <c r="O81" s="2974">
        <f>(O75+O78)-O79</f>
        <v>-1256414.23</v>
      </c>
      <c r="P81" s="2868"/>
      <c r="Q81" s="2869"/>
      <c r="R81" s="2974">
        <f>(R75+R78)-R79</f>
        <v>3846186.7879999997</v>
      </c>
      <c r="S81" s="2974">
        <f>(S75+S78)-S79</f>
        <v>-706865.95000000007</v>
      </c>
      <c r="T81" s="2866">
        <f>(T75+T78)-T79</f>
        <v>3048805.4560000002</v>
      </c>
      <c r="U81" s="2868"/>
      <c r="V81" s="2869"/>
      <c r="W81" s="2974">
        <f>(W75+W78)-W79</f>
        <v>4727996.5</v>
      </c>
      <c r="X81" s="2974">
        <f>(X75+X78)-X79</f>
        <v>-1039892.33</v>
      </c>
      <c r="Y81" s="2866">
        <f>(Y75+Y78)-Y79</f>
        <v>3234461.9320000014</v>
      </c>
      <c r="Z81" s="2868"/>
      <c r="AA81" s="2869"/>
      <c r="AB81" s="3204">
        <f>(AB75+AB78)-AB79</f>
        <v>8857687.0739999972</v>
      </c>
      <c r="AC81" s="3204">
        <f>(AC75+AC78)-AC79</f>
        <v>-1191560.0599999998</v>
      </c>
      <c r="AD81" s="3040">
        <f>(AD75+AD78)-AD79</f>
        <v>2985282.5720000016</v>
      </c>
      <c r="AE81" s="3041"/>
      <c r="AF81" s="3042"/>
      <c r="AG81" s="2974">
        <f>(AG75+AG78)-AG79</f>
        <v>10529120.508000001</v>
      </c>
      <c r="AH81" s="2974">
        <f>(AH75+AH78)-AH79</f>
        <v>-1641104.1999999997</v>
      </c>
      <c r="AI81" s="2866">
        <f>(AI75+AI78)-AI79</f>
        <v>8650080.5880000014</v>
      </c>
      <c r="AJ81" s="2868"/>
      <c r="AK81" s="2869"/>
      <c r="AL81" s="2974">
        <f>(AL75+AL78)-AL79</f>
        <v>4949554.9160000011</v>
      </c>
      <c r="AM81" s="2974">
        <f>(AM75+AM78)-AM79</f>
        <v>-1157142.7999999998</v>
      </c>
      <c r="AN81" s="2866">
        <f>(AN75+AN78)-AN79</f>
        <v>3708746.2060000002</v>
      </c>
      <c r="AO81" s="2868"/>
      <c r="AP81" s="2869"/>
      <c r="AQ81" s="2974">
        <f>(AQ75+AQ78)-AQ79</f>
        <v>3005834.2279999987</v>
      </c>
      <c r="AR81" s="2974">
        <f>(AR75+AR78)-AR79</f>
        <v>-796299.77</v>
      </c>
      <c r="AS81" s="2866">
        <f>(AS75+AS78)-AS79</f>
        <v>2080478.1979999978</v>
      </c>
      <c r="AT81" s="2868"/>
      <c r="AU81" s="2869"/>
      <c r="AV81" s="2974">
        <f>(AV75+AV78)-AV79</f>
        <v>443297.9939999996</v>
      </c>
      <c r="AW81" s="2974">
        <f>(AW75+AW78)-AW79</f>
        <v>-661342.47999999986</v>
      </c>
      <c r="AX81" s="2866">
        <f>(AX75+AX78)-AX79</f>
        <v>-291439.34600000019</v>
      </c>
      <c r="AY81" s="2868"/>
      <c r="AZ81" s="2869"/>
      <c r="BA81" s="2974">
        <f>(BA75+BA78)-BA79</f>
        <v>931504.798000001</v>
      </c>
      <c r="BB81" s="2974">
        <f>(BB75+BB78)-BB79</f>
        <v>-945025.64000000013</v>
      </c>
      <c r="BC81" s="2866">
        <f>(BC75+BC78)-BC79</f>
        <v>-112675.61199999883</v>
      </c>
      <c r="BD81" s="2868"/>
      <c r="BE81" s="2869"/>
      <c r="BF81" s="2974">
        <f>(BF75+BF78)-BF79</f>
        <v>4264127.04</v>
      </c>
      <c r="BG81" s="2974">
        <f>(BG75+BG78)-BG79</f>
        <v>-664421.61</v>
      </c>
      <c r="BH81" s="2866">
        <f>(BH75+BH78)-BH79</f>
        <v>3505926.5700000003</v>
      </c>
      <c r="BI81" s="2868"/>
      <c r="BJ81" s="2869"/>
      <c r="BK81" s="2974">
        <f>(BK75+BK78)-BK79</f>
        <v>5845367.8359999983</v>
      </c>
      <c r="BL81" s="2974">
        <f>(BL75+BL78)-BL79</f>
        <v>-1224601.43</v>
      </c>
      <c r="BM81" s="2866">
        <f>(BM75+BM78)-BM79</f>
        <v>4507218.595999999</v>
      </c>
      <c r="BN81" s="2868"/>
      <c r="BO81" s="2869"/>
      <c r="BP81" s="2974">
        <f>(BP75+BP78)-BP79</f>
        <v>61090.574000000037</v>
      </c>
      <c r="BQ81" s="2974">
        <f>(BQ75+BQ78)-BQ79</f>
        <v>-697030.29999999993</v>
      </c>
      <c r="BR81" s="2866">
        <f>(BR75+BR78)-BR79</f>
        <v>-737545.95600000001</v>
      </c>
      <c r="BS81" s="2868"/>
      <c r="BT81" s="2869"/>
      <c r="BU81" s="2974">
        <f>(BU75+BU78)-BU79</f>
        <v>-147943.13200000001</v>
      </c>
      <c r="BV81" s="2974">
        <f>(BV75+BV78)-BV79</f>
        <v>-350820.7</v>
      </c>
      <c r="BW81" s="2866">
        <f>(BW75+BW78)-BW79</f>
        <v>-539812.31200000003</v>
      </c>
      <c r="BX81" s="2868"/>
      <c r="BY81" s="2869"/>
      <c r="BZ81" s="2974">
        <f>(BZ75+BZ78)-BZ79</f>
        <v>-3575543.19</v>
      </c>
      <c r="CA81" s="2974">
        <f>(CA75+CA78)-CA79</f>
        <v>0</v>
      </c>
      <c r="CB81" s="2866">
        <f>(CB75+CB78)-CB79</f>
        <v>-3575543.19</v>
      </c>
      <c r="CC81" s="2868"/>
      <c r="CD81" s="2869"/>
      <c r="CE81" s="2974">
        <f>(CE75+CE78)-CE79</f>
        <v>-2009530.5899999999</v>
      </c>
      <c r="CF81" s="2974">
        <f>(CF75+CF78)-CF79</f>
        <v>0</v>
      </c>
      <c r="CG81" s="2866">
        <f>(CG75+CG78)-CG79</f>
        <v>-2009530.5899999999</v>
      </c>
      <c r="CH81" s="2868"/>
      <c r="CI81" s="2869"/>
      <c r="CJ81" s="2974">
        <f>(CJ75+CJ78)-CJ79</f>
        <v>0</v>
      </c>
      <c r="CK81" s="2974">
        <f>(CK75+CK78)-CK79</f>
        <v>0</v>
      </c>
      <c r="CL81" s="2866">
        <f>(CL75+CL78)-CL79</f>
        <v>0</v>
      </c>
      <c r="CM81" s="2868"/>
      <c r="CN81" s="2869"/>
      <c r="CO81" s="2974">
        <f>(CO75+CO78)-CO79</f>
        <v>35768671.372000001</v>
      </c>
      <c r="CP81" s="2974">
        <f>(CP75+CP78)-CP79</f>
        <v>-11343527.319999998</v>
      </c>
      <c r="CQ81" s="2866">
        <f>(CQ75+CQ78)-CQ79</f>
        <v>23198038.881999992</v>
      </c>
      <c r="CR81" s="2868"/>
      <c r="CS81" s="2868"/>
      <c r="CT81" s="919"/>
      <c r="CU81" s="1579"/>
      <c r="CV81" s="1579"/>
      <c r="CW81" s="1579"/>
      <c r="CX81" s="1579"/>
      <c r="CY81" s="1579"/>
      <c r="CZ81" s="1579"/>
      <c r="DA81" s="1579"/>
      <c r="DB81" s="1579"/>
      <c r="DC81" s="1579"/>
      <c r="DD81" s="1579"/>
      <c r="DE81" s="1579"/>
      <c r="DF81" s="1579"/>
      <c r="DG81" s="1579"/>
      <c r="DH81" s="1579"/>
      <c r="DI81" s="1579"/>
      <c r="DJ81" s="1579"/>
      <c r="DK81" s="1579"/>
      <c r="DL81" s="1579"/>
      <c r="DM81" s="1579"/>
      <c r="DN81" s="1579"/>
      <c r="DO81" s="1579"/>
      <c r="DP81" s="1579"/>
      <c r="DQ81" s="1579"/>
      <c r="DR81" s="1579"/>
      <c r="DS81" s="1579"/>
      <c r="DT81" s="1579"/>
      <c r="DU81" s="1579"/>
      <c r="DV81" s="1579"/>
      <c r="DW81" s="1579"/>
      <c r="DX81" s="1579"/>
      <c r="DY81" s="1579"/>
      <c r="DZ81" s="1579"/>
      <c r="EA81" s="1579"/>
      <c r="EB81" s="1579"/>
      <c r="EC81" s="1579"/>
      <c r="ED81" s="1579"/>
      <c r="EE81" s="1579"/>
      <c r="EF81" s="1579"/>
      <c r="EG81" s="1579"/>
      <c r="EH81" s="1579"/>
      <c r="EI81" s="1579"/>
      <c r="EJ81" s="1579"/>
      <c r="EK81" s="1579"/>
      <c r="EL81" s="1579"/>
      <c r="EM81" s="1579"/>
      <c r="EN81" s="1579"/>
      <c r="EO81" s="1579"/>
      <c r="EP81" s="1579"/>
      <c r="EQ81" s="1579"/>
      <c r="ER81" s="1579"/>
      <c r="ES81" s="1579"/>
      <c r="ET81" s="1579"/>
      <c r="EU81" s="1579"/>
      <c r="EV81" s="1579"/>
      <c r="EW81" s="1579"/>
      <c r="EX81" s="1579"/>
      <c r="EY81" s="1579"/>
      <c r="EZ81" s="1579"/>
      <c r="FA81" s="1579"/>
      <c r="FB81" s="1579"/>
      <c r="FC81" s="1579"/>
      <c r="FD81" s="1579"/>
      <c r="FE81" s="1579"/>
      <c r="FF81" s="1579"/>
      <c r="FG81" s="1579"/>
      <c r="FH81" s="1579"/>
      <c r="FI81" s="1579"/>
      <c r="FJ81" s="1579"/>
      <c r="FK81" s="1579"/>
      <c r="FL81" s="1579"/>
      <c r="FM81" s="1579"/>
      <c r="FN81" s="1579"/>
      <c r="FO81" s="1579"/>
      <c r="FP81" s="1579"/>
      <c r="FQ81" s="1579"/>
      <c r="FR81" s="1579"/>
      <c r="FS81" s="1579"/>
      <c r="FT81" s="1579"/>
      <c r="FU81" s="1579"/>
      <c r="FV81" s="1579"/>
    </row>
    <row r="82" spans="1:178" s="1411" customFormat="1" ht="14.4" customHeight="1" outlineLevel="2" x14ac:dyDescent="0.25">
      <c r="A82" s="1580"/>
      <c r="B82" s="1637" t="s">
        <v>38</v>
      </c>
      <c r="C82" s="1525"/>
      <c r="D82" s="1526"/>
      <c r="E82" s="1530">
        <f>C82+D82</f>
        <v>0</v>
      </c>
      <c r="F82" s="2831" t="e">
        <f>E82/$E$89</f>
        <v>#DIV/0!</v>
      </c>
      <c r="G82" s="1995">
        <v>0</v>
      </c>
      <c r="H82" s="2067">
        <v>0</v>
      </c>
      <c r="I82" s="1980">
        <f>G82+H82</f>
        <v>0</v>
      </c>
      <c r="J82" s="1984"/>
      <c r="K82" s="1763"/>
      <c r="L82" s="1763"/>
      <c r="M82" s="1995"/>
      <c r="N82" s="2067"/>
      <c r="O82" s="1980">
        <f>M82+N82</f>
        <v>0</v>
      </c>
      <c r="P82" s="1984"/>
      <c r="Q82" s="1763"/>
      <c r="R82" s="2067"/>
      <c r="S82" s="2059"/>
      <c r="T82" s="1530">
        <f>R82+S82</f>
        <v>0</v>
      </c>
      <c r="U82" s="1491"/>
      <c r="V82" s="2062"/>
      <c r="W82" s="2067"/>
      <c r="X82" s="2059"/>
      <c r="Y82" s="1530">
        <f>W82+X82</f>
        <v>0</v>
      </c>
      <c r="Z82" s="1491"/>
      <c r="AA82" s="1763"/>
      <c r="AB82" s="2072"/>
      <c r="AC82" s="2066"/>
      <c r="AD82" s="1776">
        <f>AB82+AC82</f>
        <v>0</v>
      </c>
      <c r="AE82" s="1827"/>
      <c r="AF82" s="1828"/>
      <c r="AG82" s="2067"/>
      <c r="AH82" s="2059"/>
      <c r="AI82" s="1530">
        <f>AG82+AH82</f>
        <v>0</v>
      </c>
      <c r="AJ82" s="1491"/>
      <c r="AK82" s="2062"/>
      <c r="AL82" s="2067"/>
      <c r="AM82" s="2059"/>
      <c r="AN82" s="1530">
        <f>AL82+AM82</f>
        <v>0</v>
      </c>
      <c r="AO82" s="1491"/>
      <c r="AP82" s="2062"/>
      <c r="AQ82" s="2067"/>
      <c r="AR82" s="2059"/>
      <c r="AS82" s="1530">
        <f>AQ82+AR82</f>
        <v>0</v>
      </c>
      <c r="AT82" s="1491"/>
      <c r="AU82" s="2062"/>
      <c r="AV82" s="2067"/>
      <c r="AW82" s="2059"/>
      <c r="AX82" s="1530">
        <f>AV82+AW82</f>
        <v>0</v>
      </c>
      <c r="AY82" s="1491"/>
      <c r="AZ82" s="2062"/>
      <c r="BA82" s="2067"/>
      <c r="BB82" s="2059"/>
      <c r="BC82" s="1530">
        <f>BA82+BB82</f>
        <v>0</v>
      </c>
      <c r="BD82" s="1491"/>
      <c r="BE82" s="2062"/>
      <c r="BF82" s="2067"/>
      <c r="BG82" s="2059"/>
      <c r="BH82" s="1530">
        <f>BF82+BG82</f>
        <v>0</v>
      </c>
      <c r="BI82" s="1491"/>
      <c r="BJ82" s="2062"/>
      <c r="BK82" s="2067"/>
      <c r="BL82" s="2059"/>
      <c r="BM82" s="1530">
        <f>BK82+BL82</f>
        <v>0</v>
      </c>
      <c r="BN82" s="1491"/>
      <c r="BO82" s="2062"/>
      <c r="BP82" s="2067"/>
      <c r="BQ82" s="2059"/>
      <c r="BR82" s="1530">
        <f>BP82+BQ82</f>
        <v>0</v>
      </c>
      <c r="BS82" s="1491"/>
      <c r="BT82" s="2062"/>
      <c r="BU82" s="2067"/>
      <c r="BV82" s="2059"/>
      <c r="BW82" s="1530">
        <f>BU82+BV82</f>
        <v>0</v>
      </c>
      <c r="BX82" s="1491"/>
      <c r="BY82" s="2062"/>
      <c r="BZ82" s="2067"/>
      <c r="CA82" s="2059"/>
      <c r="CB82" s="1530">
        <f>BZ82+CA82</f>
        <v>0</v>
      </c>
      <c r="CC82" s="1491"/>
      <c r="CD82" s="2062"/>
      <c r="CE82" s="2067"/>
      <c r="CF82" s="2059"/>
      <c r="CG82" s="1530">
        <f>CE82+CF82</f>
        <v>0</v>
      </c>
      <c r="CH82" s="1491"/>
      <c r="CI82" s="2062"/>
      <c r="CJ82" s="2067"/>
      <c r="CK82" s="2059"/>
      <c r="CL82" s="1530">
        <f>CJ82+CK82</f>
        <v>0</v>
      </c>
      <c r="CM82" s="1491"/>
      <c r="CN82" s="2062"/>
      <c r="CO82" s="2059">
        <f>M82+R82+W82+AB82+AG82+AL82+AQ82+AV82+BA82+BF82+BK82+BP82+BU82+BZ82+CE82+CJ82</f>
        <v>0</v>
      </c>
      <c r="CP82" s="2059">
        <f>N82+S82+X82+AC82+AH82+AM82+AR82+AW82+BB82+BG82+BL82+BQ82+BV82+CA82+CF82+CK82</f>
        <v>0</v>
      </c>
      <c r="CQ82" s="3102">
        <f>CO82+CP82*1</f>
        <v>0</v>
      </c>
      <c r="CR82" s="1491"/>
      <c r="CS82" s="1491"/>
      <c r="CT82" s="919"/>
      <c r="CU82" s="1579"/>
      <c r="CV82" s="1579"/>
      <c r="CW82" s="1579"/>
      <c r="CX82" s="1579"/>
      <c r="CY82" s="1579"/>
      <c r="CZ82" s="1579"/>
      <c r="DA82" s="1579"/>
      <c r="DB82" s="1579"/>
      <c r="DC82" s="1579"/>
      <c r="DD82" s="1579"/>
      <c r="DE82" s="1579"/>
      <c r="DF82" s="1579"/>
      <c r="DG82" s="1579"/>
      <c r="DH82" s="1579"/>
      <c r="DI82" s="1579"/>
      <c r="DJ82" s="1579"/>
      <c r="DK82" s="1579"/>
      <c r="DL82" s="1579"/>
      <c r="DM82" s="1579"/>
      <c r="DN82" s="1579"/>
      <c r="DO82" s="1579"/>
      <c r="DP82" s="1579"/>
      <c r="DQ82" s="1579"/>
      <c r="DR82" s="1579"/>
      <c r="DS82" s="1579"/>
      <c r="DT82" s="1579"/>
      <c r="DU82" s="1579"/>
      <c r="DV82" s="1579"/>
      <c r="DW82" s="1579"/>
      <c r="DX82" s="1579"/>
      <c r="DY82" s="1579"/>
      <c r="DZ82" s="1579"/>
      <c r="EA82" s="1579"/>
      <c r="EB82" s="1579"/>
      <c r="EC82" s="1579"/>
      <c r="ED82" s="1579"/>
      <c r="EE82" s="1579"/>
      <c r="EF82" s="1579"/>
      <c r="EG82" s="1579"/>
      <c r="EH82" s="1579"/>
      <c r="EI82" s="1579"/>
      <c r="EJ82" s="1579"/>
      <c r="EK82" s="1579"/>
      <c r="EL82" s="1579"/>
      <c r="EM82" s="1579"/>
      <c r="EN82" s="1579"/>
      <c r="EO82" s="1579"/>
      <c r="EP82" s="1579"/>
      <c r="EQ82" s="1579"/>
      <c r="ER82" s="1579"/>
      <c r="ES82" s="1579"/>
      <c r="ET82" s="1579"/>
      <c r="EU82" s="1579"/>
      <c r="EV82" s="1579"/>
      <c r="EW82" s="1579"/>
      <c r="EX82" s="1579"/>
      <c r="EY82" s="1579"/>
      <c r="EZ82" s="1579"/>
      <c r="FA82" s="1579"/>
      <c r="FB82" s="1579"/>
      <c r="FC82" s="1579"/>
      <c r="FD82" s="1579"/>
      <c r="FE82" s="1579"/>
      <c r="FF82" s="1579"/>
      <c r="FG82" s="1579"/>
      <c r="FH82" s="1579"/>
      <c r="FI82" s="1579"/>
      <c r="FJ82" s="1579"/>
      <c r="FK82" s="1579"/>
      <c r="FL82" s="1579"/>
      <c r="FM82" s="1579"/>
      <c r="FN82" s="1579"/>
      <c r="FO82" s="1579"/>
      <c r="FP82" s="1579"/>
      <c r="FQ82" s="1579"/>
      <c r="FR82" s="1579"/>
      <c r="FS82" s="1579"/>
      <c r="FT82" s="1579"/>
      <c r="FU82" s="1579"/>
      <c r="FV82" s="1579"/>
    </row>
    <row r="83" spans="1:178" s="1411" customFormat="1" ht="14.4" customHeight="1" outlineLevel="1" x14ac:dyDescent="0.25">
      <c r="A83" s="1420"/>
      <c r="B83" s="3131" t="s">
        <v>13</v>
      </c>
      <c r="C83" s="2846">
        <f>(C81+C7)-C36</f>
        <v>117107844.57751702</v>
      </c>
      <c r="D83" s="2846">
        <f>(D81+D7)-D36</f>
        <v>0</v>
      </c>
      <c r="E83" s="2846">
        <f>(E81+E7)-E36</f>
        <v>117107844.57751702</v>
      </c>
      <c r="F83" s="2847"/>
      <c r="G83" s="2846">
        <f t="shared" ref="G83:I83" si="195">(G81)-G36</f>
        <v>22646242.283999994</v>
      </c>
      <c r="H83" s="2846">
        <f t="shared" si="195"/>
        <v>-4835157.6499999994</v>
      </c>
      <c r="I83" s="2848">
        <f t="shared" si="195"/>
        <v>17319232.643999983</v>
      </c>
      <c r="J83" s="2849"/>
      <c r="K83" s="2850"/>
      <c r="L83" s="2850"/>
      <c r="M83" s="2846">
        <f>(M81)-M36</f>
        <v>-925434.81200000015</v>
      </c>
      <c r="N83" s="2846">
        <f>(N81)-N36</f>
        <v>-308420.05</v>
      </c>
      <c r="O83" s="2848">
        <f t="shared" ref="O83" si="196">(O81)-O36</f>
        <v>-1267114.3899999999</v>
      </c>
      <c r="P83" s="2849"/>
      <c r="Q83" s="2850"/>
      <c r="R83" s="2846">
        <f>(R81+R7)-R36</f>
        <v>3827813.2279999997</v>
      </c>
      <c r="S83" s="2846">
        <f>(S81+S7)-S36</f>
        <v>-699665.95000000007</v>
      </c>
      <c r="T83" s="2848">
        <f t="shared" ref="T83" si="197">(T81)-T36</f>
        <v>3025431.8960000002</v>
      </c>
      <c r="U83" s="2849"/>
      <c r="V83" s="2850"/>
      <c r="W83" s="2846">
        <f>(W81+W7)-W36</f>
        <v>4727996.5</v>
      </c>
      <c r="X83" s="2846">
        <f>(X81+X7)-X36</f>
        <v>-1039892.33</v>
      </c>
      <c r="Y83" s="2848">
        <f t="shared" ref="Y83" si="198">(Y81)-Y36</f>
        <v>3234461.9320000014</v>
      </c>
      <c r="Z83" s="2849"/>
      <c r="AA83" s="2850"/>
      <c r="AB83" s="3044">
        <f>(AB81+AB7)-AB36</f>
        <v>8836486.6739999969</v>
      </c>
      <c r="AC83" s="3044">
        <f>(AC81+AC7)-AC36</f>
        <v>-1157760.0599999998</v>
      </c>
      <c r="AD83" s="3045">
        <f t="shared" ref="AD83" si="199">(AD81)-AD36</f>
        <v>2964082.1720000017</v>
      </c>
      <c r="AE83" s="3046"/>
      <c r="AF83" s="3047"/>
      <c r="AG83" s="2846">
        <f>(AG81+AG7)-AG36</f>
        <v>10529120.508000001</v>
      </c>
      <c r="AH83" s="2846">
        <f>(AH81+AH7)-AH36</f>
        <v>-1641104.1999999997</v>
      </c>
      <c r="AI83" s="2848">
        <f t="shared" ref="AI83" si="200">(AI81)-AI36</f>
        <v>8650080.5880000014</v>
      </c>
      <c r="AJ83" s="2849"/>
      <c r="AK83" s="2850"/>
      <c r="AL83" s="2846">
        <f t="shared" ref="AL83:AN83" si="201">(AL81)-AL36</f>
        <v>4949554.9160000011</v>
      </c>
      <c r="AM83" s="2846">
        <f t="shared" si="201"/>
        <v>-1157142.7999999998</v>
      </c>
      <c r="AN83" s="2848">
        <f t="shared" si="201"/>
        <v>3708746.2060000002</v>
      </c>
      <c r="AO83" s="2849"/>
      <c r="AP83" s="2850"/>
      <c r="AQ83" s="2846">
        <f t="shared" ref="AQ83:AS83" si="202">(AQ81)-AQ36</f>
        <v>3005834.2279999987</v>
      </c>
      <c r="AR83" s="2846">
        <f t="shared" si="202"/>
        <v>-796299.77</v>
      </c>
      <c r="AS83" s="2848">
        <f t="shared" si="202"/>
        <v>2080478.1979999978</v>
      </c>
      <c r="AT83" s="2849"/>
      <c r="AU83" s="2850"/>
      <c r="AV83" s="2846">
        <f t="shared" ref="AV83:AX83" si="203">(AV81)-AV36</f>
        <v>443297.9939999996</v>
      </c>
      <c r="AW83" s="2846">
        <f t="shared" si="203"/>
        <v>-661342.47999999986</v>
      </c>
      <c r="AX83" s="2848">
        <f t="shared" si="203"/>
        <v>-291439.34600000019</v>
      </c>
      <c r="AY83" s="2849"/>
      <c r="AZ83" s="2850"/>
      <c r="BA83" s="2846">
        <f t="shared" ref="BA83:BC83" si="204">(BA81)-BA36</f>
        <v>931504.798000001</v>
      </c>
      <c r="BB83" s="2846">
        <f t="shared" si="204"/>
        <v>-945025.64000000013</v>
      </c>
      <c r="BC83" s="2848">
        <f t="shared" si="204"/>
        <v>-112675.61199999883</v>
      </c>
      <c r="BD83" s="2849"/>
      <c r="BE83" s="2850"/>
      <c r="BF83" s="2846">
        <f t="shared" ref="BF83:BH83" si="205">(BF81)-BF36</f>
        <v>4264127.04</v>
      </c>
      <c r="BG83" s="2846">
        <f t="shared" si="205"/>
        <v>-664421.61</v>
      </c>
      <c r="BH83" s="2848">
        <f t="shared" si="205"/>
        <v>3505926.5700000003</v>
      </c>
      <c r="BI83" s="2849"/>
      <c r="BJ83" s="2850"/>
      <c r="BK83" s="2846">
        <f>(BK81+BK7)-BK36</f>
        <v>5845367.8359999983</v>
      </c>
      <c r="BL83" s="2846">
        <f>(BL81+BL7)-BL36</f>
        <v>-1224601.43</v>
      </c>
      <c r="BM83" s="2848">
        <f>(BM81+BM7)-BM36</f>
        <v>4507218.595999999</v>
      </c>
      <c r="BN83" s="2849"/>
      <c r="BO83" s="2850"/>
      <c r="BP83" s="2846">
        <f>(BP81+BP7)-BP36</f>
        <v>61090.574000000037</v>
      </c>
      <c r="BQ83" s="2846">
        <f>(BQ81+BQ7)-BQ36</f>
        <v>-655830.29999999993</v>
      </c>
      <c r="BR83" s="2848">
        <f>(BR81)-BR36</f>
        <v>-737545.95600000001</v>
      </c>
      <c r="BS83" s="2849"/>
      <c r="BT83" s="2850"/>
      <c r="BU83" s="2846">
        <f>(BU81)-BU36</f>
        <v>-147943.13200000001</v>
      </c>
      <c r="BV83" s="2846">
        <f>(BV81+BV7)-BV36</f>
        <v>-350820.7</v>
      </c>
      <c r="BW83" s="2848">
        <f>(BW81)-BW36</f>
        <v>-539812.31200000003</v>
      </c>
      <c r="BX83" s="2849"/>
      <c r="BY83" s="2850"/>
      <c r="BZ83" s="2846">
        <f>(BZ81)-BZ36</f>
        <v>-3575543.19</v>
      </c>
      <c r="CA83" s="2846">
        <f>(CA81+CA7)-CA36</f>
        <v>0</v>
      </c>
      <c r="CB83" s="2848">
        <f>(CB81)-CB36</f>
        <v>-3575543.19</v>
      </c>
      <c r="CC83" s="2849"/>
      <c r="CD83" s="2850"/>
      <c r="CE83" s="2846">
        <f>(CE81)-CE36</f>
        <v>-2009530.5899999999</v>
      </c>
      <c r="CF83" s="2846">
        <f>(CF81+CF7)-CF36</f>
        <v>0</v>
      </c>
      <c r="CG83" s="2848">
        <f>(CG81)-CG36</f>
        <v>-2009530.5899999999</v>
      </c>
      <c r="CH83" s="2849"/>
      <c r="CI83" s="2850"/>
      <c r="CJ83" s="2846">
        <f>(CJ81)-CJ36</f>
        <v>0</v>
      </c>
      <c r="CK83" s="2846">
        <f>(CK81+CK7)-CK36</f>
        <v>0</v>
      </c>
      <c r="CL83" s="2848">
        <f>(CL81)-CL36</f>
        <v>0</v>
      </c>
      <c r="CM83" s="2849"/>
      <c r="CN83" s="2850"/>
      <c r="CO83" s="2846">
        <f t="shared" ref="CO83:CQ83" si="206">(CO81)-CO36</f>
        <v>35713397.252000004</v>
      </c>
      <c r="CP83" s="2846">
        <f t="shared" si="206"/>
        <v>-11343527.319999998</v>
      </c>
      <c r="CQ83" s="2848">
        <f t="shared" si="206"/>
        <v>23142764.761999991</v>
      </c>
      <c r="CR83" s="2849"/>
      <c r="CS83" s="2850"/>
      <c r="CT83" s="919"/>
      <c r="CU83" s="1579"/>
      <c r="CV83" s="1579"/>
      <c r="CW83" s="1579"/>
      <c r="CX83" s="1579"/>
      <c r="CY83" s="1579"/>
      <c r="CZ83" s="1579"/>
      <c r="DA83" s="1579"/>
      <c r="DB83" s="1579"/>
      <c r="DC83" s="1579"/>
      <c r="DD83" s="1579"/>
      <c r="DE83" s="1579"/>
      <c r="DF83" s="1579"/>
      <c r="DG83" s="1579"/>
      <c r="DH83" s="1579"/>
      <c r="DI83" s="1579"/>
      <c r="DJ83" s="1579"/>
      <c r="DK83" s="1579"/>
      <c r="DL83" s="1579"/>
      <c r="DM83" s="1579"/>
      <c r="DN83" s="1579"/>
      <c r="DO83" s="1579"/>
      <c r="DP83" s="1579"/>
      <c r="DQ83" s="1579"/>
      <c r="DR83" s="1579"/>
      <c r="DS83" s="1579"/>
      <c r="DT83" s="1579"/>
      <c r="DU83" s="1579"/>
      <c r="DV83" s="1579"/>
      <c r="DW83" s="1579"/>
      <c r="DX83" s="1579"/>
      <c r="DY83" s="1579"/>
      <c r="DZ83" s="1579"/>
      <c r="EA83" s="1579"/>
      <c r="EB83" s="1579"/>
      <c r="EC83" s="1579"/>
      <c r="ED83" s="1579"/>
      <c r="EE83" s="1579"/>
      <c r="EF83" s="1579"/>
      <c r="EG83" s="1579"/>
      <c r="EH83" s="1579"/>
      <c r="EI83" s="1579"/>
      <c r="EJ83" s="1579"/>
      <c r="EK83" s="1579"/>
      <c r="EL83" s="1579"/>
      <c r="EM83" s="1579"/>
      <c r="EN83" s="1579"/>
      <c r="EO83" s="1579"/>
      <c r="EP83" s="1579"/>
      <c r="EQ83" s="1579"/>
      <c r="ER83" s="1579"/>
      <c r="ES83" s="1579"/>
      <c r="ET83" s="1579"/>
      <c r="EU83" s="1579"/>
      <c r="EV83" s="1579"/>
      <c r="EW83" s="1579"/>
      <c r="EX83" s="1579"/>
      <c r="EY83" s="1579"/>
      <c r="EZ83" s="1579"/>
      <c r="FA83" s="1579"/>
      <c r="FB83" s="1579"/>
      <c r="FC83" s="1579"/>
      <c r="FD83" s="1579"/>
      <c r="FE83" s="1579"/>
      <c r="FF83" s="1579"/>
      <c r="FG83" s="1579"/>
      <c r="FH83" s="1579"/>
      <c r="FI83" s="1579"/>
      <c r="FJ83" s="1579"/>
      <c r="FK83" s="1579"/>
      <c r="FL83" s="1579"/>
      <c r="FM83" s="1579"/>
      <c r="FN83" s="1579"/>
      <c r="FO83" s="1579"/>
      <c r="FP83" s="1579"/>
      <c r="FQ83" s="1579"/>
      <c r="FR83" s="1579"/>
      <c r="FS83" s="1579"/>
      <c r="FT83" s="1579"/>
      <c r="FU83" s="1579"/>
      <c r="FV83" s="1579"/>
    </row>
    <row r="84" spans="1:178" s="1411" customFormat="1" ht="14.4" customHeight="1" outlineLevel="1" thickBot="1" x14ac:dyDescent="0.3">
      <c r="A84" s="1420"/>
      <c r="B84" s="2870" t="s">
        <v>14</v>
      </c>
      <c r="C84" s="2997">
        <f>C83-C73-C82</f>
        <v>117107844.57751702</v>
      </c>
      <c r="D84" s="2997">
        <f>D83-D73-D82</f>
        <v>0</v>
      </c>
      <c r="E84" s="2997">
        <f>E83-E73-E82</f>
        <v>117107844.57751702</v>
      </c>
      <c r="F84" s="2872"/>
      <c r="G84" s="2997">
        <f>G83-G73-G82</f>
        <v>22646242.283999994</v>
      </c>
      <c r="H84" s="2873">
        <f>H83-H73-H82</f>
        <v>-4835157.6499999994</v>
      </c>
      <c r="I84" s="2997">
        <f>I83-I73-I82</f>
        <v>17319232.643999983</v>
      </c>
      <c r="J84" s="2874"/>
      <c r="K84" s="2875"/>
      <c r="L84" s="2875"/>
      <c r="M84" s="2997">
        <f>M83-M73-M82</f>
        <v>-925434.81200000015</v>
      </c>
      <c r="N84" s="2873">
        <f>N83-N73-N82</f>
        <v>-308420.05</v>
      </c>
      <c r="O84" s="2997">
        <f>O83-O73-O82</f>
        <v>-1267114.3899999999</v>
      </c>
      <c r="P84" s="2874"/>
      <c r="Q84" s="2875"/>
      <c r="R84" s="2873">
        <f>R83-R73-R82</f>
        <v>3827813.2279999997</v>
      </c>
      <c r="S84" s="2873">
        <f>S83-S73-S82</f>
        <v>-699665.95000000007</v>
      </c>
      <c r="T84" s="2873">
        <f>T83-T73-T82</f>
        <v>3025431.8960000002</v>
      </c>
      <c r="U84" s="2874"/>
      <c r="V84" s="2875"/>
      <c r="W84" s="2873">
        <f>W83-W73-W82</f>
        <v>4727996.5</v>
      </c>
      <c r="X84" s="2873">
        <f>X83-X73-X82</f>
        <v>-1039892.33</v>
      </c>
      <c r="Y84" s="2873">
        <f>Y83-Y73-Y82</f>
        <v>3234461.9320000014</v>
      </c>
      <c r="Z84" s="2874"/>
      <c r="AA84" s="2875"/>
      <c r="AB84" s="3048">
        <f>AB83-AB73-AB82</f>
        <v>8836486.6739999969</v>
      </c>
      <c r="AC84" s="3048">
        <f>AC83-AC73-AC82</f>
        <v>-1157760.0599999998</v>
      </c>
      <c r="AD84" s="3048">
        <f>AD83-AD73-AD82</f>
        <v>2964082.1720000017</v>
      </c>
      <c r="AE84" s="3049"/>
      <c r="AF84" s="3050"/>
      <c r="AG84" s="2873">
        <f>AG83-AG73-AG82</f>
        <v>10529120.508000001</v>
      </c>
      <c r="AH84" s="2873">
        <f>AH83-AH73-AH82</f>
        <v>-1641104.1999999997</v>
      </c>
      <c r="AI84" s="2873">
        <f>AI83-AI73-AI82</f>
        <v>8650080.5880000014</v>
      </c>
      <c r="AJ84" s="2874"/>
      <c r="AK84" s="2875"/>
      <c r="AL84" s="2873">
        <f>AL83-AL73-AL82</f>
        <v>4949554.9160000011</v>
      </c>
      <c r="AM84" s="2873">
        <f>AM83-AM73-AM82</f>
        <v>-1157142.7999999998</v>
      </c>
      <c r="AN84" s="2873">
        <f>AN83-AN73-AN82</f>
        <v>3708746.2060000002</v>
      </c>
      <c r="AO84" s="2874"/>
      <c r="AP84" s="2875"/>
      <c r="AQ84" s="2873">
        <f>AQ83-AQ73-AQ82</f>
        <v>3005834.2279999987</v>
      </c>
      <c r="AR84" s="2873">
        <f>AR83-AR73-AR82</f>
        <v>-796299.77</v>
      </c>
      <c r="AS84" s="2873">
        <f>AS83-AS73-AS82</f>
        <v>2080478.1979999978</v>
      </c>
      <c r="AT84" s="2874"/>
      <c r="AU84" s="2875"/>
      <c r="AV84" s="2873">
        <f>AV83-AV73-AV82</f>
        <v>443297.9939999996</v>
      </c>
      <c r="AW84" s="2873">
        <f>AW83-AW73-AW82</f>
        <v>-661342.47999999986</v>
      </c>
      <c r="AX84" s="2873">
        <f>AX83-AX73-AX82</f>
        <v>-291439.34600000019</v>
      </c>
      <c r="AY84" s="2874"/>
      <c r="AZ84" s="2875"/>
      <c r="BA84" s="2873">
        <f>BA83-BA73-BA82</f>
        <v>931504.798000001</v>
      </c>
      <c r="BB84" s="2873">
        <f>BB83-BB73-BB82</f>
        <v>-945025.64000000013</v>
      </c>
      <c r="BC84" s="2873">
        <f>BC83-BC73-BC82</f>
        <v>-112675.61199999883</v>
      </c>
      <c r="BD84" s="2874"/>
      <c r="BE84" s="2875"/>
      <c r="BF84" s="2873">
        <f>BF83-BF73-BF82</f>
        <v>4264127.04</v>
      </c>
      <c r="BG84" s="2873">
        <f>BG83-BG73-BG82</f>
        <v>-664421.61</v>
      </c>
      <c r="BH84" s="2873">
        <f>BH83-BH73-BH82</f>
        <v>3505926.5700000003</v>
      </c>
      <c r="BI84" s="2874"/>
      <c r="BJ84" s="2875"/>
      <c r="BK84" s="2873">
        <f>BK83-BK73-BK82</f>
        <v>5845367.8359999983</v>
      </c>
      <c r="BL84" s="2873">
        <f>BL83-BL73-BL82</f>
        <v>-1224601.43</v>
      </c>
      <c r="BM84" s="2873">
        <f>BM83-BM73-BM82</f>
        <v>4507218.595999999</v>
      </c>
      <c r="BN84" s="2874"/>
      <c r="BO84" s="2875"/>
      <c r="BP84" s="2873">
        <f>BP83-BP73-BP82</f>
        <v>61090.574000000037</v>
      </c>
      <c r="BQ84" s="2873">
        <f>BQ83-BQ73-BQ82</f>
        <v>-655830.29999999993</v>
      </c>
      <c r="BR84" s="2873">
        <f>BR83-BR73-BR82</f>
        <v>-737545.95600000001</v>
      </c>
      <c r="BS84" s="2874"/>
      <c r="BT84" s="2875"/>
      <c r="BU84" s="2873">
        <f>BU83-BU73-BU82</f>
        <v>-147943.13200000001</v>
      </c>
      <c r="BV84" s="2873">
        <f>BV83-BV73-BV82</f>
        <v>-350820.7</v>
      </c>
      <c r="BW84" s="2873">
        <f>BW83-BW73-BW82</f>
        <v>-539812.31200000003</v>
      </c>
      <c r="BX84" s="2874"/>
      <c r="BY84" s="2875"/>
      <c r="BZ84" s="2873">
        <f>BZ83-BZ73-BZ82</f>
        <v>-3575543.19</v>
      </c>
      <c r="CA84" s="2873">
        <f>CA83-CA73-CA82</f>
        <v>0</v>
      </c>
      <c r="CB84" s="2873">
        <f>CB83-CB73-CB82</f>
        <v>-3575543.19</v>
      </c>
      <c r="CC84" s="2874"/>
      <c r="CD84" s="2875"/>
      <c r="CE84" s="2873">
        <f>CE83-CE73-CE82</f>
        <v>-2009530.5899999999</v>
      </c>
      <c r="CF84" s="2873">
        <f>CF83-CF73-CF82</f>
        <v>0</v>
      </c>
      <c r="CG84" s="2873">
        <f>CG83-CG73-CG82</f>
        <v>-2009530.5899999999</v>
      </c>
      <c r="CH84" s="2874"/>
      <c r="CI84" s="2875"/>
      <c r="CJ84" s="2873">
        <f>CJ83-CJ73-CJ82</f>
        <v>0</v>
      </c>
      <c r="CK84" s="2873">
        <f>CK83-CK73-CK82</f>
        <v>0</v>
      </c>
      <c r="CL84" s="2873">
        <f>CL83-CL73-CL82</f>
        <v>0</v>
      </c>
      <c r="CM84" s="2874"/>
      <c r="CN84" s="2875"/>
      <c r="CO84" s="2873">
        <f>CO83-CO73-CO82</f>
        <v>35713397.252000004</v>
      </c>
      <c r="CP84" s="2873">
        <f>CP83-CP73-CP82</f>
        <v>-11343527.319999998</v>
      </c>
      <c r="CQ84" s="2873">
        <f>CQ83-CQ73-CQ82</f>
        <v>23142764.761999991</v>
      </c>
      <c r="CR84" s="2874"/>
      <c r="CS84" s="2874"/>
      <c r="CT84" s="919"/>
      <c r="CU84" s="1579"/>
      <c r="CV84" s="1579"/>
      <c r="CW84" s="1579"/>
      <c r="CX84" s="1579"/>
      <c r="CY84" s="1579"/>
      <c r="CZ84" s="1579"/>
      <c r="DA84" s="1579"/>
      <c r="DB84" s="1579"/>
      <c r="DC84" s="1579"/>
      <c r="DD84" s="1579"/>
      <c r="DE84" s="1579"/>
      <c r="DF84" s="1579"/>
      <c r="DG84" s="1579"/>
      <c r="DH84" s="1579"/>
      <c r="DI84" s="1579"/>
      <c r="DJ84" s="1579"/>
      <c r="DK84" s="1579"/>
      <c r="DL84" s="1579"/>
      <c r="DM84" s="1579"/>
      <c r="DN84" s="1579"/>
      <c r="DO84" s="1579"/>
      <c r="DP84" s="1579"/>
      <c r="DQ84" s="1579"/>
      <c r="DR84" s="1579"/>
      <c r="DS84" s="1579"/>
      <c r="DT84" s="1579"/>
      <c r="DU84" s="1579"/>
      <c r="DV84" s="1579"/>
      <c r="DW84" s="1579"/>
      <c r="DX84" s="1579"/>
      <c r="DY84" s="1579"/>
      <c r="DZ84" s="1579"/>
      <c r="EA84" s="1579"/>
      <c r="EB84" s="1579"/>
      <c r="EC84" s="1579"/>
      <c r="ED84" s="1579"/>
      <c r="EE84" s="1579"/>
      <c r="EF84" s="1579"/>
      <c r="EG84" s="1579"/>
      <c r="EH84" s="1579"/>
      <c r="EI84" s="1579"/>
      <c r="EJ84" s="1579"/>
      <c r="EK84" s="1579"/>
      <c r="EL84" s="1579"/>
      <c r="EM84" s="1579"/>
      <c r="EN84" s="1579"/>
      <c r="EO84" s="1579"/>
      <c r="EP84" s="1579"/>
      <c r="EQ84" s="1579"/>
      <c r="ER84" s="1579"/>
      <c r="ES84" s="1579"/>
      <c r="ET84" s="1579"/>
      <c r="EU84" s="1579"/>
      <c r="EV84" s="1579"/>
      <c r="EW84" s="1579"/>
      <c r="EX84" s="1579"/>
      <c r="EY84" s="1579"/>
      <c r="EZ84" s="1579"/>
      <c r="FA84" s="1579"/>
      <c r="FB84" s="1579"/>
      <c r="FC84" s="1579"/>
      <c r="FD84" s="1579"/>
      <c r="FE84" s="1579"/>
      <c r="FF84" s="1579"/>
      <c r="FG84" s="1579"/>
      <c r="FH84" s="1579"/>
      <c r="FI84" s="1579"/>
      <c r="FJ84" s="1579"/>
      <c r="FK84" s="1579"/>
      <c r="FL84" s="1579"/>
      <c r="FM84" s="1579"/>
      <c r="FN84" s="1579"/>
      <c r="FO84" s="1579"/>
      <c r="FP84" s="1579"/>
      <c r="FQ84" s="1579"/>
      <c r="FR84" s="1579"/>
      <c r="FS84" s="1579"/>
      <c r="FT84" s="1579"/>
      <c r="FU84" s="1579"/>
      <c r="FV84" s="1579"/>
    </row>
    <row r="85" spans="1:178" s="1411" customFormat="1" ht="14.4" customHeight="1" outlineLevel="3" x14ac:dyDescent="0.25">
      <c r="A85" s="1580"/>
      <c r="B85" s="1439" t="s">
        <v>44</v>
      </c>
      <c r="C85" s="1501"/>
      <c r="D85" s="1101"/>
      <c r="E85" s="1102">
        <f>C85+D85</f>
        <v>0</v>
      </c>
      <c r="F85" s="1602" t="e">
        <f>E85/$E$89</f>
        <v>#DIV/0!</v>
      </c>
      <c r="G85" s="1995">
        <v>0</v>
      </c>
      <c r="H85" s="2067">
        <v>0</v>
      </c>
      <c r="I85" s="3103">
        <f>G85+H85*1</f>
        <v>0</v>
      </c>
      <c r="J85" s="1984"/>
      <c r="K85" s="1763"/>
      <c r="L85" s="1763"/>
      <c r="M85" s="1995"/>
      <c r="N85" s="2067"/>
      <c r="O85" s="3103">
        <f>M85+N85*1</f>
        <v>0</v>
      </c>
      <c r="P85" s="1984"/>
      <c r="Q85" s="1763"/>
      <c r="R85" s="2067"/>
      <c r="S85" s="2059"/>
      <c r="T85" s="3102">
        <f>R85+S85*1</f>
        <v>0</v>
      </c>
      <c r="U85" s="1491"/>
      <c r="V85" s="1763"/>
      <c r="W85" s="2067"/>
      <c r="X85" s="2059"/>
      <c r="Y85" s="3102">
        <f>W85+X85*1</f>
        <v>0</v>
      </c>
      <c r="Z85" s="1491"/>
      <c r="AA85" s="1763"/>
      <c r="AB85" s="2072"/>
      <c r="AC85" s="2066"/>
      <c r="AD85" s="3122">
        <f>AB85+AC85*1</f>
        <v>0</v>
      </c>
      <c r="AE85" s="1827"/>
      <c r="AF85" s="1828"/>
      <c r="AG85" s="2067"/>
      <c r="AH85" s="2059"/>
      <c r="AI85" s="3102">
        <f>AG85+AH85*1</f>
        <v>0</v>
      </c>
      <c r="AJ85" s="1491"/>
      <c r="AK85" s="1763"/>
      <c r="AL85" s="2067"/>
      <c r="AM85" s="2059"/>
      <c r="AN85" s="3102">
        <f>AL85+AM85*1</f>
        <v>0</v>
      </c>
      <c r="AO85" s="1491"/>
      <c r="AP85" s="1763"/>
      <c r="AQ85" s="2067"/>
      <c r="AR85" s="2059"/>
      <c r="AS85" s="3102">
        <f>AQ85+AR85*1</f>
        <v>0</v>
      </c>
      <c r="AT85" s="1491"/>
      <c r="AU85" s="1763"/>
      <c r="AV85" s="2067"/>
      <c r="AW85" s="2059"/>
      <c r="AX85" s="3102">
        <f>AV85+AW85*1</f>
        <v>0</v>
      </c>
      <c r="AY85" s="1491"/>
      <c r="AZ85" s="1763"/>
      <c r="BA85" s="2067"/>
      <c r="BB85" s="2059"/>
      <c r="BC85" s="3102">
        <f>BA85+BB85*1</f>
        <v>0</v>
      </c>
      <c r="BD85" s="1491"/>
      <c r="BE85" s="1763"/>
      <c r="BF85" s="2067"/>
      <c r="BG85" s="2059"/>
      <c r="BH85" s="3102">
        <f>BF85+BG85*1</f>
        <v>0</v>
      </c>
      <c r="BI85" s="1491"/>
      <c r="BJ85" s="1763"/>
      <c r="BK85" s="2067"/>
      <c r="BL85" s="2059"/>
      <c r="BM85" s="3102">
        <f>BK85+BL85*1</f>
        <v>0</v>
      </c>
      <c r="BN85" s="1491"/>
      <c r="BO85" s="1763"/>
      <c r="BP85" s="2067"/>
      <c r="BQ85" s="2059"/>
      <c r="BR85" s="3102">
        <f>BP85+BQ85*1</f>
        <v>0</v>
      </c>
      <c r="BS85" s="1491"/>
      <c r="BT85" s="1763"/>
      <c r="BU85" s="2067"/>
      <c r="BV85" s="2059"/>
      <c r="BW85" s="3102">
        <f>BU85+BV85*1</f>
        <v>0</v>
      </c>
      <c r="BX85" s="1491"/>
      <c r="BY85" s="1763"/>
      <c r="BZ85" s="2067"/>
      <c r="CA85" s="2059"/>
      <c r="CB85" s="3102">
        <f>BZ85+CA85*1</f>
        <v>0</v>
      </c>
      <c r="CC85" s="1491"/>
      <c r="CD85" s="1763"/>
      <c r="CE85" s="2067"/>
      <c r="CF85" s="2059"/>
      <c r="CG85" s="3102">
        <f>CE85+CF85*1</f>
        <v>0</v>
      </c>
      <c r="CH85" s="1491"/>
      <c r="CI85" s="1763"/>
      <c r="CJ85" s="2067"/>
      <c r="CK85" s="2059"/>
      <c r="CL85" s="3102">
        <f>CJ85+CK85*1</f>
        <v>0</v>
      </c>
      <c r="CM85" s="1491"/>
      <c r="CN85" s="1763"/>
      <c r="CO85" s="2059">
        <f>M85+R85+W85+AB85+AG85+AL85+AQ85+AV85+BA85+BF85+BK85+BP85+BU85+BZ85+CE85+CJ85</f>
        <v>0</v>
      </c>
      <c r="CP85" s="2059">
        <f>N85+S85+X85+AC85+AH85+AM85+AR85+AW85+BB85+BG85+BL85+BQ85+BV85+CA85+CF85+CK85</f>
        <v>0</v>
      </c>
      <c r="CQ85" s="3102">
        <f>CO85+CP85</f>
        <v>0</v>
      </c>
      <c r="CR85" s="1491"/>
      <c r="CS85" s="1491"/>
      <c r="CT85" s="920"/>
      <c r="CU85" s="1579"/>
      <c r="CV85" s="1579"/>
      <c r="CW85" s="1579"/>
      <c r="CX85" s="1579"/>
      <c r="CY85" s="1579"/>
      <c r="CZ85" s="1579"/>
      <c r="DA85" s="1579"/>
      <c r="DB85" s="1579"/>
      <c r="DC85" s="1579"/>
      <c r="DD85" s="1579"/>
      <c r="DE85" s="1579"/>
      <c r="DF85" s="1579"/>
      <c r="DG85" s="1579"/>
      <c r="DH85" s="1579"/>
      <c r="DI85" s="1579"/>
      <c r="DJ85" s="1579"/>
      <c r="DK85" s="1579"/>
      <c r="DL85" s="1579"/>
      <c r="DM85" s="1579"/>
      <c r="DN85" s="1579"/>
      <c r="DO85" s="1579"/>
      <c r="DP85" s="1579"/>
      <c r="DQ85" s="1579"/>
      <c r="DR85" s="1579"/>
      <c r="DS85" s="1579"/>
      <c r="DT85" s="1579"/>
      <c r="DU85" s="1579"/>
      <c r="DV85" s="1579"/>
      <c r="DW85" s="1579"/>
      <c r="DX85" s="1579"/>
      <c r="DY85" s="1579"/>
      <c r="DZ85" s="1579"/>
      <c r="EA85" s="1579"/>
      <c r="EB85" s="1579"/>
      <c r="EC85" s="1579"/>
      <c r="ED85" s="1579"/>
      <c r="EE85" s="1579"/>
      <c r="EF85" s="1579"/>
      <c r="EG85" s="1579"/>
      <c r="EH85" s="1579"/>
      <c r="EI85" s="1579"/>
      <c r="EJ85" s="1579"/>
      <c r="EK85" s="1579"/>
      <c r="EL85" s="1579"/>
      <c r="EM85" s="1579"/>
      <c r="EN85" s="1579"/>
      <c r="EO85" s="1579"/>
      <c r="EP85" s="1579"/>
      <c r="EQ85" s="1579"/>
      <c r="ER85" s="1579"/>
      <c r="ES85" s="1579"/>
      <c r="ET85" s="1579"/>
      <c r="EU85" s="1579"/>
      <c r="EV85" s="1579"/>
      <c r="EW85" s="1579"/>
      <c r="EX85" s="1579"/>
      <c r="EY85" s="1579"/>
      <c r="EZ85" s="1579"/>
      <c r="FA85" s="1579"/>
      <c r="FB85" s="1579"/>
      <c r="FC85" s="1579"/>
      <c r="FD85" s="1579"/>
      <c r="FE85" s="1579"/>
      <c r="FF85" s="1579"/>
      <c r="FG85" s="1579"/>
      <c r="FH85" s="1579"/>
      <c r="FI85" s="1579"/>
      <c r="FJ85" s="1579"/>
      <c r="FK85" s="1579"/>
      <c r="FL85" s="1579"/>
      <c r="FM85" s="1579"/>
      <c r="FN85" s="1579"/>
      <c r="FO85" s="1579"/>
      <c r="FP85" s="1579"/>
      <c r="FQ85" s="1579"/>
      <c r="FR85" s="1579"/>
      <c r="FS85" s="1579"/>
      <c r="FT85" s="1579"/>
      <c r="FU85" s="1579"/>
      <c r="FV85" s="1579"/>
    </row>
    <row r="86" spans="1:178" s="1411" customFormat="1" ht="28.95" customHeight="1" x14ac:dyDescent="0.25">
      <c r="A86" s="1420"/>
      <c r="B86" s="3132" t="s">
        <v>50</v>
      </c>
      <c r="C86" s="2851">
        <f>C84-C85</f>
        <v>117107844.57751702</v>
      </c>
      <c r="D86" s="2851">
        <f>D84-D85</f>
        <v>0</v>
      </c>
      <c r="E86" s="2852">
        <f>E84-E85</f>
        <v>117107844.57751702</v>
      </c>
      <c r="F86" s="2853"/>
      <c r="G86" s="2851">
        <f>G84-G85</f>
        <v>22646242.283999994</v>
      </c>
      <c r="H86" s="2852">
        <f>H84-H85</f>
        <v>-4835157.6499999994</v>
      </c>
      <c r="I86" s="2851">
        <f>I84-I85</f>
        <v>17319232.643999983</v>
      </c>
      <c r="J86" s="2854"/>
      <c r="K86" s="2850"/>
      <c r="L86" s="2850"/>
      <c r="M86" s="2851">
        <f>M84-M85</f>
        <v>-925434.81200000015</v>
      </c>
      <c r="N86" s="2852">
        <f>N84-N85</f>
        <v>-308420.05</v>
      </c>
      <c r="O86" s="2851">
        <f>O84-O85</f>
        <v>-1267114.3899999999</v>
      </c>
      <c r="P86" s="2854"/>
      <c r="Q86" s="2850"/>
      <c r="R86" s="2852">
        <f>R84-R85</f>
        <v>3827813.2279999997</v>
      </c>
      <c r="S86" s="2852">
        <f>S84-S85</f>
        <v>-699665.95000000007</v>
      </c>
      <c r="T86" s="2852">
        <f>T84-T85</f>
        <v>3025431.8960000002</v>
      </c>
      <c r="U86" s="2854"/>
      <c r="V86" s="2850"/>
      <c r="W86" s="2852">
        <f>W84-W85</f>
        <v>4727996.5</v>
      </c>
      <c r="X86" s="2852">
        <f>X84-X85</f>
        <v>-1039892.33</v>
      </c>
      <c r="Y86" s="2852">
        <f>Y84-Y85</f>
        <v>3234461.9320000014</v>
      </c>
      <c r="Z86" s="2854"/>
      <c r="AA86" s="2850"/>
      <c r="AB86" s="3045">
        <f>AB84-AB85</f>
        <v>8836486.6739999969</v>
      </c>
      <c r="AC86" s="3045">
        <f>AC84-AC85</f>
        <v>-1157760.0599999998</v>
      </c>
      <c r="AD86" s="3045">
        <f>AD84-AD85</f>
        <v>2964082.1720000017</v>
      </c>
      <c r="AE86" s="3046"/>
      <c r="AF86" s="3047"/>
      <c r="AG86" s="2852">
        <f>AG84-AG85</f>
        <v>10529120.508000001</v>
      </c>
      <c r="AH86" s="2852">
        <f>AH84-AH85</f>
        <v>-1641104.1999999997</v>
      </c>
      <c r="AI86" s="2852">
        <f>AI84-AI85</f>
        <v>8650080.5880000014</v>
      </c>
      <c r="AJ86" s="2854"/>
      <c r="AK86" s="2850"/>
      <c r="AL86" s="2852">
        <f>AL84-AL85</f>
        <v>4949554.9160000011</v>
      </c>
      <c r="AM86" s="2852">
        <f>AM84-AM85</f>
        <v>-1157142.7999999998</v>
      </c>
      <c r="AN86" s="2852">
        <f>AN84-AN85</f>
        <v>3708746.2060000002</v>
      </c>
      <c r="AO86" s="2854"/>
      <c r="AP86" s="2850"/>
      <c r="AQ86" s="2852">
        <f>AQ84-AQ85</f>
        <v>3005834.2279999987</v>
      </c>
      <c r="AR86" s="2852">
        <f>AR84-AR85</f>
        <v>-796299.77</v>
      </c>
      <c r="AS86" s="2852">
        <f>AS84-AS85</f>
        <v>2080478.1979999978</v>
      </c>
      <c r="AT86" s="2854"/>
      <c r="AU86" s="2850"/>
      <c r="AV86" s="2852">
        <f>AV84-AV85</f>
        <v>443297.9939999996</v>
      </c>
      <c r="AW86" s="2852">
        <f>AW84-AW85</f>
        <v>-661342.47999999986</v>
      </c>
      <c r="AX86" s="2852">
        <f>AX84-AX85</f>
        <v>-291439.34600000019</v>
      </c>
      <c r="AY86" s="2854"/>
      <c r="AZ86" s="2850"/>
      <c r="BA86" s="2852">
        <f>BA84-BA85</f>
        <v>931504.798000001</v>
      </c>
      <c r="BB86" s="2852">
        <f>BB84-BB85</f>
        <v>-945025.64000000013</v>
      </c>
      <c r="BC86" s="2852">
        <f>BC84-BC85</f>
        <v>-112675.61199999883</v>
      </c>
      <c r="BD86" s="2854"/>
      <c r="BE86" s="2850"/>
      <c r="BF86" s="2852">
        <f>BF84-BF85</f>
        <v>4264127.04</v>
      </c>
      <c r="BG86" s="2852">
        <f>BG84-BG85</f>
        <v>-664421.61</v>
      </c>
      <c r="BH86" s="2852">
        <f>BH84-BH85</f>
        <v>3505926.5700000003</v>
      </c>
      <c r="BI86" s="2854"/>
      <c r="BJ86" s="2850"/>
      <c r="BK86" s="2852">
        <f>BK84-BK85</f>
        <v>5845367.8359999983</v>
      </c>
      <c r="BL86" s="2852">
        <f>BL84-BL85</f>
        <v>-1224601.43</v>
      </c>
      <c r="BM86" s="2852">
        <f>BM84-BM85</f>
        <v>4507218.595999999</v>
      </c>
      <c r="BN86" s="2854"/>
      <c r="BO86" s="2850"/>
      <c r="BP86" s="2852">
        <f>BP84-BP85</f>
        <v>61090.574000000037</v>
      </c>
      <c r="BQ86" s="2852">
        <f>BQ84-BQ85</f>
        <v>-655830.29999999993</v>
      </c>
      <c r="BR86" s="2852">
        <f>BR84-BR85</f>
        <v>-737545.95600000001</v>
      </c>
      <c r="BS86" s="2854"/>
      <c r="BT86" s="2850"/>
      <c r="BU86" s="2852">
        <f>BU84-BU85</f>
        <v>-147943.13200000001</v>
      </c>
      <c r="BV86" s="2852">
        <f>BV84-BV85</f>
        <v>-350820.7</v>
      </c>
      <c r="BW86" s="2852">
        <f>BW84-BW85</f>
        <v>-539812.31200000003</v>
      </c>
      <c r="BX86" s="2854"/>
      <c r="BY86" s="2850"/>
      <c r="BZ86" s="2852">
        <f>BZ84-BZ85</f>
        <v>-3575543.19</v>
      </c>
      <c r="CA86" s="2852">
        <f>CA84-CA85</f>
        <v>0</v>
      </c>
      <c r="CB86" s="2852">
        <f>CB84-CB85</f>
        <v>-3575543.19</v>
      </c>
      <c r="CC86" s="2854"/>
      <c r="CD86" s="2850"/>
      <c r="CE86" s="2852">
        <f>CE84-CE85</f>
        <v>-2009530.5899999999</v>
      </c>
      <c r="CF86" s="2852">
        <f>CF84-CF85</f>
        <v>0</v>
      </c>
      <c r="CG86" s="2852">
        <f>CG84-CG85</f>
        <v>-2009530.5899999999</v>
      </c>
      <c r="CH86" s="2854"/>
      <c r="CI86" s="2850"/>
      <c r="CJ86" s="2852">
        <f>CJ84-CJ85</f>
        <v>0</v>
      </c>
      <c r="CK86" s="2852">
        <f>CK84-CK85</f>
        <v>0</v>
      </c>
      <c r="CL86" s="2852">
        <f>CL84-CL85</f>
        <v>0</v>
      </c>
      <c r="CM86" s="2854"/>
      <c r="CN86" s="2850"/>
      <c r="CO86" s="2852">
        <f>CO84-CO85</f>
        <v>35713397.252000004</v>
      </c>
      <c r="CP86" s="2852">
        <f>CP84-CP85</f>
        <v>-11343527.319999998</v>
      </c>
      <c r="CQ86" s="2852">
        <f>CQ84-CQ85</f>
        <v>23142764.761999991</v>
      </c>
      <c r="CR86" s="2854"/>
      <c r="CS86" s="2854"/>
      <c r="CT86" s="920"/>
      <c r="CU86" s="1579"/>
      <c r="CV86" s="1579"/>
      <c r="CW86" s="1579"/>
      <c r="CX86" s="1579"/>
      <c r="CY86" s="1579"/>
      <c r="CZ86" s="1579"/>
      <c r="DA86" s="1579"/>
      <c r="DB86" s="1579"/>
      <c r="DC86" s="1579"/>
      <c r="DD86" s="1579"/>
      <c r="DE86" s="1579"/>
      <c r="DF86" s="1579"/>
      <c r="DG86" s="1579"/>
      <c r="DH86" s="1579"/>
      <c r="DI86" s="1579"/>
      <c r="DJ86" s="1579"/>
      <c r="DK86" s="1579"/>
      <c r="DL86" s="1579"/>
      <c r="DM86" s="1579"/>
      <c r="DN86" s="1579"/>
      <c r="DO86" s="1579"/>
      <c r="DP86" s="1579"/>
      <c r="DQ86" s="1579"/>
      <c r="DR86" s="1579"/>
      <c r="DS86" s="1579"/>
      <c r="DT86" s="1579"/>
      <c r="DU86" s="1579"/>
      <c r="DV86" s="1579"/>
      <c r="DW86" s="1579"/>
      <c r="DX86" s="1579"/>
      <c r="DY86" s="1579"/>
      <c r="DZ86" s="1579"/>
      <c r="EA86" s="1579"/>
      <c r="EB86" s="1579"/>
      <c r="EC86" s="1579"/>
      <c r="ED86" s="1579"/>
      <c r="EE86" s="1579"/>
      <c r="EF86" s="1579"/>
      <c r="EG86" s="1579"/>
      <c r="EH86" s="1579"/>
      <c r="EI86" s="1579"/>
      <c r="EJ86" s="1579"/>
      <c r="EK86" s="1579"/>
      <c r="EL86" s="1579"/>
      <c r="EM86" s="1579"/>
      <c r="EN86" s="1579"/>
      <c r="EO86" s="1579"/>
      <c r="EP86" s="1579"/>
      <c r="EQ86" s="1579"/>
      <c r="ER86" s="1579"/>
      <c r="ES86" s="1579"/>
      <c r="ET86" s="1579"/>
      <c r="EU86" s="1579"/>
      <c r="EV86" s="1579"/>
      <c r="EW86" s="1579"/>
      <c r="EX86" s="1579"/>
      <c r="EY86" s="1579"/>
      <c r="EZ86" s="1579"/>
      <c r="FA86" s="1579"/>
      <c r="FB86" s="1579"/>
      <c r="FC86" s="1579"/>
      <c r="FD86" s="1579"/>
      <c r="FE86" s="1579"/>
      <c r="FF86" s="1579"/>
      <c r="FG86" s="1579"/>
      <c r="FH86" s="1579"/>
      <c r="FI86" s="1579"/>
      <c r="FJ86" s="1579"/>
      <c r="FK86" s="1579"/>
      <c r="FL86" s="1579"/>
      <c r="FM86" s="1579"/>
      <c r="FN86" s="1579"/>
      <c r="FO86" s="1579"/>
      <c r="FP86" s="1579"/>
      <c r="FQ86" s="1579"/>
      <c r="FR86" s="1579"/>
      <c r="FS86" s="1579"/>
      <c r="FT86" s="1579"/>
      <c r="FU86" s="1579"/>
      <c r="FV86" s="1579"/>
    </row>
    <row r="87" spans="1:178" s="1411" customFormat="1" ht="14.4" customHeight="1" thickBot="1" x14ac:dyDescent="0.3">
      <c r="A87" s="1582"/>
      <c r="B87" s="2876" t="s">
        <v>51</v>
      </c>
      <c r="C87" s="3010">
        <f>C86/C5</f>
        <v>1.0074131437848159</v>
      </c>
      <c r="D87" s="3011" t="e">
        <f>D86/D5</f>
        <v>#DIV/0!</v>
      </c>
      <c r="E87" s="2879">
        <f>E86/E5</f>
        <v>1.0074131437848159</v>
      </c>
      <c r="F87" s="2880"/>
      <c r="G87" s="3010">
        <f>G86/G5</f>
        <v>0.31438573475888598</v>
      </c>
      <c r="H87" s="3051">
        <f>H86/H5</f>
        <v>-143.05200147928991</v>
      </c>
      <c r="I87" s="3010">
        <f>I86/I5</f>
        <v>0.24032092850769063</v>
      </c>
      <c r="J87" s="2881"/>
      <c r="K87" s="2882"/>
      <c r="L87" s="2882"/>
      <c r="M87" s="3010" t="e">
        <f>M86/M5</f>
        <v>#DIV/0!</v>
      </c>
      <c r="N87" s="3051" t="e">
        <f>N86/N5</f>
        <v>#DIV/0!</v>
      </c>
      <c r="O87" s="3010" t="e">
        <f>O86/O5</f>
        <v>#DIV/0!</v>
      </c>
      <c r="P87" s="2881"/>
      <c r="Q87" s="2882"/>
      <c r="R87" s="3010">
        <f>R86/R5</f>
        <v>0.60118246046699497</v>
      </c>
      <c r="S87" s="3011" t="e">
        <f>S86/S5</f>
        <v>#DIV/0!</v>
      </c>
      <c r="T87" s="2879">
        <f>T86/T5</f>
        <v>0.47425464553032115</v>
      </c>
      <c r="U87" s="2881"/>
      <c r="V87" s="2882"/>
      <c r="W87" s="3010">
        <f>W86/W5</f>
        <v>0.46954132245958513</v>
      </c>
      <c r="X87" s="3011" t="e">
        <f>X86/X5</f>
        <v>#DIV/0!</v>
      </c>
      <c r="Y87" s="2879">
        <f>Y86/Y5</f>
        <v>0.32121714408977786</v>
      </c>
      <c r="Z87" s="2881"/>
      <c r="AA87" s="2882"/>
      <c r="AB87" s="3207">
        <f>AB86/AB5</f>
        <v>0.60538169290403121</v>
      </c>
      <c r="AC87" s="3208" t="e">
        <f>AC86/AC5</f>
        <v>#DIV/0!</v>
      </c>
      <c r="AD87" s="3052">
        <f>AD86/AD5</f>
        <v>0.20259811468391825</v>
      </c>
      <c r="AE87" s="3053"/>
      <c r="AF87" s="3054"/>
      <c r="AG87" s="3010">
        <f>AG86/AG5</f>
        <v>0.25906931514821246</v>
      </c>
      <c r="AH87" s="3011" t="e">
        <f>AH86/AH5</f>
        <v>#DIV/0!</v>
      </c>
      <c r="AI87" s="2879">
        <f>AI86/AI5</f>
        <v>0.21283548347721187</v>
      </c>
      <c r="AJ87" s="2881"/>
      <c r="AK87" s="2882"/>
      <c r="AL87" s="3010">
        <f>AL86/AL5</f>
        <v>0.48904976043739162</v>
      </c>
      <c r="AM87" s="3011" t="e">
        <f>AM86/AM5</f>
        <v>#DIV/0!</v>
      </c>
      <c r="AN87" s="2879">
        <f>AN86/AN5</f>
        <v>0.36644940289564104</v>
      </c>
      <c r="AO87" s="2881"/>
      <c r="AP87" s="2882"/>
      <c r="AQ87" s="3010">
        <f>AQ86/AQ5</f>
        <v>0.3326827924422599</v>
      </c>
      <c r="AR87" s="3011" t="e">
        <f>AR86/AR5</f>
        <v>#DIV/0!</v>
      </c>
      <c r="AS87" s="2879">
        <f>AS86/AS5</f>
        <v>0.23026529210375352</v>
      </c>
      <c r="AT87" s="2881"/>
      <c r="AU87" s="2882"/>
      <c r="AV87" s="3010">
        <f>AV86/AV5</f>
        <v>0.16997115097618717</v>
      </c>
      <c r="AW87" s="3011" t="e">
        <f>AW86/AW5</f>
        <v>#DIV/0!</v>
      </c>
      <c r="AX87" s="2879">
        <f>AX86/AX5</f>
        <v>-0.11174487985471762</v>
      </c>
      <c r="AY87" s="2881"/>
      <c r="AZ87" s="2882"/>
      <c r="BA87" s="3010">
        <f>BA86/BA5</f>
        <v>0.27452982382776653</v>
      </c>
      <c r="BB87" s="3011" t="e">
        <f>BB86/BB5</f>
        <v>#DIV/0!</v>
      </c>
      <c r="BC87" s="2879">
        <f>BC86/BC5</f>
        <v>-3.3207360797775969E-2</v>
      </c>
      <c r="BD87" s="2881"/>
      <c r="BE87" s="2882"/>
      <c r="BF87" s="3010">
        <f>BF86/BF5</f>
        <v>0.52874725909474518</v>
      </c>
      <c r="BG87" s="3011" t="e">
        <f>BG86/BG5</f>
        <v>#DIV/0!</v>
      </c>
      <c r="BH87" s="2879">
        <f>BH86/BH5</f>
        <v>0.43473119986475389</v>
      </c>
      <c r="BI87" s="2881"/>
      <c r="BJ87" s="2882"/>
      <c r="BK87" s="3010">
        <f>BK86/BK5</f>
        <v>0.5527686575401588</v>
      </c>
      <c r="BL87" s="3011" t="e">
        <f>BL86/BL5</f>
        <v>#DIV/0!</v>
      </c>
      <c r="BM87" s="2879">
        <f>BM86/BM5</f>
        <v>0.42622624314706331</v>
      </c>
      <c r="BN87" s="2881"/>
      <c r="BO87" s="2882"/>
      <c r="BP87" s="3010">
        <f>BP86/BP5</f>
        <v>3.6586193249008275E-2</v>
      </c>
      <c r="BQ87" s="3011">
        <f>BQ86/BQ5</f>
        <v>-15.918211165048541</v>
      </c>
      <c r="BR87" s="2879">
        <f>BR86/BR5</f>
        <v>-0.43106858264819714</v>
      </c>
      <c r="BS87" s="2881"/>
      <c r="BT87" s="2882"/>
      <c r="BU87" s="3010" t="e">
        <f>BU86/BU5</f>
        <v>#DIV/0!</v>
      </c>
      <c r="BV87" s="3011" t="e">
        <f>BV86/BV5</f>
        <v>#DIV/0!</v>
      </c>
      <c r="BW87" s="2879" t="e">
        <f>BW86/BW5</f>
        <v>#DIV/0!</v>
      </c>
      <c r="BX87" s="2881"/>
      <c r="BY87" s="2882"/>
      <c r="BZ87" s="3010" t="e">
        <f>BZ86/BZ5</f>
        <v>#DIV/0!</v>
      </c>
      <c r="CA87" s="3011" t="e">
        <f>CA86/CA5</f>
        <v>#DIV/0!</v>
      </c>
      <c r="CB87" s="2879" t="e">
        <f>CB86/CB5</f>
        <v>#DIV/0!</v>
      </c>
      <c r="CC87" s="2881"/>
      <c r="CD87" s="2882"/>
      <c r="CE87" s="3010" t="e">
        <f>CE86/CE5</f>
        <v>#DIV/0!</v>
      </c>
      <c r="CF87" s="3011" t="e">
        <f>CF86/CF5</f>
        <v>#DIV/0!</v>
      </c>
      <c r="CG87" s="2879" t="e">
        <f>CG86/CG5</f>
        <v>#DIV/0!</v>
      </c>
      <c r="CH87" s="2881"/>
      <c r="CI87" s="2882"/>
      <c r="CJ87" s="3010">
        <f>CJ86/CJ5</f>
        <v>0</v>
      </c>
      <c r="CK87" s="3011" t="e">
        <f>CK86/CK5</f>
        <v>#DIV/0!</v>
      </c>
      <c r="CL87" s="2879">
        <f>CL86/CL5</f>
        <v>0</v>
      </c>
      <c r="CM87" s="2881"/>
      <c r="CN87" s="2882"/>
      <c r="CO87" s="3010">
        <v>0.01</v>
      </c>
      <c r="CP87" s="3011">
        <f>CP86/CP5</f>
        <v>-137.99911581508513</v>
      </c>
      <c r="CQ87" s="2879">
        <f>CQ86/CQ5</f>
        <v>0.19740783054444525</v>
      </c>
      <c r="CR87" s="2881"/>
      <c r="CS87" s="2881"/>
      <c r="CT87" s="920"/>
      <c r="CU87" s="1579"/>
      <c r="CV87" s="1579"/>
      <c r="CW87" s="1579"/>
      <c r="CX87" s="1579"/>
      <c r="CY87" s="1579"/>
      <c r="CZ87" s="1579"/>
      <c r="DA87" s="1579"/>
      <c r="DB87" s="1579"/>
      <c r="DC87" s="1579"/>
      <c r="DD87" s="1579"/>
      <c r="DE87" s="1579"/>
      <c r="DF87" s="1579"/>
      <c r="DG87" s="1579"/>
      <c r="DH87" s="1579"/>
      <c r="DI87" s="1579"/>
      <c r="DJ87" s="1579"/>
      <c r="DK87" s="1579"/>
      <c r="DL87" s="1579"/>
      <c r="DM87" s="1579"/>
      <c r="DN87" s="1579"/>
      <c r="DO87" s="1579"/>
      <c r="DP87" s="1579"/>
      <c r="DQ87" s="1579"/>
      <c r="DR87" s="1579"/>
      <c r="DS87" s="1579"/>
      <c r="DT87" s="1579"/>
      <c r="DU87" s="1579"/>
      <c r="DV87" s="1579"/>
      <c r="DW87" s="1579"/>
      <c r="DX87" s="1579"/>
      <c r="DY87" s="1579"/>
      <c r="DZ87" s="1579"/>
      <c r="EA87" s="1579"/>
      <c r="EB87" s="1579"/>
      <c r="EC87" s="1579"/>
      <c r="ED87" s="1579"/>
      <c r="EE87" s="1579"/>
      <c r="EF87" s="1579"/>
      <c r="EG87" s="1579"/>
      <c r="EH87" s="1579"/>
      <c r="EI87" s="1579"/>
      <c r="EJ87" s="1579"/>
      <c r="EK87" s="1579"/>
      <c r="EL87" s="1579"/>
      <c r="EM87" s="1579"/>
      <c r="EN87" s="1579"/>
      <c r="EO87" s="1579"/>
      <c r="EP87" s="1579"/>
      <c r="EQ87" s="1579"/>
      <c r="ER87" s="1579"/>
      <c r="ES87" s="1579"/>
      <c r="ET87" s="1579"/>
      <c r="EU87" s="1579"/>
      <c r="EV87" s="1579"/>
      <c r="EW87" s="1579"/>
      <c r="EX87" s="1579"/>
      <c r="EY87" s="1579"/>
      <c r="EZ87" s="1579"/>
      <c r="FA87" s="1579"/>
      <c r="FB87" s="1579"/>
      <c r="FC87" s="1579"/>
      <c r="FD87" s="1579"/>
      <c r="FE87" s="1579"/>
      <c r="FF87" s="1579"/>
      <c r="FG87" s="1579"/>
      <c r="FH87" s="1579"/>
      <c r="FI87" s="1579"/>
      <c r="FJ87" s="1579"/>
      <c r="FK87" s="1579"/>
      <c r="FL87" s="1579"/>
      <c r="FM87" s="1579"/>
      <c r="FN87" s="1579"/>
      <c r="FO87" s="1579"/>
      <c r="FP87" s="1579"/>
      <c r="FQ87" s="1579"/>
      <c r="FR87" s="1579"/>
      <c r="FS87" s="1579"/>
      <c r="FT87" s="1579"/>
      <c r="FU87" s="1579"/>
      <c r="FV87" s="1579"/>
    </row>
    <row r="88" spans="1:178" ht="13.8" x14ac:dyDescent="0.25">
      <c r="A88" s="1438"/>
      <c r="B88" s="1438"/>
      <c r="C88" s="1536"/>
      <c r="D88" s="1536"/>
      <c r="E88" s="1536"/>
      <c r="F88" s="1564"/>
      <c r="G88" s="1970"/>
      <c r="H88" s="1970"/>
      <c r="I88" s="1970"/>
      <c r="J88" s="1970"/>
      <c r="K88" s="1620"/>
      <c r="L88" s="1620"/>
      <c r="M88" s="1970"/>
      <c r="N88" s="1970"/>
      <c r="O88" s="1970"/>
      <c r="P88" s="1970"/>
      <c r="Q88" s="1620"/>
      <c r="R88" s="1970"/>
      <c r="S88" s="1970"/>
      <c r="T88" s="1970"/>
      <c r="U88" s="1970"/>
      <c r="V88" s="1620"/>
      <c r="W88" s="1970"/>
      <c r="X88" s="1970"/>
      <c r="Y88" s="1970"/>
      <c r="Z88" s="1970"/>
      <c r="AA88" s="1620"/>
      <c r="AB88" s="1970"/>
      <c r="AC88" s="1970"/>
      <c r="AD88" s="1970"/>
      <c r="AE88" s="1970"/>
      <c r="AF88" s="1626"/>
      <c r="AG88" s="1970"/>
      <c r="AH88" s="1970"/>
      <c r="AI88" s="1970"/>
      <c r="AJ88" s="1970"/>
      <c r="AK88" s="1620"/>
      <c r="AL88" s="1970"/>
      <c r="AM88" s="1970"/>
      <c r="AN88" s="1970"/>
      <c r="AO88" s="1970"/>
      <c r="AP88" s="1620"/>
      <c r="AQ88" s="1970"/>
      <c r="AR88" s="1970"/>
      <c r="AS88" s="1970"/>
      <c r="AT88" s="1970"/>
      <c r="AU88" s="1620"/>
      <c r="AV88" s="1970"/>
      <c r="AW88" s="1970"/>
      <c r="AX88" s="1970"/>
      <c r="AY88" s="1970"/>
      <c r="AZ88" s="1620"/>
      <c r="BA88" s="1970"/>
      <c r="BB88" s="1970"/>
      <c r="BC88" s="1970"/>
      <c r="BD88" s="1970"/>
      <c r="BE88" s="1620"/>
      <c r="BF88" s="1970"/>
      <c r="BG88" s="1970"/>
      <c r="BH88" s="1970"/>
      <c r="BI88" s="1970"/>
      <c r="BJ88" s="1620"/>
      <c r="BK88" s="1970"/>
      <c r="BL88" s="1970"/>
      <c r="BM88" s="1970"/>
      <c r="BN88" s="1970"/>
      <c r="BO88" s="1620"/>
      <c r="BP88" s="1970"/>
      <c r="BQ88" s="1970"/>
      <c r="BR88" s="1970"/>
      <c r="BS88" s="1970"/>
      <c r="BT88" s="1620"/>
      <c r="BU88" s="1970"/>
      <c r="BV88" s="1970"/>
      <c r="BW88" s="1970"/>
      <c r="BX88" s="1970"/>
      <c r="BY88" s="1620"/>
      <c r="BZ88" s="1970"/>
      <c r="CA88" s="1970"/>
      <c r="CB88" s="1970"/>
      <c r="CC88" s="1970"/>
      <c r="CD88" s="1620"/>
      <c r="CE88" s="1970"/>
      <c r="CF88" s="1970"/>
      <c r="CG88" s="1970"/>
      <c r="CH88" s="1970"/>
      <c r="CI88" s="1620"/>
      <c r="CJ88" s="1970"/>
      <c r="CK88" s="1970"/>
      <c r="CL88" s="1970"/>
      <c r="CM88" s="1970"/>
      <c r="CN88" s="1620"/>
      <c r="CO88" s="1970"/>
      <c r="CP88" s="1970"/>
      <c r="CQ88" s="1970"/>
      <c r="CR88" s="1970"/>
      <c r="CS88" s="1970"/>
      <c r="CT88" s="1968"/>
      <c r="CU88" s="1584"/>
    </row>
    <row r="89" spans="1:178" x14ac:dyDescent="0.25">
      <c r="B89" s="1577" t="s">
        <v>56</v>
      </c>
      <c r="C89" s="1537"/>
      <c r="D89" s="1537"/>
      <c r="E89" s="3133">
        <f>E8+E36+E41+E50+E54+E73+E79+E82+E85</f>
        <v>0</v>
      </c>
      <c r="F89" s="189"/>
      <c r="I89" s="3133">
        <f>I8+I36+I41+I50+I54+I73+I79+I82+I85</f>
        <v>54747868.426000006</v>
      </c>
      <c r="K89" s="1621"/>
      <c r="L89" s="1621"/>
      <c r="O89" s="3133">
        <f>O8+O36+O41+O50+O54+O73+O79+O82+O85</f>
        <v>1267114.3900000001</v>
      </c>
      <c r="Q89" s="1621"/>
      <c r="T89" s="3133">
        <f>T8+T36+T41+T50+T54+T73+T79+T82+T85</f>
        <v>3353908.6639999994</v>
      </c>
      <c r="V89" s="1621"/>
      <c r="Y89" s="3133">
        <f>Y8+Y36+Y41+Y50+Y54+Y73+Y79+Y82+Y85</f>
        <v>6834931.9079999998</v>
      </c>
      <c r="AA89" s="1621"/>
      <c r="AD89" s="3134">
        <f>AD8+AD36+AD41+AD50+AD54+AD73+AD79+AD82+AD85</f>
        <v>11666271.998</v>
      </c>
      <c r="AF89" s="1979"/>
      <c r="AI89" s="3133">
        <f>AI8+AI36+AI41+AI50+AI54+AI73+AI79+AI82+AI85</f>
        <v>31992017.462000001</v>
      </c>
      <c r="AK89" s="1621"/>
      <c r="AN89" s="3133">
        <f>AN8+AN36+AN41+AN50+AN54+AN73+AN79+AN82+AN85</f>
        <v>6412013.1040000003</v>
      </c>
      <c r="AP89" s="1621"/>
      <c r="AS89" s="3133">
        <f>AS8+AS36+AS41+AS50+AS54+AS73+AS79+AS82+AS85</f>
        <v>6954657.6619999995</v>
      </c>
      <c r="AU89" s="1621"/>
      <c r="AX89" s="3133">
        <f>AX8+AX36+AX41+AX50+AX54+AX73+AX79+AX82+AX85</f>
        <v>2899517.1959999995</v>
      </c>
      <c r="AZ89" s="1621"/>
      <c r="BC89" s="3133">
        <f>BC8+BC36+BC41+BC50+BC54+BC73+BC79+BC82+BC85</f>
        <v>3505767.0619999995</v>
      </c>
      <c r="BE89" s="1621"/>
      <c r="BH89" s="3133">
        <f>BH8+BH36+BH41+BH50+BH54+BH73+BH79+BH82+BH85</f>
        <v>4558658.1000000006</v>
      </c>
      <c r="BJ89" s="1621"/>
      <c r="BM89" s="3133">
        <f>BM8+BM36+BM41+BM50+BM54+BM73+BM79+BM82+BM85</f>
        <v>6067490.6539999992</v>
      </c>
      <c r="BO89" s="1621"/>
      <c r="BR89" s="3133">
        <f>BR8+BR36+BR41+BR50+BR54+BR73+BR79+BR82+BR85</f>
        <v>2448517.216</v>
      </c>
      <c r="BT89" s="1621"/>
      <c r="BW89" s="3133">
        <f>BW8+BW36+BW41+BW50+BW54+BW73+BW79+BW82+BW85</f>
        <v>539812.31200000003</v>
      </c>
      <c r="BY89" s="1621"/>
      <c r="CB89" s="3133">
        <f>CB8+CB36+CB41+CB50+CB54+CB73+CB79+CB82+CB85</f>
        <v>3575543.19</v>
      </c>
      <c r="CD89" s="1621"/>
      <c r="CG89" s="3133">
        <f>CG8+CG36+CG41+CG50+CG54+CG73+CG79+CG82+CG85</f>
        <v>2009530.5899999999</v>
      </c>
      <c r="CI89" s="1621"/>
      <c r="CL89" s="3133">
        <f>CL8+CL36+CL41+CL50+CL54+CL73+CL79+CL82+CL85</f>
        <v>4750</v>
      </c>
      <c r="CN89" s="1621"/>
      <c r="CQ89" s="3133">
        <f>CQ8+CQ36+CQ41+CQ50+CQ54+CQ73+CQ79+CQ82+CQ85-CQ78</f>
        <v>94090501.508000031</v>
      </c>
      <c r="CT89" s="1968"/>
      <c r="CU89" s="1584"/>
    </row>
    <row r="90" spans="1:178" s="1172" customFormat="1" x14ac:dyDescent="0.25">
      <c r="A90" s="1171"/>
      <c r="B90" s="1171"/>
      <c r="C90" s="1232"/>
      <c r="D90" s="1232"/>
      <c r="E90" s="1232"/>
      <c r="F90" s="1601"/>
      <c r="G90" s="1601"/>
      <c r="H90" s="1601"/>
      <c r="I90" s="1601"/>
      <c r="J90" s="1601"/>
      <c r="K90" s="1979"/>
      <c r="L90" s="1979"/>
      <c r="M90" s="1601"/>
      <c r="N90" s="1601"/>
      <c r="O90" s="1601"/>
      <c r="P90" s="1601"/>
      <c r="Q90" s="1979"/>
      <c r="R90" s="1601"/>
      <c r="S90" s="1601"/>
      <c r="T90" s="1601"/>
      <c r="U90" s="1601"/>
      <c r="V90" s="1979"/>
      <c r="W90" s="1601"/>
      <c r="X90" s="1601"/>
      <c r="Y90" s="1601"/>
      <c r="Z90" s="1601"/>
      <c r="AA90" s="1979"/>
      <c r="AB90" s="1601"/>
      <c r="AC90" s="1601"/>
      <c r="AD90" s="1601"/>
      <c r="AE90" s="1601"/>
      <c r="AF90" s="1979"/>
      <c r="AG90" s="1601"/>
      <c r="AH90" s="1601"/>
      <c r="AI90" s="1601"/>
      <c r="AJ90" s="1601"/>
      <c r="AK90" s="1979"/>
      <c r="AL90" s="1601"/>
      <c r="AM90" s="1601"/>
      <c r="AN90" s="1601"/>
      <c r="AO90" s="1601"/>
      <c r="AP90" s="1979"/>
      <c r="AQ90" s="1601"/>
      <c r="AR90" s="1601"/>
      <c r="AS90" s="1601"/>
      <c r="AT90" s="1601"/>
      <c r="AU90" s="1979"/>
      <c r="AV90" s="1601"/>
      <c r="AW90" s="1601"/>
      <c r="AX90" s="1601"/>
      <c r="AY90" s="1601"/>
      <c r="AZ90" s="1979"/>
      <c r="BA90" s="1601"/>
      <c r="BB90" s="1601"/>
      <c r="BC90" s="1601"/>
      <c r="BD90" s="1601"/>
      <c r="BE90" s="1979"/>
      <c r="BF90" s="1601"/>
      <c r="BG90" s="1601"/>
      <c r="BH90" s="1601"/>
      <c r="BI90" s="1601"/>
      <c r="BJ90" s="1979"/>
      <c r="BK90" s="2485"/>
      <c r="BL90" s="2485"/>
      <c r="BM90" s="2485"/>
      <c r="BN90" s="2485"/>
      <c r="BO90" s="1872"/>
      <c r="BP90" s="2485"/>
      <c r="BQ90" s="2485"/>
      <c r="BR90" s="2485"/>
      <c r="BS90" s="2485"/>
      <c r="BT90" s="1872"/>
      <c r="BU90" s="2485"/>
      <c r="BV90" s="2485"/>
      <c r="BW90" s="2485"/>
      <c r="BX90" s="2485"/>
      <c r="BY90" s="1872"/>
      <c r="BZ90" s="2485"/>
      <c r="CA90" s="2485"/>
      <c r="CB90" s="2485"/>
      <c r="CC90" s="2485"/>
      <c r="CD90" s="1872"/>
      <c r="CE90" s="2485"/>
      <c r="CF90" s="2485"/>
      <c r="CG90" s="2485"/>
      <c r="CH90" s="2485"/>
      <c r="CI90" s="1872"/>
      <c r="CJ90" s="2485"/>
      <c r="CK90" s="2485"/>
      <c r="CL90" s="2485"/>
      <c r="CM90" s="2485"/>
      <c r="CN90" s="1872"/>
      <c r="CO90" s="1601"/>
      <c r="CP90" s="1601"/>
      <c r="CQ90" s="2125"/>
      <c r="CR90" s="1601"/>
      <c r="CS90" s="1601"/>
      <c r="CT90" s="3170"/>
      <c r="CU90" s="3217"/>
      <c r="CV90" s="3220"/>
      <c r="CW90" s="3220"/>
      <c r="CX90" s="3220"/>
      <c r="CY90" s="3220"/>
      <c r="CZ90" s="3220"/>
      <c r="DA90" s="3220"/>
      <c r="DB90" s="3220"/>
      <c r="DC90" s="3220"/>
      <c r="DD90" s="3220"/>
      <c r="DE90" s="3220"/>
      <c r="DF90" s="3220"/>
      <c r="DG90" s="3220"/>
      <c r="DH90" s="3220"/>
      <c r="DI90" s="3220"/>
      <c r="DJ90" s="3220"/>
      <c r="DK90" s="3220"/>
      <c r="DL90" s="3220"/>
      <c r="DM90" s="3220"/>
      <c r="DN90" s="3220"/>
      <c r="DO90" s="3220"/>
      <c r="DP90" s="3220"/>
      <c r="DQ90" s="3220"/>
      <c r="DR90" s="3220"/>
      <c r="DS90" s="3220"/>
      <c r="DT90" s="3220"/>
      <c r="DU90" s="3220"/>
      <c r="DV90" s="3220"/>
      <c r="DW90" s="3220"/>
      <c r="DX90" s="3220"/>
      <c r="DY90" s="3220"/>
      <c r="DZ90" s="3220"/>
      <c r="EA90" s="3220"/>
      <c r="EB90" s="3220"/>
      <c r="EC90" s="3220"/>
      <c r="ED90" s="3220"/>
      <c r="EE90" s="3220"/>
      <c r="EF90" s="3220"/>
      <c r="EG90" s="3220"/>
      <c r="EH90" s="3220"/>
      <c r="EI90" s="3220"/>
      <c r="EJ90" s="3220"/>
      <c r="EK90" s="3220"/>
      <c r="EL90" s="3220"/>
      <c r="EM90" s="3220"/>
      <c r="EN90" s="3220"/>
      <c r="EO90" s="3220"/>
      <c r="EP90" s="3220"/>
      <c r="EQ90" s="3220"/>
      <c r="ER90" s="3220"/>
      <c r="ES90" s="3220"/>
      <c r="ET90" s="3220"/>
      <c r="EU90" s="3220"/>
      <c r="EV90" s="3220"/>
      <c r="EW90" s="3220"/>
      <c r="EX90" s="3220"/>
      <c r="EY90" s="3220"/>
      <c r="EZ90" s="3220"/>
      <c r="FA90" s="3220"/>
      <c r="FB90" s="3220"/>
      <c r="FC90" s="3220"/>
      <c r="FD90" s="3220"/>
      <c r="FE90" s="3220"/>
      <c r="FF90" s="3220"/>
      <c r="FG90" s="3220"/>
      <c r="FH90" s="3220"/>
      <c r="FI90" s="3220"/>
      <c r="FJ90" s="3220"/>
      <c r="FK90" s="3220"/>
      <c r="FL90" s="3220"/>
      <c r="FM90" s="3220"/>
      <c r="FN90" s="3220"/>
      <c r="FO90" s="3220"/>
      <c r="FP90" s="3220"/>
      <c r="FQ90" s="3220"/>
      <c r="FR90" s="3220"/>
      <c r="FS90" s="3220"/>
      <c r="FT90" s="3220"/>
      <c r="FU90" s="3220"/>
      <c r="FV90" s="3220"/>
    </row>
    <row r="91" spans="1:178" s="1233" customFormat="1" x14ac:dyDescent="0.25">
      <c r="A91" s="1171"/>
      <c r="B91" s="1171"/>
      <c r="C91" s="1232"/>
      <c r="D91" s="1232"/>
      <c r="E91" s="1232"/>
      <c r="F91" s="1601"/>
      <c r="G91" s="1601"/>
      <c r="H91" s="1601"/>
      <c r="I91" s="1601"/>
      <c r="J91" s="1601"/>
      <c r="K91" s="1979"/>
      <c r="L91" s="1979"/>
      <c r="M91" s="1601"/>
      <c r="N91" s="1601"/>
      <c r="O91" s="1601"/>
      <c r="P91" s="1601"/>
      <c r="Q91" s="1979"/>
      <c r="R91" s="1601"/>
      <c r="S91" s="1601"/>
      <c r="T91" s="1601"/>
      <c r="U91" s="1601"/>
      <c r="V91" s="1979"/>
      <c r="W91" s="1601"/>
      <c r="X91" s="1601"/>
      <c r="Y91" s="1601"/>
      <c r="Z91" s="1601"/>
      <c r="AA91" s="1979"/>
      <c r="AB91" s="1601"/>
      <c r="AC91" s="1601"/>
      <c r="AD91" s="1601"/>
      <c r="AE91" s="1601"/>
      <c r="AF91" s="1979"/>
      <c r="AG91" s="1601"/>
      <c r="AH91" s="1601"/>
      <c r="AI91" s="1601"/>
      <c r="AJ91" s="1601"/>
      <c r="AK91" s="1979"/>
      <c r="AL91" s="1601"/>
      <c r="AM91" s="1601"/>
      <c r="AN91" s="1601"/>
      <c r="AO91" s="1601"/>
      <c r="AP91" s="1979"/>
      <c r="AQ91" s="2123" t="s">
        <v>1605</v>
      </c>
      <c r="AR91" s="1601"/>
      <c r="AS91" s="1601"/>
      <c r="AT91" s="1601"/>
      <c r="AU91" s="1979"/>
      <c r="AV91" s="1601"/>
      <c r="AW91" s="1601"/>
      <c r="AX91" s="1601"/>
      <c r="AY91" s="1601"/>
      <c r="AZ91" s="1979"/>
      <c r="BA91" s="1601"/>
      <c r="BB91" s="1601"/>
      <c r="BC91" s="1601"/>
      <c r="BE91" s="1979"/>
      <c r="BF91" s="1601"/>
      <c r="BG91" s="1601"/>
      <c r="BH91" s="1601"/>
      <c r="BJ91" s="1979"/>
      <c r="BK91" s="2485"/>
      <c r="BL91" s="1601"/>
      <c r="BM91" s="1601"/>
      <c r="BN91" s="1601"/>
      <c r="BO91" s="1872"/>
      <c r="BP91" s="2485"/>
      <c r="BQ91" s="1601"/>
      <c r="BR91" s="1601"/>
      <c r="BS91" s="1601"/>
      <c r="BT91" s="1872"/>
      <c r="BU91" s="2485"/>
      <c r="BV91" s="1601"/>
      <c r="BW91" s="1601"/>
      <c r="BX91" s="1601"/>
      <c r="BY91" s="1872"/>
      <c r="BZ91" s="2485"/>
      <c r="CA91" s="1601"/>
      <c r="CB91" s="1601"/>
      <c r="CC91" s="1601"/>
      <c r="CD91" s="1872"/>
      <c r="CE91" s="2485"/>
      <c r="CF91" s="1601"/>
      <c r="CG91" s="1601"/>
      <c r="CH91" s="1601"/>
      <c r="CI91" s="1872"/>
      <c r="CJ91" s="2485"/>
      <c r="CK91" s="1601"/>
      <c r="CL91" s="1601"/>
      <c r="CM91" s="1601"/>
      <c r="CN91" s="1872"/>
      <c r="CO91" s="1601"/>
      <c r="CP91" s="1075"/>
      <c r="CQ91" s="1968"/>
      <c r="CT91" s="3171"/>
      <c r="CU91" s="3217"/>
      <c r="CV91" s="3221"/>
      <c r="CW91" s="3221"/>
      <c r="CX91" s="3221"/>
      <c r="CY91" s="3221"/>
      <c r="CZ91" s="3221"/>
      <c r="DA91" s="3221"/>
      <c r="DB91" s="3221"/>
      <c r="DC91" s="3221"/>
      <c r="DD91" s="3221"/>
      <c r="DE91" s="3221"/>
      <c r="DF91" s="3221"/>
      <c r="DG91" s="3221"/>
      <c r="DH91" s="3221"/>
      <c r="DI91" s="3221"/>
      <c r="DJ91" s="3221"/>
      <c r="DK91" s="3221"/>
      <c r="DL91" s="3221"/>
      <c r="DM91" s="3221"/>
      <c r="DN91" s="3221"/>
      <c r="DO91" s="3221"/>
      <c r="DP91" s="3221"/>
      <c r="DQ91" s="3221"/>
      <c r="DR91" s="3221"/>
      <c r="DS91" s="3221"/>
      <c r="DT91" s="3221"/>
      <c r="DU91" s="3221"/>
      <c r="DV91" s="3221"/>
      <c r="DW91" s="3221"/>
      <c r="DX91" s="3221"/>
      <c r="DY91" s="3221"/>
      <c r="DZ91" s="3221"/>
      <c r="EA91" s="3221"/>
      <c r="EB91" s="3221"/>
      <c r="EC91" s="3221"/>
      <c r="ED91" s="3221"/>
      <c r="EE91" s="3221"/>
      <c r="EF91" s="3221"/>
      <c r="EG91" s="3221"/>
      <c r="EH91" s="3221"/>
      <c r="EI91" s="3221"/>
      <c r="EJ91" s="3221"/>
      <c r="EK91" s="3221"/>
      <c r="EL91" s="3221"/>
      <c r="EM91" s="3221"/>
      <c r="EN91" s="3221"/>
      <c r="EO91" s="3221"/>
      <c r="EP91" s="3221"/>
      <c r="EQ91" s="3221"/>
      <c r="ER91" s="3221"/>
      <c r="ES91" s="3221"/>
      <c r="ET91" s="3221"/>
      <c r="EU91" s="3221"/>
      <c r="EV91" s="3221"/>
      <c r="EW91" s="3221"/>
      <c r="EX91" s="3221"/>
      <c r="EY91" s="3221"/>
      <c r="EZ91" s="3221"/>
      <c r="FA91" s="3221"/>
      <c r="FB91" s="3221"/>
      <c r="FC91" s="3221"/>
      <c r="FD91" s="3221"/>
      <c r="FE91" s="3221"/>
      <c r="FF91" s="3221"/>
      <c r="FG91" s="3221"/>
      <c r="FH91" s="3221"/>
      <c r="FI91" s="3221"/>
      <c r="FJ91" s="3221"/>
      <c r="FK91" s="3221"/>
      <c r="FL91" s="3221"/>
      <c r="FM91" s="3221"/>
      <c r="FN91" s="3221"/>
      <c r="FO91" s="3221"/>
      <c r="FP91" s="3221"/>
      <c r="FQ91" s="3221"/>
      <c r="FR91" s="3221"/>
      <c r="FS91" s="3221"/>
      <c r="FT91" s="3221"/>
      <c r="FU91" s="3221"/>
      <c r="FV91" s="3221"/>
    </row>
    <row r="92" spans="1:178" s="1172" customFormat="1" x14ac:dyDescent="0.25">
      <c r="A92" s="1171"/>
      <c r="B92" s="1171"/>
      <c r="C92" s="1601"/>
      <c r="D92" s="1601"/>
      <c r="E92" s="1601"/>
      <c r="F92" s="1601"/>
      <c r="G92" s="1601"/>
      <c r="H92" s="1601"/>
      <c r="I92" s="1601"/>
      <c r="J92" s="1601"/>
      <c r="K92" s="1979"/>
      <c r="L92" s="1979"/>
      <c r="M92" s="1601"/>
      <c r="N92" s="1601"/>
      <c r="O92" s="1601"/>
      <c r="P92" s="1601"/>
      <c r="Q92" s="1979"/>
      <c r="R92" s="1979"/>
      <c r="S92" s="1979"/>
      <c r="T92" s="1979"/>
      <c r="U92" s="1979"/>
      <c r="V92" s="1979"/>
      <c r="W92" s="1979"/>
      <c r="X92" s="1979"/>
      <c r="Y92" s="1979"/>
      <c r="Z92" s="1979"/>
      <c r="AA92" s="1979"/>
      <c r="AB92" s="1979"/>
      <c r="AC92" s="1979"/>
      <c r="AD92" s="1979"/>
      <c r="AE92" s="1979"/>
      <c r="AF92" s="1979"/>
      <c r="AG92" s="1979"/>
      <c r="AH92" s="1979"/>
      <c r="AI92" s="1979"/>
      <c r="AJ92" s="1979"/>
      <c r="AK92" s="1979"/>
      <c r="AL92" s="1979"/>
      <c r="AM92" s="1979"/>
      <c r="AN92" s="1979"/>
      <c r="AO92" s="1979"/>
      <c r="AP92" s="1979"/>
      <c r="AQ92" s="1979" t="s">
        <v>1590</v>
      </c>
      <c r="AR92" s="1979">
        <v>21372.98</v>
      </c>
      <c r="AS92" s="1979"/>
      <c r="AT92" s="1979"/>
      <c r="AU92" s="1979"/>
      <c r="AV92" s="1979"/>
      <c r="AW92" s="1979"/>
      <c r="AX92" s="1979"/>
      <c r="AY92" s="1979"/>
      <c r="AZ92" s="1979"/>
      <c r="BA92" s="1979"/>
      <c r="BB92" s="1979"/>
      <c r="BC92" s="1979"/>
      <c r="BD92" s="1968"/>
      <c r="BE92" s="1979"/>
      <c r="BF92" s="1979"/>
      <c r="BG92" s="1979"/>
      <c r="BH92" s="1979"/>
      <c r="BI92" s="1968"/>
      <c r="BJ92" s="1979"/>
      <c r="BK92" s="1355"/>
      <c r="BL92" s="1230"/>
      <c r="BM92" s="1230"/>
      <c r="BN92" s="1230"/>
      <c r="BO92" s="1355"/>
      <c r="BP92" s="1355"/>
      <c r="BQ92" s="1230"/>
      <c r="BR92" s="1230"/>
      <c r="BS92" s="1230"/>
      <c r="BT92" s="1355"/>
      <c r="BU92" s="1355"/>
      <c r="BV92" s="1230"/>
      <c r="BW92" s="1230"/>
      <c r="BX92" s="1230"/>
      <c r="BY92" s="1355"/>
      <c r="BZ92" s="2485"/>
      <c r="CA92" s="1230"/>
      <c r="CB92" s="1230"/>
      <c r="CC92" s="1230"/>
      <c r="CD92" s="1355"/>
      <c r="CE92" s="2485"/>
      <c r="CF92" s="1230"/>
      <c r="CG92" s="1230"/>
      <c r="CH92" s="1230"/>
      <c r="CI92" s="1355"/>
      <c r="CJ92" s="2485"/>
      <c r="CK92" s="1230"/>
      <c r="CL92" s="1230"/>
      <c r="CM92" s="1230"/>
      <c r="CN92" s="1355"/>
      <c r="CO92" s="1601"/>
      <c r="CP92" s="1968" t="s">
        <v>1666</v>
      </c>
      <c r="CQ92" s="1968">
        <v>20086901.403299972</v>
      </c>
      <c r="CR92" s="2479"/>
      <c r="CS92" s="2479"/>
      <c r="CT92" s="3170"/>
      <c r="CU92" s="3217"/>
      <c r="CV92" s="3220"/>
      <c r="CW92" s="3220"/>
      <c r="CX92" s="3220"/>
      <c r="CY92" s="3220"/>
      <c r="CZ92" s="3220"/>
      <c r="DA92" s="3220"/>
      <c r="DB92" s="3220"/>
      <c r="DC92" s="3220"/>
      <c r="DD92" s="3220"/>
      <c r="DE92" s="3220"/>
      <c r="DF92" s="3220"/>
      <c r="DG92" s="3220"/>
      <c r="DH92" s="3220"/>
      <c r="DI92" s="3220"/>
      <c r="DJ92" s="3220"/>
      <c r="DK92" s="3220"/>
      <c r="DL92" s="3220"/>
      <c r="DM92" s="3220"/>
      <c r="DN92" s="3220"/>
      <c r="DO92" s="3220"/>
      <c r="DP92" s="3220"/>
      <c r="DQ92" s="3220"/>
      <c r="DR92" s="3220"/>
      <c r="DS92" s="3220"/>
      <c r="DT92" s="3220"/>
      <c r="DU92" s="3220"/>
      <c r="DV92" s="3220"/>
      <c r="DW92" s="3220"/>
      <c r="DX92" s="3220"/>
      <c r="DY92" s="3220"/>
      <c r="DZ92" s="3220"/>
      <c r="EA92" s="3220"/>
      <c r="EB92" s="3220"/>
      <c r="EC92" s="3220"/>
      <c r="ED92" s="3220"/>
      <c r="EE92" s="3220"/>
      <c r="EF92" s="3220"/>
      <c r="EG92" s="3220"/>
      <c r="EH92" s="3220"/>
      <c r="EI92" s="3220"/>
      <c r="EJ92" s="3220"/>
      <c r="EK92" s="3220"/>
      <c r="EL92" s="3220"/>
      <c r="EM92" s="3220"/>
      <c r="EN92" s="3220"/>
      <c r="EO92" s="3220"/>
      <c r="EP92" s="3220"/>
      <c r="EQ92" s="3220"/>
      <c r="ER92" s="3220"/>
      <c r="ES92" s="3220"/>
      <c r="ET92" s="3220"/>
      <c r="EU92" s="3220"/>
      <c r="EV92" s="3220"/>
      <c r="EW92" s="3220"/>
      <c r="EX92" s="3220"/>
      <c r="EY92" s="3220"/>
      <c r="EZ92" s="3220"/>
      <c r="FA92" s="3220"/>
      <c r="FB92" s="3220"/>
      <c r="FC92" s="3220"/>
      <c r="FD92" s="3220"/>
      <c r="FE92" s="3220"/>
      <c r="FF92" s="3220"/>
      <c r="FG92" s="3220"/>
      <c r="FH92" s="3220"/>
      <c r="FI92" s="3220"/>
      <c r="FJ92" s="3220"/>
      <c r="FK92" s="3220"/>
      <c r="FL92" s="3220"/>
      <c r="FM92" s="3220"/>
      <c r="FN92" s="3220"/>
      <c r="FO92" s="3220"/>
      <c r="FP92" s="3220"/>
      <c r="FQ92" s="3220"/>
      <c r="FR92" s="3220"/>
      <c r="FS92" s="3220"/>
      <c r="FT92" s="3220"/>
      <c r="FU92" s="3220"/>
      <c r="FV92" s="3220"/>
    </row>
    <row r="93" spans="1:178" s="1233" customFormat="1" x14ac:dyDescent="0.25">
      <c r="A93" s="1171"/>
      <c r="B93" s="1171"/>
      <c r="C93" s="1601"/>
      <c r="D93" s="1601"/>
      <c r="E93" s="1601"/>
      <c r="F93" s="1601"/>
      <c r="G93" s="1601"/>
      <c r="H93" s="1601"/>
      <c r="I93" s="1601"/>
      <c r="J93" s="1601"/>
      <c r="K93" s="1979"/>
      <c r="L93" s="1979"/>
      <c r="M93" s="1601"/>
      <c r="N93" s="1601"/>
      <c r="O93" s="1601"/>
      <c r="P93" s="1601"/>
      <c r="Q93" s="1979"/>
      <c r="R93" s="1979"/>
      <c r="S93" s="1979"/>
      <c r="T93" s="1979"/>
      <c r="U93" s="1979"/>
      <c r="V93" s="1979"/>
      <c r="W93" s="1979"/>
      <c r="X93" s="1979"/>
      <c r="Y93" s="1979"/>
      <c r="Z93" s="1979"/>
      <c r="AA93" s="1979"/>
      <c r="AB93" s="1979"/>
      <c r="AC93" s="1979"/>
      <c r="AD93" s="1979"/>
      <c r="AE93" s="1979"/>
      <c r="AF93" s="1979"/>
      <c r="AG93" s="1979"/>
      <c r="AH93" s="1979"/>
      <c r="AI93" s="1979"/>
      <c r="AJ93" s="1979"/>
      <c r="AK93" s="1979"/>
      <c r="AL93" s="1979"/>
      <c r="AM93" s="1979"/>
      <c r="AN93" s="1979"/>
      <c r="AO93" s="1979"/>
      <c r="AP93" s="1979"/>
      <c r="AQ93" s="1979" t="s">
        <v>1604</v>
      </c>
      <c r="AR93" s="1979">
        <v>1001779.3</v>
      </c>
      <c r="AS93" s="1979">
        <f>AS86-AR92-AR93</f>
        <v>1057325.9179999977</v>
      </c>
      <c r="AT93" s="1979"/>
      <c r="AU93" s="1979"/>
      <c r="AV93" s="1979"/>
      <c r="AW93" s="1979"/>
      <c r="AX93" s="1979"/>
      <c r="AY93" s="1979"/>
      <c r="AZ93" s="1979"/>
      <c r="BA93" s="1979"/>
      <c r="BB93" s="1979"/>
      <c r="BC93" s="1979"/>
      <c r="BE93" s="1979"/>
      <c r="BF93" s="1979"/>
      <c r="BG93" s="1979"/>
      <c r="BH93" s="1979"/>
      <c r="BJ93" s="1979"/>
      <c r="BK93" s="1046"/>
      <c r="BL93" s="1230"/>
      <c r="BM93" s="1230"/>
      <c r="BN93" s="1230"/>
      <c r="BO93" s="1046"/>
      <c r="BP93" s="1046"/>
      <c r="BQ93" s="1230"/>
      <c r="BR93" s="1230"/>
      <c r="BS93" s="1230"/>
      <c r="BT93" s="1046"/>
      <c r="BU93" s="1046"/>
      <c r="BV93" s="1230"/>
      <c r="BW93" s="1230"/>
      <c r="BX93" s="1230"/>
      <c r="BY93" s="1046"/>
      <c r="BZ93" s="2485"/>
      <c r="CA93" s="1230"/>
      <c r="CB93" s="1230"/>
      <c r="CC93" s="1230"/>
      <c r="CD93" s="1046"/>
      <c r="CE93" s="2485"/>
      <c r="CF93" s="1230"/>
      <c r="CG93" s="1230"/>
      <c r="CH93" s="1230"/>
      <c r="CI93" s="1046"/>
      <c r="CJ93" s="2485"/>
      <c r="CK93" s="1230"/>
      <c r="CL93" s="1230"/>
      <c r="CM93" s="1230"/>
      <c r="CN93" s="1046"/>
      <c r="CO93" s="1601"/>
      <c r="CP93" s="1968" t="s">
        <v>1665</v>
      </c>
      <c r="CQ93" s="1968">
        <f>CQ92-CQ86</f>
        <v>-3055863.3587000184</v>
      </c>
      <c r="CT93" s="3171"/>
      <c r="CU93" s="3217"/>
      <c r="CV93" s="3221"/>
      <c r="CW93" s="3221"/>
      <c r="CX93" s="3221"/>
      <c r="CY93" s="3221"/>
      <c r="CZ93" s="3221"/>
      <c r="DA93" s="3221"/>
      <c r="DB93" s="3221"/>
      <c r="DC93" s="3221"/>
      <c r="DD93" s="3221"/>
      <c r="DE93" s="3221"/>
      <c r="DF93" s="3221"/>
      <c r="DG93" s="3221"/>
      <c r="DH93" s="3221"/>
      <c r="DI93" s="3221"/>
      <c r="DJ93" s="3221"/>
      <c r="DK93" s="3221"/>
      <c r="DL93" s="3221"/>
      <c r="DM93" s="3221"/>
      <c r="DN93" s="3221"/>
      <c r="DO93" s="3221"/>
      <c r="DP93" s="3221"/>
      <c r="DQ93" s="3221"/>
      <c r="DR93" s="3221"/>
      <c r="DS93" s="3221"/>
      <c r="DT93" s="3221"/>
      <c r="DU93" s="3221"/>
      <c r="DV93" s="3221"/>
      <c r="DW93" s="3221"/>
      <c r="DX93" s="3221"/>
      <c r="DY93" s="3221"/>
      <c r="DZ93" s="3221"/>
      <c r="EA93" s="3221"/>
      <c r="EB93" s="3221"/>
      <c r="EC93" s="3221"/>
      <c r="ED93" s="3221"/>
      <c r="EE93" s="3221"/>
      <c r="EF93" s="3221"/>
      <c r="EG93" s="3221"/>
      <c r="EH93" s="3221"/>
      <c r="EI93" s="3221"/>
      <c r="EJ93" s="3221"/>
      <c r="EK93" s="3221"/>
      <c r="EL93" s="3221"/>
      <c r="EM93" s="3221"/>
      <c r="EN93" s="3221"/>
      <c r="EO93" s="3221"/>
      <c r="EP93" s="3221"/>
      <c r="EQ93" s="3221"/>
      <c r="ER93" s="3221"/>
      <c r="ES93" s="3221"/>
      <c r="ET93" s="3221"/>
      <c r="EU93" s="3221"/>
      <c r="EV93" s="3221"/>
      <c r="EW93" s="3221"/>
      <c r="EX93" s="3221"/>
      <c r="EY93" s="3221"/>
      <c r="EZ93" s="3221"/>
      <c r="FA93" s="3221"/>
      <c r="FB93" s="3221"/>
      <c r="FC93" s="3221"/>
      <c r="FD93" s="3221"/>
      <c r="FE93" s="3221"/>
      <c r="FF93" s="3221"/>
      <c r="FG93" s="3221"/>
      <c r="FH93" s="3221"/>
      <c r="FI93" s="3221"/>
      <c r="FJ93" s="3221"/>
      <c r="FK93" s="3221"/>
      <c r="FL93" s="3221"/>
      <c r="FM93" s="3221"/>
      <c r="FN93" s="3221"/>
      <c r="FO93" s="3221"/>
      <c r="FP93" s="3221"/>
      <c r="FQ93" s="3221"/>
      <c r="FR93" s="3221"/>
      <c r="FS93" s="3221"/>
      <c r="FT93" s="3221"/>
      <c r="FU93" s="3221"/>
      <c r="FV93" s="3221"/>
    </row>
    <row r="94" spans="1:178" s="1233" customFormat="1" x14ac:dyDescent="0.25">
      <c r="A94" s="1171"/>
      <c r="B94" s="1171"/>
      <c r="C94" s="1601"/>
      <c r="D94" s="1601"/>
      <c r="E94" s="1601"/>
      <c r="F94" s="1601"/>
      <c r="G94" s="1669"/>
      <c r="H94" s="1601"/>
      <c r="I94" s="1601"/>
      <c r="J94" s="1601"/>
      <c r="K94" s="1979"/>
      <c r="L94" s="1979"/>
      <c r="M94" s="1669"/>
      <c r="N94" s="1601"/>
      <c r="O94" s="1601"/>
      <c r="P94" s="1601"/>
      <c r="Q94" s="1979"/>
      <c r="R94" s="1979"/>
      <c r="S94" s="1979"/>
      <c r="T94" s="1979"/>
      <c r="U94" s="1979"/>
      <c r="V94" s="1979"/>
      <c r="W94" s="1979"/>
      <c r="X94" s="1979"/>
      <c r="Y94" s="1979"/>
      <c r="Z94" s="1979"/>
      <c r="AA94" s="1979"/>
      <c r="AB94" s="1979"/>
      <c r="AC94" s="1979"/>
      <c r="AD94" s="1979"/>
      <c r="AE94" s="1979"/>
      <c r="AF94" s="1979"/>
      <c r="AG94" s="1979"/>
      <c r="AH94" s="1979"/>
      <c r="AI94" s="1979"/>
      <c r="AJ94" s="1979"/>
      <c r="AK94" s="1979"/>
      <c r="AL94" s="1979"/>
      <c r="AM94" s="1979"/>
      <c r="AN94" s="1979"/>
      <c r="AO94" s="1979"/>
      <c r="AP94" s="1979"/>
      <c r="AS94" s="1979"/>
      <c r="AT94" s="1979"/>
      <c r="AU94" s="1979"/>
      <c r="AV94" s="1979"/>
      <c r="AW94" s="1979"/>
      <c r="AX94" s="1979"/>
      <c r="AY94" s="1979"/>
      <c r="AZ94" s="1979"/>
      <c r="BA94" s="1979"/>
      <c r="BB94" s="1979"/>
      <c r="BC94" s="1979"/>
      <c r="BD94" s="1979"/>
      <c r="BE94" s="1979"/>
      <c r="BF94" s="1979"/>
      <c r="BG94" s="1979"/>
      <c r="BH94" s="1979"/>
      <c r="BI94" s="1979"/>
      <c r="BJ94" s="1979"/>
      <c r="BK94" s="1979"/>
      <c r="BL94" s="1979"/>
      <c r="BM94" s="1979"/>
      <c r="BN94" s="1979"/>
      <c r="BO94" s="1979"/>
      <c r="BP94" s="1979"/>
      <c r="BQ94" s="1979"/>
      <c r="BR94" s="1979"/>
      <c r="BS94" s="1979"/>
      <c r="BT94" s="1979"/>
      <c r="BU94" s="1979"/>
      <c r="BV94" s="1979"/>
      <c r="BW94" s="1979"/>
      <c r="BX94" s="1979"/>
      <c r="BY94" s="1979"/>
      <c r="BZ94" s="1979"/>
      <c r="CA94" s="1979"/>
      <c r="CB94" s="1979"/>
      <c r="CC94" s="1979"/>
      <c r="CD94" s="1979"/>
      <c r="CE94" s="1979"/>
      <c r="CF94" s="1979"/>
      <c r="CG94" s="1979"/>
      <c r="CH94" s="1979"/>
      <c r="CI94" s="1979"/>
      <c r="CJ94" s="1979"/>
      <c r="CK94" s="1979"/>
      <c r="CL94" s="1979"/>
      <c r="CM94" s="1979"/>
      <c r="CN94" s="1979"/>
      <c r="CO94" s="1601"/>
      <c r="CT94" s="3171"/>
      <c r="CU94" s="3217"/>
      <c r="CV94" s="3221"/>
      <c r="CW94" s="3221"/>
      <c r="CX94" s="3221"/>
      <c r="CY94" s="3221"/>
      <c r="CZ94" s="3221"/>
      <c r="DA94" s="3221"/>
      <c r="DB94" s="3221"/>
      <c r="DC94" s="3221"/>
      <c r="DD94" s="3221"/>
      <c r="DE94" s="3221"/>
      <c r="DF94" s="3221"/>
      <c r="DG94" s="3221"/>
      <c r="DH94" s="3221"/>
      <c r="DI94" s="3221"/>
      <c r="DJ94" s="3221"/>
      <c r="DK94" s="3221"/>
      <c r="DL94" s="3221"/>
      <c r="DM94" s="3221"/>
      <c r="DN94" s="3221"/>
      <c r="DO94" s="3221"/>
      <c r="DP94" s="3221"/>
      <c r="DQ94" s="3221"/>
      <c r="DR94" s="3221"/>
      <c r="DS94" s="3221"/>
      <c r="DT94" s="3221"/>
      <c r="DU94" s="3221"/>
      <c r="DV94" s="3221"/>
      <c r="DW94" s="3221"/>
      <c r="DX94" s="3221"/>
      <c r="DY94" s="3221"/>
      <c r="DZ94" s="3221"/>
      <c r="EA94" s="3221"/>
      <c r="EB94" s="3221"/>
      <c r="EC94" s="3221"/>
      <c r="ED94" s="3221"/>
      <c r="EE94" s="3221"/>
      <c r="EF94" s="3221"/>
      <c r="EG94" s="3221"/>
      <c r="EH94" s="3221"/>
      <c r="EI94" s="3221"/>
      <c r="EJ94" s="3221"/>
      <c r="EK94" s="3221"/>
      <c r="EL94" s="3221"/>
      <c r="EM94" s="3221"/>
      <c r="EN94" s="3221"/>
      <c r="EO94" s="3221"/>
      <c r="EP94" s="3221"/>
      <c r="EQ94" s="3221"/>
      <c r="ER94" s="3221"/>
      <c r="ES94" s="3221"/>
      <c r="ET94" s="3221"/>
      <c r="EU94" s="3221"/>
      <c r="EV94" s="3221"/>
      <c r="EW94" s="3221"/>
      <c r="EX94" s="3221"/>
      <c r="EY94" s="3221"/>
      <c r="EZ94" s="3221"/>
      <c r="FA94" s="3221"/>
      <c r="FB94" s="3221"/>
      <c r="FC94" s="3221"/>
      <c r="FD94" s="3221"/>
      <c r="FE94" s="3221"/>
      <c r="FF94" s="3221"/>
      <c r="FG94" s="3221"/>
      <c r="FH94" s="3221"/>
      <c r="FI94" s="3221"/>
      <c r="FJ94" s="3221"/>
      <c r="FK94" s="3221"/>
      <c r="FL94" s="3221"/>
      <c r="FM94" s="3221"/>
      <c r="FN94" s="3221"/>
      <c r="FO94" s="3221"/>
      <c r="FP94" s="3221"/>
      <c r="FQ94" s="3221"/>
      <c r="FR94" s="3221"/>
      <c r="FS94" s="3221"/>
      <c r="FT94" s="3221"/>
      <c r="FU94" s="3221"/>
      <c r="FV94" s="3221"/>
    </row>
    <row r="95" spans="1:178" s="1411" customFormat="1" x14ac:dyDescent="0.25">
      <c r="A95" s="1417"/>
      <c r="B95" s="1417"/>
      <c r="C95" s="1968"/>
      <c r="D95" s="1968"/>
      <c r="E95" s="1968"/>
      <c r="F95" s="1968"/>
      <c r="G95" s="1968"/>
      <c r="H95" s="1979"/>
      <c r="I95" s="1979"/>
      <c r="J95" s="1979"/>
      <c r="K95" s="1979"/>
      <c r="L95" s="1979"/>
      <c r="M95" s="1968"/>
      <c r="N95" s="1979"/>
      <c r="O95" s="1979"/>
      <c r="P95" s="1979"/>
      <c r="Q95" s="1979"/>
      <c r="R95" s="1979"/>
      <c r="S95" s="1979"/>
      <c r="T95" s="1979"/>
      <c r="U95" s="1979"/>
      <c r="V95" s="1979"/>
      <c r="W95" s="1979"/>
      <c r="X95" s="1979"/>
      <c r="Y95" s="1979"/>
      <c r="Z95" s="1979"/>
      <c r="AA95" s="1979"/>
      <c r="AB95" s="1979"/>
      <c r="AC95" s="1979"/>
      <c r="AD95" s="1979"/>
      <c r="AE95" s="1979"/>
      <c r="AF95" s="1979"/>
      <c r="AG95" s="1979"/>
      <c r="AH95" s="1979"/>
      <c r="AI95" s="1979"/>
      <c r="AJ95" s="1979"/>
      <c r="AK95" s="1979"/>
      <c r="AL95" s="1979"/>
      <c r="AM95" s="1979"/>
      <c r="AN95" s="1979"/>
      <c r="AO95" s="1979"/>
      <c r="AP95" s="1979"/>
      <c r="AQ95" s="2126" t="s">
        <v>1591</v>
      </c>
      <c r="AR95" s="1979">
        <v>1005429.23</v>
      </c>
      <c r="AS95" s="1979"/>
      <c r="AT95" s="1979"/>
      <c r="AU95" s="1979"/>
      <c r="AV95" s="1979"/>
      <c r="AW95" s="1979"/>
      <c r="AX95" s="1979"/>
      <c r="AY95" s="1979"/>
      <c r="AZ95" s="1979"/>
      <c r="BA95" s="1979"/>
      <c r="BB95" s="1979"/>
      <c r="BC95" s="1979"/>
      <c r="BD95" s="1979"/>
      <c r="BE95" s="1979"/>
      <c r="BF95" s="1979"/>
      <c r="BG95" s="1979"/>
      <c r="BH95" s="1979"/>
      <c r="BI95" s="1979"/>
      <c r="BJ95" s="1979"/>
      <c r="BK95" s="1979"/>
      <c r="BL95" s="1979"/>
      <c r="BM95" s="1979"/>
      <c r="BN95" s="1979"/>
      <c r="BO95" s="1979"/>
      <c r="BP95" s="1979"/>
      <c r="BQ95" s="1979"/>
      <c r="BR95" s="1979"/>
      <c r="BS95" s="1979"/>
      <c r="BT95" s="1979"/>
      <c r="BU95" s="1979"/>
      <c r="BV95" s="1979"/>
      <c r="BW95" s="1979"/>
      <c r="BX95" s="1979"/>
      <c r="BY95" s="1979"/>
      <c r="BZ95" s="1979"/>
      <c r="CA95" s="1979"/>
      <c r="CB95" s="1979"/>
      <c r="CC95" s="1979"/>
      <c r="CD95" s="1979"/>
      <c r="CE95" s="1979"/>
      <c r="CF95" s="1979"/>
      <c r="CG95" s="1979"/>
      <c r="CH95" s="1979"/>
      <c r="CI95" s="1979"/>
      <c r="CJ95" s="1979"/>
      <c r="CK95" s="1979"/>
      <c r="CL95" s="1979"/>
      <c r="CM95" s="1979"/>
      <c r="CN95" s="1979"/>
      <c r="CO95" s="1968"/>
      <c r="CP95" s="1075" t="s">
        <v>1692</v>
      </c>
      <c r="CQ95" s="1968">
        <v>3502396.5866999994</v>
      </c>
      <c r="CR95" s="1233"/>
      <c r="CS95" s="1233"/>
      <c r="CT95" s="3171"/>
      <c r="CU95" s="3217"/>
      <c r="CV95" s="1579"/>
      <c r="CW95" s="1579"/>
      <c r="CX95" s="1579"/>
      <c r="CY95" s="1579"/>
      <c r="CZ95" s="1579"/>
      <c r="DA95" s="1579"/>
      <c r="DB95" s="1579"/>
      <c r="DC95" s="1579"/>
      <c r="DD95" s="1579"/>
      <c r="DE95" s="1579"/>
      <c r="DF95" s="1579"/>
      <c r="DG95" s="1579"/>
      <c r="DH95" s="1579"/>
      <c r="DI95" s="1579"/>
      <c r="DJ95" s="1579"/>
      <c r="DK95" s="1579"/>
      <c r="DL95" s="1579"/>
      <c r="DM95" s="1579"/>
      <c r="DN95" s="1579"/>
      <c r="DO95" s="1579"/>
      <c r="DP95" s="1579"/>
      <c r="DQ95" s="1579"/>
      <c r="DR95" s="1579"/>
      <c r="DS95" s="1579"/>
      <c r="DT95" s="1579"/>
      <c r="DU95" s="1579"/>
      <c r="DV95" s="1579"/>
      <c r="DW95" s="1579"/>
      <c r="DX95" s="1579"/>
      <c r="DY95" s="1579"/>
      <c r="DZ95" s="1579"/>
      <c r="EA95" s="1579"/>
      <c r="EB95" s="1579"/>
      <c r="EC95" s="1579"/>
      <c r="ED95" s="1579"/>
      <c r="EE95" s="1579"/>
      <c r="EF95" s="1579"/>
      <c r="EG95" s="1579"/>
      <c r="EH95" s="1579"/>
      <c r="EI95" s="1579"/>
      <c r="EJ95" s="1579"/>
      <c r="EK95" s="1579"/>
      <c r="EL95" s="1579"/>
      <c r="EM95" s="1579"/>
      <c r="EN95" s="1579"/>
      <c r="EO95" s="1579"/>
      <c r="EP95" s="1579"/>
      <c r="EQ95" s="1579"/>
      <c r="ER95" s="1579"/>
      <c r="ES95" s="1579"/>
      <c r="ET95" s="1579"/>
      <c r="EU95" s="1579"/>
      <c r="EV95" s="1579"/>
      <c r="EW95" s="1579"/>
      <c r="EX95" s="1579"/>
      <c r="EY95" s="1579"/>
      <c r="EZ95" s="1579"/>
      <c r="FA95" s="1579"/>
      <c r="FB95" s="1579"/>
      <c r="FC95" s="1579"/>
      <c r="FD95" s="1579"/>
      <c r="FE95" s="1579"/>
      <c r="FF95" s="1579"/>
      <c r="FG95" s="1579"/>
      <c r="FH95" s="1579"/>
      <c r="FI95" s="1579"/>
      <c r="FJ95" s="1579"/>
      <c r="FK95" s="1579"/>
      <c r="FL95" s="1579"/>
      <c r="FM95" s="1579"/>
      <c r="FN95" s="1579"/>
      <c r="FO95" s="1579"/>
      <c r="FP95" s="1579"/>
      <c r="FQ95" s="1579"/>
      <c r="FR95" s="1579"/>
      <c r="FS95" s="1579"/>
      <c r="FT95" s="1579"/>
      <c r="FU95" s="1579"/>
      <c r="FV95" s="1579"/>
    </row>
    <row r="96" spans="1:178" x14ac:dyDescent="0.25">
      <c r="C96" s="1968"/>
      <c r="D96" s="1968"/>
      <c r="G96" s="1979"/>
      <c r="H96" s="1979"/>
      <c r="I96" s="1979"/>
      <c r="J96" s="1979"/>
      <c r="K96" s="1979"/>
      <c r="L96" s="1979"/>
      <c r="M96" s="1979"/>
      <c r="N96" s="1979"/>
      <c r="O96" s="1979"/>
      <c r="P96" s="1979"/>
      <c r="Q96" s="1979"/>
      <c r="R96" s="1979"/>
      <c r="S96" s="1979"/>
      <c r="T96" s="1979"/>
      <c r="U96" s="1979"/>
      <c r="V96" s="1979"/>
      <c r="W96" s="1979"/>
      <c r="X96" s="1979"/>
      <c r="Y96" s="1979"/>
      <c r="Z96" s="1979"/>
      <c r="AA96" s="1979"/>
      <c r="AB96" s="1979"/>
      <c r="AC96" s="1979"/>
      <c r="AD96" s="1979"/>
      <c r="AE96" s="1979"/>
      <c r="AF96" s="1979"/>
      <c r="AG96" s="1979"/>
      <c r="AH96" s="1979"/>
      <c r="AI96" s="1979"/>
      <c r="AJ96" s="1979"/>
      <c r="AK96" s="1979"/>
      <c r="AL96" s="1979"/>
      <c r="AM96" s="1979"/>
      <c r="AN96" s="1979"/>
      <c r="AO96" s="1979"/>
      <c r="AP96" s="1979"/>
      <c r="AQ96" s="1979"/>
      <c r="AR96" s="1979"/>
      <c r="AS96" s="1979"/>
      <c r="AT96" s="1979"/>
      <c r="AU96" s="1979"/>
      <c r="AV96" s="1979"/>
      <c r="AW96" s="1979"/>
      <c r="AX96" s="1979"/>
      <c r="AY96" s="1979"/>
      <c r="AZ96" s="1979"/>
      <c r="BA96" s="1979"/>
      <c r="BB96" s="1979"/>
      <c r="BC96" s="1979"/>
      <c r="BD96" s="1979"/>
      <c r="BE96" s="1979"/>
      <c r="BF96" s="1979"/>
      <c r="BG96" s="1979"/>
      <c r="BH96" s="1979"/>
      <c r="BI96" s="1979"/>
      <c r="BJ96" s="1979"/>
      <c r="BK96" s="1979"/>
      <c r="BL96" s="1979"/>
      <c r="BM96" s="1979"/>
      <c r="BN96" s="1979"/>
      <c r="BO96" s="1979"/>
      <c r="BP96" s="1979"/>
      <c r="BQ96" s="1979"/>
      <c r="BR96" s="1979"/>
      <c r="BS96" s="1979"/>
      <c r="BT96" s="1979"/>
      <c r="BU96" s="1979"/>
      <c r="BV96" s="1979"/>
      <c r="BW96" s="1979"/>
      <c r="BX96" s="1979"/>
      <c r="BY96" s="1979"/>
      <c r="BZ96" s="1979"/>
      <c r="CA96" s="1979"/>
      <c r="CB96" s="1979"/>
      <c r="CC96" s="1979"/>
      <c r="CD96" s="1979"/>
      <c r="CE96" s="1979"/>
      <c r="CF96" s="1979"/>
      <c r="CG96" s="1979"/>
      <c r="CH96" s="1979"/>
      <c r="CI96" s="1979"/>
      <c r="CJ96" s="1979"/>
      <c r="CK96" s="1979"/>
      <c r="CL96" s="1979"/>
      <c r="CM96" s="1979"/>
      <c r="CN96" s="1979"/>
      <c r="CP96" s="1075"/>
      <c r="CR96" s="2480"/>
      <c r="CS96" s="1233"/>
      <c r="CT96" s="3171"/>
    </row>
    <row r="97" spans="1:98" x14ac:dyDescent="0.25">
      <c r="BL97" s="1601"/>
      <c r="BM97" s="1601"/>
      <c r="BN97" s="1601"/>
      <c r="BQ97" s="1601"/>
      <c r="BR97" s="1601"/>
      <c r="BS97" s="1601"/>
      <c r="BV97" s="1601"/>
      <c r="BW97" s="1601"/>
      <c r="BX97" s="1601"/>
      <c r="CA97" s="1601"/>
      <c r="CB97" s="1601"/>
      <c r="CC97" s="1601"/>
      <c r="CF97" s="1601"/>
      <c r="CG97" s="1601"/>
      <c r="CH97" s="1601"/>
      <c r="CK97" s="1601"/>
      <c r="CL97" s="1601"/>
      <c r="CM97" s="1601"/>
      <c r="CP97" s="1075" t="s">
        <v>1693</v>
      </c>
      <c r="CQ97" s="1968">
        <f>-CQ103</f>
        <v>-489664.33999999997</v>
      </c>
      <c r="CS97" s="1233"/>
      <c r="CT97" s="3171"/>
    </row>
    <row r="98" spans="1:98" x14ac:dyDescent="0.25">
      <c r="BL98" s="1601"/>
      <c r="BM98" s="1601"/>
      <c r="BN98" s="1601"/>
      <c r="BQ98" s="1601"/>
      <c r="BR98" s="1601"/>
      <c r="BS98" s="1601"/>
      <c r="BV98" s="1601"/>
      <c r="BW98" s="1601"/>
      <c r="BX98" s="1601"/>
      <c r="CA98" s="1601"/>
      <c r="CB98" s="1601"/>
      <c r="CC98" s="1601"/>
      <c r="CF98" s="1601"/>
      <c r="CG98" s="1601"/>
      <c r="CH98" s="1601"/>
      <c r="CK98" s="1601"/>
      <c r="CL98" s="1601"/>
      <c r="CM98" s="1601"/>
      <c r="CP98" s="1075" t="s">
        <v>2049</v>
      </c>
      <c r="CQ98" s="3135">
        <v>43127.34</v>
      </c>
      <c r="CR98" s="1968" t="s">
        <v>2050</v>
      </c>
      <c r="CS98" s="1233"/>
      <c r="CT98" s="3171"/>
    </row>
    <row r="99" spans="1:98" x14ac:dyDescent="0.25">
      <c r="BL99" s="1601"/>
      <c r="BM99" s="1601"/>
      <c r="BN99" s="1601"/>
      <c r="BQ99" s="1601"/>
      <c r="BR99" s="1601"/>
      <c r="BS99" s="1601"/>
      <c r="BV99" s="1601"/>
      <c r="BW99" s="1601"/>
      <c r="BX99" s="1601"/>
      <c r="CA99" s="1601"/>
      <c r="CB99" s="1601"/>
      <c r="CC99" s="1601"/>
      <c r="CF99" s="1601"/>
      <c r="CG99" s="1601"/>
      <c r="CH99" s="1601"/>
      <c r="CK99" s="1601"/>
      <c r="CL99" s="1601"/>
      <c r="CM99" s="1601"/>
      <c r="CP99" s="1075"/>
      <c r="CS99" s="1233"/>
      <c r="CT99" s="3171"/>
    </row>
    <row r="100" spans="1:98" x14ac:dyDescent="0.25">
      <c r="BL100" s="1601"/>
      <c r="BM100" s="1601"/>
      <c r="BN100" s="1601"/>
      <c r="BQ100" s="1601"/>
      <c r="BR100" s="1601"/>
      <c r="BS100" s="1601"/>
      <c r="BV100" s="1601"/>
      <c r="BW100" s="1601"/>
      <c r="BX100" s="1601"/>
      <c r="CA100" s="1601"/>
      <c r="CB100" s="1601"/>
      <c r="CC100" s="1601"/>
      <c r="CF100" s="1601"/>
      <c r="CG100" s="1601"/>
      <c r="CH100" s="1601"/>
      <c r="CK100" s="1601"/>
      <c r="CL100" s="1601"/>
      <c r="CM100" s="1601"/>
      <c r="CP100" s="1968" t="s">
        <v>1750</v>
      </c>
      <c r="CQ100" s="1968">
        <f>SUM(CQ93:CQ99)</f>
        <v>-3.7720000189437997</v>
      </c>
      <c r="CR100" s="1968">
        <f>CQ100/CQ92</f>
        <v>-1.8778406600453156E-7</v>
      </c>
      <c r="CS100" s="1233"/>
      <c r="CT100" s="3171"/>
    </row>
    <row r="101" spans="1:98" x14ac:dyDescent="0.25">
      <c r="BL101" s="1601"/>
      <c r="BM101" s="1601"/>
      <c r="BN101" s="1601"/>
      <c r="BQ101" s="1601"/>
      <c r="BR101" s="1601"/>
      <c r="BS101" s="1601"/>
      <c r="BV101" s="1601"/>
      <c r="BW101" s="1601"/>
      <c r="BX101" s="1601"/>
      <c r="CA101" s="1601"/>
      <c r="CB101" s="1601"/>
      <c r="CC101" s="1601"/>
      <c r="CF101" s="1601"/>
      <c r="CG101" s="1601"/>
      <c r="CH101" s="1601"/>
      <c r="CK101" s="1601"/>
      <c r="CL101" s="1601"/>
      <c r="CM101" s="1601"/>
      <c r="CS101" s="1233"/>
      <c r="CT101" s="3171"/>
    </row>
    <row r="102" spans="1:98" x14ac:dyDescent="0.25">
      <c r="CA102" s="1601"/>
      <c r="CB102" s="1601"/>
      <c r="CC102" s="1601"/>
      <c r="CF102" s="1601"/>
      <c r="CG102" s="1601"/>
      <c r="CH102" s="1601"/>
      <c r="CK102" s="1601"/>
      <c r="CL102" s="1601"/>
      <c r="CM102" s="1601"/>
      <c r="CS102" s="1233"/>
    </row>
    <row r="103" spans="1:98" ht="13.8" x14ac:dyDescent="0.25">
      <c r="CA103" s="1601"/>
      <c r="CB103" s="1601"/>
      <c r="CC103" s="1601"/>
      <c r="CF103" s="1601"/>
      <c r="CG103" s="1601"/>
      <c r="CH103" s="1601"/>
      <c r="CK103" s="1601"/>
      <c r="CL103" s="1601"/>
      <c r="CM103" s="1601"/>
      <c r="CP103" s="2803" t="s">
        <v>1773</v>
      </c>
      <c r="CQ103" s="756">
        <f>SUM(CQ104:CQ107)</f>
        <v>489664.33999999997</v>
      </c>
      <c r="CS103" s="3170"/>
    </row>
    <row r="104" spans="1:98" x14ac:dyDescent="0.25">
      <c r="CP104" s="1075" t="s">
        <v>1922</v>
      </c>
      <c r="CQ104" s="1693">
        <v>30638.3</v>
      </c>
    </row>
    <row r="105" spans="1:98" x14ac:dyDescent="0.25">
      <c r="CP105" s="1075" t="s">
        <v>2074</v>
      </c>
      <c r="CQ105" s="1693">
        <v>239546.93</v>
      </c>
    </row>
    <row r="106" spans="1:98" x14ac:dyDescent="0.25">
      <c r="CP106" s="1075" t="s">
        <v>2075</v>
      </c>
      <c r="CQ106" s="1693">
        <v>217479.11</v>
      </c>
      <c r="CR106" s="828" t="s">
        <v>2076</v>
      </c>
    </row>
    <row r="107" spans="1:98" x14ac:dyDescent="0.25">
      <c r="CP107" s="1075" t="s">
        <v>1788</v>
      </c>
      <c r="CQ107" s="1693">
        <v>2000</v>
      </c>
      <c r="CR107" s="1410" t="s">
        <v>2077</v>
      </c>
    </row>
    <row r="108" spans="1:98" x14ac:dyDescent="0.25">
      <c r="CP108" s="1075"/>
      <c r="CQ108" s="1693"/>
      <c r="CR108" s="1410"/>
    </row>
    <row r="109" spans="1:98" x14ac:dyDescent="0.25">
      <c r="BK109" s="1410"/>
      <c r="BL109" s="1410"/>
      <c r="BM109" s="1410"/>
      <c r="BN109" s="1410"/>
      <c r="BP109" s="1410"/>
      <c r="BQ109" s="1410"/>
      <c r="BR109" s="1410"/>
      <c r="BS109" s="1410"/>
      <c r="BU109" s="1410"/>
      <c r="BV109" s="1410"/>
      <c r="BW109" s="1410"/>
      <c r="BX109" s="1410"/>
      <c r="CP109" s="1075"/>
    </row>
    <row r="110" spans="1:98" x14ac:dyDescent="0.25">
      <c r="A110" s="1410"/>
      <c r="B110" s="1410"/>
      <c r="C110" s="1410"/>
      <c r="D110" s="1410"/>
      <c r="E110" s="1410"/>
      <c r="F110" s="1410"/>
      <c r="G110" s="1410"/>
      <c r="H110" s="1410"/>
      <c r="I110" s="1410"/>
      <c r="J110" s="1410"/>
      <c r="K110" s="1410"/>
      <c r="L110" s="1410"/>
      <c r="AL110" s="1410"/>
      <c r="AM110" s="1410"/>
      <c r="AN110" s="1410"/>
      <c r="AO110" s="1410"/>
      <c r="AP110" s="1410"/>
      <c r="AQ110" s="1410"/>
      <c r="AR110" s="1410"/>
      <c r="AS110" s="1410"/>
      <c r="AT110" s="1410"/>
      <c r="AU110" s="1410"/>
      <c r="AV110" s="1410"/>
      <c r="AW110" s="1410"/>
      <c r="AX110" s="1410"/>
      <c r="AY110" s="1410"/>
      <c r="AZ110" s="1410"/>
      <c r="BA110" s="1410"/>
      <c r="BB110" s="1410"/>
      <c r="BC110" s="1410"/>
      <c r="BD110" s="1410"/>
      <c r="BE110" s="1410"/>
      <c r="BF110" s="1410"/>
      <c r="BG110" s="1410"/>
      <c r="BH110" s="1410"/>
      <c r="BI110" s="1410"/>
      <c r="BJ110" s="1410"/>
      <c r="BK110" s="1410"/>
      <c r="BL110" s="1410"/>
      <c r="BM110" s="1410"/>
      <c r="BN110" s="1410"/>
      <c r="BP110" s="1410"/>
      <c r="BQ110" s="1410"/>
      <c r="BR110" s="1410"/>
      <c r="BS110" s="1410"/>
      <c r="BU110" s="1410"/>
      <c r="BV110" s="1410"/>
      <c r="BW110" s="1410"/>
      <c r="BX110" s="1410"/>
    </row>
    <row r="111" spans="1:98" x14ac:dyDescent="0.25">
      <c r="A111" s="1410"/>
      <c r="B111" s="1410"/>
      <c r="C111" s="1410"/>
      <c r="D111" s="1410"/>
      <c r="E111" s="1410"/>
      <c r="F111" s="1410"/>
      <c r="G111" s="1410"/>
      <c r="H111" s="1410"/>
      <c r="I111" s="1410"/>
      <c r="J111" s="1410"/>
      <c r="K111" s="1410"/>
      <c r="L111" s="1410"/>
      <c r="AL111" s="1410"/>
      <c r="AM111" s="1410"/>
      <c r="AN111" s="1410"/>
      <c r="AO111" s="1410"/>
      <c r="AP111" s="1410"/>
      <c r="AQ111" s="1410"/>
      <c r="AR111" s="1410"/>
      <c r="AS111" s="1410"/>
      <c r="AT111" s="1410"/>
      <c r="AU111" s="1410"/>
      <c r="AV111" s="1410"/>
      <c r="AW111" s="1410"/>
      <c r="AX111" s="1410"/>
      <c r="AY111" s="1410"/>
      <c r="AZ111" s="1410"/>
      <c r="BA111" s="1410"/>
      <c r="BB111" s="1410"/>
      <c r="BC111" s="1410"/>
      <c r="BD111" s="1410"/>
      <c r="BE111" s="1410"/>
      <c r="BF111" s="1410"/>
      <c r="BG111" s="1410"/>
      <c r="BH111" s="1410"/>
      <c r="BI111" s="1410"/>
      <c r="BJ111" s="1410"/>
      <c r="BK111" s="1410"/>
      <c r="BL111" s="1410"/>
      <c r="BM111" s="1410"/>
      <c r="BN111" s="1410"/>
      <c r="BP111" s="1410"/>
      <c r="BQ111" s="1410"/>
      <c r="BR111" s="1410"/>
      <c r="BS111" s="1410"/>
      <c r="BU111" s="1410"/>
      <c r="BV111" s="1410"/>
      <c r="BW111" s="1410"/>
      <c r="BX111" s="1410"/>
      <c r="BZ111" s="1410"/>
      <c r="CA111" s="1410"/>
      <c r="CB111" s="1410"/>
      <c r="CC111" s="1410"/>
      <c r="CD111" s="1410"/>
      <c r="CE111" s="1410"/>
      <c r="CF111" s="1410"/>
      <c r="CG111" s="1410"/>
      <c r="CH111" s="1410"/>
      <c r="CI111" s="1410"/>
      <c r="CJ111" s="1410"/>
      <c r="CK111" s="1410"/>
      <c r="CL111" s="1410"/>
      <c r="CM111" s="1410"/>
      <c r="CN111" s="1410"/>
      <c r="CO111" s="1410"/>
      <c r="CS111" s="1410"/>
    </row>
    <row r="112" spans="1:98" x14ac:dyDescent="0.25">
      <c r="A112" s="1410"/>
      <c r="B112" s="1410"/>
      <c r="C112" s="1410"/>
      <c r="D112" s="1410"/>
      <c r="E112" s="1410"/>
      <c r="F112" s="1410"/>
      <c r="G112" s="1410"/>
      <c r="H112" s="1410"/>
      <c r="I112" s="1410"/>
      <c r="J112" s="1410"/>
      <c r="K112" s="1410"/>
      <c r="L112" s="1410"/>
      <c r="AL112" s="1410"/>
      <c r="AM112" s="1410"/>
      <c r="AN112" s="1410"/>
      <c r="AO112" s="1410"/>
      <c r="AP112" s="1410"/>
      <c r="AQ112" s="1410"/>
      <c r="AR112" s="1410"/>
      <c r="AS112" s="1410"/>
      <c r="AT112" s="1410"/>
      <c r="AU112" s="1410"/>
      <c r="AV112" s="1410"/>
      <c r="AW112" s="1410"/>
      <c r="AX112" s="1410"/>
      <c r="AY112" s="1410"/>
      <c r="AZ112" s="1410"/>
      <c r="BA112" s="1410"/>
      <c r="BB112" s="1410"/>
      <c r="BC112" s="1410"/>
      <c r="BD112" s="1410"/>
      <c r="BE112" s="1410"/>
      <c r="BF112" s="1410"/>
      <c r="BG112" s="1410"/>
      <c r="BH112" s="1410"/>
      <c r="BI112" s="1410"/>
      <c r="BJ112" s="1410"/>
      <c r="BK112" s="1410"/>
      <c r="BL112" s="1410"/>
      <c r="BM112" s="1410"/>
      <c r="BN112" s="1410"/>
      <c r="BP112" s="1410"/>
      <c r="BQ112" s="1410"/>
      <c r="BR112" s="1410"/>
      <c r="BS112" s="1410"/>
      <c r="BU112" s="1410"/>
      <c r="BV112" s="1410"/>
      <c r="BW112" s="1410"/>
      <c r="BX112" s="1410"/>
      <c r="BZ112" s="1410"/>
      <c r="CA112" s="1410"/>
      <c r="CB112" s="1410"/>
      <c r="CC112" s="1410"/>
      <c r="CD112" s="1410"/>
      <c r="CE112" s="1410"/>
      <c r="CF112" s="1410"/>
      <c r="CG112" s="1410"/>
      <c r="CH112" s="1410"/>
      <c r="CI112" s="1410"/>
      <c r="CJ112" s="1410"/>
      <c r="CK112" s="1410"/>
      <c r="CL112" s="1410"/>
      <c r="CM112" s="1410"/>
      <c r="CN112" s="1410"/>
      <c r="CO112" s="1410"/>
      <c r="CS112" s="1410"/>
    </row>
    <row r="113" spans="1:97" x14ac:dyDescent="0.25">
      <c r="A113" s="1410"/>
      <c r="B113" s="1410"/>
      <c r="C113" s="1410"/>
      <c r="D113" s="1410"/>
      <c r="E113" s="1410"/>
      <c r="F113" s="1410"/>
      <c r="G113" s="1410"/>
      <c r="H113" s="1410"/>
      <c r="I113" s="1410"/>
      <c r="J113" s="1410"/>
      <c r="K113" s="1410"/>
      <c r="L113" s="1410"/>
      <c r="AL113" s="1410"/>
      <c r="AM113" s="1410"/>
      <c r="AN113" s="1410"/>
      <c r="AO113" s="1410"/>
      <c r="AP113" s="1410"/>
      <c r="AQ113" s="1410"/>
      <c r="AR113" s="1410"/>
      <c r="AS113" s="1410"/>
      <c r="AT113" s="1410"/>
      <c r="AU113" s="1410"/>
      <c r="AV113" s="1410"/>
      <c r="AW113" s="1410"/>
      <c r="AX113" s="1410"/>
      <c r="AY113" s="1410"/>
      <c r="AZ113" s="1410"/>
      <c r="BA113" s="1410"/>
      <c r="BB113" s="1410"/>
      <c r="BC113" s="1410"/>
      <c r="BD113" s="1410"/>
      <c r="BE113" s="1410"/>
      <c r="BF113" s="1410"/>
      <c r="BG113" s="1410"/>
      <c r="BH113" s="1410"/>
      <c r="BI113" s="1410"/>
      <c r="BJ113" s="1410"/>
      <c r="BK113" s="1410"/>
      <c r="BL113" s="1410"/>
      <c r="BM113" s="1410"/>
      <c r="BN113" s="1410"/>
      <c r="BO113" s="1410"/>
      <c r="BP113" s="1410"/>
      <c r="BQ113" s="1410"/>
      <c r="BR113" s="1410"/>
      <c r="BS113" s="1410"/>
      <c r="BT113" s="1410"/>
      <c r="BU113" s="1410"/>
      <c r="BV113" s="1410"/>
      <c r="BW113" s="1410"/>
      <c r="BX113" s="1410"/>
      <c r="BZ113" s="1410"/>
      <c r="CA113" s="1410"/>
      <c r="CB113" s="1410"/>
      <c r="CC113" s="1410"/>
      <c r="CD113" s="1410"/>
      <c r="CE113" s="1410"/>
      <c r="CF113" s="1410"/>
      <c r="CG113" s="1410"/>
      <c r="CH113" s="1410"/>
      <c r="CI113" s="1410"/>
      <c r="CJ113" s="1410"/>
      <c r="CK113" s="1410"/>
      <c r="CL113" s="1410"/>
      <c r="CM113" s="1410"/>
      <c r="CN113" s="1410"/>
      <c r="CO113" s="1410"/>
      <c r="CS113" s="1410"/>
    </row>
    <row r="114" spans="1:97" x14ac:dyDescent="0.25">
      <c r="BY114" s="1410"/>
      <c r="BZ114" s="1410"/>
      <c r="CA114" s="1410"/>
      <c r="CB114" s="1410"/>
      <c r="CC114" s="1410"/>
      <c r="CD114" s="1410"/>
      <c r="CE114" s="1410"/>
      <c r="CF114" s="1410"/>
      <c r="CG114" s="1410"/>
      <c r="CH114" s="1410"/>
      <c r="CI114" s="1410"/>
      <c r="CJ114" s="1410"/>
      <c r="CK114" s="1410"/>
      <c r="CL114" s="1410"/>
      <c r="CM114" s="1410"/>
      <c r="CN114" s="1410"/>
      <c r="CO114" s="1410"/>
      <c r="CS114" s="1410"/>
    </row>
    <row r="115" spans="1:97" x14ac:dyDescent="0.25">
      <c r="BZ115" s="1410"/>
      <c r="CA115" s="1410"/>
      <c r="CB115" s="1410"/>
      <c r="CC115" s="1410"/>
      <c r="CD115" s="1410"/>
      <c r="CE115" s="1410"/>
      <c r="CF115" s="1410"/>
      <c r="CG115" s="1410"/>
      <c r="CH115" s="1410"/>
      <c r="CI115" s="1410"/>
      <c r="CJ115" s="1410"/>
      <c r="CK115" s="1410"/>
      <c r="CL115" s="1410"/>
      <c r="CM115" s="1410"/>
      <c r="CN115" s="1410"/>
    </row>
    <row r="116" spans="1:97" x14ac:dyDescent="0.25">
      <c r="BZ116" s="1410"/>
      <c r="CA116" s="1410"/>
      <c r="CB116" s="1410"/>
      <c r="CC116" s="1410"/>
      <c r="CD116" s="1410"/>
      <c r="CE116" s="1410"/>
      <c r="CF116" s="1410"/>
      <c r="CG116" s="1410"/>
      <c r="CH116" s="1410"/>
      <c r="CI116" s="1410"/>
      <c r="CJ116" s="1410"/>
      <c r="CK116" s="1410"/>
      <c r="CL116" s="1410"/>
      <c r="CM116" s="1410"/>
      <c r="CN116" s="1410"/>
    </row>
  </sheetData>
  <mergeCells count="21">
    <mergeCell ref="A42:A48"/>
    <mergeCell ref="A2:F2"/>
    <mergeCell ref="BP2:BT3"/>
    <mergeCell ref="A3:F3"/>
    <mergeCell ref="G2:K3"/>
    <mergeCell ref="AL2:AP3"/>
    <mergeCell ref="AQ2:AU3"/>
    <mergeCell ref="AV2:AZ3"/>
    <mergeCell ref="BK2:BO3"/>
    <mergeCell ref="M2:P3"/>
    <mergeCell ref="R2:V3"/>
    <mergeCell ref="W2:AA3"/>
    <mergeCell ref="AB2:AF3"/>
    <mergeCell ref="AG2:AK3"/>
    <mergeCell ref="CO2:CS3"/>
    <mergeCell ref="BU2:BY3"/>
    <mergeCell ref="BA2:BE3"/>
    <mergeCell ref="BF2:BJ3"/>
    <mergeCell ref="BZ2:CD3"/>
    <mergeCell ref="CJ2:CN3"/>
    <mergeCell ref="CE2:CI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177D7"/>
  </sheetPr>
  <dimension ref="A1:BT104"/>
  <sheetViews>
    <sheetView zoomScale="70" zoomScaleNormal="70" workbookViewId="0">
      <pane xSplit="2" ySplit="5" topLeftCell="G6" activePane="bottomRight" state="frozen"/>
      <selection activeCell="C26" sqref="C25:C26"/>
      <selection pane="topRight" activeCell="C26" sqref="C25:C26"/>
      <selection pane="bottomLeft" activeCell="C26" sqref="C25:C26"/>
      <selection pane="bottomRight" activeCell="BJ10" sqref="B10:BJ11"/>
    </sheetView>
  </sheetViews>
  <sheetFormatPr defaultColWidth="7.44140625" defaultRowHeight="13.2" outlineLevelCol="1" x14ac:dyDescent="0.25"/>
  <cols>
    <col min="1" max="1" width="5.5546875" style="2167" customWidth="1"/>
    <col min="2" max="2" width="47.44140625" style="2167" customWidth="1"/>
    <col min="3" max="3" width="14.6640625" style="2478" hidden="1" customWidth="1"/>
    <col min="4" max="4" width="15.44140625" style="2478" hidden="1" customWidth="1"/>
    <col min="5" max="5" width="15.33203125" style="2168" hidden="1" customWidth="1"/>
    <col min="6" max="6" width="9.5546875" style="2168" hidden="1" customWidth="1"/>
    <col min="7" max="8" width="16.44140625" style="2168" bestFit="1" customWidth="1"/>
    <col min="9" max="9" width="16.109375" style="2168" bestFit="1" customWidth="1"/>
    <col min="10" max="10" width="13.5546875" style="2168" bestFit="1" customWidth="1"/>
    <col min="11" max="11" width="8.33203125" style="2168" customWidth="1"/>
    <col min="12" max="13" width="13" style="2168" hidden="1" customWidth="1" outlineLevel="1"/>
    <col min="14" max="14" width="13.33203125" style="2168" hidden="1" customWidth="1" outlineLevel="1"/>
    <col min="15" max="16" width="9.5546875" style="2168" hidden="1" customWidth="1" outlineLevel="1"/>
    <col min="17" max="17" width="18.33203125" style="2168" hidden="1" customWidth="1" outlineLevel="1"/>
    <col min="18" max="18" width="18.6640625" style="2168" hidden="1" customWidth="1" outlineLevel="1"/>
    <col min="19" max="19" width="19.6640625" style="2168" hidden="1" customWidth="1" outlineLevel="1"/>
    <col min="20" max="20" width="9.6640625" style="2168" hidden="1" customWidth="1" outlineLevel="1"/>
    <col min="21" max="21" width="40.109375" style="2168" hidden="1" customWidth="1" outlineLevel="1"/>
    <col min="22" max="22" width="18.6640625" style="2168" hidden="1" customWidth="1" outlineLevel="1"/>
    <col min="23" max="23" width="18.33203125" style="2168" hidden="1" customWidth="1" outlineLevel="1"/>
    <col min="24" max="24" width="23.88671875" style="2168" hidden="1" customWidth="1" outlineLevel="1"/>
    <col min="25" max="25" width="12.6640625" style="2168" hidden="1" customWidth="1" outlineLevel="1"/>
    <col min="26" max="26" width="29.6640625" style="2168" hidden="1" customWidth="1" outlineLevel="1"/>
    <col min="27" max="27" width="16.44140625" style="2168" hidden="1" customWidth="1" outlineLevel="1" collapsed="1"/>
    <col min="28" max="29" width="16.44140625" style="2168" hidden="1" customWidth="1" outlineLevel="1"/>
    <col min="30" max="30" width="11.109375" style="2168" hidden="1" customWidth="1" outlineLevel="1"/>
    <col min="31" max="31" width="16.44140625" style="2168" hidden="1" customWidth="1" outlineLevel="1"/>
    <col min="32" max="32" width="15.33203125" style="2168" hidden="1" customWidth="1" outlineLevel="1" collapsed="1"/>
    <col min="33" max="36" width="15.33203125" style="2168" hidden="1" customWidth="1" outlineLevel="1"/>
    <col min="37" max="37" width="15.33203125" style="2168" hidden="1" customWidth="1" outlineLevel="1" collapsed="1"/>
    <col min="38" max="40" width="15.33203125" style="2168" hidden="1" customWidth="1" outlineLevel="1"/>
    <col min="41" max="41" width="37.33203125" style="2168" hidden="1" customWidth="1" outlineLevel="1"/>
    <col min="42" max="42" width="15.33203125" style="2168" hidden="1" customWidth="1" outlineLevel="1" collapsed="1"/>
    <col min="43" max="45" width="15.33203125" style="2168" hidden="1" customWidth="1" outlineLevel="1"/>
    <col min="46" max="46" width="37.109375" style="2168" hidden="1" customWidth="1" outlineLevel="1"/>
    <col min="47" max="47" width="15.33203125" style="2168" hidden="1" customWidth="1" outlineLevel="1" collapsed="1"/>
    <col min="48" max="50" width="15.33203125" style="2168" hidden="1" customWidth="1" outlineLevel="1"/>
    <col min="51" max="51" width="37.109375" style="2168" hidden="1" customWidth="1" outlineLevel="1"/>
    <col min="52" max="55" width="15.33203125" style="2168" hidden="1" customWidth="1" outlineLevel="1"/>
    <col min="56" max="56" width="37.109375" style="2168" hidden="1" customWidth="1" outlineLevel="1"/>
    <col min="57" max="60" width="15.33203125" style="2168" hidden="1" customWidth="1" outlineLevel="1"/>
    <col min="61" max="61" width="37.109375" style="2168" hidden="1" customWidth="1" outlineLevel="1"/>
    <col min="62" max="62" width="16.6640625" style="2168" customWidth="1" collapsed="1"/>
    <col min="63" max="67" width="16.6640625" style="2168" customWidth="1"/>
    <col min="68" max="68" width="5.6640625" style="2168" customWidth="1"/>
    <col min="69" max="69" width="17.6640625" style="2169" customWidth="1"/>
    <col min="70" max="70" width="10.5546875" style="2169" bestFit="1" customWidth="1"/>
    <col min="71" max="71" width="11.88671875" style="2170" bestFit="1" customWidth="1"/>
    <col min="72" max="72" width="7.44140625" style="2170"/>
    <col min="73" max="16384" width="7.44140625" style="2171"/>
  </cols>
  <sheetData>
    <row r="1" spans="1:72" ht="13.8" thickBot="1" x14ac:dyDescent="0.3">
      <c r="C1" s="2168"/>
      <c r="D1" s="2168"/>
    </row>
    <row r="2" spans="1:72" ht="14.4" customHeight="1" x14ac:dyDescent="0.25">
      <c r="A2" s="4179" t="s">
        <v>943</v>
      </c>
      <c r="B2" s="4180"/>
      <c r="C2" s="4180"/>
      <c r="D2" s="4180"/>
      <c r="E2" s="4180"/>
      <c r="F2" s="4181"/>
      <c r="G2" s="4179" t="s">
        <v>1641</v>
      </c>
      <c r="H2" s="4180"/>
      <c r="I2" s="4180"/>
      <c r="J2" s="4180"/>
      <c r="K2" s="4181"/>
      <c r="L2" s="4179" t="s">
        <v>969</v>
      </c>
      <c r="M2" s="4180"/>
      <c r="N2" s="4180"/>
      <c r="O2" s="4180"/>
      <c r="P2" s="4181"/>
      <c r="Q2" s="4077" t="s">
        <v>964</v>
      </c>
      <c r="R2" s="4078"/>
      <c r="S2" s="4078"/>
      <c r="T2" s="4078"/>
      <c r="U2" s="4079"/>
      <c r="V2" s="4019" t="s">
        <v>1017</v>
      </c>
      <c r="W2" s="4020"/>
      <c r="X2" s="4020"/>
      <c r="Y2" s="4020"/>
      <c r="Z2" s="4041"/>
      <c r="AA2" s="4019" t="s">
        <v>1075</v>
      </c>
      <c r="AB2" s="4020"/>
      <c r="AC2" s="4020"/>
      <c r="AD2" s="4020"/>
      <c r="AE2" s="4020"/>
      <c r="AF2" s="4053" t="s">
        <v>1079</v>
      </c>
      <c r="AG2" s="4054"/>
      <c r="AH2" s="4054"/>
      <c r="AI2" s="4054"/>
      <c r="AJ2" s="4055"/>
      <c r="AK2" s="4185" t="s">
        <v>1224</v>
      </c>
      <c r="AL2" s="4186"/>
      <c r="AM2" s="4186"/>
      <c r="AN2" s="4186"/>
      <c r="AO2" s="4187"/>
      <c r="AP2" s="4172" t="s">
        <v>1303</v>
      </c>
      <c r="AQ2" s="4173"/>
      <c r="AR2" s="4173"/>
      <c r="AS2" s="4173"/>
      <c r="AT2" s="4174"/>
      <c r="AU2" s="4019" t="s">
        <v>1383</v>
      </c>
      <c r="AV2" s="4020"/>
      <c r="AW2" s="4020"/>
      <c r="AX2" s="4020"/>
      <c r="AY2" s="4041"/>
      <c r="AZ2" s="4065" t="s">
        <v>1470</v>
      </c>
      <c r="BA2" s="4066"/>
      <c r="BB2" s="4066"/>
      <c r="BC2" s="4066"/>
      <c r="BD2" s="4067"/>
      <c r="BE2" s="4071" t="s">
        <v>1606</v>
      </c>
      <c r="BF2" s="4072"/>
      <c r="BG2" s="4072"/>
      <c r="BH2" s="4072"/>
      <c r="BI2" s="4073"/>
      <c r="BJ2" s="4089" t="s">
        <v>469</v>
      </c>
      <c r="BK2" s="4090"/>
      <c r="BL2" s="4090"/>
      <c r="BM2" s="4090"/>
      <c r="BN2" s="4091"/>
      <c r="BO2" s="2172"/>
      <c r="BP2" s="2172"/>
    </row>
    <row r="3" spans="1:72" ht="15" customHeight="1" thickBot="1" x14ac:dyDescent="0.3">
      <c r="A3" s="4035" t="s">
        <v>54</v>
      </c>
      <c r="B3" s="4036"/>
      <c r="C3" s="4036"/>
      <c r="D3" s="4036"/>
      <c r="E3" s="4036"/>
      <c r="F3" s="4037"/>
      <c r="G3" s="4182"/>
      <c r="H3" s="4183"/>
      <c r="I3" s="4183"/>
      <c r="J3" s="4183"/>
      <c r="K3" s="4184"/>
      <c r="L3" s="4182"/>
      <c r="M3" s="4183"/>
      <c r="N3" s="4183"/>
      <c r="O3" s="4183"/>
      <c r="P3" s="4184"/>
      <c r="Q3" s="4080"/>
      <c r="R3" s="4081"/>
      <c r="S3" s="4081"/>
      <c r="T3" s="4081"/>
      <c r="U3" s="4082"/>
      <c r="V3" s="4021"/>
      <c r="W3" s="4022"/>
      <c r="X3" s="4022"/>
      <c r="Y3" s="4022"/>
      <c r="Z3" s="4042"/>
      <c r="AA3" s="4021"/>
      <c r="AB3" s="4022"/>
      <c r="AC3" s="4022"/>
      <c r="AD3" s="4022"/>
      <c r="AE3" s="4022"/>
      <c r="AF3" s="4056"/>
      <c r="AG3" s="4057"/>
      <c r="AH3" s="4057"/>
      <c r="AI3" s="4057"/>
      <c r="AJ3" s="4058"/>
      <c r="AK3" s="4188"/>
      <c r="AL3" s="4189"/>
      <c r="AM3" s="4189"/>
      <c r="AN3" s="4189"/>
      <c r="AO3" s="4190"/>
      <c r="AP3" s="4175"/>
      <c r="AQ3" s="4176"/>
      <c r="AR3" s="4176"/>
      <c r="AS3" s="4176"/>
      <c r="AT3" s="4177"/>
      <c r="AU3" s="4021"/>
      <c r="AV3" s="4022"/>
      <c r="AW3" s="4022"/>
      <c r="AX3" s="4022"/>
      <c r="AY3" s="4042"/>
      <c r="AZ3" s="4068"/>
      <c r="BA3" s="4069"/>
      <c r="BB3" s="4069"/>
      <c r="BC3" s="4069"/>
      <c r="BD3" s="4070"/>
      <c r="BE3" s="4074"/>
      <c r="BF3" s="4075"/>
      <c r="BG3" s="4075"/>
      <c r="BH3" s="4075"/>
      <c r="BI3" s="4076"/>
      <c r="BJ3" s="4092"/>
      <c r="BK3" s="4093"/>
      <c r="BL3" s="4093"/>
      <c r="BM3" s="4093"/>
      <c r="BN3" s="4094"/>
      <c r="BO3" s="2172"/>
      <c r="BP3" s="2172"/>
    </row>
    <row r="4" spans="1:72" ht="41.4" thickBot="1" x14ac:dyDescent="0.3">
      <c r="A4" s="2173"/>
      <c r="B4" s="2174" t="s">
        <v>11</v>
      </c>
      <c r="C4" s="2175" t="s">
        <v>55</v>
      </c>
      <c r="D4" s="2175" t="s">
        <v>18</v>
      </c>
      <c r="E4" s="2176" t="s">
        <v>39</v>
      </c>
      <c r="F4" s="2177" t="s">
        <v>40</v>
      </c>
      <c r="G4" s="2178" t="s">
        <v>55</v>
      </c>
      <c r="H4" s="2178" t="s">
        <v>18</v>
      </c>
      <c r="I4" s="2179" t="s">
        <v>39</v>
      </c>
      <c r="J4" s="2177" t="s">
        <v>40</v>
      </c>
      <c r="K4" s="2179" t="s">
        <v>19</v>
      </c>
      <c r="L4" s="2180" t="s">
        <v>968</v>
      </c>
      <c r="M4" s="2180" t="s">
        <v>18</v>
      </c>
      <c r="N4" s="2180" t="s">
        <v>39</v>
      </c>
      <c r="O4" s="2180" t="s">
        <v>40</v>
      </c>
      <c r="P4" s="2180"/>
      <c r="Q4" s="2178" t="s">
        <v>55</v>
      </c>
      <c r="R4" s="2178" t="s">
        <v>18</v>
      </c>
      <c r="S4" s="2179" t="s">
        <v>39</v>
      </c>
      <c r="T4" s="2177" t="s">
        <v>40</v>
      </c>
      <c r="U4" s="2179" t="s">
        <v>19</v>
      </c>
      <c r="V4" s="2178" t="s">
        <v>55</v>
      </c>
      <c r="W4" s="2178" t="s">
        <v>18</v>
      </c>
      <c r="X4" s="2179" t="s">
        <v>39</v>
      </c>
      <c r="Y4" s="2177" t="s">
        <v>40</v>
      </c>
      <c r="Z4" s="2179" t="s">
        <v>19</v>
      </c>
      <c r="AA4" s="2178" t="s">
        <v>55</v>
      </c>
      <c r="AB4" s="2178" t="s">
        <v>18</v>
      </c>
      <c r="AC4" s="2179" t="s">
        <v>39</v>
      </c>
      <c r="AD4" s="2177" t="s">
        <v>40</v>
      </c>
      <c r="AE4" s="2178" t="s">
        <v>19</v>
      </c>
      <c r="AF4" s="2178" t="s">
        <v>55</v>
      </c>
      <c r="AG4" s="2178" t="s">
        <v>18</v>
      </c>
      <c r="AH4" s="2179" t="s">
        <v>39</v>
      </c>
      <c r="AI4" s="2177" t="s">
        <v>40</v>
      </c>
      <c r="AJ4" s="2179" t="s">
        <v>19</v>
      </c>
      <c r="AK4" s="2178" t="s">
        <v>55</v>
      </c>
      <c r="AL4" s="2178" t="s">
        <v>18</v>
      </c>
      <c r="AM4" s="2179" t="s">
        <v>39</v>
      </c>
      <c r="AN4" s="2177" t="s">
        <v>40</v>
      </c>
      <c r="AO4" s="2179" t="s">
        <v>19</v>
      </c>
      <c r="AP4" s="2178" t="s">
        <v>55</v>
      </c>
      <c r="AQ4" s="2178" t="s">
        <v>18</v>
      </c>
      <c r="AR4" s="2179" t="s">
        <v>39</v>
      </c>
      <c r="AS4" s="2177" t="s">
        <v>40</v>
      </c>
      <c r="AT4" s="2179" t="s">
        <v>19</v>
      </c>
      <c r="AU4" s="2178" t="s">
        <v>55</v>
      </c>
      <c r="AV4" s="2178" t="s">
        <v>18</v>
      </c>
      <c r="AW4" s="2179" t="s">
        <v>39</v>
      </c>
      <c r="AX4" s="2177" t="s">
        <v>40</v>
      </c>
      <c r="AY4" s="2179" t="s">
        <v>19</v>
      </c>
      <c r="AZ4" s="2178" t="s">
        <v>55</v>
      </c>
      <c r="BA4" s="2178" t="s">
        <v>18</v>
      </c>
      <c r="BB4" s="2179" t="s">
        <v>39</v>
      </c>
      <c r="BC4" s="2177" t="s">
        <v>40</v>
      </c>
      <c r="BD4" s="2179" t="s">
        <v>19</v>
      </c>
      <c r="BE4" s="2178" t="s">
        <v>55</v>
      </c>
      <c r="BF4" s="2178" t="s">
        <v>18</v>
      </c>
      <c r="BG4" s="2179" t="s">
        <v>39</v>
      </c>
      <c r="BH4" s="2177" t="s">
        <v>40</v>
      </c>
      <c r="BI4" s="2179" t="s">
        <v>19</v>
      </c>
      <c r="BJ4" s="2178" t="s">
        <v>55</v>
      </c>
      <c r="BK4" s="2178" t="s">
        <v>18</v>
      </c>
      <c r="BL4" s="2179" t="s">
        <v>39</v>
      </c>
      <c r="BM4" s="2177" t="s">
        <v>40</v>
      </c>
      <c r="BN4" s="2179" t="s">
        <v>19</v>
      </c>
      <c r="BO4" s="2181"/>
      <c r="BP4" s="2181"/>
      <c r="BQ4" s="2182" t="s">
        <v>1642</v>
      </c>
    </row>
    <row r="5" spans="1:72" s="2192" customFormat="1" ht="15" customHeight="1" thickBot="1" x14ac:dyDescent="0.3">
      <c r="A5" s="2183"/>
      <c r="B5" s="2184" t="s">
        <v>10</v>
      </c>
      <c r="C5" s="2185">
        <f>C6</f>
        <v>0</v>
      </c>
      <c r="D5" s="2185">
        <f>D6</f>
        <v>0</v>
      </c>
      <c r="E5" s="2186">
        <f>E6</f>
        <v>0</v>
      </c>
      <c r="F5" s="2187"/>
      <c r="G5" s="2187">
        <f>G6</f>
        <v>12323166.798512999</v>
      </c>
      <c r="H5" s="2187">
        <f>H6</f>
        <v>0</v>
      </c>
      <c r="I5" s="2187">
        <f>I6</f>
        <v>12323166.798512999</v>
      </c>
      <c r="J5" s="2187"/>
      <c r="K5" s="2187"/>
      <c r="L5" s="2187">
        <v>0</v>
      </c>
      <c r="M5" s="2187">
        <v>0</v>
      </c>
      <c r="N5" s="2187">
        <v>0</v>
      </c>
      <c r="O5" s="2187"/>
      <c r="P5" s="2187"/>
      <c r="Q5" s="2187">
        <f>Q6</f>
        <v>3145663.74</v>
      </c>
      <c r="R5" s="2187">
        <f>R6</f>
        <v>0</v>
      </c>
      <c r="S5" s="2187">
        <f>S6</f>
        <v>3145663.74</v>
      </c>
      <c r="T5" s="2187"/>
      <c r="U5" s="2187"/>
      <c r="V5" s="2187">
        <f>V6</f>
        <v>2022564.9699999997</v>
      </c>
      <c r="W5" s="2187">
        <f>W6</f>
        <v>0</v>
      </c>
      <c r="X5" s="2187">
        <f>X6</f>
        <v>2022564.9699999997</v>
      </c>
      <c r="Y5" s="2187"/>
      <c r="Z5" s="2187"/>
      <c r="AA5" s="2187">
        <f>AA6</f>
        <v>0</v>
      </c>
      <c r="AB5" s="2187">
        <f>AB6</f>
        <v>0</v>
      </c>
      <c r="AC5" s="2187">
        <f>AC6</f>
        <v>0</v>
      </c>
      <c r="AD5" s="2187"/>
      <c r="AE5" s="2188"/>
      <c r="AF5" s="2186">
        <f>AF6</f>
        <v>0</v>
      </c>
      <c r="AG5" s="2187">
        <f>AG6</f>
        <v>0</v>
      </c>
      <c r="AH5" s="2187">
        <f>AH6</f>
        <v>0</v>
      </c>
      <c r="AI5" s="2187"/>
      <c r="AJ5" s="2187"/>
      <c r="AK5" s="2186">
        <f>AK6</f>
        <v>0</v>
      </c>
      <c r="AL5" s="2187">
        <f>AL6</f>
        <v>0</v>
      </c>
      <c r="AM5" s="2187">
        <f>AM6</f>
        <v>0</v>
      </c>
      <c r="AN5" s="2187"/>
      <c r="AO5" s="2187"/>
      <c r="AP5" s="2186">
        <f>AP6</f>
        <v>1929039.38</v>
      </c>
      <c r="AQ5" s="2187">
        <f>AQ6</f>
        <v>0</v>
      </c>
      <c r="AR5" s="2187">
        <f>AR6</f>
        <v>1929039.38</v>
      </c>
      <c r="AS5" s="2187"/>
      <c r="AT5" s="2187"/>
      <c r="AU5" s="2186">
        <f>AU6</f>
        <v>0</v>
      </c>
      <c r="AV5" s="2187">
        <f>AV6</f>
        <v>0</v>
      </c>
      <c r="AW5" s="2187">
        <f>AW6</f>
        <v>0</v>
      </c>
      <c r="AX5" s="2187"/>
      <c r="AY5" s="2187"/>
      <c r="AZ5" s="2186">
        <f>AZ6</f>
        <v>0</v>
      </c>
      <c r="BA5" s="2187">
        <f>BA6</f>
        <v>0</v>
      </c>
      <c r="BB5" s="2187">
        <f>BB6</f>
        <v>0</v>
      </c>
      <c r="BC5" s="2187"/>
      <c r="BD5" s="2187"/>
      <c r="BE5" s="2186">
        <f>BE6</f>
        <v>488047.21</v>
      </c>
      <c r="BF5" s="2187">
        <f>BF6</f>
        <v>0</v>
      </c>
      <c r="BG5" s="2187">
        <f>BG6</f>
        <v>488047.21</v>
      </c>
      <c r="BH5" s="2187"/>
      <c r="BI5" s="2187"/>
      <c r="BJ5" s="2187">
        <f>BJ6+BJ7</f>
        <v>7585315.2999999998</v>
      </c>
      <c r="BK5" s="2187">
        <f>BK6+BK7</f>
        <v>0</v>
      </c>
      <c r="BL5" s="2187">
        <f>BL6+BL7</f>
        <v>7585315.2999999998</v>
      </c>
      <c r="BM5" s="2187"/>
      <c r="BN5" s="2187"/>
      <c r="BO5" s="2189"/>
      <c r="BP5" s="2189"/>
      <c r="BQ5" s="2190"/>
      <c r="BR5" s="2190"/>
      <c r="BS5" s="2191"/>
      <c r="BT5" s="2191"/>
    </row>
    <row r="6" spans="1:72" s="2209" customFormat="1" ht="80.400000000000006" customHeight="1" x14ac:dyDescent="0.25">
      <c r="A6" s="2193">
        <v>0</v>
      </c>
      <c r="B6" s="2194" t="s">
        <v>17</v>
      </c>
      <c r="C6" s="2195"/>
      <c r="D6" s="2196"/>
      <c r="E6" s="2197">
        <f>C6+D6</f>
        <v>0</v>
      </c>
      <c r="F6" s="2198"/>
      <c r="G6" s="2198">
        <v>12323166.798512999</v>
      </c>
      <c r="H6" s="2198"/>
      <c r="I6" s="2197">
        <v>12323166.798512999</v>
      </c>
      <c r="J6" s="2198" t="s">
        <v>1643</v>
      </c>
      <c r="K6" s="2199"/>
      <c r="L6" s="2198">
        <v>0</v>
      </c>
      <c r="M6" s="2198">
        <v>0</v>
      </c>
      <c r="N6" s="2198">
        <f>L6+M6</f>
        <v>0</v>
      </c>
      <c r="O6" s="2198"/>
      <c r="P6" s="2198"/>
      <c r="Q6" s="2198">
        <v>3145663.74</v>
      </c>
      <c r="R6" s="2198"/>
      <c r="S6" s="2197">
        <f>Q6+R6</f>
        <v>3145663.74</v>
      </c>
      <c r="T6" s="2198"/>
      <c r="U6" s="2199" t="s">
        <v>971</v>
      </c>
      <c r="V6" s="2198">
        <f>5168228.71-Q6</f>
        <v>2022564.9699999997</v>
      </c>
      <c r="W6" s="2198"/>
      <c r="X6" s="2197">
        <f>V6+W6</f>
        <v>2022564.9699999997</v>
      </c>
      <c r="Y6" s="2198"/>
      <c r="Z6" s="2199" t="s">
        <v>1071</v>
      </c>
      <c r="AA6" s="2198"/>
      <c r="AB6" s="2198"/>
      <c r="AC6" s="2197">
        <f>AA6+AB6</f>
        <v>0</v>
      </c>
      <c r="AD6" s="2198"/>
      <c r="AE6" s="2200"/>
      <c r="AF6" s="2201"/>
      <c r="AG6" s="2198"/>
      <c r="AH6" s="2197">
        <f>AF6+AG6</f>
        <v>0</v>
      </c>
      <c r="AI6" s="2198"/>
      <c r="AJ6" s="2198"/>
      <c r="AK6" s="2201"/>
      <c r="AL6" s="2198"/>
      <c r="AM6" s="2197">
        <f>AK6+AL6</f>
        <v>0</v>
      </c>
      <c r="AN6" s="2198"/>
      <c r="AO6" s="2198"/>
      <c r="AP6" s="2202">
        <v>1929039.38</v>
      </c>
      <c r="AQ6" s="2198"/>
      <c r="AR6" s="2197">
        <f>AP6+AQ6</f>
        <v>1929039.38</v>
      </c>
      <c r="AS6" s="2198"/>
      <c r="AT6" s="2203" t="s">
        <v>1369</v>
      </c>
      <c r="AU6" s="2201"/>
      <c r="AV6" s="2198"/>
      <c r="AW6" s="2197">
        <f>AU6+AV6</f>
        <v>0</v>
      </c>
      <c r="AX6" s="2198"/>
      <c r="AY6" s="2204"/>
      <c r="AZ6" s="2201"/>
      <c r="BA6" s="2198"/>
      <c r="BB6" s="2197">
        <f>AZ6+BA6</f>
        <v>0</v>
      </c>
      <c r="BC6" s="2198"/>
      <c r="BD6" s="2204"/>
      <c r="BE6" s="2201">
        <v>488047.21</v>
      </c>
      <c r="BF6" s="2198"/>
      <c r="BG6" s="2197">
        <f>BE6+BF6</f>
        <v>488047.21</v>
      </c>
      <c r="BH6" s="2198"/>
      <c r="BI6" s="2204" t="s">
        <v>1611</v>
      </c>
      <c r="BJ6" s="2201">
        <f>L6+Q6+V6+AA6+AF6+AK6+AP6+AU6+AZ6+BE6</f>
        <v>7585315.2999999998</v>
      </c>
      <c r="BK6" s="2198">
        <f>M6+R6+W6+AB6+AG6+AL6+AQ6+AV6+BA6+BF6</f>
        <v>0</v>
      </c>
      <c r="BL6" s="2197">
        <f>BJ6+BK6</f>
        <v>7585315.2999999998</v>
      </c>
      <c r="BM6" s="2198"/>
      <c r="BN6" s="2198"/>
      <c r="BO6" s="2205">
        <f>BL6-I6</f>
        <v>-4737851.4985129992</v>
      </c>
      <c r="BP6" s="2205"/>
      <c r="BQ6" s="2206">
        <v>7585315.3000000007</v>
      </c>
      <c r="BR6" s="2207">
        <f>BL6-BQ6</f>
        <v>0</v>
      </c>
      <c r="BS6" s="2208"/>
      <c r="BT6" s="2208"/>
    </row>
    <row r="7" spans="1:72" s="2209" customFormat="1" ht="15" customHeight="1" thickBot="1" x14ac:dyDescent="0.3">
      <c r="A7" s="2210"/>
      <c r="B7" s="2211" t="s">
        <v>41</v>
      </c>
      <c r="C7" s="2212"/>
      <c r="D7" s="2213"/>
      <c r="E7" s="2197">
        <f>C7+D7</f>
        <v>0</v>
      </c>
      <c r="F7" s="2214"/>
      <c r="G7" s="2198"/>
      <c r="H7" s="2198"/>
      <c r="I7" s="2197">
        <f>G7+H7</f>
        <v>0</v>
      </c>
      <c r="J7" s="2214"/>
      <c r="K7" s="2214"/>
      <c r="L7" s="2215">
        <v>0</v>
      </c>
      <c r="M7" s="2215">
        <v>0</v>
      </c>
      <c r="N7" s="2198">
        <f>L7+M7</f>
        <v>0</v>
      </c>
      <c r="O7" s="2215"/>
      <c r="P7" s="2215"/>
      <c r="Q7" s="2198"/>
      <c r="R7" s="2198"/>
      <c r="S7" s="2197">
        <f>Q7+R7</f>
        <v>0</v>
      </c>
      <c r="T7" s="2214"/>
      <c r="U7" s="2214"/>
      <c r="V7" s="2198"/>
      <c r="W7" s="2198"/>
      <c r="X7" s="2197">
        <f>V7+W7</f>
        <v>0</v>
      </c>
      <c r="Y7" s="2214"/>
      <c r="Z7" s="2214"/>
      <c r="AA7" s="2198"/>
      <c r="AB7" s="2198"/>
      <c r="AC7" s="2197">
        <f>AA7+AB7</f>
        <v>0</v>
      </c>
      <c r="AD7" s="2214"/>
      <c r="AE7" s="2216"/>
      <c r="AF7" s="2201"/>
      <c r="AG7" s="2198"/>
      <c r="AH7" s="2197">
        <f>AF7+AG7</f>
        <v>0</v>
      </c>
      <c r="AI7" s="2214"/>
      <c r="AJ7" s="2214"/>
      <c r="AK7" s="2201"/>
      <c r="AL7" s="2198"/>
      <c r="AM7" s="2197">
        <f>AK7+AL7</f>
        <v>0</v>
      </c>
      <c r="AN7" s="2214"/>
      <c r="AO7" s="2214"/>
      <c r="AP7" s="2201"/>
      <c r="AQ7" s="2198"/>
      <c r="AR7" s="2197">
        <f>AP7+AQ7</f>
        <v>0</v>
      </c>
      <c r="AS7" s="2214"/>
      <c r="AT7" s="2214"/>
      <c r="AU7" s="2201"/>
      <c r="AV7" s="2198"/>
      <c r="AW7" s="2197">
        <f>AU7+AV7</f>
        <v>0</v>
      </c>
      <c r="AX7" s="2214"/>
      <c r="AY7" s="2214"/>
      <c r="AZ7" s="2201"/>
      <c r="BA7" s="2198"/>
      <c r="BB7" s="2197">
        <f>AZ7+BA7</f>
        <v>0</v>
      </c>
      <c r="BC7" s="2214"/>
      <c r="BD7" s="2214"/>
      <c r="BE7" s="2201"/>
      <c r="BF7" s="2198"/>
      <c r="BG7" s="2197">
        <f>BE7+BF7</f>
        <v>0</v>
      </c>
      <c r="BH7" s="2214"/>
      <c r="BI7" s="2214"/>
      <c r="BJ7" s="2198">
        <f>L7+Q7+V7+AA7+AF7+AK7+AP7+AU7+AZ7+BE7</f>
        <v>0</v>
      </c>
      <c r="BK7" s="2198">
        <f>M7+R7+W7+AB7+AG7+AL7+AQ7+AV7+BA7+BF7</f>
        <v>0</v>
      </c>
      <c r="BL7" s="2197">
        <f>BJ7+BK7</f>
        <v>0</v>
      </c>
      <c r="BM7" s="2214"/>
      <c r="BN7" s="2214"/>
      <c r="BO7" s="2205"/>
      <c r="BP7" s="2205"/>
      <c r="BQ7" s="2217">
        <v>8207.83</v>
      </c>
      <c r="BR7" s="2207">
        <f>BQ7-BL7</f>
        <v>8207.83</v>
      </c>
      <c r="BS7" s="2208" t="s">
        <v>1644</v>
      </c>
      <c r="BT7" s="2208"/>
    </row>
    <row r="8" spans="1:72" s="2192" customFormat="1" ht="15" customHeight="1" thickBot="1" x14ac:dyDescent="0.3">
      <c r="A8" s="2210"/>
      <c r="B8" s="2184" t="s">
        <v>16</v>
      </c>
      <c r="C8" s="2218">
        <f>SUM(C9:C33)</f>
        <v>0</v>
      </c>
      <c r="D8" s="2218">
        <f>SUM(D9:D33)</f>
        <v>0</v>
      </c>
      <c r="E8" s="2219">
        <f>SUM(E9:E33)</f>
        <v>0</v>
      </c>
      <c r="F8" s="1543" t="e">
        <f t="shared" ref="F8:F21" si="0">E8/$E$89</f>
        <v>#DIV/0!</v>
      </c>
      <c r="G8" s="2218">
        <f>SUM(G9:G33)</f>
        <v>8104757.0181761608</v>
      </c>
      <c r="H8" s="2218">
        <f>SUM(H9:H33)</f>
        <v>1492303.7333992564</v>
      </c>
      <c r="I8" s="2219">
        <f>SUM(I9:I33)</f>
        <v>9597060.7515754178</v>
      </c>
      <c r="J8" s="1543">
        <f>I8/$S$89</f>
        <v>4.0782757282334021</v>
      </c>
      <c r="K8" s="2187"/>
      <c r="L8" s="2218">
        <v>160805.64000000001</v>
      </c>
      <c r="M8" s="2218">
        <v>123526</v>
      </c>
      <c r="N8" s="2219">
        <v>284331.64</v>
      </c>
      <c r="O8" s="1543">
        <v>0.66275342606034693</v>
      </c>
      <c r="P8" s="1591"/>
      <c r="Q8" s="2218">
        <f>SUM(Q9:Q33)</f>
        <v>2181500.2480000001</v>
      </c>
      <c r="R8" s="2218">
        <f>SUM(R9:R33)</f>
        <v>111235.68</v>
      </c>
      <c r="S8" s="2219">
        <f>SUM(S9:S33)</f>
        <v>2292735.9280000003</v>
      </c>
      <c r="T8" s="1543">
        <f>S8/$S$89</f>
        <v>0.97429927020897078</v>
      </c>
      <c r="U8" s="2187"/>
      <c r="V8" s="2218">
        <f>SUM(V9:V33)</f>
        <v>1151416.4876000001</v>
      </c>
      <c r="W8" s="2218">
        <f>SUM(W9:W33)</f>
        <v>168991.72999999998</v>
      </c>
      <c r="X8" s="2219">
        <f>SUM(X9:X33)</f>
        <v>1320408.2176000001</v>
      </c>
      <c r="Y8" s="1543">
        <f>X8/$X$89</f>
        <v>0.96121744061671033</v>
      </c>
      <c r="Z8" s="2187"/>
      <c r="AA8" s="2218">
        <f>SUM(AA9:AA33)</f>
        <v>0</v>
      </c>
      <c r="AB8" s="2218">
        <f>SUM(AB9:AB33)</f>
        <v>0</v>
      </c>
      <c r="AC8" s="2219">
        <f>SUM(AC9:AC33)</f>
        <v>0</v>
      </c>
      <c r="AD8" s="1543" t="e">
        <f>AC8/$AC$89</f>
        <v>#DIV/0!</v>
      </c>
      <c r="AE8" s="2188"/>
      <c r="AF8" s="2218">
        <f>SUM(AF9:AF33)</f>
        <v>0</v>
      </c>
      <c r="AG8" s="2218">
        <f>SUM(AG9:AG33)</f>
        <v>0</v>
      </c>
      <c r="AH8" s="2219">
        <f>SUM(AH9:AH33)</f>
        <v>0</v>
      </c>
      <c r="AI8" s="1543" t="e">
        <f>AH8/$AC$89</f>
        <v>#DIV/0!</v>
      </c>
      <c r="AJ8" s="2187"/>
      <c r="AK8" s="2218">
        <f>SUM(AK9:AK33)</f>
        <v>8250.48</v>
      </c>
      <c r="AL8" s="2218">
        <f>SUM(AL9:AL33)</f>
        <v>0</v>
      </c>
      <c r="AM8" s="2219">
        <f>SUM(AM9:AM33)</f>
        <v>8250.48</v>
      </c>
      <c r="AN8" s="1543" t="e">
        <f>AM8/$AC$89</f>
        <v>#DIV/0!</v>
      </c>
      <c r="AO8" s="2187"/>
      <c r="AP8" s="2218">
        <f>SUM(AP9:AP33)</f>
        <v>628422.99839999992</v>
      </c>
      <c r="AQ8" s="2218">
        <f>SUM(AQ9:AQ33)</f>
        <v>138795.4</v>
      </c>
      <c r="AR8" s="2219">
        <f>SUM(AR9:AR33)</f>
        <v>767218.39839999995</v>
      </c>
      <c r="AS8" s="1543" t="e">
        <f>AR8/$AC$89</f>
        <v>#DIV/0!</v>
      </c>
      <c r="AT8" s="2187"/>
      <c r="AU8" s="2218">
        <f>SUM(AU9:AU33)</f>
        <v>0</v>
      </c>
      <c r="AV8" s="2218">
        <f>SUM(AV9:AV33)</f>
        <v>116787.2</v>
      </c>
      <c r="AW8" s="2219">
        <f>SUM(AW9:AW33)</f>
        <v>116787.2</v>
      </c>
      <c r="AX8" s="1543" t="e">
        <f>AW8/$AC$89</f>
        <v>#DIV/0!</v>
      </c>
      <c r="AY8" s="2187"/>
      <c r="AZ8" s="2218">
        <f>SUM(AZ9:AZ33)</f>
        <v>0</v>
      </c>
      <c r="BA8" s="2218">
        <f>SUM(BA9:BA33)</f>
        <v>0</v>
      </c>
      <c r="BB8" s="2219">
        <f>SUM(BB9:BB33)</f>
        <v>0</v>
      </c>
      <c r="BC8" s="1543" t="e">
        <f>BB8/$AC$89</f>
        <v>#DIV/0!</v>
      </c>
      <c r="BD8" s="2187"/>
      <c r="BE8" s="2218">
        <f>SUM(BE9:BE33)</f>
        <v>374984.228</v>
      </c>
      <c r="BF8" s="2218">
        <f>SUM(BF9:BF33)</f>
        <v>129250</v>
      </c>
      <c r="BG8" s="2219">
        <f>SUM(BG9:BG33)</f>
        <v>504234.228</v>
      </c>
      <c r="BH8" s="1543">
        <f>BG8/$BG$89</f>
        <v>0.96661428768148594</v>
      </c>
      <c r="BI8" s="2187"/>
      <c r="BJ8" s="2218">
        <f>SUM(BJ9:BJ33)</f>
        <v>4505380.432</v>
      </c>
      <c r="BK8" s="2218">
        <f>SUM(BK9:BK33)</f>
        <v>832603.24</v>
      </c>
      <c r="BL8" s="2219">
        <f>SUM(BL9:BL33)</f>
        <v>5337983.6719999993</v>
      </c>
      <c r="BM8" s="1543">
        <f>BL8/$BL$89</f>
        <v>0.94413636668896239</v>
      </c>
      <c r="BN8" s="2187"/>
      <c r="BO8" s="2189"/>
      <c r="BP8" s="2189"/>
      <c r="BQ8" s="2190"/>
      <c r="BR8" s="2190"/>
      <c r="BS8" s="2191"/>
      <c r="BT8" s="2191"/>
    </row>
    <row r="9" spans="1:72" s="2209" customFormat="1" ht="15" customHeight="1" x14ac:dyDescent="0.25">
      <c r="A9" s="2210"/>
      <c r="B9" s="2220" t="s">
        <v>74</v>
      </c>
      <c r="C9" s="2221"/>
      <c r="D9" s="2222"/>
      <c r="E9" s="2223">
        <f t="shared" ref="E9:E33" si="1">C9+D9</f>
        <v>0</v>
      </c>
      <c r="F9" s="1574" t="e">
        <f t="shared" si="0"/>
        <v>#DIV/0!</v>
      </c>
      <c r="G9" s="2224"/>
      <c r="H9" s="2224"/>
      <c r="I9" s="2225">
        <f>G9+H9*1</f>
        <v>0</v>
      </c>
      <c r="J9" s="1574">
        <f>I9/$S$89</f>
        <v>0</v>
      </c>
      <c r="K9" s="2226"/>
      <c r="L9" s="2224">
        <v>52464.82</v>
      </c>
      <c r="M9" s="2224">
        <v>0</v>
      </c>
      <c r="N9" s="2198">
        <f t="shared" ref="N9:N33" si="2">L9+M9</f>
        <v>52464.82</v>
      </c>
      <c r="O9" s="1574">
        <v>0.12229113581112327</v>
      </c>
      <c r="P9" s="1574"/>
      <c r="Q9" s="2224">
        <v>52157.56</v>
      </c>
      <c r="R9" s="2224"/>
      <c r="S9" s="2225">
        <f>Q9+R9*1</f>
        <v>52157.56</v>
      </c>
      <c r="T9" s="1574">
        <f>S9/$S$89</f>
        <v>2.2164381001439342E-2</v>
      </c>
      <c r="U9" s="2226"/>
      <c r="V9" s="2224">
        <v>39051.9</v>
      </c>
      <c r="W9" s="2224"/>
      <c r="X9" s="2225">
        <f>V9+W9*1</f>
        <v>39051.9</v>
      </c>
      <c r="Y9" s="1574">
        <f>X9/$X$89</f>
        <v>2.8428607811490578E-2</v>
      </c>
      <c r="Z9" s="2226"/>
      <c r="AA9" s="2224"/>
      <c r="AB9" s="2224"/>
      <c r="AC9" s="2225">
        <f>AA9+AB9*1</f>
        <v>0</v>
      </c>
      <c r="AD9" s="1574" t="e">
        <f>AC9/$AC$89</f>
        <v>#DIV/0!</v>
      </c>
      <c r="AE9" s="2227"/>
      <c r="AF9" s="2228"/>
      <c r="AG9" s="2224"/>
      <c r="AH9" s="2225">
        <f>AF9+AG9*1</f>
        <v>0</v>
      </c>
      <c r="AI9" s="1574">
        <f>AH9/$AH$89</f>
        <v>0</v>
      </c>
      <c r="AJ9" s="2226"/>
      <c r="AK9" s="2228"/>
      <c r="AL9" s="2224"/>
      <c r="AM9" s="2225">
        <f>AK9+AL9*1</f>
        <v>0</v>
      </c>
      <c r="AN9" s="1574">
        <f>AM9/$AH$89</f>
        <v>0</v>
      </c>
      <c r="AO9" s="2226"/>
      <c r="AP9" s="2228"/>
      <c r="AQ9" s="2224"/>
      <c r="AR9" s="2225">
        <f>AP9+AQ9*1</f>
        <v>0</v>
      </c>
      <c r="AS9" s="1574">
        <f>AR9/$AH$89</f>
        <v>0</v>
      </c>
      <c r="AT9" s="2226"/>
      <c r="AU9" s="2228"/>
      <c r="AV9" s="2224"/>
      <c r="AW9" s="2225">
        <f>AU9+AV9*1</f>
        <v>0</v>
      </c>
      <c r="AX9" s="1574">
        <f>AW9/$AH$89</f>
        <v>0</v>
      </c>
      <c r="AY9" s="2226"/>
      <c r="AZ9" s="2228"/>
      <c r="BA9" s="2224"/>
      <c r="BB9" s="2225">
        <f>AZ9+BA9*1</f>
        <v>0</v>
      </c>
      <c r="BC9" s="1574">
        <f>BB9/$AH$89</f>
        <v>0</v>
      </c>
      <c r="BD9" s="2226"/>
      <c r="BE9" s="2228"/>
      <c r="BF9" s="2224"/>
      <c r="BG9" s="2225">
        <f>BE9+BF9*1</f>
        <v>0</v>
      </c>
      <c r="BH9" s="1574">
        <f>BG9/$BG$89</f>
        <v>0</v>
      </c>
      <c r="BI9" s="2226"/>
      <c r="BJ9" s="2198">
        <f t="shared" ref="BJ9:BK33" si="3">L9+Q9+V9+AA9+AF9+AK9+AP9+AU9+AZ9+BE9</f>
        <v>143674.28</v>
      </c>
      <c r="BK9" s="2198">
        <f t="shared" si="3"/>
        <v>0</v>
      </c>
      <c r="BL9" s="2229">
        <f t="shared" ref="BL9:BL33" si="4">BJ9+BK9*1</f>
        <v>143674.28</v>
      </c>
      <c r="BM9" s="2136">
        <f t="shared" ref="BM9:BM33" si="5">BL9/$BL$89</f>
        <v>2.5411863550161246E-2</v>
      </c>
      <c r="BN9" s="1449"/>
      <c r="BO9" s="2205">
        <f>I9-BL9</f>
        <v>-143674.28</v>
      </c>
      <c r="BP9" s="2230"/>
      <c r="BQ9" s="2206">
        <v>143674.28</v>
      </c>
      <c r="BR9" s="2207">
        <f t="shared" ref="BR9:BR22" si="6">BL9-BQ9</f>
        <v>0</v>
      </c>
      <c r="BS9" s="2208"/>
      <c r="BT9" s="2208"/>
    </row>
    <row r="10" spans="1:72" s="2209" customFormat="1" ht="15" customHeight="1" x14ac:dyDescent="0.25">
      <c r="A10" s="2210"/>
      <c r="B10" s="2231" t="s">
        <v>72</v>
      </c>
      <c r="C10" s="2232"/>
      <c r="D10" s="2233"/>
      <c r="E10" s="2197">
        <f t="shared" si="1"/>
        <v>0</v>
      </c>
      <c r="F10" s="1992" t="e">
        <f t="shared" si="0"/>
        <v>#DIV/0!</v>
      </c>
      <c r="G10" s="2198"/>
      <c r="H10" s="2198"/>
      <c r="I10" s="2229">
        <f t="shared" ref="I10:I33" si="7">G10+H10*1</f>
        <v>0</v>
      </c>
      <c r="J10" s="2136">
        <f>I10/$S$89</f>
        <v>0</v>
      </c>
      <c r="K10" s="2204"/>
      <c r="L10" s="2198">
        <v>12708.87</v>
      </c>
      <c r="M10" s="2198">
        <v>0</v>
      </c>
      <c r="N10" s="2198">
        <f t="shared" si="2"/>
        <v>12708.87</v>
      </c>
      <c r="O10" s="2136">
        <v>2.9623319915629373E-2</v>
      </c>
      <c r="P10" s="1992"/>
      <c r="Q10" s="2198">
        <v>12634.44</v>
      </c>
      <c r="R10" s="2198"/>
      <c r="S10" s="2229">
        <f t="shared" ref="S10:S33" si="8">Q10+R10*1</f>
        <v>12634.44</v>
      </c>
      <c r="T10" s="2136">
        <f>S10/$S$89</f>
        <v>5.3690115469325122E-3</v>
      </c>
      <c r="U10" s="2204"/>
      <c r="V10" s="2198">
        <v>9459.7900000000009</v>
      </c>
      <c r="W10" s="2198"/>
      <c r="X10" s="2229">
        <f t="shared" ref="X10:X33" si="9">V10+W10*1</f>
        <v>9459.7900000000009</v>
      </c>
      <c r="Y10" s="2136">
        <f t="shared" ref="Y10:Y33" si="10">X10/$X$89</f>
        <v>6.8864423981691153E-3</v>
      </c>
      <c r="Z10" s="2204"/>
      <c r="AA10" s="2198"/>
      <c r="AB10" s="2198"/>
      <c r="AC10" s="2229">
        <f t="shared" ref="AC10:AC33" si="11">AA10+AB10*1</f>
        <v>0</v>
      </c>
      <c r="AD10" s="2136" t="e">
        <f t="shared" ref="AD10:AD33" si="12">AC10/$AC$89</f>
        <v>#DIV/0!</v>
      </c>
      <c r="AE10" s="2234"/>
      <c r="AF10" s="2201"/>
      <c r="AG10" s="2198"/>
      <c r="AH10" s="2229">
        <f t="shared" ref="AH10:AH33" si="13">AF10+AG10*1</f>
        <v>0</v>
      </c>
      <c r="AI10" s="2136">
        <f t="shared" ref="AI10:AI33" si="14">AH10/$AH$89</f>
        <v>0</v>
      </c>
      <c r="AJ10" s="2204"/>
      <c r="AK10" s="2201"/>
      <c r="AL10" s="2198"/>
      <c r="AM10" s="2229">
        <f t="shared" ref="AM10:AM33" si="15">AK10+AL10*1</f>
        <v>0</v>
      </c>
      <c r="AN10" s="2136">
        <f t="shared" ref="AN10:AN33" si="16">AM10/$AH$89</f>
        <v>0</v>
      </c>
      <c r="AO10" s="2204"/>
      <c r="AP10" s="2201"/>
      <c r="AQ10" s="2198"/>
      <c r="AR10" s="2229">
        <f t="shared" ref="AR10:AR33" si="17">AP10+AQ10*1</f>
        <v>0</v>
      </c>
      <c r="AS10" s="2136">
        <f t="shared" ref="AS10:AS33" si="18">AR10/$AH$89</f>
        <v>0</v>
      </c>
      <c r="AT10" s="2204"/>
      <c r="AU10" s="2201"/>
      <c r="AV10" s="2198"/>
      <c r="AW10" s="2229">
        <f t="shared" ref="AW10:AW33" si="19">AU10+AV10*1</f>
        <v>0</v>
      </c>
      <c r="AX10" s="2136">
        <f t="shared" ref="AX10:AX33" si="20">AW10/$AH$89</f>
        <v>0</v>
      </c>
      <c r="AY10" s="2204"/>
      <c r="AZ10" s="2201"/>
      <c r="BA10" s="2198"/>
      <c r="BB10" s="2229">
        <f t="shared" ref="BB10:BB33" si="21">AZ10+BA10*1</f>
        <v>0</v>
      </c>
      <c r="BC10" s="2136">
        <f t="shared" ref="BC10:BC33" si="22">BB10/$AH$89</f>
        <v>0</v>
      </c>
      <c r="BD10" s="2204"/>
      <c r="BE10" s="2201"/>
      <c r="BF10" s="2198"/>
      <c r="BG10" s="2229">
        <f t="shared" ref="BG10:BG33" si="23">BE10+BF10*1</f>
        <v>0</v>
      </c>
      <c r="BH10" s="2136">
        <f t="shared" ref="BH10:BH33" si="24">BG10/$BG$89</f>
        <v>0</v>
      </c>
      <c r="BI10" s="2204"/>
      <c r="BJ10" s="2198">
        <f t="shared" si="3"/>
        <v>34803.100000000006</v>
      </c>
      <c r="BK10" s="2198">
        <f t="shared" si="3"/>
        <v>0</v>
      </c>
      <c r="BL10" s="2229">
        <f t="shared" si="4"/>
        <v>34803.100000000006</v>
      </c>
      <c r="BM10" s="2136">
        <f t="shared" si="5"/>
        <v>6.155671205191472E-3</v>
      </c>
      <c r="BN10" s="1449"/>
      <c r="BO10" s="2205">
        <f t="shared" ref="BO10:BO33" si="25">I10-BL10</f>
        <v>-34803.100000000006</v>
      </c>
      <c r="BP10" s="2230"/>
      <c r="BQ10" s="2206">
        <v>34803.100000000006</v>
      </c>
      <c r="BR10" s="2207">
        <f t="shared" si="6"/>
        <v>0</v>
      </c>
      <c r="BS10" s="2208"/>
      <c r="BT10" s="2208"/>
    </row>
    <row r="11" spans="1:72" s="2209" customFormat="1" ht="15" customHeight="1" x14ac:dyDescent="0.25">
      <c r="A11" s="2210"/>
      <c r="B11" s="2231" t="s">
        <v>69</v>
      </c>
      <c r="C11" s="2232"/>
      <c r="D11" s="2233"/>
      <c r="E11" s="2197">
        <f t="shared" si="1"/>
        <v>0</v>
      </c>
      <c r="F11" s="1992" t="e">
        <f t="shared" si="0"/>
        <v>#DIV/0!</v>
      </c>
      <c r="G11" s="2198"/>
      <c r="H11" s="2198"/>
      <c r="I11" s="2229">
        <f t="shared" si="7"/>
        <v>0</v>
      </c>
      <c r="J11" s="2136">
        <f t="shared" ref="J11:J33" si="26">I11/$S$89</f>
        <v>0</v>
      </c>
      <c r="K11" s="2204"/>
      <c r="L11" s="2198">
        <v>14338.21</v>
      </c>
      <c r="M11" s="2198">
        <v>0</v>
      </c>
      <c r="N11" s="2198">
        <f t="shared" si="2"/>
        <v>14338.21</v>
      </c>
      <c r="O11" s="2136">
        <v>3.3421176064235149E-2</v>
      </c>
      <c r="P11" s="1992"/>
      <c r="Q11" s="2198">
        <v>14254.24</v>
      </c>
      <c r="R11" s="2198"/>
      <c r="S11" s="2229">
        <f t="shared" si="8"/>
        <v>14254.24</v>
      </c>
      <c r="T11" s="2136">
        <f t="shared" ref="T11:T33" si="27">S11/$S$89</f>
        <v>6.057346360641808E-3</v>
      </c>
      <c r="U11" s="2204"/>
      <c r="V11" s="2198">
        <v>10672.59</v>
      </c>
      <c r="W11" s="2198"/>
      <c r="X11" s="2229">
        <f t="shared" si="9"/>
        <v>10672.59</v>
      </c>
      <c r="Y11" s="2136">
        <f t="shared" si="10"/>
        <v>7.7693242951773463E-3</v>
      </c>
      <c r="Z11" s="2204"/>
      <c r="AA11" s="2198"/>
      <c r="AB11" s="2198"/>
      <c r="AC11" s="2229">
        <f t="shared" si="11"/>
        <v>0</v>
      </c>
      <c r="AD11" s="2136" t="e">
        <f t="shared" si="12"/>
        <v>#DIV/0!</v>
      </c>
      <c r="AE11" s="2234"/>
      <c r="AF11" s="2201"/>
      <c r="AG11" s="2198"/>
      <c r="AH11" s="2229">
        <f t="shared" si="13"/>
        <v>0</v>
      </c>
      <c r="AI11" s="2136">
        <f t="shared" si="14"/>
        <v>0</v>
      </c>
      <c r="AJ11" s="2204"/>
      <c r="AK11" s="2201"/>
      <c r="AL11" s="2198"/>
      <c r="AM11" s="2229">
        <f t="shared" si="15"/>
        <v>0</v>
      </c>
      <c r="AN11" s="2136">
        <f t="shared" si="16"/>
        <v>0</v>
      </c>
      <c r="AO11" s="2204"/>
      <c r="AP11" s="2201"/>
      <c r="AQ11" s="2198"/>
      <c r="AR11" s="2229">
        <f t="shared" si="17"/>
        <v>0</v>
      </c>
      <c r="AS11" s="2136">
        <f t="shared" si="18"/>
        <v>0</v>
      </c>
      <c r="AT11" s="2204"/>
      <c r="AU11" s="2201"/>
      <c r="AV11" s="2198"/>
      <c r="AW11" s="2229">
        <f t="shared" si="19"/>
        <v>0</v>
      </c>
      <c r="AX11" s="2136">
        <f t="shared" si="20"/>
        <v>0</v>
      </c>
      <c r="AY11" s="2204"/>
      <c r="AZ11" s="2201"/>
      <c r="BA11" s="2198"/>
      <c r="BB11" s="2229">
        <f t="shared" si="21"/>
        <v>0</v>
      </c>
      <c r="BC11" s="2136">
        <f t="shared" si="22"/>
        <v>0</v>
      </c>
      <c r="BD11" s="2204"/>
      <c r="BE11" s="2201"/>
      <c r="BF11" s="2198"/>
      <c r="BG11" s="2229">
        <f t="shared" si="23"/>
        <v>0</v>
      </c>
      <c r="BH11" s="2136">
        <f t="shared" si="24"/>
        <v>0</v>
      </c>
      <c r="BI11" s="2204"/>
      <c r="BJ11" s="2198">
        <f t="shared" si="3"/>
        <v>39265.039999999994</v>
      </c>
      <c r="BK11" s="2198">
        <f t="shared" si="3"/>
        <v>0</v>
      </c>
      <c r="BL11" s="2229">
        <f t="shared" si="4"/>
        <v>39265.039999999994</v>
      </c>
      <c r="BM11" s="2136">
        <f t="shared" si="5"/>
        <v>6.9448605468677002E-3</v>
      </c>
      <c r="BN11" s="1449"/>
      <c r="BO11" s="2205">
        <f t="shared" si="25"/>
        <v>-39265.039999999994</v>
      </c>
      <c r="BP11" s="2230"/>
      <c r="BQ11" s="2206">
        <v>39265.039999999994</v>
      </c>
      <c r="BR11" s="2207">
        <f t="shared" si="6"/>
        <v>0</v>
      </c>
      <c r="BS11" s="2208"/>
      <c r="BT11" s="2208"/>
    </row>
    <row r="12" spans="1:72" s="2209" customFormat="1" ht="15" customHeight="1" x14ac:dyDescent="0.25">
      <c r="A12" s="2210"/>
      <c r="B12" s="2231" t="s">
        <v>73</v>
      </c>
      <c r="C12" s="2232"/>
      <c r="D12" s="2233"/>
      <c r="E12" s="2197">
        <f t="shared" si="1"/>
        <v>0</v>
      </c>
      <c r="F12" s="1992" t="e">
        <f t="shared" si="0"/>
        <v>#DIV/0!</v>
      </c>
      <c r="G12" s="2198">
        <v>59892</v>
      </c>
      <c r="H12" s="2198">
        <v>108108</v>
      </c>
      <c r="I12" s="2229">
        <f t="shared" si="7"/>
        <v>168000</v>
      </c>
      <c r="J12" s="2136">
        <f t="shared" si="26"/>
        <v>7.1391683357921829E-2</v>
      </c>
      <c r="K12" s="2204"/>
      <c r="L12" s="2198">
        <v>25630.5</v>
      </c>
      <c r="M12" s="2198">
        <v>64091.229999999996</v>
      </c>
      <c r="N12" s="2198">
        <f t="shared" si="2"/>
        <v>89721.73</v>
      </c>
      <c r="O12" s="2136">
        <v>0.18276136716204588</v>
      </c>
      <c r="P12" s="1992"/>
      <c r="Q12" s="2198">
        <v>19467.66</v>
      </c>
      <c r="R12" s="2198">
        <f>20018+16956+9473.68</f>
        <v>46447.68</v>
      </c>
      <c r="S12" s="2229">
        <f t="shared" si="8"/>
        <v>65915.34</v>
      </c>
      <c r="T12" s="2136">
        <f t="shared" si="27"/>
        <v>2.8010756438748566E-2</v>
      </c>
      <c r="U12" s="2204" t="s">
        <v>976</v>
      </c>
      <c r="V12" s="2198">
        <v>79278.87</v>
      </c>
      <c r="W12" s="2198">
        <v>5000</v>
      </c>
      <c r="X12" s="2229">
        <f t="shared" si="9"/>
        <v>84278.87</v>
      </c>
      <c r="Y12" s="2136">
        <f t="shared" si="10"/>
        <v>6.1352480725024867E-2</v>
      </c>
      <c r="Z12" s="2204" t="s">
        <v>1026</v>
      </c>
      <c r="AA12" s="2198"/>
      <c r="AB12" s="2198"/>
      <c r="AC12" s="2229">
        <f t="shared" si="11"/>
        <v>0</v>
      </c>
      <c r="AD12" s="2136" t="e">
        <f t="shared" si="12"/>
        <v>#DIV/0!</v>
      </c>
      <c r="AE12" s="2234"/>
      <c r="AF12" s="2201"/>
      <c r="AG12" s="2198"/>
      <c r="AH12" s="2229">
        <f t="shared" si="13"/>
        <v>0</v>
      </c>
      <c r="AI12" s="2136">
        <f t="shared" si="14"/>
        <v>0</v>
      </c>
      <c r="AJ12" s="2204"/>
      <c r="AK12" s="2201"/>
      <c r="AL12" s="2198"/>
      <c r="AM12" s="2229">
        <f t="shared" si="15"/>
        <v>0</v>
      </c>
      <c r="AN12" s="2136">
        <f t="shared" si="16"/>
        <v>0</v>
      </c>
      <c r="AO12" s="2204"/>
      <c r="AP12" s="2201"/>
      <c r="AQ12" s="2198"/>
      <c r="AR12" s="2229">
        <f t="shared" si="17"/>
        <v>0</v>
      </c>
      <c r="AS12" s="2136">
        <f t="shared" si="18"/>
        <v>0</v>
      </c>
      <c r="AT12" s="2204"/>
      <c r="AU12" s="2201"/>
      <c r="AV12" s="2198"/>
      <c r="AW12" s="2229">
        <f t="shared" si="19"/>
        <v>0</v>
      </c>
      <c r="AX12" s="2136">
        <f t="shared" si="20"/>
        <v>0</v>
      </c>
      <c r="AY12" s="2204"/>
      <c r="AZ12" s="2201"/>
      <c r="BA12" s="2198"/>
      <c r="BB12" s="2229">
        <f t="shared" si="21"/>
        <v>0</v>
      </c>
      <c r="BC12" s="2136">
        <f t="shared" si="22"/>
        <v>0</v>
      </c>
      <c r="BD12" s="2204"/>
      <c r="BE12" s="2201"/>
      <c r="BF12" s="2198"/>
      <c r="BG12" s="2229">
        <f t="shared" si="23"/>
        <v>0</v>
      </c>
      <c r="BH12" s="2136">
        <f t="shared" si="24"/>
        <v>0</v>
      </c>
      <c r="BI12" s="2204"/>
      <c r="BJ12" s="2198">
        <f t="shared" si="3"/>
        <v>124377.03</v>
      </c>
      <c r="BK12" s="2198">
        <f t="shared" si="3"/>
        <v>115538.91</v>
      </c>
      <c r="BL12" s="2229">
        <f t="shared" si="4"/>
        <v>239915.94</v>
      </c>
      <c r="BM12" s="2136">
        <f t="shared" si="5"/>
        <v>4.2434255670455924E-2</v>
      </c>
      <c r="BN12" s="1449"/>
      <c r="BO12" s="2205">
        <f t="shared" si="25"/>
        <v>-71915.94</v>
      </c>
      <c r="BP12" s="2230"/>
      <c r="BQ12" s="2206">
        <v>239915.94</v>
      </c>
      <c r="BR12" s="2207">
        <f t="shared" si="6"/>
        <v>0</v>
      </c>
      <c r="BS12" s="2208"/>
      <c r="BT12" s="2208"/>
    </row>
    <row r="13" spans="1:72" s="2209" customFormat="1" ht="15" customHeight="1" x14ac:dyDescent="0.25">
      <c r="A13" s="2210"/>
      <c r="B13" s="2231" t="s">
        <v>71</v>
      </c>
      <c r="C13" s="2232"/>
      <c r="D13" s="2233"/>
      <c r="E13" s="2197">
        <f t="shared" si="1"/>
        <v>0</v>
      </c>
      <c r="F13" s="1992" t="e">
        <f t="shared" si="0"/>
        <v>#DIV/0!</v>
      </c>
      <c r="G13" s="2198">
        <v>14508</v>
      </c>
      <c r="H13" s="2198">
        <v>0</v>
      </c>
      <c r="I13" s="2229">
        <f t="shared" si="7"/>
        <v>14508</v>
      </c>
      <c r="J13" s="2136">
        <f t="shared" si="26"/>
        <v>6.1651817985519646E-3</v>
      </c>
      <c r="K13" s="2204"/>
      <c r="L13" s="2198">
        <v>6208.63</v>
      </c>
      <c r="M13" s="2198">
        <v>0</v>
      </c>
      <c r="N13" s="2198">
        <f t="shared" si="2"/>
        <v>6208.63</v>
      </c>
      <c r="O13" s="2136">
        <v>1.4471800618605273E-2</v>
      </c>
      <c r="P13" s="1992"/>
      <c r="Q13" s="2198">
        <v>4715.7700000000004</v>
      </c>
      <c r="R13" s="2198"/>
      <c r="S13" s="2229">
        <f t="shared" si="8"/>
        <v>4715.7700000000004</v>
      </c>
      <c r="T13" s="2136">
        <f t="shared" si="27"/>
        <v>2.0039688013618281E-3</v>
      </c>
      <c r="U13" s="2204"/>
      <c r="V13" s="2198">
        <v>3818.05</v>
      </c>
      <c r="W13" s="2198"/>
      <c r="X13" s="2229">
        <f t="shared" si="9"/>
        <v>3818.05</v>
      </c>
      <c r="Y13" s="2136">
        <f t="shared" si="10"/>
        <v>2.7794254838986476E-3</v>
      </c>
      <c r="Z13" s="2204"/>
      <c r="AA13" s="2198"/>
      <c r="AB13" s="2198"/>
      <c r="AC13" s="2229">
        <f t="shared" si="11"/>
        <v>0</v>
      </c>
      <c r="AD13" s="2136" t="e">
        <f t="shared" si="12"/>
        <v>#DIV/0!</v>
      </c>
      <c r="AE13" s="2234"/>
      <c r="AF13" s="2201"/>
      <c r="AG13" s="2198"/>
      <c r="AH13" s="2229">
        <f t="shared" si="13"/>
        <v>0</v>
      </c>
      <c r="AI13" s="2136">
        <f t="shared" si="14"/>
        <v>0</v>
      </c>
      <c r="AJ13" s="2204"/>
      <c r="AK13" s="2201"/>
      <c r="AL13" s="2198"/>
      <c r="AM13" s="2229">
        <f t="shared" si="15"/>
        <v>0</v>
      </c>
      <c r="AN13" s="2136">
        <f t="shared" si="16"/>
        <v>0</v>
      </c>
      <c r="AO13" s="2204"/>
      <c r="AP13" s="2201"/>
      <c r="AQ13" s="2198"/>
      <c r="AR13" s="2229">
        <f t="shared" si="17"/>
        <v>0</v>
      </c>
      <c r="AS13" s="2136">
        <f t="shared" si="18"/>
        <v>0</v>
      </c>
      <c r="AT13" s="2204"/>
      <c r="AU13" s="2201"/>
      <c r="AV13" s="2198"/>
      <c r="AW13" s="2229">
        <f t="shared" si="19"/>
        <v>0</v>
      </c>
      <c r="AX13" s="2136">
        <f t="shared" si="20"/>
        <v>0</v>
      </c>
      <c r="AY13" s="2204"/>
      <c r="AZ13" s="2201"/>
      <c r="BA13" s="2198"/>
      <c r="BB13" s="2229">
        <f t="shared" si="21"/>
        <v>0</v>
      </c>
      <c r="BC13" s="2136">
        <f t="shared" si="22"/>
        <v>0</v>
      </c>
      <c r="BD13" s="2204"/>
      <c r="BE13" s="2201"/>
      <c r="BF13" s="2198"/>
      <c r="BG13" s="2229">
        <f t="shared" si="23"/>
        <v>0</v>
      </c>
      <c r="BH13" s="2136">
        <f t="shared" si="24"/>
        <v>0</v>
      </c>
      <c r="BI13" s="2204"/>
      <c r="BJ13" s="2198">
        <f t="shared" si="3"/>
        <v>14742.45</v>
      </c>
      <c r="BK13" s="2198">
        <f t="shared" si="3"/>
        <v>0</v>
      </c>
      <c r="BL13" s="2229">
        <f t="shared" si="4"/>
        <v>14742.45</v>
      </c>
      <c r="BM13" s="2136">
        <f t="shared" si="5"/>
        <v>2.6075170016169537E-3</v>
      </c>
      <c r="BN13" s="1449"/>
      <c r="BO13" s="2205">
        <f t="shared" si="25"/>
        <v>-234.45000000000073</v>
      </c>
      <c r="BP13" s="2230"/>
      <c r="BQ13" s="2206">
        <v>14742.45</v>
      </c>
      <c r="BR13" s="2207">
        <f t="shared" si="6"/>
        <v>0</v>
      </c>
      <c r="BS13" s="2208"/>
      <c r="BT13" s="2208"/>
    </row>
    <row r="14" spans="1:72" s="2209" customFormat="1" ht="15" customHeight="1" x14ac:dyDescent="0.25">
      <c r="A14" s="2210"/>
      <c r="B14" s="2231" t="s">
        <v>70</v>
      </c>
      <c r="C14" s="2232"/>
      <c r="D14" s="2233"/>
      <c r="E14" s="2197">
        <f t="shared" si="1"/>
        <v>0</v>
      </c>
      <c r="F14" s="1992" t="e">
        <f t="shared" si="0"/>
        <v>#DIV/0!</v>
      </c>
      <c r="G14" s="2198">
        <v>16368</v>
      </c>
      <c r="H14" s="2198">
        <v>0</v>
      </c>
      <c r="I14" s="2229">
        <f t="shared" si="7"/>
        <v>16368</v>
      </c>
      <c r="J14" s="2136">
        <f t="shared" si="26"/>
        <v>6.9555897214432418E-3</v>
      </c>
      <c r="K14" s="2204"/>
      <c r="L14" s="2198">
        <f>7004.61+0.35</f>
        <v>7004.96</v>
      </c>
      <c r="M14" s="2198">
        <v>0</v>
      </c>
      <c r="N14" s="2198">
        <f t="shared" si="2"/>
        <v>7004.96</v>
      </c>
      <c r="O14" s="2136">
        <v>1.632716385596962E-2</v>
      </c>
      <c r="P14" s="1992"/>
      <c r="Q14" s="2198">
        <v>5320</v>
      </c>
      <c r="R14" s="2198"/>
      <c r="S14" s="2229">
        <f t="shared" si="8"/>
        <v>5320</v>
      </c>
      <c r="T14" s="2136">
        <f t="shared" si="27"/>
        <v>2.2607366396675248E-3</v>
      </c>
      <c r="U14" s="2204"/>
      <c r="V14" s="2198">
        <v>4307.55</v>
      </c>
      <c r="W14" s="2198"/>
      <c r="X14" s="2229">
        <f t="shared" si="9"/>
        <v>4307.55</v>
      </c>
      <c r="Y14" s="2136">
        <f t="shared" si="10"/>
        <v>3.1357667508722046E-3</v>
      </c>
      <c r="Z14" s="2204"/>
      <c r="AA14" s="2198"/>
      <c r="AB14" s="2198"/>
      <c r="AC14" s="2229">
        <f t="shared" si="11"/>
        <v>0</v>
      </c>
      <c r="AD14" s="2136" t="e">
        <f t="shared" si="12"/>
        <v>#DIV/0!</v>
      </c>
      <c r="AE14" s="2234"/>
      <c r="AF14" s="2201"/>
      <c r="AG14" s="2198"/>
      <c r="AH14" s="2229">
        <f t="shared" si="13"/>
        <v>0</v>
      </c>
      <c r="AI14" s="2136">
        <f t="shared" si="14"/>
        <v>0</v>
      </c>
      <c r="AJ14" s="2204"/>
      <c r="AK14" s="2201"/>
      <c r="AL14" s="2198"/>
      <c r="AM14" s="2229">
        <f t="shared" si="15"/>
        <v>0</v>
      </c>
      <c r="AN14" s="2136">
        <f t="shared" si="16"/>
        <v>0</v>
      </c>
      <c r="AO14" s="2204"/>
      <c r="AP14" s="2201"/>
      <c r="AQ14" s="2198"/>
      <c r="AR14" s="2229">
        <f t="shared" si="17"/>
        <v>0</v>
      </c>
      <c r="AS14" s="2136">
        <f t="shared" si="18"/>
        <v>0</v>
      </c>
      <c r="AT14" s="2204"/>
      <c r="AU14" s="2201"/>
      <c r="AV14" s="2198"/>
      <c r="AW14" s="2229">
        <f t="shared" si="19"/>
        <v>0</v>
      </c>
      <c r="AX14" s="2136">
        <f t="shared" si="20"/>
        <v>0</v>
      </c>
      <c r="AY14" s="2204"/>
      <c r="AZ14" s="2201"/>
      <c r="BA14" s="2198"/>
      <c r="BB14" s="2229">
        <f t="shared" si="21"/>
        <v>0</v>
      </c>
      <c r="BC14" s="2136">
        <f t="shared" si="22"/>
        <v>0</v>
      </c>
      <c r="BD14" s="2204"/>
      <c r="BE14" s="2201"/>
      <c r="BF14" s="2198"/>
      <c r="BG14" s="2229">
        <f t="shared" si="23"/>
        <v>0</v>
      </c>
      <c r="BH14" s="2136">
        <f t="shared" si="24"/>
        <v>0</v>
      </c>
      <c r="BI14" s="2204"/>
      <c r="BJ14" s="2198">
        <f t="shared" si="3"/>
        <v>16632.509999999998</v>
      </c>
      <c r="BK14" s="2198">
        <f t="shared" si="3"/>
        <v>0</v>
      </c>
      <c r="BL14" s="2229">
        <f t="shared" si="4"/>
        <v>16632.509999999998</v>
      </c>
      <c r="BM14" s="2136">
        <f t="shared" si="5"/>
        <v>2.9418144612709551E-3</v>
      </c>
      <c r="BN14" s="1449"/>
      <c r="BO14" s="2205">
        <f t="shared" si="25"/>
        <v>-264.5099999999984</v>
      </c>
      <c r="BP14" s="2230"/>
      <c r="BQ14" s="2206">
        <v>16632.509999999998</v>
      </c>
      <c r="BR14" s="2207">
        <f t="shared" si="6"/>
        <v>0</v>
      </c>
      <c r="BS14" s="2208"/>
      <c r="BT14" s="2208"/>
    </row>
    <row r="15" spans="1:72" s="2209" customFormat="1" ht="15" customHeight="1" x14ac:dyDescent="0.25">
      <c r="A15" s="2210"/>
      <c r="B15" s="2235" t="s">
        <v>20</v>
      </c>
      <c r="C15" s="2232"/>
      <c r="D15" s="2236"/>
      <c r="E15" s="2197">
        <f t="shared" si="1"/>
        <v>0</v>
      </c>
      <c r="F15" s="1992" t="e">
        <f t="shared" si="0"/>
        <v>#DIV/0!</v>
      </c>
      <c r="G15" s="2198"/>
      <c r="H15" s="2198">
        <v>60000</v>
      </c>
      <c r="I15" s="2229">
        <f t="shared" si="7"/>
        <v>60000</v>
      </c>
      <c r="J15" s="2136">
        <f t="shared" si="26"/>
        <v>2.549702977068637E-2</v>
      </c>
      <c r="K15" s="2204"/>
      <c r="L15" s="2198">
        <v>0</v>
      </c>
      <c r="M15" s="2198">
        <v>17512</v>
      </c>
      <c r="N15" s="2198">
        <f t="shared" si="2"/>
        <v>17512</v>
      </c>
      <c r="O15" s="2136">
        <v>4.5480850633751096E-2</v>
      </c>
      <c r="P15" s="1992"/>
      <c r="Q15" s="2198"/>
      <c r="R15" s="2198">
        <v>10000</v>
      </c>
      <c r="S15" s="2229">
        <f t="shared" si="8"/>
        <v>10000</v>
      </c>
      <c r="T15" s="2136">
        <f t="shared" si="27"/>
        <v>4.2495049617810613E-3</v>
      </c>
      <c r="U15" s="2204"/>
      <c r="V15" s="2198"/>
      <c r="W15" s="2198">
        <v>19000</v>
      </c>
      <c r="X15" s="2229">
        <f t="shared" si="9"/>
        <v>19000</v>
      </c>
      <c r="Y15" s="2136">
        <f t="shared" si="10"/>
        <v>1.3831428135847959E-2</v>
      </c>
      <c r="Z15" s="2204"/>
      <c r="AA15" s="2198"/>
      <c r="AB15" s="2198"/>
      <c r="AC15" s="2229">
        <f t="shared" si="11"/>
        <v>0</v>
      </c>
      <c r="AD15" s="2136" t="e">
        <f t="shared" si="12"/>
        <v>#DIV/0!</v>
      </c>
      <c r="AE15" s="2234"/>
      <c r="AF15" s="2201"/>
      <c r="AG15" s="2198"/>
      <c r="AH15" s="2229">
        <f t="shared" si="13"/>
        <v>0</v>
      </c>
      <c r="AI15" s="2136">
        <f t="shared" si="14"/>
        <v>0</v>
      </c>
      <c r="AJ15" s="2204"/>
      <c r="AK15" s="2201"/>
      <c r="AL15" s="2198"/>
      <c r="AM15" s="2229">
        <f t="shared" si="15"/>
        <v>0</v>
      </c>
      <c r="AN15" s="2136">
        <f t="shared" si="16"/>
        <v>0</v>
      </c>
      <c r="AO15" s="2204"/>
      <c r="AP15" s="2201"/>
      <c r="AQ15" s="2198"/>
      <c r="AR15" s="2229">
        <f t="shared" si="17"/>
        <v>0</v>
      </c>
      <c r="AS15" s="2136">
        <f t="shared" si="18"/>
        <v>0</v>
      </c>
      <c r="AT15" s="2204"/>
      <c r="AU15" s="2201"/>
      <c r="AV15" s="2198"/>
      <c r="AW15" s="2229">
        <f t="shared" si="19"/>
        <v>0</v>
      </c>
      <c r="AX15" s="2136">
        <f t="shared" si="20"/>
        <v>0</v>
      </c>
      <c r="AY15" s="2204"/>
      <c r="AZ15" s="2201"/>
      <c r="BA15" s="2198"/>
      <c r="BB15" s="2229">
        <f t="shared" si="21"/>
        <v>0</v>
      </c>
      <c r="BC15" s="2136">
        <f t="shared" si="22"/>
        <v>0</v>
      </c>
      <c r="BD15" s="2204"/>
      <c r="BE15" s="2201"/>
      <c r="BF15" s="2198"/>
      <c r="BG15" s="2229">
        <f t="shared" si="23"/>
        <v>0</v>
      </c>
      <c r="BH15" s="2136">
        <f t="shared" si="24"/>
        <v>0</v>
      </c>
      <c r="BI15" s="2204"/>
      <c r="BJ15" s="2198">
        <f t="shared" si="3"/>
        <v>0</v>
      </c>
      <c r="BK15" s="2198">
        <f t="shared" si="3"/>
        <v>46512</v>
      </c>
      <c r="BL15" s="2229">
        <f t="shared" si="4"/>
        <v>46512</v>
      </c>
      <c r="BM15" s="2136">
        <f t="shared" si="5"/>
        <v>8.2266401296397645E-3</v>
      </c>
      <c r="BN15" s="1449"/>
      <c r="BO15" s="2205">
        <f t="shared" si="25"/>
        <v>13488</v>
      </c>
      <c r="BP15" s="2230"/>
      <c r="BQ15" s="2206">
        <v>46512</v>
      </c>
      <c r="BR15" s="2207">
        <f t="shared" si="6"/>
        <v>0</v>
      </c>
      <c r="BS15" s="2208"/>
      <c r="BT15" s="2208"/>
    </row>
    <row r="16" spans="1:72" s="2209" customFormat="1" ht="27.6" customHeight="1" x14ac:dyDescent="0.25">
      <c r="A16" s="2237"/>
      <c r="B16" s="2235" t="s">
        <v>21</v>
      </c>
      <c r="C16" s="2232"/>
      <c r="D16" s="2236"/>
      <c r="E16" s="2197">
        <f t="shared" si="1"/>
        <v>0</v>
      </c>
      <c r="F16" s="1992" t="e">
        <f t="shared" si="0"/>
        <v>#DIV/0!</v>
      </c>
      <c r="G16" s="2198"/>
      <c r="H16" s="2198">
        <v>1123534.1499999999</v>
      </c>
      <c r="I16" s="2229">
        <f t="shared" si="7"/>
        <v>1123534.1499999999</v>
      </c>
      <c r="J16" s="2136">
        <f t="shared" si="26"/>
        <v>0.47744639451554671</v>
      </c>
      <c r="K16" s="2204"/>
      <c r="L16" s="2198">
        <v>0</v>
      </c>
      <c r="M16" s="2198">
        <v>0</v>
      </c>
      <c r="N16" s="2198">
        <f t="shared" si="2"/>
        <v>0</v>
      </c>
      <c r="O16" s="2136">
        <v>0</v>
      </c>
      <c r="P16" s="1992"/>
      <c r="Q16" s="2198"/>
      <c r="R16" s="2198"/>
      <c r="S16" s="2229">
        <f t="shared" si="8"/>
        <v>0</v>
      </c>
      <c r="T16" s="2136">
        <f t="shared" si="27"/>
        <v>0</v>
      </c>
      <c r="U16" s="2204" t="s">
        <v>995</v>
      </c>
      <c r="V16" s="2198"/>
      <c r="W16" s="2198">
        <f>81998.73</f>
        <v>81998.73</v>
      </c>
      <c r="X16" s="2229">
        <f t="shared" si="9"/>
        <v>81998.73</v>
      </c>
      <c r="Y16" s="2136">
        <f t="shared" si="10"/>
        <v>5.9692607432936848E-2</v>
      </c>
      <c r="Z16" s="2204" t="s">
        <v>1063</v>
      </c>
      <c r="AA16" s="2198"/>
      <c r="AB16" s="2198"/>
      <c r="AC16" s="2229">
        <f t="shared" si="11"/>
        <v>0</v>
      </c>
      <c r="AD16" s="2136" t="e">
        <f t="shared" si="12"/>
        <v>#DIV/0!</v>
      </c>
      <c r="AE16" s="2234"/>
      <c r="AF16" s="2201"/>
      <c r="AG16" s="2198"/>
      <c r="AH16" s="2229">
        <f t="shared" si="13"/>
        <v>0</v>
      </c>
      <c r="AI16" s="2136">
        <f t="shared" si="14"/>
        <v>0</v>
      </c>
      <c r="AJ16" s="2204"/>
      <c r="AK16" s="2201"/>
      <c r="AL16" s="2198"/>
      <c r="AM16" s="2229">
        <f t="shared" si="15"/>
        <v>0</v>
      </c>
      <c r="AN16" s="2136">
        <f t="shared" si="16"/>
        <v>0</v>
      </c>
      <c r="AO16" s="2204"/>
      <c r="AP16" s="2238"/>
      <c r="AQ16" s="2239">
        <f>87948+50847.4</f>
        <v>138795.4</v>
      </c>
      <c r="AR16" s="2240">
        <f>AP16+AQ16*1</f>
        <v>138795.4</v>
      </c>
      <c r="AS16" s="2154">
        <f>AR16/$X$89</f>
        <v>0.1010388737203301</v>
      </c>
      <c r="AT16" s="2241" t="s">
        <v>1539</v>
      </c>
      <c r="AU16" s="2238"/>
      <c r="AV16" s="2239">
        <f>19007.2+71620+26160</f>
        <v>116787.2</v>
      </c>
      <c r="AW16" s="2240">
        <f t="shared" si="19"/>
        <v>116787.2</v>
      </c>
      <c r="AX16" s="2154" t="e">
        <f>AW16/$AC$89</f>
        <v>#DIV/0!</v>
      </c>
      <c r="AY16" s="2080" t="s">
        <v>1540</v>
      </c>
      <c r="AZ16" s="2201"/>
      <c r="BA16" s="2198"/>
      <c r="BB16" s="2229">
        <f t="shared" si="21"/>
        <v>0</v>
      </c>
      <c r="BC16" s="2136">
        <f t="shared" si="22"/>
        <v>0</v>
      </c>
      <c r="BD16" s="2204"/>
      <c r="BE16" s="2201"/>
      <c r="BF16" s="2198">
        <f>74250+35000+20000</f>
        <v>129250</v>
      </c>
      <c r="BG16" s="2229">
        <f t="shared" si="23"/>
        <v>129250</v>
      </c>
      <c r="BH16" s="2136">
        <f t="shared" si="24"/>
        <v>0.24777155088890962</v>
      </c>
      <c r="BI16" s="2204" t="s">
        <v>1612</v>
      </c>
      <c r="BJ16" s="2198">
        <f t="shared" si="3"/>
        <v>0</v>
      </c>
      <c r="BK16" s="2198">
        <f t="shared" si="3"/>
        <v>466831.33</v>
      </c>
      <c r="BL16" s="2229">
        <f t="shared" si="4"/>
        <v>466831.33</v>
      </c>
      <c r="BM16" s="2136">
        <f t="shared" si="5"/>
        <v>8.2569086540056416E-2</v>
      </c>
      <c r="BN16" s="1449"/>
      <c r="BO16" s="2205">
        <f t="shared" si="25"/>
        <v>656702.81999999983</v>
      </c>
      <c r="BP16" s="2230"/>
      <c r="BQ16" s="2242">
        <v>396134.63</v>
      </c>
      <c r="BR16" s="2207">
        <f t="shared" si="6"/>
        <v>70696.700000000012</v>
      </c>
      <c r="BS16" s="2208"/>
      <c r="BT16" s="2208"/>
    </row>
    <row r="17" spans="1:72" s="2209" customFormat="1" ht="15" customHeight="1" x14ac:dyDescent="0.25">
      <c r="A17" s="2210"/>
      <c r="B17" s="2235" t="s">
        <v>22</v>
      </c>
      <c r="C17" s="2232"/>
      <c r="D17" s="2236"/>
      <c r="E17" s="2197">
        <f t="shared" si="1"/>
        <v>0</v>
      </c>
      <c r="F17" s="1992" t="e">
        <f t="shared" si="0"/>
        <v>#DIV/0!</v>
      </c>
      <c r="G17" s="2198"/>
      <c r="H17" s="2198"/>
      <c r="I17" s="2229">
        <f t="shared" si="7"/>
        <v>0</v>
      </c>
      <c r="J17" s="2136">
        <f t="shared" si="26"/>
        <v>0</v>
      </c>
      <c r="K17" s="2204"/>
      <c r="L17" s="2198">
        <v>0</v>
      </c>
      <c r="M17" s="2198">
        <v>3000</v>
      </c>
      <c r="N17" s="2198">
        <f t="shared" si="2"/>
        <v>3000</v>
      </c>
      <c r="O17" s="2136">
        <v>6.9927507124463561E-3</v>
      </c>
      <c r="P17" s="1992"/>
      <c r="Q17" s="2198"/>
      <c r="R17" s="2198"/>
      <c r="S17" s="2229">
        <f t="shared" si="8"/>
        <v>0</v>
      </c>
      <c r="T17" s="2136">
        <f t="shared" si="27"/>
        <v>0</v>
      </c>
      <c r="U17" s="2204"/>
      <c r="V17" s="2198"/>
      <c r="W17" s="2198"/>
      <c r="X17" s="2229">
        <f t="shared" si="9"/>
        <v>0</v>
      </c>
      <c r="Y17" s="2136">
        <f t="shared" si="10"/>
        <v>0</v>
      </c>
      <c r="Z17" s="2204"/>
      <c r="AA17" s="2198"/>
      <c r="AB17" s="2198"/>
      <c r="AC17" s="2229">
        <f t="shared" si="11"/>
        <v>0</v>
      </c>
      <c r="AD17" s="2136" t="e">
        <f t="shared" si="12"/>
        <v>#DIV/0!</v>
      </c>
      <c r="AE17" s="2234"/>
      <c r="AF17" s="2201"/>
      <c r="AG17" s="2198"/>
      <c r="AH17" s="2229">
        <f t="shared" si="13"/>
        <v>0</v>
      </c>
      <c r="AI17" s="2136">
        <f t="shared" si="14"/>
        <v>0</v>
      </c>
      <c r="AJ17" s="2204"/>
      <c r="AK17" s="2201"/>
      <c r="AL17" s="2198"/>
      <c r="AM17" s="2229">
        <f t="shared" si="15"/>
        <v>0</v>
      </c>
      <c r="AN17" s="2136">
        <f t="shared" si="16"/>
        <v>0</v>
      </c>
      <c r="AO17" s="2204"/>
      <c r="AP17" s="2201"/>
      <c r="AQ17" s="2198"/>
      <c r="AR17" s="2229">
        <f t="shared" si="17"/>
        <v>0</v>
      </c>
      <c r="AS17" s="2136">
        <f t="shared" si="18"/>
        <v>0</v>
      </c>
      <c r="AT17" s="2204"/>
      <c r="AU17" s="2201"/>
      <c r="AV17" s="2198"/>
      <c r="AW17" s="2229">
        <f t="shared" si="19"/>
        <v>0</v>
      </c>
      <c r="AX17" s="2136">
        <f t="shared" si="20"/>
        <v>0</v>
      </c>
      <c r="AY17" s="2204"/>
      <c r="AZ17" s="2201"/>
      <c r="BA17" s="2198"/>
      <c r="BB17" s="2229">
        <f t="shared" si="21"/>
        <v>0</v>
      </c>
      <c r="BC17" s="2136">
        <f t="shared" si="22"/>
        <v>0</v>
      </c>
      <c r="BD17" s="2204"/>
      <c r="BE17" s="2201"/>
      <c r="BF17" s="2198"/>
      <c r="BG17" s="2229">
        <f t="shared" si="23"/>
        <v>0</v>
      </c>
      <c r="BH17" s="2136">
        <f t="shared" si="24"/>
        <v>0</v>
      </c>
      <c r="BI17" s="2204"/>
      <c r="BJ17" s="2198">
        <f t="shared" si="3"/>
        <v>0</v>
      </c>
      <c r="BK17" s="2198">
        <f t="shared" si="3"/>
        <v>3000</v>
      </c>
      <c r="BL17" s="2229">
        <f t="shared" si="4"/>
        <v>3000</v>
      </c>
      <c r="BM17" s="2136">
        <f t="shared" si="5"/>
        <v>5.3061404344941724E-4</v>
      </c>
      <c r="BN17" s="1449"/>
      <c r="BO17" s="2205">
        <f t="shared" si="25"/>
        <v>-3000</v>
      </c>
      <c r="BP17" s="2230"/>
      <c r="BQ17" s="2206">
        <v>3000</v>
      </c>
      <c r="BR17" s="2207">
        <f t="shared" si="6"/>
        <v>0</v>
      </c>
      <c r="BS17" s="2208"/>
      <c r="BT17" s="2208"/>
    </row>
    <row r="18" spans="1:72" s="2209" customFormat="1" ht="54.6" customHeight="1" x14ac:dyDescent="0.25">
      <c r="A18" s="2210"/>
      <c r="B18" s="2235" t="s">
        <v>0</v>
      </c>
      <c r="C18" s="2232"/>
      <c r="D18" s="2236"/>
      <c r="E18" s="2197">
        <f t="shared" si="1"/>
        <v>0</v>
      </c>
      <c r="F18" s="1992" t="e">
        <f t="shared" si="0"/>
        <v>#DIV/0!</v>
      </c>
      <c r="G18" s="2198">
        <v>501540</v>
      </c>
      <c r="H18" s="2198">
        <v>11700</v>
      </c>
      <c r="I18" s="2229">
        <f t="shared" si="7"/>
        <v>513240</v>
      </c>
      <c r="J18" s="2136">
        <f t="shared" si="26"/>
        <v>0.21810159265845119</v>
      </c>
      <c r="K18" s="2204"/>
      <c r="L18" s="2198">
        <v>0</v>
      </c>
      <c r="M18" s="2198">
        <v>300</v>
      </c>
      <c r="N18" s="2198">
        <f t="shared" si="2"/>
        <v>300</v>
      </c>
      <c r="O18" s="2136">
        <v>6.9927507124463559E-4</v>
      </c>
      <c r="P18" s="1992"/>
      <c r="Q18" s="2198">
        <f>15.215*14000+4000*1.2+174090</f>
        <v>391900</v>
      </c>
      <c r="R18" s="2198">
        <v>12150</v>
      </c>
      <c r="S18" s="2229">
        <f t="shared" si="8"/>
        <v>404050</v>
      </c>
      <c r="T18" s="2136">
        <f t="shared" si="27"/>
        <v>0.1717012479807638</v>
      </c>
      <c r="U18" s="2204" t="s">
        <v>980</v>
      </c>
      <c r="V18" s="2198">
        <v>8484</v>
      </c>
      <c r="W18" s="2198"/>
      <c r="X18" s="2229">
        <f t="shared" si="9"/>
        <v>8484</v>
      </c>
      <c r="Y18" s="2136">
        <f t="shared" si="10"/>
        <v>6.1760966476070572E-3</v>
      </c>
      <c r="Z18" s="2204" t="s">
        <v>1060</v>
      </c>
      <c r="AA18" s="2198"/>
      <c r="AB18" s="2198"/>
      <c r="AC18" s="2229">
        <f t="shared" si="11"/>
        <v>0</v>
      </c>
      <c r="AD18" s="2136" t="e">
        <f t="shared" si="12"/>
        <v>#DIV/0!</v>
      </c>
      <c r="AE18" s="2234"/>
      <c r="AF18" s="2201"/>
      <c r="AG18" s="2198"/>
      <c r="AH18" s="2229">
        <f t="shared" si="13"/>
        <v>0</v>
      </c>
      <c r="AI18" s="2136">
        <f t="shared" si="14"/>
        <v>0</v>
      </c>
      <c r="AJ18" s="2204"/>
      <c r="AK18" s="2201">
        <f>6875.4*1.2</f>
        <v>8250.48</v>
      </c>
      <c r="AL18" s="2198"/>
      <c r="AM18" s="2229">
        <f t="shared" si="15"/>
        <v>8250.48</v>
      </c>
      <c r="AN18" s="2136">
        <f t="shared" si="16"/>
        <v>45.582762430939226</v>
      </c>
      <c r="AO18" s="2204" t="s">
        <v>1238</v>
      </c>
      <c r="AP18" s="2201"/>
      <c r="AQ18" s="2198">
        <v>0</v>
      </c>
      <c r="AR18" s="2229">
        <f t="shared" si="17"/>
        <v>0</v>
      </c>
      <c r="AS18" s="2136">
        <f t="shared" si="18"/>
        <v>0</v>
      </c>
      <c r="AT18" s="2204"/>
      <c r="AU18" s="2201">
        <v>0</v>
      </c>
      <c r="AV18" s="2198">
        <v>0</v>
      </c>
      <c r="AW18" s="2229">
        <f t="shared" si="19"/>
        <v>0</v>
      </c>
      <c r="AX18" s="2136">
        <f t="shared" si="20"/>
        <v>0</v>
      </c>
      <c r="AY18" s="2204"/>
      <c r="AZ18" s="2201">
        <v>0</v>
      </c>
      <c r="BA18" s="2198">
        <v>0</v>
      </c>
      <c r="BB18" s="2229">
        <f t="shared" si="21"/>
        <v>0</v>
      </c>
      <c r="BC18" s="2136">
        <f t="shared" si="22"/>
        <v>0</v>
      </c>
      <c r="BD18" s="2204"/>
      <c r="BE18" s="2201">
        <v>50000</v>
      </c>
      <c r="BF18" s="2198"/>
      <c r="BG18" s="2229">
        <f t="shared" si="23"/>
        <v>50000</v>
      </c>
      <c r="BH18" s="2136">
        <f t="shared" si="24"/>
        <v>9.5849729550835441E-2</v>
      </c>
      <c r="BI18" s="2204" t="s">
        <v>1613</v>
      </c>
      <c r="BJ18" s="2198">
        <f t="shared" si="3"/>
        <v>458634.48</v>
      </c>
      <c r="BK18" s="2198">
        <f t="shared" si="3"/>
        <v>12450</v>
      </c>
      <c r="BL18" s="2229">
        <f t="shared" si="4"/>
        <v>471084.48</v>
      </c>
      <c r="BM18" s="2136">
        <f t="shared" si="5"/>
        <v>8.3321346913022037E-2</v>
      </c>
      <c r="BN18" s="1449"/>
      <c r="BO18" s="2205">
        <f t="shared" si="25"/>
        <v>42155.520000000019</v>
      </c>
      <c r="BP18" s="2230"/>
      <c r="BQ18" s="2206">
        <v>525434</v>
      </c>
      <c r="BR18" s="2243">
        <f t="shared" si="6"/>
        <v>-54349.520000000019</v>
      </c>
      <c r="BS18" s="2208"/>
      <c r="BT18" s="2208"/>
    </row>
    <row r="19" spans="1:72" s="2209" customFormat="1" ht="15" customHeight="1" x14ac:dyDescent="0.25">
      <c r="A19" s="2210"/>
      <c r="B19" s="2235" t="s">
        <v>53</v>
      </c>
      <c r="C19" s="2244"/>
      <c r="D19" s="2236"/>
      <c r="E19" s="2197">
        <f t="shared" si="1"/>
        <v>0</v>
      </c>
      <c r="F19" s="1992" t="e">
        <f t="shared" si="0"/>
        <v>#DIV/0!</v>
      </c>
      <c r="G19" s="2198">
        <v>6000</v>
      </c>
      <c r="H19" s="2198"/>
      <c r="I19" s="2229">
        <f t="shared" si="7"/>
        <v>6000</v>
      </c>
      <c r="J19" s="2136">
        <f t="shared" si="26"/>
        <v>2.549702977068637E-3</v>
      </c>
      <c r="K19" s="2204"/>
      <c r="L19" s="2198">
        <v>0</v>
      </c>
      <c r="M19" s="2198">
        <v>500</v>
      </c>
      <c r="N19" s="2198">
        <f t="shared" si="2"/>
        <v>500</v>
      </c>
      <c r="O19" s="2136">
        <v>1.1654584520743925E-3</v>
      </c>
      <c r="P19" s="1992"/>
      <c r="Q19" s="2198"/>
      <c r="R19" s="2198"/>
      <c r="S19" s="2229">
        <f t="shared" si="8"/>
        <v>0</v>
      </c>
      <c r="T19" s="2136">
        <f t="shared" si="27"/>
        <v>0</v>
      </c>
      <c r="U19" s="2204"/>
      <c r="V19" s="2198"/>
      <c r="W19" s="2198"/>
      <c r="X19" s="2229">
        <f t="shared" si="9"/>
        <v>0</v>
      </c>
      <c r="Y19" s="2136">
        <f t="shared" si="10"/>
        <v>0</v>
      </c>
      <c r="Z19" s="2204"/>
      <c r="AA19" s="2198"/>
      <c r="AB19" s="2198"/>
      <c r="AC19" s="2229">
        <f t="shared" si="11"/>
        <v>0</v>
      </c>
      <c r="AD19" s="2136" t="e">
        <f t="shared" si="12"/>
        <v>#DIV/0!</v>
      </c>
      <c r="AE19" s="2234"/>
      <c r="AF19" s="2201"/>
      <c r="AG19" s="2198"/>
      <c r="AH19" s="2229">
        <f t="shared" si="13"/>
        <v>0</v>
      </c>
      <c r="AI19" s="2136">
        <f t="shared" si="14"/>
        <v>0</v>
      </c>
      <c r="AJ19" s="2204"/>
      <c r="AK19" s="2201"/>
      <c r="AL19" s="2198"/>
      <c r="AM19" s="2229">
        <f t="shared" si="15"/>
        <v>0</v>
      </c>
      <c r="AN19" s="2136">
        <f t="shared" si="16"/>
        <v>0</v>
      </c>
      <c r="AO19" s="2204"/>
      <c r="AP19" s="2201"/>
      <c r="AQ19" s="2198"/>
      <c r="AR19" s="2229">
        <f t="shared" si="17"/>
        <v>0</v>
      </c>
      <c r="AS19" s="2136">
        <f t="shared" si="18"/>
        <v>0</v>
      </c>
      <c r="AT19" s="2204"/>
      <c r="AU19" s="2201"/>
      <c r="AV19" s="2198"/>
      <c r="AW19" s="2229">
        <f t="shared" si="19"/>
        <v>0</v>
      </c>
      <c r="AX19" s="2136">
        <f t="shared" si="20"/>
        <v>0</v>
      </c>
      <c r="AY19" s="2204"/>
      <c r="AZ19" s="2201"/>
      <c r="BA19" s="2198"/>
      <c r="BB19" s="2229">
        <f t="shared" si="21"/>
        <v>0</v>
      </c>
      <c r="BC19" s="2136">
        <f t="shared" si="22"/>
        <v>0</v>
      </c>
      <c r="BD19" s="2204"/>
      <c r="BE19" s="2201"/>
      <c r="BF19" s="2198"/>
      <c r="BG19" s="2229">
        <f t="shared" si="23"/>
        <v>0</v>
      </c>
      <c r="BH19" s="2136">
        <f t="shared" si="24"/>
        <v>0</v>
      </c>
      <c r="BI19" s="2204"/>
      <c r="BJ19" s="2198">
        <f t="shared" si="3"/>
        <v>0</v>
      </c>
      <c r="BK19" s="2198">
        <f t="shared" si="3"/>
        <v>500</v>
      </c>
      <c r="BL19" s="2229">
        <f t="shared" si="4"/>
        <v>500</v>
      </c>
      <c r="BM19" s="2136">
        <f t="shared" si="5"/>
        <v>8.8435673908236198E-5</v>
      </c>
      <c r="BN19" s="1449"/>
      <c r="BO19" s="2205">
        <f t="shared" si="25"/>
        <v>5500</v>
      </c>
      <c r="BP19" s="2230"/>
      <c r="BQ19" s="2206">
        <v>500</v>
      </c>
      <c r="BR19" s="2207">
        <f t="shared" si="6"/>
        <v>0</v>
      </c>
      <c r="BS19" s="2208"/>
      <c r="BT19" s="2208"/>
    </row>
    <row r="20" spans="1:72" s="2209" customFormat="1" ht="15" customHeight="1" x14ac:dyDescent="0.25">
      <c r="A20" s="2210"/>
      <c r="B20" s="2235" t="s">
        <v>57</v>
      </c>
      <c r="C20" s="2244"/>
      <c r="D20" s="2236"/>
      <c r="E20" s="2197">
        <f t="shared" si="1"/>
        <v>0</v>
      </c>
      <c r="F20" s="1992" t="e">
        <f t="shared" si="0"/>
        <v>#DIV/0!</v>
      </c>
      <c r="G20" s="2198">
        <v>103086.00000000001</v>
      </c>
      <c r="H20" s="2198"/>
      <c r="I20" s="2229">
        <f t="shared" si="7"/>
        <v>103086.00000000001</v>
      </c>
      <c r="J20" s="2136">
        <f t="shared" si="26"/>
        <v>4.3806446849016259E-2</v>
      </c>
      <c r="K20" s="2204"/>
      <c r="L20" s="2198">
        <v>0</v>
      </c>
      <c r="M20" s="2198">
        <v>0</v>
      </c>
      <c r="N20" s="2198">
        <f t="shared" si="2"/>
        <v>0</v>
      </c>
      <c r="O20" s="2136">
        <v>0</v>
      </c>
      <c r="P20" s="1992"/>
      <c r="Q20" s="2198">
        <f>32078.47*1.2+6811.94*1.2+12410.81</f>
        <v>59079.301999999996</v>
      </c>
      <c r="R20" s="2198"/>
      <c r="S20" s="2229">
        <f t="shared" si="8"/>
        <v>59079.301999999996</v>
      </c>
      <c r="T20" s="2136">
        <f t="shared" si="27"/>
        <v>2.5105778698756177E-2</v>
      </c>
      <c r="U20" s="2204" t="s">
        <v>997</v>
      </c>
      <c r="V20" s="2198">
        <f>3530.4*1.2</f>
        <v>4236.4799999999996</v>
      </c>
      <c r="W20" s="2198"/>
      <c r="X20" s="2229">
        <f t="shared" si="9"/>
        <v>4236.4799999999996</v>
      </c>
      <c r="Y20" s="2136">
        <f t="shared" si="10"/>
        <v>3.0840299299451138E-3</v>
      </c>
      <c r="Z20" s="2204"/>
      <c r="AA20" s="2198"/>
      <c r="AB20" s="2198"/>
      <c r="AC20" s="2229">
        <f t="shared" si="11"/>
        <v>0</v>
      </c>
      <c r="AD20" s="2136" t="e">
        <f t="shared" si="12"/>
        <v>#DIV/0!</v>
      </c>
      <c r="AE20" s="2234"/>
      <c r="AF20" s="2201"/>
      <c r="AG20" s="2198"/>
      <c r="AH20" s="2229">
        <f t="shared" si="13"/>
        <v>0</v>
      </c>
      <c r="AI20" s="2136">
        <f t="shared" si="14"/>
        <v>0</v>
      </c>
      <c r="AJ20" s="2204"/>
      <c r="AK20" s="2201"/>
      <c r="AL20" s="2198"/>
      <c r="AM20" s="2229">
        <f t="shared" si="15"/>
        <v>0</v>
      </c>
      <c r="AN20" s="2136">
        <f t="shared" si="16"/>
        <v>0</v>
      </c>
      <c r="AO20" s="2204"/>
      <c r="AP20" s="2201"/>
      <c r="AQ20" s="2198"/>
      <c r="AR20" s="2229">
        <f t="shared" si="17"/>
        <v>0</v>
      </c>
      <c r="AS20" s="2136">
        <f t="shared" si="18"/>
        <v>0</v>
      </c>
      <c r="AT20" s="2204"/>
      <c r="AU20" s="2201"/>
      <c r="AV20" s="2198"/>
      <c r="AW20" s="2229">
        <f t="shared" si="19"/>
        <v>0</v>
      </c>
      <c r="AX20" s="2136">
        <f t="shared" si="20"/>
        <v>0</v>
      </c>
      <c r="AY20" s="2204"/>
      <c r="AZ20" s="2201"/>
      <c r="BA20" s="2198"/>
      <c r="BB20" s="2229">
        <f t="shared" si="21"/>
        <v>0</v>
      </c>
      <c r="BC20" s="2136">
        <f t="shared" si="22"/>
        <v>0</v>
      </c>
      <c r="BD20" s="2204"/>
      <c r="BE20" s="2201"/>
      <c r="BF20" s="2198"/>
      <c r="BG20" s="2229">
        <f t="shared" si="23"/>
        <v>0</v>
      </c>
      <c r="BH20" s="2136">
        <f t="shared" si="24"/>
        <v>0</v>
      </c>
      <c r="BI20" s="2204"/>
      <c r="BJ20" s="2198">
        <f t="shared" si="3"/>
        <v>63315.781999999992</v>
      </c>
      <c r="BK20" s="2198">
        <f t="shared" si="3"/>
        <v>0</v>
      </c>
      <c r="BL20" s="2229">
        <f t="shared" si="4"/>
        <v>63315.781999999992</v>
      </c>
      <c r="BM20" s="2136">
        <f t="shared" si="5"/>
        <v>1.1198747700393941E-2</v>
      </c>
      <c r="BN20" s="1449"/>
      <c r="BO20" s="2205">
        <f t="shared" si="25"/>
        <v>39770.218000000023</v>
      </c>
      <c r="BP20" s="2230"/>
      <c r="BQ20" s="2217">
        <v>38494.160000000003</v>
      </c>
      <c r="BR20" s="2207">
        <f t="shared" si="6"/>
        <v>24821.621999999988</v>
      </c>
      <c r="BS20" s="2208"/>
      <c r="BT20" s="2208"/>
    </row>
    <row r="21" spans="1:72" s="2209" customFormat="1" ht="15" customHeight="1" x14ac:dyDescent="0.25">
      <c r="A21" s="2210"/>
      <c r="B21" s="2235" t="s">
        <v>58</v>
      </c>
      <c r="C21" s="2244"/>
      <c r="D21" s="2236"/>
      <c r="E21" s="2197">
        <f t="shared" si="1"/>
        <v>0</v>
      </c>
      <c r="F21" s="1992" t="e">
        <f t="shared" si="0"/>
        <v>#DIV/0!</v>
      </c>
      <c r="G21" s="2198">
        <v>655629.19999999995</v>
      </c>
      <c r="H21" s="2198"/>
      <c r="I21" s="2229">
        <f t="shared" si="7"/>
        <v>655629.19999999995</v>
      </c>
      <c r="J21" s="2136">
        <f t="shared" si="26"/>
        <v>0.27860995384885479</v>
      </c>
      <c r="K21" s="2204"/>
      <c r="L21" s="2198">
        <v>0</v>
      </c>
      <c r="M21" s="2198">
        <v>0</v>
      </c>
      <c r="N21" s="2198">
        <f t="shared" si="2"/>
        <v>0</v>
      </c>
      <c r="O21" s="2136">
        <v>0</v>
      </c>
      <c r="P21" s="1992"/>
      <c r="Q21" s="2198">
        <f>130635.68+263565+105377-0.1</f>
        <v>499577.58</v>
      </c>
      <c r="R21" s="2198"/>
      <c r="S21" s="2229">
        <f t="shared" si="8"/>
        <v>499577.58</v>
      </c>
      <c r="T21" s="2136">
        <f t="shared" si="27"/>
        <v>0.21229574050045752</v>
      </c>
      <c r="U21" s="2204" t="s">
        <v>998</v>
      </c>
      <c r="V21" s="2198">
        <v>61037.52</v>
      </c>
      <c r="W21" s="2198"/>
      <c r="X21" s="2229">
        <f t="shared" si="9"/>
        <v>61037.52</v>
      </c>
      <c r="Y21" s="2136">
        <f t="shared" si="10"/>
        <v>4.443347744580961E-2</v>
      </c>
      <c r="Z21" s="2204" t="s">
        <v>1038</v>
      </c>
      <c r="AA21" s="2198"/>
      <c r="AB21" s="2198"/>
      <c r="AC21" s="2229">
        <f t="shared" si="11"/>
        <v>0</v>
      </c>
      <c r="AD21" s="2136" t="e">
        <f t="shared" si="12"/>
        <v>#DIV/0!</v>
      </c>
      <c r="AE21" s="2234"/>
      <c r="AF21" s="2201"/>
      <c r="AG21" s="2198"/>
      <c r="AH21" s="2229">
        <f t="shared" si="13"/>
        <v>0</v>
      </c>
      <c r="AI21" s="2136">
        <f t="shared" si="14"/>
        <v>0</v>
      </c>
      <c r="AJ21" s="2204"/>
      <c r="AK21" s="2201"/>
      <c r="AL21" s="2198"/>
      <c r="AM21" s="2229">
        <f t="shared" si="15"/>
        <v>0</v>
      </c>
      <c r="AN21" s="2136">
        <f t="shared" si="16"/>
        <v>0</v>
      </c>
      <c r="AO21" s="2204"/>
      <c r="AP21" s="2201"/>
      <c r="AQ21" s="2198"/>
      <c r="AR21" s="2229">
        <f t="shared" si="17"/>
        <v>0</v>
      </c>
      <c r="AS21" s="2136">
        <f t="shared" si="18"/>
        <v>0</v>
      </c>
      <c r="AT21" s="2204"/>
      <c r="AU21" s="2201"/>
      <c r="AV21" s="2198"/>
      <c r="AW21" s="2229">
        <f t="shared" si="19"/>
        <v>0</v>
      </c>
      <c r="AX21" s="2136">
        <f t="shared" si="20"/>
        <v>0</v>
      </c>
      <c r="AY21" s="2204"/>
      <c r="AZ21" s="2201"/>
      <c r="BA21" s="2198"/>
      <c r="BB21" s="2229">
        <f t="shared" si="21"/>
        <v>0</v>
      </c>
      <c r="BC21" s="2136">
        <f t="shared" si="22"/>
        <v>0</v>
      </c>
      <c r="BD21" s="2204"/>
      <c r="BE21" s="2201"/>
      <c r="BF21" s="2198"/>
      <c r="BG21" s="2229">
        <f t="shared" si="23"/>
        <v>0</v>
      </c>
      <c r="BH21" s="2136">
        <f t="shared" si="24"/>
        <v>0</v>
      </c>
      <c r="BI21" s="2204"/>
      <c r="BJ21" s="2198">
        <f t="shared" si="3"/>
        <v>560615.1</v>
      </c>
      <c r="BK21" s="2198">
        <f t="shared" si="3"/>
        <v>0</v>
      </c>
      <c r="BL21" s="2229">
        <f t="shared" si="4"/>
        <v>560615.1</v>
      </c>
      <c r="BM21" s="2136">
        <f t="shared" si="5"/>
        <v>9.915674834326646E-2</v>
      </c>
      <c r="BN21" s="1449"/>
      <c r="BO21" s="2205">
        <f t="shared" si="25"/>
        <v>95014.099999999977</v>
      </c>
      <c r="BP21" s="2230"/>
      <c r="BQ21" s="2206">
        <v>560615.1</v>
      </c>
      <c r="BR21" s="2207">
        <f t="shared" si="6"/>
        <v>0</v>
      </c>
      <c r="BS21" s="2208"/>
      <c r="BT21" s="2208"/>
    </row>
    <row r="22" spans="1:72" s="2209" customFormat="1" ht="15" customHeight="1" x14ac:dyDescent="0.25">
      <c r="A22" s="2210"/>
      <c r="B22" s="2235" t="s">
        <v>621</v>
      </c>
      <c r="C22" s="2244"/>
      <c r="D22" s="2236"/>
      <c r="E22" s="2197"/>
      <c r="F22" s="1992"/>
      <c r="G22" s="2198"/>
      <c r="H22" s="2198"/>
      <c r="I22" s="2229">
        <f t="shared" si="7"/>
        <v>0</v>
      </c>
      <c r="J22" s="2136">
        <f t="shared" si="26"/>
        <v>0</v>
      </c>
      <c r="K22" s="2204"/>
      <c r="L22" s="2198">
        <v>0</v>
      </c>
      <c r="M22" s="2198">
        <v>0</v>
      </c>
      <c r="N22" s="2198">
        <f t="shared" si="2"/>
        <v>0</v>
      </c>
      <c r="O22" s="2136">
        <v>0</v>
      </c>
      <c r="P22" s="1992"/>
      <c r="Q22" s="2198">
        <f>1150*1.2+4800+21900+BJ96</f>
        <v>35395</v>
      </c>
      <c r="R22" s="2198"/>
      <c r="S22" s="2229">
        <f t="shared" si="8"/>
        <v>35395</v>
      </c>
      <c r="T22" s="2136">
        <f t="shared" si="27"/>
        <v>1.5041122812224068E-2</v>
      </c>
      <c r="U22" s="2204" t="s">
        <v>960</v>
      </c>
      <c r="V22" s="2198">
        <f>24900+8000*1.2</f>
        <v>34500</v>
      </c>
      <c r="W22" s="2198"/>
      <c r="X22" s="2229">
        <f t="shared" si="9"/>
        <v>34500</v>
      </c>
      <c r="Y22" s="2136">
        <f t="shared" si="10"/>
        <v>2.511496161509235E-2</v>
      </c>
      <c r="Z22" s="2204" t="s">
        <v>1043</v>
      </c>
      <c r="AA22" s="2198"/>
      <c r="AB22" s="2198"/>
      <c r="AC22" s="2229">
        <f t="shared" si="11"/>
        <v>0</v>
      </c>
      <c r="AD22" s="2136" t="e">
        <f t="shared" si="12"/>
        <v>#DIV/0!</v>
      </c>
      <c r="AE22" s="2234"/>
      <c r="AF22" s="2201"/>
      <c r="AG22" s="2198"/>
      <c r="AH22" s="2229">
        <f t="shared" si="13"/>
        <v>0</v>
      </c>
      <c r="AI22" s="2136">
        <f t="shared" si="14"/>
        <v>0</v>
      </c>
      <c r="AJ22" s="2204"/>
      <c r="AK22" s="2201"/>
      <c r="AL22" s="2198"/>
      <c r="AM22" s="2229">
        <f t="shared" si="15"/>
        <v>0</v>
      </c>
      <c r="AN22" s="2136">
        <f t="shared" si="16"/>
        <v>0</v>
      </c>
      <c r="AO22" s="2204"/>
      <c r="AP22" s="2201"/>
      <c r="AQ22" s="2198"/>
      <c r="AR22" s="2229">
        <f t="shared" si="17"/>
        <v>0</v>
      </c>
      <c r="AS22" s="2136">
        <f t="shared" si="18"/>
        <v>0</v>
      </c>
      <c r="AT22" s="2204"/>
      <c r="AU22" s="2201"/>
      <c r="AV22" s="2198"/>
      <c r="AW22" s="2229">
        <f t="shared" si="19"/>
        <v>0</v>
      </c>
      <c r="AX22" s="2136">
        <f t="shared" si="20"/>
        <v>0</v>
      </c>
      <c r="AY22" s="2204"/>
      <c r="AZ22" s="2201"/>
      <c r="BA22" s="2198"/>
      <c r="BB22" s="2229">
        <f t="shared" si="21"/>
        <v>0</v>
      </c>
      <c r="BC22" s="2136">
        <f t="shared" si="22"/>
        <v>0</v>
      </c>
      <c r="BD22" s="2204"/>
      <c r="BE22" s="2201"/>
      <c r="BF22" s="2198"/>
      <c r="BG22" s="2229">
        <f t="shared" si="23"/>
        <v>0</v>
      </c>
      <c r="BH22" s="2136">
        <f t="shared" si="24"/>
        <v>0</v>
      </c>
      <c r="BI22" s="2204"/>
      <c r="BJ22" s="2198">
        <f t="shared" si="3"/>
        <v>69895</v>
      </c>
      <c r="BK22" s="2198">
        <f t="shared" si="3"/>
        <v>0</v>
      </c>
      <c r="BL22" s="2229">
        <f t="shared" si="4"/>
        <v>69895</v>
      </c>
      <c r="BM22" s="2136">
        <f t="shared" si="5"/>
        <v>1.2362422855632339E-2</v>
      </c>
      <c r="BN22" s="1449"/>
      <c r="BO22" s="2205">
        <f t="shared" si="25"/>
        <v>-69895</v>
      </c>
      <c r="BP22" s="2230"/>
      <c r="BQ22" s="2206">
        <v>73747</v>
      </c>
      <c r="BR22" s="2243">
        <f t="shared" si="6"/>
        <v>-3852</v>
      </c>
      <c r="BS22" s="2208"/>
      <c r="BT22" s="2208"/>
    </row>
    <row r="23" spans="1:72" s="2209" customFormat="1" ht="15" customHeight="1" x14ac:dyDescent="0.25">
      <c r="A23" s="2210"/>
      <c r="B23" s="2235" t="s">
        <v>630</v>
      </c>
      <c r="C23" s="2244"/>
      <c r="D23" s="2236"/>
      <c r="E23" s="2197"/>
      <c r="F23" s="1992"/>
      <c r="G23" s="2198"/>
      <c r="H23" s="2198"/>
      <c r="I23" s="2229">
        <f t="shared" si="7"/>
        <v>0</v>
      </c>
      <c r="J23" s="2136">
        <f t="shared" si="26"/>
        <v>0</v>
      </c>
      <c r="K23" s="2204"/>
      <c r="L23" s="2198">
        <v>0</v>
      </c>
      <c r="M23" s="2198">
        <v>0</v>
      </c>
      <c r="N23" s="2198">
        <f t="shared" si="2"/>
        <v>0</v>
      </c>
      <c r="O23" s="2136">
        <v>0</v>
      </c>
      <c r="P23" s="1992"/>
      <c r="Q23" s="2198"/>
      <c r="R23" s="2198"/>
      <c r="S23" s="2229">
        <f t="shared" si="8"/>
        <v>0</v>
      </c>
      <c r="T23" s="2136">
        <f t="shared" si="27"/>
        <v>0</v>
      </c>
      <c r="U23" s="2204"/>
      <c r="V23" s="2198"/>
      <c r="W23" s="2198"/>
      <c r="X23" s="2229">
        <f t="shared" si="9"/>
        <v>0</v>
      </c>
      <c r="Y23" s="2136">
        <f t="shared" si="10"/>
        <v>0</v>
      </c>
      <c r="Z23" s="2204"/>
      <c r="AA23" s="2198"/>
      <c r="AB23" s="2198"/>
      <c r="AC23" s="2229">
        <f t="shared" si="11"/>
        <v>0</v>
      </c>
      <c r="AD23" s="2136" t="e">
        <f t="shared" si="12"/>
        <v>#DIV/0!</v>
      </c>
      <c r="AE23" s="2234"/>
      <c r="AF23" s="2201"/>
      <c r="AG23" s="2198"/>
      <c r="AH23" s="2229">
        <f t="shared" si="13"/>
        <v>0</v>
      </c>
      <c r="AI23" s="2136">
        <f t="shared" si="14"/>
        <v>0</v>
      </c>
      <c r="AJ23" s="2204"/>
      <c r="AK23" s="2201"/>
      <c r="AL23" s="2198"/>
      <c r="AM23" s="2229">
        <f t="shared" si="15"/>
        <v>0</v>
      </c>
      <c r="AN23" s="2136">
        <f t="shared" si="16"/>
        <v>0</v>
      </c>
      <c r="AO23" s="2204"/>
      <c r="AP23" s="2201"/>
      <c r="AQ23" s="2198"/>
      <c r="AR23" s="2229">
        <f t="shared" si="17"/>
        <v>0</v>
      </c>
      <c r="AS23" s="2136">
        <f t="shared" si="18"/>
        <v>0</v>
      </c>
      <c r="AT23" s="2204"/>
      <c r="AU23" s="2201"/>
      <c r="AV23" s="2198"/>
      <c r="AW23" s="2229">
        <f t="shared" si="19"/>
        <v>0</v>
      </c>
      <c r="AX23" s="2136">
        <f t="shared" si="20"/>
        <v>0</v>
      </c>
      <c r="AY23" s="2204"/>
      <c r="AZ23" s="2201"/>
      <c r="BA23" s="2198"/>
      <c r="BB23" s="2229">
        <f t="shared" si="21"/>
        <v>0</v>
      </c>
      <c r="BC23" s="2136">
        <f t="shared" si="22"/>
        <v>0</v>
      </c>
      <c r="BD23" s="2204"/>
      <c r="BE23" s="2201"/>
      <c r="BF23" s="2198"/>
      <c r="BG23" s="2229">
        <f t="shared" si="23"/>
        <v>0</v>
      </c>
      <c r="BH23" s="2136">
        <f t="shared" si="24"/>
        <v>0</v>
      </c>
      <c r="BI23" s="2204"/>
      <c r="BJ23" s="2198">
        <f t="shared" si="3"/>
        <v>0</v>
      </c>
      <c r="BK23" s="2198">
        <f t="shared" si="3"/>
        <v>0</v>
      </c>
      <c r="BL23" s="2229">
        <f t="shared" si="4"/>
        <v>0</v>
      </c>
      <c r="BM23" s="2136">
        <f t="shared" si="5"/>
        <v>0</v>
      </c>
      <c r="BN23" s="1449"/>
      <c r="BO23" s="2205">
        <f t="shared" si="25"/>
        <v>0</v>
      </c>
      <c r="BP23" s="2230"/>
      <c r="BQ23" s="2169"/>
      <c r="BR23" s="2245"/>
      <c r="BS23" s="2208"/>
      <c r="BT23" s="2208"/>
    </row>
    <row r="24" spans="1:72" s="2209" customFormat="1" ht="15" customHeight="1" x14ac:dyDescent="0.25">
      <c r="A24" s="2210"/>
      <c r="B24" s="2235" t="s">
        <v>23</v>
      </c>
      <c r="C24" s="2244"/>
      <c r="D24" s="2236"/>
      <c r="E24" s="2197">
        <f t="shared" si="1"/>
        <v>0</v>
      </c>
      <c r="F24" s="1992" t="e">
        <f t="shared" ref="F24:F33" si="28">E24/$E$89</f>
        <v>#DIV/0!</v>
      </c>
      <c r="G24" s="2198">
        <v>201000</v>
      </c>
      <c r="H24" s="2198">
        <v>0</v>
      </c>
      <c r="I24" s="2229">
        <f t="shared" si="7"/>
        <v>201000</v>
      </c>
      <c r="J24" s="2136">
        <f t="shared" si="26"/>
        <v>8.5415049731799336E-2</v>
      </c>
      <c r="K24" s="2204"/>
      <c r="L24" s="2198">
        <v>0</v>
      </c>
      <c r="M24" s="2198">
        <v>0</v>
      </c>
      <c r="N24" s="2198">
        <f t="shared" si="2"/>
        <v>0</v>
      </c>
      <c r="O24" s="2136">
        <v>0</v>
      </c>
      <c r="P24" s="1992"/>
      <c r="Q24" s="2198">
        <f>63750*1.2+3000*1.2+63333.33*1.2+21666.66*1.2</f>
        <v>182099.98799999998</v>
      </c>
      <c r="R24" s="2198">
        <v>350</v>
      </c>
      <c r="S24" s="2229">
        <f t="shared" si="8"/>
        <v>182449.98799999998</v>
      </c>
      <c r="T24" s="2136">
        <f t="shared" si="27"/>
        <v>7.7532212928289504E-2</v>
      </c>
      <c r="U24" s="2204" t="s">
        <v>996</v>
      </c>
      <c r="V24" s="2198">
        <f>18166.66*1.2</f>
        <v>21799.991999999998</v>
      </c>
      <c r="W24" s="2198"/>
      <c r="X24" s="2229">
        <f t="shared" si="9"/>
        <v>21799.991999999998</v>
      </c>
      <c r="Y24" s="2136">
        <f t="shared" si="10"/>
        <v>1.58697380373716E-2</v>
      </c>
      <c r="Z24" s="2204"/>
      <c r="AA24" s="2198"/>
      <c r="AB24" s="2198"/>
      <c r="AC24" s="2229">
        <f t="shared" si="11"/>
        <v>0</v>
      </c>
      <c r="AD24" s="2136" t="e">
        <f t="shared" si="12"/>
        <v>#DIV/0!</v>
      </c>
      <c r="AE24" s="2234"/>
      <c r="AF24" s="2201"/>
      <c r="AG24" s="2198"/>
      <c r="AH24" s="2229">
        <f t="shared" si="13"/>
        <v>0</v>
      </c>
      <c r="AI24" s="2136">
        <f t="shared" si="14"/>
        <v>0</v>
      </c>
      <c r="AJ24" s="2204"/>
      <c r="AK24" s="2201"/>
      <c r="AL24" s="2198"/>
      <c r="AM24" s="2229">
        <f t="shared" si="15"/>
        <v>0</v>
      </c>
      <c r="AN24" s="2136">
        <f t="shared" si="16"/>
        <v>0</v>
      </c>
      <c r="AO24" s="2198"/>
      <c r="AP24" s="2201"/>
      <c r="AQ24" s="2198"/>
      <c r="AR24" s="2229">
        <f t="shared" si="17"/>
        <v>0</v>
      </c>
      <c r="AS24" s="2136">
        <f t="shared" si="18"/>
        <v>0</v>
      </c>
      <c r="AT24" s="2198"/>
      <c r="AU24" s="2201"/>
      <c r="AV24" s="2198"/>
      <c r="AW24" s="2229">
        <f t="shared" si="19"/>
        <v>0</v>
      </c>
      <c r="AX24" s="2136">
        <f t="shared" si="20"/>
        <v>0</v>
      </c>
      <c r="AY24" s="2198"/>
      <c r="AZ24" s="2201"/>
      <c r="BA24" s="2198"/>
      <c r="BB24" s="2229">
        <f t="shared" si="21"/>
        <v>0</v>
      </c>
      <c r="BC24" s="2136">
        <f t="shared" si="22"/>
        <v>0</v>
      </c>
      <c r="BD24" s="2198"/>
      <c r="BE24" s="2201"/>
      <c r="BF24" s="2198"/>
      <c r="BG24" s="2229">
        <f t="shared" si="23"/>
        <v>0</v>
      </c>
      <c r="BH24" s="2136">
        <f t="shared" si="24"/>
        <v>0</v>
      </c>
      <c r="BI24" s="2198"/>
      <c r="BJ24" s="2198">
        <f t="shared" si="3"/>
        <v>203899.97999999998</v>
      </c>
      <c r="BK24" s="2198">
        <f t="shared" si="3"/>
        <v>350</v>
      </c>
      <c r="BL24" s="2229">
        <f t="shared" si="4"/>
        <v>204249.97999999998</v>
      </c>
      <c r="BM24" s="2136">
        <f t="shared" si="5"/>
        <v>3.612596925408753E-2</v>
      </c>
      <c r="BN24" s="1449"/>
      <c r="BO24" s="2205">
        <f t="shared" si="25"/>
        <v>-3249.9799999999814</v>
      </c>
      <c r="BP24" s="2230"/>
      <c r="BQ24" s="2206">
        <v>138683.34</v>
      </c>
      <c r="BR24" s="2243">
        <f t="shared" ref="BR24:BR31" si="29">BL24-BQ24</f>
        <v>65566.639999999985</v>
      </c>
      <c r="BS24" s="2208"/>
      <c r="BT24" s="2208"/>
    </row>
    <row r="25" spans="1:72" s="2209" customFormat="1" ht="15" customHeight="1" x14ac:dyDescent="0.25">
      <c r="A25" s="2210"/>
      <c r="B25" s="2235" t="s">
        <v>24</v>
      </c>
      <c r="C25" s="2244"/>
      <c r="D25" s="2236"/>
      <c r="E25" s="2197">
        <f t="shared" si="1"/>
        <v>0</v>
      </c>
      <c r="F25" s="1992" t="e">
        <f t="shared" si="28"/>
        <v>#DIV/0!</v>
      </c>
      <c r="G25" s="2198">
        <v>146470.42899999997</v>
      </c>
      <c r="H25" s="2198">
        <v>0</v>
      </c>
      <c r="I25" s="2229">
        <f t="shared" si="7"/>
        <v>146470.42899999997</v>
      </c>
      <c r="J25" s="2136">
        <f t="shared" si="26"/>
        <v>6.2242681478970059E-2</v>
      </c>
      <c r="K25" s="2204"/>
      <c r="L25" s="2198">
        <v>0</v>
      </c>
      <c r="M25" s="2198">
        <v>364</v>
      </c>
      <c r="N25" s="2198">
        <f t="shared" si="2"/>
        <v>364</v>
      </c>
      <c r="O25" s="2136">
        <v>8.4845375311015788E-4</v>
      </c>
      <c r="P25" s="1992"/>
      <c r="Q25" s="2198">
        <f>21687.3*1.2</f>
        <v>26024.76</v>
      </c>
      <c r="R25" s="2198">
        <f>1449+160</f>
        <v>1609</v>
      </c>
      <c r="S25" s="2229">
        <f t="shared" si="8"/>
        <v>27633.759999999998</v>
      </c>
      <c r="T25" s="2136">
        <f t="shared" si="27"/>
        <v>1.1742980023266703E-2</v>
      </c>
      <c r="U25" s="2204"/>
      <c r="V25" s="2198"/>
      <c r="W25" s="2198">
        <v>732</v>
      </c>
      <c r="X25" s="2229">
        <f t="shared" si="9"/>
        <v>732</v>
      </c>
      <c r="Y25" s="2136">
        <f t="shared" si="10"/>
        <v>5.3287396818108988E-4</v>
      </c>
      <c r="Z25" s="2204"/>
      <c r="AA25" s="2198"/>
      <c r="AB25" s="2198"/>
      <c r="AC25" s="2229">
        <f t="shared" si="11"/>
        <v>0</v>
      </c>
      <c r="AD25" s="2136" t="e">
        <f t="shared" si="12"/>
        <v>#DIV/0!</v>
      </c>
      <c r="AE25" s="2234"/>
      <c r="AF25" s="2201"/>
      <c r="AG25" s="2198"/>
      <c r="AH25" s="2229">
        <f t="shared" si="13"/>
        <v>0</v>
      </c>
      <c r="AI25" s="2136">
        <f t="shared" si="14"/>
        <v>0</v>
      </c>
      <c r="AJ25" s="2204"/>
      <c r="AK25" s="2201"/>
      <c r="AL25" s="2198"/>
      <c r="AM25" s="2229">
        <f t="shared" si="15"/>
        <v>0</v>
      </c>
      <c r="AN25" s="2136">
        <f t="shared" si="16"/>
        <v>0</v>
      </c>
      <c r="AO25" s="2204"/>
      <c r="AP25" s="2201"/>
      <c r="AQ25" s="2198"/>
      <c r="AR25" s="2229">
        <f t="shared" si="17"/>
        <v>0</v>
      </c>
      <c r="AS25" s="2136">
        <f t="shared" si="18"/>
        <v>0</v>
      </c>
      <c r="AT25" s="2204"/>
      <c r="AU25" s="2201"/>
      <c r="AV25" s="2198"/>
      <c r="AW25" s="2229">
        <f t="shared" si="19"/>
        <v>0</v>
      </c>
      <c r="AX25" s="2136">
        <f t="shared" si="20"/>
        <v>0</v>
      </c>
      <c r="AY25" s="2204"/>
      <c r="AZ25" s="2201"/>
      <c r="BA25" s="2198"/>
      <c r="BB25" s="2229">
        <f t="shared" si="21"/>
        <v>0</v>
      </c>
      <c r="BC25" s="2136">
        <f t="shared" si="22"/>
        <v>0</v>
      </c>
      <c r="BD25" s="2204"/>
      <c r="BE25" s="2201">
        <f>47330.94*1.2</f>
        <v>56797.128000000004</v>
      </c>
      <c r="BF25" s="2198"/>
      <c r="BG25" s="2229">
        <f t="shared" si="23"/>
        <v>56797.128000000004</v>
      </c>
      <c r="BH25" s="2136">
        <f t="shared" si="24"/>
        <v>0.10887978716128367</v>
      </c>
      <c r="BI25" s="2204"/>
      <c r="BJ25" s="2198">
        <f t="shared" si="3"/>
        <v>82821.888000000006</v>
      </c>
      <c r="BK25" s="2198">
        <f t="shared" si="3"/>
        <v>2705</v>
      </c>
      <c r="BL25" s="2229">
        <f t="shared" si="4"/>
        <v>85526.888000000006</v>
      </c>
      <c r="BM25" s="2136">
        <f t="shared" si="5"/>
        <v>1.5127255955108481E-2</v>
      </c>
      <c r="BN25" s="1449"/>
      <c r="BO25" s="2205">
        <f t="shared" si="25"/>
        <v>60943.540999999968</v>
      </c>
      <c r="BP25" s="2230"/>
      <c r="BQ25" s="2206">
        <v>368294.83999999997</v>
      </c>
      <c r="BR25" s="2207">
        <f t="shared" si="29"/>
        <v>-282767.95199999993</v>
      </c>
      <c r="BS25" s="2208"/>
      <c r="BT25" s="2208"/>
    </row>
    <row r="26" spans="1:72" s="2209" customFormat="1" ht="43.2" customHeight="1" x14ac:dyDescent="0.25">
      <c r="A26" s="2210"/>
      <c r="B26" s="2235" t="s">
        <v>45</v>
      </c>
      <c r="C26" s="2244"/>
      <c r="D26" s="2236"/>
      <c r="E26" s="2197">
        <f t="shared" si="1"/>
        <v>0</v>
      </c>
      <c r="F26" s="1992" t="e">
        <f t="shared" si="28"/>
        <v>#DIV/0!</v>
      </c>
      <c r="G26" s="2198">
        <v>6067855.6212373506</v>
      </c>
      <c r="H26" s="2198">
        <v>0</v>
      </c>
      <c r="I26" s="2229">
        <f t="shared" si="7"/>
        <v>6067855.6212373506</v>
      </c>
      <c r="J26" s="2136">
        <f t="shared" si="26"/>
        <v>2.5785382569819228</v>
      </c>
      <c r="K26" s="2204"/>
      <c r="L26" s="2198">
        <v>0</v>
      </c>
      <c r="M26" s="2198">
        <v>0</v>
      </c>
      <c r="N26" s="2198">
        <f t="shared" si="2"/>
        <v>0</v>
      </c>
      <c r="O26" s="2136">
        <v>0</v>
      </c>
      <c r="P26" s="1992"/>
      <c r="Q26" s="2198">
        <f>323.9*1.2+690216.99*1.2+BJ98+BJ99</f>
        <v>858513.94800000009</v>
      </c>
      <c r="R26" s="2198"/>
      <c r="S26" s="2229">
        <f t="shared" si="8"/>
        <v>858513.94800000009</v>
      </c>
      <c r="T26" s="2136">
        <f t="shared" si="27"/>
        <v>0.36482592817842485</v>
      </c>
      <c r="U26" s="2204"/>
      <c r="V26" s="2198">
        <f>288537.85*1.2+499697.6156</f>
        <v>845943.03560000006</v>
      </c>
      <c r="W26" s="2198"/>
      <c r="X26" s="2229">
        <f t="shared" si="9"/>
        <v>845943.03560000006</v>
      </c>
      <c r="Y26" s="2136">
        <f t="shared" si="10"/>
        <v>0.61582106862749864</v>
      </c>
      <c r="Z26" s="2204"/>
      <c r="AA26" s="2198"/>
      <c r="AB26" s="2198"/>
      <c r="AC26" s="2229">
        <f t="shared" si="11"/>
        <v>0</v>
      </c>
      <c r="AD26" s="2136" t="e">
        <f t="shared" si="12"/>
        <v>#DIV/0!</v>
      </c>
      <c r="AE26" s="2234"/>
      <c r="AF26" s="2201"/>
      <c r="AG26" s="2198"/>
      <c r="AH26" s="2229">
        <f t="shared" si="13"/>
        <v>0</v>
      </c>
      <c r="AI26" s="2136">
        <f t="shared" si="14"/>
        <v>0</v>
      </c>
      <c r="AJ26" s="2204"/>
      <c r="AK26" s="2201"/>
      <c r="AL26" s="2198"/>
      <c r="AM26" s="2229">
        <f t="shared" si="15"/>
        <v>0</v>
      </c>
      <c r="AN26" s="2136">
        <f t="shared" si="16"/>
        <v>0</v>
      </c>
      <c r="AO26" s="2204"/>
      <c r="AP26" s="2246">
        <f>523685.832*1.2</f>
        <v>628422.99839999992</v>
      </c>
      <c r="AQ26" s="2198"/>
      <c r="AR26" s="2229">
        <f t="shared" si="17"/>
        <v>628422.99839999992</v>
      </c>
      <c r="AS26" s="2136">
        <f t="shared" si="18"/>
        <v>3471.9502674033147</v>
      </c>
      <c r="AT26" s="2203" t="s">
        <v>1370</v>
      </c>
      <c r="AU26" s="2201"/>
      <c r="AV26" s="2198"/>
      <c r="AW26" s="2229">
        <f t="shared" si="19"/>
        <v>0</v>
      </c>
      <c r="AX26" s="2136">
        <f t="shared" si="20"/>
        <v>0</v>
      </c>
      <c r="AY26" s="2204"/>
      <c r="AZ26" s="2201"/>
      <c r="BA26" s="2198"/>
      <c r="BB26" s="2229">
        <f t="shared" si="21"/>
        <v>0</v>
      </c>
      <c r="BC26" s="2136">
        <f t="shared" si="22"/>
        <v>0</v>
      </c>
      <c r="BD26" s="2204"/>
      <c r="BE26" s="2201">
        <f>223489.25*1.2</f>
        <v>268187.09999999998</v>
      </c>
      <c r="BF26" s="2198"/>
      <c r="BG26" s="2229">
        <f t="shared" si="23"/>
        <v>268187.09999999998</v>
      </c>
      <c r="BH26" s="2136">
        <f t="shared" si="24"/>
        <v>0.51411322008045712</v>
      </c>
      <c r="BI26" s="2204"/>
      <c r="BJ26" s="2198">
        <f t="shared" si="3"/>
        <v>2601067.0819999999</v>
      </c>
      <c r="BK26" s="2198">
        <f t="shared" si="3"/>
        <v>0</v>
      </c>
      <c r="BL26" s="2229">
        <f t="shared" si="4"/>
        <v>2601067.0819999999</v>
      </c>
      <c r="BM26" s="2136">
        <f t="shared" si="5"/>
        <v>0.46005424055439892</v>
      </c>
      <c r="BN26" s="1449"/>
      <c r="BO26" s="2205">
        <f t="shared" si="25"/>
        <v>3466788.5392373507</v>
      </c>
      <c r="BP26" s="2230"/>
      <c r="BQ26" s="2206">
        <v>2298816.5700000003</v>
      </c>
      <c r="BR26" s="2207">
        <f t="shared" si="29"/>
        <v>302250.51199999964</v>
      </c>
      <c r="BS26" s="2247"/>
      <c r="BT26" s="2208"/>
    </row>
    <row r="27" spans="1:72" s="2209" customFormat="1" ht="15" customHeight="1" x14ac:dyDescent="0.25">
      <c r="A27" s="2210"/>
      <c r="B27" s="2235" t="s">
        <v>25</v>
      </c>
      <c r="C27" s="2244"/>
      <c r="D27" s="2236"/>
      <c r="E27" s="2197">
        <f t="shared" si="1"/>
        <v>0</v>
      </c>
      <c r="F27" s="1992" t="e">
        <f t="shared" si="28"/>
        <v>#DIV/0!</v>
      </c>
      <c r="G27" s="2198">
        <v>0</v>
      </c>
      <c r="H27" s="2198">
        <v>6161.5833992564994</v>
      </c>
      <c r="I27" s="2229">
        <f t="shared" si="7"/>
        <v>6161.5833992564994</v>
      </c>
      <c r="J27" s="2136">
        <f t="shared" si="26"/>
        <v>2.6183679227568314E-3</v>
      </c>
      <c r="K27" s="2204"/>
      <c r="L27" s="2198">
        <v>0</v>
      </c>
      <c r="M27" s="2198">
        <v>2605</v>
      </c>
      <c r="N27" s="2198">
        <f t="shared" si="2"/>
        <v>2605</v>
      </c>
      <c r="O27" s="2136">
        <v>6.0720385353075857E-3</v>
      </c>
      <c r="P27" s="1992"/>
      <c r="Q27" s="2198"/>
      <c r="R27" s="2198">
        <v>540</v>
      </c>
      <c r="S27" s="2229">
        <f t="shared" si="8"/>
        <v>540</v>
      </c>
      <c r="T27" s="2136">
        <f t="shared" si="27"/>
        <v>2.2947326793617732E-4</v>
      </c>
      <c r="U27" s="2204" t="s">
        <v>983</v>
      </c>
      <c r="V27" s="2198"/>
      <c r="W27" s="2198"/>
      <c r="X27" s="2229">
        <f t="shared" si="9"/>
        <v>0</v>
      </c>
      <c r="Y27" s="2136">
        <f t="shared" si="10"/>
        <v>0</v>
      </c>
      <c r="Z27" s="2204"/>
      <c r="AA27" s="2198"/>
      <c r="AB27" s="2198"/>
      <c r="AC27" s="2229">
        <f t="shared" si="11"/>
        <v>0</v>
      </c>
      <c r="AD27" s="2136" t="e">
        <f t="shared" si="12"/>
        <v>#DIV/0!</v>
      </c>
      <c r="AE27" s="2234"/>
      <c r="AF27" s="2201"/>
      <c r="AG27" s="2198"/>
      <c r="AH27" s="2229">
        <f t="shared" si="13"/>
        <v>0</v>
      </c>
      <c r="AI27" s="2136">
        <f t="shared" si="14"/>
        <v>0</v>
      </c>
      <c r="AJ27" s="2204"/>
      <c r="AK27" s="2201"/>
      <c r="AL27" s="2198"/>
      <c r="AM27" s="2229">
        <f t="shared" si="15"/>
        <v>0</v>
      </c>
      <c r="AN27" s="2136">
        <f t="shared" si="16"/>
        <v>0</v>
      </c>
      <c r="AO27" s="2204"/>
      <c r="AP27" s="2201"/>
      <c r="AQ27" s="2198"/>
      <c r="AR27" s="2229">
        <f t="shared" si="17"/>
        <v>0</v>
      </c>
      <c r="AS27" s="2136">
        <f t="shared" si="18"/>
        <v>0</v>
      </c>
      <c r="AT27" s="2204"/>
      <c r="AU27" s="2201"/>
      <c r="AV27" s="2198"/>
      <c r="AW27" s="2229">
        <f t="shared" si="19"/>
        <v>0</v>
      </c>
      <c r="AX27" s="2136">
        <f t="shared" si="20"/>
        <v>0</v>
      </c>
      <c r="AY27" s="2204"/>
      <c r="AZ27" s="2201"/>
      <c r="BA27" s="2198"/>
      <c r="BB27" s="2229">
        <f t="shared" si="21"/>
        <v>0</v>
      </c>
      <c r="BC27" s="2136">
        <f t="shared" si="22"/>
        <v>0</v>
      </c>
      <c r="BD27" s="2204"/>
      <c r="BE27" s="2201"/>
      <c r="BF27" s="2198"/>
      <c r="BG27" s="2229">
        <f t="shared" si="23"/>
        <v>0</v>
      </c>
      <c r="BH27" s="2136">
        <f t="shared" si="24"/>
        <v>0</v>
      </c>
      <c r="BI27" s="2204"/>
      <c r="BJ27" s="2198">
        <f t="shared" si="3"/>
        <v>0</v>
      </c>
      <c r="BK27" s="2198">
        <f t="shared" si="3"/>
        <v>3145</v>
      </c>
      <c r="BL27" s="2229">
        <f t="shared" si="4"/>
        <v>3145</v>
      </c>
      <c r="BM27" s="2136">
        <f t="shared" si="5"/>
        <v>5.5626038888280567E-4</v>
      </c>
      <c r="BN27" s="1449"/>
      <c r="BO27" s="2205">
        <f t="shared" si="25"/>
        <v>3016.5833992564994</v>
      </c>
      <c r="BP27" s="2230"/>
      <c r="BQ27" s="2217">
        <v>6758.0399999999991</v>
      </c>
      <c r="BR27" s="2207">
        <f t="shared" si="29"/>
        <v>-3613.0399999999991</v>
      </c>
      <c r="BS27" s="2208"/>
      <c r="BT27" s="2208"/>
    </row>
    <row r="28" spans="1:72" s="2251" customFormat="1" ht="15" customHeight="1" x14ac:dyDescent="0.25">
      <c r="A28" s="2210"/>
      <c r="B28" s="2248" t="s">
        <v>52</v>
      </c>
      <c r="C28" s="2244"/>
      <c r="D28" s="2236"/>
      <c r="E28" s="2197">
        <f t="shared" si="1"/>
        <v>0</v>
      </c>
      <c r="F28" s="1992" t="e">
        <f t="shared" si="28"/>
        <v>#DIV/0!</v>
      </c>
      <c r="G28" s="2198">
        <v>149149.23449999999</v>
      </c>
      <c r="H28" s="2198">
        <v>0</v>
      </c>
      <c r="I28" s="2229">
        <f t="shared" si="7"/>
        <v>149149.23449999999</v>
      </c>
      <c r="J28" s="2136">
        <f t="shared" si="26"/>
        <v>6.3381041205359701E-2</v>
      </c>
      <c r="K28" s="2204"/>
      <c r="L28" s="2198">
        <v>0</v>
      </c>
      <c r="M28" s="2198">
        <v>15311</v>
      </c>
      <c r="N28" s="2198">
        <f t="shared" si="2"/>
        <v>15311</v>
      </c>
      <c r="O28" s="2136">
        <v>3.5688668719422049E-2</v>
      </c>
      <c r="P28" s="1992"/>
      <c r="Q28" s="2198"/>
      <c r="R28" s="2198">
        <f>3955+937</f>
        <v>4892</v>
      </c>
      <c r="S28" s="2229">
        <f t="shared" si="8"/>
        <v>4892</v>
      </c>
      <c r="T28" s="2136">
        <f t="shared" si="27"/>
        <v>2.0788578273032952E-3</v>
      </c>
      <c r="U28" s="2204" t="s">
        <v>984</v>
      </c>
      <c r="V28" s="2198">
        <v>10116.709999999999</v>
      </c>
      <c r="W28" s="2198">
        <v>1369</v>
      </c>
      <c r="X28" s="2229">
        <f t="shared" si="9"/>
        <v>11485.71</v>
      </c>
      <c r="Y28" s="2136">
        <f t="shared" si="10"/>
        <v>8.361251181799487E-3</v>
      </c>
      <c r="Z28" s="2204" t="s">
        <v>1027</v>
      </c>
      <c r="AA28" s="2198"/>
      <c r="AB28" s="2198"/>
      <c r="AC28" s="2229">
        <f t="shared" si="11"/>
        <v>0</v>
      </c>
      <c r="AD28" s="2136" t="e">
        <f t="shared" si="12"/>
        <v>#DIV/0!</v>
      </c>
      <c r="AE28" s="2234"/>
      <c r="AF28" s="2201"/>
      <c r="AG28" s="2198"/>
      <c r="AH28" s="2229">
        <f t="shared" si="13"/>
        <v>0</v>
      </c>
      <c r="AI28" s="2136">
        <f t="shared" si="14"/>
        <v>0</v>
      </c>
      <c r="AJ28" s="2204"/>
      <c r="AK28" s="2201"/>
      <c r="AL28" s="2198"/>
      <c r="AM28" s="2229">
        <f t="shared" si="15"/>
        <v>0</v>
      </c>
      <c r="AN28" s="2136">
        <f t="shared" si="16"/>
        <v>0</v>
      </c>
      <c r="AO28" s="2204"/>
      <c r="AP28" s="2201"/>
      <c r="AQ28" s="2198"/>
      <c r="AR28" s="2229">
        <f t="shared" si="17"/>
        <v>0</v>
      </c>
      <c r="AS28" s="2136">
        <f t="shared" si="18"/>
        <v>0</v>
      </c>
      <c r="AT28" s="2204"/>
      <c r="AU28" s="2201"/>
      <c r="AV28" s="2198"/>
      <c r="AW28" s="2229">
        <f t="shared" si="19"/>
        <v>0</v>
      </c>
      <c r="AX28" s="2136">
        <f t="shared" si="20"/>
        <v>0</v>
      </c>
      <c r="AY28" s="2204"/>
      <c r="AZ28" s="2201"/>
      <c r="BA28" s="2198"/>
      <c r="BB28" s="2229">
        <f t="shared" si="21"/>
        <v>0</v>
      </c>
      <c r="BC28" s="2136">
        <f t="shared" si="22"/>
        <v>0</v>
      </c>
      <c r="BD28" s="2204"/>
      <c r="BE28" s="2201"/>
      <c r="BF28" s="2198"/>
      <c r="BG28" s="2229">
        <f t="shared" si="23"/>
        <v>0</v>
      </c>
      <c r="BH28" s="2136">
        <f t="shared" si="24"/>
        <v>0</v>
      </c>
      <c r="BI28" s="2204"/>
      <c r="BJ28" s="2198">
        <f t="shared" si="3"/>
        <v>10116.709999999999</v>
      </c>
      <c r="BK28" s="2198">
        <f t="shared" si="3"/>
        <v>21572</v>
      </c>
      <c r="BL28" s="2229">
        <f>BJ28+BK28*1</f>
        <v>31688.71</v>
      </c>
      <c r="BM28" s="2136">
        <f t="shared" si="5"/>
        <v>5.6048248482653273E-3</v>
      </c>
      <c r="BN28" s="1449"/>
      <c r="BO28" s="2205">
        <f t="shared" si="25"/>
        <v>117460.5245</v>
      </c>
      <c r="BP28" s="2230"/>
      <c r="BQ28" s="2249">
        <v>21131</v>
      </c>
      <c r="BR28" s="2207">
        <f t="shared" si="29"/>
        <v>10557.71</v>
      </c>
      <c r="BS28" s="2250"/>
      <c r="BT28" s="2250"/>
    </row>
    <row r="29" spans="1:72" s="2209" customFormat="1" ht="15" customHeight="1" x14ac:dyDescent="0.25">
      <c r="A29" s="2210"/>
      <c r="B29" s="2235" t="s">
        <v>31</v>
      </c>
      <c r="C29" s="2244"/>
      <c r="D29" s="2236"/>
      <c r="E29" s="2197">
        <f t="shared" si="1"/>
        <v>0</v>
      </c>
      <c r="F29" s="2136" t="e">
        <f t="shared" si="28"/>
        <v>#DIV/0!</v>
      </c>
      <c r="G29" s="2198">
        <v>139561.58339925649</v>
      </c>
      <c r="H29" s="2198">
        <f>4800+22000</f>
        <v>26800</v>
      </c>
      <c r="I29" s="2229">
        <f t="shared" si="7"/>
        <v>166361.58339925649</v>
      </c>
      <c r="J29" s="2136">
        <f t="shared" si="26"/>
        <v>7.0695437410489434E-2</v>
      </c>
      <c r="K29" s="2204"/>
      <c r="L29" s="2198">
        <v>26130</v>
      </c>
      <c r="M29" s="2198">
        <v>4200</v>
      </c>
      <c r="N29" s="2198">
        <f t="shared" si="2"/>
        <v>30330</v>
      </c>
      <c r="O29" s="2136">
        <v>7.0696709702832664E-2</v>
      </c>
      <c r="P29" s="1992"/>
      <c r="Q29" s="2198">
        <f>21160-800</f>
        <v>20360</v>
      </c>
      <c r="R29" s="2198">
        <v>7380</v>
      </c>
      <c r="S29" s="2229">
        <f t="shared" si="8"/>
        <v>27740</v>
      </c>
      <c r="T29" s="2136">
        <f t="shared" si="27"/>
        <v>1.1788126763980665E-2</v>
      </c>
      <c r="U29" s="2204"/>
      <c r="V29" s="2198">
        <v>11030</v>
      </c>
      <c r="W29" s="2198">
        <v>33530</v>
      </c>
      <c r="X29" s="2229">
        <f t="shared" si="9"/>
        <v>44560</v>
      </c>
      <c r="Y29" s="2136">
        <f t="shared" si="10"/>
        <v>3.2438338828072899E-2</v>
      </c>
      <c r="Z29" s="2204"/>
      <c r="AA29" s="2198"/>
      <c r="AB29" s="2198"/>
      <c r="AC29" s="2229">
        <f t="shared" si="11"/>
        <v>0</v>
      </c>
      <c r="AD29" s="2136" t="e">
        <f t="shared" si="12"/>
        <v>#DIV/0!</v>
      </c>
      <c r="AE29" s="2234"/>
      <c r="AF29" s="2201"/>
      <c r="AG29" s="2198"/>
      <c r="AH29" s="2229">
        <f t="shared" si="13"/>
        <v>0</v>
      </c>
      <c r="AI29" s="2136">
        <f t="shared" si="14"/>
        <v>0</v>
      </c>
      <c r="AJ29" s="2204"/>
      <c r="AK29" s="2201"/>
      <c r="AL29" s="2198"/>
      <c r="AM29" s="2229">
        <f t="shared" si="15"/>
        <v>0</v>
      </c>
      <c r="AN29" s="2136">
        <f t="shared" si="16"/>
        <v>0</v>
      </c>
      <c r="AO29" s="2204"/>
      <c r="AP29" s="2201"/>
      <c r="AQ29" s="2198"/>
      <c r="AR29" s="2229">
        <f t="shared" si="17"/>
        <v>0</v>
      </c>
      <c r="AS29" s="2136">
        <f t="shared" si="18"/>
        <v>0</v>
      </c>
      <c r="AT29" s="2204"/>
      <c r="AU29" s="2201"/>
      <c r="AV29" s="2198"/>
      <c r="AW29" s="2229">
        <f t="shared" si="19"/>
        <v>0</v>
      </c>
      <c r="AX29" s="2136">
        <f t="shared" si="20"/>
        <v>0</v>
      </c>
      <c r="AY29" s="2204"/>
      <c r="AZ29" s="2201"/>
      <c r="BA29" s="2198"/>
      <c r="BB29" s="2229">
        <f t="shared" si="21"/>
        <v>0</v>
      </c>
      <c r="BC29" s="2136">
        <f t="shared" si="22"/>
        <v>0</v>
      </c>
      <c r="BD29" s="2204"/>
      <c r="BE29" s="2201"/>
      <c r="BF29" s="2198"/>
      <c r="BG29" s="2229">
        <f t="shared" si="23"/>
        <v>0</v>
      </c>
      <c r="BH29" s="2136">
        <f t="shared" si="24"/>
        <v>0</v>
      </c>
      <c r="BI29" s="2204"/>
      <c r="BJ29" s="2198">
        <f t="shared" si="3"/>
        <v>57520</v>
      </c>
      <c r="BK29" s="2198">
        <f t="shared" si="3"/>
        <v>45110</v>
      </c>
      <c r="BL29" s="2229">
        <f t="shared" si="4"/>
        <v>102630</v>
      </c>
      <c r="BM29" s="2136">
        <f t="shared" si="5"/>
        <v>1.8152306426404564E-2</v>
      </c>
      <c r="BN29" s="2139"/>
      <c r="BO29" s="2205">
        <f t="shared" si="25"/>
        <v>63731.583399256488</v>
      </c>
      <c r="BP29" s="2230"/>
      <c r="BQ29" s="2217">
        <v>110780.016</v>
      </c>
      <c r="BR29" s="2207">
        <f t="shared" si="29"/>
        <v>-8150.0160000000033</v>
      </c>
      <c r="BS29" s="2208"/>
      <c r="BT29" s="2208"/>
    </row>
    <row r="30" spans="1:72" s="2209" customFormat="1" ht="15" customHeight="1" x14ac:dyDescent="0.25">
      <c r="A30" s="2210"/>
      <c r="B30" s="2235" t="s">
        <v>62</v>
      </c>
      <c r="C30" s="2244"/>
      <c r="D30" s="2236"/>
      <c r="E30" s="2197">
        <f t="shared" si="1"/>
        <v>0</v>
      </c>
      <c r="F30" s="2136" t="e">
        <f t="shared" si="28"/>
        <v>#DIV/0!</v>
      </c>
      <c r="G30" s="2198"/>
      <c r="H30" s="2198">
        <v>112000</v>
      </c>
      <c r="I30" s="2229">
        <f t="shared" si="7"/>
        <v>112000</v>
      </c>
      <c r="J30" s="2136">
        <f t="shared" si="26"/>
        <v>4.7594455571947893E-2</v>
      </c>
      <c r="K30" s="2204"/>
      <c r="L30" s="2198">
        <v>16320</v>
      </c>
      <c r="M30" s="2198">
        <v>19220</v>
      </c>
      <c r="N30" s="2198">
        <f t="shared" si="2"/>
        <v>35540</v>
      </c>
      <c r="O30" s="2136">
        <v>8.2840786773447833E-2</v>
      </c>
      <c r="P30" s="1992"/>
      <c r="Q30" s="2198"/>
      <c r="R30" s="2198">
        <f>19912</f>
        <v>19912</v>
      </c>
      <c r="S30" s="2229">
        <f t="shared" si="8"/>
        <v>19912</v>
      </c>
      <c r="T30" s="2136">
        <f t="shared" si="27"/>
        <v>8.4616142798984492E-3</v>
      </c>
      <c r="U30" s="2204" t="s">
        <v>981</v>
      </c>
      <c r="V30" s="2198">
        <f>15520-7840</f>
        <v>7680</v>
      </c>
      <c r="W30" s="2198">
        <f>8500+9517</f>
        <v>18017</v>
      </c>
      <c r="X30" s="2229">
        <f t="shared" si="9"/>
        <v>25697</v>
      </c>
      <c r="Y30" s="2136">
        <f t="shared" si="10"/>
        <v>1.8706642568783422E-2</v>
      </c>
      <c r="Z30" s="2204"/>
      <c r="AA30" s="2198"/>
      <c r="AB30" s="2198"/>
      <c r="AC30" s="2229">
        <f t="shared" si="11"/>
        <v>0</v>
      </c>
      <c r="AD30" s="2136" t="e">
        <f t="shared" si="12"/>
        <v>#DIV/0!</v>
      </c>
      <c r="AE30" s="2234"/>
      <c r="AF30" s="2201"/>
      <c r="AG30" s="2198"/>
      <c r="AH30" s="2229">
        <f t="shared" si="13"/>
        <v>0</v>
      </c>
      <c r="AI30" s="2136">
        <f t="shared" si="14"/>
        <v>0</v>
      </c>
      <c r="AJ30" s="2204"/>
      <c r="AK30" s="2201"/>
      <c r="AL30" s="2198"/>
      <c r="AM30" s="2229">
        <f t="shared" si="15"/>
        <v>0</v>
      </c>
      <c r="AN30" s="2136">
        <f t="shared" si="16"/>
        <v>0</v>
      </c>
      <c r="AO30" s="2204"/>
      <c r="AP30" s="2201"/>
      <c r="AQ30" s="2198"/>
      <c r="AR30" s="2229">
        <f t="shared" si="17"/>
        <v>0</v>
      </c>
      <c r="AS30" s="2136">
        <f t="shared" si="18"/>
        <v>0</v>
      </c>
      <c r="AT30" s="2204"/>
      <c r="AU30" s="2201"/>
      <c r="AV30" s="2198"/>
      <c r="AW30" s="2229">
        <f t="shared" si="19"/>
        <v>0</v>
      </c>
      <c r="AX30" s="2136">
        <f t="shared" si="20"/>
        <v>0</v>
      </c>
      <c r="AY30" s="2204"/>
      <c r="AZ30" s="2201"/>
      <c r="BA30" s="2198"/>
      <c r="BB30" s="2229">
        <f t="shared" si="21"/>
        <v>0</v>
      </c>
      <c r="BC30" s="2136">
        <f t="shared" si="22"/>
        <v>0</v>
      </c>
      <c r="BD30" s="2204"/>
      <c r="BE30" s="2201"/>
      <c r="BF30" s="2198"/>
      <c r="BG30" s="2229">
        <f t="shared" si="23"/>
        <v>0</v>
      </c>
      <c r="BH30" s="2136">
        <f t="shared" si="24"/>
        <v>0</v>
      </c>
      <c r="BI30" s="2204"/>
      <c r="BJ30" s="2198">
        <f t="shared" si="3"/>
        <v>24000</v>
      </c>
      <c r="BK30" s="2198">
        <f t="shared" si="3"/>
        <v>57149</v>
      </c>
      <c r="BL30" s="2229">
        <f t="shared" si="4"/>
        <v>81149</v>
      </c>
      <c r="BM30" s="2136">
        <f t="shared" si="5"/>
        <v>1.4352933003958918E-2</v>
      </c>
      <c r="BN30" s="2139"/>
      <c r="BO30" s="2205">
        <f t="shared" si="25"/>
        <v>30851</v>
      </c>
      <c r="BP30" s="2230"/>
      <c r="BQ30" s="2217">
        <v>77269</v>
      </c>
      <c r="BR30" s="2207">
        <f t="shared" si="29"/>
        <v>3880</v>
      </c>
      <c r="BS30" s="2208"/>
      <c r="BT30" s="2208"/>
    </row>
    <row r="31" spans="1:72" s="2209" customFormat="1" ht="15" customHeight="1" x14ac:dyDescent="0.25">
      <c r="A31" s="2210"/>
      <c r="B31" s="2235" t="s">
        <v>34</v>
      </c>
      <c r="C31" s="2244"/>
      <c r="D31" s="2252"/>
      <c r="E31" s="2197">
        <f t="shared" si="1"/>
        <v>0</v>
      </c>
      <c r="F31" s="2136" t="e">
        <f t="shared" si="28"/>
        <v>#DIV/0!</v>
      </c>
      <c r="G31" s="2198">
        <f>3696.9500395539+40000</f>
        <v>43696.9500395539</v>
      </c>
      <c r="H31" s="2198">
        <v>44000</v>
      </c>
      <c r="I31" s="2229">
        <f t="shared" si="7"/>
        <v>87696.950039553893</v>
      </c>
      <c r="J31" s="2136">
        <f t="shared" si="26"/>
        <v>3.7266862432615011E-2</v>
      </c>
      <c r="K31" s="2204"/>
      <c r="L31" s="2198">
        <v>0</v>
      </c>
      <c r="M31" s="2198">
        <f>5737+34703</f>
        <v>40440</v>
      </c>
      <c r="N31" s="2198">
        <f t="shared" si="2"/>
        <v>40440</v>
      </c>
      <c r="O31" s="2136">
        <v>1.3372470279101581E-2</v>
      </c>
      <c r="P31" s="1992"/>
      <c r="Q31" s="2198"/>
      <c r="R31" s="2198">
        <v>7955</v>
      </c>
      <c r="S31" s="2229">
        <f t="shared" si="8"/>
        <v>7955</v>
      </c>
      <c r="T31" s="2136">
        <f t="shared" si="27"/>
        <v>3.3804811970968344E-3</v>
      </c>
      <c r="U31" s="2204"/>
      <c r="V31" s="2198"/>
      <c r="W31" s="2198">
        <v>9345</v>
      </c>
      <c r="X31" s="2229">
        <f t="shared" si="9"/>
        <v>9345</v>
      </c>
      <c r="Y31" s="2136">
        <f t="shared" si="10"/>
        <v>6.8028787331315364E-3</v>
      </c>
      <c r="Z31" s="2204"/>
      <c r="AA31" s="2198"/>
      <c r="AB31" s="2198"/>
      <c r="AC31" s="2229">
        <f t="shared" si="11"/>
        <v>0</v>
      </c>
      <c r="AD31" s="2136" t="e">
        <f t="shared" si="12"/>
        <v>#DIV/0!</v>
      </c>
      <c r="AE31" s="2234"/>
      <c r="AF31" s="2201"/>
      <c r="AG31" s="2198"/>
      <c r="AH31" s="2229">
        <f t="shared" si="13"/>
        <v>0</v>
      </c>
      <c r="AI31" s="2136">
        <f t="shared" si="14"/>
        <v>0</v>
      </c>
      <c r="AJ31" s="2204"/>
      <c r="AK31" s="2201"/>
      <c r="AL31" s="2198"/>
      <c r="AM31" s="2229">
        <f t="shared" si="15"/>
        <v>0</v>
      </c>
      <c r="AN31" s="2136">
        <f t="shared" si="16"/>
        <v>0</v>
      </c>
      <c r="AO31" s="2204"/>
      <c r="AP31" s="2201"/>
      <c r="AQ31" s="2198"/>
      <c r="AR31" s="2229">
        <f t="shared" si="17"/>
        <v>0</v>
      </c>
      <c r="AS31" s="2136">
        <f t="shared" si="18"/>
        <v>0</v>
      </c>
      <c r="AT31" s="2204"/>
      <c r="AU31" s="2201"/>
      <c r="AV31" s="2198"/>
      <c r="AW31" s="2229">
        <f t="shared" si="19"/>
        <v>0</v>
      </c>
      <c r="AX31" s="2136">
        <f t="shared" si="20"/>
        <v>0</v>
      </c>
      <c r="AY31" s="2204"/>
      <c r="AZ31" s="2201"/>
      <c r="BA31" s="2198"/>
      <c r="BB31" s="2229">
        <f t="shared" si="21"/>
        <v>0</v>
      </c>
      <c r="BC31" s="2136">
        <f t="shared" si="22"/>
        <v>0</v>
      </c>
      <c r="BD31" s="2204"/>
      <c r="BE31" s="2201"/>
      <c r="BF31" s="2198"/>
      <c r="BG31" s="2229">
        <f t="shared" si="23"/>
        <v>0</v>
      </c>
      <c r="BH31" s="2136">
        <f t="shared" si="24"/>
        <v>0</v>
      </c>
      <c r="BI31" s="2204"/>
      <c r="BJ31" s="2198">
        <f t="shared" si="3"/>
        <v>0</v>
      </c>
      <c r="BK31" s="2198">
        <f t="shared" si="3"/>
        <v>57740</v>
      </c>
      <c r="BL31" s="2229">
        <f t="shared" si="4"/>
        <v>57740</v>
      </c>
      <c r="BM31" s="2136">
        <f t="shared" si="5"/>
        <v>1.0212551622923116E-2</v>
      </c>
      <c r="BN31" s="2139"/>
      <c r="BO31" s="2205">
        <f t="shared" si="25"/>
        <v>29956.950039553893</v>
      </c>
      <c r="BP31" s="2230"/>
      <c r="BQ31" s="2217">
        <v>70700.616239999988</v>
      </c>
      <c r="BR31" s="2207">
        <f t="shared" si="29"/>
        <v>-12960.616239999988</v>
      </c>
      <c r="BS31" s="2208"/>
      <c r="BT31" s="2208"/>
    </row>
    <row r="32" spans="1:72" s="2209" customFormat="1" ht="15" customHeight="1" x14ac:dyDescent="0.25">
      <c r="A32" s="2210"/>
      <c r="B32" s="2253" t="s">
        <v>2</v>
      </c>
      <c r="C32" s="2254"/>
      <c r="D32" s="2255"/>
      <c r="E32" s="2197">
        <f t="shared" si="1"/>
        <v>0</v>
      </c>
      <c r="F32" s="2136" t="e">
        <f t="shared" si="28"/>
        <v>#DIV/0!</v>
      </c>
      <c r="G32" s="2198"/>
      <c r="H32" s="2198"/>
      <c r="I32" s="2229">
        <f t="shared" si="7"/>
        <v>0</v>
      </c>
      <c r="J32" s="2136">
        <f t="shared" si="26"/>
        <v>0</v>
      </c>
      <c r="K32" s="2137"/>
      <c r="L32" s="2198">
        <v>0</v>
      </c>
      <c r="M32" s="2198">
        <v>0</v>
      </c>
      <c r="N32" s="2198">
        <f t="shared" si="2"/>
        <v>0</v>
      </c>
      <c r="O32" s="2136">
        <v>0</v>
      </c>
      <c r="P32" s="1992"/>
      <c r="Q32" s="2198"/>
      <c r="R32" s="2198"/>
      <c r="S32" s="2229">
        <f t="shared" si="8"/>
        <v>0</v>
      </c>
      <c r="T32" s="2136">
        <f t="shared" si="27"/>
        <v>0</v>
      </c>
      <c r="U32" s="2137"/>
      <c r="V32" s="2198"/>
      <c r="W32" s="2198"/>
      <c r="X32" s="2229">
        <f t="shared" si="9"/>
        <v>0</v>
      </c>
      <c r="Y32" s="2136">
        <f t="shared" si="10"/>
        <v>0</v>
      </c>
      <c r="Z32" s="2137"/>
      <c r="AA32" s="2198"/>
      <c r="AB32" s="2198"/>
      <c r="AC32" s="2229">
        <f t="shared" si="11"/>
        <v>0</v>
      </c>
      <c r="AD32" s="2136" t="e">
        <f t="shared" si="12"/>
        <v>#DIV/0!</v>
      </c>
      <c r="AE32" s="2256"/>
      <c r="AF32" s="2201"/>
      <c r="AG32" s="2198"/>
      <c r="AH32" s="2229">
        <f t="shared" si="13"/>
        <v>0</v>
      </c>
      <c r="AI32" s="2136">
        <f t="shared" si="14"/>
        <v>0</v>
      </c>
      <c r="AJ32" s="2137"/>
      <c r="AK32" s="2201"/>
      <c r="AL32" s="2198"/>
      <c r="AM32" s="2229">
        <f t="shared" si="15"/>
        <v>0</v>
      </c>
      <c r="AN32" s="2136">
        <f t="shared" si="16"/>
        <v>0</v>
      </c>
      <c r="AO32" s="2137"/>
      <c r="AP32" s="2201"/>
      <c r="AQ32" s="2198"/>
      <c r="AR32" s="2229">
        <f t="shared" si="17"/>
        <v>0</v>
      </c>
      <c r="AS32" s="2136">
        <f t="shared" si="18"/>
        <v>0</v>
      </c>
      <c r="AT32" s="2137"/>
      <c r="AU32" s="2201"/>
      <c r="AV32" s="2198"/>
      <c r="AW32" s="2229">
        <f t="shared" si="19"/>
        <v>0</v>
      </c>
      <c r="AX32" s="2136">
        <f t="shared" si="20"/>
        <v>0</v>
      </c>
      <c r="AY32" s="2137"/>
      <c r="AZ32" s="2201"/>
      <c r="BA32" s="2198"/>
      <c r="BB32" s="2229">
        <f t="shared" si="21"/>
        <v>0</v>
      </c>
      <c r="BC32" s="2136">
        <f t="shared" si="22"/>
        <v>0</v>
      </c>
      <c r="BD32" s="2137"/>
      <c r="BE32" s="2201"/>
      <c r="BF32" s="2198"/>
      <c r="BG32" s="2229">
        <f t="shared" si="23"/>
        <v>0</v>
      </c>
      <c r="BH32" s="2136">
        <f t="shared" si="24"/>
        <v>0</v>
      </c>
      <c r="BI32" s="2137"/>
      <c r="BJ32" s="2198">
        <f t="shared" si="3"/>
        <v>0</v>
      </c>
      <c r="BK32" s="2198">
        <f t="shared" si="3"/>
        <v>0</v>
      </c>
      <c r="BL32" s="2229">
        <f t="shared" si="4"/>
        <v>0</v>
      </c>
      <c r="BM32" s="2136">
        <f t="shared" si="5"/>
        <v>0</v>
      </c>
      <c r="BN32" s="2139"/>
      <c r="BO32" s="2205">
        <f t="shared" si="25"/>
        <v>0</v>
      </c>
      <c r="BP32" s="2230"/>
      <c r="BQ32" s="2169"/>
      <c r="BR32" s="2245"/>
      <c r="BS32" s="2208"/>
      <c r="BT32" s="2208"/>
    </row>
    <row r="33" spans="1:72" s="2209" customFormat="1" ht="15" customHeight="1" thickBot="1" x14ac:dyDescent="0.3">
      <c r="A33" s="2210"/>
      <c r="B33" s="2257" t="s">
        <v>75</v>
      </c>
      <c r="C33" s="2258"/>
      <c r="D33" s="2259"/>
      <c r="E33" s="2260">
        <f t="shared" si="1"/>
        <v>0</v>
      </c>
      <c r="F33" s="2149" t="e">
        <f t="shared" si="28"/>
        <v>#DIV/0!</v>
      </c>
      <c r="G33" s="2261"/>
      <c r="H33" s="2261"/>
      <c r="I33" s="2262">
        <f t="shared" si="7"/>
        <v>0</v>
      </c>
      <c r="J33" s="2149">
        <f t="shared" si="26"/>
        <v>0</v>
      </c>
      <c r="K33" s="2151"/>
      <c r="L33" s="2261">
        <v>0</v>
      </c>
      <c r="M33" s="2261">
        <v>0</v>
      </c>
      <c r="N33" s="2198">
        <f t="shared" si="2"/>
        <v>0</v>
      </c>
      <c r="O33" s="2149">
        <v>0</v>
      </c>
      <c r="P33" s="1679"/>
      <c r="Q33" s="2261"/>
      <c r="R33" s="2261"/>
      <c r="S33" s="2262">
        <f t="shared" si="8"/>
        <v>0</v>
      </c>
      <c r="T33" s="2149">
        <f t="shared" si="27"/>
        <v>0</v>
      </c>
      <c r="U33" s="2151"/>
      <c r="V33" s="2261"/>
      <c r="W33" s="2261"/>
      <c r="X33" s="2262">
        <f t="shared" si="9"/>
        <v>0</v>
      </c>
      <c r="Y33" s="2149">
        <f t="shared" si="10"/>
        <v>0</v>
      </c>
      <c r="Z33" s="2151"/>
      <c r="AA33" s="2261"/>
      <c r="AB33" s="2261"/>
      <c r="AC33" s="2262">
        <f t="shared" si="11"/>
        <v>0</v>
      </c>
      <c r="AD33" s="2149" t="e">
        <f t="shared" si="12"/>
        <v>#DIV/0!</v>
      </c>
      <c r="AE33" s="2263"/>
      <c r="AF33" s="2264"/>
      <c r="AG33" s="2261"/>
      <c r="AH33" s="2262">
        <f t="shared" si="13"/>
        <v>0</v>
      </c>
      <c r="AI33" s="2149">
        <f t="shared" si="14"/>
        <v>0</v>
      </c>
      <c r="AJ33" s="2151"/>
      <c r="AK33" s="2264"/>
      <c r="AL33" s="2261"/>
      <c r="AM33" s="2262">
        <f t="shared" si="15"/>
        <v>0</v>
      </c>
      <c r="AN33" s="2149">
        <f t="shared" si="16"/>
        <v>0</v>
      </c>
      <c r="AO33" s="2151"/>
      <c r="AP33" s="2264"/>
      <c r="AQ33" s="2261"/>
      <c r="AR33" s="2262">
        <f t="shared" si="17"/>
        <v>0</v>
      </c>
      <c r="AS33" s="2149">
        <f t="shared" si="18"/>
        <v>0</v>
      </c>
      <c r="AT33" s="2151"/>
      <c r="AU33" s="2264"/>
      <c r="AV33" s="2261"/>
      <c r="AW33" s="2262">
        <f t="shared" si="19"/>
        <v>0</v>
      </c>
      <c r="AX33" s="2149">
        <f t="shared" si="20"/>
        <v>0</v>
      </c>
      <c r="AY33" s="2151"/>
      <c r="AZ33" s="2264"/>
      <c r="BA33" s="2261"/>
      <c r="BB33" s="2262">
        <f t="shared" si="21"/>
        <v>0</v>
      </c>
      <c r="BC33" s="2149">
        <f t="shared" si="22"/>
        <v>0</v>
      </c>
      <c r="BD33" s="2151"/>
      <c r="BE33" s="2264"/>
      <c r="BF33" s="2261"/>
      <c r="BG33" s="2262">
        <f t="shared" si="23"/>
        <v>0</v>
      </c>
      <c r="BH33" s="2149">
        <f t="shared" si="24"/>
        <v>0</v>
      </c>
      <c r="BI33" s="2151"/>
      <c r="BJ33" s="2265">
        <f t="shared" si="3"/>
        <v>0</v>
      </c>
      <c r="BK33" s="2266">
        <f t="shared" si="3"/>
        <v>0</v>
      </c>
      <c r="BL33" s="2267">
        <f t="shared" si="4"/>
        <v>0</v>
      </c>
      <c r="BM33" s="2149">
        <f t="shared" si="5"/>
        <v>0</v>
      </c>
      <c r="BN33" s="2150"/>
      <c r="BO33" s="2205">
        <f t="shared" si="25"/>
        <v>0</v>
      </c>
      <c r="BP33" s="2230"/>
      <c r="BQ33" s="2169"/>
      <c r="BR33" s="2245"/>
      <c r="BS33" s="2208"/>
      <c r="BT33" s="2208"/>
    </row>
    <row r="34" spans="1:72" s="2209" customFormat="1" ht="15" customHeight="1" x14ac:dyDescent="0.25">
      <c r="A34" s="2210"/>
      <c r="B34" s="2268"/>
      <c r="C34" s="2269"/>
      <c r="D34" s="2270"/>
      <c r="E34" s="2271"/>
      <c r="F34" s="2272"/>
      <c r="G34" s="2198"/>
      <c r="H34" s="2198"/>
      <c r="I34" s="2271"/>
      <c r="J34" s="2271"/>
      <c r="K34" s="2271"/>
      <c r="L34" s="2198"/>
      <c r="M34" s="2198"/>
      <c r="N34" s="2271"/>
      <c r="O34" s="2271"/>
      <c r="P34" s="2272"/>
      <c r="Q34" s="2198"/>
      <c r="R34" s="2198"/>
      <c r="S34" s="2271"/>
      <c r="T34" s="2271"/>
      <c r="U34" s="2271"/>
      <c r="V34" s="2198"/>
      <c r="W34" s="2198"/>
      <c r="X34" s="2271"/>
      <c r="Y34" s="2271"/>
      <c r="Z34" s="2271"/>
      <c r="AA34" s="2198"/>
      <c r="AB34" s="2198"/>
      <c r="AC34" s="2271"/>
      <c r="AD34" s="2271"/>
      <c r="AE34" s="2273"/>
      <c r="AF34" s="2201"/>
      <c r="AG34" s="2198"/>
      <c r="AH34" s="2271"/>
      <c r="AI34" s="2271"/>
      <c r="AJ34" s="2271"/>
      <c r="AK34" s="2201"/>
      <c r="AL34" s="2198"/>
      <c r="AM34" s="2271"/>
      <c r="AN34" s="2271"/>
      <c r="AO34" s="2271"/>
      <c r="AP34" s="2201"/>
      <c r="AQ34" s="2198"/>
      <c r="AR34" s="2271"/>
      <c r="AS34" s="2271"/>
      <c r="AT34" s="2271"/>
      <c r="AU34" s="2201"/>
      <c r="AV34" s="2198"/>
      <c r="AW34" s="2271"/>
      <c r="AX34" s="2271"/>
      <c r="AY34" s="2271"/>
      <c r="AZ34" s="2201"/>
      <c r="BA34" s="2198"/>
      <c r="BB34" s="2271"/>
      <c r="BC34" s="2271"/>
      <c r="BD34" s="2271"/>
      <c r="BE34" s="2201"/>
      <c r="BF34" s="2198"/>
      <c r="BG34" s="2271"/>
      <c r="BH34" s="2271"/>
      <c r="BI34" s="2271"/>
      <c r="BJ34" s="2198"/>
      <c r="BK34" s="2198"/>
      <c r="BL34" s="2271"/>
      <c r="BM34" s="2271"/>
      <c r="BN34" s="2271"/>
      <c r="BO34" s="2274"/>
      <c r="BP34" s="2274"/>
      <c r="BQ34" s="2169"/>
      <c r="BR34" s="2245"/>
      <c r="BS34" s="2208"/>
      <c r="BT34" s="2208"/>
    </row>
    <row r="35" spans="1:72" s="2192" customFormat="1" ht="15" customHeight="1" x14ac:dyDescent="0.25">
      <c r="A35" s="2210"/>
      <c r="B35" s="2275" t="s">
        <v>80</v>
      </c>
      <c r="C35" s="2276">
        <f>C36</f>
        <v>0</v>
      </c>
      <c r="D35" s="2276">
        <f>D36</f>
        <v>0</v>
      </c>
      <c r="E35" s="2277">
        <f>E36</f>
        <v>0</v>
      </c>
      <c r="F35" s="2278" t="e">
        <f>E35/$E$89</f>
        <v>#DIV/0!</v>
      </c>
      <c r="G35" s="2276">
        <f>G36</f>
        <v>0</v>
      </c>
      <c r="H35" s="2276">
        <f>H36</f>
        <v>0</v>
      </c>
      <c r="I35" s="2277">
        <f>I36</f>
        <v>0</v>
      </c>
      <c r="J35" s="2277"/>
      <c r="K35" s="2279"/>
      <c r="L35" s="2276">
        <v>0</v>
      </c>
      <c r="M35" s="2276">
        <v>0</v>
      </c>
      <c r="N35" s="2277">
        <v>0</v>
      </c>
      <c r="O35" s="2277"/>
      <c r="P35" s="2280"/>
      <c r="Q35" s="2276">
        <f>Q36</f>
        <v>0</v>
      </c>
      <c r="R35" s="2276">
        <f>R36</f>
        <v>0</v>
      </c>
      <c r="S35" s="2277">
        <f>S36</f>
        <v>0</v>
      </c>
      <c r="T35" s="2277"/>
      <c r="U35" s="2279"/>
      <c r="V35" s="2276">
        <f>V36</f>
        <v>0</v>
      </c>
      <c r="W35" s="2276">
        <f>W36</f>
        <v>0</v>
      </c>
      <c r="X35" s="2277">
        <f>X36</f>
        <v>0</v>
      </c>
      <c r="Y35" s="2277"/>
      <c r="Z35" s="2279"/>
      <c r="AA35" s="2276">
        <f>AA36</f>
        <v>0</v>
      </c>
      <c r="AB35" s="2276">
        <f>AB36</f>
        <v>0</v>
      </c>
      <c r="AC35" s="2277">
        <f>AC36</f>
        <v>0</v>
      </c>
      <c r="AD35" s="2277"/>
      <c r="AE35" s="2281"/>
      <c r="AF35" s="2276">
        <f>AF36</f>
        <v>0</v>
      </c>
      <c r="AG35" s="2276">
        <f>AG36</f>
        <v>0</v>
      </c>
      <c r="AH35" s="2277">
        <f>AH36</f>
        <v>0</v>
      </c>
      <c r="AI35" s="2277"/>
      <c r="AJ35" s="2279"/>
      <c r="AK35" s="2276">
        <f>AK36</f>
        <v>0</v>
      </c>
      <c r="AL35" s="2276">
        <f>AL36</f>
        <v>0</v>
      </c>
      <c r="AM35" s="2277">
        <f>AM36</f>
        <v>0</v>
      </c>
      <c r="AN35" s="2277"/>
      <c r="AO35" s="2279"/>
      <c r="AP35" s="2276">
        <f>AP36</f>
        <v>0</v>
      </c>
      <c r="AQ35" s="2276">
        <f>AQ36</f>
        <v>0</v>
      </c>
      <c r="AR35" s="2277">
        <f>AR36</f>
        <v>0</v>
      </c>
      <c r="AS35" s="2277"/>
      <c r="AT35" s="2279"/>
      <c r="AU35" s="2276">
        <f>AU36</f>
        <v>0</v>
      </c>
      <c r="AV35" s="2276">
        <f>AV36</f>
        <v>0</v>
      </c>
      <c r="AW35" s="2277">
        <f>AW36</f>
        <v>0</v>
      </c>
      <c r="AX35" s="2277"/>
      <c r="AY35" s="2279"/>
      <c r="AZ35" s="2276">
        <f>AZ36</f>
        <v>0</v>
      </c>
      <c r="BA35" s="2276">
        <f>BA36</f>
        <v>0</v>
      </c>
      <c r="BB35" s="2277">
        <f>BB36</f>
        <v>0</v>
      </c>
      <c r="BC35" s="2277"/>
      <c r="BD35" s="2279"/>
      <c r="BE35" s="2276">
        <f>BE36</f>
        <v>0</v>
      </c>
      <c r="BF35" s="2276">
        <f>BF36</f>
        <v>0</v>
      </c>
      <c r="BG35" s="2277">
        <f>BG36</f>
        <v>0</v>
      </c>
      <c r="BH35" s="2277"/>
      <c r="BI35" s="2279"/>
      <c r="BJ35" s="2276">
        <f>SUM(BJ36)</f>
        <v>0</v>
      </c>
      <c r="BK35" s="2276">
        <f>SUM(BK36)</f>
        <v>0</v>
      </c>
      <c r="BL35" s="2276">
        <f>BL36</f>
        <v>0</v>
      </c>
      <c r="BM35" s="2276">
        <f>BM36</f>
        <v>0</v>
      </c>
      <c r="BN35" s="2277"/>
      <c r="BO35" s="2189"/>
      <c r="BP35" s="2189"/>
      <c r="BQ35" s="2190"/>
      <c r="BR35" s="2282"/>
      <c r="BS35" s="2191"/>
      <c r="BT35" s="2191"/>
    </row>
    <row r="36" spans="1:72" s="2251" customFormat="1" ht="15" customHeight="1" x14ac:dyDescent="0.25">
      <c r="A36" s="2210"/>
      <c r="B36" s="2283" t="s">
        <v>81</v>
      </c>
      <c r="C36" s="2284"/>
      <c r="D36" s="2285"/>
      <c r="E36" s="2197">
        <f>C36+D36</f>
        <v>0</v>
      </c>
      <c r="F36" s="2136" t="e">
        <f>E36/$E$89</f>
        <v>#DIV/0!</v>
      </c>
      <c r="G36" s="2198"/>
      <c r="H36" s="2198"/>
      <c r="I36" s="2197">
        <f>G36+H36*1</f>
        <v>0</v>
      </c>
      <c r="J36" s="2136">
        <f>I36/$S$89</f>
        <v>0</v>
      </c>
      <c r="K36" s="2286"/>
      <c r="L36" s="2198">
        <v>0</v>
      </c>
      <c r="M36" s="2198">
        <v>0</v>
      </c>
      <c r="N36" s="2198">
        <f>L36+M36</f>
        <v>0</v>
      </c>
      <c r="O36" s="2136">
        <v>0</v>
      </c>
      <c r="P36" s="1992"/>
      <c r="Q36" s="2198"/>
      <c r="R36" s="2198"/>
      <c r="S36" s="2197">
        <f>Q36+R36*1</f>
        <v>0</v>
      </c>
      <c r="T36" s="2136">
        <f>S36/$S$89</f>
        <v>0</v>
      </c>
      <c r="U36" s="2286"/>
      <c r="V36" s="2198"/>
      <c r="W36" s="2198"/>
      <c r="X36" s="2197">
        <f>V36+W36*1</f>
        <v>0</v>
      </c>
      <c r="Y36" s="2136">
        <f>X36/$S$89</f>
        <v>0</v>
      </c>
      <c r="Z36" s="2286"/>
      <c r="AA36" s="2198"/>
      <c r="AB36" s="2198"/>
      <c r="AC36" s="2197">
        <f>AA36+AB36*1</f>
        <v>0</v>
      </c>
      <c r="AD36" s="2136">
        <f>AC36/$S$89</f>
        <v>0</v>
      </c>
      <c r="AE36" s="2287"/>
      <c r="AF36" s="2201"/>
      <c r="AG36" s="2198"/>
      <c r="AH36" s="2197">
        <f>AF36+AG36*1</f>
        <v>0</v>
      </c>
      <c r="AI36" s="2136">
        <f>AH36/$AH$89</f>
        <v>0</v>
      </c>
      <c r="AJ36" s="2286"/>
      <c r="AK36" s="2201"/>
      <c r="AL36" s="2198"/>
      <c r="AM36" s="2197">
        <f>AK36+AL36*1</f>
        <v>0</v>
      </c>
      <c r="AN36" s="2136">
        <f>AM36/$AH$89</f>
        <v>0</v>
      </c>
      <c r="AO36" s="2286"/>
      <c r="AP36" s="2201"/>
      <c r="AQ36" s="2198"/>
      <c r="AR36" s="2197">
        <f>AP36+AQ36*1</f>
        <v>0</v>
      </c>
      <c r="AS36" s="2136">
        <f>AR36/$AH$89</f>
        <v>0</v>
      </c>
      <c r="AT36" s="2286"/>
      <c r="AU36" s="2201"/>
      <c r="AV36" s="2198"/>
      <c r="AW36" s="2197">
        <f>AU36+AV36*1</f>
        <v>0</v>
      </c>
      <c r="AX36" s="2136">
        <f>AW36/$AH$89</f>
        <v>0</v>
      </c>
      <c r="AY36" s="2286"/>
      <c r="AZ36" s="2201"/>
      <c r="BA36" s="2198"/>
      <c r="BB36" s="2197">
        <f>AZ36+BA36*1</f>
        <v>0</v>
      </c>
      <c r="BC36" s="2136">
        <f>BB36/$AH$89</f>
        <v>0</v>
      </c>
      <c r="BD36" s="2286"/>
      <c r="BE36" s="2201"/>
      <c r="BF36" s="2198"/>
      <c r="BG36" s="2197">
        <f>BE36+BF36*1</f>
        <v>0</v>
      </c>
      <c r="BH36" s="2136">
        <f>BG36/$BG$89</f>
        <v>0</v>
      </c>
      <c r="BI36" s="2286"/>
      <c r="BJ36" s="2198">
        <f>L36+Q36+V36+AA36+AF36+AK36+AP36+AU36+AZ36+BE36</f>
        <v>0</v>
      </c>
      <c r="BK36" s="2198">
        <f>M36+R36+W36+AB36+AG36+AL36+AQ36+AV36+BA36+BF36</f>
        <v>0</v>
      </c>
      <c r="BL36" s="2197">
        <f>BJ36+BK36*1</f>
        <v>0</v>
      </c>
      <c r="BM36" s="2136">
        <f>BL36/$BL$89</f>
        <v>0</v>
      </c>
      <c r="BN36" s="2288"/>
      <c r="BO36" s="2205">
        <f>I36-BL36</f>
        <v>0</v>
      </c>
      <c r="BP36" s="2289"/>
      <c r="BQ36" s="2290"/>
      <c r="BR36" s="2291"/>
      <c r="BS36" s="2250"/>
      <c r="BT36" s="2250"/>
    </row>
    <row r="37" spans="1:72" s="2209" customFormat="1" ht="15" customHeight="1" thickBot="1" x14ac:dyDescent="0.3">
      <c r="A37" s="1413"/>
      <c r="B37" s="2292"/>
      <c r="C37" s="2293"/>
      <c r="D37" s="2294"/>
      <c r="E37" s="2295"/>
      <c r="F37" s="2296"/>
      <c r="G37" s="2198"/>
      <c r="H37" s="2198"/>
      <c r="I37" s="2295"/>
      <c r="J37" s="2295"/>
      <c r="K37" s="2297"/>
      <c r="L37" s="2198"/>
      <c r="M37" s="2198"/>
      <c r="N37" s="2295"/>
      <c r="O37" s="2295"/>
      <c r="P37" s="2298"/>
      <c r="Q37" s="2198"/>
      <c r="R37" s="2198"/>
      <c r="S37" s="2295"/>
      <c r="T37" s="2295"/>
      <c r="U37" s="2297"/>
      <c r="V37" s="2198"/>
      <c r="W37" s="2198"/>
      <c r="X37" s="2295"/>
      <c r="Y37" s="2295"/>
      <c r="Z37" s="2297"/>
      <c r="AA37" s="2198"/>
      <c r="AB37" s="2198"/>
      <c r="AC37" s="2295"/>
      <c r="AD37" s="2295"/>
      <c r="AE37" s="2299"/>
      <c r="AF37" s="2201"/>
      <c r="AG37" s="2198"/>
      <c r="AH37" s="2295"/>
      <c r="AI37" s="2295"/>
      <c r="AJ37" s="2297"/>
      <c r="AK37" s="2201"/>
      <c r="AL37" s="2198"/>
      <c r="AM37" s="2295"/>
      <c r="AN37" s="2295"/>
      <c r="AO37" s="2297"/>
      <c r="AP37" s="2201"/>
      <c r="AQ37" s="2198"/>
      <c r="AR37" s="2295"/>
      <c r="AS37" s="2295"/>
      <c r="AT37" s="2297"/>
      <c r="AU37" s="2201"/>
      <c r="AV37" s="2198"/>
      <c r="AW37" s="2295"/>
      <c r="AX37" s="2295"/>
      <c r="AY37" s="2297"/>
      <c r="AZ37" s="2201"/>
      <c r="BA37" s="2198"/>
      <c r="BB37" s="2295"/>
      <c r="BC37" s="2295"/>
      <c r="BD37" s="2297"/>
      <c r="BE37" s="2201"/>
      <c r="BF37" s="2198"/>
      <c r="BG37" s="2295"/>
      <c r="BH37" s="2295"/>
      <c r="BI37" s="2297"/>
      <c r="BJ37" s="2261"/>
      <c r="BK37" s="2261"/>
      <c r="BL37" s="2295"/>
      <c r="BM37" s="2295"/>
      <c r="BN37" s="2295"/>
      <c r="BO37" s="2300"/>
      <c r="BP37" s="2300"/>
      <c r="BQ37" s="2169"/>
      <c r="BR37" s="2245"/>
      <c r="BS37" s="2208"/>
      <c r="BT37" s="2208"/>
    </row>
    <row r="38" spans="1:72" ht="15" customHeight="1" thickBot="1" x14ac:dyDescent="0.3">
      <c r="A38" s="2301"/>
      <c r="B38" s="2302" t="s">
        <v>46</v>
      </c>
      <c r="C38" s="2303">
        <f>(C5)-(C8)</f>
        <v>0</v>
      </c>
      <c r="D38" s="2303">
        <f>(D5)-(D8)</f>
        <v>0</v>
      </c>
      <c r="E38" s="2303">
        <f>(E5)-(E8)</f>
        <v>0</v>
      </c>
      <c r="F38" s="2304"/>
      <c r="G38" s="2303">
        <f>(G5)-(G8)</f>
        <v>4218409.7803368382</v>
      </c>
      <c r="H38" s="2303">
        <f>(H5)-(H8)</f>
        <v>-1492303.7333992564</v>
      </c>
      <c r="I38" s="2303">
        <f>(I5)-(I8)</f>
        <v>2726106.0469375812</v>
      </c>
      <c r="J38" s="2303"/>
      <c r="K38" s="2305"/>
      <c r="L38" s="2303">
        <v>-160805.64000000001</v>
      </c>
      <c r="M38" s="2303">
        <v>-123526</v>
      </c>
      <c r="N38" s="2303">
        <v>-284331.64</v>
      </c>
      <c r="O38" s="2303"/>
      <c r="P38" s="2304"/>
      <c r="Q38" s="2303">
        <f>(Q5)-(Q8)</f>
        <v>964163.49200000009</v>
      </c>
      <c r="R38" s="2303">
        <f>(R5)-(R8)</f>
        <v>-111235.68</v>
      </c>
      <c r="S38" s="2303">
        <f>(S5)-(S8)</f>
        <v>852927.81199999992</v>
      </c>
      <c r="T38" s="2303"/>
      <c r="U38" s="2305"/>
      <c r="V38" s="2303">
        <f>(V5)-(V8)</f>
        <v>871148.48239999963</v>
      </c>
      <c r="W38" s="2303">
        <f>(W5)-(W8)</f>
        <v>-168991.72999999998</v>
      </c>
      <c r="X38" s="2303">
        <f>(X5)-(X8)</f>
        <v>702156.75239999965</v>
      </c>
      <c r="Y38" s="2303"/>
      <c r="Z38" s="2305"/>
      <c r="AA38" s="2303">
        <f>(AA5)-(AA8)</f>
        <v>0</v>
      </c>
      <c r="AB38" s="2303">
        <f>(AB5)-(AB8)</f>
        <v>0</v>
      </c>
      <c r="AC38" s="2303">
        <f>(AC5)-(AC8)</f>
        <v>0</v>
      </c>
      <c r="AD38" s="2303"/>
      <c r="AE38" s="2306"/>
      <c r="AF38" s="2303">
        <f>(AF5)-(AF8)</f>
        <v>0</v>
      </c>
      <c r="AG38" s="2303">
        <f>(AG5)-(AG8)</f>
        <v>0</v>
      </c>
      <c r="AH38" s="2303">
        <f>(AH5)-(AH8)</f>
        <v>0</v>
      </c>
      <c r="AI38" s="2303"/>
      <c r="AJ38" s="2305"/>
      <c r="AK38" s="2303">
        <f>(AK5)-(AK8)</f>
        <v>-8250.48</v>
      </c>
      <c r="AL38" s="2303">
        <f>(AL5)-(AL8)</f>
        <v>0</v>
      </c>
      <c r="AM38" s="2303">
        <f>(AM5)-(AM8)</f>
        <v>-8250.48</v>
      </c>
      <c r="AN38" s="2303"/>
      <c r="AO38" s="2305"/>
      <c r="AP38" s="2303">
        <f>(AP5)-(AP8)</f>
        <v>1300616.3816</v>
      </c>
      <c r="AQ38" s="2303">
        <f>(AQ5)-(AQ8)</f>
        <v>-138795.4</v>
      </c>
      <c r="AR38" s="2303">
        <f>(AR5)-(AR8)</f>
        <v>1161820.9816000001</v>
      </c>
      <c r="AS38" s="2303"/>
      <c r="AT38" s="2305"/>
      <c r="AU38" s="2303">
        <f>(AU5)-(AU8)</f>
        <v>0</v>
      </c>
      <c r="AV38" s="2303">
        <f>(AV5)-(AV8)</f>
        <v>-116787.2</v>
      </c>
      <c r="AW38" s="2303">
        <f>(AW5)-(AW8)</f>
        <v>-116787.2</v>
      </c>
      <c r="AX38" s="2303"/>
      <c r="AY38" s="2305"/>
      <c r="AZ38" s="2303">
        <f>(AZ5)-(AZ8)</f>
        <v>0</v>
      </c>
      <c r="BA38" s="2303">
        <f>(BA5)-(BA8)</f>
        <v>0</v>
      </c>
      <c r="BB38" s="2303">
        <f>(BB5)-(BB8)</f>
        <v>0</v>
      </c>
      <c r="BC38" s="2303"/>
      <c r="BD38" s="2305"/>
      <c r="BE38" s="2303">
        <f>(BE5)-(BE8)</f>
        <v>113062.98200000002</v>
      </c>
      <c r="BF38" s="2303">
        <f>(BF5)-(BF8)</f>
        <v>-129250</v>
      </c>
      <c r="BG38" s="2303">
        <f>(BG5)-(BG8)</f>
        <v>-16187.017999999982</v>
      </c>
      <c r="BH38" s="2303"/>
      <c r="BI38" s="2305"/>
      <c r="BJ38" s="2303">
        <f>(BJ5)-(BJ8)</f>
        <v>3079934.8679999998</v>
      </c>
      <c r="BK38" s="2303">
        <f>(BK5)-(BK8)</f>
        <v>-832603.24</v>
      </c>
      <c r="BL38" s="2303">
        <f>(BL5)-(BL8)</f>
        <v>2247331.6280000005</v>
      </c>
      <c r="BM38" s="2303"/>
      <c r="BN38" s="2303"/>
      <c r="BO38" s="2307"/>
      <c r="BP38" s="2307"/>
      <c r="BR38" s="2245"/>
    </row>
    <row r="39" spans="1:72" ht="15" customHeight="1" x14ac:dyDescent="0.25">
      <c r="A39" s="2308"/>
      <c r="B39" s="2309" t="s">
        <v>47</v>
      </c>
      <c r="C39" s="1540" t="e">
        <f>C38/(C5)</f>
        <v>#DIV/0!</v>
      </c>
      <c r="D39" s="1540" t="e">
        <f>D38/(D5)</f>
        <v>#DIV/0!</v>
      </c>
      <c r="E39" s="1541" t="e">
        <f>E38/(E5)</f>
        <v>#DIV/0!</v>
      </c>
      <c r="F39" s="2310"/>
      <c r="G39" s="2311">
        <f>G38/(G5)</f>
        <v>0.34231540068465693</v>
      </c>
      <c r="H39" s="2311" t="e">
        <f>H38/(H5)</f>
        <v>#DIV/0!</v>
      </c>
      <c r="I39" s="2312">
        <f>I38/(I5)</f>
        <v>0.22121797842308946</v>
      </c>
      <c r="J39" s="2312"/>
      <c r="K39" s="2313"/>
      <c r="L39" s="2311" t="e">
        <v>#DIV/0!</v>
      </c>
      <c r="M39" s="2311" t="e">
        <v>#DIV/0!</v>
      </c>
      <c r="N39" s="2312" t="e">
        <v>#DIV/0!</v>
      </c>
      <c r="O39" s="2312"/>
      <c r="P39" s="2314"/>
      <c r="Q39" s="2311">
        <f>Q38/(Q5)</f>
        <v>0.30650558091755858</v>
      </c>
      <c r="R39" s="2311" t="e">
        <f>R38/(R5)</f>
        <v>#DIV/0!</v>
      </c>
      <c r="S39" s="2312">
        <f>S38/(S5)</f>
        <v>0.27114398820008645</v>
      </c>
      <c r="T39" s="2312"/>
      <c r="U39" s="2313"/>
      <c r="V39" s="2311">
        <f>V38/(V5)</f>
        <v>0.43071470895691411</v>
      </c>
      <c r="W39" s="2311" t="e">
        <f>W38/(W5)</f>
        <v>#DIV/0!</v>
      </c>
      <c r="X39" s="2312">
        <f>X38/(X5)</f>
        <v>0.3471615314290743</v>
      </c>
      <c r="Y39" s="2312"/>
      <c r="Z39" s="2313"/>
      <c r="AA39" s="2311" t="e">
        <f>AA38/(AA5)</f>
        <v>#DIV/0!</v>
      </c>
      <c r="AB39" s="2311" t="e">
        <f>AB38/(AB5)</f>
        <v>#DIV/0!</v>
      </c>
      <c r="AC39" s="2312" t="e">
        <f>AC38/(AC5)</f>
        <v>#DIV/0!</v>
      </c>
      <c r="AD39" s="2312"/>
      <c r="AE39" s="2315"/>
      <c r="AF39" s="2311" t="e">
        <f>AF38/(AF5)</f>
        <v>#DIV/0!</v>
      </c>
      <c r="AG39" s="2311" t="e">
        <f>AG38/(AG5)</f>
        <v>#DIV/0!</v>
      </c>
      <c r="AH39" s="2312" t="e">
        <f>AH38/(AH5)</f>
        <v>#DIV/0!</v>
      </c>
      <c r="AI39" s="2312"/>
      <c r="AJ39" s="2313"/>
      <c r="AK39" s="2311" t="e">
        <f>AK38/(AK5)</f>
        <v>#DIV/0!</v>
      </c>
      <c r="AL39" s="2311" t="e">
        <f>AL38/(AL5)</f>
        <v>#DIV/0!</v>
      </c>
      <c r="AM39" s="2312" t="e">
        <f>AM38/(AM5)</f>
        <v>#DIV/0!</v>
      </c>
      <c r="AN39" s="2312"/>
      <c r="AO39" s="2313"/>
      <c r="AP39" s="2311">
        <f>AP38/(AP5)</f>
        <v>0.67423008316191035</v>
      </c>
      <c r="AQ39" s="2311" t="e">
        <f>AQ38/(AQ5)</f>
        <v>#DIV/0!</v>
      </c>
      <c r="AR39" s="2312">
        <f>AR38/(AR5)</f>
        <v>0.6022795561591906</v>
      </c>
      <c r="AS39" s="2312"/>
      <c r="AT39" s="2313"/>
      <c r="AU39" s="2311" t="e">
        <f>AU38/(AU5)</f>
        <v>#DIV/0!</v>
      </c>
      <c r="AV39" s="2311" t="e">
        <f>AV38/(AV5)</f>
        <v>#DIV/0!</v>
      </c>
      <c r="AW39" s="2312" t="e">
        <f>AW38/(AW5)</f>
        <v>#DIV/0!</v>
      </c>
      <c r="AX39" s="2312"/>
      <c r="AY39" s="2313"/>
      <c r="AZ39" s="2311" t="e">
        <f>AZ38/(AZ5)</f>
        <v>#DIV/0!</v>
      </c>
      <c r="BA39" s="2311" t="e">
        <f>BA38/(BA5)</f>
        <v>#DIV/0!</v>
      </c>
      <c r="BB39" s="2312" t="e">
        <f>BB38/(BB5)</f>
        <v>#DIV/0!</v>
      </c>
      <c r="BC39" s="2312"/>
      <c r="BD39" s="2313"/>
      <c r="BE39" s="2311">
        <f>BE38/(BE5)</f>
        <v>0.23166402692887028</v>
      </c>
      <c r="BF39" s="2311" t="e">
        <f>BF38/(BF5)</f>
        <v>#DIV/0!</v>
      </c>
      <c r="BG39" s="2312">
        <f>BG38/(BG5)</f>
        <v>-3.3166910225754555E-2</v>
      </c>
      <c r="BH39" s="2312"/>
      <c r="BI39" s="2313"/>
      <c r="BJ39" s="2311">
        <f>BJ38/(BJ5)</f>
        <v>0.40603913564410432</v>
      </c>
      <c r="BK39" s="2311" t="e">
        <f>BK38/(BK5)</f>
        <v>#DIV/0!</v>
      </c>
      <c r="BL39" s="2312">
        <f>BL38/(BL5)</f>
        <v>0.29627398982346859</v>
      </c>
      <c r="BM39" s="2312"/>
      <c r="BN39" s="2312"/>
      <c r="BO39" s="2316"/>
      <c r="BP39" s="2316"/>
      <c r="BR39" s="2245"/>
    </row>
    <row r="40" spans="1:72" ht="15" customHeight="1" thickBot="1" x14ac:dyDescent="0.3">
      <c r="A40" s="2317"/>
      <c r="B40" s="2318"/>
      <c r="C40" s="2319"/>
      <c r="D40" s="2320"/>
      <c r="E40" s="2321"/>
      <c r="F40" s="2322"/>
      <c r="G40" s="2321"/>
      <c r="H40" s="2321"/>
      <c r="I40" s="2321"/>
      <c r="J40" s="2321"/>
      <c r="K40" s="2323"/>
      <c r="L40" s="2321"/>
      <c r="M40" s="2321"/>
      <c r="N40" s="2321"/>
      <c r="O40" s="2321"/>
      <c r="P40" s="2322"/>
      <c r="Q40" s="2321"/>
      <c r="R40" s="2321"/>
      <c r="S40" s="2321"/>
      <c r="T40" s="2321"/>
      <c r="U40" s="2323"/>
      <c r="V40" s="2321"/>
      <c r="W40" s="2321"/>
      <c r="X40" s="2321"/>
      <c r="Y40" s="2321"/>
      <c r="Z40" s="2323"/>
      <c r="AA40" s="2321"/>
      <c r="AB40" s="2321"/>
      <c r="AC40" s="2321"/>
      <c r="AD40" s="2321"/>
      <c r="AE40" s="2324"/>
      <c r="AF40" s="2320"/>
      <c r="AG40" s="2321"/>
      <c r="AH40" s="2321"/>
      <c r="AI40" s="2321"/>
      <c r="AJ40" s="2323"/>
      <c r="AK40" s="2320"/>
      <c r="AL40" s="2321"/>
      <c r="AM40" s="2321"/>
      <c r="AN40" s="2321"/>
      <c r="AO40" s="2323"/>
      <c r="AP40" s="2320"/>
      <c r="AQ40" s="2321"/>
      <c r="AR40" s="2321"/>
      <c r="AS40" s="2321"/>
      <c r="AT40" s="2323"/>
      <c r="AU40" s="2320"/>
      <c r="AV40" s="2321"/>
      <c r="AW40" s="2321"/>
      <c r="AX40" s="2321"/>
      <c r="AY40" s="2323"/>
      <c r="AZ40" s="2320"/>
      <c r="BA40" s="2321"/>
      <c r="BB40" s="2321"/>
      <c r="BC40" s="2321"/>
      <c r="BD40" s="2323"/>
      <c r="BE40" s="2320"/>
      <c r="BF40" s="2321"/>
      <c r="BG40" s="2321"/>
      <c r="BH40" s="2321"/>
      <c r="BI40" s="2323"/>
      <c r="BJ40" s="2321">
        <f>L40+Q40+V40+AA40</f>
        <v>0</v>
      </c>
      <c r="BK40" s="2321">
        <f>M40+R40+W40+AB40</f>
        <v>0</v>
      </c>
      <c r="BL40" s="2321"/>
      <c r="BM40" s="2321"/>
      <c r="BN40" s="2321"/>
      <c r="BO40" s="2325"/>
      <c r="BP40" s="2325"/>
      <c r="BR40" s="2245"/>
    </row>
    <row r="41" spans="1:72" ht="15" customHeight="1" x14ac:dyDescent="0.25">
      <c r="A41" s="2326"/>
      <c r="B41" s="2327" t="s">
        <v>26</v>
      </c>
      <c r="C41" s="2328">
        <f>SUM(C42:C48)</f>
        <v>0</v>
      </c>
      <c r="D41" s="2328">
        <f>SUM(D42:D48)</f>
        <v>0</v>
      </c>
      <c r="E41" s="2329">
        <f>SUM(E42:E48)</f>
        <v>0</v>
      </c>
      <c r="F41" s="2138" t="e">
        <f t="shared" ref="F41:F48" si="30">E41/$E$89</f>
        <v>#DIV/0!</v>
      </c>
      <c r="G41" s="2328">
        <f>SUM(G42:G48)</f>
        <v>22000</v>
      </c>
      <c r="H41" s="2328">
        <f>SUM(H42:H48)</f>
        <v>5000</v>
      </c>
      <c r="I41" s="2329">
        <f>SUM(I42:I48)</f>
        <v>27000</v>
      </c>
      <c r="J41" s="2138">
        <f>I41/$S$89</f>
        <v>1.1473663396808866E-2</v>
      </c>
      <c r="K41" s="2330"/>
      <c r="L41" s="2328">
        <v>10975.56</v>
      </c>
      <c r="M41" s="2328">
        <v>2266.3000000000002</v>
      </c>
      <c r="N41" s="2329">
        <v>13241.859999999999</v>
      </c>
      <c r="O41" s="2138">
        <v>3.0865675316371629E-2</v>
      </c>
      <c r="P41" s="1592"/>
      <c r="Q41" s="2328">
        <f>SUM(Q42:Q48)</f>
        <v>3295.05</v>
      </c>
      <c r="R41" s="2328">
        <f>SUM(R42:R48)</f>
        <v>110</v>
      </c>
      <c r="S41" s="2329">
        <f>SUM(S42:S48)</f>
        <v>3405.05</v>
      </c>
      <c r="T41" s="2138">
        <f>S41/$S$89</f>
        <v>1.4469776870112605E-3</v>
      </c>
      <c r="U41" s="2330"/>
      <c r="V41" s="2328">
        <f>SUM(V42:V48)</f>
        <v>11913.8</v>
      </c>
      <c r="W41" s="2328">
        <f>SUM(W42:W48)</f>
        <v>0</v>
      </c>
      <c r="X41" s="2329">
        <f>SUM(X42:X48)</f>
        <v>11913.8</v>
      </c>
      <c r="Y41" s="2138">
        <f>X41/$S$89</f>
        <v>5.0627752213667212E-3</v>
      </c>
      <c r="Z41" s="2330"/>
      <c r="AA41" s="2328">
        <f>SUM(AA42:AA48)</f>
        <v>0</v>
      </c>
      <c r="AB41" s="2328">
        <f>SUM(AB42:AB48)</f>
        <v>0</v>
      </c>
      <c r="AC41" s="2329">
        <f>SUM(AC42:AC48)</f>
        <v>0</v>
      </c>
      <c r="AD41" s="2138" t="e">
        <f t="shared" ref="AD41:AD52" si="31">AC41/$AC$89</f>
        <v>#DIV/0!</v>
      </c>
      <c r="AE41" s="2331"/>
      <c r="AF41" s="2328">
        <f>SUM(AF42:AF48)</f>
        <v>181</v>
      </c>
      <c r="AG41" s="2328">
        <f>SUM(AG42:AG48)</f>
        <v>0</v>
      </c>
      <c r="AH41" s="2329">
        <f>SUM(AH42:AH48)</f>
        <v>181</v>
      </c>
      <c r="AI41" s="2138">
        <f t="shared" ref="AI41:AI52" si="32">AH41/$AH$89</f>
        <v>1</v>
      </c>
      <c r="AJ41" s="2330"/>
      <c r="AK41" s="2328">
        <f>SUM(AK42:AK48)</f>
        <v>0</v>
      </c>
      <c r="AL41" s="2328">
        <f>SUM(AL42:AL48)</f>
        <v>0</v>
      </c>
      <c r="AM41" s="2329">
        <f>SUM(AM42:AM48)</f>
        <v>0</v>
      </c>
      <c r="AN41" s="2138">
        <f t="shared" ref="AN41:AN52" si="33">AM41/$AH$89</f>
        <v>0</v>
      </c>
      <c r="AO41" s="2330"/>
      <c r="AP41" s="2328">
        <f>SUM(AP42:AP48)</f>
        <v>45</v>
      </c>
      <c r="AQ41" s="2328">
        <f>SUM(AQ42:AQ48)</f>
        <v>0</v>
      </c>
      <c r="AR41" s="2329">
        <f>SUM(AR42:AR48)</f>
        <v>45</v>
      </c>
      <c r="AS41" s="2138">
        <f t="shared" ref="AS41:AS52" si="34">AR41/$AH$89</f>
        <v>0.24861878453038674</v>
      </c>
      <c r="AT41" s="2330"/>
      <c r="AU41" s="2328">
        <f>SUM(AU42:AU48)</f>
        <v>0</v>
      </c>
      <c r="AV41" s="2328">
        <f>SUM(AV42:AV48)</f>
        <v>0</v>
      </c>
      <c r="AW41" s="2329">
        <f>SUM(AW42:AW48)</f>
        <v>0</v>
      </c>
      <c r="AX41" s="2138">
        <f t="shared" ref="AX41:AX52" si="35">AW41/$AH$89</f>
        <v>0</v>
      </c>
      <c r="AY41" s="2330"/>
      <c r="AZ41" s="2328">
        <f>SUM(AZ42:AZ48)</f>
        <v>0</v>
      </c>
      <c r="BA41" s="2328">
        <f>SUM(BA42:BA48)</f>
        <v>0</v>
      </c>
      <c r="BB41" s="2329">
        <f>SUM(BB42:BB48)</f>
        <v>0</v>
      </c>
      <c r="BC41" s="2138">
        <f t="shared" ref="BC41:BC52" si="36">BB41/$AH$89</f>
        <v>0</v>
      </c>
      <c r="BD41" s="2330"/>
      <c r="BE41" s="2328">
        <f>SUM(BE42:BE48)</f>
        <v>0</v>
      </c>
      <c r="BF41" s="2328">
        <f>SUM(BF42:BF48)</f>
        <v>0</v>
      </c>
      <c r="BG41" s="2329">
        <f>SUM(BG42:BG48)</f>
        <v>0</v>
      </c>
      <c r="BH41" s="2138">
        <f t="shared" ref="BH41:BH52" si="37">BG41/$BG$89</f>
        <v>0</v>
      </c>
      <c r="BI41" s="2330"/>
      <c r="BJ41" s="2328">
        <f>SUM(BJ42:BJ48)</f>
        <v>27924.95</v>
      </c>
      <c r="BK41" s="2328">
        <f>SUM(BK42:BK48)</f>
        <v>2376.3000000000002</v>
      </c>
      <c r="BL41" s="2329">
        <f>SUM(BL42:BL48)</f>
        <v>30301.25</v>
      </c>
      <c r="BM41" s="2138">
        <f t="shared" ref="BM41:BM49" si="38">BL41/$BL$89</f>
        <v>5.3594229280238843E-3</v>
      </c>
      <c r="BN41" s="2332"/>
      <c r="BO41" s="2333"/>
      <c r="BP41" s="2333"/>
      <c r="BR41" s="2245"/>
    </row>
    <row r="42" spans="1:72" ht="15" customHeight="1" x14ac:dyDescent="0.25">
      <c r="A42" s="4178"/>
      <c r="B42" s="2334" t="s">
        <v>7</v>
      </c>
      <c r="C42" s="2236"/>
      <c r="D42" s="2335"/>
      <c r="E42" s="2336">
        <f t="shared" ref="E42:E48" si="39">C42+D42</f>
        <v>0</v>
      </c>
      <c r="F42" s="2136" t="e">
        <f t="shared" si="30"/>
        <v>#DIV/0!</v>
      </c>
      <c r="G42" s="2198"/>
      <c r="H42" s="2198"/>
      <c r="I42" s="2197">
        <f t="shared" ref="I42:I48" si="40">G42+H42*1</f>
        <v>0</v>
      </c>
      <c r="J42" s="2136">
        <f t="shared" ref="J42:J49" si="41">I42/$S$89</f>
        <v>0</v>
      </c>
      <c r="K42" s="2137"/>
      <c r="L42" s="2198">
        <v>0</v>
      </c>
      <c r="M42" s="2198">
        <v>0</v>
      </c>
      <c r="N42" s="2198">
        <f t="shared" ref="N42:N48" si="42">L42+M42</f>
        <v>0</v>
      </c>
      <c r="O42" s="2136">
        <v>0</v>
      </c>
      <c r="P42" s="1992"/>
      <c r="Q42" s="2198"/>
      <c r="R42" s="2198"/>
      <c r="S42" s="2197">
        <f t="shared" ref="S42:S48" si="43">Q42+R42*1</f>
        <v>0</v>
      </c>
      <c r="T42" s="2136">
        <f t="shared" ref="T42:T52" si="44">S42/$S$89</f>
        <v>0</v>
      </c>
      <c r="U42" s="2137"/>
      <c r="V42" s="2198"/>
      <c r="W42" s="2198"/>
      <c r="X42" s="2197">
        <f t="shared" ref="X42:X48" si="45">V42+W42*1</f>
        <v>0</v>
      </c>
      <c r="Y42" s="2136">
        <f t="shared" ref="Y42:Y49" si="46">X42/$S$89</f>
        <v>0</v>
      </c>
      <c r="Z42" s="2137"/>
      <c r="AA42" s="2198"/>
      <c r="AB42" s="2198"/>
      <c r="AC42" s="2197">
        <f t="shared" ref="AC42:AC48" si="47">AA42+AB42*1</f>
        <v>0</v>
      </c>
      <c r="AD42" s="2136" t="e">
        <f t="shared" si="31"/>
        <v>#DIV/0!</v>
      </c>
      <c r="AE42" s="2256"/>
      <c r="AF42" s="2201"/>
      <c r="AG42" s="2198"/>
      <c r="AH42" s="2197">
        <f t="shared" ref="AH42:AH48" si="48">AF42+AG42*1</f>
        <v>0</v>
      </c>
      <c r="AI42" s="2136">
        <f t="shared" si="32"/>
        <v>0</v>
      </c>
      <c r="AJ42" s="2137"/>
      <c r="AK42" s="2201"/>
      <c r="AL42" s="2198"/>
      <c r="AM42" s="2197">
        <f t="shared" ref="AM42:AM48" si="49">AK42+AL42*1</f>
        <v>0</v>
      </c>
      <c r="AN42" s="2136">
        <f t="shared" si="33"/>
        <v>0</v>
      </c>
      <c r="AO42" s="2137"/>
      <c r="AP42" s="2201"/>
      <c r="AQ42" s="2198"/>
      <c r="AR42" s="2197">
        <f t="shared" ref="AR42:AR48" si="50">AP42+AQ42*1</f>
        <v>0</v>
      </c>
      <c r="AS42" s="2136">
        <f t="shared" si="34"/>
        <v>0</v>
      </c>
      <c r="AT42" s="2137"/>
      <c r="AU42" s="2201"/>
      <c r="AV42" s="2198"/>
      <c r="AW42" s="2197">
        <f t="shared" ref="AW42:AW48" si="51">AU42+AV42*1</f>
        <v>0</v>
      </c>
      <c r="AX42" s="2136">
        <f t="shared" si="35"/>
        <v>0</v>
      </c>
      <c r="AY42" s="2137"/>
      <c r="AZ42" s="2201"/>
      <c r="BA42" s="2198"/>
      <c r="BB42" s="2197">
        <f t="shared" ref="BB42:BB48" si="52">AZ42+BA42*1</f>
        <v>0</v>
      </c>
      <c r="BC42" s="2136">
        <f t="shared" si="36"/>
        <v>0</v>
      </c>
      <c r="BD42" s="2137"/>
      <c r="BE42" s="2201"/>
      <c r="BF42" s="2198"/>
      <c r="BG42" s="2197">
        <f t="shared" ref="BG42:BG48" si="53">BE42+BF42*1</f>
        <v>0</v>
      </c>
      <c r="BH42" s="2136">
        <f t="shared" si="37"/>
        <v>0</v>
      </c>
      <c r="BI42" s="2137"/>
      <c r="BJ42" s="2198">
        <f t="shared" ref="BJ42:BK49" si="54">L42+Q42+V42+AA42+AF42+AK42+AP42+AU42+AZ42+BE42</f>
        <v>0</v>
      </c>
      <c r="BK42" s="2198">
        <f t="shared" si="54"/>
        <v>0</v>
      </c>
      <c r="BL42" s="2197">
        <f t="shared" ref="BL42:BL48" si="55">BJ42+BK42*1</f>
        <v>0</v>
      </c>
      <c r="BM42" s="2136">
        <f t="shared" si="38"/>
        <v>0</v>
      </c>
      <c r="BN42" s="2139"/>
      <c r="BO42" s="2205">
        <f t="shared" ref="BO42:BO49" si="56">I42-BL42</f>
        <v>0</v>
      </c>
      <c r="BP42" s="2230"/>
      <c r="BR42" s="2245"/>
    </row>
    <row r="43" spans="1:72" ht="15" customHeight="1" x14ac:dyDescent="0.25">
      <c r="A43" s="4178"/>
      <c r="B43" s="2334" t="s">
        <v>27</v>
      </c>
      <c r="C43" s="2236"/>
      <c r="D43" s="2335"/>
      <c r="E43" s="2336">
        <f t="shared" si="39"/>
        <v>0</v>
      </c>
      <c r="F43" s="2136" t="e">
        <f t="shared" si="30"/>
        <v>#DIV/0!</v>
      </c>
      <c r="G43" s="2198"/>
      <c r="H43" s="2198">
        <v>4000</v>
      </c>
      <c r="I43" s="2197">
        <f t="shared" si="40"/>
        <v>4000</v>
      </c>
      <c r="J43" s="2136">
        <f t="shared" si="41"/>
        <v>1.6998019847124246E-3</v>
      </c>
      <c r="K43" s="2137"/>
      <c r="L43" s="2198">
        <v>0</v>
      </c>
      <c r="M43" s="2198">
        <v>988.3</v>
      </c>
      <c r="N43" s="2198">
        <f t="shared" si="42"/>
        <v>988.3</v>
      </c>
      <c r="O43" s="2136">
        <v>2.3036451763702444E-3</v>
      </c>
      <c r="P43" s="1992"/>
      <c r="Q43" s="2198"/>
      <c r="R43" s="2198">
        <v>110</v>
      </c>
      <c r="S43" s="2197">
        <f t="shared" si="43"/>
        <v>110</v>
      </c>
      <c r="T43" s="2136">
        <f t="shared" si="44"/>
        <v>4.674455457959168E-5</v>
      </c>
      <c r="U43" s="2137"/>
      <c r="V43" s="2198"/>
      <c r="W43" s="2198"/>
      <c r="X43" s="2197">
        <f t="shared" si="45"/>
        <v>0</v>
      </c>
      <c r="Y43" s="2136">
        <f t="shared" si="46"/>
        <v>0</v>
      </c>
      <c r="Z43" s="2137"/>
      <c r="AA43" s="2198"/>
      <c r="AB43" s="2198"/>
      <c r="AC43" s="2197">
        <f t="shared" si="47"/>
        <v>0</v>
      </c>
      <c r="AD43" s="2136" t="e">
        <f t="shared" si="31"/>
        <v>#DIV/0!</v>
      </c>
      <c r="AE43" s="2256"/>
      <c r="AF43" s="2201"/>
      <c r="AG43" s="2198"/>
      <c r="AH43" s="2197">
        <f t="shared" si="48"/>
        <v>0</v>
      </c>
      <c r="AI43" s="2136">
        <f t="shared" si="32"/>
        <v>0</v>
      </c>
      <c r="AJ43" s="2137"/>
      <c r="AK43" s="2201"/>
      <c r="AL43" s="2198"/>
      <c r="AM43" s="2197">
        <f t="shared" si="49"/>
        <v>0</v>
      </c>
      <c r="AN43" s="2136">
        <f t="shared" si="33"/>
        <v>0</v>
      </c>
      <c r="AO43" s="2137"/>
      <c r="AP43" s="2201"/>
      <c r="AQ43" s="2198"/>
      <c r="AR43" s="2197">
        <f t="shared" si="50"/>
        <v>0</v>
      </c>
      <c r="AS43" s="2136">
        <f t="shared" si="34"/>
        <v>0</v>
      </c>
      <c r="AT43" s="2137"/>
      <c r="AU43" s="2201"/>
      <c r="AV43" s="2198"/>
      <c r="AW43" s="2197">
        <f t="shared" si="51"/>
        <v>0</v>
      </c>
      <c r="AX43" s="2136">
        <f t="shared" si="35"/>
        <v>0</v>
      </c>
      <c r="AY43" s="2137"/>
      <c r="AZ43" s="2201"/>
      <c r="BA43" s="2198"/>
      <c r="BB43" s="2197">
        <f t="shared" si="52"/>
        <v>0</v>
      </c>
      <c r="BC43" s="2136">
        <f t="shared" si="36"/>
        <v>0</v>
      </c>
      <c r="BD43" s="2137"/>
      <c r="BE43" s="2201"/>
      <c r="BF43" s="2198"/>
      <c r="BG43" s="2197">
        <f t="shared" si="53"/>
        <v>0</v>
      </c>
      <c r="BH43" s="2136">
        <f t="shared" si="37"/>
        <v>0</v>
      </c>
      <c r="BI43" s="2137"/>
      <c r="BJ43" s="2198">
        <f t="shared" si="54"/>
        <v>0</v>
      </c>
      <c r="BK43" s="2198">
        <f t="shared" si="54"/>
        <v>1098.3</v>
      </c>
      <c r="BL43" s="2197">
        <f t="shared" si="55"/>
        <v>1098.3</v>
      </c>
      <c r="BM43" s="2136">
        <f t="shared" si="38"/>
        <v>1.9425780130683163E-4</v>
      </c>
      <c r="BN43" s="2139"/>
      <c r="BO43" s="2205">
        <f t="shared" si="56"/>
        <v>2901.7</v>
      </c>
      <c r="BP43" s="2230"/>
      <c r="BQ43" s="2206">
        <v>1098.3</v>
      </c>
      <c r="BR43" s="2207">
        <f>BL43-BQ43</f>
        <v>0</v>
      </c>
    </row>
    <row r="44" spans="1:72" ht="15" customHeight="1" x14ac:dyDescent="0.25">
      <c r="A44" s="4178"/>
      <c r="B44" s="2283" t="s">
        <v>28</v>
      </c>
      <c r="C44" s="2236"/>
      <c r="D44" s="2335"/>
      <c r="E44" s="2336">
        <f t="shared" si="39"/>
        <v>0</v>
      </c>
      <c r="F44" s="2136" t="e">
        <f t="shared" si="30"/>
        <v>#DIV/0!</v>
      </c>
      <c r="G44" s="2198"/>
      <c r="H44" s="2198">
        <v>1000</v>
      </c>
      <c r="I44" s="2197">
        <f t="shared" si="40"/>
        <v>1000</v>
      </c>
      <c r="J44" s="2136">
        <f t="shared" si="41"/>
        <v>4.2495049617810615E-4</v>
      </c>
      <c r="K44" s="2137"/>
      <c r="L44" s="2198">
        <v>0</v>
      </c>
      <c r="M44" s="2198">
        <v>200</v>
      </c>
      <c r="N44" s="2198">
        <f t="shared" si="42"/>
        <v>200</v>
      </c>
      <c r="O44" s="2136">
        <v>4.6618338082975706E-4</v>
      </c>
      <c r="P44" s="1992"/>
      <c r="Q44" s="2198"/>
      <c r="R44" s="2198"/>
      <c r="S44" s="2197">
        <f t="shared" si="43"/>
        <v>0</v>
      </c>
      <c r="T44" s="2136">
        <f t="shared" si="44"/>
        <v>0</v>
      </c>
      <c r="U44" s="2137"/>
      <c r="V44" s="2198"/>
      <c r="W44" s="2198"/>
      <c r="X44" s="2197">
        <f t="shared" si="45"/>
        <v>0</v>
      </c>
      <c r="Y44" s="2136">
        <f t="shared" si="46"/>
        <v>0</v>
      </c>
      <c r="Z44" s="2137"/>
      <c r="AA44" s="2198"/>
      <c r="AB44" s="2198"/>
      <c r="AC44" s="2197">
        <f t="shared" si="47"/>
        <v>0</v>
      </c>
      <c r="AD44" s="2136" t="e">
        <f t="shared" si="31"/>
        <v>#DIV/0!</v>
      </c>
      <c r="AE44" s="2256"/>
      <c r="AF44" s="2201"/>
      <c r="AG44" s="2198"/>
      <c r="AH44" s="2197">
        <f t="shared" si="48"/>
        <v>0</v>
      </c>
      <c r="AI44" s="2136">
        <f t="shared" si="32"/>
        <v>0</v>
      </c>
      <c r="AJ44" s="2137"/>
      <c r="AK44" s="2201"/>
      <c r="AL44" s="2198"/>
      <c r="AM44" s="2197">
        <f t="shared" si="49"/>
        <v>0</v>
      </c>
      <c r="AN44" s="2136">
        <f t="shared" si="33"/>
        <v>0</v>
      </c>
      <c r="AO44" s="2137"/>
      <c r="AP44" s="2201"/>
      <c r="AQ44" s="2198"/>
      <c r="AR44" s="2197">
        <f t="shared" si="50"/>
        <v>0</v>
      </c>
      <c r="AS44" s="2136">
        <f t="shared" si="34"/>
        <v>0</v>
      </c>
      <c r="AT44" s="2137"/>
      <c r="AU44" s="2201"/>
      <c r="AV44" s="2198"/>
      <c r="AW44" s="2197">
        <f t="shared" si="51"/>
        <v>0</v>
      </c>
      <c r="AX44" s="2136">
        <f t="shared" si="35"/>
        <v>0</v>
      </c>
      <c r="AY44" s="2137"/>
      <c r="AZ44" s="2201"/>
      <c r="BA44" s="2198"/>
      <c r="BB44" s="2197">
        <f t="shared" si="52"/>
        <v>0</v>
      </c>
      <c r="BC44" s="2136">
        <f t="shared" si="36"/>
        <v>0</v>
      </c>
      <c r="BD44" s="2137"/>
      <c r="BE44" s="2201"/>
      <c r="BF44" s="2198"/>
      <c r="BG44" s="2197">
        <f t="shared" si="53"/>
        <v>0</v>
      </c>
      <c r="BH44" s="2136">
        <f t="shared" si="37"/>
        <v>0</v>
      </c>
      <c r="BI44" s="2137"/>
      <c r="BJ44" s="2198">
        <f t="shared" si="54"/>
        <v>0</v>
      </c>
      <c r="BK44" s="2198">
        <f t="shared" si="54"/>
        <v>200</v>
      </c>
      <c r="BL44" s="2197">
        <f t="shared" si="55"/>
        <v>200</v>
      </c>
      <c r="BM44" s="2136">
        <f t="shared" si="38"/>
        <v>3.537426956329448E-5</v>
      </c>
      <c r="BN44" s="2139"/>
      <c r="BO44" s="2205">
        <f t="shared" si="56"/>
        <v>800</v>
      </c>
      <c r="BP44" s="2230"/>
      <c r="BQ44" s="2206">
        <v>200</v>
      </c>
      <c r="BR44" s="2207">
        <f>BL44-BQ44</f>
        <v>0</v>
      </c>
    </row>
    <row r="45" spans="1:72" ht="15" customHeight="1" x14ac:dyDescent="0.25">
      <c r="A45" s="4178"/>
      <c r="B45" s="2334" t="s">
        <v>8</v>
      </c>
      <c r="C45" s="2236"/>
      <c r="D45" s="2335"/>
      <c r="E45" s="2336">
        <f t="shared" si="39"/>
        <v>0</v>
      </c>
      <c r="F45" s="2136" t="e">
        <f t="shared" si="30"/>
        <v>#DIV/0!</v>
      </c>
      <c r="G45" s="2198">
        <v>8000</v>
      </c>
      <c r="H45" s="2198"/>
      <c r="I45" s="2197">
        <f t="shared" si="40"/>
        <v>8000</v>
      </c>
      <c r="J45" s="2136">
        <f t="shared" si="41"/>
        <v>3.3996039694248492E-3</v>
      </c>
      <c r="K45" s="2137"/>
      <c r="L45" s="2198">
        <v>0</v>
      </c>
      <c r="M45" s="2198">
        <v>0</v>
      </c>
      <c r="N45" s="2198">
        <f t="shared" si="42"/>
        <v>0</v>
      </c>
      <c r="O45" s="2136">
        <v>0</v>
      </c>
      <c r="P45" s="1992"/>
      <c r="Q45" s="2198"/>
      <c r="R45" s="2198"/>
      <c r="S45" s="2197">
        <f t="shared" si="43"/>
        <v>0</v>
      </c>
      <c r="T45" s="2136">
        <f t="shared" si="44"/>
        <v>0</v>
      </c>
      <c r="U45" s="2137"/>
      <c r="V45" s="2198"/>
      <c r="W45" s="2198"/>
      <c r="X45" s="2197">
        <f t="shared" si="45"/>
        <v>0</v>
      </c>
      <c r="Y45" s="2136">
        <f t="shared" si="46"/>
        <v>0</v>
      </c>
      <c r="Z45" s="2137"/>
      <c r="AA45" s="2198"/>
      <c r="AB45" s="2198"/>
      <c r="AC45" s="2197">
        <f t="shared" si="47"/>
        <v>0</v>
      </c>
      <c r="AD45" s="2136" t="e">
        <f t="shared" si="31"/>
        <v>#DIV/0!</v>
      </c>
      <c r="AE45" s="2256"/>
      <c r="AF45" s="2201"/>
      <c r="AG45" s="2198"/>
      <c r="AH45" s="2197">
        <f t="shared" si="48"/>
        <v>0</v>
      </c>
      <c r="AI45" s="2136">
        <f t="shared" si="32"/>
        <v>0</v>
      </c>
      <c r="AJ45" s="2137"/>
      <c r="AK45" s="2201"/>
      <c r="AL45" s="2198"/>
      <c r="AM45" s="2197">
        <f t="shared" si="49"/>
        <v>0</v>
      </c>
      <c r="AN45" s="2136">
        <f t="shared" si="33"/>
        <v>0</v>
      </c>
      <c r="AO45" s="2137"/>
      <c r="AP45" s="2201"/>
      <c r="AQ45" s="2198"/>
      <c r="AR45" s="2197">
        <f t="shared" si="50"/>
        <v>0</v>
      </c>
      <c r="AS45" s="2136">
        <f t="shared" si="34"/>
        <v>0</v>
      </c>
      <c r="AT45" s="2137"/>
      <c r="AU45" s="2201"/>
      <c r="AV45" s="2198"/>
      <c r="AW45" s="2197">
        <f t="shared" si="51"/>
        <v>0</v>
      </c>
      <c r="AX45" s="2136">
        <f t="shared" si="35"/>
        <v>0</v>
      </c>
      <c r="AY45" s="2137"/>
      <c r="AZ45" s="2201"/>
      <c r="BA45" s="2198"/>
      <c r="BB45" s="2197">
        <f t="shared" si="52"/>
        <v>0</v>
      </c>
      <c r="BC45" s="2136">
        <f t="shared" si="36"/>
        <v>0</v>
      </c>
      <c r="BD45" s="2137"/>
      <c r="BE45" s="2201"/>
      <c r="BF45" s="2198"/>
      <c r="BG45" s="2197">
        <f t="shared" si="53"/>
        <v>0</v>
      </c>
      <c r="BH45" s="2136">
        <f t="shared" si="37"/>
        <v>0</v>
      </c>
      <c r="BI45" s="2137"/>
      <c r="BJ45" s="2198">
        <f t="shared" si="54"/>
        <v>0</v>
      </c>
      <c r="BK45" s="2198">
        <f t="shared" si="54"/>
        <v>0</v>
      </c>
      <c r="BL45" s="2197">
        <f t="shared" si="55"/>
        <v>0</v>
      </c>
      <c r="BM45" s="2136">
        <f t="shared" si="38"/>
        <v>0</v>
      </c>
      <c r="BN45" s="2139"/>
      <c r="BO45" s="2205">
        <f t="shared" si="56"/>
        <v>8000</v>
      </c>
      <c r="BP45" s="2230"/>
      <c r="BR45" s="2245"/>
    </row>
    <row r="46" spans="1:72" ht="15" customHeight="1" x14ac:dyDescent="0.25">
      <c r="A46" s="4178"/>
      <c r="B46" s="2334" t="s">
        <v>29</v>
      </c>
      <c r="C46" s="2236"/>
      <c r="D46" s="2335"/>
      <c r="E46" s="2336">
        <f t="shared" si="39"/>
        <v>0</v>
      </c>
      <c r="F46" s="2136" t="e">
        <f t="shared" si="30"/>
        <v>#DIV/0!</v>
      </c>
      <c r="G46" s="2198"/>
      <c r="H46" s="2198"/>
      <c r="I46" s="2197">
        <f t="shared" si="40"/>
        <v>0</v>
      </c>
      <c r="J46" s="2136">
        <f t="shared" si="41"/>
        <v>0</v>
      </c>
      <c r="K46" s="2137"/>
      <c r="L46" s="2198">
        <v>0</v>
      </c>
      <c r="M46" s="2198">
        <v>0</v>
      </c>
      <c r="N46" s="2198">
        <f t="shared" si="42"/>
        <v>0</v>
      </c>
      <c r="O46" s="2136">
        <v>0</v>
      </c>
      <c r="P46" s="1992"/>
      <c r="Q46" s="2198"/>
      <c r="R46" s="2198"/>
      <c r="S46" s="2197">
        <f t="shared" si="43"/>
        <v>0</v>
      </c>
      <c r="T46" s="2136">
        <f t="shared" si="44"/>
        <v>0</v>
      </c>
      <c r="U46" s="2137"/>
      <c r="V46" s="2198"/>
      <c r="W46" s="2198"/>
      <c r="X46" s="2197">
        <f t="shared" si="45"/>
        <v>0</v>
      </c>
      <c r="Y46" s="2136">
        <f t="shared" si="46"/>
        <v>0</v>
      </c>
      <c r="Z46" s="2137"/>
      <c r="AA46" s="2198"/>
      <c r="AB46" s="2198"/>
      <c r="AC46" s="2197">
        <f t="shared" si="47"/>
        <v>0</v>
      </c>
      <c r="AD46" s="2136" t="e">
        <f t="shared" si="31"/>
        <v>#DIV/0!</v>
      </c>
      <c r="AE46" s="2256"/>
      <c r="AF46" s="2201"/>
      <c r="AG46" s="2198"/>
      <c r="AH46" s="2197">
        <f t="shared" si="48"/>
        <v>0</v>
      </c>
      <c r="AI46" s="2136">
        <f t="shared" si="32"/>
        <v>0</v>
      </c>
      <c r="AJ46" s="2137"/>
      <c r="AK46" s="2201"/>
      <c r="AL46" s="2198"/>
      <c r="AM46" s="2197">
        <f t="shared" si="49"/>
        <v>0</v>
      </c>
      <c r="AN46" s="2136">
        <f t="shared" si="33"/>
        <v>0</v>
      </c>
      <c r="AO46" s="2137"/>
      <c r="AP46" s="2201"/>
      <c r="AQ46" s="2198"/>
      <c r="AR46" s="2197">
        <f t="shared" si="50"/>
        <v>0</v>
      </c>
      <c r="AS46" s="2136">
        <f t="shared" si="34"/>
        <v>0</v>
      </c>
      <c r="AT46" s="2137"/>
      <c r="AU46" s="2201"/>
      <c r="AV46" s="2198"/>
      <c r="AW46" s="2197">
        <f t="shared" si="51"/>
        <v>0</v>
      </c>
      <c r="AX46" s="2136">
        <f t="shared" si="35"/>
        <v>0</v>
      </c>
      <c r="AY46" s="2137"/>
      <c r="AZ46" s="2201"/>
      <c r="BA46" s="2198"/>
      <c r="BB46" s="2197">
        <f t="shared" si="52"/>
        <v>0</v>
      </c>
      <c r="BC46" s="2136">
        <f t="shared" si="36"/>
        <v>0</v>
      </c>
      <c r="BD46" s="2137"/>
      <c r="BE46" s="2201"/>
      <c r="BF46" s="2198"/>
      <c r="BG46" s="2197">
        <f t="shared" si="53"/>
        <v>0</v>
      </c>
      <c r="BH46" s="2136">
        <f t="shared" si="37"/>
        <v>0</v>
      </c>
      <c r="BI46" s="2137"/>
      <c r="BJ46" s="2198">
        <f t="shared" si="54"/>
        <v>0</v>
      </c>
      <c r="BK46" s="2198">
        <f t="shared" si="54"/>
        <v>0</v>
      </c>
      <c r="BL46" s="2197">
        <f t="shared" si="55"/>
        <v>0</v>
      </c>
      <c r="BM46" s="2136">
        <f t="shared" si="38"/>
        <v>0</v>
      </c>
      <c r="BN46" s="2139"/>
      <c r="BO46" s="2205">
        <f t="shared" si="56"/>
        <v>0</v>
      </c>
      <c r="BP46" s="2230"/>
      <c r="BR46" s="2245"/>
    </row>
    <row r="47" spans="1:72" ht="31.2" customHeight="1" x14ac:dyDescent="0.25">
      <c r="A47" s="4178"/>
      <c r="B47" s="2334" t="s">
        <v>30</v>
      </c>
      <c r="C47" s="2236"/>
      <c r="D47" s="2335"/>
      <c r="E47" s="2336">
        <f t="shared" si="39"/>
        <v>0</v>
      </c>
      <c r="F47" s="2136" t="e">
        <f t="shared" si="30"/>
        <v>#DIV/0!</v>
      </c>
      <c r="G47" s="2198">
        <v>12000</v>
      </c>
      <c r="H47" s="2198"/>
      <c r="I47" s="2197">
        <f t="shared" si="40"/>
        <v>12000</v>
      </c>
      <c r="J47" s="2136">
        <f t="shared" si="41"/>
        <v>5.099405954137274E-3</v>
      </c>
      <c r="K47" s="2137"/>
      <c r="L47" s="2198">
        <f>9958.24+584.32</f>
        <v>10542.56</v>
      </c>
      <c r="M47" s="2198">
        <v>1078</v>
      </c>
      <c r="N47" s="2198">
        <f t="shared" si="42"/>
        <v>11620.56</v>
      </c>
      <c r="O47" s="2136">
        <v>2.5724558374242989E-2</v>
      </c>
      <c r="P47" s="1992"/>
      <c r="Q47" s="2198">
        <v>3295.05</v>
      </c>
      <c r="R47" s="2198"/>
      <c r="S47" s="2197">
        <f t="shared" si="43"/>
        <v>3295.05</v>
      </c>
      <c r="T47" s="2136">
        <f t="shared" si="44"/>
        <v>1.4002331324316688E-3</v>
      </c>
      <c r="U47" s="2137"/>
      <c r="V47" s="2198">
        <f>9232.3+92.5+2589</f>
        <v>11913.8</v>
      </c>
      <c r="W47" s="2198"/>
      <c r="X47" s="2197">
        <f t="shared" si="45"/>
        <v>11913.8</v>
      </c>
      <c r="Y47" s="2136">
        <f t="shared" si="46"/>
        <v>5.0627752213667212E-3</v>
      </c>
      <c r="Z47" s="2204" t="s">
        <v>1034</v>
      </c>
      <c r="AA47" s="2198"/>
      <c r="AB47" s="2198"/>
      <c r="AC47" s="2197">
        <f t="shared" si="47"/>
        <v>0</v>
      </c>
      <c r="AD47" s="2136" t="e">
        <f t="shared" si="31"/>
        <v>#DIV/0!</v>
      </c>
      <c r="AE47" s="2256"/>
      <c r="AF47" s="2201">
        <v>181</v>
      </c>
      <c r="AG47" s="2198"/>
      <c r="AH47" s="2197">
        <f t="shared" si="48"/>
        <v>181</v>
      </c>
      <c r="AI47" s="2136">
        <f t="shared" si="32"/>
        <v>1</v>
      </c>
      <c r="AJ47" s="2204" t="s">
        <v>1230</v>
      </c>
      <c r="AK47" s="2201"/>
      <c r="AL47" s="2198"/>
      <c r="AM47" s="2197">
        <f t="shared" si="49"/>
        <v>0</v>
      </c>
      <c r="AN47" s="2136">
        <f t="shared" si="33"/>
        <v>0</v>
      </c>
      <c r="AO47" s="2204"/>
      <c r="AP47" s="2238">
        <v>45</v>
      </c>
      <c r="AQ47" s="2239"/>
      <c r="AR47" s="2337">
        <f t="shared" si="50"/>
        <v>45</v>
      </c>
      <c r="AS47" s="2154">
        <f t="shared" si="34"/>
        <v>0.24861878453038674</v>
      </c>
      <c r="AT47" s="2338" t="s">
        <v>486</v>
      </c>
      <c r="AU47" s="2339"/>
      <c r="AV47" s="2339"/>
      <c r="AW47" s="2197">
        <f t="shared" si="51"/>
        <v>0</v>
      </c>
      <c r="AX47" s="2136">
        <f t="shared" si="35"/>
        <v>0</v>
      </c>
      <c r="AY47" s="2147"/>
      <c r="AZ47" s="2201"/>
      <c r="BA47" s="2339"/>
      <c r="BB47" s="2197">
        <f t="shared" si="52"/>
        <v>0</v>
      </c>
      <c r="BC47" s="2136">
        <f t="shared" si="36"/>
        <v>0</v>
      </c>
      <c r="BD47" s="2147"/>
      <c r="BE47" s="2201"/>
      <c r="BF47" s="2339"/>
      <c r="BG47" s="2197">
        <f t="shared" si="53"/>
        <v>0</v>
      </c>
      <c r="BH47" s="2136">
        <f t="shared" si="37"/>
        <v>0</v>
      </c>
      <c r="BI47" s="2147"/>
      <c r="BJ47" s="2198">
        <f t="shared" si="54"/>
        <v>25977.41</v>
      </c>
      <c r="BK47" s="2198">
        <f t="shared" si="54"/>
        <v>1078</v>
      </c>
      <c r="BL47" s="2197">
        <f t="shared" si="55"/>
        <v>27055.41</v>
      </c>
      <c r="BM47" s="2136">
        <f t="shared" si="38"/>
        <v>4.7853268324272655E-3</v>
      </c>
      <c r="BN47" s="2139"/>
      <c r="BO47" s="2205">
        <f t="shared" si="56"/>
        <v>-15055.41</v>
      </c>
      <c r="BP47" s="2230"/>
      <c r="BQ47" s="2206">
        <v>27055.41</v>
      </c>
      <c r="BR47" s="2207">
        <f>BL47-BQ47</f>
        <v>0</v>
      </c>
    </row>
    <row r="48" spans="1:72" ht="15" customHeight="1" x14ac:dyDescent="0.25">
      <c r="A48" s="4178"/>
      <c r="B48" s="2334" t="s">
        <v>15</v>
      </c>
      <c r="C48" s="2236"/>
      <c r="D48" s="2335"/>
      <c r="E48" s="2336">
        <f t="shared" si="39"/>
        <v>0</v>
      </c>
      <c r="F48" s="2136" t="e">
        <f t="shared" si="30"/>
        <v>#DIV/0!</v>
      </c>
      <c r="G48" s="2198">
        <v>2000</v>
      </c>
      <c r="H48" s="2198"/>
      <c r="I48" s="2197">
        <f t="shared" si="40"/>
        <v>2000</v>
      </c>
      <c r="J48" s="2136">
        <f t="shared" si="41"/>
        <v>8.4990099235621229E-4</v>
      </c>
      <c r="K48" s="2137"/>
      <c r="L48" s="2198">
        <f>1017.32+930.22</f>
        <v>1947.54</v>
      </c>
      <c r="M48" s="2198">
        <v>0</v>
      </c>
      <c r="N48" s="2198">
        <f t="shared" si="42"/>
        <v>1947.54</v>
      </c>
      <c r="O48" s="2136">
        <v>2.3712883849286424E-3</v>
      </c>
      <c r="P48" s="1992"/>
      <c r="Q48" s="2198"/>
      <c r="R48" s="2198"/>
      <c r="S48" s="2197">
        <f t="shared" si="43"/>
        <v>0</v>
      </c>
      <c r="T48" s="2136">
        <f t="shared" si="44"/>
        <v>0</v>
      </c>
      <c r="U48" s="2137"/>
      <c r="V48" s="2198"/>
      <c r="W48" s="2198"/>
      <c r="X48" s="2197">
        <f t="shared" si="45"/>
        <v>0</v>
      </c>
      <c r="Y48" s="2136">
        <f t="shared" si="46"/>
        <v>0</v>
      </c>
      <c r="Z48" s="2137"/>
      <c r="AA48" s="2198"/>
      <c r="AB48" s="2198"/>
      <c r="AC48" s="2197">
        <f t="shared" si="47"/>
        <v>0</v>
      </c>
      <c r="AD48" s="2136" t="e">
        <f t="shared" si="31"/>
        <v>#DIV/0!</v>
      </c>
      <c r="AE48" s="2256"/>
      <c r="AF48" s="2201"/>
      <c r="AG48" s="2198"/>
      <c r="AH48" s="2197">
        <f t="shared" si="48"/>
        <v>0</v>
      </c>
      <c r="AI48" s="2136">
        <f t="shared" si="32"/>
        <v>0</v>
      </c>
      <c r="AJ48" s="2137"/>
      <c r="AK48" s="2201"/>
      <c r="AL48" s="2198"/>
      <c r="AM48" s="2197">
        <f t="shared" si="49"/>
        <v>0</v>
      </c>
      <c r="AN48" s="2136">
        <f t="shared" si="33"/>
        <v>0</v>
      </c>
      <c r="AO48" s="2137"/>
      <c r="AP48" s="2201"/>
      <c r="AQ48" s="2198"/>
      <c r="AR48" s="2197">
        <f t="shared" si="50"/>
        <v>0</v>
      </c>
      <c r="AS48" s="2136">
        <f t="shared" si="34"/>
        <v>0</v>
      </c>
      <c r="AT48" s="2137"/>
      <c r="AU48" s="2201"/>
      <c r="AV48" s="2198"/>
      <c r="AW48" s="2197">
        <f t="shared" si="51"/>
        <v>0</v>
      </c>
      <c r="AX48" s="2136">
        <f t="shared" si="35"/>
        <v>0</v>
      </c>
      <c r="AY48" s="2137"/>
      <c r="AZ48" s="2201"/>
      <c r="BA48" s="2198"/>
      <c r="BB48" s="2197">
        <f t="shared" si="52"/>
        <v>0</v>
      </c>
      <c r="BC48" s="2136">
        <f t="shared" si="36"/>
        <v>0</v>
      </c>
      <c r="BD48" s="2137"/>
      <c r="BE48" s="2201"/>
      <c r="BF48" s="2198"/>
      <c r="BG48" s="2197">
        <f t="shared" si="53"/>
        <v>0</v>
      </c>
      <c r="BH48" s="2136">
        <f t="shared" si="37"/>
        <v>0</v>
      </c>
      <c r="BI48" s="2137"/>
      <c r="BJ48" s="2198">
        <f t="shared" si="54"/>
        <v>1947.54</v>
      </c>
      <c r="BK48" s="2198">
        <f t="shared" si="54"/>
        <v>0</v>
      </c>
      <c r="BL48" s="2197">
        <f t="shared" si="55"/>
        <v>1947.54</v>
      </c>
      <c r="BM48" s="2136">
        <f t="shared" si="38"/>
        <v>3.4446402472649266E-4</v>
      </c>
      <c r="BN48" s="2139"/>
      <c r="BO48" s="2205">
        <f t="shared" si="56"/>
        <v>52.460000000000036</v>
      </c>
      <c r="BP48" s="2230"/>
      <c r="BQ48" s="2206">
        <v>1947.54</v>
      </c>
      <c r="BR48" s="2207">
        <f>BL48-BQ48</f>
        <v>0</v>
      </c>
    </row>
    <row r="49" spans="1:72" s="2209" customFormat="1" ht="15" customHeight="1" thickBot="1" x14ac:dyDescent="0.3">
      <c r="A49" s="2326"/>
      <c r="B49" s="2340"/>
      <c r="C49" s="2255"/>
      <c r="D49" s="2341"/>
      <c r="E49" s="2342"/>
      <c r="F49" s="2343"/>
      <c r="G49" s="2198"/>
      <c r="H49" s="2198"/>
      <c r="I49" s="2295"/>
      <c r="J49" s="2136">
        <f t="shared" si="41"/>
        <v>0</v>
      </c>
      <c r="K49" s="2297"/>
      <c r="L49" s="2198"/>
      <c r="M49" s="2198"/>
      <c r="N49" s="2295"/>
      <c r="O49" s="2136">
        <v>0</v>
      </c>
      <c r="P49" s="2298"/>
      <c r="Q49" s="2198"/>
      <c r="R49" s="2198"/>
      <c r="S49" s="2295"/>
      <c r="T49" s="2136">
        <f t="shared" si="44"/>
        <v>0</v>
      </c>
      <c r="U49" s="2297"/>
      <c r="V49" s="2198"/>
      <c r="W49" s="2198"/>
      <c r="X49" s="2295"/>
      <c r="Y49" s="2136">
        <f t="shared" si="46"/>
        <v>0</v>
      </c>
      <c r="Z49" s="2297"/>
      <c r="AA49" s="2198"/>
      <c r="AB49" s="2198"/>
      <c r="AC49" s="2295"/>
      <c r="AD49" s="2136" t="e">
        <f t="shared" si="31"/>
        <v>#DIV/0!</v>
      </c>
      <c r="AE49" s="2299"/>
      <c r="AF49" s="2201"/>
      <c r="AG49" s="2198"/>
      <c r="AH49" s="2295"/>
      <c r="AI49" s="2136">
        <f t="shared" si="32"/>
        <v>0</v>
      </c>
      <c r="AJ49" s="2297"/>
      <c r="AK49" s="2201"/>
      <c r="AL49" s="2198"/>
      <c r="AM49" s="2295"/>
      <c r="AN49" s="2136">
        <f t="shared" si="33"/>
        <v>0</v>
      </c>
      <c r="AO49" s="2297"/>
      <c r="AP49" s="2201"/>
      <c r="AQ49" s="2198"/>
      <c r="AR49" s="2295"/>
      <c r="AS49" s="2136">
        <f t="shared" si="34"/>
        <v>0</v>
      </c>
      <c r="AT49" s="2297"/>
      <c r="AU49" s="2201"/>
      <c r="AV49" s="2198"/>
      <c r="AW49" s="2295"/>
      <c r="AX49" s="2136">
        <f t="shared" si="35"/>
        <v>0</v>
      </c>
      <c r="AY49" s="2297"/>
      <c r="AZ49" s="2201"/>
      <c r="BA49" s="2198"/>
      <c r="BB49" s="2295"/>
      <c r="BC49" s="2136">
        <f t="shared" si="36"/>
        <v>0</v>
      </c>
      <c r="BD49" s="2297"/>
      <c r="BE49" s="2201"/>
      <c r="BF49" s="2198"/>
      <c r="BG49" s="2295"/>
      <c r="BH49" s="2136">
        <f t="shared" si="37"/>
        <v>0</v>
      </c>
      <c r="BI49" s="2297"/>
      <c r="BJ49" s="2198">
        <f t="shared" si="54"/>
        <v>0</v>
      </c>
      <c r="BK49" s="2198">
        <f t="shared" si="54"/>
        <v>0</v>
      </c>
      <c r="BL49" s="2295"/>
      <c r="BM49" s="2136">
        <f t="shared" si="38"/>
        <v>0</v>
      </c>
      <c r="BN49" s="2295"/>
      <c r="BO49" s="2205">
        <f t="shared" si="56"/>
        <v>0</v>
      </c>
      <c r="BP49" s="2300"/>
      <c r="BQ49" s="2169"/>
      <c r="BR49" s="2245"/>
      <c r="BS49" s="2208"/>
      <c r="BT49" s="2208"/>
    </row>
    <row r="50" spans="1:72" s="2209" customFormat="1" ht="15" customHeight="1" x14ac:dyDescent="0.25">
      <c r="A50" s="2308"/>
      <c r="B50" s="2344" t="s">
        <v>59</v>
      </c>
      <c r="C50" s="2345"/>
      <c r="D50" s="2345"/>
      <c r="E50" s="2345">
        <f>SUM(E51:E52)</f>
        <v>0</v>
      </c>
      <c r="F50" s="1549" t="e">
        <f>E50/$E$89</f>
        <v>#DIV/0!</v>
      </c>
      <c r="G50" s="2345">
        <f>G52+G51</f>
        <v>0</v>
      </c>
      <c r="H50" s="2345">
        <f>H52+H51</f>
        <v>0</v>
      </c>
      <c r="I50" s="2345">
        <f>SUM(I51:I52)</f>
        <v>0</v>
      </c>
      <c r="J50" s="2332"/>
      <c r="K50" s="2330"/>
      <c r="L50" s="2345">
        <v>0</v>
      </c>
      <c r="M50" s="2345">
        <v>0</v>
      </c>
      <c r="N50" s="2345">
        <v>0</v>
      </c>
      <c r="O50" s="2332"/>
      <c r="P50" s="1593"/>
      <c r="Q50" s="2345">
        <f>Q52+Q51</f>
        <v>0</v>
      </c>
      <c r="R50" s="2345">
        <f>R52+R51</f>
        <v>0</v>
      </c>
      <c r="S50" s="2345">
        <f>SUM(S51:S52)</f>
        <v>0</v>
      </c>
      <c r="T50" s="2332"/>
      <c r="U50" s="2330"/>
      <c r="V50" s="2345">
        <f>V52+V51</f>
        <v>0</v>
      </c>
      <c r="W50" s="2345">
        <f>W52+W51</f>
        <v>0</v>
      </c>
      <c r="X50" s="2345">
        <f>SUM(X51:X52)</f>
        <v>0</v>
      </c>
      <c r="Y50" s="2332"/>
      <c r="Z50" s="2330"/>
      <c r="AA50" s="2345">
        <f>AA52+AA51</f>
        <v>0</v>
      </c>
      <c r="AB50" s="2345">
        <f>AB52+AB51</f>
        <v>0</v>
      </c>
      <c r="AC50" s="2345">
        <f>SUM(AC51:AC52)</f>
        <v>0</v>
      </c>
      <c r="AD50" s="2332" t="e">
        <v>#DIV/0!</v>
      </c>
      <c r="AE50" s="2331"/>
      <c r="AF50" s="2345">
        <f>AF52+AF51</f>
        <v>0</v>
      </c>
      <c r="AG50" s="2345">
        <f>AG52+AG51</f>
        <v>0</v>
      </c>
      <c r="AH50" s="2345">
        <f>SUM(AH51:AH52)</f>
        <v>0</v>
      </c>
      <c r="AI50" s="2332">
        <f t="shared" si="32"/>
        <v>0</v>
      </c>
      <c r="AJ50" s="2330"/>
      <c r="AK50" s="2345">
        <f>AK52+AK51</f>
        <v>0</v>
      </c>
      <c r="AL50" s="2345">
        <f>AL52+AL51</f>
        <v>0</v>
      </c>
      <c r="AM50" s="2345">
        <f>SUM(AM51:AM52)</f>
        <v>0</v>
      </c>
      <c r="AN50" s="2332">
        <f t="shared" si="33"/>
        <v>0</v>
      </c>
      <c r="AO50" s="2330"/>
      <c r="AP50" s="2345">
        <f>AP52+AP51</f>
        <v>0</v>
      </c>
      <c r="AQ50" s="2345">
        <f>AQ52+AQ51</f>
        <v>0</v>
      </c>
      <c r="AR50" s="2345">
        <f>SUM(AR51:AR52)</f>
        <v>0</v>
      </c>
      <c r="AS50" s="2332">
        <f t="shared" si="34"/>
        <v>0</v>
      </c>
      <c r="AT50" s="2330"/>
      <c r="AU50" s="2345">
        <f>AU52+AU51</f>
        <v>0</v>
      </c>
      <c r="AV50" s="2345">
        <f>AV52+AV51</f>
        <v>0</v>
      </c>
      <c r="AW50" s="2345">
        <f>SUM(AW51:AW52)</f>
        <v>0</v>
      </c>
      <c r="AX50" s="2332">
        <f t="shared" si="35"/>
        <v>0</v>
      </c>
      <c r="AY50" s="2330"/>
      <c r="AZ50" s="2345">
        <f>AZ52+AZ51</f>
        <v>0</v>
      </c>
      <c r="BA50" s="2345">
        <f>BA52+BA51</f>
        <v>0</v>
      </c>
      <c r="BB50" s="2345">
        <f>SUM(BB51:BB52)</f>
        <v>0</v>
      </c>
      <c r="BC50" s="2332">
        <f t="shared" si="36"/>
        <v>0</v>
      </c>
      <c r="BD50" s="2330"/>
      <c r="BE50" s="2345">
        <f>BE52+BE51</f>
        <v>0</v>
      </c>
      <c r="BF50" s="2345">
        <f>BF52+BF51</f>
        <v>0</v>
      </c>
      <c r="BG50" s="2345">
        <f>SUM(BG51:BG52)</f>
        <v>0</v>
      </c>
      <c r="BH50" s="2332">
        <f t="shared" si="37"/>
        <v>0</v>
      </c>
      <c r="BI50" s="2330"/>
      <c r="BJ50" s="2345">
        <f>BJ52+BJ51</f>
        <v>1472.58</v>
      </c>
      <c r="BK50" s="2345">
        <f>BK52+BK51</f>
        <v>0</v>
      </c>
      <c r="BL50" s="2345">
        <f>SUM(BL51:BL52)</f>
        <v>1472.58</v>
      </c>
      <c r="BM50" s="2332"/>
      <c r="BN50" s="2332"/>
      <c r="BO50" s="2333"/>
      <c r="BP50" s="2333"/>
      <c r="BQ50" s="2169"/>
      <c r="BR50" s="2245"/>
      <c r="BS50" s="2208"/>
      <c r="BT50" s="2208"/>
    </row>
    <row r="51" spans="1:72" s="2251" customFormat="1" ht="15" customHeight="1" x14ac:dyDescent="0.25">
      <c r="A51" s="2346"/>
      <c r="B51" s="2334" t="s">
        <v>60</v>
      </c>
      <c r="C51" s="2236"/>
      <c r="D51" s="2335"/>
      <c r="E51" s="2335">
        <f>C51+D51</f>
        <v>0</v>
      </c>
      <c r="F51" s="2347" t="e">
        <f>E51/$E$89</f>
        <v>#DIV/0!</v>
      </c>
      <c r="G51" s="2198"/>
      <c r="H51" s="2198"/>
      <c r="I51" s="2197">
        <f>G51+H51*1</f>
        <v>0</v>
      </c>
      <c r="J51" s="2136">
        <f>I51/$S$89</f>
        <v>0</v>
      </c>
      <c r="K51" s="2286"/>
      <c r="L51" s="2198">
        <v>0</v>
      </c>
      <c r="M51" s="2198">
        <v>0</v>
      </c>
      <c r="N51" s="2198">
        <f>L51+M51</f>
        <v>0</v>
      </c>
      <c r="O51" s="2136">
        <v>0</v>
      </c>
      <c r="P51" s="2348"/>
      <c r="Q51" s="2198"/>
      <c r="R51" s="2198"/>
      <c r="S51" s="2197">
        <f>Q51+R51*1</f>
        <v>0</v>
      </c>
      <c r="T51" s="2136">
        <f t="shared" si="44"/>
        <v>0</v>
      </c>
      <c r="U51" s="2286"/>
      <c r="V51" s="2198"/>
      <c r="W51" s="2198"/>
      <c r="X51" s="2197">
        <f>V51+W51*1</f>
        <v>0</v>
      </c>
      <c r="Y51" s="2136">
        <f>X51/$S$89</f>
        <v>0</v>
      </c>
      <c r="Z51" s="2286"/>
      <c r="AA51" s="2198"/>
      <c r="AB51" s="2198"/>
      <c r="AC51" s="2197">
        <f>AA51+AB51*1</f>
        <v>0</v>
      </c>
      <c r="AD51" s="2136" t="e">
        <f t="shared" si="31"/>
        <v>#DIV/0!</v>
      </c>
      <c r="AE51" s="2287"/>
      <c r="AF51" s="2201"/>
      <c r="AG51" s="2198"/>
      <c r="AH51" s="2197">
        <f>AF51+AG51*1</f>
        <v>0</v>
      </c>
      <c r="AI51" s="2136">
        <f t="shared" si="32"/>
        <v>0</v>
      </c>
      <c r="AJ51" s="2286"/>
      <c r="AK51" s="2201"/>
      <c r="AL51" s="2198"/>
      <c r="AM51" s="2197">
        <f>AK51+AL51*1</f>
        <v>0</v>
      </c>
      <c r="AN51" s="2136">
        <f t="shared" si="33"/>
        <v>0</v>
      </c>
      <c r="AO51" s="2286"/>
      <c r="AP51" s="2201"/>
      <c r="AQ51" s="2198"/>
      <c r="AR51" s="2197">
        <f>AP51+AQ51*1</f>
        <v>0</v>
      </c>
      <c r="AS51" s="2136">
        <f t="shared" si="34"/>
        <v>0</v>
      </c>
      <c r="AT51" s="2286"/>
      <c r="AU51" s="2201"/>
      <c r="AV51" s="2198"/>
      <c r="AW51" s="2197">
        <f>AU51+AV51*1</f>
        <v>0</v>
      </c>
      <c r="AX51" s="2136">
        <f t="shared" si="35"/>
        <v>0</v>
      </c>
      <c r="AY51" s="2286"/>
      <c r="AZ51" s="2201"/>
      <c r="BA51" s="2198"/>
      <c r="BB51" s="2197">
        <f>AZ51+BA51*1</f>
        <v>0</v>
      </c>
      <c r="BC51" s="2136">
        <f t="shared" si="36"/>
        <v>0</v>
      </c>
      <c r="BD51" s="2286"/>
      <c r="BE51" s="2201"/>
      <c r="BF51" s="2198"/>
      <c r="BG51" s="2197">
        <f>BE51+BF51*1</f>
        <v>0</v>
      </c>
      <c r="BH51" s="2136">
        <f t="shared" si="37"/>
        <v>0</v>
      </c>
      <c r="BI51" s="2286"/>
      <c r="BJ51" s="2198">
        <f>L51+Q51+V51+AA51+AF51+AK51+AP51+AU51+AZ51+BE51</f>
        <v>0</v>
      </c>
      <c r="BK51" s="2198">
        <f>M51+R51+W51+AB51+AG51+AL51+AQ51+AV51+BA51+BF51</f>
        <v>0</v>
      </c>
      <c r="BL51" s="2197">
        <f>BJ51+BK51*1</f>
        <v>0</v>
      </c>
      <c r="BM51" s="2136">
        <f>BL51/$BL$89</f>
        <v>0</v>
      </c>
      <c r="BN51" s="2288"/>
      <c r="BO51" s="2205">
        <f>I51-BL51</f>
        <v>0</v>
      </c>
      <c r="BP51" s="2289"/>
      <c r="BQ51" s="2290"/>
      <c r="BR51" s="2291"/>
      <c r="BS51" s="2250"/>
      <c r="BT51" s="2250"/>
    </row>
    <row r="52" spans="1:72" s="2350" customFormat="1" ht="15" customHeight="1" x14ac:dyDescent="0.25">
      <c r="A52" s="2346"/>
      <c r="B52" s="2334" t="s">
        <v>61</v>
      </c>
      <c r="C52" s="2236"/>
      <c r="D52" s="2335"/>
      <c r="E52" s="2335">
        <f>C52+D52</f>
        <v>0</v>
      </c>
      <c r="F52" s="2347" t="e">
        <f>E52/$E$89</f>
        <v>#DIV/0!</v>
      </c>
      <c r="G52" s="2198"/>
      <c r="H52" s="2198"/>
      <c r="I52" s="2197">
        <f>G52+H52*1</f>
        <v>0</v>
      </c>
      <c r="J52" s="2136">
        <f>I52/$S$89</f>
        <v>0</v>
      </c>
      <c r="K52" s="2286"/>
      <c r="L52" s="2198">
        <v>1472.58</v>
      </c>
      <c r="M52" s="2198">
        <v>0</v>
      </c>
      <c r="N52" s="2198">
        <f>L52+M52</f>
        <v>1472.58</v>
      </c>
      <c r="O52" s="2136">
        <v>0</v>
      </c>
      <c r="P52" s="2348"/>
      <c r="Q52" s="2198"/>
      <c r="R52" s="2198"/>
      <c r="S52" s="2197">
        <f>Q52+R52*1</f>
        <v>0</v>
      </c>
      <c r="T52" s="2136">
        <f t="shared" si="44"/>
        <v>0</v>
      </c>
      <c r="U52" s="2286"/>
      <c r="V52" s="2198"/>
      <c r="W52" s="2198"/>
      <c r="X52" s="2197">
        <f>V52+W52*1</f>
        <v>0</v>
      </c>
      <c r="Y52" s="2136">
        <f>X52/$S$89</f>
        <v>0</v>
      </c>
      <c r="Z52" s="2286"/>
      <c r="AA52" s="2198"/>
      <c r="AB52" s="2198"/>
      <c r="AC52" s="2197">
        <f>AA52+AB52*1</f>
        <v>0</v>
      </c>
      <c r="AD52" s="2136" t="e">
        <f t="shared" si="31"/>
        <v>#DIV/0!</v>
      </c>
      <c r="AE52" s="2287"/>
      <c r="AF52" s="2201"/>
      <c r="AG52" s="2198"/>
      <c r="AH52" s="2197">
        <f>AF52+AG52*1</f>
        <v>0</v>
      </c>
      <c r="AI52" s="2136">
        <f t="shared" si="32"/>
        <v>0</v>
      </c>
      <c r="AJ52" s="2286"/>
      <c r="AK52" s="2201"/>
      <c r="AL52" s="2198"/>
      <c r="AM52" s="2197">
        <f>AK52+AL52*1</f>
        <v>0</v>
      </c>
      <c r="AN52" s="2136">
        <f t="shared" si="33"/>
        <v>0</v>
      </c>
      <c r="AO52" s="2286"/>
      <c r="AP52" s="2201"/>
      <c r="AQ52" s="2198"/>
      <c r="AR52" s="2197">
        <f>AP52+AQ52*1</f>
        <v>0</v>
      </c>
      <c r="AS52" s="2136">
        <f t="shared" si="34"/>
        <v>0</v>
      </c>
      <c r="AT52" s="2286"/>
      <c r="AU52" s="2201"/>
      <c r="AV52" s="2198"/>
      <c r="AW52" s="2197">
        <f>AU52+AV52*1</f>
        <v>0</v>
      </c>
      <c r="AX52" s="2136">
        <f t="shared" si="35"/>
        <v>0</v>
      </c>
      <c r="AY52" s="2286"/>
      <c r="AZ52" s="2201"/>
      <c r="BA52" s="2198"/>
      <c r="BB52" s="2197">
        <f>AZ52+BA52*1</f>
        <v>0</v>
      </c>
      <c r="BC52" s="2136">
        <f t="shared" si="36"/>
        <v>0</v>
      </c>
      <c r="BD52" s="2286"/>
      <c r="BE52" s="2201"/>
      <c r="BF52" s="2198"/>
      <c r="BG52" s="2197">
        <f>BE52+BF52*1</f>
        <v>0</v>
      </c>
      <c r="BH52" s="2136">
        <f t="shared" si="37"/>
        <v>0</v>
      </c>
      <c r="BI52" s="2286"/>
      <c r="BJ52" s="2198">
        <f>L52+Q52+V52+AA52+AF52+AK52+AP52+AU52+AZ52+BE52</f>
        <v>1472.58</v>
      </c>
      <c r="BK52" s="2198">
        <f>M52+R52+W52+AB52+AG52+AL52+AQ52+AV52+BA52+BF52</f>
        <v>0</v>
      </c>
      <c r="BL52" s="2197">
        <f>BJ52+BK52*1</f>
        <v>1472.58</v>
      </c>
      <c r="BM52" s="2136">
        <f>BL52/$BL$89</f>
        <v>2.6045720936758091E-4</v>
      </c>
      <c r="BN52" s="2288"/>
      <c r="BO52" s="2205">
        <f>I52-BL52</f>
        <v>-1472.58</v>
      </c>
      <c r="BP52" s="2289"/>
      <c r="BQ52" s="2206">
        <v>1472.58</v>
      </c>
      <c r="BR52" s="2207">
        <f>BL52-BQ52</f>
        <v>0</v>
      </c>
      <c r="BS52" s="2349"/>
      <c r="BT52" s="2349"/>
    </row>
    <row r="53" spans="1:72" ht="15" customHeight="1" thickBot="1" x14ac:dyDescent="0.3">
      <c r="A53" s="2351"/>
      <c r="B53" s="2352"/>
      <c r="C53" s="2353"/>
      <c r="D53" s="2354"/>
      <c r="E53" s="2355"/>
      <c r="F53" s="2356"/>
      <c r="G53" s="2198"/>
      <c r="H53" s="2198"/>
      <c r="I53" s="2357"/>
      <c r="J53" s="2357"/>
      <c r="K53" s="2357"/>
      <c r="L53" s="2198"/>
      <c r="M53" s="2198"/>
      <c r="N53" s="2357"/>
      <c r="O53" s="2357"/>
      <c r="P53" s="2358"/>
      <c r="Q53" s="2198"/>
      <c r="R53" s="2198"/>
      <c r="S53" s="2357"/>
      <c r="T53" s="2357"/>
      <c r="U53" s="2357"/>
      <c r="V53" s="2198"/>
      <c r="W53" s="2198"/>
      <c r="X53" s="2357"/>
      <c r="Y53" s="2357"/>
      <c r="Z53" s="2357"/>
      <c r="AA53" s="2198"/>
      <c r="AB53" s="2198"/>
      <c r="AC53" s="2357"/>
      <c r="AD53" s="2357"/>
      <c r="AE53" s="2359"/>
      <c r="AF53" s="2201"/>
      <c r="AG53" s="2198"/>
      <c r="AH53" s="2357"/>
      <c r="AI53" s="2357"/>
      <c r="AJ53" s="2357"/>
      <c r="AK53" s="2201"/>
      <c r="AL53" s="2198"/>
      <c r="AM53" s="2357"/>
      <c r="AN53" s="2357"/>
      <c r="AO53" s="2357"/>
      <c r="AP53" s="2201"/>
      <c r="AQ53" s="2198"/>
      <c r="AR53" s="2357"/>
      <c r="AS53" s="2357"/>
      <c r="AT53" s="2357"/>
      <c r="AU53" s="2201"/>
      <c r="AV53" s="2198"/>
      <c r="AW53" s="2357"/>
      <c r="AX53" s="2357"/>
      <c r="AY53" s="2357"/>
      <c r="AZ53" s="2201"/>
      <c r="BA53" s="2198"/>
      <c r="BB53" s="2357"/>
      <c r="BC53" s="2357"/>
      <c r="BD53" s="2357"/>
      <c r="BE53" s="2201"/>
      <c r="BF53" s="2198"/>
      <c r="BG53" s="2357"/>
      <c r="BH53" s="2357"/>
      <c r="BI53" s="2357"/>
      <c r="BJ53" s="2198"/>
      <c r="BK53" s="2198"/>
      <c r="BL53" s="2357"/>
      <c r="BM53" s="2357"/>
      <c r="BN53" s="2357"/>
      <c r="BO53" s="2360"/>
      <c r="BP53" s="2360"/>
      <c r="BR53" s="2245"/>
    </row>
    <row r="54" spans="1:72" ht="15" customHeight="1" x14ac:dyDescent="0.25">
      <c r="A54" s="2361"/>
      <c r="B54" s="2344" t="s">
        <v>1</v>
      </c>
      <c r="C54" s="2345">
        <f>SUM(C55:C71)</f>
        <v>0</v>
      </c>
      <c r="D54" s="2345">
        <f>SUM(D55:D71)</f>
        <v>0</v>
      </c>
      <c r="E54" s="2362">
        <f>SUM(E55:E71)</f>
        <v>0</v>
      </c>
      <c r="F54" s="1549" t="e">
        <f>E54/$E$89</f>
        <v>#DIV/0!</v>
      </c>
      <c r="G54" s="2345">
        <f>SUM(G55:G72)</f>
        <v>98311.833992564993</v>
      </c>
      <c r="H54" s="2345">
        <f>SUM(H55:H72)</f>
        <v>62426</v>
      </c>
      <c r="I54" s="2345">
        <f>SUM(I55:I72)</f>
        <v>160737.83399256499</v>
      </c>
      <c r="J54" s="2138">
        <f>I54/$S$89</f>
        <v>6.8305622309734554E-2</v>
      </c>
      <c r="K54" s="2330"/>
      <c r="L54" s="2345">
        <v>56507.857760000006</v>
      </c>
      <c r="M54" s="2345">
        <v>49129.654368181822</v>
      </c>
      <c r="N54" s="2345">
        <v>105637.5121281818</v>
      </c>
      <c r="O54" s="2138">
        <v>0.24623226273180127</v>
      </c>
      <c r="P54" s="1593"/>
      <c r="Q54" s="2345">
        <f>SUM(Q55:Q72)</f>
        <v>26426.3</v>
      </c>
      <c r="R54" s="2345">
        <f>SUM(R55:R72)</f>
        <v>30648</v>
      </c>
      <c r="S54" s="2345">
        <f>SUM(S55:S72)</f>
        <v>57074.3</v>
      </c>
      <c r="T54" s="2138">
        <f>S54/$S$89</f>
        <v>2.4253752104018086E-2</v>
      </c>
      <c r="U54" s="2330"/>
      <c r="V54" s="2345">
        <f>SUM(V55:V72)</f>
        <v>22000</v>
      </c>
      <c r="W54" s="2345">
        <f>SUM(W55:W72)</f>
        <v>2262.81</v>
      </c>
      <c r="X54" s="2345">
        <f>SUM(X55:X72)</f>
        <v>24262.81</v>
      </c>
      <c r="Y54" s="2138">
        <f>X54/$S$89</f>
        <v>1.0310493148175117E-2</v>
      </c>
      <c r="Z54" s="2330"/>
      <c r="AA54" s="2345">
        <f>SUM(AA55:AA72)</f>
        <v>0</v>
      </c>
      <c r="AB54" s="2345">
        <f>SUM(AB55:AB72)</f>
        <v>0</v>
      </c>
      <c r="AC54" s="2345">
        <f>SUM(AC55:AC72)</f>
        <v>0</v>
      </c>
      <c r="AD54" s="2138" t="e">
        <f t="shared" ref="AD54:AD71" si="57">AC54/$AC$89</f>
        <v>#DIV/0!</v>
      </c>
      <c r="AE54" s="2331"/>
      <c r="AF54" s="2345">
        <f>SUM(AF55:AF72)</f>
        <v>0</v>
      </c>
      <c r="AG54" s="2345">
        <f>SUM(AG55:AG72)</f>
        <v>0</v>
      </c>
      <c r="AH54" s="2345">
        <f>SUM(AH55:AH72)</f>
        <v>0</v>
      </c>
      <c r="AI54" s="2138">
        <f t="shared" ref="AI54:AI71" si="58">AH54/$AH$89</f>
        <v>0</v>
      </c>
      <c r="AJ54" s="2330"/>
      <c r="AK54" s="2345">
        <f>SUM(AK55:AK72)</f>
        <v>0</v>
      </c>
      <c r="AL54" s="2345">
        <f>SUM(AL55:AL72)</f>
        <v>0</v>
      </c>
      <c r="AM54" s="2345">
        <f>SUM(AM55:AM72)</f>
        <v>0</v>
      </c>
      <c r="AN54" s="2138">
        <f t="shared" ref="AN54:AN71" si="59">AM54/$AH$89</f>
        <v>0</v>
      </c>
      <c r="AO54" s="2330"/>
      <c r="AP54" s="2345">
        <f>SUM(AP55:AP72)</f>
        <v>0</v>
      </c>
      <c r="AQ54" s="2345">
        <f>SUM(AQ55:AQ72)</f>
        <v>0</v>
      </c>
      <c r="AR54" s="2345">
        <f>SUM(AR55:AR72)</f>
        <v>0</v>
      </c>
      <c r="AS54" s="2138">
        <f t="shared" ref="AS54:AS71" si="60">AR54/$AH$89</f>
        <v>0</v>
      </c>
      <c r="AT54" s="2330"/>
      <c r="AU54" s="2345">
        <f>SUM(AU55:AU72)</f>
        <v>0</v>
      </c>
      <c r="AV54" s="2345">
        <f>SUM(AV55:AV72)</f>
        <v>0</v>
      </c>
      <c r="AW54" s="2345">
        <f>SUM(AW55:AW72)</f>
        <v>0</v>
      </c>
      <c r="AX54" s="2138">
        <f t="shared" ref="AX54:AX71" si="61">AW54/$AH$89</f>
        <v>0</v>
      </c>
      <c r="AY54" s="2330"/>
      <c r="AZ54" s="2345">
        <f>SUM(AZ55:AZ72)</f>
        <v>0</v>
      </c>
      <c r="BA54" s="2345">
        <f>SUM(BA55:BA72)</f>
        <v>0</v>
      </c>
      <c r="BB54" s="2345">
        <f>SUM(BB55:BB72)</f>
        <v>0</v>
      </c>
      <c r="BC54" s="2138">
        <f t="shared" ref="BC54:BC71" si="62">BB54/$AH$89</f>
        <v>0</v>
      </c>
      <c r="BD54" s="2330"/>
      <c r="BE54" s="2345">
        <f>SUM(BE55:BE72)</f>
        <v>0</v>
      </c>
      <c r="BF54" s="2345">
        <f>SUM(BF55:BF72)</f>
        <v>0</v>
      </c>
      <c r="BG54" s="2345">
        <f>SUM(BG55:BG72)</f>
        <v>0</v>
      </c>
      <c r="BH54" s="2138">
        <f t="shared" ref="BH54:BH71" si="63">BG54/$BG$89</f>
        <v>0</v>
      </c>
      <c r="BI54" s="2330"/>
      <c r="BJ54" s="2345">
        <f>SUM(BJ55:BJ72)</f>
        <v>104694.25775999999</v>
      </c>
      <c r="BK54" s="2345">
        <f>SUM(BK55:BK72)</f>
        <v>82040.400000000009</v>
      </c>
      <c r="BL54" s="2345">
        <f>SUM(BL55:BL72)</f>
        <v>186734.65776</v>
      </c>
      <c r="BM54" s="2138">
        <f t="shared" ref="BM54:BM71" si="64">BL54/$BL$89</f>
        <v>3.3028010602058899E-2</v>
      </c>
      <c r="BN54" s="2332"/>
      <c r="BO54" s="2333"/>
      <c r="BP54" s="2333"/>
      <c r="BR54" s="2245"/>
    </row>
    <row r="55" spans="1:72" ht="15" customHeight="1" x14ac:dyDescent="0.25">
      <c r="A55" s="2363"/>
      <c r="B55" s="2283" t="s">
        <v>77</v>
      </c>
      <c r="C55" s="2236"/>
      <c r="D55" s="2252"/>
      <c r="E55" s="2336">
        <f t="shared" ref="E55:E71" si="65">C55+D55</f>
        <v>0</v>
      </c>
      <c r="F55" s="2136" t="e">
        <f>E55/$E$89</f>
        <v>#DIV/0!</v>
      </c>
      <c r="G55" s="2229"/>
      <c r="H55" s="2229"/>
      <c r="I55" s="2197">
        <f t="shared" ref="I55:I71" si="66">G55+H55*1</f>
        <v>0</v>
      </c>
      <c r="J55" s="2136">
        <f t="shared" ref="J55:J72" si="67">I55/$S$89</f>
        <v>0</v>
      </c>
      <c r="K55" s="2137"/>
      <c r="L55" s="2229">
        <v>0</v>
      </c>
      <c r="M55" s="2229">
        <v>0</v>
      </c>
      <c r="N55" s="2198">
        <f t="shared" ref="N55:N71" si="68">L55+M55</f>
        <v>0</v>
      </c>
      <c r="O55" s="2136">
        <v>0</v>
      </c>
      <c r="P55" s="1992"/>
      <c r="Q55" s="2229"/>
      <c r="R55" s="2229"/>
      <c r="S55" s="2197">
        <f t="shared" ref="S55:S71" si="69">Q55+R55*1</f>
        <v>0</v>
      </c>
      <c r="T55" s="2136">
        <f t="shared" ref="T55:T72" si="70">S55/$S$89</f>
        <v>0</v>
      </c>
      <c r="U55" s="2137"/>
      <c r="V55" s="2229"/>
      <c r="W55" s="2229"/>
      <c r="X55" s="2197">
        <f t="shared" ref="X55:X71" si="71">V55+W55*1</f>
        <v>0</v>
      </c>
      <c r="Y55" s="2136">
        <f t="shared" ref="Y55:Y72" si="72">X55/$S$89</f>
        <v>0</v>
      </c>
      <c r="Z55" s="2137"/>
      <c r="AA55" s="2229"/>
      <c r="AB55" s="2229"/>
      <c r="AC55" s="2197">
        <f t="shared" ref="AC55:AC71" si="73">AA55+AB55*1</f>
        <v>0</v>
      </c>
      <c r="AD55" s="2136" t="e">
        <f t="shared" si="57"/>
        <v>#DIV/0!</v>
      </c>
      <c r="AE55" s="2256"/>
      <c r="AF55" s="2196"/>
      <c r="AG55" s="2229"/>
      <c r="AH55" s="2197">
        <f t="shared" ref="AH55:AH71" si="74">AF55+AG55*1</f>
        <v>0</v>
      </c>
      <c r="AI55" s="2136">
        <f t="shared" si="58"/>
        <v>0</v>
      </c>
      <c r="AJ55" s="2137"/>
      <c r="AK55" s="2196"/>
      <c r="AL55" s="2229"/>
      <c r="AM55" s="2197">
        <f t="shared" ref="AM55:AM71" si="75">AK55+AL55*1</f>
        <v>0</v>
      </c>
      <c r="AN55" s="2136">
        <f t="shared" si="59"/>
        <v>0</v>
      </c>
      <c r="AO55" s="2137"/>
      <c r="AP55" s="2196"/>
      <c r="AQ55" s="2229"/>
      <c r="AR55" s="2197">
        <f t="shared" ref="AR55:AR71" si="76">AP55+AQ55*1</f>
        <v>0</v>
      </c>
      <c r="AS55" s="2136">
        <f t="shared" si="60"/>
        <v>0</v>
      </c>
      <c r="AT55" s="2137"/>
      <c r="AU55" s="2196"/>
      <c r="AV55" s="2229"/>
      <c r="AW55" s="2197">
        <f t="shared" ref="AW55:AW71" si="77">AU55+AV55*1</f>
        <v>0</v>
      </c>
      <c r="AX55" s="2136">
        <f t="shared" si="61"/>
        <v>0</v>
      </c>
      <c r="AY55" s="2137"/>
      <c r="AZ55" s="2196"/>
      <c r="BA55" s="2229"/>
      <c r="BB55" s="2197">
        <f t="shared" ref="BB55:BB71" si="78">AZ55+BA55*1</f>
        <v>0</v>
      </c>
      <c r="BC55" s="2136">
        <f t="shared" si="62"/>
        <v>0</v>
      </c>
      <c r="BD55" s="2137"/>
      <c r="BE55" s="2196"/>
      <c r="BF55" s="2229"/>
      <c r="BG55" s="2197">
        <f t="shared" ref="BG55:BG71" si="79">BE55+BF55*1</f>
        <v>0</v>
      </c>
      <c r="BH55" s="2136">
        <f t="shared" si="63"/>
        <v>0</v>
      </c>
      <c r="BI55" s="2137"/>
      <c r="BJ55" s="2198">
        <f t="shared" ref="BJ55:BK71" si="80">L55+Q55+V55+AA55+AF55+AK55+AP55+AU55+AZ55+BE55</f>
        <v>0</v>
      </c>
      <c r="BK55" s="2198">
        <f t="shared" si="80"/>
        <v>0</v>
      </c>
      <c r="BL55" s="2197">
        <f t="shared" ref="BL55:BL71" si="81">BJ55+BK55*1</f>
        <v>0</v>
      </c>
      <c r="BM55" s="2136">
        <f t="shared" si="64"/>
        <v>0</v>
      </c>
      <c r="BN55" s="2139"/>
      <c r="BO55" s="2205">
        <f t="shared" ref="BO55:BO72" si="82">I55-BL55</f>
        <v>0</v>
      </c>
      <c r="BP55" s="2230"/>
      <c r="BR55" s="2245"/>
    </row>
    <row r="56" spans="1:72" ht="15" customHeight="1" x14ac:dyDescent="0.25">
      <c r="A56" s="2363"/>
      <c r="B56" s="2283" t="s">
        <v>76</v>
      </c>
      <c r="C56" s="2236"/>
      <c r="D56" s="2252"/>
      <c r="E56" s="2336">
        <f t="shared" si="65"/>
        <v>0</v>
      </c>
      <c r="F56" s="2136" t="e">
        <f t="shared" ref="F56:F72" si="83">E56/$E$89</f>
        <v>#DIV/0!</v>
      </c>
      <c r="G56" s="2229"/>
      <c r="H56" s="2229"/>
      <c r="I56" s="2197">
        <f t="shared" si="66"/>
        <v>0</v>
      </c>
      <c r="J56" s="2136">
        <f t="shared" si="67"/>
        <v>0</v>
      </c>
      <c r="K56" s="2137"/>
      <c r="L56" s="2229">
        <v>0</v>
      </c>
      <c r="M56" s="2229">
        <v>0</v>
      </c>
      <c r="N56" s="2198">
        <f t="shared" si="68"/>
        <v>0</v>
      </c>
      <c r="O56" s="2136">
        <v>0</v>
      </c>
      <c r="P56" s="1992"/>
      <c r="Q56" s="2229"/>
      <c r="R56" s="2229"/>
      <c r="S56" s="2197">
        <f t="shared" si="69"/>
        <v>0</v>
      </c>
      <c r="T56" s="2136">
        <f t="shared" si="70"/>
        <v>0</v>
      </c>
      <c r="U56" s="2137"/>
      <c r="V56" s="2229"/>
      <c r="W56" s="2229"/>
      <c r="X56" s="2197">
        <f t="shared" si="71"/>
        <v>0</v>
      </c>
      <c r="Y56" s="2136">
        <f t="shared" si="72"/>
        <v>0</v>
      </c>
      <c r="Z56" s="2137"/>
      <c r="AA56" s="2229"/>
      <c r="AB56" s="2229"/>
      <c r="AC56" s="2197">
        <f t="shared" si="73"/>
        <v>0</v>
      </c>
      <c r="AD56" s="2136" t="e">
        <f t="shared" si="57"/>
        <v>#DIV/0!</v>
      </c>
      <c r="AE56" s="2256"/>
      <c r="AF56" s="2196"/>
      <c r="AG56" s="2229"/>
      <c r="AH56" s="2197">
        <f t="shared" si="74"/>
        <v>0</v>
      </c>
      <c r="AI56" s="2136">
        <f t="shared" si="58"/>
        <v>0</v>
      </c>
      <c r="AJ56" s="2137"/>
      <c r="AK56" s="2196"/>
      <c r="AL56" s="2229"/>
      <c r="AM56" s="2197">
        <f t="shared" si="75"/>
        <v>0</v>
      </c>
      <c r="AN56" s="2136">
        <f t="shared" si="59"/>
        <v>0</v>
      </c>
      <c r="AO56" s="2137"/>
      <c r="AP56" s="2196"/>
      <c r="AQ56" s="2229"/>
      <c r="AR56" s="2197">
        <f t="shared" si="76"/>
        <v>0</v>
      </c>
      <c r="AS56" s="2136">
        <f t="shared" si="60"/>
        <v>0</v>
      </c>
      <c r="AT56" s="2137"/>
      <c r="AU56" s="2196"/>
      <c r="AV56" s="2229"/>
      <c r="AW56" s="2197">
        <f t="shared" si="77"/>
        <v>0</v>
      </c>
      <c r="AX56" s="2136">
        <f t="shared" si="61"/>
        <v>0</v>
      </c>
      <c r="AY56" s="2137"/>
      <c r="AZ56" s="2196"/>
      <c r="BA56" s="2229"/>
      <c r="BB56" s="2197">
        <f t="shared" si="78"/>
        <v>0</v>
      </c>
      <c r="BC56" s="2136">
        <f t="shared" si="62"/>
        <v>0</v>
      </c>
      <c r="BD56" s="2137"/>
      <c r="BE56" s="2196"/>
      <c r="BF56" s="2229"/>
      <c r="BG56" s="2197">
        <f t="shared" si="79"/>
        <v>0</v>
      </c>
      <c r="BH56" s="2136">
        <f t="shared" si="63"/>
        <v>0</v>
      </c>
      <c r="BI56" s="2137"/>
      <c r="BJ56" s="2198">
        <f t="shared" si="80"/>
        <v>0</v>
      </c>
      <c r="BK56" s="2198">
        <f t="shared" si="80"/>
        <v>0</v>
      </c>
      <c r="BL56" s="2197">
        <f t="shared" si="81"/>
        <v>0</v>
      </c>
      <c r="BM56" s="2136">
        <f t="shared" si="64"/>
        <v>0</v>
      </c>
      <c r="BN56" s="2139"/>
      <c r="BO56" s="2205">
        <f t="shared" si="82"/>
        <v>0</v>
      </c>
      <c r="BP56" s="2230"/>
      <c r="BR56" s="2245"/>
    </row>
    <row r="57" spans="1:72" ht="15" customHeight="1" x14ac:dyDescent="0.25">
      <c r="A57" s="2363"/>
      <c r="B57" s="2364" t="s">
        <v>68</v>
      </c>
      <c r="C57" s="2236"/>
      <c r="D57" s="2252"/>
      <c r="E57" s="2336">
        <f t="shared" si="65"/>
        <v>0</v>
      </c>
      <c r="F57" s="2136" t="e">
        <f t="shared" si="83"/>
        <v>#DIV/0!</v>
      </c>
      <c r="G57" s="2229"/>
      <c r="H57" s="2229"/>
      <c r="I57" s="2197">
        <f t="shared" si="66"/>
        <v>0</v>
      </c>
      <c r="J57" s="2136">
        <f t="shared" si="67"/>
        <v>0</v>
      </c>
      <c r="K57" s="2152"/>
      <c r="L57" s="2229">
        <v>0</v>
      </c>
      <c r="M57" s="2229">
        <v>0</v>
      </c>
      <c r="N57" s="2198">
        <f t="shared" si="68"/>
        <v>0</v>
      </c>
      <c r="O57" s="2136">
        <v>0</v>
      </c>
      <c r="P57" s="1992"/>
      <c r="Q57" s="2229"/>
      <c r="R57" s="2229"/>
      <c r="S57" s="2197">
        <f t="shared" si="69"/>
        <v>0</v>
      </c>
      <c r="T57" s="2136">
        <f t="shared" si="70"/>
        <v>0</v>
      </c>
      <c r="U57" s="2152"/>
      <c r="V57" s="2229"/>
      <c r="W57" s="2229"/>
      <c r="X57" s="2197">
        <f t="shared" si="71"/>
        <v>0</v>
      </c>
      <c r="Y57" s="2136">
        <f t="shared" si="72"/>
        <v>0</v>
      </c>
      <c r="Z57" s="2204"/>
      <c r="AA57" s="2229"/>
      <c r="AB57" s="2229"/>
      <c r="AC57" s="2197">
        <f t="shared" si="73"/>
        <v>0</v>
      </c>
      <c r="AD57" s="2136" t="e">
        <f t="shared" si="57"/>
        <v>#DIV/0!</v>
      </c>
      <c r="AE57" s="2256"/>
      <c r="AF57" s="2196"/>
      <c r="AG57" s="2229"/>
      <c r="AH57" s="2197">
        <f t="shared" si="74"/>
        <v>0</v>
      </c>
      <c r="AI57" s="2136">
        <f t="shared" si="58"/>
        <v>0</v>
      </c>
      <c r="AJ57" s="2137"/>
      <c r="AK57" s="2196"/>
      <c r="AL57" s="2229"/>
      <c r="AM57" s="2197">
        <f t="shared" si="75"/>
        <v>0</v>
      </c>
      <c r="AN57" s="2136">
        <f t="shared" si="59"/>
        <v>0</v>
      </c>
      <c r="AO57" s="2137"/>
      <c r="AP57" s="2196"/>
      <c r="AQ57" s="2229"/>
      <c r="AR57" s="2197">
        <f t="shared" si="76"/>
        <v>0</v>
      </c>
      <c r="AS57" s="2136">
        <f t="shared" si="60"/>
        <v>0</v>
      </c>
      <c r="AT57" s="2137"/>
      <c r="AU57" s="2196"/>
      <c r="AV57" s="2229"/>
      <c r="AW57" s="2197">
        <f t="shared" si="77"/>
        <v>0</v>
      </c>
      <c r="AX57" s="2136">
        <f t="shared" si="61"/>
        <v>0</v>
      </c>
      <c r="AY57" s="2137"/>
      <c r="AZ57" s="2196"/>
      <c r="BA57" s="2229"/>
      <c r="BB57" s="2197">
        <f t="shared" si="78"/>
        <v>0</v>
      </c>
      <c r="BC57" s="2136">
        <f t="shared" si="62"/>
        <v>0</v>
      </c>
      <c r="BD57" s="2137"/>
      <c r="BE57" s="2196"/>
      <c r="BF57" s="2229"/>
      <c r="BG57" s="2197">
        <f t="shared" si="79"/>
        <v>0</v>
      </c>
      <c r="BH57" s="2136">
        <f t="shared" si="63"/>
        <v>0</v>
      </c>
      <c r="BI57" s="2137"/>
      <c r="BJ57" s="2198">
        <f t="shared" si="80"/>
        <v>0</v>
      </c>
      <c r="BK57" s="2198">
        <f t="shared" si="80"/>
        <v>0</v>
      </c>
      <c r="BL57" s="2197">
        <f t="shared" si="81"/>
        <v>0</v>
      </c>
      <c r="BM57" s="2136">
        <f t="shared" si="64"/>
        <v>0</v>
      </c>
      <c r="BN57" s="2139"/>
      <c r="BO57" s="2205">
        <f t="shared" si="82"/>
        <v>0</v>
      </c>
      <c r="BP57" s="2230"/>
      <c r="BR57" s="2245"/>
    </row>
    <row r="58" spans="1:72" ht="15" customHeight="1" x14ac:dyDescent="0.25">
      <c r="A58" s="2363"/>
      <c r="B58" s="2364" t="s">
        <v>67</v>
      </c>
      <c r="C58" s="2236"/>
      <c r="D58" s="2252"/>
      <c r="E58" s="2336">
        <f t="shared" si="65"/>
        <v>0</v>
      </c>
      <c r="F58" s="2136" t="e">
        <f t="shared" si="83"/>
        <v>#DIV/0!</v>
      </c>
      <c r="G58" s="2229">
        <v>21574</v>
      </c>
      <c r="H58" s="2229">
        <v>58426</v>
      </c>
      <c r="I58" s="2197">
        <f t="shared" si="66"/>
        <v>80000</v>
      </c>
      <c r="J58" s="2136">
        <f t="shared" si="67"/>
        <v>3.3996039694248491E-2</v>
      </c>
      <c r="K58" s="2152"/>
      <c r="L58" s="2229">
        <v>16670.810000000001</v>
      </c>
      <c r="M58" s="2229">
        <v>45147.3</v>
      </c>
      <c r="N58" s="2198">
        <f t="shared" si="68"/>
        <v>61818.11</v>
      </c>
      <c r="O58" s="2136">
        <v>0.14409302761841217</v>
      </c>
      <c r="P58" s="1992"/>
      <c r="Q58" s="2229">
        <v>10787</v>
      </c>
      <c r="R58" s="2229">
        <v>29213</v>
      </c>
      <c r="S58" s="2197">
        <f t="shared" si="69"/>
        <v>40000</v>
      </c>
      <c r="T58" s="2136">
        <f t="shared" si="70"/>
        <v>1.6998019847124245E-2</v>
      </c>
      <c r="U58" s="2152" t="s">
        <v>972</v>
      </c>
      <c r="V58" s="2229">
        <v>10000</v>
      </c>
      <c r="W58" s="2229"/>
      <c r="X58" s="2197">
        <f t="shared" si="71"/>
        <v>10000</v>
      </c>
      <c r="Y58" s="2136">
        <f t="shared" si="72"/>
        <v>4.2495049617810613E-3</v>
      </c>
      <c r="Z58" s="2204" t="s">
        <v>1025</v>
      </c>
      <c r="AA58" s="2229"/>
      <c r="AB58" s="2229"/>
      <c r="AC58" s="2197">
        <f t="shared" si="73"/>
        <v>0</v>
      </c>
      <c r="AD58" s="2136" t="e">
        <f t="shared" si="57"/>
        <v>#DIV/0!</v>
      </c>
      <c r="AE58" s="2104"/>
      <c r="AF58" s="2196"/>
      <c r="AG58" s="2229"/>
      <c r="AH58" s="2197">
        <f t="shared" si="74"/>
        <v>0</v>
      </c>
      <c r="AI58" s="2136">
        <f t="shared" si="58"/>
        <v>0</v>
      </c>
      <c r="AJ58" s="2148"/>
      <c r="AK58" s="2196"/>
      <c r="AL58" s="2229"/>
      <c r="AM58" s="2197">
        <f t="shared" si="75"/>
        <v>0</v>
      </c>
      <c r="AN58" s="2136">
        <f t="shared" si="59"/>
        <v>0</v>
      </c>
      <c r="AO58" s="2148"/>
      <c r="AP58" s="2196"/>
      <c r="AQ58" s="2229"/>
      <c r="AR58" s="2197">
        <f t="shared" si="76"/>
        <v>0</v>
      </c>
      <c r="AS58" s="2136">
        <f t="shared" si="60"/>
        <v>0</v>
      </c>
      <c r="AT58" s="2148"/>
      <c r="AU58" s="2196"/>
      <c r="AV58" s="2229"/>
      <c r="AW58" s="2197">
        <f t="shared" si="77"/>
        <v>0</v>
      </c>
      <c r="AX58" s="2136">
        <f t="shared" si="61"/>
        <v>0</v>
      </c>
      <c r="AY58" s="2148"/>
      <c r="AZ58" s="2196"/>
      <c r="BA58" s="2229"/>
      <c r="BB58" s="2197">
        <f t="shared" si="78"/>
        <v>0</v>
      </c>
      <c r="BC58" s="2136">
        <f t="shared" si="62"/>
        <v>0</v>
      </c>
      <c r="BD58" s="2148"/>
      <c r="BE58" s="2196"/>
      <c r="BF58" s="2229"/>
      <c r="BG58" s="2197">
        <f t="shared" si="79"/>
        <v>0</v>
      </c>
      <c r="BH58" s="2136">
        <f t="shared" si="63"/>
        <v>0</v>
      </c>
      <c r="BI58" s="2148"/>
      <c r="BJ58" s="2198">
        <f t="shared" si="80"/>
        <v>37457.81</v>
      </c>
      <c r="BK58" s="2198">
        <f t="shared" si="80"/>
        <v>74360.3</v>
      </c>
      <c r="BL58" s="2197">
        <f t="shared" si="81"/>
        <v>111818.11</v>
      </c>
      <c r="BM58" s="2136">
        <f t="shared" si="64"/>
        <v>1.9777419825990572E-2</v>
      </c>
      <c r="BN58" s="2139"/>
      <c r="BO58" s="2205">
        <f t="shared" si="82"/>
        <v>-31818.11</v>
      </c>
      <c r="BP58" s="2230"/>
      <c r="BQ58" s="2206">
        <v>111818.11</v>
      </c>
      <c r="BR58" s="2207">
        <f>BL58-BQ58</f>
        <v>0</v>
      </c>
    </row>
    <row r="59" spans="1:72" ht="15" customHeight="1" x14ac:dyDescent="0.25">
      <c r="A59" s="2363"/>
      <c r="B59" s="2364" t="s">
        <v>66</v>
      </c>
      <c r="C59" s="2236"/>
      <c r="D59" s="2252"/>
      <c r="E59" s="2336">
        <f t="shared" si="65"/>
        <v>0</v>
      </c>
      <c r="F59" s="2136" t="e">
        <f t="shared" si="83"/>
        <v>#DIV/0!</v>
      </c>
      <c r="G59" s="2229">
        <v>5226</v>
      </c>
      <c r="H59" s="2229">
        <v>0</v>
      </c>
      <c r="I59" s="2197">
        <f t="shared" si="66"/>
        <v>5226</v>
      </c>
      <c r="J59" s="2136">
        <f t="shared" si="67"/>
        <v>2.2207912930267827E-3</v>
      </c>
      <c r="K59" s="2152"/>
      <c r="L59" s="2229">
        <v>4038.2799999999997</v>
      </c>
      <c r="M59" s="2229">
        <v>0</v>
      </c>
      <c r="N59" s="2198">
        <f t="shared" si="68"/>
        <v>4038.2799999999997</v>
      </c>
      <c r="O59" s="2136">
        <v>9.4128951156859566E-3</v>
      </c>
      <c r="P59" s="1992"/>
      <c r="Q59" s="2229">
        <v>2613</v>
      </c>
      <c r="R59" s="2229"/>
      <c r="S59" s="2197">
        <f t="shared" si="69"/>
        <v>2613</v>
      </c>
      <c r="T59" s="2136">
        <f t="shared" si="70"/>
        <v>1.1103956465133913E-3</v>
      </c>
      <c r="U59" s="2152"/>
      <c r="V59" s="2229"/>
      <c r="W59" s="2229"/>
      <c r="X59" s="2197">
        <f t="shared" si="71"/>
        <v>0</v>
      </c>
      <c r="Y59" s="2136">
        <f t="shared" si="72"/>
        <v>0</v>
      </c>
      <c r="Z59" s="2204"/>
      <c r="AA59" s="2229"/>
      <c r="AB59" s="2229"/>
      <c r="AC59" s="2197">
        <f t="shared" si="73"/>
        <v>0</v>
      </c>
      <c r="AD59" s="2136" t="e">
        <f t="shared" si="57"/>
        <v>#DIV/0!</v>
      </c>
      <c r="AE59" s="2256"/>
      <c r="AF59" s="2196"/>
      <c r="AG59" s="2229"/>
      <c r="AH59" s="2197">
        <f t="shared" si="74"/>
        <v>0</v>
      </c>
      <c r="AI59" s="2136">
        <f t="shared" si="58"/>
        <v>0</v>
      </c>
      <c r="AJ59" s="2137"/>
      <c r="AK59" s="2196"/>
      <c r="AL59" s="2229"/>
      <c r="AM59" s="2197">
        <f t="shared" si="75"/>
        <v>0</v>
      </c>
      <c r="AN59" s="2136">
        <f t="shared" si="59"/>
        <v>0</v>
      </c>
      <c r="AO59" s="2137"/>
      <c r="AP59" s="2196"/>
      <c r="AQ59" s="2229"/>
      <c r="AR59" s="2197">
        <f t="shared" si="76"/>
        <v>0</v>
      </c>
      <c r="AS59" s="2136">
        <f t="shared" si="60"/>
        <v>0</v>
      </c>
      <c r="AT59" s="2137"/>
      <c r="AU59" s="2196"/>
      <c r="AV59" s="2229"/>
      <c r="AW59" s="2197">
        <f t="shared" si="77"/>
        <v>0</v>
      </c>
      <c r="AX59" s="2136">
        <f t="shared" si="61"/>
        <v>0</v>
      </c>
      <c r="AY59" s="2137"/>
      <c r="AZ59" s="2196"/>
      <c r="BA59" s="2229"/>
      <c r="BB59" s="2197">
        <f t="shared" si="78"/>
        <v>0</v>
      </c>
      <c r="BC59" s="2136">
        <f t="shared" si="62"/>
        <v>0</v>
      </c>
      <c r="BD59" s="2137"/>
      <c r="BE59" s="2196"/>
      <c r="BF59" s="2229"/>
      <c r="BG59" s="2197">
        <f t="shared" si="79"/>
        <v>0</v>
      </c>
      <c r="BH59" s="2136">
        <f t="shared" si="63"/>
        <v>0</v>
      </c>
      <c r="BI59" s="2137"/>
      <c r="BJ59" s="2198">
        <f t="shared" si="80"/>
        <v>6651.28</v>
      </c>
      <c r="BK59" s="2198">
        <f t="shared" si="80"/>
        <v>0</v>
      </c>
      <c r="BL59" s="2197">
        <f t="shared" si="81"/>
        <v>6651.28</v>
      </c>
      <c r="BM59" s="2136">
        <f t="shared" si="64"/>
        <v>1.1764208583047466E-3</v>
      </c>
      <c r="BN59" s="2139"/>
      <c r="BO59" s="2205">
        <f t="shared" si="82"/>
        <v>-1425.2799999999997</v>
      </c>
      <c r="BP59" s="2230"/>
      <c r="BQ59" s="2206">
        <v>6651.28</v>
      </c>
      <c r="BR59" s="2207">
        <f>BL59-BQ59</f>
        <v>0</v>
      </c>
    </row>
    <row r="60" spans="1:72" ht="15" customHeight="1" x14ac:dyDescent="0.25">
      <c r="A60" s="2363"/>
      <c r="B60" s="2364" t="s">
        <v>65</v>
      </c>
      <c r="C60" s="2236"/>
      <c r="D60" s="2252"/>
      <c r="E60" s="2336">
        <f t="shared" si="65"/>
        <v>0</v>
      </c>
      <c r="F60" s="2136" t="e">
        <f t="shared" si="83"/>
        <v>#DIV/0!</v>
      </c>
      <c r="G60" s="2229">
        <v>5896</v>
      </c>
      <c r="H60" s="2229">
        <v>0</v>
      </c>
      <c r="I60" s="2197">
        <f t="shared" si="66"/>
        <v>5896</v>
      </c>
      <c r="J60" s="2136">
        <f t="shared" si="67"/>
        <v>2.5055081254661141E-3</v>
      </c>
      <c r="K60" s="2152"/>
      <c r="L60" s="2229">
        <v>4556</v>
      </c>
      <c r="M60" s="2229">
        <v>0</v>
      </c>
      <c r="N60" s="2198">
        <f t="shared" si="68"/>
        <v>4556</v>
      </c>
      <c r="O60" s="2136">
        <v>1.0619657415301865E-2</v>
      </c>
      <c r="P60" s="1992"/>
      <c r="Q60" s="2229">
        <v>2948</v>
      </c>
      <c r="R60" s="2229"/>
      <c r="S60" s="2197">
        <f t="shared" si="69"/>
        <v>2948</v>
      </c>
      <c r="T60" s="2136">
        <f t="shared" si="70"/>
        <v>1.2527540627330571E-3</v>
      </c>
      <c r="U60" s="2152"/>
      <c r="V60" s="2229"/>
      <c r="W60" s="2229"/>
      <c r="X60" s="2197">
        <f t="shared" si="71"/>
        <v>0</v>
      </c>
      <c r="Y60" s="2136">
        <f t="shared" si="72"/>
        <v>0</v>
      </c>
      <c r="Z60" s="2204"/>
      <c r="AA60" s="2229"/>
      <c r="AB60" s="2229"/>
      <c r="AC60" s="2197">
        <f t="shared" si="73"/>
        <v>0</v>
      </c>
      <c r="AD60" s="2136" t="e">
        <f t="shared" si="57"/>
        <v>#DIV/0!</v>
      </c>
      <c r="AE60" s="2256"/>
      <c r="AF60" s="2196"/>
      <c r="AG60" s="2229"/>
      <c r="AH60" s="2197">
        <f t="shared" si="74"/>
        <v>0</v>
      </c>
      <c r="AI60" s="2136">
        <f t="shared" si="58"/>
        <v>0</v>
      </c>
      <c r="AJ60" s="2137"/>
      <c r="AK60" s="2196"/>
      <c r="AL60" s="2229"/>
      <c r="AM60" s="2197">
        <f t="shared" si="75"/>
        <v>0</v>
      </c>
      <c r="AN60" s="2136">
        <f t="shared" si="59"/>
        <v>0</v>
      </c>
      <c r="AO60" s="2137"/>
      <c r="AP60" s="2196"/>
      <c r="AQ60" s="2229"/>
      <c r="AR60" s="2197">
        <f t="shared" si="76"/>
        <v>0</v>
      </c>
      <c r="AS60" s="2136">
        <f t="shared" si="60"/>
        <v>0</v>
      </c>
      <c r="AT60" s="2137"/>
      <c r="AU60" s="2196"/>
      <c r="AV60" s="2229"/>
      <c r="AW60" s="2197">
        <f t="shared" si="77"/>
        <v>0</v>
      </c>
      <c r="AX60" s="2136">
        <f t="shared" si="61"/>
        <v>0</v>
      </c>
      <c r="AY60" s="2137"/>
      <c r="AZ60" s="2196"/>
      <c r="BA60" s="2229"/>
      <c r="BB60" s="2197">
        <f t="shared" si="78"/>
        <v>0</v>
      </c>
      <c r="BC60" s="2136">
        <f t="shared" si="62"/>
        <v>0</v>
      </c>
      <c r="BD60" s="2137"/>
      <c r="BE60" s="2196"/>
      <c r="BF60" s="2229"/>
      <c r="BG60" s="2197">
        <f t="shared" si="79"/>
        <v>0</v>
      </c>
      <c r="BH60" s="2136">
        <f t="shared" si="63"/>
        <v>0</v>
      </c>
      <c r="BI60" s="2137"/>
      <c r="BJ60" s="2198">
        <f t="shared" si="80"/>
        <v>7504</v>
      </c>
      <c r="BK60" s="2198">
        <f t="shared" si="80"/>
        <v>0</v>
      </c>
      <c r="BL60" s="2197">
        <f t="shared" si="81"/>
        <v>7504</v>
      </c>
      <c r="BM60" s="2136">
        <f t="shared" si="64"/>
        <v>1.3272425940148089E-3</v>
      </c>
      <c r="BN60" s="2139"/>
      <c r="BO60" s="2205">
        <f t="shared" si="82"/>
        <v>-1608</v>
      </c>
      <c r="BP60" s="2230"/>
      <c r="BQ60" s="2206">
        <v>7504</v>
      </c>
      <c r="BR60" s="2207">
        <f>BL60-BQ60</f>
        <v>0</v>
      </c>
    </row>
    <row r="61" spans="1:72" ht="15" customHeight="1" x14ac:dyDescent="0.25">
      <c r="A61" s="2363"/>
      <c r="B61" s="2364" t="s">
        <v>32</v>
      </c>
      <c r="C61" s="2236"/>
      <c r="D61" s="2252"/>
      <c r="E61" s="2336">
        <f t="shared" si="65"/>
        <v>0</v>
      </c>
      <c r="F61" s="2136" t="e">
        <f t="shared" si="83"/>
        <v>#DIV/0!</v>
      </c>
      <c r="G61" s="2229"/>
      <c r="H61" s="2229"/>
      <c r="I61" s="2197">
        <f t="shared" si="66"/>
        <v>0</v>
      </c>
      <c r="J61" s="2136">
        <f t="shared" si="67"/>
        <v>0</v>
      </c>
      <c r="K61" s="2152"/>
      <c r="L61" s="2229">
        <v>0</v>
      </c>
      <c r="M61" s="2229">
        <v>0</v>
      </c>
      <c r="N61" s="2198">
        <f t="shared" si="68"/>
        <v>0</v>
      </c>
      <c r="O61" s="2136">
        <v>0</v>
      </c>
      <c r="P61" s="1992"/>
      <c r="Q61" s="2229"/>
      <c r="R61" s="2229"/>
      <c r="S61" s="2197">
        <f t="shared" si="69"/>
        <v>0</v>
      </c>
      <c r="T61" s="2136">
        <f t="shared" si="70"/>
        <v>0</v>
      </c>
      <c r="U61" s="2152"/>
      <c r="V61" s="2229"/>
      <c r="W61" s="2229"/>
      <c r="X61" s="2197">
        <f t="shared" si="71"/>
        <v>0</v>
      </c>
      <c r="Y61" s="2136">
        <f t="shared" si="72"/>
        <v>0</v>
      </c>
      <c r="Z61" s="2204"/>
      <c r="AA61" s="2229"/>
      <c r="AB61" s="2229"/>
      <c r="AC61" s="2197">
        <f t="shared" si="73"/>
        <v>0</v>
      </c>
      <c r="AD61" s="2136" t="e">
        <f t="shared" si="57"/>
        <v>#DIV/0!</v>
      </c>
      <c r="AE61" s="2256"/>
      <c r="AF61" s="2196"/>
      <c r="AG61" s="2229"/>
      <c r="AH61" s="2197">
        <f t="shared" si="74"/>
        <v>0</v>
      </c>
      <c r="AI61" s="2136">
        <f t="shared" si="58"/>
        <v>0</v>
      </c>
      <c r="AJ61" s="2137"/>
      <c r="AK61" s="2196"/>
      <c r="AL61" s="2229"/>
      <c r="AM61" s="2197">
        <f t="shared" si="75"/>
        <v>0</v>
      </c>
      <c r="AN61" s="2136">
        <f t="shared" si="59"/>
        <v>0</v>
      </c>
      <c r="AO61" s="2137"/>
      <c r="AP61" s="2196"/>
      <c r="AQ61" s="2229"/>
      <c r="AR61" s="2197">
        <f t="shared" si="76"/>
        <v>0</v>
      </c>
      <c r="AS61" s="2136">
        <f t="shared" si="60"/>
        <v>0</v>
      </c>
      <c r="AT61" s="2137"/>
      <c r="AU61" s="2196"/>
      <c r="AV61" s="2229"/>
      <c r="AW61" s="2197">
        <f t="shared" si="77"/>
        <v>0</v>
      </c>
      <c r="AX61" s="2136">
        <f t="shared" si="61"/>
        <v>0</v>
      </c>
      <c r="AY61" s="2137"/>
      <c r="AZ61" s="2196"/>
      <c r="BA61" s="2229"/>
      <c r="BB61" s="2197">
        <f t="shared" si="78"/>
        <v>0</v>
      </c>
      <c r="BC61" s="2136">
        <f t="shared" si="62"/>
        <v>0</v>
      </c>
      <c r="BD61" s="2137"/>
      <c r="BE61" s="2196"/>
      <c r="BF61" s="2229"/>
      <c r="BG61" s="2197">
        <f t="shared" si="79"/>
        <v>0</v>
      </c>
      <c r="BH61" s="2136">
        <f t="shared" si="63"/>
        <v>0</v>
      </c>
      <c r="BI61" s="2137"/>
      <c r="BJ61" s="2198">
        <f t="shared" si="80"/>
        <v>0</v>
      </c>
      <c r="BK61" s="2198">
        <f t="shared" si="80"/>
        <v>0</v>
      </c>
      <c r="BL61" s="2197">
        <f t="shared" si="81"/>
        <v>0</v>
      </c>
      <c r="BM61" s="2136">
        <f t="shared" si="64"/>
        <v>0</v>
      </c>
      <c r="BN61" s="2139"/>
      <c r="BO61" s="2205">
        <f t="shared" si="82"/>
        <v>0</v>
      </c>
      <c r="BP61" s="2230"/>
      <c r="BR61" s="2245"/>
    </row>
    <row r="62" spans="1:72" ht="15" customHeight="1" x14ac:dyDescent="0.25">
      <c r="A62" s="2363"/>
      <c r="B62" s="2364" t="s">
        <v>33</v>
      </c>
      <c r="C62" s="2365"/>
      <c r="D62" s="2252"/>
      <c r="E62" s="2336">
        <f t="shared" si="65"/>
        <v>0</v>
      </c>
      <c r="F62" s="2136" t="e">
        <f t="shared" si="83"/>
        <v>#DIV/0!</v>
      </c>
      <c r="G62" s="2229"/>
      <c r="H62" s="2229"/>
      <c r="I62" s="2197">
        <f t="shared" si="66"/>
        <v>0</v>
      </c>
      <c r="J62" s="2136">
        <f t="shared" si="67"/>
        <v>0</v>
      </c>
      <c r="K62" s="2152"/>
      <c r="L62" s="2229">
        <v>0</v>
      </c>
      <c r="M62" s="2229">
        <v>435</v>
      </c>
      <c r="N62" s="2198">
        <f t="shared" si="68"/>
        <v>435</v>
      </c>
      <c r="O62" s="2136">
        <v>1.0139488533047216E-3</v>
      </c>
      <c r="P62" s="1992"/>
      <c r="Q62" s="2229"/>
      <c r="R62" s="2229"/>
      <c r="S62" s="2197">
        <f t="shared" si="69"/>
        <v>0</v>
      </c>
      <c r="T62" s="2136">
        <f t="shared" si="70"/>
        <v>0</v>
      </c>
      <c r="U62" s="2152"/>
      <c r="V62" s="2229"/>
      <c r="W62" s="2229"/>
      <c r="X62" s="2197">
        <f t="shared" si="71"/>
        <v>0</v>
      </c>
      <c r="Y62" s="2136">
        <f t="shared" si="72"/>
        <v>0</v>
      </c>
      <c r="Z62" s="2204"/>
      <c r="AA62" s="2229"/>
      <c r="AB62" s="2229"/>
      <c r="AC62" s="2197">
        <f t="shared" si="73"/>
        <v>0</v>
      </c>
      <c r="AD62" s="2136" t="e">
        <f t="shared" si="57"/>
        <v>#DIV/0!</v>
      </c>
      <c r="AE62" s="2256"/>
      <c r="AF62" s="2196"/>
      <c r="AG62" s="2229"/>
      <c r="AH62" s="2197">
        <f t="shared" si="74"/>
        <v>0</v>
      </c>
      <c r="AI62" s="2136">
        <f t="shared" si="58"/>
        <v>0</v>
      </c>
      <c r="AJ62" s="2137"/>
      <c r="AK62" s="2196"/>
      <c r="AL62" s="2229"/>
      <c r="AM62" s="2197">
        <f t="shared" si="75"/>
        <v>0</v>
      </c>
      <c r="AN62" s="2136">
        <f t="shared" si="59"/>
        <v>0</v>
      </c>
      <c r="AO62" s="2137"/>
      <c r="AP62" s="2196"/>
      <c r="AQ62" s="2229"/>
      <c r="AR62" s="2197">
        <f t="shared" si="76"/>
        <v>0</v>
      </c>
      <c r="AS62" s="2136">
        <f t="shared" si="60"/>
        <v>0</v>
      </c>
      <c r="AT62" s="2137"/>
      <c r="AU62" s="2196"/>
      <c r="AV62" s="2229"/>
      <c r="AW62" s="2197">
        <f t="shared" si="77"/>
        <v>0</v>
      </c>
      <c r="AX62" s="2136">
        <f t="shared" si="61"/>
        <v>0</v>
      </c>
      <c r="AY62" s="2137"/>
      <c r="AZ62" s="2196"/>
      <c r="BA62" s="2229"/>
      <c r="BB62" s="2197">
        <f t="shared" si="78"/>
        <v>0</v>
      </c>
      <c r="BC62" s="2136">
        <f t="shared" si="62"/>
        <v>0</v>
      </c>
      <c r="BD62" s="2137"/>
      <c r="BE62" s="2196"/>
      <c r="BF62" s="2229"/>
      <c r="BG62" s="2197">
        <f t="shared" si="79"/>
        <v>0</v>
      </c>
      <c r="BH62" s="2136">
        <f t="shared" si="63"/>
        <v>0</v>
      </c>
      <c r="BI62" s="2137"/>
      <c r="BJ62" s="2198">
        <f t="shared" si="80"/>
        <v>0</v>
      </c>
      <c r="BK62" s="2198">
        <f t="shared" si="80"/>
        <v>435</v>
      </c>
      <c r="BL62" s="2197">
        <f t="shared" si="81"/>
        <v>435</v>
      </c>
      <c r="BM62" s="2136">
        <f t="shared" si="64"/>
        <v>7.69390363001655E-5</v>
      </c>
      <c r="BN62" s="2139"/>
      <c r="BO62" s="2205">
        <f t="shared" si="82"/>
        <v>-435</v>
      </c>
      <c r="BP62" s="2230"/>
      <c r="BQ62" s="2206">
        <v>435</v>
      </c>
      <c r="BR62" s="2207">
        <f>BL62-BQ62</f>
        <v>0</v>
      </c>
    </row>
    <row r="63" spans="1:72" ht="15" customHeight="1" x14ac:dyDescent="0.25">
      <c r="A63" s="2363"/>
      <c r="B63" s="2364" t="s">
        <v>35</v>
      </c>
      <c r="C63" s="2365"/>
      <c r="D63" s="2252"/>
      <c r="E63" s="2336">
        <f t="shared" si="65"/>
        <v>0</v>
      </c>
      <c r="F63" s="2136" t="e">
        <f t="shared" si="83"/>
        <v>#DIV/0!</v>
      </c>
      <c r="G63" s="2198"/>
      <c r="H63" s="2229"/>
      <c r="I63" s="2197">
        <f t="shared" si="66"/>
        <v>0</v>
      </c>
      <c r="J63" s="2136">
        <f t="shared" si="67"/>
        <v>0</v>
      </c>
      <c r="K63" s="2152"/>
      <c r="L63" s="2229">
        <v>12573.883760000001</v>
      </c>
      <c r="M63" s="2229">
        <v>721</v>
      </c>
      <c r="N63" s="2198">
        <f t="shared" si="68"/>
        <v>13294.883760000001</v>
      </c>
      <c r="O63" s="2136">
        <v>3.0989269294877164E-2</v>
      </c>
      <c r="P63" s="1992"/>
      <c r="Q63" s="2198">
        <v>5378.3</v>
      </c>
      <c r="R63" s="2229"/>
      <c r="S63" s="2197">
        <f t="shared" si="69"/>
        <v>5378.3</v>
      </c>
      <c r="T63" s="2136">
        <f t="shared" si="70"/>
        <v>2.2855112535947087E-3</v>
      </c>
      <c r="U63" s="2152" t="s">
        <v>979</v>
      </c>
      <c r="V63" s="2198">
        <v>4160</v>
      </c>
      <c r="W63" s="2229"/>
      <c r="X63" s="2197">
        <f t="shared" si="71"/>
        <v>4160</v>
      </c>
      <c r="Y63" s="2136">
        <f t="shared" si="72"/>
        <v>1.7677940641009217E-3</v>
      </c>
      <c r="Z63" s="2204" t="s">
        <v>1052</v>
      </c>
      <c r="AA63" s="2198"/>
      <c r="AB63" s="2229"/>
      <c r="AC63" s="2197">
        <f t="shared" si="73"/>
        <v>0</v>
      </c>
      <c r="AD63" s="2136" t="e">
        <f t="shared" si="57"/>
        <v>#DIV/0!</v>
      </c>
      <c r="AE63" s="2104"/>
      <c r="AF63" s="2201"/>
      <c r="AG63" s="2229"/>
      <c r="AH63" s="2197">
        <f t="shared" si="74"/>
        <v>0</v>
      </c>
      <c r="AI63" s="2136">
        <f t="shared" si="58"/>
        <v>0</v>
      </c>
      <c r="AJ63" s="2148"/>
      <c r="AK63" s="2201"/>
      <c r="AL63" s="2229"/>
      <c r="AM63" s="2197">
        <f t="shared" si="75"/>
        <v>0</v>
      </c>
      <c r="AN63" s="2136">
        <f t="shared" si="59"/>
        <v>0</v>
      </c>
      <c r="AO63" s="2148"/>
      <c r="AP63" s="2201"/>
      <c r="AQ63" s="2229"/>
      <c r="AR63" s="2197">
        <f t="shared" si="76"/>
        <v>0</v>
      </c>
      <c r="AS63" s="2136">
        <f t="shared" si="60"/>
        <v>0</v>
      </c>
      <c r="AT63" s="2148"/>
      <c r="AU63" s="2201"/>
      <c r="AV63" s="2229"/>
      <c r="AW63" s="2197">
        <f t="shared" si="77"/>
        <v>0</v>
      </c>
      <c r="AX63" s="2136">
        <f t="shared" si="61"/>
        <v>0</v>
      </c>
      <c r="AY63" s="2148"/>
      <c r="AZ63" s="2201"/>
      <c r="BA63" s="2229"/>
      <c r="BB63" s="2197">
        <f t="shared" si="78"/>
        <v>0</v>
      </c>
      <c r="BC63" s="2136">
        <f t="shared" si="62"/>
        <v>0</v>
      </c>
      <c r="BD63" s="2148"/>
      <c r="BE63" s="2201"/>
      <c r="BF63" s="2229"/>
      <c r="BG63" s="2197">
        <f t="shared" si="79"/>
        <v>0</v>
      </c>
      <c r="BH63" s="2136">
        <f t="shared" si="63"/>
        <v>0</v>
      </c>
      <c r="BI63" s="2148"/>
      <c r="BJ63" s="2198">
        <f t="shared" si="80"/>
        <v>22112.18376</v>
      </c>
      <c r="BK63" s="2198">
        <f t="shared" si="80"/>
        <v>721</v>
      </c>
      <c r="BL63" s="2197">
        <f t="shared" si="81"/>
        <v>22833.18376</v>
      </c>
      <c r="BM63" s="2136">
        <f t="shared" si="64"/>
        <v>4.0385359865723891E-3</v>
      </c>
      <c r="BN63" s="2139"/>
      <c r="BO63" s="2205">
        <f t="shared" si="82"/>
        <v>-22833.18376</v>
      </c>
      <c r="BP63" s="2230"/>
      <c r="BQ63" s="2206">
        <v>22833.18376</v>
      </c>
      <c r="BR63" s="2207">
        <f>BL63-BQ63</f>
        <v>0</v>
      </c>
    </row>
    <row r="64" spans="1:72" ht="15" customHeight="1" x14ac:dyDescent="0.25">
      <c r="A64" s="2363"/>
      <c r="B64" s="2364" t="s">
        <v>63</v>
      </c>
      <c r="C64" s="2365"/>
      <c r="D64" s="2252"/>
      <c r="E64" s="2336">
        <f t="shared" si="65"/>
        <v>0</v>
      </c>
      <c r="F64" s="2136" t="e">
        <f t="shared" si="83"/>
        <v>#DIV/0!</v>
      </c>
      <c r="G64" s="2229"/>
      <c r="H64" s="2229"/>
      <c r="I64" s="2197">
        <f t="shared" si="66"/>
        <v>0</v>
      </c>
      <c r="J64" s="2136">
        <f t="shared" si="67"/>
        <v>0</v>
      </c>
      <c r="K64" s="2152"/>
      <c r="L64" s="2229">
        <v>0</v>
      </c>
      <c r="M64" s="2229">
        <v>0</v>
      </c>
      <c r="N64" s="2198">
        <f t="shared" si="68"/>
        <v>0</v>
      </c>
      <c r="O64" s="2136">
        <v>0</v>
      </c>
      <c r="P64" s="1992"/>
      <c r="Q64" s="2229"/>
      <c r="R64" s="2229"/>
      <c r="S64" s="2197">
        <f t="shared" si="69"/>
        <v>0</v>
      </c>
      <c r="T64" s="2136">
        <f t="shared" si="70"/>
        <v>0</v>
      </c>
      <c r="U64" s="2152"/>
      <c r="V64" s="2229"/>
      <c r="W64" s="2229"/>
      <c r="X64" s="2197">
        <f t="shared" si="71"/>
        <v>0</v>
      </c>
      <c r="Y64" s="2136">
        <f t="shared" si="72"/>
        <v>0</v>
      </c>
      <c r="Z64" s="2204"/>
      <c r="AA64" s="2229"/>
      <c r="AB64" s="2229"/>
      <c r="AC64" s="2197">
        <f t="shared" si="73"/>
        <v>0</v>
      </c>
      <c r="AD64" s="2136" t="e">
        <f t="shared" si="57"/>
        <v>#DIV/0!</v>
      </c>
      <c r="AE64" s="2256"/>
      <c r="AF64" s="2196"/>
      <c r="AG64" s="2229"/>
      <c r="AH64" s="2197">
        <f t="shared" si="74"/>
        <v>0</v>
      </c>
      <c r="AI64" s="2136">
        <f t="shared" si="58"/>
        <v>0</v>
      </c>
      <c r="AJ64" s="2137"/>
      <c r="AK64" s="2196"/>
      <c r="AL64" s="2229"/>
      <c r="AM64" s="2197">
        <f t="shared" si="75"/>
        <v>0</v>
      </c>
      <c r="AN64" s="2136">
        <f t="shared" si="59"/>
        <v>0</v>
      </c>
      <c r="AO64" s="2137"/>
      <c r="AP64" s="2196"/>
      <c r="AQ64" s="2229"/>
      <c r="AR64" s="2197">
        <f t="shared" si="76"/>
        <v>0</v>
      </c>
      <c r="AS64" s="2136">
        <f t="shared" si="60"/>
        <v>0</v>
      </c>
      <c r="AT64" s="2137"/>
      <c r="AU64" s="2196"/>
      <c r="AV64" s="2229"/>
      <c r="AW64" s="2197">
        <f t="shared" si="77"/>
        <v>0</v>
      </c>
      <c r="AX64" s="2136">
        <f t="shared" si="61"/>
        <v>0</v>
      </c>
      <c r="AY64" s="2137"/>
      <c r="AZ64" s="2196"/>
      <c r="BA64" s="2229"/>
      <c r="BB64" s="2197">
        <f t="shared" si="78"/>
        <v>0</v>
      </c>
      <c r="BC64" s="2136">
        <f t="shared" si="62"/>
        <v>0</v>
      </c>
      <c r="BD64" s="2137"/>
      <c r="BE64" s="2196"/>
      <c r="BF64" s="2229"/>
      <c r="BG64" s="2197">
        <f t="shared" si="79"/>
        <v>0</v>
      </c>
      <c r="BH64" s="2136">
        <f t="shared" si="63"/>
        <v>0</v>
      </c>
      <c r="BI64" s="2137"/>
      <c r="BJ64" s="2198">
        <f t="shared" si="80"/>
        <v>0</v>
      </c>
      <c r="BK64" s="2198">
        <f t="shared" si="80"/>
        <v>0</v>
      </c>
      <c r="BL64" s="2197">
        <f t="shared" si="81"/>
        <v>0</v>
      </c>
      <c r="BM64" s="2136">
        <f t="shared" si="64"/>
        <v>0</v>
      </c>
      <c r="BN64" s="2139"/>
      <c r="BO64" s="2205">
        <f t="shared" si="82"/>
        <v>0</v>
      </c>
      <c r="BP64" s="2230"/>
      <c r="BR64" s="2245"/>
    </row>
    <row r="65" spans="1:72" ht="29.4" customHeight="1" x14ac:dyDescent="0.25">
      <c r="A65" s="2363"/>
      <c r="B65" s="2364" t="s">
        <v>36</v>
      </c>
      <c r="C65" s="2365"/>
      <c r="D65" s="2252"/>
      <c r="E65" s="2336">
        <f t="shared" si="65"/>
        <v>0</v>
      </c>
      <c r="F65" s="2136" t="e">
        <f t="shared" si="83"/>
        <v>#DIV/0!</v>
      </c>
      <c r="G65" s="2198"/>
      <c r="H65" s="2198"/>
      <c r="I65" s="2197">
        <f t="shared" si="66"/>
        <v>0</v>
      </c>
      <c r="J65" s="2136">
        <f t="shared" si="67"/>
        <v>0</v>
      </c>
      <c r="K65" s="2152"/>
      <c r="L65" s="2198">
        <v>12789.984</v>
      </c>
      <c r="M65" s="2198">
        <v>2000</v>
      </c>
      <c r="N65" s="2198">
        <f t="shared" si="68"/>
        <v>14789.984</v>
      </c>
      <c r="O65" s="2136">
        <v>3.4474223717690065E-2</v>
      </c>
      <c r="P65" s="1992"/>
      <c r="Q65" s="2198">
        <f>3900+800</f>
        <v>4700</v>
      </c>
      <c r="R65" s="2198">
        <v>1250</v>
      </c>
      <c r="S65" s="2197">
        <f t="shared" si="69"/>
        <v>5950</v>
      </c>
      <c r="T65" s="2136">
        <f t="shared" si="70"/>
        <v>2.5284554522597316E-3</v>
      </c>
      <c r="U65" s="2152" t="s">
        <v>982</v>
      </c>
      <c r="V65" s="2198">
        <v>7840</v>
      </c>
      <c r="W65" s="2198"/>
      <c r="X65" s="2197">
        <f t="shared" si="71"/>
        <v>7840</v>
      </c>
      <c r="Y65" s="2136">
        <f t="shared" si="72"/>
        <v>3.3316118900363523E-3</v>
      </c>
      <c r="Z65" s="2204" t="s">
        <v>1044</v>
      </c>
      <c r="AA65" s="2198"/>
      <c r="AB65" s="2198"/>
      <c r="AC65" s="2197">
        <f t="shared" si="73"/>
        <v>0</v>
      </c>
      <c r="AD65" s="2136" t="e">
        <f t="shared" si="57"/>
        <v>#DIV/0!</v>
      </c>
      <c r="AE65" s="2256"/>
      <c r="AF65" s="2201"/>
      <c r="AG65" s="2198"/>
      <c r="AH65" s="2197">
        <f t="shared" si="74"/>
        <v>0</v>
      </c>
      <c r="AI65" s="2136">
        <f t="shared" si="58"/>
        <v>0</v>
      </c>
      <c r="AJ65" s="2137"/>
      <c r="AK65" s="2201"/>
      <c r="AL65" s="2198"/>
      <c r="AM65" s="2197">
        <f t="shared" si="75"/>
        <v>0</v>
      </c>
      <c r="AN65" s="2136">
        <f t="shared" si="59"/>
        <v>0</v>
      </c>
      <c r="AO65" s="2137"/>
      <c r="AP65" s="2201"/>
      <c r="AQ65" s="2198"/>
      <c r="AR65" s="2197">
        <f t="shared" si="76"/>
        <v>0</v>
      </c>
      <c r="AS65" s="2136">
        <f t="shared" si="60"/>
        <v>0</v>
      </c>
      <c r="AT65" s="2137"/>
      <c r="AU65" s="2201"/>
      <c r="AV65" s="2198"/>
      <c r="AW65" s="2197">
        <f t="shared" si="77"/>
        <v>0</v>
      </c>
      <c r="AX65" s="2136">
        <f t="shared" si="61"/>
        <v>0</v>
      </c>
      <c r="AY65" s="2137"/>
      <c r="AZ65" s="2201"/>
      <c r="BA65" s="2198"/>
      <c r="BB65" s="2197">
        <f t="shared" si="78"/>
        <v>0</v>
      </c>
      <c r="BC65" s="2136">
        <f t="shared" si="62"/>
        <v>0</v>
      </c>
      <c r="BD65" s="2137"/>
      <c r="BE65" s="2201"/>
      <c r="BF65" s="2198"/>
      <c r="BG65" s="2197">
        <f t="shared" si="79"/>
        <v>0</v>
      </c>
      <c r="BH65" s="2136">
        <f t="shared" si="63"/>
        <v>0</v>
      </c>
      <c r="BI65" s="2137"/>
      <c r="BJ65" s="2198">
        <f t="shared" si="80"/>
        <v>25329.984</v>
      </c>
      <c r="BK65" s="2198">
        <f t="shared" si="80"/>
        <v>3250</v>
      </c>
      <c r="BL65" s="2197">
        <f t="shared" si="81"/>
        <v>28579.984</v>
      </c>
      <c r="BM65" s="2136">
        <f t="shared" si="64"/>
        <v>5.0549802906532165E-3</v>
      </c>
      <c r="BN65" s="2139"/>
      <c r="BO65" s="2205">
        <f t="shared" si="82"/>
        <v>-28579.984</v>
      </c>
      <c r="BP65" s="2230"/>
      <c r="BQ65" s="2206">
        <v>28579.984</v>
      </c>
      <c r="BR65" s="2207">
        <f>BL65-BQ65</f>
        <v>0</v>
      </c>
    </row>
    <row r="66" spans="1:72" s="2209" customFormat="1" ht="15" customHeight="1" x14ac:dyDescent="0.25">
      <c r="A66" s="2363"/>
      <c r="B66" s="2364" t="s">
        <v>37</v>
      </c>
      <c r="C66" s="2365"/>
      <c r="D66" s="2252"/>
      <c r="E66" s="2336">
        <f t="shared" si="65"/>
        <v>0</v>
      </c>
      <c r="F66" s="2136" t="e">
        <f t="shared" si="83"/>
        <v>#DIV/0!</v>
      </c>
      <c r="G66" s="2198"/>
      <c r="H66" s="2198"/>
      <c r="I66" s="2197">
        <f t="shared" si="66"/>
        <v>0</v>
      </c>
      <c r="J66" s="2136">
        <f t="shared" si="67"/>
        <v>0</v>
      </c>
      <c r="K66" s="2152"/>
      <c r="L66" s="2198">
        <v>0</v>
      </c>
      <c r="M66" s="2198">
        <v>0</v>
      </c>
      <c r="N66" s="2198">
        <f t="shared" si="68"/>
        <v>0</v>
      </c>
      <c r="O66" s="2136">
        <v>0</v>
      </c>
      <c r="P66" s="1992"/>
      <c r="Q66" s="2198"/>
      <c r="R66" s="2198"/>
      <c r="S66" s="2197">
        <f t="shared" si="69"/>
        <v>0</v>
      </c>
      <c r="T66" s="2136">
        <f t="shared" si="70"/>
        <v>0</v>
      </c>
      <c r="U66" s="2152"/>
      <c r="V66" s="2198"/>
      <c r="W66" s="2198"/>
      <c r="X66" s="2197">
        <f t="shared" si="71"/>
        <v>0</v>
      </c>
      <c r="Y66" s="2136">
        <f t="shared" si="72"/>
        <v>0</v>
      </c>
      <c r="Z66" s="2204"/>
      <c r="AA66" s="2198"/>
      <c r="AB66" s="2198"/>
      <c r="AC66" s="2197">
        <f t="shared" si="73"/>
        <v>0</v>
      </c>
      <c r="AD66" s="2136" t="e">
        <f t="shared" si="57"/>
        <v>#DIV/0!</v>
      </c>
      <c r="AE66" s="2256"/>
      <c r="AF66" s="2201"/>
      <c r="AG66" s="2198"/>
      <c r="AH66" s="2197">
        <f t="shared" si="74"/>
        <v>0</v>
      </c>
      <c r="AI66" s="2136">
        <f t="shared" si="58"/>
        <v>0</v>
      </c>
      <c r="AJ66" s="2137"/>
      <c r="AK66" s="2201"/>
      <c r="AL66" s="2198"/>
      <c r="AM66" s="2197">
        <f t="shared" si="75"/>
        <v>0</v>
      </c>
      <c r="AN66" s="2136">
        <f t="shared" si="59"/>
        <v>0</v>
      </c>
      <c r="AO66" s="2137"/>
      <c r="AP66" s="2201"/>
      <c r="AQ66" s="2198"/>
      <c r="AR66" s="2197">
        <f t="shared" si="76"/>
        <v>0</v>
      </c>
      <c r="AS66" s="2136">
        <f t="shared" si="60"/>
        <v>0</v>
      </c>
      <c r="AT66" s="2137"/>
      <c r="AU66" s="2201"/>
      <c r="AV66" s="2198"/>
      <c r="AW66" s="2197">
        <f t="shared" si="77"/>
        <v>0</v>
      </c>
      <c r="AX66" s="2136">
        <f t="shared" si="61"/>
        <v>0</v>
      </c>
      <c r="AY66" s="2137"/>
      <c r="AZ66" s="2201"/>
      <c r="BA66" s="2198"/>
      <c r="BB66" s="2197">
        <f t="shared" si="78"/>
        <v>0</v>
      </c>
      <c r="BC66" s="2136">
        <f t="shared" si="62"/>
        <v>0</v>
      </c>
      <c r="BD66" s="2137"/>
      <c r="BE66" s="2201"/>
      <c r="BF66" s="2198"/>
      <c r="BG66" s="2197">
        <f t="shared" si="79"/>
        <v>0</v>
      </c>
      <c r="BH66" s="2136">
        <f t="shared" si="63"/>
        <v>0</v>
      </c>
      <c r="BI66" s="2137"/>
      <c r="BJ66" s="2198">
        <f t="shared" si="80"/>
        <v>0</v>
      </c>
      <c r="BK66" s="2198">
        <f t="shared" si="80"/>
        <v>0</v>
      </c>
      <c r="BL66" s="2197">
        <f t="shared" si="81"/>
        <v>0</v>
      </c>
      <c r="BM66" s="2136">
        <f t="shared" si="64"/>
        <v>0</v>
      </c>
      <c r="BN66" s="2139"/>
      <c r="BO66" s="2205">
        <f t="shared" si="82"/>
        <v>0</v>
      </c>
      <c r="BP66" s="2230"/>
      <c r="BQ66" s="2169"/>
      <c r="BR66" s="2245"/>
      <c r="BS66" s="2208"/>
      <c r="BT66" s="2208"/>
    </row>
    <row r="67" spans="1:72" s="2209" customFormat="1" ht="15" customHeight="1" x14ac:dyDescent="0.25">
      <c r="A67" s="2363"/>
      <c r="B67" s="2364" t="s">
        <v>3</v>
      </c>
      <c r="C67" s="2365"/>
      <c r="D67" s="2252"/>
      <c r="E67" s="2336">
        <f t="shared" si="65"/>
        <v>0</v>
      </c>
      <c r="F67" s="2136" t="e">
        <f t="shared" si="83"/>
        <v>#DIV/0!</v>
      </c>
      <c r="G67" s="2198"/>
      <c r="H67" s="2198"/>
      <c r="I67" s="2197">
        <f t="shared" si="66"/>
        <v>0</v>
      </c>
      <c r="J67" s="2136">
        <f t="shared" si="67"/>
        <v>0</v>
      </c>
      <c r="K67" s="2152"/>
      <c r="L67" s="2198">
        <v>0</v>
      </c>
      <c r="M67" s="2198">
        <v>0</v>
      </c>
      <c r="N67" s="2198">
        <f t="shared" si="68"/>
        <v>0</v>
      </c>
      <c r="O67" s="2136">
        <v>0</v>
      </c>
      <c r="P67" s="1992"/>
      <c r="Q67" s="2198"/>
      <c r="R67" s="2198"/>
      <c r="S67" s="2197">
        <f t="shared" si="69"/>
        <v>0</v>
      </c>
      <c r="T67" s="2136">
        <f t="shared" si="70"/>
        <v>0</v>
      </c>
      <c r="U67" s="2152"/>
      <c r="V67" s="2198"/>
      <c r="W67" s="2198"/>
      <c r="X67" s="2197">
        <f t="shared" si="71"/>
        <v>0</v>
      </c>
      <c r="Y67" s="2136">
        <f t="shared" si="72"/>
        <v>0</v>
      </c>
      <c r="Z67" s="2204"/>
      <c r="AA67" s="2198"/>
      <c r="AB67" s="2198"/>
      <c r="AC67" s="2197">
        <f t="shared" si="73"/>
        <v>0</v>
      </c>
      <c r="AD67" s="2136" t="e">
        <f t="shared" si="57"/>
        <v>#DIV/0!</v>
      </c>
      <c r="AE67" s="2256"/>
      <c r="AF67" s="2201"/>
      <c r="AG67" s="2198"/>
      <c r="AH67" s="2197">
        <f t="shared" si="74"/>
        <v>0</v>
      </c>
      <c r="AI67" s="2136">
        <f t="shared" si="58"/>
        <v>0</v>
      </c>
      <c r="AJ67" s="2137"/>
      <c r="AK67" s="2201"/>
      <c r="AL67" s="2198"/>
      <c r="AM67" s="2197">
        <f t="shared" si="75"/>
        <v>0</v>
      </c>
      <c r="AN67" s="2136">
        <f t="shared" si="59"/>
        <v>0</v>
      </c>
      <c r="AO67" s="2137"/>
      <c r="AP67" s="2201"/>
      <c r="AQ67" s="2198"/>
      <c r="AR67" s="2197">
        <f t="shared" si="76"/>
        <v>0</v>
      </c>
      <c r="AS67" s="2136">
        <f t="shared" si="60"/>
        <v>0</v>
      </c>
      <c r="AT67" s="2137"/>
      <c r="AU67" s="2201"/>
      <c r="AV67" s="2198"/>
      <c r="AW67" s="2197">
        <f t="shared" si="77"/>
        <v>0</v>
      </c>
      <c r="AX67" s="2136">
        <f t="shared" si="61"/>
        <v>0</v>
      </c>
      <c r="AY67" s="2137"/>
      <c r="AZ67" s="2201"/>
      <c r="BA67" s="2198"/>
      <c r="BB67" s="2197">
        <f t="shared" si="78"/>
        <v>0</v>
      </c>
      <c r="BC67" s="2136">
        <f t="shared" si="62"/>
        <v>0</v>
      </c>
      <c r="BD67" s="2137"/>
      <c r="BE67" s="2201"/>
      <c r="BF67" s="2198"/>
      <c r="BG67" s="2197">
        <f t="shared" si="79"/>
        <v>0</v>
      </c>
      <c r="BH67" s="2136">
        <f t="shared" si="63"/>
        <v>0</v>
      </c>
      <c r="BI67" s="2137"/>
      <c r="BJ67" s="2198">
        <f t="shared" si="80"/>
        <v>0</v>
      </c>
      <c r="BK67" s="2198">
        <f t="shared" si="80"/>
        <v>0</v>
      </c>
      <c r="BL67" s="2197">
        <f t="shared" si="81"/>
        <v>0</v>
      </c>
      <c r="BM67" s="2136">
        <f t="shared" si="64"/>
        <v>0</v>
      </c>
      <c r="BN67" s="2139"/>
      <c r="BO67" s="2205">
        <f t="shared" si="82"/>
        <v>0</v>
      </c>
      <c r="BP67" s="2230"/>
      <c r="BQ67" s="2169"/>
      <c r="BR67" s="2245"/>
      <c r="BS67" s="2208"/>
      <c r="BT67" s="2208"/>
    </row>
    <row r="68" spans="1:72" s="2209" customFormat="1" ht="15" customHeight="1" x14ac:dyDescent="0.25">
      <c r="A68" s="2363"/>
      <c r="B68" s="2364" t="s">
        <v>5</v>
      </c>
      <c r="C68" s="2365"/>
      <c r="D68" s="2252"/>
      <c r="E68" s="2336">
        <f t="shared" si="65"/>
        <v>0</v>
      </c>
      <c r="F68" s="2136" t="e">
        <f t="shared" si="83"/>
        <v>#DIV/0!</v>
      </c>
      <c r="G68" s="2198">
        <v>4000</v>
      </c>
      <c r="H68" s="2198"/>
      <c r="I68" s="2197">
        <f t="shared" si="66"/>
        <v>4000</v>
      </c>
      <c r="J68" s="2136">
        <f t="shared" si="67"/>
        <v>1.6998019847124246E-3</v>
      </c>
      <c r="K68" s="2152"/>
      <c r="L68" s="2198">
        <v>0</v>
      </c>
      <c r="M68" s="2198">
        <v>826.29</v>
      </c>
      <c r="N68" s="2198">
        <f t="shared" si="68"/>
        <v>826.29</v>
      </c>
      <c r="O68" s="2136">
        <v>1.9260133287290998E-3</v>
      </c>
      <c r="P68" s="1992"/>
      <c r="Q68" s="2198"/>
      <c r="R68" s="2198">
        <v>185</v>
      </c>
      <c r="S68" s="2197">
        <f t="shared" si="69"/>
        <v>185</v>
      </c>
      <c r="T68" s="2136">
        <f t="shared" si="70"/>
        <v>7.8615841792949642E-5</v>
      </c>
      <c r="U68" s="2152"/>
      <c r="V68" s="2198"/>
      <c r="W68" s="2198">
        <v>2262.81</v>
      </c>
      <c r="X68" s="2197">
        <f t="shared" si="71"/>
        <v>2262.81</v>
      </c>
      <c r="Y68" s="2136">
        <f t="shared" si="72"/>
        <v>9.6158223225678043E-4</v>
      </c>
      <c r="Z68" s="2137"/>
      <c r="AA68" s="2198"/>
      <c r="AB68" s="2198"/>
      <c r="AC68" s="2197">
        <f t="shared" si="73"/>
        <v>0</v>
      </c>
      <c r="AD68" s="2136" t="e">
        <f t="shared" si="57"/>
        <v>#DIV/0!</v>
      </c>
      <c r="AE68" s="2256"/>
      <c r="AF68" s="2201"/>
      <c r="AG68" s="2198"/>
      <c r="AH68" s="2197">
        <f t="shared" si="74"/>
        <v>0</v>
      </c>
      <c r="AI68" s="2136">
        <f t="shared" si="58"/>
        <v>0</v>
      </c>
      <c r="AJ68" s="2137"/>
      <c r="AK68" s="2201"/>
      <c r="AL68" s="2198"/>
      <c r="AM68" s="2197">
        <f t="shared" si="75"/>
        <v>0</v>
      </c>
      <c r="AN68" s="2136">
        <f t="shared" si="59"/>
        <v>0</v>
      </c>
      <c r="AO68" s="2137"/>
      <c r="AP68" s="2201"/>
      <c r="AQ68" s="2198"/>
      <c r="AR68" s="2197">
        <f t="shared" si="76"/>
        <v>0</v>
      </c>
      <c r="AS68" s="2136">
        <f t="shared" si="60"/>
        <v>0</v>
      </c>
      <c r="AT68" s="2137"/>
      <c r="AU68" s="2201"/>
      <c r="AV68" s="2198"/>
      <c r="AW68" s="2197">
        <f t="shared" si="77"/>
        <v>0</v>
      </c>
      <c r="AX68" s="2136">
        <f t="shared" si="61"/>
        <v>0</v>
      </c>
      <c r="AY68" s="2137"/>
      <c r="AZ68" s="2201"/>
      <c r="BA68" s="2198"/>
      <c r="BB68" s="2197">
        <f t="shared" si="78"/>
        <v>0</v>
      </c>
      <c r="BC68" s="2136">
        <f t="shared" si="62"/>
        <v>0</v>
      </c>
      <c r="BD68" s="2137"/>
      <c r="BE68" s="2201"/>
      <c r="BF68" s="2198"/>
      <c r="BG68" s="2197">
        <f t="shared" si="79"/>
        <v>0</v>
      </c>
      <c r="BH68" s="2136">
        <f t="shared" si="63"/>
        <v>0</v>
      </c>
      <c r="BI68" s="2137"/>
      <c r="BJ68" s="2198">
        <f t="shared" si="80"/>
        <v>0</v>
      </c>
      <c r="BK68" s="2198">
        <f t="shared" si="80"/>
        <v>3274.1</v>
      </c>
      <c r="BL68" s="2197">
        <f t="shared" si="81"/>
        <v>3274.1</v>
      </c>
      <c r="BM68" s="2136">
        <f t="shared" si="64"/>
        <v>5.7909447988591231E-4</v>
      </c>
      <c r="BN68" s="2139"/>
      <c r="BO68" s="2205">
        <f t="shared" si="82"/>
        <v>725.90000000000009</v>
      </c>
      <c r="BP68" s="2230"/>
      <c r="BQ68" s="2206">
        <v>3274.1</v>
      </c>
      <c r="BR68" s="2207">
        <f>BL68-BQ68</f>
        <v>0</v>
      </c>
      <c r="BS68" s="2208"/>
      <c r="BT68" s="2208"/>
    </row>
    <row r="69" spans="1:72" s="2209" customFormat="1" ht="15" customHeight="1" x14ac:dyDescent="0.25">
      <c r="A69" s="2363"/>
      <c r="B69" s="2364" t="s">
        <v>42</v>
      </c>
      <c r="C69" s="2365"/>
      <c r="D69" s="2252"/>
      <c r="E69" s="2336">
        <f t="shared" si="65"/>
        <v>0</v>
      </c>
      <c r="F69" s="2136" t="e">
        <f t="shared" si="83"/>
        <v>#DIV/0!</v>
      </c>
      <c r="G69" s="2198">
        <v>61615.833992564993</v>
      </c>
      <c r="H69" s="2198"/>
      <c r="I69" s="2197">
        <f t="shared" si="66"/>
        <v>61615.833992564993</v>
      </c>
      <c r="J69" s="2136">
        <f t="shared" si="67"/>
        <v>2.6183679227568313E-2</v>
      </c>
      <c r="K69" s="2152"/>
      <c r="L69" s="2198">
        <v>39</v>
      </c>
      <c r="M69" s="2198">
        <v>0</v>
      </c>
      <c r="N69" s="2198">
        <f t="shared" si="68"/>
        <v>39</v>
      </c>
      <c r="O69" s="2136">
        <v>6.5009272456709611E-4</v>
      </c>
      <c r="P69" s="1992"/>
      <c r="Q69" s="2198"/>
      <c r="R69" s="2198"/>
      <c r="S69" s="2197">
        <f t="shared" si="69"/>
        <v>0</v>
      </c>
      <c r="T69" s="2136">
        <f t="shared" si="70"/>
        <v>0</v>
      </c>
      <c r="U69" s="2152"/>
      <c r="V69" s="2198"/>
      <c r="W69" s="2198"/>
      <c r="X69" s="2197">
        <f t="shared" si="71"/>
        <v>0</v>
      </c>
      <c r="Y69" s="2136">
        <f t="shared" si="72"/>
        <v>0</v>
      </c>
      <c r="Z69" s="2148"/>
      <c r="AA69" s="2198"/>
      <c r="AB69" s="2198"/>
      <c r="AC69" s="2197">
        <f t="shared" si="73"/>
        <v>0</v>
      </c>
      <c r="AD69" s="2136" t="e">
        <f t="shared" si="57"/>
        <v>#DIV/0!</v>
      </c>
      <c r="AE69" s="2104"/>
      <c r="AF69" s="2201"/>
      <c r="AG69" s="2198"/>
      <c r="AH69" s="2197">
        <f t="shared" si="74"/>
        <v>0</v>
      </c>
      <c r="AI69" s="2136">
        <f t="shared" si="58"/>
        <v>0</v>
      </c>
      <c r="AJ69" s="2148"/>
      <c r="AK69" s="2201"/>
      <c r="AL69" s="2198"/>
      <c r="AM69" s="2197">
        <f t="shared" si="75"/>
        <v>0</v>
      </c>
      <c r="AN69" s="2136">
        <f t="shared" si="59"/>
        <v>0</v>
      </c>
      <c r="AO69" s="2148"/>
      <c r="AP69" s="2201"/>
      <c r="AQ69" s="2198"/>
      <c r="AR69" s="2197">
        <f t="shared" si="76"/>
        <v>0</v>
      </c>
      <c r="AS69" s="2136">
        <f t="shared" si="60"/>
        <v>0</v>
      </c>
      <c r="AT69" s="2148"/>
      <c r="AU69" s="2201"/>
      <c r="AV69" s="2198"/>
      <c r="AW69" s="2197">
        <f t="shared" si="77"/>
        <v>0</v>
      </c>
      <c r="AX69" s="2136">
        <f t="shared" si="61"/>
        <v>0</v>
      </c>
      <c r="AY69" s="2148"/>
      <c r="AZ69" s="2201"/>
      <c r="BA69" s="2198"/>
      <c r="BB69" s="2197">
        <f t="shared" si="78"/>
        <v>0</v>
      </c>
      <c r="BC69" s="2136">
        <f t="shared" si="62"/>
        <v>0</v>
      </c>
      <c r="BD69" s="2148"/>
      <c r="BE69" s="2201"/>
      <c r="BF69" s="2198"/>
      <c r="BG69" s="2197">
        <f t="shared" si="79"/>
        <v>0</v>
      </c>
      <c r="BH69" s="2136">
        <f t="shared" si="63"/>
        <v>0</v>
      </c>
      <c r="BI69" s="2148"/>
      <c r="BJ69" s="2198">
        <f t="shared" si="80"/>
        <v>39</v>
      </c>
      <c r="BK69" s="2198">
        <f t="shared" si="80"/>
        <v>0</v>
      </c>
      <c r="BL69" s="2197">
        <f t="shared" si="81"/>
        <v>39</v>
      </c>
      <c r="BM69" s="2136">
        <f t="shared" si="64"/>
        <v>6.897982564842424E-6</v>
      </c>
      <c r="BN69" s="2139"/>
      <c r="BO69" s="2205">
        <f t="shared" si="82"/>
        <v>61576.833992564993</v>
      </c>
      <c r="BP69" s="2230"/>
      <c r="BQ69" s="2206">
        <v>39</v>
      </c>
      <c r="BR69" s="2207">
        <f>BL69-BQ69</f>
        <v>0</v>
      </c>
      <c r="BS69" s="2208"/>
      <c r="BT69" s="2208"/>
    </row>
    <row r="70" spans="1:72" s="2209" customFormat="1" ht="15" customHeight="1" x14ac:dyDescent="0.25">
      <c r="A70" s="2363"/>
      <c r="B70" s="2364" t="s">
        <v>6</v>
      </c>
      <c r="C70" s="2365"/>
      <c r="D70" s="2252"/>
      <c r="E70" s="2336">
        <f t="shared" si="65"/>
        <v>0</v>
      </c>
      <c r="F70" s="2136" t="e">
        <f t="shared" si="83"/>
        <v>#DIV/0!</v>
      </c>
      <c r="G70" s="2198"/>
      <c r="H70" s="2198">
        <v>4000</v>
      </c>
      <c r="I70" s="2197">
        <f t="shared" si="66"/>
        <v>4000</v>
      </c>
      <c r="J70" s="2136">
        <f t="shared" si="67"/>
        <v>1.6998019847124246E-3</v>
      </c>
      <c r="K70" s="2137"/>
      <c r="L70" s="2198">
        <v>5600</v>
      </c>
      <c r="M70" s="2198">
        <v>0</v>
      </c>
      <c r="N70" s="2198">
        <f t="shared" si="68"/>
        <v>5600</v>
      </c>
      <c r="O70" s="2136">
        <v>1.3053134663233197E-2</v>
      </c>
      <c r="P70" s="1992"/>
      <c r="Q70" s="2198"/>
      <c r="R70" s="2198"/>
      <c r="S70" s="2197">
        <f t="shared" si="69"/>
        <v>0</v>
      </c>
      <c r="T70" s="2136">
        <f t="shared" si="70"/>
        <v>0</v>
      </c>
      <c r="U70" s="2137"/>
      <c r="V70" s="2198"/>
      <c r="W70" s="2198"/>
      <c r="X70" s="2197">
        <f t="shared" si="71"/>
        <v>0</v>
      </c>
      <c r="Y70" s="2136">
        <f t="shared" si="72"/>
        <v>0</v>
      </c>
      <c r="Z70" s="2137"/>
      <c r="AA70" s="2198"/>
      <c r="AB70" s="2198"/>
      <c r="AC70" s="2197">
        <f t="shared" si="73"/>
        <v>0</v>
      </c>
      <c r="AD70" s="2136" t="e">
        <f t="shared" si="57"/>
        <v>#DIV/0!</v>
      </c>
      <c r="AE70" s="2256"/>
      <c r="AF70" s="2201"/>
      <c r="AG70" s="2198"/>
      <c r="AH70" s="2197">
        <f t="shared" si="74"/>
        <v>0</v>
      </c>
      <c r="AI70" s="2136">
        <f t="shared" si="58"/>
        <v>0</v>
      </c>
      <c r="AJ70" s="2137"/>
      <c r="AK70" s="2201"/>
      <c r="AL70" s="2198"/>
      <c r="AM70" s="2197">
        <f t="shared" si="75"/>
        <v>0</v>
      </c>
      <c r="AN70" s="2136">
        <f t="shared" si="59"/>
        <v>0</v>
      </c>
      <c r="AO70" s="2137"/>
      <c r="AP70" s="2201"/>
      <c r="AQ70" s="2198"/>
      <c r="AR70" s="2197">
        <f t="shared" si="76"/>
        <v>0</v>
      </c>
      <c r="AS70" s="2136">
        <f t="shared" si="60"/>
        <v>0</v>
      </c>
      <c r="AT70" s="2137"/>
      <c r="AU70" s="2201"/>
      <c r="AV70" s="2198"/>
      <c r="AW70" s="2197">
        <f t="shared" si="77"/>
        <v>0</v>
      </c>
      <c r="AX70" s="2136">
        <f t="shared" si="61"/>
        <v>0</v>
      </c>
      <c r="AY70" s="2137"/>
      <c r="AZ70" s="2201"/>
      <c r="BA70" s="2198"/>
      <c r="BB70" s="2197">
        <f t="shared" si="78"/>
        <v>0</v>
      </c>
      <c r="BC70" s="2136">
        <f t="shared" si="62"/>
        <v>0</v>
      </c>
      <c r="BD70" s="2137"/>
      <c r="BE70" s="2201"/>
      <c r="BF70" s="2198"/>
      <c r="BG70" s="2197">
        <f t="shared" si="79"/>
        <v>0</v>
      </c>
      <c r="BH70" s="2136">
        <f t="shared" si="63"/>
        <v>0</v>
      </c>
      <c r="BI70" s="2137"/>
      <c r="BJ70" s="2198">
        <f t="shared" si="80"/>
        <v>5600</v>
      </c>
      <c r="BK70" s="2198">
        <f t="shared" si="80"/>
        <v>0</v>
      </c>
      <c r="BL70" s="2197">
        <f t="shared" si="81"/>
        <v>5600</v>
      </c>
      <c r="BM70" s="2136">
        <f>BL70/$BL$89</f>
        <v>9.9047954777224537E-4</v>
      </c>
      <c r="BN70" s="2139"/>
      <c r="BO70" s="2205">
        <f t="shared" si="82"/>
        <v>-1600</v>
      </c>
      <c r="BP70" s="2230"/>
      <c r="BQ70" s="2206">
        <v>5600</v>
      </c>
      <c r="BR70" s="2207">
        <f>BL70-BQ70</f>
        <v>0</v>
      </c>
      <c r="BS70" s="2208"/>
      <c r="BT70" s="2208"/>
    </row>
    <row r="71" spans="1:72" s="2209" customFormat="1" ht="15" customHeight="1" x14ac:dyDescent="0.25">
      <c r="A71" s="2363"/>
      <c r="B71" s="2364" t="s">
        <v>78</v>
      </c>
      <c r="C71" s="2365"/>
      <c r="D71" s="2252"/>
      <c r="E71" s="2336">
        <f t="shared" si="65"/>
        <v>0</v>
      </c>
      <c r="F71" s="2033" t="e">
        <f t="shared" si="83"/>
        <v>#DIV/0!</v>
      </c>
      <c r="G71" s="2198"/>
      <c r="H71" s="2198"/>
      <c r="I71" s="2197">
        <f t="shared" si="66"/>
        <v>0</v>
      </c>
      <c r="J71" s="2136">
        <f t="shared" si="67"/>
        <v>0</v>
      </c>
      <c r="K71" s="2137"/>
      <c r="L71" s="2198">
        <v>0</v>
      </c>
      <c r="M71" s="2198">
        <v>0</v>
      </c>
      <c r="N71" s="2198">
        <f t="shared" si="68"/>
        <v>0</v>
      </c>
      <c r="O71" s="2136">
        <v>0</v>
      </c>
      <c r="P71" s="1705"/>
      <c r="Q71" s="2198"/>
      <c r="R71" s="2198"/>
      <c r="S71" s="2197">
        <f t="shared" si="69"/>
        <v>0</v>
      </c>
      <c r="T71" s="2136">
        <f t="shared" si="70"/>
        <v>0</v>
      </c>
      <c r="U71" s="2137"/>
      <c r="V71" s="2198"/>
      <c r="W71" s="2198"/>
      <c r="X71" s="2197">
        <f t="shared" si="71"/>
        <v>0</v>
      </c>
      <c r="Y71" s="2136">
        <f t="shared" si="72"/>
        <v>0</v>
      </c>
      <c r="Z71" s="2137"/>
      <c r="AA71" s="2198"/>
      <c r="AB71" s="2198"/>
      <c r="AC71" s="2197">
        <f t="shared" si="73"/>
        <v>0</v>
      </c>
      <c r="AD71" s="2136" t="e">
        <f t="shared" si="57"/>
        <v>#DIV/0!</v>
      </c>
      <c r="AE71" s="2256"/>
      <c r="AF71" s="2201"/>
      <c r="AG71" s="2198"/>
      <c r="AH71" s="2197">
        <f t="shared" si="74"/>
        <v>0</v>
      </c>
      <c r="AI71" s="2136">
        <f t="shared" si="58"/>
        <v>0</v>
      </c>
      <c r="AJ71" s="2137"/>
      <c r="AK71" s="2201"/>
      <c r="AL71" s="2198"/>
      <c r="AM71" s="2197">
        <f t="shared" si="75"/>
        <v>0</v>
      </c>
      <c r="AN71" s="2136">
        <f t="shared" si="59"/>
        <v>0</v>
      </c>
      <c r="AO71" s="2137"/>
      <c r="AP71" s="2201"/>
      <c r="AQ71" s="2198"/>
      <c r="AR71" s="2197">
        <f t="shared" si="76"/>
        <v>0</v>
      </c>
      <c r="AS71" s="2136">
        <f t="shared" si="60"/>
        <v>0</v>
      </c>
      <c r="AT71" s="2137"/>
      <c r="AU71" s="2201"/>
      <c r="AV71" s="2198"/>
      <c r="AW71" s="2197">
        <f t="shared" si="77"/>
        <v>0</v>
      </c>
      <c r="AX71" s="2136">
        <f t="shared" si="61"/>
        <v>0</v>
      </c>
      <c r="AY71" s="2137"/>
      <c r="AZ71" s="2201"/>
      <c r="BA71" s="2198"/>
      <c r="BB71" s="2197">
        <f t="shared" si="78"/>
        <v>0</v>
      </c>
      <c r="BC71" s="2136">
        <f t="shared" si="62"/>
        <v>0</v>
      </c>
      <c r="BD71" s="2137"/>
      <c r="BE71" s="2201"/>
      <c r="BF71" s="2198"/>
      <c r="BG71" s="2197">
        <f t="shared" si="79"/>
        <v>0</v>
      </c>
      <c r="BH71" s="2136">
        <f t="shared" si="63"/>
        <v>0</v>
      </c>
      <c r="BI71" s="2137"/>
      <c r="BJ71" s="2198">
        <f t="shared" si="80"/>
        <v>0</v>
      </c>
      <c r="BK71" s="2198">
        <f t="shared" si="80"/>
        <v>0</v>
      </c>
      <c r="BL71" s="2197">
        <f t="shared" si="81"/>
        <v>0</v>
      </c>
      <c r="BM71" s="2136">
        <f t="shared" si="64"/>
        <v>0</v>
      </c>
      <c r="BN71" s="2139"/>
      <c r="BO71" s="2205">
        <f t="shared" si="82"/>
        <v>0</v>
      </c>
      <c r="BP71" s="2230"/>
      <c r="BQ71" s="2169"/>
      <c r="BR71" s="2245"/>
      <c r="BS71" s="2208"/>
      <c r="BT71" s="2208"/>
    </row>
    <row r="72" spans="1:72" s="2209" customFormat="1" ht="15" customHeight="1" thickBot="1" x14ac:dyDescent="0.3">
      <c r="A72" s="2363"/>
      <c r="B72" s="2366"/>
      <c r="C72" s="2367"/>
      <c r="D72" s="2368"/>
      <c r="E72" s="2369"/>
      <c r="F72" s="2033" t="e">
        <f t="shared" si="83"/>
        <v>#DIV/0!</v>
      </c>
      <c r="G72" s="2215"/>
      <c r="H72" s="2215"/>
      <c r="I72" s="2370"/>
      <c r="J72" s="2033">
        <f t="shared" si="67"/>
        <v>0</v>
      </c>
      <c r="K72" s="2047"/>
      <c r="L72" s="2215"/>
      <c r="M72" s="2215"/>
      <c r="N72" s="2370"/>
      <c r="O72" s="2033">
        <v>0</v>
      </c>
      <c r="P72" s="1705"/>
      <c r="Q72" s="2215"/>
      <c r="R72" s="2215"/>
      <c r="S72" s="2370"/>
      <c r="T72" s="2033">
        <f t="shared" si="70"/>
        <v>0</v>
      </c>
      <c r="U72" s="2047"/>
      <c r="V72" s="2215"/>
      <c r="W72" s="2215"/>
      <c r="X72" s="2370"/>
      <c r="Y72" s="2033">
        <f t="shared" si="72"/>
        <v>0</v>
      </c>
      <c r="Z72" s="2047"/>
      <c r="AA72" s="2215"/>
      <c r="AB72" s="2215"/>
      <c r="AC72" s="2370"/>
      <c r="AD72" s="2033"/>
      <c r="AE72" s="1127"/>
      <c r="AF72" s="2371"/>
      <c r="AG72" s="2215"/>
      <c r="AH72" s="2370"/>
      <c r="AI72" s="2033"/>
      <c r="AJ72" s="2047"/>
      <c r="AK72" s="2371"/>
      <c r="AL72" s="2215"/>
      <c r="AM72" s="2370"/>
      <c r="AN72" s="2033"/>
      <c r="AO72" s="2047"/>
      <c r="AP72" s="2371"/>
      <c r="AQ72" s="2215"/>
      <c r="AR72" s="2370"/>
      <c r="AS72" s="2033"/>
      <c r="AT72" s="2047"/>
      <c r="AU72" s="2371"/>
      <c r="AV72" s="2215"/>
      <c r="AW72" s="2370"/>
      <c r="AX72" s="2033"/>
      <c r="AY72" s="2047"/>
      <c r="AZ72" s="2371"/>
      <c r="BA72" s="2215"/>
      <c r="BB72" s="2370"/>
      <c r="BC72" s="2033"/>
      <c r="BD72" s="2047"/>
      <c r="BE72" s="2371"/>
      <c r="BF72" s="2215"/>
      <c r="BG72" s="2370"/>
      <c r="BH72" s="2033"/>
      <c r="BI72" s="2047"/>
      <c r="BJ72" s="2215"/>
      <c r="BK72" s="2215"/>
      <c r="BL72" s="2370"/>
      <c r="BM72" s="2033">
        <f>BL72/$BL$89</f>
        <v>0</v>
      </c>
      <c r="BN72" s="1944"/>
      <c r="BO72" s="2205">
        <f t="shared" si="82"/>
        <v>0</v>
      </c>
      <c r="BP72" s="2230"/>
      <c r="BQ72" s="2169"/>
      <c r="BR72" s="2245"/>
      <c r="BS72" s="2208"/>
      <c r="BT72" s="2208"/>
    </row>
    <row r="73" spans="1:72" s="2209" customFormat="1" ht="15" customHeight="1" thickBot="1" x14ac:dyDescent="0.3">
      <c r="A73" s="2363"/>
      <c r="B73" s="2372" t="s">
        <v>4</v>
      </c>
      <c r="C73" s="2373">
        <f>C74</f>
        <v>0</v>
      </c>
      <c r="D73" s="2374">
        <f>D74</f>
        <v>0</v>
      </c>
      <c r="E73" s="2373">
        <f>E74</f>
        <v>0</v>
      </c>
      <c r="F73" s="838" t="e">
        <f>E73/$E$89</f>
        <v>#DIV/0!</v>
      </c>
      <c r="G73" s="2373">
        <f>G74</f>
        <v>369695.00395538996</v>
      </c>
      <c r="H73" s="2375">
        <f>H74</f>
        <v>0</v>
      </c>
      <c r="I73" s="2376">
        <f>I74</f>
        <v>369695.00395538996</v>
      </c>
      <c r="J73" s="2375"/>
      <c r="K73" s="2377"/>
      <c r="L73" s="2373">
        <v>0</v>
      </c>
      <c r="M73" s="2375">
        <v>0</v>
      </c>
      <c r="N73" s="2376">
        <v>0</v>
      </c>
      <c r="O73" s="2375"/>
      <c r="P73" s="969"/>
      <c r="Q73" s="2373">
        <f>Q74</f>
        <v>0</v>
      </c>
      <c r="R73" s="2375">
        <f>R74</f>
        <v>0</v>
      </c>
      <c r="S73" s="2376">
        <f>S74</f>
        <v>0</v>
      </c>
      <c r="T73" s="2375"/>
      <c r="U73" s="2377"/>
      <c r="V73" s="2373">
        <f>V74</f>
        <v>0</v>
      </c>
      <c r="W73" s="2375">
        <f>W74</f>
        <v>0</v>
      </c>
      <c r="X73" s="2376">
        <f>X74</f>
        <v>0</v>
      </c>
      <c r="Y73" s="2375"/>
      <c r="Z73" s="2377"/>
      <c r="AA73" s="2373">
        <f>AA74</f>
        <v>0</v>
      </c>
      <c r="AB73" s="2375">
        <f>AB74</f>
        <v>0</v>
      </c>
      <c r="AC73" s="2376">
        <f>AC74</f>
        <v>0</v>
      </c>
      <c r="AD73" s="2375"/>
      <c r="AE73" s="2378"/>
      <c r="AF73" s="2373">
        <f>AF74</f>
        <v>0</v>
      </c>
      <c r="AG73" s="2375">
        <f>AG74</f>
        <v>0</v>
      </c>
      <c r="AH73" s="2376">
        <f>AH74</f>
        <v>0</v>
      </c>
      <c r="AI73" s="2375"/>
      <c r="AJ73" s="2377"/>
      <c r="AK73" s="2373">
        <f>AK74</f>
        <v>0</v>
      </c>
      <c r="AL73" s="2375">
        <f>AL74</f>
        <v>0</v>
      </c>
      <c r="AM73" s="2376">
        <f>AM74</f>
        <v>0</v>
      </c>
      <c r="AN73" s="2375"/>
      <c r="AO73" s="2377"/>
      <c r="AP73" s="2373">
        <f>AP74</f>
        <v>0</v>
      </c>
      <c r="AQ73" s="2375">
        <f>AQ74</f>
        <v>0</v>
      </c>
      <c r="AR73" s="2376">
        <f>AR74</f>
        <v>0</v>
      </c>
      <c r="AS73" s="2375"/>
      <c r="AT73" s="2377"/>
      <c r="AU73" s="2373">
        <f>AU74</f>
        <v>0</v>
      </c>
      <c r="AV73" s="2375">
        <f>AV74</f>
        <v>0</v>
      </c>
      <c r="AW73" s="2376">
        <f>AW74</f>
        <v>0</v>
      </c>
      <c r="AX73" s="2375"/>
      <c r="AY73" s="2377"/>
      <c r="AZ73" s="2373">
        <f>AZ74</f>
        <v>0</v>
      </c>
      <c r="BA73" s="2375">
        <f>BA74</f>
        <v>0</v>
      </c>
      <c r="BB73" s="2376">
        <f>BB74</f>
        <v>0</v>
      </c>
      <c r="BC73" s="2375"/>
      <c r="BD73" s="2377"/>
      <c r="BE73" s="2373">
        <f>BE74</f>
        <v>0</v>
      </c>
      <c r="BF73" s="2375">
        <f>BF74</f>
        <v>0</v>
      </c>
      <c r="BG73" s="2376">
        <f>BG74</f>
        <v>0</v>
      </c>
      <c r="BH73" s="2375"/>
      <c r="BI73" s="2377"/>
      <c r="BJ73" s="2373">
        <f>BJ74</f>
        <v>0</v>
      </c>
      <c r="BK73" s="2375">
        <f>BK74</f>
        <v>0</v>
      </c>
      <c r="BL73" s="2376">
        <f>BL74</f>
        <v>0</v>
      </c>
      <c r="BM73" s="2375"/>
      <c r="BN73" s="2375"/>
      <c r="BO73" s="2379"/>
      <c r="BP73" s="2379"/>
      <c r="BQ73" s="2169"/>
      <c r="BR73" s="2245"/>
      <c r="BS73" s="2208"/>
      <c r="BT73" s="2208"/>
    </row>
    <row r="74" spans="1:72" s="2209" customFormat="1" ht="15" customHeight="1" thickBot="1" x14ac:dyDescent="0.3">
      <c r="A74" s="2351"/>
      <c r="B74" s="2380" t="s">
        <v>64</v>
      </c>
      <c r="C74" s="2381">
        <f>C6*3%</f>
        <v>0</v>
      </c>
      <c r="D74" s="2382"/>
      <c r="E74" s="2383">
        <f>C74+D74</f>
        <v>0</v>
      </c>
      <c r="F74" s="2384"/>
      <c r="G74" s="2198">
        <v>369695.00395538996</v>
      </c>
      <c r="H74" s="2198"/>
      <c r="I74" s="2385">
        <f>G74+H74*1</f>
        <v>369695.00395538996</v>
      </c>
      <c r="J74" s="2386"/>
      <c r="K74" s="2386"/>
      <c r="L74" s="2198">
        <v>0</v>
      </c>
      <c r="M74" s="2198">
        <v>0</v>
      </c>
      <c r="N74" s="2386">
        <v>0</v>
      </c>
      <c r="O74" s="2386"/>
      <c r="P74" s="2387"/>
      <c r="Q74" s="2198"/>
      <c r="R74" s="2198"/>
      <c r="S74" s="2385">
        <f>Q74+R74*1</f>
        <v>0</v>
      </c>
      <c r="T74" s="2386"/>
      <c r="U74" s="2386"/>
      <c r="V74" s="2198"/>
      <c r="W74" s="2198"/>
      <c r="X74" s="2385">
        <f>V74+W74*1</f>
        <v>0</v>
      </c>
      <c r="Y74" s="2386"/>
      <c r="Z74" s="2386"/>
      <c r="AA74" s="2198"/>
      <c r="AB74" s="2198"/>
      <c r="AC74" s="2385">
        <f>AA74+AB74*1</f>
        <v>0</v>
      </c>
      <c r="AD74" s="2386"/>
      <c r="AE74" s="2388"/>
      <c r="AF74" s="2201"/>
      <c r="AG74" s="2198"/>
      <c r="AH74" s="2385">
        <f>AF74+AG74*1</f>
        <v>0</v>
      </c>
      <c r="AI74" s="2386"/>
      <c r="AJ74" s="2386"/>
      <c r="AK74" s="2201"/>
      <c r="AL74" s="2198"/>
      <c r="AM74" s="2385">
        <f>AK74+AL74*1</f>
        <v>0</v>
      </c>
      <c r="AN74" s="2386"/>
      <c r="AO74" s="2386"/>
      <c r="AP74" s="2201"/>
      <c r="AQ74" s="2198"/>
      <c r="AR74" s="2385">
        <f>AP74+AQ74*1</f>
        <v>0</v>
      </c>
      <c r="AS74" s="2386"/>
      <c r="AT74" s="2386"/>
      <c r="AU74" s="2201"/>
      <c r="AV74" s="2198"/>
      <c r="AW74" s="2385">
        <f>AU74+AV74*1</f>
        <v>0</v>
      </c>
      <c r="AX74" s="2386"/>
      <c r="AY74" s="2386"/>
      <c r="AZ74" s="2201"/>
      <c r="BA74" s="2198"/>
      <c r="BB74" s="2385">
        <f>AZ74+BA74*1</f>
        <v>0</v>
      </c>
      <c r="BC74" s="2386"/>
      <c r="BD74" s="2386"/>
      <c r="BE74" s="2201"/>
      <c r="BF74" s="2198"/>
      <c r="BG74" s="2385">
        <f>BE74+BF74*1</f>
        <v>0</v>
      </c>
      <c r="BH74" s="2386"/>
      <c r="BI74" s="2386"/>
      <c r="BJ74" s="2261">
        <f>L74+Q74+V74+AA74+AF74+AK74+AP74+AU74+AZ74+BE74</f>
        <v>0</v>
      </c>
      <c r="BK74" s="2261">
        <f>M74+R74+W74+AB74+AG74+AL74+AQ74+AV74+BA74+BF74</f>
        <v>0</v>
      </c>
      <c r="BL74" s="2260">
        <f>BJ74+BK74*1</f>
        <v>0</v>
      </c>
      <c r="BM74" s="1679">
        <f>BL74/$BL$89</f>
        <v>0</v>
      </c>
      <c r="BN74" s="2386"/>
      <c r="BO74" s="2205">
        <f>I74-BL74</f>
        <v>369695.00395538996</v>
      </c>
      <c r="BP74" s="2274"/>
      <c r="BQ74" s="2169"/>
      <c r="BR74" s="2245"/>
      <c r="BS74" s="2208"/>
      <c r="BT74" s="2208"/>
    </row>
    <row r="75" spans="1:72" s="2209" customFormat="1" ht="15" customHeight="1" thickBot="1" x14ac:dyDescent="0.3">
      <c r="A75" s="1414"/>
      <c r="B75" s="2389" t="s">
        <v>48</v>
      </c>
      <c r="C75" s="2390">
        <f>C38-C41-C50-C54</f>
        <v>0</v>
      </c>
      <c r="D75" s="2390">
        <f>D38-D41-D50-D54</f>
        <v>0</v>
      </c>
      <c r="E75" s="2391">
        <f>E38-E41-E50-E54</f>
        <v>0</v>
      </c>
      <c r="F75" s="2392"/>
      <c r="G75" s="2393">
        <f>G38-G41-G50-G54</f>
        <v>4098097.9463442732</v>
      </c>
      <c r="H75" s="2393">
        <f>H38-H41-H50-H54</f>
        <v>-1559729.7333992564</v>
      </c>
      <c r="I75" s="2391">
        <f>I38-I41-I50-I54</f>
        <v>2538368.2129450161</v>
      </c>
      <c r="J75" s="2394"/>
      <c r="K75" s="2395"/>
      <c r="L75" s="2393">
        <v>-228289.05776000003</v>
      </c>
      <c r="M75" s="2393">
        <v>-174921.95436818182</v>
      </c>
      <c r="N75" s="2391">
        <v>-403211.01212818181</v>
      </c>
      <c r="O75" s="2394"/>
      <c r="P75" s="2396"/>
      <c r="Q75" s="2393">
        <f>Q38-Q41-Q50-Q54</f>
        <v>934442.14199999999</v>
      </c>
      <c r="R75" s="2393">
        <f>R38-R41-R50-R54</f>
        <v>-141993.68</v>
      </c>
      <c r="S75" s="2391">
        <f>S38-S41-S50-S54</f>
        <v>792448.46199999982</v>
      </c>
      <c r="T75" s="2394"/>
      <c r="U75" s="2395"/>
      <c r="V75" s="2393">
        <f>V38-V41-V50-V54</f>
        <v>837234.68239999958</v>
      </c>
      <c r="W75" s="2393">
        <f>W38-W41-W50-W54</f>
        <v>-171254.53999999998</v>
      </c>
      <c r="X75" s="2391">
        <f>X38-X41-X50-X54</f>
        <v>665980.14239999955</v>
      </c>
      <c r="Y75" s="2394"/>
      <c r="Z75" s="2395"/>
      <c r="AA75" s="2393">
        <f>AA38-AA41-AA50-AA54</f>
        <v>0</v>
      </c>
      <c r="AB75" s="2393">
        <f>AB38-AB41-AB50-AB54</f>
        <v>0</v>
      </c>
      <c r="AC75" s="2391">
        <f>AC38-AC41-AC50-AC54</f>
        <v>0</v>
      </c>
      <c r="AD75" s="2394"/>
      <c r="AE75" s="2397"/>
      <c r="AF75" s="2393">
        <f>AF38-AF41-AF50-AF54</f>
        <v>-181</v>
      </c>
      <c r="AG75" s="2393">
        <f>AG38-AG41-AG50-AG54</f>
        <v>0</v>
      </c>
      <c r="AH75" s="2391">
        <f>AH38-AH41-AH50-AH54</f>
        <v>-181</v>
      </c>
      <c r="AI75" s="2394"/>
      <c r="AJ75" s="2395"/>
      <c r="AK75" s="2393">
        <f>AK38-AK41-AK50-AK54</f>
        <v>-8250.48</v>
      </c>
      <c r="AL75" s="2393">
        <f>AL38-AL41-AL50-AL54</f>
        <v>0</v>
      </c>
      <c r="AM75" s="2391">
        <f>AM38-AM41-AM50-AM54</f>
        <v>-8250.48</v>
      </c>
      <c r="AN75" s="2394"/>
      <c r="AO75" s="2395"/>
      <c r="AP75" s="2393">
        <f>AP38-AP41-AP50-AP54</f>
        <v>1300571.3816</v>
      </c>
      <c r="AQ75" s="2393">
        <f>AQ38-AQ41-AQ50-AQ54</f>
        <v>-138795.4</v>
      </c>
      <c r="AR75" s="2391">
        <f>AR38-AR41-AR50-AR54</f>
        <v>1161775.9816000001</v>
      </c>
      <c r="AS75" s="2394"/>
      <c r="AT75" s="2395"/>
      <c r="AU75" s="2393">
        <f>AU38-AU41-AU50-AU54</f>
        <v>0</v>
      </c>
      <c r="AV75" s="2393">
        <f>AV38-AV41-AV50-AV54</f>
        <v>-116787.2</v>
      </c>
      <c r="AW75" s="2391">
        <f>AW38-AW41-AW50-AW54</f>
        <v>-116787.2</v>
      </c>
      <c r="AX75" s="2394"/>
      <c r="AY75" s="2395"/>
      <c r="AZ75" s="2393">
        <f>AZ38-AZ41-AZ50-AZ54</f>
        <v>0</v>
      </c>
      <c r="BA75" s="2393">
        <f>BA38-BA41-BA50-BA54</f>
        <v>0</v>
      </c>
      <c r="BB75" s="2391">
        <f>BB38-BB41-BB50-BB54</f>
        <v>0</v>
      </c>
      <c r="BC75" s="2394"/>
      <c r="BD75" s="2395"/>
      <c r="BE75" s="2393">
        <f>BE38-BE41-BE50-BE54</f>
        <v>113062.98200000002</v>
      </c>
      <c r="BF75" s="2393">
        <f>BF38-BF41-BF50-BF54</f>
        <v>-129250</v>
      </c>
      <c r="BG75" s="2391">
        <f>BG38-BG41-BG50-BG54</f>
        <v>-16187.017999999982</v>
      </c>
      <c r="BH75" s="2394"/>
      <c r="BI75" s="2395"/>
      <c r="BJ75" s="2393">
        <f>BJ38-BJ41-BJ50-BJ54</f>
        <v>2945843.0802399996</v>
      </c>
      <c r="BK75" s="2393">
        <f>BK38-BK41-BK50-BK54</f>
        <v>-917019.94000000006</v>
      </c>
      <c r="BL75" s="2391">
        <f>BL38-BL41-BL50-BL54</f>
        <v>2028823.1402400003</v>
      </c>
      <c r="BM75" s="2394"/>
      <c r="BN75" s="2394"/>
      <c r="BO75" s="2398"/>
      <c r="BP75" s="2398"/>
      <c r="BQ75" s="2169"/>
      <c r="BR75" s="2245"/>
      <c r="BS75" s="2208"/>
      <c r="BT75" s="2208"/>
    </row>
    <row r="76" spans="1:72" s="2209" customFormat="1" ht="15" customHeight="1" x14ac:dyDescent="0.25">
      <c r="A76" s="2399"/>
      <c r="B76" s="2400" t="s">
        <v>49</v>
      </c>
      <c r="C76" s="1540" t="e">
        <f>C75/C5</f>
        <v>#DIV/0!</v>
      </c>
      <c r="D76" s="1540" t="e">
        <f>D75/D5</f>
        <v>#DIV/0!</v>
      </c>
      <c r="E76" s="1541" t="e">
        <f>E75/E5</f>
        <v>#DIV/0!</v>
      </c>
      <c r="F76" s="2310"/>
      <c r="G76" s="2311">
        <f>G75/G5</f>
        <v>0.33255233929307676</v>
      </c>
      <c r="H76" s="2311" t="e">
        <f>H75/H5</f>
        <v>#DIV/0!</v>
      </c>
      <c r="I76" s="2312">
        <f>I75/I5</f>
        <v>0.20598343384034318</v>
      </c>
      <c r="J76" s="2312"/>
      <c r="K76" s="2313"/>
      <c r="L76" s="2311" t="e">
        <v>#DIV/0!</v>
      </c>
      <c r="M76" s="2311" t="e">
        <v>#DIV/0!</v>
      </c>
      <c r="N76" s="2312" t="e">
        <v>#DIV/0!</v>
      </c>
      <c r="O76" s="2312"/>
      <c r="P76" s="2314"/>
      <c r="Q76" s="2311">
        <f>Q75/Q5</f>
        <v>0.29705722519470562</v>
      </c>
      <c r="R76" s="2311" t="e">
        <f>R75/R5</f>
        <v>#DIV/0!</v>
      </c>
      <c r="S76" s="2312">
        <f>S75/S5</f>
        <v>0.25191772786241917</v>
      </c>
      <c r="T76" s="2312"/>
      <c r="U76" s="2313"/>
      <c r="V76" s="2311">
        <f>V75/V5</f>
        <v>0.4139469904890124</v>
      </c>
      <c r="W76" s="2311" t="e">
        <f>W75/W5</f>
        <v>#DIV/0!</v>
      </c>
      <c r="X76" s="2312">
        <f>X75/X5</f>
        <v>0.32927503060630958</v>
      </c>
      <c r="Y76" s="2312"/>
      <c r="Z76" s="2313"/>
      <c r="AA76" s="2311" t="e">
        <f>AA75/AA5</f>
        <v>#DIV/0!</v>
      </c>
      <c r="AB76" s="2311" t="e">
        <f>AB75/AB5</f>
        <v>#DIV/0!</v>
      </c>
      <c r="AC76" s="2312" t="e">
        <f>AC75/AC5</f>
        <v>#DIV/0!</v>
      </c>
      <c r="AD76" s="2312"/>
      <c r="AE76" s="2315"/>
      <c r="AF76" s="2311" t="e">
        <f>AF75/AF5</f>
        <v>#DIV/0!</v>
      </c>
      <c r="AG76" s="2311" t="e">
        <f>AG75/AG5</f>
        <v>#DIV/0!</v>
      </c>
      <c r="AH76" s="2312" t="e">
        <f>AH75/AH5</f>
        <v>#DIV/0!</v>
      </c>
      <c r="AI76" s="2312"/>
      <c r="AJ76" s="2313"/>
      <c r="AK76" s="2311" t="e">
        <f>AK75/AK5</f>
        <v>#DIV/0!</v>
      </c>
      <c r="AL76" s="2311" t="e">
        <f>AL75/AL5</f>
        <v>#DIV/0!</v>
      </c>
      <c r="AM76" s="2312" t="e">
        <f>AM75/AM5</f>
        <v>#DIV/0!</v>
      </c>
      <c r="AN76" s="2312"/>
      <c r="AO76" s="2313"/>
      <c r="AP76" s="2311">
        <f>AP75/AP5</f>
        <v>0.67420675548883824</v>
      </c>
      <c r="AQ76" s="2311" t="e">
        <f>AQ75/AQ5</f>
        <v>#DIV/0!</v>
      </c>
      <c r="AR76" s="2312">
        <f>AR75/AR5</f>
        <v>0.60225622848611837</v>
      </c>
      <c r="AS76" s="2312"/>
      <c r="AT76" s="2313"/>
      <c r="AU76" s="2311" t="e">
        <f>AU75/AU5</f>
        <v>#DIV/0!</v>
      </c>
      <c r="AV76" s="2311" t="e">
        <f>AV75/AV5</f>
        <v>#DIV/0!</v>
      </c>
      <c r="AW76" s="2312" t="e">
        <f>AW75/AW5</f>
        <v>#DIV/0!</v>
      </c>
      <c r="AX76" s="2312"/>
      <c r="AY76" s="2313"/>
      <c r="AZ76" s="2311" t="e">
        <f>AZ75/AZ5</f>
        <v>#DIV/0!</v>
      </c>
      <c r="BA76" s="2311" t="e">
        <f>BA75/BA5</f>
        <v>#DIV/0!</v>
      </c>
      <c r="BB76" s="2312" t="e">
        <f>BB75/BB5</f>
        <v>#DIV/0!</v>
      </c>
      <c r="BC76" s="2312"/>
      <c r="BD76" s="2313"/>
      <c r="BE76" s="2311">
        <f>BE75/BE5</f>
        <v>0.23166402692887028</v>
      </c>
      <c r="BF76" s="2311" t="e">
        <f>BF75/BF5</f>
        <v>#DIV/0!</v>
      </c>
      <c r="BG76" s="2312">
        <f>BG75/BG5</f>
        <v>-3.3166910225754555E-2</v>
      </c>
      <c r="BH76" s="2312"/>
      <c r="BI76" s="2313"/>
      <c r="BJ76" s="2311">
        <f>BJ75/BJ5</f>
        <v>0.38836132233553949</v>
      </c>
      <c r="BK76" s="2311" t="e">
        <f>BK75/BK5</f>
        <v>#DIV/0!</v>
      </c>
      <c r="BL76" s="2312">
        <f>BL75/BL5</f>
        <v>0.2674672126338638</v>
      </c>
      <c r="BM76" s="2312"/>
      <c r="BN76" s="2312"/>
      <c r="BO76" s="2316"/>
      <c r="BP76" s="2316"/>
      <c r="BQ76" s="2169"/>
      <c r="BR76" s="2245"/>
      <c r="BS76" s="2208"/>
      <c r="BT76" s="2208"/>
    </row>
    <row r="77" spans="1:72" s="2209" customFormat="1" ht="15" customHeight="1" thickBot="1" x14ac:dyDescent="0.3">
      <c r="A77" s="2399"/>
      <c r="B77" s="2401" t="s">
        <v>9</v>
      </c>
      <c r="C77" s="2402">
        <f>C78-C79</f>
        <v>0</v>
      </c>
      <c r="D77" s="2402">
        <f>D78-D79</f>
        <v>0</v>
      </c>
      <c r="E77" s="2403">
        <f>E78-E79</f>
        <v>0</v>
      </c>
      <c r="F77" s="2404"/>
      <c r="G77" s="2402">
        <f>G78-G79</f>
        <v>0</v>
      </c>
      <c r="H77" s="2402">
        <f>H78-H79</f>
        <v>0</v>
      </c>
      <c r="I77" s="2403">
        <f>I78-I79</f>
        <v>-233959.46000988845</v>
      </c>
      <c r="J77" s="2405"/>
      <c r="K77" s="2406"/>
      <c r="L77" s="2402">
        <v>0</v>
      </c>
      <c r="M77" s="2402">
        <v>0</v>
      </c>
      <c r="N77" s="2403">
        <v>-25804.710491576072</v>
      </c>
      <c r="O77" s="2405"/>
      <c r="P77" s="2407"/>
      <c r="Q77" s="2402">
        <f>Q78-Q79</f>
        <v>0</v>
      </c>
      <c r="R77" s="2402">
        <f>R78-R79</f>
        <v>0</v>
      </c>
      <c r="S77" s="2403">
        <f>S78-S79</f>
        <v>0</v>
      </c>
      <c r="T77" s="2405"/>
      <c r="U77" s="2406"/>
      <c r="V77" s="2402">
        <f>V78-V79</f>
        <v>0</v>
      </c>
      <c r="W77" s="2402">
        <f>W78-W79</f>
        <v>0</v>
      </c>
      <c r="X77" s="2403">
        <f>X78-X79</f>
        <v>-17098.338981783199</v>
      </c>
      <c r="Y77" s="2405"/>
      <c r="Z77" s="2406"/>
      <c r="AA77" s="2402">
        <f>AA78-AA79</f>
        <v>0</v>
      </c>
      <c r="AB77" s="2402">
        <f>AB78-AB79</f>
        <v>0</v>
      </c>
      <c r="AC77" s="2403">
        <f>AC78-AC79</f>
        <v>0</v>
      </c>
      <c r="AD77" s="2405"/>
      <c r="AE77" s="2408"/>
      <c r="AF77" s="2402">
        <f>AF78-AF79</f>
        <v>0</v>
      </c>
      <c r="AG77" s="2402">
        <f>AG78-AG79</f>
        <v>0</v>
      </c>
      <c r="AH77" s="2403">
        <f>AH78-AH79</f>
        <v>0</v>
      </c>
      <c r="AI77" s="2405"/>
      <c r="AJ77" s="2406"/>
      <c r="AK77" s="2402">
        <f>AK78-AK79</f>
        <v>0</v>
      </c>
      <c r="AL77" s="2402">
        <f>AL78-AL79</f>
        <v>0</v>
      </c>
      <c r="AM77" s="2403">
        <f>AM78-AM79</f>
        <v>0</v>
      </c>
      <c r="AN77" s="2405"/>
      <c r="AO77" s="2406"/>
      <c r="AP77" s="2402">
        <f>AP78-AP79</f>
        <v>0</v>
      </c>
      <c r="AQ77" s="2402">
        <f>AQ78-AQ79</f>
        <v>0</v>
      </c>
      <c r="AR77" s="2403">
        <f>AR78-AR79</f>
        <v>-20101.791932992117</v>
      </c>
      <c r="AS77" s="2405"/>
      <c r="AT77" s="2406"/>
      <c r="AU77" s="2402">
        <f>AU78-AU79</f>
        <v>0</v>
      </c>
      <c r="AV77" s="2402">
        <f>AV78-AV79</f>
        <v>0</v>
      </c>
      <c r="AW77" s="2403">
        <f>AW78-AW79</f>
        <v>-16914.335740498154</v>
      </c>
      <c r="AX77" s="2405"/>
      <c r="AY77" s="2406"/>
      <c r="AZ77" s="2402">
        <f>AZ78-AZ79</f>
        <v>0</v>
      </c>
      <c r="BA77" s="2402">
        <f>BA78-BA79</f>
        <v>0</v>
      </c>
      <c r="BB77" s="2403">
        <f>BB78-BB79</f>
        <v>0</v>
      </c>
      <c r="BC77" s="2405"/>
      <c r="BD77" s="2406"/>
      <c r="BE77" s="2402">
        <f>BE78-BE79</f>
        <v>0</v>
      </c>
      <c r="BF77" s="2402">
        <f>BF78-BF79</f>
        <v>0</v>
      </c>
      <c r="BG77" s="2403">
        <f>BG78-BG79</f>
        <v>-17415.652853150463</v>
      </c>
      <c r="BH77" s="2405"/>
      <c r="BI77" s="2406"/>
      <c r="BJ77" s="2402">
        <f>BJ78-BJ79</f>
        <v>0</v>
      </c>
      <c r="BK77" s="2402">
        <f>BK79</f>
        <v>0</v>
      </c>
      <c r="BL77" s="2403">
        <f>BL78-BL79</f>
        <v>-97334.83</v>
      </c>
      <c r="BM77" s="2405"/>
      <c r="BN77" s="2405"/>
      <c r="BO77" s="2333"/>
      <c r="BP77" s="2333"/>
      <c r="BQ77" s="2169"/>
      <c r="BR77" s="2245"/>
      <c r="BS77" s="2208"/>
      <c r="BT77" s="2208"/>
    </row>
    <row r="78" spans="1:72" s="2209" customFormat="1" ht="15" customHeight="1" x14ac:dyDescent="0.25">
      <c r="A78" s="2326"/>
      <c r="B78" s="2409" t="s">
        <v>43</v>
      </c>
      <c r="C78" s="2222"/>
      <c r="D78" s="2410"/>
      <c r="E78" s="2335">
        <f>C78+D78*1.15</f>
        <v>0</v>
      </c>
      <c r="F78" s="2411"/>
      <c r="G78" s="2198"/>
      <c r="H78" s="2198"/>
      <c r="I78" s="2412">
        <f>G78+H78*1.15</f>
        <v>0</v>
      </c>
      <c r="J78" s="2412"/>
      <c r="K78" s="2413"/>
      <c r="L78" s="2198">
        <v>0</v>
      </c>
      <c r="M78" s="2198">
        <v>0</v>
      </c>
      <c r="N78" s="2412">
        <v>0</v>
      </c>
      <c r="O78" s="2412"/>
      <c r="P78" s="2414"/>
      <c r="Q78" s="2198"/>
      <c r="R78" s="2198"/>
      <c r="S78" s="2412">
        <f>Q78+R78*1.15</f>
        <v>0</v>
      </c>
      <c r="T78" s="2412"/>
      <c r="U78" s="2413"/>
      <c r="V78" s="2198"/>
      <c r="W78" s="2198"/>
      <c r="X78" s="2412">
        <f>V78+W78*1.15</f>
        <v>0</v>
      </c>
      <c r="Y78" s="2412"/>
      <c r="Z78" s="2413"/>
      <c r="AA78" s="2198"/>
      <c r="AB78" s="2198"/>
      <c r="AC78" s="2412">
        <f>AA78+AB78*1.15</f>
        <v>0</v>
      </c>
      <c r="AD78" s="2412"/>
      <c r="AE78" s="2415"/>
      <c r="AF78" s="2201"/>
      <c r="AG78" s="2198"/>
      <c r="AH78" s="2412">
        <f>AF78+AG78*1.15</f>
        <v>0</v>
      </c>
      <c r="AI78" s="2412"/>
      <c r="AJ78" s="2413"/>
      <c r="AK78" s="2201"/>
      <c r="AL78" s="2198"/>
      <c r="AM78" s="2412">
        <f>AK78+AL78*1.15</f>
        <v>0</v>
      </c>
      <c r="AN78" s="2412"/>
      <c r="AO78" s="2413"/>
      <c r="AP78" s="2201"/>
      <c r="AQ78" s="2198"/>
      <c r="AR78" s="2412">
        <f>AP78+AQ78*1.15</f>
        <v>0</v>
      </c>
      <c r="AS78" s="2412"/>
      <c r="AT78" s="2413"/>
      <c r="AU78" s="2201"/>
      <c r="AV78" s="2198"/>
      <c r="AW78" s="2412">
        <f>AU78+AV78*1.15</f>
        <v>0</v>
      </c>
      <c r="AX78" s="2412"/>
      <c r="AY78" s="2413"/>
      <c r="AZ78" s="2201"/>
      <c r="BA78" s="2198"/>
      <c r="BB78" s="2412">
        <f>AZ78+BA78*1.15</f>
        <v>0</v>
      </c>
      <c r="BC78" s="2412"/>
      <c r="BD78" s="2413"/>
      <c r="BE78" s="2201"/>
      <c r="BF78" s="2198"/>
      <c r="BG78" s="2412">
        <f>BE78+BF78*1.15</f>
        <v>0</v>
      </c>
      <c r="BH78" s="2136">
        <f>BG78/$BG$89</f>
        <v>0</v>
      </c>
      <c r="BI78" s="2413"/>
      <c r="BJ78" s="2198">
        <f>L78+Q78+V78+AA78+AF78+AK78+AP78+AU78+AZ78+BE78</f>
        <v>0</v>
      </c>
      <c r="BK78" s="2198">
        <f>M78+R78+W78+AB78+AG78+AL78+AQ78+AV78+BA78+BF78</f>
        <v>0</v>
      </c>
      <c r="BL78" s="2197">
        <f>BJ78+BK78*1.15</f>
        <v>0</v>
      </c>
      <c r="BM78" s="2412"/>
      <c r="BN78" s="2412"/>
      <c r="BO78" s="2205">
        <f>I78-BL78</f>
        <v>0</v>
      </c>
      <c r="BP78" s="2300"/>
      <c r="BQ78" s="2169"/>
      <c r="BR78" s="2245"/>
      <c r="BS78" s="2208"/>
      <c r="BT78" s="2208"/>
    </row>
    <row r="79" spans="1:72" s="2209" customFormat="1" ht="15" customHeight="1" x14ac:dyDescent="0.25">
      <c r="A79" s="2326"/>
      <c r="B79" s="2416" t="s">
        <v>79</v>
      </c>
      <c r="C79" s="2236"/>
      <c r="D79" s="2335"/>
      <c r="E79" s="2335">
        <f>C79+D79*1.15</f>
        <v>0</v>
      </c>
      <c r="F79" s="2347" t="e">
        <f>E79/$E$89</f>
        <v>#DIV/0!</v>
      </c>
      <c r="G79" s="2198"/>
      <c r="H79" s="2198"/>
      <c r="I79" s="2197">
        <v>233959.46000988845</v>
      </c>
      <c r="J79" s="2288"/>
      <c r="K79" s="2286"/>
      <c r="L79" s="2198">
        <v>0</v>
      </c>
      <c r="M79" s="2198">
        <v>0</v>
      </c>
      <c r="N79" s="2197">
        <v>25804.710491576072</v>
      </c>
      <c r="O79" s="2139"/>
      <c r="P79" s="2348"/>
      <c r="Q79" s="2198"/>
      <c r="R79" s="2198"/>
      <c r="S79" s="2197"/>
      <c r="T79" s="2288"/>
      <c r="U79" s="2286"/>
      <c r="V79" s="2198"/>
      <c r="W79" s="2198"/>
      <c r="X79" s="2197">
        <f>25589.7588505747-8491.4198687915</f>
        <v>17098.338981783199</v>
      </c>
      <c r="Y79" s="2288"/>
      <c r="Z79" s="2286"/>
      <c r="AA79" s="2198"/>
      <c r="AB79" s="2198"/>
      <c r="AC79" s="2197">
        <v>0</v>
      </c>
      <c r="AD79" s="2288"/>
      <c r="AE79" s="2287"/>
      <c r="AF79" s="2201"/>
      <c r="AG79" s="2198"/>
      <c r="AH79" s="2197">
        <v>0</v>
      </c>
      <c r="AI79" s="2288"/>
      <c r="AJ79" s="2286"/>
      <c r="AK79" s="2201"/>
      <c r="AL79" s="2198"/>
      <c r="AM79" s="2197">
        <v>0</v>
      </c>
      <c r="AN79" s="2288"/>
      <c r="AO79" s="2286"/>
      <c r="AP79" s="2201"/>
      <c r="AQ79" s="2198"/>
      <c r="AR79" s="2197">
        <v>20101.791932992117</v>
      </c>
      <c r="AS79" s="2288"/>
      <c r="AT79" s="2286"/>
      <c r="AU79" s="2201"/>
      <c r="AV79" s="2198"/>
      <c r="AW79" s="2197">
        <v>16914.335740498154</v>
      </c>
      <c r="AX79" s="2288"/>
      <c r="AY79" s="2286"/>
      <c r="AZ79" s="2201"/>
      <c r="BA79" s="2198"/>
      <c r="BB79" s="2197">
        <v>0</v>
      </c>
      <c r="BC79" s="2288"/>
      <c r="BD79" s="2286"/>
      <c r="BE79" s="2201"/>
      <c r="BF79" s="2198"/>
      <c r="BG79" s="2197">
        <v>17415.652853150463</v>
      </c>
      <c r="BH79" s="2136">
        <f>BG79/$BG$89</f>
        <v>3.338571231851415E-2</v>
      </c>
      <c r="BI79" s="2286"/>
      <c r="BJ79" s="2198">
        <f>L79+Q79+V79+AA79+AF79+AK79+AP79+AU79+AZ79+BE79</f>
        <v>0</v>
      </c>
      <c r="BK79" s="2198">
        <f>M79+R79+W79+AB79+AG79+AL79+AQ79+AV79+BA79+BF79</f>
        <v>0</v>
      </c>
      <c r="BL79" s="2197">
        <f>N79+S79+X79+AC79+AH79+AM79+AR79+AW79+BB79+BG79</f>
        <v>97334.83</v>
      </c>
      <c r="BM79" s="2288"/>
      <c r="BN79" s="2288"/>
      <c r="BO79" s="2205">
        <f>I79-BL79</f>
        <v>136624.63000988844</v>
      </c>
      <c r="BP79" s="2289"/>
      <c r="BQ79" s="2206">
        <v>97334.83</v>
      </c>
      <c r="BR79" s="2207">
        <f>BL79-BQ79</f>
        <v>0</v>
      </c>
      <c r="BS79" s="2208"/>
      <c r="BT79" s="2208"/>
    </row>
    <row r="80" spans="1:72" ht="15" customHeight="1" x14ac:dyDescent="0.25">
      <c r="A80" s="1412"/>
      <c r="B80" s="2417"/>
      <c r="C80" s="2418"/>
      <c r="D80" s="2419"/>
      <c r="E80" s="2420"/>
      <c r="F80" s="2421"/>
      <c r="G80" s="2198"/>
      <c r="H80" s="2198"/>
      <c r="I80" s="2422"/>
      <c r="J80" s="2422"/>
      <c r="K80" s="2422"/>
      <c r="L80" s="2198"/>
      <c r="M80" s="2198"/>
      <c r="N80" s="2422"/>
      <c r="O80" s="2422"/>
      <c r="P80" s="2272"/>
      <c r="Q80" s="2198"/>
      <c r="R80" s="2198"/>
      <c r="S80" s="2422"/>
      <c r="T80" s="2422"/>
      <c r="U80" s="2422"/>
      <c r="V80" s="2198"/>
      <c r="W80" s="2198"/>
      <c r="X80" s="2422"/>
      <c r="Y80" s="2422"/>
      <c r="Z80" s="2422"/>
      <c r="AA80" s="2198"/>
      <c r="AB80" s="2198"/>
      <c r="AC80" s="2422"/>
      <c r="AD80" s="2422"/>
      <c r="AE80" s="2423"/>
      <c r="AF80" s="2201"/>
      <c r="AG80" s="2198"/>
      <c r="AH80" s="2422"/>
      <c r="AI80" s="2422"/>
      <c r="AJ80" s="2422"/>
      <c r="AK80" s="2201"/>
      <c r="AL80" s="2198"/>
      <c r="AM80" s="2422"/>
      <c r="AN80" s="2422"/>
      <c r="AO80" s="2422"/>
      <c r="AP80" s="2201"/>
      <c r="AQ80" s="2198"/>
      <c r="AR80" s="2422"/>
      <c r="AS80" s="2422"/>
      <c r="AT80" s="2422"/>
      <c r="AU80" s="2201"/>
      <c r="AV80" s="2198"/>
      <c r="AW80" s="2422"/>
      <c r="AX80" s="2422"/>
      <c r="AY80" s="2422"/>
      <c r="AZ80" s="2201"/>
      <c r="BA80" s="2198"/>
      <c r="BB80" s="2422"/>
      <c r="BC80" s="2422"/>
      <c r="BD80" s="2422"/>
      <c r="BE80" s="2201"/>
      <c r="BF80" s="2198"/>
      <c r="BG80" s="2422"/>
      <c r="BH80" s="2422"/>
      <c r="BI80" s="2422"/>
      <c r="BJ80" s="2198"/>
      <c r="BK80" s="2198"/>
      <c r="BL80" s="2422"/>
      <c r="BM80" s="2422"/>
      <c r="BN80" s="2422"/>
      <c r="BO80" s="2274"/>
      <c r="BP80" s="2274"/>
      <c r="BR80" s="2245"/>
    </row>
    <row r="81" spans="1:72" s="2209" customFormat="1" ht="15" customHeight="1" thickBot="1" x14ac:dyDescent="0.3">
      <c r="A81" s="2424"/>
      <c r="B81" s="2401" t="s">
        <v>12</v>
      </c>
      <c r="C81" s="2402">
        <f>(C75+C78)-C79</f>
        <v>0</v>
      </c>
      <c r="D81" s="2402">
        <f>(D75+D78)-D79</f>
        <v>0</v>
      </c>
      <c r="E81" s="2403">
        <f>(E75+E78)-E79</f>
        <v>0</v>
      </c>
      <c r="F81" s="2404"/>
      <c r="G81" s="2402">
        <f>(G75+G78)-G79</f>
        <v>4098097.9463442732</v>
      </c>
      <c r="H81" s="2402">
        <f>(H75+H78)-H79</f>
        <v>-1559729.7333992564</v>
      </c>
      <c r="I81" s="2403">
        <f>(I75+I78)-I79</f>
        <v>2304408.7529351278</v>
      </c>
      <c r="J81" s="2405"/>
      <c r="K81" s="2406"/>
      <c r="L81" s="2402">
        <v>-228289.05776000003</v>
      </c>
      <c r="M81" s="2402">
        <v>-174921.95436818182</v>
      </c>
      <c r="N81" s="2403">
        <v>-429015.72261975787</v>
      </c>
      <c r="O81" s="2405"/>
      <c r="P81" s="2407"/>
      <c r="Q81" s="2402">
        <f>(Q75+Q78)-Q79</f>
        <v>934442.14199999999</v>
      </c>
      <c r="R81" s="2402">
        <f>(R75+R78)-R79</f>
        <v>-141993.68</v>
      </c>
      <c r="S81" s="2403">
        <f>(S75+S78)-S79</f>
        <v>792448.46199999982</v>
      </c>
      <c r="T81" s="2405"/>
      <c r="U81" s="2406"/>
      <c r="V81" s="2402">
        <f>(V75+V78)-V79</f>
        <v>837234.68239999958</v>
      </c>
      <c r="W81" s="2402">
        <f>(W75+W78)-W79</f>
        <v>-171254.53999999998</v>
      </c>
      <c r="X81" s="2403">
        <f>(X75+X78)-X79</f>
        <v>648881.8034182163</v>
      </c>
      <c r="Y81" s="2405"/>
      <c r="Z81" s="2406"/>
      <c r="AA81" s="2402">
        <f>(AA75+AA78)-AA79</f>
        <v>0</v>
      </c>
      <c r="AB81" s="2402">
        <f>(AB75+AB78)-AB79</f>
        <v>0</v>
      </c>
      <c r="AC81" s="2403">
        <f>(AC75+AC78)-AC79</f>
        <v>0</v>
      </c>
      <c r="AD81" s="2405"/>
      <c r="AE81" s="2408"/>
      <c r="AF81" s="2402">
        <f>(AF75+AF78)-AF79</f>
        <v>-181</v>
      </c>
      <c r="AG81" s="2402">
        <f>(AG75+AG78)-AG79</f>
        <v>0</v>
      </c>
      <c r="AH81" s="2403">
        <f>(AH75+AH78)-AH79</f>
        <v>-181</v>
      </c>
      <c r="AI81" s="2405"/>
      <c r="AJ81" s="2406"/>
      <c r="AK81" s="2402">
        <f>(AK75+AK78)-AK79</f>
        <v>-8250.48</v>
      </c>
      <c r="AL81" s="2402">
        <f>(AL75+AL78)-AL79</f>
        <v>0</v>
      </c>
      <c r="AM81" s="2403">
        <f>(AM75+AM78)-AM79</f>
        <v>-8250.48</v>
      </c>
      <c r="AN81" s="2405"/>
      <c r="AO81" s="2406"/>
      <c r="AP81" s="2402">
        <f>(AP75+AP78)-AP79</f>
        <v>1300571.3816</v>
      </c>
      <c r="AQ81" s="2402">
        <f>(AQ75+AQ78)-AQ79</f>
        <v>-138795.4</v>
      </c>
      <c r="AR81" s="2403">
        <f>(AR75+AR78)-AR79</f>
        <v>1141674.1896670079</v>
      </c>
      <c r="AS81" s="2405"/>
      <c r="AT81" s="2406"/>
      <c r="AU81" s="2402">
        <f>(AU75+AU78)-AU79</f>
        <v>0</v>
      </c>
      <c r="AV81" s="2402">
        <f>(AV75+AV78)-AV79</f>
        <v>-116787.2</v>
      </c>
      <c r="AW81" s="2403">
        <f>(AW75+AW78)-AW79</f>
        <v>-133701.53574049816</v>
      </c>
      <c r="AX81" s="2405"/>
      <c r="AY81" s="2406"/>
      <c r="AZ81" s="2402">
        <f>(AZ75+AZ78)-AZ79</f>
        <v>0</v>
      </c>
      <c r="BA81" s="2402">
        <f>(BA75+BA78)-BA79</f>
        <v>0</v>
      </c>
      <c r="BB81" s="2403">
        <f>(BB75+BB78)-BB79</f>
        <v>0</v>
      </c>
      <c r="BC81" s="2405"/>
      <c r="BD81" s="2406"/>
      <c r="BE81" s="2402">
        <f>(BE75+BE78)-BE79</f>
        <v>113062.98200000002</v>
      </c>
      <c r="BF81" s="2402">
        <f>(BF75+BF78)-BF79</f>
        <v>-129250</v>
      </c>
      <c r="BG81" s="2403">
        <f>(BG75+BG78)-BG79</f>
        <v>-33602.670853150441</v>
      </c>
      <c r="BH81" s="2405"/>
      <c r="BI81" s="2406"/>
      <c r="BJ81" s="2402">
        <f>(BJ75+BJ78)-BJ79</f>
        <v>2945843.0802399996</v>
      </c>
      <c r="BK81" s="2402">
        <f>(BK75+BK78)-BK79</f>
        <v>-917019.94000000006</v>
      </c>
      <c r="BL81" s="2403">
        <f>(BL75+BL78)-BL79</f>
        <v>1931488.3102400003</v>
      </c>
      <c r="BM81" s="2405"/>
      <c r="BN81" s="2405"/>
      <c r="BO81" s="2333"/>
      <c r="BP81" s="2333"/>
      <c r="BQ81" s="2169"/>
      <c r="BR81" s="2245"/>
      <c r="BS81" s="2208"/>
      <c r="BT81" s="2208"/>
    </row>
    <row r="82" spans="1:72" s="2209" customFormat="1" ht="15" customHeight="1" x14ac:dyDescent="0.25">
      <c r="A82" s="2308"/>
      <c r="B82" s="2409" t="s">
        <v>38</v>
      </c>
      <c r="C82" s="2222"/>
      <c r="D82" s="2410"/>
      <c r="E82" s="2425">
        <f>C82+D82</f>
        <v>0</v>
      </c>
      <c r="F82" s="2347" t="e">
        <f>E82/$E$89</f>
        <v>#DIV/0!</v>
      </c>
      <c r="G82" s="2198"/>
      <c r="H82" s="2198"/>
      <c r="I82" s="2425">
        <f>G82+H82</f>
        <v>0</v>
      </c>
      <c r="J82" s="2426"/>
      <c r="K82" s="2427"/>
      <c r="L82" s="2198">
        <v>0</v>
      </c>
      <c r="M82" s="2198">
        <v>0</v>
      </c>
      <c r="N82" s="2425">
        <v>0</v>
      </c>
      <c r="O82" s="2426"/>
      <c r="P82" s="2348"/>
      <c r="Q82" s="2198"/>
      <c r="R82" s="2198"/>
      <c r="S82" s="2425">
        <f>Q82+R82</f>
        <v>0</v>
      </c>
      <c r="T82" s="2426"/>
      <c r="U82" s="2427"/>
      <c r="V82" s="2198"/>
      <c r="W82" s="2198"/>
      <c r="X82" s="2425">
        <f>V82+W82</f>
        <v>0</v>
      </c>
      <c r="Y82" s="2426"/>
      <c r="Z82" s="2427"/>
      <c r="AA82" s="2198"/>
      <c r="AB82" s="2198"/>
      <c r="AC82" s="2425">
        <f>AA82+AB82</f>
        <v>0</v>
      </c>
      <c r="AD82" s="2426"/>
      <c r="AE82" s="2428"/>
      <c r="AF82" s="2201"/>
      <c r="AG82" s="2198"/>
      <c r="AH82" s="2425">
        <f>AF82+AG82</f>
        <v>0</v>
      </c>
      <c r="AI82" s="2426"/>
      <c r="AJ82" s="2427"/>
      <c r="AK82" s="2201"/>
      <c r="AL82" s="2198"/>
      <c r="AM82" s="2425">
        <f>AK82+AL82</f>
        <v>0</v>
      </c>
      <c r="AN82" s="2426"/>
      <c r="AO82" s="2427"/>
      <c r="AP82" s="2201"/>
      <c r="AQ82" s="2198"/>
      <c r="AR82" s="2425">
        <f>AP82+AQ82</f>
        <v>0</v>
      </c>
      <c r="AS82" s="2426"/>
      <c r="AT82" s="2427"/>
      <c r="AU82" s="2201"/>
      <c r="AV82" s="2198"/>
      <c r="AW82" s="2425">
        <f>AU82+AV82</f>
        <v>0</v>
      </c>
      <c r="AX82" s="2426"/>
      <c r="AY82" s="2427"/>
      <c r="AZ82" s="2201"/>
      <c r="BA82" s="2198"/>
      <c r="BB82" s="2425">
        <f>AZ82+BA82</f>
        <v>0</v>
      </c>
      <c r="BC82" s="2426"/>
      <c r="BD82" s="2427"/>
      <c r="BE82" s="2201"/>
      <c r="BF82" s="2198"/>
      <c r="BG82" s="2425">
        <f>BE82+BF82</f>
        <v>0</v>
      </c>
      <c r="BH82" s="2426"/>
      <c r="BI82" s="2427"/>
      <c r="BJ82" s="2198">
        <f>L82+Q82+V82+AA82+AF82+AK82+AP82+AU82+AZ82+BE82</f>
        <v>0</v>
      </c>
      <c r="BK82" s="2198">
        <f>M82+R82+W82+AB82+AG82+AL82+AQ82+AV82+BA82+BF82</f>
        <v>0</v>
      </c>
      <c r="BL82" s="2197">
        <f>N82</f>
        <v>0</v>
      </c>
      <c r="BM82" s="2426"/>
      <c r="BN82" s="2426"/>
      <c r="BO82" s="2205">
        <f>I82-BL82</f>
        <v>0</v>
      </c>
      <c r="BP82" s="2289"/>
      <c r="BQ82" s="2169"/>
      <c r="BR82" s="2245"/>
      <c r="BS82" s="2208"/>
      <c r="BT82" s="2208"/>
    </row>
    <row r="83" spans="1:72" s="2209" customFormat="1" ht="15" customHeight="1" x14ac:dyDescent="0.25">
      <c r="A83" s="2326"/>
      <c r="B83" s="2429" t="s">
        <v>13</v>
      </c>
      <c r="C83" s="2430">
        <f>(C81+C7)-C36</f>
        <v>0</v>
      </c>
      <c r="D83" s="2430">
        <f>(D81+D7)-D36</f>
        <v>0</v>
      </c>
      <c r="E83" s="2430">
        <f>(E81+E7)-E36</f>
        <v>0</v>
      </c>
      <c r="F83" s="2431"/>
      <c r="G83" s="2430">
        <f>(G81)-G36</f>
        <v>4098097.9463442732</v>
      </c>
      <c r="H83" s="2430">
        <f>(H81)-H36</f>
        <v>-1559729.7333992564</v>
      </c>
      <c r="I83" s="2432">
        <f>(I81)-I36</f>
        <v>2304408.7529351278</v>
      </c>
      <c r="J83" s="2433"/>
      <c r="K83" s="2434"/>
      <c r="L83" s="2430">
        <v>-228289.05776000003</v>
      </c>
      <c r="M83" s="2430">
        <v>-174921.95436818182</v>
      </c>
      <c r="N83" s="2432">
        <v>-429015.72261975787</v>
      </c>
      <c r="O83" s="2433"/>
      <c r="P83" s="2435"/>
      <c r="Q83" s="2430">
        <f>(Q81)-Q36</f>
        <v>934442.14199999999</v>
      </c>
      <c r="R83" s="2430">
        <f>(R81)-R36</f>
        <v>-141993.68</v>
      </c>
      <c r="S83" s="2432">
        <f>(S81)-S36</f>
        <v>792448.46199999982</v>
      </c>
      <c r="T83" s="2433"/>
      <c r="U83" s="2434"/>
      <c r="V83" s="2430">
        <f>(V81+V7)-V36</f>
        <v>837234.68239999958</v>
      </c>
      <c r="W83" s="2430">
        <f>(W81+W7)-W36</f>
        <v>-171254.53999999998</v>
      </c>
      <c r="X83" s="2432">
        <f>(X81+X7)-X36</f>
        <v>648881.8034182163</v>
      </c>
      <c r="Y83" s="2433"/>
      <c r="Z83" s="2434"/>
      <c r="AA83" s="2430">
        <f>(AA81+AA7)-AA36</f>
        <v>0</v>
      </c>
      <c r="AB83" s="2430">
        <f>(AB81+AB7)-AB36</f>
        <v>0</v>
      </c>
      <c r="AC83" s="2432">
        <f>(AC81+AC7)-AC36</f>
        <v>0</v>
      </c>
      <c r="AD83" s="2433"/>
      <c r="AE83" s="2436"/>
      <c r="AF83" s="2430">
        <f>(AF81+AF7)-AF36</f>
        <v>-181</v>
      </c>
      <c r="AG83" s="2430">
        <f>(AG81+AG7)-AG36</f>
        <v>0</v>
      </c>
      <c r="AH83" s="2432">
        <f>(AH81+AH7)-AH36</f>
        <v>-181</v>
      </c>
      <c r="AI83" s="2433"/>
      <c r="AJ83" s="2434"/>
      <c r="AK83" s="2430">
        <f>(AK81+AK7)-AK36</f>
        <v>-8250.48</v>
      </c>
      <c r="AL83" s="2430">
        <f>(AL81+AL7)-AL36</f>
        <v>0</v>
      </c>
      <c r="AM83" s="2432">
        <f>(AM81+AM7)-AM36</f>
        <v>-8250.48</v>
      </c>
      <c r="AN83" s="2433"/>
      <c r="AO83" s="2434"/>
      <c r="AP83" s="2430">
        <f>(AP81+AP7)-AP36</f>
        <v>1300571.3816</v>
      </c>
      <c r="AQ83" s="2430">
        <f>(AQ81+AQ7)-AQ36</f>
        <v>-138795.4</v>
      </c>
      <c r="AR83" s="2432">
        <f>(AR81+AR7)-AR36</f>
        <v>1141674.1896670079</v>
      </c>
      <c r="AS83" s="2433"/>
      <c r="AT83" s="2434"/>
      <c r="AU83" s="2430">
        <f>(AU81+AU7)-AU36</f>
        <v>0</v>
      </c>
      <c r="AV83" s="2430">
        <f>(AV81+AV7)-AV36</f>
        <v>-116787.2</v>
      </c>
      <c r="AW83" s="2432">
        <f>(AW81+AW7)-AW36</f>
        <v>-133701.53574049816</v>
      </c>
      <c r="AX83" s="2433"/>
      <c r="AY83" s="2434"/>
      <c r="AZ83" s="2430">
        <f>(AZ81+AZ7)-AZ36</f>
        <v>0</v>
      </c>
      <c r="BA83" s="2430">
        <f>(BA81+BA7)-BA36</f>
        <v>0</v>
      </c>
      <c r="BB83" s="2432">
        <f>(BB81+BB7)-BB36</f>
        <v>0</v>
      </c>
      <c r="BC83" s="2433"/>
      <c r="BD83" s="2434"/>
      <c r="BE83" s="2430">
        <f>(BE81+BE7)-BE36</f>
        <v>113062.98200000002</v>
      </c>
      <c r="BF83" s="2430">
        <f>(BF81+BF7)-BF36</f>
        <v>-129250</v>
      </c>
      <c r="BG83" s="2432">
        <f>(BG81+BG7)-BG36</f>
        <v>-33602.670853150441</v>
      </c>
      <c r="BH83" s="2433"/>
      <c r="BI83" s="2434"/>
      <c r="BJ83" s="2430">
        <f>(BJ81)-BJ36</f>
        <v>2945843.0802399996</v>
      </c>
      <c r="BK83" s="2430">
        <f>(BK81)-BK36</f>
        <v>-917019.94000000006</v>
      </c>
      <c r="BL83" s="2432">
        <f>(BL81)-BL36</f>
        <v>1931488.3102400003</v>
      </c>
      <c r="BM83" s="2433"/>
      <c r="BN83" s="2433"/>
      <c r="BO83" s="2437"/>
      <c r="BP83" s="2437"/>
      <c r="BQ83" s="2169"/>
      <c r="BR83" s="2245"/>
      <c r="BS83" s="2208"/>
      <c r="BT83" s="2208"/>
    </row>
    <row r="84" spans="1:72" s="2209" customFormat="1" ht="15" customHeight="1" thickBot="1" x14ac:dyDescent="0.3">
      <c r="A84" s="2438"/>
      <c r="B84" s="2439" t="s">
        <v>14</v>
      </c>
      <c r="C84" s="2440">
        <f>C83-C73-C82</f>
        <v>0</v>
      </c>
      <c r="D84" s="2440">
        <f>D83-D73-D82</f>
        <v>0</v>
      </c>
      <c r="E84" s="2440">
        <f>E83-E73-E82</f>
        <v>0</v>
      </c>
      <c r="F84" s="2441"/>
      <c r="G84" s="2442">
        <f>G83-G73-G82</f>
        <v>3728402.9423888833</v>
      </c>
      <c r="H84" s="2442">
        <f>H83-H73-H82</f>
        <v>-1559729.7333992564</v>
      </c>
      <c r="I84" s="2442">
        <f>I83-I73-I82</f>
        <v>1934713.748979738</v>
      </c>
      <c r="J84" s="2443"/>
      <c r="K84" s="2444"/>
      <c r="L84" s="2442">
        <v>-228289.05776000003</v>
      </c>
      <c r="M84" s="2442">
        <v>-174921.95436818182</v>
      </c>
      <c r="N84" s="2442">
        <v>-429015.72261975787</v>
      </c>
      <c r="O84" s="2443"/>
      <c r="P84" s="2441"/>
      <c r="Q84" s="2442">
        <f>Q83-Q73-Q82</f>
        <v>934442.14199999999</v>
      </c>
      <c r="R84" s="2442">
        <f>R83-R73-R82</f>
        <v>-141993.68</v>
      </c>
      <c r="S84" s="2442">
        <f>S83-S73-S82</f>
        <v>792448.46199999982</v>
      </c>
      <c r="T84" s="2443"/>
      <c r="U84" s="2444"/>
      <c r="V84" s="2442">
        <f>V83-V73-V82</f>
        <v>837234.68239999958</v>
      </c>
      <c r="W84" s="2442">
        <f>W83-W73-W82</f>
        <v>-171254.53999999998</v>
      </c>
      <c r="X84" s="2442">
        <f>X83-X73-X82</f>
        <v>648881.8034182163</v>
      </c>
      <c r="Y84" s="2443"/>
      <c r="Z84" s="2444"/>
      <c r="AA84" s="2442">
        <f>AA83-AA73-AA82</f>
        <v>0</v>
      </c>
      <c r="AB84" s="2442">
        <f>AB83-AB73-AB82</f>
        <v>0</v>
      </c>
      <c r="AC84" s="2442">
        <f>AC83-AC73-AC82</f>
        <v>0</v>
      </c>
      <c r="AD84" s="2443"/>
      <c r="AE84" s="2445"/>
      <c r="AF84" s="2442">
        <f>AF83-AF73-AF82</f>
        <v>-181</v>
      </c>
      <c r="AG84" s="2442">
        <f>AG83-AG73-AG82</f>
        <v>0</v>
      </c>
      <c r="AH84" s="2442">
        <f>AH83-AH73-AH82</f>
        <v>-181</v>
      </c>
      <c r="AI84" s="2443"/>
      <c r="AJ84" s="2444"/>
      <c r="AK84" s="2442">
        <f>AK83-AK73-AK82</f>
        <v>-8250.48</v>
      </c>
      <c r="AL84" s="2442">
        <f>AL83-AL73-AL82</f>
        <v>0</v>
      </c>
      <c r="AM84" s="2442">
        <f>AM83-AM73-AM82</f>
        <v>-8250.48</v>
      </c>
      <c r="AN84" s="2443"/>
      <c r="AO84" s="2444"/>
      <c r="AP84" s="2442">
        <f>AP83-AP73-AP82</f>
        <v>1300571.3816</v>
      </c>
      <c r="AQ84" s="2442">
        <f>AQ83-AQ73-AQ82</f>
        <v>-138795.4</v>
      </c>
      <c r="AR84" s="2442">
        <f>AR83-AR73-AR82</f>
        <v>1141674.1896670079</v>
      </c>
      <c r="AS84" s="2443"/>
      <c r="AT84" s="2444"/>
      <c r="AU84" s="2442">
        <f>AU83-AU73-AU82</f>
        <v>0</v>
      </c>
      <c r="AV84" s="2442">
        <f>AV83-AV73-AV82</f>
        <v>-116787.2</v>
      </c>
      <c r="AW84" s="2442">
        <f>AW83-AW73-AW82</f>
        <v>-133701.53574049816</v>
      </c>
      <c r="AX84" s="2443"/>
      <c r="AY84" s="2444"/>
      <c r="AZ84" s="2442">
        <f>AZ83-AZ73-AZ82</f>
        <v>0</v>
      </c>
      <c r="BA84" s="2442">
        <f>BA83-BA73-BA82</f>
        <v>0</v>
      </c>
      <c r="BB84" s="2442">
        <f>BB83-BB73-BB82</f>
        <v>0</v>
      </c>
      <c r="BC84" s="2443"/>
      <c r="BD84" s="2444"/>
      <c r="BE84" s="2442">
        <f>BE83-BE73-BE82</f>
        <v>113062.98200000002</v>
      </c>
      <c r="BF84" s="2442">
        <f>BF83-BF73-BF82</f>
        <v>-129250</v>
      </c>
      <c r="BG84" s="2442">
        <f>BG83-BG73-BG82</f>
        <v>-33602.670853150441</v>
      </c>
      <c r="BH84" s="2443"/>
      <c r="BI84" s="2444"/>
      <c r="BJ84" s="2442">
        <f>BJ83-BJ73-BJ82</f>
        <v>2945843.0802399996</v>
      </c>
      <c r="BK84" s="2442">
        <f>BK83-BK73-BK82</f>
        <v>-917019.94000000006</v>
      </c>
      <c r="BL84" s="2442">
        <f>BL83-BL73-BL82</f>
        <v>1931488.3102400003</v>
      </c>
      <c r="BM84" s="2443"/>
      <c r="BN84" s="2443"/>
      <c r="BO84" s="2205">
        <f>BL84-I84</f>
        <v>-3225.4387397377286</v>
      </c>
      <c r="BP84" s="2446"/>
      <c r="BQ84" s="2169"/>
      <c r="BR84" s="2169"/>
      <c r="BS84" s="2208"/>
      <c r="BT84" s="2208"/>
    </row>
    <row r="85" spans="1:72" s="2209" customFormat="1" ht="15" customHeight="1" x14ac:dyDescent="0.25">
      <c r="A85" s="2399"/>
      <c r="B85" s="2194" t="s">
        <v>44</v>
      </c>
      <c r="C85" s="2233"/>
      <c r="D85" s="2447"/>
      <c r="E85" s="2448">
        <f>C85+D85</f>
        <v>0</v>
      </c>
      <c r="F85" s="2348" t="e">
        <f>E85/$E$89</f>
        <v>#DIV/0!</v>
      </c>
      <c r="G85" s="2198"/>
      <c r="H85" s="2198"/>
      <c r="I85" s="2197">
        <f>G85+H85*1.15</f>
        <v>0</v>
      </c>
      <c r="J85" s="2426"/>
      <c r="K85" s="2427"/>
      <c r="L85" s="2198">
        <v>0</v>
      </c>
      <c r="M85" s="2198">
        <v>0</v>
      </c>
      <c r="N85" s="2197">
        <v>0</v>
      </c>
      <c r="O85" s="2426"/>
      <c r="P85" s="2348"/>
      <c r="Q85" s="2198"/>
      <c r="R85" s="2198"/>
      <c r="S85" s="2197">
        <f>Q85+R85*1.15</f>
        <v>0</v>
      </c>
      <c r="T85" s="2426"/>
      <c r="U85" s="2427"/>
      <c r="V85" s="2198"/>
      <c r="W85" s="2198"/>
      <c r="X85" s="2197">
        <f>V85+W85*1.15</f>
        <v>0</v>
      </c>
      <c r="Y85" s="2426"/>
      <c r="Z85" s="2427"/>
      <c r="AA85" s="2198"/>
      <c r="AB85" s="2198"/>
      <c r="AC85" s="2197">
        <f>AA85+AB85*1.15</f>
        <v>0</v>
      </c>
      <c r="AD85" s="2426"/>
      <c r="AE85" s="2428"/>
      <c r="AF85" s="2201"/>
      <c r="AG85" s="2198"/>
      <c r="AH85" s="2197">
        <f>AF85+AG85*1.15</f>
        <v>0</v>
      </c>
      <c r="AI85" s="2426"/>
      <c r="AJ85" s="2427"/>
      <c r="AK85" s="2201"/>
      <c r="AL85" s="2198"/>
      <c r="AM85" s="2197">
        <f>AK85+AL85*1.15</f>
        <v>0</v>
      </c>
      <c r="AN85" s="2426"/>
      <c r="AO85" s="2427"/>
      <c r="AP85" s="2201"/>
      <c r="AQ85" s="2198"/>
      <c r="AR85" s="2197">
        <f>AP85+AQ85*1.15</f>
        <v>0</v>
      </c>
      <c r="AS85" s="2426"/>
      <c r="AT85" s="2427"/>
      <c r="AU85" s="2201"/>
      <c r="AV85" s="2198"/>
      <c r="AW85" s="2197">
        <f>AU85+AV85*1.15</f>
        <v>0</v>
      </c>
      <c r="AX85" s="2426"/>
      <c r="AY85" s="2427"/>
      <c r="AZ85" s="2201"/>
      <c r="BA85" s="2198"/>
      <c r="BB85" s="2197">
        <f>AZ85+BA85*1.15</f>
        <v>0</v>
      </c>
      <c r="BC85" s="2426"/>
      <c r="BD85" s="2427"/>
      <c r="BE85" s="2201"/>
      <c r="BF85" s="2198"/>
      <c r="BG85" s="2197">
        <f>BE85+BF85*1.15</f>
        <v>0</v>
      </c>
      <c r="BH85" s="2426"/>
      <c r="BI85" s="2427"/>
      <c r="BJ85" s="2198">
        <f>L85+Q85+V85+AA85+AF85+AK85+AP85+AU85+AZ85+BE85</f>
        <v>0</v>
      </c>
      <c r="BK85" s="2198">
        <f>M85+R85+W85+AB85+AG85+AL85+AQ85+AV85+BA85+BF85</f>
        <v>0</v>
      </c>
      <c r="BL85" s="2197">
        <f>BJ85+BK85*1.15</f>
        <v>0</v>
      </c>
      <c r="BM85" s="2426"/>
      <c r="BN85" s="2426"/>
      <c r="BO85" s="2289"/>
      <c r="BP85" s="2289"/>
      <c r="BQ85" s="2169"/>
      <c r="BR85" s="2169"/>
      <c r="BS85" s="2208"/>
      <c r="BT85" s="2208"/>
    </row>
    <row r="86" spans="1:72" s="2209" customFormat="1" ht="15" customHeight="1" x14ac:dyDescent="0.25">
      <c r="A86" s="2326"/>
      <c r="B86" s="2449" t="s">
        <v>50</v>
      </c>
      <c r="C86" s="2450">
        <f>C84-C85</f>
        <v>0</v>
      </c>
      <c r="D86" s="2450">
        <f>D84-D85</f>
        <v>0</v>
      </c>
      <c r="E86" s="2451">
        <f>E84-E85</f>
        <v>0</v>
      </c>
      <c r="F86" s="2452"/>
      <c r="G86" s="2451">
        <f>G84-G85</f>
        <v>3728402.9423888833</v>
      </c>
      <c r="H86" s="2451">
        <f>H84-H85</f>
        <v>-1559729.7333992564</v>
      </c>
      <c r="I86" s="2451">
        <f>I84-I85</f>
        <v>1934713.748979738</v>
      </c>
      <c r="J86" s="2453"/>
      <c r="K86" s="2434"/>
      <c r="L86" s="2451">
        <v>-228289.05776000003</v>
      </c>
      <c r="M86" s="2451">
        <v>-174921.95436818182</v>
      </c>
      <c r="N86" s="2451">
        <v>-429015.72261975787</v>
      </c>
      <c r="O86" s="2453"/>
      <c r="P86" s="2452"/>
      <c r="Q86" s="2451">
        <f>Q84-Q85</f>
        <v>934442.14199999999</v>
      </c>
      <c r="R86" s="2451">
        <f>R84-R85</f>
        <v>-141993.68</v>
      </c>
      <c r="S86" s="2451">
        <f>S84-S85</f>
        <v>792448.46199999982</v>
      </c>
      <c r="T86" s="2453"/>
      <c r="U86" s="2434"/>
      <c r="V86" s="2451">
        <f>V84-V85</f>
        <v>837234.68239999958</v>
      </c>
      <c r="W86" s="2451">
        <f>W84-W85</f>
        <v>-171254.53999999998</v>
      </c>
      <c r="X86" s="2451">
        <f>X84-X85</f>
        <v>648881.8034182163</v>
      </c>
      <c r="Y86" s="2453"/>
      <c r="Z86" s="2434"/>
      <c r="AA86" s="2451">
        <f>AA84-AA85</f>
        <v>0</v>
      </c>
      <c r="AB86" s="2451">
        <f>AB84-AB85</f>
        <v>0</v>
      </c>
      <c r="AC86" s="2451">
        <f>AC84-AC85</f>
        <v>0</v>
      </c>
      <c r="AD86" s="2453"/>
      <c r="AE86" s="2436"/>
      <c r="AF86" s="2451">
        <f>AF84-AF85</f>
        <v>-181</v>
      </c>
      <c r="AG86" s="2451">
        <f>AG84-AG85</f>
        <v>0</v>
      </c>
      <c r="AH86" s="2451">
        <f>AH84-AH85</f>
        <v>-181</v>
      </c>
      <c r="AI86" s="2453"/>
      <c r="AJ86" s="2434"/>
      <c r="AK86" s="2451">
        <f>AK84-AK85</f>
        <v>-8250.48</v>
      </c>
      <c r="AL86" s="2451">
        <f>AL84-AL85</f>
        <v>0</v>
      </c>
      <c r="AM86" s="2451">
        <f>AM84-AM85</f>
        <v>-8250.48</v>
      </c>
      <c r="AN86" s="2453"/>
      <c r="AO86" s="2434"/>
      <c r="AP86" s="2451">
        <f>AP84-AP85</f>
        <v>1300571.3816</v>
      </c>
      <c r="AQ86" s="2451">
        <f>AQ84-AQ85</f>
        <v>-138795.4</v>
      </c>
      <c r="AR86" s="2451">
        <f>AR84-AR85</f>
        <v>1141674.1896670079</v>
      </c>
      <c r="AS86" s="2453"/>
      <c r="AT86" s="2434"/>
      <c r="AU86" s="2451">
        <f>AU84-AU85</f>
        <v>0</v>
      </c>
      <c r="AV86" s="2451">
        <f>AV84-AV85</f>
        <v>-116787.2</v>
      </c>
      <c r="AW86" s="2451">
        <f>AW84-AW85</f>
        <v>-133701.53574049816</v>
      </c>
      <c r="AX86" s="2453"/>
      <c r="AY86" s="2434"/>
      <c r="AZ86" s="2451">
        <f>AZ84-AZ85</f>
        <v>0</v>
      </c>
      <c r="BA86" s="2451">
        <f>BA84-BA85</f>
        <v>0</v>
      </c>
      <c r="BB86" s="2451">
        <f>BB84-BB85</f>
        <v>0</v>
      </c>
      <c r="BC86" s="2453"/>
      <c r="BD86" s="2434"/>
      <c r="BE86" s="2451">
        <f>BE84-BE85</f>
        <v>113062.98200000002</v>
      </c>
      <c r="BF86" s="2451">
        <f>BF84-BF85</f>
        <v>-129250</v>
      </c>
      <c r="BG86" s="2451">
        <f>BG84-BG85</f>
        <v>-33602.670853150441</v>
      </c>
      <c r="BH86" s="2453"/>
      <c r="BI86" s="2434"/>
      <c r="BJ86" s="2451">
        <f>BJ84-BJ85</f>
        <v>2945843.0802399996</v>
      </c>
      <c r="BK86" s="2451">
        <f>BK84-BK85</f>
        <v>-917019.94000000006</v>
      </c>
      <c r="BL86" s="2451">
        <f>BL84-BL85</f>
        <v>1931488.3102400003</v>
      </c>
      <c r="BM86" s="2453"/>
      <c r="BN86" s="2453"/>
      <c r="BO86" s="2398"/>
      <c r="BP86" s="2398"/>
      <c r="BQ86" s="2169"/>
      <c r="BR86" s="2169"/>
      <c r="BS86" s="2208"/>
      <c r="BT86" s="2208"/>
    </row>
    <row r="87" spans="1:72" s="2209" customFormat="1" ht="15" customHeight="1" thickBot="1" x14ac:dyDescent="0.3">
      <c r="A87" s="2317"/>
      <c r="B87" s="2454" t="s">
        <v>51</v>
      </c>
      <c r="C87" s="2112" t="e">
        <f>C86/C5</f>
        <v>#DIV/0!</v>
      </c>
      <c r="D87" s="2455" t="e">
        <f>D86/D5</f>
        <v>#DIV/0!</v>
      </c>
      <c r="E87" s="2153" t="e">
        <f>E86/E5</f>
        <v>#DIV/0!</v>
      </c>
      <c r="F87" s="2456"/>
      <c r="G87" s="2112">
        <f>G86/G5</f>
        <v>0.30255233929307673</v>
      </c>
      <c r="H87" s="2455" t="e">
        <f>H86/H5</f>
        <v>#DIV/0!</v>
      </c>
      <c r="I87" s="2153">
        <f>I86/I5</f>
        <v>0.1569980980224332</v>
      </c>
      <c r="J87" s="2457"/>
      <c r="K87" s="2458"/>
      <c r="L87" s="2112" t="e">
        <v>#DIV/0!</v>
      </c>
      <c r="M87" s="2455" t="e">
        <v>#DIV/0!</v>
      </c>
      <c r="N87" s="2153" t="e">
        <v>#DIV/0!</v>
      </c>
      <c r="O87" s="2457"/>
      <c r="P87" s="2459"/>
      <c r="Q87" s="2112">
        <f>Q86/Q5</f>
        <v>0.29705722519470562</v>
      </c>
      <c r="R87" s="2455" t="e">
        <f>R86/R5</f>
        <v>#DIV/0!</v>
      </c>
      <c r="S87" s="2153">
        <f>S86/S5</f>
        <v>0.25191772786241917</v>
      </c>
      <c r="T87" s="2457"/>
      <c r="U87" s="2458"/>
      <c r="V87" s="2112">
        <f>V86/V5</f>
        <v>0.4139469904890124</v>
      </c>
      <c r="W87" s="2455" t="e">
        <f>W86/W5</f>
        <v>#DIV/0!</v>
      </c>
      <c r="X87" s="2153">
        <f>X86/X5</f>
        <v>0.32082124087129638</v>
      </c>
      <c r="Y87" s="2457"/>
      <c r="Z87" s="2458"/>
      <c r="AA87" s="2112" t="e">
        <f>AA86/AA5</f>
        <v>#DIV/0!</v>
      </c>
      <c r="AB87" s="2455" t="e">
        <f>AB86/AB5</f>
        <v>#DIV/0!</v>
      </c>
      <c r="AC87" s="2153" t="e">
        <f>AC86/AC5</f>
        <v>#DIV/0!</v>
      </c>
      <c r="AD87" s="2457"/>
      <c r="AE87" s="2460"/>
      <c r="AF87" s="2112" t="e">
        <f>AF86/AF5</f>
        <v>#DIV/0!</v>
      </c>
      <c r="AG87" s="2455" t="e">
        <f>AG86/AG5</f>
        <v>#DIV/0!</v>
      </c>
      <c r="AH87" s="2153" t="e">
        <f>AH86/AH5</f>
        <v>#DIV/0!</v>
      </c>
      <c r="AI87" s="2457"/>
      <c r="AJ87" s="2458"/>
      <c r="AK87" s="2112" t="e">
        <f>AK86/AK5</f>
        <v>#DIV/0!</v>
      </c>
      <c r="AL87" s="2455" t="e">
        <f>AL86/AL5</f>
        <v>#DIV/0!</v>
      </c>
      <c r="AM87" s="2153" t="e">
        <f>AM86/AM5</f>
        <v>#DIV/0!</v>
      </c>
      <c r="AN87" s="2457"/>
      <c r="AO87" s="2458"/>
      <c r="AP87" s="2112">
        <f>AP86/AP5</f>
        <v>0.67420675548883824</v>
      </c>
      <c r="AQ87" s="2455" t="e">
        <f>AQ86/AQ5</f>
        <v>#DIV/0!</v>
      </c>
      <c r="AR87" s="2153">
        <f>AR86/AR5</f>
        <v>0.59183560558883352</v>
      </c>
      <c r="AS87" s="2457"/>
      <c r="AT87" s="2458"/>
      <c r="AU87" s="2112" t="e">
        <f>AU86/AU5</f>
        <v>#DIV/0!</v>
      </c>
      <c r="AV87" s="2455" t="e">
        <f>AV86/AV5</f>
        <v>#DIV/0!</v>
      </c>
      <c r="AW87" s="2153" t="e">
        <f>AW86/AW5</f>
        <v>#DIV/0!</v>
      </c>
      <c r="AX87" s="2457"/>
      <c r="AY87" s="2458"/>
      <c r="AZ87" s="2112" t="e">
        <f>AZ86/AZ5</f>
        <v>#DIV/0!</v>
      </c>
      <c r="BA87" s="2455" t="e">
        <f>BA86/BA5</f>
        <v>#DIV/0!</v>
      </c>
      <c r="BB87" s="2153" t="e">
        <f>BB86/BB5</f>
        <v>#DIV/0!</v>
      </c>
      <c r="BC87" s="2457"/>
      <c r="BD87" s="2458"/>
      <c r="BE87" s="2112">
        <f>BE86/BE5</f>
        <v>0.23166402692887028</v>
      </c>
      <c r="BF87" s="2455" t="e">
        <f>BF86/BF5</f>
        <v>#DIV/0!</v>
      </c>
      <c r="BG87" s="2153">
        <f>BG86/BG5</f>
        <v>-6.885127127998629E-2</v>
      </c>
      <c r="BH87" s="2457"/>
      <c r="BI87" s="2458"/>
      <c r="BJ87" s="2112">
        <f>BJ86/BJ5</f>
        <v>0.38836132233553949</v>
      </c>
      <c r="BK87" s="2455" t="e">
        <f>BK86/BK5</f>
        <v>#DIV/0!</v>
      </c>
      <c r="BL87" s="2153">
        <f>BL86/BL5</f>
        <v>0.2546352041872274</v>
      </c>
      <c r="BM87" s="2457"/>
      <c r="BN87" s="2457"/>
      <c r="BO87" s="2316"/>
      <c r="BP87" s="2316"/>
      <c r="BQ87" s="2169"/>
      <c r="BR87" s="2169"/>
      <c r="BS87" s="2208"/>
      <c r="BT87" s="2208"/>
    </row>
    <row r="88" spans="1:72" ht="13.8" x14ac:dyDescent="0.25">
      <c r="A88" s="2461"/>
      <c r="B88" s="2461"/>
      <c r="C88" s="2462"/>
      <c r="D88" s="2462"/>
      <c r="E88" s="2462"/>
      <c r="F88" s="2463"/>
      <c r="G88" s="2463"/>
      <c r="H88" s="2463"/>
      <c r="I88" s="2463"/>
      <c r="J88" s="2463"/>
      <c r="K88" s="2463"/>
      <c r="L88" s="2464"/>
      <c r="M88" s="2464"/>
      <c r="N88" s="2464"/>
      <c r="O88" s="2464"/>
      <c r="P88" s="2463"/>
      <c r="Q88" s="2464"/>
      <c r="R88" s="2464"/>
      <c r="S88" s="2464"/>
      <c r="T88" s="2464"/>
      <c r="U88" s="2465"/>
      <c r="V88" s="2464"/>
      <c r="W88" s="2464"/>
      <c r="X88" s="2464"/>
      <c r="Y88" s="2464"/>
      <c r="Z88" s="2465"/>
      <c r="AA88" s="2464"/>
      <c r="AB88" s="2464"/>
      <c r="AC88" s="2464"/>
      <c r="AD88" s="2464"/>
      <c r="AE88" s="2465"/>
      <c r="AF88" s="2464"/>
      <c r="AG88" s="2464"/>
      <c r="AH88" s="2464"/>
      <c r="AI88" s="2464"/>
      <c r="AJ88" s="2465"/>
      <c r="AK88" s="2464"/>
      <c r="AL88" s="2464"/>
      <c r="AM88" s="2464"/>
      <c r="AN88" s="2464"/>
      <c r="AO88" s="2465"/>
      <c r="AP88" s="2464"/>
      <c r="AQ88" s="2464"/>
      <c r="AR88" s="2464"/>
      <c r="AS88" s="2464"/>
      <c r="AT88" s="2465"/>
      <c r="AU88" s="2464"/>
      <c r="AV88" s="2464"/>
      <c r="AW88" s="2464"/>
      <c r="AX88" s="2464"/>
      <c r="AY88" s="2465"/>
      <c r="AZ88" s="2464"/>
      <c r="BA88" s="2464"/>
      <c r="BB88" s="2464"/>
      <c r="BC88" s="2464"/>
      <c r="BD88" s="2465"/>
      <c r="BE88" s="2464"/>
      <c r="BF88" s="2464"/>
      <c r="BG88" s="2464"/>
      <c r="BH88" s="2464"/>
      <c r="BI88" s="2465"/>
      <c r="BJ88" s="2464"/>
      <c r="BK88" s="2464"/>
      <c r="BL88" s="2464"/>
      <c r="BM88" s="2464"/>
      <c r="BN88" s="2464"/>
      <c r="BO88" s="2464"/>
      <c r="BP88" s="2464"/>
    </row>
    <row r="89" spans="1:72" x14ac:dyDescent="0.25">
      <c r="B89" s="2466" t="s">
        <v>56</v>
      </c>
      <c r="C89" s="2467"/>
      <c r="D89" s="2467"/>
      <c r="E89" s="2468">
        <f>E8+E36+E41+E50+E54+E73+E79+E82+E85</f>
        <v>0</v>
      </c>
      <c r="F89" s="2469"/>
      <c r="G89" s="2469"/>
      <c r="H89" s="2469"/>
      <c r="I89" s="2469">
        <f>I8+I36+I41+I50+I54+I73+I79+I82+I85-I78</f>
        <v>10388453.049533261</v>
      </c>
      <c r="J89" s="2469"/>
      <c r="K89" s="2469"/>
      <c r="N89" s="2468">
        <v>429015.72261975787</v>
      </c>
      <c r="P89" s="2469"/>
      <c r="S89" s="2468">
        <f>S8+S36+S41+S50+S54+S73+S79+S82+S85</f>
        <v>2353215.2779999999</v>
      </c>
      <c r="U89" s="2470"/>
      <c r="X89" s="2468">
        <f>X8+X36+X41+X50+X54+X73+X79+X82+X85</f>
        <v>1373683.1665817834</v>
      </c>
      <c r="Z89" s="2470"/>
      <c r="AC89" s="2468">
        <f>AC8+AC36+AC41+AC50+AC54+AC73+AC79+AC82+AC85</f>
        <v>0</v>
      </c>
      <c r="AE89" s="2470"/>
      <c r="AH89" s="2468">
        <f>AH8+AH36+AH41+AH50+AH54+AH73+AH79+AH82+AH85</f>
        <v>181</v>
      </c>
      <c r="AJ89" s="2470"/>
      <c r="AM89" s="2468">
        <f>AM8+AM36+AM41+AM50+AM54+AM73+AM79+AM82+AM85</f>
        <v>8250.48</v>
      </c>
      <c r="AO89" s="2470"/>
      <c r="AR89" s="2468">
        <f>AR8+AR36+AR41+AR50+AR54+AR73+AR79+AR82+AR85</f>
        <v>787365.19033299212</v>
      </c>
      <c r="AT89" s="2470"/>
      <c r="AW89" s="2468">
        <f>AW8+AW36+AW41+AW50+AW54+AW73+AW79+AW82+AW85</f>
        <v>133701.53574049816</v>
      </c>
      <c r="AY89" s="2470"/>
      <c r="BB89" s="2468">
        <f>BB8+BB36+BB41+BB50+BB54+BB73+BB79+BB82+BB85</f>
        <v>0</v>
      </c>
      <c r="BD89" s="2470"/>
      <c r="BG89" s="2468">
        <f>BG8+BG36+BG41+BG50+BG54+BG73+BG79+BG82+BG85</f>
        <v>521649.88085315045</v>
      </c>
      <c r="BI89" s="2470"/>
      <c r="BL89" s="2468">
        <f>BL8+BL36+BL41+BL50+BL54+BL73+BL79+BL82+BL85-BL78</f>
        <v>5653826.9897599993</v>
      </c>
    </row>
    <row r="90" spans="1:72" s="2474" customFormat="1" x14ac:dyDescent="0.25">
      <c r="A90" s="2471"/>
      <c r="B90" s="2471"/>
      <c r="C90" s="2472"/>
      <c r="D90" s="2472"/>
      <c r="E90" s="2472"/>
      <c r="F90" s="2473"/>
      <c r="G90" s="2473"/>
      <c r="H90" s="2473"/>
      <c r="I90" s="2473"/>
      <c r="J90" s="2473"/>
      <c r="K90" s="2473"/>
      <c r="L90" s="2473"/>
      <c r="M90" s="2473"/>
      <c r="N90" s="2473" t="b">
        <v>1</v>
      </c>
      <c r="O90" s="2473"/>
      <c r="P90" s="2473"/>
      <c r="Q90" s="2473"/>
      <c r="R90" s="2473"/>
      <c r="S90" s="2473"/>
      <c r="T90" s="2473"/>
      <c r="U90" s="2473"/>
      <c r="V90" s="2473"/>
      <c r="W90" s="2473"/>
      <c r="X90" s="2473"/>
      <c r="Y90" s="2473"/>
      <c r="Z90" s="2473"/>
      <c r="AA90" s="2473"/>
      <c r="AB90" s="2473"/>
      <c r="AC90" s="2473"/>
      <c r="AD90" s="2473"/>
      <c r="AE90" s="2473"/>
      <c r="AF90" s="2473"/>
      <c r="AG90" s="2473"/>
      <c r="AH90" s="2473"/>
      <c r="AI90" s="2473"/>
      <c r="AJ90" s="2473"/>
      <c r="AK90" s="2473"/>
      <c r="AL90" s="2473"/>
      <c r="AM90" s="2473"/>
      <c r="AN90" s="2473"/>
      <c r="AO90" s="2473"/>
      <c r="AP90" s="2473"/>
      <c r="AQ90" s="2473"/>
      <c r="AR90" s="2473"/>
      <c r="AS90" s="2473"/>
      <c r="AT90" s="2473"/>
      <c r="AU90" s="2473"/>
      <c r="AV90" s="2473"/>
      <c r="AW90" s="2473"/>
      <c r="AX90" s="2473"/>
      <c r="AY90" s="2473"/>
      <c r="AZ90" s="2473"/>
      <c r="BA90" s="2473"/>
      <c r="BB90" s="2473"/>
      <c r="BC90" s="2473"/>
      <c r="BD90" s="2473"/>
      <c r="BE90" s="2473"/>
      <c r="BF90" s="2473"/>
      <c r="BG90" s="2473"/>
      <c r="BH90" s="2473"/>
      <c r="BI90" s="2473"/>
      <c r="BJ90" s="2473"/>
      <c r="BK90" s="2473"/>
      <c r="BL90" s="2470"/>
      <c r="BM90" s="2473"/>
      <c r="BN90" s="2473"/>
      <c r="BO90" s="2473"/>
      <c r="BP90" s="2473"/>
      <c r="BQ90" s="2169"/>
      <c r="BR90" s="2169"/>
    </row>
    <row r="91" spans="1:72" s="2475" customFormat="1" x14ac:dyDescent="0.25">
      <c r="A91" s="2471"/>
      <c r="B91" s="2471"/>
      <c r="C91" s="2472"/>
      <c r="D91" s="2472"/>
      <c r="E91" s="2472"/>
      <c r="F91" s="2473"/>
      <c r="G91" s="2473"/>
      <c r="H91" s="2473"/>
      <c r="I91" s="2473"/>
      <c r="J91" s="2473"/>
      <c r="K91" s="2473"/>
      <c r="L91" s="2473"/>
      <c r="M91" s="2473"/>
      <c r="N91" s="2473"/>
      <c r="O91" s="2473"/>
      <c r="P91" s="2473"/>
      <c r="Q91" s="2473"/>
      <c r="R91" s="2473"/>
      <c r="S91" s="2473"/>
      <c r="T91" s="2473"/>
      <c r="U91" s="2473"/>
      <c r="V91" s="2473"/>
      <c r="W91" s="2473"/>
      <c r="X91" s="2473"/>
      <c r="Y91" s="2473"/>
      <c r="Z91" s="2473"/>
      <c r="AA91" s="2473"/>
      <c r="AB91" s="2473"/>
      <c r="AC91" s="2473"/>
      <c r="AD91" s="2473"/>
      <c r="AE91" s="2473"/>
      <c r="AF91" s="2473"/>
      <c r="AG91" s="2473"/>
      <c r="AH91" s="2473"/>
      <c r="AI91" s="2473"/>
      <c r="AJ91" s="2473"/>
      <c r="AK91" s="2473"/>
      <c r="AL91" s="2473"/>
      <c r="AM91" s="2473"/>
      <c r="AN91" s="2473"/>
      <c r="AO91" s="2473"/>
      <c r="AP91" s="2473"/>
      <c r="AQ91" s="2473"/>
      <c r="AR91" s="2473"/>
      <c r="AS91" s="2473"/>
      <c r="AT91" s="2473"/>
      <c r="AU91" s="2473"/>
      <c r="AV91" s="2473"/>
      <c r="AW91" s="2473"/>
      <c r="AX91" s="2473"/>
      <c r="AY91" s="2473"/>
      <c r="AZ91" s="2473"/>
      <c r="BA91" s="2473"/>
      <c r="BB91" s="2473"/>
      <c r="BC91" s="2473"/>
      <c r="BD91" s="2473"/>
      <c r="BE91" s="2473"/>
      <c r="BF91" s="2473"/>
      <c r="BG91" s="2473"/>
      <c r="BH91" s="2473"/>
      <c r="BI91" s="2473"/>
      <c r="BJ91" s="2168"/>
      <c r="BK91" s="2168"/>
      <c r="BL91" s="2168"/>
      <c r="BM91" s="2168"/>
      <c r="BN91" s="2168"/>
      <c r="BO91" s="2168"/>
      <c r="BP91" s="2168"/>
      <c r="BQ91" s="2169"/>
      <c r="BR91" s="2169"/>
      <c r="BS91" s="2474"/>
      <c r="BT91" s="2474"/>
    </row>
    <row r="92" spans="1:72" s="2474" customFormat="1" x14ac:dyDescent="0.25">
      <c r="A92" s="2471"/>
      <c r="B92" s="2471"/>
      <c r="C92" s="2473"/>
      <c r="D92" s="2473"/>
      <c r="E92" s="2473"/>
      <c r="F92" s="2473"/>
      <c r="G92" s="2473"/>
      <c r="H92" s="2473"/>
      <c r="I92" s="2473"/>
      <c r="J92" s="2473"/>
      <c r="K92" s="2473"/>
      <c r="L92" s="2473"/>
      <c r="M92" s="2473"/>
      <c r="N92" s="2473"/>
      <c r="O92" s="2473"/>
      <c r="P92" s="2473"/>
      <c r="Q92" s="2473"/>
      <c r="R92" s="2473"/>
      <c r="S92" s="2473"/>
      <c r="T92" s="2473"/>
      <c r="U92" s="2473"/>
      <c r="V92" s="2473"/>
      <c r="W92" s="2473"/>
      <c r="X92" s="2473"/>
      <c r="Y92" s="2473"/>
      <c r="Z92" s="2473"/>
      <c r="AA92" s="2473"/>
      <c r="AB92" s="2473"/>
      <c r="AC92" s="2473"/>
      <c r="AD92" s="2473"/>
      <c r="AE92" s="2473"/>
      <c r="AF92" s="2473"/>
      <c r="AG92" s="2473"/>
      <c r="AH92" s="2473"/>
      <c r="AI92" s="2473"/>
      <c r="AJ92" s="2473"/>
      <c r="AK92" s="2473"/>
      <c r="AL92" s="2473"/>
      <c r="AM92" s="2473"/>
      <c r="AN92" s="2473"/>
      <c r="AO92" s="2473"/>
      <c r="AP92" s="2473"/>
      <c r="AQ92" s="2473"/>
      <c r="AR92" s="2473"/>
      <c r="AS92" s="2473"/>
      <c r="AT92" s="2473"/>
      <c r="AU92" s="2473"/>
      <c r="AV92" s="2473"/>
      <c r="AW92" s="2473"/>
      <c r="AX92" s="2473"/>
      <c r="AY92" s="2473"/>
      <c r="AZ92" s="2473"/>
      <c r="BA92" s="2473"/>
      <c r="BB92" s="2473"/>
      <c r="BC92" s="2473"/>
      <c r="BD92" s="2473"/>
      <c r="BE92" s="2473"/>
      <c r="BF92" s="2473"/>
      <c r="BG92" s="2473"/>
      <c r="BH92" s="2473"/>
      <c r="BI92" s="2473"/>
      <c r="BJ92" s="2168"/>
      <c r="BK92" s="2168"/>
      <c r="BL92" s="2168"/>
      <c r="BM92" s="2168"/>
      <c r="BN92" s="2168"/>
      <c r="BO92" s="2168"/>
      <c r="BP92" s="2168"/>
      <c r="BQ92" s="2169"/>
      <c r="BR92" s="2169"/>
    </row>
    <row r="93" spans="1:72" s="2475" customFormat="1" x14ac:dyDescent="0.25">
      <c r="A93" s="2471"/>
      <c r="B93" s="2476"/>
      <c r="C93" s="2473"/>
      <c r="D93" s="2473"/>
      <c r="E93" s="2473"/>
      <c r="F93" s="2473"/>
      <c r="G93" s="2473"/>
      <c r="H93" s="2473"/>
      <c r="I93" s="2473"/>
      <c r="J93" s="2473"/>
      <c r="K93" s="2473"/>
      <c r="L93" s="2473"/>
      <c r="M93" s="2473"/>
      <c r="N93" s="2473"/>
      <c r="O93" s="2473"/>
      <c r="P93" s="2473"/>
      <c r="Q93" s="2473"/>
      <c r="R93" s="2473"/>
      <c r="S93" s="2473"/>
      <c r="T93" s="2473"/>
      <c r="U93" s="2473"/>
      <c r="V93" s="2473"/>
      <c r="W93" s="2473"/>
      <c r="X93" s="2473"/>
      <c r="Y93" s="2473"/>
      <c r="Z93" s="2473"/>
      <c r="AA93" s="2473"/>
      <c r="AB93" s="2473"/>
      <c r="AC93" s="2473">
        <f>AC5-AC89</f>
        <v>0</v>
      </c>
      <c r="AD93" s="2473"/>
      <c r="AE93" s="2473"/>
      <c r="AF93" s="2473"/>
      <c r="AG93" s="2473"/>
      <c r="AH93" s="2473">
        <f>AH5-AH89</f>
        <v>-181</v>
      </c>
      <c r="AI93" s="2473"/>
      <c r="AJ93" s="2473"/>
      <c r="AK93" s="2473"/>
      <c r="AL93" s="2473"/>
      <c r="AM93" s="2473">
        <f>AM5-AM89</f>
        <v>-8250.48</v>
      </c>
      <c r="AN93" s="2473"/>
      <c r="AO93" s="2473"/>
      <c r="AP93" s="2473"/>
      <c r="AQ93" s="2473"/>
      <c r="AR93" s="2473">
        <f>AR5-AR89</f>
        <v>1141674.1896670079</v>
      </c>
      <c r="AS93" s="2473"/>
      <c r="AT93" s="2473"/>
      <c r="AU93" s="2473"/>
      <c r="AV93" s="2473"/>
      <c r="AW93" s="2473">
        <f>AW5-AW89</f>
        <v>-133701.53574049816</v>
      </c>
      <c r="AX93" s="2473"/>
      <c r="AY93" s="2473"/>
      <c r="AZ93" s="2473"/>
      <c r="BA93" s="2473"/>
      <c r="BB93" s="2473">
        <f>BB5-BB89</f>
        <v>0</v>
      </c>
      <c r="BC93" s="2473"/>
      <c r="BD93" s="2473"/>
      <c r="BE93" s="2473"/>
      <c r="BF93" s="2473"/>
      <c r="BG93" s="2473">
        <f>BG5-BG89</f>
        <v>-33602.670853150426</v>
      </c>
      <c r="BH93" s="2473"/>
      <c r="BI93" s="2473"/>
      <c r="BJ93" s="2168"/>
      <c r="BK93" s="2168"/>
      <c r="BL93" s="2168">
        <v>227559.459</v>
      </c>
      <c r="BM93" s="2168" t="s">
        <v>1645</v>
      </c>
      <c r="BN93" s="2168"/>
      <c r="BO93" s="2168"/>
      <c r="BP93" s="2168"/>
      <c r="BQ93" s="2169"/>
      <c r="BR93" s="2169"/>
      <c r="BS93" s="2474"/>
      <c r="BT93" s="2474"/>
    </row>
    <row r="94" spans="1:72" s="2475" customFormat="1" x14ac:dyDescent="0.25">
      <c r="A94" s="2471"/>
      <c r="B94" s="2476"/>
      <c r="C94" s="2473"/>
      <c r="D94" s="2473"/>
      <c r="E94" s="2473"/>
      <c r="F94" s="2473"/>
      <c r="G94" s="2473"/>
      <c r="H94" s="2473"/>
      <c r="I94" s="2473"/>
      <c r="J94" s="2473"/>
      <c r="K94" s="2473"/>
      <c r="L94" s="2473"/>
      <c r="M94" s="2473"/>
      <c r="N94" s="2473"/>
      <c r="O94" s="2473"/>
      <c r="P94" s="2473"/>
      <c r="Q94" s="2473"/>
      <c r="R94" s="2473"/>
      <c r="S94" s="2473"/>
      <c r="T94" s="2473"/>
      <c r="U94" s="2473"/>
      <c r="V94" s="1356"/>
      <c r="W94" s="2473"/>
      <c r="X94" s="2473"/>
      <c r="Y94" s="2473"/>
      <c r="Z94" s="2473"/>
      <c r="AA94" s="2473"/>
      <c r="AB94" s="2473"/>
      <c r="AC94" s="2473"/>
      <c r="AD94" s="2473"/>
      <c r="AE94" s="2473"/>
      <c r="AF94" s="2473"/>
      <c r="AG94" s="2473"/>
      <c r="AH94" s="2473"/>
      <c r="AI94" s="2473"/>
      <c r="AJ94" s="2473"/>
      <c r="AK94" s="2473"/>
      <c r="AL94" s="2473"/>
      <c r="AM94" s="2473"/>
      <c r="AN94" s="2473"/>
      <c r="AO94" s="2473"/>
      <c r="AP94" s="2473"/>
      <c r="AQ94" s="2473"/>
      <c r="AR94" s="2473"/>
      <c r="AS94" s="2473"/>
      <c r="AT94" s="2473"/>
      <c r="AU94" s="2473"/>
      <c r="AV94" s="2473"/>
      <c r="AW94" s="2473"/>
      <c r="AX94" s="2473"/>
      <c r="AY94" s="2473"/>
      <c r="AZ94" s="2473"/>
      <c r="BA94" s="2473"/>
      <c r="BB94" s="2473"/>
      <c r="BC94" s="2473"/>
      <c r="BD94" s="2473"/>
      <c r="BE94" s="2473"/>
      <c r="BF94" s="2473"/>
      <c r="BG94" s="2473"/>
      <c r="BH94" s="2473"/>
      <c r="BI94" s="2473"/>
      <c r="BJ94" s="2168"/>
      <c r="BK94" s="2168"/>
      <c r="BL94" s="2168">
        <v>1824216.7209999999</v>
      </c>
      <c r="BM94" s="2168"/>
      <c r="BN94" s="2168"/>
      <c r="BO94" s="2168"/>
      <c r="BP94" s="2168"/>
      <c r="BQ94" s="2169"/>
      <c r="BR94" s="2169"/>
      <c r="BS94" s="2474"/>
      <c r="BT94" s="2474"/>
    </row>
    <row r="95" spans="1:72" s="2209" customFormat="1" x14ac:dyDescent="0.25">
      <c r="A95" s="2167"/>
      <c r="B95" s="2477"/>
      <c r="C95" s="2168"/>
      <c r="D95" s="2168"/>
      <c r="E95" s="2168"/>
      <c r="F95" s="2168"/>
      <c r="G95" s="2168"/>
      <c r="H95" s="2168"/>
      <c r="I95" s="2168"/>
      <c r="J95" s="2168"/>
      <c r="K95" s="2168"/>
      <c r="L95" s="2168"/>
      <c r="M95" s="2168"/>
      <c r="N95" s="2168"/>
      <c r="O95" s="2168"/>
      <c r="P95" s="2168"/>
      <c r="Q95" s="2168"/>
      <c r="R95" s="2168"/>
      <c r="S95" s="2168"/>
      <c r="T95" s="2168"/>
      <c r="U95" s="2168"/>
      <c r="V95" s="2168"/>
      <c r="W95" s="2168"/>
      <c r="X95" s="2168"/>
      <c r="Y95" s="2168"/>
      <c r="Z95" s="2168"/>
      <c r="AA95" s="2168"/>
      <c r="AB95" s="2168"/>
      <c r="AC95" s="2168"/>
      <c r="AD95" s="2168"/>
      <c r="AE95" s="2168"/>
      <c r="AF95" s="2168"/>
      <c r="AG95" s="2168"/>
      <c r="AH95" s="2168"/>
      <c r="AI95" s="2168"/>
      <c r="AJ95" s="2168"/>
      <c r="AK95" s="2168"/>
      <c r="AL95" s="2168"/>
      <c r="AM95" s="2168"/>
      <c r="AN95" s="2168"/>
      <c r="AO95" s="2168"/>
      <c r="AP95" s="2168"/>
      <c r="AQ95" s="2168"/>
      <c r="AR95" s="2168"/>
      <c r="AS95" s="2168"/>
      <c r="AT95" s="2168"/>
      <c r="AU95" s="2168"/>
      <c r="AV95" s="2168"/>
      <c r="AW95" s="2168"/>
      <c r="AX95" s="2168"/>
      <c r="AY95" s="2168"/>
      <c r="AZ95" s="2168"/>
      <c r="BA95" s="2168"/>
      <c r="BB95" s="2168"/>
      <c r="BC95" s="2168"/>
      <c r="BD95" s="2168"/>
      <c r="BE95" s="2168"/>
      <c r="BF95" s="2168"/>
      <c r="BG95" s="2168"/>
      <c r="BH95" s="2168"/>
      <c r="BI95" s="2168"/>
      <c r="BJ95" s="2168" t="s">
        <v>1646</v>
      </c>
      <c r="BK95" s="2168"/>
      <c r="BL95" s="2168"/>
      <c r="BM95" s="2168"/>
      <c r="BN95" s="2168"/>
      <c r="BO95" s="2168"/>
      <c r="BP95" s="2168"/>
      <c r="BQ95" s="2169"/>
      <c r="BR95" s="2169"/>
      <c r="BS95" s="2208"/>
      <c r="BT95" s="2208"/>
    </row>
    <row r="96" spans="1:72" s="2209" customFormat="1" x14ac:dyDescent="0.25">
      <c r="A96" s="2167"/>
      <c r="B96" s="2477"/>
      <c r="C96" s="2168"/>
      <c r="D96" s="2168"/>
      <c r="E96" s="2168"/>
      <c r="F96" s="2168"/>
      <c r="G96" s="2168"/>
      <c r="H96" s="2168"/>
      <c r="I96" s="2168"/>
      <c r="J96" s="2168"/>
      <c r="K96" s="2477" t="s">
        <v>1647</v>
      </c>
      <c r="L96" s="2168"/>
      <c r="M96" s="2168"/>
      <c r="N96" s="2168"/>
      <c r="O96" s="2168"/>
      <c r="P96" s="2168"/>
      <c r="Q96" s="2168"/>
      <c r="R96" s="2168"/>
      <c r="S96" s="2168"/>
      <c r="T96" s="2168"/>
      <c r="U96" s="2168"/>
      <c r="V96" s="2168"/>
      <c r="W96" s="2168"/>
      <c r="X96" s="2168"/>
      <c r="Y96" s="2168"/>
      <c r="Z96" s="2168"/>
      <c r="AA96" s="2168"/>
      <c r="AB96" s="2168"/>
      <c r="AC96" s="2168"/>
      <c r="AD96" s="2168"/>
      <c r="AE96" s="2168"/>
      <c r="AF96" s="2168"/>
      <c r="AG96" s="2168"/>
      <c r="AH96" s="2168"/>
      <c r="AI96" s="2168"/>
      <c r="AJ96" s="2168"/>
      <c r="AK96" s="2168"/>
      <c r="AL96" s="2168"/>
      <c r="AM96" s="2168"/>
      <c r="AN96" s="2168"/>
      <c r="AO96" s="2168"/>
      <c r="AP96" s="2168"/>
      <c r="AQ96" s="2168"/>
      <c r="AR96" s="2168"/>
      <c r="AS96" s="2168"/>
      <c r="AT96" s="2168"/>
      <c r="AU96" s="2168"/>
      <c r="AV96" s="2168"/>
      <c r="AW96" s="2168"/>
      <c r="AX96" s="2168"/>
      <c r="AY96" s="2168"/>
      <c r="AZ96" s="2168"/>
      <c r="BA96" s="2168"/>
      <c r="BB96" s="2168"/>
      <c r="BC96" s="2168"/>
      <c r="BD96" s="2168"/>
      <c r="BE96" s="2168"/>
      <c r="BF96" s="2168"/>
      <c r="BG96" s="2168"/>
      <c r="BH96" s="2168"/>
      <c r="BI96" s="2168"/>
      <c r="BJ96" s="2168">
        <v>7315</v>
      </c>
      <c r="BK96" s="2168"/>
      <c r="BL96" s="2168">
        <f>BL94+BL93</f>
        <v>2051776.18</v>
      </c>
      <c r="BM96" s="2168"/>
      <c r="BN96" s="2168"/>
      <c r="BO96" s="2168"/>
      <c r="BP96" s="2168"/>
      <c r="BQ96" s="2169"/>
      <c r="BR96" s="2169"/>
      <c r="BS96" s="2208"/>
      <c r="BT96" s="2208"/>
    </row>
    <row r="97" spans="1:72" x14ac:dyDescent="0.25">
      <c r="C97" s="2168"/>
      <c r="D97" s="2168"/>
      <c r="K97" s="2477" t="s">
        <v>1648</v>
      </c>
      <c r="BJ97" s="2168">
        <v>12410.81</v>
      </c>
    </row>
    <row r="98" spans="1:72" s="2209" customFormat="1" x14ac:dyDescent="0.25">
      <c r="A98" s="2167"/>
      <c r="B98" s="2167"/>
      <c r="C98" s="2168"/>
      <c r="D98" s="2168"/>
      <c r="E98" s="2168"/>
      <c r="F98" s="2168"/>
      <c r="G98" s="2168"/>
      <c r="H98" s="2168"/>
      <c r="I98" s="2168"/>
      <c r="J98" s="2168"/>
      <c r="K98" s="2477" t="s">
        <v>1649</v>
      </c>
      <c r="L98" s="2168"/>
      <c r="M98" s="2168"/>
      <c r="N98" s="2168"/>
      <c r="O98" s="2168"/>
      <c r="P98" s="2168"/>
      <c r="Q98" s="2168"/>
      <c r="R98" s="2168"/>
      <c r="S98" s="2168"/>
      <c r="T98" s="2168"/>
      <c r="U98" s="2168"/>
      <c r="V98" s="2168"/>
      <c r="W98" s="2168"/>
      <c r="X98" s="2168"/>
      <c r="Y98" s="2168"/>
      <c r="Z98" s="2168"/>
      <c r="AA98" s="2168"/>
      <c r="AB98" s="2168"/>
      <c r="AC98" s="2168"/>
      <c r="AD98" s="2168"/>
      <c r="AE98" s="2168"/>
      <c r="AF98" s="2168"/>
      <c r="AG98" s="2168"/>
      <c r="AH98" s="2168"/>
      <c r="AI98" s="2168"/>
      <c r="AJ98" s="2168"/>
      <c r="AK98" s="2168"/>
      <c r="AL98" s="2168"/>
      <c r="AM98" s="2168"/>
      <c r="AN98" s="2168"/>
      <c r="AO98" s="2168"/>
      <c r="AP98" s="2168"/>
      <c r="AQ98" s="2168"/>
      <c r="AR98" s="2168"/>
      <c r="AS98" s="2168"/>
      <c r="AT98" s="2168"/>
      <c r="AU98" s="2168"/>
      <c r="AV98" s="2168"/>
      <c r="AW98" s="2168"/>
      <c r="AX98" s="2168"/>
      <c r="AY98" s="2168"/>
      <c r="AZ98" s="2168"/>
      <c r="BA98" s="2168"/>
      <c r="BB98" s="2168"/>
      <c r="BC98" s="2168"/>
      <c r="BD98" s="2168"/>
      <c r="BE98" s="2168"/>
      <c r="BF98" s="2168"/>
      <c r="BG98" s="2168"/>
      <c r="BH98" s="2168"/>
      <c r="BI98" s="2168"/>
      <c r="BJ98" s="2168">
        <v>14704.080000000016</v>
      </c>
      <c r="BK98" s="2168"/>
      <c r="BL98" s="2168">
        <f>BL96-BL84</f>
        <v>120287.86975999968</v>
      </c>
      <c r="BM98" s="2168"/>
      <c r="BN98" s="2168"/>
      <c r="BO98" s="2168"/>
      <c r="BP98" s="2168"/>
      <c r="BQ98" s="2169"/>
      <c r="BR98" s="2169"/>
      <c r="BS98" s="2208"/>
      <c r="BT98" s="2208"/>
    </row>
    <row r="99" spans="1:72" x14ac:dyDescent="0.25">
      <c r="C99" s="2168"/>
      <c r="D99" s="2168"/>
      <c r="K99" s="2477" t="s">
        <v>1650</v>
      </c>
      <c r="BJ99" s="2168">
        <v>15160.800000000003</v>
      </c>
      <c r="BL99" s="2168">
        <f>-BR16</f>
        <v>-70696.700000000012</v>
      </c>
      <c r="BM99" s="2168" t="s">
        <v>1651</v>
      </c>
    </row>
    <row r="100" spans="1:72" x14ac:dyDescent="0.25">
      <c r="BJ100" s="2168">
        <f>SUM(BJ96:BJ99)</f>
        <v>49590.690000000017</v>
      </c>
      <c r="BL100" s="2168">
        <f>-BJ100</f>
        <v>-49590.690000000017</v>
      </c>
      <c r="BM100" s="2168" t="s">
        <v>1652</v>
      </c>
    </row>
    <row r="101" spans="1:72" x14ac:dyDescent="0.25">
      <c r="C101" s="2478" t="s">
        <v>1647</v>
      </c>
      <c r="BL101" s="2168">
        <f>SUM(BL98:BL100)</f>
        <v>0.47975999965274241</v>
      </c>
    </row>
    <row r="102" spans="1:72" x14ac:dyDescent="0.25">
      <c r="C102" s="2478" t="s">
        <v>1648</v>
      </c>
    </row>
    <row r="103" spans="1:72" x14ac:dyDescent="0.25">
      <c r="C103" s="2478" t="s">
        <v>1649</v>
      </c>
    </row>
    <row r="104" spans="1:72" x14ac:dyDescent="0.25">
      <c r="C104" s="2478" t="s">
        <v>1650</v>
      </c>
    </row>
  </sheetData>
  <mergeCells count="15">
    <mergeCell ref="BJ2:BN3"/>
    <mergeCell ref="BE2:BI3"/>
    <mergeCell ref="AZ2:BD3"/>
    <mergeCell ref="A42:A48"/>
    <mergeCell ref="A2:F2"/>
    <mergeCell ref="L2:P3"/>
    <mergeCell ref="AU2:AY3"/>
    <mergeCell ref="AA2:AE3"/>
    <mergeCell ref="AF2:AJ3"/>
    <mergeCell ref="AK2:AO3"/>
    <mergeCell ref="A3:F3"/>
    <mergeCell ref="V2:Z3"/>
    <mergeCell ref="G2:K3"/>
    <mergeCell ref="Q2:U3"/>
    <mergeCell ref="AP2:AT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177D7"/>
    <pageSetUpPr fitToPage="1"/>
  </sheetPr>
  <dimension ref="A1:BF99"/>
  <sheetViews>
    <sheetView showZeros="0" zoomScale="70" zoomScaleNormal="70" workbookViewId="0">
      <pane xSplit="6" ySplit="5" topLeftCell="AW6"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x14ac:dyDescent="0.25"/>
  <cols>
    <col min="1" max="1" width="4.44140625" style="8" customWidth="1"/>
    <col min="2" max="2" width="55" style="8" customWidth="1"/>
    <col min="3" max="3" width="15" style="77" hidden="1" customWidth="1" outlineLevel="1"/>
    <col min="4" max="4" width="15.5546875" style="77" hidden="1" customWidth="1" outlineLevel="1"/>
    <col min="5" max="5" width="16.33203125" style="38" hidden="1" customWidth="1" outlineLevel="1"/>
    <col min="6" max="6" width="9.5546875" style="38" hidden="1" customWidth="1" outlineLevel="1"/>
    <col min="7" max="7" width="16.6640625" style="38" hidden="1" customWidth="1" outlineLevel="1" collapsed="1"/>
    <col min="8" max="11" width="16.6640625" style="38" hidden="1" customWidth="1" outlineLevel="1"/>
    <col min="12" max="12" width="16.6640625" style="1446" hidden="1" customWidth="1" outlineLevel="1" collapsed="1"/>
    <col min="13" max="15" width="16.6640625" style="1446" hidden="1" customWidth="1" outlineLevel="1"/>
    <col min="16" max="16" width="22.6640625" style="1446" hidden="1" customWidth="1" outlineLevel="1"/>
    <col min="17" max="17" width="16.6640625" style="1446" hidden="1" customWidth="1" outlineLevel="1" collapsed="1"/>
    <col min="18" max="20" width="16.6640625" style="1446" hidden="1" customWidth="1" outlineLevel="1"/>
    <col min="21" max="21" width="34.44140625" style="1446" hidden="1" customWidth="1" outlineLevel="1"/>
    <col min="22" max="25" width="16.6640625" style="1601" hidden="1" customWidth="1" outlineLevel="1"/>
    <col min="26" max="26" width="43.6640625" style="1601" hidden="1" customWidth="1" outlineLevel="1"/>
    <col min="27" max="31" width="16.6640625" style="1446" hidden="1" customWidth="1" outlineLevel="1"/>
    <col min="32" max="51" width="16.6640625" style="38" hidden="1" customWidth="1" outlineLevel="1"/>
    <col min="52" max="52" width="16.6640625" style="38" customWidth="1" collapsed="1"/>
    <col min="53" max="56" width="16.6640625" style="38" customWidth="1"/>
    <col min="57" max="57" width="7.44140625" style="1"/>
    <col min="58" max="58" width="15.6640625" style="1" bestFit="1" customWidth="1"/>
    <col min="59" max="16384" width="7.44140625" style="1"/>
  </cols>
  <sheetData>
    <row r="1" spans="1:58" ht="13.8" thickBot="1" x14ac:dyDescent="0.3">
      <c r="C1" s="38"/>
      <c r="D1" s="38"/>
    </row>
    <row r="2" spans="1:58" ht="22.2" customHeight="1" thickBot="1" x14ac:dyDescent="0.3">
      <c r="A2" s="4016" t="s">
        <v>1147</v>
      </c>
      <c r="B2" s="4017"/>
      <c r="C2" s="4017"/>
      <c r="D2" s="4017"/>
      <c r="E2" s="4017"/>
      <c r="F2" s="4018"/>
      <c r="G2" s="4140" t="s">
        <v>1079</v>
      </c>
      <c r="H2" s="4141"/>
      <c r="I2" s="4141"/>
      <c r="J2" s="4141"/>
      <c r="K2" s="1186"/>
      <c r="L2" s="4160" t="s">
        <v>1161</v>
      </c>
      <c r="M2" s="4161"/>
      <c r="N2" s="4161"/>
      <c r="O2" s="4161"/>
      <c r="P2" s="4162"/>
      <c r="Q2" s="4053" t="s">
        <v>1303</v>
      </c>
      <c r="R2" s="4054"/>
      <c r="S2" s="4054"/>
      <c r="T2" s="4054"/>
      <c r="U2" s="4055"/>
      <c r="V2" s="4166" t="s">
        <v>1383</v>
      </c>
      <c r="W2" s="4167"/>
      <c r="X2" s="4167"/>
      <c r="Y2" s="4167"/>
      <c r="Z2" s="4168"/>
      <c r="AA2" s="4172" t="s">
        <v>1470</v>
      </c>
      <c r="AB2" s="4173"/>
      <c r="AC2" s="4173"/>
      <c r="AD2" s="4173"/>
      <c r="AE2" s="4174"/>
      <c r="AF2" s="4071"/>
      <c r="AG2" s="4072"/>
      <c r="AH2" s="4072"/>
      <c r="AI2" s="4072"/>
      <c r="AJ2" s="4073"/>
      <c r="AK2" s="4077"/>
      <c r="AL2" s="4078"/>
      <c r="AM2" s="4078"/>
      <c r="AN2" s="4078"/>
      <c r="AO2" s="4079"/>
      <c r="AP2" s="4047"/>
      <c r="AQ2" s="4048"/>
      <c r="AR2" s="4048"/>
      <c r="AS2" s="4048"/>
      <c r="AT2" s="4049"/>
      <c r="AU2" s="4043"/>
      <c r="AV2" s="4044"/>
      <c r="AW2" s="4044"/>
      <c r="AX2" s="4044"/>
      <c r="AY2" s="4146"/>
      <c r="AZ2" s="4089" t="s">
        <v>469</v>
      </c>
      <c r="BA2" s="4090"/>
      <c r="BB2" s="4090"/>
      <c r="BC2" s="4090"/>
      <c r="BD2" s="4091"/>
    </row>
    <row r="3" spans="1:58" ht="14.4" customHeight="1" thickBot="1" x14ac:dyDescent="0.3">
      <c r="A3" s="4016" t="s">
        <v>54</v>
      </c>
      <c r="B3" s="4017"/>
      <c r="C3" s="4017"/>
      <c r="D3" s="4017"/>
      <c r="E3" s="4017"/>
      <c r="F3" s="4018"/>
      <c r="G3" s="4143"/>
      <c r="H3" s="4144"/>
      <c r="I3" s="4144"/>
      <c r="J3" s="4144"/>
      <c r="K3" s="1187"/>
      <c r="L3" s="4163"/>
      <c r="M3" s="4164"/>
      <c r="N3" s="4164"/>
      <c r="O3" s="4164"/>
      <c r="P3" s="4165"/>
      <c r="Q3" s="4056"/>
      <c r="R3" s="4057"/>
      <c r="S3" s="4057"/>
      <c r="T3" s="4057"/>
      <c r="U3" s="4058"/>
      <c r="V3" s="4169"/>
      <c r="W3" s="4170"/>
      <c r="X3" s="4170"/>
      <c r="Y3" s="4170"/>
      <c r="Z3" s="4171"/>
      <c r="AA3" s="4175"/>
      <c r="AB3" s="4176"/>
      <c r="AC3" s="4176"/>
      <c r="AD3" s="4176"/>
      <c r="AE3" s="4177"/>
      <c r="AF3" s="4074"/>
      <c r="AG3" s="4075"/>
      <c r="AH3" s="4075"/>
      <c r="AI3" s="4075"/>
      <c r="AJ3" s="4076"/>
      <c r="AK3" s="4080"/>
      <c r="AL3" s="4081"/>
      <c r="AM3" s="4081"/>
      <c r="AN3" s="4081"/>
      <c r="AO3" s="4082"/>
      <c r="AP3" s="4050"/>
      <c r="AQ3" s="4051"/>
      <c r="AR3" s="4051"/>
      <c r="AS3" s="4051"/>
      <c r="AT3" s="4052"/>
      <c r="AU3" s="4045"/>
      <c r="AV3" s="4046"/>
      <c r="AW3" s="4046"/>
      <c r="AX3" s="4046"/>
      <c r="AY3" s="4147"/>
      <c r="AZ3" s="4092"/>
      <c r="BA3" s="4093"/>
      <c r="BB3" s="4093"/>
      <c r="BC3" s="4093"/>
      <c r="BD3" s="4094"/>
    </row>
    <row r="4" spans="1:58" ht="41.4" thickBot="1" x14ac:dyDescent="0.3">
      <c r="A4" s="724"/>
      <c r="B4" s="653" t="s">
        <v>11</v>
      </c>
      <c r="C4" s="725" t="s">
        <v>55</v>
      </c>
      <c r="D4" s="725" t="s">
        <v>18</v>
      </c>
      <c r="E4" s="726" t="s">
        <v>39</v>
      </c>
      <c r="F4" s="654" t="s">
        <v>40</v>
      </c>
      <c r="G4" s="632" t="s">
        <v>55</v>
      </c>
      <c r="H4" s="632" t="s">
        <v>18</v>
      </c>
      <c r="I4" s="632" t="s">
        <v>39</v>
      </c>
      <c r="J4" s="654" t="s">
        <v>40</v>
      </c>
      <c r="K4" s="653" t="s">
        <v>19</v>
      </c>
      <c r="L4" s="1488" t="s">
        <v>55</v>
      </c>
      <c r="M4" s="1488" t="s">
        <v>18</v>
      </c>
      <c r="N4" s="1489" t="s">
        <v>39</v>
      </c>
      <c r="O4" s="1566" t="s">
        <v>40</v>
      </c>
      <c r="P4" s="1489" t="s">
        <v>19</v>
      </c>
      <c r="Q4" s="1488" t="s">
        <v>55</v>
      </c>
      <c r="R4" s="1488" t="s">
        <v>18</v>
      </c>
      <c r="S4" s="1489" t="s">
        <v>39</v>
      </c>
      <c r="T4" s="1566" t="s">
        <v>40</v>
      </c>
      <c r="U4" s="1489" t="s">
        <v>19</v>
      </c>
      <c r="V4" s="1782" t="s">
        <v>1428</v>
      </c>
      <c r="W4" s="1782" t="s">
        <v>18</v>
      </c>
      <c r="X4" s="1783" t="s">
        <v>39</v>
      </c>
      <c r="Y4" s="1784" t="s">
        <v>40</v>
      </c>
      <c r="Z4" s="1783" t="s">
        <v>19</v>
      </c>
      <c r="AA4" s="1488" t="s">
        <v>55</v>
      </c>
      <c r="AB4" s="1488" t="s">
        <v>18</v>
      </c>
      <c r="AC4" s="1489" t="s">
        <v>39</v>
      </c>
      <c r="AD4" s="1566" t="s">
        <v>40</v>
      </c>
      <c r="AE4" s="1489" t="s">
        <v>19</v>
      </c>
      <c r="AF4" s="632" t="s">
        <v>55</v>
      </c>
      <c r="AG4" s="632" t="s">
        <v>18</v>
      </c>
      <c r="AH4" s="653" t="s">
        <v>39</v>
      </c>
      <c r="AI4" s="654" t="s">
        <v>40</v>
      </c>
      <c r="AJ4" s="653" t="s">
        <v>19</v>
      </c>
      <c r="AK4" s="632" t="s">
        <v>55</v>
      </c>
      <c r="AL4" s="632" t="s">
        <v>18</v>
      </c>
      <c r="AM4" s="653" t="s">
        <v>39</v>
      </c>
      <c r="AN4" s="654" t="s">
        <v>40</v>
      </c>
      <c r="AO4" s="653" t="s">
        <v>19</v>
      </c>
      <c r="AP4" s="632" t="s">
        <v>55</v>
      </c>
      <c r="AQ4" s="632" t="s">
        <v>18</v>
      </c>
      <c r="AR4" s="653" t="s">
        <v>39</v>
      </c>
      <c r="AS4" s="654" t="s">
        <v>40</v>
      </c>
      <c r="AT4" s="653" t="s">
        <v>19</v>
      </c>
      <c r="AU4" s="632" t="s">
        <v>55</v>
      </c>
      <c r="AV4" s="632" t="s">
        <v>18</v>
      </c>
      <c r="AW4" s="653" t="s">
        <v>39</v>
      </c>
      <c r="AX4" s="654" t="s">
        <v>40</v>
      </c>
      <c r="AY4" s="653" t="s">
        <v>19</v>
      </c>
      <c r="AZ4" s="632" t="s">
        <v>55</v>
      </c>
      <c r="BA4" s="632" t="s">
        <v>18</v>
      </c>
      <c r="BB4" s="653" t="s">
        <v>39</v>
      </c>
      <c r="BC4" s="654" t="s">
        <v>40</v>
      </c>
      <c r="BD4" s="653" t="s">
        <v>19</v>
      </c>
    </row>
    <row r="5" spans="1:58" s="88" customFormat="1" ht="14.4" thickBot="1" x14ac:dyDescent="0.3">
      <c r="A5" s="83"/>
      <c r="B5" s="977" t="s">
        <v>10</v>
      </c>
      <c r="C5" s="684">
        <f>C6</f>
        <v>0</v>
      </c>
      <c r="D5" s="684">
        <f>D6</f>
        <v>0</v>
      </c>
      <c r="E5" s="655">
        <f>E6</f>
        <v>0</v>
      </c>
      <c r="F5" s="620"/>
      <c r="G5" s="633">
        <f>G6</f>
        <v>0</v>
      </c>
      <c r="H5" s="655">
        <f>H6</f>
        <v>0</v>
      </c>
      <c r="I5" s="633">
        <f>I6</f>
        <v>0</v>
      </c>
      <c r="J5" s="655"/>
      <c r="K5" s="620"/>
      <c r="L5" s="1480">
        <f>L6</f>
        <v>0</v>
      </c>
      <c r="M5" s="1481">
        <f>M6</f>
        <v>0</v>
      </c>
      <c r="N5" s="1481">
        <f>N6</f>
        <v>0</v>
      </c>
      <c r="O5" s="1481"/>
      <c r="P5" s="1481"/>
      <c r="Q5" s="1480">
        <f>Q6</f>
        <v>3009973.5300000003</v>
      </c>
      <c r="R5" s="1481">
        <f>R6</f>
        <v>0</v>
      </c>
      <c r="S5" s="1481">
        <f>S6</f>
        <v>3009973.5300000003</v>
      </c>
      <c r="T5" s="1481"/>
      <c r="U5" s="1481"/>
      <c r="V5" s="1785">
        <f>V6</f>
        <v>780431.85</v>
      </c>
      <c r="W5" s="1786">
        <f>W6</f>
        <v>0</v>
      </c>
      <c r="X5" s="1786">
        <f>X6</f>
        <v>780431.85</v>
      </c>
      <c r="Y5" s="1786"/>
      <c r="Z5" s="1786"/>
      <c r="AA5" s="1480">
        <f>AA6</f>
        <v>0</v>
      </c>
      <c r="AB5" s="1481">
        <f>AB6</f>
        <v>0</v>
      </c>
      <c r="AC5" s="1481">
        <f>AC6</f>
        <v>0</v>
      </c>
      <c r="AD5" s="1481"/>
      <c r="AE5" s="1481"/>
      <c r="AF5" s="655">
        <f>AF6</f>
        <v>0</v>
      </c>
      <c r="AG5" s="620">
        <f>AG6</f>
        <v>0</v>
      </c>
      <c r="AH5" s="620">
        <f>AH6</f>
        <v>0</v>
      </c>
      <c r="AI5" s="620"/>
      <c r="AJ5" s="620"/>
      <c r="AK5" s="655">
        <f>AK6</f>
        <v>0</v>
      </c>
      <c r="AL5" s="620">
        <f>AL6</f>
        <v>0</v>
      </c>
      <c r="AM5" s="620">
        <f>AM6</f>
        <v>0</v>
      </c>
      <c r="AN5" s="620"/>
      <c r="AO5" s="620"/>
      <c r="AP5" s="655">
        <f>AP6</f>
        <v>0</v>
      </c>
      <c r="AQ5" s="620">
        <f>AQ6</f>
        <v>0</v>
      </c>
      <c r="AR5" s="620">
        <f>AR6</f>
        <v>0</v>
      </c>
      <c r="AS5" s="620"/>
      <c r="AT5" s="620"/>
      <c r="AU5" s="655">
        <f>AU6</f>
        <v>0</v>
      </c>
      <c r="AV5" s="620">
        <f>AV6</f>
        <v>0</v>
      </c>
      <c r="AW5" s="620">
        <f>AW6</f>
        <v>0</v>
      </c>
      <c r="AX5" s="620"/>
      <c r="AY5" s="620"/>
      <c r="AZ5" s="620">
        <f>AZ6+AZ7</f>
        <v>3790405.3800000004</v>
      </c>
      <c r="BA5" s="620">
        <f>BA6+BA7</f>
        <v>0</v>
      </c>
      <c r="BB5" s="620">
        <f>BB6+BB7</f>
        <v>3790405.3800000004</v>
      </c>
      <c r="BC5" s="620"/>
      <c r="BD5" s="620"/>
    </row>
    <row r="6" spans="1:58" s="2" customFormat="1" ht="55.95" customHeight="1" outlineLevel="1" x14ac:dyDescent="0.25">
      <c r="A6" s="238"/>
      <c r="B6" s="1077" t="s">
        <v>17</v>
      </c>
      <c r="C6" s="1086"/>
      <c r="D6" s="1032"/>
      <c r="E6" s="1190">
        <f>C6+D6</f>
        <v>0</v>
      </c>
      <c r="F6" s="1188"/>
      <c r="G6" s="1033"/>
      <c r="H6" s="1033"/>
      <c r="I6" s="1072">
        <f>G6+H6</f>
        <v>0</v>
      </c>
      <c r="J6" s="1033"/>
      <c r="K6" s="1188"/>
      <c r="L6" s="1761"/>
      <c r="M6" s="1710"/>
      <c r="N6" s="1495">
        <f>L6+M6</f>
        <v>0</v>
      </c>
      <c r="O6" s="1447"/>
      <c r="P6" s="1447"/>
      <c r="Q6" s="1778">
        <v>3009973.5300000003</v>
      </c>
      <c r="R6" s="1447"/>
      <c r="S6" s="1495">
        <f>Q6+R6</f>
        <v>3009973.5300000003</v>
      </c>
      <c r="T6" s="1447"/>
      <c r="U6" s="1777" t="s">
        <v>1371</v>
      </c>
      <c r="V6" s="1787">
        <v>780431.85</v>
      </c>
      <c r="W6" s="1640"/>
      <c r="X6" s="1780">
        <f>V6+W6</f>
        <v>780431.85</v>
      </c>
      <c r="Y6" s="1640"/>
      <c r="Z6" s="1741" t="s">
        <v>1387</v>
      </c>
      <c r="AA6" s="1659"/>
      <c r="AB6" s="1447"/>
      <c r="AC6" s="1495">
        <f>AA6+AB6</f>
        <v>0</v>
      </c>
      <c r="AD6" s="1447"/>
      <c r="AE6" s="1447"/>
      <c r="AF6" s="1033"/>
      <c r="AG6" s="1188"/>
      <c r="AH6" s="1190">
        <f>AF6+AG6</f>
        <v>0</v>
      </c>
      <c r="AI6" s="1188"/>
      <c r="AJ6" s="1188"/>
      <c r="AK6" s="1033"/>
      <c r="AL6" s="1188"/>
      <c r="AM6" s="1190">
        <f>AK6+AL6</f>
        <v>0</v>
      </c>
      <c r="AN6" s="1188"/>
      <c r="AO6" s="1188"/>
      <c r="AP6" s="1033"/>
      <c r="AQ6" s="1188"/>
      <c r="AR6" s="1190">
        <f>AP6+AQ6</f>
        <v>0</v>
      </c>
      <c r="AS6" s="1188"/>
      <c r="AT6" s="1188"/>
      <c r="AU6" s="1033"/>
      <c r="AV6" s="1188"/>
      <c r="AW6" s="1190">
        <f>AU6+AV6</f>
        <v>0</v>
      </c>
      <c r="AX6" s="1188"/>
      <c r="AY6" s="1188"/>
      <c r="AZ6" s="1033">
        <f>G6+L6+Q6+V6+AA6</f>
        <v>3790405.3800000004</v>
      </c>
      <c r="BA6" s="2067">
        <f>H6+M6+R6+W6+AB6</f>
        <v>0</v>
      </c>
      <c r="BB6" s="1190">
        <f>AZ6+BA6</f>
        <v>3790405.3800000004</v>
      </c>
      <c r="BC6" s="1188"/>
      <c r="BD6" s="1188"/>
    </row>
    <row r="7" spans="1:58" s="2" customFormat="1" ht="14.4" outlineLevel="1" collapsed="1" thickBot="1" x14ac:dyDescent="0.3">
      <c r="A7" s="238"/>
      <c r="B7" s="1207" t="s">
        <v>41</v>
      </c>
      <c r="C7" s="1208"/>
      <c r="D7" s="1209"/>
      <c r="E7" s="1190">
        <f>C7+D7</f>
        <v>0</v>
      </c>
      <c r="F7" s="1189"/>
      <c r="G7" s="1033"/>
      <c r="H7" s="1033"/>
      <c r="I7" s="1072">
        <f>G7+H7</f>
        <v>0</v>
      </c>
      <c r="J7" s="1210"/>
      <c r="K7" s="1128"/>
      <c r="L7" s="1761"/>
      <c r="M7" s="1659"/>
      <c r="N7" s="1495">
        <f>L7+M7</f>
        <v>0</v>
      </c>
      <c r="O7" s="1921"/>
      <c r="P7" s="1922"/>
      <c r="Q7" s="1659"/>
      <c r="R7" s="1447"/>
      <c r="S7" s="1495">
        <f>Q7+R7</f>
        <v>0</v>
      </c>
      <c r="T7" s="1921"/>
      <c r="U7" s="1922"/>
      <c r="V7" s="1787"/>
      <c r="W7" s="1640"/>
      <c r="X7" s="1780">
        <f>V7+W7</f>
        <v>0</v>
      </c>
      <c r="Y7" s="1922"/>
      <c r="Z7" s="1922"/>
      <c r="AA7" s="1659"/>
      <c r="AB7" s="1447"/>
      <c r="AC7" s="1495">
        <f>AA7+AB7</f>
        <v>0</v>
      </c>
      <c r="AD7" s="1921"/>
      <c r="AE7" s="1922"/>
      <c r="AF7" s="1033"/>
      <c r="AG7" s="1188"/>
      <c r="AH7" s="1190">
        <f>AF7+AG7</f>
        <v>0</v>
      </c>
      <c r="AI7" s="1189"/>
      <c r="AJ7" s="1128"/>
      <c r="AK7" s="1033"/>
      <c r="AL7" s="1188"/>
      <c r="AM7" s="1190">
        <f>AK7+AL7</f>
        <v>0</v>
      </c>
      <c r="AN7" s="1189"/>
      <c r="AO7" s="1128"/>
      <c r="AP7" s="1033"/>
      <c r="AQ7" s="1188"/>
      <c r="AR7" s="1190">
        <f>AP7+AQ7</f>
        <v>0</v>
      </c>
      <c r="AS7" s="1189"/>
      <c r="AT7" s="1128"/>
      <c r="AU7" s="1033"/>
      <c r="AV7" s="1188"/>
      <c r="AW7" s="1190">
        <f>AU7+AV7</f>
        <v>0</v>
      </c>
      <c r="AX7" s="1189"/>
      <c r="AY7" s="1128"/>
      <c r="AZ7" s="2067">
        <f>G7+L7+Q7+V7+AA7</f>
        <v>0</v>
      </c>
      <c r="BA7" s="2067">
        <f>H7+M7+R7+W7+AB7</f>
        <v>0</v>
      </c>
      <c r="BB7" s="1190">
        <f>AZ7+BA7</f>
        <v>0</v>
      </c>
      <c r="BC7" s="1189"/>
      <c r="BD7" s="1189"/>
    </row>
    <row r="8" spans="1:58" s="88" customFormat="1" ht="14.4" customHeight="1" thickBot="1" x14ac:dyDescent="0.3">
      <c r="A8" s="238"/>
      <c r="B8" s="977" t="s">
        <v>16</v>
      </c>
      <c r="C8" s="618">
        <f>SUM(C9:C33)</f>
        <v>0</v>
      </c>
      <c r="D8" s="618">
        <f>SUM(D9:D33)</f>
        <v>0</v>
      </c>
      <c r="E8" s="619">
        <f>SUM(E9:E33)</f>
        <v>0</v>
      </c>
      <c r="F8" s="577" t="e">
        <f t="shared" ref="F8:F33" si="0">E8/$E$89</f>
        <v>#DIV/0!</v>
      </c>
      <c r="G8" s="618">
        <f>SUM(G9:G33)</f>
        <v>0</v>
      </c>
      <c r="H8" s="619">
        <f>SUM(H9:H33)</f>
        <v>0</v>
      </c>
      <c r="I8" s="618">
        <f>SUM(I9:I33)</f>
        <v>0</v>
      </c>
      <c r="J8" s="908" t="e">
        <f>I8/$I$89</f>
        <v>#DIV/0!</v>
      </c>
      <c r="K8" s="656"/>
      <c r="L8" s="1498">
        <f>SUM(L9:L33)</f>
        <v>424525.6</v>
      </c>
      <c r="M8" s="1499">
        <f>SUM(M9:M33)</f>
        <v>91602.2</v>
      </c>
      <c r="N8" s="1499">
        <f>SUM(N9:N33)</f>
        <v>516127.8</v>
      </c>
      <c r="O8" s="1543">
        <f>N8/$N$89</f>
        <v>0.9671834476873894</v>
      </c>
      <c r="P8" s="1615"/>
      <c r="Q8" s="1498">
        <f>SUM(Q9:Q33)</f>
        <v>1542153.7759999998</v>
      </c>
      <c r="R8" s="1498">
        <f>SUM(R9:R33)</f>
        <v>176759.8</v>
      </c>
      <c r="S8" s="1499">
        <f>SUM(S9:S33)</f>
        <v>1718913.5759999999</v>
      </c>
      <c r="T8" s="1543">
        <f>S8/$S$89</f>
        <v>0.98449645498095295</v>
      </c>
      <c r="U8" s="1615"/>
      <c r="V8" s="1788">
        <f>SUM(V9:V33)</f>
        <v>504659.76600000006</v>
      </c>
      <c r="W8" s="1788">
        <f>SUM(W9:W33)</f>
        <v>136983.20000000001</v>
      </c>
      <c r="X8" s="1789">
        <f>SUM(X9:X33)</f>
        <v>641642.96600000001</v>
      </c>
      <c r="Y8" s="1790">
        <f>X8/$X$89</f>
        <v>0.96924801012518325</v>
      </c>
      <c r="Z8" s="1786"/>
      <c r="AA8" s="1498">
        <f>SUM(AA9:AA33)</f>
        <v>60008.943999999996</v>
      </c>
      <c r="AB8" s="1498">
        <f>SUM(AB9:AB33)</f>
        <v>5890</v>
      </c>
      <c r="AC8" s="1499">
        <f>SUM(AC9:AC33)</f>
        <v>65898.943999999989</v>
      </c>
      <c r="AD8" s="1543">
        <f>AC8/$AC$89</f>
        <v>0.98798505272525583</v>
      </c>
      <c r="AE8" s="1615"/>
      <c r="AF8" s="618">
        <f>SUM(AF9:AF33)</f>
        <v>0</v>
      </c>
      <c r="AG8" s="618">
        <f>SUM(AG9:AG33)</f>
        <v>0</v>
      </c>
      <c r="AH8" s="619">
        <f>SUM(AH9:AH33)</f>
        <v>0</v>
      </c>
      <c r="AI8" s="577" t="e">
        <f>AH8/$AH$89</f>
        <v>#DIV/0!</v>
      </c>
      <c r="AJ8" s="656"/>
      <c r="AK8" s="618">
        <f>SUM(AK9:AK33)</f>
        <v>0</v>
      </c>
      <c r="AL8" s="618">
        <f>SUM(AL9:AL33)</f>
        <v>0</v>
      </c>
      <c r="AM8" s="619">
        <f>SUM(AM9:AM33)</f>
        <v>0</v>
      </c>
      <c r="AN8" s="577" t="e">
        <f>AM8/$AH$89</f>
        <v>#DIV/0!</v>
      </c>
      <c r="AO8" s="656"/>
      <c r="AP8" s="618">
        <f>SUM(AP9:AP33)</f>
        <v>0</v>
      </c>
      <c r="AQ8" s="618">
        <f>SUM(AQ9:AQ33)</f>
        <v>0</v>
      </c>
      <c r="AR8" s="619">
        <f>SUM(AR9:AR33)</f>
        <v>0</v>
      </c>
      <c r="AS8" s="577" t="e">
        <f>AR8/$AR$89</f>
        <v>#DIV/0!</v>
      </c>
      <c r="AT8" s="656"/>
      <c r="AU8" s="618">
        <f>SUM(AU9:AU33)</f>
        <v>0</v>
      </c>
      <c r="AV8" s="618">
        <f>SUM(AV9:AV33)</f>
        <v>0</v>
      </c>
      <c r="AW8" s="619">
        <f>SUM(AW9:AW33)</f>
        <v>0</v>
      </c>
      <c r="AX8" s="577" t="e">
        <f>AW8/$AW$89</f>
        <v>#DIV/0!</v>
      </c>
      <c r="AY8" s="656"/>
      <c r="AZ8" s="618">
        <f>SUM(AZ9:AZ33)</f>
        <v>2531348.0860000001</v>
      </c>
      <c r="BA8" s="618">
        <f>SUM(BA9:BA33)</f>
        <v>411235.19999999995</v>
      </c>
      <c r="BB8" s="619">
        <f>SUM(BB9:BB33)</f>
        <v>2942583.2859999998</v>
      </c>
      <c r="BC8" s="577">
        <f>BB8/$BB$89</f>
        <v>0.97814716950589076</v>
      </c>
      <c r="BD8" s="620"/>
    </row>
    <row r="9" spans="1:58" s="2" customFormat="1" ht="14.4" customHeight="1" x14ac:dyDescent="0.25">
      <c r="A9" s="238"/>
      <c r="B9" s="1077" t="s">
        <v>74</v>
      </c>
      <c r="C9" s="1047"/>
      <c r="D9" s="1048"/>
      <c r="E9" s="1190">
        <f>C9+D9*1.15</f>
        <v>0</v>
      </c>
      <c r="F9" s="1049" t="e">
        <f t="shared" si="0"/>
        <v>#DIV/0!</v>
      </c>
      <c r="G9" s="1034"/>
      <c r="H9" s="1033"/>
      <c r="I9" s="1050">
        <f>G9+H9*1</f>
        <v>0</v>
      </c>
      <c r="J9" s="1279" t="e">
        <f t="shared" ref="J9:J17" si="1">I9/$I$89</f>
        <v>#DIV/0!</v>
      </c>
      <c r="K9" s="1029"/>
      <c r="L9" s="2087">
        <v>12380.36</v>
      </c>
      <c r="M9" s="2075"/>
      <c r="N9" s="2079">
        <v>12380.36</v>
      </c>
      <c r="O9" s="2077">
        <v>2.3199833972150016E-2</v>
      </c>
      <c r="P9" s="2088"/>
      <c r="Q9" s="2075">
        <v>0</v>
      </c>
      <c r="R9" s="2076"/>
      <c r="S9" s="2079">
        <v>0</v>
      </c>
      <c r="T9" s="2077">
        <v>0</v>
      </c>
      <c r="U9" s="2088"/>
      <c r="V9" s="2082"/>
      <c r="W9" s="2085"/>
      <c r="X9" s="2083">
        <v>0</v>
      </c>
      <c r="Y9" s="2084">
        <v>0</v>
      </c>
      <c r="Z9" s="2089"/>
      <c r="AA9" s="1659"/>
      <c r="AB9" s="1447"/>
      <c r="AC9" s="1567">
        <f>AA9+AB9*1</f>
        <v>0</v>
      </c>
      <c r="AD9" s="1893">
        <f>AC9/$AC$89</f>
        <v>0</v>
      </c>
      <c r="AE9" s="1449"/>
      <c r="AF9" s="1033"/>
      <c r="AG9" s="1188"/>
      <c r="AH9" s="1031">
        <f>AF9+AG9*1</f>
        <v>0</v>
      </c>
      <c r="AI9" s="1245" t="e">
        <f t="shared" ref="AI9:AI33" si="2">AH9/$AH$89</f>
        <v>#DIV/0!</v>
      </c>
      <c r="AJ9" s="1053"/>
      <c r="AK9" s="1033"/>
      <c r="AL9" s="1188"/>
      <c r="AM9" s="1031">
        <f>AK9+AL9*1</f>
        <v>0</v>
      </c>
      <c r="AN9" s="1245" t="e">
        <f t="shared" ref="AN9:AN33" si="3">AM9/$AH$89</f>
        <v>#DIV/0!</v>
      </c>
      <c r="AO9" s="1053"/>
      <c r="AP9" s="1033"/>
      <c r="AQ9" s="1188"/>
      <c r="AR9" s="1031">
        <f>AP9+AQ9*1</f>
        <v>0</v>
      </c>
      <c r="AS9" s="1245" t="e">
        <f t="shared" ref="AS9:AS33" si="4">AR9/$AR$89</f>
        <v>#DIV/0!</v>
      </c>
      <c r="AT9" s="1053"/>
      <c r="AU9" s="1033"/>
      <c r="AV9" s="1188"/>
      <c r="AW9" s="1031">
        <f>AU9+AV9*1</f>
        <v>0</v>
      </c>
      <c r="AX9" s="1245" t="e">
        <f t="shared" ref="AX9:AX33" si="5">AW9/$AW$89</f>
        <v>#DIV/0!</v>
      </c>
      <c r="AY9" s="1053"/>
      <c r="AZ9" s="2067">
        <f t="shared" ref="AZ9:AZ33" si="6">G9+L9+Q9+V9+AA9</f>
        <v>12380.36</v>
      </c>
      <c r="BA9" s="2067">
        <f t="shared" ref="BA9:BA33" si="7">H9+M9+R9+W9+AB9</f>
        <v>0</v>
      </c>
      <c r="BB9" s="1031">
        <f t="shared" ref="BB9:BB33" si="8">AZ9+BA9*1</f>
        <v>12380.36</v>
      </c>
      <c r="BC9" s="1245">
        <f t="shared" ref="BC9:BC33" si="9">BB9/$BB$89</f>
        <v>4.1153683394720237E-3</v>
      </c>
      <c r="BD9" s="1053"/>
    </row>
    <row r="10" spans="1:58" s="2" customFormat="1" ht="14.4" customHeight="1" x14ac:dyDescent="0.25">
      <c r="A10" s="238"/>
      <c r="B10" s="1077" t="s">
        <v>72</v>
      </c>
      <c r="C10" s="1047"/>
      <c r="D10" s="1048"/>
      <c r="E10" s="1190">
        <f t="shared" ref="E10:E32" si="10">C10+D10*1.15</f>
        <v>0</v>
      </c>
      <c r="F10" s="1049" t="e">
        <f t="shared" si="0"/>
        <v>#DIV/0!</v>
      </c>
      <c r="G10" s="1034"/>
      <c r="H10" s="1033"/>
      <c r="I10" s="1050">
        <f t="shared" ref="I10:I33" si="11">G10+H10*1</f>
        <v>0</v>
      </c>
      <c r="J10" s="1279" t="e">
        <f t="shared" si="1"/>
        <v>#DIV/0!</v>
      </c>
      <c r="K10" s="1051"/>
      <c r="L10" s="2087">
        <v>2998.97</v>
      </c>
      <c r="M10" s="2075"/>
      <c r="N10" s="2079">
        <v>2998.97</v>
      </c>
      <c r="O10" s="2077">
        <v>5.6198370715761677E-3</v>
      </c>
      <c r="P10" s="2078"/>
      <c r="Q10" s="2075">
        <v>0</v>
      </c>
      <c r="R10" s="2076"/>
      <c r="S10" s="2079">
        <v>0</v>
      </c>
      <c r="T10" s="2077">
        <v>0</v>
      </c>
      <c r="U10" s="2086"/>
      <c r="V10" s="2082"/>
      <c r="W10" s="2085"/>
      <c r="X10" s="2083">
        <v>0</v>
      </c>
      <c r="Y10" s="2084">
        <v>0</v>
      </c>
      <c r="Z10" s="2080"/>
      <c r="AA10" s="1659"/>
      <c r="AB10" s="1447"/>
      <c r="AC10" s="1567">
        <f t="shared" ref="AC10:AC33" si="12">AA10+AB10*1</f>
        <v>0</v>
      </c>
      <c r="AD10" s="1893">
        <f>AC10/$AC$89</f>
        <v>0</v>
      </c>
      <c r="AE10" s="1630"/>
      <c r="AF10" s="1033"/>
      <c r="AG10" s="1188"/>
      <c r="AH10" s="1031">
        <f t="shared" ref="AH10:AH33" si="13">AF10+AG10*1</f>
        <v>0</v>
      </c>
      <c r="AI10" s="1245" t="e">
        <f t="shared" si="2"/>
        <v>#DIV/0!</v>
      </c>
      <c r="AJ10" s="1052"/>
      <c r="AK10" s="1033"/>
      <c r="AL10" s="1188"/>
      <c r="AM10" s="1031">
        <f t="shared" ref="AM10:AM33" si="14">AK10+AL10*1</f>
        <v>0</v>
      </c>
      <c r="AN10" s="1245" t="e">
        <f t="shared" si="3"/>
        <v>#DIV/0!</v>
      </c>
      <c r="AO10" s="1052"/>
      <c r="AP10" s="1033"/>
      <c r="AQ10" s="1188"/>
      <c r="AR10" s="1031">
        <f t="shared" ref="AR10:AR33" si="15">AP10+AQ10*1</f>
        <v>0</v>
      </c>
      <c r="AS10" s="1245" t="e">
        <f t="shared" si="4"/>
        <v>#DIV/0!</v>
      </c>
      <c r="AT10" s="1052"/>
      <c r="AU10" s="1033"/>
      <c r="AV10" s="1188"/>
      <c r="AW10" s="1031">
        <f t="shared" ref="AW10:AW33" si="16">AU10+AV10*1</f>
        <v>0</v>
      </c>
      <c r="AX10" s="1245" t="e">
        <f t="shared" si="5"/>
        <v>#DIV/0!</v>
      </c>
      <c r="AY10" s="1052"/>
      <c r="AZ10" s="2067">
        <f t="shared" si="6"/>
        <v>2998.97</v>
      </c>
      <c r="BA10" s="2067">
        <f t="shared" si="7"/>
        <v>0</v>
      </c>
      <c r="BB10" s="1031">
        <f t="shared" si="8"/>
        <v>2998.97</v>
      </c>
      <c r="BC10" s="1245">
        <f t="shared" si="9"/>
        <v>9.9689073573195068E-4</v>
      </c>
      <c r="BD10" s="1053"/>
    </row>
    <row r="11" spans="1:58" s="2" customFormat="1" ht="18" customHeight="1" x14ac:dyDescent="0.25">
      <c r="A11" s="238"/>
      <c r="B11" s="1077" t="s">
        <v>69</v>
      </c>
      <c r="C11" s="1047"/>
      <c r="D11" s="1048"/>
      <c r="E11" s="1190">
        <f t="shared" si="10"/>
        <v>0</v>
      </c>
      <c r="F11" s="1049" t="e">
        <f t="shared" si="0"/>
        <v>#DIV/0!</v>
      </c>
      <c r="G11" s="1034"/>
      <c r="H11" s="1033"/>
      <c r="I11" s="1050">
        <f t="shared" si="11"/>
        <v>0</v>
      </c>
      <c r="J11" s="1279" t="e">
        <f t="shared" si="1"/>
        <v>#DIV/0!</v>
      </c>
      <c r="K11" s="1051"/>
      <c r="L11" s="2087">
        <v>3383.45</v>
      </c>
      <c r="M11" s="2075"/>
      <c r="N11" s="2079">
        <v>3383.45</v>
      </c>
      <c r="O11" s="2077">
        <v>6.3403227574215099E-3</v>
      </c>
      <c r="P11" s="2078"/>
      <c r="Q11" s="2075">
        <v>0</v>
      </c>
      <c r="R11" s="2076"/>
      <c r="S11" s="2079">
        <v>0</v>
      </c>
      <c r="T11" s="2077">
        <v>0</v>
      </c>
      <c r="U11" s="2086"/>
      <c r="V11" s="2082"/>
      <c r="W11" s="2085"/>
      <c r="X11" s="2083">
        <v>0</v>
      </c>
      <c r="Y11" s="2084">
        <v>0</v>
      </c>
      <c r="Z11" s="2080"/>
      <c r="AA11" s="1659"/>
      <c r="AB11" s="1447"/>
      <c r="AC11" s="1567">
        <f t="shared" si="12"/>
        <v>0</v>
      </c>
      <c r="AD11" s="1893">
        <f>AC11/$AC$89</f>
        <v>0</v>
      </c>
      <c r="AE11" s="1630"/>
      <c r="AF11" s="1033"/>
      <c r="AG11" s="1188"/>
      <c r="AH11" s="1031">
        <f t="shared" si="13"/>
        <v>0</v>
      </c>
      <c r="AI11" s="1245" t="e">
        <f t="shared" si="2"/>
        <v>#DIV/0!</v>
      </c>
      <c r="AJ11" s="1052"/>
      <c r="AK11" s="1033"/>
      <c r="AL11" s="1188"/>
      <c r="AM11" s="1031">
        <f t="shared" si="14"/>
        <v>0</v>
      </c>
      <c r="AN11" s="1245" t="e">
        <f t="shared" si="3"/>
        <v>#DIV/0!</v>
      </c>
      <c r="AO11" s="1052"/>
      <c r="AP11" s="1033"/>
      <c r="AQ11" s="1188"/>
      <c r="AR11" s="1031">
        <f t="shared" si="15"/>
        <v>0</v>
      </c>
      <c r="AS11" s="1245" t="e">
        <f t="shared" si="4"/>
        <v>#DIV/0!</v>
      </c>
      <c r="AT11" s="1052"/>
      <c r="AU11" s="1033"/>
      <c r="AV11" s="1188"/>
      <c r="AW11" s="1031">
        <f t="shared" si="16"/>
        <v>0</v>
      </c>
      <c r="AX11" s="1245" t="e">
        <f t="shared" si="5"/>
        <v>#DIV/0!</v>
      </c>
      <c r="AY11" s="1052"/>
      <c r="AZ11" s="2067">
        <f t="shared" si="6"/>
        <v>3383.45</v>
      </c>
      <c r="BA11" s="2067">
        <f t="shared" si="7"/>
        <v>0</v>
      </c>
      <c r="BB11" s="1031">
        <f t="shared" si="8"/>
        <v>3383.45</v>
      </c>
      <c r="BC11" s="1245">
        <f t="shared" si="9"/>
        <v>1.124696132276171E-3</v>
      </c>
      <c r="BD11" s="1053"/>
    </row>
    <row r="12" spans="1:58" s="2" customFormat="1" ht="30.6" customHeight="1" x14ac:dyDescent="0.25">
      <c r="A12" s="238"/>
      <c r="B12" s="1077" t="s">
        <v>73</v>
      </c>
      <c r="C12" s="1047"/>
      <c r="D12" s="1048"/>
      <c r="E12" s="1190">
        <f t="shared" si="10"/>
        <v>0</v>
      </c>
      <c r="F12" s="1049" t="e">
        <f t="shared" si="0"/>
        <v>#DIV/0!</v>
      </c>
      <c r="G12" s="1034"/>
      <c r="H12" s="1033"/>
      <c r="I12" s="1050">
        <f t="shared" si="11"/>
        <v>0</v>
      </c>
      <c r="J12" s="1279" t="e">
        <f t="shared" si="1"/>
        <v>#DIV/0!</v>
      </c>
      <c r="K12" s="1051"/>
      <c r="L12" s="2087">
        <v>9335.98</v>
      </c>
      <c r="M12" s="2075">
        <v>24762.2</v>
      </c>
      <c r="N12" s="2079">
        <v>34098.18</v>
      </c>
      <c r="O12" s="2077">
        <v>6.3897343433671247E-2</v>
      </c>
      <c r="P12" s="2078" t="s">
        <v>1543</v>
      </c>
      <c r="Q12" s="2082">
        <v>10830.06</v>
      </c>
      <c r="R12" s="2076">
        <v>10157.4</v>
      </c>
      <c r="S12" s="2079">
        <v>20987.46</v>
      </c>
      <c r="T12" s="2077">
        <v>1.3564038863512835E-2</v>
      </c>
      <c r="U12" s="2078" t="s">
        <v>1544</v>
      </c>
      <c r="V12" s="2082">
        <v>4550</v>
      </c>
      <c r="W12" s="2085">
        <v>7093</v>
      </c>
      <c r="X12" s="2083">
        <v>11643</v>
      </c>
      <c r="Y12" s="2084">
        <v>1.7638274890737382E-2</v>
      </c>
      <c r="Z12" s="2080" t="s">
        <v>1386</v>
      </c>
      <c r="AA12" s="1659"/>
      <c r="AB12" s="1447"/>
      <c r="AC12" s="1567">
        <f t="shared" si="12"/>
        <v>0</v>
      </c>
      <c r="AD12" s="1893">
        <f>AC12/$AC$89</f>
        <v>0</v>
      </c>
      <c r="AE12" s="1623"/>
      <c r="AF12" s="1033"/>
      <c r="AG12" s="1188"/>
      <c r="AH12" s="1031">
        <f t="shared" si="13"/>
        <v>0</v>
      </c>
      <c r="AI12" s="1245" t="e">
        <f t="shared" si="2"/>
        <v>#DIV/0!</v>
      </c>
      <c r="AJ12" s="1051"/>
      <c r="AK12" s="1033"/>
      <c r="AL12" s="1188"/>
      <c r="AM12" s="1031">
        <f t="shared" si="14"/>
        <v>0</v>
      </c>
      <c r="AN12" s="1245" t="e">
        <f t="shared" si="3"/>
        <v>#DIV/0!</v>
      </c>
      <c r="AO12" s="1051"/>
      <c r="AP12" s="1033"/>
      <c r="AQ12" s="1188"/>
      <c r="AR12" s="1031">
        <f t="shared" si="15"/>
        <v>0</v>
      </c>
      <c r="AS12" s="1245" t="e">
        <f t="shared" si="4"/>
        <v>#DIV/0!</v>
      </c>
      <c r="AT12" s="1051"/>
      <c r="AU12" s="1033"/>
      <c r="AV12" s="1188"/>
      <c r="AW12" s="1031">
        <f t="shared" si="16"/>
        <v>0</v>
      </c>
      <c r="AX12" s="1245" t="e">
        <f t="shared" si="5"/>
        <v>#DIV/0!</v>
      </c>
      <c r="AY12" s="1051"/>
      <c r="AZ12" s="2067">
        <f t="shared" si="6"/>
        <v>24716.04</v>
      </c>
      <c r="BA12" s="2067">
        <f t="shared" si="7"/>
        <v>42012.6</v>
      </c>
      <c r="BB12" s="1031">
        <f t="shared" si="8"/>
        <v>66728.639999999999</v>
      </c>
      <c r="BC12" s="1245">
        <f t="shared" si="9"/>
        <v>2.2181336600230236E-2</v>
      </c>
      <c r="BD12" s="1053"/>
      <c r="BF12" s="842"/>
    </row>
    <row r="13" spans="1:58" s="2" customFormat="1" ht="18" customHeight="1" x14ac:dyDescent="0.25">
      <c r="A13" s="238"/>
      <c r="B13" s="1077" t="s">
        <v>71</v>
      </c>
      <c r="C13" s="1047"/>
      <c r="D13" s="1048"/>
      <c r="E13" s="1190">
        <f t="shared" si="10"/>
        <v>0</v>
      </c>
      <c r="F13" s="1049" t="e">
        <f t="shared" si="0"/>
        <v>#DIV/0!</v>
      </c>
      <c r="G13" s="1034"/>
      <c r="H13" s="1033"/>
      <c r="I13" s="1050">
        <f t="shared" si="11"/>
        <v>0</v>
      </c>
      <c r="J13" s="1279" t="e">
        <f t="shared" si="1"/>
        <v>#DIV/0!</v>
      </c>
      <c r="K13" s="1051"/>
      <c r="L13" s="2087">
        <v>2261.5100000000002</v>
      </c>
      <c r="M13" s="2075"/>
      <c r="N13" s="2079">
        <v>2261.5100000000002</v>
      </c>
      <c r="O13" s="2077">
        <v>4.2378942556078325E-3</v>
      </c>
      <c r="P13" s="2078"/>
      <c r="Q13" s="2082">
        <v>2623.43</v>
      </c>
      <c r="R13" s="2076"/>
      <c r="S13" s="2079">
        <v>2623.43</v>
      </c>
      <c r="T13" s="2077">
        <v>1.6955032422077505E-3</v>
      </c>
      <c r="U13" s="2086"/>
      <c r="V13" s="2082">
        <v>1102.17</v>
      </c>
      <c r="W13" s="2085"/>
      <c r="X13" s="2083">
        <v>1102.17</v>
      </c>
      <c r="Y13" s="2084">
        <v>1.6697051821973736E-3</v>
      </c>
      <c r="Z13" s="2090" t="s">
        <v>1384</v>
      </c>
      <c r="AA13" s="1659"/>
      <c r="AB13" s="1447"/>
      <c r="AC13" s="1567">
        <f t="shared" si="12"/>
        <v>0</v>
      </c>
      <c r="AD13" s="1893">
        <f t="shared" ref="AD13:AD37" si="17">AC13/$AC$89</f>
        <v>0</v>
      </c>
      <c r="AE13" s="1623"/>
      <c r="AF13" s="1033"/>
      <c r="AG13" s="1188"/>
      <c r="AH13" s="1031">
        <f t="shared" si="13"/>
        <v>0</v>
      </c>
      <c r="AI13" s="1245" t="e">
        <f t="shared" si="2"/>
        <v>#DIV/0!</v>
      </c>
      <c r="AJ13" s="1051"/>
      <c r="AK13" s="1033"/>
      <c r="AL13" s="1188"/>
      <c r="AM13" s="1031">
        <f t="shared" si="14"/>
        <v>0</v>
      </c>
      <c r="AN13" s="1245" t="e">
        <f t="shared" si="3"/>
        <v>#DIV/0!</v>
      </c>
      <c r="AO13" s="1051"/>
      <c r="AP13" s="1033"/>
      <c r="AQ13" s="1188"/>
      <c r="AR13" s="1031">
        <f t="shared" si="15"/>
        <v>0</v>
      </c>
      <c r="AS13" s="1245" t="e">
        <f t="shared" si="4"/>
        <v>#DIV/0!</v>
      </c>
      <c r="AT13" s="1051"/>
      <c r="AU13" s="1033"/>
      <c r="AV13" s="1188"/>
      <c r="AW13" s="1031">
        <f t="shared" si="16"/>
        <v>0</v>
      </c>
      <c r="AX13" s="1245" t="e">
        <f t="shared" si="5"/>
        <v>#DIV/0!</v>
      </c>
      <c r="AY13" s="1051"/>
      <c r="AZ13" s="2067">
        <f t="shared" si="6"/>
        <v>5987.1100000000006</v>
      </c>
      <c r="BA13" s="2067">
        <f t="shared" si="7"/>
        <v>0</v>
      </c>
      <c r="BB13" s="1031">
        <f t="shared" si="8"/>
        <v>5987.1100000000006</v>
      </c>
      <c r="BC13" s="1245">
        <f t="shared" si="9"/>
        <v>1.9901814599039406E-3</v>
      </c>
      <c r="BD13" s="1053"/>
    </row>
    <row r="14" spans="1:58" s="2" customFormat="1" ht="18" customHeight="1" x14ac:dyDescent="0.25">
      <c r="A14" s="238"/>
      <c r="B14" s="1077" t="s">
        <v>70</v>
      </c>
      <c r="C14" s="1047"/>
      <c r="D14" s="1048"/>
      <c r="E14" s="1190">
        <f t="shared" si="10"/>
        <v>0</v>
      </c>
      <c r="F14" s="1049" t="e">
        <f t="shared" si="0"/>
        <v>#DIV/0!</v>
      </c>
      <c r="G14" s="1034"/>
      <c r="H14" s="1033"/>
      <c r="I14" s="1050">
        <f t="shared" si="11"/>
        <v>0</v>
      </c>
      <c r="J14" s="1279" t="e">
        <f t="shared" si="1"/>
        <v>#DIV/0!</v>
      </c>
      <c r="K14" s="1051"/>
      <c r="L14" s="2087">
        <v>2551.4499999999998</v>
      </c>
      <c r="M14" s="2075"/>
      <c r="N14" s="2079">
        <v>2551.4499999999998</v>
      </c>
      <c r="O14" s="2077">
        <v>4.7812193173899752E-3</v>
      </c>
      <c r="P14" s="2078"/>
      <c r="Q14" s="2082">
        <v>2959.77</v>
      </c>
      <c r="R14" s="2076"/>
      <c r="S14" s="2079">
        <v>2959.77</v>
      </c>
      <c r="T14" s="2077">
        <v>1.912877275623605E-3</v>
      </c>
      <c r="U14" s="2086"/>
      <c r="V14" s="2082">
        <v>1243.48</v>
      </c>
      <c r="W14" s="2085"/>
      <c r="X14" s="2083">
        <v>1243.48</v>
      </c>
      <c r="Y14" s="2084">
        <v>1.883779271762786E-3</v>
      </c>
      <c r="Z14" s="2090" t="s">
        <v>1384</v>
      </c>
      <c r="AA14" s="1659"/>
      <c r="AB14" s="1447"/>
      <c r="AC14" s="1567">
        <f t="shared" si="12"/>
        <v>0</v>
      </c>
      <c r="AD14" s="1893">
        <f t="shared" si="17"/>
        <v>0</v>
      </c>
      <c r="AE14" s="1623"/>
      <c r="AF14" s="1033"/>
      <c r="AG14" s="1188"/>
      <c r="AH14" s="1031">
        <f t="shared" si="13"/>
        <v>0</v>
      </c>
      <c r="AI14" s="1245" t="e">
        <f t="shared" si="2"/>
        <v>#DIV/0!</v>
      </c>
      <c r="AJ14" s="1051"/>
      <c r="AK14" s="1033"/>
      <c r="AL14" s="1188"/>
      <c r="AM14" s="1031">
        <f t="shared" si="14"/>
        <v>0</v>
      </c>
      <c r="AN14" s="1245" t="e">
        <f t="shared" si="3"/>
        <v>#DIV/0!</v>
      </c>
      <c r="AO14" s="1051"/>
      <c r="AP14" s="1033"/>
      <c r="AQ14" s="1188"/>
      <c r="AR14" s="1031">
        <f t="shared" si="15"/>
        <v>0</v>
      </c>
      <c r="AS14" s="1245" t="e">
        <f t="shared" si="4"/>
        <v>#DIV/0!</v>
      </c>
      <c r="AT14" s="1051"/>
      <c r="AU14" s="1033"/>
      <c r="AV14" s="1188"/>
      <c r="AW14" s="1031">
        <f t="shared" si="16"/>
        <v>0</v>
      </c>
      <c r="AX14" s="1245" t="e">
        <f t="shared" si="5"/>
        <v>#DIV/0!</v>
      </c>
      <c r="AY14" s="1051"/>
      <c r="AZ14" s="2067">
        <f t="shared" si="6"/>
        <v>6754.6999999999989</v>
      </c>
      <c r="BA14" s="2067">
        <f t="shared" si="7"/>
        <v>0</v>
      </c>
      <c r="BB14" s="1031">
        <f t="shared" si="8"/>
        <v>6754.6999999999989</v>
      </c>
      <c r="BC14" s="1245">
        <f t="shared" si="9"/>
        <v>2.2453368498679903E-3</v>
      </c>
      <c r="BD14" s="1053"/>
    </row>
    <row r="15" spans="1:58" s="2" customFormat="1" ht="18" customHeight="1" x14ac:dyDescent="0.25">
      <c r="A15" s="238"/>
      <c r="B15" s="1270" t="s">
        <v>20</v>
      </c>
      <c r="C15" s="1047"/>
      <c r="D15" s="1242"/>
      <c r="E15" s="1190">
        <f t="shared" si="10"/>
        <v>0</v>
      </c>
      <c r="F15" s="1049" t="e">
        <f t="shared" si="0"/>
        <v>#DIV/0!</v>
      </c>
      <c r="G15" s="1034"/>
      <c r="H15" s="1033"/>
      <c r="I15" s="1050">
        <f t="shared" si="11"/>
        <v>0</v>
      </c>
      <c r="J15" s="1279" t="e">
        <f t="shared" si="1"/>
        <v>#DIV/0!</v>
      </c>
      <c r="K15" s="1051"/>
      <c r="L15" s="2087"/>
      <c r="M15" s="2075"/>
      <c r="N15" s="2079">
        <v>0</v>
      </c>
      <c r="O15" s="2077">
        <v>0</v>
      </c>
      <c r="P15" s="2078"/>
      <c r="Q15" s="2075"/>
      <c r="R15" s="2076"/>
      <c r="S15" s="2079">
        <v>0</v>
      </c>
      <c r="T15" s="2077">
        <v>0</v>
      </c>
      <c r="U15" s="2086"/>
      <c r="V15" s="2082"/>
      <c r="W15" s="2085"/>
      <c r="X15" s="2083">
        <v>0</v>
      </c>
      <c r="Y15" s="2084">
        <v>0</v>
      </c>
      <c r="Z15" s="2080"/>
      <c r="AA15" s="1659"/>
      <c r="AB15" s="1447"/>
      <c r="AC15" s="1567">
        <f t="shared" si="12"/>
        <v>0</v>
      </c>
      <c r="AD15" s="1893">
        <f t="shared" si="17"/>
        <v>0</v>
      </c>
      <c r="AE15" s="1623"/>
      <c r="AF15" s="1033"/>
      <c r="AG15" s="1188"/>
      <c r="AH15" s="1031">
        <f t="shared" si="13"/>
        <v>0</v>
      </c>
      <c r="AI15" s="1245" t="e">
        <f t="shared" si="2"/>
        <v>#DIV/0!</v>
      </c>
      <c r="AJ15" s="1051"/>
      <c r="AK15" s="1033"/>
      <c r="AL15" s="1188"/>
      <c r="AM15" s="1031">
        <f t="shared" si="14"/>
        <v>0</v>
      </c>
      <c r="AN15" s="1245" t="e">
        <f t="shared" si="3"/>
        <v>#DIV/0!</v>
      </c>
      <c r="AO15" s="1051"/>
      <c r="AP15" s="1033"/>
      <c r="AQ15" s="1188"/>
      <c r="AR15" s="1031">
        <f t="shared" si="15"/>
        <v>0</v>
      </c>
      <c r="AS15" s="1245" t="e">
        <f t="shared" si="4"/>
        <v>#DIV/0!</v>
      </c>
      <c r="AT15" s="1051"/>
      <c r="AU15" s="1033"/>
      <c r="AV15" s="1188"/>
      <c r="AW15" s="1031">
        <f t="shared" si="16"/>
        <v>0</v>
      </c>
      <c r="AX15" s="1245" t="e">
        <f t="shared" si="5"/>
        <v>#DIV/0!</v>
      </c>
      <c r="AY15" s="1051"/>
      <c r="AZ15" s="2067">
        <f t="shared" si="6"/>
        <v>0</v>
      </c>
      <c r="BA15" s="2067">
        <f t="shared" si="7"/>
        <v>0</v>
      </c>
      <c r="BB15" s="1031">
        <f t="shared" si="8"/>
        <v>0</v>
      </c>
      <c r="BC15" s="1245">
        <f t="shared" si="9"/>
        <v>0</v>
      </c>
      <c r="BD15" s="1053"/>
    </row>
    <row r="16" spans="1:58" s="2" customFormat="1" ht="33.6" customHeight="1" x14ac:dyDescent="0.25">
      <c r="A16" s="238"/>
      <c r="B16" s="1270" t="s">
        <v>21</v>
      </c>
      <c r="C16" s="1047"/>
      <c r="D16" s="1242"/>
      <c r="E16" s="1190">
        <f t="shared" si="10"/>
        <v>0</v>
      </c>
      <c r="F16" s="1049" t="e">
        <f t="shared" si="0"/>
        <v>#DIV/0!</v>
      </c>
      <c r="G16" s="1034"/>
      <c r="H16" s="1033"/>
      <c r="I16" s="1050">
        <f t="shared" si="11"/>
        <v>0</v>
      </c>
      <c r="J16" s="1279" t="e">
        <f t="shared" si="1"/>
        <v>#DIV/0!</v>
      </c>
      <c r="K16" s="1051"/>
      <c r="L16" s="2068"/>
      <c r="M16" s="2067"/>
      <c r="N16" s="2061">
        <v>0</v>
      </c>
      <c r="O16" s="2060">
        <v>0</v>
      </c>
      <c r="P16" s="2062" t="s">
        <v>951</v>
      </c>
      <c r="Q16" s="2082"/>
      <c r="R16" s="2085">
        <v>138795.4</v>
      </c>
      <c r="S16" s="2083">
        <v>138795.4</v>
      </c>
      <c r="T16" s="2084">
        <v>8.9702431817704931E-2</v>
      </c>
      <c r="U16" s="2081" t="s">
        <v>1539</v>
      </c>
      <c r="V16" s="2082"/>
      <c r="W16" s="2085">
        <v>116787.2</v>
      </c>
      <c r="X16" s="2083">
        <v>116787.2</v>
      </c>
      <c r="Y16" s="2084">
        <v>0.17692388021296268</v>
      </c>
      <c r="Z16" s="2080" t="s">
        <v>1540</v>
      </c>
      <c r="AA16" s="1659"/>
      <c r="AB16" s="1447"/>
      <c r="AC16" s="1567">
        <f t="shared" si="12"/>
        <v>0</v>
      </c>
      <c r="AD16" s="1893">
        <f t="shared" si="17"/>
        <v>0</v>
      </c>
      <c r="AE16" s="1623"/>
      <c r="AF16" s="1033"/>
      <c r="AG16" s="1041"/>
      <c r="AH16" s="1031">
        <f t="shared" si="13"/>
        <v>0</v>
      </c>
      <c r="AI16" s="1245" t="e">
        <f t="shared" si="2"/>
        <v>#DIV/0!</v>
      </c>
      <c r="AJ16" s="1030"/>
      <c r="AK16" s="1033"/>
      <c r="AL16" s="1188"/>
      <c r="AM16" s="1031">
        <f t="shared" si="14"/>
        <v>0</v>
      </c>
      <c r="AN16" s="1245" t="e">
        <f t="shared" si="3"/>
        <v>#DIV/0!</v>
      </c>
      <c r="AO16" s="1030"/>
      <c r="AP16" s="1033"/>
      <c r="AQ16" s="1188"/>
      <c r="AR16" s="1031">
        <f t="shared" si="15"/>
        <v>0</v>
      </c>
      <c r="AS16" s="1245" t="e">
        <f t="shared" si="4"/>
        <v>#DIV/0!</v>
      </c>
      <c r="AT16" s="1030"/>
      <c r="AU16" s="1033"/>
      <c r="AV16" s="1188"/>
      <c r="AW16" s="1031">
        <f t="shared" si="16"/>
        <v>0</v>
      </c>
      <c r="AX16" s="1245" t="e">
        <f t="shared" si="5"/>
        <v>#DIV/0!</v>
      </c>
      <c r="AY16" s="1030"/>
      <c r="AZ16" s="2067">
        <f t="shared" si="6"/>
        <v>0</v>
      </c>
      <c r="BA16" s="2067">
        <f t="shared" si="7"/>
        <v>255582.59999999998</v>
      </c>
      <c r="BB16" s="1031">
        <f t="shared" si="8"/>
        <v>255582.59999999998</v>
      </c>
      <c r="BC16" s="1245">
        <f t="shared" si="9"/>
        <v>8.4958477795471388E-2</v>
      </c>
      <c r="BD16" s="1053"/>
    </row>
    <row r="17" spans="1:57" s="2" customFormat="1" ht="18" customHeight="1" x14ac:dyDescent="0.25">
      <c r="A17" s="238"/>
      <c r="B17" s="1270" t="s">
        <v>22</v>
      </c>
      <c r="C17" s="1047"/>
      <c r="D17" s="1242"/>
      <c r="E17" s="1190">
        <f t="shared" si="10"/>
        <v>0</v>
      </c>
      <c r="F17" s="1049" t="e">
        <f t="shared" si="0"/>
        <v>#DIV/0!</v>
      </c>
      <c r="G17" s="1034"/>
      <c r="H17" s="1033"/>
      <c r="I17" s="1050">
        <f t="shared" si="11"/>
        <v>0</v>
      </c>
      <c r="J17" s="1279" t="e">
        <f t="shared" si="1"/>
        <v>#DIV/0!</v>
      </c>
      <c r="K17" s="1051"/>
      <c r="L17" s="2068"/>
      <c r="M17" s="2067"/>
      <c r="N17" s="2061">
        <v>0</v>
      </c>
      <c r="O17" s="2060">
        <v>0</v>
      </c>
      <c r="P17" s="2062"/>
      <c r="Q17" s="2067"/>
      <c r="R17" s="2059"/>
      <c r="S17" s="2061">
        <v>0</v>
      </c>
      <c r="T17" s="2060">
        <v>0</v>
      </c>
      <c r="U17" s="2064"/>
      <c r="V17" s="2072"/>
      <c r="W17" s="2066"/>
      <c r="X17" s="2073">
        <v>0</v>
      </c>
      <c r="Y17" s="2074">
        <v>0</v>
      </c>
      <c r="Z17" s="2063"/>
      <c r="AA17" s="1659"/>
      <c r="AB17" s="1447"/>
      <c r="AC17" s="1567">
        <f t="shared" si="12"/>
        <v>0</v>
      </c>
      <c r="AD17" s="1893">
        <f t="shared" si="17"/>
        <v>0</v>
      </c>
      <c r="AE17" s="1623"/>
      <c r="AF17" s="1033"/>
      <c r="AG17" s="1188"/>
      <c r="AH17" s="1031">
        <f t="shared" si="13"/>
        <v>0</v>
      </c>
      <c r="AI17" s="1245" t="e">
        <f t="shared" si="2"/>
        <v>#DIV/0!</v>
      </c>
      <c r="AJ17" s="1051"/>
      <c r="AK17" s="1033"/>
      <c r="AL17" s="1188"/>
      <c r="AM17" s="1031">
        <f t="shared" si="14"/>
        <v>0</v>
      </c>
      <c r="AN17" s="1245" t="e">
        <f t="shared" si="3"/>
        <v>#DIV/0!</v>
      </c>
      <c r="AO17" s="1051"/>
      <c r="AP17" s="1033"/>
      <c r="AQ17" s="1188"/>
      <c r="AR17" s="1031">
        <f t="shared" si="15"/>
        <v>0</v>
      </c>
      <c r="AS17" s="1245" t="e">
        <f t="shared" si="4"/>
        <v>#DIV/0!</v>
      </c>
      <c r="AT17" s="1051"/>
      <c r="AU17" s="1033"/>
      <c r="AV17" s="1188"/>
      <c r="AW17" s="1031">
        <f t="shared" si="16"/>
        <v>0</v>
      </c>
      <c r="AX17" s="1245" t="e">
        <f t="shared" si="5"/>
        <v>#DIV/0!</v>
      </c>
      <c r="AY17" s="1051"/>
      <c r="AZ17" s="2067">
        <f t="shared" si="6"/>
        <v>0</v>
      </c>
      <c r="BA17" s="2067">
        <f t="shared" si="7"/>
        <v>0</v>
      </c>
      <c r="BB17" s="1031">
        <f t="shared" si="8"/>
        <v>0</v>
      </c>
      <c r="BC17" s="1245">
        <f t="shared" si="9"/>
        <v>0</v>
      </c>
      <c r="BD17" s="1053"/>
    </row>
    <row r="18" spans="1:57" s="2" customFormat="1" ht="18" customHeight="1" x14ac:dyDescent="0.25">
      <c r="A18" s="238"/>
      <c r="B18" s="1270" t="s">
        <v>0</v>
      </c>
      <c r="C18" s="1047"/>
      <c r="D18" s="1242"/>
      <c r="E18" s="1190">
        <f t="shared" si="10"/>
        <v>0</v>
      </c>
      <c r="F18" s="1049" t="e">
        <f t="shared" si="0"/>
        <v>#DIV/0!</v>
      </c>
      <c r="G18" s="1034"/>
      <c r="H18" s="1033"/>
      <c r="I18" s="1050">
        <f t="shared" si="11"/>
        <v>0</v>
      </c>
      <c r="J18" s="1279" t="e">
        <f>I18/$I$89</f>
        <v>#DIV/0!</v>
      </c>
      <c r="K18" s="1064"/>
      <c r="L18" s="2068">
        <v>378000</v>
      </c>
      <c r="M18" s="2067">
        <v>10647</v>
      </c>
      <c r="N18" s="2061">
        <v>388647</v>
      </c>
      <c r="O18" s="2060">
        <v>0.72829432050232679</v>
      </c>
      <c r="P18" s="2062" t="s">
        <v>1239</v>
      </c>
      <c r="Q18" s="2070"/>
      <c r="R18" s="2059">
        <v>0</v>
      </c>
      <c r="S18" s="2061">
        <v>0</v>
      </c>
      <c r="T18" s="2060">
        <v>0</v>
      </c>
      <c r="U18" s="2069"/>
      <c r="V18" s="2072"/>
      <c r="W18" s="2066"/>
      <c r="X18" s="2073">
        <v>0</v>
      </c>
      <c r="Y18" s="2074">
        <v>0</v>
      </c>
      <c r="Z18" s="2071"/>
      <c r="AA18" s="1659"/>
      <c r="AB18" s="1447"/>
      <c r="AC18" s="1567">
        <f t="shared" si="12"/>
        <v>0</v>
      </c>
      <c r="AD18" s="1893">
        <f t="shared" si="17"/>
        <v>0</v>
      </c>
      <c r="AE18" s="1605"/>
      <c r="AF18" s="1033"/>
      <c r="AG18" s="1188"/>
      <c r="AH18" s="1031">
        <f t="shared" si="13"/>
        <v>0</v>
      </c>
      <c r="AI18" s="1245" t="e">
        <f t="shared" si="2"/>
        <v>#DIV/0!</v>
      </c>
      <c r="AJ18" s="1030"/>
      <c r="AK18" s="1033"/>
      <c r="AL18" s="1188"/>
      <c r="AM18" s="1031">
        <f t="shared" si="14"/>
        <v>0</v>
      </c>
      <c r="AN18" s="1245" t="e">
        <f t="shared" si="3"/>
        <v>#DIV/0!</v>
      </c>
      <c r="AO18" s="1030"/>
      <c r="AP18" s="1033"/>
      <c r="AQ18" s="1188"/>
      <c r="AR18" s="1031">
        <f t="shared" si="15"/>
        <v>0</v>
      </c>
      <c r="AS18" s="1245" t="e">
        <f t="shared" si="4"/>
        <v>#DIV/0!</v>
      </c>
      <c r="AT18" s="1030"/>
      <c r="AU18" s="1033"/>
      <c r="AV18" s="1188"/>
      <c r="AW18" s="1031">
        <f t="shared" si="16"/>
        <v>0</v>
      </c>
      <c r="AX18" s="1245" t="e">
        <f t="shared" si="5"/>
        <v>#DIV/0!</v>
      </c>
      <c r="AY18" s="1030"/>
      <c r="AZ18" s="2067">
        <f t="shared" si="6"/>
        <v>378000</v>
      </c>
      <c r="BA18" s="2067">
        <f t="shared" si="7"/>
        <v>10647</v>
      </c>
      <c r="BB18" s="1031">
        <f t="shared" si="8"/>
        <v>388647</v>
      </c>
      <c r="BC18" s="1245">
        <f t="shared" si="9"/>
        <v>0.12919055334665416</v>
      </c>
      <c r="BD18" s="1053"/>
    </row>
    <row r="19" spans="1:57" s="2" customFormat="1" ht="18" customHeight="1" x14ac:dyDescent="0.25">
      <c r="A19" s="238"/>
      <c r="B19" s="1270" t="s">
        <v>53</v>
      </c>
      <c r="C19" s="1111"/>
      <c r="D19" s="1242"/>
      <c r="E19" s="1190">
        <f t="shared" si="10"/>
        <v>0</v>
      </c>
      <c r="F19" s="1049" t="e">
        <f t="shared" si="0"/>
        <v>#DIV/0!</v>
      </c>
      <c r="G19" s="1034"/>
      <c r="H19" s="1033"/>
      <c r="I19" s="1050">
        <f t="shared" si="11"/>
        <v>0</v>
      </c>
      <c r="J19" s="1279" t="e">
        <f t="shared" ref="J19:J37" si="18">I19/$I$89</f>
        <v>#DIV/0!</v>
      </c>
      <c r="K19" s="1051"/>
      <c r="L19" s="2068"/>
      <c r="M19" s="2067">
        <v>1500</v>
      </c>
      <c r="N19" s="2061">
        <v>1500</v>
      </c>
      <c r="O19" s="2060">
        <v>2.8108836058260843E-3</v>
      </c>
      <c r="P19" s="2062" t="s">
        <v>1227</v>
      </c>
      <c r="Q19" s="2067"/>
      <c r="R19" s="2059">
        <v>200</v>
      </c>
      <c r="S19" s="2061">
        <v>200</v>
      </c>
      <c r="T19" s="2060">
        <v>1.292585083046051E-4</v>
      </c>
      <c r="U19" s="2062" t="s">
        <v>1372</v>
      </c>
      <c r="V19" s="2072"/>
      <c r="W19" s="2066"/>
      <c r="X19" s="2073">
        <v>0</v>
      </c>
      <c r="Y19" s="2074">
        <v>0</v>
      </c>
      <c r="Z19" s="2063"/>
      <c r="AA19" s="1659"/>
      <c r="AB19" s="1447"/>
      <c r="AC19" s="1567">
        <f t="shared" si="12"/>
        <v>0</v>
      </c>
      <c r="AD19" s="1893">
        <f t="shared" si="17"/>
        <v>0</v>
      </c>
      <c r="AE19" s="1623"/>
      <c r="AF19" s="1033"/>
      <c r="AG19" s="1188"/>
      <c r="AH19" s="1031">
        <f t="shared" si="13"/>
        <v>0</v>
      </c>
      <c r="AI19" s="1245" t="e">
        <f t="shared" si="2"/>
        <v>#DIV/0!</v>
      </c>
      <c r="AJ19" s="1051"/>
      <c r="AK19" s="1033"/>
      <c r="AL19" s="1188"/>
      <c r="AM19" s="1031">
        <f t="shared" si="14"/>
        <v>0</v>
      </c>
      <c r="AN19" s="1245" t="e">
        <f t="shared" si="3"/>
        <v>#DIV/0!</v>
      </c>
      <c r="AO19" s="1051"/>
      <c r="AP19" s="1033"/>
      <c r="AQ19" s="1188"/>
      <c r="AR19" s="1031">
        <f t="shared" si="15"/>
        <v>0</v>
      </c>
      <c r="AS19" s="1245" t="e">
        <f t="shared" si="4"/>
        <v>#DIV/0!</v>
      </c>
      <c r="AT19" s="1051"/>
      <c r="AU19" s="1033"/>
      <c r="AV19" s="1188"/>
      <c r="AW19" s="1031">
        <f t="shared" si="16"/>
        <v>0</v>
      </c>
      <c r="AX19" s="1245" t="e">
        <f t="shared" si="5"/>
        <v>#DIV/0!</v>
      </c>
      <c r="AY19" s="1051"/>
      <c r="AZ19" s="2067">
        <f t="shared" si="6"/>
        <v>0</v>
      </c>
      <c r="BA19" s="2067">
        <f t="shared" si="7"/>
        <v>1700</v>
      </c>
      <c r="BB19" s="1031">
        <f t="shared" si="8"/>
        <v>1700</v>
      </c>
      <c r="BC19" s="1245">
        <f t="shared" si="9"/>
        <v>5.6509876749161084E-4</v>
      </c>
      <c r="BD19" s="1053"/>
    </row>
    <row r="20" spans="1:57" s="2" customFormat="1" ht="18" customHeight="1" x14ac:dyDescent="0.25">
      <c r="A20" s="238"/>
      <c r="B20" s="1270" t="s">
        <v>57</v>
      </c>
      <c r="C20" s="1111"/>
      <c r="D20" s="1242"/>
      <c r="E20" s="1190">
        <f t="shared" si="10"/>
        <v>0</v>
      </c>
      <c r="F20" s="1049" t="e">
        <f t="shared" si="0"/>
        <v>#DIV/0!</v>
      </c>
      <c r="G20" s="1034"/>
      <c r="H20" s="1033"/>
      <c r="I20" s="1050">
        <f t="shared" si="11"/>
        <v>0</v>
      </c>
      <c r="J20" s="1279" t="e">
        <f t="shared" si="18"/>
        <v>#DIV/0!</v>
      </c>
      <c r="K20" s="1051"/>
      <c r="L20" s="2068"/>
      <c r="M20" s="2067"/>
      <c r="N20" s="2061">
        <v>0</v>
      </c>
      <c r="O20" s="2060">
        <v>0</v>
      </c>
      <c r="P20" s="2062"/>
      <c r="Q20" s="2067"/>
      <c r="R20" s="2059"/>
      <c r="S20" s="2061">
        <v>0</v>
      </c>
      <c r="T20" s="2060">
        <v>0</v>
      </c>
      <c r="U20" s="2064"/>
      <c r="V20" s="2072"/>
      <c r="W20" s="2066"/>
      <c r="X20" s="2073">
        <v>0</v>
      </c>
      <c r="Y20" s="2074">
        <v>0</v>
      </c>
      <c r="Z20" s="2065"/>
      <c r="AA20" s="1659"/>
      <c r="AB20" s="1447"/>
      <c r="AC20" s="1567">
        <f t="shared" si="12"/>
        <v>0</v>
      </c>
      <c r="AD20" s="1893">
        <f t="shared" si="17"/>
        <v>0</v>
      </c>
      <c r="AE20" s="1623"/>
      <c r="AF20" s="1033"/>
      <c r="AG20" s="1188"/>
      <c r="AH20" s="1031">
        <f t="shared" si="13"/>
        <v>0</v>
      </c>
      <c r="AI20" s="1245" t="e">
        <f t="shared" si="2"/>
        <v>#DIV/0!</v>
      </c>
      <c r="AJ20" s="1051"/>
      <c r="AK20" s="1033"/>
      <c r="AL20" s="1188"/>
      <c r="AM20" s="1031">
        <f t="shared" si="14"/>
        <v>0</v>
      </c>
      <c r="AN20" s="1245" t="e">
        <f t="shared" si="3"/>
        <v>#DIV/0!</v>
      </c>
      <c r="AO20" s="1051"/>
      <c r="AP20" s="1033"/>
      <c r="AQ20" s="1188"/>
      <c r="AR20" s="1031">
        <f t="shared" si="15"/>
        <v>0</v>
      </c>
      <c r="AS20" s="1245" t="e">
        <f t="shared" si="4"/>
        <v>#DIV/0!</v>
      </c>
      <c r="AT20" s="1051"/>
      <c r="AU20" s="1033"/>
      <c r="AV20" s="1188"/>
      <c r="AW20" s="1031">
        <f t="shared" si="16"/>
        <v>0</v>
      </c>
      <c r="AX20" s="1245" t="e">
        <f t="shared" si="5"/>
        <v>#DIV/0!</v>
      </c>
      <c r="AY20" s="1051"/>
      <c r="AZ20" s="2067">
        <f t="shared" si="6"/>
        <v>0</v>
      </c>
      <c r="BA20" s="2067">
        <f t="shared" si="7"/>
        <v>0</v>
      </c>
      <c r="BB20" s="1031">
        <f t="shared" si="8"/>
        <v>0</v>
      </c>
      <c r="BC20" s="1245">
        <f t="shared" si="9"/>
        <v>0</v>
      </c>
      <c r="BD20" s="1053"/>
    </row>
    <row r="21" spans="1:57" s="2" customFormat="1" ht="18" customHeight="1" x14ac:dyDescent="0.25">
      <c r="A21" s="238"/>
      <c r="B21" s="1270" t="s">
        <v>58</v>
      </c>
      <c r="C21" s="1111"/>
      <c r="D21" s="1242"/>
      <c r="E21" s="1190">
        <f t="shared" si="10"/>
        <v>0</v>
      </c>
      <c r="F21" s="1049" t="e">
        <f t="shared" si="0"/>
        <v>#DIV/0!</v>
      </c>
      <c r="G21" s="1034"/>
      <c r="H21" s="1033"/>
      <c r="I21" s="1050">
        <f t="shared" si="11"/>
        <v>0</v>
      </c>
      <c r="J21" s="1279" t="e">
        <f t="shared" si="18"/>
        <v>#DIV/0!</v>
      </c>
      <c r="K21" s="1051"/>
      <c r="L21" s="2068">
        <v>4913.88</v>
      </c>
      <c r="M21" s="2067"/>
      <c r="N21" s="2061">
        <v>4913.88</v>
      </c>
      <c r="O21" s="2060">
        <v>9.2082298219977859E-3</v>
      </c>
      <c r="P21" s="2062" t="s">
        <v>1231</v>
      </c>
      <c r="Q21" s="2070">
        <v>20000.003999999997</v>
      </c>
      <c r="R21" s="2059"/>
      <c r="S21" s="2061">
        <v>20000.003999999997</v>
      </c>
      <c r="T21" s="2060">
        <v>1.2925853415630673E-2</v>
      </c>
      <c r="U21" s="2069" t="s">
        <v>1389</v>
      </c>
      <c r="V21" s="2072"/>
      <c r="W21" s="2066"/>
      <c r="X21" s="2073">
        <v>0</v>
      </c>
      <c r="Y21" s="2074">
        <v>0</v>
      </c>
      <c r="Z21" s="2065"/>
      <c r="AA21" s="1659"/>
      <c r="AB21" s="1447"/>
      <c r="AC21" s="1567">
        <f t="shared" si="12"/>
        <v>0</v>
      </c>
      <c r="AD21" s="1893">
        <f t="shared" si="17"/>
        <v>0</v>
      </c>
      <c r="AE21" s="1623"/>
      <c r="AF21" s="1033"/>
      <c r="AG21" s="1188"/>
      <c r="AH21" s="1031">
        <f t="shared" si="13"/>
        <v>0</v>
      </c>
      <c r="AI21" s="1245" t="e">
        <f t="shared" si="2"/>
        <v>#DIV/0!</v>
      </c>
      <c r="AJ21" s="1051"/>
      <c r="AK21" s="1033"/>
      <c r="AL21" s="1188"/>
      <c r="AM21" s="1031">
        <f t="shared" si="14"/>
        <v>0</v>
      </c>
      <c r="AN21" s="1245" t="e">
        <f t="shared" si="3"/>
        <v>#DIV/0!</v>
      </c>
      <c r="AO21" s="1051"/>
      <c r="AP21" s="1033"/>
      <c r="AQ21" s="1188"/>
      <c r="AR21" s="1031">
        <f t="shared" si="15"/>
        <v>0</v>
      </c>
      <c r="AS21" s="1245" t="e">
        <f t="shared" si="4"/>
        <v>#DIV/0!</v>
      </c>
      <c r="AT21" s="1051"/>
      <c r="AU21" s="1033"/>
      <c r="AV21" s="1188"/>
      <c r="AW21" s="1031">
        <f t="shared" si="16"/>
        <v>0</v>
      </c>
      <c r="AX21" s="1245" t="e">
        <f t="shared" si="5"/>
        <v>#DIV/0!</v>
      </c>
      <c r="AY21" s="1051"/>
      <c r="AZ21" s="2067">
        <f t="shared" si="6"/>
        <v>24913.883999999998</v>
      </c>
      <c r="BA21" s="2067">
        <f t="shared" si="7"/>
        <v>0</v>
      </c>
      <c r="BB21" s="1031">
        <f t="shared" si="8"/>
        <v>24913.883999999998</v>
      </c>
      <c r="BC21" s="1245">
        <f t="shared" si="9"/>
        <v>8.2816500834288018E-3</v>
      </c>
      <c r="BD21" s="1053"/>
    </row>
    <row r="22" spans="1:57" s="2" customFormat="1" ht="18" customHeight="1" x14ac:dyDescent="0.25">
      <c r="A22" s="238"/>
      <c r="B22" s="1270" t="s">
        <v>621</v>
      </c>
      <c r="C22" s="1111"/>
      <c r="D22" s="1242"/>
      <c r="E22" s="1190"/>
      <c r="F22" s="1049" t="e">
        <f t="shared" si="0"/>
        <v>#DIV/0!</v>
      </c>
      <c r="G22" s="1034"/>
      <c r="H22" s="1033"/>
      <c r="I22" s="1050">
        <f t="shared" si="11"/>
        <v>0</v>
      </c>
      <c r="J22" s="1279" t="e">
        <f t="shared" si="18"/>
        <v>#DIV/0!</v>
      </c>
      <c r="K22" s="1051"/>
      <c r="L22" s="2068"/>
      <c r="M22" s="2067">
        <v>22900</v>
      </c>
      <c r="N22" s="2061">
        <v>22900</v>
      </c>
      <c r="O22" s="2060">
        <v>4.2912823048944886E-2</v>
      </c>
      <c r="P22" s="2062" t="s">
        <v>1226</v>
      </c>
      <c r="Q22" s="2067"/>
      <c r="R22" s="2059"/>
      <c r="S22" s="2061">
        <v>0</v>
      </c>
      <c r="T22" s="2060">
        <v>0</v>
      </c>
      <c r="U22" s="2064"/>
      <c r="V22" s="2072"/>
      <c r="W22" s="2066"/>
      <c r="X22" s="2073">
        <v>0</v>
      </c>
      <c r="Y22" s="2074">
        <v>0</v>
      </c>
      <c r="Z22" s="2065"/>
      <c r="AA22" s="1659"/>
      <c r="AB22" s="1447"/>
      <c r="AC22" s="1567">
        <f t="shared" si="12"/>
        <v>0</v>
      </c>
      <c r="AD22" s="1893">
        <f t="shared" si="17"/>
        <v>0</v>
      </c>
      <c r="AE22" s="1623"/>
      <c r="AF22" s="1033"/>
      <c r="AG22" s="1188"/>
      <c r="AH22" s="1031">
        <f t="shared" si="13"/>
        <v>0</v>
      </c>
      <c r="AI22" s="1245" t="e">
        <f t="shared" si="2"/>
        <v>#DIV/0!</v>
      </c>
      <c r="AJ22" s="1051"/>
      <c r="AK22" s="1033"/>
      <c r="AL22" s="1188"/>
      <c r="AM22" s="1031">
        <f t="shared" si="14"/>
        <v>0</v>
      </c>
      <c r="AN22" s="1245" t="e">
        <f t="shared" si="3"/>
        <v>#DIV/0!</v>
      </c>
      <c r="AO22" s="1051"/>
      <c r="AP22" s="1033"/>
      <c r="AQ22" s="1188"/>
      <c r="AR22" s="1031">
        <f t="shared" si="15"/>
        <v>0</v>
      </c>
      <c r="AS22" s="1245" t="e">
        <f t="shared" si="4"/>
        <v>#DIV/0!</v>
      </c>
      <c r="AT22" s="1051"/>
      <c r="AU22" s="1033"/>
      <c r="AV22" s="1188"/>
      <c r="AW22" s="1031">
        <f t="shared" si="16"/>
        <v>0</v>
      </c>
      <c r="AX22" s="1245" t="e">
        <f t="shared" si="5"/>
        <v>#DIV/0!</v>
      </c>
      <c r="AY22" s="1051"/>
      <c r="AZ22" s="2067">
        <f t="shared" si="6"/>
        <v>0</v>
      </c>
      <c r="BA22" s="2067">
        <f t="shared" si="7"/>
        <v>22900</v>
      </c>
      <c r="BB22" s="1031">
        <f t="shared" si="8"/>
        <v>22900</v>
      </c>
      <c r="BC22" s="1245">
        <f t="shared" si="9"/>
        <v>7.6122128091516989E-3</v>
      </c>
      <c r="BD22" s="1053"/>
    </row>
    <row r="23" spans="1:57" s="2" customFormat="1" ht="18" customHeight="1" x14ac:dyDescent="0.25">
      <c r="A23" s="238"/>
      <c r="B23" s="1270" t="s">
        <v>630</v>
      </c>
      <c r="C23" s="1111"/>
      <c r="D23" s="1242"/>
      <c r="E23" s="1190"/>
      <c r="F23" s="1049" t="e">
        <f t="shared" si="0"/>
        <v>#DIV/0!</v>
      </c>
      <c r="G23" s="1034"/>
      <c r="H23" s="1033"/>
      <c r="I23" s="1050">
        <f t="shared" si="11"/>
        <v>0</v>
      </c>
      <c r="J23" s="1279" t="e">
        <f t="shared" si="18"/>
        <v>#DIV/0!</v>
      </c>
      <c r="K23" s="1051"/>
      <c r="L23" s="2068"/>
      <c r="M23" s="2067"/>
      <c r="N23" s="2061">
        <v>0</v>
      </c>
      <c r="O23" s="2060">
        <v>0</v>
      </c>
      <c r="P23" s="2062"/>
      <c r="Q23" s="2067"/>
      <c r="R23" s="2059"/>
      <c r="S23" s="2061">
        <v>0</v>
      </c>
      <c r="T23" s="2060">
        <v>0</v>
      </c>
      <c r="U23" s="2064"/>
      <c r="V23" s="2072"/>
      <c r="W23" s="2066"/>
      <c r="X23" s="2073">
        <v>0</v>
      </c>
      <c r="Y23" s="2074">
        <v>0</v>
      </c>
      <c r="Z23" s="2065"/>
      <c r="AA23" s="1659"/>
      <c r="AB23" s="1447"/>
      <c r="AC23" s="1567">
        <f t="shared" si="12"/>
        <v>0</v>
      </c>
      <c r="AD23" s="1893">
        <f t="shared" si="17"/>
        <v>0</v>
      </c>
      <c r="AE23" s="1623"/>
      <c r="AF23" s="1033"/>
      <c r="AG23" s="1188"/>
      <c r="AH23" s="1031">
        <f t="shared" si="13"/>
        <v>0</v>
      </c>
      <c r="AI23" s="1245" t="e">
        <f t="shared" si="2"/>
        <v>#DIV/0!</v>
      </c>
      <c r="AJ23" s="1051"/>
      <c r="AK23" s="1033"/>
      <c r="AL23" s="1188"/>
      <c r="AM23" s="1031">
        <f t="shared" si="14"/>
        <v>0</v>
      </c>
      <c r="AN23" s="1245" t="e">
        <f t="shared" si="3"/>
        <v>#DIV/0!</v>
      </c>
      <c r="AO23" s="1051"/>
      <c r="AP23" s="1033"/>
      <c r="AQ23" s="1188"/>
      <c r="AR23" s="1031">
        <f t="shared" si="15"/>
        <v>0</v>
      </c>
      <c r="AS23" s="1245" t="e">
        <f t="shared" si="4"/>
        <v>#DIV/0!</v>
      </c>
      <c r="AT23" s="1051"/>
      <c r="AU23" s="1033"/>
      <c r="AV23" s="1188"/>
      <c r="AW23" s="1031">
        <f t="shared" si="16"/>
        <v>0</v>
      </c>
      <c r="AX23" s="1245" t="e">
        <f t="shared" si="5"/>
        <v>#DIV/0!</v>
      </c>
      <c r="AY23" s="1051"/>
      <c r="AZ23" s="2067">
        <f t="shared" si="6"/>
        <v>0</v>
      </c>
      <c r="BA23" s="2067">
        <f t="shared" si="7"/>
        <v>0</v>
      </c>
      <c r="BB23" s="1031">
        <f t="shared" si="8"/>
        <v>0</v>
      </c>
      <c r="BC23" s="1245">
        <f t="shared" si="9"/>
        <v>0</v>
      </c>
      <c r="BD23" s="1053"/>
    </row>
    <row r="24" spans="1:57" s="2" customFormat="1" ht="18" customHeight="1" x14ac:dyDescent="0.25">
      <c r="A24" s="238"/>
      <c r="B24" s="1270" t="s">
        <v>23</v>
      </c>
      <c r="C24" s="1111"/>
      <c r="D24" s="1242"/>
      <c r="E24" s="1190">
        <f t="shared" si="10"/>
        <v>0</v>
      </c>
      <c r="F24" s="1049" t="e">
        <f t="shared" si="0"/>
        <v>#DIV/0!</v>
      </c>
      <c r="G24" s="1034"/>
      <c r="H24" s="1033"/>
      <c r="I24" s="1050">
        <f t="shared" si="11"/>
        <v>0</v>
      </c>
      <c r="J24" s="1279" t="e">
        <f t="shared" si="18"/>
        <v>#DIV/0!</v>
      </c>
      <c r="K24" s="1051"/>
      <c r="L24" s="2068"/>
      <c r="M24" s="2067"/>
      <c r="N24" s="2061">
        <v>0</v>
      </c>
      <c r="O24" s="2060">
        <v>0</v>
      </c>
      <c r="P24" s="2062"/>
      <c r="Q24" s="2067"/>
      <c r="R24" s="2059"/>
      <c r="S24" s="2061">
        <v>0</v>
      </c>
      <c r="T24" s="2060">
        <v>0</v>
      </c>
      <c r="U24" s="2064"/>
      <c r="V24" s="2072"/>
      <c r="W24" s="2066"/>
      <c r="X24" s="2073">
        <v>0</v>
      </c>
      <c r="Y24" s="2074">
        <v>0</v>
      </c>
      <c r="Z24" s="2065"/>
      <c r="AA24" s="1884">
        <f>11000+11000</f>
        <v>22000</v>
      </c>
      <c r="AB24" s="1887"/>
      <c r="AC24" s="1888">
        <f t="shared" si="12"/>
        <v>22000</v>
      </c>
      <c r="AD24" s="1923">
        <f t="shared" si="17"/>
        <v>0.32983337578149408</v>
      </c>
      <c r="AE24" s="1886" t="s">
        <v>1545</v>
      </c>
      <c r="AF24" s="1033"/>
      <c r="AG24" s="1188"/>
      <c r="AH24" s="1031">
        <f t="shared" si="13"/>
        <v>0</v>
      </c>
      <c r="AI24" s="1245" t="e">
        <f t="shared" si="2"/>
        <v>#DIV/0!</v>
      </c>
      <c r="AJ24" s="1030"/>
      <c r="AK24" s="1033"/>
      <c r="AL24" s="1188"/>
      <c r="AM24" s="1031">
        <f t="shared" si="14"/>
        <v>0</v>
      </c>
      <c r="AN24" s="1245" t="e">
        <f t="shared" si="3"/>
        <v>#DIV/0!</v>
      </c>
      <c r="AO24" s="1030"/>
      <c r="AP24" s="1033"/>
      <c r="AQ24" s="1188"/>
      <c r="AR24" s="1031">
        <f t="shared" si="15"/>
        <v>0</v>
      </c>
      <c r="AS24" s="1245" t="e">
        <f t="shared" si="4"/>
        <v>#DIV/0!</v>
      </c>
      <c r="AT24" s="1030"/>
      <c r="AU24" s="1033"/>
      <c r="AV24" s="1188"/>
      <c r="AW24" s="1031">
        <f t="shared" si="16"/>
        <v>0</v>
      </c>
      <c r="AX24" s="1245" t="e">
        <f t="shared" si="5"/>
        <v>#DIV/0!</v>
      </c>
      <c r="AY24" s="1030"/>
      <c r="AZ24" s="2067">
        <f t="shared" si="6"/>
        <v>22000</v>
      </c>
      <c r="BA24" s="2067">
        <f t="shared" si="7"/>
        <v>0</v>
      </c>
      <c r="BB24" s="1031">
        <f t="shared" si="8"/>
        <v>22000</v>
      </c>
      <c r="BC24" s="1245">
        <f t="shared" si="9"/>
        <v>7.3130428734208466E-3</v>
      </c>
      <c r="BD24" s="1053"/>
    </row>
    <row r="25" spans="1:57" s="2" customFormat="1" ht="45.6" customHeight="1" x14ac:dyDescent="0.25">
      <c r="A25" s="238"/>
      <c r="B25" s="1270" t="s">
        <v>24</v>
      </c>
      <c r="C25" s="1111"/>
      <c r="D25" s="1242"/>
      <c r="E25" s="1190">
        <f t="shared" si="10"/>
        <v>0</v>
      </c>
      <c r="F25" s="1049" t="e">
        <f t="shared" si="0"/>
        <v>#DIV/0!</v>
      </c>
      <c r="G25" s="1034"/>
      <c r="H25" s="1033"/>
      <c r="I25" s="1050">
        <f t="shared" si="11"/>
        <v>0</v>
      </c>
      <c r="J25" s="1279" t="e">
        <f t="shared" si="18"/>
        <v>#DIV/0!</v>
      </c>
      <c r="K25" s="1030"/>
      <c r="L25" s="2068"/>
      <c r="M25" s="2067">
        <v>3736</v>
      </c>
      <c r="N25" s="2061">
        <v>3736</v>
      </c>
      <c r="O25" s="2060">
        <v>7.0009741009108345E-3</v>
      </c>
      <c r="P25" s="2062" t="s">
        <v>1228</v>
      </c>
      <c r="Q25" s="2067">
        <v>25027.5</v>
      </c>
      <c r="R25" s="2059">
        <v>2055</v>
      </c>
      <c r="S25" s="2061">
        <v>27082.5</v>
      </c>
      <c r="T25" s="2060">
        <v>1.7503217755797336E-2</v>
      </c>
      <c r="U25" s="2062" t="s">
        <v>1373</v>
      </c>
      <c r="V25" s="2072"/>
      <c r="W25" s="2066">
        <v>503</v>
      </c>
      <c r="X25" s="2073">
        <v>503</v>
      </c>
      <c r="Y25" s="2074">
        <v>7.6200740960584922E-4</v>
      </c>
      <c r="Z25" s="2071" t="s">
        <v>1429</v>
      </c>
      <c r="AA25" s="1659"/>
      <c r="AB25" s="1447"/>
      <c r="AC25" s="1567">
        <f t="shared" si="12"/>
        <v>0</v>
      </c>
      <c r="AD25" s="1893">
        <f t="shared" si="17"/>
        <v>0</v>
      </c>
      <c r="AE25" s="1605"/>
      <c r="AF25" s="1033"/>
      <c r="AG25" s="1188"/>
      <c r="AH25" s="1031">
        <f t="shared" si="13"/>
        <v>0</v>
      </c>
      <c r="AI25" s="1245" t="e">
        <f t="shared" si="2"/>
        <v>#DIV/0!</v>
      </c>
      <c r="AJ25" s="1030"/>
      <c r="AK25" s="1033"/>
      <c r="AL25" s="1188"/>
      <c r="AM25" s="1031">
        <f t="shared" si="14"/>
        <v>0</v>
      </c>
      <c r="AN25" s="1245" t="e">
        <f t="shared" si="3"/>
        <v>#DIV/0!</v>
      </c>
      <c r="AO25" s="1030"/>
      <c r="AP25" s="1033"/>
      <c r="AQ25" s="1188"/>
      <c r="AR25" s="1031">
        <f t="shared" si="15"/>
        <v>0</v>
      </c>
      <c r="AS25" s="1245" t="e">
        <f t="shared" si="4"/>
        <v>#DIV/0!</v>
      </c>
      <c r="AT25" s="1030"/>
      <c r="AU25" s="1033"/>
      <c r="AV25" s="1188"/>
      <c r="AW25" s="1031">
        <f t="shared" si="16"/>
        <v>0</v>
      </c>
      <c r="AX25" s="1245" t="e">
        <f t="shared" si="5"/>
        <v>#DIV/0!</v>
      </c>
      <c r="AY25" s="1030"/>
      <c r="AZ25" s="2067">
        <f t="shared" si="6"/>
        <v>25027.5</v>
      </c>
      <c r="BA25" s="2067">
        <f t="shared" si="7"/>
        <v>6294</v>
      </c>
      <c r="BB25" s="1031">
        <f t="shared" si="8"/>
        <v>31321.5</v>
      </c>
      <c r="BC25" s="1245">
        <f t="shared" si="9"/>
        <v>1.0411612379993228E-2</v>
      </c>
      <c r="BD25" s="1053"/>
    </row>
    <row r="26" spans="1:57" s="2" customFormat="1" ht="34.200000000000003" customHeight="1" x14ac:dyDescent="0.25">
      <c r="A26" s="238"/>
      <c r="B26" s="1270" t="s">
        <v>45</v>
      </c>
      <c r="C26" s="1111"/>
      <c r="D26" s="1242"/>
      <c r="E26" s="1190">
        <f t="shared" si="10"/>
        <v>0</v>
      </c>
      <c r="F26" s="1049" t="e">
        <f t="shared" si="0"/>
        <v>#DIV/0!</v>
      </c>
      <c r="G26" s="1034"/>
      <c r="H26" s="1033"/>
      <c r="I26" s="1050">
        <f t="shared" si="11"/>
        <v>0</v>
      </c>
      <c r="J26" s="1279" t="e">
        <f t="shared" si="18"/>
        <v>#DIV/0!</v>
      </c>
      <c r="K26" s="1051"/>
      <c r="L26" s="1761"/>
      <c r="M26" s="1659"/>
      <c r="N26" s="1567">
        <f t="shared" ref="N26:N33" si="19">L26+M26*1</f>
        <v>0</v>
      </c>
      <c r="O26" s="1893">
        <f t="shared" ref="O26:O33" si="20">N26/$N$89</f>
        <v>0</v>
      </c>
      <c r="P26" s="1605"/>
      <c r="Q26" s="1895">
        <v>1472673.0119999999</v>
      </c>
      <c r="R26" s="1447"/>
      <c r="S26" s="1567">
        <f t="shared" ref="S26:S33" si="21">Q26+R26*1</f>
        <v>1472673.0119999999</v>
      </c>
      <c r="T26" s="1893">
        <f t="shared" ref="T26:T31" si="22">S26/$S$89</f>
        <v>0.84346379009582173</v>
      </c>
      <c r="U26" s="1777" t="s">
        <v>1374</v>
      </c>
      <c r="V26" s="1882">
        <v>495580.11600000004</v>
      </c>
      <c r="W26" s="1640"/>
      <c r="X26" s="1791">
        <f t="shared" ref="X26:X33" si="23">V26+W26*1</f>
        <v>495580.11600000004</v>
      </c>
      <c r="Y26" s="1894">
        <f t="shared" ref="Y26:Y33" si="24">X26/$X$89</f>
        <v>0.74860953325031465</v>
      </c>
      <c r="Z26" s="1619" t="s">
        <v>1387</v>
      </c>
      <c r="AA26" s="1884">
        <f>31674.12*1.2</f>
        <v>38008.943999999996</v>
      </c>
      <c r="AB26" s="1887"/>
      <c r="AC26" s="1888">
        <f t="shared" si="12"/>
        <v>38008.943999999996</v>
      </c>
      <c r="AD26" s="1923">
        <f t="shared" si="17"/>
        <v>0.56984628679135285</v>
      </c>
      <c r="AE26" s="1924" t="s">
        <v>1546</v>
      </c>
      <c r="AF26" s="1033"/>
      <c r="AG26" s="1188"/>
      <c r="AH26" s="1031">
        <f t="shared" si="13"/>
        <v>0</v>
      </c>
      <c r="AI26" s="1245" t="e">
        <f t="shared" si="2"/>
        <v>#DIV/0!</v>
      </c>
      <c r="AJ26" s="1051"/>
      <c r="AK26" s="1033"/>
      <c r="AL26" s="1188"/>
      <c r="AM26" s="1031">
        <f t="shared" si="14"/>
        <v>0</v>
      </c>
      <c r="AN26" s="1245" t="e">
        <f t="shared" si="3"/>
        <v>#DIV/0!</v>
      </c>
      <c r="AO26" s="1051"/>
      <c r="AP26" s="1033"/>
      <c r="AQ26" s="1188"/>
      <c r="AR26" s="1031">
        <f t="shared" si="15"/>
        <v>0</v>
      </c>
      <c r="AS26" s="1245" t="e">
        <f t="shared" si="4"/>
        <v>#DIV/0!</v>
      </c>
      <c r="AT26" s="1051"/>
      <c r="AU26" s="1033"/>
      <c r="AV26" s="1188"/>
      <c r="AW26" s="1031">
        <f t="shared" si="16"/>
        <v>0</v>
      </c>
      <c r="AX26" s="1245" t="e">
        <f t="shared" si="5"/>
        <v>#DIV/0!</v>
      </c>
      <c r="AY26" s="1051"/>
      <c r="AZ26" s="2067">
        <f t="shared" si="6"/>
        <v>2006262.0719999999</v>
      </c>
      <c r="BA26" s="2067">
        <f t="shared" si="7"/>
        <v>0</v>
      </c>
      <c r="BB26" s="1031">
        <f t="shared" si="8"/>
        <v>2006262.0719999999</v>
      </c>
      <c r="BC26" s="1245">
        <f t="shared" si="9"/>
        <v>0.66690366126609735</v>
      </c>
      <c r="BD26" s="1053"/>
    </row>
    <row r="27" spans="1:57" s="2" customFormat="1" ht="18" customHeight="1" x14ac:dyDescent="0.25">
      <c r="A27" s="238"/>
      <c r="B27" s="1270" t="s">
        <v>25</v>
      </c>
      <c r="C27" s="1111"/>
      <c r="D27" s="1242"/>
      <c r="E27" s="1190">
        <f t="shared" si="10"/>
        <v>0</v>
      </c>
      <c r="F27" s="1049" t="e">
        <f t="shared" si="0"/>
        <v>#DIV/0!</v>
      </c>
      <c r="G27" s="1034"/>
      <c r="H27" s="1033"/>
      <c r="I27" s="1050">
        <f t="shared" si="11"/>
        <v>0</v>
      </c>
      <c r="J27" s="1279" t="e">
        <f t="shared" si="18"/>
        <v>#DIV/0!</v>
      </c>
      <c r="K27" s="1030"/>
      <c r="L27" s="1761"/>
      <c r="M27" s="1659"/>
      <c r="N27" s="1567">
        <f t="shared" si="19"/>
        <v>0</v>
      </c>
      <c r="O27" s="1893">
        <f t="shared" si="20"/>
        <v>0</v>
      </c>
      <c r="P27" s="1605"/>
      <c r="Q27" s="1659"/>
      <c r="R27" s="1447">
        <v>982</v>
      </c>
      <c r="S27" s="1567">
        <f t="shared" si="21"/>
        <v>982</v>
      </c>
      <c r="T27" s="1893">
        <f t="shared" si="22"/>
        <v>5.6243404688270139E-4</v>
      </c>
      <c r="U27" s="1605" t="s">
        <v>1375</v>
      </c>
      <c r="V27" s="1787"/>
      <c r="W27" s="1640"/>
      <c r="X27" s="1791">
        <f t="shared" si="23"/>
        <v>0</v>
      </c>
      <c r="Y27" s="1894">
        <f t="shared" si="24"/>
        <v>0</v>
      </c>
      <c r="Z27" s="1741"/>
      <c r="AA27" s="1659"/>
      <c r="AB27" s="1447"/>
      <c r="AC27" s="1567">
        <f t="shared" si="12"/>
        <v>0</v>
      </c>
      <c r="AD27" s="1893">
        <f t="shared" si="17"/>
        <v>0</v>
      </c>
      <c r="AE27" s="1605"/>
      <c r="AF27" s="1033"/>
      <c r="AG27" s="1188"/>
      <c r="AH27" s="1031">
        <f t="shared" si="13"/>
        <v>0</v>
      </c>
      <c r="AI27" s="1245" t="e">
        <f t="shared" si="2"/>
        <v>#DIV/0!</v>
      </c>
      <c r="AJ27" s="1030"/>
      <c r="AK27" s="1033"/>
      <c r="AL27" s="1188"/>
      <c r="AM27" s="1031">
        <f t="shared" si="14"/>
        <v>0</v>
      </c>
      <c r="AN27" s="1245" t="e">
        <f t="shared" si="3"/>
        <v>#DIV/0!</v>
      </c>
      <c r="AO27" s="1030"/>
      <c r="AP27" s="1033"/>
      <c r="AQ27" s="1188"/>
      <c r="AR27" s="1031">
        <f t="shared" si="15"/>
        <v>0</v>
      </c>
      <c r="AS27" s="1245" t="e">
        <f t="shared" si="4"/>
        <v>#DIV/0!</v>
      </c>
      <c r="AT27" s="1030"/>
      <c r="AU27" s="1033"/>
      <c r="AV27" s="1188"/>
      <c r="AW27" s="1031">
        <f t="shared" si="16"/>
        <v>0</v>
      </c>
      <c r="AX27" s="1245" t="e">
        <f t="shared" si="5"/>
        <v>#DIV/0!</v>
      </c>
      <c r="AY27" s="1030"/>
      <c r="AZ27" s="2067">
        <f t="shared" si="6"/>
        <v>0</v>
      </c>
      <c r="BA27" s="2067">
        <f t="shared" si="7"/>
        <v>982</v>
      </c>
      <c r="BB27" s="1031">
        <f t="shared" si="8"/>
        <v>982</v>
      </c>
      <c r="BC27" s="1245">
        <f t="shared" si="9"/>
        <v>3.2642764098633054E-4</v>
      </c>
      <c r="BD27" s="1053"/>
    </row>
    <row r="28" spans="1:57" s="2" customFormat="1" ht="18" customHeight="1" x14ac:dyDescent="0.25">
      <c r="A28" s="238"/>
      <c r="B28" s="1270" t="s">
        <v>52</v>
      </c>
      <c r="C28" s="1111"/>
      <c r="D28" s="1242"/>
      <c r="E28" s="1190">
        <f t="shared" si="10"/>
        <v>0</v>
      </c>
      <c r="F28" s="1049" t="e">
        <f t="shared" si="0"/>
        <v>#DIV/0!</v>
      </c>
      <c r="G28" s="1034"/>
      <c r="H28" s="1033"/>
      <c r="I28" s="1050">
        <f t="shared" si="11"/>
        <v>0</v>
      </c>
      <c r="J28" s="1279" t="e">
        <f t="shared" si="18"/>
        <v>#DIV/0!</v>
      </c>
      <c r="K28" s="1030"/>
      <c r="L28" s="1761"/>
      <c r="M28" s="1659">
        <v>1000</v>
      </c>
      <c r="N28" s="1567">
        <f t="shared" si="19"/>
        <v>1000</v>
      </c>
      <c r="O28" s="1893">
        <f t="shared" si="20"/>
        <v>1.8739224038840563E-3</v>
      </c>
      <c r="P28" s="1605" t="s">
        <v>1225</v>
      </c>
      <c r="Q28" s="1659"/>
      <c r="R28" s="1447"/>
      <c r="S28" s="1567">
        <f t="shared" si="21"/>
        <v>0</v>
      </c>
      <c r="T28" s="1893">
        <f t="shared" si="22"/>
        <v>0</v>
      </c>
      <c r="U28" s="1605"/>
      <c r="V28" s="1787"/>
      <c r="W28" s="1640"/>
      <c r="X28" s="1791">
        <f t="shared" si="23"/>
        <v>0</v>
      </c>
      <c r="Y28" s="1894">
        <f t="shared" si="24"/>
        <v>0</v>
      </c>
      <c r="Z28" s="1741"/>
      <c r="AA28" s="1659"/>
      <c r="AB28" s="1447"/>
      <c r="AC28" s="1567">
        <f t="shared" si="12"/>
        <v>0</v>
      </c>
      <c r="AD28" s="1893">
        <f t="shared" si="17"/>
        <v>0</v>
      </c>
      <c r="AE28" s="1605"/>
      <c r="AF28" s="1033"/>
      <c r="AG28" s="1188"/>
      <c r="AH28" s="1031">
        <f t="shared" si="13"/>
        <v>0</v>
      </c>
      <c r="AI28" s="1245" t="e">
        <f t="shared" si="2"/>
        <v>#DIV/0!</v>
      </c>
      <c r="AJ28" s="1030"/>
      <c r="AK28" s="1033"/>
      <c r="AL28" s="1188"/>
      <c r="AM28" s="1031">
        <f t="shared" si="14"/>
        <v>0</v>
      </c>
      <c r="AN28" s="1245" t="e">
        <f t="shared" si="3"/>
        <v>#DIV/0!</v>
      </c>
      <c r="AO28" s="1030"/>
      <c r="AP28" s="1033"/>
      <c r="AQ28" s="1188"/>
      <c r="AR28" s="1031">
        <f t="shared" si="15"/>
        <v>0</v>
      </c>
      <c r="AS28" s="1245" t="e">
        <f t="shared" si="4"/>
        <v>#DIV/0!</v>
      </c>
      <c r="AT28" s="1030"/>
      <c r="AU28" s="1033"/>
      <c r="AV28" s="1188"/>
      <c r="AW28" s="1031">
        <f t="shared" si="16"/>
        <v>0</v>
      </c>
      <c r="AX28" s="1245" t="e">
        <f t="shared" si="5"/>
        <v>#DIV/0!</v>
      </c>
      <c r="AY28" s="1030"/>
      <c r="AZ28" s="2067">
        <f t="shared" si="6"/>
        <v>0</v>
      </c>
      <c r="BA28" s="2067">
        <f t="shared" si="7"/>
        <v>1000</v>
      </c>
      <c r="BB28" s="1031">
        <f>AZ28+BA28*1</f>
        <v>1000</v>
      </c>
      <c r="BC28" s="1245">
        <f t="shared" si="9"/>
        <v>3.3241103970094757E-4</v>
      </c>
      <c r="BD28" s="1053"/>
      <c r="BE28" s="685"/>
    </row>
    <row r="29" spans="1:57" s="2" customFormat="1" ht="24" customHeight="1" x14ac:dyDescent="0.25">
      <c r="A29" s="238"/>
      <c r="B29" s="1270" t="s">
        <v>31</v>
      </c>
      <c r="C29" s="1111"/>
      <c r="D29" s="1242"/>
      <c r="E29" s="1190">
        <f t="shared" si="10"/>
        <v>0</v>
      </c>
      <c r="F29" s="1245" t="e">
        <f t="shared" si="0"/>
        <v>#DIV/0!</v>
      </c>
      <c r="G29" s="1034"/>
      <c r="H29" s="1033"/>
      <c r="I29" s="1050">
        <f t="shared" si="11"/>
        <v>0</v>
      </c>
      <c r="J29" s="1279" t="e">
        <f>I29/$I$89</f>
        <v>#DIV/0!</v>
      </c>
      <c r="K29" s="1030"/>
      <c r="L29" s="1761">
        <v>3380</v>
      </c>
      <c r="M29" s="1659"/>
      <c r="N29" s="1567">
        <f t="shared" si="19"/>
        <v>3380</v>
      </c>
      <c r="O29" s="1893">
        <f t="shared" si="20"/>
        <v>6.3338577251281104E-3</v>
      </c>
      <c r="P29" s="1605" t="s">
        <v>1235</v>
      </c>
      <c r="Q29" s="1778">
        <f>6700*1.2</f>
        <v>8040</v>
      </c>
      <c r="R29" s="1447">
        <v>24570</v>
      </c>
      <c r="S29" s="1567">
        <f t="shared" si="21"/>
        <v>32610</v>
      </c>
      <c r="T29" s="1893">
        <f t="shared" si="22"/>
        <v>1.8677163206563027E-2</v>
      </c>
      <c r="U29" s="1605" t="s">
        <v>1376</v>
      </c>
      <c r="V29" s="1787">
        <f>1820*1.2</f>
        <v>2184</v>
      </c>
      <c r="W29" s="1640"/>
      <c r="X29" s="1791">
        <f t="shared" si="23"/>
        <v>2184</v>
      </c>
      <c r="Y29" s="1894">
        <f t="shared" si="24"/>
        <v>3.2990896281615283E-3</v>
      </c>
      <c r="Z29" s="1741" t="s">
        <v>1430</v>
      </c>
      <c r="AA29" s="1659"/>
      <c r="AB29" s="1447"/>
      <c r="AC29" s="1567">
        <f t="shared" si="12"/>
        <v>0</v>
      </c>
      <c r="AD29" s="1893">
        <f t="shared" si="17"/>
        <v>0</v>
      </c>
      <c r="AE29" s="1605"/>
      <c r="AF29" s="1033"/>
      <c r="AG29" s="1188"/>
      <c r="AH29" s="1031">
        <f t="shared" si="13"/>
        <v>0</v>
      </c>
      <c r="AI29" s="1245" t="e">
        <f t="shared" si="2"/>
        <v>#DIV/0!</v>
      </c>
      <c r="AJ29" s="1030"/>
      <c r="AK29" s="1033"/>
      <c r="AL29" s="1188"/>
      <c r="AM29" s="1031">
        <f t="shared" si="14"/>
        <v>0</v>
      </c>
      <c r="AN29" s="1245" t="e">
        <f t="shared" si="3"/>
        <v>#DIV/0!</v>
      </c>
      <c r="AO29" s="1030"/>
      <c r="AP29" s="1033"/>
      <c r="AQ29" s="1188"/>
      <c r="AR29" s="1031">
        <f t="shared" si="15"/>
        <v>0</v>
      </c>
      <c r="AS29" s="1245" t="e">
        <f t="shared" si="4"/>
        <v>#DIV/0!</v>
      </c>
      <c r="AT29" s="1030"/>
      <c r="AU29" s="1033"/>
      <c r="AV29" s="1188"/>
      <c r="AW29" s="1031">
        <f t="shared" si="16"/>
        <v>0</v>
      </c>
      <c r="AX29" s="1245" t="e">
        <f t="shared" si="5"/>
        <v>#DIV/0!</v>
      </c>
      <c r="AY29" s="1030"/>
      <c r="AZ29" s="2067">
        <f t="shared" si="6"/>
        <v>13604</v>
      </c>
      <c r="BA29" s="2067">
        <f t="shared" si="7"/>
        <v>24570</v>
      </c>
      <c r="BB29" s="1031">
        <f t="shared" si="8"/>
        <v>38174</v>
      </c>
      <c r="BC29" s="1245">
        <f t="shared" si="9"/>
        <v>1.2689459029543973E-2</v>
      </c>
      <c r="BD29" s="1246"/>
    </row>
    <row r="30" spans="1:57" s="2" customFormat="1" ht="29.4" customHeight="1" x14ac:dyDescent="0.25">
      <c r="A30" s="238"/>
      <c r="B30" s="1270" t="s">
        <v>62</v>
      </c>
      <c r="C30" s="1111"/>
      <c r="D30" s="1242"/>
      <c r="E30" s="1190">
        <f t="shared" si="10"/>
        <v>0</v>
      </c>
      <c r="F30" s="1245" t="e">
        <f t="shared" si="0"/>
        <v>#DIV/0!</v>
      </c>
      <c r="G30" s="1034"/>
      <c r="H30" s="1033"/>
      <c r="I30" s="1050">
        <f t="shared" si="11"/>
        <v>0</v>
      </c>
      <c r="J30" s="1279" t="e">
        <f t="shared" si="18"/>
        <v>#DIV/0!</v>
      </c>
      <c r="K30" s="1030"/>
      <c r="L30" s="1761"/>
      <c r="M30" s="1659">
        <f>22860+350-700</f>
        <v>22510</v>
      </c>
      <c r="N30" s="1567">
        <f t="shared" si="19"/>
        <v>22510</v>
      </c>
      <c r="O30" s="1893">
        <f t="shared" si="20"/>
        <v>4.2181993311430105E-2</v>
      </c>
      <c r="P30" s="1605" t="s">
        <v>1232</v>
      </c>
      <c r="Q30" s="1659"/>
      <c r="R30" s="1447"/>
      <c r="S30" s="1567">
        <f t="shared" si="21"/>
        <v>0</v>
      </c>
      <c r="T30" s="1893">
        <f t="shared" si="22"/>
        <v>0</v>
      </c>
      <c r="U30" s="1605"/>
      <c r="V30" s="1787"/>
      <c r="W30" s="1640">
        <v>3600</v>
      </c>
      <c r="X30" s="1791">
        <f t="shared" si="23"/>
        <v>3600</v>
      </c>
      <c r="Y30" s="1894">
        <f t="shared" si="24"/>
        <v>5.4380598266398818E-3</v>
      </c>
      <c r="Z30" s="1741" t="s">
        <v>1431</v>
      </c>
      <c r="AA30" s="1659"/>
      <c r="AB30" s="1884">
        <f>3500+890+1500</f>
        <v>5890</v>
      </c>
      <c r="AC30" s="1567">
        <f t="shared" si="12"/>
        <v>5890</v>
      </c>
      <c r="AD30" s="1893">
        <f t="shared" si="17"/>
        <v>8.8305390152409083E-2</v>
      </c>
      <c r="AE30" s="1605" t="s">
        <v>1547</v>
      </c>
      <c r="AF30" s="1033"/>
      <c r="AG30" s="1041"/>
      <c r="AH30" s="1031">
        <f t="shared" si="13"/>
        <v>0</v>
      </c>
      <c r="AI30" s="1245" t="e">
        <f t="shared" si="2"/>
        <v>#DIV/0!</v>
      </c>
      <c r="AJ30" s="1030"/>
      <c r="AK30" s="1033"/>
      <c r="AL30" s="1188"/>
      <c r="AM30" s="1031">
        <f t="shared" si="14"/>
        <v>0</v>
      </c>
      <c r="AN30" s="1245" t="e">
        <f t="shared" si="3"/>
        <v>#DIV/0!</v>
      </c>
      <c r="AO30" s="1030"/>
      <c r="AP30" s="1033"/>
      <c r="AQ30" s="1188"/>
      <c r="AR30" s="1031">
        <f t="shared" si="15"/>
        <v>0</v>
      </c>
      <c r="AS30" s="1245" t="e">
        <f t="shared" si="4"/>
        <v>#DIV/0!</v>
      </c>
      <c r="AT30" s="1030"/>
      <c r="AU30" s="1033"/>
      <c r="AV30" s="1188"/>
      <c r="AW30" s="1031">
        <f t="shared" si="16"/>
        <v>0</v>
      </c>
      <c r="AX30" s="1245" t="e">
        <f t="shared" si="5"/>
        <v>#DIV/0!</v>
      </c>
      <c r="AY30" s="1030"/>
      <c r="AZ30" s="2067">
        <f t="shared" si="6"/>
        <v>0</v>
      </c>
      <c r="BA30" s="2067">
        <f t="shared" si="7"/>
        <v>32000</v>
      </c>
      <c r="BB30" s="1031">
        <f t="shared" si="8"/>
        <v>32000</v>
      </c>
      <c r="BC30" s="1245">
        <f t="shared" si="9"/>
        <v>1.0637153270430322E-2</v>
      </c>
      <c r="BD30" s="1246"/>
    </row>
    <row r="31" spans="1:57" s="2" customFormat="1" ht="35.4" customHeight="1" x14ac:dyDescent="0.25">
      <c r="A31" s="238"/>
      <c r="B31" s="1270" t="s">
        <v>34</v>
      </c>
      <c r="C31" s="1111"/>
      <c r="D31" s="1242"/>
      <c r="E31" s="1190">
        <f t="shared" si="10"/>
        <v>0</v>
      </c>
      <c r="F31" s="1245" t="e">
        <f t="shared" si="0"/>
        <v>#DIV/0!</v>
      </c>
      <c r="G31" s="1034"/>
      <c r="H31" s="1033"/>
      <c r="I31" s="1050">
        <f t="shared" si="11"/>
        <v>0</v>
      </c>
      <c r="J31" s="1279" t="e">
        <f t="shared" si="18"/>
        <v>#DIV/0!</v>
      </c>
      <c r="K31" s="1030"/>
      <c r="L31" s="1761">
        <v>5320</v>
      </c>
      <c r="M31" s="1659">
        <f>4015+532</f>
        <v>4547</v>
      </c>
      <c r="N31" s="1567">
        <f t="shared" si="19"/>
        <v>9867</v>
      </c>
      <c r="O31" s="1893">
        <f t="shared" si="20"/>
        <v>1.8489992359123984E-2</v>
      </c>
      <c r="P31" s="1605" t="s">
        <v>1233</v>
      </c>
      <c r="Q31" s="1659"/>
      <c r="R31" s="1447"/>
      <c r="S31" s="1567">
        <f t="shared" si="21"/>
        <v>0</v>
      </c>
      <c r="T31" s="1893">
        <f t="shared" si="22"/>
        <v>0</v>
      </c>
      <c r="U31" s="1605"/>
      <c r="V31" s="1787"/>
      <c r="W31" s="1640">
        <v>5500</v>
      </c>
      <c r="X31" s="1791">
        <f t="shared" si="23"/>
        <v>5500</v>
      </c>
      <c r="Y31" s="1894">
        <f t="shared" si="24"/>
        <v>8.3081469573664853E-3</v>
      </c>
      <c r="Z31" s="1741" t="s">
        <v>1432</v>
      </c>
      <c r="AA31" s="1659"/>
      <c r="AB31" s="1447"/>
      <c r="AC31" s="1567">
        <f t="shared" si="12"/>
        <v>0</v>
      </c>
      <c r="AD31" s="1893">
        <f t="shared" si="17"/>
        <v>0</v>
      </c>
      <c r="AE31" s="1605"/>
      <c r="AF31" s="1033"/>
      <c r="AG31" s="1188"/>
      <c r="AH31" s="1031">
        <f t="shared" si="13"/>
        <v>0</v>
      </c>
      <c r="AI31" s="1245" t="e">
        <f t="shared" si="2"/>
        <v>#DIV/0!</v>
      </c>
      <c r="AJ31" s="1030"/>
      <c r="AK31" s="1033"/>
      <c r="AL31" s="1188"/>
      <c r="AM31" s="1031">
        <f t="shared" si="14"/>
        <v>0</v>
      </c>
      <c r="AN31" s="1245" t="e">
        <f t="shared" si="3"/>
        <v>#DIV/0!</v>
      </c>
      <c r="AO31" s="1030"/>
      <c r="AP31" s="1033"/>
      <c r="AQ31" s="1188"/>
      <c r="AR31" s="1031">
        <f t="shared" si="15"/>
        <v>0</v>
      </c>
      <c r="AS31" s="1245" t="e">
        <f t="shared" si="4"/>
        <v>#DIV/0!</v>
      </c>
      <c r="AT31" s="1030"/>
      <c r="AU31" s="1033"/>
      <c r="AV31" s="1188"/>
      <c r="AW31" s="1031">
        <f t="shared" si="16"/>
        <v>0</v>
      </c>
      <c r="AX31" s="1245" t="e">
        <f t="shared" si="5"/>
        <v>#DIV/0!</v>
      </c>
      <c r="AY31" s="1030"/>
      <c r="AZ31" s="2067">
        <f t="shared" si="6"/>
        <v>5320</v>
      </c>
      <c r="BA31" s="2067">
        <f t="shared" si="7"/>
        <v>10047</v>
      </c>
      <c r="BB31" s="1031">
        <f t="shared" si="8"/>
        <v>15367</v>
      </c>
      <c r="BC31" s="1245">
        <f t="shared" si="9"/>
        <v>5.1081604470844611E-3</v>
      </c>
      <c r="BD31" s="1246"/>
    </row>
    <row r="32" spans="1:57" s="2" customFormat="1" ht="14.4" customHeight="1" x14ac:dyDescent="0.25">
      <c r="A32" s="238"/>
      <c r="B32" s="1112" t="s">
        <v>2</v>
      </c>
      <c r="C32" s="1126"/>
      <c r="D32" s="1113"/>
      <c r="E32" s="1190">
        <f t="shared" si="10"/>
        <v>0</v>
      </c>
      <c r="F32" s="1245" t="e">
        <f t="shared" si="0"/>
        <v>#DIV/0!</v>
      </c>
      <c r="G32" s="1034"/>
      <c r="H32" s="1033"/>
      <c r="I32" s="1050">
        <f t="shared" si="11"/>
        <v>0</v>
      </c>
      <c r="J32" s="1279" t="e">
        <f t="shared" si="18"/>
        <v>#DIV/0!</v>
      </c>
      <c r="K32" s="1030"/>
      <c r="L32" s="1761"/>
      <c r="M32" s="1659"/>
      <c r="N32" s="1567">
        <f t="shared" si="19"/>
        <v>0</v>
      </c>
      <c r="O32" s="1893">
        <f t="shared" si="20"/>
        <v>0</v>
      </c>
      <c r="P32" s="1605"/>
      <c r="Q32" s="1659"/>
      <c r="R32" s="1447"/>
      <c r="S32" s="1567">
        <f t="shared" si="21"/>
        <v>0</v>
      </c>
      <c r="T32" s="1893"/>
      <c r="U32" s="1605"/>
      <c r="V32" s="1787"/>
      <c r="W32" s="1640"/>
      <c r="X32" s="1791">
        <f t="shared" si="23"/>
        <v>0</v>
      </c>
      <c r="Y32" s="1894">
        <f t="shared" si="24"/>
        <v>0</v>
      </c>
      <c r="Z32" s="1741"/>
      <c r="AA32" s="1659"/>
      <c r="AB32" s="1447"/>
      <c r="AC32" s="1567">
        <f t="shared" si="12"/>
        <v>0</v>
      </c>
      <c r="AD32" s="1893">
        <f t="shared" si="17"/>
        <v>0</v>
      </c>
      <c r="AE32" s="1605"/>
      <c r="AF32" s="1033"/>
      <c r="AG32" s="1188"/>
      <c r="AH32" s="1031">
        <f t="shared" si="13"/>
        <v>0</v>
      </c>
      <c r="AI32" s="1245" t="e">
        <f t="shared" si="2"/>
        <v>#DIV/0!</v>
      </c>
      <c r="AJ32" s="1030"/>
      <c r="AK32" s="1033"/>
      <c r="AL32" s="1188"/>
      <c r="AM32" s="1031">
        <f t="shared" si="14"/>
        <v>0</v>
      </c>
      <c r="AN32" s="1245" t="e">
        <f t="shared" si="3"/>
        <v>#DIV/0!</v>
      </c>
      <c r="AO32" s="1030"/>
      <c r="AP32" s="1033"/>
      <c r="AQ32" s="1188"/>
      <c r="AR32" s="1031">
        <f t="shared" si="15"/>
        <v>0</v>
      </c>
      <c r="AS32" s="1245" t="e">
        <f t="shared" si="4"/>
        <v>#DIV/0!</v>
      </c>
      <c r="AT32" s="1030"/>
      <c r="AU32" s="1033"/>
      <c r="AV32" s="1188"/>
      <c r="AW32" s="1031">
        <f t="shared" si="16"/>
        <v>0</v>
      </c>
      <c r="AX32" s="1245" t="e">
        <f t="shared" si="5"/>
        <v>#DIV/0!</v>
      </c>
      <c r="AY32" s="1030"/>
      <c r="AZ32" s="2067">
        <f t="shared" si="6"/>
        <v>0</v>
      </c>
      <c r="BA32" s="2067">
        <f t="shared" si="7"/>
        <v>0</v>
      </c>
      <c r="BB32" s="1031">
        <f t="shared" si="8"/>
        <v>0</v>
      </c>
      <c r="BC32" s="1245">
        <f t="shared" si="9"/>
        <v>0</v>
      </c>
      <c r="BD32" s="1246"/>
    </row>
    <row r="33" spans="1:56" s="2" customFormat="1" ht="34.950000000000003" customHeight="1" thickBot="1" x14ac:dyDescent="0.3">
      <c r="A33" s="238"/>
      <c r="B33" s="1078" t="s">
        <v>75</v>
      </c>
      <c r="C33" s="1114"/>
      <c r="D33" s="1211"/>
      <c r="E33" s="507">
        <f>C33+D33*1.15</f>
        <v>0</v>
      </c>
      <c r="F33" s="1175" t="e">
        <f t="shared" si="0"/>
        <v>#DIV/0!</v>
      </c>
      <c r="G33" s="937"/>
      <c r="H33" s="600"/>
      <c r="I33" s="594">
        <f t="shared" si="11"/>
        <v>0</v>
      </c>
      <c r="J33" s="1054" t="e">
        <f t="shared" si="18"/>
        <v>#DIV/0!</v>
      </c>
      <c r="K33" s="1191"/>
      <c r="L33" s="1755"/>
      <c r="M33" s="1661"/>
      <c r="N33" s="1645">
        <f t="shared" si="19"/>
        <v>0</v>
      </c>
      <c r="O33" s="1565">
        <f t="shared" si="20"/>
        <v>0</v>
      </c>
      <c r="P33" s="1240"/>
      <c r="Q33" s="1661"/>
      <c r="R33" s="1644"/>
      <c r="S33" s="1645">
        <f t="shared" si="21"/>
        <v>0</v>
      </c>
      <c r="T33" s="1565"/>
      <c r="U33" s="1240"/>
      <c r="V33" s="1793"/>
      <c r="W33" s="1925">
        <v>3500</v>
      </c>
      <c r="X33" s="1794">
        <f t="shared" si="23"/>
        <v>3500</v>
      </c>
      <c r="Y33" s="1795">
        <f t="shared" si="24"/>
        <v>5.2870026092332184E-3</v>
      </c>
      <c r="Z33" s="1926" t="s">
        <v>1433</v>
      </c>
      <c r="AA33" s="1661"/>
      <c r="AB33" s="1644"/>
      <c r="AC33" s="1645">
        <f t="shared" si="12"/>
        <v>0</v>
      </c>
      <c r="AD33" s="1565">
        <f t="shared" si="17"/>
        <v>0</v>
      </c>
      <c r="AE33" s="1690"/>
      <c r="AF33" s="600"/>
      <c r="AG33" s="512"/>
      <c r="AH33" s="513">
        <f t="shared" si="13"/>
        <v>0</v>
      </c>
      <c r="AI33" s="1175" t="e">
        <f t="shared" si="2"/>
        <v>#DIV/0!</v>
      </c>
      <c r="AJ33" s="728"/>
      <c r="AK33" s="600"/>
      <c r="AL33" s="512"/>
      <c r="AM33" s="513">
        <f t="shared" si="14"/>
        <v>0</v>
      </c>
      <c r="AN33" s="1175" t="e">
        <f t="shared" si="3"/>
        <v>#DIV/0!</v>
      </c>
      <c r="AO33" s="728"/>
      <c r="AP33" s="600"/>
      <c r="AQ33" s="512"/>
      <c r="AR33" s="513">
        <f t="shared" si="15"/>
        <v>0</v>
      </c>
      <c r="AS33" s="1175" t="e">
        <f t="shared" si="4"/>
        <v>#DIV/0!</v>
      </c>
      <c r="AT33" s="728"/>
      <c r="AU33" s="600"/>
      <c r="AV33" s="512"/>
      <c r="AW33" s="513">
        <f t="shared" si="16"/>
        <v>0</v>
      </c>
      <c r="AX33" s="1175" t="e">
        <f t="shared" si="5"/>
        <v>#DIV/0!</v>
      </c>
      <c r="AY33" s="728"/>
      <c r="AZ33" s="2097">
        <f t="shared" si="6"/>
        <v>0</v>
      </c>
      <c r="BA33" s="2097">
        <f t="shared" si="7"/>
        <v>3500</v>
      </c>
      <c r="BB33" s="1231">
        <f t="shared" si="8"/>
        <v>3500</v>
      </c>
      <c r="BC33" s="1175">
        <f t="shared" si="9"/>
        <v>1.1634386389533164E-3</v>
      </c>
      <c r="BD33" s="1176"/>
    </row>
    <row r="34" spans="1:56" s="2" customFormat="1" ht="14.4" customHeight="1" x14ac:dyDescent="0.25">
      <c r="A34" s="238"/>
      <c r="B34" s="1087"/>
      <c r="C34" s="1088"/>
      <c r="D34" s="1089"/>
      <c r="E34" s="1037"/>
      <c r="F34" s="1090"/>
      <c r="G34" s="1034"/>
      <c r="H34" s="1033"/>
      <c r="I34" s="1035"/>
      <c r="J34" s="1091" t="e">
        <f t="shared" si="18"/>
        <v>#DIV/0!</v>
      </c>
      <c r="K34" s="1037"/>
      <c r="L34" s="1761"/>
      <c r="M34" s="1659"/>
      <c r="N34" s="1634"/>
      <c r="O34" s="1554" t="e">
        <f>N34/$I$89</f>
        <v>#DIV/0!</v>
      </c>
      <c r="P34" s="1634"/>
      <c r="Q34" s="1659"/>
      <c r="R34" s="1447"/>
      <c r="S34" s="1634"/>
      <c r="T34" s="1554"/>
      <c r="U34" s="1634"/>
      <c r="V34" s="1787"/>
      <c r="W34" s="1640"/>
      <c r="X34" s="1796"/>
      <c r="Y34" s="1797" t="e">
        <f>X34/$I$89</f>
        <v>#DIV/0!</v>
      </c>
      <c r="Z34" s="1796"/>
      <c r="AA34" s="1659"/>
      <c r="AB34" s="1447"/>
      <c r="AC34" s="1634"/>
      <c r="AD34" s="1554">
        <f t="shared" si="17"/>
        <v>0</v>
      </c>
      <c r="AE34" s="1634"/>
      <c r="AF34" s="1033"/>
      <c r="AG34" s="1188"/>
      <c r="AH34" s="1037"/>
      <c r="AI34" s="1049" t="e">
        <f>AH34/$I$89</f>
        <v>#DIV/0!</v>
      </c>
      <c r="AJ34" s="1037"/>
      <c r="AK34" s="1033"/>
      <c r="AL34" s="1188"/>
      <c r="AM34" s="1037"/>
      <c r="AN34" s="1049" t="e">
        <f>AM34/$I$89</f>
        <v>#DIV/0!</v>
      </c>
      <c r="AO34" s="1037"/>
      <c r="AP34" s="1033"/>
      <c r="AQ34" s="1188"/>
      <c r="AR34" s="1037"/>
      <c r="AS34" s="1049" t="e">
        <f>AR34/$I$89</f>
        <v>#DIV/0!</v>
      </c>
      <c r="AT34" s="1037"/>
      <c r="AU34" s="1033"/>
      <c r="AV34" s="1188"/>
      <c r="AW34" s="1037"/>
      <c r="AX34" s="1049" t="e">
        <f>AW34/$I$89</f>
        <v>#DIV/0!</v>
      </c>
      <c r="AY34" s="1037"/>
      <c r="AZ34" s="1188">
        <f t="shared" ref="AZ34:BA37" si="25">G34+L34+Q34+V34</f>
        <v>0</v>
      </c>
      <c r="BA34" s="1188">
        <f t="shared" si="25"/>
        <v>0</v>
      </c>
      <c r="BB34" s="1037"/>
      <c r="BC34" s="1037"/>
      <c r="BD34" s="1037"/>
    </row>
    <row r="35" spans="1:56" s="88" customFormat="1" ht="14.4" customHeight="1" x14ac:dyDescent="0.25">
      <c r="A35" s="238"/>
      <c r="B35" s="1280" t="s">
        <v>80</v>
      </c>
      <c r="C35" s="1272">
        <f>C36</f>
        <v>0</v>
      </c>
      <c r="D35" s="1272">
        <f>D36</f>
        <v>0</v>
      </c>
      <c r="E35" s="1273">
        <f>E36</f>
        <v>0</v>
      </c>
      <c r="F35" s="1274" t="e">
        <f>E35/$E$89</f>
        <v>#DIV/0!</v>
      </c>
      <c r="G35" s="1272">
        <f>G36</f>
        <v>0</v>
      </c>
      <c r="H35" s="1273">
        <f>H36</f>
        <v>0</v>
      </c>
      <c r="I35" s="1272">
        <f>I36</f>
        <v>0</v>
      </c>
      <c r="J35" s="1279" t="e">
        <f t="shared" si="18"/>
        <v>#DIV/0!</v>
      </c>
      <c r="K35" s="1276"/>
      <c r="L35" s="1898">
        <f>L36</f>
        <v>0</v>
      </c>
      <c r="M35" s="1899">
        <f>M36</f>
        <v>0</v>
      </c>
      <c r="N35" s="1899">
        <f>N36</f>
        <v>0</v>
      </c>
      <c r="O35" s="1893" t="e">
        <f>N35/$I$89</f>
        <v>#DIV/0!</v>
      </c>
      <c r="P35" s="1900"/>
      <c r="Q35" s="1898"/>
      <c r="R35" s="1898"/>
      <c r="S35" s="1899">
        <f>S36</f>
        <v>0</v>
      </c>
      <c r="T35" s="1899">
        <f>T36</f>
        <v>0</v>
      </c>
      <c r="U35" s="1900"/>
      <c r="V35" s="1901"/>
      <c r="W35" s="1901"/>
      <c r="X35" s="1902">
        <f>X36</f>
        <v>0</v>
      </c>
      <c r="Y35" s="1894" t="e">
        <f>X35/$I$89</f>
        <v>#DIV/0!</v>
      </c>
      <c r="Z35" s="1902"/>
      <c r="AA35" s="1898"/>
      <c r="AB35" s="1898"/>
      <c r="AC35" s="1899">
        <f>AC36</f>
        <v>0</v>
      </c>
      <c r="AD35" s="2026">
        <f t="shared" si="17"/>
        <v>0</v>
      </c>
      <c r="AE35" s="1900"/>
      <c r="AF35" s="1272"/>
      <c r="AG35" s="1272"/>
      <c r="AH35" s="1273">
        <f>AH36</f>
        <v>0</v>
      </c>
      <c r="AI35" s="1245" t="e">
        <f>AH35/$I$89</f>
        <v>#DIV/0!</v>
      </c>
      <c r="AJ35" s="1276"/>
      <c r="AK35" s="1272"/>
      <c r="AL35" s="1272"/>
      <c r="AM35" s="1273">
        <f>AM36</f>
        <v>0</v>
      </c>
      <c r="AN35" s="1245" t="e">
        <f>AM35/$I$89</f>
        <v>#DIV/0!</v>
      </c>
      <c r="AO35" s="1276"/>
      <c r="AP35" s="1272"/>
      <c r="AQ35" s="1272"/>
      <c r="AR35" s="1273">
        <f>AR36</f>
        <v>0</v>
      </c>
      <c r="AS35" s="1245" t="e">
        <f>AR35/$I$89</f>
        <v>#DIV/0!</v>
      </c>
      <c r="AT35" s="1276"/>
      <c r="AU35" s="1272"/>
      <c r="AV35" s="1272"/>
      <c r="AW35" s="1273">
        <f>AW36</f>
        <v>0</v>
      </c>
      <c r="AX35" s="1245" t="e">
        <f>AW35/$I$89</f>
        <v>#DIV/0!</v>
      </c>
      <c r="AY35" s="1276"/>
      <c r="AZ35" s="1272">
        <f t="shared" si="25"/>
        <v>0</v>
      </c>
      <c r="BA35" s="1272">
        <f t="shared" si="25"/>
        <v>0</v>
      </c>
      <c r="BB35" s="1272">
        <f>BB36</f>
        <v>0</v>
      </c>
      <c r="BC35" s="1272">
        <f>BC36</f>
        <v>0</v>
      </c>
      <c r="BD35" s="1273"/>
    </row>
    <row r="36" spans="1:56" s="226" customFormat="1" ht="14.4" customHeight="1" outlineLevel="1" x14ac:dyDescent="0.25">
      <c r="A36" s="238"/>
      <c r="B36" s="1281" t="s">
        <v>81</v>
      </c>
      <c r="C36" s="1277"/>
      <c r="D36" s="1278"/>
      <c r="E36" s="1282">
        <f>C36+D36*1.15</f>
        <v>0</v>
      </c>
      <c r="F36" s="1248" t="e">
        <f>E36/$E$89</f>
        <v>#DIV/0!</v>
      </c>
      <c r="G36" s="1034"/>
      <c r="H36" s="1033"/>
      <c r="I36" s="1072">
        <f>G36+H36*1</f>
        <v>0</v>
      </c>
      <c r="J36" s="1279" t="e">
        <f t="shared" si="18"/>
        <v>#DIV/0!</v>
      </c>
      <c r="K36" s="1030" t="s">
        <v>951</v>
      </c>
      <c r="L36" s="1761"/>
      <c r="M36" s="1659"/>
      <c r="N36" s="1495">
        <f>L36+M36*1</f>
        <v>0</v>
      </c>
      <c r="O36" s="1893">
        <f>N36/$N$89</f>
        <v>0</v>
      </c>
      <c r="P36" s="1605"/>
      <c r="Q36" s="1659"/>
      <c r="R36" s="1447"/>
      <c r="S36" s="1495">
        <f>Q36+R36*1</f>
        <v>0</v>
      </c>
      <c r="T36" s="1893"/>
      <c r="U36" s="1605"/>
      <c r="V36" s="1787"/>
      <c r="W36" s="1640"/>
      <c r="X36" s="1780">
        <f>V36+W36*1</f>
        <v>0</v>
      </c>
      <c r="Y36" s="1894">
        <f>X36/$X$89</f>
        <v>0</v>
      </c>
      <c r="Z36" s="1741"/>
      <c r="AA36" s="1659"/>
      <c r="AB36" s="1447"/>
      <c r="AC36" s="1495">
        <f>AA36+AB36*1</f>
        <v>0</v>
      </c>
      <c r="AD36" s="1893">
        <f t="shared" si="17"/>
        <v>0</v>
      </c>
      <c r="AE36" s="1605"/>
      <c r="AF36" s="1033"/>
      <c r="AG36" s="1188"/>
      <c r="AH36" s="1190">
        <f>AF36+AG36*1</f>
        <v>0</v>
      </c>
      <c r="AI36" s="1245">
        <f>AH36/$X$89</f>
        <v>0</v>
      </c>
      <c r="AJ36" s="1030"/>
      <c r="AK36" s="1033"/>
      <c r="AL36" s="1188"/>
      <c r="AM36" s="1190">
        <f>AK36+AL36*1</f>
        <v>0</v>
      </c>
      <c r="AN36" s="1245">
        <f>AM36/$X$89</f>
        <v>0</v>
      </c>
      <c r="AO36" s="1030"/>
      <c r="AP36" s="1033"/>
      <c r="AQ36" s="1188"/>
      <c r="AR36" s="1190">
        <f>AP36+AQ36*1</f>
        <v>0</v>
      </c>
      <c r="AS36" s="1245" t="e">
        <f>AR36/$AR$89</f>
        <v>#DIV/0!</v>
      </c>
      <c r="AT36" s="1030"/>
      <c r="AU36" s="1033"/>
      <c r="AV36" s="1188"/>
      <c r="AW36" s="1190">
        <f>AU36+AV36*1</f>
        <v>0</v>
      </c>
      <c r="AX36" s="1245" t="e">
        <f>AW36/$AR$89</f>
        <v>#DIV/0!</v>
      </c>
      <c r="AY36" s="1030"/>
      <c r="AZ36" s="2067">
        <f>G36+L36+Q36+V36+AA36</f>
        <v>0</v>
      </c>
      <c r="BA36" s="2067">
        <f>H36+M36+R36+W36+AB36</f>
        <v>0</v>
      </c>
      <c r="BB36" s="1190">
        <f>AZ36+BA36*1</f>
        <v>0</v>
      </c>
      <c r="BC36" s="1245">
        <f>BB36/$BB$89</f>
        <v>0</v>
      </c>
      <c r="BD36" s="1249"/>
    </row>
    <row r="37" spans="1:56" s="2" customFormat="1" ht="14.4" customHeight="1" thickBot="1" x14ac:dyDescent="0.3">
      <c r="A37" s="4"/>
      <c r="B37" s="1092"/>
      <c r="C37" s="1212"/>
      <c r="D37" s="1093"/>
      <c r="E37" s="1177"/>
      <c r="F37" s="1213"/>
      <c r="G37" s="937"/>
      <c r="H37" s="600"/>
      <c r="I37" s="1214"/>
      <c r="J37" s="1054" t="e">
        <f t="shared" si="18"/>
        <v>#DIV/0!</v>
      </c>
      <c r="K37" s="1192"/>
      <c r="L37" s="1755"/>
      <c r="M37" s="1661"/>
      <c r="N37" s="1454"/>
      <c r="O37" s="1565" t="e">
        <f>N37/$I$89</f>
        <v>#DIV/0!</v>
      </c>
      <c r="P37" s="1464"/>
      <c r="Q37" s="1661"/>
      <c r="R37" s="1644"/>
      <c r="S37" s="1454"/>
      <c r="T37" s="1565"/>
      <c r="U37" s="1464"/>
      <c r="V37" s="1793"/>
      <c r="W37" s="1716"/>
      <c r="X37" s="1743"/>
      <c r="Y37" s="1795" t="e">
        <f>X37/$I$89</f>
        <v>#DIV/0!</v>
      </c>
      <c r="Z37" s="1743"/>
      <c r="AA37" s="1661"/>
      <c r="AB37" s="1644"/>
      <c r="AC37" s="1454"/>
      <c r="AD37" s="1565">
        <f t="shared" si="17"/>
        <v>0</v>
      </c>
      <c r="AE37" s="1464"/>
      <c r="AF37" s="600"/>
      <c r="AG37" s="512"/>
      <c r="AH37" s="1177"/>
      <c r="AI37" s="1175" t="e">
        <f>AH37/$I$89</f>
        <v>#DIV/0!</v>
      </c>
      <c r="AJ37" s="1192"/>
      <c r="AK37" s="600"/>
      <c r="AL37" s="512"/>
      <c r="AM37" s="1177"/>
      <c r="AN37" s="1175" t="e">
        <f>AM37/$I$89</f>
        <v>#DIV/0!</v>
      </c>
      <c r="AO37" s="1192"/>
      <c r="AP37" s="600"/>
      <c r="AQ37" s="512"/>
      <c r="AR37" s="1177"/>
      <c r="AS37" s="1175" t="e">
        <f>AR37/$I$89</f>
        <v>#DIV/0!</v>
      </c>
      <c r="AT37" s="1192"/>
      <c r="AU37" s="600"/>
      <c r="AV37" s="512"/>
      <c r="AW37" s="1177"/>
      <c r="AX37" s="1175" t="e">
        <f>AW37/$I$89</f>
        <v>#DIV/0!</v>
      </c>
      <c r="AY37" s="1192"/>
      <c r="AZ37" s="512">
        <f t="shared" si="25"/>
        <v>0</v>
      </c>
      <c r="BA37" s="512">
        <f t="shared" si="25"/>
        <v>0</v>
      </c>
      <c r="BB37" s="1177"/>
      <c r="BC37" s="1177"/>
      <c r="BD37" s="1177"/>
    </row>
    <row r="38" spans="1:56" ht="14.4" customHeight="1" thickBot="1" x14ac:dyDescent="0.3">
      <c r="A38" s="889"/>
      <c r="B38" s="981" t="s">
        <v>46</v>
      </c>
      <c r="C38" s="648">
        <f>(C5)-(C8)</f>
        <v>0</v>
      </c>
      <c r="D38" s="648">
        <f>(D5)-(D8)</f>
        <v>0</v>
      </c>
      <c r="E38" s="648">
        <f>(E5)-(E8)</f>
        <v>0</v>
      </c>
      <c r="F38" s="871"/>
      <c r="G38" s="940">
        <f>(G5)-(G8)</f>
        <v>0</v>
      </c>
      <c r="H38" s="648">
        <f>(H5)-(H8)</f>
        <v>0</v>
      </c>
      <c r="I38" s="940">
        <f>(I5)-(I8)</f>
        <v>0</v>
      </c>
      <c r="J38" s="648"/>
      <c r="K38" s="636"/>
      <c r="L38" s="1721">
        <f>(L5)-(L8)</f>
        <v>-424525.6</v>
      </c>
      <c r="M38" s="1455">
        <f>(M5)-(M8)</f>
        <v>-91602.2</v>
      </c>
      <c r="N38" s="1455">
        <f>(N5)-(N8)</f>
        <v>-516127.8</v>
      </c>
      <c r="O38" s="1455"/>
      <c r="P38" s="1610"/>
      <c r="Q38" s="1455">
        <f>(Q5)-(Q8)</f>
        <v>1467819.7540000004</v>
      </c>
      <c r="R38" s="1455">
        <f>(R5)-(R8)</f>
        <v>-176759.8</v>
      </c>
      <c r="S38" s="1455">
        <f>(S5)-(S8)</f>
        <v>1291059.9540000004</v>
      </c>
      <c r="T38" s="1455"/>
      <c r="U38" s="1610"/>
      <c r="V38" s="1801">
        <f>(V5)-(V8)</f>
        <v>275772.08399999992</v>
      </c>
      <c r="W38" s="1801">
        <f>(W5)-(W8)</f>
        <v>-136983.20000000001</v>
      </c>
      <c r="X38" s="1801">
        <f>(X5)-(X8)</f>
        <v>138788.88399999996</v>
      </c>
      <c r="Y38" s="1801"/>
      <c r="Z38" s="1801"/>
      <c r="AA38" s="1455">
        <f>(AA5)-(AA8)</f>
        <v>-60008.943999999996</v>
      </c>
      <c r="AB38" s="1455">
        <f>(AB5)-(AB8)</f>
        <v>-5890</v>
      </c>
      <c r="AC38" s="1455">
        <f>(AC5)-(AC8)</f>
        <v>-65898.943999999989</v>
      </c>
      <c r="AD38" s="1455"/>
      <c r="AE38" s="1610"/>
      <c r="AF38" s="648">
        <f>(AF5)-(AF8)</f>
        <v>0</v>
      </c>
      <c r="AG38" s="648">
        <f>(AG5)-(AG8)</f>
        <v>0</v>
      </c>
      <c r="AH38" s="648">
        <f>(AH5)-(AH8)</f>
        <v>0</v>
      </c>
      <c r="AI38" s="648"/>
      <c r="AJ38" s="636"/>
      <c r="AK38" s="648">
        <f>(AK5)-(AK8)</f>
        <v>0</v>
      </c>
      <c r="AL38" s="648">
        <f>(AL5)-(AL8)</f>
        <v>0</v>
      </c>
      <c r="AM38" s="648">
        <f>(AM5)-(AM8)</f>
        <v>0</v>
      </c>
      <c r="AN38" s="648"/>
      <c r="AO38" s="636"/>
      <c r="AP38" s="648">
        <f>(AP5)-(AP8)</f>
        <v>0</v>
      </c>
      <c r="AQ38" s="648">
        <f>(AQ5)-(AQ8)</f>
        <v>0</v>
      </c>
      <c r="AR38" s="648">
        <f>(AR5)-(AR8)</f>
        <v>0</v>
      </c>
      <c r="AS38" s="648"/>
      <c r="AT38" s="636"/>
      <c r="AU38" s="648">
        <f>(AU5)-(AU8)</f>
        <v>0</v>
      </c>
      <c r="AV38" s="648">
        <f>(AV5)-(AV8)</f>
        <v>0</v>
      </c>
      <c r="AW38" s="648">
        <f>(AW5)-(AW8)</f>
        <v>0</v>
      </c>
      <c r="AX38" s="648"/>
      <c r="AY38" s="636"/>
      <c r="AZ38" s="648">
        <f>(AZ5)-(AZ8)</f>
        <v>1259057.2940000002</v>
      </c>
      <c r="BA38" s="648">
        <f>(BA5)-(BA8)</f>
        <v>-411235.19999999995</v>
      </c>
      <c r="BB38" s="648">
        <f>(BB5)-(BB8)</f>
        <v>847822.09400000051</v>
      </c>
      <c r="BC38" s="648"/>
      <c r="BD38" s="648"/>
    </row>
    <row r="39" spans="1:56" ht="14.4" customHeight="1" x14ac:dyDescent="0.25">
      <c r="A39" s="293"/>
      <c r="B39" s="982" t="s">
        <v>47</v>
      </c>
      <c r="C39" s="873" t="e">
        <f>C38/(C5)</f>
        <v>#DIV/0!</v>
      </c>
      <c r="D39" s="873" t="e">
        <f>D38/(D5)</f>
        <v>#DIV/0!</v>
      </c>
      <c r="E39" s="874" t="e">
        <f>E38/(E5)</f>
        <v>#DIV/0!</v>
      </c>
      <c r="F39" s="875"/>
      <c r="G39" s="639" t="e">
        <f>G38/(G5)</f>
        <v>#DIV/0!</v>
      </c>
      <c r="H39" s="660" t="e">
        <f>H38/(H5)</f>
        <v>#DIV/0!</v>
      </c>
      <c r="I39" s="639" t="e">
        <f>I38/(I5)</f>
        <v>#DIV/0!</v>
      </c>
      <c r="J39" s="660"/>
      <c r="K39" s="661"/>
      <c r="L39" s="1456" t="e">
        <f>L38/(L5)</f>
        <v>#DIV/0!</v>
      </c>
      <c r="M39" s="1457" t="e">
        <f>M38/(M5)</f>
        <v>#DIV/0!</v>
      </c>
      <c r="N39" s="1457" t="e">
        <f>N38/(N5)</f>
        <v>#DIV/0!</v>
      </c>
      <c r="O39" s="1457"/>
      <c r="P39" s="1611"/>
      <c r="Q39" s="1456">
        <f>Q38/(Q5)</f>
        <v>0.48765204722581074</v>
      </c>
      <c r="R39" s="1456" t="e">
        <f>R38/(R5)</f>
        <v>#DIV/0!</v>
      </c>
      <c r="S39" s="1457">
        <f>S38/(S5)</f>
        <v>0.42892734475309496</v>
      </c>
      <c r="T39" s="1457"/>
      <c r="U39" s="1611"/>
      <c r="V39" s="1802">
        <f>V38/(V5)</f>
        <v>0.35335831565562059</v>
      </c>
      <c r="W39" s="1802" t="e">
        <f>W38/(W5)</f>
        <v>#DIV/0!</v>
      </c>
      <c r="X39" s="1803">
        <f>X38/(X5)</f>
        <v>0.17783600707736361</v>
      </c>
      <c r="Y39" s="1803"/>
      <c r="Z39" s="1803"/>
      <c r="AA39" s="1456" t="e">
        <f>AA38/(AA5)</f>
        <v>#DIV/0!</v>
      </c>
      <c r="AB39" s="1456" t="e">
        <f>AB38/(AB5)</f>
        <v>#DIV/0!</v>
      </c>
      <c r="AC39" s="1457" t="e">
        <f>AC38/(AC5)</f>
        <v>#DIV/0!</v>
      </c>
      <c r="AD39" s="1457"/>
      <c r="AE39" s="1611"/>
      <c r="AF39" s="639" t="e">
        <f>AF38/(AF5)</f>
        <v>#DIV/0!</v>
      </c>
      <c r="AG39" s="639" t="e">
        <f>AG38/(AG5)</f>
        <v>#DIV/0!</v>
      </c>
      <c r="AH39" s="660" t="e">
        <f>AH38/(AH5)</f>
        <v>#DIV/0!</v>
      </c>
      <c r="AI39" s="660"/>
      <c r="AJ39" s="661"/>
      <c r="AK39" s="639" t="e">
        <f>AK38/(AK5)</f>
        <v>#DIV/0!</v>
      </c>
      <c r="AL39" s="639" t="e">
        <f>AL38/(AL5)</f>
        <v>#DIV/0!</v>
      </c>
      <c r="AM39" s="660" t="e">
        <f>AM38/(AM5)</f>
        <v>#DIV/0!</v>
      </c>
      <c r="AN39" s="660"/>
      <c r="AO39" s="661"/>
      <c r="AP39" s="639" t="e">
        <f>AP38/(AP5)</f>
        <v>#DIV/0!</v>
      </c>
      <c r="AQ39" s="639" t="e">
        <f>AQ38/(AQ5)</f>
        <v>#DIV/0!</v>
      </c>
      <c r="AR39" s="660" t="e">
        <f>AR38/(AR5)</f>
        <v>#DIV/0!</v>
      </c>
      <c r="AS39" s="660"/>
      <c r="AT39" s="661"/>
      <c r="AU39" s="639" t="e">
        <f>AU38/(AU5)</f>
        <v>#DIV/0!</v>
      </c>
      <c r="AV39" s="639" t="e">
        <f>AV38/(AV5)</f>
        <v>#DIV/0!</v>
      </c>
      <c r="AW39" s="660" t="e">
        <f>AW38/(AW5)</f>
        <v>#DIV/0!</v>
      </c>
      <c r="AX39" s="660"/>
      <c r="AY39" s="661"/>
      <c r="AZ39" s="639">
        <f>AZ38/(AZ5)</f>
        <v>0.33216956176861484</v>
      </c>
      <c r="BA39" s="639" t="e">
        <f>BA38/(BA5)</f>
        <v>#DIV/0!</v>
      </c>
      <c r="BB39" s="660">
        <f>BB38/(BB5)</f>
        <v>0.22367583648796963</v>
      </c>
      <c r="BC39" s="660"/>
      <c r="BD39" s="660"/>
    </row>
    <row r="40" spans="1:56" ht="14.4" customHeight="1" outlineLevel="1" thickBot="1" x14ac:dyDescent="0.3">
      <c r="A40" s="295"/>
      <c r="B40" s="1215"/>
      <c r="C40" s="1216"/>
      <c r="D40" s="1217"/>
      <c r="E40" s="1129"/>
      <c r="F40" s="1130"/>
      <c r="G40" s="1194"/>
      <c r="H40" s="1038"/>
      <c r="I40" s="1194"/>
      <c r="J40" s="1038"/>
      <c r="K40" s="1193"/>
      <c r="L40" s="1235"/>
      <c r="M40" s="1378"/>
      <c r="N40" s="1459"/>
      <c r="O40" s="1459"/>
      <c r="P40" s="1612"/>
      <c r="Q40" s="1378"/>
      <c r="R40" s="1459"/>
      <c r="S40" s="1459"/>
      <c r="T40" s="1459"/>
      <c r="U40" s="1612"/>
      <c r="V40" s="1399"/>
      <c r="W40" s="1805"/>
      <c r="X40" s="1805"/>
      <c r="Y40" s="1805"/>
      <c r="Z40" s="1805"/>
      <c r="AA40" s="1378"/>
      <c r="AB40" s="1459"/>
      <c r="AC40" s="1459"/>
      <c r="AD40" s="1459"/>
      <c r="AE40" s="1612"/>
      <c r="AF40" s="1038"/>
      <c r="AG40" s="1178"/>
      <c r="AH40" s="1178"/>
      <c r="AI40" s="1178"/>
      <c r="AJ40" s="1193"/>
      <c r="AK40" s="1038"/>
      <c r="AL40" s="1178"/>
      <c r="AM40" s="1178"/>
      <c r="AN40" s="1178"/>
      <c r="AO40" s="1193"/>
      <c r="AP40" s="1038"/>
      <c r="AQ40" s="1178"/>
      <c r="AR40" s="1178"/>
      <c r="AS40" s="1178"/>
      <c r="AT40" s="1193"/>
      <c r="AU40" s="1038"/>
      <c r="AV40" s="1178"/>
      <c r="AW40" s="1178"/>
      <c r="AX40" s="1178"/>
      <c r="AY40" s="1193"/>
      <c r="AZ40" s="1178">
        <f>G40+L40+Q40+V40</f>
        <v>0</v>
      </c>
      <c r="BA40" s="1178">
        <f>H40+M40+R40+W40</f>
        <v>0</v>
      </c>
      <c r="BB40" s="1178"/>
      <c r="BC40" s="1178"/>
      <c r="BD40" s="1178"/>
    </row>
    <row r="41" spans="1:56" ht="14.4" customHeight="1" outlineLevel="1" x14ac:dyDescent="0.25">
      <c r="A41" s="11"/>
      <c r="B41" s="1283" t="s">
        <v>26</v>
      </c>
      <c r="C41" s="1284">
        <f>SUM(C42:C48)</f>
        <v>0</v>
      </c>
      <c r="D41" s="1284">
        <f>SUM(D42:D48)</f>
        <v>0</v>
      </c>
      <c r="E41" s="1285">
        <f>SUM(E42:E48)</f>
        <v>0</v>
      </c>
      <c r="F41" s="1241" t="e">
        <f t="shared" ref="F41:F48" si="26">E41/$E$89</f>
        <v>#DIV/0!</v>
      </c>
      <c r="G41" s="1039">
        <f>SUM(G42:G48)</f>
        <v>0</v>
      </c>
      <c r="H41" s="1040">
        <f>SUM(H42:H48)</f>
        <v>0</v>
      </c>
      <c r="I41" s="1039">
        <f>SUM(I42:I48)</f>
        <v>0</v>
      </c>
      <c r="J41" s="1286" t="e">
        <f t="shared" ref="J41:J48" si="27">I41/$I$89</f>
        <v>#DIV/0!</v>
      </c>
      <c r="K41" s="665"/>
      <c r="L41" s="1506">
        <f>SUM(L42:L48)</f>
        <v>0</v>
      </c>
      <c r="M41" s="1507">
        <f>SUM(M42:M48)</f>
        <v>0</v>
      </c>
      <c r="N41" s="1507">
        <f>SUM(N42:N48)</f>
        <v>0</v>
      </c>
      <c r="O41" s="1904">
        <f t="shared" ref="O41:O48" si="28">N41/$N$89</f>
        <v>0</v>
      </c>
      <c r="P41" s="1613"/>
      <c r="Q41" s="1506">
        <f>SUM(Q42:Q48)</f>
        <v>135</v>
      </c>
      <c r="R41" s="1506">
        <f>SUM(R42:R48)</f>
        <v>1165</v>
      </c>
      <c r="S41" s="1507">
        <f>SUM(S42:S48)</f>
        <v>1300</v>
      </c>
      <c r="T41" s="1904">
        <f t="shared" ref="T41:T46" si="29">S41/$S$89</f>
        <v>7.4456645717669223E-4</v>
      </c>
      <c r="U41" s="1613"/>
      <c r="V41" s="1806">
        <f>SUM(V42:V48)</f>
        <v>45.01</v>
      </c>
      <c r="W41" s="1806">
        <f>SUM(W42:W48)</f>
        <v>0</v>
      </c>
      <c r="X41" s="1807">
        <f>SUM(X42:X48)</f>
        <v>45.01</v>
      </c>
      <c r="Y41" s="1905">
        <f t="shared" ref="Y41:Y48" si="30">X41/$X$89</f>
        <v>6.7990853554739182E-5</v>
      </c>
      <c r="Z41" s="1809"/>
      <c r="AA41" s="1506">
        <f>SUM(AA42:AA48)</f>
        <v>0</v>
      </c>
      <c r="AB41" s="1506">
        <f>SUM(AB42:AB48)</f>
        <v>0</v>
      </c>
      <c r="AC41" s="1507">
        <f>SUM(AC42:AC48)</f>
        <v>0</v>
      </c>
      <c r="AD41" s="1904">
        <f t="shared" ref="AD41:AD74" si="31">AC41/$AC$89</f>
        <v>0</v>
      </c>
      <c r="AE41" s="1613"/>
      <c r="AF41" s="1039">
        <f>SUM(AF42:AF48)</f>
        <v>0</v>
      </c>
      <c r="AG41" s="1039">
        <f>SUM(AG42:AG48)</f>
        <v>0</v>
      </c>
      <c r="AH41" s="1040">
        <f>SUM(AH42:AH48)</f>
        <v>0</v>
      </c>
      <c r="AI41" s="1241" t="e">
        <f t="shared" ref="AI41:AI47" si="32">AH41/$AH$89</f>
        <v>#DIV/0!</v>
      </c>
      <c r="AJ41" s="665"/>
      <c r="AK41" s="1039">
        <f>SUM(AK42:AK48)</f>
        <v>0</v>
      </c>
      <c r="AL41" s="1039">
        <f>SUM(AL42:AL48)</f>
        <v>0</v>
      </c>
      <c r="AM41" s="1040">
        <f>SUM(AM42:AM48)</f>
        <v>0</v>
      </c>
      <c r="AN41" s="1241" t="e">
        <f t="shared" ref="AN41:AN47" si="33">AM41/$AH$89</f>
        <v>#DIV/0!</v>
      </c>
      <c r="AO41" s="665"/>
      <c r="AP41" s="1039">
        <f>SUM(AP42:AP48)</f>
        <v>0</v>
      </c>
      <c r="AQ41" s="1039">
        <f>SUM(AQ42:AQ48)</f>
        <v>0</v>
      </c>
      <c r="AR41" s="1040">
        <f>SUM(AR42:AR48)</f>
        <v>0</v>
      </c>
      <c r="AS41" s="1241" t="e">
        <f t="shared" ref="AS41:AS48" si="34">AR41/$AR$89</f>
        <v>#DIV/0!</v>
      </c>
      <c r="AT41" s="665"/>
      <c r="AU41" s="1039">
        <f>SUM(AU42:AU48)</f>
        <v>0</v>
      </c>
      <c r="AV41" s="1039">
        <f>SUM(AV42:AV48)</f>
        <v>0</v>
      </c>
      <c r="AW41" s="1040">
        <f>SUM(AW42:AW48)</f>
        <v>0</v>
      </c>
      <c r="AX41" s="1241" t="e">
        <f t="shared" ref="AX41:AX48" si="35">AW41/$AW$89</f>
        <v>#DIV/0!</v>
      </c>
      <c r="AY41" s="665"/>
      <c r="AZ41" s="1039">
        <f>SUM(AZ42:AZ48)</f>
        <v>180.01</v>
      </c>
      <c r="BA41" s="1039">
        <f>SUM(BA42:BA48)</f>
        <v>1165</v>
      </c>
      <c r="BB41" s="1040">
        <f>SUM(BB42:BB48)</f>
        <v>1345.01</v>
      </c>
      <c r="BC41" s="1241">
        <f t="shared" ref="BC41:BC49" si="36">BB41/$BB$89</f>
        <v>4.470961725081715E-4</v>
      </c>
      <c r="BD41" s="581"/>
    </row>
    <row r="42" spans="1:56" ht="14.4" customHeight="1" outlineLevel="2" x14ac:dyDescent="0.25">
      <c r="A42" s="4015"/>
      <c r="B42" s="1271" t="s">
        <v>7</v>
      </c>
      <c r="C42" s="1242"/>
      <c r="D42" s="1243"/>
      <c r="E42" s="1244">
        <f t="shared" ref="E42:E48" si="37">C42+D42*1.15</f>
        <v>0</v>
      </c>
      <c r="F42" s="1245" t="e">
        <f t="shared" si="26"/>
        <v>#DIV/0!</v>
      </c>
      <c r="G42" s="1034"/>
      <c r="H42" s="1033"/>
      <c r="I42" s="1072">
        <f t="shared" ref="I42:I48" si="38">G42+H42*1</f>
        <v>0</v>
      </c>
      <c r="J42" s="1279" t="e">
        <f t="shared" si="27"/>
        <v>#DIV/0!</v>
      </c>
      <c r="K42" s="1030"/>
      <c r="L42" s="1761"/>
      <c r="M42" s="1659"/>
      <c r="N42" s="1495">
        <f t="shared" ref="N42:N48" si="39">L42+M42*1</f>
        <v>0</v>
      </c>
      <c r="O42" s="1893">
        <f t="shared" si="28"/>
        <v>0</v>
      </c>
      <c r="P42" s="1605"/>
      <c r="Q42" s="1659"/>
      <c r="R42" s="1447"/>
      <c r="S42" s="1495">
        <f>Q42+R42*1</f>
        <v>0</v>
      </c>
      <c r="T42" s="1893">
        <f t="shared" si="29"/>
        <v>0</v>
      </c>
      <c r="U42" s="1605"/>
      <c r="V42" s="1787"/>
      <c r="W42" s="1640"/>
      <c r="X42" s="1780">
        <f>V42+W42*1</f>
        <v>0</v>
      </c>
      <c r="Y42" s="1894">
        <f t="shared" si="30"/>
        <v>0</v>
      </c>
      <c r="Z42" s="1741"/>
      <c r="AA42" s="1659"/>
      <c r="AB42" s="1447"/>
      <c r="AC42" s="1495">
        <f t="shared" ref="AC42:AC48" si="40">AA42+AB42*1</f>
        <v>0</v>
      </c>
      <c r="AD42" s="1893">
        <f t="shared" si="31"/>
        <v>0</v>
      </c>
      <c r="AE42" s="1605"/>
      <c r="AF42" s="1033"/>
      <c r="AG42" s="1188"/>
      <c r="AH42" s="1190">
        <f t="shared" ref="AH42:AH48" si="41">AF42+AG42*1</f>
        <v>0</v>
      </c>
      <c r="AI42" s="1245" t="e">
        <f t="shared" si="32"/>
        <v>#DIV/0!</v>
      </c>
      <c r="AJ42" s="1030"/>
      <c r="AK42" s="1033"/>
      <c r="AL42" s="1188"/>
      <c r="AM42" s="1190">
        <f t="shared" ref="AM42:AM48" si="42">AK42+AL42*1</f>
        <v>0</v>
      </c>
      <c r="AN42" s="1245" t="e">
        <f t="shared" si="33"/>
        <v>#DIV/0!</v>
      </c>
      <c r="AO42" s="1030"/>
      <c r="AP42" s="1033"/>
      <c r="AQ42" s="1188"/>
      <c r="AR42" s="1190">
        <f t="shared" ref="AR42:AR48" si="43">AP42+AQ42*1</f>
        <v>0</v>
      </c>
      <c r="AS42" s="1245" t="e">
        <f t="shared" si="34"/>
        <v>#DIV/0!</v>
      </c>
      <c r="AT42" s="1030"/>
      <c r="AU42" s="1033"/>
      <c r="AV42" s="1188"/>
      <c r="AW42" s="1190">
        <f t="shared" ref="AW42:AW48" si="44">AU42+AV42*1</f>
        <v>0</v>
      </c>
      <c r="AX42" s="1245" t="e">
        <f t="shared" si="35"/>
        <v>#DIV/0!</v>
      </c>
      <c r="AY42" s="1030"/>
      <c r="AZ42" s="2067">
        <f t="shared" ref="AZ42:AZ48" si="45">G42+L42+Q42+V42+AA42</f>
        <v>0</v>
      </c>
      <c r="BA42" s="2067">
        <f t="shared" ref="BA42:BA48" si="46">H42+M42+R42+W42+AB42</f>
        <v>0</v>
      </c>
      <c r="BB42" s="1190">
        <f t="shared" ref="BB42:BB48" si="47">AZ42+BA42*1</f>
        <v>0</v>
      </c>
      <c r="BC42" s="1245">
        <f t="shared" si="36"/>
        <v>0</v>
      </c>
      <c r="BD42" s="1246"/>
    </row>
    <row r="43" spans="1:56" ht="14.4" customHeight="1" outlineLevel="2" x14ac:dyDescent="0.25">
      <c r="A43" s="4015"/>
      <c r="B43" s="1271" t="s">
        <v>27</v>
      </c>
      <c r="C43" s="1242"/>
      <c r="D43" s="1243"/>
      <c r="E43" s="1244">
        <f t="shared" si="37"/>
        <v>0</v>
      </c>
      <c r="F43" s="1245" t="e">
        <f t="shared" si="26"/>
        <v>#DIV/0!</v>
      </c>
      <c r="G43" s="1034"/>
      <c r="H43" s="1033"/>
      <c r="I43" s="1072">
        <f t="shared" si="38"/>
        <v>0</v>
      </c>
      <c r="J43" s="1279" t="e">
        <f t="shared" si="27"/>
        <v>#DIV/0!</v>
      </c>
      <c r="K43" s="1030"/>
      <c r="L43" s="1761"/>
      <c r="M43" s="1659"/>
      <c r="N43" s="1495">
        <f t="shared" si="39"/>
        <v>0</v>
      </c>
      <c r="O43" s="1893">
        <f t="shared" si="28"/>
        <v>0</v>
      </c>
      <c r="P43" s="1605"/>
      <c r="Q43" s="1659"/>
      <c r="R43" s="1447">
        <v>250</v>
      </c>
      <c r="S43" s="1495">
        <f>Q43+R43*1</f>
        <v>250</v>
      </c>
      <c r="T43" s="1893">
        <f t="shared" si="29"/>
        <v>1.4318585714936388E-4</v>
      </c>
      <c r="U43" s="1605" t="s">
        <v>1377</v>
      </c>
      <c r="V43" s="1787"/>
      <c r="W43" s="1640"/>
      <c r="X43" s="1780">
        <f>V43+W43*1</f>
        <v>0</v>
      </c>
      <c r="Y43" s="1894">
        <f t="shared" si="30"/>
        <v>0</v>
      </c>
      <c r="Z43" s="1741"/>
      <c r="AA43" s="1659"/>
      <c r="AB43" s="1447"/>
      <c r="AC43" s="1495">
        <f t="shared" si="40"/>
        <v>0</v>
      </c>
      <c r="AD43" s="1893">
        <f t="shared" si="31"/>
        <v>0</v>
      </c>
      <c r="AE43" s="1605"/>
      <c r="AF43" s="1033"/>
      <c r="AG43" s="1188"/>
      <c r="AH43" s="1190">
        <f t="shared" si="41"/>
        <v>0</v>
      </c>
      <c r="AI43" s="1245" t="e">
        <f t="shared" si="32"/>
        <v>#DIV/0!</v>
      </c>
      <c r="AJ43" s="1030"/>
      <c r="AK43" s="1033"/>
      <c r="AL43" s="1188"/>
      <c r="AM43" s="1190">
        <f t="shared" si="42"/>
        <v>0</v>
      </c>
      <c r="AN43" s="1245" t="e">
        <f t="shared" si="33"/>
        <v>#DIV/0!</v>
      </c>
      <c r="AO43" s="1030"/>
      <c r="AP43" s="1033"/>
      <c r="AQ43" s="1188"/>
      <c r="AR43" s="1190">
        <f t="shared" si="43"/>
        <v>0</v>
      </c>
      <c r="AS43" s="1245" t="e">
        <f t="shared" si="34"/>
        <v>#DIV/0!</v>
      </c>
      <c r="AT43" s="1030"/>
      <c r="AU43" s="1033"/>
      <c r="AV43" s="1188"/>
      <c r="AW43" s="1190">
        <f t="shared" si="44"/>
        <v>0</v>
      </c>
      <c r="AX43" s="1245" t="e">
        <f t="shared" si="35"/>
        <v>#DIV/0!</v>
      </c>
      <c r="AY43" s="1030"/>
      <c r="AZ43" s="2067">
        <f t="shared" si="45"/>
        <v>0</v>
      </c>
      <c r="BA43" s="2067">
        <f t="shared" si="46"/>
        <v>250</v>
      </c>
      <c r="BB43" s="1190">
        <f t="shared" si="47"/>
        <v>250</v>
      </c>
      <c r="BC43" s="1245">
        <f t="shared" si="36"/>
        <v>8.3102759925236892E-5</v>
      </c>
      <c r="BD43" s="1246"/>
    </row>
    <row r="44" spans="1:56" ht="14.4" customHeight="1" outlineLevel="2" x14ac:dyDescent="0.25">
      <c r="A44" s="4015"/>
      <c r="B44" s="1281" t="s">
        <v>28</v>
      </c>
      <c r="C44" s="1242"/>
      <c r="D44" s="1243"/>
      <c r="E44" s="1244">
        <f t="shared" si="37"/>
        <v>0</v>
      </c>
      <c r="F44" s="1245" t="e">
        <f t="shared" si="26"/>
        <v>#DIV/0!</v>
      </c>
      <c r="G44" s="1034"/>
      <c r="H44" s="1033"/>
      <c r="I44" s="1072">
        <f t="shared" si="38"/>
        <v>0</v>
      </c>
      <c r="J44" s="1279" t="e">
        <f t="shared" si="27"/>
        <v>#DIV/0!</v>
      </c>
      <c r="K44" s="1030"/>
      <c r="L44" s="1761"/>
      <c r="M44" s="1659"/>
      <c r="N44" s="1495">
        <f t="shared" si="39"/>
        <v>0</v>
      </c>
      <c r="O44" s="1893">
        <f t="shared" si="28"/>
        <v>0</v>
      </c>
      <c r="P44" s="1605"/>
      <c r="Q44" s="1659"/>
      <c r="R44" s="1447"/>
      <c r="S44" s="1495">
        <f>Q44+R44*1</f>
        <v>0</v>
      </c>
      <c r="T44" s="1893">
        <f t="shared" si="29"/>
        <v>0</v>
      </c>
      <c r="U44" s="1605"/>
      <c r="V44" s="1787"/>
      <c r="W44" s="1640"/>
      <c r="X44" s="1780">
        <f>V44+W44*1</f>
        <v>0</v>
      </c>
      <c r="Y44" s="1894">
        <f t="shared" si="30"/>
        <v>0</v>
      </c>
      <c r="Z44" s="1741"/>
      <c r="AA44" s="1659"/>
      <c r="AB44" s="1447"/>
      <c r="AC44" s="1495">
        <f t="shared" si="40"/>
        <v>0</v>
      </c>
      <c r="AD44" s="1893">
        <f t="shared" si="31"/>
        <v>0</v>
      </c>
      <c r="AE44" s="1605"/>
      <c r="AF44" s="1033"/>
      <c r="AG44" s="1188"/>
      <c r="AH44" s="1190">
        <f t="shared" si="41"/>
        <v>0</v>
      </c>
      <c r="AI44" s="1245" t="e">
        <f t="shared" si="32"/>
        <v>#DIV/0!</v>
      </c>
      <c r="AJ44" s="1030"/>
      <c r="AK44" s="1033"/>
      <c r="AL44" s="1188"/>
      <c r="AM44" s="1190">
        <f t="shared" si="42"/>
        <v>0</v>
      </c>
      <c r="AN44" s="1245" t="e">
        <f t="shared" si="33"/>
        <v>#DIV/0!</v>
      </c>
      <c r="AO44" s="1030"/>
      <c r="AP44" s="1033"/>
      <c r="AQ44" s="1188"/>
      <c r="AR44" s="1190">
        <f t="shared" si="43"/>
        <v>0</v>
      </c>
      <c r="AS44" s="1245" t="e">
        <f t="shared" si="34"/>
        <v>#DIV/0!</v>
      </c>
      <c r="AT44" s="1030"/>
      <c r="AU44" s="1033"/>
      <c r="AV44" s="1188"/>
      <c r="AW44" s="1190">
        <f t="shared" si="44"/>
        <v>0</v>
      </c>
      <c r="AX44" s="1245" t="e">
        <f t="shared" si="35"/>
        <v>#DIV/0!</v>
      </c>
      <c r="AY44" s="1030"/>
      <c r="AZ44" s="2067">
        <f t="shared" si="45"/>
        <v>0</v>
      </c>
      <c r="BA44" s="2067">
        <f t="shared" si="46"/>
        <v>0</v>
      </c>
      <c r="BB44" s="1190">
        <f t="shared" si="47"/>
        <v>0</v>
      </c>
      <c r="BC44" s="1245">
        <f t="shared" si="36"/>
        <v>0</v>
      </c>
      <c r="BD44" s="1246"/>
    </row>
    <row r="45" spans="1:56" ht="14.4" customHeight="1" outlineLevel="2" x14ac:dyDescent="0.25">
      <c r="A45" s="4015"/>
      <c r="B45" s="1271" t="s">
        <v>8</v>
      </c>
      <c r="C45" s="1242"/>
      <c r="D45" s="1243"/>
      <c r="E45" s="1244">
        <f t="shared" si="37"/>
        <v>0</v>
      </c>
      <c r="F45" s="1245" t="e">
        <f t="shared" si="26"/>
        <v>#DIV/0!</v>
      </c>
      <c r="G45" s="1034"/>
      <c r="H45" s="1033"/>
      <c r="I45" s="1072">
        <f t="shared" si="38"/>
        <v>0</v>
      </c>
      <c r="J45" s="1279" t="e">
        <f t="shared" si="27"/>
        <v>#DIV/0!</v>
      </c>
      <c r="K45" s="1030"/>
      <c r="L45" s="1761"/>
      <c r="M45" s="1659"/>
      <c r="N45" s="1495">
        <f t="shared" si="39"/>
        <v>0</v>
      </c>
      <c r="O45" s="1893">
        <f t="shared" si="28"/>
        <v>0</v>
      </c>
      <c r="P45" s="1605"/>
      <c r="Q45" s="1659"/>
      <c r="R45" s="1447">
        <v>915</v>
      </c>
      <c r="S45" s="1495">
        <f>Q45+R45*1</f>
        <v>915</v>
      </c>
      <c r="T45" s="1893">
        <f t="shared" si="29"/>
        <v>5.2406023716667185E-4</v>
      </c>
      <c r="U45" s="1605" t="s">
        <v>1378</v>
      </c>
      <c r="V45" s="1787"/>
      <c r="W45" s="1640"/>
      <c r="X45" s="1780">
        <f>V45+W45*1</f>
        <v>0</v>
      </c>
      <c r="Y45" s="1894">
        <f t="shared" si="30"/>
        <v>0</v>
      </c>
      <c r="Z45" s="1741"/>
      <c r="AA45" s="1659"/>
      <c r="AB45" s="1447"/>
      <c r="AC45" s="1495">
        <f t="shared" si="40"/>
        <v>0</v>
      </c>
      <c r="AD45" s="1893">
        <f t="shared" si="31"/>
        <v>0</v>
      </c>
      <c r="AE45" s="1605"/>
      <c r="AF45" s="1033"/>
      <c r="AG45" s="1188"/>
      <c r="AH45" s="1190">
        <f t="shared" si="41"/>
        <v>0</v>
      </c>
      <c r="AI45" s="1245" t="e">
        <f t="shared" si="32"/>
        <v>#DIV/0!</v>
      </c>
      <c r="AJ45" s="1030"/>
      <c r="AK45" s="1033"/>
      <c r="AL45" s="1188"/>
      <c r="AM45" s="1190">
        <f t="shared" si="42"/>
        <v>0</v>
      </c>
      <c r="AN45" s="1245" t="e">
        <f t="shared" si="33"/>
        <v>#DIV/0!</v>
      </c>
      <c r="AO45" s="1030"/>
      <c r="AP45" s="1033"/>
      <c r="AQ45" s="1188"/>
      <c r="AR45" s="1190">
        <f t="shared" si="43"/>
        <v>0</v>
      </c>
      <c r="AS45" s="1245" t="e">
        <f t="shared" si="34"/>
        <v>#DIV/0!</v>
      </c>
      <c r="AT45" s="1030"/>
      <c r="AU45" s="1033"/>
      <c r="AV45" s="1188"/>
      <c r="AW45" s="1190">
        <f t="shared" si="44"/>
        <v>0</v>
      </c>
      <c r="AX45" s="1245" t="e">
        <f t="shared" si="35"/>
        <v>#DIV/0!</v>
      </c>
      <c r="AY45" s="1030"/>
      <c r="AZ45" s="2067">
        <f t="shared" si="45"/>
        <v>0</v>
      </c>
      <c r="BA45" s="2067">
        <f t="shared" si="46"/>
        <v>915</v>
      </c>
      <c r="BB45" s="1190">
        <f t="shared" si="47"/>
        <v>915</v>
      </c>
      <c r="BC45" s="1245">
        <f t="shared" si="36"/>
        <v>3.0415610132636704E-4</v>
      </c>
      <c r="BD45" s="1246"/>
    </row>
    <row r="46" spans="1:56" ht="14.4" customHeight="1" outlineLevel="2" x14ac:dyDescent="0.25">
      <c r="A46" s="4015"/>
      <c r="B46" s="1271" t="s">
        <v>29</v>
      </c>
      <c r="C46" s="1242"/>
      <c r="D46" s="1243"/>
      <c r="E46" s="1244">
        <f t="shared" si="37"/>
        <v>0</v>
      </c>
      <c r="F46" s="1245" t="e">
        <f t="shared" si="26"/>
        <v>#DIV/0!</v>
      </c>
      <c r="G46" s="1034"/>
      <c r="H46" s="1033"/>
      <c r="I46" s="1072">
        <f t="shared" si="38"/>
        <v>0</v>
      </c>
      <c r="J46" s="1279" t="e">
        <f t="shared" si="27"/>
        <v>#DIV/0!</v>
      </c>
      <c r="K46" s="1030"/>
      <c r="L46" s="1761"/>
      <c r="M46" s="1659"/>
      <c r="N46" s="1495">
        <f t="shared" si="39"/>
        <v>0</v>
      </c>
      <c r="O46" s="1893">
        <f t="shared" si="28"/>
        <v>0</v>
      </c>
      <c r="P46" s="1605"/>
      <c r="Q46" s="1659"/>
      <c r="R46" s="1447"/>
      <c r="S46" s="1495">
        <f>Q46+R46*1</f>
        <v>0</v>
      </c>
      <c r="T46" s="1893">
        <f t="shared" si="29"/>
        <v>0</v>
      </c>
      <c r="U46" s="1605"/>
      <c r="V46" s="1787"/>
      <c r="W46" s="1640"/>
      <c r="X46" s="1780">
        <f>V46+W46*1</f>
        <v>0</v>
      </c>
      <c r="Y46" s="1894">
        <f t="shared" si="30"/>
        <v>0</v>
      </c>
      <c r="Z46" s="1741"/>
      <c r="AA46" s="1659"/>
      <c r="AB46" s="1447"/>
      <c r="AC46" s="1495">
        <f t="shared" si="40"/>
        <v>0</v>
      </c>
      <c r="AD46" s="1893">
        <f t="shared" si="31"/>
        <v>0</v>
      </c>
      <c r="AE46" s="1605"/>
      <c r="AF46" s="1033"/>
      <c r="AG46" s="1188"/>
      <c r="AH46" s="1190">
        <f t="shared" si="41"/>
        <v>0</v>
      </c>
      <c r="AI46" s="1245" t="e">
        <f t="shared" si="32"/>
        <v>#DIV/0!</v>
      </c>
      <c r="AJ46" s="1030"/>
      <c r="AK46" s="1033"/>
      <c r="AL46" s="1188"/>
      <c r="AM46" s="1190">
        <f t="shared" si="42"/>
        <v>0</v>
      </c>
      <c r="AN46" s="1245" t="e">
        <f t="shared" si="33"/>
        <v>#DIV/0!</v>
      </c>
      <c r="AO46" s="1030"/>
      <c r="AP46" s="1033"/>
      <c r="AQ46" s="1188"/>
      <c r="AR46" s="1190">
        <f t="shared" si="43"/>
        <v>0</v>
      </c>
      <c r="AS46" s="1245" t="e">
        <f t="shared" si="34"/>
        <v>#DIV/0!</v>
      </c>
      <c r="AT46" s="1030"/>
      <c r="AU46" s="1033"/>
      <c r="AV46" s="1188"/>
      <c r="AW46" s="1190">
        <f t="shared" si="44"/>
        <v>0</v>
      </c>
      <c r="AX46" s="1245" t="e">
        <f t="shared" si="35"/>
        <v>#DIV/0!</v>
      </c>
      <c r="AY46" s="1030"/>
      <c r="AZ46" s="2067">
        <f t="shared" si="45"/>
        <v>0</v>
      </c>
      <c r="BA46" s="2067">
        <f t="shared" si="46"/>
        <v>0</v>
      </c>
      <c r="BB46" s="1190">
        <f t="shared" si="47"/>
        <v>0</v>
      </c>
      <c r="BC46" s="1245">
        <f t="shared" si="36"/>
        <v>0</v>
      </c>
      <c r="BD46" s="1246"/>
    </row>
    <row r="47" spans="1:56" ht="14.4" customHeight="1" outlineLevel="2" x14ac:dyDescent="0.25">
      <c r="A47" s="4015"/>
      <c r="B47" s="1271" t="s">
        <v>30</v>
      </c>
      <c r="C47" s="1242"/>
      <c r="D47" s="1243"/>
      <c r="E47" s="1244">
        <f t="shared" si="37"/>
        <v>0</v>
      </c>
      <c r="F47" s="1245" t="e">
        <f t="shared" si="26"/>
        <v>#DIV/0!</v>
      </c>
      <c r="G47" s="1034"/>
      <c r="H47" s="1033"/>
      <c r="I47" s="1072">
        <f t="shared" si="38"/>
        <v>0</v>
      </c>
      <c r="J47" s="1279" t="e">
        <f t="shared" si="27"/>
        <v>#DIV/0!</v>
      </c>
      <c r="K47" s="1030"/>
      <c r="L47" s="1761"/>
      <c r="M47" s="1659"/>
      <c r="N47" s="1495">
        <f t="shared" si="39"/>
        <v>0</v>
      </c>
      <c r="O47" s="1893">
        <f t="shared" si="28"/>
        <v>0</v>
      </c>
      <c r="P47" s="1605"/>
      <c r="Q47" s="1375">
        <v>135</v>
      </c>
      <c r="R47" s="1371"/>
      <c r="S47" s="1372">
        <v>135</v>
      </c>
      <c r="T47" s="1906">
        <v>7.3448033581577181E-5</v>
      </c>
      <c r="U47" s="1373" t="s">
        <v>486</v>
      </c>
      <c r="V47" s="1374">
        <v>45.01</v>
      </c>
      <c r="W47" s="1368"/>
      <c r="X47" s="1369">
        <v>45.01</v>
      </c>
      <c r="Y47" s="1927">
        <v>6.8125347253490464E-5</v>
      </c>
      <c r="Z47" s="1370" t="s">
        <v>486</v>
      </c>
      <c r="AA47" s="1659"/>
      <c r="AB47" s="1447"/>
      <c r="AC47" s="1495">
        <f t="shared" si="40"/>
        <v>0</v>
      </c>
      <c r="AD47" s="1893">
        <f t="shared" si="31"/>
        <v>0</v>
      </c>
      <c r="AE47" s="1605"/>
      <c r="AF47" s="1033"/>
      <c r="AG47" s="1188"/>
      <c r="AH47" s="1190">
        <f t="shared" si="41"/>
        <v>0</v>
      </c>
      <c r="AI47" s="1245" t="e">
        <f t="shared" si="32"/>
        <v>#DIV/0!</v>
      </c>
      <c r="AJ47" s="1030"/>
      <c r="AK47" s="1033"/>
      <c r="AL47" s="1188"/>
      <c r="AM47" s="1190">
        <f t="shared" si="42"/>
        <v>0</v>
      </c>
      <c r="AN47" s="1245" t="e">
        <f t="shared" si="33"/>
        <v>#DIV/0!</v>
      </c>
      <c r="AO47" s="1030"/>
      <c r="AP47" s="1033"/>
      <c r="AQ47" s="1188"/>
      <c r="AR47" s="1190">
        <f t="shared" si="43"/>
        <v>0</v>
      </c>
      <c r="AS47" s="1245" t="e">
        <f t="shared" si="34"/>
        <v>#DIV/0!</v>
      </c>
      <c r="AT47" s="1030"/>
      <c r="AU47" s="1033"/>
      <c r="AV47" s="1188"/>
      <c r="AW47" s="1190">
        <f t="shared" si="44"/>
        <v>0</v>
      </c>
      <c r="AX47" s="1245" t="e">
        <f t="shared" si="35"/>
        <v>#DIV/0!</v>
      </c>
      <c r="AY47" s="1030"/>
      <c r="AZ47" s="2067">
        <f t="shared" si="45"/>
        <v>180.01</v>
      </c>
      <c r="BA47" s="2067">
        <f t="shared" si="46"/>
        <v>0</v>
      </c>
      <c r="BB47" s="1190">
        <f t="shared" si="47"/>
        <v>180.01</v>
      </c>
      <c r="BC47" s="1245">
        <f t="shared" si="36"/>
        <v>5.9837311256567568E-5</v>
      </c>
      <c r="BD47" s="1246"/>
    </row>
    <row r="48" spans="1:56" ht="14.4" customHeight="1" outlineLevel="2" x14ac:dyDescent="0.25">
      <c r="A48" s="4015"/>
      <c r="B48" s="1271" t="s">
        <v>15</v>
      </c>
      <c r="C48" s="1242"/>
      <c r="D48" s="1243"/>
      <c r="E48" s="1244">
        <f t="shared" si="37"/>
        <v>0</v>
      </c>
      <c r="F48" s="1245" t="e">
        <f t="shared" si="26"/>
        <v>#DIV/0!</v>
      </c>
      <c r="G48" s="1034"/>
      <c r="H48" s="1033"/>
      <c r="I48" s="1072">
        <f t="shared" si="38"/>
        <v>0</v>
      </c>
      <c r="J48" s="1279" t="e">
        <f t="shared" si="27"/>
        <v>#DIV/0!</v>
      </c>
      <c r="K48" s="1287"/>
      <c r="L48" s="1761"/>
      <c r="M48" s="1659"/>
      <c r="N48" s="1495">
        <f t="shared" si="39"/>
        <v>0</v>
      </c>
      <c r="O48" s="1893">
        <f t="shared" si="28"/>
        <v>0</v>
      </c>
      <c r="P48" s="1928"/>
      <c r="Q48" s="1659"/>
      <c r="R48" s="1447"/>
      <c r="S48" s="1495">
        <f>Q48+R48*1</f>
        <v>0</v>
      </c>
      <c r="T48" s="1893"/>
      <c r="U48" s="1928"/>
      <c r="V48" s="1787"/>
      <c r="W48" s="1640"/>
      <c r="X48" s="1780">
        <f>V48+W48*1</f>
        <v>0</v>
      </c>
      <c r="Y48" s="1894">
        <f t="shared" si="30"/>
        <v>0</v>
      </c>
      <c r="Z48" s="1929"/>
      <c r="AA48" s="1659"/>
      <c r="AB48" s="1447"/>
      <c r="AC48" s="1495">
        <f t="shared" si="40"/>
        <v>0</v>
      </c>
      <c r="AD48" s="1893">
        <f t="shared" si="31"/>
        <v>0</v>
      </c>
      <c r="AE48" s="1928"/>
      <c r="AF48" s="1033"/>
      <c r="AG48" s="1188"/>
      <c r="AH48" s="1190">
        <f t="shared" si="41"/>
        <v>0</v>
      </c>
      <c r="AI48" s="1245">
        <f>AH48/$X$89</f>
        <v>0</v>
      </c>
      <c r="AJ48" s="1287"/>
      <c r="AK48" s="1033"/>
      <c r="AL48" s="1188"/>
      <c r="AM48" s="1190">
        <f t="shared" si="42"/>
        <v>0</v>
      </c>
      <c r="AN48" s="1245">
        <f>AM48/$X$89</f>
        <v>0</v>
      </c>
      <c r="AO48" s="1287"/>
      <c r="AP48" s="1033"/>
      <c r="AQ48" s="1188"/>
      <c r="AR48" s="1190">
        <f t="shared" si="43"/>
        <v>0</v>
      </c>
      <c r="AS48" s="1245" t="e">
        <f t="shared" si="34"/>
        <v>#DIV/0!</v>
      </c>
      <c r="AT48" s="1287"/>
      <c r="AU48" s="1033"/>
      <c r="AV48" s="1188"/>
      <c r="AW48" s="1190">
        <f t="shared" si="44"/>
        <v>0</v>
      </c>
      <c r="AX48" s="1245" t="e">
        <f t="shared" si="35"/>
        <v>#DIV/0!</v>
      </c>
      <c r="AY48" s="1030"/>
      <c r="AZ48" s="2067">
        <f t="shared" si="45"/>
        <v>0</v>
      </c>
      <c r="BA48" s="2067">
        <f t="shared" si="46"/>
        <v>0</v>
      </c>
      <c r="BB48" s="1190">
        <f t="shared" si="47"/>
        <v>0</v>
      </c>
      <c r="BC48" s="1245">
        <f t="shared" si="36"/>
        <v>0</v>
      </c>
      <c r="BD48" s="1246"/>
    </row>
    <row r="49" spans="1:56" s="2" customFormat="1" ht="14.4" customHeight="1" outlineLevel="2" thickBot="1" x14ac:dyDescent="0.3">
      <c r="A49" s="11"/>
      <c r="B49" s="1218"/>
      <c r="C49" s="1113"/>
      <c r="D49" s="1219"/>
      <c r="E49" s="1119"/>
      <c r="F49" s="1120"/>
      <c r="G49" s="1034"/>
      <c r="H49" s="1033"/>
      <c r="I49" s="1214"/>
      <c r="J49" s="1279" t="e">
        <f>I49/#REF!</f>
        <v>#REF!</v>
      </c>
      <c r="K49" s="1196"/>
      <c r="L49" s="1761"/>
      <c r="M49" s="1659"/>
      <c r="N49" s="1454"/>
      <c r="O49" s="1893"/>
      <c r="P49" s="1889"/>
      <c r="Q49" s="1659"/>
      <c r="R49" s="1447"/>
      <c r="S49" s="1454"/>
      <c r="T49" s="1893"/>
      <c r="U49" s="1889"/>
      <c r="V49" s="1787"/>
      <c r="W49" s="1640"/>
      <c r="X49" s="1743"/>
      <c r="Y49" s="1894"/>
      <c r="Z49" s="1890"/>
      <c r="AA49" s="1659"/>
      <c r="AB49" s="1447"/>
      <c r="AC49" s="1454"/>
      <c r="AD49" s="1893">
        <f t="shared" si="31"/>
        <v>0</v>
      </c>
      <c r="AE49" s="1889"/>
      <c r="AF49" s="1033"/>
      <c r="AG49" s="1188"/>
      <c r="AH49" s="1177"/>
      <c r="AI49" s="1245" t="e">
        <f>AH49/#REF!</f>
        <v>#REF!</v>
      </c>
      <c r="AJ49" s="1196"/>
      <c r="AK49" s="1033"/>
      <c r="AL49" s="1188"/>
      <c r="AM49" s="1177"/>
      <c r="AN49" s="1245" t="e">
        <f>AM49/#REF!</f>
        <v>#REF!</v>
      </c>
      <c r="AO49" s="1196"/>
      <c r="AP49" s="1033"/>
      <c r="AQ49" s="1188"/>
      <c r="AR49" s="1177"/>
      <c r="AS49" s="1245" t="e">
        <f>AR49/#REF!</f>
        <v>#REF!</v>
      </c>
      <c r="AT49" s="1196"/>
      <c r="AU49" s="1033"/>
      <c r="AV49" s="1188"/>
      <c r="AW49" s="1177"/>
      <c r="AX49" s="1245" t="e">
        <f>AW49/#REF!</f>
        <v>#REF!</v>
      </c>
      <c r="AY49" s="1196"/>
      <c r="AZ49" s="1188">
        <f>G49+L49+Q49+V49</f>
        <v>0</v>
      </c>
      <c r="BA49" s="1188">
        <f>H49+M49+R49+W49</f>
        <v>0</v>
      </c>
      <c r="BB49" s="1177"/>
      <c r="BC49" s="1245">
        <f t="shared" si="36"/>
        <v>0</v>
      </c>
      <c r="BD49" s="1177"/>
    </row>
    <row r="50" spans="1:56" s="2" customFormat="1" ht="14.4" customHeight="1" outlineLevel="1" x14ac:dyDescent="0.25">
      <c r="A50" s="293"/>
      <c r="B50" s="993" t="s">
        <v>59</v>
      </c>
      <c r="C50" s="578">
        <f>SUM(C51:C52)</f>
        <v>0</v>
      </c>
      <c r="D50" s="578">
        <f>SUM(D51:D52)</f>
        <v>0</v>
      </c>
      <c r="E50" s="578">
        <f>SUM(E51:E52)</f>
        <v>0</v>
      </c>
      <c r="F50" s="580" t="e">
        <f>E50/$E$89</f>
        <v>#DIV/0!</v>
      </c>
      <c r="G50" s="578">
        <f>G52+G51</f>
        <v>0</v>
      </c>
      <c r="H50" s="579">
        <f>H52+H51</f>
        <v>0</v>
      </c>
      <c r="I50" s="578">
        <f>SUM(I51:I52)</f>
        <v>0</v>
      </c>
      <c r="J50" s="581"/>
      <c r="K50" s="667"/>
      <c r="L50" s="1512">
        <f>L52+L51</f>
        <v>0</v>
      </c>
      <c r="M50" s="1515">
        <f>M52+M51</f>
        <v>0</v>
      </c>
      <c r="N50" s="1512">
        <f>SUM(N51:N52)</f>
        <v>0</v>
      </c>
      <c r="O50" s="1461"/>
      <c r="P50" s="1674"/>
      <c r="Q50" s="1512">
        <f>Q52+Q51</f>
        <v>0</v>
      </c>
      <c r="R50" s="1512">
        <f>R52+R51</f>
        <v>0</v>
      </c>
      <c r="S50" s="1512">
        <f>SUM(S51:S52)</f>
        <v>0</v>
      </c>
      <c r="T50" s="1461"/>
      <c r="U50" s="1674"/>
      <c r="V50" s="1810">
        <f>V52+V51</f>
        <v>0</v>
      </c>
      <c r="W50" s="1810">
        <f>W52+W51</f>
        <v>0</v>
      </c>
      <c r="X50" s="1810">
        <f>SUM(X51:X52)</f>
        <v>0</v>
      </c>
      <c r="Y50" s="1809">
        <f>X50/$X$89</f>
        <v>0</v>
      </c>
      <c r="Z50" s="1811"/>
      <c r="AA50" s="1512">
        <f>AA52+AA51</f>
        <v>0</v>
      </c>
      <c r="AB50" s="1512">
        <f>AB52+AB51</f>
        <v>0</v>
      </c>
      <c r="AC50" s="1512">
        <f>SUM(AC51:AC52)</f>
        <v>0</v>
      </c>
      <c r="AD50" s="1461">
        <f t="shared" si="31"/>
        <v>0</v>
      </c>
      <c r="AE50" s="1674"/>
      <c r="AF50" s="578">
        <f>AF52+AF51</f>
        <v>0</v>
      </c>
      <c r="AG50" s="578">
        <f>AG52+AG51</f>
        <v>0</v>
      </c>
      <c r="AH50" s="578">
        <f>SUM(AH51:AH52)</f>
        <v>0</v>
      </c>
      <c r="AI50" s="581">
        <f>AH50/$X$89</f>
        <v>0</v>
      </c>
      <c r="AJ50" s="667"/>
      <c r="AK50" s="578">
        <f>AK52+AK51</f>
        <v>0</v>
      </c>
      <c r="AL50" s="578">
        <f>AL52+AL51</f>
        <v>0</v>
      </c>
      <c r="AM50" s="578">
        <f>SUM(AM51:AM52)</f>
        <v>0</v>
      </c>
      <c r="AN50" s="581">
        <f>AM50/$X$89</f>
        <v>0</v>
      </c>
      <c r="AO50" s="667"/>
      <c r="AP50" s="578">
        <f>AP52+AP51</f>
        <v>0</v>
      </c>
      <c r="AQ50" s="578">
        <f>AQ52+AQ51</f>
        <v>0</v>
      </c>
      <c r="AR50" s="578">
        <f>SUM(AR51:AR52)</f>
        <v>0</v>
      </c>
      <c r="AS50" s="581">
        <f>AR50/$X$89</f>
        <v>0</v>
      </c>
      <c r="AT50" s="667"/>
      <c r="AU50" s="578">
        <f>AU52+AU51</f>
        <v>0</v>
      </c>
      <c r="AV50" s="578">
        <f>AV52+AV51</f>
        <v>0</v>
      </c>
      <c r="AW50" s="578">
        <f>SUM(AW51:AW52)</f>
        <v>0</v>
      </c>
      <c r="AX50" s="581">
        <f>AW50/$X$89</f>
        <v>0</v>
      </c>
      <c r="AY50" s="667"/>
      <c r="AZ50" s="578">
        <f>AZ52+AZ51</f>
        <v>0</v>
      </c>
      <c r="BA50" s="578">
        <f>BA52+BA51</f>
        <v>0</v>
      </c>
      <c r="BB50" s="578">
        <f>SUM(BB51:BB52)</f>
        <v>0</v>
      </c>
      <c r="BC50" s="581"/>
      <c r="BD50" s="581"/>
    </row>
    <row r="51" spans="1:56" s="226" customFormat="1" ht="14.4" customHeight="1" outlineLevel="1" x14ac:dyDescent="0.25">
      <c r="A51" s="234"/>
      <c r="B51" s="1271" t="s">
        <v>60</v>
      </c>
      <c r="C51" s="1242"/>
      <c r="D51" s="1243"/>
      <c r="E51" s="1243">
        <f>C51+D51*1.15</f>
        <v>0</v>
      </c>
      <c r="F51" s="1248" t="e">
        <f>E51/$E$89</f>
        <v>#DIV/0!</v>
      </c>
      <c r="G51" s="1034"/>
      <c r="H51" s="1033"/>
      <c r="I51" s="1072">
        <f>G51+H51*1</f>
        <v>0</v>
      </c>
      <c r="J51" s="1279" t="e">
        <f>I51/#REF!</f>
        <v>#REF!</v>
      </c>
      <c r="K51" s="1289"/>
      <c r="L51" s="1761"/>
      <c r="M51" s="1659"/>
      <c r="N51" s="1495">
        <f>L51+M51*1</f>
        <v>0</v>
      </c>
      <c r="O51" s="1893"/>
      <c r="P51" s="1930"/>
      <c r="Q51" s="1659"/>
      <c r="R51" s="1447"/>
      <c r="S51" s="1495">
        <f>Q51+R51*1</f>
        <v>0</v>
      </c>
      <c r="T51" s="1893"/>
      <c r="U51" s="1930"/>
      <c r="V51" s="1787"/>
      <c r="W51" s="1640"/>
      <c r="X51" s="1780">
        <f>V51+W51*1</f>
        <v>0</v>
      </c>
      <c r="Y51" s="1894">
        <f>X51/$X$89</f>
        <v>0</v>
      </c>
      <c r="Z51" s="1931"/>
      <c r="AA51" s="1659"/>
      <c r="AB51" s="1447"/>
      <c r="AC51" s="1495">
        <f>AA51+AB51*1</f>
        <v>0</v>
      </c>
      <c r="AD51" s="1893">
        <f t="shared" si="31"/>
        <v>0</v>
      </c>
      <c r="AE51" s="1930"/>
      <c r="AF51" s="1033"/>
      <c r="AG51" s="1188"/>
      <c r="AH51" s="1190">
        <f>AF51+AG51*1</f>
        <v>0</v>
      </c>
      <c r="AI51" s="1245">
        <f>AH51/$X$89</f>
        <v>0</v>
      </c>
      <c r="AJ51" s="1289"/>
      <c r="AK51" s="1033"/>
      <c r="AL51" s="1188"/>
      <c r="AM51" s="1190">
        <f>AK51+AL51*1</f>
        <v>0</v>
      </c>
      <c r="AN51" s="1245">
        <f>AM51/$X$89</f>
        <v>0</v>
      </c>
      <c r="AO51" s="1289"/>
      <c r="AP51" s="1033"/>
      <c r="AQ51" s="1188"/>
      <c r="AR51" s="1190">
        <f>AP51+AQ51*1</f>
        <v>0</v>
      </c>
      <c r="AS51" s="1245">
        <f>AR51/$X$89</f>
        <v>0</v>
      </c>
      <c r="AT51" s="1289"/>
      <c r="AU51" s="1033"/>
      <c r="AV51" s="1188"/>
      <c r="AW51" s="1190">
        <f>AU51+AV51*1</f>
        <v>0</v>
      </c>
      <c r="AX51" s="1245">
        <f>AW51/$X$89</f>
        <v>0</v>
      </c>
      <c r="AY51" s="1289"/>
      <c r="AZ51" s="2067">
        <f>G51+L51+Q51+V51+AA51</f>
        <v>0</v>
      </c>
      <c r="BA51" s="2067">
        <f>H51+M51+R51+W51+AB51</f>
        <v>0</v>
      </c>
      <c r="BB51" s="1190">
        <f>AZ51+BA51*1</f>
        <v>0</v>
      </c>
      <c r="BC51" s="1245">
        <f>BB51/$BB$89</f>
        <v>0</v>
      </c>
      <c r="BD51" s="1249"/>
    </row>
    <row r="52" spans="1:56" s="235" customFormat="1" ht="14.4" customHeight="1" outlineLevel="2" x14ac:dyDescent="0.25">
      <c r="A52" s="234"/>
      <c r="B52" s="1271" t="s">
        <v>61</v>
      </c>
      <c r="C52" s="1242"/>
      <c r="D52" s="1243"/>
      <c r="E52" s="1243">
        <f>C52+D52*1.15</f>
        <v>0</v>
      </c>
      <c r="F52" s="1248" t="e">
        <f>E52/$E$89</f>
        <v>#DIV/0!</v>
      </c>
      <c r="G52" s="1034"/>
      <c r="H52" s="1033"/>
      <c r="I52" s="1072">
        <f>G52+H52*1</f>
        <v>0</v>
      </c>
      <c r="J52" s="1279" t="e">
        <f>I52/#REF!</f>
        <v>#REF!</v>
      </c>
      <c r="K52" s="1030"/>
      <c r="L52" s="1761"/>
      <c r="M52" s="1659"/>
      <c r="N52" s="1495">
        <f>L52+M52*1</f>
        <v>0</v>
      </c>
      <c r="O52" s="1893"/>
      <c r="P52" s="1605"/>
      <c r="Q52" s="1659"/>
      <c r="R52" s="1447"/>
      <c r="S52" s="1495">
        <f>Q52+R52*1</f>
        <v>0</v>
      </c>
      <c r="T52" s="1893"/>
      <c r="U52" s="1605"/>
      <c r="V52" s="1787"/>
      <c r="W52" s="1640"/>
      <c r="X52" s="1780">
        <f>V52+W52*1</f>
        <v>0</v>
      </c>
      <c r="Y52" s="1894">
        <f>X52/$X$89</f>
        <v>0</v>
      </c>
      <c r="Z52" s="1741"/>
      <c r="AA52" s="1659"/>
      <c r="AB52" s="1447"/>
      <c r="AC52" s="1495">
        <f>AA52+AB52*1</f>
        <v>0</v>
      </c>
      <c r="AD52" s="1893">
        <f t="shared" si="31"/>
        <v>0</v>
      </c>
      <c r="AE52" s="1605"/>
      <c r="AF52" s="1033"/>
      <c r="AG52" s="1188"/>
      <c r="AH52" s="1190">
        <f>AF52+AG52*1</f>
        <v>0</v>
      </c>
      <c r="AI52" s="1245">
        <f>AH52/$X$89</f>
        <v>0</v>
      </c>
      <c r="AJ52" s="1030"/>
      <c r="AK52" s="1033"/>
      <c r="AL52" s="1188"/>
      <c r="AM52" s="1190">
        <f>AK52+AL52*1</f>
        <v>0</v>
      </c>
      <c r="AN52" s="1245">
        <f>AM52/$X$89</f>
        <v>0</v>
      </c>
      <c r="AO52" s="1030"/>
      <c r="AP52" s="1033"/>
      <c r="AQ52" s="1188"/>
      <c r="AR52" s="1190">
        <f>AP52+AQ52*1</f>
        <v>0</v>
      </c>
      <c r="AS52" s="1245">
        <f>AR52/$X$89</f>
        <v>0</v>
      </c>
      <c r="AT52" s="1030"/>
      <c r="AU52" s="1033"/>
      <c r="AV52" s="1188"/>
      <c r="AW52" s="1190">
        <f>AU52+AV52*1</f>
        <v>0</v>
      </c>
      <c r="AX52" s="1245">
        <f>AW52/$X$89</f>
        <v>0</v>
      </c>
      <c r="AY52" s="1030"/>
      <c r="AZ52" s="2067">
        <f>G52+L52+Q52+V52+AA52</f>
        <v>0</v>
      </c>
      <c r="BA52" s="2067">
        <f>H52+M52+R52+W52+AB52</f>
        <v>0</v>
      </c>
      <c r="BB52" s="1190">
        <f>AZ52+BA52*1</f>
        <v>0</v>
      </c>
      <c r="BC52" s="1245">
        <f>BB52/$BB$89</f>
        <v>0</v>
      </c>
      <c r="BD52" s="1249"/>
    </row>
    <row r="53" spans="1:56" ht="14.4" customHeight="1" outlineLevel="1" thickBot="1" x14ac:dyDescent="0.3">
      <c r="A53" s="20"/>
      <c r="B53" s="1078"/>
      <c r="C53" s="1220"/>
      <c r="D53" s="1095"/>
      <c r="E53" s="1221"/>
      <c r="F53" s="1222"/>
      <c r="G53" s="1034"/>
      <c r="H53" s="1033"/>
      <c r="I53" s="1223"/>
      <c r="J53" s="1096"/>
      <c r="K53" s="1198"/>
      <c r="L53" s="1761"/>
      <c r="M53" s="1659"/>
      <c r="N53" s="1462"/>
      <c r="O53" s="1462"/>
      <c r="P53" s="1891"/>
      <c r="Q53" s="1659"/>
      <c r="R53" s="1447"/>
      <c r="S53" s="1462"/>
      <c r="T53" s="1462"/>
      <c r="U53" s="1891"/>
      <c r="V53" s="1787"/>
      <c r="W53" s="1640"/>
      <c r="X53" s="1812"/>
      <c r="Y53" s="1812"/>
      <c r="Z53" s="1892"/>
      <c r="AA53" s="1659"/>
      <c r="AB53" s="1447"/>
      <c r="AC53" s="1462"/>
      <c r="AD53" s="1462">
        <f t="shared" si="31"/>
        <v>0</v>
      </c>
      <c r="AE53" s="1891"/>
      <c r="AF53" s="1033"/>
      <c r="AG53" s="1188"/>
      <c r="AH53" s="1179"/>
      <c r="AI53" s="1179"/>
      <c r="AJ53" s="1198"/>
      <c r="AK53" s="1033"/>
      <c r="AL53" s="1188"/>
      <c r="AM53" s="1179"/>
      <c r="AN53" s="1179"/>
      <c r="AO53" s="1198"/>
      <c r="AP53" s="1033"/>
      <c r="AQ53" s="1188"/>
      <c r="AR53" s="1179"/>
      <c r="AS53" s="1179"/>
      <c r="AT53" s="1198"/>
      <c r="AU53" s="1033"/>
      <c r="AV53" s="1188"/>
      <c r="AW53" s="1179"/>
      <c r="AX53" s="1179"/>
      <c r="AY53" s="1198"/>
      <c r="AZ53" s="1188">
        <f>G53+L53+Q53+V53</f>
        <v>0</v>
      </c>
      <c r="BA53" s="1188">
        <f>H53+M53+R53+W53</f>
        <v>0</v>
      </c>
      <c r="BB53" s="1179"/>
      <c r="BC53" s="1179"/>
      <c r="BD53" s="1179"/>
    </row>
    <row r="54" spans="1:56" ht="14.4" customHeight="1" outlineLevel="1" x14ac:dyDescent="0.25">
      <c r="A54" s="236"/>
      <c r="B54" s="993" t="s">
        <v>1</v>
      </c>
      <c r="C54" s="578">
        <f>SUM(C55:C71)</f>
        <v>0</v>
      </c>
      <c r="D54" s="578">
        <f>SUM(D55:D71)</f>
        <v>0</v>
      </c>
      <c r="E54" s="579">
        <f>SUM(E55:E71)</f>
        <v>0</v>
      </c>
      <c r="F54" s="580" t="e">
        <f>E54/$E$89</f>
        <v>#DIV/0!</v>
      </c>
      <c r="G54" s="578">
        <f>SUM(G55:G72)</f>
        <v>0</v>
      </c>
      <c r="H54" s="579">
        <f>SUM(H55:H72)</f>
        <v>0</v>
      </c>
      <c r="I54" s="578">
        <f>SUM(I55:I72)</f>
        <v>0</v>
      </c>
      <c r="J54" s="1286" t="e">
        <f>I54/$I$89</f>
        <v>#DIV/0!</v>
      </c>
      <c r="K54" s="667"/>
      <c r="L54" s="1512">
        <f>SUM(L55:L72)</f>
        <v>1200</v>
      </c>
      <c r="M54" s="1515">
        <f>SUM(M55:M72)</f>
        <v>2660.17</v>
      </c>
      <c r="N54" s="1512">
        <f>SUM(N55:N72)</f>
        <v>3860.17</v>
      </c>
      <c r="O54" s="1904" t="e">
        <f>N54/$I$89</f>
        <v>#DIV/0!</v>
      </c>
      <c r="P54" s="1674"/>
      <c r="Q54" s="1512">
        <f>SUM(Q55:Q72)</f>
        <v>0</v>
      </c>
      <c r="R54" s="1512">
        <f>SUM(R55:R72)</f>
        <v>0</v>
      </c>
      <c r="S54" s="1512">
        <f>SUM(S55:S72)</f>
        <v>0</v>
      </c>
      <c r="T54" s="1904">
        <f t="shared" ref="T54:T71" si="48">S54/$S$89</f>
        <v>0</v>
      </c>
      <c r="U54" s="1674"/>
      <c r="V54" s="1810">
        <f>SUM(V55:V72)</f>
        <v>0</v>
      </c>
      <c r="W54" s="1810">
        <f>SUM(W55:W72)</f>
        <v>413.6</v>
      </c>
      <c r="X54" s="1810">
        <f>SUM(X55:X72)</f>
        <v>413.6</v>
      </c>
      <c r="Y54" s="1905">
        <f t="shared" ref="Y54:Y71" si="49">X54/$X$89</f>
        <v>6.2477265119395976E-4</v>
      </c>
      <c r="Z54" s="1811"/>
      <c r="AA54" s="1512">
        <f>SUM(AA55:AA72)</f>
        <v>0</v>
      </c>
      <c r="AB54" s="1512">
        <f>SUM(AB55:AB72)</f>
        <v>31.89</v>
      </c>
      <c r="AC54" s="1512">
        <f>SUM(AC55:AC72)</f>
        <v>31.89</v>
      </c>
      <c r="AD54" s="1904">
        <f t="shared" si="31"/>
        <v>4.781084706214475E-4</v>
      </c>
      <c r="AE54" s="1674"/>
      <c r="AF54" s="578">
        <f>SUM(AF55:AF72)</f>
        <v>0</v>
      </c>
      <c r="AG54" s="578">
        <f>SUM(AG55:AG72)</f>
        <v>0</v>
      </c>
      <c r="AH54" s="578">
        <f>SUM(AH55:AH72)</f>
        <v>0</v>
      </c>
      <c r="AI54" s="1241" t="e">
        <f t="shared" ref="AI54:AI71" si="50">AH54/$AH$89</f>
        <v>#DIV/0!</v>
      </c>
      <c r="AJ54" s="667"/>
      <c r="AK54" s="578">
        <f>SUM(AK55:AK72)</f>
        <v>0</v>
      </c>
      <c r="AL54" s="578">
        <f>SUM(AL55:AL72)</f>
        <v>0</v>
      </c>
      <c r="AM54" s="578">
        <f>SUM(AM55:AM72)</f>
        <v>0</v>
      </c>
      <c r="AN54" s="1241" t="e">
        <f t="shared" ref="AN54:AN71" si="51">AM54/$AH$89</f>
        <v>#DIV/0!</v>
      </c>
      <c r="AO54" s="667"/>
      <c r="AP54" s="578">
        <f>SUM(AP55:AP72)</f>
        <v>0</v>
      </c>
      <c r="AQ54" s="578">
        <f>SUM(AQ55:AQ72)</f>
        <v>0</v>
      </c>
      <c r="AR54" s="578">
        <f>SUM(AR55:AR72)</f>
        <v>0</v>
      </c>
      <c r="AS54" s="1241" t="e">
        <f t="shared" ref="AS54:AS71" si="52">AR54/$AR$89</f>
        <v>#DIV/0!</v>
      </c>
      <c r="AT54" s="667"/>
      <c r="AU54" s="578">
        <f>SUM(AU55:AU72)</f>
        <v>0</v>
      </c>
      <c r="AV54" s="578">
        <f>SUM(AV55:AV72)</f>
        <v>0</v>
      </c>
      <c r="AW54" s="578">
        <f>SUM(AW55:AW72)</f>
        <v>0</v>
      </c>
      <c r="AX54" s="1241" t="e">
        <f t="shared" ref="AX54:AX71" si="53">AW54/$AW$89</f>
        <v>#DIV/0!</v>
      </c>
      <c r="AY54" s="667"/>
      <c r="AZ54" s="578">
        <f>SUM(AZ55:AZ72)</f>
        <v>1200</v>
      </c>
      <c r="BA54" s="578">
        <f>SUM(BA55:BA72)</f>
        <v>3105.66</v>
      </c>
      <c r="BB54" s="578">
        <f>SUM(BB55:BB72)</f>
        <v>4305.66</v>
      </c>
      <c r="BC54" s="1241">
        <f t="shared" ref="BC54:BC71" si="54">BB54/$BB$89</f>
        <v>1.431248917198782E-3</v>
      </c>
      <c r="BD54" s="581"/>
    </row>
    <row r="55" spans="1:56" ht="14.4" customHeight="1" outlineLevel="2" x14ac:dyDescent="0.25">
      <c r="A55" s="237"/>
      <c r="B55" s="1281" t="s">
        <v>77</v>
      </c>
      <c r="C55" s="1242"/>
      <c r="D55" s="1251"/>
      <c r="E55" s="1244">
        <f t="shared" ref="E55:E70" si="55">C55+D55*1.15</f>
        <v>0</v>
      </c>
      <c r="F55" s="1245" t="e">
        <f>E55/$E$89</f>
        <v>#DIV/0!</v>
      </c>
      <c r="G55" s="1050"/>
      <c r="H55" s="1032"/>
      <c r="I55" s="1072">
        <f t="shared" ref="I55:I71" si="56">G55+H55*1</f>
        <v>0</v>
      </c>
      <c r="J55" s="1279" t="e">
        <f>I55/$I$89</f>
        <v>#DIV/0!</v>
      </c>
      <c r="K55" s="1030"/>
      <c r="L55" s="1493"/>
      <c r="M55" s="1494"/>
      <c r="N55" s="1495">
        <f t="shared" ref="N55:N71" si="57">L55+M55*1</f>
        <v>0</v>
      </c>
      <c r="O55" s="1893">
        <f t="shared" ref="O55:O71" si="58">N55/$N$89</f>
        <v>0</v>
      </c>
      <c r="P55" s="1605"/>
      <c r="Q55" s="1494"/>
      <c r="R55" s="1567"/>
      <c r="S55" s="1495">
        <f t="shared" ref="S55:S71" si="59">Q55+R55*1</f>
        <v>0</v>
      </c>
      <c r="T55" s="1893">
        <f t="shared" si="48"/>
        <v>0</v>
      </c>
      <c r="U55" s="1605"/>
      <c r="V55" s="1813"/>
      <c r="W55" s="1791"/>
      <c r="X55" s="1780">
        <f t="shared" ref="X55:X71" si="60">V55+W55*1</f>
        <v>0</v>
      </c>
      <c r="Y55" s="1894">
        <f t="shared" si="49"/>
        <v>0</v>
      </c>
      <c r="Z55" s="1741"/>
      <c r="AA55" s="1494"/>
      <c r="AB55" s="1567"/>
      <c r="AC55" s="1495">
        <f t="shared" ref="AC55:AC71" si="61">AA55+AB55*1</f>
        <v>0</v>
      </c>
      <c r="AD55" s="1893">
        <f t="shared" si="31"/>
        <v>0</v>
      </c>
      <c r="AE55" s="1605"/>
      <c r="AF55" s="1032"/>
      <c r="AG55" s="1031"/>
      <c r="AH55" s="1190">
        <f t="shared" ref="AH55:AH71" si="62">AF55+AG55*1</f>
        <v>0</v>
      </c>
      <c r="AI55" s="1245" t="e">
        <f t="shared" si="50"/>
        <v>#DIV/0!</v>
      </c>
      <c r="AJ55" s="1030"/>
      <c r="AK55" s="1032"/>
      <c r="AL55" s="1031"/>
      <c r="AM55" s="1190">
        <f t="shared" ref="AM55:AM71" si="63">AK55+AL55*1</f>
        <v>0</v>
      </c>
      <c r="AN55" s="1245" t="e">
        <f t="shared" si="51"/>
        <v>#DIV/0!</v>
      </c>
      <c r="AO55" s="1030"/>
      <c r="AP55" s="1032"/>
      <c r="AQ55" s="1031"/>
      <c r="AR55" s="1190">
        <f t="shared" ref="AR55:AR62" si="64">AP55+AQ55*1</f>
        <v>0</v>
      </c>
      <c r="AS55" s="1245" t="e">
        <f t="shared" si="52"/>
        <v>#DIV/0!</v>
      </c>
      <c r="AT55" s="1030"/>
      <c r="AU55" s="1032"/>
      <c r="AV55" s="1031"/>
      <c r="AW55" s="1190">
        <f t="shared" ref="AW55:AW62" si="65">AU55+AV55*1</f>
        <v>0</v>
      </c>
      <c r="AX55" s="1245" t="e">
        <f t="shared" si="53"/>
        <v>#DIV/0!</v>
      </c>
      <c r="AY55" s="1030"/>
      <c r="AZ55" s="2067">
        <f t="shared" ref="AZ55:AZ71" si="66">G55+L55+Q55+V55+AA55</f>
        <v>0</v>
      </c>
      <c r="BA55" s="2067">
        <f t="shared" ref="BA55:BA71" si="67">H55+M55+R55+W55+AB55</f>
        <v>0</v>
      </c>
      <c r="BB55" s="1190">
        <f t="shared" ref="BB55:BB71" si="68">AZ55+BA55*1</f>
        <v>0</v>
      </c>
      <c r="BC55" s="1245">
        <f t="shared" si="54"/>
        <v>0</v>
      </c>
      <c r="BD55" s="1246"/>
    </row>
    <row r="56" spans="1:56" ht="14.4" customHeight="1" outlineLevel="2" x14ac:dyDescent="0.25">
      <c r="A56" s="237"/>
      <c r="B56" s="1281" t="s">
        <v>76</v>
      </c>
      <c r="C56" s="1242"/>
      <c r="D56" s="1251"/>
      <c r="E56" s="1244">
        <f t="shared" si="55"/>
        <v>0</v>
      </c>
      <c r="F56" s="1245" t="e">
        <f t="shared" ref="F56:F72" si="69">E56/$E$89</f>
        <v>#DIV/0!</v>
      </c>
      <c r="G56" s="1050"/>
      <c r="H56" s="1032"/>
      <c r="I56" s="1072">
        <f t="shared" si="56"/>
        <v>0</v>
      </c>
      <c r="J56" s="1279" t="e">
        <f t="shared" ref="J56:J66" si="70">I56/$I$89</f>
        <v>#DIV/0!</v>
      </c>
      <c r="K56" s="1030"/>
      <c r="L56" s="1493"/>
      <c r="M56" s="1494"/>
      <c r="N56" s="1495">
        <f t="shared" si="57"/>
        <v>0</v>
      </c>
      <c r="O56" s="1893">
        <f t="shared" si="58"/>
        <v>0</v>
      </c>
      <c r="P56" s="1605"/>
      <c r="Q56" s="1494"/>
      <c r="R56" s="1567"/>
      <c r="S56" s="1495">
        <f t="shared" si="59"/>
        <v>0</v>
      </c>
      <c r="T56" s="1893">
        <f t="shared" si="48"/>
        <v>0</v>
      </c>
      <c r="U56" s="1605"/>
      <c r="V56" s="1813"/>
      <c r="W56" s="1791"/>
      <c r="X56" s="1780">
        <f t="shared" si="60"/>
        <v>0</v>
      </c>
      <c r="Y56" s="1894">
        <f t="shared" si="49"/>
        <v>0</v>
      </c>
      <c r="Z56" s="1741"/>
      <c r="AA56" s="1494"/>
      <c r="AB56" s="1567"/>
      <c r="AC56" s="1495">
        <f t="shared" si="61"/>
        <v>0</v>
      </c>
      <c r="AD56" s="1893">
        <f t="shared" si="31"/>
        <v>0</v>
      </c>
      <c r="AE56" s="1605"/>
      <c r="AF56" s="1032"/>
      <c r="AG56" s="1031"/>
      <c r="AH56" s="1190">
        <f t="shared" si="62"/>
        <v>0</v>
      </c>
      <c r="AI56" s="1245" t="e">
        <f t="shared" si="50"/>
        <v>#DIV/0!</v>
      </c>
      <c r="AJ56" s="1030"/>
      <c r="AK56" s="1032"/>
      <c r="AL56" s="1031"/>
      <c r="AM56" s="1190">
        <f t="shared" si="63"/>
        <v>0</v>
      </c>
      <c r="AN56" s="1245" t="e">
        <f t="shared" si="51"/>
        <v>#DIV/0!</v>
      </c>
      <c r="AO56" s="1030"/>
      <c r="AP56" s="1032"/>
      <c r="AQ56" s="1031"/>
      <c r="AR56" s="1190">
        <f t="shared" si="64"/>
        <v>0</v>
      </c>
      <c r="AS56" s="1245" t="e">
        <f t="shared" si="52"/>
        <v>#DIV/0!</v>
      </c>
      <c r="AT56" s="1030"/>
      <c r="AU56" s="1032"/>
      <c r="AV56" s="1031"/>
      <c r="AW56" s="1190">
        <f t="shared" si="65"/>
        <v>0</v>
      </c>
      <c r="AX56" s="1245" t="e">
        <f t="shared" si="53"/>
        <v>#DIV/0!</v>
      </c>
      <c r="AY56" s="1030"/>
      <c r="AZ56" s="2067">
        <f t="shared" si="66"/>
        <v>0</v>
      </c>
      <c r="BA56" s="2067">
        <f t="shared" si="67"/>
        <v>0</v>
      </c>
      <c r="BB56" s="1190">
        <f t="shared" si="68"/>
        <v>0</v>
      </c>
      <c r="BC56" s="1245">
        <f t="shared" si="54"/>
        <v>0</v>
      </c>
      <c r="BD56" s="1246"/>
    </row>
    <row r="57" spans="1:56" ht="14.4" customHeight="1" outlineLevel="2" x14ac:dyDescent="0.25">
      <c r="A57" s="237"/>
      <c r="B57" s="1281" t="s">
        <v>68</v>
      </c>
      <c r="C57" s="1242"/>
      <c r="D57" s="1251"/>
      <c r="E57" s="1244">
        <f t="shared" si="55"/>
        <v>0</v>
      </c>
      <c r="F57" s="1245" t="e">
        <f t="shared" si="69"/>
        <v>#DIV/0!</v>
      </c>
      <c r="G57" s="1050"/>
      <c r="H57" s="1032"/>
      <c r="I57" s="1072">
        <f t="shared" si="56"/>
        <v>0</v>
      </c>
      <c r="J57" s="1279" t="e">
        <f t="shared" si="70"/>
        <v>#DIV/0!</v>
      </c>
      <c r="K57" s="1030"/>
      <c r="L57" s="1493"/>
      <c r="M57" s="1494"/>
      <c r="N57" s="1495">
        <f t="shared" si="57"/>
        <v>0</v>
      </c>
      <c r="O57" s="1893">
        <f t="shared" si="58"/>
        <v>0</v>
      </c>
      <c r="P57" s="1605"/>
      <c r="Q57" s="1494"/>
      <c r="R57" s="1567"/>
      <c r="S57" s="1495">
        <f t="shared" si="59"/>
        <v>0</v>
      </c>
      <c r="T57" s="1893">
        <f t="shared" si="48"/>
        <v>0</v>
      </c>
      <c r="U57" s="1605"/>
      <c r="V57" s="1813"/>
      <c r="W57" s="1791"/>
      <c r="X57" s="1780">
        <f t="shared" si="60"/>
        <v>0</v>
      </c>
      <c r="Y57" s="1894">
        <f t="shared" si="49"/>
        <v>0</v>
      </c>
      <c r="Z57" s="1741"/>
      <c r="AA57" s="1494"/>
      <c r="AB57" s="1567"/>
      <c r="AC57" s="1495">
        <f t="shared" si="61"/>
        <v>0</v>
      </c>
      <c r="AD57" s="1893">
        <f t="shared" si="31"/>
        <v>0</v>
      </c>
      <c r="AE57" s="1605"/>
      <c r="AF57" s="1032"/>
      <c r="AG57" s="1031"/>
      <c r="AH57" s="1190">
        <f t="shared" si="62"/>
        <v>0</v>
      </c>
      <c r="AI57" s="1245" t="e">
        <f t="shared" si="50"/>
        <v>#DIV/0!</v>
      </c>
      <c r="AJ57" s="1030"/>
      <c r="AK57" s="1032"/>
      <c r="AL57" s="1031"/>
      <c r="AM57" s="1190">
        <f t="shared" si="63"/>
        <v>0</v>
      </c>
      <c r="AN57" s="1245" t="e">
        <f t="shared" si="51"/>
        <v>#DIV/0!</v>
      </c>
      <c r="AO57" s="1030"/>
      <c r="AP57" s="1032"/>
      <c r="AQ57" s="1031"/>
      <c r="AR57" s="1190">
        <f t="shared" si="64"/>
        <v>0</v>
      </c>
      <c r="AS57" s="1245" t="e">
        <f t="shared" si="52"/>
        <v>#DIV/0!</v>
      </c>
      <c r="AT57" s="1030"/>
      <c r="AU57" s="1032"/>
      <c r="AV57" s="1031"/>
      <c r="AW57" s="1190">
        <f t="shared" si="65"/>
        <v>0</v>
      </c>
      <c r="AX57" s="1245" t="e">
        <f t="shared" si="53"/>
        <v>#DIV/0!</v>
      </c>
      <c r="AY57" s="1030"/>
      <c r="AZ57" s="2067">
        <f t="shared" si="66"/>
        <v>0</v>
      </c>
      <c r="BA57" s="2067">
        <f t="shared" si="67"/>
        <v>0</v>
      </c>
      <c r="BB57" s="1190">
        <f t="shared" si="68"/>
        <v>0</v>
      </c>
      <c r="BC57" s="1245">
        <f t="shared" si="54"/>
        <v>0</v>
      </c>
      <c r="BD57" s="1246"/>
    </row>
    <row r="58" spans="1:56" ht="14.4" customHeight="1" outlineLevel="2" x14ac:dyDescent="0.25">
      <c r="A58" s="237"/>
      <c r="B58" s="1281" t="s">
        <v>67</v>
      </c>
      <c r="C58" s="1242"/>
      <c r="D58" s="1251"/>
      <c r="E58" s="1244">
        <f t="shared" si="55"/>
        <v>0</v>
      </c>
      <c r="F58" s="1245" t="e">
        <f t="shared" si="69"/>
        <v>#DIV/0!</v>
      </c>
      <c r="G58" s="1050"/>
      <c r="H58" s="1032"/>
      <c r="I58" s="1072">
        <f t="shared" si="56"/>
        <v>0</v>
      </c>
      <c r="J58" s="1279" t="e">
        <f t="shared" si="70"/>
        <v>#DIV/0!</v>
      </c>
      <c r="K58" s="1030"/>
      <c r="L58" s="1493"/>
      <c r="M58" s="1494"/>
      <c r="N58" s="1495">
        <f t="shared" si="57"/>
        <v>0</v>
      </c>
      <c r="O58" s="1893">
        <f t="shared" si="58"/>
        <v>0</v>
      </c>
      <c r="P58" s="1605"/>
      <c r="Q58" s="1494"/>
      <c r="R58" s="1567"/>
      <c r="S58" s="1495">
        <f t="shared" si="59"/>
        <v>0</v>
      </c>
      <c r="T58" s="1893">
        <f t="shared" si="48"/>
        <v>0</v>
      </c>
      <c r="U58" s="1605"/>
      <c r="V58" s="1813"/>
      <c r="W58" s="1791"/>
      <c r="X58" s="1780">
        <f t="shared" si="60"/>
        <v>0</v>
      </c>
      <c r="Y58" s="1894">
        <f t="shared" si="49"/>
        <v>0</v>
      </c>
      <c r="Z58" s="1741"/>
      <c r="AA58" s="1494"/>
      <c r="AB58" s="1567"/>
      <c r="AC58" s="1495">
        <f t="shared" si="61"/>
        <v>0</v>
      </c>
      <c r="AD58" s="1893">
        <f t="shared" si="31"/>
        <v>0</v>
      </c>
      <c r="AE58" s="1605"/>
      <c r="AF58" s="1032"/>
      <c r="AG58" s="1031"/>
      <c r="AH58" s="1190">
        <f t="shared" si="62"/>
        <v>0</v>
      </c>
      <c r="AI58" s="1245" t="e">
        <f t="shared" si="50"/>
        <v>#DIV/0!</v>
      </c>
      <c r="AJ58" s="1030"/>
      <c r="AK58" s="1032"/>
      <c r="AL58" s="1031"/>
      <c r="AM58" s="1190">
        <f t="shared" si="63"/>
        <v>0</v>
      </c>
      <c r="AN58" s="1245" t="e">
        <f t="shared" si="51"/>
        <v>#DIV/0!</v>
      </c>
      <c r="AO58" s="1030"/>
      <c r="AP58" s="1032"/>
      <c r="AQ58" s="1031"/>
      <c r="AR58" s="1190">
        <f t="shared" si="64"/>
        <v>0</v>
      </c>
      <c r="AS58" s="1245" t="e">
        <f t="shared" si="52"/>
        <v>#DIV/0!</v>
      </c>
      <c r="AT58" s="1030"/>
      <c r="AU58" s="1032"/>
      <c r="AV58" s="1031"/>
      <c r="AW58" s="1190">
        <f t="shared" si="65"/>
        <v>0</v>
      </c>
      <c r="AX58" s="1245" t="e">
        <f t="shared" si="53"/>
        <v>#DIV/0!</v>
      </c>
      <c r="AY58" s="1030"/>
      <c r="AZ58" s="2067">
        <f t="shared" si="66"/>
        <v>0</v>
      </c>
      <c r="BA58" s="2067">
        <f t="shared" si="67"/>
        <v>0</v>
      </c>
      <c r="BB58" s="1190">
        <f t="shared" si="68"/>
        <v>0</v>
      </c>
      <c r="BC58" s="1245">
        <f t="shared" si="54"/>
        <v>0</v>
      </c>
      <c r="BD58" s="1246"/>
    </row>
    <row r="59" spans="1:56" ht="14.4" customHeight="1" outlineLevel="2" x14ac:dyDescent="0.25">
      <c r="A59" s="237"/>
      <c r="B59" s="1281" t="s">
        <v>66</v>
      </c>
      <c r="C59" s="1242"/>
      <c r="D59" s="1251"/>
      <c r="E59" s="1244">
        <f t="shared" si="55"/>
        <v>0</v>
      </c>
      <c r="F59" s="1245" t="e">
        <f t="shared" si="69"/>
        <v>#DIV/0!</v>
      </c>
      <c r="G59" s="1050"/>
      <c r="H59" s="1032"/>
      <c r="I59" s="1072">
        <f t="shared" si="56"/>
        <v>0</v>
      </c>
      <c r="J59" s="1279" t="e">
        <f t="shared" si="70"/>
        <v>#DIV/0!</v>
      </c>
      <c r="K59" s="1030"/>
      <c r="L59" s="1493"/>
      <c r="M59" s="1494"/>
      <c r="N59" s="1495">
        <f t="shared" si="57"/>
        <v>0</v>
      </c>
      <c r="O59" s="1893">
        <f t="shared" si="58"/>
        <v>0</v>
      </c>
      <c r="P59" s="1605"/>
      <c r="Q59" s="1494"/>
      <c r="R59" s="1567"/>
      <c r="S59" s="1495">
        <f t="shared" si="59"/>
        <v>0</v>
      </c>
      <c r="T59" s="1893">
        <f t="shared" si="48"/>
        <v>0</v>
      </c>
      <c r="U59" s="1605"/>
      <c r="V59" s="1813"/>
      <c r="W59" s="1791"/>
      <c r="X59" s="1780">
        <f t="shared" si="60"/>
        <v>0</v>
      </c>
      <c r="Y59" s="1894">
        <f t="shared" si="49"/>
        <v>0</v>
      </c>
      <c r="Z59" s="1741"/>
      <c r="AA59" s="1494"/>
      <c r="AB59" s="1567"/>
      <c r="AC59" s="1495">
        <f t="shared" si="61"/>
        <v>0</v>
      </c>
      <c r="AD59" s="1893">
        <f t="shared" si="31"/>
        <v>0</v>
      </c>
      <c r="AE59" s="1605"/>
      <c r="AF59" s="1032"/>
      <c r="AG59" s="1031"/>
      <c r="AH59" s="1190">
        <f t="shared" si="62"/>
        <v>0</v>
      </c>
      <c r="AI59" s="1245" t="e">
        <f t="shared" si="50"/>
        <v>#DIV/0!</v>
      </c>
      <c r="AJ59" s="1030"/>
      <c r="AK59" s="1032"/>
      <c r="AL59" s="1031"/>
      <c r="AM59" s="1190">
        <f t="shared" si="63"/>
        <v>0</v>
      </c>
      <c r="AN59" s="1245" t="e">
        <f t="shared" si="51"/>
        <v>#DIV/0!</v>
      </c>
      <c r="AO59" s="1030"/>
      <c r="AP59" s="1032"/>
      <c r="AQ59" s="1031"/>
      <c r="AR59" s="1190">
        <f t="shared" si="64"/>
        <v>0</v>
      </c>
      <c r="AS59" s="1245" t="e">
        <f t="shared" si="52"/>
        <v>#DIV/0!</v>
      </c>
      <c r="AT59" s="1030"/>
      <c r="AU59" s="1032"/>
      <c r="AV59" s="1031"/>
      <c r="AW59" s="1190">
        <f t="shared" si="65"/>
        <v>0</v>
      </c>
      <c r="AX59" s="1245" t="e">
        <f t="shared" si="53"/>
        <v>#DIV/0!</v>
      </c>
      <c r="AY59" s="1030"/>
      <c r="AZ59" s="2067">
        <f t="shared" si="66"/>
        <v>0</v>
      </c>
      <c r="BA59" s="2067">
        <f t="shared" si="67"/>
        <v>0</v>
      </c>
      <c r="BB59" s="1190">
        <f t="shared" si="68"/>
        <v>0</v>
      </c>
      <c r="BC59" s="1245">
        <f t="shared" si="54"/>
        <v>0</v>
      </c>
      <c r="BD59" s="1246"/>
    </row>
    <row r="60" spans="1:56" ht="14.4" customHeight="1" outlineLevel="2" x14ac:dyDescent="0.25">
      <c r="A60" s="237"/>
      <c r="B60" s="1281" t="s">
        <v>65</v>
      </c>
      <c r="C60" s="1242"/>
      <c r="D60" s="1251"/>
      <c r="E60" s="1244">
        <f t="shared" si="55"/>
        <v>0</v>
      </c>
      <c r="F60" s="1245" t="e">
        <f t="shared" si="69"/>
        <v>#DIV/0!</v>
      </c>
      <c r="G60" s="1050"/>
      <c r="H60" s="1032"/>
      <c r="I60" s="1072">
        <f t="shared" si="56"/>
        <v>0</v>
      </c>
      <c r="J60" s="1279" t="e">
        <f t="shared" si="70"/>
        <v>#DIV/0!</v>
      </c>
      <c r="K60" s="1030"/>
      <c r="L60" s="1493"/>
      <c r="M60" s="1494"/>
      <c r="N60" s="1495">
        <f t="shared" si="57"/>
        <v>0</v>
      </c>
      <c r="O60" s="1893">
        <f t="shared" si="58"/>
        <v>0</v>
      </c>
      <c r="P60" s="1605"/>
      <c r="Q60" s="1494"/>
      <c r="R60" s="1567"/>
      <c r="S60" s="1495">
        <f t="shared" si="59"/>
        <v>0</v>
      </c>
      <c r="T60" s="1893">
        <f t="shared" si="48"/>
        <v>0</v>
      </c>
      <c r="U60" s="1605"/>
      <c r="V60" s="1813"/>
      <c r="W60" s="1791"/>
      <c r="X60" s="1780">
        <f t="shared" si="60"/>
        <v>0</v>
      </c>
      <c r="Y60" s="1894">
        <f t="shared" si="49"/>
        <v>0</v>
      </c>
      <c r="Z60" s="1741"/>
      <c r="AA60" s="1494"/>
      <c r="AB60" s="1567"/>
      <c r="AC60" s="1495">
        <f t="shared" si="61"/>
        <v>0</v>
      </c>
      <c r="AD60" s="1893">
        <f t="shared" si="31"/>
        <v>0</v>
      </c>
      <c r="AE60" s="1605"/>
      <c r="AF60" s="1032"/>
      <c r="AG60" s="1031"/>
      <c r="AH60" s="1190">
        <f t="shared" si="62"/>
        <v>0</v>
      </c>
      <c r="AI60" s="1245" t="e">
        <f t="shared" si="50"/>
        <v>#DIV/0!</v>
      </c>
      <c r="AJ60" s="1030"/>
      <c r="AK60" s="1032"/>
      <c r="AL60" s="1031"/>
      <c r="AM60" s="1190">
        <f t="shared" si="63"/>
        <v>0</v>
      </c>
      <c r="AN60" s="1245" t="e">
        <f t="shared" si="51"/>
        <v>#DIV/0!</v>
      </c>
      <c r="AO60" s="1030"/>
      <c r="AP60" s="1032"/>
      <c r="AQ60" s="1031"/>
      <c r="AR60" s="1190">
        <f t="shared" si="64"/>
        <v>0</v>
      </c>
      <c r="AS60" s="1245" t="e">
        <f t="shared" si="52"/>
        <v>#DIV/0!</v>
      </c>
      <c r="AT60" s="1030"/>
      <c r="AU60" s="1032"/>
      <c r="AV60" s="1031"/>
      <c r="AW60" s="1190">
        <f t="shared" si="65"/>
        <v>0</v>
      </c>
      <c r="AX60" s="1245" t="e">
        <f t="shared" si="53"/>
        <v>#DIV/0!</v>
      </c>
      <c r="AY60" s="1030"/>
      <c r="AZ60" s="2067">
        <f t="shared" si="66"/>
        <v>0</v>
      </c>
      <c r="BA60" s="2067">
        <f t="shared" si="67"/>
        <v>0</v>
      </c>
      <c r="BB60" s="1190">
        <f t="shared" si="68"/>
        <v>0</v>
      </c>
      <c r="BC60" s="1245">
        <f t="shared" si="54"/>
        <v>0</v>
      </c>
      <c r="BD60" s="1246"/>
    </row>
    <row r="61" spans="1:56" ht="14.4" customHeight="1" outlineLevel="2" x14ac:dyDescent="0.25">
      <c r="A61" s="237"/>
      <c r="B61" s="1281" t="s">
        <v>32</v>
      </c>
      <c r="C61" s="1242"/>
      <c r="D61" s="1251"/>
      <c r="E61" s="1244">
        <f t="shared" si="55"/>
        <v>0</v>
      </c>
      <c r="F61" s="1245" t="e">
        <f t="shared" si="69"/>
        <v>#DIV/0!</v>
      </c>
      <c r="G61" s="1050"/>
      <c r="H61" s="1032"/>
      <c r="I61" s="1072">
        <f t="shared" si="56"/>
        <v>0</v>
      </c>
      <c r="J61" s="1279" t="e">
        <f t="shared" si="70"/>
        <v>#DIV/0!</v>
      </c>
      <c r="K61" s="1030"/>
      <c r="L61" s="1493"/>
      <c r="M61" s="1494"/>
      <c r="N61" s="1495">
        <f t="shared" si="57"/>
        <v>0</v>
      </c>
      <c r="O61" s="1893">
        <f t="shared" si="58"/>
        <v>0</v>
      </c>
      <c r="P61" s="1605"/>
      <c r="Q61" s="1494"/>
      <c r="R61" s="1567"/>
      <c r="S61" s="1495">
        <f t="shared" si="59"/>
        <v>0</v>
      </c>
      <c r="T61" s="1893">
        <f t="shared" si="48"/>
        <v>0</v>
      </c>
      <c r="U61" s="1605"/>
      <c r="V61" s="1813"/>
      <c r="W61" s="1791"/>
      <c r="X61" s="1780">
        <f t="shared" si="60"/>
        <v>0</v>
      </c>
      <c r="Y61" s="1894">
        <f t="shared" si="49"/>
        <v>0</v>
      </c>
      <c r="Z61" s="1741"/>
      <c r="AA61" s="1494"/>
      <c r="AB61" s="1567"/>
      <c r="AC61" s="1495">
        <f t="shared" si="61"/>
        <v>0</v>
      </c>
      <c r="AD61" s="1893">
        <f t="shared" si="31"/>
        <v>0</v>
      </c>
      <c r="AE61" s="1605"/>
      <c r="AF61" s="1032"/>
      <c r="AG61" s="1031"/>
      <c r="AH61" s="1190">
        <f t="shared" si="62"/>
        <v>0</v>
      </c>
      <c r="AI61" s="1245" t="e">
        <f t="shared" si="50"/>
        <v>#DIV/0!</v>
      </c>
      <c r="AJ61" s="1030"/>
      <c r="AK61" s="1032"/>
      <c r="AL61" s="1031"/>
      <c r="AM61" s="1190">
        <f t="shared" si="63"/>
        <v>0</v>
      </c>
      <c r="AN61" s="1245" t="e">
        <f t="shared" si="51"/>
        <v>#DIV/0!</v>
      </c>
      <c r="AO61" s="1030"/>
      <c r="AP61" s="1032"/>
      <c r="AQ61" s="1031"/>
      <c r="AR61" s="1190">
        <f t="shared" si="64"/>
        <v>0</v>
      </c>
      <c r="AS61" s="1245" t="e">
        <f t="shared" si="52"/>
        <v>#DIV/0!</v>
      </c>
      <c r="AT61" s="1030"/>
      <c r="AU61" s="1032"/>
      <c r="AV61" s="1031"/>
      <c r="AW61" s="1190">
        <f t="shared" si="65"/>
        <v>0</v>
      </c>
      <c r="AX61" s="1245" t="e">
        <f t="shared" si="53"/>
        <v>#DIV/0!</v>
      </c>
      <c r="AY61" s="1030"/>
      <c r="AZ61" s="2067">
        <f t="shared" si="66"/>
        <v>0</v>
      </c>
      <c r="BA61" s="2067">
        <f t="shared" si="67"/>
        <v>0</v>
      </c>
      <c r="BB61" s="1190">
        <f t="shared" si="68"/>
        <v>0</v>
      </c>
      <c r="BC61" s="1245">
        <f t="shared" si="54"/>
        <v>0</v>
      </c>
      <c r="BD61" s="1246"/>
    </row>
    <row r="62" spans="1:56" ht="14.4" customHeight="1" outlineLevel="2" x14ac:dyDescent="0.25">
      <c r="A62" s="237"/>
      <c r="B62" s="1281" t="s">
        <v>33</v>
      </c>
      <c r="C62" s="1252"/>
      <c r="D62" s="1251"/>
      <c r="E62" s="1244">
        <f t="shared" si="55"/>
        <v>0</v>
      </c>
      <c r="F62" s="1245" t="e">
        <f t="shared" si="69"/>
        <v>#DIV/0!</v>
      </c>
      <c r="G62" s="1050"/>
      <c r="H62" s="1032"/>
      <c r="I62" s="1072">
        <f t="shared" si="56"/>
        <v>0</v>
      </c>
      <c r="J62" s="1279" t="e">
        <f t="shared" si="70"/>
        <v>#DIV/0!</v>
      </c>
      <c r="K62" s="1030"/>
      <c r="L62" s="1493"/>
      <c r="M62" s="1494"/>
      <c r="N62" s="1495">
        <f t="shared" si="57"/>
        <v>0</v>
      </c>
      <c r="O62" s="1893">
        <f t="shared" si="58"/>
        <v>0</v>
      </c>
      <c r="P62" s="1605"/>
      <c r="Q62" s="1494"/>
      <c r="R62" s="1567"/>
      <c r="S62" s="1495">
        <f t="shared" si="59"/>
        <v>0</v>
      </c>
      <c r="T62" s="1893">
        <f t="shared" si="48"/>
        <v>0</v>
      </c>
      <c r="U62" s="1605"/>
      <c r="V62" s="1813"/>
      <c r="W62" s="1791"/>
      <c r="X62" s="1780">
        <f t="shared" si="60"/>
        <v>0</v>
      </c>
      <c r="Y62" s="1894">
        <f t="shared" si="49"/>
        <v>0</v>
      </c>
      <c r="Z62" s="1741"/>
      <c r="AA62" s="1494"/>
      <c r="AB62" s="1567"/>
      <c r="AC62" s="1495">
        <f t="shared" si="61"/>
        <v>0</v>
      </c>
      <c r="AD62" s="1893">
        <f t="shared" si="31"/>
        <v>0</v>
      </c>
      <c r="AE62" s="1605"/>
      <c r="AF62" s="1032"/>
      <c r="AG62" s="1031"/>
      <c r="AH62" s="1190">
        <f t="shared" si="62"/>
        <v>0</v>
      </c>
      <c r="AI62" s="1245" t="e">
        <f t="shared" si="50"/>
        <v>#DIV/0!</v>
      </c>
      <c r="AJ62" s="1030"/>
      <c r="AK62" s="1032"/>
      <c r="AL62" s="1031"/>
      <c r="AM62" s="1190">
        <f t="shared" si="63"/>
        <v>0</v>
      </c>
      <c r="AN62" s="1245" t="e">
        <f t="shared" si="51"/>
        <v>#DIV/0!</v>
      </c>
      <c r="AO62" s="1030"/>
      <c r="AP62" s="1032"/>
      <c r="AQ62" s="1031"/>
      <c r="AR62" s="1190">
        <f t="shared" si="64"/>
        <v>0</v>
      </c>
      <c r="AS62" s="1245" t="e">
        <f t="shared" si="52"/>
        <v>#DIV/0!</v>
      </c>
      <c r="AT62" s="1030"/>
      <c r="AU62" s="1032"/>
      <c r="AV62" s="1031"/>
      <c r="AW62" s="1190">
        <f t="shared" si="65"/>
        <v>0</v>
      </c>
      <c r="AX62" s="1245" t="e">
        <f t="shared" si="53"/>
        <v>#DIV/0!</v>
      </c>
      <c r="AY62" s="1030"/>
      <c r="AZ62" s="2067">
        <f t="shared" si="66"/>
        <v>0</v>
      </c>
      <c r="BA62" s="2067">
        <f t="shared" si="67"/>
        <v>0</v>
      </c>
      <c r="BB62" s="1190">
        <f t="shared" si="68"/>
        <v>0</v>
      </c>
      <c r="BC62" s="1245">
        <f t="shared" si="54"/>
        <v>0</v>
      </c>
      <c r="BD62" s="1246"/>
    </row>
    <row r="63" spans="1:56" ht="14.4" customHeight="1" outlineLevel="2" x14ac:dyDescent="0.25">
      <c r="A63" s="237"/>
      <c r="B63" s="1281" t="s">
        <v>35</v>
      </c>
      <c r="C63" s="1252"/>
      <c r="D63" s="1251"/>
      <c r="E63" s="1244">
        <f t="shared" si="55"/>
        <v>0</v>
      </c>
      <c r="F63" s="1245" t="e">
        <f t="shared" si="69"/>
        <v>#DIV/0!</v>
      </c>
      <c r="G63" s="1290"/>
      <c r="H63" s="1032"/>
      <c r="I63" s="1072">
        <f t="shared" si="56"/>
        <v>0</v>
      </c>
      <c r="J63" s="1279" t="e">
        <f t="shared" si="70"/>
        <v>#DIV/0!</v>
      </c>
      <c r="K63" s="1030"/>
      <c r="L63" s="1932"/>
      <c r="M63" s="1494"/>
      <c r="N63" s="1495">
        <f t="shared" si="57"/>
        <v>0</v>
      </c>
      <c r="O63" s="1893">
        <f t="shared" si="58"/>
        <v>0</v>
      </c>
      <c r="P63" s="1605"/>
      <c r="Q63" s="1933"/>
      <c r="R63" s="1567"/>
      <c r="S63" s="1495">
        <f t="shared" si="59"/>
        <v>0</v>
      </c>
      <c r="T63" s="1893">
        <f t="shared" si="48"/>
        <v>0</v>
      </c>
      <c r="U63" s="1605"/>
      <c r="V63" s="1813"/>
      <c r="W63" s="1791"/>
      <c r="X63" s="1780">
        <f t="shared" si="60"/>
        <v>0</v>
      </c>
      <c r="Y63" s="1894">
        <f t="shared" si="49"/>
        <v>0</v>
      </c>
      <c r="Z63" s="1741"/>
      <c r="AA63" s="1494"/>
      <c r="AB63" s="1933"/>
      <c r="AC63" s="1495">
        <f t="shared" si="61"/>
        <v>0</v>
      </c>
      <c r="AD63" s="1893">
        <f t="shared" si="31"/>
        <v>0</v>
      </c>
      <c r="AE63" s="1605"/>
      <c r="AF63" s="1032"/>
      <c r="AG63" s="1291"/>
      <c r="AH63" s="1190">
        <f t="shared" si="62"/>
        <v>0</v>
      </c>
      <c r="AI63" s="1245" t="e">
        <f t="shared" si="50"/>
        <v>#DIV/0!</v>
      </c>
      <c r="AJ63" s="1030"/>
      <c r="AK63" s="1032"/>
      <c r="AL63" s="1291"/>
      <c r="AM63" s="1190">
        <f>AK63+AL63*1</f>
        <v>0</v>
      </c>
      <c r="AN63" s="1245" t="e">
        <f t="shared" si="51"/>
        <v>#DIV/0!</v>
      </c>
      <c r="AO63" s="1030"/>
      <c r="AP63" s="1032"/>
      <c r="AQ63" s="1291"/>
      <c r="AR63" s="1190">
        <f t="shared" ref="AR63:AR71" si="71">AP63+AQ63*1</f>
        <v>0</v>
      </c>
      <c r="AS63" s="1245" t="e">
        <f t="shared" si="52"/>
        <v>#DIV/0!</v>
      </c>
      <c r="AT63" s="1030"/>
      <c r="AU63" s="1032"/>
      <c r="AV63" s="1291"/>
      <c r="AW63" s="1190">
        <f t="shared" ref="AW63:AW71" si="72">AU63+AV63*1</f>
        <v>0</v>
      </c>
      <c r="AX63" s="1245" t="e">
        <f t="shared" si="53"/>
        <v>#DIV/0!</v>
      </c>
      <c r="AY63" s="1030"/>
      <c r="AZ63" s="2067">
        <f t="shared" si="66"/>
        <v>0</v>
      </c>
      <c r="BA63" s="2067">
        <f t="shared" si="67"/>
        <v>0</v>
      </c>
      <c r="BB63" s="1190">
        <f t="shared" si="68"/>
        <v>0</v>
      </c>
      <c r="BC63" s="1245">
        <f t="shared" si="54"/>
        <v>0</v>
      </c>
      <c r="BD63" s="1246"/>
    </row>
    <row r="64" spans="1:56" ht="14.4" customHeight="1" outlineLevel="2" x14ac:dyDescent="0.25">
      <c r="A64" s="237"/>
      <c r="B64" s="1281" t="s">
        <v>63</v>
      </c>
      <c r="C64" s="1252"/>
      <c r="D64" s="1251"/>
      <c r="E64" s="1244">
        <f t="shared" si="55"/>
        <v>0</v>
      </c>
      <c r="F64" s="1245" t="e">
        <f t="shared" si="69"/>
        <v>#DIV/0!</v>
      </c>
      <c r="G64" s="1290"/>
      <c r="H64" s="1032"/>
      <c r="I64" s="1072">
        <f t="shared" si="56"/>
        <v>0</v>
      </c>
      <c r="J64" s="1279" t="e">
        <f t="shared" si="70"/>
        <v>#DIV/0!</v>
      </c>
      <c r="K64" s="1030"/>
      <c r="L64" s="1932"/>
      <c r="M64" s="1494"/>
      <c r="N64" s="1495">
        <f t="shared" si="57"/>
        <v>0</v>
      </c>
      <c r="O64" s="1893">
        <f t="shared" si="58"/>
        <v>0</v>
      </c>
      <c r="P64" s="1605"/>
      <c r="Q64" s="1933"/>
      <c r="R64" s="1567"/>
      <c r="S64" s="1495">
        <f t="shared" si="59"/>
        <v>0</v>
      </c>
      <c r="T64" s="1893">
        <f t="shared" si="48"/>
        <v>0</v>
      </c>
      <c r="U64" s="1605"/>
      <c r="V64" s="1933"/>
      <c r="W64" s="1791"/>
      <c r="X64" s="1780">
        <f t="shared" si="60"/>
        <v>0</v>
      </c>
      <c r="Y64" s="1894">
        <f t="shared" si="49"/>
        <v>0</v>
      </c>
      <c r="Z64" s="1741"/>
      <c r="AA64" s="1494"/>
      <c r="AB64" s="1567"/>
      <c r="AC64" s="1495">
        <f t="shared" si="61"/>
        <v>0</v>
      </c>
      <c r="AD64" s="1893">
        <f t="shared" si="31"/>
        <v>0</v>
      </c>
      <c r="AE64" s="1605"/>
      <c r="AF64" s="1032"/>
      <c r="AG64" s="1031"/>
      <c r="AH64" s="1190">
        <f t="shared" si="62"/>
        <v>0</v>
      </c>
      <c r="AI64" s="1245" t="e">
        <f t="shared" si="50"/>
        <v>#DIV/0!</v>
      </c>
      <c r="AJ64" s="1030"/>
      <c r="AK64" s="1032"/>
      <c r="AL64" s="1031"/>
      <c r="AM64" s="1190">
        <f t="shared" si="63"/>
        <v>0</v>
      </c>
      <c r="AN64" s="1245" t="e">
        <f t="shared" si="51"/>
        <v>#DIV/0!</v>
      </c>
      <c r="AO64" s="1030"/>
      <c r="AP64" s="1032"/>
      <c r="AQ64" s="1031"/>
      <c r="AR64" s="1190">
        <f t="shared" si="71"/>
        <v>0</v>
      </c>
      <c r="AS64" s="1245" t="e">
        <f t="shared" si="52"/>
        <v>#DIV/0!</v>
      </c>
      <c r="AT64" s="1030"/>
      <c r="AU64" s="1032"/>
      <c r="AV64" s="1031"/>
      <c r="AW64" s="1190">
        <f t="shared" si="72"/>
        <v>0</v>
      </c>
      <c r="AX64" s="1245" t="e">
        <f t="shared" si="53"/>
        <v>#DIV/0!</v>
      </c>
      <c r="AY64" s="1030"/>
      <c r="AZ64" s="2067">
        <f t="shared" si="66"/>
        <v>0</v>
      </c>
      <c r="BA64" s="2067">
        <f t="shared" si="67"/>
        <v>0</v>
      </c>
      <c r="BB64" s="1190">
        <f t="shared" si="68"/>
        <v>0</v>
      </c>
      <c r="BC64" s="1245">
        <f t="shared" si="54"/>
        <v>0</v>
      </c>
      <c r="BD64" s="1246"/>
    </row>
    <row r="65" spans="1:56" ht="40.950000000000003" customHeight="1" outlineLevel="2" x14ac:dyDescent="0.25">
      <c r="A65" s="237"/>
      <c r="B65" s="1281" t="s">
        <v>36</v>
      </c>
      <c r="C65" s="1252"/>
      <c r="D65" s="1251"/>
      <c r="E65" s="1244">
        <f t="shared" si="55"/>
        <v>0</v>
      </c>
      <c r="F65" s="1245" t="e">
        <f t="shared" si="69"/>
        <v>#DIV/0!</v>
      </c>
      <c r="G65" s="1034"/>
      <c r="H65" s="1032"/>
      <c r="I65" s="1072">
        <f t="shared" si="56"/>
        <v>0</v>
      </c>
      <c r="J65" s="1279" t="e">
        <f>I65/$I$89</f>
        <v>#DIV/0!</v>
      </c>
      <c r="K65" s="1030"/>
      <c r="L65" s="1761">
        <v>1200</v>
      </c>
      <c r="M65" s="1494">
        <f>1400+700</f>
        <v>2100</v>
      </c>
      <c r="N65" s="1495">
        <f t="shared" si="57"/>
        <v>3300</v>
      </c>
      <c r="O65" s="1893">
        <f t="shared" si="58"/>
        <v>6.1839439328173857E-3</v>
      </c>
      <c r="P65" s="1605" t="s">
        <v>1234</v>
      </c>
      <c r="Q65" s="1659"/>
      <c r="R65" s="1567"/>
      <c r="S65" s="1495">
        <f t="shared" si="59"/>
        <v>0</v>
      </c>
      <c r="T65" s="1893">
        <f t="shared" si="48"/>
        <v>0</v>
      </c>
      <c r="U65" s="1605"/>
      <c r="V65" s="1787"/>
      <c r="W65" s="1791"/>
      <c r="X65" s="1780">
        <f t="shared" si="60"/>
        <v>0</v>
      </c>
      <c r="Y65" s="1894">
        <f t="shared" si="49"/>
        <v>0</v>
      </c>
      <c r="Z65" s="1741"/>
      <c r="AA65" s="1659"/>
      <c r="AB65" s="1567"/>
      <c r="AC65" s="1495">
        <f t="shared" si="61"/>
        <v>0</v>
      </c>
      <c r="AD65" s="1893">
        <f t="shared" si="31"/>
        <v>0</v>
      </c>
      <c r="AE65" s="1605"/>
      <c r="AF65" s="1033"/>
      <c r="AG65" s="1031"/>
      <c r="AH65" s="1190">
        <f t="shared" si="62"/>
        <v>0</v>
      </c>
      <c r="AI65" s="1245" t="e">
        <f t="shared" si="50"/>
        <v>#DIV/0!</v>
      </c>
      <c r="AJ65" s="1030"/>
      <c r="AK65" s="1032"/>
      <c r="AL65" s="1031"/>
      <c r="AM65" s="1190">
        <f t="shared" si="63"/>
        <v>0</v>
      </c>
      <c r="AN65" s="1245" t="e">
        <f t="shared" si="51"/>
        <v>#DIV/0!</v>
      </c>
      <c r="AO65" s="1030"/>
      <c r="AP65" s="1032"/>
      <c r="AQ65" s="1031"/>
      <c r="AR65" s="1190">
        <f t="shared" si="71"/>
        <v>0</v>
      </c>
      <c r="AS65" s="1245" t="e">
        <f t="shared" si="52"/>
        <v>#DIV/0!</v>
      </c>
      <c r="AT65" s="1030"/>
      <c r="AU65" s="1032"/>
      <c r="AV65" s="1031"/>
      <c r="AW65" s="1190">
        <f t="shared" si="72"/>
        <v>0</v>
      </c>
      <c r="AX65" s="1245" t="e">
        <f t="shared" si="53"/>
        <v>#DIV/0!</v>
      </c>
      <c r="AY65" s="1030"/>
      <c r="AZ65" s="2067">
        <f t="shared" si="66"/>
        <v>1200</v>
      </c>
      <c r="BA65" s="2067">
        <f t="shared" si="67"/>
        <v>2100</v>
      </c>
      <c r="BB65" s="1190">
        <f t="shared" si="68"/>
        <v>3300</v>
      </c>
      <c r="BC65" s="1245">
        <f t="shared" si="54"/>
        <v>1.0969564310131269E-3</v>
      </c>
      <c r="BD65" s="1246"/>
    </row>
    <row r="66" spans="1:56" s="2" customFormat="1" ht="14.4" customHeight="1" outlineLevel="2" x14ac:dyDescent="0.25">
      <c r="A66" s="237"/>
      <c r="B66" s="1281" t="s">
        <v>37</v>
      </c>
      <c r="C66" s="1252"/>
      <c r="D66" s="1251"/>
      <c r="E66" s="1244">
        <f t="shared" si="55"/>
        <v>0</v>
      </c>
      <c r="F66" s="1245" t="e">
        <f t="shared" si="69"/>
        <v>#DIV/0!</v>
      </c>
      <c r="G66" s="1034"/>
      <c r="H66" s="1033"/>
      <c r="I66" s="1072">
        <f t="shared" si="56"/>
        <v>0</v>
      </c>
      <c r="J66" s="1279" t="e">
        <f t="shared" si="70"/>
        <v>#DIV/0!</v>
      </c>
      <c r="K66" s="1030"/>
      <c r="L66" s="1761"/>
      <c r="M66" s="1659"/>
      <c r="N66" s="1495">
        <f t="shared" si="57"/>
        <v>0</v>
      </c>
      <c r="O66" s="1893">
        <f t="shared" si="58"/>
        <v>0</v>
      </c>
      <c r="P66" s="1605"/>
      <c r="Q66" s="1659"/>
      <c r="R66" s="1447"/>
      <c r="S66" s="1495">
        <f t="shared" si="59"/>
        <v>0</v>
      </c>
      <c r="T66" s="1893">
        <f t="shared" si="48"/>
        <v>0</v>
      </c>
      <c r="U66" s="1605"/>
      <c r="V66" s="1787"/>
      <c r="W66" s="1640"/>
      <c r="X66" s="1780">
        <f t="shared" si="60"/>
        <v>0</v>
      </c>
      <c r="Y66" s="1894">
        <f t="shared" si="49"/>
        <v>0</v>
      </c>
      <c r="Z66" s="1741"/>
      <c r="AA66" s="1659"/>
      <c r="AB66" s="1447"/>
      <c r="AC66" s="1495">
        <f t="shared" si="61"/>
        <v>0</v>
      </c>
      <c r="AD66" s="1893">
        <f t="shared" si="31"/>
        <v>0</v>
      </c>
      <c r="AE66" s="1605"/>
      <c r="AF66" s="1079"/>
      <c r="AG66" s="1188"/>
      <c r="AH66" s="1190">
        <f t="shared" si="62"/>
        <v>0</v>
      </c>
      <c r="AI66" s="1245" t="e">
        <f t="shared" si="50"/>
        <v>#DIV/0!</v>
      </c>
      <c r="AJ66" s="1030"/>
      <c r="AK66" s="1032"/>
      <c r="AL66" s="1188"/>
      <c r="AM66" s="1190">
        <f t="shared" si="63"/>
        <v>0</v>
      </c>
      <c r="AN66" s="1245" t="e">
        <f t="shared" si="51"/>
        <v>#DIV/0!</v>
      </c>
      <c r="AO66" s="1030"/>
      <c r="AP66" s="1032"/>
      <c r="AQ66" s="1188"/>
      <c r="AR66" s="1190">
        <f t="shared" si="71"/>
        <v>0</v>
      </c>
      <c r="AS66" s="1245" t="e">
        <f t="shared" si="52"/>
        <v>#DIV/0!</v>
      </c>
      <c r="AT66" s="1030"/>
      <c r="AU66" s="1032"/>
      <c r="AV66" s="1188"/>
      <c r="AW66" s="1190">
        <f t="shared" si="72"/>
        <v>0</v>
      </c>
      <c r="AX66" s="1245" t="e">
        <f t="shared" si="53"/>
        <v>#DIV/0!</v>
      </c>
      <c r="AY66" s="1030"/>
      <c r="AZ66" s="2067">
        <f t="shared" si="66"/>
        <v>0</v>
      </c>
      <c r="BA66" s="2067">
        <f t="shared" si="67"/>
        <v>0</v>
      </c>
      <c r="BB66" s="1190">
        <f t="shared" si="68"/>
        <v>0</v>
      </c>
      <c r="BC66" s="1245">
        <f t="shared" si="54"/>
        <v>0</v>
      </c>
      <c r="BD66" s="1246"/>
    </row>
    <row r="67" spans="1:56" s="2" customFormat="1" ht="14.4" customHeight="1" outlineLevel="2" x14ac:dyDescent="0.25">
      <c r="A67" s="237"/>
      <c r="B67" s="1281" t="s">
        <v>3</v>
      </c>
      <c r="C67" s="1252"/>
      <c r="D67" s="1251"/>
      <c r="E67" s="1244">
        <f t="shared" si="55"/>
        <v>0</v>
      </c>
      <c r="F67" s="1245" t="e">
        <f t="shared" si="69"/>
        <v>#DIV/0!</v>
      </c>
      <c r="G67" s="1034"/>
      <c r="H67" s="1033"/>
      <c r="I67" s="1072">
        <f t="shared" si="56"/>
        <v>0</v>
      </c>
      <c r="J67" s="1279" t="e">
        <f>I67/$I$89</f>
        <v>#DIV/0!</v>
      </c>
      <c r="K67" s="1030"/>
      <c r="L67" s="1761"/>
      <c r="M67" s="1659"/>
      <c r="N67" s="1495">
        <f t="shared" si="57"/>
        <v>0</v>
      </c>
      <c r="O67" s="1893">
        <f t="shared" si="58"/>
        <v>0</v>
      </c>
      <c r="P67" s="1605"/>
      <c r="Q67" s="1659"/>
      <c r="R67" s="1447"/>
      <c r="S67" s="1495">
        <f t="shared" si="59"/>
        <v>0</v>
      </c>
      <c r="T67" s="1893">
        <f t="shared" si="48"/>
        <v>0</v>
      </c>
      <c r="U67" s="1605"/>
      <c r="V67" s="1787"/>
      <c r="W67" s="1640"/>
      <c r="X67" s="1780">
        <f t="shared" si="60"/>
        <v>0</v>
      </c>
      <c r="Y67" s="1894">
        <f t="shared" si="49"/>
        <v>0</v>
      </c>
      <c r="Z67" s="1741"/>
      <c r="AA67" s="1659"/>
      <c r="AB67" s="1659"/>
      <c r="AC67" s="1495">
        <f t="shared" si="61"/>
        <v>0</v>
      </c>
      <c r="AD67" s="1893">
        <f t="shared" si="31"/>
        <v>0</v>
      </c>
      <c r="AE67" s="1605"/>
      <c r="AF67" s="1033"/>
      <c r="AG67" s="1033"/>
      <c r="AH67" s="1190">
        <f t="shared" si="62"/>
        <v>0</v>
      </c>
      <c r="AI67" s="1245" t="e">
        <f t="shared" si="50"/>
        <v>#DIV/0!</v>
      </c>
      <c r="AJ67" s="1030"/>
      <c r="AK67" s="1032"/>
      <c r="AL67" s="1032"/>
      <c r="AM67" s="1190">
        <f>AK67+AL67*1</f>
        <v>0</v>
      </c>
      <c r="AN67" s="1245" t="e">
        <f t="shared" si="51"/>
        <v>#DIV/0!</v>
      </c>
      <c r="AO67" s="1030"/>
      <c r="AP67" s="1032"/>
      <c r="AQ67" s="1032"/>
      <c r="AR67" s="1190">
        <f t="shared" si="71"/>
        <v>0</v>
      </c>
      <c r="AS67" s="1245" t="e">
        <f t="shared" si="52"/>
        <v>#DIV/0!</v>
      </c>
      <c r="AT67" s="1030"/>
      <c r="AU67" s="1032"/>
      <c r="AV67" s="1032"/>
      <c r="AW67" s="1190">
        <f t="shared" si="72"/>
        <v>0</v>
      </c>
      <c r="AX67" s="1245" t="e">
        <f t="shared" si="53"/>
        <v>#DIV/0!</v>
      </c>
      <c r="AY67" s="1030"/>
      <c r="AZ67" s="2067">
        <f t="shared" si="66"/>
        <v>0</v>
      </c>
      <c r="BA67" s="2067">
        <f t="shared" si="67"/>
        <v>0</v>
      </c>
      <c r="BB67" s="1190">
        <f t="shared" si="68"/>
        <v>0</v>
      </c>
      <c r="BC67" s="1245">
        <f t="shared" si="54"/>
        <v>0</v>
      </c>
      <c r="BD67" s="1246"/>
    </row>
    <row r="68" spans="1:56" s="2" customFormat="1" ht="21" customHeight="1" outlineLevel="2" x14ac:dyDescent="0.25">
      <c r="A68" s="237"/>
      <c r="B68" s="1281" t="s">
        <v>5</v>
      </c>
      <c r="C68" s="1252"/>
      <c r="D68" s="1251"/>
      <c r="E68" s="1244">
        <f t="shared" si="55"/>
        <v>0</v>
      </c>
      <c r="F68" s="1245" t="e">
        <f t="shared" si="69"/>
        <v>#DIV/0!</v>
      </c>
      <c r="G68" s="1034"/>
      <c r="H68" s="1033"/>
      <c r="I68" s="1072">
        <f t="shared" si="56"/>
        <v>0</v>
      </c>
      <c r="J68" s="1279" t="e">
        <f>I68/$I$89</f>
        <v>#DIV/0!</v>
      </c>
      <c r="K68" s="1030"/>
      <c r="L68" s="1761"/>
      <c r="M68" s="1659">
        <v>560.16999999999996</v>
      </c>
      <c r="N68" s="1495">
        <f t="shared" si="57"/>
        <v>560.16999999999996</v>
      </c>
      <c r="O68" s="1893">
        <f t="shared" si="58"/>
        <v>1.0497151129837316E-3</v>
      </c>
      <c r="P68" s="1605"/>
      <c r="Q68" s="1659"/>
      <c r="R68" s="1447"/>
      <c r="S68" s="1495">
        <f t="shared" si="59"/>
        <v>0</v>
      </c>
      <c r="T68" s="1893">
        <f t="shared" si="48"/>
        <v>0</v>
      </c>
      <c r="U68" s="1605"/>
      <c r="V68" s="1787"/>
      <c r="W68" s="1640">
        <v>413.6</v>
      </c>
      <c r="X68" s="1780">
        <f t="shared" si="60"/>
        <v>413.6</v>
      </c>
      <c r="Y68" s="1894">
        <f t="shared" si="49"/>
        <v>6.2477265119395976E-4</v>
      </c>
      <c r="Z68" s="1741" t="s">
        <v>1434</v>
      </c>
      <c r="AA68" s="1659"/>
      <c r="AB68" s="1887">
        <v>31.89</v>
      </c>
      <c r="AC68" s="1495">
        <f t="shared" si="61"/>
        <v>31.89</v>
      </c>
      <c r="AD68" s="1893">
        <f t="shared" si="31"/>
        <v>4.781084706214475E-4</v>
      </c>
      <c r="AE68" s="1605" t="s">
        <v>1548</v>
      </c>
      <c r="AF68" s="1033"/>
      <c r="AG68" s="1188"/>
      <c r="AH68" s="1190">
        <f t="shared" si="62"/>
        <v>0</v>
      </c>
      <c r="AI68" s="1245" t="e">
        <f t="shared" si="50"/>
        <v>#DIV/0!</v>
      </c>
      <c r="AJ68" s="1030"/>
      <c r="AK68" s="1032"/>
      <c r="AL68" s="1188"/>
      <c r="AM68" s="1190">
        <f t="shared" si="63"/>
        <v>0</v>
      </c>
      <c r="AN68" s="1245" t="e">
        <f t="shared" si="51"/>
        <v>#DIV/0!</v>
      </c>
      <c r="AO68" s="1030"/>
      <c r="AP68" s="1032"/>
      <c r="AQ68" s="1188"/>
      <c r="AR68" s="1190">
        <f t="shared" si="71"/>
        <v>0</v>
      </c>
      <c r="AS68" s="1245" t="e">
        <f t="shared" si="52"/>
        <v>#DIV/0!</v>
      </c>
      <c r="AT68" s="1030"/>
      <c r="AU68" s="1032"/>
      <c r="AV68" s="1188"/>
      <c r="AW68" s="1190">
        <f t="shared" si="72"/>
        <v>0</v>
      </c>
      <c r="AX68" s="1245" t="e">
        <f t="shared" si="53"/>
        <v>#DIV/0!</v>
      </c>
      <c r="AY68" s="1030"/>
      <c r="AZ68" s="2067">
        <f t="shared" si="66"/>
        <v>0</v>
      </c>
      <c r="BA68" s="2067">
        <f t="shared" si="67"/>
        <v>1005.66</v>
      </c>
      <c r="BB68" s="1190">
        <f t="shared" si="68"/>
        <v>1005.66</v>
      </c>
      <c r="BC68" s="1245">
        <f t="shared" si="54"/>
        <v>3.3429248618565492E-4</v>
      </c>
      <c r="BD68" s="1246"/>
    </row>
    <row r="69" spans="1:56" s="2" customFormat="1" ht="14.4" customHeight="1" outlineLevel="2" x14ac:dyDescent="0.25">
      <c r="A69" s="237"/>
      <c r="B69" s="1281" t="s">
        <v>42</v>
      </c>
      <c r="C69" s="1252"/>
      <c r="D69" s="1251"/>
      <c r="E69" s="1244">
        <f t="shared" si="55"/>
        <v>0</v>
      </c>
      <c r="F69" s="1245" t="e">
        <f t="shared" si="69"/>
        <v>#DIV/0!</v>
      </c>
      <c r="G69" s="1034"/>
      <c r="H69" s="1033"/>
      <c r="I69" s="1072">
        <f t="shared" si="56"/>
        <v>0</v>
      </c>
      <c r="J69" s="1279" t="e">
        <f>I69/$I$89</f>
        <v>#DIV/0!</v>
      </c>
      <c r="K69" s="1030"/>
      <c r="L69" s="1761"/>
      <c r="M69" s="1659"/>
      <c r="N69" s="1495">
        <f t="shared" si="57"/>
        <v>0</v>
      </c>
      <c r="O69" s="1893">
        <f t="shared" si="58"/>
        <v>0</v>
      </c>
      <c r="P69" s="1605"/>
      <c r="Q69" s="1659"/>
      <c r="R69" s="1447"/>
      <c r="S69" s="1495">
        <f t="shared" si="59"/>
        <v>0</v>
      </c>
      <c r="T69" s="1893">
        <f t="shared" si="48"/>
        <v>0</v>
      </c>
      <c r="U69" s="1605"/>
      <c r="V69" s="1787"/>
      <c r="W69" s="1640"/>
      <c r="X69" s="1780">
        <f t="shared" si="60"/>
        <v>0</v>
      </c>
      <c r="Y69" s="1894">
        <f t="shared" si="49"/>
        <v>0</v>
      </c>
      <c r="Z69" s="1741"/>
      <c r="AA69" s="1659"/>
      <c r="AB69" s="1447"/>
      <c r="AC69" s="1495">
        <f t="shared" si="61"/>
        <v>0</v>
      </c>
      <c r="AD69" s="1893">
        <f t="shared" si="31"/>
        <v>0</v>
      </c>
      <c r="AE69" s="1605"/>
      <c r="AF69" s="1033"/>
      <c r="AG69" s="1188"/>
      <c r="AH69" s="1190">
        <f t="shared" si="62"/>
        <v>0</v>
      </c>
      <c r="AI69" s="1245" t="e">
        <f t="shared" si="50"/>
        <v>#DIV/0!</v>
      </c>
      <c r="AJ69" s="1030"/>
      <c r="AK69" s="1032"/>
      <c r="AL69" s="1188"/>
      <c r="AM69" s="1190">
        <f t="shared" si="63"/>
        <v>0</v>
      </c>
      <c r="AN69" s="1245" t="e">
        <f t="shared" si="51"/>
        <v>#DIV/0!</v>
      </c>
      <c r="AO69" s="1292"/>
      <c r="AP69" s="1032"/>
      <c r="AQ69" s="1188"/>
      <c r="AR69" s="1190">
        <f t="shared" si="71"/>
        <v>0</v>
      </c>
      <c r="AS69" s="1245" t="e">
        <f t="shared" si="52"/>
        <v>#DIV/0!</v>
      </c>
      <c r="AT69" s="1292"/>
      <c r="AU69" s="1032"/>
      <c r="AV69" s="1188"/>
      <c r="AW69" s="1190">
        <f t="shared" si="72"/>
        <v>0</v>
      </c>
      <c r="AX69" s="1245" t="e">
        <f t="shared" si="53"/>
        <v>#DIV/0!</v>
      </c>
      <c r="AY69" s="1292"/>
      <c r="AZ69" s="2067">
        <f t="shared" si="66"/>
        <v>0</v>
      </c>
      <c r="BA69" s="2067">
        <f t="shared" si="67"/>
        <v>0</v>
      </c>
      <c r="BB69" s="1190">
        <f t="shared" si="68"/>
        <v>0</v>
      </c>
      <c r="BC69" s="1245">
        <f t="shared" si="54"/>
        <v>0</v>
      </c>
      <c r="BD69" s="1246"/>
    </row>
    <row r="70" spans="1:56" s="2" customFormat="1" ht="14.4" customHeight="1" outlineLevel="2" x14ac:dyDescent="0.25">
      <c r="A70" s="237"/>
      <c r="B70" s="1281" t="s">
        <v>6</v>
      </c>
      <c r="C70" s="1252"/>
      <c r="D70" s="1251"/>
      <c r="E70" s="1244">
        <f t="shared" si="55"/>
        <v>0</v>
      </c>
      <c r="F70" s="1245" t="e">
        <f t="shared" si="69"/>
        <v>#DIV/0!</v>
      </c>
      <c r="G70" s="1034"/>
      <c r="H70" s="1033"/>
      <c r="I70" s="1072">
        <f t="shared" si="56"/>
        <v>0</v>
      </c>
      <c r="J70" s="1279" t="e">
        <f>I70/$I$89</f>
        <v>#DIV/0!</v>
      </c>
      <c r="K70" s="1030"/>
      <c r="L70" s="1761"/>
      <c r="M70" s="1659"/>
      <c r="N70" s="1495">
        <f t="shared" si="57"/>
        <v>0</v>
      </c>
      <c r="O70" s="1893">
        <f t="shared" si="58"/>
        <v>0</v>
      </c>
      <c r="P70" s="1605"/>
      <c r="Q70" s="1659"/>
      <c r="R70" s="1447"/>
      <c r="S70" s="1495">
        <f t="shared" si="59"/>
        <v>0</v>
      </c>
      <c r="T70" s="1893">
        <f t="shared" si="48"/>
        <v>0</v>
      </c>
      <c r="U70" s="1605"/>
      <c r="V70" s="1787"/>
      <c r="W70" s="1640"/>
      <c r="X70" s="1780">
        <f t="shared" si="60"/>
        <v>0</v>
      </c>
      <c r="Y70" s="1894">
        <f t="shared" si="49"/>
        <v>0</v>
      </c>
      <c r="Z70" s="1741"/>
      <c r="AA70" s="1659"/>
      <c r="AB70" s="1659"/>
      <c r="AC70" s="1495">
        <f t="shared" si="61"/>
        <v>0</v>
      </c>
      <c r="AD70" s="1893">
        <f t="shared" si="31"/>
        <v>0</v>
      </c>
      <c r="AE70" s="1605"/>
      <c r="AF70" s="1033"/>
      <c r="AG70" s="1033"/>
      <c r="AH70" s="1190">
        <f t="shared" si="62"/>
        <v>0</v>
      </c>
      <c r="AI70" s="1245" t="e">
        <f t="shared" si="50"/>
        <v>#DIV/0!</v>
      </c>
      <c r="AJ70" s="1030"/>
      <c r="AK70" s="1032"/>
      <c r="AL70" s="1033"/>
      <c r="AM70" s="1190">
        <f t="shared" si="63"/>
        <v>0</v>
      </c>
      <c r="AN70" s="1245" t="e">
        <f t="shared" si="51"/>
        <v>#DIV/0!</v>
      </c>
      <c r="AO70" s="1030"/>
      <c r="AP70" s="1032"/>
      <c r="AQ70" s="1033"/>
      <c r="AR70" s="1190">
        <f t="shared" si="71"/>
        <v>0</v>
      </c>
      <c r="AS70" s="1245" t="e">
        <f t="shared" si="52"/>
        <v>#DIV/0!</v>
      </c>
      <c r="AT70" s="1030"/>
      <c r="AU70" s="1032"/>
      <c r="AV70" s="1033"/>
      <c r="AW70" s="1190">
        <f t="shared" si="72"/>
        <v>0</v>
      </c>
      <c r="AX70" s="1245" t="e">
        <f t="shared" si="53"/>
        <v>#DIV/0!</v>
      </c>
      <c r="AY70" s="1030"/>
      <c r="AZ70" s="2067">
        <f t="shared" si="66"/>
        <v>0</v>
      </c>
      <c r="BA70" s="2067">
        <f t="shared" si="67"/>
        <v>0</v>
      </c>
      <c r="BB70" s="1190">
        <f t="shared" si="68"/>
        <v>0</v>
      </c>
      <c r="BC70" s="1245">
        <f>BB70/$BB$89</f>
        <v>0</v>
      </c>
      <c r="BD70" s="1246"/>
    </row>
    <row r="71" spans="1:56" s="2" customFormat="1" ht="14.4" customHeight="1" outlineLevel="2" x14ac:dyDescent="0.25">
      <c r="A71" s="237"/>
      <c r="B71" s="1281" t="s">
        <v>234</v>
      </c>
      <c r="C71" s="1252"/>
      <c r="D71" s="1251"/>
      <c r="E71" s="1244">
        <f>C71+D71*1.15</f>
        <v>0</v>
      </c>
      <c r="F71" s="1121" t="e">
        <f t="shared" si="69"/>
        <v>#DIV/0!</v>
      </c>
      <c r="G71" s="1034"/>
      <c r="H71" s="1033"/>
      <c r="I71" s="1072">
        <f t="shared" si="56"/>
        <v>0</v>
      </c>
      <c r="J71" s="1279" t="e">
        <f>I71/$I$89</f>
        <v>#DIV/0!</v>
      </c>
      <c r="K71" s="1030"/>
      <c r="L71" s="1761"/>
      <c r="M71" s="1659"/>
      <c r="N71" s="1495">
        <f t="shared" si="57"/>
        <v>0</v>
      </c>
      <c r="O71" s="1893">
        <f t="shared" si="58"/>
        <v>0</v>
      </c>
      <c r="P71" s="1605"/>
      <c r="Q71" s="1659"/>
      <c r="R71" s="1447"/>
      <c r="S71" s="1495">
        <f t="shared" si="59"/>
        <v>0</v>
      </c>
      <c r="T71" s="1893">
        <f t="shared" si="48"/>
        <v>0</v>
      </c>
      <c r="U71" s="1605"/>
      <c r="V71" s="1787"/>
      <c r="W71" s="1640"/>
      <c r="X71" s="1780">
        <f t="shared" si="60"/>
        <v>0</v>
      </c>
      <c r="Y71" s="1894">
        <f t="shared" si="49"/>
        <v>0</v>
      </c>
      <c r="Z71" s="1741"/>
      <c r="AA71" s="1659"/>
      <c r="AB71" s="1447"/>
      <c r="AC71" s="1495">
        <f t="shared" si="61"/>
        <v>0</v>
      </c>
      <c r="AD71" s="1893">
        <f t="shared" si="31"/>
        <v>0</v>
      </c>
      <c r="AE71" s="1605"/>
      <c r="AF71" s="1033"/>
      <c r="AG71" s="1041"/>
      <c r="AH71" s="1190">
        <f t="shared" si="62"/>
        <v>0</v>
      </c>
      <c r="AI71" s="1245" t="e">
        <f t="shared" si="50"/>
        <v>#DIV/0!</v>
      </c>
      <c r="AJ71" s="1030"/>
      <c r="AK71" s="1033"/>
      <c r="AL71" s="1188"/>
      <c r="AM71" s="1190">
        <f t="shared" si="63"/>
        <v>0</v>
      </c>
      <c r="AN71" s="1245" t="e">
        <f t="shared" si="51"/>
        <v>#DIV/0!</v>
      </c>
      <c r="AO71" s="1030"/>
      <c r="AP71" s="1033"/>
      <c r="AQ71" s="1188"/>
      <c r="AR71" s="1190">
        <f t="shared" si="71"/>
        <v>0</v>
      </c>
      <c r="AS71" s="1245" t="e">
        <f t="shared" si="52"/>
        <v>#DIV/0!</v>
      </c>
      <c r="AT71" s="1030"/>
      <c r="AU71" s="1033"/>
      <c r="AV71" s="1188"/>
      <c r="AW71" s="1190">
        <f t="shared" si="72"/>
        <v>0</v>
      </c>
      <c r="AX71" s="1245" t="e">
        <f t="shared" si="53"/>
        <v>#DIV/0!</v>
      </c>
      <c r="AY71" s="1030"/>
      <c r="AZ71" s="2067">
        <f t="shared" si="66"/>
        <v>0</v>
      </c>
      <c r="BA71" s="2067">
        <f t="shared" si="67"/>
        <v>0</v>
      </c>
      <c r="BB71" s="1190">
        <f t="shared" si="68"/>
        <v>0</v>
      </c>
      <c r="BC71" s="1245">
        <f t="shared" si="54"/>
        <v>0</v>
      </c>
      <c r="BD71" s="1246"/>
    </row>
    <row r="72" spans="1:56" s="2" customFormat="1" ht="14.4" customHeight="1" outlineLevel="2" thickBot="1" x14ac:dyDescent="0.3">
      <c r="A72" s="237"/>
      <c r="B72" s="1224"/>
      <c r="C72" s="1225"/>
      <c r="D72" s="1226"/>
      <c r="E72" s="1123"/>
      <c r="F72" s="1121" t="e">
        <f t="shared" si="69"/>
        <v>#DIV/0!</v>
      </c>
      <c r="G72" s="544"/>
      <c r="H72" s="604"/>
      <c r="I72" s="997"/>
      <c r="J72" s="1227" t="e">
        <f>I72/#REF!</f>
        <v>#REF!</v>
      </c>
      <c r="K72" s="1131"/>
      <c r="L72" s="1756"/>
      <c r="M72" s="1661"/>
      <c r="N72" s="1668"/>
      <c r="O72" s="1907"/>
      <c r="P72" s="1934"/>
      <c r="Q72" s="1662"/>
      <c r="R72" s="1651"/>
      <c r="S72" s="1668"/>
      <c r="T72" s="1907"/>
      <c r="U72" s="1934"/>
      <c r="V72" s="1838"/>
      <c r="W72" s="1839"/>
      <c r="X72" s="1840"/>
      <c r="Y72" s="1908"/>
      <c r="Z72" s="1935"/>
      <c r="AA72" s="1662"/>
      <c r="AB72" s="1651"/>
      <c r="AC72" s="1668"/>
      <c r="AD72" s="1907">
        <f t="shared" si="31"/>
        <v>0</v>
      </c>
      <c r="AE72" s="1934"/>
      <c r="AF72" s="604"/>
      <c r="AG72" s="535"/>
      <c r="AH72" s="622"/>
      <c r="AI72" s="1121" t="e">
        <f>AH72/#REF!</f>
        <v>#REF!</v>
      </c>
      <c r="AJ72" s="1131"/>
      <c r="AK72" s="604"/>
      <c r="AL72" s="535"/>
      <c r="AM72" s="622"/>
      <c r="AN72" s="1121" t="e">
        <f>AM72/#REF!</f>
        <v>#REF!</v>
      </c>
      <c r="AO72" s="1131"/>
      <c r="AP72" s="604"/>
      <c r="AQ72" s="535"/>
      <c r="AR72" s="622"/>
      <c r="AS72" s="1121" t="e">
        <f>AR72/#REF!</f>
        <v>#REF!</v>
      </c>
      <c r="AT72" s="1131"/>
      <c r="AU72" s="604"/>
      <c r="AV72" s="535"/>
      <c r="AW72" s="622"/>
      <c r="AX72" s="1121" t="e">
        <f>AW72/#REF!</f>
        <v>#REF!</v>
      </c>
      <c r="AY72" s="1131"/>
      <c r="AZ72" s="535">
        <f>G72+L72+Q72+V72</f>
        <v>0</v>
      </c>
      <c r="BA72" s="535">
        <f>H72+M72+R72+W72</f>
        <v>0</v>
      </c>
      <c r="BB72" s="622"/>
      <c r="BC72" s="1121">
        <f>BB72/$BB$89</f>
        <v>0</v>
      </c>
      <c r="BD72" s="1124"/>
    </row>
    <row r="73" spans="1:56" s="2" customFormat="1" ht="14.4" customHeight="1" outlineLevel="1" thickBot="1" x14ac:dyDescent="0.3">
      <c r="A73" s="237"/>
      <c r="B73" s="996" t="s">
        <v>4</v>
      </c>
      <c r="C73" s="836">
        <f>C74</f>
        <v>0</v>
      </c>
      <c r="D73" s="843">
        <f>D74</f>
        <v>0</v>
      </c>
      <c r="E73" s="836">
        <f>E74</f>
        <v>0</v>
      </c>
      <c r="F73" s="838" t="e">
        <f>E73/$E$89</f>
        <v>#DIV/0!</v>
      </c>
      <c r="G73" s="836">
        <f>G74</f>
        <v>0</v>
      </c>
      <c r="H73" s="843">
        <f>H74</f>
        <v>0</v>
      </c>
      <c r="I73" s="945">
        <f>I74</f>
        <v>0</v>
      </c>
      <c r="J73" s="915"/>
      <c r="K73" s="991"/>
      <c r="L73" s="1599">
        <f>L74</f>
        <v>0</v>
      </c>
      <c r="M73" s="1599">
        <f>M74</f>
        <v>0</v>
      </c>
      <c r="N73" s="1703">
        <f>N74</f>
        <v>0</v>
      </c>
      <c r="O73" s="1704"/>
      <c r="P73" s="1747"/>
      <c r="Q73" s="1599">
        <f>Q74</f>
        <v>0</v>
      </c>
      <c r="R73" s="1599">
        <f>R74</f>
        <v>0</v>
      </c>
      <c r="S73" s="1703">
        <f>S74</f>
        <v>0</v>
      </c>
      <c r="T73" s="1704"/>
      <c r="U73" s="1747"/>
      <c r="V73" s="1815">
        <f>V74</f>
        <v>0</v>
      </c>
      <c r="W73" s="1815">
        <f>W74</f>
        <v>0</v>
      </c>
      <c r="X73" s="1816">
        <f>X74</f>
        <v>0</v>
      </c>
      <c r="Y73" s="1817"/>
      <c r="Z73" s="1818"/>
      <c r="AA73" s="1599">
        <f>AA74</f>
        <v>0</v>
      </c>
      <c r="AB73" s="1599">
        <f>AB74</f>
        <v>0</v>
      </c>
      <c r="AC73" s="1703">
        <f>AC74</f>
        <v>0</v>
      </c>
      <c r="AD73" s="1704">
        <f t="shared" si="31"/>
        <v>0</v>
      </c>
      <c r="AE73" s="1747"/>
      <c r="AF73" s="836">
        <f>AF74</f>
        <v>0</v>
      </c>
      <c r="AG73" s="836">
        <f>AG74</f>
        <v>0</v>
      </c>
      <c r="AH73" s="837">
        <f>AH74</f>
        <v>0</v>
      </c>
      <c r="AI73" s="840"/>
      <c r="AJ73" s="991"/>
      <c r="AK73" s="836">
        <f>AK74</f>
        <v>0</v>
      </c>
      <c r="AL73" s="836">
        <f>AL74</f>
        <v>0</v>
      </c>
      <c r="AM73" s="837">
        <f>AM74</f>
        <v>0</v>
      </c>
      <c r="AN73" s="840"/>
      <c r="AO73" s="991"/>
      <c r="AP73" s="836">
        <f>AP74</f>
        <v>0</v>
      </c>
      <c r="AQ73" s="836">
        <f>AQ74</f>
        <v>0</v>
      </c>
      <c r="AR73" s="837">
        <f>AR74</f>
        <v>0</v>
      </c>
      <c r="AS73" s="840"/>
      <c r="AT73" s="991"/>
      <c r="AU73" s="836">
        <f>AU74</f>
        <v>0</v>
      </c>
      <c r="AV73" s="836">
        <f>AV74</f>
        <v>0</v>
      </c>
      <c r="AW73" s="837">
        <f>AW74</f>
        <v>0</v>
      </c>
      <c r="AX73" s="840" t="e">
        <f>AW73/$AW$89</f>
        <v>#DIV/0!</v>
      </c>
      <c r="AY73" s="991"/>
      <c r="AZ73" s="836">
        <f>AZ74</f>
        <v>0</v>
      </c>
      <c r="BA73" s="840">
        <f>BA74</f>
        <v>0</v>
      </c>
      <c r="BB73" s="837">
        <f>BB74</f>
        <v>0</v>
      </c>
      <c r="BC73" s="840"/>
      <c r="BD73" s="840"/>
    </row>
    <row r="74" spans="1:56" s="2" customFormat="1" ht="14.4" customHeight="1" outlineLevel="1" thickBot="1" x14ac:dyDescent="0.3">
      <c r="A74" s="20"/>
      <c r="B74" s="995" t="s">
        <v>64</v>
      </c>
      <c r="C74" s="304"/>
      <c r="D74" s="305"/>
      <c r="E74" s="306">
        <f>C74+D74</f>
        <v>0</v>
      </c>
      <c r="F74" s="307"/>
      <c r="G74" s="937"/>
      <c r="H74" s="600"/>
      <c r="I74" s="998">
        <f>G74+H74*1</f>
        <v>0</v>
      </c>
      <c r="J74" s="1000" t="e">
        <f>I74/$I$89</f>
        <v>#DIV/0!</v>
      </c>
      <c r="K74" s="728"/>
      <c r="L74" s="1661"/>
      <c r="M74" s="1644"/>
      <c r="N74" s="1643">
        <f>L74+M74*1</f>
        <v>0</v>
      </c>
      <c r="O74" s="1679">
        <f>N74/$N$89</f>
        <v>0</v>
      </c>
      <c r="P74" s="1690"/>
      <c r="Q74" s="1661"/>
      <c r="R74" s="1644"/>
      <c r="S74" s="1643">
        <f>Q74+R74*1</f>
        <v>0</v>
      </c>
      <c r="T74" s="1679">
        <f>S74/$N$89</f>
        <v>0</v>
      </c>
      <c r="U74" s="1690"/>
      <c r="V74" s="1793"/>
      <c r="W74" s="1716"/>
      <c r="X74" s="1814">
        <f>V74+W74*1</f>
        <v>0</v>
      </c>
      <c r="Y74" s="1842">
        <f>X74/$X$89</f>
        <v>0</v>
      </c>
      <c r="Z74" s="1843"/>
      <c r="AA74" s="1661"/>
      <c r="AB74" s="1644"/>
      <c r="AC74" s="1643">
        <f>AA74+AB74*1</f>
        <v>0</v>
      </c>
      <c r="AD74" s="1679">
        <f t="shared" si="31"/>
        <v>0</v>
      </c>
      <c r="AE74" s="1690"/>
      <c r="AF74" s="600"/>
      <c r="AG74" s="512"/>
      <c r="AH74" s="507">
        <f>AF74+AG74*1</f>
        <v>0</v>
      </c>
      <c r="AI74" s="683">
        <f>AH74/$S$89</f>
        <v>0</v>
      </c>
      <c r="AJ74" s="728"/>
      <c r="AK74" s="600"/>
      <c r="AL74" s="512"/>
      <c r="AM74" s="507">
        <f>AK74+AL74*1</f>
        <v>0</v>
      </c>
      <c r="AN74" s="683">
        <f>AM74/$S$89</f>
        <v>0</v>
      </c>
      <c r="AO74" s="728"/>
      <c r="AP74" s="600"/>
      <c r="AQ74" s="512"/>
      <c r="AR74" s="507">
        <f>AP74+AQ74*1</f>
        <v>0</v>
      </c>
      <c r="AS74" s="683" t="e">
        <f>AR74/$AR$89</f>
        <v>#DIV/0!</v>
      </c>
      <c r="AT74" s="728"/>
      <c r="AU74" s="600"/>
      <c r="AV74" s="512"/>
      <c r="AW74" s="507">
        <f>AU74+AV74*1</f>
        <v>0</v>
      </c>
      <c r="AX74" s="683" t="e">
        <f>AW74/$AW$89</f>
        <v>#DIV/0!</v>
      </c>
      <c r="AY74" s="728"/>
      <c r="AZ74" s="2067">
        <f>G74+L74+Q74+V74+AA74</f>
        <v>0</v>
      </c>
      <c r="BA74" s="2067">
        <f>H74+M74+R74+W74+AB74</f>
        <v>0</v>
      </c>
      <c r="BB74" s="507">
        <f>AZ74+BA74*1</f>
        <v>0</v>
      </c>
      <c r="BC74" s="683">
        <f>BB74/$BB$89</f>
        <v>0</v>
      </c>
      <c r="BD74" s="608"/>
    </row>
    <row r="75" spans="1:56" s="2" customFormat="1" ht="14.4" customHeight="1" thickBot="1" x14ac:dyDescent="0.3">
      <c r="A75" s="987"/>
      <c r="B75" s="981" t="s">
        <v>48</v>
      </c>
      <c r="C75" s="999">
        <f>C38-C41-C50-C54</f>
        <v>0</v>
      </c>
      <c r="D75" s="999">
        <f>D38-D41-D50-D54</f>
        <v>0</v>
      </c>
      <c r="E75" s="670">
        <f>E38-E41-E50-E54</f>
        <v>0</v>
      </c>
      <c r="F75" s="967"/>
      <c r="G75" s="646">
        <f>G38-G41-G50-G54</f>
        <v>0</v>
      </c>
      <c r="H75" s="671">
        <f>H38-H41-H50-H54</f>
        <v>0</v>
      </c>
      <c r="I75" s="999">
        <f>I38-I41-I50-I54</f>
        <v>0</v>
      </c>
      <c r="J75" s="671"/>
      <c r="K75" s="672"/>
      <c r="L75" s="1465">
        <f>L38-L41-L50-L54</f>
        <v>-425725.6</v>
      </c>
      <c r="M75" s="1465">
        <f>M38-M41-M50-M54</f>
        <v>-94262.37</v>
      </c>
      <c r="N75" s="1523">
        <f>N38-N41-N50-N54</f>
        <v>-519987.97</v>
      </c>
      <c r="O75" s="1466"/>
      <c r="P75" s="1675"/>
      <c r="Q75" s="1465">
        <f>Q38-Q41-Q50-Q54</f>
        <v>1467684.7540000004</v>
      </c>
      <c r="R75" s="1465">
        <f>R38-R41-R50-R54</f>
        <v>-177924.8</v>
      </c>
      <c r="S75" s="1523">
        <f>S38-S41-S50-S54</f>
        <v>1289759.9540000004</v>
      </c>
      <c r="T75" s="1466"/>
      <c r="U75" s="1675"/>
      <c r="V75" s="1819">
        <f>V38-V41-V50-V54</f>
        <v>275727.07399999991</v>
      </c>
      <c r="W75" s="1819">
        <f>W38-W41-W50-W54</f>
        <v>-137396.80000000002</v>
      </c>
      <c r="X75" s="1820">
        <f>X38-X41-X50-X54</f>
        <v>138330.27399999995</v>
      </c>
      <c r="Y75" s="1821"/>
      <c r="Z75" s="1822"/>
      <c r="AA75" s="1465">
        <f>AA38-AA41-AA50-AA54</f>
        <v>-60008.943999999996</v>
      </c>
      <c r="AB75" s="1465">
        <f>AB38-AB41-AB50-AB54</f>
        <v>-5921.89</v>
      </c>
      <c r="AC75" s="1523">
        <f>AC38-AC41-AC50-AC54</f>
        <v>-65930.833999999988</v>
      </c>
      <c r="AD75" s="1466"/>
      <c r="AE75" s="1675"/>
      <c r="AF75" s="646">
        <f>AF38-AF41-AF50-AF54</f>
        <v>0</v>
      </c>
      <c r="AG75" s="646">
        <f>AG38-AG41-AG50-AG54</f>
        <v>0</v>
      </c>
      <c r="AH75" s="670">
        <f>AH38-AH41-AH50-AH54</f>
        <v>0</v>
      </c>
      <c r="AI75" s="671"/>
      <c r="AJ75" s="672"/>
      <c r="AK75" s="646">
        <f>AK38-AK41-AK50-AK54</f>
        <v>0</v>
      </c>
      <c r="AL75" s="646">
        <f>AL38-AL41-AL50-AL54</f>
        <v>0</v>
      </c>
      <c r="AM75" s="670">
        <f>AM38-AM41-AM50-AM54</f>
        <v>0</v>
      </c>
      <c r="AN75" s="671"/>
      <c r="AO75" s="672"/>
      <c r="AP75" s="646">
        <f>AP38-AP41-AP50-AP54</f>
        <v>0</v>
      </c>
      <c r="AQ75" s="646">
        <f>AQ38-AQ41-AQ50-AQ54</f>
        <v>0</v>
      </c>
      <c r="AR75" s="670">
        <f>AR38-AR41-AR50-AR54</f>
        <v>0</v>
      </c>
      <c r="AS75" s="671"/>
      <c r="AT75" s="672"/>
      <c r="AU75" s="646">
        <f>AU38-AU41-AU50-AU54</f>
        <v>0</v>
      </c>
      <c r="AV75" s="646">
        <f>AV38-AV41-AV50-AV54</f>
        <v>0</v>
      </c>
      <c r="AW75" s="670">
        <f>AW38-AW41-AW50-AW54</f>
        <v>0</v>
      </c>
      <c r="AX75" s="671"/>
      <c r="AY75" s="672"/>
      <c r="AZ75" s="646">
        <f>AZ38-AZ41-AZ50-AZ54</f>
        <v>1257677.2840000002</v>
      </c>
      <c r="BA75" s="646">
        <f>BA38-BA41-BA50-BA54</f>
        <v>-415505.85999999993</v>
      </c>
      <c r="BB75" s="670">
        <f>BB38-BB41-BB50-BB54</f>
        <v>842171.42400000046</v>
      </c>
      <c r="BC75" s="671"/>
      <c r="BD75" s="671"/>
    </row>
    <row r="76" spans="1:56" s="2" customFormat="1" ht="14.4" customHeight="1" x14ac:dyDescent="0.25">
      <c r="A76" s="294"/>
      <c r="B76" s="982" t="s">
        <v>49</v>
      </c>
      <c r="C76" s="873" t="e">
        <f>C75/C5</f>
        <v>#DIV/0!</v>
      </c>
      <c r="D76" s="873" t="e">
        <f>D75/D5</f>
        <v>#DIV/0!</v>
      </c>
      <c r="E76" s="874" t="e">
        <f>E75/E5</f>
        <v>#DIV/0!</v>
      </c>
      <c r="F76" s="875"/>
      <c r="G76" s="639" t="e">
        <f>G75/G5</f>
        <v>#DIV/0!</v>
      </c>
      <c r="H76" s="660" t="e">
        <f>H75/H5</f>
        <v>#DIV/0!</v>
      </c>
      <c r="I76" s="639" t="e">
        <f>I75/I5</f>
        <v>#DIV/0!</v>
      </c>
      <c r="J76" s="660"/>
      <c r="K76" s="673"/>
      <c r="L76" s="1456" t="e">
        <f>L75/L5</f>
        <v>#DIV/0!</v>
      </c>
      <c r="M76" s="1456" t="e">
        <f>M75/M5</f>
        <v>#DIV/0!</v>
      </c>
      <c r="N76" s="1457" t="e">
        <f>N75/N5</f>
        <v>#DIV/0!</v>
      </c>
      <c r="O76" s="1457"/>
      <c r="P76" s="1676"/>
      <c r="Q76" s="1456">
        <f>Q75/Q5</f>
        <v>0.48760719633305222</v>
      </c>
      <c r="R76" s="1456" t="e">
        <f>R75/R5</f>
        <v>#DIV/0!</v>
      </c>
      <c r="S76" s="1457">
        <f>S75/S5</f>
        <v>0.42849544726727223</v>
      </c>
      <c r="T76" s="1457"/>
      <c r="U76" s="1676"/>
      <c r="V76" s="1802">
        <f>V75/V5</f>
        <v>0.35330064245840287</v>
      </c>
      <c r="W76" s="1802" t="e">
        <f>W75/W5</f>
        <v>#DIV/0!</v>
      </c>
      <c r="X76" s="1803">
        <f>X75/X5</f>
        <v>0.17724837088593956</v>
      </c>
      <c r="Y76" s="1803"/>
      <c r="Z76" s="1823"/>
      <c r="AA76" s="1456" t="e">
        <f>AA75/AA5</f>
        <v>#DIV/0!</v>
      </c>
      <c r="AB76" s="1456" t="e">
        <f>AB75/AB5</f>
        <v>#DIV/0!</v>
      </c>
      <c r="AC76" s="1457" t="e">
        <f>AC75/AC5</f>
        <v>#DIV/0!</v>
      </c>
      <c r="AD76" s="1457"/>
      <c r="AE76" s="1676"/>
      <c r="AF76" s="639" t="e">
        <f>AF75/AF5</f>
        <v>#DIV/0!</v>
      </c>
      <c r="AG76" s="639" t="e">
        <f>AG75/AG5</f>
        <v>#DIV/0!</v>
      </c>
      <c r="AH76" s="660" t="e">
        <f>AH75/AH5</f>
        <v>#DIV/0!</v>
      </c>
      <c r="AI76" s="660"/>
      <c r="AJ76" s="673"/>
      <c r="AK76" s="639" t="e">
        <f>AK75/AK5</f>
        <v>#DIV/0!</v>
      </c>
      <c r="AL76" s="639" t="e">
        <f>AL75/AL5</f>
        <v>#DIV/0!</v>
      </c>
      <c r="AM76" s="660" t="e">
        <f>AM75/AM5</f>
        <v>#DIV/0!</v>
      </c>
      <c r="AN76" s="660"/>
      <c r="AO76" s="673"/>
      <c r="AP76" s="639" t="e">
        <f>AP75/AP5</f>
        <v>#DIV/0!</v>
      </c>
      <c r="AQ76" s="639" t="e">
        <f>AQ75/AQ5</f>
        <v>#DIV/0!</v>
      </c>
      <c r="AR76" s="660" t="e">
        <f>AR75/AR5</f>
        <v>#DIV/0!</v>
      </c>
      <c r="AS76" s="660"/>
      <c r="AT76" s="673"/>
      <c r="AU76" s="639" t="e">
        <f>AU75/AU5</f>
        <v>#DIV/0!</v>
      </c>
      <c r="AV76" s="639" t="e">
        <f>AV75/AV5</f>
        <v>#DIV/0!</v>
      </c>
      <c r="AW76" s="660" t="e">
        <f>AW75/AW5</f>
        <v>#DIV/0!</v>
      </c>
      <c r="AX76" s="660"/>
      <c r="AY76" s="673"/>
      <c r="AZ76" s="639">
        <f>AZ75/AZ5</f>
        <v>0.33180548197723381</v>
      </c>
      <c r="BA76" s="639" t="e">
        <f>BA75/BA5</f>
        <v>#DIV/0!</v>
      </c>
      <c r="BB76" s="660">
        <f>BB75/BB5</f>
        <v>0.22218505399018834</v>
      </c>
      <c r="BC76" s="660"/>
      <c r="BD76" s="660"/>
    </row>
    <row r="77" spans="1:56" s="2" customFormat="1" ht="14.4" customHeight="1" outlineLevel="1" thickBot="1" x14ac:dyDescent="0.3">
      <c r="A77" s="294"/>
      <c r="B77" s="1097" t="s">
        <v>9</v>
      </c>
      <c r="C77" s="1180">
        <f>C78-C79</f>
        <v>0</v>
      </c>
      <c r="D77" s="1180">
        <f>D78-D79</f>
        <v>0</v>
      </c>
      <c r="E77" s="1043">
        <f>E78-E79</f>
        <v>0</v>
      </c>
      <c r="F77" s="1098"/>
      <c r="G77" s="1180">
        <f>G78-G79</f>
        <v>0</v>
      </c>
      <c r="H77" s="1043">
        <f>H78-H79</f>
        <v>0</v>
      </c>
      <c r="I77" s="1180">
        <f>I78-I79</f>
        <v>0</v>
      </c>
      <c r="J77" s="1056"/>
      <c r="K77" s="1081"/>
      <c r="L77" s="1180">
        <f>L78-L79</f>
        <v>0</v>
      </c>
      <c r="M77" s="1180">
        <f>M78-M79</f>
        <v>0</v>
      </c>
      <c r="N77" s="1384">
        <f>N78-N79</f>
        <v>-13652.055823541114</v>
      </c>
      <c r="O77" s="1379"/>
      <c r="P77" s="1395"/>
      <c r="Q77" s="1180">
        <f>Q78-Q79</f>
        <v>0</v>
      </c>
      <c r="R77" s="1180">
        <f>R78-R79</f>
        <v>0</v>
      </c>
      <c r="S77" s="1384">
        <f>S78-S79</f>
        <v>-25768.918201318167</v>
      </c>
      <c r="T77" s="1379"/>
      <c r="U77" s="1395"/>
      <c r="V77" s="1200">
        <f>V78-V79</f>
        <v>0</v>
      </c>
      <c r="W77" s="1200">
        <f>W78-W79</f>
        <v>0</v>
      </c>
      <c r="X77" s="1400">
        <f>X78-X79</f>
        <v>-19899.232149328665</v>
      </c>
      <c r="Y77" s="1401"/>
      <c r="Z77" s="1402"/>
      <c r="AA77" s="1180">
        <f>AA78-AA79</f>
        <v>0</v>
      </c>
      <c r="AB77" s="1180">
        <f>AB78-AB79</f>
        <v>0</v>
      </c>
      <c r="AC77" s="1384">
        <f>AC78-AC79</f>
        <v>-769.51112994350297</v>
      </c>
      <c r="AD77" s="1379"/>
      <c r="AE77" s="1395"/>
      <c r="AF77" s="1180">
        <f>AF78-AF79</f>
        <v>0</v>
      </c>
      <c r="AG77" s="1180">
        <f>AG78-AG79</f>
        <v>0</v>
      </c>
      <c r="AH77" s="1043" t="e">
        <f>AH78-AH79</f>
        <v>#DIV/0!</v>
      </c>
      <c r="AI77" s="1056"/>
      <c r="AJ77" s="1081"/>
      <c r="AK77" s="1180">
        <f>AK78-AK79</f>
        <v>0</v>
      </c>
      <c r="AL77" s="1180">
        <f>AL78-AL79</f>
        <v>0</v>
      </c>
      <c r="AM77" s="1043" t="e">
        <f>AM78-AM79</f>
        <v>#DIV/0!</v>
      </c>
      <c r="AN77" s="1056"/>
      <c r="AO77" s="1081"/>
      <c r="AP77" s="1180">
        <f>AP78-AP79</f>
        <v>0</v>
      </c>
      <c r="AQ77" s="1180">
        <f>AQ78-AQ79</f>
        <v>0</v>
      </c>
      <c r="AR77" s="1043" t="e">
        <f>AR78-AR79</f>
        <v>#DIV/0!</v>
      </c>
      <c r="AS77" s="1056"/>
      <c r="AT77" s="1081"/>
      <c r="AU77" s="1180">
        <f>AU78-AU79</f>
        <v>0</v>
      </c>
      <c r="AV77" s="1180">
        <f>AV78-AV79</f>
        <v>0</v>
      </c>
      <c r="AW77" s="1043" t="e">
        <f>AW78-AW79</f>
        <v>#DIV/0!</v>
      </c>
      <c r="AX77" s="1056" t="e">
        <f>AW77/$AW$89</f>
        <v>#DIV/0!</v>
      </c>
      <c r="AY77" s="1081"/>
      <c r="AZ77" s="1180">
        <f>AZ78-AZ79</f>
        <v>0</v>
      </c>
      <c r="BA77" s="1180">
        <f>BA79</f>
        <v>0</v>
      </c>
      <c r="BB77" s="1043">
        <f>BB78-BB79</f>
        <v>-60089.717304131445</v>
      </c>
      <c r="BC77" s="1056"/>
      <c r="BD77" s="1056"/>
    </row>
    <row r="78" spans="1:56" s="2" customFormat="1" ht="14.4" customHeight="1" outlineLevel="2" x14ac:dyDescent="0.25">
      <c r="A78" s="11"/>
      <c r="B78" s="481" t="s">
        <v>43</v>
      </c>
      <c r="C78" s="483"/>
      <c r="D78" s="564"/>
      <c r="E78" s="1243">
        <f>C78+D78*1.15</f>
        <v>0</v>
      </c>
      <c r="F78" s="994"/>
      <c r="G78" s="1034"/>
      <c r="H78" s="1033"/>
      <c r="I78" s="551">
        <f>G78+H78*1.15</f>
        <v>0</v>
      </c>
      <c r="J78" s="710"/>
      <c r="K78" s="677"/>
      <c r="L78" s="1659"/>
      <c r="M78" s="1447"/>
      <c r="N78" s="1467">
        <f>L78+M78*1.15</f>
        <v>0</v>
      </c>
      <c r="O78" s="1893">
        <f>N78/$N$89</f>
        <v>0</v>
      </c>
      <c r="P78" s="1677"/>
      <c r="Q78" s="1659"/>
      <c r="R78" s="1447"/>
      <c r="S78" s="1467">
        <f>Q78+R78*1.15</f>
        <v>0</v>
      </c>
      <c r="T78" s="1893">
        <f>S78/$N$89</f>
        <v>0</v>
      </c>
      <c r="U78" s="1677"/>
      <c r="V78" s="1787"/>
      <c r="W78" s="1640"/>
      <c r="X78" s="1825">
        <f>V78+W78*1.15</f>
        <v>0</v>
      </c>
      <c r="Y78" s="1894">
        <f>X78/$N$89</f>
        <v>0</v>
      </c>
      <c r="Z78" s="1826"/>
      <c r="AA78" s="1659"/>
      <c r="AB78" s="1447"/>
      <c r="AC78" s="1467">
        <f>AA78+AB78*1.15</f>
        <v>0</v>
      </c>
      <c r="AD78" s="1893">
        <f>AC78/$AC$89</f>
        <v>0</v>
      </c>
      <c r="AE78" s="1677"/>
      <c r="AF78" s="1033"/>
      <c r="AG78" s="1188"/>
      <c r="AH78" s="676">
        <f>AF78+AG78*1.15</f>
        <v>0</v>
      </c>
      <c r="AI78" s="1245">
        <f>AH78/$N$89</f>
        <v>0</v>
      </c>
      <c r="AJ78" s="677"/>
      <c r="AK78" s="1033"/>
      <c r="AL78" s="1188"/>
      <c r="AM78" s="676">
        <f>AK78+AL78*1.15</f>
        <v>0</v>
      </c>
      <c r="AN78" s="1245">
        <f>AM78/$N$89</f>
        <v>0</v>
      </c>
      <c r="AO78" s="677"/>
      <c r="AP78" s="1033"/>
      <c r="AQ78" s="1188"/>
      <c r="AR78" s="676">
        <f>AP78+AQ78*1.15</f>
        <v>0</v>
      </c>
      <c r="AS78" s="1245">
        <f>AR78/$N$89</f>
        <v>0</v>
      </c>
      <c r="AT78" s="677"/>
      <c r="AU78" s="1033"/>
      <c r="AV78" s="1188"/>
      <c r="AW78" s="676">
        <f>AU78+AV78*1.15</f>
        <v>0</v>
      </c>
      <c r="AX78" s="1245" t="e">
        <f>AW78/$AW$89</f>
        <v>#DIV/0!</v>
      </c>
      <c r="AY78" s="677"/>
      <c r="AZ78" s="2067">
        <f>G78+L78+Q78+V78+AA78</f>
        <v>0</v>
      </c>
      <c r="BA78" s="2067">
        <f>H78+M78+R78+W78+AB78</f>
        <v>0</v>
      </c>
      <c r="BB78" s="1190">
        <f>AZ78+BA78*1.15</f>
        <v>0</v>
      </c>
      <c r="BC78" s="676"/>
      <c r="BD78" s="676"/>
    </row>
    <row r="79" spans="1:56" s="2" customFormat="1" ht="14.4" customHeight="1" outlineLevel="2" x14ac:dyDescent="0.25">
      <c r="A79" s="11"/>
      <c r="B79" s="1270" t="s">
        <v>79</v>
      </c>
      <c r="C79" s="1242"/>
      <c r="D79" s="1243"/>
      <c r="E79" s="1243">
        <f>C79+D79*1.15</f>
        <v>0</v>
      </c>
      <c r="F79" s="1248" t="e">
        <f>E79/$E$89</f>
        <v>#DIV/0!</v>
      </c>
      <c r="G79" s="1034"/>
      <c r="H79" s="1033"/>
      <c r="I79" s="1072">
        <v>0</v>
      </c>
      <c r="J79" s="1279"/>
      <c r="K79" s="1289"/>
      <c r="L79" s="1659"/>
      <c r="M79" s="1447"/>
      <c r="N79" s="1495">
        <f>(M8+M41+M50+M54)/(1-'расчет 2022'!E8)*'расчет 2022'!E8</f>
        <v>13652.055823541114</v>
      </c>
      <c r="O79" s="1893">
        <f>N79/$N$89</f>
        <v>2.5582893266809494E-2</v>
      </c>
      <c r="P79" s="1930"/>
      <c r="Q79" s="1659"/>
      <c r="R79" s="1447"/>
      <c r="S79" s="1495">
        <f>(R8+R41+R50+R54)/(1-'расчет 2022'!E8)*'расчет 2022'!E8</f>
        <v>25768.918201318167</v>
      </c>
      <c r="T79" s="1893">
        <f>S79/$S$89</f>
        <v>1.4758978561870344E-2</v>
      </c>
      <c r="U79" s="1930"/>
      <c r="V79" s="1787"/>
      <c r="W79" s="1640">
        <v>0</v>
      </c>
      <c r="X79" s="1780">
        <f>(W8+W41+W50+W54)/(1-'расчет 2022'!E8)*'расчет 2022'!E8</f>
        <v>19899.232149328665</v>
      </c>
      <c r="Y79" s="1894">
        <f>X79/$S$89</f>
        <v>1.1397154447663215E-2</v>
      </c>
      <c r="Z79" s="1931"/>
      <c r="AA79" s="1659"/>
      <c r="AB79" s="1447">
        <v>0</v>
      </c>
      <c r="AC79" s="2049">
        <f>(AB8+AB41+AB50+AB54)/(1-'расчет 2022'!E11)*'расчет 2022'!E11</f>
        <v>769.51112994350297</v>
      </c>
      <c r="AD79" s="1893">
        <f>AC79/$AC$89</f>
        <v>1.1536838804122615E-2</v>
      </c>
      <c r="AE79" s="1930"/>
      <c r="AF79" s="1033"/>
      <c r="AG79" s="1188">
        <v>0</v>
      </c>
      <c r="AH79" s="1190" t="e">
        <v>#DIV/0!</v>
      </c>
      <c r="AI79" s="1245" t="e">
        <f>AH79/$AH$89</f>
        <v>#DIV/0!</v>
      </c>
      <c r="AJ79" s="1289"/>
      <c r="AK79" s="1033"/>
      <c r="AL79" s="1188">
        <v>0</v>
      </c>
      <c r="AM79" s="1190" t="e">
        <v>#DIV/0!</v>
      </c>
      <c r="AN79" s="1245" t="e">
        <f>AM79/$AH$89</f>
        <v>#DIV/0!</v>
      </c>
      <c r="AO79" s="1289"/>
      <c r="AP79" s="1033"/>
      <c r="AQ79" s="1188">
        <v>0</v>
      </c>
      <c r="AR79" s="1190" t="e">
        <v>#DIV/0!</v>
      </c>
      <c r="AS79" s="1245" t="e">
        <f>AR79/$AR$89</f>
        <v>#DIV/0!</v>
      </c>
      <c r="AT79" s="1289"/>
      <c r="AU79" s="1033"/>
      <c r="AV79" s="1188">
        <v>0</v>
      </c>
      <c r="AW79" s="1190" t="e">
        <v>#DIV/0!</v>
      </c>
      <c r="AX79" s="1245" t="e">
        <f>AW79/$AW$89</f>
        <v>#DIV/0!</v>
      </c>
      <c r="AY79" s="1289"/>
      <c r="AZ79" s="2067">
        <f>G79+L79+Q79+V79+AA79</f>
        <v>0</v>
      </c>
      <c r="BA79" s="2067">
        <f>H79+M79+R79+W79+AB79</f>
        <v>0</v>
      </c>
      <c r="BB79" s="1190">
        <f>N79+S79+X79+AC79</f>
        <v>60089.717304131445</v>
      </c>
      <c r="BC79" s="1249"/>
      <c r="BD79" s="1249"/>
    </row>
    <row r="80" spans="1:56" ht="14.4" customHeight="1" outlineLevel="2" x14ac:dyDescent="0.25">
      <c r="A80" s="3"/>
      <c r="B80" s="1293"/>
      <c r="C80" s="1255"/>
      <c r="D80" s="1256"/>
      <c r="E80" s="1257"/>
      <c r="F80" s="1258"/>
      <c r="G80" s="1034"/>
      <c r="H80" s="1033"/>
      <c r="I80" s="1229"/>
      <c r="J80" s="1294"/>
      <c r="K80" s="1295"/>
      <c r="L80" s="1659"/>
      <c r="M80" s="1447"/>
      <c r="N80" s="1910"/>
      <c r="O80" s="1910"/>
      <c r="P80" s="1936"/>
      <c r="Q80" s="1659"/>
      <c r="R80" s="1447"/>
      <c r="S80" s="1910"/>
      <c r="T80" s="1910"/>
      <c r="U80" s="1936"/>
      <c r="V80" s="1787"/>
      <c r="W80" s="1640"/>
      <c r="X80" s="1911"/>
      <c r="Y80" s="1911"/>
      <c r="Z80" s="1937"/>
      <c r="AA80" s="1659"/>
      <c r="AB80" s="1447"/>
      <c r="AC80" s="1910"/>
      <c r="AD80" s="1910">
        <f>AC80/$AC$89</f>
        <v>0</v>
      </c>
      <c r="AE80" s="1936"/>
      <c r="AF80" s="1033"/>
      <c r="AG80" s="1188"/>
      <c r="AH80" s="1259"/>
      <c r="AI80" s="1259"/>
      <c r="AJ80" s="1295"/>
      <c r="AK80" s="1033"/>
      <c r="AL80" s="1188"/>
      <c r="AM80" s="1259"/>
      <c r="AN80" s="1259"/>
      <c r="AO80" s="1295"/>
      <c r="AP80" s="1033"/>
      <c r="AQ80" s="1188"/>
      <c r="AR80" s="1259"/>
      <c r="AS80" s="1259"/>
      <c r="AT80" s="1295"/>
      <c r="AU80" s="1033"/>
      <c r="AV80" s="1188"/>
      <c r="AW80" s="1259"/>
      <c r="AX80" s="1259"/>
      <c r="AY80" s="1295"/>
      <c r="AZ80" s="1188">
        <f>G80+L80+Q80+V80</f>
        <v>0</v>
      </c>
      <c r="BA80" s="1188">
        <f>H80+M80+R80+W80</f>
        <v>0</v>
      </c>
      <c r="BB80" s="1259"/>
      <c r="BC80" s="1259"/>
      <c r="BD80" s="1259"/>
    </row>
    <row r="81" spans="1:56" s="2" customFormat="1" ht="14.4" customHeight="1" outlineLevel="1" thickBot="1" x14ac:dyDescent="0.3">
      <c r="A81" s="26"/>
      <c r="B81" s="1097" t="s">
        <v>12</v>
      </c>
      <c r="C81" s="1180">
        <f>(C75+C78)-C79</f>
        <v>0</v>
      </c>
      <c r="D81" s="1180">
        <f>(D75+D78)-D79</f>
        <v>0</v>
      </c>
      <c r="E81" s="1043">
        <f>(E75+E78)-E79</f>
        <v>0</v>
      </c>
      <c r="F81" s="1098"/>
      <c r="G81" s="1180">
        <f>(G75+G78)-G79</f>
        <v>0</v>
      </c>
      <c r="H81" s="1043">
        <f>(H75+H78)-H79</f>
        <v>0</v>
      </c>
      <c r="I81" s="1180">
        <f>(I75+I78)-I79</f>
        <v>0</v>
      </c>
      <c r="J81" s="1056"/>
      <c r="K81" s="1081"/>
      <c r="L81" s="1180">
        <f>(L75+L78)-L79</f>
        <v>-425725.6</v>
      </c>
      <c r="M81" s="1180">
        <f>(M75+M78)-M79</f>
        <v>-94262.37</v>
      </c>
      <c r="N81" s="1384">
        <f>(N75+N78)-N79</f>
        <v>-533640.0258235411</v>
      </c>
      <c r="O81" s="1379"/>
      <c r="P81" s="1395"/>
      <c r="Q81" s="1180">
        <f>(Q75+Q78)-Q79</f>
        <v>1467684.7540000004</v>
      </c>
      <c r="R81" s="1180">
        <f>(R75+R78)-R79</f>
        <v>-177924.8</v>
      </c>
      <c r="S81" s="1384">
        <f>(S75+S78)-S79</f>
        <v>1263991.0357986821</v>
      </c>
      <c r="T81" s="1379"/>
      <c r="U81" s="1395"/>
      <c r="V81" s="1200">
        <f>(V75+V78)-V79</f>
        <v>275727.07399999991</v>
      </c>
      <c r="W81" s="1200">
        <f>(W75+W78)-W79</f>
        <v>-137396.80000000002</v>
      </c>
      <c r="X81" s="1400">
        <f>(X75+X78)-X79</f>
        <v>118431.04185067129</v>
      </c>
      <c r="Y81" s="1401"/>
      <c r="Z81" s="1402"/>
      <c r="AA81" s="1180">
        <f>(AA75+AA78)-AA79</f>
        <v>-60008.943999999996</v>
      </c>
      <c r="AB81" s="1180">
        <f>(AB75+AB78)-AB79</f>
        <v>-5921.89</v>
      </c>
      <c r="AC81" s="1384">
        <f>(AC75+AC78)-AC79</f>
        <v>-66700.345129943496</v>
      </c>
      <c r="AD81" s="1379">
        <f>AC81/$AC$89</f>
        <v>-1</v>
      </c>
      <c r="AE81" s="1395"/>
      <c r="AF81" s="1180">
        <f>(AF75+AF78)-AF79</f>
        <v>0</v>
      </c>
      <c r="AG81" s="1180">
        <f>(AG75+AG78)-AG79</f>
        <v>0</v>
      </c>
      <c r="AH81" s="1043" t="e">
        <f>(AH75+AH78)-AH79</f>
        <v>#DIV/0!</v>
      </c>
      <c r="AI81" s="1056"/>
      <c r="AJ81" s="1081"/>
      <c r="AK81" s="1180">
        <f>(AK75+AK78)-AK79</f>
        <v>0</v>
      </c>
      <c r="AL81" s="1180">
        <f>(AL75+AL78)-AL79</f>
        <v>0</v>
      </c>
      <c r="AM81" s="1043" t="e">
        <f>(AM75+AM78)-AM79</f>
        <v>#DIV/0!</v>
      </c>
      <c r="AN81" s="1056"/>
      <c r="AO81" s="1081"/>
      <c r="AP81" s="1180">
        <f>(AP75+AP78)-AP79</f>
        <v>0</v>
      </c>
      <c r="AQ81" s="1180">
        <f>(AQ75+AQ78)-AQ79</f>
        <v>0</v>
      </c>
      <c r="AR81" s="1043" t="e">
        <f>(AR75+AR78)-AR79</f>
        <v>#DIV/0!</v>
      </c>
      <c r="AS81" s="1056"/>
      <c r="AT81" s="1081"/>
      <c r="AU81" s="1180">
        <f>(AU75+AU78)-AU79</f>
        <v>0</v>
      </c>
      <c r="AV81" s="1180">
        <f>(AV75+AV78)-AV79</f>
        <v>0</v>
      </c>
      <c r="AW81" s="1043" t="e">
        <f>(AW75+AW78)-AW79</f>
        <v>#DIV/0!</v>
      </c>
      <c r="AX81" s="1056"/>
      <c r="AY81" s="1081"/>
      <c r="AZ81" s="1180">
        <f>(AZ75+AZ78)-AZ79</f>
        <v>1257677.2840000002</v>
      </c>
      <c r="BA81" s="1180">
        <f>(BA75+BA78)-BA79</f>
        <v>-415505.85999999993</v>
      </c>
      <c r="BB81" s="1043">
        <f>(BB75+BB78)-BB79</f>
        <v>782081.70669586898</v>
      </c>
      <c r="BC81" s="1056"/>
      <c r="BD81" s="1056"/>
    </row>
    <row r="82" spans="1:56" s="2" customFormat="1" ht="14.4" customHeight="1" outlineLevel="2" x14ac:dyDescent="0.25">
      <c r="A82" s="293"/>
      <c r="B82" s="481" t="s">
        <v>38</v>
      </c>
      <c r="C82" s="483"/>
      <c r="D82" s="564"/>
      <c r="E82" s="565">
        <f>C82+D82</f>
        <v>0</v>
      </c>
      <c r="F82" s="1248" t="e">
        <f>E82/$E$89</f>
        <v>#DIV/0!</v>
      </c>
      <c r="G82" s="1034"/>
      <c r="H82" s="1033"/>
      <c r="I82" s="482">
        <f>G82+H82</f>
        <v>0</v>
      </c>
      <c r="J82" s="1073"/>
      <c r="K82" s="1082"/>
      <c r="L82" s="1659"/>
      <c r="M82" s="1447"/>
      <c r="N82" s="1530">
        <f>L82+M82</f>
        <v>0</v>
      </c>
      <c r="O82" s="1491"/>
      <c r="P82" s="1605"/>
      <c r="Q82" s="1659"/>
      <c r="R82" s="1447"/>
      <c r="S82" s="1530">
        <f>Q82+R82</f>
        <v>0</v>
      </c>
      <c r="T82" s="1491"/>
      <c r="U82" s="1763"/>
      <c r="V82" s="1787"/>
      <c r="W82" s="1640"/>
      <c r="X82" s="1776">
        <f>V82+W82</f>
        <v>0</v>
      </c>
      <c r="Y82" s="1827"/>
      <c r="Z82" s="1828"/>
      <c r="AA82" s="1659"/>
      <c r="AB82" s="1447"/>
      <c r="AC82" s="1530">
        <f>AA82+AB82</f>
        <v>0</v>
      </c>
      <c r="AD82" s="1491"/>
      <c r="AE82" s="1605"/>
      <c r="AF82" s="1033"/>
      <c r="AG82" s="1188"/>
      <c r="AH82" s="565">
        <f>AF82+AG82</f>
        <v>0</v>
      </c>
      <c r="AI82" s="1057"/>
      <c r="AJ82" s="1030"/>
      <c r="AK82" s="1033"/>
      <c r="AL82" s="1188"/>
      <c r="AM82" s="565">
        <f>AK82+AL82</f>
        <v>0</v>
      </c>
      <c r="AN82" s="1057"/>
      <c r="AO82" s="1030"/>
      <c r="AP82" s="1033"/>
      <c r="AQ82" s="1188"/>
      <c r="AR82" s="565">
        <f>AP82+AQ82</f>
        <v>0</v>
      </c>
      <c r="AS82" s="1057"/>
      <c r="AT82" s="1030"/>
      <c r="AU82" s="1033"/>
      <c r="AV82" s="1188"/>
      <c r="AW82" s="565">
        <f>AU82+AV82</f>
        <v>0</v>
      </c>
      <c r="AX82" s="1057"/>
      <c r="AY82" s="1030"/>
      <c r="AZ82" s="2067">
        <f>G82+L82+Q82+V82+AA82</f>
        <v>0</v>
      </c>
      <c r="BA82" s="2067">
        <f>H82+M82+R82+W82+AB82</f>
        <v>0</v>
      </c>
      <c r="BB82" s="1190">
        <f>I82</f>
        <v>0</v>
      </c>
      <c r="BC82" s="1057"/>
      <c r="BD82" s="1057"/>
    </row>
    <row r="83" spans="1:56" s="2" customFormat="1" ht="14.4" customHeight="1" outlineLevel="1" x14ac:dyDescent="0.25">
      <c r="A83" s="11"/>
      <c r="B83" s="1296" t="s">
        <v>13</v>
      </c>
      <c r="C83" s="1261">
        <f>(C81+C7)-C36</f>
        <v>0</v>
      </c>
      <c r="D83" s="1261">
        <f>(D81+D7)-D36</f>
        <v>0</v>
      </c>
      <c r="E83" s="1261">
        <f>(E81+E7)-E36</f>
        <v>0</v>
      </c>
      <c r="F83" s="1262"/>
      <c r="G83" s="1261">
        <f>(G81+G7)-G36</f>
        <v>0</v>
      </c>
      <c r="H83" s="1263">
        <f>(H81+H7)-H36</f>
        <v>0</v>
      </c>
      <c r="I83" s="1261">
        <f>(I81+I7)-I36</f>
        <v>0</v>
      </c>
      <c r="J83" s="1264"/>
      <c r="K83" s="1297"/>
      <c r="L83" s="1912">
        <f>(L81+L7)-L36</f>
        <v>-425725.6</v>
      </c>
      <c r="M83" s="1912">
        <f>(M81+M7)-M36</f>
        <v>-94262.37</v>
      </c>
      <c r="N83" s="1913">
        <f>(N81+N7)-N36</f>
        <v>-533640.0258235411</v>
      </c>
      <c r="O83" s="1914"/>
      <c r="P83" s="1938"/>
      <c r="Q83" s="1912">
        <f>(Q81+Q7)-Q36</f>
        <v>1467684.7540000004</v>
      </c>
      <c r="R83" s="1912">
        <f>(R81+R7)-R36</f>
        <v>-177924.8</v>
      </c>
      <c r="S83" s="1913">
        <f>(S81+S7)-S36</f>
        <v>1263991.0357986821</v>
      </c>
      <c r="T83" s="1914"/>
      <c r="U83" s="1938"/>
      <c r="V83" s="1916">
        <f>(V81+V7)-V36</f>
        <v>275727.07399999991</v>
      </c>
      <c r="W83" s="1916">
        <f>(W81+W7)-W36</f>
        <v>-137396.80000000002</v>
      </c>
      <c r="X83" s="1917">
        <f>(X81+X7)-X36</f>
        <v>118431.04185067129</v>
      </c>
      <c r="Y83" s="1918"/>
      <c r="Z83" s="1939"/>
      <c r="AA83" s="1912">
        <f>(AA81+AA7)-AA36</f>
        <v>-60008.943999999996</v>
      </c>
      <c r="AB83" s="1912">
        <f>(AB81+AB7)-AB36</f>
        <v>-5921.89</v>
      </c>
      <c r="AC83" s="1913">
        <f>(AC81+AC7)-AC36</f>
        <v>-66700.345129943496</v>
      </c>
      <c r="AD83" s="1914"/>
      <c r="AE83" s="1938"/>
      <c r="AF83" s="1261">
        <f>(AF81+AF7)-AF36</f>
        <v>0</v>
      </c>
      <c r="AG83" s="1261">
        <f>(AG81+AG7)-AG36</f>
        <v>0</v>
      </c>
      <c r="AH83" s="1263" t="e">
        <f>(AH81+AH7)-AH36</f>
        <v>#DIV/0!</v>
      </c>
      <c r="AI83" s="1264"/>
      <c r="AJ83" s="1297"/>
      <c r="AK83" s="1261">
        <f>(AK81+AK7)-AK36</f>
        <v>0</v>
      </c>
      <c r="AL83" s="1261">
        <f>(AL81+AL7)-AL36</f>
        <v>0</v>
      </c>
      <c r="AM83" s="1263" t="e">
        <f>(AM81+AM7)-AM36</f>
        <v>#DIV/0!</v>
      </c>
      <c r="AN83" s="1264"/>
      <c r="AO83" s="1297"/>
      <c r="AP83" s="1261">
        <f>(AP81+AP7)-AP36</f>
        <v>0</v>
      </c>
      <c r="AQ83" s="1261">
        <f>(AQ81+AQ7)-AQ36</f>
        <v>0</v>
      </c>
      <c r="AR83" s="1263" t="e">
        <f>(AR81+AR7)-AR36</f>
        <v>#DIV/0!</v>
      </c>
      <c r="AS83" s="1264"/>
      <c r="AT83" s="1297"/>
      <c r="AU83" s="1261">
        <f>(AU81+AU7)-AU36</f>
        <v>0</v>
      </c>
      <c r="AV83" s="1261">
        <f>(AV81+AV7)-AV36</f>
        <v>0</v>
      </c>
      <c r="AW83" s="1263" t="e">
        <f>(AW81+AW7)-AW36</f>
        <v>#DIV/0!</v>
      </c>
      <c r="AX83" s="1264"/>
      <c r="AY83" s="1297"/>
      <c r="AZ83" s="1261">
        <f>(AZ81)-AZ36</f>
        <v>1257677.2840000002</v>
      </c>
      <c r="BA83" s="1261">
        <f>(BA81)-BA36</f>
        <v>-415505.85999999993</v>
      </c>
      <c r="BB83" s="1263">
        <f>(BB81)-BB36</f>
        <v>782081.70669586898</v>
      </c>
      <c r="BC83" s="1264"/>
      <c r="BD83" s="1264"/>
    </row>
    <row r="84" spans="1:56" s="2" customFormat="1" ht="14.4" customHeight="1" outlineLevel="1" thickBot="1" x14ac:dyDescent="0.3">
      <c r="A84" s="11"/>
      <c r="B84" s="1099" t="s">
        <v>14</v>
      </c>
      <c r="C84" s="1202">
        <f>C83-C73-C82</f>
        <v>0</v>
      </c>
      <c r="D84" s="1202">
        <f>D83-D73-D82</f>
        <v>0</v>
      </c>
      <c r="E84" s="1202">
        <f>E83-E73-E82</f>
        <v>0</v>
      </c>
      <c r="F84" s="1100"/>
      <c r="G84" s="1202">
        <f>G83-G73-G82</f>
        <v>0</v>
      </c>
      <c r="H84" s="1044">
        <f>H83-H73-H82</f>
        <v>0</v>
      </c>
      <c r="I84" s="1202">
        <f>I83-I73-I82</f>
        <v>0</v>
      </c>
      <c r="J84" s="1083"/>
      <c r="K84" s="1084"/>
      <c r="L84" s="1392">
        <f>L83-L73-L82</f>
        <v>-425725.6</v>
      </c>
      <c r="M84" s="1392">
        <f>M83-M73-M82</f>
        <v>-94262.37</v>
      </c>
      <c r="N84" s="1392">
        <f>N83-N73-N82</f>
        <v>-533640.0258235411</v>
      </c>
      <c r="O84" s="1396"/>
      <c r="P84" s="1397"/>
      <c r="Q84" s="1392">
        <f>Q83-Q73-Q82</f>
        <v>1467684.7540000004</v>
      </c>
      <c r="R84" s="1392">
        <f>R83-R73-R82</f>
        <v>-177924.8</v>
      </c>
      <c r="S84" s="1392">
        <f>S83-S73-S82</f>
        <v>1263991.0357986821</v>
      </c>
      <c r="T84" s="1396"/>
      <c r="U84" s="1397"/>
      <c r="V84" s="1403">
        <f>V83-V73-V82</f>
        <v>275727.07399999991</v>
      </c>
      <c r="W84" s="1403">
        <f>W83-W73-W82</f>
        <v>-137396.80000000002</v>
      </c>
      <c r="X84" s="1403">
        <f>X83-X73-X82</f>
        <v>118431.04185067129</v>
      </c>
      <c r="Y84" s="1404"/>
      <c r="Z84" s="1405"/>
      <c r="AA84" s="1392">
        <f>AA83-AA73-AA82</f>
        <v>-60008.943999999996</v>
      </c>
      <c r="AB84" s="1392">
        <f>AB83-AB73-AB82</f>
        <v>-5921.89</v>
      </c>
      <c r="AC84" s="1392">
        <f>AC83-AC73-AC82</f>
        <v>-66700.345129943496</v>
      </c>
      <c r="AD84" s="1396"/>
      <c r="AE84" s="1397"/>
      <c r="AF84" s="1044">
        <f>AF83-AF73-AF82</f>
        <v>0</v>
      </c>
      <c r="AG84" s="1044">
        <f>AG83-AG73-AG82</f>
        <v>0</v>
      </c>
      <c r="AH84" s="1044" t="e">
        <f>AH83-AH73-AH82</f>
        <v>#DIV/0!</v>
      </c>
      <c r="AI84" s="1083"/>
      <c r="AJ84" s="1084"/>
      <c r="AK84" s="1044">
        <f>AK83-AK73-AK82</f>
        <v>0</v>
      </c>
      <c r="AL84" s="1044">
        <f>AL83-AL73-AL82</f>
        <v>0</v>
      </c>
      <c r="AM84" s="1044" t="e">
        <f>AM83-AM73-AM82</f>
        <v>#DIV/0!</v>
      </c>
      <c r="AN84" s="1083"/>
      <c r="AO84" s="1084"/>
      <c r="AP84" s="1044">
        <f>AP83-AP73-AP82</f>
        <v>0</v>
      </c>
      <c r="AQ84" s="1044">
        <f>AQ83-AQ73-AQ82</f>
        <v>0</v>
      </c>
      <c r="AR84" s="1044" t="e">
        <f>AR83-AR73-AR82</f>
        <v>#DIV/0!</v>
      </c>
      <c r="AS84" s="1083"/>
      <c r="AT84" s="1084"/>
      <c r="AU84" s="1044">
        <f>AU83-AU73-AU82</f>
        <v>0</v>
      </c>
      <c r="AV84" s="1044">
        <f>AV83-AV73-AV82</f>
        <v>0</v>
      </c>
      <c r="AW84" s="1044" t="e">
        <f>AW83-AW73-AW82</f>
        <v>#DIV/0!</v>
      </c>
      <c r="AX84" s="1083"/>
      <c r="AY84" s="1084"/>
      <c r="AZ84" s="1044">
        <f>AZ83-AZ73-AZ82</f>
        <v>1257677.2840000002</v>
      </c>
      <c r="BA84" s="1044">
        <f>BA83-BA73-BA82</f>
        <v>-415505.85999999993</v>
      </c>
      <c r="BB84" s="1044">
        <f>BB83-BB73-BB82</f>
        <v>782081.70669586898</v>
      </c>
      <c r="BC84" s="1083"/>
      <c r="BD84" s="1083"/>
    </row>
    <row r="85" spans="1:56" s="2" customFormat="1" ht="14.4" customHeight="1" outlineLevel="3" x14ac:dyDescent="0.25">
      <c r="A85" s="293"/>
      <c r="B85" s="1077" t="s">
        <v>44</v>
      </c>
      <c r="C85" s="1048"/>
      <c r="D85" s="1101"/>
      <c r="E85" s="1102">
        <f>C85+D85</f>
        <v>0</v>
      </c>
      <c r="F85" s="1103" t="e">
        <f>E85/$E$89</f>
        <v>#DIV/0!</v>
      </c>
      <c r="G85" s="1034"/>
      <c r="H85" s="1033"/>
      <c r="I85" s="1072">
        <f>G85+H85*1</f>
        <v>0</v>
      </c>
      <c r="J85" s="1073"/>
      <c r="K85" s="1082"/>
      <c r="L85" s="1659"/>
      <c r="M85" s="1447"/>
      <c r="N85" s="1495">
        <f>L85+M85*1</f>
        <v>0</v>
      </c>
      <c r="O85" s="1491"/>
      <c r="P85" s="1763"/>
      <c r="Q85" s="1659"/>
      <c r="R85" s="1447"/>
      <c r="S85" s="1495">
        <f>Q85+R85*1</f>
        <v>0</v>
      </c>
      <c r="T85" s="1491"/>
      <c r="U85" s="1763"/>
      <c r="V85" s="1787"/>
      <c r="W85" s="1640"/>
      <c r="X85" s="1780">
        <f>V85+W85*1</f>
        <v>0</v>
      </c>
      <c r="Y85" s="1827"/>
      <c r="Z85" s="1828"/>
      <c r="AA85" s="1659"/>
      <c r="AB85" s="1447"/>
      <c r="AC85" s="1495">
        <f>AA85+AB85*1</f>
        <v>0</v>
      </c>
      <c r="AD85" s="1491"/>
      <c r="AE85" s="1763"/>
      <c r="AF85" s="1033"/>
      <c r="AG85" s="1188"/>
      <c r="AH85" s="1190">
        <f>AF85+AG85*1</f>
        <v>0</v>
      </c>
      <c r="AI85" s="1057"/>
      <c r="AJ85" s="1082"/>
      <c r="AK85" s="1033"/>
      <c r="AL85" s="1188"/>
      <c r="AM85" s="1190">
        <f>AK85+AL85*1</f>
        <v>0</v>
      </c>
      <c r="AN85" s="1057"/>
      <c r="AO85" s="1082"/>
      <c r="AP85" s="1033"/>
      <c r="AQ85" s="1188"/>
      <c r="AR85" s="1190">
        <f>AP85+AQ85*1</f>
        <v>0</v>
      </c>
      <c r="AS85" s="1057"/>
      <c r="AT85" s="1082"/>
      <c r="AU85" s="1033"/>
      <c r="AV85" s="1188"/>
      <c r="AW85" s="1190">
        <f>AU85+AV85*1</f>
        <v>0</v>
      </c>
      <c r="AX85" s="1057"/>
      <c r="AY85" s="1082"/>
      <c r="AZ85" s="2067">
        <f>G85+L85+Q85+V85+AA85</f>
        <v>0</v>
      </c>
      <c r="BA85" s="2067">
        <f>H85+M85+R85+W85+AB85</f>
        <v>0</v>
      </c>
      <c r="BB85" s="1190">
        <f>AZ85+BA85*1.15</f>
        <v>0</v>
      </c>
      <c r="BC85" s="1057"/>
      <c r="BD85" s="1057"/>
    </row>
    <row r="86" spans="1:56" s="2" customFormat="1" ht="14.4" customHeight="1" x14ac:dyDescent="0.25">
      <c r="A86" s="11"/>
      <c r="B86" s="1298" t="s">
        <v>50</v>
      </c>
      <c r="C86" s="1266">
        <f>C84-C85</f>
        <v>0</v>
      </c>
      <c r="D86" s="1266">
        <f>D84-D85</f>
        <v>0</v>
      </c>
      <c r="E86" s="1267">
        <f>E84-E85</f>
        <v>0</v>
      </c>
      <c r="F86" s="1268"/>
      <c r="G86" s="1266">
        <f>G84-G85</f>
        <v>0</v>
      </c>
      <c r="H86" s="1267">
        <f>H84-H85</f>
        <v>0</v>
      </c>
      <c r="I86" s="1266">
        <f>I84-I85</f>
        <v>0</v>
      </c>
      <c r="J86" s="1269"/>
      <c r="K86" s="1297"/>
      <c r="L86" s="1919">
        <f>L84-L85</f>
        <v>-425725.6</v>
      </c>
      <c r="M86" s="1919">
        <f>M84-M85</f>
        <v>-94262.37</v>
      </c>
      <c r="N86" s="1919">
        <f>N84-N85</f>
        <v>-533640.0258235411</v>
      </c>
      <c r="O86" s="1920"/>
      <c r="P86" s="1938"/>
      <c r="Q86" s="1919">
        <f>Q84-Q85</f>
        <v>1467684.7540000004</v>
      </c>
      <c r="R86" s="1919">
        <f>R84-R85</f>
        <v>-177924.8</v>
      </c>
      <c r="S86" s="1919">
        <f>S84-S85</f>
        <v>1263991.0357986821</v>
      </c>
      <c r="T86" s="1920"/>
      <c r="U86" s="1938"/>
      <c r="V86" s="1917">
        <f>V84-V85</f>
        <v>275727.07399999991</v>
      </c>
      <c r="W86" s="1917">
        <f>W84-W85</f>
        <v>-137396.80000000002</v>
      </c>
      <c r="X86" s="1917">
        <f>X84-X85</f>
        <v>118431.04185067129</v>
      </c>
      <c r="Y86" s="1918"/>
      <c r="Z86" s="1939"/>
      <c r="AA86" s="1919">
        <f>AA84-AA85</f>
        <v>-60008.943999999996</v>
      </c>
      <c r="AB86" s="1919">
        <f>AB84-AB85</f>
        <v>-5921.89</v>
      </c>
      <c r="AC86" s="1919">
        <f>AC84-AC85</f>
        <v>-66700.345129943496</v>
      </c>
      <c r="AD86" s="1920"/>
      <c r="AE86" s="1938"/>
      <c r="AF86" s="1267">
        <f>AF84-AF85</f>
        <v>0</v>
      </c>
      <c r="AG86" s="1267">
        <f>AG84-AG85</f>
        <v>0</v>
      </c>
      <c r="AH86" s="1267" t="e">
        <f>AH84-AH85</f>
        <v>#DIV/0!</v>
      </c>
      <c r="AI86" s="1269"/>
      <c r="AJ86" s="1297"/>
      <c r="AK86" s="1267">
        <f>AK84-AK85</f>
        <v>0</v>
      </c>
      <c r="AL86" s="1267">
        <f>AL84-AL85</f>
        <v>0</v>
      </c>
      <c r="AM86" s="1267" t="e">
        <f>AM84-AM85</f>
        <v>#DIV/0!</v>
      </c>
      <c r="AN86" s="1269"/>
      <c r="AO86" s="1297"/>
      <c r="AP86" s="1267">
        <f>AP84-AP85</f>
        <v>0</v>
      </c>
      <c r="AQ86" s="1267">
        <f>AQ84-AQ85</f>
        <v>0</v>
      </c>
      <c r="AR86" s="1267" t="e">
        <f>AR84-AR85</f>
        <v>#DIV/0!</v>
      </c>
      <c r="AS86" s="1269"/>
      <c r="AT86" s="1297"/>
      <c r="AU86" s="1267">
        <f>AU84-AU85</f>
        <v>0</v>
      </c>
      <c r="AV86" s="1267">
        <f>AV84-AV85</f>
        <v>0</v>
      </c>
      <c r="AW86" s="1267" t="e">
        <f>AW84-AW85</f>
        <v>#DIV/0!</v>
      </c>
      <c r="AX86" s="1269"/>
      <c r="AY86" s="1297"/>
      <c r="AZ86" s="1267">
        <f>AZ84-AZ85</f>
        <v>1257677.2840000002</v>
      </c>
      <c r="BA86" s="1267">
        <f>BA84-BA85</f>
        <v>-415505.85999999993</v>
      </c>
      <c r="BB86" s="1267">
        <f>BB84-BB85</f>
        <v>782081.70669586898</v>
      </c>
      <c r="BC86" s="1269"/>
      <c r="BD86" s="1269"/>
    </row>
    <row r="87" spans="1:56" s="2" customFormat="1" ht="14.4" customHeight="1" thickBot="1" x14ac:dyDescent="0.3">
      <c r="A87" s="295"/>
      <c r="B87" s="1104" t="s">
        <v>51</v>
      </c>
      <c r="C87" s="1182" t="e">
        <f>C86/C5</f>
        <v>#DIV/0!</v>
      </c>
      <c r="D87" s="1183" t="e">
        <f>D86/D5</f>
        <v>#DIV/0!</v>
      </c>
      <c r="E87" s="1045" t="e">
        <f>E86/E5</f>
        <v>#DIV/0!</v>
      </c>
      <c r="F87" s="1105"/>
      <c r="G87" s="1182" t="e">
        <f>G86/G5</f>
        <v>#DIV/0!</v>
      </c>
      <c r="H87" s="1106" t="e">
        <f>H86/H5</f>
        <v>#DIV/0!</v>
      </c>
      <c r="I87" s="1182" t="e">
        <f>I86/I5</f>
        <v>#DIV/0!</v>
      </c>
      <c r="J87" s="1058"/>
      <c r="K87" s="1085"/>
      <c r="L87" s="1182" t="e">
        <f>L86/L5</f>
        <v>#DIV/0!</v>
      </c>
      <c r="M87" s="1183" t="e">
        <f>M86/M5</f>
        <v>#DIV/0!</v>
      </c>
      <c r="N87" s="1385" t="e">
        <f>N86/N5</f>
        <v>#DIV/0!</v>
      </c>
      <c r="O87" s="1380"/>
      <c r="P87" s="1398"/>
      <c r="Q87" s="1182">
        <f>Q86/Q5</f>
        <v>0.48760719633305222</v>
      </c>
      <c r="R87" s="1183" t="e">
        <f>R86/R5</f>
        <v>#DIV/0!</v>
      </c>
      <c r="S87" s="1385">
        <f>S86/S5</f>
        <v>0.41993426958764052</v>
      </c>
      <c r="T87" s="1380"/>
      <c r="U87" s="1398"/>
      <c r="V87" s="1205">
        <f>V86/V5</f>
        <v>0.35330064245840287</v>
      </c>
      <c r="W87" s="1206" t="e">
        <f>W86/W5</f>
        <v>#DIV/0!</v>
      </c>
      <c r="X87" s="1406">
        <f>X86/X5</f>
        <v>0.15175065170734806</v>
      </c>
      <c r="Y87" s="1407"/>
      <c r="Z87" s="1408"/>
      <c r="AA87" s="1182" t="e">
        <f>AA86/AA5</f>
        <v>#DIV/0!</v>
      </c>
      <c r="AB87" s="1183" t="e">
        <f>AB86/AB5</f>
        <v>#DIV/0!</v>
      </c>
      <c r="AC87" s="1385" t="e">
        <f>AC86/AC5</f>
        <v>#DIV/0!</v>
      </c>
      <c r="AD87" s="1380"/>
      <c r="AE87" s="1398"/>
      <c r="AF87" s="1182" t="e">
        <f>AF86/AF5</f>
        <v>#DIV/0!</v>
      </c>
      <c r="AG87" s="1183" t="e">
        <f>AG86/AG5</f>
        <v>#DIV/0!</v>
      </c>
      <c r="AH87" s="1045" t="e">
        <f>AH86/AH5</f>
        <v>#DIV/0!</v>
      </c>
      <c r="AI87" s="1058"/>
      <c r="AJ87" s="1085"/>
      <c r="AK87" s="1182" t="e">
        <f>AK86/AK5</f>
        <v>#DIV/0!</v>
      </c>
      <c r="AL87" s="1183" t="e">
        <f>AL86/AL5</f>
        <v>#DIV/0!</v>
      </c>
      <c r="AM87" s="1045" t="e">
        <f>AM86/AM5</f>
        <v>#DIV/0!</v>
      </c>
      <c r="AN87" s="1058"/>
      <c r="AO87" s="1085"/>
      <c r="AP87" s="1182" t="e">
        <f>AP86/AP5</f>
        <v>#DIV/0!</v>
      </c>
      <c r="AQ87" s="1183" t="e">
        <f>AQ86/AQ5</f>
        <v>#DIV/0!</v>
      </c>
      <c r="AR87" s="1045" t="e">
        <f>AR86/AR5</f>
        <v>#DIV/0!</v>
      </c>
      <c r="AS87" s="1058"/>
      <c r="AT87" s="1085"/>
      <c r="AU87" s="1182" t="e">
        <f>AU86/AU5</f>
        <v>#DIV/0!</v>
      </c>
      <c r="AV87" s="1183" t="e">
        <f>AV86/AV5</f>
        <v>#DIV/0!</v>
      </c>
      <c r="AW87" s="1045" t="e">
        <f>AW86/AW5</f>
        <v>#DIV/0!</v>
      </c>
      <c r="AX87" s="1058"/>
      <c r="AY87" s="1085"/>
      <c r="AZ87" s="1182">
        <f>AZ86/AZ5</f>
        <v>0.33180548197723381</v>
      </c>
      <c r="BA87" s="1183" t="e">
        <f>BA86/BA5</f>
        <v>#DIV/0!</v>
      </c>
      <c r="BB87" s="1045">
        <f>BB86/BB5</f>
        <v>0.20633194296908394</v>
      </c>
      <c r="BC87" s="1058"/>
      <c r="BD87" s="1058"/>
    </row>
    <row r="88" spans="1:56" ht="13.8" x14ac:dyDescent="0.25">
      <c r="A88" s="30"/>
      <c r="B88" s="30"/>
      <c r="C88" s="152"/>
      <c r="D88" s="152"/>
      <c r="E88" s="152"/>
      <c r="F88" s="188"/>
      <c r="G88" s="76"/>
      <c r="H88" s="76"/>
      <c r="I88" s="76"/>
      <c r="J88" s="76"/>
      <c r="K88" s="423"/>
      <c r="L88" s="1473"/>
      <c r="M88" s="1473"/>
      <c r="N88" s="1473"/>
      <c r="O88" s="1473"/>
      <c r="P88" s="1620"/>
      <c r="Q88" s="1473"/>
      <c r="R88" s="1473"/>
      <c r="S88" s="1473"/>
      <c r="T88" s="1473"/>
      <c r="U88" s="1620"/>
      <c r="V88" s="1473"/>
      <c r="W88" s="1473"/>
      <c r="X88" s="1473"/>
      <c r="Y88" s="1473"/>
      <c r="Z88" s="1626"/>
      <c r="AA88" s="1473"/>
      <c r="AB88" s="1473"/>
      <c r="AC88" s="1473"/>
      <c r="AD88" s="1473"/>
      <c r="AE88" s="1620"/>
      <c r="AF88" s="76"/>
      <c r="AG88" s="76"/>
      <c r="AH88" s="76"/>
      <c r="AI88" s="76"/>
      <c r="AJ88" s="423"/>
      <c r="AK88" s="76"/>
      <c r="AL88" s="76"/>
      <c r="AM88" s="76"/>
      <c r="AN88" s="76"/>
      <c r="AO88" s="423"/>
      <c r="AP88" s="76"/>
      <c r="AQ88" s="76"/>
      <c r="AR88" s="76"/>
      <c r="AS88" s="76"/>
      <c r="AT88" s="423"/>
      <c r="AU88" s="76"/>
      <c r="AV88" s="76"/>
      <c r="AW88" s="76"/>
      <c r="AX88" s="76"/>
      <c r="AY88" s="423"/>
      <c r="AZ88" s="76"/>
      <c r="BA88" s="76"/>
      <c r="BB88" s="76"/>
      <c r="BC88" s="76"/>
      <c r="BD88" s="76"/>
    </row>
    <row r="89" spans="1:56" x14ac:dyDescent="0.25">
      <c r="B89" s="221" t="s">
        <v>56</v>
      </c>
      <c r="C89" s="153"/>
      <c r="D89" s="153"/>
      <c r="E89" s="154">
        <f>E8+E36+E41+E50+E54+E73+E79+E82+E85</f>
        <v>0</v>
      </c>
      <c r="F89" s="189"/>
      <c r="I89" s="154">
        <f>I8+I36+I41+I50+I54+I73+I79+I82+I85</f>
        <v>0</v>
      </c>
      <c r="K89" s="424"/>
      <c r="N89" s="1538">
        <f>N8+N36+N41+N50+N54+N73+N79+N82+N85</f>
        <v>533640.0258235411</v>
      </c>
      <c r="P89" s="1621"/>
      <c r="S89" s="1538">
        <f>S8+S36+S41+S50+S54+S73+S79+S82+S85</f>
        <v>1745982.4942013181</v>
      </c>
      <c r="U89" s="1621"/>
      <c r="X89" s="1834">
        <f>X8+X36+X41+X50+X54+X73+X79+X82+X85</f>
        <v>662000.80814932869</v>
      </c>
      <c r="Z89" s="1622"/>
      <c r="AC89" s="1538">
        <f>AC8+AC36+AC41+AC50+AC54+AC73+AC79+AC82+AC85</f>
        <v>66700.345129943496</v>
      </c>
      <c r="AE89" s="1621"/>
      <c r="AH89" s="154" t="e">
        <f>AH8+AH36+AH41+AH50+AH54+AH73+AH79+AH82+AH85</f>
        <v>#DIV/0!</v>
      </c>
      <c r="AJ89" s="424"/>
      <c r="AM89" s="154" t="e">
        <f>AM8+AM36+AM41+AM50+AM54+AM73+AM79+AM82+AM85</f>
        <v>#DIV/0!</v>
      </c>
      <c r="AO89" s="424"/>
      <c r="AR89" s="154" t="e">
        <f>AR8+AR36+AR41+AR50+AR54+AR73+AR79+AR82+AR85</f>
        <v>#DIV/0!</v>
      </c>
      <c r="AT89" s="424"/>
      <c r="AW89" s="154" t="e">
        <f>AW8+AW36+AW41+AW50+AW54+AW73+AW79+AW82+AW85</f>
        <v>#DIV/0!</v>
      </c>
      <c r="AY89" s="424"/>
      <c r="BB89" s="154">
        <f>BB8+BB36+BB41+BB50+BB54+BB73+BB79+BB82+BB85-BB78</f>
        <v>3008323.6733041313</v>
      </c>
    </row>
    <row r="90" spans="1:56" s="1353" customFormat="1" x14ac:dyDescent="0.25">
      <c r="A90" s="1349"/>
      <c r="B90" s="1349"/>
      <c r="C90" s="1354"/>
      <c r="D90" s="1354"/>
      <c r="E90" s="1354"/>
      <c r="F90" s="1350"/>
      <c r="G90" s="1350"/>
      <c r="H90" s="1350"/>
      <c r="I90" s="1350"/>
      <c r="J90" s="1350"/>
      <c r="K90" s="1351"/>
      <c r="L90" s="1871"/>
      <c r="M90" s="1871"/>
      <c r="N90" s="1871"/>
      <c r="O90" s="1871"/>
      <c r="P90" s="1872"/>
      <c r="Q90" s="1871"/>
      <c r="R90" s="1871"/>
      <c r="S90" s="1871"/>
      <c r="T90" s="1871"/>
      <c r="U90" s="1872"/>
      <c r="V90" s="1871"/>
      <c r="W90" s="1871"/>
      <c r="X90" s="1871"/>
      <c r="Y90" s="1871"/>
      <c r="Z90" s="1872"/>
      <c r="AA90" s="1871"/>
      <c r="AB90" s="1871"/>
      <c r="AC90" s="1871"/>
      <c r="AD90" s="1871"/>
      <c r="AE90" s="1872"/>
      <c r="AF90" s="1350"/>
      <c r="AG90" s="1350"/>
      <c r="AH90" s="1350"/>
      <c r="AI90" s="1350"/>
      <c r="AJ90" s="1351"/>
      <c r="AK90" s="1350"/>
      <c r="AL90" s="1350"/>
      <c r="AM90" s="1350"/>
      <c r="AN90" s="1350"/>
      <c r="AO90" s="1351"/>
      <c r="AP90" s="1350"/>
      <c r="AQ90" s="1350"/>
      <c r="AR90" s="1350"/>
      <c r="AS90" s="1350"/>
      <c r="AT90" s="1351"/>
      <c r="AU90" s="1350"/>
      <c r="AV90" s="1350"/>
      <c r="AW90" s="1350"/>
      <c r="AX90" s="1350"/>
      <c r="AY90" s="1351"/>
      <c r="AZ90" s="1350"/>
      <c r="BA90" s="1350"/>
      <c r="BB90" s="1607" t="b">
        <f>(N89+S89+X89+AC89)=BB89</f>
        <v>1</v>
      </c>
      <c r="BC90" s="1350"/>
      <c r="BD90" s="1350"/>
    </row>
    <row r="91" spans="1:56" s="2" customFormat="1" x14ac:dyDescent="0.25">
      <c r="A91" s="8"/>
      <c r="B91" s="8"/>
      <c r="C91" s="153"/>
      <c r="D91" s="153"/>
      <c r="E91" s="153"/>
      <c r="F91" s="38"/>
      <c r="G91" s="38"/>
      <c r="H91" s="38"/>
      <c r="I91" s="38"/>
      <c r="J91" s="38"/>
      <c r="K91" s="424"/>
      <c r="L91" s="1446"/>
      <c r="M91" s="1446"/>
      <c r="N91" s="1446">
        <f>N5-N89</f>
        <v>-533640.0258235411</v>
      </c>
      <c r="O91" s="1446"/>
      <c r="P91" s="1621"/>
      <c r="Q91" s="1446"/>
      <c r="R91" s="1446"/>
      <c r="S91" s="1446"/>
      <c r="T91" s="1446"/>
      <c r="U91" s="1621"/>
      <c r="V91" s="1601"/>
      <c r="W91" s="1601"/>
      <c r="X91" s="1601"/>
      <c r="Y91" s="1601"/>
      <c r="Z91" s="1622"/>
      <c r="AA91" s="1446"/>
      <c r="AB91" s="1446"/>
      <c r="AC91" s="1446"/>
      <c r="AD91" s="1446"/>
      <c r="AE91" s="1621"/>
      <c r="AF91" s="38"/>
      <c r="AG91" s="38"/>
      <c r="AH91" s="38"/>
      <c r="AI91" s="38"/>
      <c r="AJ91" s="424"/>
      <c r="AK91" s="38"/>
      <c r="AL91" s="38"/>
      <c r="AM91" s="38"/>
      <c r="AN91" s="38"/>
      <c r="AO91" s="424"/>
      <c r="AP91" s="38"/>
      <c r="AQ91" s="38"/>
      <c r="AR91" s="38"/>
      <c r="AS91" s="38"/>
      <c r="AT91" s="424"/>
      <c r="AU91" s="38"/>
      <c r="AV91" s="38"/>
      <c r="AW91" s="38"/>
      <c r="AX91" s="38"/>
      <c r="AY91" s="424"/>
      <c r="AZ91" s="38"/>
      <c r="BA91" s="38"/>
      <c r="BB91" s="38"/>
      <c r="BC91" s="38"/>
      <c r="BD91" s="38"/>
    </row>
    <row r="92" spans="1:56" x14ac:dyDescent="0.25">
      <c r="C92" s="38"/>
      <c r="D92" s="38"/>
      <c r="G92" s="38">
        <f>(G9+G10+G11+G30+G58+G59+G60+G12+G13+G14+G68+G69+G29+G65+G55+G56+G57+G74)</f>
        <v>0</v>
      </c>
      <c r="K92" s="424"/>
      <c r="L92" s="1621"/>
      <c r="M92" s="1621"/>
      <c r="N92" s="1621"/>
      <c r="O92" s="1621"/>
      <c r="P92" s="1621"/>
      <c r="Q92" s="1621"/>
      <c r="R92" s="1621"/>
      <c r="S92" s="1621"/>
      <c r="T92" s="1621"/>
      <c r="U92" s="1621"/>
      <c r="V92" s="1622"/>
      <c r="W92" s="1622"/>
      <c r="X92" s="1622"/>
      <c r="Y92" s="1622"/>
      <c r="Z92" s="1622"/>
      <c r="AA92" s="1621"/>
      <c r="AB92" s="1621"/>
      <c r="AC92" s="1621"/>
      <c r="AD92" s="1621"/>
      <c r="AE92" s="1621"/>
      <c r="AF92" s="424"/>
      <c r="AG92" s="424"/>
      <c r="AH92" s="424"/>
      <c r="AI92" s="424"/>
      <c r="AJ92" s="424"/>
      <c r="AK92" s="424"/>
      <c r="AL92" s="424"/>
      <c r="AM92" s="424"/>
      <c r="AN92" s="424"/>
      <c r="AO92" s="424"/>
      <c r="AP92" s="424"/>
      <c r="AQ92" s="424"/>
      <c r="AR92" s="424"/>
      <c r="AS92" s="424"/>
      <c r="AT92" s="424"/>
      <c r="AU92" s="424"/>
      <c r="AV92" s="424"/>
      <c r="AW92" s="424"/>
      <c r="AX92" s="424"/>
      <c r="AY92" s="424"/>
    </row>
    <row r="93" spans="1:56" s="2" customFormat="1" x14ac:dyDescent="0.25">
      <c r="A93" s="8"/>
      <c r="B93" s="8"/>
      <c r="C93" s="38"/>
      <c r="D93" s="38"/>
      <c r="E93" s="38"/>
      <c r="F93" s="38"/>
      <c r="G93" s="38">
        <f>G92/6</f>
        <v>0</v>
      </c>
      <c r="H93" s="38"/>
      <c r="I93" s="38"/>
      <c r="J93" s="38"/>
      <c r="K93" s="424"/>
      <c r="L93" s="1621"/>
      <c r="M93" s="1621"/>
      <c r="N93" s="1621"/>
      <c r="O93" s="1621"/>
      <c r="P93" s="1621"/>
      <c r="Q93" s="1621"/>
      <c r="R93" s="1621"/>
      <c r="S93" s="1621"/>
      <c r="T93" s="1621"/>
      <c r="U93" s="1621"/>
      <c r="V93" s="1622"/>
      <c r="W93" s="1622"/>
      <c r="X93" s="1622"/>
      <c r="Y93" s="1622"/>
      <c r="Z93" s="1622"/>
      <c r="AA93" s="1621"/>
      <c r="AB93" s="1621"/>
      <c r="AC93" s="1621"/>
      <c r="AD93" s="1621"/>
      <c r="AE93" s="1621"/>
      <c r="AF93" s="424"/>
      <c r="AG93" s="424"/>
      <c r="AH93" s="424"/>
      <c r="AI93" s="424"/>
      <c r="AJ93" s="424"/>
      <c r="AK93" s="424"/>
      <c r="AL93" s="424"/>
      <c r="AM93" s="424"/>
      <c r="AN93" s="424"/>
      <c r="AO93" s="424"/>
      <c r="AP93" s="424"/>
      <c r="AQ93" s="424"/>
      <c r="AR93" s="424"/>
      <c r="AS93" s="424"/>
      <c r="AT93" s="424"/>
      <c r="AU93" s="424"/>
      <c r="AV93" s="424"/>
      <c r="AW93" s="424"/>
      <c r="AX93" s="424"/>
      <c r="AY93" s="424"/>
      <c r="AZ93" s="38"/>
      <c r="BA93" s="38"/>
      <c r="BB93" s="38"/>
      <c r="BC93" s="38"/>
      <c r="BD93" s="38"/>
    </row>
    <row r="94" spans="1:56" s="2" customFormat="1" x14ac:dyDescent="0.25">
      <c r="A94" s="8"/>
      <c r="B94" s="8"/>
      <c r="C94" s="38"/>
      <c r="D94" s="38"/>
      <c r="E94" s="38"/>
      <c r="F94" s="38"/>
      <c r="G94" s="626"/>
      <c r="H94" s="38"/>
      <c r="I94" s="38"/>
      <c r="J94" s="38"/>
      <c r="K94" s="425"/>
      <c r="L94" s="1622"/>
      <c r="M94" s="1622"/>
      <c r="N94" s="1622"/>
      <c r="O94" s="1622"/>
      <c r="P94" s="1622"/>
      <c r="Q94" s="1622"/>
      <c r="R94" s="1622"/>
      <c r="S94" s="1622"/>
      <c r="T94" s="1622"/>
      <c r="U94" s="1622"/>
      <c r="V94" s="1622"/>
      <c r="W94" s="1622"/>
      <c r="X94" s="1622"/>
      <c r="Y94" s="1622"/>
      <c r="Z94" s="1622"/>
      <c r="AA94" s="1622"/>
      <c r="AB94" s="1622"/>
      <c r="AC94" s="1622"/>
      <c r="AD94" s="1622"/>
      <c r="AE94" s="1622"/>
      <c r="AF94" s="425"/>
      <c r="AG94" s="425"/>
      <c r="AH94" s="425"/>
      <c r="AI94" s="425"/>
      <c r="AJ94" s="425"/>
      <c r="AK94" s="425"/>
      <c r="AL94" s="425"/>
      <c r="AM94" s="425"/>
      <c r="AN94" s="425"/>
      <c r="AO94" s="425"/>
      <c r="AP94" s="425"/>
      <c r="AQ94" s="425"/>
      <c r="AR94" s="425"/>
      <c r="AS94" s="425"/>
      <c r="AT94" s="425"/>
      <c r="AU94" s="425"/>
      <c r="AV94" s="425"/>
      <c r="AW94" s="425"/>
      <c r="AX94" s="425"/>
      <c r="AY94" s="425"/>
      <c r="AZ94" s="38"/>
      <c r="BA94" s="38"/>
      <c r="BB94" s="38"/>
      <c r="BC94" s="38"/>
      <c r="BD94" s="38"/>
    </row>
    <row r="95" spans="1:56" s="2" customFormat="1" x14ac:dyDescent="0.25">
      <c r="A95" s="8"/>
      <c r="B95" s="8"/>
      <c r="C95" s="38"/>
      <c r="D95" s="38"/>
      <c r="E95" s="38"/>
      <c r="F95" s="38"/>
      <c r="G95" s="38"/>
      <c r="H95" s="425"/>
      <c r="I95" s="425"/>
      <c r="J95" s="425"/>
      <c r="K95" s="425"/>
      <c r="L95" s="1622"/>
      <c r="M95" s="1622"/>
      <c r="N95" s="1622"/>
      <c r="O95" s="1622"/>
      <c r="P95" s="1622"/>
      <c r="Q95" s="1622"/>
      <c r="R95" s="1622"/>
      <c r="S95" s="1622"/>
      <c r="T95" s="1622"/>
      <c r="U95" s="1622"/>
      <c r="V95" s="1622"/>
      <c r="W95" s="1622"/>
      <c r="X95" s="1622"/>
      <c r="Y95" s="1622"/>
      <c r="Z95" s="1622"/>
      <c r="AA95" s="1622"/>
      <c r="AB95" s="1622"/>
      <c r="AC95" s="1622"/>
      <c r="AD95" s="1622"/>
      <c r="AE95" s="1622"/>
      <c r="AF95" s="425"/>
      <c r="AG95" s="425"/>
      <c r="AH95" s="425"/>
      <c r="AI95" s="425"/>
      <c r="AJ95" s="425"/>
      <c r="AK95" s="425"/>
      <c r="AL95" s="425"/>
      <c r="AM95" s="425"/>
      <c r="AN95" s="425"/>
      <c r="AO95" s="425"/>
      <c r="AP95" s="425"/>
      <c r="AQ95" s="425"/>
      <c r="AR95" s="425"/>
      <c r="AS95" s="425"/>
      <c r="AT95" s="425"/>
      <c r="AU95" s="425"/>
      <c r="AV95" s="425"/>
      <c r="AW95" s="425"/>
      <c r="AX95" s="425"/>
      <c r="AY95" s="425"/>
      <c r="AZ95" s="38"/>
      <c r="BA95" s="38"/>
      <c r="BB95" s="38"/>
      <c r="BC95" s="38"/>
      <c r="BD95" s="38"/>
    </row>
    <row r="96" spans="1:56" s="2" customFormat="1" x14ac:dyDescent="0.25">
      <c r="A96" s="8"/>
      <c r="B96" s="8"/>
      <c r="C96" s="38"/>
      <c r="D96" s="38"/>
      <c r="E96" s="38"/>
      <c r="F96" s="38"/>
      <c r="G96" s="38">
        <f>G6*3%</f>
        <v>0</v>
      </c>
      <c r="H96" s="425"/>
      <c r="I96" s="425"/>
      <c r="J96" s="425"/>
      <c r="K96" s="425"/>
      <c r="L96" s="1622"/>
      <c r="M96" s="1622"/>
      <c r="N96" s="1622"/>
      <c r="O96" s="1622"/>
      <c r="P96" s="1622"/>
      <c r="Q96" s="1622"/>
      <c r="R96" s="1622"/>
      <c r="S96" s="1622"/>
      <c r="T96" s="1622"/>
      <c r="U96" s="1622"/>
      <c r="V96" s="1622"/>
      <c r="W96" s="1622"/>
      <c r="X96" s="1622"/>
      <c r="Y96" s="1622"/>
      <c r="Z96" s="1622"/>
      <c r="AA96" s="1622"/>
      <c r="AB96" s="1622"/>
      <c r="AC96" s="1622"/>
      <c r="AD96" s="1622"/>
      <c r="AE96" s="1622"/>
      <c r="AF96" s="425"/>
      <c r="AG96" s="425"/>
      <c r="AH96" s="425"/>
      <c r="AI96" s="425"/>
      <c r="AJ96" s="425"/>
      <c r="AK96" s="425"/>
      <c r="AL96" s="425"/>
      <c r="AM96" s="425"/>
      <c r="AN96" s="425"/>
      <c r="AO96" s="425"/>
      <c r="AP96" s="425"/>
      <c r="AQ96" s="425"/>
      <c r="AR96" s="425"/>
      <c r="AS96" s="425"/>
      <c r="AT96" s="425"/>
      <c r="AU96" s="425"/>
      <c r="AV96" s="425"/>
      <c r="AW96" s="425"/>
      <c r="AX96" s="425"/>
      <c r="AY96" s="425"/>
      <c r="AZ96" s="38"/>
      <c r="BA96" s="38"/>
      <c r="BB96" s="38"/>
      <c r="BC96" s="38"/>
      <c r="BD96" s="38"/>
    </row>
    <row r="97" spans="1:56" x14ac:dyDescent="0.25">
      <c r="C97" s="38"/>
      <c r="D97" s="38"/>
      <c r="G97" s="425"/>
      <c r="H97" s="425"/>
      <c r="I97" s="425"/>
      <c r="J97" s="425"/>
      <c r="K97" s="425"/>
      <c r="L97" s="1622"/>
      <c r="M97" s="1622"/>
      <c r="N97" s="1622"/>
      <c r="O97" s="1622"/>
      <c r="P97" s="1622"/>
      <c r="Q97" s="1622"/>
      <c r="R97" s="1622"/>
      <c r="S97" s="1622"/>
      <c r="T97" s="1622"/>
      <c r="U97" s="1622"/>
      <c r="V97" s="1622"/>
      <c r="W97" s="1622"/>
      <c r="X97" s="1622"/>
      <c r="Y97" s="1622"/>
      <c r="Z97" s="1622"/>
      <c r="AA97" s="1622"/>
      <c r="AB97" s="1622"/>
      <c r="AC97" s="1622"/>
      <c r="AD97" s="1622"/>
      <c r="AE97" s="1622"/>
      <c r="AF97" s="425"/>
      <c r="AG97" s="425"/>
      <c r="AH97" s="425"/>
      <c r="AI97" s="425"/>
      <c r="AJ97" s="425"/>
      <c r="AK97" s="425"/>
      <c r="AL97" s="425"/>
      <c r="AM97" s="425"/>
      <c r="AN97" s="425"/>
      <c r="AO97" s="425"/>
      <c r="AP97" s="425"/>
      <c r="AQ97" s="425"/>
      <c r="AR97" s="425"/>
      <c r="AS97" s="425"/>
      <c r="AT97" s="425"/>
      <c r="AU97" s="425"/>
      <c r="AV97" s="425"/>
      <c r="AW97" s="425"/>
      <c r="AX97" s="425"/>
      <c r="AY97" s="425"/>
    </row>
    <row r="98" spans="1:56" s="2" customFormat="1" x14ac:dyDescent="0.25">
      <c r="A98" s="8"/>
      <c r="B98" s="8"/>
      <c r="C98" s="38"/>
      <c r="D98" s="38"/>
      <c r="E98" s="38"/>
      <c r="F98" s="38"/>
      <c r="G98" s="38"/>
      <c r="H98" s="38"/>
      <c r="I98" s="38"/>
      <c r="J98" s="38"/>
      <c r="K98" s="38"/>
      <c r="L98" s="1446"/>
      <c r="M98" s="1446"/>
      <c r="N98" s="1446"/>
      <c r="O98" s="1446"/>
      <c r="P98" s="1446"/>
      <c r="Q98" s="1446"/>
      <c r="R98" s="1446"/>
      <c r="S98" s="1446"/>
      <c r="T98" s="1446"/>
      <c r="U98" s="1446"/>
      <c r="V98" s="1601"/>
      <c r="W98" s="1601"/>
      <c r="X98" s="1601"/>
      <c r="Y98" s="1601"/>
      <c r="Z98" s="1601"/>
      <c r="AA98" s="1446"/>
      <c r="AB98" s="1446"/>
      <c r="AC98" s="1446"/>
      <c r="AD98" s="1446"/>
      <c r="AE98" s="1446"/>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row>
    <row r="99" spans="1:56" x14ac:dyDescent="0.25">
      <c r="C99" s="38"/>
      <c r="D99" s="38"/>
    </row>
  </sheetData>
  <mergeCells count="13">
    <mergeCell ref="A42:A48"/>
    <mergeCell ref="G2:J3"/>
    <mergeCell ref="L2:P3"/>
    <mergeCell ref="Q2:U3"/>
    <mergeCell ref="V2:Z3"/>
    <mergeCell ref="A2:F2"/>
    <mergeCell ref="AK2:AO3"/>
    <mergeCell ref="AP2:AT3"/>
    <mergeCell ref="AU2:AY3"/>
    <mergeCell ref="AZ2:BD3"/>
    <mergeCell ref="A3:F3"/>
    <mergeCell ref="AA2:AE3"/>
    <mergeCell ref="AF2:AJ3"/>
  </mergeCells>
  <pageMargins left="0.39370078740157483" right="0.19685039370078741" top="0.19685039370078741" bottom="0.19685039370078741" header="0.11811023622047245" footer="0.11811023622047245"/>
  <pageSetup paperSize="9" scale="50" orientation="portrait" horizontalDpi="4294967295" verticalDpi="4294967295"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177D7"/>
  </sheetPr>
  <dimension ref="A1:BN99"/>
  <sheetViews>
    <sheetView showZeros="0" zoomScale="70" zoomScaleNormal="70" zoomScaleSheetLayoutView="70" workbookViewId="0">
      <pane xSplit="6" ySplit="5" topLeftCell="BA30"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2" x14ac:dyDescent="0.25"/>
  <cols>
    <col min="1" max="1" width="5.5546875" style="8" customWidth="1"/>
    <col min="2" max="2" width="55" style="8" customWidth="1"/>
    <col min="3" max="3" width="16.44140625" style="77" hidden="1" customWidth="1" outlineLevel="1"/>
    <col min="4" max="4" width="16.6640625" style="77" hidden="1" customWidth="1" outlineLevel="1"/>
    <col min="5" max="5" width="16.33203125" style="38" hidden="1" customWidth="1" outlineLevel="1"/>
    <col min="6" max="6" width="9.5546875" style="38" hidden="1" customWidth="1" outlineLevel="1"/>
    <col min="7" max="7" width="13.5546875" style="38" hidden="1" customWidth="1" outlineLevel="2"/>
    <col min="8" max="8" width="13.88671875" style="38" hidden="1" customWidth="1" outlineLevel="2"/>
    <col min="9" max="9" width="13.5546875" style="38" hidden="1" customWidth="1" outlineLevel="2"/>
    <col min="10" max="11" width="9.5546875" style="38" hidden="1" customWidth="1" outlineLevel="2"/>
    <col min="12" max="12" width="15.33203125" style="38" hidden="1" customWidth="1" outlineLevel="2"/>
    <col min="13" max="13" width="14.109375" style="38" hidden="1" customWidth="1" outlineLevel="2"/>
    <col min="14" max="14" width="18.109375" style="38" hidden="1" customWidth="1" outlineLevel="2"/>
    <col min="15" max="15" width="11.6640625" style="38" hidden="1" customWidth="1" outlineLevel="2"/>
    <col min="16" max="16" width="49.88671875" style="38" hidden="1" customWidth="1" outlineLevel="2"/>
    <col min="17" max="17" width="15.33203125" style="38" hidden="1" customWidth="1" outlineLevel="2"/>
    <col min="18" max="18" width="14.109375" style="38" hidden="1" customWidth="1" outlineLevel="2"/>
    <col min="19" max="19" width="18.109375" style="38" hidden="1" customWidth="1" outlineLevel="2"/>
    <col min="20" max="20" width="11.6640625" style="38" hidden="1" customWidth="1" outlineLevel="2"/>
    <col min="21" max="21" width="49.88671875" style="38" hidden="1" customWidth="1" outlineLevel="2"/>
    <col min="22" max="22" width="19.44140625" style="38" hidden="1" customWidth="1" outlineLevel="2"/>
    <col min="23" max="23" width="16.6640625" style="38" hidden="1" customWidth="1" outlineLevel="2"/>
    <col min="24" max="24" width="17.6640625" style="38" hidden="1" customWidth="1" outlineLevel="2"/>
    <col min="25" max="25" width="12.5546875" style="38" hidden="1" customWidth="1" outlineLevel="2"/>
    <col min="26" max="26" width="47.44140625" style="38" hidden="1" customWidth="1" outlineLevel="2"/>
    <col min="27" max="27" width="15.6640625" style="38" hidden="1" customWidth="1" outlineLevel="2" collapsed="1"/>
    <col min="28" max="30" width="15.6640625" style="38" hidden="1" customWidth="1" outlineLevel="2"/>
    <col min="31" max="31" width="23.44140625" style="38" hidden="1" customWidth="1" outlineLevel="2"/>
    <col min="32" max="32" width="15.6640625" style="1446" hidden="1" customWidth="1" outlineLevel="2" collapsed="1"/>
    <col min="33" max="35" width="15.6640625" style="1446" hidden="1" customWidth="1" outlineLevel="2"/>
    <col min="36" max="36" width="22.33203125" style="1446" hidden="1" customWidth="1" outlineLevel="2"/>
    <col min="37" max="37" width="15.6640625" style="1446" hidden="1" customWidth="1" outlineLevel="2" collapsed="1"/>
    <col min="38" max="40" width="15.6640625" style="1446" hidden="1" customWidth="1" outlineLevel="2"/>
    <col min="41" max="41" width="31.5546875" style="1446" hidden="1" customWidth="1" outlineLevel="2"/>
    <col min="42" max="45" width="15.6640625" style="1601" hidden="1" customWidth="1" outlineLevel="2"/>
    <col min="46" max="46" width="50.6640625" style="1601" hidden="1" customWidth="1" outlineLevel="2"/>
    <col min="47" max="51" width="15.6640625" style="1446" hidden="1" customWidth="1" outlineLevel="2"/>
    <col min="52" max="61" width="15.6640625" style="38" hidden="1" customWidth="1" outlineLevel="1"/>
    <col min="62" max="62" width="15.6640625" style="38" customWidth="1" collapsed="1"/>
    <col min="63" max="66" width="15.6640625" style="38" customWidth="1"/>
    <col min="67" max="16384" width="7.44140625" style="1"/>
  </cols>
  <sheetData>
    <row r="1" spans="1:66" ht="13.8" thickBot="1" x14ac:dyDescent="0.3">
      <c r="C1" s="38"/>
      <c r="D1" s="38"/>
    </row>
    <row r="2" spans="1:66" ht="22.2" customHeight="1" x14ac:dyDescent="0.25">
      <c r="A2" s="4016" t="s">
        <v>955</v>
      </c>
      <c r="B2" s="4017"/>
      <c r="C2" s="4017"/>
      <c r="D2" s="4017"/>
      <c r="E2" s="4017"/>
      <c r="F2" s="4018"/>
      <c r="G2" s="4191" t="s">
        <v>969</v>
      </c>
      <c r="H2" s="4192"/>
      <c r="I2" s="4192"/>
      <c r="J2" s="4192"/>
      <c r="K2" s="4193"/>
      <c r="L2" s="4197" t="s">
        <v>964</v>
      </c>
      <c r="M2" s="4198"/>
      <c r="N2" s="4198"/>
      <c r="O2" s="4198"/>
      <c r="P2" s="4199"/>
      <c r="Q2" s="4140" t="s">
        <v>1015</v>
      </c>
      <c r="R2" s="4141"/>
      <c r="S2" s="4141"/>
      <c r="T2" s="4141"/>
      <c r="U2" s="4142"/>
      <c r="V2" s="4140" t="s">
        <v>1075</v>
      </c>
      <c r="W2" s="4141"/>
      <c r="X2" s="4141"/>
      <c r="Y2" s="4141"/>
      <c r="Z2" s="4142"/>
      <c r="AA2" s="4047" t="s">
        <v>1079</v>
      </c>
      <c r="AB2" s="4048"/>
      <c r="AC2" s="4048"/>
      <c r="AD2" s="4048"/>
      <c r="AE2" s="4049"/>
      <c r="AF2" s="4185" t="s">
        <v>1161</v>
      </c>
      <c r="AG2" s="4186"/>
      <c r="AH2" s="4186"/>
      <c r="AI2" s="4186"/>
      <c r="AJ2" s="4187"/>
      <c r="AK2" s="4172" t="s">
        <v>1303</v>
      </c>
      <c r="AL2" s="4173"/>
      <c r="AM2" s="4173"/>
      <c r="AN2" s="4173"/>
      <c r="AO2" s="4174"/>
      <c r="AP2" s="4203" t="s">
        <v>1383</v>
      </c>
      <c r="AQ2" s="4204"/>
      <c r="AR2" s="4204"/>
      <c r="AS2" s="4204"/>
      <c r="AT2" s="4205"/>
      <c r="AU2" s="4047" t="s">
        <v>1470</v>
      </c>
      <c r="AV2" s="4048"/>
      <c r="AW2" s="4048"/>
      <c r="AX2" s="4048"/>
      <c r="AY2" s="4049"/>
      <c r="AZ2" s="4047"/>
      <c r="BA2" s="4048"/>
      <c r="BB2" s="4048"/>
      <c r="BC2" s="4048"/>
      <c r="BD2" s="4049"/>
      <c r="BE2" s="4047"/>
      <c r="BF2" s="4048"/>
      <c r="BG2" s="4048"/>
      <c r="BH2" s="4048"/>
      <c r="BI2" s="4049"/>
      <c r="BJ2" s="4089" t="s">
        <v>469</v>
      </c>
      <c r="BK2" s="4090"/>
      <c r="BL2" s="4090"/>
      <c r="BM2" s="4090"/>
      <c r="BN2" s="4091"/>
    </row>
    <row r="3" spans="1:66" ht="14.4" customHeight="1" thickBot="1" x14ac:dyDescent="0.3">
      <c r="A3" s="4035" t="s">
        <v>54</v>
      </c>
      <c r="B3" s="4036"/>
      <c r="C3" s="4036"/>
      <c r="D3" s="4036"/>
      <c r="E3" s="4036"/>
      <c r="F3" s="4037"/>
      <c r="G3" s="4194"/>
      <c r="H3" s="4195"/>
      <c r="I3" s="4195"/>
      <c r="J3" s="4195"/>
      <c r="K3" s="4196"/>
      <c r="L3" s="4200"/>
      <c r="M3" s="4201"/>
      <c r="N3" s="4201"/>
      <c r="O3" s="4201"/>
      <c r="P3" s="4202"/>
      <c r="Q3" s="4143"/>
      <c r="R3" s="4144"/>
      <c r="S3" s="4144"/>
      <c r="T3" s="4144"/>
      <c r="U3" s="4145"/>
      <c r="V3" s="4143"/>
      <c r="W3" s="4144"/>
      <c r="X3" s="4144"/>
      <c r="Y3" s="4144"/>
      <c r="Z3" s="4145"/>
      <c r="AA3" s="4050"/>
      <c r="AB3" s="4051"/>
      <c r="AC3" s="4051"/>
      <c r="AD3" s="4051"/>
      <c r="AE3" s="4052"/>
      <c r="AF3" s="4188"/>
      <c r="AG3" s="4189"/>
      <c r="AH3" s="4189"/>
      <c r="AI3" s="4189"/>
      <c r="AJ3" s="4190"/>
      <c r="AK3" s="4175"/>
      <c r="AL3" s="4176"/>
      <c r="AM3" s="4176"/>
      <c r="AN3" s="4176"/>
      <c r="AO3" s="4177"/>
      <c r="AP3" s="4206"/>
      <c r="AQ3" s="4207"/>
      <c r="AR3" s="4207"/>
      <c r="AS3" s="4207"/>
      <c r="AT3" s="4208"/>
      <c r="AU3" s="4050"/>
      <c r="AV3" s="4051"/>
      <c r="AW3" s="4051"/>
      <c r="AX3" s="4051"/>
      <c r="AY3" s="4052"/>
      <c r="AZ3" s="4050"/>
      <c r="BA3" s="4051"/>
      <c r="BB3" s="4051"/>
      <c r="BC3" s="4051"/>
      <c r="BD3" s="4052"/>
      <c r="BE3" s="4050"/>
      <c r="BF3" s="4051"/>
      <c r="BG3" s="4051"/>
      <c r="BH3" s="4051"/>
      <c r="BI3" s="4052"/>
      <c r="BJ3" s="4092"/>
      <c r="BK3" s="4093"/>
      <c r="BL3" s="4093"/>
      <c r="BM3" s="4093"/>
      <c r="BN3" s="4094"/>
    </row>
    <row r="4" spans="1:66" ht="41.4" thickBot="1" x14ac:dyDescent="0.3">
      <c r="A4" s="724"/>
      <c r="B4" s="93" t="s">
        <v>11</v>
      </c>
      <c r="C4" s="725" t="s">
        <v>55</v>
      </c>
      <c r="D4" s="725" t="s">
        <v>18</v>
      </c>
      <c r="E4" s="726" t="s">
        <v>39</v>
      </c>
      <c r="F4" s="654" t="s">
        <v>40</v>
      </c>
      <c r="G4" s="954" t="s">
        <v>968</v>
      </c>
      <c r="H4" s="954" t="s">
        <v>18</v>
      </c>
      <c r="I4" s="954" t="s">
        <v>39</v>
      </c>
      <c r="J4" s="954" t="s">
        <v>40</v>
      </c>
      <c r="K4" s="954" t="s">
        <v>19</v>
      </c>
      <c r="L4" s="632" t="s">
        <v>55</v>
      </c>
      <c r="M4" s="632" t="s">
        <v>18</v>
      </c>
      <c r="N4" s="653" t="s">
        <v>39</v>
      </c>
      <c r="O4" s="654" t="s">
        <v>40</v>
      </c>
      <c r="P4" s="653" t="s">
        <v>19</v>
      </c>
      <c r="Q4" s="632" t="s">
        <v>55</v>
      </c>
      <c r="R4" s="632" t="s">
        <v>18</v>
      </c>
      <c r="S4" s="653" t="s">
        <v>39</v>
      </c>
      <c r="T4" s="654" t="s">
        <v>40</v>
      </c>
      <c r="U4" s="653" t="s">
        <v>19</v>
      </c>
      <c r="V4" s="632" t="s">
        <v>55</v>
      </c>
      <c r="W4" s="632" t="s">
        <v>18</v>
      </c>
      <c r="X4" s="653" t="s">
        <v>39</v>
      </c>
      <c r="Y4" s="654" t="s">
        <v>40</v>
      </c>
      <c r="Z4" s="653" t="s">
        <v>19</v>
      </c>
      <c r="AA4" s="632" t="s">
        <v>55</v>
      </c>
      <c r="AB4" s="632" t="s">
        <v>18</v>
      </c>
      <c r="AC4" s="653" t="s">
        <v>39</v>
      </c>
      <c r="AD4" s="654" t="s">
        <v>40</v>
      </c>
      <c r="AE4" s="653" t="s">
        <v>19</v>
      </c>
      <c r="AF4" s="1488" t="s">
        <v>55</v>
      </c>
      <c r="AG4" s="1488" t="s">
        <v>18</v>
      </c>
      <c r="AH4" s="1489" t="s">
        <v>39</v>
      </c>
      <c r="AI4" s="1566" t="s">
        <v>40</v>
      </c>
      <c r="AJ4" s="1489" t="s">
        <v>19</v>
      </c>
      <c r="AK4" s="1488" t="s">
        <v>55</v>
      </c>
      <c r="AL4" s="1488" t="s">
        <v>18</v>
      </c>
      <c r="AM4" s="1489" t="s">
        <v>39</v>
      </c>
      <c r="AN4" s="1566" t="s">
        <v>40</v>
      </c>
      <c r="AO4" s="1489" t="s">
        <v>19</v>
      </c>
      <c r="AP4" s="1782" t="s">
        <v>1428</v>
      </c>
      <c r="AQ4" s="1782" t="s">
        <v>18</v>
      </c>
      <c r="AR4" s="1783" t="s">
        <v>39</v>
      </c>
      <c r="AS4" s="1784" t="s">
        <v>40</v>
      </c>
      <c r="AT4" s="1783" t="s">
        <v>19</v>
      </c>
      <c r="AU4" s="1488" t="s">
        <v>55</v>
      </c>
      <c r="AV4" s="1488" t="s">
        <v>18</v>
      </c>
      <c r="AW4" s="1489" t="s">
        <v>39</v>
      </c>
      <c r="AX4" s="1566" t="s">
        <v>40</v>
      </c>
      <c r="AY4" s="1489" t="s">
        <v>19</v>
      </c>
      <c r="AZ4" s="632" t="s">
        <v>55</v>
      </c>
      <c r="BA4" s="632" t="s">
        <v>18</v>
      </c>
      <c r="BB4" s="653" t="s">
        <v>39</v>
      </c>
      <c r="BC4" s="654" t="s">
        <v>40</v>
      </c>
      <c r="BD4" s="653" t="s">
        <v>19</v>
      </c>
      <c r="BE4" s="632" t="s">
        <v>55</v>
      </c>
      <c r="BF4" s="632" t="s">
        <v>18</v>
      </c>
      <c r="BG4" s="653" t="s">
        <v>39</v>
      </c>
      <c r="BH4" s="654" t="s">
        <v>40</v>
      </c>
      <c r="BI4" s="653" t="s">
        <v>19</v>
      </c>
      <c r="BJ4" s="632" t="s">
        <v>55</v>
      </c>
      <c r="BK4" s="632" t="s">
        <v>18</v>
      </c>
      <c r="BL4" s="653" t="s">
        <v>39</v>
      </c>
      <c r="BM4" s="654" t="s">
        <v>40</v>
      </c>
      <c r="BN4" s="653" t="s">
        <v>19</v>
      </c>
    </row>
    <row r="5" spans="1:66" s="88" customFormat="1" ht="15" customHeight="1" thickBot="1" x14ac:dyDescent="0.3">
      <c r="A5" s="83"/>
      <c r="B5" s="617" t="s">
        <v>10</v>
      </c>
      <c r="C5" s="684">
        <f>C6</f>
        <v>15291768</v>
      </c>
      <c r="D5" s="684">
        <f>D6</f>
        <v>0</v>
      </c>
      <c r="E5" s="655">
        <f>E6</f>
        <v>15291768</v>
      </c>
      <c r="F5" s="620"/>
      <c r="G5" s="620">
        <v>12790071.829999998</v>
      </c>
      <c r="H5" s="620">
        <v>0</v>
      </c>
      <c r="I5" s="620">
        <v>12790071.829999998</v>
      </c>
      <c r="J5" s="620"/>
      <c r="K5" s="620"/>
      <c r="L5" s="620">
        <f>L6</f>
        <v>0</v>
      </c>
      <c r="M5" s="620">
        <f>M6</f>
        <v>0</v>
      </c>
      <c r="N5" s="620">
        <f>N6</f>
        <v>0</v>
      </c>
      <c r="O5" s="620"/>
      <c r="P5" s="620"/>
      <c r="Q5" s="620">
        <f>Q6</f>
        <v>899731.32000000007</v>
      </c>
      <c r="R5" s="620">
        <f>R6</f>
        <v>0</v>
      </c>
      <c r="S5" s="620">
        <f>S6</f>
        <v>899731.32000000007</v>
      </c>
      <c r="T5" s="620"/>
      <c r="U5" s="620"/>
      <c r="V5" s="620">
        <f>V6</f>
        <v>0</v>
      </c>
      <c r="W5" s="620">
        <f>W6</f>
        <v>0</v>
      </c>
      <c r="X5" s="620">
        <f>X6</f>
        <v>0</v>
      </c>
      <c r="Y5" s="620"/>
      <c r="Z5" s="620"/>
      <c r="AA5" s="620">
        <f>AA6+AA7</f>
        <v>249078.23</v>
      </c>
      <c r="AB5" s="620">
        <f>AB6+AB7</f>
        <v>0</v>
      </c>
      <c r="AC5" s="620">
        <f>AC6+AC7</f>
        <v>249078.23</v>
      </c>
      <c r="AD5" s="620"/>
      <c r="AE5" s="620"/>
      <c r="AF5" s="1481">
        <f>AF6+AF7</f>
        <v>0</v>
      </c>
      <c r="AG5" s="1481">
        <f>AG6+AG7</f>
        <v>0</v>
      </c>
      <c r="AH5" s="1481">
        <f>AH6+AH7</f>
        <v>0</v>
      </c>
      <c r="AI5" s="1481"/>
      <c r="AJ5" s="1481"/>
      <c r="AK5" s="1481">
        <f>AK6+AK7</f>
        <v>179429.66</v>
      </c>
      <c r="AL5" s="1481">
        <f>AL6+AL7</f>
        <v>0</v>
      </c>
      <c r="AM5" s="1481">
        <f>AM6+AM7</f>
        <v>179429.66</v>
      </c>
      <c r="AN5" s="1481"/>
      <c r="AO5" s="1481"/>
      <c r="AP5" s="1786">
        <f>AP6+AP7</f>
        <v>0</v>
      </c>
      <c r="AQ5" s="1786">
        <f>AQ6+AQ7</f>
        <v>0</v>
      </c>
      <c r="AR5" s="1786">
        <f>AR6+AR7</f>
        <v>0</v>
      </c>
      <c r="AS5" s="1786"/>
      <c r="AT5" s="1786"/>
      <c r="AU5" s="1481">
        <f>AU6+AU7</f>
        <v>0</v>
      </c>
      <c r="AV5" s="1481">
        <f>AV6+AV7</f>
        <v>0</v>
      </c>
      <c r="AW5" s="1481">
        <f>AW6+AW7</f>
        <v>0</v>
      </c>
      <c r="AX5" s="1481"/>
      <c r="AY5" s="1481"/>
      <c r="AZ5" s="620">
        <f>AZ6+AZ7</f>
        <v>0</v>
      </c>
      <c r="BA5" s="620">
        <f>BA6+BA7</f>
        <v>0</v>
      </c>
      <c r="BB5" s="620">
        <f>BB6+BB7</f>
        <v>0</v>
      </c>
      <c r="BC5" s="620"/>
      <c r="BD5" s="620"/>
      <c r="BE5" s="620">
        <f>BE6+BE7</f>
        <v>0</v>
      </c>
      <c r="BF5" s="620">
        <f>BF6+BF7</f>
        <v>0</v>
      </c>
      <c r="BG5" s="620">
        <f>BG6+BG7</f>
        <v>0</v>
      </c>
      <c r="BH5" s="620"/>
      <c r="BI5" s="620"/>
      <c r="BJ5" s="620">
        <f>BJ6+BJ7</f>
        <v>14118311.039999999</v>
      </c>
      <c r="BK5" s="620">
        <f>BK6+BK7</f>
        <v>0</v>
      </c>
      <c r="BL5" s="620">
        <f>BL6+BL7</f>
        <v>14118311.039999999</v>
      </c>
      <c r="BM5" s="620"/>
      <c r="BN5" s="620"/>
    </row>
    <row r="6" spans="1:66" s="2" customFormat="1" ht="39.6" customHeight="1" outlineLevel="1" x14ac:dyDescent="0.25">
      <c r="A6" s="238"/>
      <c r="B6" s="1061" t="s">
        <v>17</v>
      </c>
      <c r="C6" s="1086">
        <v>15291768</v>
      </c>
      <c r="D6" s="1032"/>
      <c r="E6" s="1190">
        <f>C6+D6</f>
        <v>15291768</v>
      </c>
      <c r="F6" s="1188"/>
      <c r="G6" s="1188">
        <v>12780071.829999998</v>
      </c>
      <c r="H6" s="1188">
        <v>0</v>
      </c>
      <c r="I6" s="1188">
        <v>12780071.829999998</v>
      </c>
      <c r="J6" s="1188"/>
      <c r="K6" s="1188"/>
      <c r="L6" s="1188"/>
      <c r="M6" s="1188"/>
      <c r="N6" s="1190">
        <f>L6+M6</f>
        <v>0</v>
      </c>
      <c r="O6" s="1188"/>
      <c r="P6" s="1188"/>
      <c r="Q6" s="1188">
        <v>899731.32000000007</v>
      </c>
      <c r="R6" s="1188"/>
      <c r="S6" s="1190">
        <f>Q6+R6</f>
        <v>899731.32000000007</v>
      </c>
      <c r="T6" s="1188"/>
      <c r="U6" s="1188" t="s">
        <v>1040</v>
      </c>
      <c r="V6" s="1132"/>
      <c r="W6" s="1188"/>
      <c r="X6" s="1190">
        <f>V6+W6</f>
        <v>0</v>
      </c>
      <c r="Y6" s="1188"/>
      <c r="Z6" s="1188"/>
      <c r="AA6" s="1188">
        <f>249078.23</f>
        <v>249078.23</v>
      </c>
      <c r="AB6" s="1188"/>
      <c r="AC6" s="1190">
        <f>AA6+AB6</f>
        <v>249078.23</v>
      </c>
      <c r="AD6" s="1188"/>
      <c r="AE6" s="1188" t="s">
        <v>1151</v>
      </c>
      <c r="AF6" s="1447"/>
      <c r="AG6" s="1447"/>
      <c r="AH6" s="1495">
        <f>AF6+AG6</f>
        <v>0</v>
      </c>
      <c r="AI6" s="1447"/>
      <c r="AJ6" s="1447"/>
      <c r="AK6" s="1779">
        <v>179429.66</v>
      </c>
      <c r="AL6" s="1447"/>
      <c r="AM6" s="1495">
        <f>AK6+AL6</f>
        <v>179429.66</v>
      </c>
      <c r="AN6" s="1447"/>
      <c r="AO6" s="1777" t="s">
        <v>1379</v>
      </c>
      <c r="AP6" s="1640"/>
      <c r="AQ6" s="1640"/>
      <c r="AR6" s="1780">
        <f>AP6+AQ6</f>
        <v>0</v>
      </c>
      <c r="AS6" s="1640"/>
      <c r="AT6" s="1741" t="s">
        <v>1388</v>
      </c>
      <c r="AU6" s="1447"/>
      <c r="AV6" s="1447"/>
      <c r="AW6" s="1495">
        <f>AU6+AV6</f>
        <v>0</v>
      </c>
      <c r="AX6" s="1447"/>
      <c r="AY6" s="1447"/>
      <c r="AZ6" s="1188"/>
      <c r="BA6" s="1188"/>
      <c r="BB6" s="1190">
        <f>AZ6+BA6</f>
        <v>0</v>
      </c>
      <c r="BC6" s="1188"/>
      <c r="BD6" s="1188"/>
      <c r="BE6" s="1188"/>
      <c r="BF6" s="1188"/>
      <c r="BG6" s="1190">
        <f>BE6+BF6</f>
        <v>0</v>
      </c>
      <c r="BH6" s="1188"/>
      <c r="BI6" s="1188"/>
      <c r="BJ6" s="1188">
        <f>G6+L6+Q6+V6+AA6+AF6+AK6+AP6</f>
        <v>14108311.039999999</v>
      </c>
      <c r="BK6" s="1188">
        <f>H6+M6+R6+W6+AB6+AL6+AQ6</f>
        <v>0</v>
      </c>
      <c r="BL6" s="1190">
        <f>BJ6+BK6</f>
        <v>14108311.039999999</v>
      </c>
      <c r="BM6" s="1188"/>
      <c r="BN6" s="1188"/>
    </row>
    <row r="7" spans="1:66" s="2" customFormat="1" ht="15" customHeight="1" outlineLevel="1" collapsed="1" thickBot="1" x14ac:dyDescent="0.3">
      <c r="A7" s="238"/>
      <c r="B7" s="1299" t="s">
        <v>41</v>
      </c>
      <c r="C7" s="1208"/>
      <c r="D7" s="1209"/>
      <c r="E7" s="622">
        <f>C7+D7</f>
        <v>0</v>
      </c>
      <c r="F7" s="1189"/>
      <c r="G7" s="535">
        <v>10000</v>
      </c>
      <c r="H7" s="535">
        <v>0</v>
      </c>
      <c r="I7" s="535">
        <v>10000</v>
      </c>
      <c r="J7" s="535"/>
      <c r="K7" s="535"/>
      <c r="L7" s="535"/>
      <c r="M7" s="535"/>
      <c r="N7" s="622">
        <f>L7+M7</f>
        <v>0</v>
      </c>
      <c r="O7" s="1189"/>
      <c r="P7" s="1189"/>
      <c r="Q7" s="535"/>
      <c r="R7" s="535"/>
      <c r="S7" s="622">
        <f>Q7+R7</f>
        <v>0</v>
      </c>
      <c r="T7" s="1189"/>
      <c r="U7" s="1189"/>
      <c r="V7" s="535"/>
      <c r="W7" s="535"/>
      <c r="X7" s="622">
        <f>V7+W7</f>
        <v>0</v>
      </c>
      <c r="Y7" s="1189"/>
      <c r="Z7" s="1189"/>
      <c r="AA7" s="535"/>
      <c r="AB7" s="535"/>
      <c r="AC7" s="622">
        <f>AA7+AB7</f>
        <v>0</v>
      </c>
      <c r="AD7" s="1189"/>
      <c r="AE7" s="1189"/>
      <c r="AF7" s="1651"/>
      <c r="AG7" s="1651"/>
      <c r="AH7" s="1668">
        <f>AF7+AG7</f>
        <v>0</v>
      </c>
      <c r="AI7" s="1448"/>
      <c r="AJ7" s="1448"/>
      <c r="AK7" s="1651"/>
      <c r="AL7" s="1651"/>
      <c r="AM7" s="1668">
        <f>AK7+AL7</f>
        <v>0</v>
      </c>
      <c r="AN7" s="1448"/>
      <c r="AO7" s="1448"/>
      <c r="AP7" s="1839"/>
      <c r="AQ7" s="1839"/>
      <c r="AR7" s="1840">
        <f>AP7+AQ7</f>
        <v>0</v>
      </c>
      <c r="AS7" s="1765"/>
      <c r="AT7" s="1765"/>
      <c r="AU7" s="1651"/>
      <c r="AV7" s="1651"/>
      <c r="AW7" s="1668">
        <f>AU7+AV7</f>
        <v>0</v>
      </c>
      <c r="AX7" s="1921"/>
      <c r="AY7" s="1921"/>
      <c r="AZ7" s="535"/>
      <c r="BA7" s="535"/>
      <c r="BB7" s="622">
        <f>AZ7+BA7</f>
        <v>0</v>
      </c>
      <c r="BC7" s="1189"/>
      <c r="BD7" s="1189"/>
      <c r="BE7" s="535"/>
      <c r="BF7" s="535"/>
      <c r="BG7" s="622">
        <f>BE7+BF7</f>
        <v>0</v>
      </c>
      <c r="BH7" s="1189"/>
      <c r="BI7" s="1189"/>
      <c r="BJ7" s="1188">
        <f>G7+L7+Q7+V7+AA7+AF7+AK7+AP7</f>
        <v>10000</v>
      </c>
      <c r="BK7" s="1188">
        <f>H7+M7+R7+W7+AB7+AL7+AQ7</f>
        <v>0</v>
      </c>
      <c r="BL7" s="622">
        <f>BJ7+BK7</f>
        <v>10000</v>
      </c>
      <c r="BM7" s="1189"/>
      <c r="BN7" s="1189"/>
    </row>
    <row r="8" spans="1:66" s="88" customFormat="1" ht="15" customHeight="1" outlineLevel="1" thickBot="1" x14ac:dyDescent="0.3">
      <c r="A8" s="1014"/>
      <c r="B8" s="617" t="s">
        <v>16</v>
      </c>
      <c r="C8" s="618">
        <f>SUM(C9:C33)</f>
        <v>6771296</v>
      </c>
      <c r="D8" s="618">
        <f>SUM(D9:D33)</f>
        <v>3622581</v>
      </c>
      <c r="E8" s="619">
        <f>SUM(E9:E33)</f>
        <v>10393877</v>
      </c>
      <c r="F8" s="577">
        <f t="shared" ref="F8:F21" si="0">E8/$E$89</f>
        <v>0.88758690666581042</v>
      </c>
      <c r="G8" s="618">
        <v>7023542.8849999998</v>
      </c>
      <c r="H8" s="618">
        <v>4908248.1899999995</v>
      </c>
      <c r="I8" s="619">
        <v>11931791.075000001</v>
      </c>
      <c r="J8" s="242">
        <v>0.91821429637302976</v>
      </c>
      <c r="K8" s="242"/>
      <c r="L8" s="618">
        <f>SUM(L9:L33)</f>
        <v>150</v>
      </c>
      <c r="M8" s="618">
        <f>SUM(M9:M33)</f>
        <v>17000</v>
      </c>
      <c r="N8" s="619">
        <f>SUM(N9:N33)</f>
        <v>17150</v>
      </c>
      <c r="O8" s="577">
        <f>N8/$N$89</f>
        <v>0.86223236730330266</v>
      </c>
      <c r="P8" s="620"/>
      <c r="Q8" s="618">
        <f>SUM(Q9:Q33)</f>
        <v>373711.20600000001</v>
      </c>
      <c r="R8" s="618">
        <f>SUM(R9:R33)</f>
        <v>142961</v>
      </c>
      <c r="S8" s="619">
        <f>SUM(S9:S33)</f>
        <v>516672.20600000006</v>
      </c>
      <c r="T8" s="577">
        <f t="shared" ref="T8:T71" si="1">S8/$S$89</f>
        <v>0.9050499570218008</v>
      </c>
      <c r="U8" s="620"/>
      <c r="V8" s="618">
        <f>SUM(V9:V33)</f>
        <v>0</v>
      </c>
      <c r="W8" s="618">
        <f>SUM(W9:W33)</f>
        <v>0</v>
      </c>
      <c r="X8" s="619">
        <f>SUM(X9:X33)</f>
        <v>0</v>
      </c>
      <c r="Y8" s="577" t="e">
        <f>X8/$X$89</f>
        <v>#DIV/0!</v>
      </c>
      <c r="Z8" s="620"/>
      <c r="AA8" s="618">
        <f>SUM(AA9:AA33)</f>
        <v>100110.704</v>
      </c>
      <c r="AB8" s="618">
        <f>SUM(AB9:AB33)</f>
        <v>93954.536999999997</v>
      </c>
      <c r="AC8" s="619">
        <f>SUM(AC9:AC33)</f>
        <v>194065.24100000001</v>
      </c>
      <c r="AD8" s="577">
        <f>AC8/$AC$89</f>
        <v>0.94158429715529179</v>
      </c>
      <c r="AE8" s="620"/>
      <c r="AF8" s="1498">
        <f>SUM(AF9:AF33)</f>
        <v>15500.003999999999</v>
      </c>
      <c r="AG8" s="1498">
        <f>SUM(AG9:AG33)</f>
        <v>0</v>
      </c>
      <c r="AH8" s="1499">
        <f>SUM(AH9:AH33)</f>
        <v>15500.003999999999</v>
      </c>
      <c r="AI8" s="1543">
        <f>AH8/$AH$89</f>
        <v>1</v>
      </c>
      <c r="AJ8" s="1481"/>
      <c r="AK8" s="1498">
        <f>SUM(AK9:AK33)</f>
        <v>37563.467999999993</v>
      </c>
      <c r="AL8" s="1498">
        <f>SUM(AL9:AL33)</f>
        <v>41032.254000000001</v>
      </c>
      <c r="AM8" s="1499">
        <f>SUM(AM9:AM33)</f>
        <v>78595.721999999994</v>
      </c>
      <c r="AN8" s="1543">
        <f>AM8/$AM$89</f>
        <v>0.92970396187998283</v>
      </c>
      <c r="AO8" s="1481"/>
      <c r="AP8" s="1788">
        <f>SUM(AP9:AP33)</f>
        <v>64920</v>
      </c>
      <c r="AQ8" s="1788">
        <f>SUM(AQ9:AQ33)</f>
        <v>0</v>
      </c>
      <c r="AR8" s="1789">
        <f>SUM(AR9:AR33)</f>
        <v>64920</v>
      </c>
      <c r="AS8" s="1790">
        <f>AR8/$AR$89</f>
        <v>1</v>
      </c>
      <c r="AT8" s="1786"/>
      <c r="AU8" s="1498">
        <f>SUM(AU9:AU33)</f>
        <v>116297.364</v>
      </c>
      <c r="AV8" s="1498">
        <f>SUM(AV9:AV33)</f>
        <v>0</v>
      </c>
      <c r="AW8" s="1499">
        <f>SUM(AW9:AW33)</f>
        <v>116297.364</v>
      </c>
      <c r="AX8" s="1543">
        <f>AW8/$AW$89</f>
        <v>1</v>
      </c>
      <c r="AY8" s="1481"/>
      <c r="AZ8" s="618">
        <f>SUM(AZ9:AZ33)</f>
        <v>0</v>
      </c>
      <c r="BA8" s="618">
        <f>SUM(BA9:BA33)</f>
        <v>0</v>
      </c>
      <c r="BB8" s="619">
        <f>SUM(BB9:BB33)</f>
        <v>0</v>
      </c>
      <c r="BC8" s="577" t="e">
        <f>BB8/$BB$89</f>
        <v>#DIV/0!</v>
      </c>
      <c r="BD8" s="620"/>
      <c r="BE8" s="618">
        <f>SUM(BE9:BE33)</f>
        <v>0</v>
      </c>
      <c r="BF8" s="618">
        <f>SUM(BF9:BF33)</f>
        <v>0</v>
      </c>
      <c r="BG8" s="619">
        <f>SUM(BG9:BG33)</f>
        <v>0</v>
      </c>
      <c r="BH8" s="577" t="e">
        <f>BG8/$BG$89</f>
        <v>#DIV/0!</v>
      </c>
      <c r="BI8" s="620"/>
      <c r="BJ8" s="618">
        <f>SUM(BJ9:BJ33)</f>
        <v>7615498.2670000009</v>
      </c>
      <c r="BK8" s="618">
        <f>SUM(BK9:BK33)</f>
        <v>5203195.9810000006</v>
      </c>
      <c r="BL8" s="619">
        <f>SUM(BL9:BL33)</f>
        <v>12818694.248000003</v>
      </c>
      <c r="BM8" s="577">
        <f>BL8/$BL$89</f>
        <v>0.91848202226466502</v>
      </c>
      <c r="BN8" s="620"/>
    </row>
    <row r="9" spans="1:66" s="2" customFormat="1" ht="34.950000000000003" customHeight="1" outlineLevel="2" x14ac:dyDescent="0.25">
      <c r="A9" s="238"/>
      <c r="B9" s="1077" t="s">
        <v>74</v>
      </c>
      <c r="C9" s="1047">
        <v>54288</v>
      </c>
      <c r="D9" s="1048"/>
      <c r="E9" s="1190">
        <f>C9+D9</f>
        <v>54288</v>
      </c>
      <c r="F9" s="1049">
        <f t="shared" si="0"/>
        <v>4.6359330583836539E-3</v>
      </c>
      <c r="G9" s="1188">
        <v>174063.09</v>
      </c>
      <c r="H9" s="1188">
        <v>0</v>
      </c>
      <c r="I9" s="1190">
        <v>174063.09</v>
      </c>
      <c r="J9" s="1049">
        <v>1.3395073439036505E-2</v>
      </c>
      <c r="K9" s="1049"/>
      <c r="L9" s="1188"/>
      <c r="M9" s="1188"/>
      <c r="N9" s="1031">
        <f>L9+M9*1</f>
        <v>0</v>
      </c>
      <c r="O9" s="1049">
        <f>N9/$N$89</f>
        <v>0</v>
      </c>
      <c r="P9" s="1030"/>
      <c r="Q9" s="1188">
        <v>19302.990000000002</v>
      </c>
      <c r="R9" s="1188"/>
      <c r="S9" s="1031">
        <f>Q9+R9*1</f>
        <v>19302.990000000002</v>
      </c>
      <c r="T9" s="1049">
        <f t="shared" si="1"/>
        <v>3.3812870262837885E-2</v>
      </c>
      <c r="U9" s="1030" t="s">
        <v>1136</v>
      </c>
      <c r="V9" s="1132"/>
      <c r="W9" s="1132"/>
      <c r="X9" s="1031">
        <f>V9+W9*1</f>
        <v>0</v>
      </c>
      <c r="Y9" s="1049" t="e">
        <f>X9/$X$89</f>
        <v>#DIV/0!</v>
      </c>
      <c r="Z9" s="1030"/>
      <c r="AA9" s="1132">
        <v>12355</v>
      </c>
      <c r="AB9" s="1188"/>
      <c r="AC9" s="1031">
        <f>AA9+AB9*1</f>
        <v>12355</v>
      </c>
      <c r="AD9" s="1049">
        <f>AC9/$AC$89</f>
        <v>5.9945170662239457E-2</v>
      </c>
      <c r="AE9" s="1030" t="s">
        <v>1133</v>
      </c>
      <c r="AF9" s="1447"/>
      <c r="AG9" s="1447"/>
      <c r="AH9" s="1567">
        <f>AF9+AG9*1</f>
        <v>0</v>
      </c>
      <c r="AI9" s="1554">
        <f t="shared" ref="AI9:AI33" si="2">AH9/$AH$89</f>
        <v>0</v>
      </c>
      <c r="AJ9" s="1605"/>
      <c r="AK9" s="1447"/>
      <c r="AL9" s="1447"/>
      <c r="AM9" s="1567">
        <f>AK9+AL9*1</f>
        <v>0</v>
      </c>
      <c r="AN9" s="1554">
        <f t="shared" ref="AN9:AN72" si="3">AM9/$AM$89</f>
        <v>0</v>
      </c>
      <c r="AO9" s="1605"/>
      <c r="AP9" s="1640"/>
      <c r="AQ9" s="1640"/>
      <c r="AR9" s="1791">
        <f>AP9+AQ9*1</f>
        <v>0</v>
      </c>
      <c r="AS9" s="1797">
        <f t="shared" ref="AS9:AS33" si="4">AR9/$AR$89</f>
        <v>0</v>
      </c>
      <c r="AT9" s="1741"/>
      <c r="AU9" s="1447"/>
      <c r="AV9" s="1447"/>
      <c r="AW9" s="1567">
        <f>AU9+AV9*1</f>
        <v>0</v>
      </c>
      <c r="AX9" s="1554">
        <f t="shared" ref="AX9:AX33" si="5">AW9/$AW$89</f>
        <v>0</v>
      </c>
      <c r="AY9" s="1605"/>
      <c r="AZ9" s="1188"/>
      <c r="BA9" s="1188"/>
      <c r="BB9" s="1031">
        <f>AZ9+BA9*1</f>
        <v>0</v>
      </c>
      <c r="BC9" s="1049" t="e">
        <f t="shared" ref="BC9:BC33" si="6">BB9/$BB$89</f>
        <v>#DIV/0!</v>
      </c>
      <c r="BD9" s="1030"/>
      <c r="BE9" s="1188"/>
      <c r="BF9" s="1188"/>
      <c r="BG9" s="1031">
        <f>BE9+BF9*1</f>
        <v>0</v>
      </c>
      <c r="BH9" s="1049" t="e">
        <f t="shared" ref="BH9:BH33" si="7">BG9/$BG$89</f>
        <v>#DIV/0!</v>
      </c>
      <c r="BI9" s="1030"/>
      <c r="BJ9" s="1188">
        <f t="shared" ref="BJ9:BJ37" si="8">G9+L9+Q9+V9+AA9+AF9+AK9+AP9</f>
        <v>205721.08</v>
      </c>
      <c r="BK9" s="1188">
        <f t="shared" ref="BK9:BK37" si="9">H9+M9+R9+W9+AB9+AL9+AQ9</f>
        <v>0</v>
      </c>
      <c r="BL9" s="1190">
        <f>BJ9+BK9</f>
        <v>205721.08</v>
      </c>
      <c r="BM9" s="1049">
        <f>BL9/$BL$89</f>
        <v>1.4740277747895535E-2</v>
      </c>
      <c r="BN9" s="1053"/>
    </row>
    <row r="10" spans="1:66" s="2" customFormat="1" ht="15" customHeight="1" outlineLevel="2" x14ac:dyDescent="0.25">
      <c r="A10" s="238"/>
      <c r="B10" s="1077" t="s">
        <v>72</v>
      </c>
      <c r="C10" s="1047">
        <v>10586</v>
      </c>
      <c r="D10" s="1048"/>
      <c r="E10" s="1190">
        <f t="shared" ref="E10:E33" si="10">C10+D10</f>
        <v>10586</v>
      </c>
      <c r="F10" s="1049">
        <f t="shared" si="0"/>
        <v>9.0399328315740786E-4</v>
      </c>
      <c r="G10" s="1188">
        <v>47806.720000000001</v>
      </c>
      <c r="H10" s="1188">
        <v>0</v>
      </c>
      <c r="I10" s="1190">
        <v>47806.720000000001</v>
      </c>
      <c r="J10" s="1049">
        <v>3.6789794164831576E-3</v>
      </c>
      <c r="K10" s="1049"/>
      <c r="L10" s="1188"/>
      <c r="M10" s="1188"/>
      <c r="N10" s="1031">
        <f t="shared" ref="N10:N22" si="11">L10+M10*1</f>
        <v>0</v>
      </c>
      <c r="O10" s="1245">
        <f t="shared" ref="O10:O33" si="12">N10/$N$89</f>
        <v>0</v>
      </c>
      <c r="P10" s="1030"/>
      <c r="Q10" s="1188">
        <v>7381.92</v>
      </c>
      <c r="R10" s="1188"/>
      <c r="S10" s="1031">
        <f t="shared" ref="S10:S22" si="13">Q10+R10*1</f>
        <v>7381.92</v>
      </c>
      <c r="T10" s="1245">
        <f t="shared" si="1"/>
        <v>1.2930841452575391E-2</v>
      </c>
      <c r="U10" s="1030"/>
      <c r="V10" s="1132"/>
      <c r="W10" s="1132"/>
      <c r="X10" s="1031">
        <f t="shared" ref="X10:X22" si="14">V10+W10*1</f>
        <v>0</v>
      </c>
      <c r="Y10" s="1245" t="e">
        <f t="shared" ref="Y10:Y33" si="15">X10/$X$89</f>
        <v>#DIV/0!</v>
      </c>
      <c r="Z10" s="1030"/>
      <c r="AA10" s="1132">
        <v>2993</v>
      </c>
      <c r="AB10" s="1188"/>
      <c r="AC10" s="1031">
        <f t="shared" ref="AC10:AC22" si="16">AA10+AB10*1</f>
        <v>2993</v>
      </c>
      <c r="AD10" s="1245">
        <f t="shared" ref="AD10:AD33" si="17">AC10/$AC$89</f>
        <v>1.4521723657797062E-2</v>
      </c>
      <c r="AE10" s="1030"/>
      <c r="AF10" s="1447"/>
      <c r="AG10" s="1447"/>
      <c r="AH10" s="1567">
        <f t="shared" ref="AH10:AH22" si="18">AF10+AG10*1</f>
        <v>0</v>
      </c>
      <c r="AI10" s="1555">
        <f t="shared" si="2"/>
        <v>0</v>
      </c>
      <c r="AJ10" s="1605"/>
      <c r="AK10" s="1447"/>
      <c r="AL10" s="1447"/>
      <c r="AM10" s="1567">
        <f t="shared" ref="AM10:AM22" si="19">AK10+AL10*1</f>
        <v>0</v>
      </c>
      <c r="AN10" s="1555">
        <f t="shared" si="3"/>
        <v>0</v>
      </c>
      <c r="AO10" s="1605"/>
      <c r="AP10" s="1640"/>
      <c r="AQ10" s="1640"/>
      <c r="AR10" s="1791">
        <f t="shared" ref="AR10:AR22" si="20">AP10+AQ10*1</f>
        <v>0</v>
      </c>
      <c r="AS10" s="1792">
        <f t="shared" si="4"/>
        <v>0</v>
      </c>
      <c r="AT10" s="1741"/>
      <c r="AU10" s="1447"/>
      <c r="AV10" s="1447"/>
      <c r="AW10" s="1567">
        <f t="shared" ref="AW10:AW22" si="21">AU10+AV10*1</f>
        <v>0</v>
      </c>
      <c r="AX10" s="1893">
        <f t="shared" si="5"/>
        <v>0</v>
      </c>
      <c r="AY10" s="1605"/>
      <c r="AZ10" s="1188"/>
      <c r="BA10" s="1188"/>
      <c r="BB10" s="1031">
        <f t="shared" ref="BB10:BB22" si="22">AZ10+BA10*1</f>
        <v>0</v>
      </c>
      <c r="BC10" s="1245" t="e">
        <f t="shared" si="6"/>
        <v>#DIV/0!</v>
      </c>
      <c r="BD10" s="1030"/>
      <c r="BE10" s="1188"/>
      <c r="BF10" s="1188"/>
      <c r="BG10" s="1031">
        <f t="shared" ref="BG10:BG22" si="23">BE10+BF10*1</f>
        <v>0</v>
      </c>
      <c r="BH10" s="1245" t="e">
        <f t="shared" si="7"/>
        <v>#DIV/0!</v>
      </c>
      <c r="BI10" s="1030"/>
      <c r="BJ10" s="1188">
        <f t="shared" si="8"/>
        <v>58181.64</v>
      </c>
      <c r="BK10" s="1188">
        <f t="shared" si="9"/>
        <v>0</v>
      </c>
      <c r="BL10" s="1190">
        <f t="shared" ref="BL10:BL33" si="24">BJ10+BK10</f>
        <v>58181.64</v>
      </c>
      <c r="BM10" s="1245">
        <f t="shared" ref="BM10:BM33" si="25">BL10/$BL$89</f>
        <v>4.1688169896253163E-3</v>
      </c>
      <c r="BN10" s="1053"/>
    </row>
    <row r="11" spans="1:66" s="2" customFormat="1" ht="15" customHeight="1" outlineLevel="2" x14ac:dyDescent="0.25">
      <c r="A11" s="238"/>
      <c r="B11" s="1077" t="s">
        <v>69</v>
      </c>
      <c r="C11" s="1047">
        <v>11943</v>
      </c>
      <c r="D11" s="1048"/>
      <c r="E11" s="1190">
        <f t="shared" si="10"/>
        <v>11943</v>
      </c>
      <c r="F11" s="1049">
        <f t="shared" si="0"/>
        <v>1.0198745305827436E-3</v>
      </c>
      <c r="G11" s="1188">
        <v>53935.049999999996</v>
      </c>
      <c r="H11" s="1188">
        <v>0</v>
      </c>
      <c r="I11" s="1190">
        <v>53935.049999999996</v>
      </c>
      <c r="J11" s="1049">
        <v>4.1505867538494572E-3</v>
      </c>
      <c r="K11" s="1049"/>
      <c r="L11" s="1188"/>
      <c r="M11" s="1188"/>
      <c r="N11" s="1031">
        <f t="shared" si="11"/>
        <v>0</v>
      </c>
      <c r="O11" s="1245">
        <f t="shared" si="12"/>
        <v>0</v>
      </c>
      <c r="P11" s="1030"/>
      <c r="Q11" s="1188">
        <v>8328.32</v>
      </c>
      <c r="R11" s="1188"/>
      <c r="S11" s="1031">
        <f t="shared" si="13"/>
        <v>8328.32</v>
      </c>
      <c r="T11" s="1245">
        <f t="shared" si="1"/>
        <v>1.4588641638803003E-2</v>
      </c>
      <c r="U11" s="1030"/>
      <c r="V11" s="1132"/>
      <c r="W11" s="1132"/>
      <c r="X11" s="1031">
        <f t="shared" si="14"/>
        <v>0</v>
      </c>
      <c r="Y11" s="1245" t="e">
        <f t="shared" si="15"/>
        <v>#DIV/0!</v>
      </c>
      <c r="Z11" s="1030"/>
      <c r="AA11" s="1132">
        <v>4062</v>
      </c>
      <c r="AB11" s="1188"/>
      <c r="AC11" s="1031">
        <f t="shared" si="16"/>
        <v>4062</v>
      </c>
      <c r="AD11" s="1245">
        <f t="shared" si="17"/>
        <v>1.9708400099556184E-2</v>
      </c>
      <c r="AE11" s="1030"/>
      <c r="AF11" s="1447"/>
      <c r="AG11" s="1447"/>
      <c r="AH11" s="1567">
        <f t="shared" si="18"/>
        <v>0</v>
      </c>
      <c r="AI11" s="1555">
        <f t="shared" si="2"/>
        <v>0</v>
      </c>
      <c r="AJ11" s="1605"/>
      <c r="AK11" s="1447"/>
      <c r="AL11" s="1447"/>
      <c r="AM11" s="1567">
        <f t="shared" si="19"/>
        <v>0</v>
      </c>
      <c r="AN11" s="1555">
        <f t="shared" si="3"/>
        <v>0</v>
      </c>
      <c r="AO11" s="1605"/>
      <c r="AP11" s="1640"/>
      <c r="AQ11" s="1640"/>
      <c r="AR11" s="1791">
        <f t="shared" si="20"/>
        <v>0</v>
      </c>
      <c r="AS11" s="1792">
        <f t="shared" si="4"/>
        <v>0</v>
      </c>
      <c r="AT11" s="1741"/>
      <c r="AU11" s="1447"/>
      <c r="AV11" s="1447"/>
      <c r="AW11" s="1567">
        <f t="shared" si="21"/>
        <v>0</v>
      </c>
      <c r="AX11" s="1893">
        <f t="shared" si="5"/>
        <v>0</v>
      </c>
      <c r="AY11" s="1605"/>
      <c r="AZ11" s="1188"/>
      <c r="BA11" s="1188"/>
      <c r="BB11" s="1031">
        <f t="shared" si="22"/>
        <v>0</v>
      </c>
      <c r="BC11" s="1245" t="e">
        <f t="shared" si="6"/>
        <v>#DIV/0!</v>
      </c>
      <c r="BD11" s="1030"/>
      <c r="BE11" s="1188"/>
      <c r="BF11" s="1188"/>
      <c r="BG11" s="1031">
        <f t="shared" si="23"/>
        <v>0</v>
      </c>
      <c r="BH11" s="1245" t="e">
        <f t="shared" si="7"/>
        <v>#DIV/0!</v>
      </c>
      <c r="BI11" s="1030"/>
      <c r="BJ11" s="1188">
        <f t="shared" si="8"/>
        <v>66325.37</v>
      </c>
      <c r="BK11" s="1188">
        <f t="shared" si="9"/>
        <v>0</v>
      </c>
      <c r="BL11" s="1190">
        <f t="shared" si="24"/>
        <v>66325.37</v>
      </c>
      <c r="BM11" s="1245">
        <f t="shared" si="25"/>
        <v>4.7523295888391116E-3</v>
      </c>
      <c r="BN11" s="1053"/>
    </row>
    <row r="12" spans="1:66" s="2" customFormat="1" ht="15" customHeight="1" outlineLevel="2" x14ac:dyDescent="0.25">
      <c r="A12" s="238"/>
      <c r="B12" s="1077" t="s">
        <v>73</v>
      </c>
      <c r="C12" s="1047">
        <v>140473</v>
      </c>
      <c r="D12" s="1048">
        <v>222028</v>
      </c>
      <c r="E12" s="1190">
        <f t="shared" si="10"/>
        <v>362501</v>
      </c>
      <c r="F12" s="1049">
        <f t="shared" si="0"/>
        <v>3.0955834983737343E-2</v>
      </c>
      <c r="G12" s="1188">
        <v>192381.49</v>
      </c>
      <c r="H12" s="1188">
        <v>370226.55</v>
      </c>
      <c r="I12" s="1190">
        <v>562608.04</v>
      </c>
      <c r="J12" s="1049">
        <v>4.3295657989251994E-2</v>
      </c>
      <c r="K12" s="1049"/>
      <c r="L12" s="1188"/>
      <c r="M12" s="1188"/>
      <c r="N12" s="1031">
        <f t="shared" si="11"/>
        <v>0</v>
      </c>
      <c r="O12" s="1245">
        <f t="shared" si="12"/>
        <v>0</v>
      </c>
      <c r="P12" s="1030"/>
      <c r="Q12" s="1188"/>
      <c r="R12" s="1188"/>
      <c r="S12" s="1031">
        <f t="shared" si="13"/>
        <v>0</v>
      </c>
      <c r="T12" s="1245">
        <f t="shared" si="1"/>
        <v>0</v>
      </c>
      <c r="U12" s="1030"/>
      <c r="V12" s="1132"/>
      <c r="W12" s="1188"/>
      <c r="X12" s="1031">
        <f t="shared" si="14"/>
        <v>0</v>
      </c>
      <c r="Y12" s="1245" t="e">
        <f t="shared" si="15"/>
        <v>#DIV/0!</v>
      </c>
      <c r="Z12" s="1030"/>
      <c r="AA12" s="1132">
        <v>10208</v>
      </c>
      <c r="AB12" s="1188">
        <v>10792.116999999998</v>
      </c>
      <c r="AC12" s="1031">
        <f t="shared" si="16"/>
        <v>21000.116999999998</v>
      </c>
      <c r="AD12" s="1245">
        <f t="shared" si="17"/>
        <v>0.10189037616284873</v>
      </c>
      <c r="AE12" s="1030" t="s">
        <v>1132</v>
      </c>
      <c r="AF12" s="1447"/>
      <c r="AG12" s="1447"/>
      <c r="AH12" s="1567">
        <f t="shared" si="18"/>
        <v>0</v>
      </c>
      <c r="AI12" s="1555">
        <f t="shared" si="2"/>
        <v>0</v>
      </c>
      <c r="AJ12" s="1605"/>
      <c r="AK12" s="1447"/>
      <c r="AL12" s="1447"/>
      <c r="AM12" s="1567">
        <f t="shared" si="19"/>
        <v>0</v>
      </c>
      <c r="AN12" s="1555">
        <f t="shared" si="3"/>
        <v>0</v>
      </c>
      <c r="AO12" s="1605"/>
      <c r="AP12" s="1640"/>
      <c r="AQ12" s="1640"/>
      <c r="AR12" s="1791">
        <f t="shared" si="20"/>
        <v>0</v>
      </c>
      <c r="AS12" s="1792">
        <f t="shared" si="4"/>
        <v>0</v>
      </c>
      <c r="AT12" s="1741"/>
      <c r="AU12" s="1447"/>
      <c r="AV12" s="1447"/>
      <c r="AW12" s="1567">
        <f t="shared" si="21"/>
        <v>0</v>
      </c>
      <c r="AX12" s="1893">
        <f t="shared" si="5"/>
        <v>0</v>
      </c>
      <c r="AY12" s="1605"/>
      <c r="AZ12" s="1188"/>
      <c r="BA12" s="1188"/>
      <c r="BB12" s="1031">
        <f t="shared" si="22"/>
        <v>0</v>
      </c>
      <c r="BC12" s="1245" t="e">
        <f t="shared" si="6"/>
        <v>#DIV/0!</v>
      </c>
      <c r="BD12" s="1030"/>
      <c r="BE12" s="1188"/>
      <c r="BF12" s="1188"/>
      <c r="BG12" s="1031">
        <f t="shared" si="23"/>
        <v>0</v>
      </c>
      <c r="BH12" s="1245" t="e">
        <f t="shared" si="7"/>
        <v>#DIV/0!</v>
      </c>
      <c r="BI12" s="1030"/>
      <c r="BJ12" s="1188">
        <f t="shared" si="8"/>
        <v>202589.49</v>
      </c>
      <c r="BK12" s="1188">
        <f t="shared" si="9"/>
        <v>381018.66700000002</v>
      </c>
      <c r="BL12" s="1190">
        <f t="shared" si="24"/>
        <v>583608.15700000001</v>
      </c>
      <c r="BM12" s="1245">
        <f t="shared" si="25"/>
        <v>4.1816552441380453E-2</v>
      </c>
      <c r="BN12" s="1053"/>
    </row>
    <row r="13" spans="1:66" s="2" customFormat="1" ht="15" customHeight="1" outlineLevel="2" x14ac:dyDescent="0.25">
      <c r="A13" s="238"/>
      <c r="B13" s="1077" t="s">
        <v>71</v>
      </c>
      <c r="C13" s="1047">
        <v>34028</v>
      </c>
      <c r="D13" s="1048"/>
      <c r="E13" s="1190">
        <f t="shared" si="10"/>
        <v>34028</v>
      </c>
      <c r="F13" s="1049">
        <f t="shared" si="0"/>
        <v>2.9058268882751065E-3</v>
      </c>
      <c r="G13" s="1188">
        <v>48194.52</v>
      </c>
      <c r="H13" s="1188">
        <v>0</v>
      </c>
      <c r="I13" s="1190">
        <v>48194.52</v>
      </c>
      <c r="J13" s="1049">
        <v>3.7088226731992039E-3</v>
      </c>
      <c r="K13" s="1049"/>
      <c r="L13" s="1188"/>
      <c r="M13" s="1188"/>
      <c r="N13" s="1031">
        <f t="shared" si="11"/>
        <v>0</v>
      </c>
      <c r="O13" s="1245">
        <f t="shared" si="12"/>
        <v>0</v>
      </c>
      <c r="P13" s="1030"/>
      <c r="Q13" s="1188"/>
      <c r="R13" s="1188"/>
      <c r="S13" s="1031">
        <f t="shared" si="13"/>
        <v>0</v>
      </c>
      <c r="T13" s="1245">
        <f t="shared" si="1"/>
        <v>0</v>
      </c>
      <c r="U13" s="1030"/>
      <c r="V13" s="1132"/>
      <c r="W13" s="1132"/>
      <c r="X13" s="1031">
        <f t="shared" si="14"/>
        <v>0</v>
      </c>
      <c r="Y13" s="1245" t="e">
        <f t="shared" si="15"/>
        <v>#DIV/0!</v>
      </c>
      <c r="Z13" s="1030"/>
      <c r="AA13" s="1132">
        <v>2473</v>
      </c>
      <c r="AB13" s="1188"/>
      <c r="AC13" s="1031">
        <f t="shared" si="16"/>
        <v>2473</v>
      </c>
      <c r="AD13" s="1245">
        <f t="shared" si="17"/>
        <v>1.1998737923732754E-2</v>
      </c>
      <c r="AE13" s="1030"/>
      <c r="AF13" s="1447"/>
      <c r="AG13" s="1447"/>
      <c r="AH13" s="1567">
        <f t="shared" si="18"/>
        <v>0</v>
      </c>
      <c r="AI13" s="1555">
        <f t="shared" si="2"/>
        <v>0</v>
      </c>
      <c r="AJ13" s="1605"/>
      <c r="AK13" s="1447"/>
      <c r="AL13" s="1447"/>
      <c r="AM13" s="1567">
        <f t="shared" si="19"/>
        <v>0</v>
      </c>
      <c r="AN13" s="1555">
        <f t="shared" si="3"/>
        <v>0</v>
      </c>
      <c r="AO13" s="1605"/>
      <c r="AP13" s="1640"/>
      <c r="AQ13" s="1640"/>
      <c r="AR13" s="1791">
        <f t="shared" si="20"/>
        <v>0</v>
      </c>
      <c r="AS13" s="1792">
        <f t="shared" si="4"/>
        <v>0</v>
      </c>
      <c r="AT13" s="1741"/>
      <c r="AU13" s="1447"/>
      <c r="AV13" s="1447"/>
      <c r="AW13" s="1567">
        <f t="shared" si="21"/>
        <v>0</v>
      </c>
      <c r="AX13" s="1893">
        <f t="shared" si="5"/>
        <v>0</v>
      </c>
      <c r="AY13" s="1605"/>
      <c r="AZ13" s="1188"/>
      <c r="BA13" s="1188"/>
      <c r="BB13" s="1031">
        <f t="shared" si="22"/>
        <v>0</v>
      </c>
      <c r="BC13" s="1245" t="e">
        <f t="shared" si="6"/>
        <v>#DIV/0!</v>
      </c>
      <c r="BD13" s="1030"/>
      <c r="BE13" s="1188"/>
      <c r="BF13" s="1188"/>
      <c r="BG13" s="1031">
        <f t="shared" si="23"/>
        <v>0</v>
      </c>
      <c r="BH13" s="1245" t="e">
        <f t="shared" si="7"/>
        <v>#DIV/0!</v>
      </c>
      <c r="BI13" s="1030"/>
      <c r="BJ13" s="1188">
        <f t="shared" si="8"/>
        <v>50667.519999999997</v>
      </c>
      <c r="BK13" s="1188">
        <f t="shared" si="9"/>
        <v>0</v>
      </c>
      <c r="BL13" s="1190">
        <f t="shared" si="24"/>
        <v>50667.519999999997</v>
      </c>
      <c r="BM13" s="1245">
        <f t="shared" si="25"/>
        <v>3.6304170559334609E-3</v>
      </c>
      <c r="BN13" s="1053"/>
    </row>
    <row r="14" spans="1:66" s="2" customFormat="1" ht="15" customHeight="1" outlineLevel="2" x14ac:dyDescent="0.25">
      <c r="A14" s="238"/>
      <c r="B14" s="1077" t="s">
        <v>70</v>
      </c>
      <c r="C14" s="1047">
        <v>38390</v>
      </c>
      <c r="D14" s="1048"/>
      <c r="E14" s="1190">
        <f t="shared" si="10"/>
        <v>38390</v>
      </c>
      <c r="F14" s="1049">
        <f t="shared" si="0"/>
        <v>3.2783206253932449E-3</v>
      </c>
      <c r="G14" s="1188">
        <v>54373.310000000005</v>
      </c>
      <c r="H14" s="1188">
        <v>0</v>
      </c>
      <c r="I14" s="1190">
        <v>54373.310000000005</v>
      </c>
      <c r="J14" s="1049">
        <v>4.1843131738813679E-3</v>
      </c>
      <c r="K14" s="1049"/>
      <c r="L14" s="1188"/>
      <c r="M14" s="1188"/>
      <c r="N14" s="1031">
        <f t="shared" si="11"/>
        <v>0</v>
      </c>
      <c r="O14" s="1245">
        <f t="shared" si="12"/>
        <v>0</v>
      </c>
      <c r="P14" s="1030"/>
      <c r="Q14" s="1188"/>
      <c r="R14" s="1188"/>
      <c r="S14" s="1031">
        <f t="shared" si="13"/>
        <v>0</v>
      </c>
      <c r="T14" s="1245">
        <f t="shared" si="1"/>
        <v>0</v>
      </c>
      <c r="U14" s="1030"/>
      <c r="V14" s="1132"/>
      <c r="W14" s="1132"/>
      <c r="X14" s="1031">
        <f t="shared" si="14"/>
        <v>0</v>
      </c>
      <c r="Y14" s="1245" t="e">
        <f t="shared" si="15"/>
        <v>#DIV/0!</v>
      </c>
      <c r="Z14" s="1030"/>
      <c r="AA14" s="1132">
        <v>2790</v>
      </c>
      <c r="AB14" s="1188"/>
      <c r="AC14" s="1031">
        <f t="shared" si="16"/>
        <v>2790</v>
      </c>
      <c r="AD14" s="1245">
        <f t="shared" si="17"/>
        <v>1.3536788842383496E-2</v>
      </c>
      <c r="AE14" s="1030"/>
      <c r="AF14" s="1447"/>
      <c r="AG14" s="1447"/>
      <c r="AH14" s="1567">
        <f t="shared" si="18"/>
        <v>0</v>
      </c>
      <c r="AI14" s="1555">
        <f t="shared" si="2"/>
        <v>0</v>
      </c>
      <c r="AJ14" s="1605"/>
      <c r="AK14" s="1447"/>
      <c r="AL14" s="1447"/>
      <c r="AM14" s="1567">
        <f t="shared" si="19"/>
        <v>0</v>
      </c>
      <c r="AN14" s="1555">
        <f t="shared" si="3"/>
        <v>0</v>
      </c>
      <c r="AO14" s="1605"/>
      <c r="AP14" s="1640"/>
      <c r="AQ14" s="1640"/>
      <c r="AR14" s="1791">
        <f t="shared" si="20"/>
        <v>0</v>
      </c>
      <c r="AS14" s="1792">
        <f t="shared" si="4"/>
        <v>0</v>
      </c>
      <c r="AT14" s="1741"/>
      <c r="AU14" s="1447"/>
      <c r="AV14" s="1447"/>
      <c r="AW14" s="1567">
        <f t="shared" si="21"/>
        <v>0</v>
      </c>
      <c r="AX14" s="1893">
        <f t="shared" si="5"/>
        <v>0</v>
      </c>
      <c r="AY14" s="1605"/>
      <c r="AZ14" s="1188"/>
      <c r="BA14" s="1188"/>
      <c r="BB14" s="1031">
        <f t="shared" si="22"/>
        <v>0</v>
      </c>
      <c r="BC14" s="1245" t="e">
        <f t="shared" si="6"/>
        <v>#DIV/0!</v>
      </c>
      <c r="BD14" s="1030"/>
      <c r="BE14" s="1188"/>
      <c r="BF14" s="1188"/>
      <c r="BG14" s="1031">
        <f t="shared" si="23"/>
        <v>0</v>
      </c>
      <c r="BH14" s="1245" t="e">
        <f t="shared" si="7"/>
        <v>#DIV/0!</v>
      </c>
      <c r="BI14" s="1030"/>
      <c r="BJ14" s="1188">
        <f t="shared" si="8"/>
        <v>57163.310000000005</v>
      </c>
      <c r="BK14" s="1188">
        <f t="shared" si="9"/>
        <v>0</v>
      </c>
      <c r="BL14" s="1190">
        <f t="shared" si="24"/>
        <v>57163.310000000005</v>
      </c>
      <c r="BM14" s="1245">
        <f t="shared" si="25"/>
        <v>4.0958518513953667E-3</v>
      </c>
      <c r="BN14" s="1053"/>
    </row>
    <row r="15" spans="1:66" s="2" customFormat="1" ht="15" customHeight="1" outlineLevel="2" x14ac:dyDescent="0.25">
      <c r="A15" s="238"/>
      <c r="B15" s="1270" t="s">
        <v>20</v>
      </c>
      <c r="C15" s="1047"/>
      <c r="D15" s="1242">
        <v>50000</v>
      </c>
      <c r="E15" s="1190">
        <f t="shared" si="10"/>
        <v>50000</v>
      </c>
      <c r="F15" s="1049">
        <f t="shared" si="0"/>
        <v>4.2697585639401466E-3</v>
      </c>
      <c r="G15" s="1188">
        <v>0</v>
      </c>
      <c r="H15" s="1188">
        <v>203895</v>
      </c>
      <c r="I15" s="1190">
        <v>203895</v>
      </c>
      <c r="J15" s="1049">
        <v>1.569079635925312E-2</v>
      </c>
      <c r="K15" s="1049"/>
      <c r="L15" s="1188"/>
      <c r="M15" s="1188"/>
      <c r="N15" s="1031">
        <f t="shared" si="11"/>
        <v>0</v>
      </c>
      <c r="O15" s="1245">
        <f t="shared" si="12"/>
        <v>0</v>
      </c>
      <c r="P15" s="1030"/>
      <c r="Q15" s="1188"/>
      <c r="R15" s="1188">
        <v>12000</v>
      </c>
      <c r="S15" s="1031">
        <f t="shared" si="13"/>
        <v>12000</v>
      </c>
      <c r="T15" s="1245">
        <f t="shared" si="1"/>
        <v>2.1020289766199671E-2</v>
      </c>
      <c r="U15" s="1030"/>
      <c r="V15" s="1132"/>
      <c r="W15" s="1132"/>
      <c r="X15" s="1031">
        <f t="shared" si="14"/>
        <v>0</v>
      </c>
      <c r="Y15" s="1245" t="e">
        <f t="shared" si="15"/>
        <v>#DIV/0!</v>
      </c>
      <c r="Z15" s="1030"/>
      <c r="AA15" s="1188"/>
      <c r="AB15" s="1188"/>
      <c r="AC15" s="1031">
        <f t="shared" si="16"/>
        <v>0</v>
      </c>
      <c r="AD15" s="1245">
        <f t="shared" si="17"/>
        <v>0</v>
      </c>
      <c r="AE15" s="1030"/>
      <c r="AF15" s="1447"/>
      <c r="AG15" s="1447"/>
      <c r="AH15" s="1567">
        <f t="shared" si="18"/>
        <v>0</v>
      </c>
      <c r="AI15" s="1555">
        <f t="shared" si="2"/>
        <v>0</v>
      </c>
      <c r="AJ15" s="1605"/>
      <c r="AK15" s="1447"/>
      <c r="AL15" s="1447"/>
      <c r="AM15" s="1567">
        <f t="shared" si="19"/>
        <v>0</v>
      </c>
      <c r="AN15" s="1555">
        <f t="shared" si="3"/>
        <v>0</v>
      </c>
      <c r="AO15" s="1605"/>
      <c r="AP15" s="1640"/>
      <c r="AQ15" s="1640"/>
      <c r="AR15" s="1791">
        <f t="shared" si="20"/>
        <v>0</v>
      </c>
      <c r="AS15" s="1792">
        <f t="shared" si="4"/>
        <v>0</v>
      </c>
      <c r="AT15" s="1741"/>
      <c r="AU15" s="1447"/>
      <c r="AV15" s="1447"/>
      <c r="AW15" s="1567">
        <f t="shared" si="21"/>
        <v>0</v>
      </c>
      <c r="AX15" s="1893">
        <f t="shared" si="5"/>
        <v>0</v>
      </c>
      <c r="AY15" s="1605"/>
      <c r="AZ15" s="1188"/>
      <c r="BA15" s="1188"/>
      <c r="BB15" s="1031">
        <f t="shared" si="22"/>
        <v>0</v>
      </c>
      <c r="BC15" s="1245" t="e">
        <f t="shared" si="6"/>
        <v>#DIV/0!</v>
      </c>
      <c r="BD15" s="1030"/>
      <c r="BE15" s="1188"/>
      <c r="BF15" s="1188"/>
      <c r="BG15" s="1031">
        <f t="shared" si="23"/>
        <v>0</v>
      </c>
      <c r="BH15" s="1245" t="e">
        <f t="shared" si="7"/>
        <v>#DIV/0!</v>
      </c>
      <c r="BI15" s="1030"/>
      <c r="BJ15" s="1188">
        <f t="shared" si="8"/>
        <v>0</v>
      </c>
      <c r="BK15" s="1188">
        <f t="shared" si="9"/>
        <v>215895</v>
      </c>
      <c r="BL15" s="1190">
        <f t="shared" si="24"/>
        <v>215895</v>
      </c>
      <c r="BM15" s="1245">
        <f t="shared" si="25"/>
        <v>1.5469257036672696E-2</v>
      </c>
      <c r="BN15" s="1053"/>
    </row>
    <row r="16" spans="1:66" s="953" customFormat="1" ht="49.2" customHeight="1" outlineLevel="2" x14ac:dyDescent="0.25">
      <c r="A16" s="952"/>
      <c r="B16" s="1300" t="s">
        <v>21</v>
      </c>
      <c r="C16" s="1133"/>
      <c r="D16" s="1301">
        <v>2724573</v>
      </c>
      <c r="E16" s="1134">
        <f t="shared" si="10"/>
        <v>2724573</v>
      </c>
      <c r="F16" s="1135">
        <f t="shared" si="0"/>
        <v>0.23266537799660195</v>
      </c>
      <c r="G16" s="1188">
        <v>0</v>
      </c>
      <c r="H16" s="1188">
        <v>3235402.37</v>
      </c>
      <c r="I16" s="1190">
        <v>3235402.37</v>
      </c>
      <c r="J16" s="1135">
        <v>0.24898128805470915</v>
      </c>
      <c r="K16" s="1135"/>
      <c r="L16" s="1136"/>
      <c r="M16" s="1136"/>
      <c r="N16" s="1137">
        <f t="shared" si="11"/>
        <v>0</v>
      </c>
      <c r="O16" s="1302">
        <f t="shared" si="12"/>
        <v>0</v>
      </c>
      <c r="P16" s="1138"/>
      <c r="Q16" s="1136"/>
      <c r="R16" s="1136">
        <v>100000</v>
      </c>
      <c r="S16" s="1137">
        <f t="shared" si="13"/>
        <v>100000</v>
      </c>
      <c r="T16" s="1302">
        <f t="shared" si="1"/>
        <v>0.17516908138499726</v>
      </c>
      <c r="U16" s="1138" t="s">
        <v>1058</v>
      </c>
      <c r="V16" s="1136"/>
      <c r="W16" s="1136"/>
      <c r="X16" s="1137">
        <f t="shared" si="14"/>
        <v>0</v>
      </c>
      <c r="Y16" s="1302" t="e">
        <f t="shared" si="15"/>
        <v>#DIV/0!</v>
      </c>
      <c r="Z16" s="1138"/>
      <c r="AA16" s="1136"/>
      <c r="AB16" s="1136">
        <f>8333+28490.42+34000</f>
        <v>70823.42</v>
      </c>
      <c r="AC16" s="1137">
        <f t="shared" si="16"/>
        <v>70823.42</v>
      </c>
      <c r="AD16" s="1302">
        <f t="shared" si="17"/>
        <v>0.34362784288008602</v>
      </c>
      <c r="AE16" s="1138" t="s">
        <v>1160</v>
      </c>
      <c r="AF16" s="1767"/>
      <c r="AG16" s="1767"/>
      <c r="AH16" s="1768">
        <f t="shared" si="18"/>
        <v>0</v>
      </c>
      <c r="AI16" s="1845">
        <f>AH16/$AH$89</f>
        <v>0</v>
      </c>
      <c r="AJ16" s="1769"/>
      <c r="AK16" s="1767"/>
      <c r="AL16" s="1767"/>
      <c r="AM16" s="1768">
        <f t="shared" si="19"/>
        <v>0</v>
      </c>
      <c r="AN16" s="1845">
        <f t="shared" si="3"/>
        <v>0</v>
      </c>
      <c r="AO16" s="1769"/>
      <c r="AP16" s="1640"/>
      <c r="AQ16" s="1640"/>
      <c r="AR16" s="1791">
        <f t="shared" si="20"/>
        <v>0</v>
      </c>
      <c r="AS16" s="1792">
        <f t="shared" si="4"/>
        <v>0</v>
      </c>
      <c r="AT16" s="1741"/>
      <c r="AU16" s="1767"/>
      <c r="AV16" s="1767"/>
      <c r="AW16" s="1768">
        <f t="shared" si="21"/>
        <v>0</v>
      </c>
      <c r="AX16" s="1940">
        <f t="shared" si="5"/>
        <v>0</v>
      </c>
      <c r="AY16" s="1769"/>
      <c r="AZ16" s="1136"/>
      <c r="BA16" s="1136"/>
      <c r="BB16" s="1137">
        <f t="shared" si="22"/>
        <v>0</v>
      </c>
      <c r="BC16" s="1302" t="e">
        <f t="shared" si="6"/>
        <v>#DIV/0!</v>
      </c>
      <c r="BD16" s="1138"/>
      <c r="BE16" s="1136"/>
      <c r="BF16" s="1136"/>
      <c r="BG16" s="1137">
        <f t="shared" si="23"/>
        <v>0</v>
      </c>
      <c r="BH16" s="1302" t="e">
        <f t="shared" si="7"/>
        <v>#DIV/0!</v>
      </c>
      <c r="BI16" s="1138" t="s">
        <v>966</v>
      </c>
      <c r="BJ16" s="1136">
        <f t="shared" si="8"/>
        <v>0</v>
      </c>
      <c r="BK16" s="1136">
        <f t="shared" si="9"/>
        <v>3406225.79</v>
      </c>
      <c r="BL16" s="1134">
        <f t="shared" si="24"/>
        <v>3406225.79</v>
      </c>
      <c r="BM16" s="1302">
        <f t="shared" si="25"/>
        <v>0.2440620777250678</v>
      </c>
      <c r="BN16" s="1139"/>
    </row>
    <row r="17" spans="1:66" s="2" customFormat="1" ht="15" customHeight="1" outlineLevel="2" x14ac:dyDescent="0.25">
      <c r="A17" s="238"/>
      <c r="B17" s="1270" t="s">
        <v>22</v>
      </c>
      <c r="C17" s="1047"/>
      <c r="D17" s="1242"/>
      <c r="E17" s="1190">
        <f t="shared" si="10"/>
        <v>0</v>
      </c>
      <c r="F17" s="1049">
        <f t="shared" si="0"/>
        <v>0</v>
      </c>
      <c r="G17" s="1188">
        <v>6447.53</v>
      </c>
      <c r="H17" s="1188">
        <v>0</v>
      </c>
      <c r="I17" s="1190">
        <v>6447.53</v>
      </c>
      <c r="J17" s="1049">
        <v>4.961714620278833E-4</v>
      </c>
      <c r="K17" s="1049"/>
      <c r="L17" s="1188"/>
      <c r="M17" s="1188"/>
      <c r="N17" s="1031">
        <f t="shared" si="11"/>
        <v>0</v>
      </c>
      <c r="O17" s="1245">
        <f t="shared" si="12"/>
        <v>0</v>
      </c>
      <c r="P17" s="1030"/>
      <c r="Q17" s="1188"/>
      <c r="R17" s="1188"/>
      <c r="S17" s="1031">
        <f t="shared" si="13"/>
        <v>0</v>
      </c>
      <c r="T17" s="1245">
        <f t="shared" si="1"/>
        <v>0</v>
      </c>
      <c r="U17" s="1030"/>
      <c r="V17" s="1132"/>
      <c r="W17" s="1132"/>
      <c r="X17" s="1031">
        <f t="shared" si="14"/>
        <v>0</v>
      </c>
      <c r="Y17" s="1245" t="e">
        <f t="shared" si="15"/>
        <v>#DIV/0!</v>
      </c>
      <c r="Z17" s="1030"/>
      <c r="AA17" s="1188"/>
      <c r="AB17" s="1188"/>
      <c r="AC17" s="1031">
        <f t="shared" si="16"/>
        <v>0</v>
      </c>
      <c r="AD17" s="1245">
        <f t="shared" si="17"/>
        <v>0</v>
      </c>
      <c r="AE17" s="1030"/>
      <c r="AF17" s="1447"/>
      <c r="AG17" s="1447"/>
      <c r="AH17" s="1567">
        <f t="shared" si="18"/>
        <v>0</v>
      </c>
      <c r="AI17" s="1555">
        <f t="shared" si="2"/>
        <v>0</v>
      </c>
      <c r="AJ17" s="1605"/>
      <c r="AK17" s="1447"/>
      <c r="AL17" s="1447"/>
      <c r="AM17" s="1567">
        <f t="shared" si="19"/>
        <v>0</v>
      </c>
      <c r="AN17" s="1555">
        <f t="shared" si="3"/>
        <v>0</v>
      </c>
      <c r="AO17" s="1605"/>
      <c r="AP17" s="1640"/>
      <c r="AQ17" s="1640"/>
      <c r="AR17" s="1791">
        <f t="shared" si="20"/>
        <v>0</v>
      </c>
      <c r="AS17" s="1792">
        <f t="shared" si="4"/>
        <v>0</v>
      </c>
      <c r="AT17" s="1741"/>
      <c r="AU17" s="1447"/>
      <c r="AV17" s="1447"/>
      <c r="AW17" s="1567">
        <f t="shared" si="21"/>
        <v>0</v>
      </c>
      <c r="AX17" s="1893">
        <f t="shared" si="5"/>
        <v>0</v>
      </c>
      <c r="AY17" s="1605"/>
      <c r="AZ17" s="1188"/>
      <c r="BA17" s="1188"/>
      <c r="BB17" s="1031">
        <f t="shared" si="22"/>
        <v>0</v>
      </c>
      <c r="BC17" s="1245" t="e">
        <f t="shared" si="6"/>
        <v>#DIV/0!</v>
      </c>
      <c r="BD17" s="1030"/>
      <c r="BE17" s="1188"/>
      <c r="BF17" s="1188"/>
      <c r="BG17" s="1031">
        <f t="shared" si="23"/>
        <v>0</v>
      </c>
      <c r="BH17" s="1245" t="e">
        <f t="shared" si="7"/>
        <v>#DIV/0!</v>
      </c>
      <c r="BI17" s="1030"/>
      <c r="BJ17" s="1188">
        <f t="shared" si="8"/>
        <v>6447.53</v>
      </c>
      <c r="BK17" s="1188">
        <f t="shared" si="9"/>
        <v>0</v>
      </c>
      <c r="BL17" s="1190">
        <f t="shared" si="24"/>
        <v>6447.53</v>
      </c>
      <c r="BM17" s="1245">
        <f t="shared" si="25"/>
        <v>4.6197688145468074E-4</v>
      </c>
      <c r="BN17" s="1053"/>
    </row>
    <row r="18" spans="1:66" s="2" customFormat="1" ht="37.950000000000003" customHeight="1" outlineLevel="2" x14ac:dyDescent="0.25">
      <c r="A18" s="238"/>
      <c r="B18" s="1270" t="s">
        <v>0</v>
      </c>
      <c r="C18" s="1047">
        <v>149796</v>
      </c>
      <c r="D18" s="1242"/>
      <c r="E18" s="1190">
        <f t="shared" si="10"/>
        <v>149796</v>
      </c>
      <c r="F18" s="1049">
        <f t="shared" si="0"/>
        <v>1.2791855076879565E-2</v>
      </c>
      <c r="G18" s="1188">
        <v>168110</v>
      </c>
      <c r="H18" s="1188">
        <v>2070</v>
      </c>
      <c r="I18" s="1190">
        <v>170180</v>
      </c>
      <c r="J18" s="1049">
        <v>1.309624916951223E-2</v>
      </c>
      <c r="K18" s="1049"/>
      <c r="L18" s="1188"/>
      <c r="M18" s="1188"/>
      <c r="N18" s="1031">
        <f t="shared" si="11"/>
        <v>0</v>
      </c>
      <c r="O18" s="1245">
        <f t="shared" si="12"/>
        <v>0</v>
      </c>
      <c r="P18" s="1030"/>
      <c r="Q18" s="1188"/>
      <c r="R18" s="1188"/>
      <c r="S18" s="1031">
        <f t="shared" si="13"/>
        <v>0</v>
      </c>
      <c r="T18" s="1245">
        <f t="shared" si="1"/>
        <v>0</v>
      </c>
      <c r="U18" s="1030"/>
      <c r="V18" s="1188"/>
      <c r="W18" s="1132"/>
      <c r="X18" s="1031">
        <f t="shared" si="14"/>
        <v>0</v>
      </c>
      <c r="Y18" s="1245" t="e">
        <f t="shared" si="15"/>
        <v>#DIV/0!</v>
      </c>
      <c r="Z18" s="1030"/>
      <c r="AA18" s="1188">
        <f>4125*1.2</f>
        <v>4950</v>
      </c>
      <c r="AB18" s="1132"/>
      <c r="AC18" s="1031">
        <f t="shared" si="16"/>
        <v>4950</v>
      </c>
      <c r="AD18" s="1245">
        <f t="shared" si="17"/>
        <v>2.4016883430035232E-2</v>
      </c>
      <c r="AE18" s="1030" t="s">
        <v>1155</v>
      </c>
      <c r="AF18" s="1447"/>
      <c r="AG18" s="1447"/>
      <c r="AH18" s="1567"/>
      <c r="AI18" s="1555">
        <f t="shared" si="2"/>
        <v>0</v>
      </c>
      <c r="AJ18" s="1605"/>
      <c r="AK18" s="1640">
        <v>0</v>
      </c>
      <c r="AL18" s="1779">
        <v>0</v>
      </c>
      <c r="AM18" s="1567">
        <f t="shared" si="19"/>
        <v>0</v>
      </c>
      <c r="AN18" s="1555">
        <f t="shared" si="3"/>
        <v>0</v>
      </c>
      <c r="AO18" s="1777"/>
      <c r="AP18" s="1640">
        <f>9100*1.2</f>
        <v>10920</v>
      </c>
      <c r="AQ18" s="1640"/>
      <c r="AR18" s="1791">
        <f t="shared" si="20"/>
        <v>10920</v>
      </c>
      <c r="AS18" s="1792">
        <f t="shared" si="4"/>
        <v>0.16820702402957485</v>
      </c>
      <c r="AT18" s="1741" t="s">
        <v>1469</v>
      </c>
      <c r="AU18" s="1447"/>
      <c r="AV18" s="1447"/>
      <c r="AW18" s="1567">
        <f t="shared" si="21"/>
        <v>0</v>
      </c>
      <c r="AX18" s="1893">
        <f t="shared" si="5"/>
        <v>0</v>
      </c>
      <c r="AY18" s="1605"/>
      <c r="AZ18" s="1188"/>
      <c r="BA18" s="1188"/>
      <c r="BB18" s="1031">
        <f t="shared" si="22"/>
        <v>0</v>
      </c>
      <c r="BC18" s="1245" t="e">
        <f t="shared" si="6"/>
        <v>#DIV/0!</v>
      </c>
      <c r="BD18" s="1030"/>
      <c r="BE18" s="1188"/>
      <c r="BF18" s="1188"/>
      <c r="BG18" s="1031">
        <f t="shared" si="23"/>
        <v>0</v>
      </c>
      <c r="BH18" s="1245" t="e">
        <f t="shared" si="7"/>
        <v>#DIV/0!</v>
      </c>
      <c r="BI18" s="1030"/>
      <c r="BJ18" s="1188">
        <f t="shared" si="8"/>
        <v>183980</v>
      </c>
      <c r="BK18" s="1188">
        <f t="shared" si="9"/>
        <v>2070</v>
      </c>
      <c r="BL18" s="1190">
        <f t="shared" si="24"/>
        <v>186050</v>
      </c>
      <c r="BM18" s="1245">
        <f t="shared" si="25"/>
        <v>1.3330810216415179E-2</v>
      </c>
      <c r="BN18" s="1053"/>
    </row>
    <row r="19" spans="1:66" s="2" customFormat="1" ht="15" customHeight="1" outlineLevel="2" x14ac:dyDescent="0.25">
      <c r="A19" s="238"/>
      <c r="B19" s="1270" t="s">
        <v>53</v>
      </c>
      <c r="C19" s="1111">
        <v>9900</v>
      </c>
      <c r="D19" s="1242"/>
      <c r="E19" s="1190">
        <f t="shared" si="10"/>
        <v>9900</v>
      </c>
      <c r="F19" s="1049">
        <f t="shared" si="0"/>
        <v>8.4541219566014903E-4</v>
      </c>
      <c r="G19" s="1188">
        <v>76795.995999999999</v>
      </c>
      <c r="H19" s="1188">
        <v>0</v>
      </c>
      <c r="I19" s="1190">
        <v>76795.995999999999</v>
      </c>
      <c r="J19" s="1049">
        <v>5.9098572031781914E-3</v>
      </c>
      <c r="K19" s="1049"/>
      <c r="L19" s="1188"/>
      <c r="M19" s="1188"/>
      <c r="N19" s="1031">
        <f t="shared" si="11"/>
        <v>0</v>
      </c>
      <c r="O19" s="1245">
        <f t="shared" si="12"/>
        <v>0</v>
      </c>
      <c r="P19" s="1030"/>
      <c r="Q19" s="1188"/>
      <c r="R19" s="1188"/>
      <c r="S19" s="1031">
        <f t="shared" si="13"/>
        <v>0</v>
      </c>
      <c r="T19" s="1245">
        <f t="shared" si="1"/>
        <v>0</v>
      </c>
      <c r="U19" s="1030"/>
      <c r="V19" s="1132"/>
      <c r="W19" s="1132"/>
      <c r="X19" s="1031">
        <f t="shared" si="14"/>
        <v>0</v>
      </c>
      <c r="Y19" s="1245" t="e">
        <f t="shared" si="15"/>
        <v>#DIV/0!</v>
      </c>
      <c r="Z19" s="1030"/>
      <c r="AA19" s="1132"/>
      <c r="AB19" s="1132"/>
      <c r="AC19" s="1031">
        <f t="shared" si="16"/>
        <v>0</v>
      </c>
      <c r="AD19" s="1245">
        <f t="shared" si="17"/>
        <v>0</v>
      </c>
      <c r="AE19" s="1030"/>
      <c r="AF19" s="1766"/>
      <c r="AG19" s="1447"/>
      <c r="AH19" s="1567">
        <f t="shared" si="18"/>
        <v>0</v>
      </c>
      <c r="AI19" s="1555">
        <f t="shared" si="2"/>
        <v>0</v>
      </c>
      <c r="AJ19" s="1605"/>
      <c r="AK19" s="1447"/>
      <c r="AL19" s="1447"/>
      <c r="AM19" s="1567">
        <f t="shared" si="19"/>
        <v>0</v>
      </c>
      <c r="AN19" s="1555">
        <f t="shared" si="3"/>
        <v>0</v>
      </c>
      <c r="AO19" s="1605"/>
      <c r="AP19" s="1846"/>
      <c r="AQ19" s="1640"/>
      <c r="AR19" s="1791">
        <f t="shared" si="20"/>
        <v>0</v>
      </c>
      <c r="AS19" s="1792">
        <f t="shared" si="4"/>
        <v>0</v>
      </c>
      <c r="AT19" s="1741"/>
      <c r="AU19" s="1766"/>
      <c r="AV19" s="1447"/>
      <c r="AW19" s="1567">
        <f t="shared" si="21"/>
        <v>0</v>
      </c>
      <c r="AX19" s="1893">
        <f t="shared" si="5"/>
        <v>0</v>
      </c>
      <c r="AY19" s="1769"/>
      <c r="AZ19" s="1132"/>
      <c r="BA19" s="1188"/>
      <c r="BB19" s="1031">
        <f t="shared" si="22"/>
        <v>0</v>
      </c>
      <c r="BC19" s="1245" t="e">
        <f t="shared" si="6"/>
        <v>#DIV/0!</v>
      </c>
      <c r="BD19" s="1138"/>
      <c r="BE19" s="1132"/>
      <c r="BF19" s="1188"/>
      <c r="BG19" s="1031">
        <f t="shared" si="23"/>
        <v>0</v>
      </c>
      <c r="BH19" s="1245" t="e">
        <f t="shared" si="7"/>
        <v>#DIV/0!</v>
      </c>
      <c r="BI19" s="1138"/>
      <c r="BJ19" s="1188">
        <f t="shared" si="8"/>
        <v>76795.995999999999</v>
      </c>
      <c r="BK19" s="1188">
        <f t="shared" si="9"/>
        <v>0</v>
      </c>
      <c r="BL19" s="1190">
        <f t="shared" si="24"/>
        <v>76795.995999999999</v>
      </c>
      <c r="BM19" s="1245">
        <f t="shared" si="25"/>
        <v>5.502568385146892E-3</v>
      </c>
      <c r="BN19" s="1053"/>
    </row>
    <row r="20" spans="1:66" s="2" customFormat="1" ht="15" customHeight="1" outlineLevel="2" x14ac:dyDescent="0.25">
      <c r="A20" s="238"/>
      <c r="B20" s="1270" t="s">
        <v>57</v>
      </c>
      <c r="C20" s="1111">
        <v>1618394</v>
      </c>
      <c r="D20" s="1242"/>
      <c r="E20" s="1190">
        <f t="shared" si="10"/>
        <v>1618394</v>
      </c>
      <c r="F20" s="1049">
        <f t="shared" si="0"/>
        <v>0.138203032826587</v>
      </c>
      <c r="G20" s="1188">
        <v>1372613.348</v>
      </c>
      <c r="H20" s="1188">
        <v>0</v>
      </c>
      <c r="I20" s="1190">
        <v>1372613.348</v>
      </c>
      <c r="J20" s="1049">
        <v>0.10562984145496769</v>
      </c>
      <c r="K20" s="1049"/>
      <c r="L20" s="1188"/>
      <c r="M20" s="1188"/>
      <c r="N20" s="1031">
        <f t="shared" si="11"/>
        <v>0</v>
      </c>
      <c r="O20" s="1245">
        <f t="shared" si="12"/>
        <v>0</v>
      </c>
      <c r="P20" s="1030"/>
      <c r="Q20" s="1188"/>
      <c r="R20" s="1188"/>
      <c r="S20" s="1031">
        <f t="shared" si="13"/>
        <v>0</v>
      </c>
      <c r="T20" s="1245">
        <f t="shared" si="1"/>
        <v>0</v>
      </c>
      <c r="U20" s="1030"/>
      <c r="V20" s="1132"/>
      <c r="W20" s="1132"/>
      <c r="X20" s="1031">
        <f t="shared" si="14"/>
        <v>0</v>
      </c>
      <c r="Y20" s="1245" t="e">
        <f t="shared" si="15"/>
        <v>#DIV/0!</v>
      </c>
      <c r="Z20" s="1030"/>
      <c r="AA20" s="1188"/>
      <c r="AB20" s="1188"/>
      <c r="AC20" s="1031">
        <f t="shared" si="16"/>
        <v>0</v>
      </c>
      <c r="AD20" s="1245">
        <f t="shared" si="17"/>
        <v>0</v>
      </c>
      <c r="AE20" s="1030"/>
      <c r="AF20" s="1447"/>
      <c r="AG20" s="1447"/>
      <c r="AH20" s="1567">
        <f t="shared" si="18"/>
        <v>0</v>
      </c>
      <c r="AI20" s="1555">
        <f t="shared" si="2"/>
        <v>0</v>
      </c>
      <c r="AJ20" s="1605"/>
      <c r="AK20" s="1447"/>
      <c r="AL20" s="1447"/>
      <c r="AM20" s="1567">
        <f t="shared" si="19"/>
        <v>0</v>
      </c>
      <c r="AN20" s="1555">
        <f t="shared" si="3"/>
        <v>0</v>
      </c>
      <c r="AO20" s="1605"/>
      <c r="AP20" s="1640"/>
      <c r="AQ20" s="1640"/>
      <c r="AR20" s="1791">
        <f t="shared" si="20"/>
        <v>0</v>
      </c>
      <c r="AS20" s="1792">
        <f t="shared" si="4"/>
        <v>0</v>
      </c>
      <c r="AT20" s="1741"/>
      <c r="AU20" s="1447"/>
      <c r="AV20" s="1447"/>
      <c r="AW20" s="1567">
        <f t="shared" si="21"/>
        <v>0</v>
      </c>
      <c r="AX20" s="1893">
        <f t="shared" si="5"/>
        <v>0</v>
      </c>
      <c r="AY20" s="1769"/>
      <c r="AZ20" s="1188"/>
      <c r="BA20" s="1188"/>
      <c r="BB20" s="1031">
        <f t="shared" si="22"/>
        <v>0</v>
      </c>
      <c r="BC20" s="1245" t="e">
        <f t="shared" si="6"/>
        <v>#DIV/0!</v>
      </c>
      <c r="BD20" s="1138"/>
      <c r="BE20" s="1188"/>
      <c r="BF20" s="1188"/>
      <c r="BG20" s="1031">
        <f t="shared" si="23"/>
        <v>0</v>
      </c>
      <c r="BH20" s="1245" t="e">
        <f t="shared" si="7"/>
        <v>#DIV/0!</v>
      </c>
      <c r="BI20" s="1138"/>
      <c r="BJ20" s="1188">
        <f t="shared" si="8"/>
        <v>1372613.348</v>
      </c>
      <c r="BK20" s="1188">
        <f t="shared" si="9"/>
        <v>0</v>
      </c>
      <c r="BL20" s="1190">
        <f t="shared" si="24"/>
        <v>1372613.348</v>
      </c>
      <c r="BM20" s="1245">
        <f t="shared" si="25"/>
        <v>9.8350164163967982E-2</v>
      </c>
      <c r="BN20" s="1053"/>
    </row>
    <row r="21" spans="1:66" s="2" customFormat="1" ht="15" customHeight="1" outlineLevel="2" x14ac:dyDescent="0.25">
      <c r="A21" s="238"/>
      <c r="B21" s="1270" t="s">
        <v>58</v>
      </c>
      <c r="C21" s="1111">
        <v>859071</v>
      </c>
      <c r="D21" s="1242"/>
      <c r="E21" s="1190">
        <f t="shared" si="10"/>
        <v>859071</v>
      </c>
      <c r="F21" s="1049">
        <f t="shared" si="0"/>
        <v>7.3360515185652522E-2</v>
      </c>
      <c r="G21" s="1188">
        <v>1029223.2850000001</v>
      </c>
      <c r="H21" s="1188">
        <v>0</v>
      </c>
      <c r="I21" s="1190">
        <v>1029223.2850000001</v>
      </c>
      <c r="J21" s="1049">
        <v>7.9204163776142325E-2</v>
      </c>
      <c r="K21" s="1049"/>
      <c r="L21" s="1188"/>
      <c r="M21" s="1188"/>
      <c r="N21" s="1031">
        <f t="shared" si="11"/>
        <v>0</v>
      </c>
      <c r="O21" s="1245">
        <f t="shared" si="12"/>
        <v>0</v>
      </c>
      <c r="P21" s="1030"/>
      <c r="Q21" s="1188"/>
      <c r="R21" s="1188"/>
      <c r="S21" s="1031">
        <f t="shared" si="13"/>
        <v>0</v>
      </c>
      <c r="T21" s="1245">
        <f t="shared" si="1"/>
        <v>0</v>
      </c>
      <c r="U21" s="1030"/>
      <c r="V21" s="1132"/>
      <c r="W21" s="1132"/>
      <c r="X21" s="1031">
        <f t="shared" si="14"/>
        <v>0</v>
      </c>
      <c r="Y21" s="1245" t="e">
        <f t="shared" si="15"/>
        <v>#DIV/0!</v>
      </c>
      <c r="Z21" s="1030"/>
      <c r="AA21" s="1188"/>
      <c r="AB21" s="1188"/>
      <c r="AC21" s="1031">
        <f t="shared" si="16"/>
        <v>0</v>
      </c>
      <c r="AD21" s="1245">
        <f t="shared" si="17"/>
        <v>0</v>
      </c>
      <c r="AE21" s="1030"/>
      <c r="AF21" s="1447"/>
      <c r="AG21" s="1447"/>
      <c r="AH21" s="1567">
        <f t="shared" si="18"/>
        <v>0</v>
      </c>
      <c r="AI21" s="1555">
        <f t="shared" si="2"/>
        <v>0</v>
      </c>
      <c r="AJ21" s="1605"/>
      <c r="AK21" s="1447"/>
      <c r="AL21" s="1779">
        <v>20000</v>
      </c>
      <c r="AM21" s="1567">
        <f t="shared" si="19"/>
        <v>20000</v>
      </c>
      <c r="AN21" s="1555">
        <f t="shared" si="3"/>
        <v>0.23657876999462718</v>
      </c>
      <c r="AO21" s="1605"/>
      <c r="AP21" s="1640"/>
      <c r="AQ21" s="1640"/>
      <c r="AR21" s="1791">
        <f t="shared" si="20"/>
        <v>0</v>
      </c>
      <c r="AS21" s="1792">
        <f t="shared" si="4"/>
        <v>0</v>
      </c>
      <c r="AT21" s="1741"/>
      <c r="AU21" s="1447"/>
      <c r="AV21" s="1447"/>
      <c r="AW21" s="1567">
        <f t="shared" si="21"/>
        <v>0</v>
      </c>
      <c r="AX21" s="1893">
        <f t="shared" si="5"/>
        <v>0</v>
      </c>
      <c r="AY21" s="1605"/>
      <c r="AZ21" s="1188"/>
      <c r="BA21" s="1188"/>
      <c r="BB21" s="1031">
        <f t="shared" si="22"/>
        <v>0</v>
      </c>
      <c r="BC21" s="1245" t="e">
        <f t="shared" si="6"/>
        <v>#DIV/0!</v>
      </c>
      <c r="BD21" s="1030"/>
      <c r="BE21" s="1188"/>
      <c r="BF21" s="1188"/>
      <c r="BG21" s="1031">
        <f t="shared" si="23"/>
        <v>0</v>
      </c>
      <c r="BH21" s="1245" t="e">
        <f t="shared" si="7"/>
        <v>#DIV/0!</v>
      </c>
      <c r="BI21" s="1030"/>
      <c r="BJ21" s="1188">
        <f t="shared" si="8"/>
        <v>1029223.2850000001</v>
      </c>
      <c r="BK21" s="1188">
        <f t="shared" si="9"/>
        <v>20000</v>
      </c>
      <c r="BL21" s="1190">
        <f t="shared" si="24"/>
        <v>1049223.2850000001</v>
      </c>
      <c r="BM21" s="1245">
        <f t="shared" si="25"/>
        <v>7.5178696516950805E-2</v>
      </c>
      <c r="BN21" s="1053"/>
    </row>
    <row r="22" spans="1:66" s="2" customFormat="1" ht="15" customHeight="1" outlineLevel="2" x14ac:dyDescent="0.25">
      <c r="A22" s="238"/>
      <c r="B22" s="1270" t="s">
        <v>621</v>
      </c>
      <c r="C22" s="1111">
        <v>974989</v>
      </c>
      <c r="D22" s="1242"/>
      <c r="E22" s="1190">
        <f t="shared" si="10"/>
        <v>974989</v>
      </c>
      <c r="F22" s="1049"/>
      <c r="G22" s="1188">
        <v>1332549.7720000001</v>
      </c>
      <c r="H22" s="1188">
        <v>20700</v>
      </c>
      <c r="I22" s="1190">
        <v>1353249.7720000001</v>
      </c>
      <c r="J22" s="1049">
        <v>0.10413971208542494</v>
      </c>
      <c r="K22" s="1049"/>
      <c r="L22" s="1188"/>
      <c r="M22" s="1188">
        <v>2000</v>
      </c>
      <c r="N22" s="1031">
        <f t="shared" si="11"/>
        <v>2000</v>
      </c>
      <c r="O22" s="1245">
        <f t="shared" si="12"/>
        <v>0.10055187956889827</v>
      </c>
      <c r="P22" s="1030" t="s">
        <v>985</v>
      </c>
      <c r="Q22" s="1188"/>
      <c r="R22" s="1188"/>
      <c r="S22" s="1031">
        <f t="shared" si="13"/>
        <v>0</v>
      </c>
      <c r="T22" s="1245">
        <f t="shared" si="1"/>
        <v>0</v>
      </c>
      <c r="U22" s="1030"/>
      <c r="V22" s="1132"/>
      <c r="W22" s="1132"/>
      <c r="X22" s="1031">
        <f t="shared" si="14"/>
        <v>0</v>
      </c>
      <c r="Y22" s="1245" t="e">
        <f t="shared" si="15"/>
        <v>#DIV/0!</v>
      </c>
      <c r="Z22" s="1030"/>
      <c r="AA22" s="1188"/>
      <c r="AB22" s="1188"/>
      <c r="AC22" s="1031">
        <f t="shared" si="16"/>
        <v>0</v>
      </c>
      <c r="AD22" s="1245">
        <f t="shared" si="17"/>
        <v>0</v>
      </c>
      <c r="AE22" s="1030"/>
      <c r="AF22" s="1447"/>
      <c r="AG22" s="1447"/>
      <c r="AH22" s="1567">
        <f t="shared" si="18"/>
        <v>0</v>
      </c>
      <c r="AI22" s="1555">
        <f t="shared" si="2"/>
        <v>0</v>
      </c>
      <c r="AJ22" s="1605"/>
      <c r="AK22" s="1447"/>
      <c r="AL22" s="1447"/>
      <c r="AM22" s="1567">
        <f t="shared" si="19"/>
        <v>0</v>
      </c>
      <c r="AN22" s="1555">
        <f t="shared" si="3"/>
        <v>0</v>
      </c>
      <c r="AO22" s="1605"/>
      <c r="AP22" s="1640"/>
      <c r="AQ22" s="1640"/>
      <c r="AR22" s="1791">
        <f t="shared" si="20"/>
        <v>0</v>
      </c>
      <c r="AS22" s="1792">
        <f t="shared" si="4"/>
        <v>0</v>
      </c>
      <c r="AT22" s="1741"/>
      <c r="AU22" s="1447"/>
      <c r="AV22" s="1447"/>
      <c r="AW22" s="1567">
        <f t="shared" si="21"/>
        <v>0</v>
      </c>
      <c r="AX22" s="1893">
        <f t="shared" si="5"/>
        <v>0</v>
      </c>
      <c r="AY22" s="1769"/>
      <c r="AZ22" s="1188"/>
      <c r="BA22" s="1188"/>
      <c r="BB22" s="1031">
        <f t="shared" si="22"/>
        <v>0</v>
      </c>
      <c r="BC22" s="1245" t="e">
        <f t="shared" si="6"/>
        <v>#DIV/0!</v>
      </c>
      <c r="BD22" s="1138"/>
      <c r="BE22" s="1188"/>
      <c r="BF22" s="1188"/>
      <c r="BG22" s="1031">
        <f t="shared" si="23"/>
        <v>0</v>
      </c>
      <c r="BH22" s="1245" t="e">
        <f t="shared" si="7"/>
        <v>#DIV/0!</v>
      </c>
      <c r="BI22" s="1138"/>
      <c r="BJ22" s="1188">
        <f t="shared" si="8"/>
        <v>1332549.7720000001</v>
      </c>
      <c r="BK22" s="1188">
        <f t="shared" si="9"/>
        <v>22700</v>
      </c>
      <c r="BL22" s="1190">
        <f t="shared" si="24"/>
        <v>1355249.7720000001</v>
      </c>
      <c r="BM22" s="1245">
        <f t="shared" si="25"/>
        <v>9.7106033358623722E-2</v>
      </c>
      <c r="BN22" s="1053"/>
    </row>
    <row r="23" spans="1:66" s="2" customFormat="1" ht="15" customHeight="1" outlineLevel="2" x14ac:dyDescent="0.25">
      <c r="A23" s="238"/>
      <c r="B23" s="1270" t="s">
        <v>630</v>
      </c>
      <c r="C23" s="1111"/>
      <c r="D23" s="1242"/>
      <c r="E23" s="1190">
        <f t="shared" si="10"/>
        <v>0</v>
      </c>
      <c r="F23" s="1049"/>
      <c r="G23" s="1188">
        <v>0</v>
      </c>
      <c r="H23" s="1188">
        <v>0</v>
      </c>
      <c r="I23" s="1190">
        <v>0</v>
      </c>
      <c r="J23" s="1049">
        <v>0</v>
      </c>
      <c r="K23" s="1049"/>
      <c r="L23" s="1188"/>
      <c r="M23" s="1188"/>
      <c r="N23" s="1031"/>
      <c r="O23" s="1245">
        <f t="shared" si="12"/>
        <v>0</v>
      </c>
      <c r="P23" s="1030"/>
      <c r="Q23" s="1188"/>
      <c r="R23" s="1188"/>
      <c r="S23" s="1031"/>
      <c r="T23" s="1245">
        <f t="shared" si="1"/>
        <v>0</v>
      </c>
      <c r="U23" s="1030"/>
      <c r="V23" s="1132"/>
      <c r="W23" s="1132"/>
      <c r="X23" s="1031"/>
      <c r="Y23" s="1245" t="e">
        <f t="shared" si="15"/>
        <v>#DIV/0!</v>
      </c>
      <c r="Z23" s="1030"/>
      <c r="AA23" s="1188"/>
      <c r="AB23" s="1188"/>
      <c r="AC23" s="1031"/>
      <c r="AD23" s="1245">
        <f t="shared" si="17"/>
        <v>0</v>
      </c>
      <c r="AE23" s="1030"/>
      <c r="AF23" s="1447"/>
      <c r="AG23" s="1447"/>
      <c r="AH23" s="1567"/>
      <c r="AI23" s="1555">
        <f t="shared" si="2"/>
        <v>0</v>
      </c>
      <c r="AJ23" s="1605"/>
      <c r="AK23" s="1447"/>
      <c r="AL23" s="1447"/>
      <c r="AM23" s="1567"/>
      <c r="AN23" s="1555">
        <f t="shared" si="3"/>
        <v>0</v>
      </c>
      <c r="AO23" s="1605"/>
      <c r="AP23" s="1640"/>
      <c r="AQ23" s="1640"/>
      <c r="AR23" s="1791"/>
      <c r="AS23" s="1792">
        <f t="shared" si="4"/>
        <v>0</v>
      </c>
      <c r="AT23" s="1741"/>
      <c r="AU23" s="1447"/>
      <c r="AV23" s="1447"/>
      <c r="AW23" s="1567"/>
      <c r="AX23" s="1893">
        <f t="shared" si="5"/>
        <v>0</v>
      </c>
      <c r="AY23" s="1605"/>
      <c r="AZ23" s="1188"/>
      <c r="BA23" s="1188"/>
      <c r="BB23" s="1031"/>
      <c r="BC23" s="1245" t="e">
        <f t="shared" si="6"/>
        <v>#DIV/0!</v>
      </c>
      <c r="BD23" s="1030"/>
      <c r="BE23" s="1188"/>
      <c r="BF23" s="1188"/>
      <c r="BG23" s="1031"/>
      <c r="BH23" s="1245" t="e">
        <f t="shared" si="7"/>
        <v>#DIV/0!</v>
      </c>
      <c r="BI23" s="1030"/>
      <c r="BJ23" s="1188">
        <f t="shared" si="8"/>
        <v>0</v>
      </c>
      <c r="BK23" s="1188">
        <f t="shared" si="9"/>
        <v>0</v>
      </c>
      <c r="BL23" s="1190">
        <f t="shared" si="24"/>
        <v>0</v>
      </c>
      <c r="BM23" s="1245">
        <f t="shared" si="25"/>
        <v>0</v>
      </c>
      <c r="BN23" s="1053"/>
    </row>
    <row r="24" spans="1:66" s="2" customFormat="1" ht="70.2" customHeight="1" outlineLevel="2" x14ac:dyDescent="0.25">
      <c r="A24" s="238"/>
      <c r="B24" s="1270" t="s">
        <v>23</v>
      </c>
      <c r="C24" s="1111">
        <v>255000</v>
      </c>
      <c r="D24" s="1242"/>
      <c r="E24" s="1190">
        <f t="shared" si="10"/>
        <v>255000</v>
      </c>
      <c r="F24" s="1049">
        <f t="shared" ref="F24:F33" si="26">E24/$E$89</f>
        <v>2.1775768676094751E-2</v>
      </c>
      <c r="G24" s="1188">
        <v>710343.70799999998</v>
      </c>
      <c r="H24" s="1188">
        <v>2719</v>
      </c>
      <c r="I24" s="1190">
        <v>713062.70799999998</v>
      </c>
      <c r="J24" s="1049">
        <v>5.4873938755759445E-2</v>
      </c>
      <c r="K24" s="1049"/>
      <c r="L24" s="1188"/>
      <c r="M24" s="1188"/>
      <c r="N24" s="1031">
        <f t="shared" ref="N24:N33" si="27">L24+M24*1</f>
        <v>0</v>
      </c>
      <c r="O24" s="1245">
        <f t="shared" si="12"/>
        <v>0</v>
      </c>
      <c r="P24" s="1030"/>
      <c r="Q24" s="1188"/>
      <c r="R24" s="1188"/>
      <c r="S24" s="1031">
        <f t="shared" ref="S24:S33" si="28">Q24+R24*1</f>
        <v>0</v>
      </c>
      <c r="T24" s="1245">
        <f t="shared" si="1"/>
        <v>0</v>
      </c>
      <c r="U24" s="1030"/>
      <c r="V24" s="1132"/>
      <c r="W24" s="1132"/>
      <c r="X24" s="1031">
        <f t="shared" ref="X24:X33" si="29">V24+W24*1</f>
        <v>0</v>
      </c>
      <c r="Y24" s="1245" t="e">
        <f t="shared" si="15"/>
        <v>#DIV/0!</v>
      </c>
      <c r="Z24" s="1030"/>
      <c r="AA24" s="1188"/>
      <c r="AB24" s="1188"/>
      <c r="AC24" s="1031">
        <f t="shared" ref="AC24:AC33" si="30">AA24+AB24*1</f>
        <v>0</v>
      </c>
      <c r="AD24" s="1245">
        <f t="shared" si="17"/>
        <v>0</v>
      </c>
      <c r="AE24" s="1030"/>
      <c r="AF24" s="1447">
        <f>12916.67*1.2</f>
        <v>15500.003999999999</v>
      </c>
      <c r="AG24" s="1447"/>
      <c r="AH24" s="1567">
        <f t="shared" ref="AH24:AH33" si="31">AF24+AG24*1</f>
        <v>15500.003999999999</v>
      </c>
      <c r="AI24" s="1555">
        <f t="shared" si="2"/>
        <v>1</v>
      </c>
      <c r="AJ24" s="1605" t="s">
        <v>1237</v>
      </c>
      <c r="AK24" s="1447">
        <f>16666.67*1.2</f>
        <v>20000.003999999997</v>
      </c>
      <c r="AL24" s="1447"/>
      <c r="AM24" s="1567">
        <f t="shared" ref="AM24:AM33" si="32">AK24+AL24*1</f>
        <v>20000.003999999997</v>
      </c>
      <c r="AN24" s="1555">
        <f t="shared" si="3"/>
        <v>0.23657881731038113</v>
      </c>
      <c r="AO24" s="1605" t="s">
        <v>1435</v>
      </c>
      <c r="AP24" s="1640">
        <f>45000*1.2</f>
        <v>54000</v>
      </c>
      <c r="AQ24" s="1640"/>
      <c r="AR24" s="1791">
        <f t="shared" ref="AR24:AR33" si="33">AP24+AQ24*1</f>
        <v>54000</v>
      </c>
      <c r="AS24" s="1792">
        <f t="shared" si="4"/>
        <v>0.83179297597042512</v>
      </c>
      <c r="AT24" s="1741" t="s">
        <v>1468</v>
      </c>
      <c r="AU24" s="1447"/>
      <c r="AV24" s="1447"/>
      <c r="AW24" s="1567">
        <f t="shared" ref="AW24:AW33" si="34">AU24+AV24*1</f>
        <v>0</v>
      </c>
      <c r="AX24" s="1893">
        <f t="shared" si="5"/>
        <v>0</v>
      </c>
      <c r="AY24" s="1605"/>
      <c r="AZ24" s="1188"/>
      <c r="BA24" s="1188"/>
      <c r="BB24" s="1031">
        <f t="shared" ref="BB24:BB33" si="35">AZ24+BA24*1</f>
        <v>0</v>
      </c>
      <c r="BC24" s="1245" t="e">
        <f t="shared" si="6"/>
        <v>#DIV/0!</v>
      </c>
      <c r="BD24" s="1030"/>
      <c r="BE24" s="1188"/>
      <c r="BF24" s="1188"/>
      <c r="BG24" s="1031">
        <f t="shared" ref="BG24:BG33" si="36">BE24+BF24*1</f>
        <v>0</v>
      </c>
      <c r="BH24" s="1245" t="e">
        <f t="shared" si="7"/>
        <v>#DIV/0!</v>
      </c>
      <c r="BI24" s="1030"/>
      <c r="BJ24" s="1188">
        <f t="shared" si="8"/>
        <v>799843.7159999999</v>
      </c>
      <c r="BK24" s="1188">
        <f t="shared" si="9"/>
        <v>2719</v>
      </c>
      <c r="BL24" s="1190">
        <f t="shared" si="24"/>
        <v>802562.7159999999</v>
      </c>
      <c r="BM24" s="1245">
        <f t="shared" si="25"/>
        <v>5.7505032269641022E-2</v>
      </c>
      <c r="BN24" s="1053"/>
    </row>
    <row r="25" spans="1:66" s="2" customFormat="1" ht="15" customHeight="1" outlineLevel="2" x14ac:dyDescent="0.25">
      <c r="A25" s="238"/>
      <c r="B25" s="1270" t="s">
        <v>24</v>
      </c>
      <c r="C25" s="1111">
        <v>705156</v>
      </c>
      <c r="D25" s="1242"/>
      <c r="E25" s="1190">
        <f t="shared" si="10"/>
        <v>705156</v>
      </c>
      <c r="F25" s="1049">
        <f t="shared" si="26"/>
        <v>6.0216917398275567E-2</v>
      </c>
      <c r="G25" s="1188">
        <v>302640.93599999999</v>
      </c>
      <c r="H25" s="1188">
        <v>7138.72</v>
      </c>
      <c r="I25" s="1190">
        <v>309779.65599999996</v>
      </c>
      <c r="J25" s="1049">
        <v>2.3839179472451427E-2</v>
      </c>
      <c r="K25" s="1049"/>
      <c r="L25" s="1188"/>
      <c r="M25" s="1188"/>
      <c r="N25" s="1031">
        <f t="shared" si="27"/>
        <v>0</v>
      </c>
      <c r="O25" s="1245">
        <f t="shared" si="12"/>
        <v>0</v>
      </c>
      <c r="P25" s="1030"/>
      <c r="Q25" s="1188">
        <f>5486*1.2</f>
        <v>6583.2</v>
      </c>
      <c r="R25" s="1188">
        <v>2283</v>
      </c>
      <c r="S25" s="1031">
        <f t="shared" si="28"/>
        <v>8866.2000000000007</v>
      </c>
      <c r="T25" s="1245">
        <f t="shared" si="1"/>
        <v>1.5530841093756629E-2</v>
      </c>
      <c r="U25" s="1030"/>
      <c r="V25" s="1132"/>
      <c r="W25" s="1132"/>
      <c r="X25" s="1031">
        <f t="shared" si="29"/>
        <v>0</v>
      </c>
      <c r="Y25" s="1245" t="e">
        <f t="shared" si="15"/>
        <v>#DIV/0!</v>
      </c>
      <c r="Z25" s="1030"/>
      <c r="AA25" s="1188">
        <f>2283.35*1.2</f>
        <v>2740.02</v>
      </c>
      <c r="AB25" s="1132">
        <v>179</v>
      </c>
      <c r="AC25" s="1031">
        <f t="shared" si="30"/>
        <v>2919.02</v>
      </c>
      <c r="AD25" s="1245">
        <f t="shared" si="17"/>
        <v>1.416278041816999E-2</v>
      </c>
      <c r="AE25" s="1140" t="s">
        <v>1080</v>
      </c>
      <c r="AF25" s="1447"/>
      <c r="AG25" s="1447"/>
      <c r="AH25" s="1567">
        <f t="shared" si="31"/>
        <v>0</v>
      </c>
      <c r="AI25" s="1555">
        <f t="shared" si="2"/>
        <v>0</v>
      </c>
      <c r="AJ25" s="1605"/>
      <c r="AK25" s="1447"/>
      <c r="AL25" s="1640">
        <v>1032.25</v>
      </c>
      <c r="AM25" s="1567">
        <f t="shared" si="32"/>
        <v>1032.25</v>
      </c>
      <c r="AN25" s="1555">
        <f t="shared" si="3"/>
        <v>1.2210421766347694E-2</v>
      </c>
      <c r="AO25" s="1605"/>
      <c r="AP25" s="1640"/>
      <c r="AQ25" s="1640"/>
      <c r="AR25" s="1791">
        <f t="shared" si="33"/>
        <v>0</v>
      </c>
      <c r="AS25" s="1792">
        <f t="shared" si="4"/>
        <v>0</v>
      </c>
      <c r="AT25" s="1741"/>
      <c r="AU25" s="1447"/>
      <c r="AV25" s="1447"/>
      <c r="AW25" s="1567">
        <f t="shared" si="34"/>
        <v>0</v>
      </c>
      <c r="AX25" s="1893">
        <f t="shared" si="5"/>
        <v>0</v>
      </c>
      <c r="AY25" s="1605"/>
      <c r="AZ25" s="1188"/>
      <c r="BA25" s="1188"/>
      <c r="BB25" s="1031">
        <f t="shared" si="35"/>
        <v>0</v>
      </c>
      <c r="BC25" s="1245" t="e">
        <f t="shared" si="6"/>
        <v>#DIV/0!</v>
      </c>
      <c r="BD25" s="1030"/>
      <c r="BE25" s="1188"/>
      <c r="BF25" s="1188"/>
      <c r="BG25" s="1031">
        <f t="shared" si="36"/>
        <v>0</v>
      </c>
      <c r="BH25" s="1245" t="e">
        <f t="shared" si="7"/>
        <v>#DIV/0!</v>
      </c>
      <c r="BI25" s="1030"/>
      <c r="BJ25" s="1188">
        <f t="shared" si="8"/>
        <v>311964.15600000002</v>
      </c>
      <c r="BK25" s="1188">
        <f t="shared" si="9"/>
        <v>10632.970000000001</v>
      </c>
      <c r="BL25" s="1190">
        <f t="shared" si="24"/>
        <v>322597.12600000005</v>
      </c>
      <c r="BM25" s="1245">
        <f t="shared" si="25"/>
        <v>2.3114652314254101E-2</v>
      </c>
      <c r="BN25" s="1053"/>
    </row>
    <row r="26" spans="1:66" s="226" customFormat="1" ht="51.6" customHeight="1" outlineLevel="2" x14ac:dyDescent="0.25">
      <c r="A26" s="238"/>
      <c r="B26" s="1271" t="s">
        <v>45</v>
      </c>
      <c r="C26" s="1111">
        <v>1511680</v>
      </c>
      <c r="D26" s="1242"/>
      <c r="E26" s="1190">
        <f t="shared" si="10"/>
        <v>1511680</v>
      </c>
      <c r="F26" s="1049">
        <f t="shared" si="26"/>
        <v>0.12909017251874083</v>
      </c>
      <c r="G26" s="1188">
        <v>1240367.7240000002</v>
      </c>
      <c r="H26" s="1188">
        <v>0</v>
      </c>
      <c r="I26" s="1190">
        <v>1240367.7240000002</v>
      </c>
      <c r="J26" s="1049">
        <v>9.5452842727258069E-2</v>
      </c>
      <c r="K26" s="1049"/>
      <c r="L26" s="1188"/>
      <c r="M26" s="1188"/>
      <c r="N26" s="1031">
        <f t="shared" si="27"/>
        <v>0</v>
      </c>
      <c r="O26" s="1245">
        <f t="shared" si="12"/>
        <v>0</v>
      </c>
      <c r="P26" s="1030"/>
      <c r="Q26" s="1188">
        <f>276110.19*1.2</f>
        <v>331332.228</v>
      </c>
      <c r="R26" s="1188"/>
      <c r="S26" s="1031">
        <f t="shared" si="28"/>
        <v>331332.228</v>
      </c>
      <c r="T26" s="1245">
        <f t="shared" si="1"/>
        <v>0.58039162012004464</v>
      </c>
      <c r="U26" s="1030"/>
      <c r="V26" s="1132"/>
      <c r="W26" s="1132"/>
      <c r="X26" s="1031">
        <f t="shared" si="29"/>
        <v>0</v>
      </c>
      <c r="Y26" s="1245" t="e">
        <f t="shared" si="15"/>
        <v>#DIV/0!</v>
      </c>
      <c r="Z26" s="1030"/>
      <c r="AA26" s="1188">
        <f>(1694.05+45289)*1.2</f>
        <v>56379.66</v>
      </c>
      <c r="AB26" s="1188"/>
      <c r="AC26" s="1031">
        <f t="shared" si="30"/>
        <v>56379.66</v>
      </c>
      <c r="AD26" s="1245">
        <f t="shared" si="17"/>
        <v>0.27354822667576167</v>
      </c>
      <c r="AE26" s="1030" t="s">
        <v>1158</v>
      </c>
      <c r="AF26" s="1447"/>
      <c r="AG26" s="1447"/>
      <c r="AH26" s="1567">
        <f t="shared" si="31"/>
        <v>0</v>
      </c>
      <c r="AI26" s="1555">
        <f t="shared" si="2"/>
        <v>0</v>
      </c>
      <c r="AJ26" s="1605"/>
      <c r="AK26" s="1779">
        <f>14636.22*1.2</f>
        <v>17563.464</v>
      </c>
      <c r="AL26" s="1779">
        <f>16666.67 *1.2</f>
        <v>20000.003999999997</v>
      </c>
      <c r="AM26" s="1567">
        <f t="shared" si="32"/>
        <v>37563.467999999993</v>
      </c>
      <c r="AN26" s="1555">
        <f t="shared" si="3"/>
        <v>0.44433595280862681</v>
      </c>
      <c r="AO26" s="1777" t="s">
        <v>1380</v>
      </c>
      <c r="AP26" s="1640"/>
      <c r="AQ26" s="1640"/>
      <c r="AR26" s="1791">
        <f t="shared" si="33"/>
        <v>0</v>
      </c>
      <c r="AS26" s="1792">
        <f t="shared" si="4"/>
        <v>0</v>
      </c>
      <c r="AT26" s="1741" t="s">
        <v>1388</v>
      </c>
      <c r="AU26" s="1887">
        <f>96914.47*1.2</f>
        <v>116297.364</v>
      </c>
      <c r="AV26" s="1887"/>
      <c r="AW26" s="1888">
        <f t="shared" si="34"/>
        <v>116297.364</v>
      </c>
      <c r="AX26" s="1923">
        <f t="shared" si="5"/>
        <v>1</v>
      </c>
      <c r="AY26" s="1883" t="s">
        <v>1549</v>
      </c>
      <c r="AZ26" s="1188"/>
      <c r="BA26" s="1188"/>
      <c r="BB26" s="1031">
        <f t="shared" si="35"/>
        <v>0</v>
      </c>
      <c r="BC26" s="1245" t="e">
        <f t="shared" si="6"/>
        <v>#DIV/0!</v>
      </c>
      <c r="BD26" s="1030"/>
      <c r="BE26" s="1188"/>
      <c r="BF26" s="1188"/>
      <c r="BG26" s="1031">
        <f t="shared" si="36"/>
        <v>0</v>
      </c>
      <c r="BH26" s="1245" t="e">
        <f t="shared" si="7"/>
        <v>#DIV/0!</v>
      </c>
      <c r="BI26" s="1030"/>
      <c r="BJ26" s="1188">
        <f t="shared" si="8"/>
        <v>1645643.0759999999</v>
      </c>
      <c r="BK26" s="1188">
        <f t="shared" si="9"/>
        <v>20000.003999999997</v>
      </c>
      <c r="BL26" s="1190">
        <f t="shared" si="24"/>
        <v>1665643.0799999998</v>
      </c>
      <c r="BM26" s="1245">
        <f t="shared" si="25"/>
        <v>0.11934626061685162</v>
      </c>
      <c r="BN26" s="1053"/>
    </row>
    <row r="27" spans="1:66" s="2" customFormat="1" ht="15" customHeight="1" outlineLevel="2" x14ac:dyDescent="0.25">
      <c r="A27" s="238"/>
      <c r="B27" s="1270" t="s">
        <v>25</v>
      </c>
      <c r="C27" s="1111">
        <v>15000</v>
      </c>
      <c r="D27" s="1242"/>
      <c r="E27" s="1190">
        <f t="shared" si="10"/>
        <v>15000</v>
      </c>
      <c r="F27" s="1049">
        <f t="shared" si="26"/>
        <v>1.280927569182044E-3</v>
      </c>
      <c r="G27" s="1188">
        <v>15109.08</v>
      </c>
      <c r="H27" s="1188">
        <v>0</v>
      </c>
      <c r="I27" s="1190">
        <v>15109.08</v>
      </c>
      <c r="J27" s="1049">
        <v>1.1627234481260656E-3</v>
      </c>
      <c r="K27" s="1049"/>
      <c r="L27" s="1188"/>
      <c r="M27" s="1188"/>
      <c r="N27" s="1031">
        <f t="shared" si="27"/>
        <v>0</v>
      </c>
      <c r="O27" s="1245">
        <f t="shared" si="12"/>
        <v>0</v>
      </c>
      <c r="P27" s="1030"/>
      <c r="Q27" s="1188"/>
      <c r="R27" s="1188"/>
      <c r="S27" s="1031">
        <f t="shared" si="28"/>
        <v>0</v>
      </c>
      <c r="T27" s="1245">
        <f t="shared" si="1"/>
        <v>0</v>
      </c>
      <c r="U27" s="1030"/>
      <c r="V27" s="1132"/>
      <c r="W27" s="1132"/>
      <c r="X27" s="1031">
        <f t="shared" si="29"/>
        <v>0</v>
      </c>
      <c r="Y27" s="1245" t="e">
        <f t="shared" si="15"/>
        <v>#DIV/0!</v>
      </c>
      <c r="Z27" s="1030"/>
      <c r="AA27" s="1188"/>
      <c r="AB27" s="1188">
        <v>260</v>
      </c>
      <c r="AC27" s="1031">
        <f t="shared" si="30"/>
        <v>260</v>
      </c>
      <c r="AD27" s="1245">
        <f t="shared" si="17"/>
        <v>1.2614928670321537E-3</v>
      </c>
      <c r="AE27" s="1030" t="s">
        <v>1157</v>
      </c>
      <c r="AF27" s="1447"/>
      <c r="AG27" s="1447"/>
      <c r="AH27" s="1567">
        <f t="shared" si="31"/>
        <v>0</v>
      </c>
      <c r="AI27" s="1555">
        <f t="shared" si="2"/>
        <v>0</v>
      </c>
      <c r="AJ27" s="1605"/>
      <c r="AK27" s="1447"/>
      <c r="AL27" s="1447"/>
      <c r="AM27" s="1567">
        <f t="shared" si="32"/>
        <v>0</v>
      </c>
      <c r="AN27" s="1555">
        <f t="shared" si="3"/>
        <v>0</v>
      </c>
      <c r="AO27" s="1605"/>
      <c r="AP27" s="1640"/>
      <c r="AQ27" s="1640"/>
      <c r="AR27" s="1791">
        <f t="shared" si="33"/>
        <v>0</v>
      </c>
      <c r="AS27" s="1792">
        <f t="shared" si="4"/>
        <v>0</v>
      </c>
      <c r="AT27" s="1741"/>
      <c r="AU27" s="1447"/>
      <c r="AV27" s="1447"/>
      <c r="AW27" s="1567">
        <f t="shared" si="34"/>
        <v>0</v>
      </c>
      <c r="AX27" s="1893">
        <f t="shared" si="5"/>
        <v>0</v>
      </c>
      <c r="AY27" s="1769"/>
      <c r="AZ27" s="1188"/>
      <c r="BA27" s="1188"/>
      <c r="BB27" s="1031">
        <f t="shared" si="35"/>
        <v>0</v>
      </c>
      <c r="BC27" s="1245" t="e">
        <f t="shared" si="6"/>
        <v>#DIV/0!</v>
      </c>
      <c r="BD27" s="1138"/>
      <c r="BE27" s="1188"/>
      <c r="BF27" s="1188"/>
      <c r="BG27" s="1031">
        <f t="shared" si="36"/>
        <v>0</v>
      </c>
      <c r="BH27" s="1245" t="e">
        <f t="shared" si="7"/>
        <v>#DIV/0!</v>
      </c>
      <c r="BI27" s="1138"/>
      <c r="BJ27" s="1188">
        <f t="shared" si="8"/>
        <v>15109.08</v>
      </c>
      <c r="BK27" s="1188">
        <f t="shared" si="9"/>
        <v>260</v>
      </c>
      <c r="BL27" s="1190">
        <f t="shared" si="24"/>
        <v>15369.08</v>
      </c>
      <c r="BM27" s="1245">
        <f t="shared" si="25"/>
        <v>1.1012216537538415E-3</v>
      </c>
      <c r="BN27" s="1053"/>
    </row>
    <row r="28" spans="1:66" s="226" customFormat="1" ht="15" customHeight="1" outlineLevel="2" x14ac:dyDescent="0.25">
      <c r="A28" s="238"/>
      <c r="B28" s="1271" t="s">
        <v>52</v>
      </c>
      <c r="C28" s="1111">
        <f>206262+11900</f>
        <v>218162</v>
      </c>
      <c r="D28" s="1242"/>
      <c r="E28" s="1190">
        <f t="shared" si="10"/>
        <v>218162</v>
      </c>
      <c r="F28" s="1049">
        <f t="shared" si="26"/>
        <v>1.8629981356526205E-2</v>
      </c>
      <c r="G28" s="1188">
        <v>14671.936</v>
      </c>
      <c r="H28" s="1188">
        <v>1009.55</v>
      </c>
      <c r="I28" s="1190">
        <v>15681.485999999999</v>
      </c>
      <c r="J28" s="1049">
        <v>1.2067731108486171E-3</v>
      </c>
      <c r="K28" s="1049"/>
      <c r="L28" s="1188">
        <f>125*1.2</f>
        <v>150</v>
      </c>
      <c r="M28" s="1188"/>
      <c r="N28" s="1031">
        <f t="shared" si="27"/>
        <v>150</v>
      </c>
      <c r="O28" s="1245">
        <f t="shared" si="12"/>
        <v>7.5413909676673701E-3</v>
      </c>
      <c r="P28" s="1030" t="s">
        <v>999</v>
      </c>
      <c r="Q28" s="1188">
        <f>182.5+500.04*1.2</f>
        <v>782.548</v>
      </c>
      <c r="R28" s="1188"/>
      <c r="S28" s="1031">
        <f t="shared" si="28"/>
        <v>782.548</v>
      </c>
      <c r="T28" s="1245">
        <f t="shared" si="1"/>
        <v>1.3707821429966684E-3</v>
      </c>
      <c r="U28" s="1030" t="s">
        <v>1045</v>
      </c>
      <c r="V28" s="1132"/>
      <c r="W28" s="1132"/>
      <c r="X28" s="1031">
        <f t="shared" si="29"/>
        <v>0</v>
      </c>
      <c r="Y28" s="1245" t="e">
        <f t="shared" si="15"/>
        <v>#DIV/0!</v>
      </c>
      <c r="Z28" s="1030"/>
      <c r="AA28" s="1188">
        <f>250.02*1.2</f>
        <v>300.024</v>
      </c>
      <c r="AB28" s="1188"/>
      <c r="AC28" s="1031">
        <f t="shared" si="30"/>
        <v>300.024</v>
      </c>
      <c r="AD28" s="1245">
        <f t="shared" si="17"/>
        <v>1.4556851382248265E-3</v>
      </c>
      <c r="AE28" s="1030" t="s">
        <v>1078</v>
      </c>
      <c r="AF28" s="1447"/>
      <c r="AG28" s="1447"/>
      <c r="AH28" s="1567">
        <f t="shared" si="31"/>
        <v>0</v>
      </c>
      <c r="AI28" s="1555">
        <f t="shared" si="2"/>
        <v>0</v>
      </c>
      <c r="AJ28" s="1605"/>
      <c r="AK28" s="1447"/>
      <c r="AL28" s="1447"/>
      <c r="AM28" s="1567">
        <f t="shared" si="32"/>
        <v>0</v>
      </c>
      <c r="AN28" s="1555">
        <f t="shared" si="3"/>
        <v>0</v>
      </c>
      <c r="AO28" s="1605"/>
      <c r="AP28" s="1640"/>
      <c r="AQ28" s="1640"/>
      <c r="AR28" s="1791">
        <f t="shared" si="33"/>
        <v>0</v>
      </c>
      <c r="AS28" s="1792">
        <f t="shared" si="4"/>
        <v>0</v>
      </c>
      <c r="AT28" s="1741"/>
      <c r="AU28" s="1447"/>
      <c r="AV28" s="1447"/>
      <c r="AW28" s="1567">
        <f t="shared" si="34"/>
        <v>0</v>
      </c>
      <c r="AX28" s="1893">
        <f t="shared" si="5"/>
        <v>0</v>
      </c>
      <c r="AY28" s="1605"/>
      <c r="AZ28" s="1188"/>
      <c r="BA28" s="1188"/>
      <c r="BB28" s="1031">
        <f t="shared" si="35"/>
        <v>0</v>
      </c>
      <c r="BC28" s="1245" t="e">
        <f t="shared" si="6"/>
        <v>#DIV/0!</v>
      </c>
      <c r="BD28" s="1030"/>
      <c r="BE28" s="1188"/>
      <c r="BF28" s="1188"/>
      <c r="BG28" s="1031">
        <f t="shared" si="36"/>
        <v>0</v>
      </c>
      <c r="BH28" s="1245" t="e">
        <f t="shared" si="7"/>
        <v>#DIV/0!</v>
      </c>
      <c r="BI28" s="1030"/>
      <c r="BJ28" s="1188">
        <f t="shared" si="8"/>
        <v>15904.508</v>
      </c>
      <c r="BK28" s="1188">
        <f t="shared" si="9"/>
        <v>1009.55</v>
      </c>
      <c r="BL28" s="1190">
        <f t="shared" si="24"/>
        <v>16914.058000000001</v>
      </c>
      <c r="BM28" s="1245">
        <f t="shared" si="25"/>
        <v>1.2119220488440684E-3</v>
      </c>
      <c r="BN28" s="1053"/>
    </row>
    <row r="29" spans="1:66" s="2" customFormat="1" ht="15" customHeight="1" outlineLevel="2" x14ac:dyDescent="0.25">
      <c r="A29" s="238"/>
      <c r="B29" s="1270" t="s">
        <v>31</v>
      </c>
      <c r="C29" s="1111">
        <v>123000</v>
      </c>
      <c r="D29" s="1242">
        <v>229100</v>
      </c>
      <c r="E29" s="1190">
        <f t="shared" si="10"/>
        <v>352100</v>
      </c>
      <c r="F29" s="1245">
        <f t="shared" si="26"/>
        <v>3.0067639807266514E-2</v>
      </c>
      <c r="G29" s="1188">
        <v>129790</v>
      </c>
      <c r="H29" s="1188">
        <v>407900</v>
      </c>
      <c r="I29" s="1190">
        <v>537690</v>
      </c>
      <c r="J29" s="1049">
        <v>4.1378083299771017E-2</v>
      </c>
      <c r="K29" s="1049"/>
      <c r="L29" s="1188"/>
      <c r="M29" s="1188">
        <v>6000</v>
      </c>
      <c r="N29" s="1031">
        <f t="shared" si="27"/>
        <v>6000</v>
      </c>
      <c r="O29" s="1245">
        <f t="shared" si="12"/>
        <v>0.30165563870669482</v>
      </c>
      <c r="P29" s="1030"/>
      <c r="Q29" s="1188"/>
      <c r="R29" s="1188">
        <v>5600</v>
      </c>
      <c r="S29" s="1031">
        <f t="shared" si="28"/>
        <v>5600</v>
      </c>
      <c r="T29" s="1245">
        <f t="shared" si="1"/>
        <v>9.8094685575598473E-3</v>
      </c>
      <c r="U29" s="1030" t="s">
        <v>1019</v>
      </c>
      <c r="V29" s="1132"/>
      <c r="W29" s="1132"/>
      <c r="X29" s="1031">
        <f t="shared" si="29"/>
        <v>0</v>
      </c>
      <c r="Y29" s="1245" t="e">
        <f t="shared" si="15"/>
        <v>#DIV/0!</v>
      </c>
      <c r="Z29" s="1030"/>
      <c r="AA29" s="1188">
        <v>860</v>
      </c>
      <c r="AB29" s="1188"/>
      <c r="AC29" s="1031">
        <f t="shared" si="30"/>
        <v>860</v>
      </c>
      <c r="AD29" s="1245">
        <f t="shared" si="17"/>
        <v>4.1726302524909701E-3</v>
      </c>
      <c r="AE29" s="1030"/>
      <c r="AF29" s="1447"/>
      <c r="AG29" s="1447"/>
      <c r="AH29" s="1567">
        <f t="shared" si="31"/>
        <v>0</v>
      </c>
      <c r="AI29" s="1555">
        <f t="shared" si="2"/>
        <v>0</v>
      </c>
      <c r="AJ29" s="1605"/>
      <c r="AK29" s="1447"/>
      <c r="AL29" s="1447"/>
      <c r="AM29" s="1567">
        <f t="shared" si="32"/>
        <v>0</v>
      </c>
      <c r="AN29" s="1555">
        <f t="shared" si="3"/>
        <v>0</v>
      </c>
      <c r="AO29" s="1605"/>
      <c r="AP29" s="1640"/>
      <c r="AQ29" s="1640"/>
      <c r="AR29" s="1791">
        <f t="shared" si="33"/>
        <v>0</v>
      </c>
      <c r="AS29" s="1792">
        <f t="shared" si="4"/>
        <v>0</v>
      </c>
      <c r="AT29" s="1741"/>
      <c r="AU29" s="1447"/>
      <c r="AV29" s="1447"/>
      <c r="AW29" s="1567">
        <f t="shared" si="34"/>
        <v>0</v>
      </c>
      <c r="AX29" s="1893">
        <f t="shared" si="5"/>
        <v>0</v>
      </c>
      <c r="AY29" s="1605"/>
      <c r="AZ29" s="1188"/>
      <c r="BA29" s="1188"/>
      <c r="BB29" s="1031">
        <f t="shared" si="35"/>
        <v>0</v>
      </c>
      <c r="BC29" s="1245" t="e">
        <f t="shared" si="6"/>
        <v>#DIV/0!</v>
      </c>
      <c r="BD29" s="1030"/>
      <c r="BE29" s="1188"/>
      <c r="BF29" s="1188"/>
      <c r="BG29" s="1031">
        <f t="shared" si="36"/>
        <v>0</v>
      </c>
      <c r="BH29" s="1245" t="e">
        <f t="shared" si="7"/>
        <v>#DIV/0!</v>
      </c>
      <c r="BI29" s="1030"/>
      <c r="BJ29" s="1188">
        <f t="shared" si="8"/>
        <v>130650</v>
      </c>
      <c r="BK29" s="1188">
        <f t="shared" si="9"/>
        <v>419500</v>
      </c>
      <c r="BL29" s="1190">
        <f t="shared" si="24"/>
        <v>550150</v>
      </c>
      <c r="BM29" s="1245">
        <f t="shared" si="25"/>
        <v>3.9419216557703904E-2</v>
      </c>
      <c r="BN29" s="1246"/>
    </row>
    <row r="30" spans="1:66" s="2" customFormat="1" ht="15" customHeight="1" outlineLevel="2" x14ac:dyDescent="0.25">
      <c r="A30" s="238"/>
      <c r="B30" s="1270" t="s">
        <v>62</v>
      </c>
      <c r="C30" s="1111"/>
      <c r="D30" s="1242">
        <f>309000+9030</f>
        <v>318030</v>
      </c>
      <c r="E30" s="1190">
        <f t="shared" si="10"/>
        <v>318030</v>
      </c>
      <c r="F30" s="1245">
        <f t="shared" si="26"/>
        <v>2.7158226321797697E-2</v>
      </c>
      <c r="G30" s="1188">
        <v>0</v>
      </c>
      <c r="H30" s="1188">
        <v>556671</v>
      </c>
      <c r="I30" s="1190">
        <v>556671</v>
      </c>
      <c r="J30" s="1049">
        <v>4.2838771426968757E-2</v>
      </c>
      <c r="K30" s="1049"/>
      <c r="L30" s="1188"/>
      <c r="M30" s="1188">
        <v>5000</v>
      </c>
      <c r="N30" s="1031">
        <f t="shared" si="27"/>
        <v>5000</v>
      </c>
      <c r="O30" s="1245">
        <f t="shared" si="12"/>
        <v>0.25137969892224565</v>
      </c>
      <c r="P30" s="1030" t="s">
        <v>986</v>
      </c>
      <c r="Q30" s="1188"/>
      <c r="R30" s="1188">
        <f>17100+1000+350</f>
        <v>18450</v>
      </c>
      <c r="S30" s="1031">
        <f t="shared" si="28"/>
        <v>18450</v>
      </c>
      <c r="T30" s="1245">
        <f t="shared" si="1"/>
        <v>3.2318695515531994E-2</v>
      </c>
      <c r="U30" s="1030"/>
      <c r="V30" s="1132"/>
      <c r="W30" s="1132"/>
      <c r="X30" s="1031">
        <f t="shared" si="29"/>
        <v>0</v>
      </c>
      <c r="Y30" s="1245" t="e">
        <f t="shared" si="15"/>
        <v>#DIV/0!</v>
      </c>
      <c r="Z30" s="1030"/>
      <c r="AA30" s="1132"/>
      <c r="AB30" s="1132">
        <v>8050</v>
      </c>
      <c r="AC30" s="1031">
        <f t="shared" si="30"/>
        <v>8050</v>
      </c>
      <c r="AD30" s="1245">
        <f t="shared" si="17"/>
        <v>3.9057759921572448E-2</v>
      </c>
      <c r="AE30" s="1140" t="s">
        <v>1080</v>
      </c>
      <c r="AF30" s="1766"/>
      <c r="AG30" s="1447"/>
      <c r="AH30" s="1567">
        <f t="shared" si="31"/>
        <v>0</v>
      </c>
      <c r="AI30" s="1555">
        <f t="shared" si="2"/>
        <v>0</v>
      </c>
      <c r="AJ30" s="1605"/>
      <c r="AK30" s="1766"/>
      <c r="AL30" s="1447"/>
      <c r="AM30" s="1567">
        <f t="shared" si="32"/>
        <v>0</v>
      </c>
      <c r="AN30" s="1555">
        <f t="shared" si="3"/>
        <v>0</v>
      </c>
      <c r="AO30" s="1605"/>
      <c r="AP30" s="1846"/>
      <c r="AQ30" s="1640"/>
      <c r="AR30" s="1791">
        <f t="shared" si="33"/>
        <v>0</v>
      </c>
      <c r="AS30" s="1792">
        <f t="shared" si="4"/>
        <v>0</v>
      </c>
      <c r="AT30" s="1741"/>
      <c r="AU30" s="1766"/>
      <c r="AV30" s="1447"/>
      <c r="AW30" s="1567">
        <f t="shared" si="34"/>
        <v>0</v>
      </c>
      <c r="AX30" s="1893">
        <f t="shared" si="5"/>
        <v>0</v>
      </c>
      <c r="AY30" s="1605"/>
      <c r="AZ30" s="1132"/>
      <c r="BA30" s="1188"/>
      <c r="BB30" s="1031">
        <f t="shared" si="35"/>
        <v>0</v>
      </c>
      <c r="BC30" s="1245" t="e">
        <f t="shared" si="6"/>
        <v>#DIV/0!</v>
      </c>
      <c r="BD30" s="1030"/>
      <c r="BE30" s="1132"/>
      <c r="BF30" s="1188"/>
      <c r="BG30" s="1031">
        <f t="shared" si="36"/>
        <v>0</v>
      </c>
      <c r="BH30" s="1245" t="e">
        <f t="shared" si="7"/>
        <v>#DIV/0!</v>
      </c>
      <c r="BI30" s="1030"/>
      <c r="BJ30" s="1188">
        <f t="shared" si="8"/>
        <v>0</v>
      </c>
      <c r="BK30" s="1188">
        <f t="shared" si="9"/>
        <v>588171</v>
      </c>
      <c r="BL30" s="1190">
        <f t="shared" si="24"/>
        <v>588171</v>
      </c>
      <c r="BM30" s="1245">
        <f t="shared" si="25"/>
        <v>4.2143488179516971E-2</v>
      </c>
      <c r="BN30" s="1246"/>
    </row>
    <row r="31" spans="1:66" s="2" customFormat="1" ht="15" customHeight="1" outlineLevel="2" x14ac:dyDescent="0.25">
      <c r="A31" s="238"/>
      <c r="B31" s="1270" t="s">
        <v>34</v>
      </c>
      <c r="C31" s="1111">
        <v>41440</v>
      </c>
      <c r="D31" s="1242">
        <f>48850+30000</f>
        <v>78850</v>
      </c>
      <c r="E31" s="1190">
        <f t="shared" si="10"/>
        <v>120290</v>
      </c>
      <c r="F31" s="1245">
        <f t="shared" si="26"/>
        <v>1.0272185153127205E-2</v>
      </c>
      <c r="G31" s="1188">
        <v>54125.39</v>
      </c>
      <c r="H31" s="1188">
        <v>97116</v>
      </c>
      <c r="I31" s="1190">
        <v>151241.39000000001</v>
      </c>
      <c r="J31" s="1049">
        <v>1.1638823176538814E-2</v>
      </c>
      <c r="K31" s="1049"/>
      <c r="L31" s="1188"/>
      <c r="M31" s="1188">
        <v>4000</v>
      </c>
      <c r="N31" s="1031">
        <f t="shared" si="27"/>
        <v>4000</v>
      </c>
      <c r="O31" s="1245">
        <f t="shared" si="12"/>
        <v>0.20110375913779654</v>
      </c>
      <c r="P31" s="1030"/>
      <c r="Q31" s="1188"/>
      <c r="R31" s="1188">
        <v>4628</v>
      </c>
      <c r="S31" s="1031">
        <f t="shared" si="28"/>
        <v>4628</v>
      </c>
      <c r="T31" s="1245">
        <f t="shared" si="1"/>
        <v>8.1068250864976734E-3</v>
      </c>
      <c r="U31" s="1030"/>
      <c r="V31" s="1132"/>
      <c r="W31" s="1132"/>
      <c r="X31" s="1031">
        <f t="shared" si="29"/>
        <v>0</v>
      </c>
      <c r="Y31" s="1245" t="e">
        <f t="shared" si="15"/>
        <v>#DIV/0!</v>
      </c>
      <c r="Z31" s="1030"/>
      <c r="AA31" s="1188"/>
      <c r="AB31" s="1132">
        <v>3850</v>
      </c>
      <c r="AC31" s="1031">
        <f t="shared" si="30"/>
        <v>3850</v>
      </c>
      <c r="AD31" s="1245">
        <f t="shared" si="17"/>
        <v>1.8679798223360737E-2</v>
      </c>
      <c r="AE31" s="1140" t="s">
        <v>1159</v>
      </c>
      <c r="AF31" s="1447"/>
      <c r="AG31" s="1447"/>
      <c r="AH31" s="1567">
        <f t="shared" si="31"/>
        <v>0</v>
      </c>
      <c r="AI31" s="1555">
        <f t="shared" si="2"/>
        <v>0</v>
      </c>
      <c r="AJ31" s="1605"/>
      <c r="AK31" s="1447"/>
      <c r="AL31" s="1447"/>
      <c r="AM31" s="1567">
        <f t="shared" si="32"/>
        <v>0</v>
      </c>
      <c r="AN31" s="1555">
        <f t="shared" si="3"/>
        <v>0</v>
      </c>
      <c r="AO31" s="1605"/>
      <c r="AP31" s="1640"/>
      <c r="AQ31" s="1640"/>
      <c r="AR31" s="1791">
        <f t="shared" si="33"/>
        <v>0</v>
      </c>
      <c r="AS31" s="1792">
        <f t="shared" si="4"/>
        <v>0</v>
      </c>
      <c r="AT31" s="1741"/>
      <c r="AU31" s="1447"/>
      <c r="AV31" s="1447"/>
      <c r="AW31" s="1567">
        <f t="shared" si="34"/>
        <v>0</v>
      </c>
      <c r="AX31" s="1893">
        <f t="shared" si="5"/>
        <v>0</v>
      </c>
      <c r="AY31" s="1605"/>
      <c r="AZ31" s="1188"/>
      <c r="BA31" s="1188"/>
      <c r="BB31" s="1031">
        <f t="shared" si="35"/>
        <v>0</v>
      </c>
      <c r="BC31" s="1245" t="e">
        <f t="shared" si="6"/>
        <v>#DIV/0!</v>
      </c>
      <c r="BD31" s="1030"/>
      <c r="BE31" s="1188"/>
      <c r="BF31" s="1188"/>
      <c r="BG31" s="1031">
        <f t="shared" si="36"/>
        <v>0</v>
      </c>
      <c r="BH31" s="1245" t="e">
        <f t="shared" si="7"/>
        <v>#DIV/0!</v>
      </c>
      <c r="BI31" s="1030"/>
      <c r="BJ31" s="1188">
        <f t="shared" si="8"/>
        <v>54125.39</v>
      </c>
      <c r="BK31" s="1188">
        <f t="shared" si="9"/>
        <v>109594</v>
      </c>
      <c r="BL31" s="1190">
        <f t="shared" si="24"/>
        <v>163719.39000000001</v>
      </c>
      <c r="BM31" s="1245">
        <f t="shared" si="25"/>
        <v>1.1730782675825108E-2</v>
      </c>
      <c r="BN31" s="1246"/>
    </row>
    <row r="32" spans="1:66" s="2" customFormat="1" ht="15" customHeight="1" outlineLevel="2" x14ac:dyDescent="0.25">
      <c r="A32" s="238"/>
      <c r="B32" s="1112" t="s">
        <v>2</v>
      </c>
      <c r="C32" s="1126"/>
      <c r="D32" s="1113"/>
      <c r="E32" s="1190">
        <f t="shared" si="10"/>
        <v>0</v>
      </c>
      <c r="F32" s="1245">
        <f t="shared" si="26"/>
        <v>0</v>
      </c>
      <c r="G32" s="1188">
        <v>0</v>
      </c>
      <c r="H32" s="1188">
        <v>0</v>
      </c>
      <c r="I32" s="1190">
        <v>0</v>
      </c>
      <c r="J32" s="1049">
        <v>0</v>
      </c>
      <c r="K32" s="1049"/>
      <c r="L32" s="1188"/>
      <c r="M32" s="1188"/>
      <c r="N32" s="1031">
        <f t="shared" si="27"/>
        <v>0</v>
      </c>
      <c r="O32" s="1245">
        <f t="shared" si="12"/>
        <v>0</v>
      </c>
      <c r="P32" s="1287"/>
      <c r="Q32" s="1188"/>
      <c r="R32" s="1188"/>
      <c r="S32" s="1031">
        <f t="shared" si="28"/>
        <v>0</v>
      </c>
      <c r="T32" s="1245">
        <f t="shared" si="1"/>
        <v>0</v>
      </c>
      <c r="U32" s="1287"/>
      <c r="V32" s="1132"/>
      <c r="W32" s="1132"/>
      <c r="X32" s="1031">
        <f t="shared" si="29"/>
        <v>0</v>
      </c>
      <c r="Y32" s="1245" t="e">
        <f t="shared" si="15"/>
        <v>#DIV/0!</v>
      </c>
      <c r="Z32" s="1287"/>
      <c r="AA32" s="1132"/>
      <c r="AB32" s="1132"/>
      <c r="AC32" s="1031">
        <f t="shared" si="30"/>
        <v>0</v>
      </c>
      <c r="AD32" s="1245">
        <f t="shared" si="17"/>
        <v>0</v>
      </c>
      <c r="AE32" s="1287"/>
      <c r="AF32" s="1766"/>
      <c r="AG32" s="1766"/>
      <c r="AH32" s="1567">
        <f t="shared" si="31"/>
        <v>0</v>
      </c>
      <c r="AI32" s="1555">
        <f t="shared" si="2"/>
        <v>0</v>
      </c>
      <c r="AJ32" s="1618"/>
      <c r="AK32" s="1766"/>
      <c r="AL32" s="1766"/>
      <c r="AM32" s="1567">
        <f t="shared" si="32"/>
        <v>0</v>
      </c>
      <c r="AN32" s="1555">
        <f t="shared" si="3"/>
        <v>0</v>
      </c>
      <c r="AO32" s="1618"/>
      <c r="AP32" s="1846"/>
      <c r="AQ32" s="1846"/>
      <c r="AR32" s="1791">
        <f t="shared" si="33"/>
        <v>0</v>
      </c>
      <c r="AS32" s="1792">
        <f t="shared" si="4"/>
        <v>0</v>
      </c>
      <c r="AT32" s="1624"/>
      <c r="AU32" s="1766"/>
      <c r="AV32" s="1766"/>
      <c r="AW32" s="1567">
        <f t="shared" si="34"/>
        <v>0</v>
      </c>
      <c r="AX32" s="1893">
        <f t="shared" si="5"/>
        <v>0</v>
      </c>
      <c r="AY32" s="1928"/>
      <c r="AZ32" s="1132"/>
      <c r="BA32" s="1132"/>
      <c r="BB32" s="1031">
        <f t="shared" si="35"/>
        <v>0</v>
      </c>
      <c r="BC32" s="1245" t="e">
        <f t="shared" si="6"/>
        <v>#DIV/0!</v>
      </c>
      <c r="BD32" s="1287"/>
      <c r="BE32" s="1132"/>
      <c r="BF32" s="1132"/>
      <c r="BG32" s="1031">
        <f t="shared" si="36"/>
        <v>0</v>
      </c>
      <c r="BH32" s="1245" t="e">
        <f t="shared" si="7"/>
        <v>#DIV/0!</v>
      </c>
      <c r="BI32" s="1287"/>
      <c r="BJ32" s="1188">
        <f t="shared" si="8"/>
        <v>0</v>
      </c>
      <c r="BK32" s="1188">
        <f t="shared" si="9"/>
        <v>0</v>
      </c>
      <c r="BL32" s="1190">
        <f t="shared" si="24"/>
        <v>0</v>
      </c>
      <c r="BM32" s="1245">
        <f t="shared" si="25"/>
        <v>0</v>
      </c>
      <c r="BN32" s="1246"/>
    </row>
    <row r="33" spans="1:66" s="2" customFormat="1" ht="37.950000000000003" customHeight="1" outlineLevel="2" thickBot="1" x14ac:dyDescent="0.3">
      <c r="A33" s="238"/>
      <c r="B33" s="1112" t="s">
        <v>75</v>
      </c>
      <c r="C33" s="1126"/>
      <c r="D33" s="1113"/>
      <c r="E33" s="622">
        <f t="shared" si="10"/>
        <v>0</v>
      </c>
      <c r="F33" s="1121">
        <f t="shared" si="26"/>
        <v>0</v>
      </c>
      <c r="G33" s="535">
        <v>0</v>
      </c>
      <c r="H33" s="535">
        <v>3400</v>
      </c>
      <c r="I33" s="622">
        <v>3400</v>
      </c>
      <c r="J33" s="851">
        <v>2.6164794439030196E-4</v>
      </c>
      <c r="K33" s="851"/>
      <c r="L33" s="535"/>
      <c r="M33" s="535"/>
      <c r="N33" s="914">
        <f t="shared" si="27"/>
        <v>0</v>
      </c>
      <c r="O33" s="1121">
        <f t="shared" si="12"/>
        <v>0</v>
      </c>
      <c r="P33" s="1141"/>
      <c r="Q33" s="535"/>
      <c r="R33" s="535"/>
      <c r="S33" s="914">
        <f t="shared" si="28"/>
        <v>0</v>
      </c>
      <c r="T33" s="1121">
        <f t="shared" si="1"/>
        <v>0</v>
      </c>
      <c r="U33" s="682"/>
      <c r="V33" s="1015"/>
      <c r="W33" s="1015"/>
      <c r="X33" s="914">
        <f t="shared" si="29"/>
        <v>0</v>
      </c>
      <c r="Y33" s="1121" t="e">
        <f t="shared" si="15"/>
        <v>#DIV/0!</v>
      </c>
      <c r="Z33" s="682"/>
      <c r="AA33" s="1015"/>
      <c r="AB33" s="1015"/>
      <c r="AC33" s="914">
        <f t="shared" si="30"/>
        <v>0</v>
      </c>
      <c r="AD33" s="1121">
        <f t="shared" si="17"/>
        <v>0</v>
      </c>
      <c r="AE33" s="682"/>
      <c r="AF33" s="1753"/>
      <c r="AG33" s="1753"/>
      <c r="AH33" s="1715">
        <f t="shared" si="31"/>
        <v>0</v>
      </c>
      <c r="AI33" s="1560">
        <f t="shared" si="2"/>
        <v>0</v>
      </c>
      <c r="AJ33" s="1678"/>
      <c r="AK33" s="1753"/>
      <c r="AL33" s="1753"/>
      <c r="AM33" s="1715">
        <f t="shared" si="32"/>
        <v>0</v>
      </c>
      <c r="AN33" s="1560">
        <f t="shared" si="3"/>
        <v>0</v>
      </c>
      <c r="AO33" s="1678"/>
      <c r="AP33" s="1847"/>
      <c r="AQ33" s="1839"/>
      <c r="AR33" s="1848">
        <f t="shared" si="33"/>
        <v>0</v>
      </c>
      <c r="AS33" s="1841">
        <f t="shared" si="4"/>
        <v>0</v>
      </c>
      <c r="AT33" s="1849"/>
      <c r="AU33" s="1753"/>
      <c r="AV33" s="1753"/>
      <c r="AW33" s="1715">
        <f t="shared" si="34"/>
        <v>0</v>
      </c>
      <c r="AX33" s="1907">
        <f t="shared" si="5"/>
        <v>0</v>
      </c>
      <c r="AY33" s="1678"/>
      <c r="AZ33" s="1015"/>
      <c r="BA33" s="1015"/>
      <c r="BB33" s="914">
        <f t="shared" si="35"/>
        <v>0</v>
      </c>
      <c r="BC33" s="1121" t="e">
        <f t="shared" si="6"/>
        <v>#DIV/0!</v>
      </c>
      <c r="BD33" s="682"/>
      <c r="BE33" s="1015"/>
      <c r="BF33" s="1015"/>
      <c r="BG33" s="914">
        <f t="shared" si="36"/>
        <v>0</v>
      </c>
      <c r="BH33" s="1121" t="e">
        <f t="shared" si="7"/>
        <v>#DIV/0!</v>
      </c>
      <c r="BI33" s="682"/>
      <c r="BJ33" s="535">
        <f t="shared" si="8"/>
        <v>0</v>
      </c>
      <c r="BK33" s="535">
        <f t="shared" si="9"/>
        <v>3400</v>
      </c>
      <c r="BL33" s="622">
        <f t="shared" si="24"/>
        <v>3400</v>
      </c>
      <c r="BM33" s="1121">
        <f t="shared" si="25"/>
        <v>2.4361598890519542E-4</v>
      </c>
      <c r="BN33" s="1124"/>
    </row>
    <row r="34" spans="1:66" s="2" customFormat="1" ht="15" customHeight="1" outlineLevel="2" x14ac:dyDescent="0.25">
      <c r="A34" s="322"/>
      <c r="B34" s="12"/>
      <c r="C34" s="1016"/>
      <c r="D34" s="1017"/>
      <c r="E34" s="657"/>
      <c r="F34" s="1018"/>
      <c r="G34" s="1018"/>
      <c r="H34" s="1018"/>
      <c r="I34" s="1018"/>
      <c r="J34" s="1018"/>
      <c r="K34" s="1018"/>
      <c r="L34" s="488"/>
      <c r="M34" s="488"/>
      <c r="N34" s="657"/>
      <c r="O34" s="657"/>
      <c r="P34" s="657"/>
      <c r="Q34" s="488"/>
      <c r="R34" s="488"/>
      <c r="S34" s="657"/>
      <c r="T34" s="485">
        <f t="shared" si="1"/>
        <v>0</v>
      </c>
      <c r="U34" s="657"/>
      <c r="V34" s="488"/>
      <c r="W34" s="488"/>
      <c r="X34" s="657"/>
      <c r="Y34" s="485">
        <f t="shared" ref="Y34:Y53" si="37">X34/$S$89</f>
        <v>0</v>
      </c>
      <c r="Z34" s="657"/>
      <c r="AA34" s="488"/>
      <c r="AB34" s="488"/>
      <c r="AC34" s="657"/>
      <c r="AD34" s="485">
        <f t="shared" ref="AD34:AD40" si="38">AC34/$S$89</f>
        <v>0</v>
      </c>
      <c r="AE34" s="657"/>
      <c r="AF34" s="1639"/>
      <c r="AG34" s="1639"/>
      <c r="AH34" s="1451"/>
      <c r="AI34" s="1574">
        <f t="shared" ref="AI34:AI40" si="39">AH34/$S$89</f>
        <v>0</v>
      </c>
      <c r="AJ34" s="1451"/>
      <c r="AK34" s="1639"/>
      <c r="AL34" s="1639"/>
      <c r="AM34" s="1451"/>
      <c r="AN34" s="1574">
        <f t="shared" si="3"/>
        <v>0</v>
      </c>
      <c r="AO34" s="1451"/>
      <c r="AP34" s="1835"/>
      <c r="AQ34" s="1835"/>
      <c r="AR34" s="1825"/>
      <c r="AS34" s="1836">
        <f t="shared" ref="AS34:AS53" si="40">AR34/$AM$89</f>
        <v>0</v>
      </c>
      <c r="AT34" s="1825"/>
      <c r="AU34" s="1639"/>
      <c r="AV34" s="1639"/>
      <c r="AW34" s="1451"/>
      <c r="AX34" s="1574">
        <f t="shared" ref="AX34:AX40" si="41">AW34/$AM$89</f>
        <v>0</v>
      </c>
      <c r="AY34" s="1451"/>
      <c r="AZ34" s="488"/>
      <c r="BA34" s="488"/>
      <c r="BB34" s="657"/>
      <c r="BC34" s="485">
        <f t="shared" ref="BC34:BC40" si="42">BB34/$AM$89</f>
        <v>0</v>
      </c>
      <c r="BD34" s="657"/>
      <c r="BE34" s="488"/>
      <c r="BF34" s="488"/>
      <c r="BG34" s="657"/>
      <c r="BH34" s="485">
        <f t="shared" ref="BH34:BH40" si="43">BG34/$AM$89</f>
        <v>0</v>
      </c>
      <c r="BI34" s="657"/>
      <c r="BJ34" s="488">
        <f t="shared" si="8"/>
        <v>0</v>
      </c>
      <c r="BK34" s="488">
        <f t="shared" si="9"/>
        <v>0</v>
      </c>
      <c r="BL34" s="657"/>
      <c r="BM34" s="657"/>
      <c r="BN34" s="657"/>
    </row>
    <row r="35" spans="1:66" s="88" customFormat="1" ht="15" customHeight="1" outlineLevel="1" x14ac:dyDescent="0.25">
      <c r="A35" s="238"/>
      <c r="B35" s="1115" t="s">
        <v>80</v>
      </c>
      <c r="C35" s="1272">
        <f>C36</f>
        <v>61253</v>
      </c>
      <c r="D35" s="1272">
        <f>D36</f>
        <v>0</v>
      </c>
      <c r="E35" s="1273">
        <f>E36</f>
        <v>61253</v>
      </c>
      <c r="F35" s="1274">
        <f>E35/$E$89</f>
        <v>5.2307104263405162E-3</v>
      </c>
      <c r="G35" s="1275">
        <v>0</v>
      </c>
      <c r="H35" s="1275">
        <v>0</v>
      </c>
      <c r="I35" s="1275">
        <v>0</v>
      </c>
      <c r="J35" s="1275"/>
      <c r="K35" s="1275"/>
      <c r="L35" s="1272">
        <f>L36</f>
        <v>0</v>
      </c>
      <c r="M35" s="1272">
        <f>M36</f>
        <v>0</v>
      </c>
      <c r="N35" s="1273">
        <f>N36</f>
        <v>0</v>
      </c>
      <c r="O35" s="1273"/>
      <c r="P35" s="1273"/>
      <c r="Q35" s="1272">
        <f>Q36</f>
        <v>0</v>
      </c>
      <c r="R35" s="1272">
        <f>R36</f>
        <v>0</v>
      </c>
      <c r="S35" s="1273">
        <f>S36</f>
        <v>0</v>
      </c>
      <c r="T35" s="1303">
        <f t="shared" si="1"/>
        <v>0</v>
      </c>
      <c r="U35" s="1273"/>
      <c r="V35" s="1272">
        <f>V36</f>
        <v>0</v>
      </c>
      <c r="W35" s="1272">
        <f>W36</f>
        <v>0</v>
      </c>
      <c r="X35" s="1273">
        <f>X36</f>
        <v>0</v>
      </c>
      <c r="Y35" s="1303">
        <f t="shared" si="37"/>
        <v>0</v>
      </c>
      <c r="Z35" s="1273"/>
      <c r="AA35" s="1272">
        <f>AA36</f>
        <v>0</v>
      </c>
      <c r="AB35" s="1272">
        <f>AB36</f>
        <v>0</v>
      </c>
      <c r="AC35" s="1273">
        <f>AC36</f>
        <v>0</v>
      </c>
      <c r="AD35" s="1303">
        <f t="shared" si="38"/>
        <v>0</v>
      </c>
      <c r="AE35" s="1273"/>
      <c r="AF35" s="1484">
        <f>AF36</f>
        <v>0</v>
      </c>
      <c r="AG35" s="1484">
        <f>AG36</f>
        <v>0</v>
      </c>
      <c r="AH35" s="1485">
        <f>AH36</f>
        <v>0</v>
      </c>
      <c r="AI35" s="1648">
        <f t="shared" si="39"/>
        <v>0</v>
      </c>
      <c r="AJ35" s="1485"/>
      <c r="AK35" s="1484">
        <f>AK36</f>
        <v>0</v>
      </c>
      <c r="AL35" s="1484">
        <f>AL36</f>
        <v>0</v>
      </c>
      <c r="AM35" s="1485">
        <f>AM36</f>
        <v>0</v>
      </c>
      <c r="AN35" s="1648">
        <f t="shared" si="3"/>
        <v>0</v>
      </c>
      <c r="AO35" s="1485"/>
      <c r="AP35" s="1798">
        <f>AP36</f>
        <v>0</v>
      </c>
      <c r="AQ35" s="1798">
        <f>AQ36</f>
        <v>0</v>
      </c>
      <c r="AR35" s="1799">
        <f>AR36</f>
        <v>0</v>
      </c>
      <c r="AS35" s="1850">
        <f t="shared" si="40"/>
        <v>0</v>
      </c>
      <c r="AT35" s="1799"/>
      <c r="AU35" s="1898">
        <f>AU36</f>
        <v>0</v>
      </c>
      <c r="AV35" s="1898">
        <f>AV36</f>
        <v>0</v>
      </c>
      <c r="AW35" s="1899">
        <f>AW36</f>
        <v>0</v>
      </c>
      <c r="AX35" s="1941">
        <f t="shared" si="41"/>
        <v>0</v>
      </c>
      <c r="AY35" s="1899"/>
      <c r="AZ35" s="1272">
        <f>AZ36</f>
        <v>0</v>
      </c>
      <c r="BA35" s="1272">
        <f>BA36</f>
        <v>0</v>
      </c>
      <c r="BB35" s="1273">
        <f>BB36</f>
        <v>0</v>
      </c>
      <c r="BC35" s="1303">
        <f t="shared" si="42"/>
        <v>0</v>
      </c>
      <c r="BD35" s="1273"/>
      <c r="BE35" s="1272">
        <f>BE36</f>
        <v>0</v>
      </c>
      <c r="BF35" s="1272">
        <f>BF36</f>
        <v>0</v>
      </c>
      <c r="BG35" s="1273">
        <f>BG36</f>
        <v>0</v>
      </c>
      <c r="BH35" s="1303">
        <f t="shared" si="43"/>
        <v>0</v>
      </c>
      <c r="BI35" s="1273"/>
      <c r="BJ35" s="1272">
        <f t="shared" si="8"/>
        <v>0</v>
      </c>
      <c r="BK35" s="1272">
        <f t="shared" si="9"/>
        <v>0</v>
      </c>
      <c r="BL35" s="1273">
        <f>BL36</f>
        <v>0</v>
      </c>
      <c r="BM35" s="1273"/>
      <c r="BN35" s="1273"/>
    </row>
    <row r="36" spans="1:66" s="226" customFormat="1" ht="15" customHeight="1" outlineLevel="3" x14ac:dyDescent="0.25">
      <c r="A36" s="238"/>
      <c r="B36" s="1116" t="s">
        <v>81</v>
      </c>
      <c r="C36" s="1277">
        <v>61253</v>
      </c>
      <c r="D36" s="1278"/>
      <c r="E36" s="1190">
        <f>C36+D36</f>
        <v>61253</v>
      </c>
      <c r="F36" s="1245">
        <f>E36/$E$89</f>
        <v>5.2307104263405162E-3</v>
      </c>
      <c r="G36" s="1049">
        <v>0</v>
      </c>
      <c r="H36" s="1049">
        <v>0</v>
      </c>
      <c r="I36" s="1049">
        <v>0</v>
      </c>
      <c r="J36" s="1049">
        <v>0</v>
      </c>
      <c r="K36" s="1049"/>
      <c r="L36" s="1188"/>
      <c r="M36" s="1188"/>
      <c r="N36" s="1190">
        <f>L36+M36*1</f>
        <v>0</v>
      </c>
      <c r="O36" s="1245">
        <f>N36/$N$89</f>
        <v>0</v>
      </c>
      <c r="P36" s="1030"/>
      <c r="Q36" s="1188"/>
      <c r="R36" s="1188"/>
      <c r="S36" s="1190">
        <f>Q36+R36*1</f>
        <v>0</v>
      </c>
      <c r="T36" s="1245">
        <f t="shared" si="1"/>
        <v>0</v>
      </c>
      <c r="U36" s="1030"/>
      <c r="V36" s="1188"/>
      <c r="W36" s="1188"/>
      <c r="X36" s="1190">
        <f>V36+W36*1</f>
        <v>0</v>
      </c>
      <c r="Y36" s="1245">
        <f t="shared" si="37"/>
        <v>0</v>
      </c>
      <c r="Z36" s="1030"/>
      <c r="AA36" s="1188"/>
      <c r="AB36" s="1188"/>
      <c r="AC36" s="1190">
        <f>AA36+AB36*1</f>
        <v>0</v>
      </c>
      <c r="AD36" s="1245">
        <f t="shared" si="38"/>
        <v>0</v>
      </c>
      <c r="AE36" s="1030"/>
      <c r="AF36" s="1447"/>
      <c r="AG36" s="1447"/>
      <c r="AH36" s="1495">
        <f>AF36+AG36*1</f>
        <v>0</v>
      </c>
      <c r="AI36" s="1555">
        <f t="shared" si="39"/>
        <v>0</v>
      </c>
      <c r="AJ36" s="1605"/>
      <c r="AK36" s="1447"/>
      <c r="AL36" s="1447"/>
      <c r="AM36" s="1495">
        <f>AK36+AL36*1</f>
        <v>0</v>
      </c>
      <c r="AN36" s="1555">
        <f t="shared" si="3"/>
        <v>0</v>
      </c>
      <c r="AO36" s="1605"/>
      <c r="AP36" s="1640"/>
      <c r="AQ36" s="1640"/>
      <c r="AR36" s="1780">
        <f>AP36+AQ36*1</f>
        <v>0</v>
      </c>
      <c r="AS36" s="1792">
        <f t="shared" si="40"/>
        <v>0</v>
      </c>
      <c r="AT36" s="1741"/>
      <c r="AU36" s="1447"/>
      <c r="AV36" s="1447"/>
      <c r="AW36" s="1495">
        <f>AU36+AV36*1</f>
        <v>0</v>
      </c>
      <c r="AX36" s="1893">
        <f t="shared" si="41"/>
        <v>0</v>
      </c>
      <c r="AY36" s="1605"/>
      <c r="AZ36" s="1188"/>
      <c r="BA36" s="1188"/>
      <c r="BB36" s="1190">
        <f>AZ36+BA36*1</f>
        <v>0</v>
      </c>
      <c r="BC36" s="1245">
        <f t="shared" si="42"/>
        <v>0</v>
      </c>
      <c r="BD36" s="1030"/>
      <c r="BE36" s="1188"/>
      <c r="BF36" s="1188"/>
      <c r="BG36" s="1190">
        <f>BE36+BF36*1</f>
        <v>0</v>
      </c>
      <c r="BH36" s="1245">
        <f t="shared" si="43"/>
        <v>0</v>
      </c>
      <c r="BI36" s="1030"/>
      <c r="BJ36" s="1188">
        <f t="shared" si="8"/>
        <v>0</v>
      </c>
      <c r="BK36" s="1188">
        <f t="shared" si="9"/>
        <v>0</v>
      </c>
      <c r="BL36" s="1190">
        <f>BJ36+BK36</f>
        <v>0</v>
      </c>
      <c r="BM36" s="1245">
        <f>BL36/$BL$89</f>
        <v>0</v>
      </c>
      <c r="BN36" s="1249"/>
    </row>
    <row r="37" spans="1:66" s="2" customFormat="1" ht="15" customHeight="1" outlineLevel="1" thickBot="1" x14ac:dyDescent="0.3">
      <c r="A37" s="4"/>
      <c r="B37" s="1125"/>
      <c r="C37" s="1304"/>
      <c r="D37" s="1305"/>
      <c r="E37" s="1142"/>
      <c r="F37" s="1120"/>
      <c r="G37" s="956"/>
      <c r="H37" s="956"/>
      <c r="I37" s="956"/>
      <c r="J37" s="956"/>
      <c r="K37" s="956"/>
      <c r="L37" s="535"/>
      <c r="M37" s="535"/>
      <c r="N37" s="1142"/>
      <c r="O37" s="1142"/>
      <c r="P37" s="1142"/>
      <c r="Q37" s="535"/>
      <c r="R37" s="535"/>
      <c r="S37" s="1142"/>
      <c r="T37" s="1121">
        <f t="shared" si="1"/>
        <v>0</v>
      </c>
      <c r="U37" s="1142"/>
      <c r="V37" s="535"/>
      <c r="W37" s="535"/>
      <c r="X37" s="1142"/>
      <c r="Y37" s="1121">
        <f t="shared" si="37"/>
        <v>0</v>
      </c>
      <c r="Z37" s="1142"/>
      <c r="AA37" s="535"/>
      <c r="AB37" s="535"/>
      <c r="AC37" s="1142"/>
      <c r="AD37" s="1121">
        <f t="shared" si="38"/>
        <v>0</v>
      </c>
      <c r="AE37" s="1142"/>
      <c r="AF37" s="1651"/>
      <c r="AG37" s="1651"/>
      <c r="AH37" s="1707"/>
      <c r="AI37" s="1560">
        <f t="shared" si="39"/>
        <v>0</v>
      </c>
      <c r="AJ37" s="1707"/>
      <c r="AK37" s="1651"/>
      <c r="AL37" s="1651"/>
      <c r="AM37" s="1707"/>
      <c r="AN37" s="1560">
        <f t="shared" si="3"/>
        <v>0</v>
      </c>
      <c r="AO37" s="1707"/>
      <c r="AP37" s="1839"/>
      <c r="AQ37" s="1839"/>
      <c r="AR37" s="1851"/>
      <c r="AS37" s="1841">
        <f t="shared" si="40"/>
        <v>0</v>
      </c>
      <c r="AT37" s="1851"/>
      <c r="AU37" s="1651"/>
      <c r="AV37" s="1651"/>
      <c r="AW37" s="1942"/>
      <c r="AX37" s="1907">
        <f t="shared" si="41"/>
        <v>0</v>
      </c>
      <c r="AY37" s="1942"/>
      <c r="AZ37" s="535"/>
      <c r="BA37" s="535"/>
      <c r="BB37" s="1142"/>
      <c r="BC37" s="1121">
        <f t="shared" si="42"/>
        <v>0</v>
      </c>
      <c r="BD37" s="1142"/>
      <c r="BE37" s="535"/>
      <c r="BF37" s="535"/>
      <c r="BG37" s="1142"/>
      <c r="BH37" s="1121">
        <f t="shared" si="43"/>
        <v>0</v>
      </c>
      <c r="BI37" s="1142"/>
      <c r="BJ37" s="1188">
        <f t="shared" si="8"/>
        <v>0</v>
      </c>
      <c r="BK37" s="1188">
        <f t="shared" si="9"/>
        <v>0</v>
      </c>
      <c r="BL37" s="1177"/>
      <c r="BM37" s="1177"/>
      <c r="BN37" s="1177"/>
    </row>
    <row r="38" spans="1:66" ht="15" customHeight="1" thickBot="1" x14ac:dyDescent="0.3">
      <c r="A38" s="889"/>
      <c r="B38" s="870" t="s">
        <v>46</v>
      </c>
      <c r="C38" s="648">
        <f>(C5)-(C8)</f>
        <v>8520472</v>
      </c>
      <c r="D38" s="648">
        <f>(D5)-(D8)</f>
        <v>-3622581</v>
      </c>
      <c r="E38" s="648">
        <f>(E5)-(E8)</f>
        <v>4897891</v>
      </c>
      <c r="F38" s="871"/>
      <c r="G38" s="648">
        <v>5766528.9449999984</v>
      </c>
      <c r="H38" s="648">
        <v>-4908248.1899999995</v>
      </c>
      <c r="I38" s="648">
        <v>858280.75499999709</v>
      </c>
      <c r="J38" s="871"/>
      <c r="K38" s="871"/>
      <c r="L38" s="648">
        <f>(L5)-(L8)</f>
        <v>-150</v>
      </c>
      <c r="M38" s="648">
        <f>(M5)-(M8)</f>
        <v>-17000</v>
      </c>
      <c r="N38" s="648">
        <f>(N5)-(N8)</f>
        <v>-17150</v>
      </c>
      <c r="O38" s="648"/>
      <c r="P38" s="648"/>
      <c r="Q38" s="648">
        <f>(Q5)-(Q8)</f>
        <v>526020.11400000006</v>
      </c>
      <c r="R38" s="648">
        <f>(R5)-(R8)</f>
        <v>-142961</v>
      </c>
      <c r="S38" s="648">
        <f>(S5)-(S8)</f>
        <v>383059.114</v>
      </c>
      <c r="T38" s="939">
        <f t="shared" si="1"/>
        <v>0.67100113115530946</v>
      </c>
      <c r="U38" s="648"/>
      <c r="V38" s="648">
        <f>(V5)-(V8)</f>
        <v>0</v>
      </c>
      <c r="W38" s="648">
        <f>(W5)-(W8)</f>
        <v>0</v>
      </c>
      <c r="X38" s="648">
        <f>(X5)-(X8)</f>
        <v>0</v>
      </c>
      <c r="Y38" s="939">
        <f t="shared" si="37"/>
        <v>0</v>
      </c>
      <c r="Z38" s="648"/>
      <c r="AA38" s="648">
        <f>(AA5)-(AA8)</f>
        <v>148967.52600000001</v>
      </c>
      <c r="AB38" s="648">
        <f>(AB5)-(AB8)</f>
        <v>-93954.536999999997</v>
      </c>
      <c r="AC38" s="648">
        <f>(AC5)-(AC8)</f>
        <v>55012.989000000001</v>
      </c>
      <c r="AD38" s="939">
        <f t="shared" si="38"/>
        <v>9.6365747473729599E-2</v>
      </c>
      <c r="AE38" s="648"/>
      <c r="AF38" s="1455">
        <f>(AF5)-(AF8)</f>
        <v>-15500.003999999999</v>
      </c>
      <c r="AG38" s="1455">
        <f>(AG5)-(AG8)</f>
        <v>0</v>
      </c>
      <c r="AH38" s="1455">
        <f>(AH5)-(AH8)</f>
        <v>-15500.003999999999</v>
      </c>
      <c r="AI38" s="1720">
        <f t="shared" si="39"/>
        <v>-2.7151214621437828E-2</v>
      </c>
      <c r="AJ38" s="1455"/>
      <c r="AK38" s="1455">
        <f>(AK5)-(AK8)</f>
        <v>141866.19200000001</v>
      </c>
      <c r="AL38" s="1455">
        <f>(AL5)-(AL8)</f>
        <v>-41032.254000000001</v>
      </c>
      <c r="AM38" s="1455">
        <f>(AM5)-(AM8)</f>
        <v>100833.93800000001</v>
      </c>
      <c r="AN38" s="1720">
        <f t="shared" si="3"/>
        <v>1.192758451287725</v>
      </c>
      <c r="AO38" s="1455"/>
      <c r="AP38" s="1801">
        <f>(AP5)-(AP8)</f>
        <v>-64920</v>
      </c>
      <c r="AQ38" s="1801">
        <f>(AQ5)-(AQ8)</f>
        <v>0</v>
      </c>
      <c r="AR38" s="1801">
        <f>(AR5)-(AR8)</f>
        <v>-64920</v>
      </c>
      <c r="AS38" s="1852">
        <f t="shared" si="40"/>
        <v>-0.76793468740255977</v>
      </c>
      <c r="AT38" s="1801"/>
      <c r="AU38" s="1455">
        <f>(AU5)-(AU8)</f>
        <v>-116297.364</v>
      </c>
      <c r="AV38" s="1455">
        <f>(AV5)-(AV8)</f>
        <v>0</v>
      </c>
      <c r="AW38" s="1455">
        <f>(AW5)-(AW8)</f>
        <v>-116297.364</v>
      </c>
      <c r="AX38" s="1720">
        <f t="shared" si="41"/>
        <v>-1.3756743664368718</v>
      </c>
      <c r="AY38" s="1455"/>
      <c r="AZ38" s="648">
        <f>(AZ5)-(AZ8)</f>
        <v>0</v>
      </c>
      <c r="BA38" s="648">
        <f>(BA5)-(BA8)</f>
        <v>0</v>
      </c>
      <c r="BB38" s="648">
        <f>(BB5)-(BB8)</f>
        <v>0</v>
      </c>
      <c r="BC38" s="939">
        <f t="shared" si="42"/>
        <v>0</v>
      </c>
      <c r="BD38" s="648"/>
      <c r="BE38" s="648">
        <f>(BE5)-(BE8)</f>
        <v>0</v>
      </c>
      <c r="BF38" s="648">
        <f>(BF5)-(BF8)</f>
        <v>0</v>
      </c>
      <c r="BG38" s="648">
        <f>(BG5)-(BG8)</f>
        <v>0</v>
      </c>
      <c r="BH38" s="939">
        <f t="shared" si="43"/>
        <v>0</v>
      </c>
      <c r="BI38" s="648"/>
      <c r="BJ38" s="648">
        <f>(BJ5)-(BJ8)</f>
        <v>6502812.7729999982</v>
      </c>
      <c r="BK38" s="648">
        <f>(BK5)-(BK8)</f>
        <v>-5203195.9810000006</v>
      </c>
      <c r="BL38" s="648">
        <f>(BL5)-(BL8)</f>
        <v>1299616.7919999957</v>
      </c>
      <c r="BM38" s="648"/>
      <c r="BN38" s="648"/>
    </row>
    <row r="39" spans="1:66" ht="15" customHeight="1" x14ac:dyDescent="0.25">
      <c r="A39" s="294"/>
      <c r="B39" s="1143" t="s">
        <v>47</v>
      </c>
      <c r="C39" s="1144">
        <f>C38/(C5)</f>
        <v>0.5571933866639881</v>
      </c>
      <c r="D39" s="1144" t="e">
        <f>D38/(D5)</f>
        <v>#DIV/0!</v>
      </c>
      <c r="E39" s="1145">
        <f>E38/(E5)</f>
        <v>0.32029592654034511</v>
      </c>
      <c r="F39" s="1146"/>
      <c r="G39" s="1147">
        <v>0.45085977793136439</v>
      </c>
      <c r="H39" s="1147" t="e">
        <v>#DIV/0!</v>
      </c>
      <c r="I39" s="1148">
        <v>6.7105233372250508E-2</v>
      </c>
      <c r="J39" s="1149"/>
      <c r="K39" s="1149"/>
      <c r="L39" s="1147" t="e">
        <f>L38/(L5)</f>
        <v>#DIV/0!</v>
      </c>
      <c r="M39" s="1147" t="e">
        <f>M38/(M5)</f>
        <v>#DIV/0!</v>
      </c>
      <c r="N39" s="1148" t="e">
        <f>N38/(N5)</f>
        <v>#DIV/0!</v>
      </c>
      <c r="O39" s="1148"/>
      <c r="P39" s="1148"/>
      <c r="Q39" s="1147">
        <f>Q38/(Q5)</f>
        <v>0.58464132825786264</v>
      </c>
      <c r="R39" s="1147" t="e">
        <f>R38/(R5)</f>
        <v>#DIV/0!</v>
      </c>
      <c r="S39" s="1148">
        <f>S38/(S5)</f>
        <v>0.42574833784823674</v>
      </c>
      <c r="T39" s="1150">
        <f t="shared" si="1"/>
        <v>7.4577945242065088E-7</v>
      </c>
      <c r="U39" s="1148"/>
      <c r="V39" s="1147" t="e">
        <f>V38/(V5)</f>
        <v>#DIV/0!</v>
      </c>
      <c r="W39" s="1147" t="e">
        <f>W38/(W5)</f>
        <v>#DIV/0!</v>
      </c>
      <c r="X39" s="1148" t="e">
        <f>X38/(X5)</f>
        <v>#DIV/0!</v>
      </c>
      <c r="Y39" s="1150" t="e">
        <f t="shared" si="37"/>
        <v>#DIV/0!</v>
      </c>
      <c r="Z39" s="1148"/>
      <c r="AA39" s="1147">
        <f>AA38/(AA5)</f>
        <v>0.59807525531235706</v>
      </c>
      <c r="AB39" s="1147" t="e">
        <f>AB38/(AB5)</f>
        <v>#DIV/0!</v>
      </c>
      <c r="AC39" s="1148">
        <f>AC38/(AC5)</f>
        <v>0.220866307745964</v>
      </c>
      <c r="AD39" s="1150">
        <f t="shared" si="38"/>
        <v>3.8688948236756621E-7</v>
      </c>
      <c r="AE39" s="1148"/>
      <c r="AF39" s="1770" t="e">
        <f>AF38/(AF5)</f>
        <v>#DIV/0!</v>
      </c>
      <c r="AG39" s="1770" t="e">
        <f>AG38/(AG5)</f>
        <v>#DIV/0!</v>
      </c>
      <c r="AH39" s="1771" t="e">
        <f>AH38/(AH5)</f>
        <v>#DIV/0!</v>
      </c>
      <c r="AI39" s="1772" t="e">
        <f t="shared" si="39"/>
        <v>#DIV/0!</v>
      </c>
      <c r="AJ39" s="1771"/>
      <c r="AK39" s="1770">
        <f>AK38/(AK5)</f>
        <v>0.79065073188011392</v>
      </c>
      <c r="AL39" s="1770" t="e">
        <f>AL38/(AL5)</f>
        <v>#DIV/0!</v>
      </c>
      <c r="AM39" s="1771">
        <f>AM38/(AM5)</f>
        <v>0.5619691749959288</v>
      </c>
      <c r="AN39" s="1772">
        <f t="shared" si="3"/>
        <v>6.6474988097716111E-6</v>
      </c>
      <c r="AO39" s="1771"/>
      <c r="AP39" s="1853" t="e">
        <f>AP38/(AP5)</f>
        <v>#DIV/0!</v>
      </c>
      <c r="AQ39" s="1853" t="e">
        <f>AQ38/(AQ5)</f>
        <v>#DIV/0!</v>
      </c>
      <c r="AR39" s="1854" t="e">
        <f>AR38/(AR5)</f>
        <v>#DIV/0!</v>
      </c>
      <c r="AS39" s="1855" t="e">
        <f t="shared" si="40"/>
        <v>#DIV/0!</v>
      </c>
      <c r="AT39" s="1854"/>
      <c r="AU39" s="1770" t="e">
        <f>AU38/(AU5)</f>
        <v>#DIV/0!</v>
      </c>
      <c r="AV39" s="1770" t="e">
        <f>AV38/(AV5)</f>
        <v>#DIV/0!</v>
      </c>
      <c r="AW39" s="1771" t="e">
        <f>AW38/(AW5)</f>
        <v>#DIV/0!</v>
      </c>
      <c r="AX39" s="1772" t="e">
        <f t="shared" si="41"/>
        <v>#DIV/0!</v>
      </c>
      <c r="AY39" s="1771"/>
      <c r="AZ39" s="1147" t="e">
        <f>AZ38/(AZ5)</f>
        <v>#DIV/0!</v>
      </c>
      <c r="BA39" s="1147" t="e">
        <f>BA38/(BA5)</f>
        <v>#DIV/0!</v>
      </c>
      <c r="BB39" s="1148" t="e">
        <f>BB38/(BB5)</f>
        <v>#DIV/0!</v>
      </c>
      <c r="BC39" s="1150" t="e">
        <f t="shared" si="42"/>
        <v>#DIV/0!</v>
      </c>
      <c r="BD39" s="1148"/>
      <c r="BE39" s="1147" t="e">
        <f>BE38/(BE5)</f>
        <v>#DIV/0!</v>
      </c>
      <c r="BF39" s="1147" t="e">
        <f>BF38/(BF5)</f>
        <v>#DIV/0!</v>
      </c>
      <c r="BG39" s="1148" t="e">
        <f>BG38/(BG5)</f>
        <v>#DIV/0!</v>
      </c>
      <c r="BH39" s="1150" t="e">
        <f t="shared" si="43"/>
        <v>#DIV/0!</v>
      </c>
      <c r="BI39" s="1148"/>
      <c r="BJ39" s="1147">
        <f>BJ38/(BJ5)</f>
        <v>0.46059424208577276</v>
      </c>
      <c r="BK39" s="1147" t="e">
        <f>BK38/(BK5)</f>
        <v>#DIV/0!</v>
      </c>
      <c r="BL39" s="1148">
        <f>BL38/(BL5)</f>
        <v>9.205186005025115E-2</v>
      </c>
      <c r="BM39" s="1148"/>
      <c r="BN39" s="1148"/>
    </row>
    <row r="40" spans="1:66" ht="15" customHeight="1" outlineLevel="1" thickBot="1" x14ac:dyDescent="0.3">
      <c r="A40" s="295"/>
      <c r="B40" s="1306"/>
      <c r="C40" s="1235"/>
      <c r="D40" s="1038"/>
      <c r="E40" s="1178"/>
      <c r="F40" s="1236"/>
      <c r="G40" s="1236"/>
      <c r="H40" s="1236"/>
      <c r="I40" s="1236"/>
      <c r="J40" s="1236"/>
      <c r="K40" s="1236"/>
      <c r="L40" s="1178"/>
      <c r="M40" s="1178"/>
      <c r="N40" s="1178"/>
      <c r="O40" s="1178"/>
      <c r="P40" s="1178"/>
      <c r="Q40" s="1178"/>
      <c r="R40" s="1178"/>
      <c r="S40" s="1178"/>
      <c r="T40" s="1245">
        <f t="shared" si="1"/>
        <v>0</v>
      </c>
      <c r="U40" s="1178"/>
      <c r="V40" s="1178"/>
      <c r="W40" s="1178"/>
      <c r="X40" s="1178"/>
      <c r="Y40" s="1245">
        <f t="shared" si="37"/>
        <v>0</v>
      </c>
      <c r="Z40" s="1178"/>
      <c r="AA40" s="1178"/>
      <c r="AB40" s="1178"/>
      <c r="AC40" s="1178"/>
      <c r="AD40" s="1245">
        <f t="shared" si="38"/>
        <v>0</v>
      </c>
      <c r="AE40" s="1178"/>
      <c r="AF40" s="1459"/>
      <c r="AG40" s="1459"/>
      <c r="AH40" s="1459"/>
      <c r="AI40" s="1555">
        <f t="shared" si="39"/>
        <v>0</v>
      </c>
      <c r="AJ40" s="1459"/>
      <c r="AK40" s="1459"/>
      <c r="AL40" s="1459"/>
      <c r="AM40" s="1459"/>
      <c r="AN40" s="1555">
        <f t="shared" si="3"/>
        <v>0</v>
      </c>
      <c r="AO40" s="1459"/>
      <c r="AP40" s="1805"/>
      <c r="AQ40" s="1805"/>
      <c r="AR40" s="1805"/>
      <c r="AS40" s="1792">
        <f t="shared" si="40"/>
        <v>0</v>
      </c>
      <c r="AT40" s="1805"/>
      <c r="AU40" s="1459"/>
      <c r="AV40" s="1459"/>
      <c r="AW40" s="1459"/>
      <c r="AX40" s="1893">
        <f t="shared" si="41"/>
        <v>0</v>
      </c>
      <c r="AY40" s="1459"/>
      <c r="AZ40" s="1178"/>
      <c r="BA40" s="1178"/>
      <c r="BB40" s="1178"/>
      <c r="BC40" s="1245">
        <f t="shared" si="42"/>
        <v>0</v>
      </c>
      <c r="BD40" s="1178"/>
      <c r="BE40" s="1178"/>
      <c r="BF40" s="1178"/>
      <c r="BG40" s="1178"/>
      <c r="BH40" s="1245">
        <f t="shared" si="43"/>
        <v>0</v>
      </c>
      <c r="BI40" s="1178"/>
      <c r="BJ40" s="1178">
        <f>G40+L40+Q40+V40+AA40+AF40+AK40+AP40</f>
        <v>0</v>
      </c>
      <c r="BK40" s="1178">
        <f>H40+M40+R40+W40+AB40+AL40+AQ40</f>
        <v>0</v>
      </c>
      <c r="BL40" s="1178"/>
      <c r="BM40" s="1178"/>
      <c r="BN40" s="1178"/>
    </row>
    <row r="41" spans="1:66" ht="15" customHeight="1" outlineLevel="1" x14ac:dyDescent="0.25">
      <c r="A41" s="11"/>
      <c r="B41" s="1151" t="s">
        <v>26</v>
      </c>
      <c r="C41" s="1039">
        <f>SUM(C42:C48)</f>
        <v>47500</v>
      </c>
      <c r="D41" s="1039">
        <f>SUM(D42:D48)</f>
        <v>500</v>
      </c>
      <c r="E41" s="1040">
        <f>SUM(E42:E48)</f>
        <v>48000</v>
      </c>
      <c r="F41" s="1241">
        <f t="shared" ref="F41:F48" si="44">E41/$E$89</f>
        <v>4.0989682213825413E-3</v>
      </c>
      <c r="G41" s="1039">
        <v>70519.939999999988</v>
      </c>
      <c r="H41" s="1039">
        <v>3901.25</v>
      </c>
      <c r="I41" s="1040">
        <v>74421.189999999988</v>
      </c>
      <c r="J41" s="1108">
        <v>5.7271033478176738E-3</v>
      </c>
      <c r="K41" s="1108"/>
      <c r="L41" s="1039">
        <f>SUM(L42:L48)</f>
        <v>0</v>
      </c>
      <c r="M41" s="1039">
        <f>SUM(M42:M48)</f>
        <v>0</v>
      </c>
      <c r="N41" s="1040">
        <f>SUM(N42:N48)</f>
        <v>0</v>
      </c>
      <c r="O41" s="1241" t="e">
        <f>N41/#REF!</f>
        <v>#REF!</v>
      </c>
      <c r="P41" s="581"/>
      <c r="Q41" s="1039">
        <f>SUM(Q42:Q48)</f>
        <v>1444.52</v>
      </c>
      <c r="R41" s="1039">
        <f>SUM(R42:R48)</f>
        <v>102</v>
      </c>
      <c r="S41" s="1040">
        <f>SUM(S42:S48)</f>
        <v>1546.52</v>
      </c>
      <c r="T41" s="1241">
        <f t="shared" si="1"/>
        <v>2.7090248774352594E-3</v>
      </c>
      <c r="U41" s="581"/>
      <c r="V41" s="1039">
        <f>SUM(V42:V48)</f>
        <v>0</v>
      </c>
      <c r="W41" s="1039">
        <f>SUM(W42:W48)</f>
        <v>0</v>
      </c>
      <c r="X41" s="1040">
        <f>SUM(X42:X48)</f>
        <v>0</v>
      </c>
      <c r="Y41" s="1241">
        <f t="shared" si="37"/>
        <v>0</v>
      </c>
      <c r="Z41" s="581"/>
      <c r="AA41" s="1039">
        <f>SUM(AA42:AA48)</f>
        <v>225.02</v>
      </c>
      <c r="AB41" s="1039">
        <f>SUM(AB42:AB48)</f>
        <v>0</v>
      </c>
      <c r="AC41" s="1040">
        <f>SUM(AC42:AC48)</f>
        <v>225.02</v>
      </c>
      <c r="AD41" s="1241">
        <f t="shared" ref="AD41:AD71" si="45">AC41/$AC$89</f>
        <v>1.0917735574599047E-3</v>
      </c>
      <c r="AE41" s="581"/>
      <c r="AF41" s="1506">
        <f>SUM(AF42:AF48)</f>
        <v>0</v>
      </c>
      <c r="AG41" s="1506">
        <f>SUM(AG42:AG48)</f>
        <v>0</v>
      </c>
      <c r="AH41" s="1507">
        <f>SUM(AH42:AH48)</f>
        <v>0</v>
      </c>
      <c r="AI41" s="1548">
        <f t="shared" ref="AI41:AI71" si="46">AH41/$AH$89</f>
        <v>0</v>
      </c>
      <c r="AJ41" s="1461"/>
      <c r="AK41" s="1506">
        <f>SUM(AK42:AK48)</f>
        <v>0</v>
      </c>
      <c r="AL41" s="1506">
        <f>SUM(AL42:AL48)</f>
        <v>0</v>
      </c>
      <c r="AM41" s="1507">
        <f>SUM(AM42:AM48)</f>
        <v>0</v>
      </c>
      <c r="AN41" s="1548">
        <f t="shared" si="3"/>
        <v>0</v>
      </c>
      <c r="AO41" s="1461"/>
      <c r="AP41" s="1806">
        <f>SUM(AP42:AP48)</f>
        <v>0</v>
      </c>
      <c r="AQ41" s="1806">
        <f>SUM(AQ42:AQ48)</f>
        <v>0</v>
      </c>
      <c r="AR41" s="1807">
        <f>SUM(AR42:AR48)</f>
        <v>0</v>
      </c>
      <c r="AS41" s="1808">
        <f t="shared" ref="AS41:AS47" si="47">AR41/$AR$89</f>
        <v>0</v>
      </c>
      <c r="AT41" s="1809"/>
      <c r="AU41" s="1506">
        <f>SUM(AU42:AU48)</f>
        <v>0</v>
      </c>
      <c r="AV41" s="1506">
        <f>SUM(AV42:AV48)</f>
        <v>0</v>
      </c>
      <c r="AW41" s="1507">
        <f>SUM(AW42:AW48)</f>
        <v>0</v>
      </c>
      <c r="AX41" s="1904">
        <f t="shared" ref="AX41:AX48" si="48">AW41/$AW$89</f>
        <v>0</v>
      </c>
      <c r="AY41" s="1461"/>
      <c r="AZ41" s="1039">
        <f>SUM(AZ42:AZ48)</f>
        <v>0</v>
      </c>
      <c r="BA41" s="1039">
        <f>SUM(BA42:BA48)</f>
        <v>0</v>
      </c>
      <c r="BB41" s="1040">
        <f>SUM(BB42:BB48)</f>
        <v>0</v>
      </c>
      <c r="BC41" s="1241">
        <f>BB41/$AR$89</f>
        <v>0</v>
      </c>
      <c r="BD41" s="581"/>
      <c r="BE41" s="1039">
        <f>SUM(BE42:BE48)</f>
        <v>0</v>
      </c>
      <c r="BF41" s="1039">
        <f>SUM(BF42:BF48)</f>
        <v>0</v>
      </c>
      <c r="BG41" s="1040">
        <f>SUM(BG42:BG48)</f>
        <v>0</v>
      </c>
      <c r="BH41" s="1241" t="e">
        <f t="shared" ref="BH41:BH48" si="49">BG41/$BG$89</f>
        <v>#DIV/0!</v>
      </c>
      <c r="BI41" s="581"/>
      <c r="BJ41" s="1039">
        <f>SUM(BJ42:BJ48)</f>
        <v>72189.479999999981</v>
      </c>
      <c r="BK41" s="1039">
        <f>SUM(BK42:BK48)</f>
        <v>4003.25</v>
      </c>
      <c r="BL41" s="1040">
        <f>SUM(BL42:BL48)</f>
        <v>76192.729999999981</v>
      </c>
      <c r="BM41" s="1241">
        <f t="shared" ref="BM41:BM49" si="50">BL41/$BL$89</f>
        <v>5.459343313628396E-3</v>
      </c>
      <c r="BN41" s="581"/>
    </row>
    <row r="42" spans="1:66" ht="15" customHeight="1" outlineLevel="2" x14ac:dyDescent="0.25">
      <c r="A42" s="4015"/>
      <c r="B42" s="1307" t="s">
        <v>7</v>
      </c>
      <c r="C42" s="1242"/>
      <c r="D42" s="1243"/>
      <c r="E42" s="1244">
        <f t="shared" ref="E42:E49" si="51">C42+D42</f>
        <v>0</v>
      </c>
      <c r="F42" s="1245">
        <f t="shared" si="44"/>
        <v>0</v>
      </c>
      <c r="G42" s="1188">
        <v>0</v>
      </c>
      <c r="H42" s="1188">
        <v>0</v>
      </c>
      <c r="I42" s="1190">
        <v>0</v>
      </c>
      <c r="J42" s="1049">
        <v>0</v>
      </c>
      <c r="K42" s="1049"/>
      <c r="L42" s="1188"/>
      <c r="M42" s="1188"/>
      <c r="N42" s="1190">
        <f t="shared" ref="N42:N48" si="52">L42+M42*1</f>
        <v>0</v>
      </c>
      <c r="O42" s="1245">
        <f t="shared" ref="O42:O48" si="53">N42/$N$89</f>
        <v>0</v>
      </c>
      <c r="P42" s="1246"/>
      <c r="Q42" s="1188"/>
      <c r="R42" s="1188"/>
      <c r="S42" s="1190">
        <f t="shared" ref="S42:S48" si="54">Q42+R42*1</f>
        <v>0</v>
      </c>
      <c r="T42" s="1245">
        <f t="shared" si="1"/>
        <v>0</v>
      </c>
      <c r="U42" s="1246"/>
      <c r="V42" s="1188"/>
      <c r="W42" s="1188"/>
      <c r="X42" s="1190">
        <f t="shared" ref="X42:X48" si="55">V42+W42*1</f>
        <v>0</v>
      </c>
      <c r="Y42" s="1245" t="e">
        <f t="shared" ref="Y42:Y48" si="56">X42/$X$89</f>
        <v>#DIV/0!</v>
      </c>
      <c r="Z42" s="1246"/>
      <c r="AA42" s="1188"/>
      <c r="AB42" s="1188"/>
      <c r="AC42" s="1190">
        <f t="shared" ref="AC42:AC48" si="57">AA42+AB42*1</f>
        <v>0</v>
      </c>
      <c r="AD42" s="1245">
        <f t="shared" si="45"/>
        <v>0</v>
      </c>
      <c r="AE42" s="1246"/>
      <c r="AF42" s="1447"/>
      <c r="AG42" s="1447"/>
      <c r="AH42" s="1495">
        <f t="shared" ref="AH42:AH48" si="58">AF42+AG42*1</f>
        <v>0</v>
      </c>
      <c r="AI42" s="1555">
        <f t="shared" si="46"/>
        <v>0</v>
      </c>
      <c r="AJ42" s="1475"/>
      <c r="AK42" s="1447"/>
      <c r="AL42" s="1447"/>
      <c r="AM42" s="1495">
        <f t="shared" ref="AM42:AM48" si="59">AK42+AL42*1</f>
        <v>0</v>
      </c>
      <c r="AN42" s="1555">
        <f t="shared" si="3"/>
        <v>0</v>
      </c>
      <c r="AO42" s="1475"/>
      <c r="AP42" s="1640"/>
      <c r="AQ42" s="1640"/>
      <c r="AR42" s="1780">
        <f t="shared" ref="AR42:AR48" si="60">AP42+AQ42*1</f>
        <v>0</v>
      </c>
      <c r="AS42" s="1792">
        <f t="shared" si="47"/>
        <v>0</v>
      </c>
      <c r="AT42" s="1616"/>
      <c r="AU42" s="1447"/>
      <c r="AV42" s="1447"/>
      <c r="AW42" s="1495">
        <f t="shared" ref="AW42:AW48" si="61">AU42+AV42*1</f>
        <v>0</v>
      </c>
      <c r="AX42" s="1893">
        <f t="shared" si="48"/>
        <v>0</v>
      </c>
      <c r="AY42" s="1943"/>
      <c r="AZ42" s="1188"/>
      <c r="BA42" s="1188"/>
      <c r="BB42" s="1190">
        <f t="shared" ref="BB42:BB48" si="62">AZ42+BA42*1</f>
        <v>0</v>
      </c>
      <c r="BC42" s="1245" t="e">
        <f t="shared" ref="BC42:BC48" si="63">BB42/$BB$89</f>
        <v>#DIV/0!</v>
      </c>
      <c r="BD42" s="1246"/>
      <c r="BE42" s="1188"/>
      <c r="BF42" s="1188"/>
      <c r="BG42" s="1190">
        <f t="shared" ref="BG42:BG48" si="64">BE42+BF42*1</f>
        <v>0</v>
      </c>
      <c r="BH42" s="1245" t="e">
        <f t="shared" si="49"/>
        <v>#DIV/0!</v>
      </c>
      <c r="BI42" s="1246"/>
      <c r="BJ42" s="1188">
        <f t="shared" ref="BJ42:BJ49" si="65">G42+L42+Q42+V42+AA42+AF42+AK42+AP42</f>
        <v>0</v>
      </c>
      <c r="BK42" s="1188">
        <f t="shared" ref="BK42:BK49" si="66">H42+M42+R42+W42+AB42+AL42+AQ42</f>
        <v>0</v>
      </c>
      <c r="BL42" s="1190">
        <f t="shared" ref="BL42:BL48" si="67">BJ42+BK42</f>
        <v>0</v>
      </c>
      <c r="BM42" s="1245">
        <f t="shared" si="50"/>
        <v>0</v>
      </c>
      <c r="BN42" s="1246"/>
    </row>
    <row r="43" spans="1:66" ht="15" customHeight="1" outlineLevel="2" x14ac:dyDescent="0.25">
      <c r="A43" s="4015"/>
      <c r="B43" s="1307" t="s">
        <v>27</v>
      </c>
      <c r="C43" s="1242"/>
      <c r="D43" s="1243">
        <v>500</v>
      </c>
      <c r="E43" s="1244">
        <f t="shared" si="51"/>
        <v>500</v>
      </c>
      <c r="F43" s="1245">
        <f t="shared" si="44"/>
        <v>4.269758563940147E-5</v>
      </c>
      <c r="G43" s="1188">
        <v>0</v>
      </c>
      <c r="H43" s="1188">
        <v>2801.25</v>
      </c>
      <c r="I43" s="1190">
        <v>2801.25</v>
      </c>
      <c r="J43" s="1049">
        <v>2.1557097183039215E-4</v>
      </c>
      <c r="K43" s="1049"/>
      <c r="L43" s="1188"/>
      <c r="M43" s="1188"/>
      <c r="N43" s="1190">
        <f t="shared" si="52"/>
        <v>0</v>
      </c>
      <c r="O43" s="1245">
        <f t="shared" si="53"/>
        <v>0</v>
      </c>
      <c r="P43" s="1246"/>
      <c r="Q43" s="1188"/>
      <c r="R43" s="1188">
        <v>102</v>
      </c>
      <c r="S43" s="1190">
        <f t="shared" si="54"/>
        <v>102</v>
      </c>
      <c r="T43" s="1245">
        <f t="shared" si="1"/>
        <v>1.7867246301269722E-4</v>
      </c>
      <c r="U43" s="1246"/>
      <c r="V43" s="1188"/>
      <c r="W43" s="1188"/>
      <c r="X43" s="1190">
        <f t="shared" si="55"/>
        <v>0</v>
      </c>
      <c r="Y43" s="1245" t="e">
        <f t="shared" si="56"/>
        <v>#DIV/0!</v>
      </c>
      <c r="Z43" s="1246"/>
      <c r="AA43" s="1188"/>
      <c r="AB43" s="1188"/>
      <c r="AC43" s="1190">
        <f t="shared" si="57"/>
        <v>0</v>
      </c>
      <c r="AD43" s="1245">
        <f t="shared" si="45"/>
        <v>0</v>
      </c>
      <c r="AE43" s="1246"/>
      <c r="AF43" s="1447"/>
      <c r="AG43" s="1447"/>
      <c r="AH43" s="1495">
        <f t="shared" si="58"/>
        <v>0</v>
      </c>
      <c r="AI43" s="1555">
        <f t="shared" si="46"/>
        <v>0</v>
      </c>
      <c r="AJ43" s="1475"/>
      <c r="AK43" s="1447"/>
      <c r="AL43" s="1447"/>
      <c r="AM43" s="1495">
        <f t="shared" si="59"/>
        <v>0</v>
      </c>
      <c r="AN43" s="1555">
        <f t="shared" si="3"/>
        <v>0</v>
      </c>
      <c r="AO43" s="1475"/>
      <c r="AP43" s="1640"/>
      <c r="AQ43" s="1640"/>
      <c r="AR43" s="1780">
        <f t="shared" si="60"/>
        <v>0</v>
      </c>
      <c r="AS43" s="1792">
        <f t="shared" si="47"/>
        <v>0</v>
      </c>
      <c r="AT43" s="1616"/>
      <c r="AU43" s="1447"/>
      <c r="AV43" s="1447"/>
      <c r="AW43" s="1495">
        <f t="shared" si="61"/>
        <v>0</v>
      </c>
      <c r="AX43" s="1893">
        <f t="shared" si="48"/>
        <v>0</v>
      </c>
      <c r="AY43" s="1943"/>
      <c r="AZ43" s="1188"/>
      <c r="BA43" s="1188"/>
      <c r="BB43" s="1190">
        <f t="shared" si="62"/>
        <v>0</v>
      </c>
      <c r="BC43" s="1245" t="e">
        <f t="shared" si="63"/>
        <v>#DIV/0!</v>
      </c>
      <c r="BD43" s="1246"/>
      <c r="BE43" s="1188"/>
      <c r="BF43" s="1188"/>
      <c r="BG43" s="1190">
        <f t="shared" si="64"/>
        <v>0</v>
      </c>
      <c r="BH43" s="1245" t="e">
        <f t="shared" si="49"/>
        <v>#DIV/0!</v>
      </c>
      <c r="BI43" s="1246"/>
      <c r="BJ43" s="1188">
        <f t="shared" si="65"/>
        <v>0</v>
      </c>
      <c r="BK43" s="1188">
        <f t="shared" si="66"/>
        <v>2903.25</v>
      </c>
      <c r="BL43" s="1190">
        <f t="shared" si="67"/>
        <v>2903.25</v>
      </c>
      <c r="BM43" s="1245">
        <f t="shared" si="50"/>
        <v>2.0802297640853194E-4</v>
      </c>
      <c r="BN43" s="1246"/>
    </row>
    <row r="44" spans="1:66" ht="15" customHeight="1" outlineLevel="2" x14ac:dyDescent="0.25">
      <c r="A44" s="4015"/>
      <c r="B44" s="1308" t="s">
        <v>28</v>
      </c>
      <c r="C44" s="1242"/>
      <c r="D44" s="1243"/>
      <c r="E44" s="1244">
        <f t="shared" si="51"/>
        <v>0</v>
      </c>
      <c r="F44" s="1245">
        <f t="shared" si="44"/>
        <v>0</v>
      </c>
      <c r="G44" s="1188">
        <v>0</v>
      </c>
      <c r="H44" s="1188">
        <v>0</v>
      </c>
      <c r="I44" s="1190">
        <v>0</v>
      </c>
      <c r="J44" s="1049">
        <v>0</v>
      </c>
      <c r="K44" s="1049"/>
      <c r="L44" s="1188"/>
      <c r="M44" s="1188"/>
      <c r="N44" s="1190">
        <f t="shared" si="52"/>
        <v>0</v>
      </c>
      <c r="O44" s="1245">
        <f t="shared" si="53"/>
        <v>0</v>
      </c>
      <c r="P44" s="1247"/>
      <c r="Q44" s="1188"/>
      <c r="R44" s="1188"/>
      <c r="S44" s="1190">
        <f t="shared" si="54"/>
        <v>0</v>
      </c>
      <c r="T44" s="1245">
        <f t="shared" si="1"/>
        <v>0</v>
      </c>
      <c r="U44" s="1247"/>
      <c r="V44" s="1132"/>
      <c r="W44" s="1188"/>
      <c r="X44" s="1190">
        <f t="shared" si="55"/>
        <v>0</v>
      </c>
      <c r="Y44" s="1245" t="e">
        <f t="shared" si="56"/>
        <v>#DIV/0!</v>
      </c>
      <c r="Z44" s="1247"/>
      <c r="AA44" s="1188"/>
      <c r="AB44" s="1188"/>
      <c r="AC44" s="1190">
        <f t="shared" si="57"/>
        <v>0</v>
      </c>
      <c r="AD44" s="1245">
        <f t="shared" si="45"/>
        <v>0</v>
      </c>
      <c r="AE44" s="1247"/>
      <c r="AF44" s="1447"/>
      <c r="AG44" s="1447"/>
      <c r="AH44" s="1495">
        <f t="shared" si="58"/>
        <v>0</v>
      </c>
      <c r="AI44" s="1555">
        <f t="shared" si="46"/>
        <v>0</v>
      </c>
      <c r="AJ44" s="1594"/>
      <c r="AK44" s="1447"/>
      <c r="AL44" s="1447"/>
      <c r="AM44" s="1495">
        <f t="shared" si="59"/>
        <v>0</v>
      </c>
      <c r="AN44" s="1555">
        <f t="shared" si="3"/>
        <v>0</v>
      </c>
      <c r="AO44" s="1594"/>
      <c r="AP44" s="1640"/>
      <c r="AQ44" s="1640"/>
      <c r="AR44" s="1780">
        <f t="shared" si="60"/>
        <v>0</v>
      </c>
      <c r="AS44" s="1792">
        <f t="shared" si="47"/>
        <v>0</v>
      </c>
      <c r="AT44" s="1616"/>
      <c r="AU44" s="1447"/>
      <c r="AV44" s="1447"/>
      <c r="AW44" s="1495">
        <f t="shared" si="61"/>
        <v>0</v>
      </c>
      <c r="AX44" s="1893">
        <f t="shared" si="48"/>
        <v>0</v>
      </c>
      <c r="AY44" s="1896"/>
      <c r="AZ44" s="1188"/>
      <c r="BA44" s="1188"/>
      <c r="BB44" s="1190">
        <f t="shared" si="62"/>
        <v>0</v>
      </c>
      <c r="BC44" s="1245" t="e">
        <f t="shared" si="63"/>
        <v>#DIV/0!</v>
      </c>
      <c r="BD44" s="1247"/>
      <c r="BE44" s="1188"/>
      <c r="BF44" s="1188"/>
      <c r="BG44" s="1190">
        <f t="shared" si="64"/>
        <v>0</v>
      </c>
      <c r="BH44" s="1245" t="e">
        <f t="shared" si="49"/>
        <v>#DIV/0!</v>
      </c>
      <c r="BI44" s="1247"/>
      <c r="BJ44" s="1188">
        <f t="shared" si="65"/>
        <v>0</v>
      </c>
      <c r="BK44" s="1188">
        <f t="shared" si="66"/>
        <v>0</v>
      </c>
      <c r="BL44" s="1190">
        <f t="shared" si="67"/>
        <v>0</v>
      </c>
      <c r="BM44" s="1245">
        <f t="shared" si="50"/>
        <v>0</v>
      </c>
      <c r="BN44" s="1246"/>
    </row>
    <row r="45" spans="1:66" ht="15" customHeight="1" outlineLevel="2" x14ac:dyDescent="0.25">
      <c r="A45" s="4015"/>
      <c r="B45" s="1307" t="s">
        <v>8</v>
      </c>
      <c r="C45" s="1242">
        <v>7500</v>
      </c>
      <c r="D45" s="1243"/>
      <c r="E45" s="1244">
        <f t="shared" si="51"/>
        <v>7500</v>
      </c>
      <c r="F45" s="1245">
        <f t="shared" si="44"/>
        <v>6.40463784591022E-4</v>
      </c>
      <c r="G45" s="1188">
        <v>7300</v>
      </c>
      <c r="H45" s="1188">
        <v>0</v>
      </c>
      <c r="I45" s="1190">
        <v>7300</v>
      </c>
      <c r="J45" s="1049">
        <v>5.6177352766153068E-4</v>
      </c>
      <c r="K45" s="1049"/>
      <c r="L45" s="1188"/>
      <c r="M45" s="1188"/>
      <c r="N45" s="1190">
        <f t="shared" si="52"/>
        <v>0</v>
      </c>
      <c r="O45" s="1245">
        <f t="shared" si="53"/>
        <v>0</v>
      </c>
      <c r="P45" s="1247"/>
      <c r="Q45" s="1188"/>
      <c r="R45" s="1188"/>
      <c r="S45" s="1190">
        <f t="shared" si="54"/>
        <v>0</v>
      </c>
      <c r="T45" s="1245">
        <f t="shared" si="1"/>
        <v>0</v>
      </c>
      <c r="U45" s="1247"/>
      <c r="V45" s="1132"/>
      <c r="W45" s="1188"/>
      <c r="X45" s="1190">
        <f t="shared" si="55"/>
        <v>0</v>
      </c>
      <c r="Y45" s="1245" t="e">
        <f t="shared" si="56"/>
        <v>#DIV/0!</v>
      </c>
      <c r="Z45" s="1247"/>
      <c r="AA45" s="1188"/>
      <c r="AB45" s="1188"/>
      <c r="AC45" s="1190">
        <f t="shared" si="57"/>
        <v>0</v>
      </c>
      <c r="AD45" s="1245">
        <f t="shared" si="45"/>
        <v>0</v>
      </c>
      <c r="AE45" s="1247"/>
      <c r="AF45" s="1447"/>
      <c r="AG45" s="1447"/>
      <c r="AH45" s="1495">
        <f t="shared" si="58"/>
        <v>0</v>
      </c>
      <c r="AI45" s="1555">
        <f t="shared" si="46"/>
        <v>0</v>
      </c>
      <c r="AJ45" s="1594"/>
      <c r="AK45" s="1447"/>
      <c r="AL45" s="1447"/>
      <c r="AM45" s="1495">
        <f t="shared" si="59"/>
        <v>0</v>
      </c>
      <c r="AN45" s="1555">
        <f t="shared" si="3"/>
        <v>0</v>
      </c>
      <c r="AO45" s="1594"/>
      <c r="AP45" s="1640"/>
      <c r="AQ45" s="1640"/>
      <c r="AR45" s="1780">
        <f t="shared" si="60"/>
        <v>0</v>
      </c>
      <c r="AS45" s="1792">
        <f t="shared" si="47"/>
        <v>0</v>
      </c>
      <c r="AT45" s="1616"/>
      <c r="AU45" s="1447"/>
      <c r="AV45" s="1447"/>
      <c r="AW45" s="1495">
        <f t="shared" si="61"/>
        <v>0</v>
      </c>
      <c r="AX45" s="1893">
        <f t="shared" si="48"/>
        <v>0</v>
      </c>
      <c r="AY45" s="1896"/>
      <c r="AZ45" s="1188"/>
      <c r="BA45" s="1188"/>
      <c r="BB45" s="1190">
        <f t="shared" si="62"/>
        <v>0</v>
      </c>
      <c r="BC45" s="1245" t="e">
        <f t="shared" si="63"/>
        <v>#DIV/0!</v>
      </c>
      <c r="BD45" s="1247"/>
      <c r="BE45" s="1188"/>
      <c r="BF45" s="1188"/>
      <c r="BG45" s="1190">
        <f t="shared" si="64"/>
        <v>0</v>
      </c>
      <c r="BH45" s="1245" t="e">
        <f t="shared" si="49"/>
        <v>#DIV/0!</v>
      </c>
      <c r="BI45" s="1247"/>
      <c r="BJ45" s="1188">
        <f t="shared" si="65"/>
        <v>7300</v>
      </c>
      <c r="BK45" s="1188">
        <f t="shared" si="66"/>
        <v>0</v>
      </c>
      <c r="BL45" s="1190">
        <f t="shared" si="67"/>
        <v>7300</v>
      </c>
      <c r="BM45" s="1245">
        <f t="shared" si="50"/>
        <v>5.2305785853174315E-4</v>
      </c>
      <c r="BN45" s="1246"/>
    </row>
    <row r="46" spans="1:66" ht="15" customHeight="1" outlineLevel="2" x14ac:dyDescent="0.25">
      <c r="A46" s="4015"/>
      <c r="B46" s="1307" t="s">
        <v>29</v>
      </c>
      <c r="C46" s="1242"/>
      <c r="D46" s="1243"/>
      <c r="E46" s="1244">
        <f t="shared" si="51"/>
        <v>0</v>
      </c>
      <c r="F46" s="1245">
        <f t="shared" si="44"/>
        <v>0</v>
      </c>
      <c r="G46" s="1188">
        <v>0</v>
      </c>
      <c r="H46" s="1188">
        <v>0</v>
      </c>
      <c r="I46" s="1190">
        <v>0</v>
      </c>
      <c r="J46" s="1049">
        <v>0</v>
      </c>
      <c r="K46" s="1049"/>
      <c r="L46" s="1188"/>
      <c r="M46" s="1188"/>
      <c r="N46" s="1190">
        <f t="shared" si="52"/>
        <v>0</v>
      </c>
      <c r="O46" s="1245">
        <f t="shared" si="53"/>
        <v>0</v>
      </c>
      <c r="P46" s="1247"/>
      <c r="Q46" s="1188"/>
      <c r="R46" s="1188"/>
      <c r="S46" s="1190">
        <f t="shared" si="54"/>
        <v>0</v>
      </c>
      <c r="T46" s="1245">
        <f t="shared" si="1"/>
        <v>0</v>
      </c>
      <c r="U46" s="1247"/>
      <c r="V46" s="1132"/>
      <c r="W46" s="1188"/>
      <c r="X46" s="1190">
        <f t="shared" si="55"/>
        <v>0</v>
      </c>
      <c r="Y46" s="1245" t="e">
        <f t="shared" si="56"/>
        <v>#DIV/0!</v>
      </c>
      <c r="Z46" s="1247"/>
      <c r="AA46" s="1188"/>
      <c r="AB46" s="1188"/>
      <c r="AC46" s="1190">
        <f t="shared" si="57"/>
        <v>0</v>
      </c>
      <c r="AD46" s="1245">
        <f t="shared" si="45"/>
        <v>0</v>
      </c>
      <c r="AE46" s="1247"/>
      <c r="AF46" s="1447"/>
      <c r="AG46" s="1447"/>
      <c r="AH46" s="1495">
        <f t="shared" si="58"/>
        <v>0</v>
      </c>
      <c r="AI46" s="1555">
        <f t="shared" si="46"/>
        <v>0</v>
      </c>
      <c r="AJ46" s="1594"/>
      <c r="AK46" s="1447"/>
      <c r="AL46" s="1447"/>
      <c r="AM46" s="1495">
        <f t="shared" si="59"/>
        <v>0</v>
      </c>
      <c r="AN46" s="1555">
        <f t="shared" si="3"/>
        <v>0</v>
      </c>
      <c r="AO46" s="1594"/>
      <c r="AP46" s="1640"/>
      <c r="AQ46" s="1640"/>
      <c r="AR46" s="1780">
        <f t="shared" si="60"/>
        <v>0</v>
      </c>
      <c r="AS46" s="1792">
        <f t="shared" si="47"/>
        <v>0</v>
      </c>
      <c r="AT46" s="1616"/>
      <c r="AU46" s="1447"/>
      <c r="AV46" s="1447"/>
      <c r="AW46" s="1495">
        <f t="shared" si="61"/>
        <v>0</v>
      </c>
      <c r="AX46" s="1893">
        <f t="shared" si="48"/>
        <v>0</v>
      </c>
      <c r="AY46" s="1896"/>
      <c r="AZ46" s="1188"/>
      <c r="BA46" s="1188"/>
      <c r="BB46" s="1190">
        <f t="shared" si="62"/>
        <v>0</v>
      </c>
      <c r="BC46" s="1245" t="e">
        <f t="shared" si="63"/>
        <v>#DIV/0!</v>
      </c>
      <c r="BD46" s="1247"/>
      <c r="BE46" s="1188"/>
      <c r="BF46" s="1188"/>
      <c r="BG46" s="1190">
        <f t="shared" si="64"/>
        <v>0</v>
      </c>
      <c r="BH46" s="1245" t="e">
        <f t="shared" si="49"/>
        <v>#DIV/0!</v>
      </c>
      <c r="BI46" s="1247"/>
      <c r="BJ46" s="1188">
        <f t="shared" si="65"/>
        <v>0</v>
      </c>
      <c r="BK46" s="1188">
        <f t="shared" si="66"/>
        <v>0</v>
      </c>
      <c r="BL46" s="1190">
        <f t="shared" si="67"/>
        <v>0</v>
      </c>
      <c r="BM46" s="1245">
        <f t="shared" si="50"/>
        <v>0</v>
      </c>
      <c r="BN46" s="1246"/>
    </row>
    <row r="47" spans="1:66" ht="15" customHeight="1" outlineLevel="2" x14ac:dyDescent="0.25">
      <c r="A47" s="4015"/>
      <c r="B47" s="1307" t="s">
        <v>30</v>
      </c>
      <c r="C47" s="1242">
        <v>30000</v>
      </c>
      <c r="D47" s="1243"/>
      <c r="E47" s="1244">
        <f t="shared" si="51"/>
        <v>30000</v>
      </c>
      <c r="F47" s="1245">
        <f t="shared" si="44"/>
        <v>2.561855138364088E-3</v>
      </c>
      <c r="G47" s="1188">
        <v>59616.329999999987</v>
      </c>
      <c r="H47" s="1188">
        <v>1100</v>
      </c>
      <c r="I47" s="1190">
        <v>60716.329999999987</v>
      </c>
      <c r="J47" s="1049">
        <v>4.6724420398303584E-3</v>
      </c>
      <c r="K47" s="1049"/>
      <c r="L47" s="1188"/>
      <c r="M47" s="1188"/>
      <c r="N47" s="1190">
        <f t="shared" si="52"/>
        <v>0</v>
      </c>
      <c r="O47" s="1245">
        <f>N47/$N$89</f>
        <v>0</v>
      </c>
      <c r="P47" s="1030"/>
      <c r="Q47" s="1188">
        <v>1444.52</v>
      </c>
      <c r="R47" s="1188"/>
      <c r="S47" s="1190">
        <f t="shared" si="54"/>
        <v>1444.52</v>
      </c>
      <c r="T47" s="1245">
        <f t="shared" si="1"/>
        <v>2.5303524144225623E-3</v>
      </c>
      <c r="U47" s="1030" t="s">
        <v>1033</v>
      </c>
      <c r="V47" s="1132"/>
      <c r="W47" s="1188"/>
      <c r="X47" s="1190">
        <f t="shared" si="55"/>
        <v>0</v>
      </c>
      <c r="Y47" s="1245" t="e">
        <f t="shared" si="56"/>
        <v>#DIV/0!</v>
      </c>
      <c r="Z47" s="1030"/>
      <c r="AA47" s="1188">
        <v>225.02</v>
      </c>
      <c r="AB47" s="1188"/>
      <c r="AC47" s="1190">
        <f t="shared" si="57"/>
        <v>225.02</v>
      </c>
      <c r="AD47" s="1245">
        <f t="shared" si="45"/>
        <v>1.0917735574599047E-3</v>
      </c>
      <c r="AE47" s="1030"/>
      <c r="AF47" s="1447"/>
      <c r="AG47" s="1447"/>
      <c r="AH47" s="1495">
        <f t="shared" si="58"/>
        <v>0</v>
      </c>
      <c r="AI47" s="1555">
        <f t="shared" si="46"/>
        <v>0</v>
      </c>
      <c r="AJ47" s="1605"/>
      <c r="AK47" s="1447"/>
      <c r="AL47" s="1447"/>
      <c r="AM47" s="1495">
        <f t="shared" si="59"/>
        <v>0</v>
      </c>
      <c r="AN47" s="1555">
        <f t="shared" si="3"/>
        <v>0</v>
      </c>
      <c r="AO47" s="1605"/>
      <c r="AP47" s="1640"/>
      <c r="AQ47" s="1640"/>
      <c r="AR47" s="1780">
        <f t="shared" si="60"/>
        <v>0</v>
      </c>
      <c r="AS47" s="1792">
        <f t="shared" si="47"/>
        <v>0</v>
      </c>
      <c r="AT47" s="1741"/>
      <c r="AU47" s="1447"/>
      <c r="AV47" s="1447"/>
      <c r="AW47" s="1495">
        <f t="shared" si="61"/>
        <v>0</v>
      </c>
      <c r="AX47" s="1893">
        <f t="shared" si="48"/>
        <v>0</v>
      </c>
      <c r="AY47" s="1605"/>
      <c r="AZ47" s="1188"/>
      <c r="BA47" s="1188"/>
      <c r="BB47" s="1190">
        <f t="shared" si="62"/>
        <v>0</v>
      </c>
      <c r="BC47" s="1245" t="e">
        <f t="shared" si="63"/>
        <v>#DIV/0!</v>
      </c>
      <c r="BD47" s="1030"/>
      <c r="BE47" s="1188"/>
      <c r="BF47" s="1188"/>
      <c r="BG47" s="1190">
        <f t="shared" si="64"/>
        <v>0</v>
      </c>
      <c r="BH47" s="1245" t="e">
        <f t="shared" si="49"/>
        <v>#DIV/0!</v>
      </c>
      <c r="BI47" s="1030"/>
      <c r="BJ47" s="1188">
        <f t="shared" si="65"/>
        <v>61285.869999999981</v>
      </c>
      <c r="BK47" s="1188">
        <f t="shared" si="66"/>
        <v>1100</v>
      </c>
      <c r="BL47" s="1190">
        <f t="shared" si="67"/>
        <v>62385.869999999981</v>
      </c>
      <c r="BM47" s="1245">
        <f t="shared" si="50"/>
        <v>4.470057474635576E-3</v>
      </c>
      <c r="BN47" s="1246"/>
    </row>
    <row r="48" spans="1:66" ht="15" customHeight="1" outlineLevel="2" x14ac:dyDescent="0.25">
      <c r="A48" s="4015"/>
      <c r="B48" s="1307" t="s">
        <v>15</v>
      </c>
      <c r="C48" s="1242">
        <v>10000</v>
      </c>
      <c r="D48" s="1243"/>
      <c r="E48" s="1244">
        <f t="shared" si="51"/>
        <v>10000</v>
      </c>
      <c r="F48" s="1245">
        <f t="shared" si="44"/>
        <v>8.5395171278802938E-4</v>
      </c>
      <c r="G48" s="1188">
        <v>3603.6099999999997</v>
      </c>
      <c r="H48" s="1188">
        <v>0</v>
      </c>
      <c r="I48" s="1190">
        <v>3603.6099999999997</v>
      </c>
      <c r="J48" s="1049">
        <v>2.7731680849539292E-4</v>
      </c>
      <c r="K48" s="1049"/>
      <c r="L48" s="1188"/>
      <c r="M48" s="1188"/>
      <c r="N48" s="1190">
        <f t="shared" si="52"/>
        <v>0</v>
      </c>
      <c r="O48" s="1245">
        <f t="shared" si="53"/>
        <v>0</v>
      </c>
      <c r="P48" s="1247"/>
      <c r="Q48" s="1188"/>
      <c r="R48" s="1188"/>
      <c r="S48" s="1190">
        <f t="shared" si="54"/>
        <v>0</v>
      </c>
      <c r="T48" s="1245">
        <f t="shared" si="1"/>
        <v>0</v>
      </c>
      <c r="U48" s="1247"/>
      <c r="V48" s="1132"/>
      <c r="W48" s="1188"/>
      <c r="X48" s="1190">
        <f t="shared" si="55"/>
        <v>0</v>
      </c>
      <c r="Y48" s="1245" t="e">
        <f t="shared" si="56"/>
        <v>#DIV/0!</v>
      </c>
      <c r="Z48" s="1247"/>
      <c r="AA48" s="1188"/>
      <c r="AB48" s="1188"/>
      <c r="AC48" s="1190">
        <f t="shared" si="57"/>
        <v>0</v>
      </c>
      <c r="AD48" s="1245">
        <f t="shared" si="45"/>
        <v>0</v>
      </c>
      <c r="AE48" s="1247"/>
      <c r="AF48" s="1447"/>
      <c r="AG48" s="1447"/>
      <c r="AH48" s="1495">
        <f t="shared" si="58"/>
        <v>0</v>
      </c>
      <c r="AI48" s="1555">
        <f t="shared" si="46"/>
        <v>0</v>
      </c>
      <c r="AJ48" s="1594"/>
      <c r="AK48" s="1447"/>
      <c r="AL48" s="1447"/>
      <c r="AM48" s="1495">
        <f t="shared" si="59"/>
        <v>0</v>
      </c>
      <c r="AN48" s="1555">
        <f t="shared" si="3"/>
        <v>0</v>
      </c>
      <c r="AO48" s="1594"/>
      <c r="AP48" s="1640"/>
      <c r="AQ48" s="1640"/>
      <c r="AR48" s="1780">
        <f t="shared" si="60"/>
        <v>0</v>
      </c>
      <c r="AS48" s="1792">
        <f t="shared" si="40"/>
        <v>0</v>
      </c>
      <c r="AT48" s="1616"/>
      <c r="AU48" s="1447"/>
      <c r="AV48" s="1447"/>
      <c r="AW48" s="1495">
        <f t="shared" si="61"/>
        <v>0</v>
      </c>
      <c r="AX48" s="1893">
        <f t="shared" si="48"/>
        <v>0</v>
      </c>
      <c r="AY48" s="1896"/>
      <c r="AZ48" s="1188"/>
      <c r="BA48" s="1188"/>
      <c r="BB48" s="1190">
        <f t="shared" si="62"/>
        <v>0</v>
      </c>
      <c r="BC48" s="1245" t="e">
        <f t="shared" si="63"/>
        <v>#DIV/0!</v>
      </c>
      <c r="BD48" s="1247"/>
      <c r="BE48" s="1188"/>
      <c r="BF48" s="1188"/>
      <c r="BG48" s="1190">
        <f t="shared" si="64"/>
        <v>0</v>
      </c>
      <c r="BH48" s="1245" t="e">
        <f t="shared" si="49"/>
        <v>#DIV/0!</v>
      </c>
      <c r="BI48" s="1247"/>
      <c r="BJ48" s="1188">
        <f t="shared" si="65"/>
        <v>3603.6099999999997</v>
      </c>
      <c r="BK48" s="1188">
        <f t="shared" si="66"/>
        <v>0</v>
      </c>
      <c r="BL48" s="1190">
        <f t="shared" si="67"/>
        <v>3603.6099999999997</v>
      </c>
      <c r="BM48" s="1245">
        <f t="shared" si="50"/>
        <v>2.582050040525445E-4</v>
      </c>
      <c r="BN48" s="1246"/>
    </row>
    <row r="49" spans="1:66" s="2" customFormat="1" ht="15" customHeight="1" outlineLevel="2" thickBot="1" x14ac:dyDescent="0.3">
      <c r="A49" s="11"/>
      <c r="B49" s="1309"/>
      <c r="C49" s="1211"/>
      <c r="D49" s="1152"/>
      <c r="E49" s="1310">
        <f t="shared" si="51"/>
        <v>0</v>
      </c>
      <c r="F49" s="1213"/>
      <c r="G49" s="968"/>
      <c r="H49" s="968"/>
      <c r="I49" s="968"/>
      <c r="J49" s="968">
        <v>0</v>
      </c>
      <c r="K49" s="968"/>
      <c r="L49" s="512"/>
      <c r="M49" s="512"/>
      <c r="N49" s="1177"/>
      <c r="O49" s="1175">
        <f>N49/$N$89</f>
        <v>0</v>
      </c>
      <c r="P49" s="1192"/>
      <c r="Q49" s="512"/>
      <c r="R49" s="512"/>
      <c r="S49" s="1177"/>
      <c r="T49" s="1175">
        <f t="shared" si="1"/>
        <v>0</v>
      </c>
      <c r="U49" s="1192"/>
      <c r="V49" s="868"/>
      <c r="W49" s="512"/>
      <c r="X49" s="1177"/>
      <c r="Y49" s="1175">
        <f t="shared" si="37"/>
        <v>0</v>
      </c>
      <c r="Z49" s="1192"/>
      <c r="AA49" s="868"/>
      <c r="AB49" s="512"/>
      <c r="AC49" s="1177"/>
      <c r="AD49" s="1175">
        <f t="shared" si="45"/>
        <v>0</v>
      </c>
      <c r="AE49" s="1192"/>
      <c r="AF49" s="1706"/>
      <c r="AG49" s="1644"/>
      <c r="AH49" s="1454"/>
      <c r="AI49" s="1565">
        <f t="shared" si="46"/>
        <v>0</v>
      </c>
      <c r="AJ49" s="1464"/>
      <c r="AK49" s="1706"/>
      <c r="AL49" s="1644"/>
      <c r="AM49" s="1454"/>
      <c r="AN49" s="1565">
        <f t="shared" si="3"/>
        <v>0</v>
      </c>
      <c r="AO49" s="1464"/>
      <c r="AP49" s="1856"/>
      <c r="AQ49" s="1716"/>
      <c r="AR49" s="1743"/>
      <c r="AS49" s="1795">
        <f t="shared" si="40"/>
        <v>0</v>
      </c>
      <c r="AT49" s="1743"/>
      <c r="AU49" s="1706"/>
      <c r="AV49" s="1644"/>
      <c r="AW49" s="1454"/>
      <c r="AX49" s="1565">
        <f>AW49/$AM$89</f>
        <v>0</v>
      </c>
      <c r="AY49" s="1464"/>
      <c r="AZ49" s="868"/>
      <c r="BA49" s="512"/>
      <c r="BB49" s="1177"/>
      <c r="BC49" s="1175">
        <f>BB49/$AM$89</f>
        <v>0</v>
      </c>
      <c r="BD49" s="1192"/>
      <c r="BE49" s="868"/>
      <c r="BF49" s="512"/>
      <c r="BG49" s="1177"/>
      <c r="BH49" s="1175">
        <f>BG49/$AM$89</f>
        <v>0</v>
      </c>
      <c r="BI49" s="1192"/>
      <c r="BJ49" s="1188">
        <f t="shared" si="65"/>
        <v>0</v>
      </c>
      <c r="BK49" s="1188">
        <f t="shared" si="66"/>
        <v>0</v>
      </c>
      <c r="BL49" s="1177"/>
      <c r="BM49" s="1245">
        <f t="shared" si="50"/>
        <v>0</v>
      </c>
      <c r="BN49" s="1177"/>
    </row>
    <row r="50" spans="1:66" s="2" customFormat="1" ht="15" customHeight="1" outlineLevel="1" x14ac:dyDescent="0.25">
      <c r="A50" s="293"/>
      <c r="B50" s="1063" t="s">
        <v>59</v>
      </c>
      <c r="C50" s="1039">
        <f>SUM(C51:C52)</f>
        <v>0</v>
      </c>
      <c r="D50" s="1039">
        <f>SUM(D51:D52)</f>
        <v>0</v>
      </c>
      <c r="E50" s="1039">
        <f>SUM(E51:E52)</f>
        <v>0</v>
      </c>
      <c r="F50" s="1153">
        <f>E50/$E$89</f>
        <v>0</v>
      </c>
      <c r="G50" s="1108">
        <v>0</v>
      </c>
      <c r="H50" s="1108">
        <v>0</v>
      </c>
      <c r="I50" s="1108">
        <v>0</v>
      </c>
      <c r="J50" s="1108"/>
      <c r="K50" s="1108"/>
      <c r="L50" s="1039">
        <f>L52+L51</f>
        <v>0</v>
      </c>
      <c r="M50" s="1039">
        <f>M52+M51</f>
        <v>0</v>
      </c>
      <c r="N50" s="1039">
        <f>SUM(N51:N52)</f>
        <v>0</v>
      </c>
      <c r="O50" s="1071"/>
      <c r="P50" s="1154"/>
      <c r="Q50" s="1039">
        <f>Q52+Q51</f>
        <v>0</v>
      </c>
      <c r="R50" s="1039">
        <f>R52+R51</f>
        <v>0</v>
      </c>
      <c r="S50" s="1039">
        <f>SUM(S51:S52)</f>
        <v>0</v>
      </c>
      <c r="T50" s="1153">
        <f t="shared" si="1"/>
        <v>0</v>
      </c>
      <c r="U50" s="1154"/>
      <c r="V50" s="1039">
        <f>V52+V51</f>
        <v>0</v>
      </c>
      <c r="W50" s="1039">
        <f>W52+W51</f>
        <v>0</v>
      </c>
      <c r="X50" s="1039">
        <f>SUM(X51:X52)</f>
        <v>0</v>
      </c>
      <c r="Y50" s="1153" t="e">
        <f t="shared" ref="Y50:Y71" si="68">X50/$X$89</f>
        <v>#DIV/0!</v>
      </c>
      <c r="Z50" s="1154"/>
      <c r="AA50" s="1039">
        <f>AA52+AA51</f>
        <v>0</v>
      </c>
      <c r="AB50" s="1039">
        <f>AB52+AB51</f>
        <v>0</v>
      </c>
      <c r="AC50" s="1039">
        <f>SUM(AC51:AC52)</f>
        <v>0</v>
      </c>
      <c r="AD50" s="1153">
        <f t="shared" si="45"/>
        <v>0</v>
      </c>
      <c r="AE50" s="1154"/>
      <c r="AF50" s="1506">
        <f>AF52+AF51</f>
        <v>0</v>
      </c>
      <c r="AG50" s="1506">
        <f>AG52+AG51</f>
        <v>0</v>
      </c>
      <c r="AH50" s="1506">
        <f>SUM(AH51:AH52)</f>
        <v>0</v>
      </c>
      <c r="AI50" s="1550">
        <f t="shared" si="46"/>
        <v>0</v>
      </c>
      <c r="AJ50" s="1708"/>
      <c r="AK50" s="1506">
        <f>AK52+AK51</f>
        <v>0</v>
      </c>
      <c r="AL50" s="1506">
        <f>AL52+AL51</f>
        <v>0</v>
      </c>
      <c r="AM50" s="1506">
        <f>SUM(AM51:AM52)</f>
        <v>0</v>
      </c>
      <c r="AN50" s="1550">
        <f t="shared" si="3"/>
        <v>0</v>
      </c>
      <c r="AO50" s="1708"/>
      <c r="AP50" s="1806">
        <f>AP52+AP51</f>
        <v>0</v>
      </c>
      <c r="AQ50" s="1806">
        <f>AQ52+AQ51</f>
        <v>0</v>
      </c>
      <c r="AR50" s="1806">
        <f>SUM(AR51:AR52)</f>
        <v>0</v>
      </c>
      <c r="AS50" s="1857">
        <f t="shared" si="40"/>
        <v>0</v>
      </c>
      <c r="AT50" s="1858"/>
      <c r="AU50" s="1506">
        <f>AU52+AU51</f>
        <v>0</v>
      </c>
      <c r="AV50" s="1506">
        <f>AV52+AV51</f>
        <v>0</v>
      </c>
      <c r="AW50" s="1506">
        <f>SUM(AW51:AW52)</f>
        <v>0</v>
      </c>
      <c r="AX50" s="1550">
        <f>AW50/$AM$89</f>
        <v>0</v>
      </c>
      <c r="AY50" s="1708"/>
      <c r="AZ50" s="1039">
        <f>AZ52+AZ51</f>
        <v>0</v>
      </c>
      <c r="BA50" s="1039">
        <f>BA52+BA51</f>
        <v>0</v>
      </c>
      <c r="BB50" s="1039">
        <f>SUM(BB51:BB52)</f>
        <v>0</v>
      </c>
      <c r="BC50" s="1153">
        <f>BB50/$AM$89</f>
        <v>0</v>
      </c>
      <c r="BD50" s="1154"/>
      <c r="BE50" s="1039">
        <f>BE52+BE51</f>
        <v>0</v>
      </c>
      <c r="BF50" s="1039">
        <f>BF52+BF51</f>
        <v>0</v>
      </c>
      <c r="BG50" s="1039">
        <f>SUM(BG51:BG52)</f>
        <v>0</v>
      </c>
      <c r="BH50" s="1153">
        <f>BG50/$AM$89</f>
        <v>0</v>
      </c>
      <c r="BI50" s="1154"/>
      <c r="BJ50" s="578">
        <f>BJ52+BJ51</f>
        <v>0</v>
      </c>
      <c r="BK50" s="578">
        <f>BK52+BK51</f>
        <v>0</v>
      </c>
      <c r="BL50" s="578">
        <f>SUM(BL51:BL52)</f>
        <v>0</v>
      </c>
      <c r="BM50" s="581"/>
      <c r="BN50" s="581"/>
    </row>
    <row r="51" spans="1:66" s="226" customFormat="1" ht="15" customHeight="1" outlineLevel="1" x14ac:dyDescent="0.25">
      <c r="A51" s="234"/>
      <c r="B51" s="1195" t="s">
        <v>60</v>
      </c>
      <c r="C51" s="1242"/>
      <c r="D51" s="1243"/>
      <c r="E51" s="1243">
        <f>C51+D51</f>
        <v>0</v>
      </c>
      <c r="F51" s="1248">
        <f>E51/$E$89</f>
        <v>0</v>
      </c>
      <c r="G51" s="1103">
        <v>0</v>
      </c>
      <c r="H51" s="1103">
        <v>0</v>
      </c>
      <c r="I51" s="1103">
        <v>0</v>
      </c>
      <c r="J51" s="1103">
        <v>0</v>
      </c>
      <c r="K51" s="1103"/>
      <c r="L51" s="1188"/>
      <c r="M51" s="1188"/>
      <c r="N51" s="1190">
        <f>L51+M51*1</f>
        <v>0</v>
      </c>
      <c r="O51" s="1245">
        <f>N51/$N$89</f>
        <v>0</v>
      </c>
      <c r="P51" s="1250"/>
      <c r="Q51" s="1188"/>
      <c r="R51" s="1188"/>
      <c r="S51" s="1190">
        <f>Q51+R51*1</f>
        <v>0</v>
      </c>
      <c r="T51" s="1245">
        <f t="shared" si="1"/>
        <v>0</v>
      </c>
      <c r="U51" s="1250"/>
      <c r="V51" s="1188"/>
      <c r="W51" s="1188"/>
      <c r="X51" s="1190">
        <f>V51+W51*1</f>
        <v>0</v>
      </c>
      <c r="Y51" s="1245" t="e">
        <f t="shared" si="68"/>
        <v>#DIV/0!</v>
      </c>
      <c r="Z51" s="1250"/>
      <c r="AA51" s="1188"/>
      <c r="AB51" s="1188"/>
      <c r="AC51" s="1190">
        <f>AA51+AB51*1</f>
        <v>0</v>
      </c>
      <c r="AD51" s="1245">
        <f t="shared" si="45"/>
        <v>0</v>
      </c>
      <c r="AE51" s="1250"/>
      <c r="AF51" s="1447"/>
      <c r="AG51" s="1447"/>
      <c r="AH51" s="1495">
        <f>AF51+AG51*1</f>
        <v>0</v>
      </c>
      <c r="AI51" s="1555">
        <f t="shared" si="46"/>
        <v>0</v>
      </c>
      <c r="AJ51" s="1609"/>
      <c r="AK51" s="1447"/>
      <c r="AL51" s="1447"/>
      <c r="AM51" s="1495">
        <f>AK51+AL51*1</f>
        <v>0</v>
      </c>
      <c r="AN51" s="1555">
        <f t="shared" si="3"/>
        <v>0</v>
      </c>
      <c r="AO51" s="1609"/>
      <c r="AP51" s="1640"/>
      <c r="AQ51" s="1640"/>
      <c r="AR51" s="1780">
        <f>AP51+AQ51*1</f>
        <v>0</v>
      </c>
      <c r="AS51" s="1792">
        <f t="shared" si="40"/>
        <v>0</v>
      </c>
      <c r="AT51" s="1800"/>
      <c r="AU51" s="1447"/>
      <c r="AV51" s="1447"/>
      <c r="AW51" s="1495">
        <f>AU51+AV51*1</f>
        <v>0</v>
      </c>
      <c r="AX51" s="1893">
        <f>AW51/$AM$89</f>
        <v>0</v>
      </c>
      <c r="AY51" s="1903"/>
      <c r="AZ51" s="1188"/>
      <c r="BA51" s="1188"/>
      <c r="BB51" s="1190">
        <f>AZ51+BA51*1</f>
        <v>0</v>
      </c>
      <c r="BC51" s="1245">
        <f>BB51/$AM$89</f>
        <v>0</v>
      </c>
      <c r="BD51" s="1250"/>
      <c r="BE51" s="1188"/>
      <c r="BF51" s="1188"/>
      <c r="BG51" s="1190">
        <f>BE51+BF51*1</f>
        <v>0</v>
      </c>
      <c r="BH51" s="1245">
        <f>BG51/$AM$89</f>
        <v>0</v>
      </c>
      <c r="BI51" s="1250"/>
      <c r="BJ51" s="1188">
        <f>G51+L51+Q51+V51+AA51+AF51+AK51+AP51</f>
        <v>0</v>
      </c>
      <c r="BK51" s="1188">
        <f>H51+M51+R51+W51+AB51+AL51+AQ51</f>
        <v>0</v>
      </c>
      <c r="BL51" s="1190">
        <f>BJ51+BK51</f>
        <v>0</v>
      </c>
      <c r="BM51" s="1245">
        <f>BL51/$BL$89</f>
        <v>0</v>
      </c>
      <c r="BN51" s="1249"/>
    </row>
    <row r="52" spans="1:66" s="235" customFormat="1" ht="15" customHeight="1" outlineLevel="2" x14ac:dyDescent="0.25">
      <c r="A52" s="234"/>
      <c r="B52" s="1195" t="s">
        <v>61</v>
      </c>
      <c r="C52" s="1242"/>
      <c r="D52" s="1243"/>
      <c r="E52" s="1243">
        <f>C52+D52</f>
        <v>0</v>
      </c>
      <c r="F52" s="1248">
        <f>E52/$E$89</f>
        <v>0</v>
      </c>
      <c r="G52" s="1103">
        <v>0</v>
      </c>
      <c r="H52" s="1103">
        <v>0</v>
      </c>
      <c r="I52" s="1103">
        <v>0</v>
      </c>
      <c r="J52" s="1103">
        <v>0</v>
      </c>
      <c r="K52" s="1103"/>
      <c r="L52" s="1188"/>
      <c r="M52" s="1188"/>
      <c r="N52" s="1190">
        <f>L52+M52*1</f>
        <v>0</v>
      </c>
      <c r="O52" s="1245">
        <f>N52/$N$89</f>
        <v>0</v>
      </c>
      <c r="P52" s="1250"/>
      <c r="Q52" s="1188"/>
      <c r="R52" s="1188"/>
      <c r="S52" s="1190">
        <f>Q52+R52*1</f>
        <v>0</v>
      </c>
      <c r="T52" s="1245">
        <f t="shared" si="1"/>
        <v>0</v>
      </c>
      <c r="U52" s="1250"/>
      <c r="V52" s="1188"/>
      <c r="W52" s="1188"/>
      <c r="X52" s="1190">
        <f>V52+W52*1</f>
        <v>0</v>
      </c>
      <c r="Y52" s="1245" t="e">
        <f t="shared" si="68"/>
        <v>#DIV/0!</v>
      </c>
      <c r="Z52" s="1250"/>
      <c r="AA52" s="1188"/>
      <c r="AB52" s="1188"/>
      <c r="AC52" s="1190">
        <f>AA52+AB52*1</f>
        <v>0</v>
      </c>
      <c r="AD52" s="1245">
        <f t="shared" si="45"/>
        <v>0</v>
      </c>
      <c r="AE52" s="1250"/>
      <c r="AF52" s="1447"/>
      <c r="AG52" s="1447"/>
      <c r="AH52" s="1495">
        <f>AF52+AG52*1</f>
        <v>0</v>
      </c>
      <c r="AI52" s="1555">
        <f t="shared" si="46"/>
        <v>0</v>
      </c>
      <c r="AJ52" s="1609"/>
      <c r="AK52" s="1447"/>
      <c r="AL52" s="1447"/>
      <c r="AM52" s="1495">
        <f>AK52+AL52*1</f>
        <v>0</v>
      </c>
      <c r="AN52" s="1555">
        <f t="shared" si="3"/>
        <v>0</v>
      </c>
      <c r="AO52" s="1609"/>
      <c r="AP52" s="1640"/>
      <c r="AQ52" s="1640"/>
      <c r="AR52" s="1780">
        <f>AP52+AQ52*1</f>
        <v>0</v>
      </c>
      <c r="AS52" s="1792">
        <f t="shared" si="40"/>
        <v>0</v>
      </c>
      <c r="AT52" s="1800"/>
      <c r="AU52" s="1447"/>
      <c r="AV52" s="1447"/>
      <c r="AW52" s="1495">
        <f>AU52+AV52*1</f>
        <v>0</v>
      </c>
      <c r="AX52" s="1893">
        <f>AW52/$AM$89</f>
        <v>0</v>
      </c>
      <c r="AY52" s="1903"/>
      <c r="AZ52" s="1188"/>
      <c r="BA52" s="1188"/>
      <c r="BB52" s="1190">
        <f>AZ52+BA52*1</f>
        <v>0</v>
      </c>
      <c r="BC52" s="1245">
        <f>BB52/$AM$89</f>
        <v>0</v>
      </c>
      <c r="BD52" s="1250"/>
      <c r="BE52" s="1188"/>
      <c r="BF52" s="1188"/>
      <c r="BG52" s="1190">
        <f>BE52+BF52*1</f>
        <v>0</v>
      </c>
      <c r="BH52" s="1245">
        <f>BG52/$AM$89</f>
        <v>0</v>
      </c>
      <c r="BI52" s="1250"/>
      <c r="BJ52" s="1188">
        <f>G52+L52+Q52+V52+AA52+AF52+AK52+AP52</f>
        <v>0</v>
      </c>
      <c r="BK52" s="1188">
        <f>H52+M52+R52+W52+AB52+AL52+AQ52</f>
        <v>0</v>
      </c>
      <c r="BL52" s="1190">
        <f>BJ52+BK52</f>
        <v>0</v>
      </c>
      <c r="BM52" s="1245">
        <f>BL52/$BL$89</f>
        <v>0</v>
      </c>
      <c r="BN52" s="1249"/>
    </row>
    <row r="53" spans="1:66" ht="15" customHeight="1" outlineLevel="1" thickBot="1" x14ac:dyDescent="0.3">
      <c r="A53" s="20"/>
      <c r="B53" s="1197"/>
      <c r="C53" s="1220"/>
      <c r="D53" s="1095"/>
      <c r="E53" s="1221"/>
      <c r="F53" s="1222"/>
      <c r="G53" s="959">
        <v>0</v>
      </c>
      <c r="H53" s="959">
        <v>0</v>
      </c>
      <c r="I53" s="959">
        <v>0</v>
      </c>
      <c r="J53" s="959"/>
      <c r="K53" s="959"/>
      <c r="L53" s="1188"/>
      <c r="M53" s="1188"/>
      <c r="N53" s="1179"/>
      <c r="O53" s="1179"/>
      <c r="P53" s="1179"/>
      <c r="Q53" s="1188"/>
      <c r="R53" s="1188"/>
      <c r="S53" s="1179"/>
      <c r="T53" s="1245">
        <f t="shared" si="1"/>
        <v>0</v>
      </c>
      <c r="U53" s="1179"/>
      <c r="V53" s="1188"/>
      <c r="W53" s="1188"/>
      <c r="X53" s="1179"/>
      <c r="Y53" s="1245">
        <f t="shared" si="37"/>
        <v>0</v>
      </c>
      <c r="Z53" s="1179"/>
      <c r="AA53" s="1188"/>
      <c r="AB53" s="1188"/>
      <c r="AC53" s="1179"/>
      <c r="AD53" s="1245">
        <f t="shared" si="45"/>
        <v>0</v>
      </c>
      <c r="AE53" s="1179"/>
      <c r="AF53" s="1447"/>
      <c r="AG53" s="1447"/>
      <c r="AH53" s="1462"/>
      <c r="AI53" s="1555">
        <f t="shared" si="46"/>
        <v>0</v>
      </c>
      <c r="AJ53" s="1462"/>
      <c r="AK53" s="1447"/>
      <c r="AL53" s="1447"/>
      <c r="AM53" s="1462"/>
      <c r="AN53" s="1462"/>
      <c r="AO53" s="1462"/>
      <c r="AP53" s="1640"/>
      <c r="AQ53" s="1640"/>
      <c r="AR53" s="1812"/>
      <c r="AS53" s="1792">
        <f t="shared" si="40"/>
        <v>0</v>
      </c>
      <c r="AT53" s="1812"/>
      <c r="AU53" s="1447"/>
      <c r="AV53" s="1447"/>
      <c r="AW53" s="1462"/>
      <c r="AX53" s="1893">
        <f>AW53/$AM$89</f>
        <v>0</v>
      </c>
      <c r="AY53" s="1462"/>
      <c r="AZ53" s="1188"/>
      <c r="BA53" s="1188"/>
      <c r="BB53" s="1179"/>
      <c r="BC53" s="1245">
        <f>BB53/$AM$89</f>
        <v>0</v>
      </c>
      <c r="BD53" s="1179"/>
      <c r="BE53" s="1188"/>
      <c r="BF53" s="1188"/>
      <c r="BG53" s="1179"/>
      <c r="BH53" s="1245">
        <f>BG53/$AM$89</f>
        <v>0</v>
      </c>
      <c r="BI53" s="1179"/>
      <c r="BJ53" s="1188">
        <f>G53+L53+Q53+V53+AA53+AF53+AK53+AP53</f>
        <v>0</v>
      </c>
      <c r="BK53" s="1188">
        <f>H53+M53+R53+W53+AB53+AL53+AQ53</f>
        <v>0</v>
      </c>
      <c r="BL53" s="1190">
        <f>BJ53+BK53</f>
        <v>0</v>
      </c>
      <c r="BM53" s="1179"/>
      <c r="BN53" s="1179"/>
    </row>
    <row r="54" spans="1:66" ht="15" customHeight="1" outlineLevel="1" x14ac:dyDescent="0.25">
      <c r="A54" s="236"/>
      <c r="B54" s="17" t="s">
        <v>1</v>
      </c>
      <c r="C54" s="578">
        <f>SUM(C55:C71)</f>
        <v>107959</v>
      </c>
      <c r="D54" s="578">
        <f>SUM(D55:D71)</f>
        <v>84313</v>
      </c>
      <c r="E54" s="579">
        <f>SUM(E55:E71)</f>
        <v>192272</v>
      </c>
      <c r="F54" s="580">
        <f>E54/$E$89</f>
        <v>1.6419100372117999E-2</v>
      </c>
      <c r="G54" s="578">
        <v>175913.30607999998</v>
      </c>
      <c r="H54" s="578">
        <v>105851.68124999999</v>
      </c>
      <c r="I54" s="578">
        <v>281764.98733000003</v>
      </c>
      <c r="J54" s="246">
        <v>2.1683302863545289E-2</v>
      </c>
      <c r="K54" s="246"/>
      <c r="L54" s="578">
        <f>SUM(L55:L72)</f>
        <v>200</v>
      </c>
      <c r="M54" s="578">
        <f>SUM(M55:M72)</f>
        <v>0</v>
      </c>
      <c r="N54" s="578">
        <f>SUM(N55:N72)</f>
        <v>200</v>
      </c>
      <c r="O54" s="1241">
        <f>N54/$N$89</f>
        <v>1.0055187956889828E-2</v>
      </c>
      <c r="P54" s="665"/>
      <c r="Q54" s="578">
        <f>SUM(Q55:Q72)</f>
        <v>22100</v>
      </c>
      <c r="R54" s="578">
        <f>SUM(R55:R72)</f>
        <v>7987.51</v>
      </c>
      <c r="S54" s="578">
        <f>SUM(S55:S72)</f>
        <v>30087.51</v>
      </c>
      <c r="T54" s="1241">
        <f t="shared" si="1"/>
        <v>5.2704014878619185E-2</v>
      </c>
      <c r="U54" s="665"/>
      <c r="V54" s="578">
        <f>SUM(V55:V72)</f>
        <v>0</v>
      </c>
      <c r="W54" s="578">
        <f>SUM(W55:W72)</f>
        <v>0</v>
      </c>
      <c r="X54" s="578">
        <f>SUM(X55:X72)</f>
        <v>0</v>
      </c>
      <c r="Y54" s="1241" t="e">
        <f t="shared" si="68"/>
        <v>#DIV/0!</v>
      </c>
      <c r="Z54" s="665"/>
      <c r="AA54" s="578">
        <f>SUM(AA55:AA72)</f>
        <v>0</v>
      </c>
      <c r="AB54" s="578">
        <f>SUM(AB55:AB72)</f>
        <v>186</v>
      </c>
      <c r="AC54" s="578">
        <f>SUM(AC55:AC72)</f>
        <v>186</v>
      </c>
      <c r="AD54" s="1241">
        <f>AC54/$AC$89</f>
        <v>9.0245258949223301E-4</v>
      </c>
      <c r="AE54" s="665"/>
      <c r="AF54" s="1512">
        <f>SUM(AF55:AF72)</f>
        <v>0</v>
      </c>
      <c r="AG54" s="1512">
        <f>SUM(AG55:AG72)</f>
        <v>0</v>
      </c>
      <c r="AH54" s="1512">
        <f>SUM(AH55:AH72)</f>
        <v>0</v>
      </c>
      <c r="AI54" s="1548">
        <f t="shared" si="46"/>
        <v>0</v>
      </c>
      <c r="AJ54" s="1613"/>
      <c r="AK54" s="1512">
        <f>SUM(AK55:AK72)</f>
        <v>0</v>
      </c>
      <c r="AL54" s="1512">
        <f>SUM(AL55:AL72)</f>
        <v>0</v>
      </c>
      <c r="AM54" s="1512">
        <f>SUM(AM55:AM72)</f>
        <v>0</v>
      </c>
      <c r="AN54" s="1548">
        <f t="shared" si="3"/>
        <v>0</v>
      </c>
      <c r="AO54" s="1613"/>
      <c r="AP54" s="1810">
        <f>SUM(AP55:AP72)</f>
        <v>0</v>
      </c>
      <c r="AQ54" s="1810">
        <f>SUM(AQ55:AQ72)</f>
        <v>0</v>
      </c>
      <c r="AR54" s="1810">
        <f>SUM(AR55:AR72)</f>
        <v>0</v>
      </c>
      <c r="AS54" s="1808">
        <f t="shared" ref="AS54:AS72" si="69">AR54/$AR$89</f>
        <v>0</v>
      </c>
      <c r="AT54" s="1809"/>
      <c r="AU54" s="1512">
        <f>SUM(AU55:AU72)</f>
        <v>0</v>
      </c>
      <c r="AV54" s="1512">
        <f>SUM(AV55:AV72)</f>
        <v>0</v>
      </c>
      <c r="AW54" s="1512">
        <f>SUM(AW55:AW72)</f>
        <v>0</v>
      </c>
      <c r="AX54" s="1904">
        <f t="shared" ref="AX54:AX71" si="70">AW54/$AW$89</f>
        <v>0</v>
      </c>
      <c r="AY54" s="1613"/>
      <c r="AZ54" s="578">
        <f>SUM(AZ55:AZ72)</f>
        <v>0</v>
      </c>
      <c r="BA54" s="578">
        <f>SUM(BA55:BA72)</f>
        <v>0</v>
      </c>
      <c r="BB54" s="578">
        <f>SUM(BB55:BB72)</f>
        <v>0</v>
      </c>
      <c r="BC54" s="1241" t="e">
        <f t="shared" ref="BC54:BC71" si="71">BB54/$BB$89</f>
        <v>#DIV/0!</v>
      </c>
      <c r="BD54" s="665"/>
      <c r="BE54" s="578">
        <f>SUM(BE55:BE72)</f>
        <v>0</v>
      </c>
      <c r="BF54" s="578">
        <f>SUM(BF55:BF72)</f>
        <v>0</v>
      </c>
      <c r="BG54" s="578">
        <f>SUM(BG55:BG72)</f>
        <v>0</v>
      </c>
      <c r="BH54" s="1241" t="e">
        <f t="shared" ref="BH54:BH71" si="72">BG54/$BG$89</f>
        <v>#DIV/0!</v>
      </c>
      <c r="BI54" s="665"/>
      <c r="BJ54" s="578">
        <f>SUM(BJ55:BJ72)</f>
        <v>198213.30607999998</v>
      </c>
      <c r="BK54" s="578">
        <f>SUM(BK55:BK72)</f>
        <v>114025.19125</v>
      </c>
      <c r="BL54" s="578">
        <f>SUM(BL55:BL72)</f>
        <v>312238.49733000004</v>
      </c>
      <c r="BM54" s="1241">
        <f t="shared" ref="BM54:BM72" si="73">BL54/$BL$89</f>
        <v>2.23724383239177E-2</v>
      </c>
      <c r="BN54" s="581"/>
    </row>
    <row r="55" spans="1:66" ht="15" customHeight="1" outlineLevel="2" x14ac:dyDescent="0.25">
      <c r="A55" s="237"/>
      <c r="B55" s="1116" t="s">
        <v>77</v>
      </c>
      <c r="C55" s="1242"/>
      <c r="D55" s="1251"/>
      <c r="E55" s="1244">
        <f t="shared" ref="E55:E72" si="74">C55+D55</f>
        <v>0</v>
      </c>
      <c r="F55" s="1245">
        <f>E55/$E$89</f>
        <v>0</v>
      </c>
      <c r="G55" s="1188">
        <v>0</v>
      </c>
      <c r="H55" s="1188">
        <v>0</v>
      </c>
      <c r="I55" s="1190">
        <v>0</v>
      </c>
      <c r="J55" s="1049">
        <v>0</v>
      </c>
      <c r="K55" s="1049"/>
      <c r="L55" s="1031"/>
      <c r="M55" s="1031"/>
      <c r="N55" s="1190">
        <f t="shared" ref="N55:N71" si="75">L55+M55*1</f>
        <v>0</v>
      </c>
      <c r="O55" s="1245">
        <f t="shared" ref="O55:O72" si="76">N55/$N$89</f>
        <v>0</v>
      </c>
      <c r="P55" s="1247"/>
      <c r="Q55" s="1031"/>
      <c r="R55" s="1031"/>
      <c r="S55" s="1190">
        <f t="shared" ref="S55:S71" si="77">Q55+R55*1</f>
        <v>0</v>
      </c>
      <c r="T55" s="1245">
        <f t="shared" si="1"/>
        <v>0</v>
      </c>
      <c r="U55" s="1247"/>
      <c r="V55" s="1031"/>
      <c r="W55" s="1031"/>
      <c r="X55" s="1190">
        <f t="shared" ref="X55:X71" si="78">V55+W55*1</f>
        <v>0</v>
      </c>
      <c r="Y55" s="1245" t="e">
        <f t="shared" si="68"/>
        <v>#DIV/0!</v>
      </c>
      <c r="Z55" s="1247"/>
      <c r="AA55" s="1031"/>
      <c r="AB55" s="1031"/>
      <c r="AC55" s="1190">
        <f t="shared" ref="AC55:AC71" si="79">AA55+AB55*1</f>
        <v>0</v>
      </c>
      <c r="AD55" s="1245">
        <f t="shared" si="45"/>
        <v>0</v>
      </c>
      <c r="AE55" s="1247"/>
      <c r="AF55" s="1567"/>
      <c r="AG55" s="1567"/>
      <c r="AH55" s="1495">
        <f t="shared" ref="AH55:AH71" si="80">AF55+AG55*1</f>
        <v>0</v>
      </c>
      <c r="AI55" s="1555">
        <f t="shared" si="46"/>
        <v>0</v>
      </c>
      <c r="AJ55" s="1594"/>
      <c r="AK55" s="1567"/>
      <c r="AL55" s="1567"/>
      <c r="AM55" s="1495">
        <f t="shared" ref="AM55:AM71" si="81">AK55+AL55*1</f>
        <v>0</v>
      </c>
      <c r="AN55" s="1555">
        <f t="shared" si="3"/>
        <v>0</v>
      </c>
      <c r="AO55" s="1594"/>
      <c r="AP55" s="1791"/>
      <c r="AQ55" s="1791"/>
      <c r="AR55" s="1780">
        <f t="shared" ref="AR55:AR71" si="82">AP55+AQ55*1</f>
        <v>0</v>
      </c>
      <c r="AS55" s="1792">
        <f t="shared" si="69"/>
        <v>0</v>
      </c>
      <c r="AT55" s="1616"/>
      <c r="AU55" s="1567"/>
      <c r="AV55" s="1567"/>
      <c r="AW55" s="1495">
        <f t="shared" ref="AW55:AW71" si="83">AU55+AV55*1</f>
        <v>0</v>
      </c>
      <c r="AX55" s="1893">
        <f t="shared" si="70"/>
        <v>0</v>
      </c>
      <c r="AY55" s="1896"/>
      <c r="AZ55" s="1031"/>
      <c r="BA55" s="1031"/>
      <c r="BB55" s="1190">
        <f t="shared" ref="BB55:BB71" si="84">AZ55+BA55*1</f>
        <v>0</v>
      </c>
      <c r="BC55" s="1245" t="e">
        <f t="shared" si="71"/>
        <v>#DIV/0!</v>
      </c>
      <c r="BD55" s="1247"/>
      <c r="BE55" s="1031"/>
      <c r="BF55" s="1031"/>
      <c r="BG55" s="1190">
        <f t="shared" ref="BG55:BG71" si="85">BE55+BF55*1</f>
        <v>0</v>
      </c>
      <c r="BH55" s="1245" t="e">
        <f t="shared" si="72"/>
        <v>#DIV/0!</v>
      </c>
      <c r="BI55" s="1247"/>
      <c r="BJ55" s="1188">
        <f t="shared" ref="BJ55:BJ72" si="86">G55+L55+Q55+V55+AA55+AF55+AK55+AP55</f>
        <v>0</v>
      </c>
      <c r="BK55" s="1188">
        <f t="shared" ref="BK55:BK72" si="87">H55+M55+R55+W55+AB55+AL55+AQ55</f>
        <v>0</v>
      </c>
      <c r="BL55" s="1190">
        <f t="shared" ref="BL55:BL72" si="88">BJ55+BK55</f>
        <v>0</v>
      </c>
      <c r="BM55" s="1245">
        <f t="shared" si="73"/>
        <v>0</v>
      </c>
      <c r="BN55" s="1246"/>
    </row>
    <row r="56" spans="1:66" ht="15" customHeight="1" outlineLevel="2" x14ac:dyDescent="0.25">
      <c r="A56" s="237"/>
      <c r="B56" s="1116" t="s">
        <v>76</v>
      </c>
      <c r="C56" s="1242"/>
      <c r="D56" s="1243"/>
      <c r="E56" s="1244">
        <f t="shared" si="74"/>
        <v>0</v>
      </c>
      <c r="F56" s="1245">
        <f t="shared" ref="F56:F72" si="89">E56/$E$89</f>
        <v>0</v>
      </c>
      <c r="G56" s="1188">
        <v>0</v>
      </c>
      <c r="H56" s="1188">
        <v>0</v>
      </c>
      <c r="I56" s="1190">
        <v>0</v>
      </c>
      <c r="J56" s="1049">
        <v>0</v>
      </c>
      <c r="K56" s="1049"/>
      <c r="L56" s="1031"/>
      <c r="M56" s="1031"/>
      <c r="N56" s="1190">
        <f t="shared" si="75"/>
        <v>0</v>
      </c>
      <c r="O56" s="1245">
        <f t="shared" si="76"/>
        <v>0</v>
      </c>
      <c r="P56" s="1287"/>
      <c r="Q56" s="1031"/>
      <c r="R56" s="1031"/>
      <c r="S56" s="1190">
        <f t="shared" si="77"/>
        <v>0</v>
      </c>
      <c r="T56" s="1245">
        <f t="shared" si="1"/>
        <v>0</v>
      </c>
      <c r="U56" s="1287"/>
      <c r="V56" s="1031"/>
      <c r="W56" s="1031"/>
      <c r="X56" s="1190">
        <f t="shared" si="78"/>
        <v>0</v>
      </c>
      <c r="Y56" s="1245" t="e">
        <f t="shared" si="68"/>
        <v>#DIV/0!</v>
      </c>
      <c r="Z56" s="1287"/>
      <c r="AA56" s="1031"/>
      <c r="AB56" s="1031"/>
      <c r="AC56" s="1190">
        <f t="shared" si="79"/>
        <v>0</v>
      </c>
      <c r="AD56" s="1245">
        <f t="shared" si="45"/>
        <v>0</v>
      </c>
      <c r="AE56" s="1287"/>
      <c r="AF56" s="1567"/>
      <c r="AG56" s="1567"/>
      <c r="AH56" s="1495">
        <f t="shared" si="80"/>
        <v>0</v>
      </c>
      <c r="AI56" s="1555">
        <f t="shared" si="46"/>
        <v>0</v>
      </c>
      <c r="AJ56" s="1618"/>
      <c r="AK56" s="1567"/>
      <c r="AL56" s="1567"/>
      <c r="AM56" s="1495">
        <f t="shared" si="81"/>
        <v>0</v>
      </c>
      <c r="AN56" s="1555">
        <f t="shared" si="3"/>
        <v>0</v>
      </c>
      <c r="AO56" s="1618"/>
      <c r="AP56" s="1791"/>
      <c r="AQ56" s="1791"/>
      <c r="AR56" s="1780">
        <f t="shared" si="82"/>
        <v>0</v>
      </c>
      <c r="AS56" s="1792">
        <f t="shared" si="69"/>
        <v>0</v>
      </c>
      <c r="AT56" s="1624"/>
      <c r="AU56" s="1567"/>
      <c r="AV56" s="1567"/>
      <c r="AW56" s="1495">
        <f t="shared" si="83"/>
        <v>0</v>
      </c>
      <c r="AX56" s="1893">
        <f t="shared" si="70"/>
        <v>0</v>
      </c>
      <c r="AY56" s="1928"/>
      <c r="AZ56" s="1031"/>
      <c r="BA56" s="1031"/>
      <c r="BB56" s="1190">
        <f t="shared" si="84"/>
        <v>0</v>
      </c>
      <c r="BC56" s="1245" t="e">
        <f t="shared" si="71"/>
        <v>#DIV/0!</v>
      </c>
      <c r="BD56" s="1287"/>
      <c r="BE56" s="1031"/>
      <c r="BF56" s="1031"/>
      <c r="BG56" s="1190">
        <f t="shared" si="85"/>
        <v>0</v>
      </c>
      <c r="BH56" s="1245" t="e">
        <f t="shared" si="72"/>
        <v>#DIV/0!</v>
      </c>
      <c r="BI56" s="1287"/>
      <c r="BJ56" s="1188">
        <f t="shared" si="86"/>
        <v>0</v>
      </c>
      <c r="BK56" s="1188">
        <f t="shared" si="87"/>
        <v>0</v>
      </c>
      <c r="BL56" s="1190">
        <f t="shared" si="88"/>
        <v>0</v>
      </c>
      <c r="BM56" s="1245">
        <f t="shared" si="73"/>
        <v>0</v>
      </c>
      <c r="BN56" s="1246"/>
    </row>
    <row r="57" spans="1:66" ht="15" customHeight="1" outlineLevel="2" x14ac:dyDescent="0.25">
      <c r="A57" s="237"/>
      <c r="B57" s="1116" t="s">
        <v>68</v>
      </c>
      <c r="C57" s="1242"/>
      <c r="D57" s="1243"/>
      <c r="E57" s="1244">
        <f t="shared" si="74"/>
        <v>0</v>
      </c>
      <c r="F57" s="1245">
        <f t="shared" si="89"/>
        <v>0</v>
      </c>
      <c r="G57" s="1188">
        <v>0</v>
      </c>
      <c r="H57" s="1188">
        <v>0</v>
      </c>
      <c r="I57" s="1190">
        <v>0</v>
      </c>
      <c r="J57" s="1049">
        <v>0</v>
      </c>
      <c r="K57" s="1049"/>
      <c r="L57" s="1031"/>
      <c r="M57" s="1031"/>
      <c r="N57" s="1190">
        <f t="shared" si="75"/>
        <v>0</v>
      </c>
      <c r="O57" s="1245">
        <f t="shared" si="76"/>
        <v>0</v>
      </c>
      <c r="P57" s="1287"/>
      <c r="Q57" s="1031"/>
      <c r="R57" s="1031"/>
      <c r="S57" s="1190">
        <f t="shared" si="77"/>
        <v>0</v>
      </c>
      <c r="T57" s="1245">
        <f t="shared" si="1"/>
        <v>0</v>
      </c>
      <c r="U57" s="1030"/>
      <c r="V57" s="1031"/>
      <c r="W57" s="1031"/>
      <c r="X57" s="1190">
        <f t="shared" si="78"/>
        <v>0</v>
      </c>
      <c r="Y57" s="1245" t="e">
        <f t="shared" si="68"/>
        <v>#DIV/0!</v>
      </c>
      <c r="Z57" s="1287"/>
      <c r="AA57" s="1031"/>
      <c r="AB57" s="1031"/>
      <c r="AC57" s="1190">
        <f t="shared" si="79"/>
        <v>0</v>
      </c>
      <c r="AD57" s="1245">
        <f t="shared" si="45"/>
        <v>0</v>
      </c>
      <c r="AE57" s="1287"/>
      <c r="AF57" s="1567"/>
      <c r="AG57" s="1567"/>
      <c r="AH57" s="1495">
        <f t="shared" si="80"/>
        <v>0</v>
      </c>
      <c r="AI57" s="1555">
        <f t="shared" si="46"/>
        <v>0</v>
      </c>
      <c r="AJ57" s="1618"/>
      <c r="AK57" s="1567"/>
      <c r="AL57" s="1567"/>
      <c r="AM57" s="1495">
        <f t="shared" si="81"/>
        <v>0</v>
      </c>
      <c r="AN57" s="1555">
        <f t="shared" si="3"/>
        <v>0</v>
      </c>
      <c r="AO57" s="1605"/>
      <c r="AP57" s="1791"/>
      <c r="AQ57" s="1791"/>
      <c r="AR57" s="1780">
        <f t="shared" si="82"/>
        <v>0</v>
      </c>
      <c r="AS57" s="1792">
        <f t="shared" si="69"/>
        <v>0</v>
      </c>
      <c r="AT57" s="1741"/>
      <c r="AU57" s="1567"/>
      <c r="AV57" s="1567"/>
      <c r="AW57" s="1495">
        <f t="shared" si="83"/>
        <v>0</v>
      </c>
      <c r="AX57" s="1893">
        <f t="shared" si="70"/>
        <v>0</v>
      </c>
      <c r="AY57" s="1605"/>
      <c r="AZ57" s="1031"/>
      <c r="BA57" s="1031"/>
      <c r="BB57" s="1190">
        <f t="shared" si="84"/>
        <v>0</v>
      </c>
      <c r="BC57" s="1245" t="e">
        <f t="shared" si="71"/>
        <v>#DIV/0!</v>
      </c>
      <c r="BD57" s="1030"/>
      <c r="BE57" s="1031"/>
      <c r="BF57" s="1031"/>
      <c r="BG57" s="1190">
        <f t="shared" si="85"/>
        <v>0</v>
      </c>
      <c r="BH57" s="1245" t="e">
        <f t="shared" si="72"/>
        <v>#DIV/0!</v>
      </c>
      <c r="BI57" s="1030"/>
      <c r="BJ57" s="1188">
        <f t="shared" si="86"/>
        <v>0</v>
      </c>
      <c r="BK57" s="1188">
        <f t="shared" si="87"/>
        <v>0</v>
      </c>
      <c r="BL57" s="1190">
        <f t="shared" si="88"/>
        <v>0</v>
      </c>
      <c r="BM57" s="1245">
        <f t="shared" si="73"/>
        <v>0</v>
      </c>
      <c r="BN57" s="1246"/>
    </row>
    <row r="58" spans="1:66" ht="15" customHeight="1" outlineLevel="2" x14ac:dyDescent="0.25">
      <c r="A58" s="237"/>
      <c r="B58" s="1116" t="s">
        <v>67</v>
      </c>
      <c r="C58" s="1242">
        <v>34535</v>
      </c>
      <c r="D58" s="1243">
        <v>79216</v>
      </c>
      <c r="E58" s="1244">
        <f t="shared" si="74"/>
        <v>113751</v>
      </c>
      <c r="F58" s="1245">
        <f t="shared" si="89"/>
        <v>9.7137861281351122E-3</v>
      </c>
      <c r="G58" s="1188">
        <v>37742.29</v>
      </c>
      <c r="H58" s="1188">
        <v>97797.641250000001</v>
      </c>
      <c r="I58" s="1190">
        <v>135539.93124999999</v>
      </c>
      <c r="J58" s="1049">
        <v>1.0430513057166278E-2</v>
      </c>
      <c r="K58" s="1049"/>
      <c r="L58" s="1031"/>
      <c r="M58" s="1031"/>
      <c r="N58" s="1190">
        <f t="shared" si="75"/>
        <v>0</v>
      </c>
      <c r="O58" s="1245">
        <f t="shared" si="76"/>
        <v>0</v>
      </c>
      <c r="P58" s="1288"/>
      <c r="Q58" s="1031">
        <v>19100</v>
      </c>
      <c r="R58" s="1031"/>
      <c r="S58" s="1190">
        <f t="shared" si="77"/>
        <v>19100</v>
      </c>
      <c r="T58" s="1245">
        <f t="shared" si="1"/>
        <v>3.3457294544534479E-2</v>
      </c>
      <c r="U58" s="1030" t="s">
        <v>1018</v>
      </c>
      <c r="V58" s="1031"/>
      <c r="W58" s="1031"/>
      <c r="X58" s="1190">
        <f t="shared" si="78"/>
        <v>0</v>
      </c>
      <c r="Y58" s="1245" t="e">
        <f t="shared" si="68"/>
        <v>#DIV/0!</v>
      </c>
      <c r="Z58" s="1288"/>
      <c r="AA58" s="1031"/>
      <c r="AB58" s="1031"/>
      <c r="AC58" s="1190">
        <f t="shared" si="79"/>
        <v>0</v>
      </c>
      <c r="AD58" s="1245">
        <f t="shared" si="45"/>
        <v>0</v>
      </c>
      <c r="AE58" s="1288"/>
      <c r="AF58" s="1567"/>
      <c r="AG58" s="1567"/>
      <c r="AH58" s="1495">
        <f t="shared" si="80"/>
        <v>0</v>
      </c>
      <c r="AI58" s="1555">
        <f t="shared" si="46"/>
        <v>0</v>
      </c>
      <c r="AJ58" s="1624"/>
      <c r="AK58" s="1567"/>
      <c r="AL58" s="1567"/>
      <c r="AM58" s="1495">
        <f t="shared" si="81"/>
        <v>0</v>
      </c>
      <c r="AN58" s="1555">
        <f t="shared" si="3"/>
        <v>0</v>
      </c>
      <c r="AO58" s="1605"/>
      <c r="AP58" s="1791"/>
      <c r="AQ58" s="1791"/>
      <c r="AR58" s="1780">
        <f t="shared" si="82"/>
        <v>0</v>
      </c>
      <c r="AS58" s="1792">
        <f t="shared" si="69"/>
        <v>0</v>
      </c>
      <c r="AT58" s="1741"/>
      <c r="AU58" s="1567"/>
      <c r="AV58" s="1567"/>
      <c r="AW58" s="1495">
        <f t="shared" si="83"/>
        <v>0</v>
      </c>
      <c r="AX58" s="1893">
        <f t="shared" si="70"/>
        <v>0</v>
      </c>
      <c r="AY58" s="1605"/>
      <c r="AZ58" s="1031"/>
      <c r="BA58" s="1031"/>
      <c r="BB58" s="1190">
        <f t="shared" si="84"/>
        <v>0</v>
      </c>
      <c r="BC58" s="1245" t="e">
        <f t="shared" si="71"/>
        <v>#DIV/0!</v>
      </c>
      <c r="BD58" s="1030"/>
      <c r="BE58" s="1031"/>
      <c r="BF58" s="1031"/>
      <c r="BG58" s="1190">
        <f t="shared" si="85"/>
        <v>0</v>
      </c>
      <c r="BH58" s="1245" t="e">
        <f t="shared" si="72"/>
        <v>#DIV/0!</v>
      </c>
      <c r="BI58" s="1030"/>
      <c r="BJ58" s="1188">
        <f t="shared" si="86"/>
        <v>56842.29</v>
      </c>
      <c r="BK58" s="1188">
        <f t="shared" si="87"/>
        <v>97797.641250000001</v>
      </c>
      <c r="BL58" s="1190">
        <f t="shared" si="88"/>
        <v>154639.93124999999</v>
      </c>
      <c r="BM58" s="1245">
        <f t="shared" si="73"/>
        <v>1.108022346344123E-2</v>
      </c>
      <c r="BN58" s="1246"/>
    </row>
    <row r="59" spans="1:66" ht="15" customHeight="1" outlineLevel="2" x14ac:dyDescent="0.25">
      <c r="A59" s="237"/>
      <c r="B59" s="1116" t="s">
        <v>66</v>
      </c>
      <c r="C59" s="1242">
        <v>8366</v>
      </c>
      <c r="D59" s="1243"/>
      <c r="E59" s="1244">
        <f t="shared" si="74"/>
        <v>8366</v>
      </c>
      <c r="F59" s="1245">
        <f t="shared" si="89"/>
        <v>7.1441600291846533E-4</v>
      </c>
      <c r="G59" s="1188">
        <v>9142.56</v>
      </c>
      <c r="H59" s="1188">
        <v>0</v>
      </c>
      <c r="I59" s="1190">
        <v>9142.56</v>
      </c>
      <c r="J59" s="1049">
        <v>7.0356824425441141E-4</v>
      </c>
      <c r="K59" s="1049"/>
      <c r="L59" s="1031"/>
      <c r="M59" s="1031"/>
      <c r="N59" s="1190">
        <f t="shared" si="75"/>
        <v>0</v>
      </c>
      <c r="O59" s="1245">
        <f t="shared" si="76"/>
        <v>0</v>
      </c>
      <c r="P59" s="1287"/>
      <c r="Q59" s="1031"/>
      <c r="R59" s="1031"/>
      <c r="S59" s="1190">
        <f t="shared" si="77"/>
        <v>0</v>
      </c>
      <c r="T59" s="1245">
        <f t="shared" si="1"/>
        <v>0</v>
      </c>
      <c r="U59" s="1030"/>
      <c r="V59" s="1031"/>
      <c r="W59" s="1031"/>
      <c r="X59" s="1190">
        <f t="shared" si="78"/>
        <v>0</v>
      </c>
      <c r="Y59" s="1245" t="e">
        <f t="shared" si="68"/>
        <v>#DIV/0!</v>
      </c>
      <c r="Z59" s="1287"/>
      <c r="AA59" s="1031"/>
      <c r="AB59" s="1031"/>
      <c r="AC59" s="1190">
        <f t="shared" si="79"/>
        <v>0</v>
      </c>
      <c r="AD59" s="1245">
        <f t="shared" si="45"/>
        <v>0</v>
      </c>
      <c r="AE59" s="1287"/>
      <c r="AF59" s="1567"/>
      <c r="AG59" s="1567"/>
      <c r="AH59" s="1495">
        <f t="shared" si="80"/>
        <v>0</v>
      </c>
      <c r="AI59" s="1555">
        <f t="shared" si="46"/>
        <v>0</v>
      </c>
      <c r="AJ59" s="1618"/>
      <c r="AK59" s="1567"/>
      <c r="AL59" s="1567"/>
      <c r="AM59" s="1495">
        <f t="shared" si="81"/>
        <v>0</v>
      </c>
      <c r="AN59" s="1555">
        <f t="shared" si="3"/>
        <v>0</v>
      </c>
      <c r="AO59" s="1605"/>
      <c r="AP59" s="1791"/>
      <c r="AQ59" s="1791"/>
      <c r="AR59" s="1780">
        <f t="shared" si="82"/>
        <v>0</v>
      </c>
      <c r="AS59" s="1792">
        <f t="shared" si="69"/>
        <v>0</v>
      </c>
      <c r="AT59" s="1741"/>
      <c r="AU59" s="1567"/>
      <c r="AV59" s="1567"/>
      <c r="AW59" s="1495">
        <f t="shared" si="83"/>
        <v>0</v>
      </c>
      <c r="AX59" s="1893">
        <f t="shared" si="70"/>
        <v>0</v>
      </c>
      <c r="AY59" s="1605"/>
      <c r="AZ59" s="1031"/>
      <c r="BA59" s="1031"/>
      <c r="BB59" s="1190">
        <f t="shared" si="84"/>
        <v>0</v>
      </c>
      <c r="BC59" s="1245" t="e">
        <f t="shared" si="71"/>
        <v>#DIV/0!</v>
      </c>
      <c r="BD59" s="1030"/>
      <c r="BE59" s="1031"/>
      <c r="BF59" s="1031"/>
      <c r="BG59" s="1190">
        <f t="shared" si="85"/>
        <v>0</v>
      </c>
      <c r="BH59" s="1245" t="e">
        <f t="shared" si="72"/>
        <v>#DIV/0!</v>
      </c>
      <c r="BI59" s="1030"/>
      <c r="BJ59" s="1188">
        <f t="shared" si="86"/>
        <v>9142.56</v>
      </c>
      <c r="BK59" s="1188">
        <f t="shared" si="87"/>
        <v>0</v>
      </c>
      <c r="BL59" s="1190">
        <f t="shared" si="88"/>
        <v>9142.56</v>
      </c>
      <c r="BM59" s="1245">
        <f t="shared" si="73"/>
        <v>6.5508052809561275E-4</v>
      </c>
      <c r="BN59" s="1246"/>
    </row>
    <row r="60" spans="1:66" ht="15" customHeight="1" outlineLevel="2" x14ac:dyDescent="0.25">
      <c r="A60" s="237"/>
      <c r="B60" s="1116" t="s">
        <v>65</v>
      </c>
      <c r="C60" s="1242">
        <v>9438</v>
      </c>
      <c r="D60" s="1243"/>
      <c r="E60" s="1244">
        <f t="shared" si="74"/>
        <v>9438</v>
      </c>
      <c r="F60" s="1245">
        <f t="shared" si="89"/>
        <v>8.0595962652934216E-4</v>
      </c>
      <c r="G60" s="1188">
        <v>10314.67</v>
      </c>
      <c r="H60" s="1188">
        <v>0</v>
      </c>
      <c r="I60" s="1190">
        <v>10314.67</v>
      </c>
      <c r="J60" s="1049">
        <v>7.9376829487185754E-4</v>
      </c>
      <c r="K60" s="1049"/>
      <c r="L60" s="1031"/>
      <c r="M60" s="1031"/>
      <c r="N60" s="1190">
        <f t="shared" si="75"/>
        <v>0</v>
      </c>
      <c r="O60" s="1245">
        <f t="shared" si="76"/>
        <v>0</v>
      </c>
      <c r="P60" s="1287"/>
      <c r="Q60" s="1031"/>
      <c r="R60" s="1031"/>
      <c r="S60" s="1190">
        <f t="shared" si="77"/>
        <v>0</v>
      </c>
      <c r="T60" s="1245">
        <f t="shared" si="1"/>
        <v>0</v>
      </c>
      <c r="U60" s="1030"/>
      <c r="V60" s="1031"/>
      <c r="W60" s="1031"/>
      <c r="X60" s="1190">
        <f t="shared" si="78"/>
        <v>0</v>
      </c>
      <c r="Y60" s="1245" t="e">
        <f t="shared" si="68"/>
        <v>#DIV/0!</v>
      </c>
      <c r="Z60" s="1287"/>
      <c r="AA60" s="1031"/>
      <c r="AB60" s="1031"/>
      <c r="AC60" s="1190">
        <f t="shared" si="79"/>
        <v>0</v>
      </c>
      <c r="AD60" s="1245">
        <f t="shared" si="45"/>
        <v>0</v>
      </c>
      <c r="AE60" s="1287"/>
      <c r="AF60" s="1567"/>
      <c r="AG60" s="1567"/>
      <c r="AH60" s="1495">
        <f t="shared" si="80"/>
        <v>0</v>
      </c>
      <c r="AI60" s="1555">
        <f t="shared" si="46"/>
        <v>0</v>
      </c>
      <c r="AJ60" s="1618"/>
      <c r="AK60" s="1567"/>
      <c r="AL60" s="1567"/>
      <c r="AM60" s="1495">
        <f t="shared" si="81"/>
        <v>0</v>
      </c>
      <c r="AN60" s="1555">
        <f t="shared" si="3"/>
        <v>0</v>
      </c>
      <c r="AO60" s="1605"/>
      <c r="AP60" s="1791"/>
      <c r="AQ60" s="1791"/>
      <c r="AR60" s="1780">
        <f t="shared" si="82"/>
        <v>0</v>
      </c>
      <c r="AS60" s="1792">
        <f t="shared" si="69"/>
        <v>0</v>
      </c>
      <c r="AT60" s="1741"/>
      <c r="AU60" s="1567"/>
      <c r="AV60" s="1567"/>
      <c r="AW60" s="1495">
        <f t="shared" si="83"/>
        <v>0</v>
      </c>
      <c r="AX60" s="1893">
        <f t="shared" si="70"/>
        <v>0</v>
      </c>
      <c r="AY60" s="1605"/>
      <c r="AZ60" s="1031"/>
      <c r="BA60" s="1031"/>
      <c r="BB60" s="1190">
        <f t="shared" si="84"/>
        <v>0</v>
      </c>
      <c r="BC60" s="1245" t="e">
        <f t="shared" si="71"/>
        <v>#DIV/0!</v>
      </c>
      <c r="BD60" s="1030"/>
      <c r="BE60" s="1031"/>
      <c r="BF60" s="1031"/>
      <c r="BG60" s="1190">
        <f t="shared" si="85"/>
        <v>0</v>
      </c>
      <c r="BH60" s="1245" t="e">
        <f t="shared" si="72"/>
        <v>#DIV/0!</v>
      </c>
      <c r="BI60" s="1030"/>
      <c r="BJ60" s="1188">
        <f t="shared" si="86"/>
        <v>10314.67</v>
      </c>
      <c r="BK60" s="1188">
        <f t="shared" si="87"/>
        <v>0</v>
      </c>
      <c r="BL60" s="1190">
        <f t="shared" si="88"/>
        <v>10314.67</v>
      </c>
      <c r="BM60" s="1245">
        <f t="shared" si="73"/>
        <v>7.3906427420022123E-4</v>
      </c>
      <c r="BN60" s="1246"/>
    </row>
    <row r="61" spans="1:66" ht="15" customHeight="1" outlineLevel="2" x14ac:dyDescent="0.25">
      <c r="A61" s="237"/>
      <c r="B61" s="1116" t="s">
        <v>32</v>
      </c>
      <c r="C61" s="1242"/>
      <c r="D61" s="1243"/>
      <c r="E61" s="1244">
        <f t="shared" si="74"/>
        <v>0</v>
      </c>
      <c r="F61" s="1245">
        <f t="shared" si="89"/>
        <v>0</v>
      </c>
      <c r="G61" s="1188">
        <v>0</v>
      </c>
      <c r="H61" s="1188">
        <v>0</v>
      </c>
      <c r="I61" s="1190">
        <v>0</v>
      </c>
      <c r="J61" s="1049">
        <v>0</v>
      </c>
      <c r="K61" s="1049"/>
      <c r="L61" s="1031"/>
      <c r="M61" s="1031"/>
      <c r="N61" s="1190">
        <f t="shared" si="75"/>
        <v>0</v>
      </c>
      <c r="O61" s="1245">
        <f t="shared" si="76"/>
        <v>0</v>
      </c>
      <c r="P61" s="1287"/>
      <c r="Q61" s="1031"/>
      <c r="R61" s="1031"/>
      <c r="S61" s="1190">
        <f t="shared" si="77"/>
        <v>0</v>
      </c>
      <c r="T61" s="1245">
        <f t="shared" si="1"/>
        <v>0</v>
      </c>
      <c r="U61" s="1030"/>
      <c r="V61" s="1031"/>
      <c r="W61" s="1031"/>
      <c r="X61" s="1190">
        <f t="shared" si="78"/>
        <v>0</v>
      </c>
      <c r="Y61" s="1245" t="e">
        <f t="shared" si="68"/>
        <v>#DIV/0!</v>
      </c>
      <c r="Z61" s="1287"/>
      <c r="AA61" s="1031"/>
      <c r="AB61" s="1031"/>
      <c r="AC61" s="1190">
        <f t="shared" si="79"/>
        <v>0</v>
      </c>
      <c r="AD61" s="1245">
        <f t="shared" si="45"/>
        <v>0</v>
      </c>
      <c r="AE61" s="1287"/>
      <c r="AF61" s="1567"/>
      <c r="AG61" s="1567"/>
      <c r="AH61" s="1495">
        <f t="shared" si="80"/>
        <v>0</v>
      </c>
      <c r="AI61" s="1555">
        <f t="shared" si="46"/>
        <v>0</v>
      </c>
      <c r="AJ61" s="1618"/>
      <c r="AK61" s="1567"/>
      <c r="AL61" s="1567"/>
      <c r="AM61" s="1495">
        <f t="shared" si="81"/>
        <v>0</v>
      </c>
      <c r="AN61" s="1555">
        <f t="shared" si="3"/>
        <v>0</v>
      </c>
      <c r="AO61" s="1605"/>
      <c r="AP61" s="1791"/>
      <c r="AQ61" s="1791"/>
      <c r="AR61" s="1780">
        <f t="shared" si="82"/>
        <v>0</v>
      </c>
      <c r="AS61" s="1792">
        <f t="shared" si="69"/>
        <v>0</v>
      </c>
      <c r="AT61" s="1741"/>
      <c r="AU61" s="1567"/>
      <c r="AV61" s="1567"/>
      <c r="AW61" s="1495">
        <f t="shared" si="83"/>
        <v>0</v>
      </c>
      <c r="AX61" s="1893">
        <f t="shared" si="70"/>
        <v>0</v>
      </c>
      <c r="AY61" s="1605"/>
      <c r="AZ61" s="1031"/>
      <c r="BA61" s="1031"/>
      <c r="BB61" s="1190">
        <f t="shared" si="84"/>
        <v>0</v>
      </c>
      <c r="BC61" s="1245" t="e">
        <f t="shared" si="71"/>
        <v>#DIV/0!</v>
      </c>
      <c r="BD61" s="1030"/>
      <c r="BE61" s="1031"/>
      <c r="BF61" s="1031"/>
      <c r="BG61" s="1190">
        <f t="shared" si="85"/>
        <v>0</v>
      </c>
      <c r="BH61" s="1245" t="e">
        <f t="shared" si="72"/>
        <v>#DIV/0!</v>
      </c>
      <c r="BI61" s="1030"/>
      <c r="BJ61" s="1188">
        <f t="shared" si="86"/>
        <v>0</v>
      </c>
      <c r="BK61" s="1188">
        <f t="shared" si="87"/>
        <v>0</v>
      </c>
      <c r="BL61" s="1190">
        <f t="shared" si="88"/>
        <v>0</v>
      </c>
      <c r="BM61" s="1245">
        <f t="shared" si="73"/>
        <v>0</v>
      </c>
      <c r="BN61" s="1246"/>
    </row>
    <row r="62" spans="1:66" ht="15" customHeight="1" outlineLevel="2" x14ac:dyDescent="0.25">
      <c r="A62" s="237"/>
      <c r="B62" s="1116" t="s">
        <v>33</v>
      </c>
      <c r="C62" s="1242"/>
      <c r="D62" s="1243"/>
      <c r="E62" s="1244">
        <f t="shared" si="74"/>
        <v>0</v>
      </c>
      <c r="F62" s="1245">
        <f t="shared" si="89"/>
        <v>0</v>
      </c>
      <c r="G62" s="1188">
        <v>0</v>
      </c>
      <c r="H62" s="1188">
        <v>0</v>
      </c>
      <c r="I62" s="1190">
        <v>0</v>
      </c>
      <c r="J62" s="1049">
        <v>0</v>
      </c>
      <c r="K62" s="1049"/>
      <c r="L62" s="1031"/>
      <c r="M62" s="1031"/>
      <c r="N62" s="1190">
        <f t="shared" si="75"/>
        <v>0</v>
      </c>
      <c r="O62" s="1245">
        <f t="shared" si="76"/>
        <v>0</v>
      </c>
      <c r="P62" s="1287"/>
      <c r="Q62" s="1031"/>
      <c r="R62" s="1031"/>
      <c r="S62" s="1190">
        <f t="shared" si="77"/>
        <v>0</v>
      </c>
      <c r="T62" s="1245">
        <f t="shared" si="1"/>
        <v>0</v>
      </c>
      <c r="U62" s="1030"/>
      <c r="V62" s="1155"/>
      <c r="W62" s="1031"/>
      <c r="X62" s="1190">
        <f t="shared" si="78"/>
        <v>0</v>
      </c>
      <c r="Y62" s="1245" t="e">
        <f t="shared" si="68"/>
        <v>#DIV/0!</v>
      </c>
      <c r="Z62" s="1287"/>
      <c r="AA62" s="1031"/>
      <c r="AB62" s="1031"/>
      <c r="AC62" s="1190">
        <f t="shared" si="79"/>
        <v>0</v>
      </c>
      <c r="AD62" s="1245">
        <f t="shared" si="45"/>
        <v>0</v>
      </c>
      <c r="AE62" s="1287"/>
      <c r="AF62" s="1567"/>
      <c r="AG62" s="1567"/>
      <c r="AH62" s="1495">
        <f t="shared" si="80"/>
        <v>0</v>
      </c>
      <c r="AI62" s="1555">
        <f t="shared" si="46"/>
        <v>0</v>
      </c>
      <c r="AJ62" s="1618"/>
      <c r="AK62" s="1567"/>
      <c r="AL62" s="1567"/>
      <c r="AM62" s="1495">
        <f t="shared" si="81"/>
        <v>0</v>
      </c>
      <c r="AN62" s="1555">
        <f t="shared" si="3"/>
        <v>0</v>
      </c>
      <c r="AO62" s="1605"/>
      <c r="AP62" s="1791"/>
      <c r="AQ62" s="1791"/>
      <c r="AR62" s="1780">
        <f t="shared" si="82"/>
        <v>0</v>
      </c>
      <c r="AS62" s="1792">
        <f t="shared" si="69"/>
        <v>0</v>
      </c>
      <c r="AT62" s="1741"/>
      <c r="AU62" s="1567"/>
      <c r="AV62" s="1567"/>
      <c r="AW62" s="1495">
        <f t="shared" si="83"/>
        <v>0</v>
      </c>
      <c r="AX62" s="1893">
        <f t="shared" si="70"/>
        <v>0</v>
      </c>
      <c r="AY62" s="1605"/>
      <c r="AZ62" s="1031"/>
      <c r="BA62" s="1031"/>
      <c r="BB62" s="1190">
        <f t="shared" si="84"/>
        <v>0</v>
      </c>
      <c r="BC62" s="1245" t="e">
        <f t="shared" si="71"/>
        <v>#DIV/0!</v>
      </c>
      <c r="BD62" s="1030"/>
      <c r="BE62" s="1031"/>
      <c r="BF62" s="1031"/>
      <c r="BG62" s="1190">
        <f t="shared" si="85"/>
        <v>0</v>
      </c>
      <c r="BH62" s="1245" t="e">
        <f t="shared" si="72"/>
        <v>#DIV/0!</v>
      </c>
      <c r="BI62" s="1030"/>
      <c r="BJ62" s="1188">
        <f t="shared" si="86"/>
        <v>0</v>
      </c>
      <c r="BK62" s="1188">
        <f t="shared" si="87"/>
        <v>0</v>
      </c>
      <c r="BL62" s="1190">
        <f t="shared" si="88"/>
        <v>0</v>
      </c>
      <c r="BM62" s="1245">
        <f t="shared" si="73"/>
        <v>0</v>
      </c>
      <c r="BN62" s="1246"/>
    </row>
    <row r="63" spans="1:66" ht="15" customHeight="1" outlineLevel="2" x14ac:dyDescent="0.25">
      <c r="A63" s="237"/>
      <c r="B63" s="1116" t="s">
        <v>35</v>
      </c>
      <c r="C63" s="1242"/>
      <c r="D63" s="1243"/>
      <c r="E63" s="1244">
        <f t="shared" si="74"/>
        <v>0</v>
      </c>
      <c r="F63" s="1245">
        <f t="shared" si="89"/>
        <v>0</v>
      </c>
      <c r="G63" s="1188">
        <v>30791.516080000001</v>
      </c>
      <c r="H63" s="1188">
        <v>0</v>
      </c>
      <c r="I63" s="1190">
        <v>30791.516080000001</v>
      </c>
      <c r="J63" s="1049">
        <v>2.369569672644979E-3</v>
      </c>
      <c r="K63" s="1049"/>
      <c r="L63" s="1031"/>
      <c r="M63" s="1031"/>
      <c r="N63" s="1190">
        <f t="shared" si="75"/>
        <v>0</v>
      </c>
      <c r="O63" s="1245">
        <f t="shared" si="76"/>
        <v>0</v>
      </c>
      <c r="P63" s="1311"/>
      <c r="Q63" s="1031"/>
      <c r="R63" s="1031">
        <v>2247</v>
      </c>
      <c r="S63" s="1190">
        <f t="shared" si="77"/>
        <v>2247</v>
      </c>
      <c r="T63" s="1245">
        <f t="shared" si="1"/>
        <v>3.9360492587208881E-3</v>
      </c>
      <c r="U63" s="1030" t="s">
        <v>1059</v>
      </c>
      <c r="V63" s="1155"/>
      <c r="W63" s="1031"/>
      <c r="X63" s="1190">
        <f t="shared" si="78"/>
        <v>0</v>
      </c>
      <c r="Y63" s="1245" t="e">
        <f t="shared" si="68"/>
        <v>#DIV/0!</v>
      </c>
      <c r="Z63" s="1311"/>
      <c r="AA63" s="1031"/>
      <c r="AB63" s="1031"/>
      <c r="AC63" s="1190">
        <f t="shared" si="79"/>
        <v>0</v>
      </c>
      <c r="AD63" s="1245">
        <f t="shared" si="45"/>
        <v>0</v>
      </c>
      <c r="AE63" s="1312"/>
      <c r="AF63" s="1567"/>
      <c r="AG63" s="1567"/>
      <c r="AH63" s="1495">
        <f t="shared" si="80"/>
        <v>0</v>
      </c>
      <c r="AI63" s="1555">
        <f t="shared" si="46"/>
        <v>0</v>
      </c>
      <c r="AJ63" s="1629"/>
      <c r="AK63" s="1567"/>
      <c r="AL63" s="1567"/>
      <c r="AM63" s="1495">
        <f t="shared" si="81"/>
        <v>0</v>
      </c>
      <c r="AN63" s="1555">
        <f t="shared" si="3"/>
        <v>0</v>
      </c>
      <c r="AO63" s="1605"/>
      <c r="AP63" s="1791"/>
      <c r="AQ63" s="1791"/>
      <c r="AR63" s="1780">
        <f t="shared" si="82"/>
        <v>0</v>
      </c>
      <c r="AS63" s="1792">
        <f t="shared" si="69"/>
        <v>0</v>
      </c>
      <c r="AT63" s="1741"/>
      <c r="AU63" s="1567"/>
      <c r="AV63" s="1567"/>
      <c r="AW63" s="1495">
        <f t="shared" si="83"/>
        <v>0</v>
      </c>
      <c r="AX63" s="1893">
        <f t="shared" si="70"/>
        <v>0</v>
      </c>
      <c r="AY63" s="1718"/>
      <c r="AZ63" s="1031"/>
      <c r="BA63" s="1031"/>
      <c r="BB63" s="1190">
        <f t="shared" si="84"/>
        <v>0</v>
      </c>
      <c r="BC63" s="1245" t="e">
        <f t="shared" si="71"/>
        <v>#DIV/0!</v>
      </c>
      <c r="BD63" s="1094"/>
      <c r="BE63" s="1031"/>
      <c r="BF63" s="1031"/>
      <c r="BG63" s="1190">
        <f t="shared" si="85"/>
        <v>0</v>
      </c>
      <c r="BH63" s="1245" t="e">
        <f t="shared" si="72"/>
        <v>#DIV/0!</v>
      </c>
      <c r="BI63" s="1094"/>
      <c r="BJ63" s="1188">
        <f t="shared" si="86"/>
        <v>30791.516080000001</v>
      </c>
      <c r="BK63" s="1188">
        <f t="shared" si="87"/>
        <v>2247</v>
      </c>
      <c r="BL63" s="1190">
        <f t="shared" si="88"/>
        <v>33038.516080000001</v>
      </c>
      <c r="BM63" s="1245">
        <f t="shared" si="73"/>
        <v>2.367267872585118E-3</v>
      </c>
      <c r="BN63" s="1246"/>
    </row>
    <row r="64" spans="1:66" ht="15" customHeight="1" outlineLevel="2" x14ac:dyDescent="0.25">
      <c r="A64" s="237"/>
      <c r="B64" s="1116" t="s">
        <v>63</v>
      </c>
      <c r="C64" s="1242"/>
      <c r="D64" s="1243"/>
      <c r="E64" s="1244">
        <f t="shared" si="74"/>
        <v>0</v>
      </c>
      <c r="F64" s="1245">
        <f t="shared" si="89"/>
        <v>0</v>
      </c>
      <c r="G64" s="1188">
        <v>0</v>
      </c>
      <c r="H64" s="1188">
        <v>0</v>
      </c>
      <c r="I64" s="1190">
        <v>0</v>
      </c>
      <c r="J64" s="1049">
        <v>0</v>
      </c>
      <c r="K64" s="1049"/>
      <c r="L64" s="1031"/>
      <c r="M64" s="1031"/>
      <c r="N64" s="1190">
        <f t="shared" si="75"/>
        <v>0</v>
      </c>
      <c r="O64" s="1245">
        <f t="shared" si="76"/>
        <v>0</v>
      </c>
      <c r="P64" s="1311"/>
      <c r="Q64" s="1031"/>
      <c r="R64" s="1031"/>
      <c r="S64" s="1190">
        <f t="shared" si="77"/>
        <v>0</v>
      </c>
      <c r="T64" s="1245">
        <f t="shared" si="1"/>
        <v>0</v>
      </c>
      <c r="U64" s="1030"/>
      <c r="V64" s="1155"/>
      <c r="W64" s="1031"/>
      <c r="X64" s="1190">
        <f t="shared" si="78"/>
        <v>0</v>
      </c>
      <c r="Y64" s="1245" t="e">
        <f t="shared" si="68"/>
        <v>#DIV/0!</v>
      </c>
      <c r="Z64" s="1311"/>
      <c r="AA64" s="1031"/>
      <c r="AB64" s="1031"/>
      <c r="AC64" s="1190">
        <f t="shared" si="79"/>
        <v>0</v>
      </c>
      <c r="AD64" s="1245">
        <f t="shared" si="45"/>
        <v>0</v>
      </c>
      <c r="AE64" s="1311"/>
      <c r="AF64" s="1567"/>
      <c r="AG64" s="1567"/>
      <c r="AH64" s="1495">
        <f t="shared" si="80"/>
        <v>0</v>
      </c>
      <c r="AI64" s="1555">
        <f t="shared" si="46"/>
        <v>0</v>
      </c>
      <c r="AJ64" s="1625"/>
      <c r="AK64" s="1567"/>
      <c r="AL64" s="1567"/>
      <c r="AM64" s="1495">
        <f t="shared" si="81"/>
        <v>0</v>
      </c>
      <c r="AN64" s="1555">
        <f t="shared" si="3"/>
        <v>0</v>
      </c>
      <c r="AO64" s="1605"/>
      <c r="AP64" s="1791"/>
      <c r="AQ64" s="1791"/>
      <c r="AR64" s="1780">
        <f t="shared" si="82"/>
        <v>0</v>
      </c>
      <c r="AS64" s="1792">
        <f t="shared" si="69"/>
        <v>0</v>
      </c>
      <c r="AT64" s="1741"/>
      <c r="AU64" s="1567"/>
      <c r="AV64" s="1567"/>
      <c r="AW64" s="1495">
        <f t="shared" si="83"/>
        <v>0</v>
      </c>
      <c r="AX64" s="1893">
        <f t="shared" si="70"/>
        <v>0</v>
      </c>
      <c r="AY64" s="1605"/>
      <c r="AZ64" s="1031"/>
      <c r="BA64" s="1031"/>
      <c r="BB64" s="1190">
        <f t="shared" si="84"/>
        <v>0</v>
      </c>
      <c r="BC64" s="1245" t="e">
        <f t="shared" si="71"/>
        <v>#DIV/0!</v>
      </c>
      <c r="BD64" s="1030"/>
      <c r="BE64" s="1031"/>
      <c r="BF64" s="1031"/>
      <c r="BG64" s="1190">
        <f t="shared" si="85"/>
        <v>0</v>
      </c>
      <c r="BH64" s="1245" t="e">
        <f t="shared" si="72"/>
        <v>#DIV/0!</v>
      </c>
      <c r="BI64" s="1030"/>
      <c r="BJ64" s="1188">
        <f t="shared" si="86"/>
        <v>0</v>
      </c>
      <c r="BK64" s="1188">
        <f t="shared" si="87"/>
        <v>0</v>
      </c>
      <c r="BL64" s="1190">
        <f t="shared" si="88"/>
        <v>0</v>
      </c>
      <c r="BM64" s="1245">
        <f t="shared" si="73"/>
        <v>0</v>
      </c>
      <c r="BN64" s="1246"/>
    </row>
    <row r="65" spans="1:66" ht="15" customHeight="1" outlineLevel="2" x14ac:dyDescent="0.25">
      <c r="A65" s="237"/>
      <c r="B65" s="1116" t="s">
        <v>36</v>
      </c>
      <c r="C65" s="1242"/>
      <c r="D65" s="1243"/>
      <c r="E65" s="1244">
        <f t="shared" si="74"/>
        <v>0</v>
      </c>
      <c r="F65" s="1245">
        <f t="shared" si="89"/>
        <v>0</v>
      </c>
      <c r="G65" s="1188">
        <v>5510</v>
      </c>
      <c r="H65" s="1188">
        <v>5860</v>
      </c>
      <c r="I65" s="1190">
        <v>11370</v>
      </c>
      <c r="J65" s="1049">
        <v>8.7498150815227443E-4</v>
      </c>
      <c r="K65" s="1049"/>
      <c r="L65" s="1188">
        <v>200</v>
      </c>
      <c r="M65" s="1188"/>
      <c r="N65" s="1190">
        <f t="shared" si="75"/>
        <v>200</v>
      </c>
      <c r="O65" s="1245">
        <f t="shared" si="76"/>
        <v>1.0055187956889828E-2</v>
      </c>
      <c r="P65" s="1030" t="s">
        <v>987</v>
      </c>
      <c r="Q65" s="1188">
        <v>3000</v>
      </c>
      <c r="R65" s="1188">
        <v>5400</v>
      </c>
      <c r="S65" s="1190">
        <f t="shared" si="77"/>
        <v>8400</v>
      </c>
      <c r="T65" s="1245">
        <f t="shared" si="1"/>
        <v>1.4714202836339771E-2</v>
      </c>
      <c r="U65" s="1030" t="s">
        <v>1020</v>
      </c>
      <c r="V65" s="1132"/>
      <c r="W65" s="1188"/>
      <c r="X65" s="1190">
        <f t="shared" si="78"/>
        <v>0</v>
      </c>
      <c r="Y65" s="1245" t="e">
        <f t="shared" si="68"/>
        <v>#DIV/0!</v>
      </c>
      <c r="Z65" s="1030"/>
      <c r="AA65" s="1132"/>
      <c r="AB65" s="1188"/>
      <c r="AC65" s="1190">
        <f t="shared" si="79"/>
        <v>0</v>
      </c>
      <c r="AD65" s="1245">
        <f t="shared" si="45"/>
        <v>0</v>
      </c>
      <c r="AE65" s="1030"/>
      <c r="AF65" s="1766"/>
      <c r="AG65" s="1447"/>
      <c r="AH65" s="1495">
        <f t="shared" si="80"/>
        <v>0</v>
      </c>
      <c r="AI65" s="1555">
        <f t="shared" si="46"/>
        <v>0</v>
      </c>
      <c r="AJ65" s="1605"/>
      <c r="AK65" s="1766"/>
      <c r="AL65" s="1447"/>
      <c r="AM65" s="1495">
        <f t="shared" si="81"/>
        <v>0</v>
      </c>
      <c r="AN65" s="1555">
        <f t="shared" si="3"/>
        <v>0</v>
      </c>
      <c r="AO65" s="1605"/>
      <c r="AP65" s="1846"/>
      <c r="AQ65" s="1640"/>
      <c r="AR65" s="1780">
        <f t="shared" si="82"/>
        <v>0</v>
      </c>
      <c r="AS65" s="1792">
        <f t="shared" si="69"/>
        <v>0</v>
      </c>
      <c r="AT65" s="1741"/>
      <c r="AU65" s="1766"/>
      <c r="AV65" s="1447"/>
      <c r="AW65" s="1495">
        <f t="shared" si="83"/>
        <v>0</v>
      </c>
      <c r="AX65" s="1893">
        <f t="shared" si="70"/>
        <v>0</v>
      </c>
      <c r="AY65" s="1605"/>
      <c r="AZ65" s="1132"/>
      <c r="BA65" s="1188"/>
      <c r="BB65" s="1190">
        <f t="shared" si="84"/>
        <v>0</v>
      </c>
      <c r="BC65" s="1245" t="e">
        <f t="shared" si="71"/>
        <v>#DIV/0!</v>
      </c>
      <c r="BD65" s="1030"/>
      <c r="BE65" s="1132"/>
      <c r="BF65" s="1188"/>
      <c r="BG65" s="1190">
        <f t="shared" si="85"/>
        <v>0</v>
      </c>
      <c r="BH65" s="1245" t="e">
        <f t="shared" si="72"/>
        <v>#DIV/0!</v>
      </c>
      <c r="BI65" s="1030"/>
      <c r="BJ65" s="1188">
        <f t="shared" si="86"/>
        <v>8710</v>
      </c>
      <c r="BK65" s="1188">
        <f t="shared" si="87"/>
        <v>11260</v>
      </c>
      <c r="BL65" s="1190">
        <f t="shared" si="88"/>
        <v>19970</v>
      </c>
      <c r="BM65" s="1245">
        <f t="shared" si="73"/>
        <v>1.4308856760108096E-3</v>
      </c>
      <c r="BN65" s="1246"/>
    </row>
    <row r="66" spans="1:66" s="2" customFormat="1" ht="15" customHeight="1" outlineLevel="2" x14ac:dyDescent="0.25">
      <c r="A66" s="237"/>
      <c r="B66" s="1116" t="s">
        <v>37</v>
      </c>
      <c r="C66" s="1252"/>
      <c r="D66" s="1251"/>
      <c r="E66" s="1244">
        <f t="shared" si="74"/>
        <v>0</v>
      </c>
      <c r="F66" s="1245">
        <f t="shared" si="89"/>
        <v>0</v>
      </c>
      <c r="G66" s="1188">
        <v>0</v>
      </c>
      <c r="H66" s="1188">
        <v>0</v>
      </c>
      <c r="I66" s="1190">
        <v>0</v>
      </c>
      <c r="J66" s="1049">
        <v>0</v>
      </c>
      <c r="K66" s="1049"/>
      <c r="L66" s="1188"/>
      <c r="M66" s="1188"/>
      <c r="N66" s="1190">
        <f t="shared" si="75"/>
        <v>0</v>
      </c>
      <c r="O66" s="1245">
        <f t="shared" si="76"/>
        <v>0</v>
      </c>
      <c r="P66" s="1246"/>
      <c r="Q66" s="1188"/>
      <c r="R66" s="1188"/>
      <c r="S66" s="1190">
        <f t="shared" si="77"/>
        <v>0</v>
      </c>
      <c r="T66" s="1245">
        <f t="shared" si="1"/>
        <v>0</v>
      </c>
      <c r="U66" s="1246"/>
      <c r="V66" s="1132"/>
      <c r="W66" s="1188"/>
      <c r="X66" s="1190">
        <f t="shared" si="78"/>
        <v>0</v>
      </c>
      <c r="Y66" s="1245" t="e">
        <f t="shared" si="68"/>
        <v>#DIV/0!</v>
      </c>
      <c r="Z66" s="1246"/>
      <c r="AA66" s="1188"/>
      <c r="AB66" s="1188"/>
      <c r="AC66" s="1190">
        <f t="shared" si="79"/>
        <v>0</v>
      </c>
      <c r="AD66" s="1245">
        <f t="shared" si="45"/>
        <v>0</v>
      </c>
      <c r="AE66" s="1246"/>
      <c r="AF66" s="1447"/>
      <c r="AG66" s="1447"/>
      <c r="AH66" s="1495">
        <f t="shared" si="80"/>
        <v>0</v>
      </c>
      <c r="AI66" s="1555">
        <f t="shared" si="46"/>
        <v>0</v>
      </c>
      <c r="AJ66" s="1475"/>
      <c r="AK66" s="1447"/>
      <c r="AL66" s="1447"/>
      <c r="AM66" s="1495">
        <f t="shared" si="81"/>
        <v>0</v>
      </c>
      <c r="AN66" s="1555">
        <f t="shared" si="3"/>
        <v>0</v>
      </c>
      <c r="AO66" s="1475"/>
      <c r="AP66" s="1640"/>
      <c r="AQ66" s="1640"/>
      <c r="AR66" s="1780">
        <f t="shared" si="82"/>
        <v>0</v>
      </c>
      <c r="AS66" s="1792">
        <f t="shared" si="69"/>
        <v>0</v>
      </c>
      <c r="AT66" s="1616"/>
      <c r="AU66" s="1447"/>
      <c r="AV66" s="1447"/>
      <c r="AW66" s="1495">
        <f t="shared" si="83"/>
        <v>0</v>
      </c>
      <c r="AX66" s="1893">
        <f t="shared" si="70"/>
        <v>0</v>
      </c>
      <c r="AY66" s="1943"/>
      <c r="AZ66" s="1188"/>
      <c r="BA66" s="1188"/>
      <c r="BB66" s="1190">
        <f t="shared" si="84"/>
        <v>0</v>
      </c>
      <c r="BC66" s="1245" t="e">
        <f t="shared" si="71"/>
        <v>#DIV/0!</v>
      </c>
      <c r="BD66" s="1246"/>
      <c r="BE66" s="1188"/>
      <c r="BF66" s="1188"/>
      <c r="BG66" s="1190">
        <f t="shared" si="85"/>
        <v>0</v>
      </c>
      <c r="BH66" s="1245" t="e">
        <f t="shared" si="72"/>
        <v>#DIV/0!</v>
      </c>
      <c r="BI66" s="1246"/>
      <c r="BJ66" s="1188">
        <f t="shared" si="86"/>
        <v>0</v>
      </c>
      <c r="BK66" s="1188">
        <f t="shared" si="87"/>
        <v>0</v>
      </c>
      <c r="BL66" s="1190">
        <f t="shared" si="88"/>
        <v>0</v>
      </c>
      <c r="BM66" s="1245">
        <f t="shared" si="73"/>
        <v>0</v>
      </c>
      <c r="BN66" s="1246"/>
    </row>
    <row r="67" spans="1:66" s="2" customFormat="1" ht="15" customHeight="1" outlineLevel="2" x14ac:dyDescent="0.25">
      <c r="A67" s="237"/>
      <c r="B67" s="1116" t="s">
        <v>3</v>
      </c>
      <c r="C67" s="1242"/>
      <c r="D67" s="1243"/>
      <c r="E67" s="1244">
        <f t="shared" si="74"/>
        <v>0</v>
      </c>
      <c r="F67" s="1245">
        <f t="shared" si="89"/>
        <v>0</v>
      </c>
      <c r="G67" s="1188">
        <v>700</v>
      </c>
      <c r="H67" s="1188">
        <v>0</v>
      </c>
      <c r="I67" s="1190">
        <v>700</v>
      </c>
      <c r="J67" s="1049">
        <v>5.386869443329746E-5</v>
      </c>
      <c r="K67" s="1049"/>
      <c r="L67" s="1188"/>
      <c r="M67" s="1188"/>
      <c r="N67" s="1190">
        <f t="shared" si="75"/>
        <v>0</v>
      </c>
      <c r="O67" s="1245">
        <f t="shared" si="76"/>
        <v>0</v>
      </c>
      <c r="P67" s="1246"/>
      <c r="Q67" s="1188"/>
      <c r="R67" s="1188"/>
      <c r="S67" s="1190">
        <f t="shared" si="77"/>
        <v>0</v>
      </c>
      <c r="T67" s="1245">
        <f t="shared" si="1"/>
        <v>0</v>
      </c>
      <c r="U67" s="1246"/>
      <c r="V67" s="1132"/>
      <c r="W67" s="1188"/>
      <c r="X67" s="1190">
        <f t="shared" si="78"/>
        <v>0</v>
      </c>
      <c r="Y67" s="1245" t="e">
        <f t="shared" si="68"/>
        <v>#DIV/0!</v>
      </c>
      <c r="Z67" s="1246"/>
      <c r="AA67" s="1188"/>
      <c r="AB67" s="1188"/>
      <c r="AC67" s="1190">
        <f t="shared" si="79"/>
        <v>0</v>
      </c>
      <c r="AD67" s="1245">
        <f t="shared" si="45"/>
        <v>0</v>
      </c>
      <c r="AE67" s="1246"/>
      <c r="AF67" s="1447"/>
      <c r="AG67" s="1447"/>
      <c r="AH67" s="1495">
        <f t="shared" si="80"/>
        <v>0</v>
      </c>
      <c r="AI67" s="1555">
        <f t="shared" si="46"/>
        <v>0</v>
      </c>
      <c r="AJ67" s="1475"/>
      <c r="AK67" s="1447"/>
      <c r="AL67" s="1447"/>
      <c r="AM67" s="1495">
        <f t="shared" si="81"/>
        <v>0</v>
      </c>
      <c r="AN67" s="1555">
        <f t="shared" si="3"/>
        <v>0</v>
      </c>
      <c r="AO67" s="1475"/>
      <c r="AP67" s="1640"/>
      <c r="AQ67" s="1640"/>
      <c r="AR67" s="1780">
        <f t="shared" si="82"/>
        <v>0</v>
      </c>
      <c r="AS67" s="1792">
        <f t="shared" si="69"/>
        <v>0</v>
      </c>
      <c r="AT67" s="1616"/>
      <c r="AU67" s="1447"/>
      <c r="AV67" s="1447"/>
      <c r="AW67" s="1495">
        <f t="shared" si="83"/>
        <v>0</v>
      </c>
      <c r="AX67" s="1893">
        <f t="shared" si="70"/>
        <v>0</v>
      </c>
      <c r="AY67" s="1943"/>
      <c r="AZ67" s="1188"/>
      <c r="BA67" s="1188"/>
      <c r="BB67" s="1190">
        <f t="shared" si="84"/>
        <v>0</v>
      </c>
      <c r="BC67" s="1245" t="e">
        <f t="shared" si="71"/>
        <v>#DIV/0!</v>
      </c>
      <c r="BD67" s="1246"/>
      <c r="BE67" s="1188"/>
      <c r="BF67" s="1188"/>
      <c r="BG67" s="1190">
        <f t="shared" si="85"/>
        <v>0</v>
      </c>
      <c r="BH67" s="1245" t="e">
        <f t="shared" si="72"/>
        <v>#DIV/0!</v>
      </c>
      <c r="BI67" s="1246"/>
      <c r="BJ67" s="1188">
        <f t="shared" si="86"/>
        <v>700</v>
      </c>
      <c r="BK67" s="1188">
        <f t="shared" si="87"/>
        <v>0</v>
      </c>
      <c r="BL67" s="1190">
        <f t="shared" si="88"/>
        <v>700</v>
      </c>
      <c r="BM67" s="1245">
        <f t="shared" si="73"/>
        <v>5.0156233009893178E-5</v>
      </c>
      <c r="BN67" s="1246"/>
    </row>
    <row r="68" spans="1:66" s="2" customFormat="1" ht="15" customHeight="1" outlineLevel="2" x14ac:dyDescent="0.25">
      <c r="A68" s="237"/>
      <c r="B68" s="1116" t="s">
        <v>5</v>
      </c>
      <c r="C68" s="1242"/>
      <c r="D68" s="1243">
        <v>5097</v>
      </c>
      <c r="E68" s="1244">
        <f t="shared" si="74"/>
        <v>5097</v>
      </c>
      <c r="F68" s="1245">
        <f t="shared" si="89"/>
        <v>4.3525918800805857E-4</v>
      </c>
      <c r="G68" s="1188">
        <v>0</v>
      </c>
      <c r="H68" s="1188">
        <v>2194.04</v>
      </c>
      <c r="I68" s="1190">
        <v>2194.04</v>
      </c>
      <c r="J68" s="1049">
        <v>1.6884295762061707E-4</v>
      </c>
      <c r="K68" s="1049"/>
      <c r="L68" s="1188"/>
      <c r="M68" s="1188"/>
      <c r="N68" s="1190">
        <f t="shared" si="75"/>
        <v>0</v>
      </c>
      <c r="O68" s="1245">
        <f t="shared" si="76"/>
        <v>0</v>
      </c>
      <c r="P68" s="1246"/>
      <c r="Q68" s="1188"/>
      <c r="R68" s="1188">
        <v>340.51</v>
      </c>
      <c r="S68" s="1190">
        <f t="shared" si="77"/>
        <v>340.51</v>
      </c>
      <c r="T68" s="1245">
        <f t="shared" si="1"/>
        <v>5.9646823902405419E-4</v>
      </c>
      <c r="U68" s="1246"/>
      <c r="V68" s="1188"/>
      <c r="W68" s="1188"/>
      <c r="X68" s="1190">
        <f t="shared" si="78"/>
        <v>0</v>
      </c>
      <c r="Y68" s="1245" t="e">
        <f t="shared" si="68"/>
        <v>#DIV/0!</v>
      </c>
      <c r="Z68" s="1246"/>
      <c r="AA68" s="1188"/>
      <c r="AB68" s="1188">
        <v>186</v>
      </c>
      <c r="AC68" s="1190">
        <f t="shared" si="79"/>
        <v>186</v>
      </c>
      <c r="AD68" s="1245">
        <f>AC68/$AC$89</f>
        <v>9.0245258949223301E-4</v>
      </c>
      <c r="AE68" s="1313"/>
      <c r="AF68" s="1447"/>
      <c r="AG68" s="1447"/>
      <c r="AH68" s="1495">
        <f t="shared" si="80"/>
        <v>0</v>
      </c>
      <c r="AI68" s="1555">
        <f t="shared" si="46"/>
        <v>0</v>
      </c>
      <c r="AJ68" s="1475"/>
      <c r="AK68" s="1447"/>
      <c r="AL68" s="1447"/>
      <c r="AM68" s="1495">
        <f t="shared" si="81"/>
        <v>0</v>
      </c>
      <c r="AN68" s="1555">
        <f t="shared" si="3"/>
        <v>0</v>
      </c>
      <c r="AO68" s="1475"/>
      <c r="AP68" s="1640"/>
      <c r="AQ68" s="1640"/>
      <c r="AR68" s="1780">
        <f t="shared" si="82"/>
        <v>0</v>
      </c>
      <c r="AS68" s="1792">
        <f t="shared" si="69"/>
        <v>0</v>
      </c>
      <c r="AT68" s="1616"/>
      <c r="AU68" s="1447"/>
      <c r="AV68" s="1447"/>
      <c r="AW68" s="1495">
        <f t="shared" si="83"/>
        <v>0</v>
      </c>
      <c r="AX68" s="1893">
        <f t="shared" si="70"/>
        <v>0</v>
      </c>
      <c r="AY68" s="1943"/>
      <c r="AZ68" s="1188"/>
      <c r="BA68" s="1188"/>
      <c r="BB68" s="1190">
        <f t="shared" si="84"/>
        <v>0</v>
      </c>
      <c r="BC68" s="1245" t="e">
        <f t="shared" si="71"/>
        <v>#DIV/0!</v>
      </c>
      <c r="BD68" s="1246"/>
      <c r="BE68" s="1188"/>
      <c r="BF68" s="1188"/>
      <c r="BG68" s="1190">
        <f t="shared" si="85"/>
        <v>0</v>
      </c>
      <c r="BH68" s="1245" t="e">
        <f t="shared" si="72"/>
        <v>#DIV/0!</v>
      </c>
      <c r="BI68" s="1246"/>
      <c r="BJ68" s="1188">
        <f t="shared" si="86"/>
        <v>0</v>
      </c>
      <c r="BK68" s="1188">
        <f t="shared" si="87"/>
        <v>2720.55</v>
      </c>
      <c r="BL68" s="1190">
        <f t="shared" si="88"/>
        <v>2720.55</v>
      </c>
      <c r="BM68" s="1245">
        <f t="shared" si="73"/>
        <v>1.9493219959294984E-4</v>
      </c>
      <c r="BN68" s="1246"/>
    </row>
    <row r="69" spans="1:66" s="2" customFormat="1" ht="15" customHeight="1" outlineLevel="2" x14ac:dyDescent="0.25">
      <c r="A69" s="237"/>
      <c r="B69" s="1116" t="s">
        <v>42</v>
      </c>
      <c r="C69" s="1242">
        <v>55620</v>
      </c>
      <c r="D69" s="1243"/>
      <c r="E69" s="1244">
        <f t="shared" si="74"/>
        <v>55620</v>
      </c>
      <c r="F69" s="1245">
        <f t="shared" si="89"/>
        <v>4.7496794265270191E-3</v>
      </c>
      <c r="G69" s="1188">
        <v>76880</v>
      </c>
      <c r="H69" s="1188">
        <v>0</v>
      </c>
      <c r="I69" s="1190">
        <v>76880</v>
      </c>
      <c r="J69" s="1049">
        <v>5.9163217543312975E-3</v>
      </c>
      <c r="K69" s="1049"/>
      <c r="L69" s="1188"/>
      <c r="M69" s="1188"/>
      <c r="N69" s="1190">
        <f t="shared" si="75"/>
        <v>0</v>
      </c>
      <c r="O69" s="1245">
        <f t="shared" si="76"/>
        <v>0</v>
      </c>
      <c r="P69" s="1030"/>
      <c r="Q69" s="1188"/>
      <c r="R69" s="1188"/>
      <c r="S69" s="1190">
        <f t="shared" si="77"/>
        <v>0</v>
      </c>
      <c r="T69" s="1245">
        <f t="shared" si="1"/>
        <v>0</v>
      </c>
      <c r="U69" s="1030"/>
      <c r="V69" s="1188"/>
      <c r="W69" s="1188"/>
      <c r="X69" s="1190">
        <f t="shared" si="78"/>
        <v>0</v>
      </c>
      <c r="Y69" s="1245" t="e">
        <f t="shared" si="68"/>
        <v>#DIV/0!</v>
      </c>
      <c r="Z69" s="1030"/>
      <c r="AA69" s="1188"/>
      <c r="AB69" s="1188"/>
      <c r="AC69" s="1190">
        <f t="shared" si="79"/>
        <v>0</v>
      </c>
      <c r="AD69" s="1245">
        <f t="shared" si="45"/>
        <v>0</v>
      </c>
      <c r="AE69" s="1030"/>
      <c r="AF69" s="1447"/>
      <c r="AG69" s="1447"/>
      <c r="AH69" s="1495">
        <f t="shared" si="80"/>
        <v>0</v>
      </c>
      <c r="AI69" s="1555">
        <f t="shared" si="46"/>
        <v>0</v>
      </c>
      <c r="AJ69" s="1605"/>
      <c r="AK69" s="1447"/>
      <c r="AL69" s="1447"/>
      <c r="AM69" s="1495">
        <f t="shared" si="81"/>
        <v>0</v>
      </c>
      <c r="AN69" s="1555">
        <f t="shared" si="3"/>
        <v>0</v>
      </c>
      <c r="AO69" s="1605"/>
      <c r="AP69" s="1640"/>
      <c r="AQ69" s="1640"/>
      <c r="AR69" s="1780">
        <f t="shared" si="82"/>
        <v>0</v>
      </c>
      <c r="AS69" s="1792">
        <f t="shared" si="69"/>
        <v>0</v>
      </c>
      <c r="AT69" s="1741"/>
      <c r="AU69" s="1447"/>
      <c r="AV69" s="1447"/>
      <c r="AW69" s="1495">
        <f t="shared" si="83"/>
        <v>0</v>
      </c>
      <c r="AX69" s="1893">
        <f t="shared" si="70"/>
        <v>0</v>
      </c>
      <c r="AY69" s="1605"/>
      <c r="AZ69" s="1188"/>
      <c r="BA69" s="1188"/>
      <c r="BB69" s="1190">
        <f t="shared" si="84"/>
        <v>0</v>
      </c>
      <c r="BC69" s="1245" t="e">
        <f t="shared" si="71"/>
        <v>#DIV/0!</v>
      </c>
      <c r="BD69" s="1030"/>
      <c r="BE69" s="1188"/>
      <c r="BF69" s="1188"/>
      <c r="BG69" s="1190">
        <f t="shared" si="85"/>
        <v>0</v>
      </c>
      <c r="BH69" s="1245" t="e">
        <f t="shared" si="72"/>
        <v>#DIV/0!</v>
      </c>
      <c r="BI69" s="1030"/>
      <c r="BJ69" s="1188">
        <f t="shared" si="86"/>
        <v>76880</v>
      </c>
      <c r="BK69" s="1188">
        <f t="shared" si="87"/>
        <v>0</v>
      </c>
      <c r="BL69" s="1190">
        <f t="shared" si="88"/>
        <v>76880</v>
      </c>
      <c r="BM69" s="1245">
        <f t="shared" si="73"/>
        <v>5.5085874197151252E-3</v>
      </c>
      <c r="BN69" s="1246"/>
    </row>
    <row r="70" spans="1:66" s="2" customFormat="1" ht="15" customHeight="1" outlineLevel="2" x14ac:dyDescent="0.25">
      <c r="A70" s="237"/>
      <c r="B70" s="1116" t="s">
        <v>6</v>
      </c>
      <c r="C70" s="1242"/>
      <c r="D70" s="1243"/>
      <c r="E70" s="1244">
        <f t="shared" si="74"/>
        <v>0</v>
      </c>
      <c r="F70" s="1245">
        <f t="shared" si="89"/>
        <v>0</v>
      </c>
      <c r="G70" s="1188">
        <v>0</v>
      </c>
      <c r="H70" s="1188">
        <v>0</v>
      </c>
      <c r="I70" s="1190">
        <v>0</v>
      </c>
      <c r="J70" s="1049">
        <v>0</v>
      </c>
      <c r="K70" s="1049"/>
      <c r="L70" s="1188"/>
      <c r="M70" s="1188"/>
      <c r="N70" s="1190">
        <f t="shared" si="75"/>
        <v>0</v>
      </c>
      <c r="O70" s="1245">
        <f t="shared" si="76"/>
        <v>0</v>
      </c>
      <c r="P70" s="1246"/>
      <c r="Q70" s="1188"/>
      <c r="R70" s="1188"/>
      <c r="S70" s="1190">
        <f t="shared" si="77"/>
        <v>0</v>
      </c>
      <c r="T70" s="1245">
        <f t="shared" si="1"/>
        <v>0</v>
      </c>
      <c r="U70" s="1246"/>
      <c r="V70" s="1188"/>
      <c r="W70" s="1188"/>
      <c r="X70" s="1190">
        <f t="shared" si="78"/>
        <v>0</v>
      </c>
      <c r="Y70" s="1245" t="e">
        <f t="shared" si="68"/>
        <v>#DIV/0!</v>
      </c>
      <c r="Z70" s="1246"/>
      <c r="AA70" s="1188"/>
      <c r="AB70" s="1188"/>
      <c r="AC70" s="1190">
        <f t="shared" si="79"/>
        <v>0</v>
      </c>
      <c r="AD70" s="1245">
        <f t="shared" si="45"/>
        <v>0</v>
      </c>
      <c r="AE70" s="1246"/>
      <c r="AF70" s="1447"/>
      <c r="AG70" s="1447"/>
      <c r="AH70" s="1495">
        <f t="shared" si="80"/>
        <v>0</v>
      </c>
      <c r="AI70" s="1555">
        <f t="shared" si="46"/>
        <v>0</v>
      </c>
      <c r="AJ70" s="1475"/>
      <c r="AK70" s="1447"/>
      <c r="AL70" s="1447"/>
      <c r="AM70" s="1495">
        <f t="shared" si="81"/>
        <v>0</v>
      </c>
      <c r="AN70" s="1555">
        <f t="shared" si="3"/>
        <v>0</v>
      </c>
      <c r="AO70" s="1475"/>
      <c r="AP70" s="1640"/>
      <c r="AQ70" s="1640"/>
      <c r="AR70" s="1780">
        <f t="shared" si="82"/>
        <v>0</v>
      </c>
      <c r="AS70" s="1792">
        <f t="shared" si="69"/>
        <v>0</v>
      </c>
      <c r="AT70" s="1616"/>
      <c r="AU70" s="1447"/>
      <c r="AV70" s="1447"/>
      <c r="AW70" s="1495">
        <f t="shared" si="83"/>
        <v>0</v>
      </c>
      <c r="AX70" s="1893">
        <f t="shared" si="70"/>
        <v>0</v>
      </c>
      <c r="AY70" s="1943"/>
      <c r="AZ70" s="1188"/>
      <c r="BA70" s="1188"/>
      <c r="BB70" s="1190">
        <f t="shared" si="84"/>
        <v>0</v>
      </c>
      <c r="BC70" s="1245" t="e">
        <f t="shared" si="71"/>
        <v>#DIV/0!</v>
      </c>
      <c r="BD70" s="1246"/>
      <c r="BE70" s="1188"/>
      <c r="BF70" s="1188"/>
      <c r="BG70" s="1190">
        <f t="shared" si="85"/>
        <v>0</v>
      </c>
      <c r="BH70" s="1245" t="e">
        <f t="shared" si="72"/>
        <v>#DIV/0!</v>
      </c>
      <c r="BI70" s="1246"/>
      <c r="BJ70" s="1188">
        <f t="shared" si="86"/>
        <v>0</v>
      </c>
      <c r="BK70" s="1188">
        <f t="shared" si="87"/>
        <v>0</v>
      </c>
      <c r="BL70" s="1190">
        <f t="shared" si="88"/>
        <v>0</v>
      </c>
      <c r="BM70" s="1245">
        <f t="shared" si="73"/>
        <v>0</v>
      </c>
      <c r="BN70" s="1246"/>
    </row>
    <row r="71" spans="1:66" s="2" customFormat="1" ht="15" customHeight="1" outlineLevel="2" x14ac:dyDescent="0.25">
      <c r="A71" s="237"/>
      <c r="B71" s="1116" t="s">
        <v>78</v>
      </c>
      <c r="C71" s="1242"/>
      <c r="D71" s="1243"/>
      <c r="E71" s="1244">
        <f t="shared" si="74"/>
        <v>0</v>
      </c>
      <c r="F71" s="1121">
        <f t="shared" si="89"/>
        <v>0</v>
      </c>
      <c r="G71" s="1188">
        <v>4832.2700000000004</v>
      </c>
      <c r="H71" s="1188">
        <v>0</v>
      </c>
      <c r="I71" s="1190">
        <v>4832.2700000000004</v>
      </c>
      <c r="J71" s="851">
        <v>3.7186868007027188E-4</v>
      </c>
      <c r="K71" s="851"/>
      <c r="L71" s="1188"/>
      <c r="M71" s="1188"/>
      <c r="N71" s="1190">
        <f t="shared" si="75"/>
        <v>0</v>
      </c>
      <c r="O71" s="1245">
        <f t="shared" si="76"/>
        <v>0</v>
      </c>
      <c r="P71" s="1246"/>
      <c r="Q71" s="1188"/>
      <c r="R71" s="1188"/>
      <c r="S71" s="1190">
        <f t="shared" si="77"/>
        <v>0</v>
      </c>
      <c r="T71" s="1245">
        <f t="shared" si="1"/>
        <v>0</v>
      </c>
      <c r="U71" s="1246"/>
      <c r="V71" s="1188"/>
      <c r="W71" s="1188"/>
      <c r="X71" s="1190">
        <f t="shared" si="78"/>
        <v>0</v>
      </c>
      <c r="Y71" s="1245" t="e">
        <f t="shared" si="68"/>
        <v>#DIV/0!</v>
      </c>
      <c r="Z71" s="1246"/>
      <c r="AA71" s="1188"/>
      <c r="AB71" s="1188"/>
      <c r="AC71" s="1190">
        <f t="shared" si="79"/>
        <v>0</v>
      </c>
      <c r="AD71" s="1245">
        <f t="shared" si="45"/>
        <v>0</v>
      </c>
      <c r="AE71" s="1246"/>
      <c r="AF71" s="1447"/>
      <c r="AG71" s="1447"/>
      <c r="AH71" s="1495">
        <f t="shared" si="80"/>
        <v>0</v>
      </c>
      <c r="AI71" s="1555">
        <f t="shared" si="46"/>
        <v>0</v>
      </c>
      <c r="AJ71" s="1475"/>
      <c r="AK71" s="1447"/>
      <c r="AL71" s="1447"/>
      <c r="AM71" s="1495">
        <f t="shared" si="81"/>
        <v>0</v>
      </c>
      <c r="AN71" s="1555">
        <f t="shared" si="3"/>
        <v>0</v>
      </c>
      <c r="AO71" s="1475"/>
      <c r="AP71" s="1640"/>
      <c r="AQ71" s="1640"/>
      <c r="AR71" s="1780">
        <f t="shared" si="82"/>
        <v>0</v>
      </c>
      <c r="AS71" s="1792">
        <f t="shared" si="69"/>
        <v>0</v>
      </c>
      <c r="AT71" s="1616"/>
      <c r="AU71" s="1447"/>
      <c r="AV71" s="1447"/>
      <c r="AW71" s="1495">
        <f t="shared" si="83"/>
        <v>0</v>
      </c>
      <c r="AX71" s="1893">
        <f t="shared" si="70"/>
        <v>0</v>
      </c>
      <c r="AY71" s="1943"/>
      <c r="AZ71" s="1188"/>
      <c r="BA71" s="1188"/>
      <c r="BB71" s="1190">
        <f t="shared" si="84"/>
        <v>0</v>
      </c>
      <c r="BC71" s="1245" t="e">
        <f t="shared" si="71"/>
        <v>#DIV/0!</v>
      </c>
      <c r="BD71" s="1246"/>
      <c r="BE71" s="1188"/>
      <c r="BF71" s="1188"/>
      <c r="BG71" s="1190">
        <f t="shared" si="85"/>
        <v>0</v>
      </c>
      <c r="BH71" s="1245" t="e">
        <f t="shared" si="72"/>
        <v>#DIV/0!</v>
      </c>
      <c r="BI71" s="1246"/>
      <c r="BJ71" s="1188">
        <f t="shared" si="86"/>
        <v>4832.2700000000004</v>
      </c>
      <c r="BK71" s="1188">
        <f t="shared" si="87"/>
        <v>0</v>
      </c>
      <c r="BL71" s="1190">
        <f t="shared" si="88"/>
        <v>4832.2700000000004</v>
      </c>
      <c r="BM71" s="1245">
        <f t="shared" si="73"/>
        <v>3.4624065726673788E-4</v>
      </c>
      <c r="BN71" s="1246"/>
    </row>
    <row r="72" spans="1:66" s="2" customFormat="1" ht="15" customHeight="1" outlineLevel="2" thickBot="1" x14ac:dyDescent="0.3">
      <c r="A72" s="237"/>
      <c r="B72" s="1122"/>
      <c r="C72" s="1314"/>
      <c r="D72" s="1315"/>
      <c r="E72" s="1123">
        <f t="shared" si="74"/>
        <v>0</v>
      </c>
      <c r="F72" s="1121">
        <f t="shared" si="89"/>
        <v>0</v>
      </c>
      <c r="G72" s="851">
        <v>0</v>
      </c>
      <c r="H72" s="851">
        <v>0</v>
      </c>
      <c r="I72" s="851">
        <v>0</v>
      </c>
      <c r="J72" s="851">
        <v>0</v>
      </c>
      <c r="K72" s="851"/>
      <c r="L72" s="535"/>
      <c r="M72" s="535"/>
      <c r="N72" s="622"/>
      <c r="O72" s="1121">
        <f t="shared" si="76"/>
        <v>0</v>
      </c>
      <c r="P72" s="1124"/>
      <c r="Q72" s="535"/>
      <c r="R72" s="535"/>
      <c r="S72" s="622"/>
      <c r="T72" s="1121">
        <f>S72/$S$89</f>
        <v>0</v>
      </c>
      <c r="U72" s="1124"/>
      <c r="V72" s="535"/>
      <c r="W72" s="535"/>
      <c r="X72" s="622"/>
      <c r="Y72" s="1121">
        <f>X72/$S$89</f>
        <v>0</v>
      </c>
      <c r="Z72" s="1124"/>
      <c r="AA72" s="535"/>
      <c r="AB72" s="535"/>
      <c r="AC72" s="622"/>
      <c r="AD72" s="1121">
        <f>AC72/$S$89</f>
        <v>0</v>
      </c>
      <c r="AE72" s="1124"/>
      <c r="AF72" s="1651"/>
      <c r="AG72" s="1651"/>
      <c r="AH72" s="1668"/>
      <c r="AI72" s="1560">
        <f>AH72/$S$89</f>
        <v>0</v>
      </c>
      <c r="AJ72" s="1711"/>
      <c r="AK72" s="1651"/>
      <c r="AL72" s="1651"/>
      <c r="AM72" s="1668"/>
      <c r="AN72" s="1560">
        <f t="shared" si="3"/>
        <v>0</v>
      </c>
      <c r="AO72" s="1711"/>
      <c r="AP72" s="1839"/>
      <c r="AQ72" s="1839"/>
      <c r="AR72" s="1840"/>
      <c r="AS72" s="1841">
        <f t="shared" si="69"/>
        <v>0</v>
      </c>
      <c r="AT72" s="1844"/>
      <c r="AU72" s="1651"/>
      <c r="AV72" s="1651"/>
      <c r="AW72" s="1668"/>
      <c r="AX72" s="1907">
        <f>AW72/$AR$89</f>
        <v>0</v>
      </c>
      <c r="AY72" s="1944"/>
      <c r="AZ72" s="535"/>
      <c r="BA72" s="535"/>
      <c r="BB72" s="622"/>
      <c r="BC72" s="1121">
        <f>BB72/$AR$89</f>
        <v>0</v>
      </c>
      <c r="BD72" s="1124"/>
      <c r="BE72" s="535"/>
      <c r="BF72" s="535"/>
      <c r="BG72" s="622"/>
      <c r="BH72" s="1121">
        <f>BG72/$AR$89</f>
        <v>0</v>
      </c>
      <c r="BI72" s="1124"/>
      <c r="BJ72" s="535">
        <f t="shared" si="86"/>
        <v>0</v>
      </c>
      <c r="BK72" s="535">
        <f t="shared" si="87"/>
        <v>0</v>
      </c>
      <c r="BL72" s="622">
        <f t="shared" si="88"/>
        <v>0</v>
      </c>
      <c r="BM72" s="1121">
        <f t="shared" si="73"/>
        <v>0</v>
      </c>
      <c r="BN72" s="1124"/>
    </row>
    <row r="73" spans="1:66" s="2" customFormat="1" ht="15" customHeight="1" outlineLevel="1" thickBot="1" x14ac:dyDescent="0.3">
      <c r="A73" s="990"/>
      <c r="B73" s="1013" t="s">
        <v>4</v>
      </c>
      <c r="C73" s="836">
        <f>C74</f>
        <v>458753</v>
      </c>
      <c r="D73" s="843">
        <f>D74</f>
        <v>0</v>
      </c>
      <c r="E73" s="836">
        <f>E74</f>
        <v>458753</v>
      </c>
      <c r="F73" s="838">
        <f>E73/$E$89</f>
        <v>3.9175291009664687E-2</v>
      </c>
      <c r="G73" s="969">
        <v>0</v>
      </c>
      <c r="H73" s="969">
        <v>0</v>
      </c>
      <c r="I73" s="969">
        <v>0</v>
      </c>
      <c r="J73" s="969"/>
      <c r="K73" s="969"/>
      <c r="L73" s="836">
        <f>L74</f>
        <v>0</v>
      </c>
      <c r="M73" s="840">
        <f>M74</f>
        <v>0</v>
      </c>
      <c r="N73" s="837">
        <f>N74</f>
        <v>0</v>
      </c>
      <c r="O73" s="840"/>
      <c r="P73" s="840"/>
      <c r="Q73" s="836">
        <f>Q74</f>
        <v>0</v>
      </c>
      <c r="R73" s="840">
        <f>R74</f>
        <v>0</v>
      </c>
      <c r="S73" s="837">
        <f>S74</f>
        <v>0</v>
      </c>
      <c r="T73" s="840"/>
      <c r="U73" s="840"/>
      <c r="V73" s="836">
        <f>V74</f>
        <v>0</v>
      </c>
      <c r="W73" s="840">
        <f>W74</f>
        <v>0</v>
      </c>
      <c r="X73" s="837">
        <f>X74</f>
        <v>0</v>
      </c>
      <c r="Y73" s="840"/>
      <c r="Z73" s="840"/>
      <c r="AA73" s="836">
        <f>AA74</f>
        <v>0</v>
      </c>
      <c r="AB73" s="840">
        <f>AB74</f>
        <v>0</v>
      </c>
      <c r="AC73" s="837">
        <f>AC74</f>
        <v>0</v>
      </c>
      <c r="AD73" s="840"/>
      <c r="AE73" s="840"/>
      <c r="AF73" s="1599">
        <f>AF74</f>
        <v>0</v>
      </c>
      <c r="AG73" s="1704">
        <f>AG74</f>
        <v>0</v>
      </c>
      <c r="AH73" s="1703">
        <f>AH74</f>
        <v>0</v>
      </c>
      <c r="AI73" s="1704"/>
      <c r="AJ73" s="1704"/>
      <c r="AK73" s="1599">
        <f>AK74</f>
        <v>0</v>
      </c>
      <c r="AL73" s="1704">
        <f>AL74</f>
        <v>0</v>
      </c>
      <c r="AM73" s="1703">
        <f>AM74</f>
        <v>0</v>
      </c>
      <c r="AN73" s="1704"/>
      <c r="AO73" s="1704"/>
      <c r="AP73" s="1815">
        <f>AP74</f>
        <v>0</v>
      </c>
      <c r="AQ73" s="1817">
        <f>AQ74</f>
        <v>0</v>
      </c>
      <c r="AR73" s="1816">
        <f>AR74</f>
        <v>0</v>
      </c>
      <c r="AS73" s="1817"/>
      <c r="AT73" s="1817"/>
      <c r="AU73" s="1599">
        <f>AU74</f>
        <v>0</v>
      </c>
      <c r="AV73" s="1704">
        <f>AV74</f>
        <v>0</v>
      </c>
      <c r="AW73" s="1703">
        <f>AW74</f>
        <v>0</v>
      </c>
      <c r="AX73" s="1704"/>
      <c r="AY73" s="1704"/>
      <c r="AZ73" s="836">
        <f>AZ74</f>
        <v>0</v>
      </c>
      <c r="BA73" s="840">
        <f>BA74</f>
        <v>0</v>
      </c>
      <c r="BB73" s="837">
        <f>BB74</f>
        <v>0</v>
      </c>
      <c r="BC73" s="840"/>
      <c r="BD73" s="840"/>
      <c r="BE73" s="836">
        <f>BE74</f>
        <v>0</v>
      </c>
      <c r="BF73" s="840">
        <f>BF74</f>
        <v>0</v>
      </c>
      <c r="BG73" s="837">
        <f>BG74</f>
        <v>0</v>
      </c>
      <c r="BH73" s="840"/>
      <c r="BI73" s="840"/>
      <c r="BJ73" s="836">
        <f>BJ74</f>
        <v>0</v>
      </c>
      <c r="BK73" s="840">
        <f>BK74</f>
        <v>0</v>
      </c>
      <c r="BL73" s="837">
        <f>BL74</f>
        <v>0</v>
      </c>
      <c r="BM73" s="840"/>
      <c r="BN73" s="840"/>
    </row>
    <row r="74" spans="1:66" s="226" customFormat="1" ht="15" customHeight="1" outlineLevel="1" thickBot="1" x14ac:dyDescent="0.3">
      <c r="A74" s="321"/>
      <c r="B74" s="1080" t="s">
        <v>64</v>
      </c>
      <c r="C74" s="1048">
        <v>458753</v>
      </c>
      <c r="D74" s="305"/>
      <c r="E74" s="306">
        <f>C74+D74</f>
        <v>458753</v>
      </c>
      <c r="F74" s="307"/>
      <c r="G74" s="961">
        <v>0</v>
      </c>
      <c r="H74" s="961">
        <v>0</v>
      </c>
      <c r="I74" s="961">
        <v>0</v>
      </c>
      <c r="J74" s="961"/>
      <c r="K74" s="961"/>
      <c r="L74" s="1188">
        <f>L6*3%</f>
        <v>0</v>
      </c>
      <c r="M74" s="1188"/>
      <c r="N74" s="608">
        <f>L74+M74*1</f>
        <v>0</v>
      </c>
      <c r="O74" s="608"/>
      <c r="P74" s="608"/>
      <c r="Q74" s="1188"/>
      <c r="R74" s="1188"/>
      <c r="S74" s="992">
        <f>Q74+R74*1</f>
        <v>0</v>
      </c>
      <c r="T74" s="608"/>
      <c r="U74" s="608"/>
      <c r="V74" s="1188"/>
      <c r="W74" s="1188"/>
      <c r="X74" s="992">
        <f>V74+W74*1</f>
        <v>0</v>
      </c>
      <c r="Y74" s="608"/>
      <c r="Z74" s="608"/>
      <c r="AA74" s="1188"/>
      <c r="AB74" s="1188"/>
      <c r="AC74" s="992">
        <f>AA74+AB74*1</f>
        <v>0</v>
      </c>
      <c r="AD74" s="608"/>
      <c r="AE74" s="608"/>
      <c r="AF74" s="1447"/>
      <c r="AG74" s="1447"/>
      <c r="AH74" s="1749">
        <f>AF74+AG74*1</f>
        <v>0</v>
      </c>
      <c r="AI74" s="1663"/>
      <c r="AJ74" s="1663"/>
      <c r="AK74" s="1447"/>
      <c r="AL74" s="1447"/>
      <c r="AM74" s="1749">
        <f>AK74+AL74*1</f>
        <v>0</v>
      </c>
      <c r="AN74" s="1663"/>
      <c r="AO74" s="1663"/>
      <c r="AP74" s="1640"/>
      <c r="AQ74" s="1640"/>
      <c r="AR74" s="1716">
        <f>AP74+AQ74*1</f>
        <v>0</v>
      </c>
      <c r="AS74" s="1762"/>
      <c r="AT74" s="1762"/>
      <c r="AU74" s="1447"/>
      <c r="AV74" s="1447"/>
      <c r="AW74" s="1749">
        <f>AU74+AV74*1</f>
        <v>0</v>
      </c>
      <c r="AX74" s="1663"/>
      <c r="AY74" s="1663"/>
      <c r="AZ74" s="1188"/>
      <c r="BA74" s="1188"/>
      <c r="BB74" s="992">
        <f>AZ74+BA74*1</f>
        <v>0</v>
      </c>
      <c r="BC74" s="608"/>
      <c r="BD74" s="608"/>
      <c r="BE74" s="1188"/>
      <c r="BF74" s="1188"/>
      <c r="BG74" s="992">
        <f>BE74+BF74*1</f>
        <v>0</v>
      </c>
      <c r="BH74" s="608"/>
      <c r="BI74" s="608"/>
      <c r="BJ74" s="1188">
        <f>G74+L74+Q74+V74+AA74+AF74+AK74+AP74</f>
        <v>0</v>
      </c>
      <c r="BK74" s="1188">
        <f>H74+M74+R74+W74+AB74+AL74+AQ74</f>
        <v>0</v>
      </c>
      <c r="BL74" s="1190">
        <f>BJ74+BK74</f>
        <v>0</v>
      </c>
      <c r="BM74" s="608"/>
      <c r="BN74" s="608"/>
    </row>
    <row r="75" spans="1:66" s="2" customFormat="1" ht="15" customHeight="1" thickBot="1" x14ac:dyDescent="0.3">
      <c r="A75" s="987"/>
      <c r="B75" s="870" t="s">
        <v>48</v>
      </c>
      <c r="C75" s="999">
        <f>C38-C41-C50-C54</f>
        <v>8365013</v>
      </c>
      <c r="D75" s="999">
        <f>D38-D41-D50-D54</f>
        <v>-3707394</v>
      </c>
      <c r="E75" s="670">
        <f>E38-E41-E50-E54</f>
        <v>4657619</v>
      </c>
      <c r="F75" s="967"/>
      <c r="G75" s="646">
        <v>5520095.6989199985</v>
      </c>
      <c r="H75" s="646">
        <v>-5018001.1212499999</v>
      </c>
      <c r="I75" s="670">
        <v>502094.57766999712</v>
      </c>
      <c r="J75" s="962"/>
      <c r="K75" s="962"/>
      <c r="L75" s="646">
        <f>L38-L41-L50-L54</f>
        <v>-350</v>
      </c>
      <c r="M75" s="646">
        <f>M38-M41-M50-M54</f>
        <v>-17000</v>
      </c>
      <c r="N75" s="670">
        <f>N38-N41-N50-N54</f>
        <v>-17350</v>
      </c>
      <c r="O75" s="671"/>
      <c r="P75" s="671"/>
      <c r="Q75" s="646">
        <f>Q38-Q41-Q50-Q54</f>
        <v>502475.59400000004</v>
      </c>
      <c r="R75" s="646">
        <f>R38-R41-R50-R54</f>
        <v>-151050.51</v>
      </c>
      <c r="S75" s="670">
        <f>S38-S41-S50-S54</f>
        <v>351425.08399999997</v>
      </c>
      <c r="T75" s="671"/>
      <c r="U75" s="671"/>
      <c r="V75" s="646">
        <f>V38-V41-V50-V54</f>
        <v>0</v>
      </c>
      <c r="W75" s="646">
        <f>W38-W41-W50-W54</f>
        <v>0</v>
      </c>
      <c r="X75" s="670">
        <f>X38-X41-X50-X54</f>
        <v>0</v>
      </c>
      <c r="Y75" s="671"/>
      <c r="Z75" s="671"/>
      <c r="AA75" s="646">
        <f>AA38-AA41-AA50-AA54</f>
        <v>148742.50600000002</v>
      </c>
      <c r="AB75" s="646">
        <f>AB38-AB41-AB50-AB54</f>
        <v>-94140.536999999997</v>
      </c>
      <c r="AC75" s="670">
        <f>AC38-AC41-AC50-AC54</f>
        <v>54601.969000000005</v>
      </c>
      <c r="AD75" s="671"/>
      <c r="AE75" s="671"/>
      <c r="AF75" s="1465">
        <f>AF38-AF41-AF50-AF54</f>
        <v>-15500.003999999999</v>
      </c>
      <c r="AG75" s="1465">
        <f>AG38-AG41-AG50-AG54</f>
        <v>0</v>
      </c>
      <c r="AH75" s="1523">
        <f>AH38-AH41-AH50-AH54</f>
        <v>-15500.003999999999</v>
      </c>
      <c r="AI75" s="1466"/>
      <c r="AJ75" s="1466"/>
      <c r="AK75" s="1465">
        <f>AK38-AK41-AK50-AK54</f>
        <v>141866.19200000001</v>
      </c>
      <c r="AL75" s="1465">
        <f>AL38-AL41-AL50-AL54</f>
        <v>-41032.254000000001</v>
      </c>
      <c r="AM75" s="1523">
        <f>AM38-AM41-AM50-AM54</f>
        <v>100833.93800000001</v>
      </c>
      <c r="AN75" s="1466"/>
      <c r="AO75" s="1466"/>
      <c r="AP75" s="1819">
        <f>AP38-AP41-AP50-AP54</f>
        <v>-64920</v>
      </c>
      <c r="AQ75" s="1819">
        <f>AQ38-AQ41-AQ50-AQ54</f>
        <v>0</v>
      </c>
      <c r="AR75" s="1820">
        <f>AR38-AR41-AR50-AR54</f>
        <v>-64920</v>
      </c>
      <c r="AS75" s="1821"/>
      <c r="AT75" s="1821"/>
      <c r="AU75" s="1465">
        <f>AU38-AU41-AU50-AU54</f>
        <v>-116297.364</v>
      </c>
      <c r="AV75" s="1465">
        <f>AV38-AV41-AV50-AV54</f>
        <v>0</v>
      </c>
      <c r="AW75" s="1523">
        <f>AW38-AW41-AW50-AW54</f>
        <v>-116297.364</v>
      </c>
      <c r="AX75" s="1466"/>
      <c r="AY75" s="1466"/>
      <c r="AZ75" s="646">
        <f>AZ38-AZ41-AZ50-AZ54</f>
        <v>0</v>
      </c>
      <c r="BA75" s="646">
        <f>BA38-BA41-BA50-BA54</f>
        <v>0</v>
      </c>
      <c r="BB75" s="670">
        <f>BB38-BB41-BB50-BB54</f>
        <v>0</v>
      </c>
      <c r="BC75" s="671"/>
      <c r="BD75" s="671"/>
      <c r="BE75" s="646">
        <f>BE38-BE41-BE50-BE54</f>
        <v>0</v>
      </c>
      <c r="BF75" s="646">
        <f>BF38-BF41-BF50-BF54</f>
        <v>0</v>
      </c>
      <c r="BG75" s="670">
        <f>BG38-BG41-BG50-BG54</f>
        <v>0</v>
      </c>
      <c r="BH75" s="671"/>
      <c r="BI75" s="671"/>
      <c r="BJ75" s="646">
        <f>BJ38-BJ41-BJ50-BJ54</f>
        <v>6232409.9869199982</v>
      </c>
      <c r="BK75" s="646">
        <f>BK38-BK41-BK50-BK54</f>
        <v>-5321224.4222500008</v>
      </c>
      <c r="BL75" s="670">
        <f>BL38-BL41-BL50-BL54</f>
        <v>911185.56466999569</v>
      </c>
      <c r="BM75" s="671"/>
      <c r="BN75" s="671"/>
    </row>
    <row r="76" spans="1:66" s="2" customFormat="1" ht="15" customHeight="1" x14ac:dyDescent="0.25">
      <c r="A76" s="294"/>
      <c r="B76" s="872" t="s">
        <v>49</v>
      </c>
      <c r="C76" s="873">
        <f>C75/C5</f>
        <v>0.54702719790151144</v>
      </c>
      <c r="D76" s="873" t="e">
        <f>D75/D5</f>
        <v>#DIV/0!</v>
      </c>
      <c r="E76" s="874">
        <f>E75/E5</f>
        <v>0.30458342030823382</v>
      </c>
      <c r="F76" s="875"/>
      <c r="G76" s="639">
        <v>0.43159223593820889</v>
      </c>
      <c r="H76" s="639" t="e">
        <v>#DIV/0!</v>
      </c>
      <c r="I76" s="660">
        <v>3.9256587792751839E-2</v>
      </c>
      <c r="J76" s="957"/>
      <c r="K76" s="957"/>
      <c r="L76" s="639" t="e">
        <f>L75/L5</f>
        <v>#DIV/0!</v>
      </c>
      <c r="M76" s="639" t="e">
        <f>M75/M5</f>
        <v>#DIV/0!</v>
      </c>
      <c r="N76" s="660" t="e">
        <f>N75/N5</f>
        <v>#DIV/0!</v>
      </c>
      <c r="O76" s="660"/>
      <c r="P76" s="660"/>
      <c r="Q76" s="639">
        <f>Q75/Q5</f>
        <v>0.55847293834341571</v>
      </c>
      <c r="R76" s="639" t="e">
        <f>R75/R5</f>
        <v>#DIV/0!</v>
      </c>
      <c r="S76" s="660">
        <f>S75/S5</f>
        <v>0.39058891936761736</v>
      </c>
      <c r="T76" s="660"/>
      <c r="U76" s="660"/>
      <c r="V76" s="639" t="e">
        <f>V75/V5</f>
        <v>#DIV/0!</v>
      </c>
      <c r="W76" s="639" t="e">
        <f>W75/W5</f>
        <v>#DIV/0!</v>
      </c>
      <c r="X76" s="660" t="e">
        <f>X75/X5</f>
        <v>#DIV/0!</v>
      </c>
      <c r="Y76" s="660"/>
      <c r="Z76" s="660"/>
      <c r="AA76" s="639">
        <f>AA75/AA5</f>
        <v>0.59717184436391735</v>
      </c>
      <c r="AB76" s="639" t="e">
        <f>AB75/AB5</f>
        <v>#DIV/0!</v>
      </c>
      <c r="AC76" s="660">
        <f>AC75/AC5</f>
        <v>0.21921614345822196</v>
      </c>
      <c r="AD76" s="660"/>
      <c r="AE76" s="660"/>
      <c r="AF76" s="1456" t="e">
        <f>AF75/AF5</f>
        <v>#DIV/0!</v>
      </c>
      <c r="AG76" s="1456" t="e">
        <f>AG75/AG5</f>
        <v>#DIV/0!</v>
      </c>
      <c r="AH76" s="1457" t="e">
        <f>AH75/AH5</f>
        <v>#DIV/0!</v>
      </c>
      <c r="AI76" s="1457"/>
      <c r="AJ76" s="1457"/>
      <c r="AK76" s="1456">
        <f>AK75/AK5</f>
        <v>0.79065073188011392</v>
      </c>
      <c r="AL76" s="1456" t="e">
        <f>AL75/AL5</f>
        <v>#DIV/0!</v>
      </c>
      <c r="AM76" s="1457">
        <f>AM75/AM5</f>
        <v>0.5619691749959288</v>
      </c>
      <c r="AN76" s="1457"/>
      <c r="AO76" s="1457"/>
      <c r="AP76" s="1802" t="e">
        <f>AP75/AP5</f>
        <v>#DIV/0!</v>
      </c>
      <c r="AQ76" s="1802" t="e">
        <f>AQ75/AQ5</f>
        <v>#DIV/0!</v>
      </c>
      <c r="AR76" s="1803" t="e">
        <f>AR75/AR5</f>
        <v>#DIV/0!</v>
      </c>
      <c r="AS76" s="1803"/>
      <c r="AT76" s="1803"/>
      <c r="AU76" s="1456" t="e">
        <f>AU75/AU5</f>
        <v>#DIV/0!</v>
      </c>
      <c r="AV76" s="1456" t="e">
        <f>AV75/AV5</f>
        <v>#DIV/0!</v>
      </c>
      <c r="AW76" s="1457" t="e">
        <f>AW75/AW5</f>
        <v>#DIV/0!</v>
      </c>
      <c r="AX76" s="1457"/>
      <c r="AY76" s="1457"/>
      <c r="AZ76" s="639" t="e">
        <f>AZ75/AZ5</f>
        <v>#DIV/0!</v>
      </c>
      <c r="BA76" s="639" t="e">
        <f>BA75/BA5</f>
        <v>#DIV/0!</v>
      </c>
      <c r="BB76" s="660" t="e">
        <f>BB75/BB5</f>
        <v>#DIV/0!</v>
      </c>
      <c r="BC76" s="660"/>
      <c r="BD76" s="660"/>
      <c r="BE76" s="639" t="e">
        <f>BE75/BE5</f>
        <v>#DIV/0!</v>
      </c>
      <c r="BF76" s="639" t="e">
        <f>BF75/BF5</f>
        <v>#DIV/0!</v>
      </c>
      <c r="BG76" s="660" t="e">
        <f>BG75/BG5</f>
        <v>#DIV/0!</v>
      </c>
      <c r="BH76" s="660"/>
      <c r="BI76" s="660"/>
      <c r="BJ76" s="639">
        <f>BJ75/BJ5</f>
        <v>0.44144161219159528</v>
      </c>
      <c r="BK76" s="639" t="e">
        <f>BK75/BK5</f>
        <v>#DIV/0!</v>
      </c>
      <c r="BL76" s="660">
        <f>BL75/BL5</f>
        <v>6.4539275419589828E-2</v>
      </c>
      <c r="BM76" s="660"/>
      <c r="BN76" s="660"/>
    </row>
    <row r="77" spans="1:66" s="2" customFormat="1" ht="15" customHeight="1" outlineLevel="1" thickBot="1" x14ac:dyDescent="0.3">
      <c r="A77" s="294"/>
      <c r="B77" s="1199" t="s">
        <v>9</v>
      </c>
      <c r="C77" s="1180">
        <f>C78-C79</f>
        <v>-556109</v>
      </c>
      <c r="D77" s="1180">
        <f>D78-D79</f>
        <v>0</v>
      </c>
      <c r="E77" s="1043">
        <f>E78-E79</f>
        <v>-556109</v>
      </c>
      <c r="F77" s="1098"/>
      <c r="G77" s="1180">
        <v>0</v>
      </c>
      <c r="H77" s="1180">
        <v>0</v>
      </c>
      <c r="I77" s="1043">
        <v>-706583.08301969245</v>
      </c>
      <c r="J77" s="1238"/>
      <c r="K77" s="1238"/>
      <c r="L77" s="1180">
        <f>L78-L79</f>
        <v>0</v>
      </c>
      <c r="M77" s="1180">
        <f>M78-M79</f>
        <v>0</v>
      </c>
      <c r="N77" s="1043">
        <f>N78-N79</f>
        <v>-2540.2298850574712</v>
      </c>
      <c r="O77" s="1056"/>
      <c r="P77" s="1056"/>
      <c r="Q77" s="1180">
        <f>Q78-Q79</f>
        <v>0</v>
      </c>
      <c r="R77" s="1180">
        <f>R78-R79</f>
        <v>0</v>
      </c>
      <c r="S77" s="1043">
        <f>S78-S79</f>
        <v>-22570.765862068969</v>
      </c>
      <c r="T77" s="1056"/>
      <c r="U77" s="1056"/>
      <c r="V77" s="1180">
        <f>V78-V79</f>
        <v>0</v>
      </c>
      <c r="W77" s="1180">
        <f>W78-W79</f>
        <v>0</v>
      </c>
      <c r="X77" s="1043">
        <f>X78-X79</f>
        <v>0</v>
      </c>
      <c r="Y77" s="1056"/>
      <c r="Z77" s="1056"/>
      <c r="AA77" s="1180">
        <f>AA78-AA79</f>
        <v>0</v>
      </c>
      <c r="AB77" s="1180">
        <f>AB78-AB79</f>
        <v>0</v>
      </c>
      <c r="AC77" s="1043">
        <f>AC78-AC79</f>
        <v>-11628.749020142233</v>
      </c>
      <c r="AD77" s="1056"/>
      <c r="AE77" s="1056"/>
      <c r="AF77" s="1524">
        <f>AF78-AF79</f>
        <v>0</v>
      </c>
      <c r="AG77" s="1524">
        <f>AG78-AG79</f>
        <v>0</v>
      </c>
      <c r="AH77" s="1384">
        <f>AH78-AH79</f>
        <v>0</v>
      </c>
      <c r="AI77" s="1379">
        <f t="shared" ref="AI77:AI85" si="90">AH77/$AH$89</f>
        <v>0</v>
      </c>
      <c r="AJ77" s="1379"/>
      <c r="AK77" s="1524">
        <f>AK78-AK79</f>
        <v>0</v>
      </c>
      <c r="AL77" s="1524">
        <f>AL78-AL79</f>
        <v>0</v>
      </c>
      <c r="AM77" s="1384">
        <f>AM78-AM79</f>
        <v>-5942.717355544085</v>
      </c>
      <c r="AN77" s="1379">
        <f t="shared" ref="AN77:AN85" si="91">AM77/$AH$89</f>
        <v>-0.38340102077032273</v>
      </c>
      <c r="AO77" s="1379"/>
      <c r="AP77" s="1824">
        <f>AP78-AP79</f>
        <v>0</v>
      </c>
      <c r="AQ77" s="1824">
        <f>AQ78-AQ79</f>
        <v>0</v>
      </c>
      <c r="AR77" s="1400">
        <f>AR78-AR79</f>
        <v>0</v>
      </c>
      <c r="AS77" s="1401">
        <f>AR77/$AH$89</f>
        <v>0</v>
      </c>
      <c r="AT77" s="1401"/>
      <c r="AU77" s="1180">
        <f>AU78-AU79</f>
        <v>0</v>
      </c>
      <c r="AV77" s="1180">
        <f>AV78-AV79</f>
        <v>0</v>
      </c>
      <c r="AW77" s="1384">
        <f>AW78-AW79</f>
        <v>0</v>
      </c>
      <c r="AX77" s="1379">
        <f>AW77/$AW$89</f>
        <v>0</v>
      </c>
      <c r="AY77" s="1379"/>
      <c r="AZ77" s="1180">
        <f>AZ78-AZ79</f>
        <v>0</v>
      </c>
      <c r="BA77" s="1180">
        <f>BA78-BA79</f>
        <v>0</v>
      </c>
      <c r="BB77" s="1043" t="e">
        <f>BB78-BB79</f>
        <v>#DIV/0!</v>
      </c>
      <c r="BC77" s="1056" t="e">
        <f>BB77/$AH$89</f>
        <v>#DIV/0!</v>
      </c>
      <c r="BD77" s="1056"/>
      <c r="BE77" s="1180">
        <f>BE78-BE79</f>
        <v>0</v>
      </c>
      <c r="BF77" s="1180">
        <f>BF78-BF79</f>
        <v>0</v>
      </c>
      <c r="BG77" s="1043" t="e">
        <f>BG78-BG79</f>
        <v>#DIV/0!</v>
      </c>
      <c r="BH77" s="1056" t="e">
        <f>BG77/$BG$89</f>
        <v>#DIV/0!</v>
      </c>
      <c r="BI77" s="1056"/>
      <c r="BJ77" s="1180">
        <f>BJ78-BJ79</f>
        <v>0</v>
      </c>
      <c r="BK77" s="1180">
        <f>BK78-BK79</f>
        <v>0</v>
      </c>
      <c r="BL77" s="1043">
        <f>BL78-BL79</f>
        <v>-749265.5451425052</v>
      </c>
      <c r="BM77" s="1056"/>
      <c r="BN77" s="1056"/>
    </row>
    <row r="78" spans="1:66" s="2" customFormat="1" ht="15" customHeight="1" outlineLevel="2" x14ac:dyDescent="0.25">
      <c r="A78" s="11"/>
      <c r="B78" s="946" t="s">
        <v>43</v>
      </c>
      <c r="C78" s="483"/>
      <c r="D78" s="564"/>
      <c r="E78" s="1243">
        <f>C78+D78*1.15</f>
        <v>0</v>
      </c>
      <c r="F78" s="994"/>
      <c r="G78" s="1188">
        <v>0</v>
      </c>
      <c r="H78" s="1188">
        <v>0</v>
      </c>
      <c r="I78" s="676">
        <v>0</v>
      </c>
      <c r="J78" s="1110"/>
      <c r="K78" s="1110"/>
      <c r="L78" s="1188"/>
      <c r="M78" s="1188"/>
      <c r="N78" s="676">
        <f>L78+M78*1.15</f>
        <v>0</v>
      </c>
      <c r="O78" s="676"/>
      <c r="P78" s="676"/>
      <c r="Q78" s="1188"/>
      <c r="R78" s="1188"/>
      <c r="S78" s="676">
        <f>Q78+R78*1.15</f>
        <v>0</v>
      </c>
      <c r="T78" s="676"/>
      <c r="U78" s="676"/>
      <c r="V78" s="1188"/>
      <c r="W78" s="1188"/>
      <c r="X78" s="676">
        <f>V78+W78*1.15</f>
        <v>0</v>
      </c>
      <c r="Y78" s="1245" t="e">
        <f>X78/$X$89</f>
        <v>#DIV/0!</v>
      </c>
      <c r="Z78" s="676"/>
      <c r="AA78" s="1188"/>
      <c r="AB78" s="1188"/>
      <c r="AC78" s="676">
        <f>AA78+AB78*1.15</f>
        <v>0</v>
      </c>
      <c r="AD78" s="1245"/>
      <c r="AE78" s="676"/>
      <c r="AF78" s="1447"/>
      <c r="AG78" s="1447"/>
      <c r="AH78" s="1467">
        <f>AF78+AG78*1.15</f>
        <v>0</v>
      </c>
      <c r="AI78" s="1555">
        <f t="shared" si="90"/>
        <v>0</v>
      </c>
      <c r="AJ78" s="1467"/>
      <c r="AK78" s="1447"/>
      <c r="AL78" s="1447"/>
      <c r="AM78" s="1467">
        <f>AK78+AL78*1.15</f>
        <v>0</v>
      </c>
      <c r="AN78" s="1555">
        <f t="shared" si="91"/>
        <v>0</v>
      </c>
      <c r="AO78" s="1467"/>
      <c r="AP78" s="1640"/>
      <c r="AQ78" s="1640"/>
      <c r="AR78" s="1825">
        <f>AP78+AQ78*1.15</f>
        <v>0</v>
      </c>
      <c r="AS78" s="1792">
        <f>AR78/$AH$89</f>
        <v>0</v>
      </c>
      <c r="AT78" s="1825"/>
      <c r="AU78" s="1447"/>
      <c r="AV78" s="1447"/>
      <c r="AW78" s="1467">
        <f>AU78+AV78*1.15</f>
        <v>0</v>
      </c>
      <c r="AX78" s="1893">
        <f>AW78/$AW$89</f>
        <v>0</v>
      </c>
      <c r="AY78" s="1467"/>
      <c r="AZ78" s="1188"/>
      <c r="BA78" s="1188"/>
      <c r="BB78" s="676">
        <f>AZ78+BA78*1.15</f>
        <v>0</v>
      </c>
      <c r="BC78" s="1245">
        <f>BB78/$AH$89</f>
        <v>0</v>
      </c>
      <c r="BD78" s="676"/>
      <c r="BE78" s="1188"/>
      <c r="BF78" s="1188"/>
      <c r="BG78" s="676">
        <f>BE78+BF78*1.15</f>
        <v>0</v>
      </c>
      <c r="BH78" s="1245" t="e">
        <f>BG78/$BG$89</f>
        <v>#DIV/0!</v>
      </c>
      <c r="BI78" s="676"/>
      <c r="BJ78" s="1188">
        <f>G78+L78+Q78+V78+AA78+AF78+AK78+AP78</f>
        <v>0</v>
      </c>
      <c r="BK78" s="1188">
        <f>H78+M78+R78+W78+AB78+AL78+AQ78</f>
        <v>0</v>
      </c>
      <c r="BL78" s="1190">
        <f>BJ78+BK78</f>
        <v>0</v>
      </c>
      <c r="BM78" s="676"/>
      <c r="BN78" s="676"/>
    </row>
    <row r="79" spans="1:66" s="2" customFormat="1" ht="15" customHeight="1" outlineLevel="2" x14ac:dyDescent="0.25">
      <c r="A79" s="11"/>
      <c r="B79" s="1253" t="s">
        <v>79</v>
      </c>
      <c r="C79" s="1242">
        <v>556109</v>
      </c>
      <c r="D79" s="1243"/>
      <c r="E79" s="1243">
        <f>C79+D79*1.15</f>
        <v>556109</v>
      </c>
      <c r="F79" s="1248">
        <f>E79/$E$89</f>
        <v>4.7489023304683825E-2</v>
      </c>
      <c r="G79" s="1188">
        <v>0</v>
      </c>
      <c r="H79" s="1188">
        <v>0</v>
      </c>
      <c r="I79" s="1190">
        <v>706583.08301969245</v>
      </c>
      <c r="J79" s="1103"/>
      <c r="K79" s="1103"/>
      <c r="L79" s="1188"/>
      <c r="M79" s="1188"/>
      <c r="N79" s="1190">
        <v>2540.2298850574712</v>
      </c>
      <c r="O79" s="1249"/>
      <c r="P79" s="1249"/>
      <c r="Q79" s="1188"/>
      <c r="R79" s="1188"/>
      <c r="S79" s="1190">
        <v>22570.765862068969</v>
      </c>
      <c r="T79" s="1249"/>
      <c r="U79" s="1249"/>
      <c r="V79" s="1188"/>
      <c r="W79" s="1188"/>
      <c r="X79" s="1190">
        <v>0</v>
      </c>
      <c r="Y79" s="1245" t="e">
        <f>X79/$X$89</f>
        <v>#DIV/0!</v>
      </c>
      <c r="Z79" s="1249"/>
      <c r="AA79" s="1188"/>
      <c r="AB79" s="1188"/>
      <c r="AC79" s="1190">
        <v>11628.749020142233</v>
      </c>
      <c r="AD79" s="1245">
        <f>AC79/$AC$89</f>
        <v>5.6421476697756053E-2</v>
      </c>
      <c r="AE79" s="1249"/>
      <c r="AF79" s="1447"/>
      <c r="AG79" s="1447"/>
      <c r="AH79" s="1495">
        <v>0</v>
      </c>
      <c r="AI79" s="1555">
        <f t="shared" si="90"/>
        <v>0</v>
      </c>
      <c r="AJ79" s="1450"/>
      <c r="AK79" s="1447"/>
      <c r="AL79" s="1447"/>
      <c r="AM79" s="1495">
        <f>(AL8+AL41+AL50+AL54)/(1-'расчет 2022'!E8)*'расчет 2022'!E8</f>
        <v>5942.717355544085</v>
      </c>
      <c r="AN79" s="1555">
        <f>AM79/$AM$89</f>
        <v>7.0296038120017154E-2</v>
      </c>
      <c r="AO79" s="1450"/>
      <c r="AP79" s="1640"/>
      <c r="AQ79" s="1640"/>
      <c r="AR79" s="1873">
        <f>(AQ8+AQ41+AQ50+AQ54)/(1-'расчет 2022'!E8)*'расчет 2022'!E8</f>
        <v>0</v>
      </c>
      <c r="AS79" s="1792">
        <f>AR79/$AR$89</f>
        <v>0</v>
      </c>
      <c r="AT79" s="1800"/>
      <c r="AU79" s="1447"/>
      <c r="AV79" s="1447"/>
      <c r="AW79" s="2049">
        <v>0</v>
      </c>
      <c r="AX79" s="1893">
        <f>AW79/$AW$89</f>
        <v>0</v>
      </c>
      <c r="AY79" s="1909"/>
      <c r="AZ79" s="1188"/>
      <c r="BA79" s="1188"/>
      <c r="BB79" s="1190" t="e">
        <v>#DIV/0!</v>
      </c>
      <c r="BC79" s="1245" t="e">
        <f>BB79/$BB$89</f>
        <v>#DIV/0!</v>
      </c>
      <c r="BD79" s="1249"/>
      <c r="BE79" s="1188"/>
      <c r="BF79" s="1188"/>
      <c r="BG79" s="1190" t="e">
        <v>#DIV/0!</v>
      </c>
      <c r="BH79" s="1245" t="e">
        <f>BG79/$BG$89</f>
        <v>#DIV/0!</v>
      </c>
      <c r="BI79" s="1249"/>
      <c r="BJ79" s="1188">
        <f>G79+L79+Q79+V79+AA79+AF79+AK79+AP79</f>
        <v>0</v>
      </c>
      <c r="BK79" s="1188">
        <f>H79+M79+R79+W79+AB79+AL79+AQ79</f>
        <v>0</v>
      </c>
      <c r="BL79" s="1190">
        <f>I79+N79+S79+X79+AC79+AH79+AM79+AR79</f>
        <v>749265.5451425052</v>
      </c>
      <c r="BM79" s="1249"/>
      <c r="BN79" s="1249"/>
    </row>
    <row r="80" spans="1:66" ht="15" customHeight="1" outlineLevel="2" x14ac:dyDescent="0.25">
      <c r="A80" s="3"/>
      <c r="B80" s="1254"/>
      <c r="C80" s="1255"/>
      <c r="D80" s="1256"/>
      <c r="E80" s="1257"/>
      <c r="F80" s="1258"/>
      <c r="G80" s="1188"/>
      <c r="H80" s="1188"/>
      <c r="I80" s="1259"/>
      <c r="J80" s="1090"/>
      <c r="K80" s="1090"/>
      <c r="L80" s="1188"/>
      <c r="M80" s="1188"/>
      <c r="N80" s="1259"/>
      <c r="O80" s="1259"/>
      <c r="P80" s="1259"/>
      <c r="Q80" s="1188"/>
      <c r="R80" s="1188"/>
      <c r="S80" s="1259"/>
      <c r="T80" s="1259"/>
      <c r="U80" s="1259"/>
      <c r="V80" s="1188"/>
      <c r="W80" s="1188"/>
      <c r="X80" s="1259"/>
      <c r="Y80" s="1259"/>
      <c r="Z80" s="1259"/>
      <c r="AA80" s="1188"/>
      <c r="AB80" s="1188"/>
      <c r="AC80" s="1259"/>
      <c r="AD80" s="1259"/>
      <c r="AE80" s="1259"/>
      <c r="AF80" s="1447"/>
      <c r="AG80" s="1447"/>
      <c r="AH80" s="1468"/>
      <c r="AI80" s="1468">
        <f t="shared" si="90"/>
        <v>0</v>
      </c>
      <c r="AJ80" s="1468"/>
      <c r="AK80" s="1447"/>
      <c r="AL80" s="1447"/>
      <c r="AM80" s="1468"/>
      <c r="AN80" s="1468">
        <f t="shared" si="91"/>
        <v>0</v>
      </c>
      <c r="AO80" s="1468"/>
      <c r="AP80" s="1640"/>
      <c r="AQ80" s="1640"/>
      <c r="AR80" s="1781"/>
      <c r="AS80" s="1781">
        <f t="shared" ref="AS80:AS85" si="92">AR80/$AH$89</f>
        <v>0</v>
      </c>
      <c r="AT80" s="1781"/>
      <c r="AU80" s="1447"/>
      <c r="AV80" s="1447"/>
      <c r="AW80" s="1910"/>
      <c r="AX80" s="1910">
        <f t="shared" ref="AX80:AX85" si="93">AW80/$AH$89</f>
        <v>0</v>
      </c>
      <c r="AY80" s="1910"/>
      <c r="AZ80" s="1188"/>
      <c r="BA80" s="1188"/>
      <c r="BB80" s="1259"/>
      <c r="BC80" s="1259">
        <f t="shared" ref="BC80:BC85" si="94">BB80/$AH$89</f>
        <v>0</v>
      </c>
      <c r="BD80" s="1259"/>
      <c r="BE80" s="1188"/>
      <c r="BF80" s="1188"/>
      <c r="BG80" s="1259"/>
      <c r="BH80" s="1259">
        <f t="shared" ref="BH80:BH85" si="95">BG80/$AH$89</f>
        <v>0</v>
      </c>
      <c r="BI80" s="1259"/>
      <c r="BJ80" s="1188">
        <f>G80+L80+Q80+V80+AA80+AF80+AK80+AP80</f>
        <v>0</v>
      </c>
      <c r="BK80" s="1188">
        <f>H80+M80+R80+W80+AB80+AL80+AQ80</f>
        <v>0</v>
      </c>
      <c r="BL80" s="1259"/>
      <c r="BM80" s="1259"/>
      <c r="BN80" s="1259"/>
    </row>
    <row r="81" spans="1:66" s="2" customFormat="1" ht="15" customHeight="1" outlineLevel="1" thickBot="1" x14ac:dyDescent="0.3">
      <c r="A81" s="26"/>
      <c r="B81" s="1199" t="s">
        <v>12</v>
      </c>
      <c r="C81" s="1180">
        <f>(C75+C78)-C79</f>
        <v>7808904</v>
      </c>
      <c r="D81" s="1180">
        <f>(D75+D78)-D79</f>
        <v>-3707394</v>
      </c>
      <c r="E81" s="1043">
        <f>(E75+E78)-E79</f>
        <v>4101510</v>
      </c>
      <c r="F81" s="1098"/>
      <c r="G81" s="1180">
        <v>5520095.6989199985</v>
      </c>
      <c r="H81" s="1180">
        <v>-5018001.1212499999</v>
      </c>
      <c r="I81" s="1043">
        <v>-204488.50534969533</v>
      </c>
      <c r="J81" s="1238"/>
      <c r="K81" s="1238"/>
      <c r="L81" s="1180">
        <f>(L75+L78)-L79</f>
        <v>-350</v>
      </c>
      <c r="M81" s="1180">
        <f>(M75+M78)-M79</f>
        <v>-17000</v>
      </c>
      <c r="N81" s="1043">
        <f>(N75+N78)-N79</f>
        <v>-19890.22988505747</v>
      </c>
      <c r="O81" s="1056"/>
      <c r="P81" s="1056"/>
      <c r="Q81" s="1180">
        <f>(Q75+Q78)-Q79</f>
        <v>502475.59400000004</v>
      </c>
      <c r="R81" s="1180">
        <f>(R75+R78)-R79</f>
        <v>-151050.51</v>
      </c>
      <c r="S81" s="1043">
        <f>(S75+S78)-S79</f>
        <v>328854.318137931</v>
      </c>
      <c r="T81" s="1056"/>
      <c r="U81" s="1056"/>
      <c r="V81" s="1180">
        <f>(V75+V78)-V79</f>
        <v>0</v>
      </c>
      <c r="W81" s="1180">
        <f>(W75+W78)-W79</f>
        <v>0</v>
      </c>
      <c r="X81" s="1043">
        <f>(X75+X78)-X79</f>
        <v>0</v>
      </c>
      <c r="Y81" s="1056"/>
      <c r="Z81" s="1056"/>
      <c r="AA81" s="1180">
        <f>(AA75+AA78)-AA79</f>
        <v>148742.50600000002</v>
      </c>
      <c r="AB81" s="1180">
        <f>(AB75+AB78)-AB79</f>
        <v>-94140.536999999997</v>
      </c>
      <c r="AC81" s="1043">
        <f>(AC75+AC78)-AC79</f>
        <v>42973.219979857771</v>
      </c>
      <c r="AD81" s="1056"/>
      <c r="AE81" s="1056"/>
      <c r="AF81" s="1524">
        <f>(AF75+AF78)-AF79</f>
        <v>-15500.003999999999</v>
      </c>
      <c r="AG81" s="1524">
        <f>(AG75+AG78)-AG79</f>
        <v>0</v>
      </c>
      <c r="AH81" s="1384">
        <f>(AH75+AH78)-AH79</f>
        <v>-15500.003999999999</v>
      </c>
      <c r="AI81" s="1379">
        <f t="shared" si="90"/>
        <v>-1</v>
      </c>
      <c r="AJ81" s="1379"/>
      <c r="AK81" s="1524">
        <f>(AK75+AK78)-AK79</f>
        <v>141866.19200000001</v>
      </c>
      <c r="AL81" s="1524">
        <f>(AL75+AL78)-AL79</f>
        <v>-41032.254000000001</v>
      </c>
      <c r="AM81" s="1384">
        <f>(AM75+AM78)-AM79</f>
        <v>94891.220644455927</v>
      </c>
      <c r="AN81" s="1379">
        <f t="shared" si="91"/>
        <v>6.1220126552519556</v>
      </c>
      <c r="AO81" s="1379"/>
      <c r="AP81" s="1824">
        <f>(AP75+AP78)-AP79</f>
        <v>-64920</v>
      </c>
      <c r="AQ81" s="1824">
        <f>(AQ75+AQ78)-AQ79</f>
        <v>0</v>
      </c>
      <c r="AR81" s="1400">
        <f>(AR75+AR78)-AR79</f>
        <v>-64920</v>
      </c>
      <c r="AS81" s="1401">
        <f t="shared" si="92"/>
        <v>-4.1883860159003836</v>
      </c>
      <c r="AT81" s="1401"/>
      <c r="AU81" s="1180">
        <f>(AU75+AU78)-AU79</f>
        <v>-116297.364</v>
      </c>
      <c r="AV81" s="1180">
        <f>(AV75+AV78)-AV79</f>
        <v>0</v>
      </c>
      <c r="AW81" s="1384">
        <f>(AW75+AW78)-AW79</f>
        <v>-116297.364</v>
      </c>
      <c r="AX81" s="1379">
        <f t="shared" si="93"/>
        <v>-7.5030538056635345</v>
      </c>
      <c r="AY81" s="1379"/>
      <c r="AZ81" s="1180">
        <f>(AZ75+AZ78)-AZ79</f>
        <v>0</v>
      </c>
      <c r="BA81" s="1180">
        <f>(BA75+BA78)-BA79</f>
        <v>0</v>
      </c>
      <c r="BB81" s="1043" t="e">
        <f>(BB75+BB78)-BB79</f>
        <v>#DIV/0!</v>
      </c>
      <c r="BC81" s="1056" t="e">
        <f t="shared" si="94"/>
        <v>#DIV/0!</v>
      </c>
      <c r="BD81" s="1056"/>
      <c r="BE81" s="1180">
        <f>(BE75+BE78)-BE79</f>
        <v>0</v>
      </c>
      <c r="BF81" s="1180">
        <f>(BF75+BF78)-BF79</f>
        <v>0</v>
      </c>
      <c r="BG81" s="1043" t="e">
        <f>(BG75+BG78)-BG79</f>
        <v>#DIV/0!</v>
      </c>
      <c r="BH81" s="1056" t="e">
        <f t="shared" si="95"/>
        <v>#DIV/0!</v>
      </c>
      <c r="BI81" s="1056"/>
      <c r="BJ81" s="1180">
        <f>(BJ75+BJ78)-BJ79</f>
        <v>6232409.9869199982</v>
      </c>
      <c r="BK81" s="1180">
        <f>(BK75+BK78)-BK79</f>
        <v>-5321224.4222500008</v>
      </c>
      <c r="BL81" s="1043">
        <f>(BL75+BL78)-BL79</f>
        <v>161920.01952749048</v>
      </c>
      <c r="BM81" s="1056"/>
      <c r="BN81" s="1056"/>
    </row>
    <row r="82" spans="1:66" s="2" customFormat="1" ht="15" customHeight="1" outlineLevel="2" x14ac:dyDescent="0.25">
      <c r="A82" s="293"/>
      <c r="B82" s="946" t="s">
        <v>38</v>
      </c>
      <c r="C82" s="483"/>
      <c r="D82" s="564"/>
      <c r="E82" s="565">
        <f>C82+D82</f>
        <v>0</v>
      </c>
      <c r="F82" s="1019">
        <f>E82/$E$89</f>
        <v>0</v>
      </c>
      <c r="G82" s="488">
        <v>0</v>
      </c>
      <c r="H82" s="488">
        <v>0</v>
      </c>
      <c r="I82" s="565">
        <v>0</v>
      </c>
      <c r="J82" s="1019"/>
      <c r="K82" s="1019"/>
      <c r="L82" s="488"/>
      <c r="M82" s="488"/>
      <c r="N82" s="565">
        <f>L82+M82</f>
        <v>0</v>
      </c>
      <c r="O82" s="566"/>
      <c r="P82" s="566"/>
      <c r="Q82" s="488"/>
      <c r="R82" s="488"/>
      <c r="S82" s="565">
        <f>Q82+R82</f>
        <v>0</v>
      </c>
      <c r="T82" s="566"/>
      <c r="U82" s="566"/>
      <c r="V82" s="488"/>
      <c r="W82" s="488"/>
      <c r="X82" s="565">
        <f>V82+W82</f>
        <v>0</v>
      </c>
      <c r="Y82" s="566"/>
      <c r="Z82" s="566"/>
      <c r="AA82" s="488"/>
      <c r="AB82" s="488"/>
      <c r="AC82" s="565">
        <f>AA82+AB82</f>
        <v>0</v>
      </c>
      <c r="AD82" s="566"/>
      <c r="AE82" s="566"/>
      <c r="AF82" s="1639"/>
      <c r="AG82" s="1639"/>
      <c r="AH82" s="1530">
        <f>AF82+AG82</f>
        <v>0</v>
      </c>
      <c r="AI82" s="1492">
        <f t="shared" si="90"/>
        <v>0</v>
      </c>
      <c r="AJ82" s="1492"/>
      <c r="AK82" s="1639"/>
      <c r="AL82" s="1639"/>
      <c r="AM82" s="1530">
        <f>AK82+AL82</f>
        <v>0</v>
      </c>
      <c r="AN82" s="1492">
        <f t="shared" si="91"/>
        <v>0</v>
      </c>
      <c r="AO82" s="1492"/>
      <c r="AP82" s="1835"/>
      <c r="AQ82" s="1835"/>
      <c r="AR82" s="1776">
        <f>AP82+AQ82</f>
        <v>0</v>
      </c>
      <c r="AS82" s="1859">
        <f t="shared" si="92"/>
        <v>0</v>
      </c>
      <c r="AT82" s="1859"/>
      <c r="AU82" s="1639"/>
      <c r="AV82" s="1639"/>
      <c r="AW82" s="1530">
        <f>AU82+AV82</f>
        <v>0</v>
      </c>
      <c r="AX82" s="1492">
        <f t="shared" si="93"/>
        <v>0</v>
      </c>
      <c r="AY82" s="1492"/>
      <c r="AZ82" s="488"/>
      <c r="BA82" s="488"/>
      <c r="BB82" s="565">
        <f>AZ82+BA82</f>
        <v>0</v>
      </c>
      <c r="BC82" s="566">
        <f t="shared" si="94"/>
        <v>0</v>
      </c>
      <c r="BD82" s="566"/>
      <c r="BE82" s="488"/>
      <c r="BF82" s="488"/>
      <c r="BG82" s="565">
        <f>BE82+BF82</f>
        <v>0</v>
      </c>
      <c r="BH82" s="566">
        <f t="shared" si="95"/>
        <v>0</v>
      </c>
      <c r="BI82" s="566"/>
      <c r="BJ82" s="488">
        <f>G82+L82+Q82+V82+AA82+AF82+AK82+AP82</f>
        <v>0</v>
      </c>
      <c r="BK82" s="488">
        <f>H82+M82+R82+W82+AB82+AL82+AQ82</f>
        <v>0</v>
      </c>
      <c r="BL82" s="484">
        <f>BJ82+BK82</f>
        <v>0</v>
      </c>
      <c r="BM82" s="566"/>
      <c r="BN82" s="566"/>
    </row>
    <row r="83" spans="1:66" s="2" customFormat="1" ht="15" customHeight="1" outlineLevel="1" x14ac:dyDescent="0.25">
      <c r="A83" s="11"/>
      <c r="B83" s="1260" t="s">
        <v>13</v>
      </c>
      <c r="C83" s="1261">
        <f>(C81+C7)-C36</f>
        <v>7747651</v>
      </c>
      <c r="D83" s="1261">
        <f>(D81+D7)-D36</f>
        <v>-3707394</v>
      </c>
      <c r="E83" s="1261">
        <f>(E81+E7)-E36</f>
        <v>4040257</v>
      </c>
      <c r="F83" s="1262"/>
      <c r="G83" s="1261">
        <v>5520095.6989199985</v>
      </c>
      <c r="H83" s="1261">
        <v>-5018001.1212499999</v>
      </c>
      <c r="I83" s="1263">
        <v>-204488.50534969533</v>
      </c>
      <c r="J83" s="1265"/>
      <c r="K83" s="1265"/>
      <c r="L83" s="1261">
        <f>(L81)-L36</f>
        <v>-350</v>
      </c>
      <c r="M83" s="1261">
        <f>(M81)-M36</f>
        <v>-17000</v>
      </c>
      <c r="N83" s="1263">
        <f>(N81)-N36</f>
        <v>-19890.22988505747</v>
      </c>
      <c r="O83" s="1264"/>
      <c r="P83" s="1264"/>
      <c r="Q83" s="1261">
        <f>(Q81+Q7)-Q36</f>
        <v>502475.59400000004</v>
      </c>
      <c r="R83" s="1261">
        <f>(R81+R7)-R36</f>
        <v>-151050.51</v>
      </c>
      <c r="S83" s="1263">
        <f>(S81+S7)-S36</f>
        <v>328854.318137931</v>
      </c>
      <c r="T83" s="1264"/>
      <c r="U83" s="1264"/>
      <c r="V83" s="1261">
        <f>(V81)-V36</f>
        <v>0</v>
      </c>
      <c r="W83" s="1261">
        <f>(W81)-W36</f>
        <v>0</v>
      </c>
      <c r="X83" s="1263">
        <f>(X81)-X36</f>
        <v>0</v>
      </c>
      <c r="Y83" s="1264"/>
      <c r="Z83" s="1264"/>
      <c r="AA83" s="1261">
        <f>(AA81)-AA36</f>
        <v>148742.50600000002</v>
      </c>
      <c r="AB83" s="1261">
        <f>(AB81)-AB36</f>
        <v>-94140.536999999997</v>
      </c>
      <c r="AC83" s="1263">
        <f>(AC81)-AC36</f>
        <v>42973.219979857771</v>
      </c>
      <c r="AD83" s="1264"/>
      <c r="AE83" s="1264"/>
      <c r="AF83" s="1531">
        <f>(AF81)-AF36</f>
        <v>-15500.003999999999</v>
      </c>
      <c r="AG83" s="1531">
        <f>(AG81)-AG36</f>
        <v>0</v>
      </c>
      <c r="AH83" s="1531">
        <f>(AH81)-AH36</f>
        <v>-15500.003999999999</v>
      </c>
      <c r="AI83" s="1469">
        <f t="shared" si="90"/>
        <v>-1</v>
      </c>
      <c r="AJ83" s="1469"/>
      <c r="AK83" s="1531">
        <f>(AK81)-AK36</f>
        <v>141866.19200000001</v>
      </c>
      <c r="AL83" s="1531">
        <f>(AL81)-AL36</f>
        <v>-41032.254000000001</v>
      </c>
      <c r="AM83" s="1531">
        <f>(AM81)-AM36</f>
        <v>94891.220644455927</v>
      </c>
      <c r="AN83" s="1469">
        <f t="shared" si="91"/>
        <v>6.1220126552519556</v>
      </c>
      <c r="AO83" s="1469"/>
      <c r="AP83" s="1829">
        <f>(AP81)-AP36</f>
        <v>-64920</v>
      </c>
      <c r="AQ83" s="1829">
        <f>(AQ81)-AQ36</f>
        <v>0</v>
      </c>
      <c r="AR83" s="1829">
        <f>(AR81)-AR36</f>
        <v>-64920</v>
      </c>
      <c r="AS83" s="1831">
        <f t="shared" si="92"/>
        <v>-4.1883860159003836</v>
      </c>
      <c r="AT83" s="1831"/>
      <c r="AU83" s="1912">
        <f>(AU81)-AU36</f>
        <v>-116297.364</v>
      </c>
      <c r="AV83" s="1912">
        <f>(AV81)-AV36</f>
        <v>0</v>
      </c>
      <c r="AW83" s="1912">
        <f>(AW81)-AW36</f>
        <v>-116297.364</v>
      </c>
      <c r="AX83" s="1914">
        <f t="shared" si="93"/>
        <v>-7.5030538056635345</v>
      </c>
      <c r="AY83" s="1914"/>
      <c r="AZ83" s="1261">
        <f>(AZ81)-AZ36</f>
        <v>0</v>
      </c>
      <c r="BA83" s="1261">
        <f>(BA81)-BA36</f>
        <v>0</v>
      </c>
      <c r="BB83" s="1261" t="e">
        <f>(BB81)-BB36</f>
        <v>#DIV/0!</v>
      </c>
      <c r="BC83" s="1264" t="e">
        <f t="shared" si="94"/>
        <v>#DIV/0!</v>
      </c>
      <c r="BD83" s="1264"/>
      <c r="BE83" s="1261">
        <f>(BE81)-BE36</f>
        <v>0</v>
      </c>
      <c r="BF83" s="1261">
        <f>(BF81)-BF36</f>
        <v>0</v>
      </c>
      <c r="BG83" s="1261" t="e">
        <f>(BG81)-BG36</f>
        <v>#DIV/0!</v>
      </c>
      <c r="BH83" s="1264" t="e">
        <f t="shared" si="95"/>
        <v>#DIV/0!</v>
      </c>
      <c r="BI83" s="1264"/>
      <c r="BJ83" s="1261">
        <f>(BJ81)-BJ36</f>
        <v>6232409.9869199982</v>
      </c>
      <c r="BK83" s="1261">
        <f>(BK81)-BK36</f>
        <v>-5321224.4222500008</v>
      </c>
      <c r="BL83" s="1261">
        <f>(BL81)-BL36</f>
        <v>161920.01952749048</v>
      </c>
      <c r="BM83" s="1264"/>
      <c r="BN83" s="1264"/>
    </row>
    <row r="84" spans="1:66" s="2" customFormat="1" ht="15" customHeight="1" outlineLevel="1" thickBot="1" x14ac:dyDescent="0.3">
      <c r="A84" s="822"/>
      <c r="B84" s="1201" t="s">
        <v>14</v>
      </c>
      <c r="C84" s="1202">
        <f>C83-C73-C82</f>
        <v>7288898</v>
      </c>
      <c r="D84" s="1202">
        <f>D83-D73-D82</f>
        <v>-3707394</v>
      </c>
      <c r="E84" s="1202">
        <f>E83-E73-E82</f>
        <v>3581504</v>
      </c>
      <c r="F84" s="1100"/>
      <c r="G84" s="1044">
        <v>589835.03300000005</v>
      </c>
      <c r="H84" s="1044">
        <v>-1544083.8499999999</v>
      </c>
      <c r="I84" s="1044">
        <v>-204488.50534969533</v>
      </c>
      <c r="J84" s="1100"/>
      <c r="K84" s="1100"/>
      <c r="L84" s="1044">
        <f>L83-L73-L82</f>
        <v>-350</v>
      </c>
      <c r="M84" s="1044">
        <f>M83-M73-M82</f>
        <v>-17000</v>
      </c>
      <c r="N84" s="1044">
        <f>N83-N73-N82</f>
        <v>-19890.22988505747</v>
      </c>
      <c r="O84" s="1083"/>
      <c r="P84" s="1083"/>
      <c r="Q84" s="1044">
        <f>Q83-Q73-Q82</f>
        <v>502475.59400000004</v>
      </c>
      <c r="R84" s="1044">
        <f>R83-R73-R82</f>
        <v>-151050.51</v>
      </c>
      <c r="S84" s="1044">
        <f>S83-S73-S82</f>
        <v>328854.318137931</v>
      </c>
      <c r="T84" s="1083"/>
      <c r="U84" s="1083"/>
      <c r="V84" s="1044">
        <f>V83-V73-V82</f>
        <v>0</v>
      </c>
      <c r="W84" s="1044">
        <f>W83-W73-W82</f>
        <v>0</v>
      </c>
      <c r="X84" s="1044">
        <f>X83-X73-X82</f>
        <v>0</v>
      </c>
      <c r="Y84" s="1083"/>
      <c r="Z84" s="1083"/>
      <c r="AA84" s="1044">
        <f>AA83-AA73-AA82</f>
        <v>148742.50600000002</v>
      </c>
      <c r="AB84" s="1044">
        <f>AB83-AB73-AB82</f>
        <v>-94140.536999999997</v>
      </c>
      <c r="AC84" s="1044">
        <f>AC83-AC73-AC82</f>
        <v>42973.219979857771</v>
      </c>
      <c r="AD84" s="1083"/>
      <c r="AE84" s="1083"/>
      <c r="AF84" s="1748">
        <f>AF83-AF73-AF82</f>
        <v>-15500.003999999999</v>
      </c>
      <c r="AG84" s="1748">
        <f>AG83-AG73-AG82</f>
        <v>0</v>
      </c>
      <c r="AH84" s="1748">
        <f>AH83-AH73-AH82</f>
        <v>-15500.003999999999</v>
      </c>
      <c r="AI84" s="1396">
        <f t="shared" si="90"/>
        <v>-1</v>
      </c>
      <c r="AJ84" s="1396"/>
      <c r="AK84" s="1748">
        <f>AK83-AK73-AK82</f>
        <v>141866.19200000001</v>
      </c>
      <c r="AL84" s="1748">
        <f>AL83-AL73-AL82</f>
        <v>-41032.254000000001</v>
      </c>
      <c r="AM84" s="1748">
        <f>AM83-AM73-AM82</f>
        <v>94891.220644455927</v>
      </c>
      <c r="AN84" s="1396">
        <f t="shared" si="91"/>
        <v>6.1220126552519556</v>
      </c>
      <c r="AO84" s="1396"/>
      <c r="AP84" s="1860">
        <f>AP83-AP73-AP82</f>
        <v>-64920</v>
      </c>
      <c r="AQ84" s="1860">
        <f>AQ83-AQ73-AQ82</f>
        <v>0</v>
      </c>
      <c r="AR84" s="1860">
        <f>AR83-AR73-AR82</f>
        <v>-64920</v>
      </c>
      <c r="AS84" s="1404">
        <f t="shared" si="92"/>
        <v>-4.1883860159003836</v>
      </c>
      <c r="AT84" s="1404"/>
      <c r="AU84" s="1202">
        <f>AU83-AU73-AU82</f>
        <v>-116297.364</v>
      </c>
      <c r="AV84" s="1202">
        <f>AV83-AV73-AV82</f>
        <v>0</v>
      </c>
      <c r="AW84" s="1202">
        <f>AW83-AW73-AW82</f>
        <v>-116297.364</v>
      </c>
      <c r="AX84" s="1396">
        <f t="shared" si="93"/>
        <v>-7.5030538056635345</v>
      </c>
      <c r="AY84" s="1396"/>
      <c r="AZ84" s="1202">
        <f>AZ83-AZ73-AZ82</f>
        <v>0</v>
      </c>
      <c r="BA84" s="1202">
        <f>BA83-BA73-BA82</f>
        <v>0</v>
      </c>
      <c r="BB84" s="1202" t="e">
        <f>BB83-BB73-BB82</f>
        <v>#DIV/0!</v>
      </c>
      <c r="BC84" s="1083" t="e">
        <f t="shared" si="94"/>
        <v>#DIV/0!</v>
      </c>
      <c r="BD84" s="1083"/>
      <c r="BE84" s="1202">
        <f>BE83-BE73-BE82</f>
        <v>0</v>
      </c>
      <c r="BF84" s="1202">
        <f>BF83-BF73-BF82</f>
        <v>0</v>
      </c>
      <c r="BG84" s="1202" t="e">
        <f>BG83-BG73-BG82</f>
        <v>#DIV/0!</v>
      </c>
      <c r="BH84" s="1083" t="e">
        <f t="shared" si="95"/>
        <v>#DIV/0!</v>
      </c>
      <c r="BI84" s="1083"/>
      <c r="BJ84" s="1202">
        <f>BJ83-BJ73-BJ82</f>
        <v>6232409.9869199982</v>
      </c>
      <c r="BK84" s="1202">
        <f>BK83-BK73-BK82</f>
        <v>-5321224.4222500008</v>
      </c>
      <c r="BL84" s="1202">
        <f>BL83-BL73-BL82</f>
        <v>161920.01952749048</v>
      </c>
      <c r="BM84" s="1083"/>
      <c r="BN84" s="1083"/>
    </row>
    <row r="85" spans="1:66" s="2" customFormat="1" ht="15" customHeight="1" outlineLevel="3" x14ac:dyDescent="0.25">
      <c r="A85" s="294"/>
      <c r="B85" s="1060" t="s">
        <v>44</v>
      </c>
      <c r="C85" s="1048"/>
      <c r="D85" s="1101"/>
      <c r="E85" s="1102">
        <f>C85+D85</f>
        <v>0</v>
      </c>
      <c r="F85" s="1103">
        <f>E85/$E$89</f>
        <v>0</v>
      </c>
      <c r="G85" s="1188">
        <v>0</v>
      </c>
      <c r="H85" s="1188">
        <v>0</v>
      </c>
      <c r="I85" s="1190">
        <v>0</v>
      </c>
      <c r="J85" s="1103"/>
      <c r="K85" s="1103"/>
      <c r="L85" s="1188"/>
      <c r="M85" s="1188"/>
      <c r="N85" s="1190">
        <f>L85+M85*1.15</f>
        <v>0</v>
      </c>
      <c r="O85" s="1057"/>
      <c r="P85" s="1057"/>
      <c r="Q85" s="1188"/>
      <c r="R85" s="1188"/>
      <c r="S85" s="1190">
        <f>Q85+R85*1.15</f>
        <v>0</v>
      </c>
      <c r="T85" s="1057"/>
      <c r="U85" s="1057"/>
      <c r="V85" s="1188"/>
      <c r="W85" s="1188"/>
      <c r="X85" s="1190">
        <f>V85+W85*1.15</f>
        <v>0</v>
      </c>
      <c r="Y85" s="1057"/>
      <c r="Z85" s="1057"/>
      <c r="AA85" s="1188"/>
      <c r="AB85" s="1188"/>
      <c r="AC85" s="1190">
        <f>AA85+AB85*1.15</f>
        <v>0</v>
      </c>
      <c r="AD85" s="1057"/>
      <c r="AE85" s="1057"/>
      <c r="AF85" s="1447"/>
      <c r="AG85" s="1447"/>
      <c r="AH85" s="1495">
        <f>AF85+AG85*1.15</f>
        <v>0</v>
      </c>
      <c r="AI85" s="1491">
        <f t="shared" si="90"/>
        <v>0</v>
      </c>
      <c r="AJ85" s="1491"/>
      <c r="AK85" s="1447"/>
      <c r="AL85" s="1447"/>
      <c r="AM85" s="1495">
        <f>AK85+AL85*1.15</f>
        <v>0</v>
      </c>
      <c r="AN85" s="1491">
        <f t="shared" si="91"/>
        <v>0</v>
      </c>
      <c r="AO85" s="1491"/>
      <c r="AP85" s="1640"/>
      <c r="AQ85" s="1640"/>
      <c r="AR85" s="1780">
        <f>AP85+AQ85*1.15</f>
        <v>0</v>
      </c>
      <c r="AS85" s="1827">
        <f t="shared" si="92"/>
        <v>0</v>
      </c>
      <c r="AT85" s="1827"/>
      <c r="AU85" s="1447"/>
      <c r="AV85" s="1447"/>
      <c r="AW85" s="1495">
        <f>AU85+AV85*1.15</f>
        <v>0</v>
      </c>
      <c r="AX85" s="1491">
        <f t="shared" si="93"/>
        <v>0</v>
      </c>
      <c r="AY85" s="1491"/>
      <c r="AZ85" s="1188"/>
      <c r="BA85" s="1188"/>
      <c r="BB85" s="1190">
        <f>AZ85+BA85*1.15</f>
        <v>0</v>
      </c>
      <c r="BC85" s="1057">
        <f t="shared" si="94"/>
        <v>0</v>
      </c>
      <c r="BD85" s="1057"/>
      <c r="BE85" s="1188"/>
      <c r="BF85" s="1188"/>
      <c r="BG85" s="1190">
        <f>BE85+BF85*1.15</f>
        <v>0</v>
      </c>
      <c r="BH85" s="1057">
        <f t="shared" si="95"/>
        <v>0</v>
      </c>
      <c r="BI85" s="1057"/>
      <c r="BJ85" s="1188">
        <f>G85+L85+Q85+V85+AA85+AF85+AK85</f>
        <v>0</v>
      </c>
      <c r="BK85" s="1188">
        <f>H85+M85+R85+W85+AB85+AL85</f>
        <v>0</v>
      </c>
      <c r="BL85" s="1190">
        <f>BJ85+BK85*1.15</f>
        <v>0</v>
      </c>
      <c r="BM85" s="1057"/>
      <c r="BN85" s="1057"/>
    </row>
    <row r="86" spans="1:66" s="2" customFormat="1" ht="22.95" customHeight="1" x14ac:dyDescent="0.25">
      <c r="A86" s="11"/>
      <c r="B86" s="1203" t="s">
        <v>50</v>
      </c>
      <c r="C86" s="1266">
        <f>C84-C85</f>
        <v>7288898</v>
      </c>
      <c r="D86" s="1266">
        <f>D84-D85</f>
        <v>-3707394</v>
      </c>
      <c r="E86" s="1267">
        <f>E84-E85</f>
        <v>3581504</v>
      </c>
      <c r="F86" s="1268"/>
      <c r="G86" s="1267">
        <v>589835.03300000005</v>
      </c>
      <c r="H86" s="1267">
        <v>-1544083.8499999999</v>
      </c>
      <c r="I86" s="1267">
        <v>-204488.50534969533</v>
      </c>
      <c r="J86" s="1268"/>
      <c r="K86" s="1268"/>
      <c r="L86" s="1267">
        <f>L84-L85</f>
        <v>-350</v>
      </c>
      <c r="M86" s="1267">
        <f>M84-M85</f>
        <v>-17000</v>
      </c>
      <c r="N86" s="1267">
        <f>N84-N85</f>
        <v>-19890.22988505747</v>
      </c>
      <c r="O86" s="1269"/>
      <c r="P86" s="1269"/>
      <c r="Q86" s="1267">
        <f>Q84-Q85</f>
        <v>502475.59400000004</v>
      </c>
      <c r="R86" s="1267">
        <f>R84-R85</f>
        <v>-151050.51</v>
      </c>
      <c r="S86" s="1267">
        <f>S84-S85</f>
        <v>328854.318137931</v>
      </c>
      <c r="T86" s="1269"/>
      <c r="U86" s="1269"/>
      <c r="V86" s="1267">
        <f>V84-V85</f>
        <v>0</v>
      </c>
      <c r="W86" s="1267">
        <f>W84-W85</f>
        <v>0</v>
      </c>
      <c r="X86" s="1267">
        <f>X84-X85</f>
        <v>0</v>
      </c>
      <c r="Y86" s="1269"/>
      <c r="Z86" s="1269"/>
      <c r="AA86" s="1267">
        <f>AA84-AA85</f>
        <v>148742.50600000002</v>
      </c>
      <c r="AB86" s="1267">
        <f>AB84-AB85</f>
        <v>-94140.536999999997</v>
      </c>
      <c r="AC86" s="1267">
        <f>AC84-AC85</f>
        <v>42973.219979857771</v>
      </c>
      <c r="AD86" s="1269"/>
      <c r="AE86" s="1269"/>
      <c r="AF86" s="1534">
        <f>AF84-AF85</f>
        <v>-15500.003999999999</v>
      </c>
      <c r="AG86" s="1534">
        <f>AG84-AG85</f>
        <v>0</v>
      </c>
      <c r="AH86" s="1534">
        <f>AH84-AH85</f>
        <v>-15500.003999999999</v>
      </c>
      <c r="AI86" s="1471"/>
      <c r="AJ86" s="1471"/>
      <c r="AK86" s="1534">
        <f>AK84-AK85</f>
        <v>141866.19200000001</v>
      </c>
      <c r="AL86" s="1534">
        <f>AL84-AL85</f>
        <v>-41032.254000000001</v>
      </c>
      <c r="AM86" s="1534">
        <f>AM84-AM85</f>
        <v>94891.220644455927</v>
      </c>
      <c r="AN86" s="1471"/>
      <c r="AO86" s="1471"/>
      <c r="AP86" s="1830">
        <f>AP84-AP85</f>
        <v>-64920</v>
      </c>
      <c r="AQ86" s="1830">
        <f>AQ84-AQ85</f>
        <v>0</v>
      </c>
      <c r="AR86" s="1830">
        <f>AR84-AR85</f>
        <v>-64920</v>
      </c>
      <c r="AS86" s="1831"/>
      <c r="AT86" s="1831"/>
      <c r="AU86" s="1919">
        <f>AU84-AU85</f>
        <v>-116297.364</v>
      </c>
      <c r="AV86" s="1919">
        <f>AV84-AV85</f>
        <v>0</v>
      </c>
      <c r="AW86" s="1919">
        <f>AW84-AW85</f>
        <v>-116297.364</v>
      </c>
      <c r="AX86" s="1920"/>
      <c r="AY86" s="1920"/>
      <c r="AZ86" s="1267">
        <f>AZ84-AZ85</f>
        <v>0</v>
      </c>
      <c r="BA86" s="1267">
        <f>BA84-BA85</f>
        <v>0</v>
      </c>
      <c r="BB86" s="1267" t="e">
        <f>BB84-BB85</f>
        <v>#DIV/0!</v>
      </c>
      <c r="BC86" s="1269"/>
      <c r="BD86" s="1269"/>
      <c r="BE86" s="1267">
        <f>BE84-BE85</f>
        <v>0</v>
      </c>
      <c r="BF86" s="1267">
        <f>BF84-BF85</f>
        <v>0</v>
      </c>
      <c r="BG86" s="1267" t="e">
        <f>BG84-BG85</f>
        <v>#DIV/0!</v>
      </c>
      <c r="BH86" s="1269"/>
      <c r="BI86" s="1269"/>
      <c r="BJ86" s="1267">
        <f>BJ84-BJ85</f>
        <v>6232409.9869199982</v>
      </c>
      <c r="BK86" s="1267">
        <f>BK84-BK85</f>
        <v>-5321224.4222500008</v>
      </c>
      <c r="BL86" s="1267">
        <f>BL84-BL85</f>
        <v>161920.01952749048</v>
      </c>
      <c r="BM86" s="1269"/>
      <c r="BN86" s="1269"/>
    </row>
    <row r="87" spans="1:66" s="2" customFormat="1" ht="15" customHeight="1" thickBot="1" x14ac:dyDescent="0.3">
      <c r="A87" s="295"/>
      <c r="B87" s="1204" t="s">
        <v>51</v>
      </c>
      <c r="C87" s="1182">
        <f>C86/C5</f>
        <v>0.47665502118525471</v>
      </c>
      <c r="D87" s="1183" t="e">
        <f>D86/D5</f>
        <v>#DIV/0!</v>
      </c>
      <c r="E87" s="1045">
        <f>E86/E5</f>
        <v>0.23421124359197706</v>
      </c>
      <c r="F87" s="1105"/>
      <c r="G87" s="1182">
        <v>4.6116631778134444E-2</v>
      </c>
      <c r="H87" s="1183" t="e">
        <v>#DIV/0!</v>
      </c>
      <c r="I87" s="1045">
        <v>-1.5988065436040273E-2</v>
      </c>
      <c r="J87" s="1239"/>
      <c r="K87" s="1239"/>
      <c r="L87" s="1182" t="e">
        <f>L86/L5</f>
        <v>#DIV/0!</v>
      </c>
      <c r="M87" s="1183" t="e">
        <f>M86/M5</f>
        <v>#DIV/0!</v>
      </c>
      <c r="N87" s="1045" t="e">
        <f>N86/N5</f>
        <v>#DIV/0!</v>
      </c>
      <c r="O87" s="1058"/>
      <c r="P87" s="1058"/>
      <c r="Q87" s="1182">
        <f>Q86/Q5</f>
        <v>0.55847293834341571</v>
      </c>
      <c r="R87" s="1183" t="e">
        <f>R86/R5</f>
        <v>#DIV/0!</v>
      </c>
      <c r="S87" s="1045">
        <f>S86/S5</f>
        <v>0.3655028015896245</v>
      </c>
      <c r="T87" s="1058"/>
      <c r="U87" s="1058"/>
      <c r="V87" s="1182" t="e">
        <f>V86/V5</f>
        <v>#DIV/0!</v>
      </c>
      <c r="W87" s="1183" t="e">
        <f>W86/W5</f>
        <v>#DIV/0!</v>
      </c>
      <c r="X87" s="1045" t="e">
        <f>X86/X5</f>
        <v>#DIV/0!</v>
      </c>
      <c r="Y87" s="1058"/>
      <c r="Z87" s="1058"/>
      <c r="AA87" s="1182">
        <f>AA86/AA5</f>
        <v>0.59717184436391735</v>
      </c>
      <c r="AB87" s="1183" t="e">
        <f>AB86/AB5</f>
        <v>#DIV/0!</v>
      </c>
      <c r="AC87" s="1045">
        <f>AC86/AC5</f>
        <v>0.17252900817489256</v>
      </c>
      <c r="AD87" s="1058"/>
      <c r="AE87" s="1058"/>
      <c r="AF87" s="1539" t="e">
        <f>AF86/AF5</f>
        <v>#DIV/0!</v>
      </c>
      <c r="AG87" s="1535" t="e">
        <f>AG86/AG5</f>
        <v>#DIV/0!</v>
      </c>
      <c r="AH87" s="1385" t="e">
        <f>AH86/AH5</f>
        <v>#DIV/0!</v>
      </c>
      <c r="AI87" s="1380"/>
      <c r="AJ87" s="1380"/>
      <c r="AK87" s="1539">
        <f>AK86/AK5</f>
        <v>0.79065073188011392</v>
      </c>
      <c r="AL87" s="1535" t="e">
        <f>AL86/AL5</f>
        <v>#DIV/0!</v>
      </c>
      <c r="AM87" s="1385">
        <f>AM86/AM5</f>
        <v>0.52884913589233751</v>
      </c>
      <c r="AN87" s="1380"/>
      <c r="AO87" s="1380"/>
      <c r="AP87" s="1832" t="e">
        <f>AP86/AP5</f>
        <v>#DIV/0!</v>
      </c>
      <c r="AQ87" s="1833" t="e">
        <f>AQ86/AQ5</f>
        <v>#DIV/0!</v>
      </c>
      <c r="AR87" s="1406" t="e">
        <f>AR86/AR5</f>
        <v>#DIV/0!</v>
      </c>
      <c r="AS87" s="1407"/>
      <c r="AT87" s="1407"/>
      <c r="AU87" s="1182" t="e">
        <f>AU86/AU5</f>
        <v>#DIV/0!</v>
      </c>
      <c r="AV87" s="1183" t="e">
        <f>AV86/AV5</f>
        <v>#DIV/0!</v>
      </c>
      <c r="AW87" s="1385" t="e">
        <f>AW86/AW5</f>
        <v>#DIV/0!</v>
      </c>
      <c r="AX87" s="1380"/>
      <c r="AY87" s="1380"/>
      <c r="AZ87" s="1182" t="e">
        <f>AZ86/AZ5</f>
        <v>#DIV/0!</v>
      </c>
      <c r="BA87" s="1183" t="e">
        <f>BA86/BA5</f>
        <v>#DIV/0!</v>
      </c>
      <c r="BB87" s="1045" t="e">
        <f>BB86/BB5</f>
        <v>#DIV/0!</v>
      </c>
      <c r="BC87" s="1058"/>
      <c r="BD87" s="1058"/>
      <c r="BE87" s="1182" t="e">
        <f>BE86/BE5</f>
        <v>#DIV/0!</v>
      </c>
      <c r="BF87" s="1183" t="e">
        <f>BF86/BF5</f>
        <v>#DIV/0!</v>
      </c>
      <c r="BG87" s="1045" t="e">
        <f>BG86/BG5</f>
        <v>#DIV/0!</v>
      </c>
      <c r="BH87" s="1058"/>
      <c r="BI87" s="1058"/>
      <c r="BJ87" s="1182">
        <f>BJ86/BJ5</f>
        <v>0.44144161219159528</v>
      </c>
      <c r="BK87" s="1183" t="e">
        <f>BK86/BK5</f>
        <v>#DIV/0!</v>
      </c>
      <c r="BL87" s="1045">
        <f>BL86/BL5</f>
        <v>1.1468795316149267E-2</v>
      </c>
      <c r="BM87" s="1058"/>
      <c r="BN87" s="1058"/>
    </row>
    <row r="88" spans="1:66" ht="13.8" x14ac:dyDescent="0.25">
      <c r="A88" s="30"/>
      <c r="B88" s="30"/>
      <c r="C88" s="152"/>
      <c r="D88" s="152"/>
      <c r="E88" s="152"/>
      <c r="F88" s="188"/>
      <c r="G88" s="188"/>
      <c r="H88" s="188"/>
      <c r="I88" s="188"/>
      <c r="J88" s="188"/>
      <c r="K88" s="188"/>
      <c r="L88" s="76"/>
      <c r="M88" s="76"/>
      <c r="N88" s="76"/>
      <c r="O88" s="76"/>
      <c r="P88" s="76"/>
      <c r="Q88" s="76"/>
      <c r="R88" s="76"/>
      <c r="S88" s="76"/>
      <c r="T88" s="76"/>
      <c r="U88" s="76"/>
      <c r="V88" s="76"/>
      <c r="W88" s="76"/>
      <c r="X88" s="76"/>
      <c r="Y88" s="76"/>
      <c r="Z88" s="76"/>
      <c r="AA88" s="76"/>
      <c r="AB88" s="76"/>
      <c r="AC88" s="76"/>
      <c r="AD88" s="76"/>
      <c r="AE88" s="76"/>
      <c r="AF88" s="1473"/>
      <c r="AG88" s="1473"/>
      <c r="AH88" s="1473"/>
      <c r="AI88" s="1473"/>
      <c r="AJ88" s="1473"/>
      <c r="AK88" s="1473"/>
      <c r="AL88" s="1473"/>
      <c r="AM88" s="1473"/>
      <c r="AN88" s="1473"/>
      <c r="AO88" s="1473"/>
      <c r="AP88" s="1473"/>
      <c r="AQ88" s="1473"/>
      <c r="AR88" s="1473"/>
      <c r="AS88" s="1473"/>
      <c r="AT88" s="1473"/>
      <c r="AU88" s="1473"/>
      <c r="AV88" s="1473"/>
      <c r="AW88" s="1473"/>
      <c r="AX88" s="1473"/>
      <c r="AY88" s="1473"/>
      <c r="AZ88" s="76"/>
      <c r="BA88" s="76"/>
      <c r="BB88" s="76"/>
      <c r="BC88" s="76"/>
      <c r="BD88" s="76"/>
      <c r="BE88" s="76"/>
      <c r="BF88" s="76"/>
      <c r="BG88" s="76"/>
      <c r="BH88" s="76"/>
      <c r="BI88" s="76"/>
      <c r="BJ88" s="76"/>
      <c r="BK88" s="76"/>
      <c r="BL88" s="76"/>
      <c r="BM88" s="76"/>
      <c r="BN88" s="76"/>
    </row>
    <row r="89" spans="1:66" x14ac:dyDescent="0.25">
      <c r="B89" s="221" t="s">
        <v>56</v>
      </c>
      <c r="C89" s="153"/>
      <c r="D89" s="153"/>
      <c r="E89" s="154">
        <f>E8+E36+E41+E50+E54+E73+E79+E82+E85</f>
        <v>11710264</v>
      </c>
      <c r="F89" s="154"/>
      <c r="G89" s="154"/>
      <c r="H89" s="154"/>
      <c r="I89" s="154">
        <v>12994560.335349694</v>
      </c>
      <c r="J89" s="154"/>
      <c r="K89" s="154"/>
      <c r="L89" s="154"/>
      <c r="M89" s="154"/>
      <c r="N89" s="154">
        <f>N8+N36+N41+N50+N54+N73+N79+N82+N85</f>
        <v>19890.22988505747</v>
      </c>
      <c r="O89" s="154"/>
      <c r="P89" s="154"/>
      <c r="Q89" s="154"/>
      <c r="R89" s="154"/>
      <c r="S89" s="154">
        <f>S8+S36+S41+S50+S54+S73+S79+S82+S85</f>
        <v>570877.00186206901</v>
      </c>
      <c r="X89" s="154">
        <f>X8+X36+X41+X50+X54+X73+X79+X82+X85</f>
        <v>0</v>
      </c>
      <c r="AC89" s="154">
        <f>AC8+AC36+AC41+AC50+AC54+AC73+AC79+AC82+AC85</f>
        <v>206105.01002014225</v>
      </c>
      <c r="AH89" s="1538">
        <f>AH8+AH36+AH41+AH50+AH54+AH73+AH79+AH82+AH85</f>
        <v>15500.003999999999</v>
      </c>
      <c r="AM89" s="1538">
        <f>AM8+AM36+AM41+AM50+AM54+AM73+AM79+AM82+AM85</f>
        <v>84538.439355544077</v>
      </c>
      <c r="AR89" s="1834">
        <f>AR8+AR36+AR41+AR50+AR54+AR73+AR79+AR82+AR85</f>
        <v>64920</v>
      </c>
      <c r="AW89" s="1538">
        <f>AW8+AW36+AW41+AW50+AW54+AW73+AW79+AW82+AW85</f>
        <v>116297.364</v>
      </c>
      <c r="BB89" s="154" t="e">
        <f>BB8+BB36+BB41+BB50+BB54+BB73+BB79+BB82+BB85</f>
        <v>#DIV/0!</v>
      </c>
      <c r="BG89" s="154" t="e">
        <f>BG8+BG36+BG41+BG50+BG54+BG73+BG79+BG82+BG85</f>
        <v>#DIV/0!</v>
      </c>
      <c r="BL89" s="154">
        <f>BL8+BL36+BL41+BL50+BL54+BL73+BL79+BL82+BL85</f>
        <v>13956391.02047251</v>
      </c>
    </row>
    <row r="90" spans="1:66" s="1353" customFormat="1" x14ac:dyDescent="0.25">
      <c r="A90" s="1349"/>
      <c r="B90" s="1349"/>
      <c r="C90" s="1354"/>
      <c r="D90" s="1354"/>
      <c r="E90" s="1354"/>
      <c r="F90" s="1350"/>
      <c r="G90" s="1350"/>
      <c r="H90" s="1350"/>
      <c r="I90" s="1350" t="b">
        <v>1</v>
      </c>
      <c r="J90" s="1350"/>
      <c r="K90" s="1350"/>
      <c r="L90" s="1350"/>
      <c r="M90" s="1350"/>
      <c r="N90" s="1350"/>
      <c r="O90" s="1350"/>
      <c r="P90" s="1350"/>
      <c r="Q90" s="1350"/>
      <c r="R90" s="1350"/>
      <c r="S90" s="1350"/>
      <c r="T90" s="1350"/>
      <c r="U90" s="1350"/>
      <c r="V90" s="1350"/>
      <c r="W90" s="1350"/>
      <c r="X90" s="1350"/>
      <c r="Y90" s="1350"/>
      <c r="Z90" s="1350"/>
      <c r="AA90" s="1350"/>
      <c r="AB90" s="1350"/>
      <c r="AC90" s="1350"/>
      <c r="AD90" s="1350"/>
      <c r="AE90" s="1350"/>
      <c r="AF90" s="1871"/>
      <c r="AG90" s="1871"/>
      <c r="AH90" s="1871"/>
      <c r="AI90" s="1871"/>
      <c r="AJ90" s="1871"/>
      <c r="AK90" s="1871"/>
      <c r="AL90" s="1871"/>
      <c r="AM90" s="1871"/>
      <c r="AN90" s="1871"/>
      <c r="AO90" s="1871"/>
      <c r="AP90" s="1871"/>
      <c r="AQ90" s="1871"/>
      <c r="AR90" s="1871"/>
      <c r="AS90" s="1871"/>
      <c r="AT90" s="1871"/>
      <c r="AU90" s="1871"/>
      <c r="AV90" s="1871"/>
      <c r="AW90" s="1871"/>
      <c r="AX90" s="1871"/>
      <c r="AY90" s="1871"/>
      <c r="AZ90" s="1350"/>
      <c r="BA90" s="1350"/>
      <c r="BB90" s="1350"/>
      <c r="BC90" s="1350"/>
      <c r="BD90" s="1350"/>
      <c r="BE90" s="1350"/>
      <c r="BF90" s="1350"/>
      <c r="BG90" s="1350"/>
      <c r="BH90" s="1350"/>
      <c r="BI90" s="1350"/>
      <c r="BJ90" s="1350"/>
      <c r="BK90" s="1350"/>
      <c r="BL90" s="1607" t="b">
        <f>(N89+I89+S89+X89+AC89+AH89+AM89+AR89)=BL89</f>
        <v>1</v>
      </c>
      <c r="BM90" s="1350"/>
      <c r="BN90" s="1350"/>
    </row>
    <row r="91" spans="1:66" s="2" customFormat="1" x14ac:dyDescent="0.25">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1446"/>
      <c r="AG91" s="1446"/>
      <c r="AH91" s="1446"/>
      <c r="AI91" s="1446"/>
      <c r="AJ91" s="1446"/>
      <c r="AK91" s="1446"/>
      <c r="AL91" s="1446"/>
      <c r="AM91" s="1446"/>
      <c r="AN91" s="1446"/>
      <c r="AO91" s="1446"/>
      <c r="AP91" s="1601"/>
      <c r="AQ91" s="1601"/>
      <c r="AR91" s="1601"/>
      <c r="AS91" s="1601"/>
      <c r="AT91" s="1601"/>
      <c r="AU91" s="1446"/>
      <c r="AV91" s="1446"/>
      <c r="AW91" s="1446"/>
      <c r="AX91" s="1446"/>
      <c r="AY91" s="1446"/>
      <c r="AZ91" s="38"/>
      <c r="BA91" s="38"/>
      <c r="BB91" s="38"/>
      <c r="BC91" s="38"/>
      <c r="BD91" s="38"/>
      <c r="BE91" s="38"/>
      <c r="BF91" s="38"/>
      <c r="BG91" s="38"/>
      <c r="BH91" s="38"/>
      <c r="BI91" s="38"/>
      <c r="BJ91" s="38"/>
      <c r="BK91" s="38"/>
      <c r="BL91" s="38"/>
      <c r="BM91" s="38"/>
      <c r="BN91" s="38"/>
    </row>
    <row r="92" spans="1:66" x14ac:dyDescent="0.25">
      <c r="C92" s="38"/>
      <c r="D92" s="38"/>
    </row>
    <row r="93" spans="1:66" s="2" customFormat="1" x14ac:dyDescent="0.25">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1446"/>
      <c r="AG93" s="1446"/>
      <c r="AH93" s="1446"/>
      <c r="AI93" s="1446"/>
      <c r="AJ93" s="1446"/>
      <c r="AK93" s="1446"/>
      <c r="AL93" s="1446"/>
      <c r="AM93" s="1446"/>
      <c r="AN93" s="1446"/>
      <c r="AO93" s="1446"/>
      <c r="AP93" s="1601"/>
      <c r="AQ93" s="1601"/>
      <c r="AR93" s="1601"/>
      <c r="AS93" s="1601"/>
      <c r="AT93" s="1601"/>
      <c r="AU93" s="1446"/>
      <c r="AV93" s="1446"/>
      <c r="AW93" s="1446"/>
      <c r="AX93" s="1446"/>
      <c r="AY93" s="1446"/>
      <c r="AZ93" s="38"/>
      <c r="BA93" s="38"/>
      <c r="BB93" s="38"/>
      <c r="BC93" s="38"/>
      <c r="BD93" s="38"/>
      <c r="BE93" s="38"/>
      <c r="BF93" s="38"/>
      <c r="BG93" s="38"/>
      <c r="BH93" s="38"/>
      <c r="BI93" s="38"/>
      <c r="BJ93" s="38"/>
      <c r="BK93" s="38"/>
      <c r="BL93" s="38"/>
      <c r="BM93" s="38"/>
      <c r="BN93" s="38"/>
    </row>
    <row r="94" spans="1:66" s="2" customFormat="1" x14ac:dyDescent="0.25">
      <c r="A94" s="8"/>
      <c r="B94" s="8"/>
      <c r="C94" s="38"/>
      <c r="D94" s="38"/>
      <c r="E94" s="38"/>
      <c r="F94" s="38"/>
      <c r="G94" s="38"/>
      <c r="H94" s="38"/>
      <c r="I94" s="38"/>
      <c r="J94" s="38"/>
      <c r="K94" s="38"/>
      <c r="L94" s="38"/>
      <c r="M94" s="38"/>
      <c r="N94" s="38"/>
      <c r="O94" s="38"/>
      <c r="P94" s="38"/>
      <c r="Q94" s="626"/>
      <c r="R94" s="38"/>
      <c r="S94" s="38"/>
      <c r="T94" s="38"/>
      <c r="U94" s="38"/>
      <c r="V94" s="38"/>
      <c r="W94" s="38"/>
      <c r="X94" s="686">
        <f>X5-X89</f>
        <v>0</v>
      </c>
      <c r="Y94" s="38"/>
      <c r="Z94" s="38"/>
      <c r="AA94" s="38"/>
      <c r="AB94" s="38"/>
      <c r="AC94" s="686">
        <f>AC5-AC89</f>
        <v>42973.219979857764</v>
      </c>
      <c r="AD94" s="38"/>
      <c r="AE94" s="38"/>
      <c r="AF94" s="1446"/>
      <c r="AG94" s="1446"/>
      <c r="AH94" s="1681">
        <f>AH5-AH89</f>
        <v>-15500.003999999999</v>
      </c>
      <c r="AI94" s="1446"/>
      <c r="AJ94" s="1446"/>
      <c r="AK94" s="1446"/>
      <c r="AL94" s="1446"/>
      <c r="AM94" s="1446"/>
      <c r="AN94" s="1446"/>
      <c r="AO94" s="1446"/>
      <c r="AP94" s="1601"/>
      <c r="AQ94" s="1601"/>
      <c r="AR94" s="1601"/>
      <c r="AS94" s="1601"/>
      <c r="AT94" s="1601"/>
      <c r="AU94" s="1446"/>
      <c r="AV94" s="1446"/>
      <c r="AW94" s="1446"/>
      <c r="AX94" s="1446"/>
      <c r="AY94" s="1446"/>
      <c r="AZ94" s="38"/>
      <c r="BA94" s="38"/>
      <c r="BB94" s="38"/>
      <c r="BC94" s="38"/>
      <c r="BD94" s="38"/>
      <c r="BE94" s="38"/>
      <c r="BF94" s="38"/>
      <c r="BG94" s="38"/>
      <c r="BH94" s="38"/>
      <c r="BI94" s="38"/>
      <c r="BJ94" s="626"/>
      <c r="BK94" s="38"/>
      <c r="BL94" s="686">
        <f>BL5-BL89</f>
        <v>161920.01952748932</v>
      </c>
      <c r="BM94" s="38"/>
      <c r="BN94" s="38"/>
    </row>
    <row r="95" spans="1:66" s="2" customFormat="1" x14ac:dyDescent="0.25">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722"/>
      <c r="AE95" s="38"/>
      <c r="AF95" s="1446"/>
      <c r="AG95" s="1446"/>
      <c r="AH95" s="1446"/>
      <c r="AI95" s="1446"/>
      <c r="AJ95" s="1446"/>
      <c r="AK95" s="1446"/>
      <c r="AL95" s="1446"/>
      <c r="AM95" s="1446"/>
      <c r="AN95" s="1446"/>
      <c r="AO95" s="1446"/>
      <c r="AP95" s="1601"/>
      <c r="AQ95" s="1601"/>
      <c r="AR95" s="1601"/>
      <c r="AS95" s="1601"/>
      <c r="AT95" s="1601"/>
      <c r="AU95" s="1446"/>
      <c r="AV95" s="1446"/>
      <c r="AW95" s="1446"/>
      <c r="AX95" s="1446"/>
      <c r="AY95" s="1446"/>
      <c r="AZ95" s="38"/>
      <c r="BA95" s="38"/>
      <c r="BB95" s="38"/>
      <c r="BC95" s="38"/>
      <c r="BD95" s="38"/>
      <c r="BE95" s="38"/>
      <c r="BF95" s="38"/>
      <c r="BG95" s="38"/>
      <c r="BH95" s="38"/>
      <c r="BI95" s="38"/>
      <c r="BJ95" s="38"/>
      <c r="BK95" s="38"/>
      <c r="BL95" s="38"/>
      <c r="BM95" s="38"/>
      <c r="BN95" s="38"/>
    </row>
    <row r="96" spans="1:66" s="2" customFormat="1" x14ac:dyDescent="0.25">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722"/>
      <c r="AE96" s="38"/>
      <c r="AF96" s="1446"/>
      <c r="AG96" s="1446"/>
      <c r="AH96" s="1446"/>
      <c r="AI96" s="1446"/>
      <c r="AJ96" s="1446"/>
      <c r="AK96" s="1446"/>
      <c r="AL96" s="1446"/>
      <c r="AM96" s="1446"/>
      <c r="AN96" s="1446"/>
      <c r="AO96" s="1446"/>
      <c r="AP96" s="1601"/>
      <c r="AQ96" s="1601"/>
      <c r="AR96" s="1601"/>
      <c r="AS96" s="1601"/>
      <c r="AT96" s="1601"/>
      <c r="AU96" s="1446"/>
      <c r="AV96" s="1446"/>
      <c r="AW96" s="1446"/>
      <c r="AX96" s="1446"/>
      <c r="AY96" s="1446"/>
      <c r="AZ96" s="38"/>
      <c r="BA96" s="38"/>
      <c r="BB96" s="38"/>
      <c r="BC96" s="38"/>
      <c r="BD96" s="38"/>
      <c r="BE96" s="38"/>
      <c r="BF96" s="38"/>
      <c r="BG96" s="38"/>
      <c r="BH96" s="38"/>
      <c r="BI96" s="38"/>
      <c r="BJ96" s="38"/>
      <c r="BK96" s="38"/>
      <c r="BL96" s="38"/>
      <c r="BM96" s="38"/>
      <c r="BN96" s="38"/>
    </row>
    <row r="97" spans="1:66" x14ac:dyDescent="0.25">
      <c r="C97" s="38"/>
      <c r="D97" s="38"/>
      <c r="AD97" s="722"/>
    </row>
    <row r="98" spans="1:66"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1446"/>
      <c r="AG98" s="1446"/>
      <c r="AH98" s="1446"/>
      <c r="AI98" s="1446"/>
      <c r="AJ98" s="1446"/>
      <c r="AK98" s="1446"/>
      <c r="AL98" s="1446"/>
      <c r="AM98" s="1446"/>
      <c r="AN98" s="1446"/>
      <c r="AO98" s="1446"/>
      <c r="AP98" s="1601"/>
      <c r="AQ98" s="1601"/>
      <c r="AR98" s="1601"/>
      <c r="AS98" s="1601"/>
      <c r="AT98" s="1601"/>
      <c r="AU98" s="1446"/>
      <c r="AV98" s="1446"/>
      <c r="AW98" s="1446"/>
      <c r="AX98" s="1446"/>
      <c r="AY98" s="1446"/>
      <c r="AZ98" s="38"/>
      <c r="BA98" s="38"/>
      <c r="BB98" s="38"/>
      <c r="BC98" s="38"/>
      <c r="BD98" s="38"/>
      <c r="BE98" s="38"/>
      <c r="BF98" s="38"/>
      <c r="BG98" s="38"/>
      <c r="BH98" s="38"/>
      <c r="BI98" s="38"/>
      <c r="BJ98" s="38"/>
      <c r="BK98" s="38"/>
      <c r="BL98" s="38"/>
      <c r="BM98" s="38"/>
      <c r="BN98" s="38"/>
    </row>
    <row r="99" spans="1:66" x14ac:dyDescent="0.25">
      <c r="C99" s="38"/>
      <c r="D99" s="38"/>
    </row>
  </sheetData>
  <mergeCells count="15">
    <mergeCell ref="BJ2:BN3"/>
    <mergeCell ref="AK2:AO3"/>
    <mergeCell ref="AP2:AT3"/>
    <mergeCell ref="AU2:AY3"/>
    <mergeCell ref="AZ2:BD3"/>
    <mergeCell ref="BE2:BI3"/>
    <mergeCell ref="AF2:AJ3"/>
    <mergeCell ref="A3:F3"/>
    <mergeCell ref="A42:A48"/>
    <mergeCell ref="A2:F2"/>
    <mergeCell ref="V2:Z3"/>
    <mergeCell ref="G2:K3"/>
    <mergeCell ref="L2:P3"/>
    <mergeCell ref="Q2:U3"/>
    <mergeCell ref="AA2:AE3"/>
  </mergeCells>
  <pageMargins left="0.39370078740157483" right="0.19685039370078741" top="0.19685039370078741" bottom="0.19685039370078741" header="0.11811023622047245" footer="0.11811023622047245"/>
  <pageSetup paperSize="9" scale="10" orientation="portrait" horizontalDpi="4294967295" verticalDpi="4294967295"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177D7"/>
  </sheetPr>
  <dimension ref="A1:CB99"/>
  <sheetViews>
    <sheetView zoomScale="85" zoomScaleNormal="85" workbookViewId="0">
      <pane xSplit="2" ySplit="5" topLeftCell="BE51"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1" outlineLevelCol="1" x14ac:dyDescent="0.25"/>
  <cols>
    <col min="1" max="1" width="5.5546875" style="8" customWidth="1"/>
    <col min="2" max="2" width="52.33203125" style="8" customWidth="1"/>
    <col min="3" max="3" width="14.6640625" style="77" hidden="1" customWidth="1"/>
    <col min="4" max="4" width="15.44140625" style="77" hidden="1" customWidth="1"/>
    <col min="5" max="5" width="15.33203125" style="38" hidden="1" customWidth="1"/>
    <col min="6" max="6" width="9.5546875" style="38" hidden="1" customWidth="1"/>
    <col min="7" max="7" width="15.6640625" style="38" customWidth="1"/>
    <col min="8" max="8" width="15.33203125" style="38" customWidth="1"/>
    <col min="9" max="9" width="14.33203125" style="38" customWidth="1"/>
    <col min="10" max="11" width="9.5546875" style="38" customWidth="1"/>
    <col min="12" max="14" width="16.33203125" style="38" hidden="1" customWidth="1" outlineLevel="1"/>
    <col min="15" max="15" width="9" style="38" hidden="1" customWidth="1" outlineLevel="1"/>
    <col min="16" max="16" width="37.5546875" style="38" hidden="1" customWidth="1" outlineLevel="1"/>
    <col min="17" max="18" width="16.44140625" style="38" hidden="1" customWidth="1" outlineLevel="1"/>
    <col min="19" max="19" width="15.88671875" style="38" hidden="1" customWidth="1" outlineLevel="1"/>
    <col min="20" max="20" width="12" style="38" hidden="1" customWidth="1" outlineLevel="1"/>
    <col min="21" max="21" width="37.44140625" style="38" hidden="1" customWidth="1" outlineLevel="1"/>
    <col min="22" max="22" width="21.6640625" style="38" hidden="1" customWidth="1" outlineLevel="1" collapsed="1"/>
    <col min="23" max="23" width="18.6640625" style="38" hidden="1" customWidth="1" outlineLevel="1"/>
    <col min="24" max="24" width="16.88671875" style="38" hidden="1" customWidth="1" outlineLevel="1"/>
    <col min="25" max="25" width="18" style="38" hidden="1" customWidth="1" outlineLevel="1"/>
    <col min="26" max="26" width="59.44140625" style="38" hidden="1" customWidth="1" outlineLevel="1"/>
    <col min="27" max="27" width="15.33203125" style="38" hidden="1" customWidth="1" outlineLevel="1" collapsed="1"/>
    <col min="28" max="31" width="15.33203125" style="38" hidden="1" customWidth="1" outlineLevel="1"/>
    <col min="32" max="32" width="15.33203125" style="1446" hidden="1" customWidth="1" outlineLevel="1" collapsed="1"/>
    <col min="33" max="35" width="15.33203125" style="1446" hidden="1" customWidth="1" outlineLevel="1"/>
    <col min="36" max="36" width="39.33203125" style="1446" hidden="1" customWidth="1" outlineLevel="1"/>
    <col min="37" max="37" width="15.33203125" style="1446" hidden="1" customWidth="1" outlineLevel="1" collapsed="1"/>
    <col min="38" max="44" width="15.33203125" style="1446" hidden="1" customWidth="1" outlineLevel="1"/>
    <col min="45" max="45" width="19.33203125" style="1446" hidden="1" customWidth="1" outlineLevel="1"/>
    <col min="46" max="46" width="15.33203125" style="1446" hidden="1" customWidth="1" outlineLevel="1"/>
    <col min="47" max="56" width="15.33203125" style="1968" hidden="1" customWidth="1" outlineLevel="1"/>
    <col min="57" max="57" width="15.33203125" style="1968" customWidth="1" collapsed="1"/>
    <col min="58" max="61" width="15.33203125" style="1968" customWidth="1"/>
    <col min="62" max="71" width="15.33203125" style="1968" hidden="1" customWidth="1" outlineLevel="1"/>
    <col min="72" max="72" width="17" style="1968" bestFit="1" customWidth="1" collapsed="1"/>
    <col min="73" max="73" width="17" style="1968" bestFit="1" customWidth="1"/>
    <col min="74" max="76" width="15.33203125" style="1968" customWidth="1"/>
    <col min="77" max="78" width="15.33203125" style="1" bestFit="1" customWidth="1"/>
    <col min="79" max="79" width="12.44140625" style="1" bestFit="1" customWidth="1"/>
    <col min="80" max="80" width="15.88671875" style="1" customWidth="1"/>
    <col min="81" max="16384" width="7.44140625" style="1"/>
  </cols>
  <sheetData>
    <row r="1" spans="1:80" ht="13.8" thickBot="1" x14ac:dyDescent="0.3">
      <c r="C1" s="38"/>
      <c r="D1" s="38"/>
    </row>
    <row r="2" spans="1:80" ht="14.4" customHeight="1" x14ac:dyDescent="0.25">
      <c r="A2" s="4016" t="s">
        <v>466</v>
      </c>
      <c r="B2" s="4017"/>
      <c r="C2" s="4017"/>
      <c r="D2" s="4017"/>
      <c r="E2" s="4017"/>
      <c r="F2" s="4018"/>
      <c r="G2" s="4016" t="s">
        <v>969</v>
      </c>
      <c r="H2" s="4017"/>
      <c r="I2" s="4017"/>
      <c r="J2" s="4017"/>
      <c r="K2" s="4018"/>
      <c r="L2" s="4197" t="s">
        <v>970</v>
      </c>
      <c r="M2" s="4198"/>
      <c r="N2" s="4198"/>
      <c r="O2" s="4198"/>
      <c r="P2" s="4199"/>
      <c r="Q2" s="4019" t="s">
        <v>1016</v>
      </c>
      <c r="R2" s="4020"/>
      <c r="S2" s="4020"/>
      <c r="T2" s="4020"/>
      <c r="U2" s="4041"/>
      <c r="V2" s="4019" t="s">
        <v>1075</v>
      </c>
      <c r="W2" s="4020"/>
      <c r="X2" s="4020"/>
      <c r="Y2" s="4020"/>
      <c r="Z2" s="4041"/>
      <c r="AA2" s="4140" t="s">
        <v>1079</v>
      </c>
      <c r="AB2" s="4141"/>
      <c r="AC2" s="4141"/>
      <c r="AD2" s="4141"/>
      <c r="AE2" s="1186"/>
      <c r="AF2" s="4154" t="s">
        <v>1161</v>
      </c>
      <c r="AG2" s="4155"/>
      <c r="AH2" s="4155"/>
      <c r="AI2" s="4155"/>
      <c r="AJ2" s="4156"/>
      <c r="AK2" s="4053" t="s">
        <v>1303</v>
      </c>
      <c r="AL2" s="4054"/>
      <c r="AM2" s="4054"/>
      <c r="AN2" s="4054"/>
      <c r="AO2" s="4055"/>
      <c r="AP2" s="4185" t="s">
        <v>1383</v>
      </c>
      <c r="AQ2" s="4186"/>
      <c r="AR2" s="4186"/>
      <c r="AS2" s="4186"/>
      <c r="AT2" s="4187"/>
      <c r="AU2" s="4172" t="s">
        <v>1470</v>
      </c>
      <c r="AV2" s="4173"/>
      <c r="AW2" s="4173"/>
      <c r="AX2" s="4173"/>
      <c r="AY2" s="4174"/>
      <c r="AZ2" s="4071" t="s">
        <v>1554</v>
      </c>
      <c r="BA2" s="4072"/>
      <c r="BB2" s="4072"/>
      <c r="BC2" s="4072"/>
      <c r="BD2" s="4073"/>
      <c r="BE2" s="4077" t="s">
        <v>1579</v>
      </c>
      <c r="BF2" s="4078"/>
      <c r="BG2" s="4078"/>
      <c r="BH2" s="4078"/>
      <c r="BI2" s="4079"/>
      <c r="BJ2" s="4047"/>
      <c r="BK2" s="4048"/>
      <c r="BL2" s="4048"/>
      <c r="BM2" s="4048"/>
      <c r="BN2" s="4049"/>
      <c r="BO2" s="4047"/>
      <c r="BP2" s="4048"/>
      <c r="BQ2" s="4048"/>
      <c r="BR2" s="4048"/>
      <c r="BS2" s="4049"/>
      <c r="BT2" s="4083" t="s">
        <v>469</v>
      </c>
      <c r="BU2" s="4084"/>
      <c r="BV2" s="4084"/>
      <c r="BW2" s="4084"/>
      <c r="BX2" s="4085"/>
    </row>
    <row r="3" spans="1:80" ht="15" customHeight="1" thickBot="1" x14ac:dyDescent="0.3">
      <c r="A3" s="4035" t="s">
        <v>54</v>
      </c>
      <c r="B3" s="4036"/>
      <c r="C3" s="4036"/>
      <c r="D3" s="4036"/>
      <c r="E3" s="4036"/>
      <c r="F3" s="4037"/>
      <c r="G3" s="4209"/>
      <c r="H3" s="4210"/>
      <c r="I3" s="4210"/>
      <c r="J3" s="4210"/>
      <c r="K3" s="4211"/>
      <c r="L3" s="4200"/>
      <c r="M3" s="4201"/>
      <c r="N3" s="4201"/>
      <c r="O3" s="4201"/>
      <c r="P3" s="4202"/>
      <c r="Q3" s="4021"/>
      <c r="R3" s="4022"/>
      <c r="S3" s="4022"/>
      <c r="T3" s="4022"/>
      <c r="U3" s="4042"/>
      <c r="V3" s="4021"/>
      <c r="W3" s="4022"/>
      <c r="X3" s="4022"/>
      <c r="Y3" s="4022"/>
      <c r="Z3" s="4042"/>
      <c r="AA3" s="4143"/>
      <c r="AB3" s="4144"/>
      <c r="AC3" s="4144"/>
      <c r="AD3" s="4144"/>
      <c r="AE3" s="1187"/>
      <c r="AF3" s="4157"/>
      <c r="AG3" s="4158"/>
      <c r="AH3" s="4158"/>
      <c r="AI3" s="4158"/>
      <c r="AJ3" s="4159"/>
      <c r="AK3" s="4056"/>
      <c r="AL3" s="4057"/>
      <c r="AM3" s="4057"/>
      <c r="AN3" s="4057"/>
      <c r="AO3" s="4058"/>
      <c r="AP3" s="4188"/>
      <c r="AQ3" s="4189"/>
      <c r="AR3" s="4189"/>
      <c r="AS3" s="4189"/>
      <c r="AT3" s="4190"/>
      <c r="AU3" s="4175"/>
      <c r="AV3" s="4176"/>
      <c r="AW3" s="4176"/>
      <c r="AX3" s="4176"/>
      <c r="AY3" s="4177"/>
      <c r="AZ3" s="4074"/>
      <c r="BA3" s="4075"/>
      <c r="BB3" s="4075"/>
      <c r="BC3" s="4075"/>
      <c r="BD3" s="4076"/>
      <c r="BE3" s="4080"/>
      <c r="BF3" s="4081"/>
      <c r="BG3" s="4081"/>
      <c r="BH3" s="4081"/>
      <c r="BI3" s="4082"/>
      <c r="BJ3" s="4050"/>
      <c r="BK3" s="4051"/>
      <c r="BL3" s="4051"/>
      <c r="BM3" s="4051"/>
      <c r="BN3" s="4052"/>
      <c r="BO3" s="4050"/>
      <c r="BP3" s="4051"/>
      <c r="BQ3" s="4051"/>
      <c r="BR3" s="4051"/>
      <c r="BS3" s="4052"/>
      <c r="BT3" s="4086"/>
      <c r="BU3" s="4087"/>
      <c r="BV3" s="4087"/>
      <c r="BW3" s="4087"/>
      <c r="BX3" s="4088"/>
    </row>
    <row r="4" spans="1:80" ht="41.4" thickBot="1" x14ac:dyDescent="0.3">
      <c r="A4" s="724"/>
      <c r="B4" s="93" t="s">
        <v>11</v>
      </c>
      <c r="C4" s="725" t="s">
        <v>55</v>
      </c>
      <c r="D4" s="725" t="s">
        <v>18</v>
      </c>
      <c r="E4" s="726" t="s">
        <v>39</v>
      </c>
      <c r="F4" s="654" t="s">
        <v>40</v>
      </c>
      <c r="G4" s="954" t="s">
        <v>968</v>
      </c>
      <c r="H4" s="954" t="s">
        <v>18</v>
      </c>
      <c r="I4" s="954" t="s">
        <v>39</v>
      </c>
      <c r="J4" s="954" t="s">
        <v>40</v>
      </c>
      <c r="K4" s="954"/>
      <c r="L4" s="632" t="s">
        <v>55</v>
      </c>
      <c r="M4" s="632" t="s">
        <v>18</v>
      </c>
      <c r="N4" s="653" t="s">
        <v>39</v>
      </c>
      <c r="O4" s="654" t="s">
        <v>40</v>
      </c>
      <c r="P4" s="653" t="s">
        <v>19</v>
      </c>
      <c r="Q4" s="632" t="s">
        <v>55</v>
      </c>
      <c r="R4" s="632" t="s">
        <v>18</v>
      </c>
      <c r="S4" s="653" t="s">
        <v>39</v>
      </c>
      <c r="T4" s="654" t="s">
        <v>40</v>
      </c>
      <c r="U4" s="653" t="s">
        <v>19</v>
      </c>
      <c r="V4" s="632" t="s">
        <v>55</v>
      </c>
      <c r="W4" s="632" t="s">
        <v>18</v>
      </c>
      <c r="X4" s="653" t="s">
        <v>39</v>
      </c>
      <c r="Y4" s="654" t="s">
        <v>40</v>
      </c>
      <c r="Z4" s="653" t="s">
        <v>19</v>
      </c>
      <c r="AA4" s="632" t="s">
        <v>55</v>
      </c>
      <c r="AB4" s="632" t="s">
        <v>18</v>
      </c>
      <c r="AC4" s="653" t="s">
        <v>39</v>
      </c>
      <c r="AD4" s="654" t="s">
        <v>40</v>
      </c>
      <c r="AE4" s="653" t="s">
        <v>19</v>
      </c>
      <c r="AF4" s="1488" t="s">
        <v>55</v>
      </c>
      <c r="AG4" s="1488" t="s">
        <v>18</v>
      </c>
      <c r="AH4" s="1489" t="s">
        <v>39</v>
      </c>
      <c r="AI4" s="1760" t="s">
        <v>40</v>
      </c>
      <c r="AJ4" s="1489" t="s">
        <v>19</v>
      </c>
      <c r="AK4" s="1488" t="s">
        <v>55</v>
      </c>
      <c r="AL4" s="1488" t="s">
        <v>18</v>
      </c>
      <c r="AM4" s="1489" t="s">
        <v>39</v>
      </c>
      <c r="AN4" s="1566" t="s">
        <v>40</v>
      </c>
      <c r="AO4" s="1489" t="s">
        <v>19</v>
      </c>
      <c r="AP4" s="1488" t="s">
        <v>55</v>
      </c>
      <c r="AQ4" s="1488" t="s">
        <v>18</v>
      </c>
      <c r="AR4" s="1489" t="s">
        <v>39</v>
      </c>
      <c r="AS4" s="1590" t="s">
        <v>40</v>
      </c>
      <c r="AT4" s="1489" t="s">
        <v>19</v>
      </c>
      <c r="AU4" s="1972" t="s">
        <v>55</v>
      </c>
      <c r="AV4" s="1972" t="s">
        <v>18</v>
      </c>
      <c r="AW4" s="1489" t="s">
        <v>39</v>
      </c>
      <c r="AX4" s="1978" t="s">
        <v>40</v>
      </c>
      <c r="AY4" s="1489" t="s">
        <v>19</v>
      </c>
      <c r="AZ4" s="1972" t="s">
        <v>55</v>
      </c>
      <c r="BA4" s="1972" t="s">
        <v>18</v>
      </c>
      <c r="BB4" s="1489" t="s">
        <v>39</v>
      </c>
      <c r="BC4" s="1978" t="s">
        <v>40</v>
      </c>
      <c r="BD4" s="1489" t="s">
        <v>19</v>
      </c>
      <c r="BE4" s="1972" t="s">
        <v>55</v>
      </c>
      <c r="BF4" s="1972" t="s">
        <v>18</v>
      </c>
      <c r="BG4" s="1489" t="s">
        <v>39</v>
      </c>
      <c r="BH4" s="1978" t="s">
        <v>40</v>
      </c>
      <c r="BI4" s="1489" t="s">
        <v>19</v>
      </c>
      <c r="BJ4" s="1972" t="s">
        <v>55</v>
      </c>
      <c r="BK4" s="1972" t="s">
        <v>18</v>
      </c>
      <c r="BL4" s="1489" t="s">
        <v>39</v>
      </c>
      <c r="BM4" s="1978" t="s">
        <v>40</v>
      </c>
      <c r="BN4" s="1489" t="s">
        <v>19</v>
      </c>
      <c r="BO4" s="1972" t="s">
        <v>55</v>
      </c>
      <c r="BP4" s="1972" t="s">
        <v>18</v>
      </c>
      <c r="BQ4" s="1489" t="s">
        <v>39</v>
      </c>
      <c r="BR4" s="1978" t="s">
        <v>40</v>
      </c>
      <c r="BS4" s="1489" t="s">
        <v>19</v>
      </c>
      <c r="BT4" s="1972" t="s">
        <v>55</v>
      </c>
      <c r="BU4" s="1972" t="s">
        <v>18</v>
      </c>
      <c r="BV4" s="1489" t="s">
        <v>39</v>
      </c>
      <c r="BW4" s="1978" t="s">
        <v>40</v>
      </c>
      <c r="BX4" s="1489" t="s">
        <v>19</v>
      </c>
    </row>
    <row r="5" spans="1:80" s="88" customFormat="1" ht="14.4" customHeight="1" thickBot="1" x14ac:dyDescent="0.3">
      <c r="A5" s="83"/>
      <c r="B5" s="617" t="s">
        <v>10</v>
      </c>
      <c r="C5" s="684">
        <f>C6</f>
        <v>27580895.899999999</v>
      </c>
      <c r="D5" s="684">
        <f>D6</f>
        <v>0</v>
      </c>
      <c r="E5" s="655">
        <f>E6</f>
        <v>27580895.899999999</v>
      </c>
      <c r="F5" s="620"/>
      <c r="G5" s="620">
        <v>29246800.590000004</v>
      </c>
      <c r="H5" s="620">
        <v>0</v>
      </c>
      <c r="I5" s="620">
        <v>29246800.590000004</v>
      </c>
      <c r="J5" s="620"/>
      <c r="K5" s="620"/>
      <c r="L5" s="620">
        <f>L6</f>
        <v>0</v>
      </c>
      <c r="M5" s="620">
        <f>M6</f>
        <v>0</v>
      </c>
      <c r="N5" s="620">
        <f>N6</f>
        <v>0</v>
      </c>
      <c r="O5" s="620"/>
      <c r="P5" s="620"/>
      <c r="Q5" s="620">
        <f>Q6</f>
        <v>4893571.91</v>
      </c>
      <c r="R5" s="620">
        <f>R6</f>
        <v>0</v>
      </c>
      <c r="S5" s="620">
        <f>S6</f>
        <v>4893571.91</v>
      </c>
      <c r="T5" s="620"/>
      <c r="U5" s="620"/>
      <c r="V5" s="620">
        <f>V6</f>
        <v>1455038.01</v>
      </c>
      <c r="W5" s="620">
        <f>W6</f>
        <v>0</v>
      </c>
      <c r="X5" s="620">
        <f>X6</f>
        <v>1455038.01</v>
      </c>
      <c r="Y5" s="620"/>
      <c r="Z5" s="620"/>
      <c r="AA5" s="620">
        <f>AA6</f>
        <v>0</v>
      </c>
      <c r="AB5" s="620">
        <f>AB6</f>
        <v>0</v>
      </c>
      <c r="AC5" s="620">
        <f>AC6</f>
        <v>0</v>
      </c>
      <c r="AD5" s="620"/>
      <c r="AE5" s="620"/>
      <c r="AF5" s="1481">
        <f>AF6</f>
        <v>59678</v>
      </c>
      <c r="AG5" s="1481">
        <f>AG6</f>
        <v>0</v>
      </c>
      <c r="AH5" s="1480">
        <f>AH6</f>
        <v>59678</v>
      </c>
      <c r="AI5" s="1671"/>
      <c r="AJ5" s="1480"/>
      <c r="AK5" s="1481">
        <f>AK6</f>
        <v>0</v>
      </c>
      <c r="AL5" s="1481">
        <f>AL6</f>
        <v>0</v>
      </c>
      <c r="AM5" s="1481">
        <f>AM6</f>
        <v>0</v>
      </c>
      <c r="AN5" s="1481"/>
      <c r="AO5" s="1481"/>
      <c r="AP5" s="1481">
        <f>AP6+AP7</f>
        <v>0</v>
      </c>
      <c r="AQ5" s="1481">
        <f>AQ6+AQ7</f>
        <v>0</v>
      </c>
      <c r="AR5" s="1481">
        <f>AR6+AR7</f>
        <v>0</v>
      </c>
      <c r="AS5" s="1671"/>
      <c r="AT5" s="1480"/>
      <c r="AU5" s="1481">
        <f>AU6+AU7</f>
        <v>0</v>
      </c>
      <c r="AV5" s="1481">
        <f>AV6+AV7</f>
        <v>0</v>
      </c>
      <c r="AW5" s="1481">
        <f>AW6+AW7</f>
        <v>0</v>
      </c>
      <c r="AX5" s="1481"/>
      <c r="AY5" s="1481"/>
      <c r="AZ5" s="1481">
        <f>AZ6+AZ7</f>
        <v>0</v>
      </c>
      <c r="BA5" s="1481">
        <f>BA6+BA7</f>
        <v>0</v>
      </c>
      <c r="BB5" s="1481">
        <f>BB6+BB7</f>
        <v>0</v>
      </c>
      <c r="BC5" s="1481"/>
      <c r="BD5" s="1481"/>
      <c r="BE5" s="1481">
        <f>BE6+BE7</f>
        <v>0</v>
      </c>
      <c r="BF5" s="1481">
        <f>BF6+BF7</f>
        <v>0</v>
      </c>
      <c r="BG5" s="1481">
        <f>BG6+BG7</f>
        <v>0</v>
      </c>
      <c r="BH5" s="1481"/>
      <c r="BI5" s="1481"/>
      <c r="BJ5" s="1481">
        <f>BJ6+BJ7</f>
        <v>0</v>
      </c>
      <c r="BK5" s="1481">
        <f>BK6+BK7</f>
        <v>0</v>
      </c>
      <c r="BL5" s="1481">
        <f>BL6+BL7</f>
        <v>0</v>
      </c>
      <c r="BM5" s="1481"/>
      <c r="BN5" s="1481"/>
      <c r="BO5" s="1481">
        <f>BO6+BO7</f>
        <v>0</v>
      </c>
      <c r="BP5" s="1481">
        <f>BP6+BP7</f>
        <v>0</v>
      </c>
      <c r="BQ5" s="1481">
        <f>BQ6+BQ7</f>
        <v>0</v>
      </c>
      <c r="BR5" s="1481"/>
      <c r="BS5" s="1481"/>
      <c r="BT5" s="1481">
        <f>BT6+BT7</f>
        <v>35655088.510000005</v>
      </c>
      <c r="BU5" s="1481">
        <f>BU6+BU7</f>
        <v>0</v>
      </c>
      <c r="BV5" s="1481">
        <f>BV6+BV7</f>
        <v>35655088.510000005</v>
      </c>
      <c r="BW5" s="1481"/>
      <c r="BX5" s="1481"/>
    </row>
    <row r="6" spans="1:80" s="2" customFormat="1" ht="54" customHeight="1" x14ac:dyDescent="0.25">
      <c r="A6" s="331">
        <v>0</v>
      </c>
      <c r="B6" s="1060" t="s">
        <v>17</v>
      </c>
      <c r="C6" s="1086">
        <v>27580895.899999999</v>
      </c>
      <c r="D6" s="1032"/>
      <c r="E6" s="1190">
        <f>C6+D6</f>
        <v>27580895.899999999</v>
      </c>
      <c r="F6" s="1188"/>
      <c r="G6" s="1188">
        <v>29206216.020000003</v>
      </c>
      <c r="H6" s="1188">
        <v>0</v>
      </c>
      <c r="I6" s="1190">
        <v>29206216.020000003</v>
      </c>
      <c r="J6" s="1188"/>
      <c r="K6" s="1188"/>
      <c r="L6" s="1188"/>
      <c r="M6" s="1188"/>
      <c r="N6" s="1190">
        <f>L6+M6</f>
        <v>0</v>
      </c>
      <c r="O6" s="1188"/>
      <c r="P6" s="1188"/>
      <c r="Q6" s="1188">
        <v>4893571.91</v>
      </c>
      <c r="R6" s="1188"/>
      <c r="S6" s="1190">
        <f>Q6+R6</f>
        <v>4893571.91</v>
      </c>
      <c r="T6" s="1188"/>
      <c r="U6" s="1030" t="s">
        <v>1039</v>
      </c>
      <c r="V6" s="1188">
        <f>670337+784701.01</f>
        <v>1455038.01</v>
      </c>
      <c r="W6" s="1188"/>
      <c r="X6" s="1190">
        <f>V6+W6</f>
        <v>1455038.01</v>
      </c>
      <c r="Y6" s="1188"/>
      <c r="Z6" s="1188" t="s">
        <v>1137</v>
      </c>
      <c r="AA6" s="1188"/>
      <c r="AB6" s="1188"/>
      <c r="AC6" s="1190">
        <f>AA6+AB6</f>
        <v>0</v>
      </c>
      <c r="AD6" s="1188"/>
      <c r="AE6" s="1188"/>
      <c r="AF6" s="1447">
        <f>59678</f>
        <v>59678</v>
      </c>
      <c r="AG6" s="1447"/>
      <c r="AH6" s="1495">
        <f>AF6+AG6</f>
        <v>59678</v>
      </c>
      <c r="AI6" s="1652"/>
      <c r="AJ6" s="1698" t="s">
        <v>1229</v>
      </c>
      <c r="AK6" s="1665"/>
      <c r="AL6" s="1447"/>
      <c r="AM6" s="1495">
        <f>AK6+AL6</f>
        <v>0</v>
      </c>
      <c r="AN6" s="1447"/>
      <c r="AO6" s="1447"/>
      <c r="AP6" s="1665"/>
      <c r="AQ6" s="1447"/>
      <c r="AR6" s="1495">
        <f>AP6+AQ6</f>
        <v>0</v>
      </c>
      <c r="AS6" s="1652"/>
      <c r="AT6" s="1698"/>
      <c r="AU6" s="1665"/>
      <c r="AV6" s="2059"/>
      <c r="AW6" s="2028">
        <f>AU6+AV6</f>
        <v>0</v>
      </c>
      <c r="AX6" s="2059"/>
      <c r="AY6" s="2059"/>
      <c r="AZ6" s="2059"/>
      <c r="BA6" s="2059"/>
      <c r="BB6" s="2028">
        <f>AZ6+BA6</f>
        <v>0</v>
      </c>
      <c r="BC6" s="2059"/>
      <c r="BD6" s="2059"/>
      <c r="BE6" s="1156"/>
      <c r="BF6" s="2059"/>
      <c r="BG6" s="2028">
        <f>BE6+BF6</f>
        <v>0</v>
      </c>
      <c r="BH6" s="2059"/>
      <c r="BI6" s="2059"/>
      <c r="BJ6" s="1156"/>
      <c r="BK6" s="2059"/>
      <c r="BL6" s="2028">
        <f>BJ6+BK6</f>
        <v>0</v>
      </c>
      <c r="BM6" s="2059"/>
      <c r="BN6" s="2062"/>
      <c r="BO6" s="2059"/>
      <c r="BP6" s="2059"/>
      <c r="BQ6" s="2028">
        <f>BO6+BP6</f>
        <v>0</v>
      </c>
      <c r="BR6" s="2059"/>
      <c r="BS6" s="2062"/>
      <c r="BT6" s="2059">
        <f>G6+L6+Q6+V6+AA6+AF6+AK6+AP6+AU6+AZ6+BE6</f>
        <v>35614503.940000005</v>
      </c>
      <c r="BU6" s="2059">
        <f>H6+M6+R6+W6+AB6+AG6+AL6+AQ6+AV6+BA6+BF6</f>
        <v>0</v>
      </c>
      <c r="BV6" s="2028">
        <f>BT6+BU6</f>
        <v>35614503.940000005</v>
      </c>
      <c r="BW6" s="2059"/>
      <c r="BX6" s="2059"/>
      <c r="BY6" s="1"/>
      <c r="BZ6" s="1"/>
      <c r="CA6" s="1"/>
      <c r="CB6" s="1"/>
    </row>
    <row r="7" spans="1:80" s="2" customFormat="1" ht="54" customHeight="1" thickBot="1" x14ac:dyDescent="0.3">
      <c r="A7" s="238"/>
      <c r="B7" s="1125" t="s">
        <v>41</v>
      </c>
      <c r="C7" s="1208"/>
      <c r="D7" s="1209"/>
      <c r="E7" s="1190">
        <f>C7+D7</f>
        <v>0</v>
      </c>
      <c r="F7" s="1189"/>
      <c r="G7" s="1188">
        <v>40584.57</v>
      </c>
      <c r="H7" s="1188">
        <v>0</v>
      </c>
      <c r="I7" s="1190">
        <v>40584.57</v>
      </c>
      <c r="J7" s="535"/>
      <c r="K7" s="535"/>
      <c r="L7" s="1188"/>
      <c r="M7" s="1188"/>
      <c r="N7" s="1190">
        <f>L7+M7</f>
        <v>0</v>
      </c>
      <c r="O7" s="1189"/>
      <c r="P7" s="1189"/>
      <c r="Q7" s="1188"/>
      <c r="R7" s="1188"/>
      <c r="S7" s="1190">
        <f>Q7+R7</f>
        <v>0</v>
      </c>
      <c r="T7" s="1189"/>
      <c r="U7" s="1189"/>
      <c r="V7" s="1188"/>
      <c r="W7" s="1188"/>
      <c r="X7" s="1190">
        <f>V7+W7</f>
        <v>0</v>
      </c>
      <c r="Y7" s="1189"/>
      <c r="Z7" s="1189"/>
      <c r="AA7" s="1188"/>
      <c r="AB7" s="1188"/>
      <c r="AC7" s="1190">
        <f>AA7+AB7</f>
        <v>0</v>
      </c>
      <c r="AD7" s="1189"/>
      <c r="AE7" s="1189"/>
      <c r="AF7" s="1447"/>
      <c r="AG7" s="1447"/>
      <c r="AH7" s="1495">
        <f>AF7+AG7</f>
        <v>0</v>
      </c>
      <c r="AI7" s="1691"/>
      <c r="AJ7" s="1744"/>
      <c r="AK7" s="1447"/>
      <c r="AL7" s="1447"/>
      <c r="AM7" s="1495">
        <f>AK7+AL7</f>
        <v>0</v>
      </c>
      <c r="AN7" s="1448"/>
      <c r="AO7" s="1448"/>
      <c r="AP7" s="1447"/>
      <c r="AQ7" s="1447"/>
      <c r="AR7" s="1495">
        <f>AP7+AQ7</f>
        <v>0</v>
      </c>
      <c r="AS7" s="1691"/>
      <c r="AT7" s="1744"/>
      <c r="AU7" s="1665"/>
      <c r="AV7" s="2059"/>
      <c r="AW7" s="2028">
        <f>AU7+AV7</f>
        <v>0</v>
      </c>
      <c r="AX7" s="1921"/>
      <c r="AY7" s="1921"/>
      <c r="AZ7" s="2059"/>
      <c r="BA7" s="2059"/>
      <c r="BB7" s="2028">
        <f>AZ7+BA7</f>
        <v>0</v>
      </c>
      <c r="BC7" s="1921"/>
      <c r="BD7" s="1921"/>
      <c r="BE7" s="2059"/>
      <c r="BF7" s="2059"/>
      <c r="BG7" s="2028">
        <f>BE7+BF7</f>
        <v>0</v>
      </c>
      <c r="BH7" s="1921"/>
      <c r="BI7" s="1921"/>
      <c r="BJ7" s="2059"/>
      <c r="BK7" s="2059"/>
      <c r="BL7" s="2028">
        <f>BJ7+BK7</f>
        <v>0</v>
      </c>
      <c r="BM7" s="1921"/>
      <c r="BN7" s="1921"/>
      <c r="BO7" s="2059"/>
      <c r="BP7" s="2059"/>
      <c r="BQ7" s="2028">
        <f>BO7+BP7</f>
        <v>0</v>
      </c>
      <c r="BR7" s="1921"/>
      <c r="BS7" s="1921"/>
      <c r="BT7" s="2059">
        <f>G7+L7+Q7+V7+AA7+AF7+AK7+AP7+AU7+AZ7+BE7</f>
        <v>40584.57</v>
      </c>
      <c r="BU7" s="2059">
        <f>H7+M7+R7+W7+AB7+AG7+AL7+AQ7+AV7+BA7+BF7</f>
        <v>0</v>
      </c>
      <c r="BV7" s="2028">
        <f>BT7+BU7</f>
        <v>40584.57</v>
      </c>
      <c r="BW7" s="1921"/>
      <c r="BX7" s="1921"/>
      <c r="BY7" s="1"/>
      <c r="BZ7" s="1"/>
      <c r="CA7" s="1"/>
      <c r="CB7" s="1"/>
    </row>
    <row r="8" spans="1:80" s="88" customFormat="1" ht="54" customHeight="1" thickBot="1" x14ac:dyDescent="0.3">
      <c r="A8" s="238"/>
      <c r="B8" s="617" t="s">
        <v>16</v>
      </c>
      <c r="C8" s="618">
        <f>SUM(C9:C33)</f>
        <v>18334485.82</v>
      </c>
      <c r="D8" s="618">
        <f>SUM(D9:D33)</f>
        <v>4160778.7300000004</v>
      </c>
      <c r="E8" s="619">
        <f>SUM(E9:E33)</f>
        <v>22495264.550000001</v>
      </c>
      <c r="F8" s="577">
        <f t="shared" ref="F8:F33" si="0">E8/$E$89</f>
        <v>0.91837139140213475</v>
      </c>
      <c r="G8" s="618">
        <v>18763313.399999999</v>
      </c>
      <c r="H8" s="618">
        <v>7123266.9500000002</v>
      </c>
      <c r="I8" s="619">
        <v>25886580.349999998</v>
      </c>
      <c r="J8" s="242">
        <v>0.93531041946636928</v>
      </c>
      <c r="K8" s="242"/>
      <c r="L8" s="618">
        <f>SUM(L9:L33)</f>
        <v>143432.39000000001</v>
      </c>
      <c r="M8" s="618">
        <f>SUM(M9:M33)</f>
        <v>349479.03120000003</v>
      </c>
      <c r="N8" s="619">
        <f>SUM(N9:N33)</f>
        <v>492911.42120000004</v>
      </c>
      <c r="O8" s="577">
        <f t="shared" ref="O8:O21" si="1">N8/$N$89</f>
        <v>0.80312600345805973</v>
      </c>
      <c r="P8" s="620"/>
      <c r="Q8" s="618">
        <f>SUM(Q9:Q33)</f>
        <v>1552453.8120000002</v>
      </c>
      <c r="R8" s="618">
        <f>SUM(R9:R33)</f>
        <v>1436766.2899999998</v>
      </c>
      <c r="S8" s="619">
        <f>SUM(S9:S33)</f>
        <v>2989220.1019999995</v>
      </c>
      <c r="T8" s="577">
        <f t="shared" ref="T8:T33" si="2">S8/$S$89</f>
        <v>0.90669284157578156</v>
      </c>
      <c r="U8" s="620"/>
      <c r="V8" s="618">
        <f>SUM(V9:V33)</f>
        <v>17095</v>
      </c>
      <c r="W8" s="618">
        <f>SUM(W9:W33)</f>
        <v>90032</v>
      </c>
      <c r="X8" s="619">
        <f>SUM(X9:X33)</f>
        <v>107127</v>
      </c>
      <c r="Y8" s="577">
        <f>X8/$X$89</f>
        <v>0.88183674713661597</v>
      </c>
      <c r="Z8" s="620"/>
      <c r="AA8" s="618">
        <f>SUM(AA9:AA33)</f>
        <v>0</v>
      </c>
      <c r="AB8" s="618">
        <f>SUM(AB9:AB33)</f>
        <v>0</v>
      </c>
      <c r="AC8" s="619">
        <f>SUM(AC9:AC33)</f>
        <v>0</v>
      </c>
      <c r="AD8" s="577" t="e">
        <f>AC8/$AC$89</f>
        <v>#DIV/0!</v>
      </c>
      <c r="AE8" s="620"/>
      <c r="AF8" s="1498">
        <f>SUM(AF9:AF33)</f>
        <v>2928.8159999999998</v>
      </c>
      <c r="AG8" s="1498">
        <f>SUM(AG9:AG33)</f>
        <v>0</v>
      </c>
      <c r="AH8" s="1499">
        <f>SUM(AH9:AH33)</f>
        <v>2928.8159999999998</v>
      </c>
      <c r="AI8" s="1591">
        <f>AH8/$AH$89</f>
        <v>1</v>
      </c>
      <c r="AJ8" s="1480"/>
      <c r="AK8" s="1498">
        <f>SUM(AK9:AK33)</f>
        <v>0</v>
      </c>
      <c r="AL8" s="1498">
        <f>SUM(AL9:AL33)</f>
        <v>0</v>
      </c>
      <c r="AM8" s="1499">
        <f>SUM(AM9:AM33)</f>
        <v>0</v>
      </c>
      <c r="AN8" s="1543">
        <f t="shared" ref="AN8:AN33" si="3">AM8/$AM$89</f>
        <v>0</v>
      </c>
      <c r="AO8" s="1481"/>
      <c r="AP8" s="1498">
        <f>SUM(AP9:AP33)</f>
        <v>0</v>
      </c>
      <c r="AQ8" s="1498">
        <f>SUM(AQ9:AQ33)</f>
        <v>0</v>
      </c>
      <c r="AR8" s="1499">
        <f>SUM(AR9:AR33)</f>
        <v>0</v>
      </c>
      <c r="AS8" s="1591" t="e">
        <f>AR8/$AR$89</f>
        <v>#DIV/0!</v>
      </c>
      <c r="AT8" s="1480"/>
      <c r="AU8" s="1973">
        <f>SUM(AU9:AU33)</f>
        <v>1055225.648</v>
      </c>
      <c r="AV8" s="1973">
        <f>SUM(AV9:AV33)</f>
        <v>0</v>
      </c>
      <c r="AW8" s="1499">
        <f>SUM(AW9:AW33)</f>
        <v>1055225.648</v>
      </c>
      <c r="AX8" s="1543">
        <f>AW8/$AW$89</f>
        <v>0.99957373270771899</v>
      </c>
      <c r="AY8" s="1481"/>
      <c r="AZ8" s="1973">
        <f>SUM(AZ9:AZ33)</f>
        <v>0</v>
      </c>
      <c r="BA8" s="1973">
        <f>SUM(BA9:BA33)</f>
        <v>0</v>
      </c>
      <c r="BB8" s="1499">
        <f>SUM(BB9:BB33)</f>
        <v>0</v>
      </c>
      <c r="BC8" s="1543" t="e">
        <f>BB8/$BB$89</f>
        <v>#DIV/0!</v>
      </c>
      <c r="BD8" s="1481"/>
      <c r="BE8" s="1973">
        <f>SUM(BE9:BE33)</f>
        <v>0</v>
      </c>
      <c r="BF8" s="1973">
        <f>SUM(BF9:BF33)</f>
        <v>0</v>
      </c>
      <c r="BG8" s="1499">
        <f>SUM(BG9:BG33)</f>
        <v>0</v>
      </c>
      <c r="BH8" s="1543" t="e">
        <f t="shared" ref="BH8:BH36" si="4">BG8/$BG$89</f>
        <v>#DIV/0!</v>
      </c>
      <c r="BI8" s="1481"/>
      <c r="BJ8" s="1973">
        <f>SUM(BJ9:BJ33)</f>
        <v>0</v>
      </c>
      <c r="BK8" s="1973">
        <f>SUM(BK9:BK33)</f>
        <v>0</v>
      </c>
      <c r="BL8" s="1499">
        <f>SUM(BL9:BL33)</f>
        <v>0</v>
      </c>
      <c r="BM8" s="1543" t="e">
        <f>BL8/$BL$89</f>
        <v>#DIV/0!</v>
      </c>
      <c r="BN8" s="1481"/>
      <c r="BO8" s="1973">
        <f>SUM(BO9:BO33)</f>
        <v>0</v>
      </c>
      <c r="BP8" s="1973">
        <f>SUM(BP9:BP33)</f>
        <v>0</v>
      </c>
      <c r="BQ8" s="1499">
        <f>SUM(BQ9:BQ33)</f>
        <v>0</v>
      </c>
      <c r="BR8" s="1543" t="e">
        <f>BQ8/$BL$89</f>
        <v>#DIV/0!</v>
      </c>
      <c r="BS8" s="1481"/>
      <c r="BT8" s="1973">
        <f>SUM(BT9:BT33)</f>
        <v>21534449.066000003</v>
      </c>
      <c r="BU8" s="1973">
        <f>SUM(BU9:BU33)</f>
        <v>8999544.2712000012</v>
      </c>
      <c r="BV8" s="1499">
        <f>SUM(BV9:BV33)</f>
        <v>30533993.337199997</v>
      </c>
      <c r="BW8" s="1543">
        <f t="shared" ref="BW8:BW33" si="5">BV8/$BV$89</f>
        <v>0.92948856798317026</v>
      </c>
      <c r="BX8" s="1481"/>
    </row>
    <row r="9" spans="1:80" s="2" customFormat="1" ht="14.4" customHeight="1" x14ac:dyDescent="0.25">
      <c r="A9" s="238"/>
      <c r="B9" s="481" t="s">
        <v>74</v>
      </c>
      <c r="C9" s="482"/>
      <c r="D9" s="483"/>
      <c r="E9" s="484">
        <f t="shared" ref="E9:E33" si="6">C9+D9</f>
        <v>0</v>
      </c>
      <c r="F9" s="485">
        <f t="shared" si="0"/>
        <v>0</v>
      </c>
      <c r="G9" s="488">
        <v>359881.86</v>
      </c>
      <c r="H9" s="488">
        <v>3000</v>
      </c>
      <c r="I9" s="489">
        <v>362881.86</v>
      </c>
      <c r="J9" s="485">
        <v>1.311131791470233E-2</v>
      </c>
      <c r="K9" s="485"/>
      <c r="L9" s="488">
        <v>45627.4</v>
      </c>
      <c r="M9" s="488"/>
      <c r="N9" s="489">
        <f>L9+M9*1</f>
        <v>45627.4</v>
      </c>
      <c r="O9" s="485">
        <f t="shared" si="1"/>
        <v>7.4343076329963259E-2</v>
      </c>
      <c r="P9" s="490"/>
      <c r="Q9" s="488">
        <v>64603</v>
      </c>
      <c r="R9" s="488"/>
      <c r="S9" s="489">
        <f>Q9+R9*1</f>
        <v>64603</v>
      </c>
      <c r="T9" s="485">
        <f t="shared" si="2"/>
        <v>1.9595438156303494E-2</v>
      </c>
      <c r="U9" s="985"/>
      <c r="V9" s="488">
        <v>6846</v>
      </c>
      <c r="W9" s="488"/>
      <c r="X9" s="489">
        <f>V9+W9*1</f>
        <v>6846</v>
      </c>
      <c r="Y9" s="485">
        <f>X9/$X$89</f>
        <v>5.6354181213860863E-2</v>
      </c>
      <c r="Z9" s="1188" t="s">
        <v>1077</v>
      </c>
      <c r="AA9" s="488"/>
      <c r="AB9" s="488"/>
      <c r="AC9" s="489">
        <f>AA9+AB9*1</f>
        <v>0</v>
      </c>
      <c r="AD9" s="485" t="e">
        <f>AC9/$AC$89</f>
        <v>#DIV/0!</v>
      </c>
      <c r="AE9" s="986"/>
      <c r="AF9" s="1639"/>
      <c r="AG9" s="1639"/>
      <c r="AH9" s="1682">
        <f>AF9+AG9*1</f>
        <v>0</v>
      </c>
      <c r="AI9" s="1757">
        <f>AH9/$AH$89</f>
        <v>0</v>
      </c>
      <c r="AJ9" s="1758"/>
      <c r="AK9" s="1639"/>
      <c r="AL9" s="1639"/>
      <c r="AM9" s="1576">
        <f>AK9+AL9*1</f>
        <v>0</v>
      </c>
      <c r="AN9" s="1574">
        <f>AM9/$AM$89</f>
        <v>0</v>
      </c>
      <c r="AO9" s="1742"/>
      <c r="AP9" s="1639"/>
      <c r="AQ9" s="1639"/>
      <c r="AR9" s="1576">
        <f>AP9+AQ9*1</f>
        <v>0</v>
      </c>
      <c r="AS9" s="1757" t="e">
        <f t="shared" ref="AS9:AS33" si="7">AR9/$AR$89</f>
        <v>#DIV/0!</v>
      </c>
      <c r="AT9" s="1758"/>
      <c r="AU9" s="1639"/>
      <c r="AV9" s="1639"/>
      <c r="AW9" s="1576">
        <f>AU9+AV9*1</f>
        <v>0</v>
      </c>
      <c r="AX9" s="1574">
        <f t="shared" ref="AX9:AX72" si="8">AW9/$AW$89</f>
        <v>0</v>
      </c>
      <c r="AY9" s="1742"/>
      <c r="AZ9" s="1639"/>
      <c r="BA9" s="1639"/>
      <c r="BB9" s="1576">
        <f>AZ9+BA9*1</f>
        <v>0</v>
      </c>
      <c r="BC9" s="1574" t="e">
        <f t="shared" ref="BC9:BC33" si="9">BB9/$BB$89</f>
        <v>#DIV/0!</v>
      </c>
      <c r="BD9" s="1742"/>
      <c r="BE9" s="1639"/>
      <c r="BF9" s="1639"/>
      <c r="BG9" s="1576">
        <f>BE9+BF9*1</f>
        <v>0</v>
      </c>
      <c r="BH9" s="1574" t="e">
        <f t="shared" si="4"/>
        <v>#DIV/0!</v>
      </c>
      <c r="BI9" s="1742"/>
      <c r="BJ9" s="1639"/>
      <c r="BK9" s="1639"/>
      <c r="BL9" s="1576">
        <f>BJ9+BK9*1</f>
        <v>0</v>
      </c>
      <c r="BM9" s="1574" t="e">
        <f t="shared" ref="BM9:BM33" si="10">BL9/$BL$89</f>
        <v>#DIV/0!</v>
      </c>
      <c r="BN9" s="1742"/>
      <c r="BO9" s="1639"/>
      <c r="BP9" s="1639"/>
      <c r="BQ9" s="1576">
        <f>BO9+BP9*1</f>
        <v>0</v>
      </c>
      <c r="BR9" s="1574" t="e">
        <f t="shared" ref="BR9:BR33" si="11">BQ9/$BL$89</f>
        <v>#DIV/0!</v>
      </c>
      <c r="BS9" s="1742"/>
      <c r="BT9" s="2059">
        <f t="shared" ref="BT9:BU33" si="12">G9+L9+Q9+V9+AA9+AF9+AK9+AP9+AU9+AZ9+BE9</f>
        <v>476958.26</v>
      </c>
      <c r="BU9" s="2059">
        <f t="shared" si="12"/>
        <v>3000</v>
      </c>
      <c r="BV9" s="1576">
        <f>BT9+BU9*1</f>
        <v>479958.26</v>
      </c>
      <c r="BW9" s="1574">
        <f t="shared" si="5"/>
        <v>1.4610460900166143E-2</v>
      </c>
      <c r="BX9" s="1595"/>
    </row>
    <row r="10" spans="1:80" s="2" customFormat="1" ht="14.4" customHeight="1" x14ac:dyDescent="0.25">
      <c r="A10" s="238"/>
      <c r="B10" s="1077" t="s">
        <v>72</v>
      </c>
      <c r="C10" s="1047"/>
      <c r="D10" s="1048"/>
      <c r="E10" s="1190">
        <f t="shared" si="6"/>
        <v>0</v>
      </c>
      <c r="F10" s="1049">
        <f t="shared" si="0"/>
        <v>0</v>
      </c>
      <c r="G10" s="1188">
        <v>98595.900000000009</v>
      </c>
      <c r="H10" s="1188">
        <v>0</v>
      </c>
      <c r="I10" s="1031">
        <v>98595.900000000009</v>
      </c>
      <c r="J10" s="1049">
        <v>3.5623775461969898E-3</v>
      </c>
      <c r="K10" s="1049"/>
      <c r="L10" s="1188">
        <v>11052.6</v>
      </c>
      <c r="M10" s="1188"/>
      <c r="N10" s="1031">
        <f t="shared" ref="N10:N33" si="13">L10+M10*1</f>
        <v>11052.6</v>
      </c>
      <c r="O10" s="1245">
        <f t="shared" si="1"/>
        <v>1.8008571284897933E-2</v>
      </c>
      <c r="P10" s="1053"/>
      <c r="Q10" s="1188">
        <v>20038.36</v>
      </c>
      <c r="R10" s="1188"/>
      <c r="S10" s="1031">
        <f t="shared" ref="S10:S33" si="14">Q10+R10*1</f>
        <v>20038.36</v>
      </c>
      <c r="T10" s="1245">
        <f t="shared" si="2"/>
        <v>6.0780527859967143E-3</v>
      </c>
      <c r="U10" s="1055"/>
      <c r="V10" s="1188">
        <v>1658</v>
      </c>
      <c r="W10" s="1188"/>
      <c r="X10" s="1031">
        <f t="shared" ref="X10:X33" si="15">V10+W10*1</f>
        <v>1658</v>
      </c>
      <c r="Y10" s="1245">
        <f>X10/$X$89</f>
        <v>1.3648149642503844E-2</v>
      </c>
      <c r="Z10" s="1157"/>
      <c r="AA10" s="1188"/>
      <c r="AB10" s="1188"/>
      <c r="AC10" s="1031">
        <f t="shared" ref="AC10:AC21" si="16">AA10+AB10*1</f>
        <v>0</v>
      </c>
      <c r="AD10" s="1245" t="e">
        <f t="shared" ref="AD10:AD33" si="17">AC10/$AC$89</f>
        <v>#DIV/0!</v>
      </c>
      <c r="AE10" s="1157"/>
      <c r="AF10" s="1447"/>
      <c r="AG10" s="1447"/>
      <c r="AH10" s="1494">
        <f t="shared" ref="AH10:AH33" si="18">AF10+AG10*1</f>
        <v>0</v>
      </c>
      <c r="AI10" s="1666">
        <f>AH10/$AH$89</f>
        <v>0</v>
      </c>
      <c r="AJ10" s="1861"/>
      <c r="AK10" s="1447"/>
      <c r="AL10" s="1447"/>
      <c r="AM10" s="1660">
        <f t="shared" ref="AM10:AM33" si="19">AK10+AL10*1</f>
        <v>0</v>
      </c>
      <c r="AN10" s="1555">
        <f t="shared" si="3"/>
        <v>0</v>
      </c>
      <c r="AO10" s="1647"/>
      <c r="AP10" s="1447"/>
      <c r="AQ10" s="1447"/>
      <c r="AR10" s="1660">
        <f t="shared" ref="AR10:AR33" si="20">AP10+AQ10*1</f>
        <v>0</v>
      </c>
      <c r="AS10" s="1666" t="e">
        <f t="shared" si="7"/>
        <v>#DIV/0!</v>
      </c>
      <c r="AT10" s="1861"/>
      <c r="AU10" s="2059"/>
      <c r="AV10" s="2059"/>
      <c r="AW10" s="1998">
        <f t="shared" ref="AW10:AW33" si="21">AU10+AV10*1</f>
        <v>0</v>
      </c>
      <c r="AX10" s="2060">
        <f t="shared" si="8"/>
        <v>0</v>
      </c>
      <c r="AY10" s="1945"/>
      <c r="AZ10" s="2059"/>
      <c r="BA10" s="2059"/>
      <c r="BB10" s="1998">
        <f t="shared" ref="BB10:BB33" si="22">AZ10+BA10*1</f>
        <v>0</v>
      </c>
      <c r="BC10" s="2060" t="e">
        <f t="shared" si="9"/>
        <v>#DIV/0!</v>
      </c>
      <c r="BD10" s="1945"/>
      <c r="BE10" s="2059"/>
      <c r="BF10" s="2059"/>
      <c r="BG10" s="1998">
        <f t="shared" ref="BG10:BG33" si="23">BE10+BF10*1</f>
        <v>0</v>
      </c>
      <c r="BH10" s="2060" t="e">
        <f t="shared" si="4"/>
        <v>#DIV/0!</v>
      </c>
      <c r="BI10" s="1945"/>
      <c r="BJ10" s="2059"/>
      <c r="BK10" s="2059"/>
      <c r="BL10" s="1998">
        <f t="shared" ref="BL10:BL33" si="24">BJ10+BK10*1</f>
        <v>0</v>
      </c>
      <c r="BM10" s="2060" t="e">
        <f t="shared" si="10"/>
        <v>#DIV/0!</v>
      </c>
      <c r="BN10" s="1945"/>
      <c r="BO10" s="2059"/>
      <c r="BP10" s="2059"/>
      <c r="BQ10" s="1998">
        <f t="shared" ref="BQ10:BQ33" si="25">BO10+BP10*1</f>
        <v>0</v>
      </c>
      <c r="BR10" s="2060" t="e">
        <f t="shared" si="11"/>
        <v>#DIV/0!</v>
      </c>
      <c r="BS10" s="1945"/>
      <c r="BT10" s="2059">
        <f t="shared" si="12"/>
        <v>131344.86000000002</v>
      </c>
      <c r="BU10" s="2059">
        <f t="shared" si="12"/>
        <v>0</v>
      </c>
      <c r="BV10" s="2061">
        <f t="shared" ref="BV10:BV33" si="26">BT10+BU10*1</f>
        <v>131344.86000000002</v>
      </c>
      <c r="BW10" s="2060">
        <f t="shared" si="5"/>
        <v>3.9982829787486027E-3</v>
      </c>
      <c r="BX10" s="1449"/>
    </row>
    <row r="11" spans="1:80" s="2" customFormat="1" ht="14.4" customHeight="1" x14ac:dyDescent="0.25">
      <c r="A11" s="238"/>
      <c r="B11" s="1077" t="s">
        <v>69</v>
      </c>
      <c r="C11" s="1047"/>
      <c r="D11" s="1048"/>
      <c r="E11" s="1190">
        <f t="shared" si="6"/>
        <v>0</v>
      </c>
      <c r="F11" s="1049">
        <f t="shared" si="0"/>
        <v>0</v>
      </c>
      <c r="G11" s="1188">
        <v>111236.68</v>
      </c>
      <c r="H11" s="1188">
        <v>0</v>
      </c>
      <c r="I11" s="1031">
        <v>111236.68</v>
      </c>
      <c r="J11" s="1049">
        <v>4.0191027329280395E-3</v>
      </c>
      <c r="K11" s="1049"/>
      <c r="L11" s="1188">
        <v>12469.6</v>
      </c>
      <c r="M11" s="1188"/>
      <c r="N11" s="1031">
        <f t="shared" si="13"/>
        <v>12469.6</v>
      </c>
      <c r="O11" s="1245">
        <f t="shared" si="1"/>
        <v>2.0317362475269465E-2</v>
      </c>
      <c r="P11" s="1053"/>
      <c r="Q11" s="1188">
        <v>22607.38</v>
      </c>
      <c r="R11" s="1188"/>
      <c r="S11" s="1031">
        <f t="shared" si="14"/>
        <v>22607.38</v>
      </c>
      <c r="T11" s="1245">
        <f t="shared" si="2"/>
        <v>6.8572901671137953E-3</v>
      </c>
      <c r="U11" s="1055"/>
      <c r="V11" s="1188">
        <v>1871</v>
      </c>
      <c r="W11" s="1188"/>
      <c r="X11" s="1031">
        <f t="shared" si="15"/>
        <v>1871</v>
      </c>
      <c r="Y11" s="1245">
        <f t="shared" ref="Y11:Y33" si="27">X11/$X$89</f>
        <v>1.5401500591751924E-2</v>
      </c>
      <c r="Z11" s="1157"/>
      <c r="AA11" s="1188"/>
      <c r="AB11" s="1188"/>
      <c r="AC11" s="1031">
        <f t="shared" si="16"/>
        <v>0</v>
      </c>
      <c r="AD11" s="1245" t="e">
        <f t="shared" si="17"/>
        <v>#DIV/0!</v>
      </c>
      <c r="AE11" s="1157"/>
      <c r="AF11" s="1447"/>
      <c r="AG11" s="1447"/>
      <c r="AH11" s="1494">
        <f t="shared" si="18"/>
        <v>0</v>
      </c>
      <c r="AI11" s="1666">
        <f t="shared" ref="AI11:AI33" si="28">AH11/$AH$89</f>
        <v>0</v>
      </c>
      <c r="AJ11" s="1861"/>
      <c r="AK11" s="1447"/>
      <c r="AL11" s="1447"/>
      <c r="AM11" s="1567">
        <f t="shared" si="19"/>
        <v>0</v>
      </c>
      <c r="AN11" s="1555">
        <f t="shared" si="3"/>
        <v>0</v>
      </c>
      <c r="AO11" s="1647"/>
      <c r="AP11" s="1447"/>
      <c r="AQ11" s="1447"/>
      <c r="AR11" s="1567">
        <f t="shared" si="20"/>
        <v>0</v>
      </c>
      <c r="AS11" s="1666" t="e">
        <f t="shared" si="7"/>
        <v>#DIV/0!</v>
      </c>
      <c r="AT11" s="1861"/>
      <c r="AU11" s="2059"/>
      <c r="AV11" s="2059"/>
      <c r="AW11" s="2061">
        <f t="shared" si="21"/>
        <v>0</v>
      </c>
      <c r="AX11" s="2060">
        <f t="shared" si="8"/>
        <v>0</v>
      </c>
      <c r="AY11" s="1945"/>
      <c r="AZ11" s="2059"/>
      <c r="BA11" s="2059"/>
      <c r="BB11" s="2061">
        <f t="shared" si="22"/>
        <v>0</v>
      </c>
      <c r="BC11" s="2060" t="e">
        <f t="shared" si="9"/>
        <v>#DIV/0!</v>
      </c>
      <c r="BD11" s="1945"/>
      <c r="BE11" s="2059"/>
      <c r="BF11" s="2059"/>
      <c r="BG11" s="2061">
        <f t="shared" si="23"/>
        <v>0</v>
      </c>
      <c r="BH11" s="2060" t="e">
        <f t="shared" si="4"/>
        <v>#DIV/0!</v>
      </c>
      <c r="BI11" s="1945"/>
      <c r="BJ11" s="2059"/>
      <c r="BK11" s="2059"/>
      <c r="BL11" s="2061">
        <f t="shared" si="24"/>
        <v>0</v>
      </c>
      <c r="BM11" s="2060" t="e">
        <f t="shared" si="10"/>
        <v>#DIV/0!</v>
      </c>
      <c r="BN11" s="1945"/>
      <c r="BO11" s="2059"/>
      <c r="BP11" s="2059"/>
      <c r="BQ11" s="2061">
        <f t="shared" si="25"/>
        <v>0</v>
      </c>
      <c r="BR11" s="2060" t="e">
        <f t="shared" si="11"/>
        <v>#DIV/0!</v>
      </c>
      <c r="BS11" s="1945"/>
      <c r="BT11" s="2059">
        <f t="shared" si="12"/>
        <v>148184.66</v>
      </c>
      <c r="BU11" s="2059">
        <f t="shared" si="12"/>
        <v>0</v>
      </c>
      <c r="BV11" s="2061">
        <f t="shared" si="26"/>
        <v>148184.66</v>
      </c>
      <c r="BW11" s="2060">
        <f t="shared" si="5"/>
        <v>4.5109051377392982E-3</v>
      </c>
      <c r="BX11" s="1449"/>
    </row>
    <row r="12" spans="1:80" s="2" customFormat="1" ht="14.4" customHeight="1" x14ac:dyDescent="0.25">
      <c r="A12" s="238"/>
      <c r="B12" s="1077" t="s">
        <v>73</v>
      </c>
      <c r="C12" s="1047">
        <v>196420</v>
      </c>
      <c r="D12" s="1048">
        <v>363580</v>
      </c>
      <c r="E12" s="1190">
        <f t="shared" si="6"/>
        <v>560000</v>
      </c>
      <c r="F12" s="1049">
        <f t="shared" si="0"/>
        <v>2.2862055169082039E-2</v>
      </c>
      <c r="G12" s="1188">
        <v>239237.04</v>
      </c>
      <c r="H12" s="1188">
        <v>380462.49</v>
      </c>
      <c r="I12" s="1031">
        <v>619699.53</v>
      </c>
      <c r="J12" s="1049">
        <v>2.2390420809190115E-2</v>
      </c>
      <c r="K12" s="1049"/>
      <c r="L12" s="1188">
        <v>28957.119999999999</v>
      </c>
      <c r="M12" s="1188">
        <f>18594.2512+14257.66+17557.55+3000</f>
        <v>53409.461200000005</v>
      </c>
      <c r="N12" s="1031">
        <f t="shared" si="13"/>
        <v>82366.581200000001</v>
      </c>
      <c r="O12" s="1245">
        <f t="shared" si="1"/>
        <v>0.13420411930527965</v>
      </c>
      <c r="P12" s="1053" t="s">
        <v>977</v>
      </c>
      <c r="Q12" s="1188">
        <f>17900+18000+31827</f>
        <v>67727</v>
      </c>
      <c r="R12" s="1188">
        <f>4330+23000</f>
        <v>27330</v>
      </c>
      <c r="S12" s="1031">
        <f t="shared" si="14"/>
        <v>95057</v>
      </c>
      <c r="T12" s="1245">
        <f t="shared" si="2"/>
        <v>2.883277192736779E-2</v>
      </c>
      <c r="U12" s="1059" t="s">
        <v>1024</v>
      </c>
      <c r="V12" s="1188"/>
      <c r="W12" s="1188"/>
      <c r="X12" s="1031">
        <f t="shared" si="15"/>
        <v>0</v>
      </c>
      <c r="Y12" s="1245">
        <f t="shared" si="27"/>
        <v>0</v>
      </c>
      <c r="Z12" s="1157"/>
      <c r="AA12" s="1188"/>
      <c r="AB12" s="1188"/>
      <c r="AC12" s="1031">
        <f t="shared" si="16"/>
        <v>0</v>
      </c>
      <c r="AD12" s="1245" t="e">
        <f t="shared" si="17"/>
        <v>#DIV/0!</v>
      </c>
      <c r="AE12" s="1157"/>
      <c r="AF12" s="1447"/>
      <c r="AG12" s="1447"/>
      <c r="AH12" s="1494">
        <f t="shared" si="18"/>
        <v>0</v>
      </c>
      <c r="AI12" s="1666">
        <f t="shared" si="28"/>
        <v>0</v>
      </c>
      <c r="AJ12" s="1861"/>
      <c r="AK12" s="1447"/>
      <c r="AL12" s="1447"/>
      <c r="AM12" s="1567">
        <f t="shared" si="19"/>
        <v>0</v>
      </c>
      <c r="AN12" s="1653">
        <f t="shared" si="3"/>
        <v>0</v>
      </c>
      <c r="AO12" s="1647"/>
      <c r="AP12" s="1447"/>
      <c r="AQ12" s="1447"/>
      <c r="AR12" s="1567">
        <f t="shared" si="20"/>
        <v>0</v>
      </c>
      <c r="AS12" s="1862" t="e">
        <f t="shared" si="7"/>
        <v>#DIV/0!</v>
      </c>
      <c r="AT12" s="1861"/>
      <c r="AU12" s="2059"/>
      <c r="AV12" s="2059"/>
      <c r="AW12" s="2061">
        <f t="shared" si="21"/>
        <v>0</v>
      </c>
      <c r="AX12" s="1946">
        <f t="shared" si="8"/>
        <v>0</v>
      </c>
      <c r="AY12" s="1945"/>
      <c r="AZ12" s="2059"/>
      <c r="BA12" s="2059"/>
      <c r="BB12" s="2061">
        <f t="shared" si="22"/>
        <v>0</v>
      </c>
      <c r="BC12" s="1946" t="e">
        <f t="shared" si="9"/>
        <v>#DIV/0!</v>
      </c>
      <c r="BD12" s="1945"/>
      <c r="BE12" s="2059"/>
      <c r="BF12" s="2059"/>
      <c r="BG12" s="2061">
        <f t="shared" si="23"/>
        <v>0</v>
      </c>
      <c r="BH12" s="1946" t="e">
        <f t="shared" si="4"/>
        <v>#DIV/0!</v>
      </c>
      <c r="BI12" s="1945"/>
      <c r="BJ12" s="2059"/>
      <c r="BK12" s="2059"/>
      <c r="BL12" s="2061">
        <f t="shared" si="24"/>
        <v>0</v>
      </c>
      <c r="BM12" s="1946" t="e">
        <f t="shared" si="10"/>
        <v>#DIV/0!</v>
      </c>
      <c r="BN12" s="1945"/>
      <c r="BO12" s="2059"/>
      <c r="BP12" s="2059"/>
      <c r="BQ12" s="2061">
        <f t="shared" si="25"/>
        <v>0</v>
      </c>
      <c r="BR12" s="1946" t="e">
        <f t="shared" si="11"/>
        <v>#DIV/0!</v>
      </c>
      <c r="BS12" s="1945"/>
      <c r="BT12" s="2059">
        <f t="shared" si="12"/>
        <v>335921.16000000003</v>
      </c>
      <c r="BU12" s="2059">
        <f t="shared" si="12"/>
        <v>461201.95120000001</v>
      </c>
      <c r="BV12" s="2061">
        <f t="shared" si="26"/>
        <v>797123.11120000004</v>
      </c>
      <c r="BW12" s="2060">
        <f t="shared" si="5"/>
        <v>2.4265310172610403E-2</v>
      </c>
      <c r="BX12" s="1449"/>
    </row>
    <row r="13" spans="1:80" s="2" customFormat="1" ht="14.4" customHeight="1" x14ac:dyDescent="0.25">
      <c r="A13" s="238"/>
      <c r="B13" s="1077" t="s">
        <v>71</v>
      </c>
      <c r="C13" s="1047">
        <v>47580</v>
      </c>
      <c r="D13" s="1048"/>
      <c r="E13" s="1190">
        <f t="shared" si="6"/>
        <v>47580</v>
      </c>
      <c r="F13" s="1049">
        <f t="shared" si="0"/>
        <v>1.9424581874016491E-3</v>
      </c>
      <c r="G13" s="1188">
        <v>57951.83</v>
      </c>
      <c r="H13" s="1188">
        <v>0</v>
      </c>
      <c r="I13" s="1031">
        <v>57951.83</v>
      </c>
      <c r="J13" s="1049">
        <v>2.0938629086303296E-3</v>
      </c>
      <c r="K13" s="1049"/>
      <c r="L13" s="1188">
        <v>7506.92</v>
      </c>
      <c r="M13" s="1188"/>
      <c r="N13" s="1031">
        <f t="shared" si="13"/>
        <v>7506.92</v>
      </c>
      <c r="O13" s="1245">
        <f t="shared" si="1"/>
        <v>1.2231411970941316E-2</v>
      </c>
      <c r="P13" s="1053"/>
      <c r="Q13" s="1188">
        <v>7966.61</v>
      </c>
      <c r="R13" s="1188"/>
      <c r="S13" s="1031">
        <f t="shared" si="14"/>
        <v>7966.61</v>
      </c>
      <c r="T13" s="1245">
        <f t="shared" si="2"/>
        <v>2.4164390751263715E-3</v>
      </c>
      <c r="U13" s="1055"/>
      <c r="V13" s="1188"/>
      <c r="W13" s="1188"/>
      <c r="X13" s="1031">
        <f t="shared" si="15"/>
        <v>0</v>
      </c>
      <c r="Y13" s="1245">
        <f t="shared" si="27"/>
        <v>0</v>
      </c>
      <c r="Z13" s="1157"/>
      <c r="AA13" s="1188"/>
      <c r="AB13" s="1188"/>
      <c r="AC13" s="1031">
        <f t="shared" si="16"/>
        <v>0</v>
      </c>
      <c r="AD13" s="1245" t="e">
        <f t="shared" si="17"/>
        <v>#DIV/0!</v>
      </c>
      <c r="AE13" s="1157"/>
      <c r="AF13" s="1447"/>
      <c r="AG13" s="1447"/>
      <c r="AH13" s="1494">
        <f t="shared" si="18"/>
        <v>0</v>
      </c>
      <c r="AI13" s="1666">
        <f t="shared" si="28"/>
        <v>0</v>
      </c>
      <c r="AJ13" s="1861"/>
      <c r="AK13" s="1447"/>
      <c r="AL13" s="1447"/>
      <c r="AM13" s="1567">
        <f t="shared" si="19"/>
        <v>0</v>
      </c>
      <c r="AN13" s="1653">
        <f t="shared" si="3"/>
        <v>0</v>
      </c>
      <c r="AO13" s="1647"/>
      <c r="AP13" s="1447"/>
      <c r="AQ13" s="1447"/>
      <c r="AR13" s="1567">
        <f t="shared" si="20"/>
        <v>0</v>
      </c>
      <c r="AS13" s="1862" t="e">
        <f t="shared" si="7"/>
        <v>#DIV/0!</v>
      </c>
      <c r="AT13" s="1861"/>
      <c r="AU13" s="2059"/>
      <c r="AV13" s="2059"/>
      <c r="AW13" s="2061">
        <f t="shared" si="21"/>
        <v>0</v>
      </c>
      <c r="AX13" s="1946">
        <f t="shared" si="8"/>
        <v>0</v>
      </c>
      <c r="AY13" s="1945"/>
      <c r="AZ13" s="2059"/>
      <c r="BA13" s="2059"/>
      <c r="BB13" s="2061">
        <f t="shared" si="22"/>
        <v>0</v>
      </c>
      <c r="BC13" s="1946" t="e">
        <f t="shared" si="9"/>
        <v>#DIV/0!</v>
      </c>
      <c r="BD13" s="1945"/>
      <c r="BE13" s="2059"/>
      <c r="BF13" s="2059"/>
      <c r="BG13" s="2061">
        <f t="shared" si="23"/>
        <v>0</v>
      </c>
      <c r="BH13" s="1946" t="e">
        <f t="shared" si="4"/>
        <v>#DIV/0!</v>
      </c>
      <c r="BI13" s="1945"/>
      <c r="BJ13" s="2059"/>
      <c r="BK13" s="2059"/>
      <c r="BL13" s="2061">
        <f t="shared" si="24"/>
        <v>0</v>
      </c>
      <c r="BM13" s="1946" t="e">
        <f t="shared" si="10"/>
        <v>#DIV/0!</v>
      </c>
      <c r="BN13" s="1945"/>
      <c r="BO13" s="2059"/>
      <c r="BP13" s="2059"/>
      <c r="BQ13" s="2061">
        <f t="shared" si="25"/>
        <v>0</v>
      </c>
      <c r="BR13" s="1946" t="e">
        <f t="shared" si="11"/>
        <v>#DIV/0!</v>
      </c>
      <c r="BS13" s="1945"/>
      <c r="BT13" s="2059">
        <f t="shared" si="12"/>
        <v>73425.36</v>
      </c>
      <c r="BU13" s="2059">
        <f t="shared" si="12"/>
        <v>0</v>
      </c>
      <c r="BV13" s="2061">
        <f t="shared" si="26"/>
        <v>73425.36</v>
      </c>
      <c r="BW13" s="2060">
        <f t="shared" si="5"/>
        <v>2.2351492635226721E-3</v>
      </c>
      <c r="BX13" s="1449"/>
    </row>
    <row r="14" spans="1:80" s="2" customFormat="1" ht="14.4" customHeight="1" x14ac:dyDescent="0.25">
      <c r="A14" s="238"/>
      <c r="B14" s="1077" t="s">
        <v>70</v>
      </c>
      <c r="C14" s="1047">
        <v>53680</v>
      </c>
      <c r="D14" s="1048"/>
      <c r="E14" s="1190">
        <f t="shared" si="6"/>
        <v>53680</v>
      </c>
      <c r="F14" s="1049">
        <f t="shared" si="0"/>
        <v>2.1914912883505785E-3</v>
      </c>
      <c r="G14" s="1188">
        <v>65381.549999999996</v>
      </c>
      <c r="H14" s="1188">
        <v>0</v>
      </c>
      <c r="I14" s="1031">
        <v>65381.549999999996</v>
      </c>
      <c r="J14" s="1049">
        <v>2.3623068064245649E-3</v>
      </c>
      <c r="K14" s="1049"/>
      <c r="L14" s="1188">
        <v>8469.36</v>
      </c>
      <c r="M14" s="1188"/>
      <c r="N14" s="1031">
        <f t="shared" si="13"/>
        <v>8469.36</v>
      </c>
      <c r="O14" s="1245">
        <f t="shared" si="1"/>
        <v>1.3799565106623163E-2</v>
      </c>
      <c r="P14" s="1053"/>
      <c r="Q14" s="1188">
        <v>8987.98</v>
      </c>
      <c r="R14" s="1188"/>
      <c r="S14" s="1031">
        <f t="shared" si="14"/>
        <v>8987.98</v>
      </c>
      <c r="T14" s="1245">
        <f t="shared" si="2"/>
        <v>2.7262419119869459E-3</v>
      </c>
      <c r="U14" s="1055"/>
      <c r="V14" s="1188"/>
      <c r="W14" s="1188"/>
      <c r="X14" s="1031">
        <f t="shared" si="15"/>
        <v>0</v>
      </c>
      <c r="Y14" s="1245">
        <f t="shared" si="27"/>
        <v>0</v>
      </c>
      <c r="Z14" s="1157"/>
      <c r="AA14" s="1188"/>
      <c r="AB14" s="1188"/>
      <c r="AC14" s="1031">
        <f t="shared" si="16"/>
        <v>0</v>
      </c>
      <c r="AD14" s="1245" t="e">
        <f t="shared" si="17"/>
        <v>#DIV/0!</v>
      </c>
      <c r="AE14" s="1157"/>
      <c r="AF14" s="1447"/>
      <c r="AG14" s="1447"/>
      <c r="AH14" s="1494">
        <f t="shared" si="18"/>
        <v>0</v>
      </c>
      <c r="AI14" s="1666">
        <f t="shared" si="28"/>
        <v>0</v>
      </c>
      <c r="AJ14" s="1861"/>
      <c r="AK14" s="1447"/>
      <c r="AL14" s="1447"/>
      <c r="AM14" s="1567">
        <f t="shared" si="19"/>
        <v>0</v>
      </c>
      <c r="AN14" s="1653">
        <f t="shared" si="3"/>
        <v>0</v>
      </c>
      <c r="AO14" s="1647"/>
      <c r="AP14" s="1447"/>
      <c r="AQ14" s="1447"/>
      <c r="AR14" s="1567">
        <f t="shared" si="20"/>
        <v>0</v>
      </c>
      <c r="AS14" s="1862" t="e">
        <f t="shared" si="7"/>
        <v>#DIV/0!</v>
      </c>
      <c r="AT14" s="1861"/>
      <c r="AU14" s="2059"/>
      <c r="AV14" s="2059"/>
      <c r="AW14" s="2061">
        <f t="shared" si="21"/>
        <v>0</v>
      </c>
      <c r="AX14" s="1946">
        <f t="shared" si="8"/>
        <v>0</v>
      </c>
      <c r="AY14" s="1945"/>
      <c r="AZ14" s="2059"/>
      <c r="BA14" s="2059"/>
      <c r="BB14" s="2061">
        <f t="shared" si="22"/>
        <v>0</v>
      </c>
      <c r="BC14" s="1946" t="e">
        <f t="shared" si="9"/>
        <v>#DIV/0!</v>
      </c>
      <c r="BD14" s="1945"/>
      <c r="BE14" s="2059"/>
      <c r="BF14" s="2059"/>
      <c r="BG14" s="2061">
        <f t="shared" si="23"/>
        <v>0</v>
      </c>
      <c r="BH14" s="1946" t="e">
        <f t="shared" si="4"/>
        <v>#DIV/0!</v>
      </c>
      <c r="BI14" s="1945"/>
      <c r="BJ14" s="2059"/>
      <c r="BK14" s="2059"/>
      <c r="BL14" s="2061">
        <f t="shared" si="24"/>
        <v>0</v>
      </c>
      <c r="BM14" s="1946" t="e">
        <f t="shared" si="10"/>
        <v>#DIV/0!</v>
      </c>
      <c r="BN14" s="1945"/>
      <c r="BO14" s="2059"/>
      <c r="BP14" s="2059"/>
      <c r="BQ14" s="2061">
        <f t="shared" si="25"/>
        <v>0</v>
      </c>
      <c r="BR14" s="1946" t="e">
        <f t="shared" si="11"/>
        <v>#DIV/0!</v>
      </c>
      <c r="BS14" s="1945"/>
      <c r="BT14" s="2059">
        <f t="shared" si="12"/>
        <v>82838.89</v>
      </c>
      <c r="BU14" s="2059">
        <f t="shared" si="12"/>
        <v>0</v>
      </c>
      <c r="BV14" s="2061">
        <f t="shared" si="26"/>
        <v>82838.89</v>
      </c>
      <c r="BW14" s="2060">
        <f t="shared" si="5"/>
        <v>2.5217075404810494E-3</v>
      </c>
      <c r="BX14" s="1449"/>
    </row>
    <row r="15" spans="1:80" s="2" customFormat="1" ht="14.4" customHeight="1" x14ac:dyDescent="0.25">
      <c r="A15" s="238"/>
      <c r="B15" s="1270" t="s">
        <v>20</v>
      </c>
      <c r="C15" s="1047"/>
      <c r="D15" s="1242">
        <v>64000</v>
      </c>
      <c r="E15" s="1190">
        <f t="shared" si="6"/>
        <v>64000</v>
      </c>
      <c r="F15" s="1049">
        <f t="shared" si="0"/>
        <v>2.6128063050379472E-3</v>
      </c>
      <c r="G15" s="1188">
        <v>0</v>
      </c>
      <c r="H15" s="1188">
        <v>143000</v>
      </c>
      <c r="I15" s="1031">
        <v>143000</v>
      </c>
      <c r="J15" s="1049">
        <v>5.1667461740921225E-3</v>
      </c>
      <c r="K15" s="1049"/>
      <c r="L15" s="1188"/>
      <c r="M15" s="1188">
        <v>51900</v>
      </c>
      <c r="N15" s="1031">
        <f t="shared" si="13"/>
        <v>51900</v>
      </c>
      <c r="O15" s="1245">
        <f t="shared" si="1"/>
        <v>8.456334705736232E-2</v>
      </c>
      <c r="P15" s="1053"/>
      <c r="Q15" s="1188"/>
      <c r="R15" s="1188">
        <v>24150</v>
      </c>
      <c r="S15" s="1031">
        <f t="shared" si="14"/>
        <v>24150</v>
      </c>
      <c r="T15" s="1245">
        <f t="shared" si="2"/>
        <v>7.3251990073948487E-3</v>
      </c>
      <c r="U15" s="1055"/>
      <c r="V15" s="1188"/>
      <c r="W15" s="1188"/>
      <c r="X15" s="1031">
        <f t="shared" si="15"/>
        <v>0</v>
      </c>
      <c r="Y15" s="1245">
        <f t="shared" si="27"/>
        <v>0</v>
      </c>
      <c r="Z15" s="1157"/>
      <c r="AA15" s="1188"/>
      <c r="AB15" s="1188"/>
      <c r="AC15" s="1031">
        <f t="shared" si="16"/>
        <v>0</v>
      </c>
      <c r="AD15" s="1245" t="e">
        <f t="shared" si="17"/>
        <v>#DIV/0!</v>
      </c>
      <c r="AE15" s="1157"/>
      <c r="AF15" s="1447"/>
      <c r="AG15" s="1447"/>
      <c r="AH15" s="1494">
        <f t="shared" si="18"/>
        <v>0</v>
      </c>
      <c r="AI15" s="1666">
        <f t="shared" si="28"/>
        <v>0</v>
      </c>
      <c r="AJ15" s="1861"/>
      <c r="AK15" s="1447"/>
      <c r="AL15" s="1447"/>
      <c r="AM15" s="1567">
        <f t="shared" si="19"/>
        <v>0</v>
      </c>
      <c r="AN15" s="1653">
        <f t="shared" si="3"/>
        <v>0</v>
      </c>
      <c r="AO15" s="1647"/>
      <c r="AP15" s="1447"/>
      <c r="AQ15" s="1447"/>
      <c r="AR15" s="1567">
        <f t="shared" si="20"/>
        <v>0</v>
      </c>
      <c r="AS15" s="1862" t="e">
        <f t="shared" si="7"/>
        <v>#DIV/0!</v>
      </c>
      <c r="AT15" s="1861"/>
      <c r="AU15" s="2059"/>
      <c r="AV15" s="2059"/>
      <c r="AW15" s="2061">
        <f t="shared" si="21"/>
        <v>0</v>
      </c>
      <c r="AX15" s="1946">
        <f t="shared" si="8"/>
        <v>0</v>
      </c>
      <c r="AY15" s="1945"/>
      <c r="AZ15" s="2059"/>
      <c r="BA15" s="2059"/>
      <c r="BB15" s="2061">
        <f t="shared" si="22"/>
        <v>0</v>
      </c>
      <c r="BC15" s="1946" t="e">
        <f t="shared" si="9"/>
        <v>#DIV/0!</v>
      </c>
      <c r="BD15" s="1945"/>
      <c r="BE15" s="2059"/>
      <c r="BF15" s="2059"/>
      <c r="BG15" s="2061">
        <f t="shared" si="23"/>
        <v>0</v>
      </c>
      <c r="BH15" s="1946" t="e">
        <f t="shared" si="4"/>
        <v>#DIV/0!</v>
      </c>
      <c r="BI15" s="1945"/>
      <c r="BJ15" s="2059"/>
      <c r="BK15" s="2059"/>
      <c r="BL15" s="2061">
        <f t="shared" si="24"/>
        <v>0</v>
      </c>
      <c r="BM15" s="1946" t="e">
        <f t="shared" si="10"/>
        <v>#DIV/0!</v>
      </c>
      <c r="BN15" s="1945"/>
      <c r="BO15" s="2059"/>
      <c r="BP15" s="2059"/>
      <c r="BQ15" s="2061">
        <f t="shared" si="25"/>
        <v>0</v>
      </c>
      <c r="BR15" s="1946" t="e">
        <f t="shared" si="11"/>
        <v>#DIV/0!</v>
      </c>
      <c r="BS15" s="1945"/>
      <c r="BT15" s="2059">
        <f t="shared" si="12"/>
        <v>0</v>
      </c>
      <c r="BU15" s="2059">
        <f t="shared" si="12"/>
        <v>219050</v>
      </c>
      <c r="BV15" s="2061">
        <f t="shared" si="26"/>
        <v>219050</v>
      </c>
      <c r="BW15" s="2060">
        <f t="shared" si="5"/>
        <v>6.6681245577092339E-3</v>
      </c>
      <c r="BX15" s="1449"/>
    </row>
    <row r="16" spans="1:80" s="953" customFormat="1" ht="15.6" customHeight="1" x14ac:dyDescent="0.25">
      <c r="A16" s="952"/>
      <c r="B16" s="1300" t="s">
        <v>21</v>
      </c>
      <c r="C16" s="1133"/>
      <c r="D16" s="1301">
        <v>2603238.8200000003</v>
      </c>
      <c r="E16" s="1134">
        <f t="shared" si="6"/>
        <v>2603238.8200000003</v>
      </c>
      <c r="F16" s="1135">
        <f t="shared" si="0"/>
        <v>0.10627748128774292</v>
      </c>
      <c r="G16" s="1136">
        <v>0</v>
      </c>
      <c r="H16" s="1136">
        <v>4699653.9200000009</v>
      </c>
      <c r="I16" s="1137">
        <v>4699653.9200000009</v>
      </c>
      <c r="J16" s="1135">
        <v>0.16980362874627308</v>
      </c>
      <c r="K16" s="1135"/>
      <c r="L16" s="1136"/>
      <c r="M16" s="1136"/>
      <c r="N16" s="1137">
        <f t="shared" si="13"/>
        <v>0</v>
      </c>
      <c r="O16" s="1302">
        <f t="shared" si="1"/>
        <v>0</v>
      </c>
      <c r="P16" s="1158"/>
      <c r="Q16" s="1136"/>
      <c r="R16" s="1136">
        <f>36219.9+49960.65+116760+100400+209817.68+62155+73559.71+172365.92+313004</f>
        <v>1134242.8599999999</v>
      </c>
      <c r="S16" s="1137">
        <f t="shared" si="14"/>
        <v>1134242.8599999999</v>
      </c>
      <c r="T16" s="1302">
        <f t="shared" si="2"/>
        <v>0.34403953094064982</v>
      </c>
      <c r="U16" s="1107" t="s">
        <v>1061</v>
      </c>
      <c r="V16" s="1136"/>
      <c r="W16" s="1136">
        <f>35070+34800</f>
        <v>69870</v>
      </c>
      <c r="X16" s="1137">
        <f t="shared" si="15"/>
        <v>69870</v>
      </c>
      <c r="Y16" s="1302">
        <f t="shared" si="27"/>
        <v>0.57514850152095509</v>
      </c>
      <c r="Z16" s="1157" t="s">
        <v>1138</v>
      </c>
      <c r="AA16" s="1136"/>
      <c r="AB16" s="1136"/>
      <c r="AC16" s="1137">
        <f t="shared" si="16"/>
        <v>0</v>
      </c>
      <c r="AD16" s="1302" t="e">
        <f t="shared" si="17"/>
        <v>#DIV/0!</v>
      </c>
      <c r="AE16" s="1159"/>
      <c r="AF16" s="1767"/>
      <c r="AG16" s="1447"/>
      <c r="AH16" s="1774">
        <f t="shared" si="18"/>
        <v>0</v>
      </c>
      <c r="AI16" s="1863">
        <f t="shared" si="28"/>
        <v>0</v>
      </c>
      <c r="AJ16" s="1864"/>
      <c r="AK16" s="1767"/>
      <c r="AL16" s="1767"/>
      <c r="AM16" s="1768">
        <f t="shared" si="19"/>
        <v>0</v>
      </c>
      <c r="AN16" s="1865">
        <f t="shared" si="3"/>
        <v>0</v>
      </c>
      <c r="AO16" s="1773"/>
      <c r="AP16" s="1767"/>
      <c r="AQ16" s="1767"/>
      <c r="AR16" s="1768">
        <f t="shared" si="20"/>
        <v>0</v>
      </c>
      <c r="AS16" s="1866" t="e">
        <f t="shared" si="7"/>
        <v>#DIV/0!</v>
      </c>
      <c r="AT16" s="1864"/>
      <c r="AU16" s="1767"/>
      <c r="AV16" s="1767"/>
      <c r="AW16" s="1768">
        <f t="shared" si="21"/>
        <v>0</v>
      </c>
      <c r="AX16" s="1947">
        <f t="shared" si="8"/>
        <v>0</v>
      </c>
      <c r="AY16" s="1948"/>
      <c r="AZ16" s="1767"/>
      <c r="BA16" s="1767"/>
      <c r="BB16" s="1768">
        <f t="shared" si="22"/>
        <v>0</v>
      </c>
      <c r="BC16" s="1947" t="e">
        <f t="shared" si="9"/>
        <v>#DIV/0!</v>
      </c>
      <c r="BD16" s="1948"/>
      <c r="BE16" s="1767"/>
      <c r="BF16" s="1767"/>
      <c r="BG16" s="1768">
        <f t="shared" si="23"/>
        <v>0</v>
      </c>
      <c r="BH16" s="1947" t="e">
        <f t="shared" si="4"/>
        <v>#DIV/0!</v>
      </c>
      <c r="BI16" s="1948"/>
      <c r="BJ16" s="1767"/>
      <c r="BK16" s="1767"/>
      <c r="BL16" s="1768">
        <f t="shared" si="24"/>
        <v>0</v>
      </c>
      <c r="BM16" s="1947" t="e">
        <f t="shared" si="10"/>
        <v>#DIV/0!</v>
      </c>
      <c r="BN16" s="1948"/>
      <c r="BO16" s="1767"/>
      <c r="BP16" s="1767"/>
      <c r="BQ16" s="1768">
        <f t="shared" si="25"/>
        <v>0</v>
      </c>
      <c r="BR16" s="1947" t="e">
        <f t="shared" si="11"/>
        <v>#DIV/0!</v>
      </c>
      <c r="BS16" s="1948"/>
      <c r="BT16" s="2059">
        <f t="shared" si="12"/>
        <v>0</v>
      </c>
      <c r="BU16" s="2059">
        <f t="shared" si="12"/>
        <v>5903766.7800000012</v>
      </c>
      <c r="BV16" s="1768">
        <f t="shared" si="26"/>
        <v>5903766.7800000012</v>
      </c>
      <c r="BW16" s="1940">
        <f t="shared" si="5"/>
        <v>0.1797171981223738</v>
      </c>
      <c r="BX16" s="1158"/>
    </row>
    <row r="17" spans="1:76" s="2" customFormat="1" ht="14.4" customHeight="1" x14ac:dyDescent="0.25">
      <c r="A17" s="238"/>
      <c r="B17" s="1270" t="s">
        <v>22</v>
      </c>
      <c r="C17" s="1047"/>
      <c r="D17" s="1242"/>
      <c r="E17" s="1190">
        <f t="shared" si="6"/>
        <v>0</v>
      </c>
      <c r="F17" s="1049">
        <f t="shared" si="0"/>
        <v>0</v>
      </c>
      <c r="G17" s="1188">
        <v>0</v>
      </c>
      <c r="H17" s="1188">
        <v>0</v>
      </c>
      <c r="I17" s="1031">
        <v>0</v>
      </c>
      <c r="J17" s="1049">
        <v>0</v>
      </c>
      <c r="K17" s="1049"/>
      <c r="L17" s="1188"/>
      <c r="M17" s="1188"/>
      <c r="N17" s="1031">
        <f t="shared" si="13"/>
        <v>0</v>
      </c>
      <c r="O17" s="1245">
        <f t="shared" si="1"/>
        <v>0</v>
      </c>
      <c r="P17" s="1053"/>
      <c r="Q17" s="1188"/>
      <c r="R17" s="1188"/>
      <c r="S17" s="1031">
        <f t="shared" si="14"/>
        <v>0</v>
      </c>
      <c r="T17" s="1245">
        <f t="shared" si="2"/>
        <v>0</v>
      </c>
      <c r="U17" s="1055"/>
      <c r="V17" s="1188"/>
      <c r="W17" s="1188"/>
      <c r="X17" s="1031">
        <f t="shared" si="15"/>
        <v>0</v>
      </c>
      <c r="Y17" s="1245">
        <f t="shared" si="27"/>
        <v>0</v>
      </c>
      <c r="Z17" s="1157"/>
      <c r="AA17" s="1136"/>
      <c r="AB17" s="1136"/>
      <c r="AC17" s="1031">
        <f t="shared" si="16"/>
        <v>0</v>
      </c>
      <c r="AD17" s="1245" t="e">
        <f t="shared" si="17"/>
        <v>#DIV/0!</v>
      </c>
      <c r="AE17" s="1157"/>
      <c r="AF17" s="1447"/>
      <c r="AG17" s="1447"/>
      <c r="AH17" s="1494">
        <f t="shared" si="18"/>
        <v>0</v>
      </c>
      <c r="AI17" s="1666">
        <f t="shared" si="28"/>
        <v>0</v>
      </c>
      <c r="AJ17" s="1861"/>
      <c r="AK17" s="1447"/>
      <c r="AL17" s="1447"/>
      <c r="AM17" s="1567">
        <f t="shared" si="19"/>
        <v>0</v>
      </c>
      <c r="AN17" s="1653">
        <f t="shared" si="3"/>
        <v>0</v>
      </c>
      <c r="AO17" s="1647"/>
      <c r="AP17" s="1447"/>
      <c r="AQ17" s="1447"/>
      <c r="AR17" s="1567">
        <f t="shared" si="20"/>
        <v>0</v>
      </c>
      <c r="AS17" s="1862" t="e">
        <f t="shared" si="7"/>
        <v>#DIV/0!</v>
      </c>
      <c r="AT17" s="1861"/>
      <c r="AU17" s="2059"/>
      <c r="AV17" s="2059"/>
      <c r="AW17" s="2061">
        <f t="shared" si="21"/>
        <v>0</v>
      </c>
      <c r="AX17" s="1946">
        <f t="shared" si="8"/>
        <v>0</v>
      </c>
      <c r="AY17" s="1945"/>
      <c r="AZ17" s="2059"/>
      <c r="BA17" s="2059"/>
      <c r="BB17" s="2061">
        <f t="shared" si="22"/>
        <v>0</v>
      </c>
      <c r="BC17" s="1946" t="e">
        <f t="shared" si="9"/>
        <v>#DIV/0!</v>
      </c>
      <c r="BD17" s="1945"/>
      <c r="BE17" s="2059"/>
      <c r="BF17" s="2059"/>
      <c r="BG17" s="2061">
        <f t="shared" si="23"/>
        <v>0</v>
      </c>
      <c r="BH17" s="1946" t="e">
        <f t="shared" si="4"/>
        <v>#DIV/0!</v>
      </c>
      <c r="BI17" s="1945"/>
      <c r="BJ17" s="2059"/>
      <c r="BK17" s="2059"/>
      <c r="BL17" s="2061">
        <f t="shared" si="24"/>
        <v>0</v>
      </c>
      <c r="BM17" s="1946" t="e">
        <f t="shared" si="10"/>
        <v>#DIV/0!</v>
      </c>
      <c r="BN17" s="1945"/>
      <c r="BO17" s="2059"/>
      <c r="BP17" s="2059"/>
      <c r="BQ17" s="2061">
        <f t="shared" si="25"/>
        <v>0</v>
      </c>
      <c r="BR17" s="1946" t="e">
        <f t="shared" si="11"/>
        <v>#DIV/0!</v>
      </c>
      <c r="BS17" s="1945"/>
      <c r="BT17" s="2059">
        <f t="shared" si="12"/>
        <v>0</v>
      </c>
      <c r="BU17" s="2059">
        <f t="shared" si="12"/>
        <v>0</v>
      </c>
      <c r="BV17" s="2061">
        <f t="shared" si="26"/>
        <v>0</v>
      </c>
      <c r="BW17" s="2060">
        <f t="shared" si="5"/>
        <v>0</v>
      </c>
      <c r="BX17" s="1449"/>
    </row>
    <row r="18" spans="1:76" s="2" customFormat="1" ht="14.4" customHeight="1" x14ac:dyDescent="0.25">
      <c r="A18" s="238"/>
      <c r="B18" s="1270" t="s">
        <v>0</v>
      </c>
      <c r="C18" s="1047">
        <v>13821971.449999999</v>
      </c>
      <c r="D18" s="1242">
        <v>349506</v>
      </c>
      <c r="E18" s="1190">
        <f t="shared" si="6"/>
        <v>14171477.449999999</v>
      </c>
      <c r="F18" s="1049">
        <f t="shared" si="0"/>
        <v>0.57855196301661083</v>
      </c>
      <c r="G18" s="1188">
        <v>9478290.4700000007</v>
      </c>
      <c r="H18" s="1188">
        <v>15050</v>
      </c>
      <c r="I18" s="1031">
        <v>9493340.4700000007</v>
      </c>
      <c r="J18" s="1049">
        <v>0.34300475910997497</v>
      </c>
      <c r="K18" s="1049"/>
      <c r="L18" s="1188"/>
      <c r="M18" s="1188">
        <v>6000</v>
      </c>
      <c r="N18" s="1031">
        <f t="shared" si="13"/>
        <v>6000</v>
      </c>
      <c r="O18" s="1245">
        <f t="shared" si="1"/>
        <v>9.7761094864002671E-3</v>
      </c>
      <c r="P18" s="1053" t="s">
        <v>1008</v>
      </c>
      <c r="Q18" s="1188">
        <f>10573.33*1.2</f>
        <v>12687.995999999999</v>
      </c>
      <c r="R18" s="1188">
        <v>20000</v>
      </c>
      <c r="S18" s="1031">
        <f t="shared" si="14"/>
        <v>32687.995999999999</v>
      </c>
      <c r="T18" s="1245">
        <f t="shared" si="2"/>
        <v>9.914951381073572E-3</v>
      </c>
      <c r="U18" s="1069" t="s">
        <v>1048</v>
      </c>
      <c r="V18" s="1188"/>
      <c r="W18" s="1188"/>
      <c r="X18" s="1031">
        <f t="shared" si="15"/>
        <v>0</v>
      </c>
      <c r="Y18" s="1245">
        <f t="shared" si="27"/>
        <v>0</v>
      </c>
      <c r="Z18" s="1157"/>
      <c r="AA18" s="1136"/>
      <c r="AB18" s="1136"/>
      <c r="AC18" s="1031">
        <f t="shared" si="16"/>
        <v>0</v>
      </c>
      <c r="AD18" s="1245" t="e">
        <f t="shared" si="17"/>
        <v>#DIV/0!</v>
      </c>
      <c r="AE18" s="1157"/>
      <c r="AF18" s="1447"/>
      <c r="AG18" s="1447"/>
      <c r="AH18" s="1494">
        <f t="shared" si="18"/>
        <v>0</v>
      </c>
      <c r="AI18" s="1666">
        <f t="shared" si="28"/>
        <v>0</v>
      </c>
      <c r="AJ18" s="1861"/>
      <c r="AK18" s="1447"/>
      <c r="AL18" s="1447"/>
      <c r="AM18" s="1567">
        <f t="shared" si="19"/>
        <v>0</v>
      </c>
      <c r="AN18" s="1653">
        <f t="shared" si="3"/>
        <v>0</v>
      </c>
      <c r="AO18" s="1647"/>
      <c r="AP18" s="1447"/>
      <c r="AQ18" s="1447"/>
      <c r="AR18" s="1567">
        <f t="shared" si="20"/>
        <v>0</v>
      </c>
      <c r="AS18" s="1862" t="e">
        <f t="shared" si="7"/>
        <v>#DIV/0!</v>
      </c>
      <c r="AT18" s="1861"/>
      <c r="AU18" s="1887">
        <f>242750</f>
        <v>242750</v>
      </c>
      <c r="AV18" s="1887"/>
      <c r="AW18" s="1888">
        <f t="shared" si="21"/>
        <v>242750</v>
      </c>
      <c r="AX18" s="1949">
        <f t="shared" si="8"/>
        <v>0.22994752266938717</v>
      </c>
      <c r="AY18" s="1950" t="s">
        <v>1550</v>
      </c>
      <c r="AZ18" s="2059"/>
      <c r="BA18" s="2059"/>
      <c r="BB18" s="2061">
        <f t="shared" si="22"/>
        <v>0</v>
      </c>
      <c r="BC18" s="1946" t="e">
        <f t="shared" si="9"/>
        <v>#DIV/0!</v>
      </c>
      <c r="BD18" s="1945"/>
      <c r="BE18" s="2059"/>
      <c r="BF18" s="2059"/>
      <c r="BG18" s="2061">
        <f t="shared" si="23"/>
        <v>0</v>
      </c>
      <c r="BH18" s="1946" t="e">
        <f t="shared" si="4"/>
        <v>#DIV/0!</v>
      </c>
      <c r="BI18" s="1945"/>
      <c r="BJ18" s="2059"/>
      <c r="BK18" s="2059"/>
      <c r="BL18" s="2061">
        <f t="shared" si="24"/>
        <v>0</v>
      </c>
      <c r="BM18" s="1946" t="e">
        <f t="shared" si="10"/>
        <v>#DIV/0!</v>
      </c>
      <c r="BN18" s="1945"/>
      <c r="BO18" s="2059"/>
      <c r="BP18" s="2059"/>
      <c r="BQ18" s="2061">
        <f t="shared" si="25"/>
        <v>0</v>
      </c>
      <c r="BR18" s="1946" t="e">
        <f t="shared" si="11"/>
        <v>#DIV/0!</v>
      </c>
      <c r="BS18" s="1945"/>
      <c r="BT18" s="2059">
        <f t="shared" si="12"/>
        <v>9733728.466</v>
      </c>
      <c r="BU18" s="2059">
        <f t="shared" si="12"/>
        <v>41050</v>
      </c>
      <c r="BV18" s="2061">
        <f t="shared" si="26"/>
        <v>9774778.466</v>
      </c>
      <c r="BW18" s="2060">
        <f t="shared" si="5"/>
        <v>0.29755508027985389</v>
      </c>
      <c r="BX18" s="1449"/>
    </row>
    <row r="19" spans="1:76" s="2" customFormat="1" ht="14.4" customHeight="1" x14ac:dyDescent="0.25">
      <c r="A19" s="238"/>
      <c r="B19" s="1270" t="s">
        <v>53</v>
      </c>
      <c r="C19" s="1111">
        <v>32400</v>
      </c>
      <c r="D19" s="1242"/>
      <c r="E19" s="1190">
        <f t="shared" si="6"/>
        <v>32400</v>
      </c>
      <c r="F19" s="1049">
        <f t="shared" si="0"/>
        <v>1.322733191925461E-3</v>
      </c>
      <c r="G19" s="1188">
        <v>86249.995999999999</v>
      </c>
      <c r="H19" s="1188">
        <v>52000</v>
      </c>
      <c r="I19" s="1031">
        <v>138249.99599999998</v>
      </c>
      <c r="J19" s="1049">
        <v>4.9951233419667914E-3</v>
      </c>
      <c r="K19" s="1049"/>
      <c r="L19" s="1188"/>
      <c r="M19" s="1188"/>
      <c r="N19" s="1031">
        <f t="shared" si="13"/>
        <v>0</v>
      </c>
      <c r="O19" s="1245">
        <f t="shared" si="1"/>
        <v>0</v>
      </c>
      <c r="P19" s="1055"/>
      <c r="Q19" s="1188"/>
      <c r="R19" s="1188"/>
      <c r="S19" s="1031">
        <f t="shared" si="14"/>
        <v>0</v>
      </c>
      <c r="T19" s="1245">
        <f t="shared" si="2"/>
        <v>0</v>
      </c>
      <c r="U19" s="1055"/>
      <c r="V19" s="1188"/>
      <c r="W19" s="1188"/>
      <c r="X19" s="1031">
        <f t="shared" si="15"/>
        <v>0</v>
      </c>
      <c r="Y19" s="1245">
        <f t="shared" si="27"/>
        <v>0</v>
      </c>
      <c r="Z19" s="1157"/>
      <c r="AA19" s="1136"/>
      <c r="AB19" s="1136"/>
      <c r="AC19" s="1031">
        <f t="shared" si="16"/>
        <v>0</v>
      </c>
      <c r="AD19" s="1245" t="e">
        <f t="shared" si="17"/>
        <v>#DIV/0!</v>
      </c>
      <c r="AE19" s="1157"/>
      <c r="AF19" s="1447"/>
      <c r="AG19" s="1447"/>
      <c r="AH19" s="1494">
        <f t="shared" si="18"/>
        <v>0</v>
      </c>
      <c r="AI19" s="1666">
        <f t="shared" si="28"/>
        <v>0</v>
      </c>
      <c r="AJ19" s="1861"/>
      <c r="AK19" s="1447"/>
      <c r="AL19" s="1447"/>
      <c r="AM19" s="1567">
        <f t="shared" si="19"/>
        <v>0</v>
      </c>
      <c r="AN19" s="1653">
        <f t="shared" si="3"/>
        <v>0</v>
      </c>
      <c r="AO19" s="1647"/>
      <c r="AP19" s="1447"/>
      <c r="AQ19" s="1447"/>
      <c r="AR19" s="1567">
        <f t="shared" si="20"/>
        <v>0</v>
      </c>
      <c r="AS19" s="1862" t="e">
        <f t="shared" si="7"/>
        <v>#DIV/0!</v>
      </c>
      <c r="AT19" s="1861"/>
      <c r="AU19" s="2059"/>
      <c r="AV19" s="2059"/>
      <c r="AW19" s="2061">
        <f t="shared" si="21"/>
        <v>0</v>
      </c>
      <c r="AX19" s="1946">
        <f t="shared" si="8"/>
        <v>0</v>
      </c>
      <c r="AY19" s="1945"/>
      <c r="AZ19" s="2059"/>
      <c r="BA19" s="2059"/>
      <c r="BB19" s="2061">
        <f t="shared" si="22"/>
        <v>0</v>
      </c>
      <c r="BC19" s="1946" t="e">
        <f t="shared" si="9"/>
        <v>#DIV/0!</v>
      </c>
      <c r="BD19" s="1945"/>
      <c r="BE19" s="2059"/>
      <c r="BF19" s="2059"/>
      <c r="BG19" s="2061">
        <f t="shared" si="23"/>
        <v>0</v>
      </c>
      <c r="BH19" s="1946" t="e">
        <f t="shared" si="4"/>
        <v>#DIV/0!</v>
      </c>
      <c r="BI19" s="1945"/>
      <c r="BJ19" s="2059"/>
      <c r="BK19" s="2059"/>
      <c r="BL19" s="2061">
        <f t="shared" si="24"/>
        <v>0</v>
      </c>
      <c r="BM19" s="1946" t="e">
        <f t="shared" si="10"/>
        <v>#DIV/0!</v>
      </c>
      <c r="BN19" s="1945"/>
      <c r="BO19" s="2059"/>
      <c r="BP19" s="2059"/>
      <c r="BQ19" s="2061">
        <f t="shared" si="25"/>
        <v>0</v>
      </c>
      <c r="BR19" s="1946" t="e">
        <f t="shared" si="11"/>
        <v>#DIV/0!</v>
      </c>
      <c r="BS19" s="1945"/>
      <c r="BT19" s="2059">
        <f t="shared" si="12"/>
        <v>86249.995999999999</v>
      </c>
      <c r="BU19" s="2059">
        <f t="shared" si="12"/>
        <v>52000</v>
      </c>
      <c r="BV19" s="2061">
        <f t="shared" si="26"/>
        <v>138249.99599999998</v>
      </c>
      <c r="BW19" s="2060">
        <f t="shared" si="5"/>
        <v>4.2084829647605721E-3</v>
      </c>
      <c r="BX19" s="1449"/>
    </row>
    <row r="20" spans="1:76" s="2" customFormat="1" ht="14.4" customHeight="1" x14ac:dyDescent="0.25">
      <c r="A20" s="238"/>
      <c r="B20" s="1270" t="s">
        <v>57</v>
      </c>
      <c r="C20" s="1111"/>
      <c r="D20" s="1242"/>
      <c r="E20" s="1190">
        <f t="shared" si="6"/>
        <v>0</v>
      </c>
      <c r="F20" s="1049">
        <f t="shared" si="0"/>
        <v>0</v>
      </c>
      <c r="G20" s="1188">
        <v>0</v>
      </c>
      <c r="H20" s="1188">
        <v>0</v>
      </c>
      <c r="I20" s="1031">
        <v>0</v>
      </c>
      <c r="J20" s="1049">
        <v>0</v>
      </c>
      <c r="K20" s="1049"/>
      <c r="L20" s="1188"/>
      <c r="M20" s="1188"/>
      <c r="N20" s="1031">
        <f t="shared" si="13"/>
        <v>0</v>
      </c>
      <c r="O20" s="1245">
        <f t="shared" si="1"/>
        <v>0</v>
      </c>
      <c r="P20" s="1053"/>
      <c r="Q20" s="1188"/>
      <c r="R20" s="1188"/>
      <c r="S20" s="1031">
        <f t="shared" si="14"/>
        <v>0</v>
      </c>
      <c r="T20" s="1245">
        <f t="shared" si="2"/>
        <v>0</v>
      </c>
      <c r="U20" s="1055"/>
      <c r="V20" s="1188"/>
      <c r="W20" s="1188"/>
      <c r="X20" s="1031">
        <f t="shared" si="15"/>
        <v>0</v>
      </c>
      <c r="Y20" s="1245">
        <f t="shared" si="27"/>
        <v>0</v>
      </c>
      <c r="Z20" s="1157"/>
      <c r="AA20" s="1136"/>
      <c r="AB20" s="1136"/>
      <c r="AC20" s="1031">
        <f t="shared" si="16"/>
        <v>0</v>
      </c>
      <c r="AD20" s="1245" t="e">
        <f t="shared" si="17"/>
        <v>#DIV/0!</v>
      </c>
      <c r="AE20" s="1157"/>
      <c r="AF20" s="1447"/>
      <c r="AG20" s="1447"/>
      <c r="AH20" s="1494">
        <f t="shared" si="18"/>
        <v>0</v>
      </c>
      <c r="AI20" s="1666">
        <f t="shared" si="28"/>
        <v>0</v>
      </c>
      <c r="AJ20" s="1861"/>
      <c r="AK20" s="1447"/>
      <c r="AL20" s="1447"/>
      <c r="AM20" s="1567">
        <f t="shared" si="19"/>
        <v>0</v>
      </c>
      <c r="AN20" s="1653">
        <f t="shared" si="3"/>
        <v>0</v>
      </c>
      <c r="AO20" s="1647"/>
      <c r="AP20" s="1447"/>
      <c r="AQ20" s="1447"/>
      <c r="AR20" s="1567">
        <f t="shared" si="20"/>
        <v>0</v>
      </c>
      <c r="AS20" s="1862" t="e">
        <f t="shared" si="7"/>
        <v>#DIV/0!</v>
      </c>
      <c r="AT20" s="1861"/>
      <c r="AU20" s="2059"/>
      <c r="AV20" s="2059"/>
      <c r="AW20" s="2061">
        <f t="shared" si="21"/>
        <v>0</v>
      </c>
      <c r="AX20" s="1946">
        <f t="shared" si="8"/>
        <v>0</v>
      </c>
      <c r="AY20" s="1945"/>
      <c r="AZ20" s="2059"/>
      <c r="BA20" s="2059"/>
      <c r="BB20" s="2061">
        <f t="shared" si="22"/>
        <v>0</v>
      </c>
      <c r="BC20" s="1946" t="e">
        <f t="shared" si="9"/>
        <v>#DIV/0!</v>
      </c>
      <c r="BD20" s="1945"/>
      <c r="BE20" s="2059"/>
      <c r="BF20" s="2059"/>
      <c r="BG20" s="2061">
        <f t="shared" si="23"/>
        <v>0</v>
      </c>
      <c r="BH20" s="1946" t="e">
        <f t="shared" si="4"/>
        <v>#DIV/0!</v>
      </c>
      <c r="BI20" s="1945"/>
      <c r="BJ20" s="2059"/>
      <c r="BK20" s="2059"/>
      <c r="BL20" s="2061">
        <f t="shared" si="24"/>
        <v>0</v>
      </c>
      <c r="BM20" s="1946" t="e">
        <f t="shared" si="10"/>
        <v>#DIV/0!</v>
      </c>
      <c r="BN20" s="1945"/>
      <c r="BO20" s="2059"/>
      <c r="BP20" s="2059"/>
      <c r="BQ20" s="2061">
        <f t="shared" si="25"/>
        <v>0</v>
      </c>
      <c r="BR20" s="1946" t="e">
        <f t="shared" si="11"/>
        <v>#DIV/0!</v>
      </c>
      <c r="BS20" s="1945"/>
      <c r="BT20" s="2059">
        <f t="shared" si="12"/>
        <v>0</v>
      </c>
      <c r="BU20" s="2059">
        <f t="shared" si="12"/>
        <v>0</v>
      </c>
      <c r="BV20" s="2061">
        <f t="shared" si="26"/>
        <v>0</v>
      </c>
      <c r="BW20" s="2060">
        <f t="shared" si="5"/>
        <v>0</v>
      </c>
      <c r="BX20" s="1449"/>
    </row>
    <row r="21" spans="1:76" s="2" customFormat="1" ht="14.4" customHeight="1" x14ac:dyDescent="0.25">
      <c r="A21" s="238"/>
      <c r="B21" s="1270" t="s">
        <v>58</v>
      </c>
      <c r="C21" s="1111">
        <v>2086419.26</v>
      </c>
      <c r="D21" s="1242"/>
      <c r="E21" s="1190">
        <f t="shared" si="6"/>
        <v>2086419.26</v>
      </c>
      <c r="F21" s="1049">
        <f t="shared" si="0"/>
        <v>8.5178271835634506E-2</v>
      </c>
      <c r="G21" s="1188">
        <v>1865623.77</v>
      </c>
      <c r="H21" s="1188">
        <v>0</v>
      </c>
      <c r="I21" s="1031">
        <v>1865623.77</v>
      </c>
      <c r="J21" s="1049">
        <v>6.7407024307292465E-2</v>
      </c>
      <c r="K21" s="1049"/>
      <c r="L21" s="1188"/>
      <c r="M21" s="1188"/>
      <c r="N21" s="1031">
        <f t="shared" si="13"/>
        <v>0</v>
      </c>
      <c r="O21" s="1245">
        <f t="shared" si="1"/>
        <v>0</v>
      </c>
      <c r="P21" s="1069"/>
      <c r="Q21" s="1188">
        <f>195025.37+240329</f>
        <v>435354.37</v>
      </c>
      <c r="R21" s="1188"/>
      <c r="S21" s="1031">
        <f t="shared" si="14"/>
        <v>435354.37</v>
      </c>
      <c r="T21" s="1245">
        <f t="shared" si="2"/>
        <v>0.13205206621072504</v>
      </c>
      <c r="U21" s="1069" t="s">
        <v>1066</v>
      </c>
      <c r="V21" s="1188"/>
      <c r="W21" s="1188"/>
      <c r="X21" s="1031">
        <f t="shared" si="15"/>
        <v>0</v>
      </c>
      <c r="Y21" s="1245">
        <f t="shared" si="27"/>
        <v>0</v>
      </c>
      <c r="Z21" s="1157"/>
      <c r="AA21" s="1136"/>
      <c r="AB21" s="1136"/>
      <c r="AC21" s="1031">
        <f t="shared" si="16"/>
        <v>0</v>
      </c>
      <c r="AD21" s="1245" t="e">
        <f t="shared" si="17"/>
        <v>#DIV/0!</v>
      </c>
      <c r="AE21" s="1157"/>
      <c r="AF21" s="1447"/>
      <c r="AG21" s="1447"/>
      <c r="AH21" s="1494">
        <f t="shared" si="18"/>
        <v>0</v>
      </c>
      <c r="AI21" s="1666">
        <f t="shared" si="28"/>
        <v>0</v>
      </c>
      <c r="AJ21" s="1861"/>
      <c r="AK21" s="1447"/>
      <c r="AL21" s="1447"/>
      <c r="AM21" s="1567">
        <f t="shared" si="19"/>
        <v>0</v>
      </c>
      <c r="AN21" s="1653">
        <f t="shared" si="3"/>
        <v>0</v>
      </c>
      <c r="AO21" s="1647"/>
      <c r="AP21" s="1447"/>
      <c r="AQ21" s="1447"/>
      <c r="AR21" s="1567">
        <f t="shared" si="20"/>
        <v>0</v>
      </c>
      <c r="AS21" s="1862" t="e">
        <f t="shared" si="7"/>
        <v>#DIV/0!</v>
      </c>
      <c r="AT21" s="1861"/>
      <c r="AU21" s="2059"/>
      <c r="AV21" s="2059"/>
      <c r="AW21" s="2061">
        <f t="shared" si="21"/>
        <v>0</v>
      </c>
      <c r="AX21" s="1946">
        <f t="shared" si="8"/>
        <v>0</v>
      </c>
      <c r="AY21" s="1945"/>
      <c r="AZ21" s="2059"/>
      <c r="BA21" s="2059"/>
      <c r="BB21" s="2061">
        <f t="shared" si="22"/>
        <v>0</v>
      </c>
      <c r="BC21" s="1946" t="e">
        <f t="shared" si="9"/>
        <v>#DIV/0!</v>
      </c>
      <c r="BD21" s="1945"/>
      <c r="BE21" s="2059"/>
      <c r="BF21" s="2059"/>
      <c r="BG21" s="2061">
        <f t="shared" si="23"/>
        <v>0</v>
      </c>
      <c r="BH21" s="1946" t="e">
        <f t="shared" si="4"/>
        <v>#DIV/0!</v>
      </c>
      <c r="BI21" s="1945"/>
      <c r="BJ21" s="2059"/>
      <c r="BK21" s="2059"/>
      <c r="BL21" s="2061">
        <f t="shared" si="24"/>
        <v>0</v>
      </c>
      <c r="BM21" s="1946" t="e">
        <f t="shared" si="10"/>
        <v>#DIV/0!</v>
      </c>
      <c r="BN21" s="1945"/>
      <c r="BO21" s="2059"/>
      <c r="BP21" s="2059"/>
      <c r="BQ21" s="2061">
        <f t="shared" si="25"/>
        <v>0</v>
      </c>
      <c r="BR21" s="1946" t="e">
        <f t="shared" si="11"/>
        <v>#DIV/0!</v>
      </c>
      <c r="BS21" s="1945"/>
      <c r="BT21" s="2059">
        <f t="shared" si="12"/>
        <v>2300978.14</v>
      </c>
      <c r="BU21" s="2059">
        <f t="shared" si="12"/>
        <v>0</v>
      </c>
      <c r="BV21" s="2061">
        <f t="shared" si="26"/>
        <v>2300978.14</v>
      </c>
      <c r="BW21" s="2060">
        <f t="shared" si="5"/>
        <v>7.004432249297475E-2</v>
      </c>
      <c r="BX21" s="1449"/>
    </row>
    <row r="22" spans="1:76" s="2" customFormat="1" ht="14.4" customHeight="1" x14ac:dyDescent="0.25">
      <c r="A22" s="238"/>
      <c r="B22" s="1270" t="s">
        <v>621</v>
      </c>
      <c r="C22" s="1111">
        <v>48000</v>
      </c>
      <c r="D22" s="1242"/>
      <c r="E22" s="1190">
        <f t="shared" si="6"/>
        <v>48000</v>
      </c>
      <c r="F22" s="1049">
        <f t="shared" si="0"/>
        <v>1.9596047287784605E-3</v>
      </c>
      <c r="G22" s="1188">
        <v>1392104.996</v>
      </c>
      <c r="H22" s="1188">
        <v>2500</v>
      </c>
      <c r="I22" s="1031">
        <v>1394604.996</v>
      </c>
      <c r="J22" s="1049">
        <v>5.0388601590578744E-2</v>
      </c>
      <c r="K22" s="1049"/>
      <c r="L22" s="1188"/>
      <c r="M22" s="1188"/>
      <c r="N22" s="1031"/>
      <c r="O22" s="1245"/>
      <c r="P22" s="1053"/>
      <c r="Q22" s="1188">
        <f>87500*1.2</f>
        <v>105000</v>
      </c>
      <c r="R22" s="1188"/>
      <c r="S22" s="1031">
        <f t="shared" si="14"/>
        <v>105000</v>
      </c>
      <c r="T22" s="1245">
        <f t="shared" si="2"/>
        <v>3.1848691336499341E-2</v>
      </c>
      <c r="U22" s="1059" t="s">
        <v>1043</v>
      </c>
      <c r="V22" s="1188"/>
      <c r="W22" s="1188"/>
      <c r="X22" s="1031">
        <f t="shared" si="15"/>
        <v>0</v>
      </c>
      <c r="Y22" s="1245">
        <f t="shared" si="27"/>
        <v>0</v>
      </c>
      <c r="Z22" s="1157"/>
      <c r="AA22" s="1136"/>
      <c r="AB22" s="1136"/>
      <c r="AC22" s="1031"/>
      <c r="AD22" s="1245" t="e">
        <f t="shared" si="17"/>
        <v>#DIV/0!</v>
      </c>
      <c r="AE22" s="1157"/>
      <c r="AF22" s="1447"/>
      <c r="AG22" s="1447"/>
      <c r="AH22" s="1494">
        <f t="shared" si="18"/>
        <v>0</v>
      </c>
      <c r="AI22" s="1666">
        <f t="shared" si="28"/>
        <v>0</v>
      </c>
      <c r="AJ22" s="1861"/>
      <c r="AK22" s="1447"/>
      <c r="AL22" s="1447"/>
      <c r="AM22" s="1567">
        <f t="shared" si="19"/>
        <v>0</v>
      </c>
      <c r="AN22" s="1653">
        <f t="shared" si="3"/>
        <v>0</v>
      </c>
      <c r="AO22" s="1647"/>
      <c r="AP22" s="1447"/>
      <c r="AQ22" s="1447"/>
      <c r="AR22" s="1567">
        <f t="shared" si="20"/>
        <v>0</v>
      </c>
      <c r="AS22" s="1862" t="e">
        <f t="shared" si="7"/>
        <v>#DIV/0!</v>
      </c>
      <c r="AT22" s="1861"/>
      <c r="AU22" s="2059"/>
      <c r="AV22" s="2059"/>
      <c r="AW22" s="2061">
        <f t="shared" si="21"/>
        <v>0</v>
      </c>
      <c r="AX22" s="1946">
        <f t="shared" si="8"/>
        <v>0</v>
      </c>
      <c r="AY22" s="1945"/>
      <c r="AZ22" s="2059"/>
      <c r="BA22" s="2059"/>
      <c r="BB22" s="2061">
        <f t="shared" si="22"/>
        <v>0</v>
      </c>
      <c r="BC22" s="1946" t="e">
        <f t="shared" si="9"/>
        <v>#DIV/0!</v>
      </c>
      <c r="BD22" s="1945"/>
      <c r="BE22" s="2059"/>
      <c r="BF22" s="2059"/>
      <c r="BG22" s="2061">
        <f t="shared" si="23"/>
        <v>0</v>
      </c>
      <c r="BH22" s="1946" t="e">
        <f t="shared" si="4"/>
        <v>#DIV/0!</v>
      </c>
      <c r="BI22" s="1945"/>
      <c r="BJ22" s="2059"/>
      <c r="BK22" s="2059"/>
      <c r="BL22" s="2061">
        <f t="shared" si="24"/>
        <v>0</v>
      </c>
      <c r="BM22" s="1946" t="e">
        <f t="shared" si="10"/>
        <v>#DIV/0!</v>
      </c>
      <c r="BN22" s="1945"/>
      <c r="BO22" s="2059"/>
      <c r="BP22" s="2059"/>
      <c r="BQ22" s="2061">
        <f t="shared" si="25"/>
        <v>0</v>
      </c>
      <c r="BR22" s="1946" t="e">
        <f t="shared" si="11"/>
        <v>#DIV/0!</v>
      </c>
      <c r="BS22" s="1945"/>
      <c r="BT22" s="2059">
        <f t="shared" si="12"/>
        <v>1497104.996</v>
      </c>
      <c r="BU22" s="2059">
        <f t="shared" si="12"/>
        <v>2500</v>
      </c>
      <c r="BV22" s="2061">
        <f t="shared" si="26"/>
        <v>1499604.996</v>
      </c>
      <c r="BW22" s="2060">
        <f t="shared" si="5"/>
        <v>4.5649636615800314E-2</v>
      </c>
      <c r="BX22" s="1449"/>
    </row>
    <row r="23" spans="1:76" s="2" customFormat="1" ht="48" customHeight="1" x14ac:dyDescent="0.25">
      <c r="A23" s="238"/>
      <c r="B23" s="1270" t="s">
        <v>630</v>
      </c>
      <c r="C23" s="1111"/>
      <c r="D23" s="1242"/>
      <c r="E23" s="1190">
        <f t="shared" si="6"/>
        <v>0</v>
      </c>
      <c r="F23" s="1049">
        <f t="shared" si="0"/>
        <v>0</v>
      </c>
      <c r="G23" s="1188">
        <v>88368.42</v>
      </c>
      <c r="H23" s="1188">
        <v>0</v>
      </c>
      <c r="I23" s="1031">
        <v>88368.42</v>
      </c>
      <c r="J23" s="1049">
        <v>3.1928475240948656E-3</v>
      </c>
      <c r="K23" s="1049"/>
      <c r="L23" s="1188"/>
      <c r="M23" s="1188"/>
      <c r="N23" s="1031"/>
      <c r="O23" s="1245"/>
      <c r="P23" s="1053"/>
      <c r="Q23" s="1188">
        <f>4243.4</f>
        <v>4243.3999999999996</v>
      </c>
      <c r="R23" s="1188"/>
      <c r="S23" s="1031">
        <f t="shared" si="14"/>
        <v>4243.3999999999996</v>
      </c>
      <c r="T23" s="1245">
        <f t="shared" si="2"/>
        <v>1.2871117792123932E-3</v>
      </c>
      <c r="U23" s="1059"/>
      <c r="V23" s="1188">
        <f>5600*1.2</f>
        <v>6720</v>
      </c>
      <c r="W23" s="1188"/>
      <c r="X23" s="1031">
        <f t="shared" si="15"/>
        <v>6720</v>
      </c>
      <c r="Y23" s="1245">
        <f t="shared" si="27"/>
        <v>5.5316987694587351E-2</v>
      </c>
      <c r="Z23" s="1157"/>
      <c r="AA23" s="1136"/>
      <c r="AB23" s="1136"/>
      <c r="AC23" s="1031"/>
      <c r="AD23" s="1245" t="e">
        <f t="shared" si="17"/>
        <v>#DIV/0!</v>
      </c>
      <c r="AE23" s="1157"/>
      <c r="AF23" s="1447">
        <f>2440.68*1.2</f>
        <v>2928.8159999999998</v>
      </c>
      <c r="AG23" s="1447"/>
      <c r="AH23" s="1494">
        <f t="shared" si="18"/>
        <v>2928.8159999999998</v>
      </c>
      <c r="AI23" s="1666">
        <f t="shared" si="28"/>
        <v>1</v>
      </c>
      <c r="AJ23" s="1861" t="s">
        <v>1236</v>
      </c>
      <c r="AK23" s="1447"/>
      <c r="AL23" s="1447"/>
      <c r="AM23" s="1567">
        <f t="shared" si="19"/>
        <v>0</v>
      </c>
      <c r="AN23" s="1653">
        <f t="shared" si="3"/>
        <v>0</v>
      </c>
      <c r="AO23" s="1647"/>
      <c r="AP23" s="1447"/>
      <c r="AQ23" s="1447"/>
      <c r="AR23" s="1567">
        <f t="shared" si="20"/>
        <v>0</v>
      </c>
      <c r="AS23" s="1862" t="e">
        <f t="shared" si="7"/>
        <v>#DIV/0!</v>
      </c>
      <c r="AT23" s="1861"/>
      <c r="AU23" s="2059"/>
      <c r="AV23" s="2059"/>
      <c r="AW23" s="2061">
        <f t="shared" si="21"/>
        <v>0</v>
      </c>
      <c r="AX23" s="1946">
        <f t="shared" si="8"/>
        <v>0</v>
      </c>
      <c r="AY23" s="1945"/>
      <c r="AZ23" s="2059"/>
      <c r="BA23" s="2059"/>
      <c r="BB23" s="2061">
        <f t="shared" si="22"/>
        <v>0</v>
      </c>
      <c r="BC23" s="1946" t="e">
        <f t="shared" si="9"/>
        <v>#DIV/0!</v>
      </c>
      <c r="BD23" s="1945"/>
      <c r="BE23" s="2059"/>
      <c r="BF23" s="2059"/>
      <c r="BG23" s="2061">
        <f t="shared" si="23"/>
        <v>0</v>
      </c>
      <c r="BH23" s="1946" t="e">
        <f t="shared" si="4"/>
        <v>#DIV/0!</v>
      </c>
      <c r="BI23" s="1945"/>
      <c r="BJ23" s="2059"/>
      <c r="BK23" s="2059"/>
      <c r="BL23" s="2061">
        <f t="shared" si="24"/>
        <v>0</v>
      </c>
      <c r="BM23" s="1946" t="e">
        <f t="shared" si="10"/>
        <v>#DIV/0!</v>
      </c>
      <c r="BN23" s="1945"/>
      <c r="BO23" s="2059"/>
      <c r="BP23" s="2059"/>
      <c r="BQ23" s="2061">
        <f t="shared" si="25"/>
        <v>0</v>
      </c>
      <c r="BR23" s="1946" t="e">
        <f t="shared" si="11"/>
        <v>#DIV/0!</v>
      </c>
      <c r="BS23" s="1945"/>
      <c r="BT23" s="2059">
        <f t="shared" si="12"/>
        <v>102260.636</v>
      </c>
      <c r="BU23" s="2059">
        <f t="shared" si="12"/>
        <v>0</v>
      </c>
      <c r="BV23" s="2061">
        <f>BT23+BU23*1</f>
        <v>102260.636</v>
      </c>
      <c r="BW23" s="2060">
        <f t="shared" si="5"/>
        <v>3.1129269947435061E-3</v>
      </c>
      <c r="BX23" s="1449"/>
    </row>
    <row r="24" spans="1:76" s="2" customFormat="1" ht="14.4" customHeight="1" x14ac:dyDescent="0.25">
      <c r="A24" s="238"/>
      <c r="B24" s="1270" t="s">
        <v>23</v>
      </c>
      <c r="C24" s="1111">
        <v>175000</v>
      </c>
      <c r="D24" s="1242"/>
      <c r="E24" s="1190">
        <f t="shared" si="6"/>
        <v>175000</v>
      </c>
      <c r="F24" s="1049">
        <f t="shared" si="0"/>
        <v>7.1443922403381377E-3</v>
      </c>
      <c r="G24" s="1188">
        <v>612582.88800000004</v>
      </c>
      <c r="H24" s="1188">
        <v>1200</v>
      </c>
      <c r="I24" s="1031">
        <v>613782.88800000004</v>
      </c>
      <c r="J24" s="1049">
        <v>2.2176646072008491E-2</v>
      </c>
      <c r="K24" s="1049"/>
      <c r="L24" s="1188"/>
      <c r="M24" s="1188"/>
      <c r="N24" s="1031">
        <f t="shared" si="13"/>
        <v>0</v>
      </c>
      <c r="O24" s="1245">
        <f t="shared" ref="O24:O33" si="29">N24/$N$89</f>
        <v>0</v>
      </c>
      <c r="P24" s="1069"/>
      <c r="Q24" s="1188">
        <f>666.67*1.2+1000*1.2</f>
        <v>2000.0039999999999</v>
      </c>
      <c r="R24" s="1188"/>
      <c r="S24" s="1031">
        <f t="shared" si="14"/>
        <v>2000.0039999999999</v>
      </c>
      <c r="T24" s="1245">
        <f t="shared" si="2"/>
        <v>6.066429530263241E-4</v>
      </c>
      <c r="U24" s="1069" t="s">
        <v>1047</v>
      </c>
      <c r="V24" s="1188"/>
      <c r="W24" s="1188"/>
      <c r="X24" s="1031">
        <f t="shared" si="15"/>
        <v>0</v>
      </c>
      <c r="Y24" s="1245">
        <f t="shared" si="27"/>
        <v>0</v>
      </c>
      <c r="Z24" s="1157"/>
      <c r="AA24" s="1136"/>
      <c r="AB24" s="1136"/>
      <c r="AC24" s="1031">
        <f t="shared" ref="AC24:AC33" si="30">AA24+AB24*1</f>
        <v>0</v>
      </c>
      <c r="AD24" s="1245" t="e">
        <f>AC24/$AC$89</f>
        <v>#DIV/0!</v>
      </c>
      <c r="AE24" s="1157"/>
      <c r="AF24" s="1447"/>
      <c r="AG24" s="1447"/>
      <c r="AH24" s="1494">
        <f t="shared" si="18"/>
        <v>0</v>
      </c>
      <c r="AI24" s="1666">
        <f t="shared" si="28"/>
        <v>0</v>
      </c>
      <c r="AJ24" s="1861"/>
      <c r="AK24" s="1447"/>
      <c r="AL24" s="1447"/>
      <c r="AM24" s="1567">
        <f t="shared" si="19"/>
        <v>0</v>
      </c>
      <c r="AN24" s="1653">
        <f t="shared" si="3"/>
        <v>0</v>
      </c>
      <c r="AO24" s="1647"/>
      <c r="AP24" s="1447"/>
      <c r="AQ24" s="1447"/>
      <c r="AR24" s="1567">
        <f t="shared" si="20"/>
        <v>0</v>
      </c>
      <c r="AS24" s="1862" t="e">
        <f t="shared" si="7"/>
        <v>#DIV/0!</v>
      </c>
      <c r="AT24" s="1861"/>
      <c r="AU24" s="2059"/>
      <c r="AV24" s="2059"/>
      <c r="AW24" s="2061">
        <f t="shared" si="21"/>
        <v>0</v>
      </c>
      <c r="AX24" s="1946">
        <f t="shared" si="8"/>
        <v>0</v>
      </c>
      <c r="AY24" s="1945"/>
      <c r="AZ24" s="2059"/>
      <c r="BA24" s="2059"/>
      <c r="BB24" s="2061">
        <f t="shared" si="22"/>
        <v>0</v>
      </c>
      <c r="BC24" s="1946" t="e">
        <f t="shared" si="9"/>
        <v>#DIV/0!</v>
      </c>
      <c r="BD24" s="1945"/>
      <c r="BE24" s="2059"/>
      <c r="BF24" s="2059"/>
      <c r="BG24" s="2061">
        <f t="shared" si="23"/>
        <v>0</v>
      </c>
      <c r="BH24" s="1946" t="e">
        <f t="shared" si="4"/>
        <v>#DIV/0!</v>
      </c>
      <c r="BI24" s="1945"/>
      <c r="BJ24" s="2059"/>
      <c r="BK24" s="2059"/>
      <c r="BL24" s="2061">
        <f t="shared" si="24"/>
        <v>0</v>
      </c>
      <c r="BM24" s="1946" t="e">
        <f t="shared" si="10"/>
        <v>#DIV/0!</v>
      </c>
      <c r="BN24" s="1945"/>
      <c r="BO24" s="2059"/>
      <c r="BP24" s="2059"/>
      <c r="BQ24" s="2061">
        <f t="shared" si="25"/>
        <v>0</v>
      </c>
      <c r="BR24" s="1946" t="e">
        <f t="shared" si="11"/>
        <v>#DIV/0!</v>
      </c>
      <c r="BS24" s="1945"/>
      <c r="BT24" s="2059">
        <f t="shared" si="12"/>
        <v>614582.89199999999</v>
      </c>
      <c r="BU24" s="2059">
        <f t="shared" si="12"/>
        <v>1200</v>
      </c>
      <c r="BV24" s="2061">
        <f t="shared" si="26"/>
        <v>615782.89199999999</v>
      </c>
      <c r="BW24" s="2060">
        <f t="shared" si="5"/>
        <v>1.874511309912081E-2</v>
      </c>
      <c r="BX24" s="1449"/>
    </row>
    <row r="25" spans="1:76" s="2" customFormat="1" ht="14.4" customHeight="1" x14ac:dyDescent="0.25">
      <c r="A25" s="238"/>
      <c r="B25" s="1270" t="s">
        <v>24</v>
      </c>
      <c r="C25" s="1111">
        <v>123506</v>
      </c>
      <c r="D25" s="1242"/>
      <c r="E25" s="1190">
        <f t="shared" si="6"/>
        <v>123506</v>
      </c>
      <c r="F25" s="1049">
        <f t="shared" si="0"/>
        <v>5.0421446173440111E-3</v>
      </c>
      <c r="G25" s="1188">
        <v>355987.19199999992</v>
      </c>
      <c r="H25" s="1188">
        <v>33670.020000000004</v>
      </c>
      <c r="I25" s="1031">
        <v>389657.21199999994</v>
      </c>
      <c r="J25" s="1049">
        <v>1.4078740624534286E-2</v>
      </c>
      <c r="K25" s="1049"/>
      <c r="L25" s="1188"/>
      <c r="M25" s="1188">
        <v>756</v>
      </c>
      <c r="N25" s="1031">
        <f t="shared" si="13"/>
        <v>756</v>
      </c>
      <c r="O25" s="1245">
        <f t="shared" si="29"/>
        <v>1.2317897952864338E-3</v>
      </c>
      <c r="P25" s="1053"/>
      <c r="Q25" s="1188">
        <f>65462.56*1.2</f>
        <v>78555.072</v>
      </c>
      <c r="R25" s="1188">
        <v>3944</v>
      </c>
      <c r="S25" s="1031">
        <f t="shared" si="14"/>
        <v>82499.072</v>
      </c>
      <c r="T25" s="1245">
        <f t="shared" si="2"/>
        <v>2.5023690282625098E-2</v>
      </c>
      <c r="U25" s="1064"/>
      <c r="V25" s="1188"/>
      <c r="W25" s="1188">
        <v>312</v>
      </c>
      <c r="X25" s="1031">
        <f t="shared" si="15"/>
        <v>312</v>
      </c>
      <c r="Y25" s="1245">
        <f t="shared" si="27"/>
        <v>2.5682887143915556E-3</v>
      </c>
      <c r="Z25" s="1157"/>
      <c r="AA25" s="1136"/>
      <c r="AB25" s="1136"/>
      <c r="AC25" s="1031">
        <f t="shared" si="30"/>
        <v>0</v>
      </c>
      <c r="AD25" s="1245" t="e">
        <f t="shared" si="17"/>
        <v>#DIV/0!</v>
      </c>
      <c r="AE25" s="1157"/>
      <c r="AF25" s="1447"/>
      <c r="AG25" s="1447"/>
      <c r="AH25" s="1494">
        <f t="shared" si="18"/>
        <v>0</v>
      </c>
      <c r="AI25" s="1666">
        <f t="shared" si="28"/>
        <v>0</v>
      </c>
      <c r="AJ25" s="1861"/>
      <c r="AK25" s="1447"/>
      <c r="AL25" s="1447"/>
      <c r="AM25" s="1567">
        <f t="shared" si="19"/>
        <v>0</v>
      </c>
      <c r="AN25" s="1653">
        <f t="shared" si="3"/>
        <v>0</v>
      </c>
      <c r="AO25" s="1647"/>
      <c r="AP25" s="1447"/>
      <c r="AQ25" s="1447"/>
      <c r="AR25" s="1567">
        <f t="shared" si="20"/>
        <v>0</v>
      </c>
      <c r="AS25" s="1862" t="e">
        <f t="shared" si="7"/>
        <v>#DIV/0!</v>
      </c>
      <c r="AT25" s="1861"/>
      <c r="AU25" s="1887">
        <f>55231.24*1.2</f>
        <v>66277.487999999998</v>
      </c>
      <c r="AV25" s="1887"/>
      <c r="AW25" s="1888">
        <f t="shared" si="21"/>
        <v>66277.487999999998</v>
      </c>
      <c r="AX25" s="1949">
        <f t="shared" si="8"/>
        <v>6.278205633099912E-2</v>
      </c>
      <c r="AY25" s="1950" t="s">
        <v>1549</v>
      </c>
      <c r="AZ25" s="2059"/>
      <c r="BA25" s="2059"/>
      <c r="BB25" s="2061">
        <f t="shared" si="22"/>
        <v>0</v>
      </c>
      <c r="BC25" s="1946" t="e">
        <f t="shared" si="9"/>
        <v>#DIV/0!</v>
      </c>
      <c r="BD25" s="1945"/>
      <c r="BE25" s="2059"/>
      <c r="BF25" s="2059"/>
      <c r="BG25" s="2061">
        <f t="shared" si="23"/>
        <v>0</v>
      </c>
      <c r="BH25" s="1946" t="e">
        <f t="shared" si="4"/>
        <v>#DIV/0!</v>
      </c>
      <c r="BI25" s="1945"/>
      <c r="BJ25" s="2059"/>
      <c r="BK25" s="2059"/>
      <c r="BL25" s="2061">
        <f t="shared" si="24"/>
        <v>0</v>
      </c>
      <c r="BM25" s="1946" t="e">
        <f t="shared" si="10"/>
        <v>#DIV/0!</v>
      </c>
      <c r="BN25" s="1945"/>
      <c r="BO25" s="2059"/>
      <c r="BP25" s="2059"/>
      <c r="BQ25" s="2061">
        <f t="shared" si="25"/>
        <v>0</v>
      </c>
      <c r="BR25" s="1946" t="e">
        <f t="shared" si="11"/>
        <v>#DIV/0!</v>
      </c>
      <c r="BS25" s="1945"/>
      <c r="BT25" s="2059">
        <f t="shared" si="12"/>
        <v>500819.75199999992</v>
      </c>
      <c r="BU25" s="2059">
        <f t="shared" si="12"/>
        <v>38682.020000000004</v>
      </c>
      <c r="BV25" s="2061">
        <f t="shared" si="26"/>
        <v>539501.77199999988</v>
      </c>
      <c r="BW25" s="2060">
        <f t="shared" si="5"/>
        <v>1.6423031338967574E-2</v>
      </c>
      <c r="BX25" s="1449"/>
    </row>
    <row r="26" spans="1:76" s="2" customFormat="1" ht="14.4" customHeight="1" x14ac:dyDescent="0.25">
      <c r="A26" s="238"/>
      <c r="B26" s="1271" t="s">
        <v>45</v>
      </c>
      <c r="C26" s="1111">
        <v>1088881.33</v>
      </c>
      <c r="D26" s="1242"/>
      <c r="E26" s="1190">
        <f t="shared" si="6"/>
        <v>1088881.33</v>
      </c>
      <c r="F26" s="1049">
        <f t="shared" si="0"/>
        <v>4.4453687569720408E-2</v>
      </c>
      <c r="G26" s="1188">
        <v>3662681.5079999994</v>
      </c>
      <c r="H26" s="1188">
        <v>4148.5200000000004</v>
      </c>
      <c r="I26" s="1031">
        <v>3666830.0279999995</v>
      </c>
      <c r="J26" s="1049">
        <v>0.1324865735539518</v>
      </c>
      <c r="K26" s="1049"/>
      <c r="L26" s="1188"/>
      <c r="M26" s="1188"/>
      <c r="N26" s="1031">
        <f t="shared" si="13"/>
        <v>0</v>
      </c>
      <c r="O26" s="1245">
        <f t="shared" si="29"/>
        <v>0</v>
      </c>
      <c r="P26" s="1053"/>
      <c r="Q26" s="1188">
        <f>41398.54*1.2+486132*1.2+(48618.22+14840.61+2404.2+1736.43)*1.2</f>
        <v>714156</v>
      </c>
      <c r="R26" s="1188"/>
      <c r="S26" s="1031">
        <f t="shared" si="14"/>
        <v>714156</v>
      </c>
      <c r="T26" s="1245">
        <f t="shared" si="2"/>
        <v>0.21661841914389546</v>
      </c>
      <c r="U26" s="1160" t="s">
        <v>1139</v>
      </c>
      <c r="V26" s="1188">
        <v>0</v>
      </c>
      <c r="W26" s="1188"/>
      <c r="X26" s="1031">
        <f t="shared" si="15"/>
        <v>0</v>
      </c>
      <c r="Y26" s="1245">
        <f t="shared" si="27"/>
        <v>0</v>
      </c>
      <c r="Z26" s="1157" t="s">
        <v>1142</v>
      </c>
      <c r="AA26" s="1136"/>
      <c r="AB26" s="1136"/>
      <c r="AC26" s="1031">
        <f t="shared" si="30"/>
        <v>0</v>
      </c>
      <c r="AD26" s="1245" t="e">
        <f t="shared" si="17"/>
        <v>#DIV/0!</v>
      </c>
      <c r="AE26" s="1157"/>
      <c r="AF26" s="1665"/>
      <c r="AG26" s="1447"/>
      <c r="AH26" s="1494">
        <f t="shared" si="18"/>
        <v>0</v>
      </c>
      <c r="AI26" s="1666">
        <f t="shared" si="28"/>
        <v>0</v>
      </c>
      <c r="AJ26" s="1861"/>
      <c r="AK26" s="1665"/>
      <c r="AL26" s="1447"/>
      <c r="AM26" s="1567">
        <f t="shared" si="19"/>
        <v>0</v>
      </c>
      <c r="AN26" s="1653">
        <f t="shared" si="3"/>
        <v>0</v>
      </c>
      <c r="AO26" s="1647"/>
      <c r="AP26" s="1665"/>
      <c r="AQ26" s="1447"/>
      <c r="AR26" s="1567">
        <f t="shared" si="20"/>
        <v>0</v>
      </c>
      <c r="AS26" s="1862" t="e">
        <f t="shared" si="7"/>
        <v>#DIV/0!</v>
      </c>
      <c r="AT26" s="1861"/>
      <c r="AU26" s="1887">
        <f>621831.8*1.2</f>
        <v>746198.16</v>
      </c>
      <c r="AV26" s="1887"/>
      <c r="AW26" s="1888">
        <f t="shared" si="21"/>
        <v>746198.16</v>
      </c>
      <c r="AX26" s="1949">
        <f t="shared" si="8"/>
        <v>0.70684415370733267</v>
      </c>
      <c r="AY26" s="1950" t="s">
        <v>1549</v>
      </c>
      <c r="AZ26" s="1665"/>
      <c r="BA26" s="2059"/>
      <c r="BB26" s="2061">
        <f t="shared" si="22"/>
        <v>0</v>
      </c>
      <c r="BC26" s="1946" t="e">
        <f t="shared" si="9"/>
        <v>#DIV/0!</v>
      </c>
      <c r="BD26" s="1945"/>
      <c r="BE26" s="1665"/>
      <c r="BF26" s="2059"/>
      <c r="BG26" s="2061">
        <f t="shared" si="23"/>
        <v>0</v>
      </c>
      <c r="BH26" s="1946" t="e">
        <f t="shared" si="4"/>
        <v>#DIV/0!</v>
      </c>
      <c r="BI26" s="1945"/>
      <c r="BJ26" s="1665"/>
      <c r="BK26" s="2059"/>
      <c r="BL26" s="2061">
        <f t="shared" si="24"/>
        <v>0</v>
      </c>
      <c r="BM26" s="1946" t="e">
        <f t="shared" si="10"/>
        <v>#DIV/0!</v>
      </c>
      <c r="BN26" s="1945"/>
      <c r="BO26" s="2059"/>
      <c r="BP26" s="2059"/>
      <c r="BQ26" s="2061">
        <f t="shared" si="25"/>
        <v>0</v>
      </c>
      <c r="BR26" s="1946" t="e">
        <f t="shared" si="11"/>
        <v>#DIV/0!</v>
      </c>
      <c r="BS26" s="1945"/>
      <c r="BT26" s="2059">
        <f t="shared" si="12"/>
        <v>5123035.6679999996</v>
      </c>
      <c r="BU26" s="2059">
        <f t="shared" si="12"/>
        <v>4148.5200000000004</v>
      </c>
      <c r="BV26" s="2061">
        <f t="shared" si="26"/>
        <v>5127184.1879999992</v>
      </c>
      <c r="BW26" s="2060">
        <f t="shared" si="5"/>
        <v>0.15607716409906996</v>
      </c>
      <c r="BX26" s="1449"/>
    </row>
    <row r="27" spans="1:76" s="2" customFormat="1" ht="14.4" customHeight="1" x14ac:dyDescent="0.25">
      <c r="A27" s="238"/>
      <c r="B27" s="1270" t="s">
        <v>25</v>
      </c>
      <c r="C27" s="1111"/>
      <c r="D27" s="1242"/>
      <c r="E27" s="1190">
        <f t="shared" si="6"/>
        <v>0</v>
      </c>
      <c r="F27" s="1049">
        <f t="shared" si="0"/>
        <v>0</v>
      </c>
      <c r="G27" s="1188">
        <v>19241.833999999999</v>
      </c>
      <c r="H27" s="1188">
        <v>0</v>
      </c>
      <c r="I27" s="1031">
        <v>19241.833999999999</v>
      </c>
      <c r="J27" s="1049">
        <v>6.9522847693717291E-4</v>
      </c>
      <c r="K27" s="1049"/>
      <c r="L27" s="1188"/>
      <c r="M27" s="1188"/>
      <c r="N27" s="1031">
        <f t="shared" si="13"/>
        <v>0</v>
      </c>
      <c r="O27" s="1245">
        <f t="shared" si="29"/>
        <v>0</v>
      </c>
      <c r="P27" s="1053"/>
      <c r="Q27" s="1188"/>
      <c r="R27" s="1188"/>
      <c r="S27" s="1031">
        <f t="shared" si="14"/>
        <v>0</v>
      </c>
      <c r="T27" s="1245">
        <f t="shared" si="2"/>
        <v>0</v>
      </c>
      <c r="U27" s="1064"/>
      <c r="V27" s="1188"/>
      <c r="W27" s="1188"/>
      <c r="X27" s="1031">
        <f t="shared" si="15"/>
        <v>0</v>
      </c>
      <c r="Y27" s="1245">
        <f t="shared" si="27"/>
        <v>0</v>
      </c>
      <c r="Z27" s="1157"/>
      <c r="AA27" s="1188"/>
      <c r="AB27" s="1188"/>
      <c r="AC27" s="1031">
        <f t="shared" si="30"/>
        <v>0</v>
      </c>
      <c r="AD27" s="1245" t="e">
        <f t="shared" si="17"/>
        <v>#DIV/0!</v>
      </c>
      <c r="AE27" s="1316"/>
      <c r="AF27" s="1447"/>
      <c r="AG27" s="1447"/>
      <c r="AH27" s="1494">
        <f t="shared" si="18"/>
        <v>0</v>
      </c>
      <c r="AI27" s="1666">
        <f t="shared" si="28"/>
        <v>0</v>
      </c>
      <c r="AJ27" s="1867"/>
      <c r="AK27" s="1447"/>
      <c r="AL27" s="1447"/>
      <c r="AM27" s="1567">
        <f t="shared" si="19"/>
        <v>0</v>
      </c>
      <c r="AN27" s="1653">
        <f t="shared" si="3"/>
        <v>0</v>
      </c>
      <c r="AO27" s="1867"/>
      <c r="AP27" s="1447"/>
      <c r="AQ27" s="1447"/>
      <c r="AR27" s="1567">
        <f t="shared" si="20"/>
        <v>0</v>
      </c>
      <c r="AS27" s="1862" t="e">
        <f t="shared" si="7"/>
        <v>#DIV/0!</v>
      </c>
      <c r="AT27" s="1867"/>
      <c r="AU27" s="2059"/>
      <c r="AV27" s="2059"/>
      <c r="AW27" s="2061">
        <f t="shared" si="21"/>
        <v>0</v>
      </c>
      <c r="AX27" s="1946">
        <f t="shared" si="8"/>
        <v>0</v>
      </c>
      <c r="AY27" s="1951"/>
      <c r="AZ27" s="2059"/>
      <c r="BA27" s="2059"/>
      <c r="BB27" s="2061">
        <f t="shared" si="22"/>
        <v>0</v>
      </c>
      <c r="BC27" s="1946" t="e">
        <f t="shared" si="9"/>
        <v>#DIV/0!</v>
      </c>
      <c r="BD27" s="1951"/>
      <c r="BE27" s="2059"/>
      <c r="BF27" s="2059"/>
      <c r="BG27" s="2061">
        <f t="shared" si="23"/>
        <v>0</v>
      </c>
      <c r="BH27" s="1946" t="e">
        <f t="shared" si="4"/>
        <v>#DIV/0!</v>
      </c>
      <c r="BI27" s="1951"/>
      <c r="BJ27" s="2059"/>
      <c r="BK27" s="2059"/>
      <c r="BL27" s="2061">
        <f t="shared" si="24"/>
        <v>0</v>
      </c>
      <c r="BM27" s="1946" t="e">
        <f t="shared" si="10"/>
        <v>#DIV/0!</v>
      </c>
      <c r="BN27" s="1951"/>
      <c r="BO27" s="2059"/>
      <c r="BP27" s="2059"/>
      <c r="BQ27" s="2061">
        <f t="shared" si="25"/>
        <v>0</v>
      </c>
      <c r="BR27" s="1946" t="e">
        <f t="shared" si="11"/>
        <v>#DIV/0!</v>
      </c>
      <c r="BS27" s="1951"/>
      <c r="BT27" s="2059">
        <f t="shared" si="12"/>
        <v>19241.833999999999</v>
      </c>
      <c r="BU27" s="2059">
        <f t="shared" si="12"/>
        <v>0</v>
      </c>
      <c r="BV27" s="2061">
        <f t="shared" si="26"/>
        <v>19241.833999999999</v>
      </c>
      <c r="BW27" s="2060">
        <f t="shared" si="5"/>
        <v>5.8574273376290568E-4</v>
      </c>
      <c r="BX27" s="1449"/>
    </row>
    <row r="28" spans="1:76" s="226" customFormat="1" ht="14.4" customHeight="1" x14ac:dyDescent="0.25">
      <c r="A28" s="238"/>
      <c r="B28" s="1271" t="s">
        <v>52</v>
      </c>
      <c r="C28" s="1111">
        <f>22418+638209.78</f>
        <v>660627.78</v>
      </c>
      <c r="D28" s="1242">
        <f>3500+40000</f>
        <v>43500</v>
      </c>
      <c r="E28" s="1190">
        <f t="shared" si="6"/>
        <v>704127.78</v>
      </c>
      <c r="F28" s="1049">
        <f t="shared" si="0"/>
        <v>2.8746085986505826E-2</v>
      </c>
      <c r="G28" s="1188">
        <v>16009.866</v>
      </c>
      <c r="H28" s="1188">
        <v>36542.51</v>
      </c>
      <c r="I28" s="1031">
        <v>52552.376000000004</v>
      </c>
      <c r="J28" s="1049">
        <v>1.8987747387234316E-3</v>
      </c>
      <c r="K28" s="1049"/>
      <c r="L28" s="1188">
        <f>2427.39+660*1.2</f>
        <v>3219.39</v>
      </c>
      <c r="M28" s="1188"/>
      <c r="N28" s="1031">
        <f t="shared" si="13"/>
        <v>3219.39</v>
      </c>
      <c r="O28" s="1245">
        <f t="shared" si="29"/>
        <v>5.2455181865703592E-3</v>
      </c>
      <c r="P28" s="1069" t="s">
        <v>1001</v>
      </c>
      <c r="Q28" s="1188">
        <f>843.05+2640*1.2</f>
        <v>4011.05</v>
      </c>
      <c r="R28" s="1188">
        <f>1130.72+1076</f>
        <v>2206.7200000000003</v>
      </c>
      <c r="S28" s="1031">
        <f t="shared" si="14"/>
        <v>6217.77</v>
      </c>
      <c r="T28" s="1245">
        <f t="shared" si="2"/>
        <v>1.8859794050604336E-3</v>
      </c>
      <c r="U28" s="1069" t="s">
        <v>1046</v>
      </c>
      <c r="V28" s="1188"/>
      <c r="W28" s="1188"/>
      <c r="X28" s="1031">
        <f t="shared" si="15"/>
        <v>0</v>
      </c>
      <c r="Y28" s="1245">
        <f t="shared" si="27"/>
        <v>0</v>
      </c>
      <c r="Z28" s="1030"/>
      <c r="AA28" s="1188"/>
      <c r="AB28" s="1188"/>
      <c r="AC28" s="1031">
        <f t="shared" si="30"/>
        <v>0</v>
      </c>
      <c r="AD28" s="1245" t="e">
        <f t="shared" si="17"/>
        <v>#DIV/0!</v>
      </c>
      <c r="AE28" s="1030"/>
      <c r="AF28" s="1447"/>
      <c r="AG28" s="1447"/>
      <c r="AH28" s="1494">
        <f t="shared" si="18"/>
        <v>0</v>
      </c>
      <c r="AI28" s="1666">
        <f t="shared" si="28"/>
        <v>0</v>
      </c>
      <c r="AJ28" s="1698"/>
      <c r="AK28" s="1447"/>
      <c r="AL28" s="1447"/>
      <c r="AM28" s="1567">
        <f t="shared" si="19"/>
        <v>0</v>
      </c>
      <c r="AN28" s="1653">
        <f t="shared" si="3"/>
        <v>0</v>
      </c>
      <c r="AO28" s="1605"/>
      <c r="AP28" s="1447"/>
      <c r="AQ28" s="1447"/>
      <c r="AR28" s="1567">
        <f t="shared" si="20"/>
        <v>0</v>
      </c>
      <c r="AS28" s="1862" t="e">
        <f t="shared" si="7"/>
        <v>#DIV/0!</v>
      </c>
      <c r="AT28" s="1698"/>
      <c r="AU28" s="2059"/>
      <c r="AV28" s="2059"/>
      <c r="AW28" s="2061">
        <f t="shared" si="21"/>
        <v>0</v>
      </c>
      <c r="AX28" s="1946">
        <f t="shared" si="8"/>
        <v>0</v>
      </c>
      <c r="AY28" s="2062"/>
      <c r="AZ28" s="2059"/>
      <c r="BA28" s="2059"/>
      <c r="BB28" s="2061">
        <f t="shared" si="22"/>
        <v>0</v>
      </c>
      <c r="BC28" s="1946" t="e">
        <f t="shared" si="9"/>
        <v>#DIV/0!</v>
      </c>
      <c r="BD28" s="2062"/>
      <c r="BE28" s="2059"/>
      <c r="BF28" s="2059"/>
      <c r="BG28" s="2061">
        <f t="shared" si="23"/>
        <v>0</v>
      </c>
      <c r="BH28" s="1946" t="e">
        <f t="shared" si="4"/>
        <v>#DIV/0!</v>
      </c>
      <c r="BI28" s="2062"/>
      <c r="BJ28" s="2059"/>
      <c r="BK28" s="2059"/>
      <c r="BL28" s="2061">
        <f t="shared" si="24"/>
        <v>0</v>
      </c>
      <c r="BM28" s="1946" t="e">
        <f t="shared" si="10"/>
        <v>#DIV/0!</v>
      </c>
      <c r="BN28" s="2062"/>
      <c r="BO28" s="2059"/>
      <c r="BP28" s="2059"/>
      <c r="BQ28" s="2061">
        <f t="shared" si="25"/>
        <v>0</v>
      </c>
      <c r="BR28" s="1946" t="e">
        <f t="shared" si="11"/>
        <v>#DIV/0!</v>
      </c>
      <c r="BS28" s="2062"/>
      <c r="BT28" s="2059">
        <f t="shared" si="12"/>
        <v>23240.306</v>
      </c>
      <c r="BU28" s="2059">
        <f t="shared" si="12"/>
        <v>38749.230000000003</v>
      </c>
      <c r="BV28" s="2061">
        <f t="shared" si="26"/>
        <v>61989.536000000007</v>
      </c>
      <c r="BW28" s="2060">
        <f t="shared" si="5"/>
        <v>1.8870301178845045E-3</v>
      </c>
      <c r="BX28" s="1449"/>
    </row>
    <row r="29" spans="1:76" s="2" customFormat="1" ht="14.4" customHeight="1" x14ac:dyDescent="0.25">
      <c r="A29" s="238"/>
      <c r="B29" s="1270" t="s">
        <v>31</v>
      </c>
      <c r="C29" s="1111"/>
      <c r="D29" s="1242">
        <v>264000</v>
      </c>
      <c r="E29" s="1190">
        <f t="shared" si="6"/>
        <v>264000</v>
      </c>
      <c r="F29" s="1245">
        <f t="shared" si="0"/>
        <v>1.0777826008281532E-2</v>
      </c>
      <c r="G29" s="1188">
        <v>220450</v>
      </c>
      <c r="H29" s="1188">
        <v>507506.24</v>
      </c>
      <c r="I29" s="1031">
        <v>727956.24</v>
      </c>
      <c r="J29" s="1049">
        <v>2.6301853971513894E-2</v>
      </c>
      <c r="K29" s="1049"/>
      <c r="L29" s="1188">
        <f>26930-800</f>
        <v>26130</v>
      </c>
      <c r="M29" s="1188">
        <v>77700</v>
      </c>
      <c r="N29" s="1031">
        <f t="shared" si="13"/>
        <v>103830</v>
      </c>
      <c r="O29" s="1245">
        <f t="shared" si="29"/>
        <v>0.16917557466215663</v>
      </c>
      <c r="P29" s="1069"/>
      <c r="Q29" s="1188"/>
      <c r="R29" s="1188">
        <v>41100</v>
      </c>
      <c r="S29" s="1031">
        <f t="shared" si="14"/>
        <v>41100</v>
      </c>
      <c r="T29" s="1245">
        <f t="shared" si="2"/>
        <v>1.2466487751715457E-2</v>
      </c>
      <c r="U29" s="1064"/>
      <c r="V29" s="1188"/>
      <c r="W29" s="1188"/>
      <c r="X29" s="1031">
        <f t="shared" si="15"/>
        <v>0</v>
      </c>
      <c r="Y29" s="1245">
        <f t="shared" si="27"/>
        <v>0</v>
      </c>
      <c r="Z29" s="1157"/>
      <c r="AA29" s="1188"/>
      <c r="AB29" s="1188"/>
      <c r="AC29" s="1031">
        <f t="shared" si="30"/>
        <v>0</v>
      </c>
      <c r="AD29" s="1245" t="e">
        <f t="shared" si="17"/>
        <v>#DIV/0!</v>
      </c>
      <c r="AE29" s="1157"/>
      <c r="AF29" s="1447"/>
      <c r="AG29" s="1447"/>
      <c r="AH29" s="1494">
        <f t="shared" si="18"/>
        <v>0</v>
      </c>
      <c r="AI29" s="1666">
        <f t="shared" si="28"/>
        <v>0</v>
      </c>
      <c r="AJ29" s="1861"/>
      <c r="AK29" s="1447"/>
      <c r="AL29" s="1447"/>
      <c r="AM29" s="1567">
        <f t="shared" si="19"/>
        <v>0</v>
      </c>
      <c r="AN29" s="1653">
        <f t="shared" si="3"/>
        <v>0</v>
      </c>
      <c r="AO29" s="1647"/>
      <c r="AP29" s="1447"/>
      <c r="AQ29" s="1447"/>
      <c r="AR29" s="1567">
        <f t="shared" si="20"/>
        <v>0</v>
      </c>
      <c r="AS29" s="1862" t="e">
        <f t="shared" si="7"/>
        <v>#DIV/0!</v>
      </c>
      <c r="AT29" s="1861"/>
      <c r="AU29" s="2059"/>
      <c r="AV29" s="2059"/>
      <c r="AW29" s="2061">
        <f t="shared" si="21"/>
        <v>0</v>
      </c>
      <c r="AX29" s="1946">
        <f t="shared" si="8"/>
        <v>0</v>
      </c>
      <c r="AY29" s="1945"/>
      <c r="AZ29" s="2059"/>
      <c r="BA29" s="2059"/>
      <c r="BB29" s="2061">
        <f t="shared" si="22"/>
        <v>0</v>
      </c>
      <c r="BC29" s="1946" t="e">
        <f t="shared" si="9"/>
        <v>#DIV/0!</v>
      </c>
      <c r="BD29" s="1945"/>
      <c r="BE29" s="2059"/>
      <c r="BF29" s="2059"/>
      <c r="BG29" s="2061">
        <f t="shared" si="23"/>
        <v>0</v>
      </c>
      <c r="BH29" s="1946" t="e">
        <f t="shared" si="4"/>
        <v>#DIV/0!</v>
      </c>
      <c r="BI29" s="1945"/>
      <c r="BJ29" s="2059"/>
      <c r="BK29" s="2059"/>
      <c r="BL29" s="2061">
        <f t="shared" si="24"/>
        <v>0</v>
      </c>
      <c r="BM29" s="1946" t="e">
        <f t="shared" si="10"/>
        <v>#DIV/0!</v>
      </c>
      <c r="BN29" s="1945"/>
      <c r="BO29" s="2059"/>
      <c r="BP29" s="2059"/>
      <c r="BQ29" s="2061">
        <f t="shared" si="25"/>
        <v>0</v>
      </c>
      <c r="BR29" s="1946" t="e">
        <f t="shared" si="11"/>
        <v>#DIV/0!</v>
      </c>
      <c r="BS29" s="1945"/>
      <c r="BT29" s="2059">
        <f t="shared" si="12"/>
        <v>246580</v>
      </c>
      <c r="BU29" s="2059">
        <f t="shared" si="12"/>
        <v>626306.24</v>
      </c>
      <c r="BV29" s="2061">
        <f t="shared" si="26"/>
        <v>872886.24</v>
      </c>
      <c r="BW29" s="2060">
        <f t="shared" si="5"/>
        <v>2.6571623707055361E-2</v>
      </c>
      <c r="BX29" s="2008"/>
    </row>
    <row r="30" spans="1:76" s="2" customFormat="1" ht="14.4" customHeight="1" x14ac:dyDescent="0.25">
      <c r="A30" s="238"/>
      <c r="B30" s="1270" t="s">
        <v>62</v>
      </c>
      <c r="C30" s="1111"/>
      <c r="D30" s="1242">
        <v>288300</v>
      </c>
      <c r="E30" s="1190">
        <f t="shared" si="6"/>
        <v>288300</v>
      </c>
      <c r="F30" s="1245">
        <f t="shared" si="0"/>
        <v>1.1769875902225628E-2</v>
      </c>
      <c r="G30" s="1188">
        <v>0</v>
      </c>
      <c r="H30" s="1188">
        <v>948023.86</v>
      </c>
      <c r="I30" s="1031">
        <v>948023.86</v>
      </c>
      <c r="J30" s="1049">
        <v>3.4253137423797528E-2</v>
      </c>
      <c r="K30" s="1049"/>
      <c r="L30" s="1188"/>
      <c r="M30" s="1188">
        <v>98787</v>
      </c>
      <c r="N30" s="1031">
        <f t="shared" si="13"/>
        <v>98787</v>
      </c>
      <c r="O30" s="1245">
        <f t="shared" si="29"/>
        <v>0.16095875463883721</v>
      </c>
      <c r="P30" s="1069"/>
      <c r="Q30" s="1188"/>
      <c r="R30" s="1188">
        <f>32500+32961+87950</f>
        <v>153411</v>
      </c>
      <c r="S30" s="1031">
        <f t="shared" si="14"/>
        <v>153411</v>
      </c>
      <c r="T30" s="1245">
        <f t="shared" si="2"/>
        <v>4.6532757967844771E-2</v>
      </c>
      <c r="U30" s="1064"/>
      <c r="V30" s="1188"/>
      <c r="W30" s="1188">
        <v>18850</v>
      </c>
      <c r="X30" s="1031">
        <f t="shared" si="15"/>
        <v>18850</v>
      </c>
      <c r="Y30" s="1245">
        <f t="shared" si="27"/>
        <v>0.15516744316115649</v>
      </c>
      <c r="Z30" s="1157" t="s">
        <v>1076</v>
      </c>
      <c r="AA30" s="1188"/>
      <c r="AB30" s="1188"/>
      <c r="AC30" s="1031">
        <f t="shared" si="30"/>
        <v>0</v>
      </c>
      <c r="AD30" s="1245" t="e">
        <f t="shared" si="17"/>
        <v>#DIV/0!</v>
      </c>
      <c r="AE30" s="1157"/>
      <c r="AF30" s="1447"/>
      <c r="AG30" s="1447"/>
      <c r="AH30" s="1494">
        <f t="shared" si="18"/>
        <v>0</v>
      </c>
      <c r="AI30" s="1666">
        <f t="shared" si="28"/>
        <v>0</v>
      </c>
      <c r="AJ30" s="1861"/>
      <c r="AK30" s="1447"/>
      <c r="AL30" s="1447"/>
      <c r="AM30" s="1567">
        <f t="shared" si="19"/>
        <v>0</v>
      </c>
      <c r="AN30" s="1653">
        <f t="shared" si="3"/>
        <v>0</v>
      </c>
      <c r="AO30" s="1647"/>
      <c r="AP30" s="1447"/>
      <c r="AQ30" s="1447"/>
      <c r="AR30" s="1567">
        <f t="shared" si="20"/>
        <v>0</v>
      </c>
      <c r="AS30" s="1862" t="e">
        <f t="shared" si="7"/>
        <v>#DIV/0!</v>
      </c>
      <c r="AT30" s="1861"/>
      <c r="AU30" s="2059"/>
      <c r="AV30" s="2059"/>
      <c r="AW30" s="2061">
        <f t="shared" si="21"/>
        <v>0</v>
      </c>
      <c r="AX30" s="1946">
        <f t="shared" si="8"/>
        <v>0</v>
      </c>
      <c r="AY30" s="1945"/>
      <c r="AZ30" s="2059"/>
      <c r="BA30" s="2059"/>
      <c r="BB30" s="2061">
        <f t="shared" si="22"/>
        <v>0</v>
      </c>
      <c r="BC30" s="1946" t="e">
        <f t="shared" si="9"/>
        <v>#DIV/0!</v>
      </c>
      <c r="BD30" s="1945"/>
      <c r="BE30" s="2059"/>
      <c r="BF30" s="2059"/>
      <c r="BG30" s="2061">
        <f t="shared" si="23"/>
        <v>0</v>
      </c>
      <c r="BH30" s="1946" t="e">
        <f t="shared" si="4"/>
        <v>#DIV/0!</v>
      </c>
      <c r="BI30" s="1945"/>
      <c r="BJ30" s="2059"/>
      <c r="BK30" s="2059"/>
      <c r="BL30" s="2061">
        <f t="shared" si="24"/>
        <v>0</v>
      </c>
      <c r="BM30" s="1946" t="e">
        <f t="shared" si="10"/>
        <v>#DIV/0!</v>
      </c>
      <c r="BN30" s="1945"/>
      <c r="BO30" s="2059"/>
      <c r="BP30" s="2059"/>
      <c r="BQ30" s="2061">
        <f t="shared" si="25"/>
        <v>0</v>
      </c>
      <c r="BR30" s="1946" t="e">
        <f t="shared" si="11"/>
        <v>#DIV/0!</v>
      </c>
      <c r="BS30" s="1945"/>
      <c r="BT30" s="2059">
        <f t="shared" si="12"/>
        <v>0</v>
      </c>
      <c r="BU30" s="2059">
        <f t="shared" si="12"/>
        <v>1219071.8599999999</v>
      </c>
      <c r="BV30" s="2061">
        <f t="shared" si="26"/>
        <v>1219071.8599999999</v>
      </c>
      <c r="BW30" s="2060">
        <f t="shared" si="5"/>
        <v>3.7109897316951711E-2</v>
      </c>
      <c r="BX30" s="2008"/>
    </row>
    <row r="31" spans="1:76" s="2" customFormat="1" ht="14.4" customHeight="1" x14ac:dyDescent="0.25">
      <c r="A31" s="238"/>
      <c r="B31" s="1317" t="s">
        <v>34</v>
      </c>
      <c r="C31" s="1111"/>
      <c r="D31" s="1243">
        <f>84653.91</f>
        <v>84653.91</v>
      </c>
      <c r="E31" s="1190">
        <f t="shared" si="6"/>
        <v>84653.91</v>
      </c>
      <c r="F31" s="1245">
        <f t="shared" si="0"/>
        <v>3.4560042155330462E-3</v>
      </c>
      <c r="G31" s="1188">
        <v>33437.599999999999</v>
      </c>
      <c r="H31" s="1188">
        <v>274309.39</v>
      </c>
      <c r="I31" s="1031">
        <v>307746.99</v>
      </c>
      <c r="J31" s="1049">
        <v>1.1119234847348718E-2</v>
      </c>
      <c r="K31" s="1049"/>
      <c r="L31" s="1188"/>
      <c r="M31" s="1188">
        <v>60926.57</v>
      </c>
      <c r="N31" s="1031">
        <f t="shared" si="13"/>
        <v>60926.57</v>
      </c>
      <c r="O31" s="1245">
        <f t="shared" si="29"/>
        <v>9.9270803158471657E-2</v>
      </c>
      <c r="P31" s="1069"/>
      <c r="Q31" s="1188">
        <v>4515.59</v>
      </c>
      <c r="R31" s="1188">
        <v>30381.71</v>
      </c>
      <c r="S31" s="1031">
        <f t="shared" si="14"/>
        <v>34897.300000000003</v>
      </c>
      <c r="T31" s="1245">
        <f t="shared" si="2"/>
        <v>1.0585079392163986E-2</v>
      </c>
      <c r="U31" s="1069" t="s">
        <v>1053</v>
      </c>
      <c r="V31" s="1188"/>
      <c r="W31" s="1188">
        <v>1000</v>
      </c>
      <c r="X31" s="1031">
        <f t="shared" si="15"/>
        <v>1000</v>
      </c>
      <c r="Y31" s="1245">
        <f t="shared" si="27"/>
        <v>8.2316945974088319E-3</v>
      </c>
      <c r="Z31" s="1157"/>
      <c r="AA31" s="1188"/>
      <c r="AB31" s="1188"/>
      <c r="AC31" s="1031">
        <f t="shared" si="30"/>
        <v>0</v>
      </c>
      <c r="AD31" s="1245" t="e">
        <f>AC31/$AC$89</f>
        <v>#DIV/0!</v>
      </c>
      <c r="AE31" s="1157"/>
      <c r="AF31" s="1447"/>
      <c r="AG31" s="1447"/>
      <c r="AH31" s="1494">
        <f t="shared" si="18"/>
        <v>0</v>
      </c>
      <c r="AI31" s="1666">
        <f t="shared" si="28"/>
        <v>0</v>
      </c>
      <c r="AJ31" s="1861"/>
      <c r="AK31" s="1447"/>
      <c r="AL31" s="1447"/>
      <c r="AM31" s="1567">
        <f t="shared" si="19"/>
        <v>0</v>
      </c>
      <c r="AN31" s="1653">
        <f t="shared" si="3"/>
        <v>0</v>
      </c>
      <c r="AO31" s="1647"/>
      <c r="AP31" s="1447"/>
      <c r="AQ31" s="1447"/>
      <c r="AR31" s="1567">
        <f t="shared" si="20"/>
        <v>0</v>
      </c>
      <c r="AS31" s="1862" t="e">
        <f t="shared" si="7"/>
        <v>#DIV/0!</v>
      </c>
      <c r="AT31" s="1861"/>
      <c r="AU31" s="2059"/>
      <c r="AV31" s="2059"/>
      <c r="AW31" s="2061">
        <f t="shared" si="21"/>
        <v>0</v>
      </c>
      <c r="AX31" s="1946">
        <f t="shared" si="8"/>
        <v>0</v>
      </c>
      <c r="AY31" s="1945"/>
      <c r="AZ31" s="2059"/>
      <c r="BA31" s="2059"/>
      <c r="BB31" s="2061">
        <f t="shared" si="22"/>
        <v>0</v>
      </c>
      <c r="BC31" s="1946" t="e">
        <f t="shared" si="9"/>
        <v>#DIV/0!</v>
      </c>
      <c r="BD31" s="1945"/>
      <c r="BE31" s="2059"/>
      <c r="BF31" s="2059"/>
      <c r="BG31" s="2061">
        <f t="shared" si="23"/>
        <v>0</v>
      </c>
      <c r="BH31" s="1946" t="e">
        <f t="shared" si="4"/>
        <v>#DIV/0!</v>
      </c>
      <c r="BI31" s="2062"/>
      <c r="BJ31" s="2059"/>
      <c r="BK31" s="2059"/>
      <c r="BL31" s="2061">
        <f t="shared" si="24"/>
        <v>0</v>
      </c>
      <c r="BM31" s="1946" t="e">
        <f t="shared" si="10"/>
        <v>#DIV/0!</v>
      </c>
      <c r="BN31" s="2062"/>
      <c r="BO31" s="2059"/>
      <c r="BP31" s="2059"/>
      <c r="BQ31" s="2061">
        <f t="shared" si="25"/>
        <v>0</v>
      </c>
      <c r="BR31" s="1946" t="e">
        <f t="shared" si="11"/>
        <v>#DIV/0!</v>
      </c>
      <c r="BS31" s="2062"/>
      <c r="BT31" s="2059">
        <f t="shared" si="12"/>
        <v>37953.19</v>
      </c>
      <c r="BU31" s="2059">
        <f t="shared" si="12"/>
        <v>366617.67000000004</v>
      </c>
      <c r="BV31" s="2061">
        <f t="shared" si="26"/>
        <v>404570.86000000004</v>
      </c>
      <c r="BW31" s="2060">
        <f t="shared" si="5"/>
        <v>1.231558496644394E-2</v>
      </c>
      <c r="BX31" s="2008"/>
    </row>
    <row r="32" spans="1:76" s="2" customFormat="1" ht="14.4" customHeight="1" x14ac:dyDescent="0.25">
      <c r="A32" s="238"/>
      <c r="B32" s="1112" t="s">
        <v>2</v>
      </c>
      <c r="C32" s="1126"/>
      <c r="D32" s="1113"/>
      <c r="E32" s="1190">
        <f t="shared" si="6"/>
        <v>0</v>
      </c>
      <c r="F32" s="1245">
        <f t="shared" si="0"/>
        <v>0</v>
      </c>
      <c r="G32" s="1188">
        <v>0</v>
      </c>
      <c r="H32" s="1188">
        <v>0</v>
      </c>
      <c r="I32" s="1031">
        <v>0</v>
      </c>
      <c r="J32" s="1049">
        <v>0</v>
      </c>
      <c r="K32" s="1049"/>
      <c r="L32" s="1188"/>
      <c r="M32" s="1188"/>
      <c r="N32" s="1031">
        <f t="shared" si="13"/>
        <v>0</v>
      </c>
      <c r="O32" s="1245">
        <f t="shared" si="29"/>
        <v>0</v>
      </c>
      <c r="P32" s="1246"/>
      <c r="Q32" s="1188"/>
      <c r="R32" s="1188"/>
      <c r="S32" s="1031">
        <f t="shared" si="14"/>
        <v>0</v>
      </c>
      <c r="T32" s="1245">
        <f t="shared" si="2"/>
        <v>0</v>
      </c>
      <c r="U32" s="1287"/>
      <c r="V32" s="1188"/>
      <c r="W32" s="1188"/>
      <c r="X32" s="1031">
        <f t="shared" si="15"/>
        <v>0</v>
      </c>
      <c r="Y32" s="1245">
        <f t="shared" si="27"/>
        <v>0</v>
      </c>
      <c r="Z32" s="1157"/>
      <c r="AA32" s="1188"/>
      <c r="AB32" s="1188"/>
      <c r="AC32" s="1031">
        <f t="shared" si="30"/>
        <v>0</v>
      </c>
      <c r="AD32" s="1245" t="e">
        <f t="shared" si="17"/>
        <v>#DIV/0!</v>
      </c>
      <c r="AE32" s="1157"/>
      <c r="AF32" s="1447"/>
      <c r="AG32" s="1447"/>
      <c r="AH32" s="1494">
        <f t="shared" si="18"/>
        <v>0</v>
      </c>
      <c r="AI32" s="1666">
        <f t="shared" si="28"/>
        <v>0</v>
      </c>
      <c r="AJ32" s="1861"/>
      <c r="AK32" s="1447"/>
      <c r="AL32" s="1447"/>
      <c r="AM32" s="1567">
        <f t="shared" si="19"/>
        <v>0</v>
      </c>
      <c r="AN32" s="1653">
        <f t="shared" si="3"/>
        <v>0</v>
      </c>
      <c r="AO32" s="1647"/>
      <c r="AP32" s="1447"/>
      <c r="AQ32" s="1447"/>
      <c r="AR32" s="1567">
        <f t="shared" si="20"/>
        <v>0</v>
      </c>
      <c r="AS32" s="1862" t="e">
        <f t="shared" si="7"/>
        <v>#DIV/0!</v>
      </c>
      <c r="AT32" s="1861"/>
      <c r="AU32" s="2059"/>
      <c r="AV32" s="2059"/>
      <c r="AW32" s="2061">
        <f t="shared" si="21"/>
        <v>0</v>
      </c>
      <c r="AX32" s="1946">
        <f t="shared" si="8"/>
        <v>0</v>
      </c>
      <c r="AY32" s="1945"/>
      <c r="AZ32" s="2059"/>
      <c r="BA32" s="2059"/>
      <c r="BB32" s="2061">
        <f t="shared" si="22"/>
        <v>0</v>
      </c>
      <c r="BC32" s="1946" t="e">
        <f t="shared" si="9"/>
        <v>#DIV/0!</v>
      </c>
      <c r="BD32" s="1945"/>
      <c r="BE32" s="2059"/>
      <c r="BF32" s="2059"/>
      <c r="BG32" s="2061">
        <f t="shared" si="23"/>
        <v>0</v>
      </c>
      <c r="BH32" s="1946" t="e">
        <f t="shared" si="4"/>
        <v>#DIV/0!</v>
      </c>
      <c r="BI32" s="1945"/>
      <c r="BJ32" s="2059"/>
      <c r="BK32" s="2059"/>
      <c r="BL32" s="2061">
        <f t="shared" si="24"/>
        <v>0</v>
      </c>
      <c r="BM32" s="1946" t="e">
        <f t="shared" si="10"/>
        <v>#DIV/0!</v>
      </c>
      <c r="BN32" s="1945"/>
      <c r="BO32" s="2059"/>
      <c r="BP32" s="2059"/>
      <c r="BQ32" s="2061">
        <f t="shared" si="25"/>
        <v>0</v>
      </c>
      <c r="BR32" s="1946" t="e">
        <f t="shared" si="11"/>
        <v>#DIV/0!</v>
      </c>
      <c r="BS32" s="1945"/>
      <c r="BT32" s="2059">
        <f t="shared" si="12"/>
        <v>0</v>
      </c>
      <c r="BU32" s="2059">
        <f t="shared" si="12"/>
        <v>0</v>
      </c>
      <c r="BV32" s="2061">
        <f t="shared" si="26"/>
        <v>0</v>
      </c>
      <c r="BW32" s="2060">
        <f t="shared" si="5"/>
        <v>0</v>
      </c>
      <c r="BX32" s="2008"/>
    </row>
    <row r="33" spans="1:76" s="2" customFormat="1" ht="14.4" customHeight="1" thickBot="1" x14ac:dyDescent="0.3">
      <c r="A33" s="238"/>
      <c r="B33" s="1078" t="s">
        <v>75</v>
      </c>
      <c r="C33" s="1114"/>
      <c r="D33" s="1211">
        <v>100000</v>
      </c>
      <c r="E33" s="507">
        <f t="shared" si="6"/>
        <v>100000</v>
      </c>
      <c r="F33" s="1175">
        <f t="shared" si="0"/>
        <v>4.0825098516217928E-3</v>
      </c>
      <c r="G33" s="512">
        <v>0</v>
      </c>
      <c r="H33" s="512">
        <v>22200</v>
      </c>
      <c r="I33" s="513">
        <v>22200</v>
      </c>
      <c r="J33" s="683">
        <v>8.0211024520870716E-4</v>
      </c>
      <c r="K33" s="683"/>
      <c r="L33" s="512"/>
      <c r="M33" s="512"/>
      <c r="N33" s="513">
        <f t="shared" si="13"/>
        <v>0</v>
      </c>
      <c r="O33" s="1175">
        <f t="shared" si="29"/>
        <v>0</v>
      </c>
      <c r="P33" s="1176"/>
      <c r="Q33" s="512"/>
      <c r="R33" s="512"/>
      <c r="S33" s="513">
        <f t="shared" si="14"/>
        <v>0</v>
      </c>
      <c r="T33" s="1175">
        <f t="shared" si="2"/>
        <v>0</v>
      </c>
      <c r="U33" s="1318"/>
      <c r="V33" s="512"/>
      <c r="W33" s="512"/>
      <c r="X33" s="513">
        <f t="shared" si="15"/>
        <v>0</v>
      </c>
      <c r="Y33" s="1175">
        <f t="shared" si="27"/>
        <v>0</v>
      </c>
      <c r="Z33" s="1173"/>
      <c r="AA33" s="1036"/>
      <c r="AB33" s="1173"/>
      <c r="AC33" s="513">
        <f t="shared" si="30"/>
        <v>0</v>
      </c>
      <c r="AD33" s="1175" t="e">
        <f t="shared" si="17"/>
        <v>#DIV/0!</v>
      </c>
      <c r="AE33" s="1173"/>
      <c r="AF33" s="1391"/>
      <c r="AG33" s="1658"/>
      <c r="AH33" s="1683">
        <f t="shared" si="18"/>
        <v>0</v>
      </c>
      <c r="AI33" s="1745">
        <f t="shared" si="28"/>
        <v>0</v>
      </c>
      <c r="AJ33" s="1391"/>
      <c r="AK33" s="1391"/>
      <c r="AL33" s="1658"/>
      <c r="AM33" s="1645">
        <f t="shared" si="19"/>
        <v>0</v>
      </c>
      <c r="AN33" s="1654">
        <f t="shared" si="3"/>
        <v>0</v>
      </c>
      <c r="AO33" s="1658"/>
      <c r="AP33" s="1391"/>
      <c r="AQ33" s="1658"/>
      <c r="AR33" s="1645">
        <f t="shared" si="20"/>
        <v>0</v>
      </c>
      <c r="AS33" s="1868" t="e">
        <f t="shared" si="7"/>
        <v>#DIV/0!</v>
      </c>
      <c r="AT33" s="1391"/>
      <c r="AU33" s="2097"/>
      <c r="AV33" s="2098"/>
      <c r="AW33" s="2042">
        <f t="shared" si="21"/>
        <v>0</v>
      </c>
      <c r="AX33" s="1654">
        <f t="shared" si="8"/>
        <v>0</v>
      </c>
      <c r="AY33" s="2098"/>
      <c r="AZ33" s="2097"/>
      <c r="BA33" s="2098"/>
      <c r="BB33" s="2042">
        <f t="shared" si="22"/>
        <v>0</v>
      </c>
      <c r="BC33" s="1654" t="e">
        <f t="shared" si="9"/>
        <v>#DIV/0!</v>
      </c>
      <c r="BD33" s="2098"/>
      <c r="BE33" s="2116"/>
      <c r="BF33" s="2098"/>
      <c r="BG33" s="2042">
        <f t="shared" si="23"/>
        <v>0</v>
      </c>
      <c r="BH33" s="2128" t="e">
        <f t="shared" si="4"/>
        <v>#DIV/0!</v>
      </c>
      <c r="BI33" s="2098"/>
      <c r="BJ33" s="2116"/>
      <c r="BK33" s="2098"/>
      <c r="BL33" s="2042">
        <f t="shared" si="24"/>
        <v>0</v>
      </c>
      <c r="BM33" s="2128" t="e">
        <f t="shared" si="10"/>
        <v>#DIV/0!</v>
      </c>
      <c r="BN33" s="2098"/>
      <c r="BO33" s="2116"/>
      <c r="BP33" s="2098"/>
      <c r="BQ33" s="2042">
        <f t="shared" si="25"/>
        <v>0</v>
      </c>
      <c r="BR33" s="2128" t="e">
        <f t="shared" si="11"/>
        <v>#DIV/0!</v>
      </c>
      <c r="BS33" s="2098"/>
      <c r="BT33" s="2116">
        <f t="shared" si="12"/>
        <v>0</v>
      </c>
      <c r="BU33" s="2098">
        <f t="shared" si="12"/>
        <v>22200</v>
      </c>
      <c r="BV33" s="2042">
        <f t="shared" si="26"/>
        <v>22200</v>
      </c>
      <c r="BW33" s="2034">
        <f t="shared" si="5"/>
        <v>6.7579258242933126E-4</v>
      </c>
      <c r="BX33" s="2101"/>
    </row>
    <row r="34" spans="1:76" s="2" customFormat="1" ht="14.4" customHeight="1" x14ac:dyDescent="0.25">
      <c r="A34" s="238"/>
      <c r="B34" s="1062"/>
      <c r="C34" s="1088"/>
      <c r="D34" s="1089"/>
      <c r="E34" s="1037"/>
      <c r="F34" s="1090"/>
      <c r="G34" s="1188"/>
      <c r="H34" s="1188"/>
      <c r="I34" s="1037"/>
      <c r="J34" s="1090"/>
      <c r="K34" s="1090"/>
      <c r="L34" s="1188"/>
      <c r="M34" s="1188"/>
      <c r="N34" s="1037"/>
      <c r="O34" s="1037"/>
      <c r="P34" s="1037"/>
      <c r="Q34" s="1188"/>
      <c r="R34" s="1188"/>
      <c r="S34" s="1037"/>
      <c r="T34" s="1037"/>
      <c r="U34" s="1037"/>
      <c r="V34" s="1188"/>
      <c r="W34" s="1188"/>
      <c r="X34" s="1037"/>
      <c r="Y34" s="1037"/>
      <c r="Z34" s="1037"/>
      <c r="AA34" s="1188"/>
      <c r="AB34" s="1188"/>
      <c r="AC34" s="1037"/>
      <c r="AD34" s="1037"/>
      <c r="AE34" s="1037"/>
      <c r="AF34" s="1447"/>
      <c r="AG34" s="1447"/>
      <c r="AH34" s="1634"/>
      <c r="AI34" s="1695"/>
      <c r="AJ34" s="1636"/>
      <c r="AK34" s="1447"/>
      <c r="AL34" s="1447"/>
      <c r="AM34" s="1634"/>
      <c r="AN34" s="1634"/>
      <c r="AO34" s="1634"/>
      <c r="AP34" s="1447"/>
      <c r="AQ34" s="1447"/>
      <c r="AR34" s="1634"/>
      <c r="AS34" s="1695"/>
      <c r="AT34" s="1636"/>
      <c r="AU34" s="2059"/>
      <c r="AV34" s="2059"/>
      <c r="AW34" s="2040"/>
      <c r="AX34" s="2040"/>
      <c r="AY34" s="2040"/>
      <c r="AZ34" s="2059"/>
      <c r="BA34" s="2059"/>
      <c r="BB34" s="2040"/>
      <c r="BC34" s="2040"/>
      <c r="BD34" s="2040"/>
      <c r="BE34" s="2059"/>
      <c r="BF34" s="2059"/>
      <c r="BG34" s="2040"/>
      <c r="BH34" s="2040"/>
      <c r="BI34" s="2040"/>
      <c r="BJ34" s="2059"/>
      <c r="BK34" s="2059"/>
      <c r="BL34" s="2040"/>
      <c r="BM34" s="2040"/>
      <c r="BN34" s="2040"/>
      <c r="BO34" s="2059"/>
      <c r="BP34" s="2059"/>
      <c r="BQ34" s="2040"/>
      <c r="BR34" s="2040"/>
      <c r="BS34" s="2040"/>
      <c r="BT34" s="2059"/>
      <c r="BU34" s="2059"/>
      <c r="BV34" s="2040"/>
      <c r="BW34" s="2040"/>
      <c r="BX34" s="2040"/>
    </row>
    <row r="35" spans="1:76" s="88" customFormat="1" ht="14.4" customHeight="1" x14ac:dyDescent="0.25">
      <c r="A35" s="238"/>
      <c r="B35" s="1115" t="s">
        <v>80</v>
      </c>
      <c r="C35" s="1272">
        <f>C36</f>
        <v>0</v>
      </c>
      <c r="D35" s="1272">
        <f>D36</f>
        <v>0</v>
      </c>
      <c r="E35" s="1273">
        <f>E36</f>
        <v>0</v>
      </c>
      <c r="F35" s="1274">
        <f>E35/$E$89</f>
        <v>0</v>
      </c>
      <c r="G35" s="1272">
        <v>0</v>
      </c>
      <c r="H35" s="1272">
        <v>0</v>
      </c>
      <c r="I35" s="1273">
        <v>0</v>
      </c>
      <c r="J35" s="1275"/>
      <c r="K35" s="1275"/>
      <c r="L35" s="1272">
        <f>L36</f>
        <v>0</v>
      </c>
      <c r="M35" s="1272">
        <f>M36</f>
        <v>0</v>
      </c>
      <c r="N35" s="1273">
        <f>N36</f>
        <v>0</v>
      </c>
      <c r="O35" s="1273"/>
      <c r="P35" s="1273"/>
      <c r="Q35" s="1272">
        <f>Q36</f>
        <v>0</v>
      </c>
      <c r="R35" s="1272">
        <f>R36</f>
        <v>0</v>
      </c>
      <c r="S35" s="1273">
        <f>S36</f>
        <v>0</v>
      </c>
      <c r="T35" s="1273"/>
      <c r="U35" s="1273"/>
      <c r="V35" s="1272">
        <f>V36</f>
        <v>0</v>
      </c>
      <c r="W35" s="1272">
        <f>W36</f>
        <v>0</v>
      </c>
      <c r="X35" s="1273">
        <f>X36</f>
        <v>0</v>
      </c>
      <c r="Y35" s="1273"/>
      <c r="Z35" s="1273"/>
      <c r="AA35" s="1272">
        <f>AA36</f>
        <v>0</v>
      </c>
      <c r="AB35" s="1272">
        <f>AB36</f>
        <v>0</v>
      </c>
      <c r="AC35" s="1273">
        <f>AC36</f>
        <v>0</v>
      </c>
      <c r="AD35" s="1273"/>
      <c r="AE35" s="1273"/>
      <c r="AF35" s="1484">
        <f>AF36</f>
        <v>0</v>
      </c>
      <c r="AG35" s="1484">
        <f>AG36</f>
        <v>0</v>
      </c>
      <c r="AH35" s="1485">
        <f>AH36</f>
        <v>0</v>
      </c>
      <c r="AI35" s="1484"/>
      <c r="AJ35" s="1485"/>
      <c r="AK35" s="1484">
        <f>AK36</f>
        <v>0</v>
      </c>
      <c r="AL35" s="1484">
        <f>AL36</f>
        <v>0</v>
      </c>
      <c r="AM35" s="1485">
        <f>AM36</f>
        <v>0</v>
      </c>
      <c r="AN35" s="1485"/>
      <c r="AO35" s="1485"/>
      <c r="AP35" s="1484">
        <f>AP36</f>
        <v>0</v>
      </c>
      <c r="AQ35" s="1484">
        <f>AQ36</f>
        <v>0</v>
      </c>
      <c r="AR35" s="1485">
        <f>AR36</f>
        <v>0</v>
      </c>
      <c r="AS35" s="1484"/>
      <c r="AT35" s="1485"/>
      <c r="AU35" s="2025">
        <f>AU36</f>
        <v>0</v>
      </c>
      <c r="AV35" s="2025">
        <f>AV36</f>
        <v>0</v>
      </c>
      <c r="AW35" s="2026">
        <f>AW36</f>
        <v>0</v>
      </c>
      <c r="AX35" s="2026">
        <f t="shared" si="8"/>
        <v>0</v>
      </c>
      <c r="AY35" s="2026"/>
      <c r="AZ35" s="2025">
        <f>AZ36</f>
        <v>0</v>
      </c>
      <c r="BA35" s="2025">
        <f>BA36</f>
        <v>0</v>
      </c>
      <c r="BB35" s="2026">
        <f>BB36</f>
        <v>0</v>
      </c>
      <c r="BC35" s="2026">
        <f>BB35/$AW$89</f>
        <v>0</v>
      </c>
      <c r="BD35" s="2026"/>
      <c r="BE35" s="2025">
        <f>BE36</f>
        <v>0</v>
      </c>
      <c r="BF35" s="2025">
        <f>BF36</f>
        <v>0</v>
      </c>
      <c r="BG35" s="2026">
        <f>BG36</f>
        <v>0</v>
      </c>
      <c r="BH35" s="2026" t="e">
        <f t="shared" si="4"/>
        <v>#DIV/0!</v>
      </c>
      <c r="BI35" s="2026"/>
      <c r="BJ35" s="2025">
        <f>BJ36</f>
        <v>0</v>
      </c>
      <c r="BK35" s="2025">
        <f>BK36</f>
        <v>0</v>
      </c>
      <c r="BL35" s="2026">
        <f>BL36</f>
        <v>0</v>
      </c>
      <c r="BM35" s="2026" t="e">
        <f>BL35/$BG$89</f>
        <v>#DIV/0!</v>
      </c>
      <c r="BN35" s="2026"/>
      <c r="BO35" s="2025">
        <f>BO36</f>
        <v>0</v>
      </c>
      <c r="BP35" s="2025">
        <f>BP36</f>
        <v>0</v>
      </c>
      <c r="BQ35" s="2026">
        <f>BQ36</f>
        <v>0</v>
      </c>
      <c r="BR35" s="2026" t="e">
        <f>BQ35/$BG$89</f>
        <v>#DIV/0!</v>
      </c>
      <c r="BS35" s="2026"/>
      <c r="BT35" s="2025">
        <f>BT36</f>
        <v>0</v>
      </c>
      <c r="BU35" s="2025">
        <f>BU36</f>
        <v>0</v>
      </c>
      <c r="BV35" s="2026">
        <f>BV36</f>
        <v>0</v>
      </c>
      <c r="BW35" s="2026"/>
      <c r="BX35" s="2026"/>
    </row>
    <row r="36" spans="1:76" s="226" customFormat="1" ht="14.4" customHeight="1" x14ac:dyDescent="0.25">
      <c r="A36" s="238"/>
      <c r="B36" s="1116" t="s">
        <v>81</v>
      </c>
      <c r="C36" s="1277"/>
      <c r="D36" s="1278"/>
      <c r="E36" s="1190">
        <f>C36+D36</f>
        <v>0</v>
      </c>
      <c r="F36" s="1245">
        <f>E36/$E$89</f>
        <v>0</v>
      </c>
      <c r="G36" s="1188">
        <v>0</v>
      </c>
      <c r="H36" s="1188">
        <v>0</v>
      </c>
      <c r="I36" s="1190">
        <v>0</v>
      </c>
      <c r="J36" s="1049">
        <v>0</v>
      </c>
      <c r="K36" s="1049"/>
      <c r="L36" s="1188"/>
      <c r="M36" s="1188"/>
      <c r="N36" s="1190">
        <f>L36+M36*1</f>
        <v>0</v>
      </c>
      <c r="O36" s="1245">
        <f>N36/$N$89</f>
        <v>0</v>
      </c>
      <c r="P36" s="1249"/>
      <c r="Q36" s="1188"/>
      <c r="R36" s="1188"/>
      <c r="S36" s="1190">
        <f>Q36+R36*1</f>
        <v>0</v>
      </c>
      <c r="T36" s="1245">
        <f>S36/$S$89</f>
        <v>0</v>
      </c>
      <c r="U36" s="1249"/>
      <c r="V36" s="1188"/>
      <c r="W36" s="1188"/>
      <c r="X36" s="1190">
        <f>V36+W36*1</f>
        <v>0</v>
      </c>
      <c r="Y36" s="1245">
        <f>X36/$S$89</f>
        <v>0</v>
      </c>
      <c r="Z36" s="1249"/>
      <c r="AA36" s="1188"/>
      <c r="AB36" s="1188"/>
      <c r="AC36" s="1190">
        <f>AA36+AB36*1</f>
        <v>0</v>
      </c>
      <c r="AD36" s="1245" t="e">
        <f>AC36/$AC$89</f>
        <v>#DIV/0!</v>
      </c>
      <c r="AE36" s="1249"/>
      <c r="AF36" s="1447"/>
      <c r="AG36" s="1447"/>
      <c r="AH36" s="1495">
        <f>AF36+AG36*1</f>
        <v>0</v>
      </c>
      <c r="AI36" s="1666">
        <f>AH36/$AH$89</f>
        <v>0</v>
      </c>
      <c r="AJ36" s="1490"/>
      <c r="AK36" s="1447"/>
      <c r="AL36" s="1447"/>
      <c r="AM36" s="1495">
        <f>AK36+AL36*1</f>
        <v>0</v>
      </c>
      <c r="AN36" s="1555">
        <f>AM36/$AM$89</f>
        <v>0</v>
      </c>
      <c r="AO36" s="1450"/>
      <c r="AP36" s="1447"/>
      <c r="AQ36" s="1447"/>
      <c r="AR36" s="1495">
        <f>AP36+AQ36*1</f>
        <v>0</v>
      </c>
      <c r="AS36" s="1666" t="e">
        <f>AR36/$AR$89</f>
        <v>#DIV/0!</v>
      </c>
      <c r="AT36" s="1490"/>
      <c r="AU36" s="2059"/>
      <c r="AV36" s="2059"/>
      <c r="AW36" s="2028">
        <f>AU36+AV36*1</f>
        <v>0</v>
      </c>
      <c r="AX36" s="2060">
        <f t="shared" si="8"/>
        <v>0</v>
      </c>
      <c r="AY36" s="1909"/>
      <c r="AZ36" s="2059"/>
      <c r="BA36" s="2059"/>
      <c r="BB36" s="2028">
        <f>AZ36+BA36*1</f>
        <v>0</v>
      </c>
      <c r="BC36" s="2060" t="e">
        <f>BB36/$BB$89</f>
        <v>#DIV/0!</v>
      </c>
      <c r="BD36" s="1909"/>
      <c r="BE36" s="2059"/>
      <c r="BF36" s="2059"/>
      <c r="BG36" s="2028">
        <f>BE36+BF36*1</f>
        <v>0</v>
      </c>
      <c r="BH36" s="2060" t="e">
        <f t="shared" si="4"/>
        <v>#DIV/0!</v>
      </c>
      <c r="BI36" s="1909"/>
      <c r="BJ36" s="2059"/>
      <c r="BK36" s="2059"/>
      <c r="BL36" s="2028">
        <f>BJ36+BK36*1</f>
        <v>0</v>
      </c>
      <c r="BM36" s="2060" t="e">
        <f>BL36/$BG$89</f>
        <v>#DIV/0!</v>
      </c>
      <c r="BN36" s="1909"/>
      <c r="BO36" s="2059"/>
      <c r="BP36" s="2059"/>
      <c r="BQ36" s="2028">
        <f>BO36+BP36*1</f>
        <v>0</v>
      </c>
      <c r="BR36" s="2060" t="e">
        <f>BQ36/$BG$89</f>
        <v>#DIV/0!</v>
      </c>
      <c r="BS36" s="1909"/>
      <c r="BT36" s="2059">
        <f>G36+L36+Q36+V36+AA36+AF36+AK36+AP36+AU36+AZ36+BE36</f>
        <v>0</v>
      </c>
      <c r="BU36" s="2059">
        <f>H36+M36+R36+W36+AB36+AG36+AL36+AQ36+AV36+BA36+BF36</f>
        <v>0</v>
      </c>
      <c r="BV36" s="2028">
        <f>BT36+BU36*1</f>
        <v>0</v>
      </c>
      <c r="BW36" s="2060">
        <f>BV36/$BV$89</f>
        <v>0</v>
      </c>
      <c r="BX36" s="1909"/>
    </row>
    <row r="37" spans="1:76" s="2" customFormat="1" ht="14.4" customHeight="1" thickBot="1" x14ac:dyDescent="0.3">
      <c r="A37" s="4"/>
      <c r="B37" s="1117"/>
      <c r="C37" s="1212"/>
      <c r="D37" s="1093"/>
      <c r="E37" s="1177"/>
      <c r="F37" s="1213"/>
      <c r="G37" s="956"/>
      <c r="H37" s="956"/>
      <c r="I37" s="956"/>
      <c r="J37" s="956"/>
      <c r="K37" s="956"/>
      <c r="L37" s="1188"/>
      <c r="M37" s="1188"/>
      <c r="N37" s="1177"/>
      <c r="O37" s="1177"/>
      <c r="P37" s="1177"/>
      <c r="Q37" s="1188"/>
      <c r="R37" s="1188"/>
      <c r="S37" s="1177"/>
      <c r="T37" s="1177"/>
      <c r="U37" s="1177"/>
      <c r="V37" s="1188"/>
      <c r="W37" s="1188"/>
      <c r="X37" s="1177"/>
      <c r="Y37" s="1177"/>
      <c r="Z37" s="1177"/>
      <c r="AA37" s="1188"/>
      <c r="AB37" s="1188"/>
      <c r="AC37" s="1177"/>
      <c r="AD37" s="1177"/>
      <c r="AE37" s="1177"/>
      <c r="AF37" s="1447"/>
      <c r="AG37" s="1447"/>
      <c r="AH37" s="1454"/>
      <c r="AI37" s="1837"/>
      <c r="AJ37" s="1381"/>
      <c r="AK37" s="1447"/>
      <c r="AL37" s="1447"/>
      <c r="AM37" s="1454"/>
      <c r="AN37" s="1454"/>
      <c r="AO37" s="1454"/>
      <c r="AP37" s="1447"/>
      <c r="AQ37" s="1447"/>
      <c r="AR37" s="1454"/>
      <c r="AS37" s="1837"/>
      <c r="AT37" s="1381"/>
      <c r="AU37" s="2059"/>
      <c r="AV37" s="2059"/>
      <c r="AW37" s="2017"/>
      <c r="AX37" s="2017"/>
      <c r="AY37" s="2017"/>
      <c r="AZ37" s="2059"/>
      <c r="BA37" s="2059"/>
      <c r="BB37" s="2017"/>
      <c r="BC37" s="2017"/>
      <c r="BD37" s="2017"/>
      <c r="BE37" s="2059"/>
      <c r="BF37" s="2059"/>
      <c r="BG37" s="2017"/>
      <c r="BH37" s="2017"/>
      <c r="BI37" s="2017"/>
      <c r="BJ37" s="2059"/>
      <c r="BK37" s="2059"/>
      <c r="BL37" s="2017"/>
      <c r="BM37" s="2017"/>
      <c r="BN37" s="2017"/>
      <c r="BO37" s="2059"/>
      <c r="BP37" s="2059"/>
      <c r="BQ37" s="2017"/>
      <c r="BR37" s="2017"/>
      <c r="BS37" s="2017"/>
      <c r="BT37" s="2059"/>
      <c r="BU37" s="2059"/>
      <c r="BV37" s="2017"/>
      <c r="BW37" s="2017"/>
      <c r="BX37" s="2017"/>
    </row>
    <row r="38" spans="1:76" ht="14.4" customHeight="1" thickBot="1" x14ac:dyDescent="0.3">
      <c r="A38" s="889"/>
      <c r="B38" s="34" t="s">
        <v>46</v>
      </c>
      <c r="C38" s="648">
        <f>(C5)-(C8)</f>
        <v>9246410.0799999982</v>
      </c>
      <c r="D38" s="648">
        <f>(D5)-(D8)</f>
        <v>-4160778.7300000004</v>
      </c>
      <c r="E38" s="648">
        <f>(E5)-(E8)</f>
        <v>5085631.3499999978</v>
      </c>
      <c r="F38" s="871"/>
      <c r="G38" s="648">
        <v>10483487.190000005</v>
      </c>
      <c r="H38" s="648">
        <v>-7123266.9500000002</v>
      </c>
      <c r="I38" s="648">
        <v>3360220.2400000058</v>
      </c>
      <c r="J38" s="871"/>
      <c r="K38" s="871"/>
      <c r="L38" s="648">
        <f>(L5)-(L8)</f>
        <v>-143432.39000000001</v>
      </c>
      <c r="M38" s="648">
        <f>(M5)-(M8)</f>
        <v>-349479.03120000003</v>
      </c>
      <c r="N38" s="648">
        <f>(N5)-(N8)</f>
        <v>-492911.42120000004</v>
      </c>
      <c r="O38" s="648"/>
      <c r="P38" s="648"/>
      <c r="Q38" s="648">
        <f>(Q5)-(Q8)</f>
        <v>3341118.0980000002</v>
      </c>
      <c r="R38" s="648">
        <f>(R5)-(R8)</f>
        <v>-1436766.2899999998</v>
      </c>
      <c r="S38" s="648">
        <f>(S5)-(S8)</f>
        <v>1904351.8080000007</v>
      </c>
      <c r="T38" s="648"/>
      <c r="U38" s="648"/>
      <c r="V38" s="648">
        <f>(V5)-(V8)</f>
        <v>1437943.01</v>
      </c>
      <c r="W38" s="648">
        <f>(W5)-(W8)</f>
        <v>-90032</v>
      </c>
      <c r="X38" s="648">
        <f>(X5)-(X8)</f>
        <v>1347911.01</v>
      </c>
      <c r="Y38" s="648"/>
      <c r="Z38" s="648"/>
      <c r="AA38" s="648">
        <f>(AA5)-(AA8)</f>
        <v>0</v>
      </c>
      <c r="AB38" s="648">
        <f>(AB5)-(AB8)</f>
        <v>0</v>
      </c>
      <c r="AC38" s="648">
        <f>(AC5)-(AC8)</f>
        <v>0</v>
      </c>
      <c r="AD38" s="648"/>
      <c r="AE38" s="648"/>
      <c r="AF38" s="1455">
        <f>(AF5)-(AF8)</f>
        <v>56749.184000000001</v>
      </c>
      <c r="AG38" s="1455">
        <f>(AG5)-(AG8)</f>
        <v>0</v>
      </c>
      <c r="AH38" s="1455">
        <f>(AH5)-(AH8)</f>
        <v>56749.184000000001</v>
      </c>
      <c r="AI38" s="1721"/>
      <c r="AJ38" s="1455"/>
      <c r="AK38" s="1455">
        <f>(AK5)-(AK8)</f>
        <v>0</v>
      </c>
      <c r="AL38" s="1455">
        <f>(AL5)-(AL8)</f>
        <v>0</v>
      </c>
      <c r="AM38" s="1455">
        <f>(AM5)-(AM8)</f>
        <v>0</v>
      </c>
      <c r="AN38" s="1455"/>
      <c r="AO38" s="1455"/>
      <c r="AP38" s="1455">
        <f>(AP5)-(AP8)</f>
        <v>0</v>
      </c>
      <c r="AQ38" s="1455">
        <f>(AQ5)-(AQ8)</f>
        <v>0</v>
      </c>
      <c r="AR38" s="1455">
        <f>(AR5)-(AR8)</f>
        <v>0</v>
      </c>
      <c r="AS38" s="1455"/>
      <c r="AT38" s="1455"/>
      <c r="AU38" s="2018">
        <f>(AU5)-(AU8)</f>
        <v>-1055225.648</v>
      </c>
      <c r="AV38" s="2018">
        <f>(AV5)-(AV8)</f>
        <v>0</v>
      </c>
      <c r="AW38" s="2018">
        <f>(AW5)-(AW8)</f>
        <v>-1055225.648</v>
      </c>
      <c r="AX38" s="2018">
        <f t="shared" si="8"/>
        <v>-0.99957373270771899</v>
      </c>
      <c r="AY38" s="2018"/>
      <c r="AZ38" s="2018">
        <f>(AZ5)-(AZ8)</f>
        <v>0</v>
      </c>
      <c r="BA38" s="2018">
        <f>(BA5)-(BA8)</f>
        <v>0</v>
      </c>
      <c r="BB38" s="2018">
        <f>(BB5)-(BB8)</f>
        <v>0</v>
      </c>
      <c r="BC38" s="2018">
        <f>BB38/$AW$89</f>
        <v>0</v>
      </c>
      <c r="BD38" s="2018"/>
      <c r="BE38" s="2018">
        <f>(BE5)-(BE8)</f>
        <v>0</v>
      </c>
      <c r="BF38" s="2018">
        <f>(BF5)-(BF8)</f>
        <v>0</v>
      </c>
      <c r="BG38" s="2018">
        <f>(BG5)-(BG8)</f>
        <v>0</v>
      </c>
      <c r="BH38" s="2018">
        <f>BG38/$AW$89</f>
        <v>0</v>
      </c>
      <c r="BI38" s="2018"/>
      <c r="BJ38" s="2018">
        <f>(BJ5)-(BJ8)</f>
        <v>0</v>
      </c>
      <c r="BK38" s="2018">
        <f>(BK5)-(BK8)</f>
        <v>0</v>
      </c>
      <c r="BL38" s="2018">
        <f>(BL5)-(BL8)</f>
        <v>0</v>
      </c>
      <c r="BM38" s="2018">
        <f>BL38/$AW$89</f>
        <v>0</v>
      </c>
      <c r="BN38" s="2018"/>
      <c r="BO38" s="2018">
        <f>(BO5)-(BO8)</f>
        <v>0</v>
      </c>
      <c r="BP38" s="2018">
        <f>(BP5)-(BP8)</f>
        <v>0</v>
      </c>
      <c r="BQ38" s="2018">
        <f>(BQ5)-(BQ8)</f>
        <v>0</v>
      </c>
      <c r="BR38" s="2018">
        <f>BQ38/$AW$89</f>
        <v>0</v>
      </c>
      <c r="BS38" s="2018"/>
      <c r="BT38" s="2018">
        <f>(BT5)-(BT8)</f>
        <v>14120639.444000002</v>
      </c>
      <c r="BU38" s="2018">
        <f>(BU5)-(BU8)</f>
        <v>-8999544.2712000012</v>
      </c>
      <c r="BV38" s="2018">
        <f>(BV5)-(BV8)</f>
        <v>5121095.1728000082</v>
      </c>
      <c r="BW38" s="2018"/>
      <c r="BX38" s="2018"/>
    </row>
    <row r="39" spans="1:76" ht="14.4" customHeight="1" x14ac:dyDescent="0.25">
      <c r="A39" s="293"/>
      <c r="B39" s="15" t="s">
        <v>47</v>
      </c>
      <c r="C39" s="873">
        <f>C38/(C5)</f>
        <v>0.33524690835006554</v>
      </c>
      <c r="D39" s="873" t="e">
        <f>D38/(D5)</f>
        <v>#DIV/0!</v>
      </c>
      <c r="E39" s="874">
        <f>E38/(E5)</f>
        <v>0.1843896357985963</v>
      </c>
      <c r="F39" s="875"/>
      <c r="G39" s="639">
        <v>0.35844902616748081</v>
      </c>
      <c r="H39" s="639" t="e">
        <v>#DIV/0!</v>
      </c>
      <c r="I39" s="660">
        <v>0.11489189149629325</v>
      </c>
      <c r="J39" s="957"/>
      <c r="K39" s="957"/>
      <c r="L39" s="639" t="e">
        <f>L38/(L5)</f>
        <v>#DIV/0!</v>
      </c>
      <c r="M39" s="639" t="e">
        <f>M38/(M5)</f>
        <v>#DIV/0!</v>
      </c>
      <c r="N39" s="660" t="e">
        <f>N38/(N5)</f>
        <v>#DIV/0!</v>
      </c>
      <c r="O39" s="660"/>
      <c r="P39" s="660"/>
      <c r="Q39" s="639">
        <f>Q38/(Q5)</f>
        <v>0.68275651394279813</v>
      </c>
      <c r="R39" s="639" t="e">
        <f>R38/(R5)</f>
        <v>#DIV/0!</v>
      </c>
      <c r="S39" s="660">
        <f>S38/(S5)</f>
        <v>0.38915373944101306</v>
      </c>
      <c r="T39" s="660"/>
      <c r="U39" s="660"/>
      <c r="V39" s="639">
        <f>V38/(V5)</f>
        <v>0.98825116602967644</v>
      </c>
      <c r="W39" s="639" t="e">
        <f>W38/(W5)</f>
        <v>#DIV/0!</v>
      </c>
      <c r="X39" s="660">
        <f>X38/(X5)</f>
        <v>0.92637511923142135</v>
      </c>
      <c r="Y39" s="660"/>
      <c r="Z39" s="660"/>
      <c r="AA39" s="639" t="e">
        <f>AA38/(AA5)</f>
        <v>#DIV/0!</v>
      </c>
      <c r="AB39" s="639" t="e">
        <f>AB38/(AB5)</f>
        <v>#DIV/0!</v>
      </c>
      <c r="AC39" s="660" t="e">
        <f>AC38/(AC5)</f>
        <v>#DIV/0!</v>
      </c>
      <c r="AD39" s="660"/>
      <c r="AE39" s="660"/>
      <c r="AF39" s="1456">
        <f>AF38/(AF5)</f>
        <v>0.9509230202084521</v>
      </c>
      <c r="AG39" s="1456" t="e">
        <f>AG38/(AG5)</f>
        <v>#DIV/0!</v>
      </c>
      <c r="AH39" s="1457">
        <f>AH38/(AH5)</f>
        <v>0.9509230202084521</v>
      </c>
      <c r="AI39" s="1456"/>
      <c r="AJ39" s="1457"/>
      <c r="AK39" s="1456" t="e">
        <f>AK38/(AK5)</f>
        <v>#DIV/0!</v>
      </c>
      <c r="AL39" s="1456" t="e">
        <f>AL38/(AL5)</f>
        <v>#DIV/0!</v>
      </c>
      <c r="AM39" s="1457" t="e">
        <f>AM38/(AM5)</f>
        <v>#DIV/0!</v>
      </c>
      <c r="AN39" s="1457"/>
      <c r="AO39" s="1457"/>
      <c r="AP39" s="1456" t="e">
        <f>AP38/(AP5)</f>
        <v>#DIV/0!</v>
      </c>
      <c r="AQ39" s="1456" t="e">
        <f>AQ38/(AQ5)</f>
        <v>#DIV/0!</v>
      </c>
      <c r="AR39" s="1457" t="e">
        <f>AR38/(AR5)</f>
        <v>#DIV/0!</v>
      </c>
      <c r="AS39" s="1457"/>
      <c r="AT39" s="1457"/>
      <c r="AU39" s="2019" t="e">
        <f>AU38/(AU5)</f>
        <v>#DIV/0!</v>
      </c>
      <c r="AV39" s="2019" t="e">
        <f>AV38/(AV5)</f>
        <v>#DIV/0!</v>
      </c>
      <c r="AW39" s="2020" t="e">
        <f>AW38/(AW5)</f>
        <v>#DIV/0!</v>
      </c>
      <c r="AX39" s="2020" t="e">
        <f t="shared" si="8"/>
        <v>#DIV/0!</v>
      </c>
      <c r="AY39" s="2020"/>
      <c r="AZ39" s="2019" t="e">
        <f>AZ38/(AZ5)</f>
        <v>#DIV/0!</v>
      </c>
      <c r="BA39" s="2019" t="e">
        <f>BA38/(BA5)</f>
        <v>#DIV/0!</v>
      </c>
      <c r="BB39" s="2020" t="e">
        <f>BB38/(BB5)</f>
        <v>#DIV/0!</v>
      </c>
      <c r="BC39" s="2020" t="e">
        <f>BB39/$AW$89</f>
        <v>#DIV/0!</v>
      </c>
      <c r="BD39" s="2020"/>
      <c r="BE39" s="2019" t="e">
        <f>BE38/(BE5)</f>
        <v>#DIV/0!</v>
      </c>
      <c r="BF39" s="2019" t="e">
        <f>BF38/(BF5)</f>
        <v>#DIV/0!</v>
      </c>
      <c r="BG39" s="2020" t="e">
        <f>BG38/(BG5)</f>
        <v>#DIV/0!</v>
      </c>
      <c r="BH39" s="2020" t="e">
        <f>BG39/$AW$89</f>
        <v>#DIV/0!</v>
      </c>
      <c r="BI39" s="2020"/>
      <c r="BJ39" s="2019" t="e">
        <f>BJ38/(BJ5)</f>
        <v>#DIV/0!</v>
      </c>
      <c r="BK39" s="2019" t="e">
        <f>BK38/(BK5)</f>
        <v>#DIV/0!</v>
      </c>
      <c r="BL39" s="2020" t="e">
        <f>BL38/(BL5)</f>
        <v>#DIV/0!</v>
      </c>
      <c r="BM39" s="2020" t="e">
        <f>BL39/$AW$89</f>
        <v>#DIV/0!</v>
      </c>
      <c r="BN39" s="2020"/>
      <c r="BO39" s="2019" t="e">
        <f>BO38/(BO5)</f>
        <v>#DIV/0!</v>
      </c>
      <c r="BP39" s="2019" t="e">
        <f>BP38/(BP5)</f>
        <v>#DIV/0!</v>
      </c>
      <c r="BQ39" s="2020" t="e">
        <f>BQ38/(BQ5)</f>
        <v>#DIV/0!</v>
      </c>
      <c r="BR39" s="2020" t="e">
        <f>BQ39/$AW$89</f>
        <v>#DIV/0!</v>
      </c>
      <c r="BS39" s="2020"/>
      <c r="BT39" s="2019">
        <f>BT38/(BT5)</f>
        <v>0.39603433995233683</v>
      </c>
      <c r="BU39" s="2019" t="e">
        <f>BU38/(BU5)</f>
        <v>#DIV/0!</v>
      </c>
      <c r="BV39" s="2020">
        <f>BV38/(BV5)</f>
        <v>0.14362873258227141</v>
      </c>
      <c r="BW39" s="2020"/>
      <c r="BX39" s="2020"/>
    </row>
    <row r="40" spans="1:76" ht="14.4" customHeight="1" thickBot="1" x14ac:dyDescent="0.3">
      <c r="A40" s="295"/>
      <c r="B40" s="1234"/>
      <c r="C40" s="1235"/>
      <c r="D40" s="1038"/>
      <c r="E40" s="1178"/>
      <c r="F40" s="1236"/>
      <c r="G40" s="1236"/>
      <c r="H40" s="1236"/>
      <c r="I40" s="1236"/>
      <c r="J40" s="1236"/>
      <c r="K40" s="1236"/>
      <c r="L40" s="1178"/>
      <c r="M40" s="1178"/>
      <c r="N40" s="1178"/>
      <c r="O40" s="1178"/>
      <c r="P40" s="1178"/>
      <c r="Q40" s="1178"/>
      <c r="R40" s="1178"/>
      <c r="S40" s="1178"/>
      <c r="T40" s="1178"/>
      <c r="U40" s="1178"/>
      <c r="V40" s="1178"/>
      <c r="W40" s="1178"/>
      <c r="X40" s="1178"/>
      <c r="Y40" s="1178"/>
      <c r="Z40" s="1178"/>
      <c r="AA40" s="1178"/>
      <c r="AB40" s="1178"/>
      <c r="AC40" s="1178"/>
      <c r="AD40" s="1178"/>
      <c r="AE40" s="1178"/>
      <c r="AF40" s="1459"/>
      <c r="AG40" s="1459"/>
      <c r="AH40" s="1459"/>
      <c r="AI40" s="1804"/>
      <c r="AJ40" s="1378"/>
      <c r="AK40" s="1459"/>
      <c r="AL40" s="1459"/>
      <c r="AM40" s="1459"/>
      <c r="AN40" s="1459"/>
      <c r="AO40" s="1459"/>
      <c r="AP40" s="1459"/>
      <c r="AQ40" s="1459"/>
      <c r="AR40" s="1459"/>
      <c r="AS40" s="1459"/>
      <c r="AT40" s="1459"/>
      <c r="AU40" s="2021"/>
      <c r="AV40" s="2021"/>
      <c r="AW40" s="2021"/>
      <c r="AX40" s="2021"/>
      <c r="AY40" s="2021"/>
      <c r="AZ40" s="2021"/>
      <c r="BA40" s="2021"/>
      <c r="BB40" s="2021"/>
      <c r="BC40" s="2021"/>
      <c r="BD40" s="2021"/>
      <c r="BE40" s="2021"/>
      <c r="BF40" s="2021"/>
      <c r="BG40" s="2021"/>
      <c r="BH40" s="2021"/>
      <c r="BI40" s="2021"/>
      <c r="BJ40" s="2021"/>
      <c r="BK40" s="2021"/>
      <c r="BL40" s="2021"/>
      <c r="BM40" s="2021"/>
      <c r="BN40" s="2021"/>
      <c r="BO40" s="2021"/>
      <c r="BP40" s="2021"/>
      <c r="BQ40" s="2021"/>
      <c r="BR40" s="2021"/>
      <c r="BS40" s="2021"/>
      <c r="BT40" s="2021"/>
      <c r="BU40" s="2021"/>
      <c r="BV40" s="2021"/>
      <c r="BW40" s="2021"/>
      <c r="BX40" s="2021"/>
    </row>
    <row r="41" spans="1:76" ht="14.4" customHeight="1" x14ac:dyDescent="0.25">
      <c r="A41" s="11"/>
      <c r="B41" s="1063" t="s">
        <v>26</v>
      </c>
      <c r="C41" s="1039">
        <f>SUM(C42:C48)</f>
        <v>55674</v>
      </c>
      <c r="D41" s="1039">
        <f>SUM(D42:D48)</f>
        <v>27899.48</v>
      </c>
      <c r="E41" s="1040">
        <f>SUM(E42:E48)</f>
        <v>83573.48</v>
      </c>
      <c r="F41" s="1241">
        <f t="shared" ref="F41:F48" si="31">E41/$E$89</f>
        <v>3.4118955543431684E-3</v>
      </c>
      <c r="G41" s="1039">
        <v>91410.276000000013</v>
      </c>
      <c r="H41" s="1039">
        <v>9892.7899999999991</v>
      </c>
      <c r="I41" s="1040">
        <v>101303.06600000001</v>
      </c>
      <c r="J41" s="1108">
        <v>3.6601904103447679E-3</v>
      </c>
      <c r="K41" s="1108"/>
      <c r="L41" s="1039">
        <f>SUM(L42:L48)</f>
        <v>1933.06</v>
      </c>
      <c r="M41" s="1039">
        <f>SUM(M42:M48)</f>
        <v>770</v>
      </c>
      <c r="N41" s="1040">
        <f>SUM(N42:N48)</f>
        <v>2703.06</v>
      </c>
      <c r="O41" s="1241">
        <f t="shared" ref="O41:O49" si="32">N41/$N$89</f>
        <v>4.4042350847181841E-3</v>
      </c>
      <c r="P41" s="581"/>
      <c r="Q41" s="1039">
        <f>SUM(Q42:Q48)</f>
        <v>4232.68</v>
      </c>
      <c r="R41" s="1039">
        <f>SUM(R42:R48)</f>
        <v>1247</v>
      </c>
      <c r="S41" s="1040">
        <f>SUM(S42:S48)</f>
        <v>5479.68</v>
      </c>
      <c r="T41" s="1241">
        <f>S41/$S$89</f>
        <v>1.6621013042170355E-3</v>
      </c>
      <c r="U41" s="581"/>
      <c r="V41" s="1039">
        <f>SUM(V42:V48)</f>
        <v>405.06</v>
      </c>
      <c r="W41" s="1039">
        <f>SUM(W42:W48)</f>
        <v>0</v>
      </c>
      <c r="X41" s="1040">
        <f>SUM(X42:X48)</f>
        <v>405.06</v>
      </c>
      <c r="Y41" s="1241">
        <f>X41/$X$89</f>
        <v>3.3343302136264216E-3</v>
      </c>
      <c r="Z41" s="581"/>
      <c r="AA41" s="1039">
        <f>SUM(AA42:AA48)</f>
        <v>0</v>
      </c>
      <c r="AB41" s="1039">
        <f>SUM(AB42:AB48)</f>
        <v>0</v>
      </c>
      <c r="AC41" s="1040">
        <f>SUM(AC42:AC48)</f>
        <v>0</v>
      </c>
      <c r="AD41" s="1241" t="e">
        <f>AC41/$AC$89</f>
        <v>#DIV/0!</v>
      </c>
      <c r="AE41" s="581"/>
      <c r="AF41" s="1506">
        <f>SUM(AF42:AF48)</f>
        <v>0</v>
      </c>
      <c r="AG41" s="1506">
        <f>SUM(AG42:AG48)</f>
        <v>0</v>
      </c>
      <c r="AH41" s="1507">
        <f>SUM(AH42:AH48)</f>
        <v>0</v>
      </c>
      <c r="AI41" s="1869" t="e">
        <f>AH41/$AC$89</f>
        <v>#DIV/0!</v>
      </c>
      <c r="AJ41" s="1461"/>
      <c r="AK41" s="1506">
        <f>SUM(AK42:AK48)</f>
        <v>0</v>
      </c>
      <c r="AL41" s="1506">
        <f>SUM(AL42:AL48)</f>
        <v>0</v>
      </c>
      <c r="AM41" s="1507">
        <f>SUM(AM42:AM48)</f>
        <v>0</v>
      </c>
      <c r="AN41" s="1548">
        <f t="shared" ref="AN41:AN52" si="33">AM41/$AM$89</f>
        <v>0</v>
      </c>
      <c r="AO41" s="1461"/>
      <c r="AP41" s="1506">
        <f>SUM(AP42:AP48)</f>
        <v>0</v>
      </c>
      <c r="AQ41" s="1506">
        <f>SUM(AQ42:AQ48)</f>
        <v>0</v>
      </c>
      <c r="AR41" s="1507">
        <f>SUM(AR42:AR48)</f>
        <v>0</v>
      </c>
      <c r="AS41" s="1548" t="e">
        <f t="shared" ref="AS41:AS52" si="34">AR41/$AR$89</f>
        <v>#DIV/0!</v>
      </c>
      <c r="AT41" s="1461"/>
      <c r="AU41" s="2029">
        <f>SUM(AU42:AU48)</f>
        <v>450</v>
      </c>
      <c r="AV41" s="2029">
        <f>SUM(AV42:AV48)</f>
        <v>0</v>
      </c>
      <c r="AW41" s="2030">
        <f>SUM(AW42:AW48)</f>
        <v>450</v>
      </c>
      <c r="AX41" s="2032">
        <f t="shared" si="8"/>
        <v>4.2626729228104727E-4</v>
      </c>
      <c r="AY41" s="2022"/>
      <c r="AZ41" s="2029">
        <f>SUM(AZ42:AZ48)</f>
        <v>0</v>
      </c>
      <c r="BA41" s="2029">
        <f>SUM(BA42:BA48)</f>
        <v>0</v>
      </c>
      <c r="BB41" s="2030">
        <f>SUM(BB42:BB48)</f>
        <v>0</v>
      </c>
      <c r="BC41" s="2032" t="e">
        <f t="shared" ref="BC41:BC52" si="35">BB41/$BB$89</f>
        <v>#DIV/0!</v>
      </c>
      <c r="BD41" s="2022"/>
      <c r="BE41" s="2029">
        <f>SUM(BE42:BE48)</f>
        <v>0</v>
      </c>
      <c r="BF41" s="2029">
        <f>SUM(BF42:BF48)</f>
        <v>0</v>
      </c>
      <c r="BG41" s="2030">
        <f>SUM(BG42:BG48)</f>
        <v>0</v>
      </c>
      <c r="BH41" s="2032" t="e">
        <f t="shared" ref="BH41:BH52" si="36">BG41/$BG$89</f>
        <v>#DIV/0!</v>
      </c>
      <c r="BI41" s="2022"/>
      <c r="BJ41" s="2029">
        <f>SUM(BJ42:BJ48)</f>
        <v>0</v>
      </c>
      <c r="BK41" s="2029">
        <f>SUM(BK42:BK48)</f>
        <v>0</v>
      </c>
      <c r="BL41" s="2030">
        <f>SUM(BL42:BL48)</f>
        <v>0</v>
      </c>
      <c r="BM41" s="2032" t="e">
        <f t="shared" ref="BM41:BM52" si="37">BL41/$BL$89</f>
        <v>#DIV/0!</v>
      </c>
      <c r="BN41" s="2022"/>
      <c r="BO41" s="2029">
        <f>SUM(BO42:BO48)</f>
        <v>0</v>
      </c>
      <c r="BP41" s="2029">
        <f>SUM(BP42:BP48)</f>
        <v>0</v>
      </c>
      <c r="BQ41" s="2030">
        <f>SUM(BQ42:BQ48)</f>
        <v>0</v>
      </c>
      <c r="BR41" s="2032" t="e">
        <f t="shared" ref="BR41:BR52" si="38">BQ41/$BL$89</f>
        <v>#DIV/0!</v>
      </c>
      <c r="BS41" s="2022"/>
      <c r="BT41" s="2029">
        <f>SUM(BT42:BT48)</f>
        <v>98431.076000000015</v>
      </c>
      <c r="BU41" s="2029">
        <f>SUM(BU42:BU48)</f>
        <v>11909.789999999999</v>
      </c>
      <c r="BV41" s="2030">
        <f>SUM(BV42:BV48)</f>
        <v>110340.86600000001</v>
      </c>
      <c r="BW41" s="2032">
        <f t="shared" ref="BW41:BW52" si="39">BV41/$BV$89</f>
        <v>3.3588981433166124E-3</v>
      </c>
      <c r="BX41" s="2022"/>
    </row>
    <row r="42" spans="1:76" ht="14.4" customHeight="1" x14ac:dyDescent="0.25">
      <c r="A42" s="4015"/>
      <c r="B42" s="1195" t="s">
        <v>7</v>
      </c>
      <c r="C42" s="1243"/>
      <c r="D42" s="1243"/>
      <c r="E42" s="1244">
        <f t="shared" ref="E42:E48" si="40">C42+D42</f>
        <v>0</v>
      </c>
      <c r="F42" s="1245">
        <f t="shared" si="31"/>
        <v>0</v>
      </c>
      <c r="G42" s="1188">
        <v>0</v>
      </c>
      <c r="H42" s="1188">
        <v>0</v>
      </c>
      <c r="I42" s="1190">
        <v>0</v>
      </c>
      <c r="J42" s="1049">
        <v>0</v>
      </c>
      <c r="K42" s="1049"/>
      <c r="L42" s="1188"/>
      <c r="M42" s="1188"/>
      <c r="N42" s="1190">
        <f t="shared" ref="N42:N48" si="41">L42+M42*1</f>
        <v>0</v>
      </c>
      <c r="O42" s="1245">
        <f t="shared" si="32"/>
        <v>0</v>
      </c>
      <c r="P42" s="1246"/>
      <c r="Q42" s="1188"/>
      <c r="R42" s="1188"/>
      <c r="S42" s="1190">
        <f t="shared" ref="S42:S48" si="42">Q42+R42*1</f>
        <v>0</v>
      </c>
      <c r="T42" s="1245">
        <f t="shared" ref="T42:T49" si="43">S42/$S$89</f>
        <v>0</v>
      </c>
      <c r="U42" s="1246"/>
      <c r="V42" s="1188"/>
      <c r="W42" s="1188"/>
      <c r="X42" s="1190">
        <f t="shared" ref="X42:X48" si="44">V42+W42*1</f>
        <v>0</v>
      </c>
      <c r="Y42" s="1245">
        <f t="shared" ref="Y42:Y52" si="45">X42/$X$89</f>
        <v>0</v>
      </c>
      <c r="Z42" s="1246"/>
      <c r="AA42" s="1188"/>
      <c r="AB42" s="1188"/>
      <c r="AC42" s="1190">
        <f t="shared" ref="AC42:AC48" si="46">AA42+AB42*1</f>
        <v>0</v>
      </c>
      <c r="AD42" s="1245" t="e">
        <f>AC42/$AC$89</f>
        <v>#DIV/0!</v>
      </c>
      <c r="AE42" s="1246"/>
      <c r="AF42" s="1447"/>
      <c r="AG42" s="1447"/>
      <c r="AH42" s="1495">
        <f t="shared" ref="AH42:AH48" si="47">AF42+AG42*1</f>
        <v>0</v>
      </c>
      <c r="AI42" s="1666">
        <f t="shared" ref="AI42:AI49" si="48">AH42/$AH$89</f>
        <v>0</v>
      </c>
      <c r="AJ42" s="1746"/>
      <c r="AK42" s="1447"/>
      <c r="AL42" s="1447"/>
      <c r="AM42" s="1495">
        <f t="shared" ref="AM42:AM48" si="49">AK42+AL42*1</f>
        <v>0</v>
      </c>
      <c r="AN42" s="1555">
        <f t="shared" si="33"/>
        <v>0</v>
      </c>
      <c r="AO42" s="1475"/>
      <c r="AP42" s="1447"/>
      <c r="AQ42" s="1447"/>
      <c r="AR42" s="1495">
        <f t="shared" ref="AR42:AR48" si="50">AP42+AQ42*1</f>
        <v>0</v>
      </c>
      <c r="AS42" s="1555" t="e">
        <f t="shared" si="34"/>
        <v>#DIV/0!</v>
      </c>
      <c r="AT42" s="1475"/>
      <c r="AU42" s="2059"/>
      <c r="AV42" s="2059"/>
      <c r="AW42" s="2028">
        <f t="shared" ref="AW42:AW48" si="51">AU42+AV42*1</f>
        <v>0</v>
      </c>
      <c r="AX42" s="2060">
        <f t="shared" si="8"/>
        <v>0</v>
      </c>
      <c r="AY42" s="2008"/>
      <c r="AZ42" s="2059"/>
      <c r="BA42" s="2059"/>
      <c r="BB42" s="2028">
        <f t="shared" ref="BB42:BB48" si="52">AZ42+BA42*1</f>
        <v>0</v>
      </c>
      <c r="BC42" s="2060" t="e">
        <f t="shared" si="35"/>
        <v>#DIV/0!</v>
      </c>
      <c r="BD42" s="2008"/>
      <c r="BE42" s="2059"/>
      <c r="BF42" s="2059"/>
      <c r="BG42" s="2028">
        <f t="shared" ref="BG42:BG48" si="53">BE42+BF42*1</f>
        <v>0</v>
      </c>
      <c r="BH42" s="2060" t="e">
        <f t="shared" si="36"/>
        <v>#DIV/0!</v>
      </c>
      <c r="BI42" s="2008"/>
      <c r="BJ42" s="2059"/>
      <c r="BK42" s="2059"/>
      <c r="BL42" s="2028">
        <f t="shared" ref="BL42:BL48" si="54">BJ42+BK42*1</f>
        <v>0</v>
      </c>
      <c r="BM42" s="2060" t="e">
        <f t="shared" si="37"/>
        <v>#DIV/0!</v>
      </c>
      <c r="BN42" s="2008"/>
      <c r="BO42" s="2059"/>
      <c r="BP42" s="2059"/>
      <c r="BQ42" s="2028">
        <f t="shared" ref="BQ42:BQ48" si="55">BO42+BP42*1</f>
        <v>0</v>
      </c>
      <c r="BR42" s="2060" t="e">
        <f t="shared" si="38"/>
        <v>#DIV/0!</v>
      </c>
      <c r="BS42" s="2008"/>
      <c r="BT42" s="2059">
        <f t="shared" ref="BT42:BU48" si="56">G42+L42+Q42+V42+AA42+AF42+AK42+AP42+AU42+AZ42+BE42</f>
        <v>0</v>
      </c>
      <c r="BU42" s="2059">
        <f t="shared" si="56"/>
        <v>0</v>
      </c>
      <c r="BV42" s="2028">
        <f t="shared" ref="BV42:BV48" si="57">BT42+BU42*1</f>
        <v>0</v>
      </c>
      <c r="BW42" s="2060">
        <f t="shared" si="39"/>
        <v>0</v>
      </c>
      <c r="BX42" s="2008"/>
    </row>
    <row r="43" spans="1:76" ht="14.4" customHeight="1" x14ac:dyDescent="0.25">
      <c r="A43" s="4015"/>
      <c r="B43" s="1195" t="s">
        <v>27</v>
      </c>
      <c r="C43" s="1242"/>
      <c r="D43" s="1243">
        <v>10006</v>
      </c>
      <c r="E43" s="1244">
        <f t="shared" si="40"/>
        <v>10006</v>
      </c>
      <c r="F43" s="1245">
        <f t="shared" si="31"/>
        <v>4.0849593575327661E-4</v>
      </c>
      <c r="G43" s="1188">
        <v>0</v>
      </c>
      <c r="H43" s="1188">
        <v>3944.98</v>
      </c>
      <c r="I43" s="1190">
        <v>3944.98</v>
      </c>
      <c r="J43" s="1049">
        <v>1.4253643581727232E-4</v>
      </c>
      <c r="K43" s="1049"/>
      <c r="L43" s="1188"/>
      <c r="M43" s="1188"/>
      <c r="N43" s="1190">
        <f t="shared" si="41"/>
        <v>0</v>
      </c>
      <c r="O43" s="1245">
        <f t="shared" si="32"/>
        <v>0</v>
      </c>
      <c r="P43" s="1246"/>
      <c r="Q43" s="1188"/>
      <c r="R43" s="1188">
        <v>220</v>
      </c>
      <c r="S43" s="1190">
        <f t="shared" si="42"/>
        <v>220</v>
      </c>
      <c r="T43" s="1245">
        <f t="shared" si="43"/>
        <v>6.6730591371712904E-5</v>
      </c>
      <c r="U43" s="1246"/>
      <c r="V43" s="1188"/>
      <c r="W43" s="1188"/>
      <c r="X43" s="1190">
        <f t="shared" si="44"/>
        <v>0</v>
      </c>
      <c r="Y43" s="1245">
        <f t="shared" si="45"/>
        <v>0</v>
      </c>
      <c r="Z43" s="1246"/>
      <c r="AA43" s="1188"/>
      <c r="AB43" s="1188"/>
      <c r="AC43" s="1190">
        <f>AA43+AB43*1</f>
        <v>0</v>
      </c>
      <c r="AD43" s="1245" t="e">
        <f t="shared" ref="AD43:AD49" si="58">AC43/$AC$89</f>
        <v>#DIV/0!</v>
      </c>
      <c r="AE43" s="1246"/>
      <c r="AF43" s="1447"/>
      <c r="AG43" s="1447"/>
      <c r="AH43" s="1495">
        <f t="shared" si="47"/>
        <v>0</v>
      </c>
      <c r="AI43" s="1666">
        <f t="shared" si="48"/>
        <v>0</v>
      </c>
      <c r="AJ43" s="1746"/>
      <c r="AK43" s="1447"/>
      <c r="AL43" s="1447"/>
      <c r="AM43" s="1495">
        <f t="shared" si="49"/>
        <v>0</v>
      </c>
      <c r="AN43" s="1555">
        <f t="shared" si="33"/>
        <v>0</v>
      </c>
      <c r="AO43" s="1475"/>
      <c r="AP43" s="1447"/>
      <c r="AQ43" s="1447"/>
      <c r="AR43" s="1495">
        <f t="shared" si="50"/>
        <v>0</v>
      </c>
      <c r="AS43" s="1555" t="e">
        <f t="shared" si="34"/>
        <v>#DIV/0!</v>
      </c>
      <c r="AT43" s="1475"/>
      <c r="AU43" s="2059"/>
      <c r="AV43" s="2059"/>
      <c r="AW43" s="2028">
        <f t="shared" si="51"/>
        <v>0</v>
      </c>
      <c r="AX43" s="2060">
        <f t="shared" si="8"/>
        <v>0</v>
      </c>
      <c r="AY43" s="2008"/>
      <c r="AZ43" s="2059"/>
      <c r="BA43" s="2059"/>
      <c r="BB43" s="2028">
        <f t="shared" si="52"/>
        <v>0</v>
      </c>
      <c r="BC43" s="2060" t="e">
        <f t="shared" si="35"/>
        <v>#DIV/0!</v>
      </c>
      <c r="BD43" s="2008"/>
      <c r="BE43" s="2059"/>
      <c r="BF43" s="2059"/>
      <c r="BG43" s="2028">
        <f t="shared" si="53"/>
        <v>0</v>
      </c>
      <c r="BH43" s="2060" t="e">
        <f t="shared" si="36"/>
        <v>#DIV/0!</v>
      </c>
      <c r="BI43" s="2008"/>
      <c r="BJ43" s="2059"/>
      <c r="BK43" s="2059"/>
      <c r="BL43" s="2028">
        <f t="shared" si="54"/>
        <v>0</v>
      </c>
      <c r="BM43" s="2060" t="e">
        <f t="shared" si="37"/>
        <v>#DIV/0!</v>
      </c>
      <c r="BN43" s="2008"/>
      <c r="BO43" s="2059"/>
      <c r="BP43" s="2059"/>
      <c r="BQ43" s="2028">
        <f t="shared" si="55"/>
        <v>0</v>
      </c>
      <c r="BR43" s="2060" t="e">
        <f t="shared" si="38"/>
        <v>#DIV/0!</v>
      </c>
      <c r="BS43" s="2008"/>
      <c r="BT43" s="2059">
        <f t="shared" si="56"/>
        <v>0</v>
      </c>
      <c r="BU43" s="2059">
        <f t="shared" si="56"/>
        <v>4164.9799999999996</v>
      </c>
      <c r="BV43" s="2028">
        <f t="shared" si="57"/>
        <v>4164.9799999999996</v>
      </c>
      <c r="BW43" s="2060">
        <f t="shared" si="39"/>
        <v>1.2678660315164486E-4</v>
      </c>
      <c r="BX43" s="2008"/>
    </row>
    <row r="44" spans="1:76" ht="14.4" customHeight="1" x14ac:dyDescent="0.25">
      <c r="A44" s="4015"/>
      <c r="B44" s="1116" t="s">
        <v>28</v>
      </c>
      <c r="C44" s="1242"/>
      <c r="D44" s="1243"/>
      <c r="E44" s="1244">
        <f t="shared" si="40"/>
        <v>0</v>
      </c>
      <c r="F44" s="1245">
        <f t="shared" si="31"/>
        <v>0</v>
      </c>
      <c r="G44" s="1188">
        <v>0</v>
      </c>
      <c r="H44" s="1188">
        <v>440</v>
      </c>
      <c r="I44" s="1190">
        <v>440</v>
      </c>
      <c r="J44" s="1049">
        <v>1.5897680535668068E-5</v>
      </c>
      <c r="K44" s="1049"/>
      <c r="L44" s="1188"/>
      <c r="M44" s="1188">
        <v>370</v>
      </c>
      <c r="N44" s="1190">
        <f t="shared" si="41"/>
        <v>370</v>
      </c>
      <c r="O44" s="1245">
        <f t="shared" si="32"/>
        <v>6.0286008499468315E-4</v>
      </c>
      <c r="P44" s="1246" t="s">
        <v>750</v>
      </c>
      <c r="Q44" s="1188"/>
      <c r="R44" s="1188">
        <v>650</v>
      </c>
      <c r="S44" s="1190">
        <f t="shared" si="42"/>
        <v>650</v>
      </c>
      <c r="T44" s="1245">
        <f t="shared" si="43"/>
        <v>1.9715856541642449E-4</v>
      </c>
      <c r="U44" s="1246" t="s">
        <v>750</v>
      </c>
      <c r="V44" s="1188"/>
      <c r="W44" s="1188"/>
      <c r="X44" s="1190">
        <f t="shared" si="44"/>
        <v>0</v>
      </c>
      <c r="Y44" s="1245">
        <f t="shared" si="45"/>
        <v>0</v>
      </c>
      <c r="Z44" s="1246"/>
      <c r="AA44" s="1188"/>
      <c r="AB44" s="1188"/>
      <c r="AC44" s="1190">
        <f t="shared" si="46"/>
        <v>0</v>
      </c>
      <c r="AD44" s="1245" t="e">
        <f t="shared" si="58"/>
        <v>#DIV/0!</v>
      </c>
      <c r="AE44" s="1246"/>
      <c r="AF44" s="1447"/>
      <c r="AG44" s="1447"/>
      <c r="AH44" s="1495">
        <f t="shared" si="47"/>
        <v>0</v>
      </c>
      <c r="AI44" s="1666">
        <f t="shared" si="48"/>
        <v>0</v>
      </c>
      <c r="AJ44" s="1746"/>
      <c r="AK44" s="1447"/>
      <c r="AL44" s="1447"/>
      <c r="AM44" s="1495">
        <f t="shared" si="49"/>
        <v>0</v>
      </c>
      <c r="AN44" s="1555">
        <f t="shared" si="33"/>
        <v>0</v>
      </c>
      <c r="AO44" s="1475"/>
      <c r="AP44" s="1447"/>
      <c r="AQ44" s="1447"/>
      <c r="AR44" s="1495">
        <f t="shared" si="50"/>
        <v>0</v>
      </c>
      <c r="AS44" s="1555" t="e">
        <f t="shared" si="34"/>
        <v>#DIV/0!</v>
      </c>
      <c r="AT44" s="1475"/>
      <c r="AU44" s="2059"/>
      <c r="AV44" s="2059"/>
      <c r="AW44" s="2028">
        <f t="shared" si="51"/>
        <v>0</v>
      </c>
      <c r="AX44" s="2060">
        <f t="shared" si="8"/>
        <v>0</v>
      </c>
      <c r="AY44" s="2008"/>
      <c r="AZ44" s="2059"/>
      <c r="BA44" s="2059"/>
      <c r="BB44" s="2028">
        <f t="shared" si="52"/>
        <v>0</v>
      </c>
      <c r="BC44" s="2060" t="e">
        <f t="shared" si="35"/>
        <v>#DIV/0!</v>
      </c>
      <c r="BD44" s="2008"/>
      <c r="BE44" s="2059"/>
      <c r="BF44" s="2059"/>
      <c r="BG44" s="2028">
        <f t="shared" si="53"/>
        <v>0</v>
      </c>
      <c r="BH44" s="2060" t="e">
        <f t="shared" si="36"/>
        <v>#DIV/0!</v>
      </c>
      <c r="BI44" s="2008"/>
      <c r="BJ44" s="2059"/>
      <c r="BK44" s="2059"/>
      <c r="BL44" s="2028">
        <f t="shared" si="54"/>
        <v>0</v>
      </c>
      <c r="BM44" s="2060" t="e">
        <f t="shared" si="37"/>
        <v>#DIV/0!</v>
      </c>
      <c r="BN44" s="2008"/>
      <c r="BO44" s="2059"/>
      <c r="BP44" s="2059"/>
      <c r="BQ44" s="2028">
        <f t="shared" si="55"/>
        <v>0</v>
      </c>
      <c r="BR44" s="2060" t="e">
        <f t="shared" si="38"/>
        <v>#DIV/0!</v>
      </c>
      <c r="BS44" s="2008"/>
      <c r="BT44" s="2059">
        <f t="shared" si="56"/>
        <v>0</v>
      </c>
      <c r="BU44" s="2059">
        <f t="shared" si="56"/>
        <v>1460</v>
      </c>
      <c r="BV44" s="2028">
        <f t="shared" si="57"/>
        <v>1460</v>
      </c>
      <c r="BW44" s="2060">
        <f t="shared" si="39"/>
        <v>4.4444016682289349E-5</v>
      </c>
      <c r="BX44" s="2008"/>
    </row>
    <row r="45" spans="1:76" ht="14.4" customHeight="1" x14ac:dyDescent="0.25">
      <c r="A45" s="4015"/>
      <c r="B45" s="1195" t="s">
        <v>8</v>
      </c>
      <c r="C45" s="1242"/>
      <c r="D45" s="1243">
        <v>16000</v>
      </c>
      <c r="E45" s="1244">
        <f t="shared" si="40"/>
        <v>16000</v>
      </c>
      <c r="F45" s="1245">
        <f t="shared" si="31"/>
        <v>6.5320157625948681E-4</v>
      </c>
      <c r="G45" s="1188">
        <v>0</v>
      </c>
      <c r="H45" s="1188">
        <v>3700</v>
      </c>
      <c r="I45" s="1190">
        <v>3700</v>
      </c>
      <c r="J45" s="1049">
        <v>1.3368504086811787E-4</v>
      </c>
      <c r="K45" s="1049"/>
      <c r="L45" s="1188"/>
      <c r="M45" s="1188">
        <v>400</v>
      </c>
      <c r="N45" s="1190">
        <f t="shared" si="41"/>
        <v>400</v>
      </c>
      <c r="O45" s="1245">
        <f t="shared" si="32"/>
        <v>6.5174063242668453E-4</v>
      </c>
      <c r="P45" s="1246"/>
      <c r="Q45" s="1188"/>
      <c r="R45" s="1188">
        <v>300</v>
      </c>
      <c r="S45" s="1190">
        <f t="shared" si="42"/>
        <v>300</v>
      </c>
      <c r="T45" s="1245">
        <f t="shared" si="43"/>
        <v>9.0996260961426697E-5</v>
      </c>
      <c r="U45" s="1246"/>
      <c r="V45" s="1188"/>
      <c r="W45" s="1188"/>
      <c r="X45" s="1190">
        <f t="shared" si="44"/>
        <v>0</v>
      </c>
      <c r="Y45" s="1245">
        <f t="shared" si="45"/>
        <v>0</v>
      </c>
      <c r="Z45" s="1246"/>
      <c r="AA45" s="1188"/>
      <c r="AB45" s="1188"/>
      <c r="AC45" s="1190">
        <f t="shared" si="46"/>
        <v>0</v>
      </c>
      <c r="AD45" s="1245" t="e">
        <f t="shared" si="58"/>
        <v>#DIV/0!</v>
      </c>
      <c r="AE45" s="1246"/>
      <c r="AF45" s="1447"/>
      <c r="AG45" s="1447"/>
      <c r="AH45" s="1495">
        <f t="shared" si="47"/>
        <v>0</v>
      </c>
      <c r="AI45" s="1666">
        <f t="shared" si="48"/>
        <v>0</v>
      </c>
      <c r="AJ45" s="1746"/>
      <c r="AK45" s="1447"/>
      <c r="AL45" s="1447"/>
      <c r="AM45" s="1495">
        <f t="shared" si="49"/>
        <v>0</v>
      </c>
      <c r="AN45" s="1555">
        <f t="shared" si="33"/>
        <v>0</v>
      </c>
      <c r="AO45" s="1475"/>
      <c r="AP45" s="1447"/>
      <c r="AQ45" s="1447"/>
      <c r="AR45" s="1495">
        <f t="shared" si="50"/>
        <v>0</v>
      </c>
      <c r="AS45" s="1555" t="e">
        <f t="shared" si="34"/>
        <v>#DIV/0!</v>
      </c>
      <c r="AT45" s="1475"/>
      <c r="AU45" s="2059"/>
      <c r="AV45" s="2059"/>
      <c r="AW45" s="2028">
        <f t="shared" si="51"/>
        <v>0</v>
      </c>
      <c r="AX45" s="2060">
        <f t="shared" si="8"/>
        <v>0</v>
      </c>
      <c r="AY45" s="2008"/>
      <c r="AZ45" s="2059"/>
      <c r="BA45" s="2059"/>
      <c r="BB45" s="2028">
        <f t="shared" si="52"/>
        <v>0</v>
      </c>
      <c r="BC45" s="2060" t="e">
        <f t="shared" si="35"/>
        <v>#DIV/0!</v>
      </c>
      <c r="BD45" s="2008"/>
      <c r="BE45" s="2059"/>
      <c r="BF45" s="2059"/>
      <c r="BG45" s="2028">
        <f t="shared" si="53"/>
        <v>0</v>
      </c>
      <c r="BH45" s="2060" t="e">
        <f t="shared" si="36"/>
        <v>#DIV/0!</v>
      </c>
      <c r="BI45" s="2008"/>
      <c r="BJ45" s="2059"/>
      <c r="BK45" s="2059"/>
      <c r="BL45" s="2028">
        <f t="shared" si="54"/>
        <v>0</v>
      </c>
      <c r="BM45" s="2060" t="e">
        <f t="shared" si="37"/>
        <v>#DIV/0!</v>
      </c>
      <c r="BN45" s="2008"/>
      <c r="BO45" s="2059"/>
      <c r="BP45" s="2059"/>
      <c r="BQ45" s="2028">
        <f t="shared" si="55"/>
        <v>0</v>
      </c>
      <c r="BR45" s="2060" t="e">
        <f t="shared" si="38"/>
        <v>#DIV/0!</v>
      </c>
      <c r="BS45" s="2008"/>
      <c r="BT45" s="2059">
        <f t="shared" si="56"/>
        <v>0</v>
      </c>
      <c r="BU45" s="2059">
        <f t="shared" si="56"/>
        <v>4400</v>
      </c>
      <c r="BV45" s="2028">
        <f t="shared" si="57"/>
        <v>4400</v>
      </c>
      <c r="BW45" s="2060">
        <f t="shared" si="39"/>
        <v>1.3394087219320078E-4</v>
      </c>
      <c r="BX45" s="2008"/>
    </row>
    <row r="46" spans="1:76" ht="14.4" customHeight="1" x14ac:dyDescent="0.25">
      <c r="A46" s="4015"/>
      <c r="B46" s="1195" t="s">
        <v>29</v>
      </c>
      <c r="C46" s="1242"/>
      <c r="D46" s="1243"/>
      <c r="E46" s="1244">
        <f t="shared" si="40"/>
        <v>0</v>
      </c>
      <c r="F46" s="1245">
        <f t="shared" si="31"/>
        <v>0</v>
      </c>
      <c r="G46" s="1188">
        <v>0</v>
      </c>
      <c r="H46" s="1188">
        <v>0</v>
      </c>
      <c r="I46" s="1190">
        <v>0</v>
      </c>
      <c r="J46" s="1049">
        <v>0</v>
      </c>
      <c r="K46" s="1049"/>
      <c r="L46" s="1188"/>
      <c r="M46" s="1188"/>
      <c r="N46" s="1190">
        <f t="shared" si="41"/>
        <v>0</v>
      </c>
      <c r="O46" s="1245">
        <f t="shared" si="32"/>
        <v>0</v>
      </c>
      <c r="P46" s="1246"/>
      <c r="Q46" s="1188"/>
      <c r="R46" s="1188"/>
      <c r="S46" s="1190">
        <f t="shared" si="42"/>
        <v>0</v>
      </c>
      <c r="T46" s="1245">
        <f t="shared" si="43"/>
        <v>0</v>
      </c>
      <c r="U46" s="1246"/>
      <c r="V46" s="1188"/>
      <c r="W46" s="1188"/>
      <c r="X46" s="1190">
        <f t="shared" si="44"/>
        <v>0</v>
      </c>
      <c r="Y46" s="1245">
        <f t="shared" si="45"/>
        <v>0</v>
      </c>
      <c r="Z46" s="1246"/>
      <c r="AA46" s="1188"/>
      <c r="AB46" s="1188"/>
      <c r="AC46" s="1190">
        <f t="shared" si="46"/>
        <v>0</v>
      </c>
      <c r="AD46" s="1245" t="e">
        <f t="shared" si="58"/>
        <v>#DIV/0!</v>
      </c>
      <c r="AE46" s="1246"/>
      <c r="AF46" s="1447"/>
      <c r="AG46" s="1447"/>
      <c r="AH46" s="1495">
        <f t="shared" si="47"/>
        <v>0</v>
      </c>
      <c r="AI46" s="1666">
        <f t="shared" si="48"/>
        <v>0</v>
      </c>
      <c r="AJ46" s="1746"/>
      <c r="AK46" s="1447"/>
      <c r="AL46" s="1447"/>
      <c r="AM46" s="1495">
        <f t="shared" si="49"/>
        <v>0</v>
      </c>
      <c r="AN46" s="1555">
        <f t="shared" si="33"/>
        <v>0</v>
      </c>
      <c r="AO46" s="1475"/>
      <c r="AP46" s="1447"/>
      <c r="AQ46" s="1447"/>
      <c r="AR46" s="1495">
        <f t="shared" si="50"/>
        <v>0</v>
      </c>
      <c r="AS46" s="1555" t="e">
        <f t="shared" si="34"/>
        <v>#DIV/0!</v>
      </c>
      <c r="AT46" s="1475"/>
      <c r="AU46" s="2059"/>
      <c r="AV46" s="2059"/>
      <c r="AW46" s="2028">
        <f t="shared" si="51"/>
        <v>0</v>
      </c>
      <c r="AX46" s="2060">
        <f t="shared" si="8"/>
        <v>0</v>
      </c>
      <c r="AY46" s="2008"/>
      <c r="AZ46" s="2059"/>
      <c r="BA46" s="2059"/>
      <c r="BB46" s="2028">
        <f t="shared" si="52"/>
        <v>0</v>
      </c>
      <c r="BC46" s="2060" t="e">
        <f t="shared" si="35"/>
        <v>#DIV/0!</v>
      </c>
      <c r="BD46" s="2008"/>
      <c r="BE46" s="2059"/>
      <c r="BF46" s="2059"/>
      <c r="BG46" s="2028">
        <f t="shared" si="53"/>
        <v>0</v>
      </c>
      <c r="BH46" s="2060" t="e">
        <f t="shared" si="36"/>
        <v>#DIV/0!</v>
      </c>
      <c r="BI46" s="2008"/>
      <c r="BJ46" s="2059"/>
      <c r="BK46" s="2059"/>
      <c r="BL46" s="2028">
        <f t="shared" si="54"/>
        <v>0</v>
      </c>
      <c r="BM46" s="2060" t="e">
        <f t="shared" si="37"/>
        <v>#DIV/0!</v>
      </c>
      <c r="BN46" s="2008"/>
      <c r="BO46" s="2059"/>
      <c r="BP46" s="2059"/>
      <c r="BQ46" s="2028">
        <f t="shared" si="55"/>
        <v>0</v>
      </c>
      <c r="BR46" s="2060" t="e">
        <f t="shared" si="38"/>
        <v>#DIV/0!</v>
      </c>
      <c r="BS46" s="2008"/>
      <c r="BT46" s="2059">
        <f t="shared" si="56"/>
        <v>0</v>
      </c>
      <c r="BU46" s="2059">
        <f t="shared" si="56"/>
        <v>0</v>
      </c>
      <c r="BV46" s="2028">
        <f t="shared" si="57"/>
        <v>0</v>
      </c>
      <c r="BW46" s="2060">
        <f t="shared" si="39"/>
        <v>0</v>
      </c>
      <c r="BX46" s="2008"/>
    </row>
    <row r="47" spans="1:76" ht="14.4" customHeight="1" x14ac:dyDescent="0.25">
      <c r="A47" s="4015"/>
      <c r="B47" s="1195" t="s">
        <v>30</v>
      </c>
      <c r="C47" s="1242">
        <v>49274</v>
      </c>
      <c r="D47" s="1243">
        <v>1500</v>
      </c>
      <c r="E47" s="1244">
        <f t="shared" si="40"/>
        <v>50774</v>
      </c>
      <c r="F47" s="1245">
        <f t="shared" si="31"/>
        <v>2.0728535520624491E-3</v>
      </c>
      <c r="G47" s="1188">
        <v>88749.500000000015</v>
      </c>
      <c r="H47" s="1188">
        <v>1414.33</v>
      </c>
      <c r="I47" s="1190">
        <v>90163.830000000016</v>
      </c>
      <c r="J47" s="1049">
        <v>3.2577176482097387E-3</v>
      </c>
      <c r="K47" s="1049"/>
      <c r="L47" s="1188">
        <v>1933.06</v>
      </c>
      <c r="M47" s="1188"/>
      <c r="N47" s="1190">
        <f t="shared" si="41"/>
        <v>1933.06</v>
      </c>
      <c r="O47" s="1245">
        <f t="shared" si="32"/>
        <v>3.1496343672968168E-3</v>
      </c>
      <c r="P47" s="1246"/>
      <c r="Q47" s="1188">
        <f>3829.65+168+235.03</f>
        <v>4232.68</v>
      </c>
      <c r="R47" s="1188">
        <v>51</v>
      </c>
      <c r="S47" s="1190">
        <f t="shared" si="42"/>
        <v>4283.68</v>
      </c>
      <c r="T47" s="1245">
        <f t="shared" si="43"/>
        <v>1.2993295438508143E-3</v>
      </c>
      <c r="U47" s="1292" t="s">
        <v>1035</v>
      </c>
      <c r="V47" s="1188">
        <v>405.06</v>
      </c>
      <c r="W47" s="1188"/>
      <c r="X47" s="1190">
        <f t="shared" si="44"/>
        <v>405.06</v>
      </c>
      <c r="Y47" s="1245">
        <f t="shared" si="45"/>
        <v>3.3343302136264216E-3</v>
      </c>
      <c r="Z47" s="1246"/>
      <c r="AA47" s="1188"/>
      <c r="AB47" s="1188"/>
      <c r="AC47" s="1190">
        <f t="shared" si="46"/>
        <v>0</v>
      </c>
      <c r="AD47" s="1245" t="e">
        <f t="shared" si="58"/>
        <v>#DIV/0!</v>
      </c>
      <c r="AE47" s="1246"/>
      <c r="AF47" s="1447"/>
      <c r="AG47" s="1447"/>
      <c r="AH47" s="1495">
        <f t="shared" si="47"/>
        <v>0</v>
      </c>
      <c r="AI47" s="1666">
        <f t="shared" si="48"/>
        <v>0</v>
      </c>
      <c r="AJ47" s="1746"/>
      <c r="AK47" s="1447"/>
      <c r="AL47" s="1447"/>
      <c r="AM47" s="1495">
        <f t="shared" si="49"/>
        <v>0</v>
      </c>
      <c r="AN47" s="1555">
        <f t="shared" si="33"/>
        <v>0</v>
      </c>
      <c r="AO47" s="1475"/>
      <c r="AP47" s="1447"/>
      <c r="AQ47" s="1447"/>
      <c r="AR47" s="1495">
        <f t="shared" si="50"/>
        <v>0</v>
      </c>
      <c r="AS47" s="1555" t="e">
        <f t="shared" si="34"/>
        <v>#DIV/0!</v>
      </c>
      <c r="AT47" s="1475"/>
      <c r="AU47" s="2059"/>
      <c r="AV47" s="2059"/>
      <c r="AW47" s="2028">
        <f t="shared" si="51"/>
        <v>0</v>
      </c>
      <c r="AX47" s="2060">
        <f t="shared" si="8"/>
        <v>0</v>
      </c>
      <c r="AY47" s="2008"/>
      <c r="AZ47" s="2059"/>
      <c r="BA47" s="2059"/>
      <c r="BB47" s="2028">
        <f t="shared" si="52"/>
        <v>0</v>
      </c>
      <c r="BC47" s="2060" t="e">
        <f t="shared" si="35"/>
        <v>#DIV/0!</v>
      </c>
      <c r="BD47" s="2008"/>
      <c r="BE47" s="2059"/>
      <c r="BF47" s="2059"/>
      <c r="BG47" s="2028">
        <f t="shared" si="53"/>
        <v>0</v>
      </c>
      <c r="BH47" s="2060" t="e">
        <f t="shared" si="36"/>
        <v>#DIV/0!</v>
      </c>
      <c r="BI47" s="2008"/>
      <c r="BJ47" s="2059"/>
      <c r="BK47" s="2059"/>
      <c r="BL47" s="2028">
        <f t="shared" si="54"/>
        <v>0</v>
      </c>
      <c r="BM47" s="2060" t="e">
        <f t="shared" si="37"/>
        <v>#DIV/0!</v>
      </c>
      <c r="BN47" s="2008"/>
      <c r="BO47" s="2059"/>
      <c r="BP47" s="2059"/>
      <c r="BQ47" s="2028">
        <f t="shared" si="55"/>
        <v>0</v>
      </c>
      <c r="BR47" s="2060" t="e">
        <f t="shared" si="38"/>
        <v>#DIV/0!</v>
      </c>
      <c r="BS47" s="2008"/>
      <c r="BT47" s="2059">
        <f t="shared" si="56"/>
        <v>95320.300000000017</v>
      </c>
      <c r="BU47" s="2059">
        <f t="shared" si="56"/>
        <v>1465.33</v>
      </c>
      <c r="BV47" s="2028">
        <f t="shared" si="57"/>
        <v>96785.630000000019</v>
      </c>
      <c r="BW47" s="2060">
        <f t="shared" si="39"/>
        <v>2.9462617495382777E-3</v>
      </c>
      <c r="BX47" s="2008"/>
    </row>
    <row r="48" spans="1:76" ht="14.4" customHeight="1" x14ac:dyDescent="0.25">
      <c r="A48" s="4015"/>
      <c r="B48" s="1195" t="s">
        <v>15</v>
      </c>
      <c r="C48" s="1242">
        <v>6400</v>
      </c>
      <c r="D48" s="1243">
        <v>393.48</v>
      </c>
      <c r="E48" s="1244">
        <f t="shared" si="40"/>
        <v>6793.48</v>
      </c>
      <c r="F48" s="1245">
        <f t="shared" si="31"/>
        <v>2.7734449026795618E-4</v>
      </c>
      <c r="G48" s="1188">
        <v>2660.7759999999998</v>
      </c>
      <c r="H48" s="1188">
        <v>393.48</v>
      </c>
      <c r="I48" s="1190">
        <v>3054.2559999999999</v>
      </c>
      <c r="J48" s="1049">
        <v>1.1035360491397139E-4</v>
      </c>
      <c r="K48" s="1049"/>
      <c r="L48" s="1188"/>
      <c r="M48" s="1188"/>
      <c r="N48" s="1190">
        <f t="shared" si="41"/>
        <v>0</v>
      </c>
      <c r="O48" s="1245">
        <f t="shared" si="32"/>
        <v>0</v>
      </c>
      <c r="P48" s="1246"/>
      <c r="Q48" s="1188"/>
      <c r="R48" s="1188">
        <v>26</v>
      </c>
      <c r="S48" s="1190">
        <f t="shared" si="42"/>
        <v>26</v>
      </c>
      <c r="T48" s="1245">
        <f t="shared" si="43"/>
        <v>7.8863426166569797E-6</v>
      </c>
      <c r="U48" s="1246"/>
      <c r="V48" s="1188"/>
      <c r="W48" s="1188"/>
      <c r="X48" s="1190">
        <f t="shared" si="44"/>
        <v>0</v>
      </c>
      <c r="Y48" s="1245">
        <f t="shared" si="45"/>
        <v>0</v>
      </c>
      <c r="Z48" s="1246"/>
      <c r="AA48" s="1188"/>
      <c r="AB48" s="1188"/>
      <c r="AC48" s="1190">
        <f t="shared" si="46"/>
        <v>0</v>
      </c>
      <c r="AD48" s="1245" t="e">
        <f t="shared" si="58"/>
        <v>#DIV/0!</v>
      </c>
      <c r="AE48" s="1246"/>
      <c r="AF48" s="1447"/>
      <c r="AG48" s="1447"/>
      <c r="AH48" s="1495">
        <f t="shared" si="47"/>
        <v>0</v>
      </c>
      <c r="AI48" s="1666">
        <f t="shared" si="48"/>
        <v>0</v>
      </c>
      <c r="AJ48" s="1746"/>
      <c r="AK48" s="1447"/>
      <c r="AL48" s="1447"/>
      <c r="AM48" s="1495">
        <f t="shared" si="49"/>
        <v>0</v>
      </c>
      <c r="AN48" s="1555">
        <f t="shared" si="33"/>
        <v>0</v>
      </c>
      <c r="AO48" s="1475"/>
      <c r="AP48" s="1447"/>
      <c r="AQ48" s="1447"/>
      <c r="AR48" s="1495">
        <f t="shared" si="50"/>
        <v>0</v>
      </c>
      <c r="AS48" s="1555" t="e">
        <f t="shared" si="34"/>
        <v>#DIV/0!</v>
      </c>
      <c r="AT48" s="1475"/>
      <c r="AU48" s="1887">
        <f>375*1.2</f>
        <v>450</v>
      </c>
      <c r="AV48" s="1887"/>
      <c r="AW48" s="1885">
        <f t="shared" si="51"/>
        <v>450</v>
      </c>
      <c r="AX48" s="1923">
        <f t="shared" si="8"/>
        <v>4.2626729228104727E-4</v>
      </c>
      <c r="AY48" s="1952" t="s">
        <v>1551</v>
      </c>
      <c r="AZ48" s="2059"/>
      <c r="BA48" s="2059"/>
      <c r="BB48" s="2028">
        <f t="shared" si="52"/>
        <v>0</v>
      </c>
      <c r="BC48" s="2060" t="e">
        <f t="shared" si="35"/>
        <v>#DIV/0!</v>
      </c>
      <c r="BD48" s="2008"/>
      <c r="BE48" s="2059"/>
      <c r="BF48" s="2059"/>
      <c r="BG48" s="2028">
        <f t="shared" si="53"/>
        <v>0</v>
      </c>
      <c r="BH48" s="2060" t="e">
        <f t="shared" si="36"/>
        <v>#DIV/0!</v>
      </c>
      <c r="BI48" s="2008"/>
      <c r="BJ48" s="2059"/>
      <c r="BK48" s="2059"/>
      <c r="BL48" s="2028">
        <f t="shared" si="54"/>
        <v>0</v>
      </c>
      <c r="BM48" s="2060" t="e">
        <f t="shared" si="37"/>
        <v>#DIV/0!</v>
      </c>
      <c r="BN48" s="2008"/>
      <c r="BO48" s="2059"/>
      <c r="BP48" s="2059"/>
      <c r="BQ48" s="2028">
        <f t="shared" si="55"/>
        <v>0</v>
      </c>
      <c r="BR48" s="2060" t="e">
        <f t="shared" si="38"/>
        <v>#DIV/0!</v>
      </c>
      <c r="BS48" s="1945"/>
      <c r="BT48" s="2059">
        <f t="shared" si="56"/>
        <v>3110.7759999999998</v>
      </c>
      <c r="BU48" s="2059">
        <f t="shared" si="56"/>
        <v>419.48</v>
      </c>
      <c r="BV48" s="2028">
        <f t="shared" si="57"/>
        <v>3530.2559999999999</v>
      </c>
      <c r="BW48" s="2060">
        <f t="shared" si="39"/>
        <v>1.0746490175120005E-4</v>
      </c>
      <c r="BX48" s="2008"/>
    </row>
    <row r="49" spans="1:76" s="2" customFormat="1" ht="14.4" customHeight="1" thickBot="1" x14ac:dyDescent="0.3">
      <c r="A49" s="11"/>
      <c r="B49" s="1118"/>
      <c r="C49" s="1113"/>
      <c r="D49" s="1219"/>
      <c r="E49" s="1119"/>
      <c r="F49" s="1120"/>
      <c r="G49" s="1188"/>
      <c r="H49" s="1188"/>
      <c r="I49" s="1177"/>
      <c r="J49" s="956">
        <v>0</v>
      </c>
      <c r="K49" s="956"/>
      <c r="L49" s="1188"/>
      <c r="M49" s="1188"/>
      <c r="N49" s="1177"/>
      <c r="O49" s="1245">
        <f t="shared" si="32"/>
        <v>0</v>
      </c>
      <c r="P49" s="1177"/>
      <c r="Q49" s="1188"/>
      <c r="R49" s="1188"/>
      <c r="S49" s="1177"/>
      <c r="T49" s="1245">
        <f t="shared" si="43"/>
        <v>0</v>
      </c>
      <c r="U49" s="1177"/>
      <c r="V49" s="1188"/>
      <c r="W49" s="1188"/>
      <c r="X49" s="1177"/>
      <c r="Y49" s="1245">
        <f t="shared" si="45"/>
        <v>0</v>
      </c>
      <c r="Z49" s="1177"/>
      <c r="AA49" s="1188"/>
      <c r="AB49" s="1188"/>
      <c r="AC49" s="1177"/>
      <c r="AD49" s="1245" t="e">
        <f t="shared" si="58"/>
        <v>#DIV/0!</v>
      </c>
      <c r="AE49" s="1177"/>
      <c r="AF49" s="1447"/>
      <c r="AG49" s="1447"/>
      <c r="AH49" s="1454"/>
      <c r="AI49" s="1666">
        <f t="shared" si="48"/>
        <v>0</v>
      </c>
      <c r="AJ49" s="1381"/>
      <c r="AK49" s="1447"/>
      <c r="AL49" s="1447"/>
      <c r="AM49" s="1454"/>
      <c r="AN49" s="1555">
        <f t="shared" si="33"/>
        <v>0</v>
      </c>
      <c r="AO49" s="1454"/>
      <c r="AP49" s="1447"/>
      <c r="AQ49" s="1447"/>
      <c r="AR49" s="1454"/>
      <c r="AS49" s="1555" t="e">
        <f t="shared" si="34"/>
        <v>#DIV/0!</v>
      </c>
      <c r="AT49" s="1454"/>
      <c r="AU49" s="2059"/>
      <c r="AV49" s="2059"/>
      <c r="AW49" s="2017"/>
      <c r="AX49" s="2060">
        <f t="shared" si="8"/>
        <v>0</v>
      </c>
      <c r="AY49" s="2017"/>
      <c r="AZ49" s="2059"/>
      <c r="BA49" s="2059"/>
      <c r="BB49" s="2017"/>
      <c r="BC49" s="2060" t="e">
        <f t="shared" si="35"/>
        <v>#DIV/0!</v>
      </c>
      <c r="BD49" s="2017"/>
      <c r="BE49" s="2059"/>
      <c r="BF49" s="2059"/>
      <c r="BG49" s="2017"/>
      <c r="BH49" s="2060" t="e">
        <f t="shared" si="36"/>
        <v>#DIV/0!</v>
      </c>
      <c r="BI49" s="2017"/>
      <c r="BJ49" s="2059"/>
      <c r="BK49" s="2059"/>
      <c r="BL49" s="2017"/>
      <c r="BM49" s="2060" t="e">
        <f t="shared" si="37"/>
        <v>#DIV/0!</v>
      </c>
      <c r="BN49" s="2017"/>
      <c r="BO49" s="2059"/>
      <c r="BP49" s="2059"/>
      <c r="BQ49" s="2017"/>
      <c r="BR49" s="2060" t="e">
        <f t="shared" si="38"/>
        <v>#DIV/0!</v>
      </c>
      <c r="BS49" s="2017"/>
      <c r="BT49" s="2059"/>
      <c r="BU49" s="2059"/>
      <c r="BV49" s="2017"/>
      <c r="BW49" s="2060">
        <f t="shared" si="39"/>
        <v>0</v>
      </c>
      <c r="BX49" s="2017"/>
    </row>
    <row r="50" spans="1:76" s="2" customFormat="1" ht="14.4" customHeight="1" x14ac:dyDescent="0.25">
      <c r="A50" s="293"/>
      <c r="B50" s="17" t="s">
        <v>59</v>
      </c>
      <c r="C50" s="578"/>
      <c r="D50" s="578"/>
      <c r="E50" s="578">
        <f>SUM(E51:E52)</f>
        <v>0</v>
      </c>
      <c r="F50" s="580">
        <f>E50/$E$89</f>
        <v>0</v>
      </c>
      <c r="G50" s="578">
        <v>0</v>
      </c>
      <c r="H50" s="578">
        <v>0</v>
      </c>
      <c r="I50" s="578">
        <v>0</v>
      </c>
      <c r="J50" s="246">
        <v>0</v>
      </c>
      <c r="K50" s="246"/>
      <c r="L50" s="578">
        <f>L52+L51</f>
        <v>0</v>
      </c>
      <c r="M50" s="578">
        <f>M52+M51</f>
        <v>0</v>
      </c>
      <c r="N50" s="578">
        <f>SUM(N51:N52)</f>
        <v>0</v>
      </c>
      <c r="O50" s="581"/>
      <c r="P50" s="581"/>
      <c r="Q50" s="578">
        <f>Q52+Q51</f>
        <v>0</v>
      </c>
      <c r="R50" s="578">
        <f>R52+R51</f>
        <v>0</v>
      </c>
      <c r="S50" s="578">
        <f>SUM(S51:S52)</f>
        <v>0</v>
      </c>
      <c r="T50" s="581"/>
      <c r="U50" s="581"/>
      <c r="V50" s="578">
        <f>V52+V51</f>
        <v>0</v>
      </c>
      <c r="W50" s="578">
        <f>W52+W51</f>
        <v>0</v>
      </c>
      <c r="X50" s="578">
        <f>SUM(X51:X52)</f>
        <v>0</v>
      </c>
      <c r="Y50" s="581"/>
      <c r="Z50" s="581"/>
      <c r="AA50" s="578">
        <f>AA52+AA51</f>
        <v>0</v>
      </c>
      <c r="AB50" s="578">
        <f>AB52+AB51</f>
        <v>0</v>
      </c>
      <c r="AC50" s="578">
        <f>SUM(AC51:AC52)</f>
        <v>0</v>
      </c>
      <c r="AD50" s="581"/>
      <c r="AE50" s="581"/>
      <c r="AF50" s="1512">
        <f>AF52+AF51</f>
        <v>0</v>
      </c>
      <c r="AG50" s="1512">
        <f>AG52+AG51</f>
        <v>0</v>
      </c>
      <c r="AH50" s="1512">
        <f>SUM(AH51:AH52)</f>
        <v>0</v>
      </c>
      <c r="AI50" s="1460"/>
      <c r="AJ50" s="1461"/>
      <c r="AK50" s="1512">
        <f>AK52+AK51</f>
        <v>0</v>
      </c>
      <c r="AL50" s="1512">
        <f>AL52+AL51</f>
        <v>0</v>
      </c>
      <c r="AM50" s="1512">
        <f>SUM(AM51:AM52)</f>
        <v>0</v>
      </c>
      <c r="AN50" s="1461">
        <f t="shared" si="33"/>
        <v>0</v>
      </c>
      <c r="AO50" s="1461"/>
      <c r="AP50" s="1512">
        <f>AP52+AP51</f>
        <v>0</v>
      </c>
      <c r="AQ50" s="1512">
        <f>AQ52+AQ51</f>
        <v>0</v>
      </c>
      <c r="AR50" s="1512">
        <f>SUM(AR51:AR52)</f>
        <v>0</v>
      </c>
      <c r="AS50" s="1461" t="e">
        <f t="shared" si="34"/>
        <v>#DIV/0!</v>
      </c>
      <c r="AT50" s="1461"/>
      <c r="AU50" s="2031">
        <f>AU52+AU51</f>
        <v>0</v>
      </c>
      <c r="AV50" s="2031">
        <f>AV52+AV51</f>
        <v>0</v>
      </c>
      <c r="AW50" s="2031">
        <f>SUM(AW51:AW52)</f>
        <v>0</v>
      </c>
      <c r="AX50" s="2022">
        <f t="shared" si="8"/>
        <v>0</v>
      </c>
      <c r="AY50" s="2022"/>
      <c r="AZ50" s="2031">
        <f>AZ52+AZ51</f>
        <v>0</v>
      </c>
      <c r="BA50" s="2031">
        <f>BA52+BA51</f>
        <v>0</v>
      </c>
      <c r="BB50" s="2031">
        <f>SUM(BB51:BB52)</f>
        <v>0</v>
      </c>
      <c r="BC50" s="2022" t="e">
        <f t="shared" si="35"/>
        <v>#DIV/0!</v>
      </c>
      <c r="BD50" s="2022"/>
      <c r="BE50" s="2031">
        <f>BE52+BE51</f>
        <v>0</v>
      </c>
      <c r="BF50" s="2031">
        <f>BF52+BF51</f>
        <v>0</v>
      </c>
      <c r="BG50" s="2031">
        <f>SUM(BG51:BG52)</f>
        <v>0</v>
      </c>
      <c r="BH50" s="2022" t="e">
        <f t="shared" si="36"/>
        <v>#DIV/0!</v>
      </c>
      <c r="BI50" s="2022"/>
      <c r="BJ50" s="2031">
        <f>BJ52+BJ51</f>
        <v>0</v>
      </c>
      <c r="BK50" s="2031">
        <f>BK52+BK51</f>
        <v>0</v>
      </c>
      <c r="BL50" s="2031">
        <f>SUM(BL51:BL52)</f>
        <v>0</v>
      </c>
      <c r="BM50" s="2022" t="e">
        <f t="shared" si="37"/>
        <v>#DIV/0!</v>
      </c>
      <c r="BN50" s="2022"/>
      <c r="BO50" s="2031">
        <f>BO52+BO51</f>
        <v>0</v>
      </c>
      <c r="BP50" s="2031">
        <f>BP52+BP51</f>
        <v>0</v>
      </c>
      <c r="BQ50" s="2031">
        <f>SUM(BQ51:BQ52)</f>
        <v>0</v>
      </c>
      <c r="BR50" s="2022" t="e">
        <f t="shared" si="38"/>
        <v>#DIV/0!</v>
      </c>
      <c r="BS50" s="2022"/>
      <c r="BT50" s="2031">
        <f>BT52+BT51</f>
        <v>0</v>
      </c>
      <c r="BU50" s="2031">
        <f>BU52+BU51</f>
        <v>0</v>
      </c>
      <c r="BV50" s="2031">
        <f>SUM(BV51:BV52)</f>
        <v>0</v>
      </c>
      <c r="BW50" s="2022">
        <f t="shared" si="39"/>
        <v>0</v>
      </c>
      <c r="BX50" s="2022"/>
    </row>
    <row r="51" spans="1:76" s="226" customFormat="1" ht="14.4" customHeight="1" outlineLevel="1" x14ac:dyDescent="0.25">
      <c r="A51" s="234"/>
      <c r="B51" s="1195" t="s">
        <v>60</v>
      </c>
      <c r="C51" s="1242"/>
      <c r="D51" s="1243"/>
      <c r="E51" s="1243">
        <f>C51+D51</f>
        <v>0</v>
      </c>
      <c r="F51" s="1248">
        <f>E51/$E$89</f>
        <v>0</v>
      </c>
      <c r="G51" s="1188">
        <v>0</v>
      </c>
      <c r="H51" s="1188">
        <v>0</v>
      </c>
      <c r="I51" s="1190">
        <v>0</v>
      </c>
      <c r="J51" s="1103">
        <v>0</v>
      </c>
      <c r="K51" s="1103"/>
      <c r="L51" s="1188"/>
      <c r="M51" s="1188"/>
      <c r="N51" s="1190">
        <f>L51+M51*1</f>
        <v>0</v>
      </c>
      <c r="O51" s="1245">
        <f>N51/$N$89</f>
        <v>0</v>
      </c>
      <c r="P51" s="1249"/>
      <c r="Q51" s="1188"/>
      <c r="R51" s="1188"/>
      <c r="S51" s="1190">
        <f>Q51+R51*1</f>
        <v>0</v>
      </c>
      <c r="T51" s="1245">
        <f>S51/$S$89</f>
        <v>0</v>
      </c>
      <c r="U51" s="1249"/>
      <c r="V51" s="1188"/>
      <c r="W51" s="1188"/>
      <c r="X51" s="1190">
        <f>V51+W51*1</f>
        <v>0</v>
      </c>
      <c r="Y51" s="1245">
        <f t="shared" si="45"/>
        <v>0</v>
      </c>
      <c r="Z51" s="1249"/>
      <c r="AA51" s="1188"/>
      <c r="AB51" s="1188"/>
      <c r="AC51" s="1190">
        <f>AA51+AB51*1</f>
        <v>0</v>
      </c>
      <c r="AD51" s="1245" t="e">
        <f>AC51/$AC$89</f>
        <v>#DIV/0!</v>
      </c>
      <c r="AE51" s="1249"/>
      <c r="AF51" s="1447"/>
      <c r="AG51" s="1447"/>
      <c r="AH51" s="1495">
        <f>AF51+AG51*1</f>
        <v>0</v>
      </c>
      <c r="AI51" s="1666">
        <f>AH51/$AH$89</f>
        <v>0</v>
      </c>
      <c r="AJ51" s="1490"/>
      <c r="AK51" s="1447"/>
      <c r="AL51" s="1447"/>
      <c r="AM51" s="1495">
        <f>AK51+AL51*1</f>
        <v>0</v>
      </c>
      <c r="AN51" s="1555">
        <f t="shared" si="33"/>
        <v>0</v>
      </c>
      <c r="AO51" s="1450"/>
      <c r="AP51" s="1447"/>
      <c r="AQ51" s="1447"/>
      <c r="AR51" s="1495">
        <f>AP51+AQ51*1</f>
        <v>0</v>
      </c>
      <c r="AS51" s="1555" t="e">
        <f t="shared" si="34"/>
        <v>#DIV/0!</v>
      </c>
      <c r="AT51" s="1450"/>
      <c r="AU51" s="2059"/>
      <c r="AV51" s="2059"/>
      <c r="AW51" s="2028">
        <f>AU51+AV51*1</f>
        <v>0</v>
      </c>
      <c r="AX51" s="2060">
        <f t="shared" si="8"/>
        <v>0</v>
      </c>
      <c r="AY51" s="1909"/>
      <c r="AZ51" s="2059"/>
      <c r="BA51" s="2059"/>
      <c r="BB51" s="2028">
        <f>AZ51+BA51*1</f>
        <v>0</v>
      </c>
      <c r="BC51" s="2060" t="e">
        <f t="shared" si="35"/>
        <v>#DIV/0!</v>
      </c>
      <c r="BD51" s="1909"/>
      <c r="BE51" s="2059"/>
      <c r="BF51" s="2059"/>
      <c r="BG51" s="2028">
        <f>BE51+BF51*1</f>
        <v>0</v>
      </c>
      <c r="BH51" s="2060" t="e">
        <f t="shared" si="36"/>
        <v>#DIV/0!</v>
      </c>
      <c r="BI51" s="1909"/>
      <c r="BJ51" s="2059"/>
      <c r="BK51" s="2059"/>
      <c r="BL51" s="2028">
        <f>BJ51+BK51*1</f>
        <v>0</v>
      </c>
      <c r="BM51" s="2060" t="e">
        <f t="shared" si="37"/>
        <v>#DIV/0!</v>
      </c>
      <c r="BN51" s="1909"/>
      <c r="BO51" s="2059"/>
      <c r="BP51" s="2059"/>
      <c r="BQ51" s="2028">
        <f>BO51+BP51*1</f>
        <v>0</v>
      </c>
      <c r="BR51" s="2060" t="e">
        <f t="shared" si="38"/>
        <v>#DIV/0!</v>
      </c>
      <c r="BS51" s="1909"/>
      <c r="BT51" s="2059">
        <f>G51+L51+Q51+V51+AA51+AF51+AK51+AP51+AU51+AZ51+BE51</f>
        <v>0</v>
      </c>
      <c r="BU51" s="2059">
        <f>H51+M51+R51+W51+AB51+AG51+AL51+AQ51+AV51+BA51+BF51</f>
        <v>0</v>
      </c>
      <c r="BV51" s="2028">
        <f>BT51+BU51*1</f>
        <v>0</v>
      </c>
      <c r="BW51" s="2060">
        <f t="shared" si="39"/>
        <v>0</v>
      </c>
      <c r="BX51" s="1909"/>
    </row>
    <row r="52" spans="1:76" s="235" customFormat="1" ht="14.4" customHeight="1" outlineLevel="1" x14ac:dyDescent="0.25">
      <c r="A52" s="234"/>
      <c r="B52" s="1195" t="s">
        <v>61</v>
      </c>
      <c r="C52" s="1242"/>
      <c r="D52" s="1243"/>
      <c r="E52" s="1243">
        <f>C52+D52</f>
        <v>0</v>
      </c>
      <c r="F52" s="1248">
        <f>E52/$E$89</f>
        <v>0</v>
      </c>
      <c r="G52" s="1188">
        <v>0</v>
      </c>
      <c r="H52" s="1188">
        <v>0</v>
      </c>
      <c r="I52" s="1190">
        <v>0</v>
      </c>
      <c r="J52" s="1103">
        <v>0</v>
      </c>
      <c r="K52" s="1103"/>
      <c r="L52" s="1188"/>
      <c r="M52" s="1188"/>
      <c r="N52" s="1190">
        <f>L52+M52*1</f>
        <v>0</v>
      </c>
      <c r="O52" s="1245">
        <f>N52/$N$89</f>
        <v>0</v>
      </c>
      <c r="P52" s="1249"/>
      <c r="Q52" s="1188"/>
      <c r="R52" s="1188"/>
      <c r="S52" s="1190">
        <f>Q52+R52*1</f>
        <v>0</v>
      </c>
      <c r="T52" s="1245">
        <f>S52/$S$89</f>
        <v>0</v>
      </c>
      <c r="U52" s="1249"/>
      <c r="V52" s="1188"/>
      <c r="W52" s="1188"/>
      <c r="X52" s="1190">
        <f>V52+W52*1</f>
        <v>0</v>
      </c>
      <c r="Y52" s="1245">
        <f t="shared" si="45"/>
        <v>0</v>
      </c>
      <c r="Z52" s="1249"/>
      <c r="AA52" s="1188"/>
      <c r="AB52" s="1188"/>
      <c r="AC52" s="1190">
        <f>AA52+AB52*1</f>
        <v>0</v>
      </c>
      <c r="AD52" s="1245" t="e">
        <f>AC52/$AC$89</f>
        <v>#DIV/0!</v>
      </c>
      <c r="AE52" s="1249"/>
      <c r="AF52" s="1447"/>
      <c r="AG52" s="1447"/>
      <c r="AH52" s="1495">
        <f>AF52+AG52*1</f>
        <v>0</v>
      </c>
      <c r="AI52" s="1666">
        <f>AH52/$AH$89</f>
        <v>0</v>
      </c>
      <c r="AJ52" s="1490"/>
      <c r="AK52" s="1447"/>
      <c r="AL52" s="1447"/>
      <c r="AM52" s="1495">
        <f>AK52+AL52*1</f>
        <v>0</v>
      </c>
      <c r="AN52" s="1555">
        <f t="shared" si="33"/>
        <v>0</v>
      </c>
      <c r="AO52" s="1450"/>
      <c r="AP52" s="1447"/>
      <c r="AQ52" s="1447"/>
      <c r="AR52" s="1495">
        <f>AP52+AQ52*1</f>
        <v>0</v>
      </c>
      <c r="AS52" s="1555" t="e">
        <f t="shared" si="34"/>
        <v>#DIV/0!</v>
      </c>
      <c r="AT52" s="1450"/>
      <c r="AU52" s="2059"/>
      <c r="AV52" s="2059"/>
      <c r="AW52" s="2028">
        <f>AU52+AV52*1</f>
        <v>0</v>
      </c>
      <c r="AX52" s="2060">
        <f t="shared" si="8"/>
        <v>0</v>
      </c>
      <c r="AY52" s="1909"/>
      <c r="AZ52" s="2059"/>
      <c r="BA52" s="2059"/>
      <c r="BB52" s="2028">
        <f>AZ52+BA52*1</f>
        <v>0</v>
      </c>
      <c r="BC52" s="2060" t="e">
        <f t="shared" si="35"/>
        <v>#DIV/0!</v>
      </c>
      <c r="BD52" s="1909"/>
      <c r="BE52" s="2059"/>
      <c r="BF52" s="2059"/>
      <c r="BG52" s="2028">
        <f>BE52+BF52*1</f>
        <v>0</v>
      </c>
      <c r="BH52" s="2060" t="e">
        <f t="shared" si="36"/>
        <v>#DIV/0!</v>
      </c>
      <c r="BI52" s="1909"/>
      <c r="BJ52" s="2059"/>
      <c r="BK52" s="2059"/>
      <c r="BL52" s="2028">
        <f>BJ52+BK52*1</f>
        <v>0</v>
      </c>
      <c r="BM52" s="2060" t="e">
        <f t="shared" si="37"/>
        <v>#DIV/0!</v>
      </c>
      <c r="BN52" s="1909"/>
      <c r="BO52" s="2059"/>
      <c r="BP52" s="2059"/>
      <c r="BQ52" s="2028">
        <f>BO52+BP52*1</f>
        <v>0</v>
      </c>
      <c r="BR52" s="2060" t="e">
        <f t="shared" si="38"/>
        <v>#DIV/0!</v>
      </c>
      <c r="BS52" s="1909"/>
      <c r="BT52" s="2059">
        <f>G52+L52+Q52+V52+AA52+AF52+AK52+AP52+AU52+AZ52+BE52</f>
        <v>0</v>
      </c>
      <c r="BU52" s="2059">
        <f>H52+M52+R52+W52+AB52+AG52+AL52+AQ52+AV52+BA52+BF52</f>
        <v>0</v>
      </c>
      <c r="BV52" s="2028">
        <f>BT52+BU52*1</f>
        <v>0</v>
      </c>
      <c r="BW52" s="2060">
        <f t="shared" si="39"/>
        <v>0</v>
      </c>
      <c r="BX52" s="1909"/>
    </row>
    <row r="53" spans="1:76" ht="14.4" customHeight="1" thickBot="1" x14ac:dyDescent="0.3">
      <c r="A53" s="20"/>
      <c r="B53" s="1197"/>
      <c r="C53" s="1220"/>
      <c r="D53" s="1095"/>
      <c r="E53" s="1221"/>
      <c r="F53" s="1222"/>
      <c r="G53" s="1188"/>
      <c r="H53" s="1188"/>
      <c r="I53" s="1179"/>
      <c r="J53" s="959"/>
      <c r="K53" s="959"/>
      <c r="L53" s="1188"/>
      <c r="M53" s="1188"/>
      <c r="N53" s="1179"/>
      <c r="O53" s="1179"/>
      <c r="P53" s="1179"/>
      <c r="Q53" s="1188"/>
      <c r="R53" s="1188"/>
      <c r="S53" s="1179"/>
      <c r="T53" s="1179"/>
      <c r="U53" s="1179"/>
      <c r="V53" s="1188"/>
      <c r="W53" s="1188"/>
      <c r="X53" s="1179"/>
      <c r="Y53" s="1179"/>
      <c r="Z53" s="1179"/>
      <c r="AA53" s="1188"/>
      <c r="AB53" s="1188"/>
      <c r="AC53" s="1179"/>
      <c r="AD53" s="1179"/>
      <c r="AE53" s="1179"/>
      <c r="AF53" s="1447"/>
      <c r="AG53" s="1447"/>
      <c r="AH53" s="1462"/>
      <c r="AI53" s="1692"/>
      <c r="AJ53" s="1393"/>
      <c r="AK53" s="1447"/>
      <c r="AL53" s="1447"/>
      <c r="AM53" s="1462"/>
      <c r="AN53" s="1462"/>
      <c r="AO53" s="1462"/>
      <c r="AP53" s="1447"/>
      <c r="AQ53" s="1447"/>
      <c r="AR53" s="1462"/>
      <c r="AS53" s="1462"/>
      <c r="AT53" s="1462"/>
      <c r="AU53" s="2059"/>
      <c r="AV53" s="2059"/>
      <c r="AW53" s="2023"/>
      <c r="AX53" s="2023"/>
      <c r="AY53" s="2023"/>
      <c r="AZ53" s="2059"/>
      <c r="BA53" s="2059"/>
      <c r="BB53" s="2023"/>
      <c r="BC53" s="2023"/>
      <c r="BD53" s="2023"/>
      <c r="BE53" s="2059"/>
      <c r="BF53" s="2059"/>
      <c r="BG53" s="2023"/>
      <c r="BH53" s="2023"/>
      <c r="BI53" s="2023"/>
      <c r="BJ53" s="2059"/>
      <c r="BK53" s="2059"/>
      <c r="BL53" s="2023"/>
      <c r="BM53" s="2023"/>
      <c r="BN53" s="2023"/>
      <c r="BO53" s="2059"/>
      <c r="BP53" s="2059"/>
      <c r="BQ53" s="2023"/>
      <c r="BR53" s="2023"/>
      <c r="BS53" s="2023"/>
      <c r="BT53" s="2059"/>
      <c r="BU53" s="2059"/>
      <c r="BV53" s="2023"/>
      <c r="BW53" s="2023"/>
      <c r="BX53" s="2023"/>
    </row>
    <row r="54" spans="1:76" ht="14.4" customHeight="1" x14ac:dyDescent="0.25">
      <c r="A54" s="236"/>
      <c r="B54" s="17" t="s">
        <v>1</v>
      </c>
      <c r="C54" s="578">
        <f>SUM(C55:C71)</f>
        <v>196726</v>
      </c>
      <c r="D54" s="578">
        <f>SUM(D55:D71)</f>
        <v>229080.95999999999</v>
      </c>
      <c r="E54" s="579">
        <f>SUM(E55:E71)</f>
        <v>425806.96</v>
      </c>
      <c r="F54" s="580">
        <f>E54/$E$89</f>
        <v>1.7383611090891267E-2</v>
      </c>
      <c r="G54" s="578">
        <v>288211.55000000005</v>
      </c>
      <c r="H54" s="578">
        <v>328542.58689545456</v>
      </c>
      <c r="I54" s="578">
        <v>616754.13689545449</v>
      </c>
      <c r="J54" s="246">
        <v>2.2284000539580972E-2</v>
      </c>
      <c r="K54" s="246"/>
      <c r="L54" s="578">
        <f>SUM(L55:L72)</f>
        <v>26168.21</v>
      </c>
      <c r="M54" s="578">
        <f>SUM(M55:M72)</f>
        <v>34471.424700000003</v>
      </c>
      <c r="N54" s="578">
        <f>SUM(N55:N72)</f>
        <v>60639.634700000002</v>
      </c>
      <c r="O54" s="1241">
        <f t="shared" ref="O54:O72" si="59">N54/$N$89</f>
        <v>9.8803284673752809E-2</v>
      </c>
      <c r="P54" s="581"/>
      <c r="Q54" s="578">
        <f>SUM(Q55:Q72)</f>
        <v>71893.91</v>
      </c>
      <c r="R54" s="578">
        <f>SUM(R55:R72)</f>
        <v>13371.48</v>
      </c>
      <c r="S54" s="578">
        <f>SUM(S55:S72)</f>
        <v>85265.39</v>
      </c>
      <c r="T54" s="1241">
        <f>S54/$S$89</f>
        <v>2.5862772264726074E-2</v>
      </c>
      <c r="U54" s="581"/>
      <c r="V54" s="578">
        <f>SUM(V55:V72)</f>
        <v>0</v>
      </c>
      <c r="W54" s="578">
        <f>SUM(W55:W72)</f>
        <v>432</v>
      </c>
      <c r="X54" s="578">
        <f>SUM(X55:X72)</f>
        <v>432</v>
      </c>
      <c r="Y54" s="1241">
        <f>X54/$X$89</f>
        <v>3.5560920660806152E-3</v>
      </c>
      <c r="Z54" s="581"/>
      <c r="AA54" s="578">
        <f>SUM(AA55:AA72)</f>
        <v>0</v>
      </c>
      <c r="AB54" s="578">
        <f>SUM(AB55:AB72)</f>
        <v>0</v>
      </c>
      <c r="AC54" s="578">
        <f>SUM(AC55:AC72)</f>
        <v>0</v>
      </c>
      <c r="AD54" s="1241" t="e">
        <f>AC54/$AC$89</f>
        <v>#DIV/0!</v>
      </c>
      <c r="AE54" s="581"/>
      <c r="AF54" s="1512">
        <f>SUM(AF55:AF72)</f>
        <v>0</v>
      </c>
      <c r="AG54" s="1512">
        <f>SUM(AG55:AG72)</f>
        <v>0</v>
      </c>
      <c r="AH54" s="1512">
        <f>SUM(AH55:AH72)</f>
        <v>0</v>
      </c>
      <c r="AI54" s="1869" t="e">
        <f>AH54/$AC$89</f>
        <v>#DIV/0!</v>
      </c>
      <c r="AJ54" s="1461"/>
      <c r="AK54" s="1512">
        <f>SUM(AK55:AK72)</f>
        <v>0</v>
      </c>
      <c r="AL54" s="1512">
        <f>SUM(AL55:AL72)</f>
        <v>72200</v>
      </c>
      <c r="AM54" s="1512">
        <f>SUM(AM55:AM72)</f>
        <v>72200</v>
      </c>
      <c r="AN54" s="1548">
        <f t="shared" ref="AN54:AN72" si="60">AM54/$AM$89</f>
        <v>0.87349183652364881</v>
      </c>
      <c r="AO54" s="1461"/>
      <c r="AP54" s="1512">
        <f>SUM(AP55:AP72)</f>
        <v>0</v>
      </c>
      <c r="AQ54" s="1512">
        <f>SUM(AQ55:AQ72)</f>
        <v>0</v>
      </c>
      <c r="AR54" s="1512">
        <f>SUM(AR55:AR72)</f>
        <v>0</v>
      </c>
      <c r="AS54" s="1548" t="e">
        <f t="shared" ref="AS54:AS72" si="61">AR54/$AR$89</f>
        <v>#DIV/0!</v>
      </c>
      <c r="AT54" s="1461"/>
      <c r="AU54" s="2031">
        <f>SUM(AU55:AU72)</f>
        <v>0</v>
      </c>
      <c r="AV54" s="2031">
        <f>SUM(AV55:AV72)</f>
        <v>0</v>
      </c>
      <c r="AW54" s="2031">
        <f>SUM(AW55:AW72)</f>
        <v>0</v>
      </c>
      <c r="AX54" s="2032">
        <f t="shared" si="8"/>
        <v>0</v>
      </c>
      <c r="AY54" s="2022"/>
      <c r="AZ54" s="2031">
        <f>SUM(AZ55:AZ72)</f>
        <v>0</v>
      </c>
      <c r="BA54" s="2031">
        <f>SUM(BA55:BA72)</f>
        <v>0</v>
      </c>
      <c r="BB54" s="2031">
        <f>SUM(BB55:BB72)</f>
        <v>0</v>
      </c>
      <c r="BC54" s="2032" t="e">
        <f t="shared" ref="BC54:BC72" si="62">BB54/$BB$89</f>
        <v>#DIV/0!</v>
      </c>
      <c r="BD54" s="2022"/>
      <c r="BE54" s="2031">
        <f>SUM(BE55:BE72)</f>
        <v>0</v>
      </c>
      <c r="BF54" s="2031">
        <f>SUM(BF55:BF72)</f>
        <v>0</v>
      </c>
      <c r="BG54" s="2031">
        <f>SUM(BG55:BG72)</f>
        <v>0</v>
      </c>
      <c r="BH54" s="2032" t="e">
        <f t="shared" ref="BH54:BH72" si="63">BG54/$BG$89</f>
        <v>#DIV/0!</v>
      </c>
      <c r="BI54" s="2022"/>
      <c r="BJ54" s="2031">
        <f>SUM(BJ55:BJ72)</f>
        <v>0</v>
      </c>
      <c r="BK54" s="2031">
        <f>SUM(BK55:BK72)</f>
        <v>0</v>
      </c>
      <c r="BL54" s="2031">
        <f>SUM(BL55:BL72)</f>
        <v>0</v>
      </c>
      <c r="BM54" s="2032" t="e">
        <f t="shared" ref="BM54:BM72" si="64">BL54/$BL$89</f>
        <v>#DIV/0!</v>
      </c>
      <c r="BN54" s="2022"/>
      <c r="BO54" s="2031">
        <f>SUM(BO55:BO72)</f>
        <v>0</v>
      </c>
      <c r="BP54" s="2031">
        <f>SUM(BP55:BP72)</f>
        <v>0</v>
      </c>
      <c r="BQ54" s="2031">
        <f>SUM(BQ55:BQ72)</f>
        <v>0</v>
      </c>
      <c r="BR54" s="2032" t="e">
        <f t="shared" ref="BR54:BR72" si="65">BQ54/$BL$89</f>
        <v>#DIV/0!</v>
      </c>
      <c r="BS54" s="2022"/>
      <c r="BT54" s="2031">
        <f>SUM(BT55:BT72)</f>
        <v>386273.67000000004</v>
      </c>
      <c r="BU54" s="2031">
        <f>SUM(BU55:BU72)</f>
        <v>449017.49159545451</v>
      </c>
      <c r="BV54" s="2031">
        <f>SUM(BV55:BV72)</f>
        <v>835291.16159545444</v>
      </c>
      <c r="BW54" s="2032">
        <f t="shared" ref="BW54:BW72" si="66">BV54/$BV$89</f>
        <v>2.5427187890765222E-2</v>
      </c>
      <c r="BX54" s="2022"/>
    </row>
    <row r="55" spans="1:76" ht="14.4" customHeight="1" x14ac:dyDescent="0.25">
      <c r="A55" s="237"/>
      <c r="B55" s="1116" t="s">
        <v>77</v>
      </c>
      <c r="C55" s="1242"/>
      <c r="D55" s="1251"/>
      <c r="E55" s="1244">
        <f t="shared" ref="E55:E71" si="67">C55+D55</f>
        <v>0</v>
      </c>
      <c r="F55" s="1245">
        <f>E55/$E$89</f>
        <v>0</v>
      </c>
      <c r="G55" s="1031">
        <v>0</v>
      </c>
      <c r="H55" s="1031">
        <v>0</v>
      </c>
      <c r="I55" s="1190">
        <v>0</v>
      </c>
      <c r="J55" s="1049">
        <v>0</v>
      </c>
      <c r="K55" s="1049"/>
      <c r="L55" s="1031"/>
      <c r="M55" s="1031"/>
      <c r="N55" s="1190">
        <f t="shared" ref="N55:N71" si="68">L55+M55*1</f>
        <v>0</v>
      </c>
      <c r="O55" s="1245">
        <f t="shared" si="59"/>
        <v>0</v>
      </c>
      <c r="P55" s="1246"/>
      <c r="Q55" s="1031"/>
      <c r="R55" s="1031"/>
      <c r="S55" s="1190">
        <f t="shared" ref="S55:S71" si="69">Q55+R55*1</f>
        <v>0</v>
      </c>
      <c r="T55" s="1245">
        <f t="shared" ref="T55:T72" si="70">S55/$S$89</f>
        <v>0</v>
      </c>
      <c r="U55" s="1246"/>
      <c r="V55" s="1031"/>
      <c r="W55" s="1031"/>
      <c r="X55" s="1190">
        <f t="shared" ref="X55:X71" si="71">V55+W55*1</f>
        <v>0</v>
      </c>
      <c r="Y55" s="1245">
        <f t="shared" ref="Y55:Y72" si="72">X55/$X$89</f>
        <v>0</v>
      </c>
      <c r="Z55" s="1246"/>
      <c r="AA55" s="1031"/>
      <c r="AB55" s="1031"/>
      <c r="AC55" s="1190">
        <f t="shared" ref="AC55:AC71" si="73">AA55+AB55*1</f>
        <v>0</v>
      </c>
      <c r="AD55" s="1245" t="e">
        <f>AC55/$AC$89</f>
        <v>#DIV/0!</v>
      </c>
      <c r="AE55" s="1246"/>
      <c r="AF55" s="1567"/>
      <c r="AG55" s="1567"/>
      <c r="AH55" s="1495">
        <f t="shared" ref="AH55:AH71" si="74">AF55+AG55*1</f>
        <v>0</v>
      </c>
      <c r="AI55" s="1666">
        <f t="shared" ref="AI55:AI72" si="75">AH55/$AH$89</f>
        <v>0</v>
      </c>
      <c r="AJ55" s="1746"/>
      <c r="AK55" s="1567"/>
      <c r="AL55" s="1567"/>
      <c r="AM55" s="1495">
        <f t="shared" ref="AM55:AM71" si="76">AK55+AL55*1</f>
        <v>0</v>
      </c>
      <c r="AN55" s="1555">
        <f t="shared" si="60"/>
        <v>0</v>
      </c>
      <c r="AO55" s="1475"/>
      <c r="AP55" s="1567"/>
      <c r="AQ55" s="1567"/>
      <c r="AR55" s="1495">
        <f t="shared" ref="AR55:AR71" si="77">AP55+AQ55*1</f>
        <v>0</v>
      </c>
      <c r="AS55" s="1555" t="e">
        <f t="shared" si="61"/>
        <v>#DIV/0!</v>
      </c>
      <c r="AT55" s="1475"/>
      <c r="AU55" s="2061"/>
      <c r="AV55" s="2061"/>
      <c r="AW55" s="2028">
        <f t="shared" ref="AW55:AW71" si="78">AU55+AV55*1</f>
        <v>0</v>
      </c>
      <c r="AX55" s="2060">
        <f t="shared" si="8"/>
        <v>0</v>
      </c>
      <c r="AY55" s="2008"/>
      <c r="AZ55" s="2061"/>
      <c r="BA55" s="2061"/>
      <c r="BB55" s="2028">
        <f t="shared" ref="BB55:BB71" si="79">AZ55+BA55*1</f>
        <v>0</v>
      </c>
      <c r="BC55" s="2060" t="e">
        <f t="shared" si="62"/>
        <v>#DIV/0!</v>
      </c>
      <c r="BD55" s="2008"/>
      <c r="BE55" s="2061"/>
      <c r="BF55" s="2061"/>
      <c r="BG55" s="2028">
        <f t="shared" ref="BG55:BG71" si="80">BE55+BF55*1</f>
        <v>0</v>
      </c>
      <c r="BH55" s="2060" t="e">
        <f t="shared" si="63"/>
        <v>#DIV/0!</v>
      </c>
      <c r="BI55" s="2008"/>
      <c r="BJ55" s="2061"/>
      <c r="BK55" s="2061"/>
      <c r="BL55" s="2028">
        <f t="shared" ref="BL55:BL71" si="81">BJ55+BK55*1</f>
        <v>0</v>
      </c>
      <c r="BM55" s="2060" t="e">
        <f t="shared" si="64"/>
        <v>#DIV/0!</v>
      </c>
      <c r="BN55" s="2008"/>
      <c r="BO55" s="2061"/>
      <c r="BP55" s="2061"/>
      <c r="BQ55" s="2028">
        <f t="shared" ref="BQ55:BQ71" si="82">BO55+BP55*1</f>
        <v>0</v>
      </c>
      <c r="BR55" s="2060" t="e">
        <f t="shared" si="65"/>
        <v>#DIV/0!</v>
      </c>
      <c r="BS55" s="2008"/>
      <c r="BT55" s="2059">
        <f t="shared" ref="BT55:BU71" si="83">G55+L55+Q55+V55+AA55+AF55+AK55+AP55+AU55+AZ55+BE55</f>
        <v>0</v>
      </c>
      <c r="BU55" s="2059">
        <f t="shared" si="83"/>
        <v>0</v>
      </c>
      <c r="BV55" s="2028">
        <f t="shared" ref="BV55:BV71" si="84">BT55+BU55*1</f>
        <v>0</v>
      </c>
      <c r="BW55" s="2060">
        <f t="shared" si="66"/>
        <v>0</v>
      </c>
      <c r="BX55" s="2008"/>
    </row>
    <row r="56" spans="1:76" ht="14.4" customHeight="1" x14ac:dyDescent="0.25">
      <c r="A56" s="237"/>
      <c r="B56" s="1116" t="s">
        <v>76</v>
      </c>
      <c r="C56" s="1242"/>
      <c r="D56" s="1243"/>
      <c r="E56" s="1244">
        <f t="shared" si="67"/>
        <v>0</v>
      </c>
      <c r="F56" s="1245">
        <f t="shared" ref="F56:F72" si="85">E56/$E$89</f>
        <v>0</v>
      </c>
      <c r="G56" s="1031">
        <v>0</v>
      </c>
      <c r="H56" s="1031">
        <v>0</v>
      </c>
      <c r="I56" s="1190">
        <v>0</v>
      </c>
      <c r="J56" s="1049">
        <v>0</v>
      </c>
      <c r="K56" s="1049"/>
      <c r="L56" s="1031"/>
      <c r="M56" s="1031"/>
      <c r="N56" s="1190">
        <f t="shared" si="68"/>
        <v>0</v>
      </c>
      <c r="O56" s="1245">
        <f t="shared" si="59"/>
        <v>0</v>
      </c>
      <c r="P56" s="1246"/>
      <c r="Q56" s="1031"/>
      <c r="R56" s="1031"/>
      <c r="S56" s="1190">
        <f t="shared" si="69"/>
        <v>0</v>
      </c>
      <c r="T56" s="1245">
        <f t="shared" si="70"/>
        <v>0</v>
      </c>
      <c r="U56" s="1246"/>
      <c r="V56" s="1031"/>
      <c r="W56" s="1031"/>
      <c r="X56" s="1190">
        <f t="shared" si="71"/>
        <v>0</v>
      </c>
      <c r="Y56" s="1245">
        <f t="shared" si="72"/>
        <v>0</v>
      </c>
      <c r="Z56" s="1246"/>
      <c r="AA56" s="1031"/>
      <c r="AB56" s="1031"/>
      <c r="AC56" s="1190">
        <f t="shared" si="73"/>
        <v>0</v>
      </c>
      <c r="AD56" s="1245" t="e">
        <f t="shared" ref="AD56:AD72" si="86">AC56/$AC$89</f>
        <v>#DIV/0!</v>
      </c>
      <c r="AE56" s="1246"/>
      <c r="AF56" s="1567"/>
      <c r="AG56" s="1567"/>
      <c r="AH56" s="1495">
        <f t="shared" si="74"/>
        <v>0</v>
      </c>
      <c r="AI56" s="1666">
        <f t="shared" si="75"/>
        <v>0</v>
      </c>
      <c r="AJ56" s="1746"/>
      <c r="AK56" s="1567"/>
      <c r="AL56" s="1567"/>
      <c r="AM56" s="1495">
        <f t="shared" si="76"/>
        <v>0</v>
      </c>
      <c r="AN56" s="1555">
        <f t="shared" si="60"/>
        <v>0</v>
      </c>
      <c r="AO56" s="1475"/>
      <c r="AP56" s="1567"/>
      <c r="AQ56" s="1567"/>
      <c r="AR56" s="1495">
        <f t="shared" si="77"/>
        <v>0</v>
      </c>
      <c r="AS56" s="1555" t="e">
        <f t="shared" si="61"/>
        <v>#DIV/0!</v>
      </c>
      <c r="AT56" s="1475"/>
      <c r="AU56" s="2061"/>
      <c r="AV56" s="2061"/>
      <c r="AW56" s="2028">
        <f t="shared" si="78"/>
        <v>0</v>
      </c>
      <c r="AX56" s="2060">
        <f t="shared" si="8"/>
        <v>0</v>
      </c>
      <c r="AY56" s="2008"/>
      <c r="AZ56" s="2061"/>
      <c r="BA56" s="2061"/>
      <c r="BB56" s="2028">
        <f t="shared" si="79"/>
        <v>0</v>
      </c>
      <c r="BC56" s="2060" t="e">
        <f t="shared" si="62"/>
        <v>#DIV/0!</v>
      </c>
      <c r="BD56" s="2008"/>
      <c r="BE56" s="2061"/>
      <c r="BF56" s="2061"/>
      <c r="BG56" s="2028">
        <f t="shared" si="80"/>
        <v>0</v>
      </c>
      <c r="BH56" s="2060" t="e">
        <f t="shared" si="63"/>
        <v>#DIV/0!</v>
      </c>
      <c r="BI56" s="2008"/>
      <c r="BJ56" s="2061"/>
      <c r="BK56" s="2061"/>
      <c r="BL56" s="2028">
        <f t="shared" si="81"/>
        <v>0</v>
      </c>
      <c r="BM56" s="2060" t="e">
        <f t="shared" si="64"/>
        <v>#DIV/0!</v>
      </c>
      <c r="BN56" s="2008"/>
      <c r="BO56" s="2061"/>
      <c r="BP56" s="2061"/>
      <c r="BQ56" s="2028">
        <f t="shared" si="82"/>
        <v>0</v>
      </c>
      <c r="BR56" s="2060" t="e">
        <f t="shared" si="65"/>
        <v>#DIV/0!</v>
      </c>
      <c r="BS56" s="2008"/>
      <c r="BT56" s="2059">
        <f t="shared" si="83"/>
        <v>0</v>
      </c>
      <c r="BU56" s="2059">
        <f t="shared" si="83"/>
        <v>0</v>
      </c>
      <c r="BV56" s="2028">
        <f t="shared" si="84"/>
        <v>0</v>
      </c>
      <c r="BW56" s="2060">
        <f t="shared" si="66"/>
        <v>0</v>
      </c>
      <c r="BX56" s="2008"/>
    </row>
    <row r="57" spans="1:76" ht="14.4" customHeight="1" x14ac:dyDescent="0.25">
      <c r="A57" s="237"/>
      <c r="B57" s="1116" t="s">
        <v>68</v>
      </c>
      <c r="C57" s="1242"/>
      <c r="D57" s="1243"/>
      <c r="E57" s="1244">
        <f t="shared" si="67"/>
        <v>0</v>
      </c>
      <c r="F57" s="1245">
        <f t="shared" si="85"/>
        <v>0</v>
      </c>
      <c r="G57" s="1031">
        <v>0</v>
      </c>
      <c r="H57" s="1031">
        <v>0</v>
      </c>
      <c r="I57" s="1190">
        <v>0</v>
      </c>
      <c r="J57" s="1049">
        <v>0</v>
      </c>
      <c r="K57" s="1049"/>
      <c r="L57" s="1031"/>
      <c r="M57" s="1031"/>
      <c r="N57" s="1190">
        <f t="shared" si="68"/>
        <v>0</v>
      </c>
      <c r="O57" s="1245">
        <f t="shared" si="59"/>
        <v>0</v>
      </c>
      <c r="P57" s="1246"/>
      <c r="Q57" s="1031"/>
      <c r="R57" s="1031"/>
      <c r="S57" s="1190">
        <f t="shared" si="69"/>
        <v>0</v>
      </c>
      <c r="T57" s="1245">
        <f t="shared" si="70"/>
        <v>0</v>
      </c>
      <c r="U57" s="1246"/>
      <c r="V57" s="1031"/>
      <c r="W57" s="1031"/>
      <c r="X57" s="1190">
        <f t="shared" si="71"/>
        <v>0</v>
      </c>
      <c r="Y57" s="1245">
        <f t="shared" si="72"/>
        <v>0</v>
      </c>
      <c r="Z57" s="1246"/>
      <c r="AA57" s="1031"/>
      <c r="AB57" s="1031"/>
      <c r="AC57" s="1190">
        <f t="shared" si="73"/>
        <v>0</v>
      </c>
      <c r="AD57" s="1245" t="e">
        <f t="shared" si="86"/>
        <v>#DIV/0!</v>
      </c>
      <c r="AE57" s="1157"/>
      <c r="AF57" s="1567"/>
      <c r="AG57" s="1567"/>
      <c r="AH57" s="1495">
        <f t="shared" si="74"/>
        <v>0</v>
      </c>
      <c r="AI57" s="1666">
        <f t="shared" si="75"/>
        <v>0</v>
      </c>
      <c r="AJ57" s="1861"/>
      <c r="AK57" s="1567"/>
      <c r="AL57" s="1567"/>
      <c r="AM57" s="1495">
        <f t="shared" si="76"/>
        <v>0</v>
      </c>
      <c r="AN57" s="1555">
        <f t="shared" si="60"/>
        <v>0</v>
      </c>
      <c r="AO57" s="1647"/>
      <c r="AP57" s="1567"/>
      <c r="AQ57" s="1567"/>
      <c r="AR57" s="1495">
        <f t="shared" si="77"/>
        <v>0</v>
      </c>
      <c r="AS57" s="1555" t="e">
        <f t="shared" si="61"/>
        <v>#DIV/0!</v>
      </c>
      <c r="AT57" s="1647"/>
      <c r="AU57" s="2061"/>
      <c r="AV57" s="2061"/>
      <c r="AW57" s="2028">
        <f t="shared" si="78"/>
        <v>0</v>
      </c>
      <c r="AX57" s="2060">
        <f t="shared" si="8"/>
        <v>0</v>
      </c>
      <c r="AY57" s="1945"/>
      <c r="AZ57" s="2061"/>
      <c r="BA57" s="2061"/>
      <c r="BB57" s="2028">
        <f t="shared" si="79"/>
        <v>0</v>
      </c>
      <c r="BC57" s="2060" t="e">
        <f t="shared" si="62"/>
        <v>#DIV/0!</v>
      </c>
      <c r="BD57" s="1945"/>
      <c r="BE57" s="2061"/>
      <c r="BF57" s="2061"/>
      <c r="BG57" s="2028">
        <f t="shared" si="80"/>
        <v>0</v>
      </c>
      <c r="BH57" s="2060" t="e">
        <f t="shared" si="63"/>
        <v>#DIV/0!</v>
      </c>
      <c r="BI57" s="1945"/>
      <c r="BJ57" s="2061"/>
      <c r="BK57" s="2061"/>
      <c r="BL57" s="2028">
        <f t="shared" si="81"/>
        <v>0</v>
      </c>
      <c r="BM57" s="2060" t="e">
        <f t="shared" si="64"/>
        <v>#DIV/0!</v>
      </c>
      <c r="BN57" s="1945"/>
      <c r="BO57" s="2061"/>
      <c r="BP57" s="2061"/>
      <c r="BQ57" s="2028">
        <f t="shared" si="82"/>
        <v>0</v>
      </c>
      <c r="BR57" s="2060" t="e">
        <f t="shared" si="65"/>
        <v>#DIV/0!</v>
      </c>
      <c r="BS57" s="1945"/>
      <c r="BT57" s="2059">
        <f t="shared" si="83"/>
        <v>0</v>
      </c>
      <c r="BU57" s="2059">
        <f t="shared" si="83"/>
        <v>0</v>
      </c>
      <c r="BV57" s="2028">
        <f t="shared" si="84"/>
        <v>0</v>
      </c>
      <c r="BW57" s="2060">
        <f t="shared" si="66"/>
        <v>0</v>
      </c>
      <c r="BX57" s="2008"/>
    </row>
    <row r="58" spans="1:76" ht="14.4" customHeight="1" x14ac:dyDescent="0.25">
      <c r="A58" s="237"/>
      <c r="B58" s="1116" t="s">
        <v>67</v>
      </c>
      <c r="C58" s="1242">
        <v>85008</v>
      </c>
      <c r="D58" s="1243">
        <v>225831.5</v>
      </c>
      <c r="E58" s="1244">
        <f t="shared" si="67"/>
        <v>310839.5</v>
      </c>
      <c r="F58" s="1245">
        <f t="shared" si="85"/>
        <v>1.2690053210231922E-2</v>
      </c>
      <c r="G58" s="1031">
        <v>107526.05</v>
      </c>
      <c r="H58" s="1031">
        <v>251223.90689545454</v>
      </c>
      <c r="I58" s="1190">
        <v>358749.95689545455</v>
      </c>
      <c r="J58" s="1049">
        <v>1.2962027742974152E-2</v>
      </c>
      <c r="K58" s="1049"/>
      <c r="L58" s="1031">
        <v>10145.790000000001</v>
      </c>
      <c r="M58" s="1031">
        <v>29854.2147</v>
      </c>
      <c r="N58" s="1190">
        <f t="shared" si="68"/>
        <v>40000.004700000005</v>
      </c>
      <c r="O58" s="1245">
        <f t="shared" si="59"/>
        <v>6.5174070900620884E-2</v>
      </c>
      <c r="P58" s="1246" t="s">
        <v>973</v>
      </c>
      <c r="Q58" s="1031">
        <v>31650</v>
      </c>
      <c r="R58" s="1031">
        <v>8400</v>
      </c>
      <c r="S58" s="1190">
        <f t="shared" si="69"/>
        <v>40050</v>
      </c>
      <c r="T58" s="1245">
        <f t="shared" si="70"/>
        <v>1.2148000838350463E-2</v>
      </c>
      <c r="U58" s="1246" t="s">
        <v>1021</v>
      </c>
      <c r="V58" s="1031"/>
      <c r="W58" s="1031"/>
      <c r="X58" s="1190">
        <f t="shared" si="71"/>
        <v>0</v>
      </c>
      <c r="Y58" s="1245">
        <f t="shared" si="72"/>
        <v>0</v>
      </c>
      <c r="Z58" s="1246"/>
      <c r="AA58" s="1031"/>
      <c r="AB58" s="1031"/>
      <c r="AC58" s="1190">
        <f t="shared" si="73"/>
        <v>0</v>
      </c>
      <c r="AD58" s="1245" t="e">
        <f t="shared" si="86"/>
        <v>#DIV/0!</v>
      </c>
      <c r="AE58" s="1157"/>
      <c r="AF58" s="1567"/>
      <c r="AG58" s="1567"/>
      <c r="AH58" s="1495">
        <f t="shared" si="74"/>
        <v>0</v>
      </c>
      <c r="AI58" s="1666">
        <f t="shared" si="75"/>
        <v>0</v>
      </c>
      <c r="AJ58" s="1861"/>
      <c r="AK58" s="1567"/>
      <c r="AL58" s="1567">
        <v>72200</v>
      </c>
      <c r="AM58" s="1495">
        <f t="shared" si="76"/>
        <v>72200</v>
      </c>
      <c r="AN58" s="1555">
        <f t="shared" si="60"/>
        <v>0.87349183652364881</v>
      </c>
      <c r="AO58" s="1647" t="s">
        <v>1381</v>
      </c>
      <c r="AP58" s="1567"/>
      <c r="AQ58" s="1567"/>
      <c r="AR58" s="1495">
        <f t="shared" si="77"/>
        <v>0</v>
      </c>
      <c r="AS58" s="1555" t="e">
        <f t="shared" si="61"/>
        <v>#DIV/0!</v>
      </c>
      <c r="AT58" s="1647"/>
      <c r="AU58" s="2061"/>
      <c r="AV58" s="2061"/>
      <c r="AW58" s="2028">
        <f t="shared" si="78"/>
        <v>0</v>
      </c>
      <c r="AX58" s="2060">
        <f t="shared" si="8"/>
        <v>0</v>
      </c>
      <c r="AY58" s="1945"/>
      <c r="AZ58" s="2061"/>
      <c r="BA58" s="2061"/>
      <c r="BB58" s="2028">
        <f t="shared" si="79"/>
        <v>0</v>
      </c>
      <c r="BC58" s="2060" t="e">
        <f t="shared" si="62"/>
        <v>#DIV/0!</v>
      </c>
      <c r="BD58" s="1945"/>
      <c r="BE58" s="2061"/>
      <c r="BF58" s="2061"/>
      <c r="BG58" s="2028">
        <f t="shared" si="80"/>
        <v>0</v>
      </c>
      <c r="BH58" s="2060" t="e">
        <f t="shared" si="63"/>
        <v>#DIV/0!</v>
      </c>
      <c r="BI58" s="1945"/>
      <c r="BJ58" s="2061"/>
      <c r="BK58" s="2061"/>
      <c r="BL58" s="2028">
        <f t="shared" si="81"/>
        <v>0</v>
      </c>
      <c r="BM58" s="2060" t="e">
        <f t="shared" si="64"/>
        <v>#DIV/0!</v>
      </c>
      <c r="BN58" s="1945"/>
      <c r="BO58" s="2061"/>
      <c r="BP58" s="2061"/>
      <c r="BQ58" s="2028">
        <f t="shared" si="82"/>
        <v>0</v>
      </c>
      <c r="BR58" s="2060" t="e">
        <f t="shared" si="65"/>
        <v>#DIV/0!</v>
      </c>
      <c r="BS58" s="1945"/>
      <c r="BT58" s="2059">
        <f t="shared" si="83"/>
        <v>149321.84</v>
      </c>
      <c r="BU58" s="2059">
        <f t="shared" si="83"/>
        <v>361678.12159545452</v>
      </c>
      <c r="BV58" s="2028">
        <f t="shared" si="84"/>
        <v>510999.96159545449</v>
      </c>
      <c r="BW58" s="2060">
        <f t="shared" si="66"/>
        <v>1.5555404669724382E-2</v>
      </c>
      <c r="BX58" s="2008"/>
    </row>
    <row r="59" spans="1:76" ht="14.4" customHeight="1" x14ac:dyDescent="0.25">
      <c r="A59" s="237"/>
      <c r="B59" s="1116" t="s">
        <v>66</v>
      </c>
      <c r="C59" s="1242">
        <v>20592</v>
      </c>
      <c r="D59" s="1243"/>
      <c r="E59" s="1244">
        <f t="shared" si="67"/>
        <v>20592</v>
      </c>
      <c r="F59" s="1245">
        <f t="shared" si="85"/>
        <v>8.4067042864595961E-4</v>
      </c>
      <c r="G59" s="1031">
        <v>26236.68</v>
      </c>
      <c r="H59" s="1031">
        <v>0</v>
      </c>
      <c r="I59" s="1190">
        <v>26236.68</v>
      </c>
      <c r="J59" s="1049">
        <v>9.479599021739812E-4</v>
      </c>
      <c r="K59" s="1049"/>
      <c r="L59" s="1031">
        <v>2457.67</v>
      </c>
      <c r="M59" s="1031"/>
      <c r="N59" s="1190">
        <f t="shared" si="68"/>
        <v>2457.67</v>
      </c>
      <c r="O59" s="1245">
        <f t="shared" si="59"/>
        <v>4.0044085002402243E-3</v>
      </c>
      <c r="P59" s="1246"/>
      <c r="Q59" s="1031">
        <v>2870</v>
      </c>
      <c r="R59" s="1031"/>
      <c r="S59" s="1190">
        <f t="shared" si="69"/>
        <v>2870</v>
      </c>
      <c r="T59" s="1245">
        <f t="shared" si="70"/>
        <v>8.7053089653098205E-4</v>
      </c>
      <c r="U59" s="1246"/>
      <c r="V59" s="1031"/>
      <c r="W59" s="1031"/>
      <c r="X59" s="1190">
        <f t="shared" si="71"/>
        <v>0</v>
      </c>
      <c r="Y59" s="1245">
        <f t="shared" si="72"/>
        <v>0</v>
      </c>
      <c r="Z59" s="1246"/>
      <c r="AA59" s="1031"/>
      <c r="AB59" s="1031"/>
      <c r="AC59" s="1190">
        <f t="shared" si="73"/>
        <v>0</v>
      </c>
      <c r="AD59" s="1245" t="e">
        <f t="shared" si="86"/>
        <v>#DIV/0!</v>
      </c>
      <c r="AE59" s="1157"/>
      <c r="AF59" s="1567"/>
      <c r="AG59" s="1567"/>
      <c r="AH59" s="1495">
        <f t="shared" si="74"/>
        <v>0</v>
      </c>
      <c r="AI59" s="1666">
        <f>AH59/$AH$89</f>
        <v>0</v>
      </c>
      <c r="AJ59" s="1861"/>
      <c r="AK59" s="1567"/>
      <c r="AL59" s="1567"/>
      <c r="AM59" s="1495">
        <f t="shared" si="76"/>
        <v>0</v>
      </c>
      <c r="AN59" s="1555">
        <f t="shared" si="60"/>
        <v>0</v>
      </c>
      <c r="AO59" s="1647"/>
      <c r="AP59" s="1567"/>
      <c r="AQ59" s="1567"/>
      <c r="AR59" s="1495">
        <f t="shared" si="77"/>
        <v>0</v>
      </c>
      <c r="AS59" s="1555" t="e">
        <f t="shared" si="61"/>
        <v>#DIV/0!</v>
      </c>
      <c r="AT59" s="1647"/>
      <c r="AU59" s="2061"/>
      <c r="AV59" s="2061"/>
      <c r="AW59" s="2028">
        <f t="shared" si="78"/>
        <v>0</v>
      </c>
      <c r="AX59" s="2060">
        <f t="shared" si="8"/>
        <v>0</v>
      </c>
      <c r="AY59" s="1945"/>
      <c r="AZ59" s="2061"/>
      <c r="BA59" s="2061"/>
      <c r="BB59" s="2028">
        <f t="shared" si="79"/>
        <v>0</v>
      </c>
      <c r="BC59" s="2060" t="e">
        <f t="shared" si="62"/>
        <v>#DIV/0!</v>
      </c>
      <c r="BD59" s="1945"/>
      <c r="BE59" s="2061"/>
      <c r="BF59" s="2061"/>
      <c r="BG59" s="2028">
        <f t="shared" si="80"/>
        <v>0</v>
      </c>
      <c r="BH59" s="2060" t="e">
        <f t="shared" si="63"/>
        <v>#DIV/0!</v>
      </c>
      <c r="BI59" s="1945"/>
      <c r="BJ59" s="2061"/>
      <c r="BK59" s="2061"/>
      <c r="BL59" s="2028">
        <f t="shared" si="81"/>
        <v>0</v>
      </c>
      <c r="BM59" s="2060" t="e">
        <f t="shared" si="64"/>
        <v>#DIV/0!</v>
      </c>
      <c r="BN59" s="1945"/>
      <c r="BO59" s="2061"/>
      <c r="BP59" s="2061"/>
      <c r="BQ59" s="2028">
        <f t="shared" si="82"/>
        <v>0</v>
      </c>
      <c r="BR59" s="2060" t="e">
        <f t="shared" si="65"/>
        <v>#DIV/0!</v>
      </c>
      <c r="BS59" s="1945"/>
      <c r="BT59" s="2059">
        <f t="shared" si="83"/>
        <v>31564.35</v>
      </c>
      <c r="BU59" s="2059">
        <f t="shared" si="83"/>
        <v>0</v>
      </c>
      <c r="BV59" s="2028">
        <f t="shared" si="84"/>
        <v>31564.35</v>
      </c>
      <c r="BW59" s="2060">
        <f t="shared" si="66"/>
        <v>9.6085376572987654E-4</v>
      </c>
      <c r="BX59" s="2008"/>
    </row>
    <row r="60" spans="1:76" ht="14.4" customHeight="1" x14ac:dyDescent="0.25">
      <c r="A60" s="237"/>
      <c r="B60" s="1116" t="s">
        <v>65</v>
      </c>
      <c r="C60" s="1242">
        <v>23232</v>
      </c>
      <c r="D60" s="1243"/>
      <c r="E60" s="1244">
        <f t="shared" si="67"/>
        <v>23232</v>
      </c>
      <c r="F60" s="1245">
        <f t="shared" si="85"/>
        <v>9.4844868872877492E-4</v>
      </c>
      <c r="G60" s="1031">
        <v>29196</v>
      </c>
      <c r="H60" s="1031">
        <v>0</v>
      </c>
      <c r="I60" s="1190">
        <v>29196</v>
      </c>
      <c r="J60" s="1049">
        <v>1.0548833657258296E-3</v>
      </c>
      <c r="K60" s="1049"/>
      <c r="L60" s="1031">
        <v>2772.76</v>
      </c>
      <c r="M60" s="1031"/>
      <c r="N60" s="1190">
        <f t="shared" si="68"/>
        <v>2772.76</v>
      </c>
      <c r="O60" s="1245">
        <f t="shared" si="59"/>
        <v>4.5178008899185345E-3</v>
      </c>
      <c r="P60" s="1246"/>
      <c r="Q60" s="1031">
        <v>3238.52</v>
      </c>
      <c r="R60" s="1031"/>
      <c r="S60" s="1190">
        <f t="shared" si="69"/>
        <v>3238.52</v>
      </c>
      <c r="T60" s="1245">
        <f t="shared" si="70"/>
        <v>9.8231070349599856E-4</v>
      </c>
      <c r="U60" s="1246"/>
      <c r="V60" s="1031"/>
      <c r="W60" s="1031"/>
      <c r="X60" s="1190">
        <f t="shared" si="71"/>
        <v>0</v>
      </c>
      <c r="Y60" s="1245">
        <f t="shared" si="72"/>
        <v>0</v>
      </c>
      <c r="Z60" s="1246"/>
      <c r="AA60" s="1031"/>
      <c r="AB60" s="1031"/>
      <c r="AC60" s="1190">
        <f t="shared" si="73"/>
        <v>0</v>
      </c>
      <c r="AD60" s="1245" t="e">
        <f t="shared" si="86"/>
        <v>#DIV/0!</v>
      </c>
      <c r="AE60" s="1157"/>
      <c r="AF60" s="1567"/>
      <c r="AG60" s="1567"/>
      <c r="AH60" s="1495">
        <f t="shared" si="74"/>
        <v>0</v>
      </c>
      <c r="AI60" s="1666">
        <f t="shared" si="75"/>
        <v>0</v>
      </c>
      <c r="AJ60" s="1861"/>
      <c r="AK60" s="1567"/>
      <c r="AL60" s="1567"/>
      <c r="AM60" s="1495">
        <f t="shared" si="76"/>
        <v>0</v>
      </c>
      <c r="AN60" s="1555">
        <f t="shared" si="60"/>
        <v>0</v>
      </c>
      <c r="AO60" s="1647"/>
      <c r="AP60" s="1567"/>
      <c r="AQ60" s="1567"/>
      <c r="AR60" s="1495">
        <f t="shared" si="77"/>
        <v>0</v>
      </c>
      <c r="AS60" s="1555" t="e">
        <f t="shared" si="61"/>
        <v>#DIV/0!</v>
      </c>
      <c r="AT60" s="1647"/>
      <c r="AU60" s="2061"/>
      <c r="AV60" s="2061"/>
      <c r="AW60" s="2028">
        <f t="shared" si="78"/>
        <v>0</v>
      </c>
      <c r="AX60" s="2060">
        <f t="shared" si="8"/>
        <v>0</v>
      </c>
      <c r="AY60" s="1945"/>
      <c r="AZ60" s="2061"/>
      <c r="BA60" s="2061"/>
      <c r="BB60" s="2028">
        <f t="shared" si="79"/>
        <v>0</v>
      </c>
      <c r="BC60" s="2060" t="e">
        <f t="shared" si="62"/>
        <v>#DIV/0!</v>
      </c>
      <c r="BD60" s="1945"/>
      <c r="BE60" s="2061"/>
      <c r="BF60" s="2061"/>
      <c r="BG60" s="2028">
        <f t="shared" si="80"/>
        <v>0</v>
      </c>
      <c r="BH60" s="2060" t="e">
        <f t="shared" si="63"/>
        <v>#DIV/0!</v>
      </c>
      <c r="BI60" s="1945"/>
      <c r="BJ60" s="2061"/>
      <c r="BK60" s="2061"/>
      <c r="BL60" s="2028">
        <f t="shared" si="81"/>
        <v>0</v>
      </c>
      <c r="BM60" s="2060" t="e">
        <f t="shared" si="64"/>
        <v>#DIV/0!</v>
      </c>
      <c r="BN60" s="1945"/>
      <c r="BO60" s="2061"/>
      <c r="BP60" s="2061"/>
      <c r="BQ60" s="2028">
        <f t="shared" si="82"/>
        <v>0</v>
      </c>
      <c r="BR60" s="2060" t="e">
        <f t="shared" si="65"/>
        <v>#DIV/0!</v>
      </c>
      <c r="BS60" s="1945"/>
      <c r="BT60" s="2059">
        <f t="shared" si="83"/>
        <v>35207.279999999999</v>
      </c>
      <c r="BU60" s="2059">
        <f t="shared" si="83"/>
        <v>0</v>
      </c>
      <c r="BV60" s="2028">
        <f t="shared" si="84"/>
        <v>35207.279999999999</v>
      </c>
      <c r="BW60" s="2060">
        <f t="shared" si="66"/>
        <v>1.0717485888068713E-3</v>
      </c>
      <c r="BX60" s="2008"/>
    </row>
    <row r="61" spans="1:76" ht="14.4" customHeight="1" x14ac:dyDescent="0.25">
      <c r="A61" s="237"/>
      <c r="B61" s="1116" t="s">
        <v>32</v>
      </c>
      <c r="C61" s="1242"/>
      <c r="D61" s="1243"/>
      <c r="E61" s="1244">
        <f t="shared" si="67"/>
        <v>0</v>
      </c>
      <c r="F61" s="1245">
        <f t="shared" si="85"/>
        <v>0</v>
      </c>
      <c r="G61" s="1031">
        <v>0</v>
      </c>
      <c r="H61" s="1031">
        <v>0</v>
      </c>
      <c r="I61" s="1190">
        <v>0</v>
      </c>
      <c r="J61" s="1049">
        <v>0</v>
      </c>
      <c r="K61" s="1049"/>
      <c r="L61" s="1031"/>
      <c r="M61" s="1031"/>
      <c r="N61" s="1190">
        <f t="shared" si="68"/>
        <v>0</v>
      </c>
      <c r="O61" s="1245">
        <f t="shared" si="59"/>
        <v>0</v>
      </c>
      <c r="P61" s="1246"/>
      <c r="Q61" s="1031"/>
      <c r="R61" s="1031"/>
      <c r="S61" s="1190">
        <f t="shared" si="69"/>
        <v>0</v>
      </c>
      <c r="T61" s="1245">
        <f t="shared" si="70"/>
        <v>0</v>
      </c>
      <c r="U61" s="1246"/>
      <c r="V61" s="1031"/>
      <c r="W61" s="1031"/>
      <c r="X61" s="1190">
        <f t="shared" si="71"/>
        <v>0</v>
      </c>
      <c r="Y61" s="1245">
        <f t="shared" si="72"/>
        <v>0</v>
      </c>
      <c r="Z61" s="1246"/>
      <c r="AA61" s="1031"/>
      <c r="AB61" s="1031"/>
      <c r="AC61" s="1190">
        <f t="shared" si="73"/>
        <v>0</v>
      </c>
      <c r="AD61" s="1245" t="e">
        <f t="shared" si="86"/>
        <v>#DIV/0!</v>
      </c>
      <c r="AE61" s="1157"/>
      <c r="AF61" s="1567"/>
      <c r="AG61" s="1567"/>
      <c r="AH61" s="1495">
        <f t="shared" si="74"/>
        <v>0</v>
      </c>
      <c r="AI61" s="1666">
        <f t="shared" si="75"/>
        <v>0</v>
      </c>
      <c r="AJ61" s="1861"/>
      <c r="AK61" s="1567"/>
      <c r="AL61" s="1567"/>
      <c r="AM61" s="1495">
        <f t="shared" si="76"/>
        <v>0</v>
      </c>
      <c r="AN61" s="1555">
        <f t="shared" si="60"/>
        <v>0</v>
      </c>
      <c r="AO61" s="1647"/>
      <c r="AP61" s="1567"/>
      <c r="AQ61" s="1567"/>
      <c r="AR61" s="1495">
        <f t="shared" si="77"/>
        <v>0</v>
      </c>
      <c r="AS61" s="1555" t="e">
        <f t="shared" si="61"/>
        <v>#DIV/0!</v>
      </c>
      <c r="AT61" s="1647"/>
      <c r="AU61" s="2061"/>
      <c r="AV61" s="2061"/>
      <c r="AW61" s="2028">
        <f t="shared" si="78"/>
        <v>0</v>
      </c>
      <c r="AX61" s="2060">
        <f t="shared" si="8"/>
        <v>0</v>
      </c>
      <c r="AY61" s="1945"/>
      <c r="AZ61" s="2061"/>
      <c r="BA61" s="2061"/>
      <c r="BB61" s="2028">
        <f t="shared" si="79"/>
        <v>0</v>
      </c>
      <c r="BC61" s="2060" t="e">
        <f t="shared" si="62"/>
        <v>#DIV/0!</v>
      </c>
      <c r="BD61" s="1945"/>
      <c r="BE61" s="2061"/>
      <c r="BF61" s="2061"/>
      <c r="BG61" s="2028">
        <f t="shared" si="80"/>
        <v>0</v>
      </c>
      <c r="BH61" s="2060" t="e">
        <f t="shared" si="63"/>
        <v>#DIV/0!</v>
      </c>
      <c r="BI61" s="1945"/>
      <c r="BJ61" s="2061"/>
      <c r="BK61" s="2061"/>
      <c r="BL61" s="2028">
        <f t="shared" si="81"/>
        <v>0</v>
      </c>
      <c r="BM61" s="2060" t="e">
        <f t="shared" si="64"/>
        <v>#DIV/0!</v>
      </c>
      <c r="BN61" s="1945"/>
      <c r="BO61" s="2061"/>
      <c r="BP61" s="2061"/>
      <c r="BQ61" s="2028">
        <f t="shared" si="82"/>
        <v>0</v>
      </c>
      <c r="BR61" s="2060" t="e">
        <f t="shared" si="65"/>
        <v>#DIV/0!</v>
      </c>
      <c r="BS61" s="1945"/>
      <c r="BT61" s="2059">
        <f t="shared" si="83"/>
        <v>0</v>
      </c>
      <c r="BU61" s="2059">
        <f t="shared" si="83"/>
        <v>0</v>
      </c>
      <c r="BV61" s="2028">
        <f t="shared" si="84"/>
        <v>0</v>
      </c>
      <c r="BW61" s="2060">
        <f t="shared" si="66"/>
        <v>0</v>
      </c>
      <c r="BX61" s="2008"/>
    </row>
    <row r="62" spans="1:76" ht="14.4" customHeight="1" x14ac:dyDescent="0.25">
      <c r="A62" s="237"/>
      <c r="B62" s="1237" t="s">
        <v>33</v>
      </c>
      <c r="C62" s="1242"/>
      <c r="D62" s="1243"/>
      <c r="E62" s="1244">
        <f t="shared" si="67"/>
        <v>0</v>
      </c>
      <c r="F62" s="1245">
        <f t="shared" si="85"/>
        <v>0</v>
      </c>
      <c r="G62" s="1031">
        <v>0</v>
      </c>
      <c r="H62" s="1031">
        <v>0</v>
      </c>
      <c r="I62" s="1190">
        <v>0</v>
      </c>
      <c r="J62" s="1049">
        <v>0</v>
      </c>
      <c r="K62" s="1049"/>
      <c r="L62" s="1031"/>
      <c r="M62" s="1031"/>
      <c r="N62" s="1190">
        <f t="shared" si="68"/>
        <v>0</v>
      </c>
      <c r="O62" s="1245">
        <f t="shared" si="59"/>
        <v>0</v>
      </c>
      <c r="P62" s="1246"/>
      <c r="Q62" s="1031"/>
      <c r="R62" s="1031"/>
      <c r="S62" s="1190">
        <f t="shared" si="69"/>
        <v>0</v>
      </c>
      <c r="T62" s="1245">
        <f t="shared" si="70"/>
        <v>0</v>
      </c>
      <c r="U62" s="1246"/>
      <c r="V62" s="1031"/>
      <c r="W62" s="1031"/>
      <c r="X62" s="1190">
        <f t="shared" si="71"/>
        <v>0</v>
      </c>
      <c r="Y62" s="1245">
        <f t="shared" si="72"/>
        <v>0</v>
      </c>
      <c r="Z62" s="1246"/>
      <c r="AA62" s="1031"/>
      <c r="AB62" s="1031"/>
      <c r="AC62" s="1190">
        <f t="shared" si="73"/>
        <v>0</v>
      </c>
      <c r="AD62" s="1245" t="e">
        <f t="shared" si="86"/>
        <v>#DIV/0!</v>
      </c>
      <c r="AE62" s="1157"/>
      <c r="AF62" s="1567"/>
      <c r="AG62" s="1567"/>
      <c r="AH62" s="1495">
        <f t="shared" si="74"/>
        <v>0</v>
      </c>
      <c r="AI62" s="1666">
        <f t="shared" si="75"/>
        <v>0</v>
      </c>
      <c r="AJ62" s="1861"/>
      <c r="AK62" s="1567"/>
      <c r="AL62" s="1567"/>
      <c r="AM62" s="1495">
        <f t="shared" si="76"/>
        <v>0</v>
      </c>
      <c r="AN62" s="1555">
        <f t="shared" si="60"/>
        <v>0</v>
      </c>
      <c r="AO62" s="1647"/>
      <c r="AP62" s="1567"/>
      <c r="AQ62" s="1567"/>
      <c r="AR62" s="1495">
        <f t="shared" si="77"/>
        <v>0</v>
      </c>
      <c r="AS62" s="1555" t="e">
        <f t="shared" si="61"/>
        <v>#DIV/0!</v>
      </c>
      <c r="AT62" s="1647"/>
      <c r="AU62" s="2061"/>
      <c r="AV62" s="2061"/>
      <c r="AW62" s="2028">
        <f t="shared" si="78"/>
        <v>0</v>
      </c>
      <c r="AX62" s="2060">
        <f t="shared" si="8"/>
        <v>0</v>
      </c>
      <c r="AY62" s="1945"/>
      <c r="AZ62" s="2061"/>
      <c r="BA62" s="2061"/>
      <c r="BB62" s="2028">
        <f t="shared" si="79"/>
        <v>0</v>
      </c>
      <c r="BC62" s="2060" t="e">
        <f t="shared" si="62"/>
        <v>#DIV/0!</v>
      </c>
      <c r="BD62" s="1945"/>
      <c r="BE62" s="2061"/>
      <c r="BF62" s="2061"/>
      <c r="BG62" s="2028">
        <f t="shared" si="80"/>
        <v>0</v>
      </c>
      <c r="BH62" s="2060" t="e">
        <f t="shared" si="63"/>
        <v>#DIV/0!</v>
      </c>
      <c r="BI62" s="1945"/>
      <c r="BJ62" s="2061"/>
      <c r="BK62" s="2061"/>
      <c r="BL62" s="2028">
        <f t="shared" si="81"/>
        <v>0</v>
      </c>
      <c r="BM62" s="2060" t="e">
        <f t="shared" si="64"/>
        <v>#DIV/0!</v>
      </c>
      <c r="BN62" s="1945"/>
      <c r="BO62" s="2061"/>
      <c r="BP62" s="2061"/>
      <c r="BQ62" s="2028">
        <f t="shared" si="82"/>
        <v>0</v>
      </c>
      <c r="BR62" s="2060" t="e">
        <f t="shared" si="65"/>
        <v>#DIV/0!</v>
      </c>
      <c r="BS62" s="1945"/>
      <c r="BT62" s="2059">
        <f t="shared" si="83"/>
        <v>0</v>
      </c>
      <c r="BU62" s="2059">
        <f t="shared" si="83"/>
        <v>0</v>
      </c>
      <c r="BV62" s="2028">
        <f t="shared" si="84"/>
        <v>0</v>
      </c>
      <c r="BW62" s="2060">
        <f t="shared" si="66"/>
        <v>0</v>
      </c>
      <c r="BX62" s="2008"/>
    </row>
    <row r="63" spans="1:76" ht="14.4" customHeight="1" x14ac:dyDescent="0.25">
      <c r="A63" s="237"/>
      <c r="B63" s="1237" t="s">
        <v>35</v>
      </c>
      <c r="C63" s="1242">
        <v>53294</v>
      </c>
      <c r="D63" s="1243"/>
      <c r="E63" s="1244">
        <f t="shared" si="67"/>
        <v>53294</v>
      </c>
      <c r="F63" s="1245">
        <f t="shared" si="85"/>
        <v>2.1757328003233181E-3</v>
      </c>
      <c r="G63" s="1031">
        <v>67264.3</v>
      </c>
      <c r="H63" s="1031">
        <v>10007.189999999999</v>
      </c>
      <c r="I63" s="1190">
        <v>77271.490000000005</v>
      </c>
      <c r="J63" s="1049">
        <v>2.791903323943341E-3</v>
      </c>
      <c r="K63" s="1049"/>
      <c r="L63" s="1188">
        <f>4061.81+930.18</f>
        <v>4991.99</v>
      </c>
      <c r="M63" s="1031"/>
      <c r="N63" s="1190">
        <f t="shared" si="68"/>
        <v>4991.99</v>
      </c>
      <c r="O63" s="1245">
        <f t="shared" si="59"/>
        <v>8.1337067991692109E-3</v>
      </c>
      <c r="P63" s="1069" t="s">
        <v>989</v>
      </c>
      <c r="Q63" s="1188">
        <f>8020.89+19417</f>
        <v>27437.89</v>
      </c>
      <c r="R63" s="1031"/>
      <c r="S63" s="1190">
        <f t="shared" si="69"/>
        <v>27437.89</v>
      </c>
      <c r="T63" s="1245">
        <f t="shared" si="70"/>
        <v>8.3224846622363992E-3</v>
      </c>
      <c r="U63" s="1292" t="s">
        <v>1054</v>
      </c>
      <c r="V63" s="1188"/>
      <c r="W63" s="1031"/>
      <c r="X63" s="1190">
        <f t="shared" si="71"/>
        <v>0</v>
      </c>
      <c r="Y63" s="1245">
        <f t="shared" si="72"/>
        <v>0</v>
      </c>
      <c r="Z63" s="1246"/>
      <c r="AA63" s="1188"/>
      <c r="AB63" s="1031"/>
      <c r="AC63" s="1190">
        <f t="shared" si="73"/>
        <v>0</v>
      </c>
      <c r="AD63" s="1245" t="e">
        <f t="shared" si="86"/>
        <v>#DIV/0!</v>
      </c>
      <c r="AE63" s="1157"/>
      <c r="AF63" s="1447"/>
      <c r="AG63" s="1567"/>
      <c r="AH63" s="1495">
        <f t="shared" si="74"/>
        <v>0</v>
      </c>
      <c r="AI63" s="1666">
        <f t="shared" si="75"/>
        <v>0</v>
      </c>
      <c r="AJ63" s="1861"/>
      <c r="AK63" s="1447"/>
      <c r="AL63" s="1567"/>
      <c r="AM63" s="1495">
        <f t="shared" si="76"/>
        <v>0</v>
      </c>
      <c r="AN63" s="1555">
        <f t="shared" si="60"/>
        <v>0</v>
      </c>
      <c r="AO63" s="1647"/>
      <c r="AP63" s="1447"/>
      <c r="AQ63" s="1567"/>
      <c r="AR63" s="1495">
        <f t="shared" si="77"/>
        <v>0</v>
      </c>
      <c r="AS63" s="1555" t="e">
        <f t="shared" si="61"/>
        <v>#DIV/0!</v>
      </c>
      <c r="AT63" s="1647"/>
      <c r="AU63" s="2059"/>
      <c r="AV63" s="2061"/>
      <c r="AW63" s="2028">
        <f t="shared" si="78"/>
        <v>0</v>
      </c>
      <c r="AX63" s="2060">
        <f t="shared" si="8"/>
        <v>0</v>
      </c>
      <c r="AY63" s="1945"/>
      <c r="AZ63" s="2059"/>
      <c r="BA63" s="2061"/>
      <c r="BB63" s="2028">
        <f t="shared" si="79"/>
        <v>0</v>
      </c>
      <c r="BC63" s="2060" t="e">
        <f t="shared" si="62"/>
        <v>#DIV/0!</v>
      </c>
      <c r="BD63" s="1945"/>
      <c r="BE63" s="2059"/>
      <c r="BF63" s="2061"/>
      <c r="BG63" s="2028">
        <f t="shared" si="80"/>
        <v>0</v>
      </c>
      <c r="BH63" s="2060" t="e">
        <f t="shared" si="63"/>
        <v>#DIV/0!</v>
      </c>
      <c r="BI63" s="1945"/>
      <c r="BJ63" s="2059"/>
      <c r="BK63" s="2061"/>
      <c r="BL63" s="2028">
        <f t="shared" si="81"/>
        <v>0</v>
      </c>
      <c r="BM63" s="2060" t="e">
        <f t="shared" si="64"/>
        <v>#DIV/0!</v>
      </c>
      <c r="BN63" s="1945"/>
      <c r="BO63" s="2059"/>
      <c r="BP63" s="2061"/>
      <c r="BQ63" s="2028">
        <f t="shared" si="82"/>
        <v>0</v>
      </c>
      <c r="BR63" s="2060" t="e">
        <f t="shared" si="65"/>
        <v>#DIV/0!</v>
      </c>
      <c r="BS63" s="1945"/>
      <c r="BT63" s="2059">
        <f t="shared" si="83"/>
        <v>99694.180000000008</v>
      </c>
      <c r="BU63" s="2059">
        <f t="shared" si="83"/>
        <v>10007.189999999999</v>
      </c>
      <c r="BV63" s="2028">
        <f t="shared" si="84"/>
        <v>109701.37000000001</v>
      </c>
      <c r="BW63" s="2060">
        <f t="shared" si="66"/>
        <v>3.3394311769520527E-3</v>
      </c>
      <c r="BX63" s="2008"/>
    </row>
    <row r="64" spans="1:76" ht="14.4" customHeight="1" x14ac:dyDescent="0.25">
      <c r="A64" s="237"/>
      <c r="B64" s="1237" t="s">
        <v>63</v>
      </c>
      <c r="C64" s="1242"/>
      <c r="D64" s="1243"/>
      <c r="E64" s="1244">
        <f t="shared" si="67"/>
        <v>0</v>
      </c>
      <c r="F64" s="1245">
        <f t="shared" si="85"/>
        <v>0</v>
      </c>
      <c r="G64" s="1031">
        <v>0</v>
      </c>
      <c r="H64" s="1031">
        <v>0</v>
      </c>
      <c r="I64" s="1190">
        <v>0</v>
      </c>
      <c r="J64" s="1049">
        <v>0</v>
      </c>
      <c r="K64" s="1049"/>
      <c r="L64" s="1031"/>
      <c r="M64" s="1031"/>
      <c r="N64" s="1190">
        <f t="shared" si="68"/>
        <v>0</v>
      </c>
      <c r="O64" s="1245">
        <f t="shared" si="59"/>
        <v>0</v>
      </c>
      <c r="P64" s="1246"/>
      <c r="Q64" s="1031"/>
      <c r="R64" s="1031"/>
      <c r="S64" s="1190">
        <f t="shared" si="69"/>
        <v>0</v>
      </c>
      <c r="T64" s="1245">
        <f t="shared" si="70"/>
        <v>0</v>
      </c>
      <c r="U64" s="1246"/>
      <c r="V64" s="1031"/>
      <c r="W64" s="1031"/>
      <c r="X64" s="1190">
        <f t="shared" si="71"/>
        <v>0</v>
      </c>
      <c r="Y64" s="1245">
        <f t="shared" si="72"/>
        <v>0</v>
      </c>
      <c r="Z64" s="1246"/>
      <c r="AA64" s="1031"/>
      <c r="AB64" s="1031"/>
      <c r="AC64" s="1190">
        <f t="shared" si="73"/>
        <v>0</v>
      </c>
      <c r="AD64" s="1245" t="e">
        <f t="shared" si="86"/>
        <v>#DIV/0!</v>
      </c>
      <c r="AE64" s="1157"/>
      <c r="AF64" s="1567"/>
      <c r="AG64" s="1567"/>
      <c r="AH64" s="1495">
        <f t="shared" si="74"/>
        <v>0</v>
      </c>
      <c r="AI64" s="1666">
        <f t="shared" si="75"/>
        <v>0</v>
      </c>
      <c r="AJ64" s="1861"/>
      <c r="AK64" s="1567"/>
      <c r="AL64" s="1567"/>
      <c r="AM64" s="1495">
        <f t="shared" si="76"/>
        <v>0</v>
      </c>
      <c r="AN64" s="1555">
        <f t="shared" si="60"/>
        <v>0</v>
      </c>
      <c r="AO64" s="1647"/>
      <c r="AP64" s="1567"/>
      <c r="AQ64" s="1567"/>
      <c r="AR64" s="1495">
        <f t="shared" si="77"/>
        <v>0</v>
      </c>
      <c r="AS64" s="1555" t="e">
        <f t="shared" si="61"/>
        <v>#DIV/0!</v>
      </c>
      <c r="AT64" s="1647"/>
      <c r="AU64" s="2061"/>
      <c r="AV64" s="2061"/>
      <c r="AW64" s="2028">
        <f t="shared" si="78"/>
        <v>0</v>
      </c>
      <c r="AX64" s="2060">
        <f t="shared" si="8"/>
        <v>0</v>
      </c>
      <c r="AY64" s="1945"/>
      <c r="AZ64" s="2061"/>
      <c r="BA64" s="2061"/>
      <c r="BB64" s="2028">
        <f t="shared" si="79"/>
        <v>0</v>
      </c>
      <c r="BC64" s="2060" t="e">
        <f t="shared" si="62"/>
        <v>#DIV/0!</v>
      </c>
      <c r="BD64" s="1945"/>
      <c r="BE64" s="2061"/>
      <c r="BF64" s="2061"/>
      <c r="BG64" s="2028">
        <f t="shared" si="80"/>
        <v>0</v>
      </c>
      <c r="BH64" s="2060" t="e">
        <f t="shared" si="63"/>
        <v>#DIV/0!</v>
      </c>
      <c r="BI64" s="1945"/>
      <c r="BJ64" s="2061"/>
      <c r="BK64" s="2061"/>
      <c r="BL64" s="2028">
        <f t="shared" si="81"/>
        <v>0</v>
      </c>
      <c r="BM64" s="2060" t="e">
        <f t="shared" si="64"/>
        <v>#DIV/0!</v>
      </c>
      <c r="BN64" s="1945"/>
      <c r="BO64" s="2061"/>
      <c r="BP64" s="2061"/>
      <c r="BQ64" s="2028">
        <f t="shared" si="82"/>
        <v>0</v>
      </c>
      <c r="BR64" s="2060" t="e">
        <f t="shared" si="65"/>
        <v>#DIV/0!</v>
      </c>
      <c r="BS64" s="1945"/>
      <c r="BT64" s="2059">
        <f t="shared" si="83"/>
        <v>0</v>
      </c>
      <c r="BU64" s="2059">
        <f t="shared" si="83"/>
        <v>0</v>
      </c>
      <c r="BV64" s="2028">
        <f t="shared" si="84"/>
        <v>0</v>
      </c>
      <c r="BW64" s="2060">
        <f t="shared" si="66"/>
        <v>0</v>
      </c>
      <c r="BX64" s="2008"/>
    </row>
    <row r="65" spans="1:76" ht="14.4" customHeight="1" x14ac:dyDescent="0.25">
      <c r="A65" s="237"/>
      <c r="B65" s="1237" t="s">
        <v>36</v>
      </c>
      <c r="C65" s="1242"/>
      <c r="D65" s="1243"/>
      <c r="E65" s="1244">
        <f t="shared" si="67"/>
        <v>0</v>
      </c>
      <c r="F65" s="1245">
        <f t="shared" si="85"/>
        <v>0</v>
      </c>
      <c r="G65" s="1188">
        <v>31028.52</v>
      </c>
      <c r="H65" s="1188">
        <v>13903</v>
      </c>
      <c r="I65" s="1190">
        <v>44931.520000000004</v>
      </c>
      <c r="J65" s="1049">
        <v>1.6234248885045016E-3</v>
      </c>
      <c r="K65" s="1049"/>
      <c r="L65" s="1188">
        <f>2400+800</f>
        <v>3200</v>
      </c>
      <c r="M65" s="1188"/>
      <c r="N65" s="1190">
        <f t="shared" si="68"/>
        <v>3200</v>
      </c>
      <c r="O65" s="1245">
        <f>N65/$N$89</f>
        <v>5.2139250594134762E-3</v>
      </c>
      <c r="P65" s="1292" t="s">
        <v>990</v>
      </c>
      <c r="Q65" s="1188">
        <f>5697.5+1000</f>
        <v>6697.5</v>
      </c>
      <c r="R65" s="1188"/>
      <c r="S65" s="1190">
        <f t="shared" si="69"/>
        <v>6697.5</v>
      </c>
      <c r="T65" s="1245">
        <f t="shared" si="70"/>
        <v>2.0314915259638509E-3</v>
      </c>
      <c r="U65" s="1292" t="s">
        <v>1022</v>
      </c>
      <c r="V65" s="1188"/>
      <c r="W65" s="1188"/>
      <c r="X65" s="1190">
        <f t="shared" si="71"/>
        <v>0</v>
      </c>
      <c r="Y65" s="1245">
        <f t="shared" si="72"/>
        <v>0</v>
      </c>
      <c r="Z65" s="1312"/>
      <c r="AA65" s="1188"/>
      <c r="AB65" s="1188"/>
      <c r="AC65" s="1190">
        <f t="shared" si="73"/>
        <v>0</v>
      </c>
      <c r="AD65" s="1245" t="e">
        <f t="shared" si="86"/>
        <v>#DIV/0!</v>
      </c>
      <c r="AE65" s="1157"/>
      <c r="AF65" s="1447"/>
      <c r="AG65" s="1447"/>
      <c r="AH65" s="1495">
        <f t="shared" si="74"/>
        <v>0</v>
      </c>
      <c r="AI65" s="1666">
        <f t="shared" si="75"/>
        <v>0</v>
      </c>
      <c r="AJ65" s="1861"/>
      <c r="AK65" s="1447"/>
      <c r="AL65" s="1447"/>
      <c r="AM65" s="1495">
        <f t="shared" si="76"/>
        <v>0</v>
      </c>
      <c r="AN65" s="1555">
        <f t="shared" si="60"/>
        <v>0</v>
      </c>
      <c r="AO65" s="1647"/>
      <c r="AP65" s="1447"/>
      <c r="AQ65" s="1447"/>
      <c r="AR65" s="1495">
        <f t="shared" si="77"/>
        <v>0</v>
      </c>
      <c r="AS65" s="1555" t="e">
        <f t="shared" si="61"/>
        <v>#DIV/0!</v>
      </c>
      <c r="AT65" s="1647"/>
      <c r="AU65" s="2059"/>
      <c r="AV65" s="2059"/>
      <c r="AW65" s="2028">
        <f t="shared" si="78"/>
        <v>0</v>
      </c>
      <c r="AX65" s="2060">
        <f t="shared" si="8"/>
        <v>0</v>
      </c>
      <c r="AY65" s="1945"/>
      <c r="AZ65" s="2059"/>
      <c r="BA65" s="2059"/>
      <c r="BB65" s="2028">
        <f t="shared" si="79"/>
        <v>0</v>
      </c>
      <c r="BC65" s="2060" t="e">
        <f t="shared" si="62"/>
        <v>#DIV/0!</v>
      </c>
      <c r="BD65" s="1945" t="s">
        <v>1569</v>
      </c>
      <c r="BE65" s="2059"/>
      <c r="BF65" s="2061"/>
      <c r="BG65" s="2028">
        <f t="shared" si="80"/>
        <v>0</v>
      </c>
      <c r="BH65" s="2060" t="e">
        <f t="shared" si="63"/>
        <v>#DIV/0!</v>
      </c>
      <c r="BI65" s="1945"/>
      <c r="BJ65" s="2059"/>
      <c r="BK65" s="2061"/>
      <c r="BL65" s="2028">
        <f t="shared" si="81"/>
        <v>0</v>
      </c>
      <c r="BM65" s="2060" t="e">
        <f t="shared" si="64"/>
        <v>#DIV/0!</v>
      </c>
      <c r="BN65" s="1945"/>
      <c r="BO65" s="2059"/>
      <c r="BP65" s="2061"/>
      <c r="BQ65" s="2028">
        <f t="shared" si="82"/>
        <v>0</v>
      </c>
      <c r="BR65" s="2060" t="e">
        <f t="shared" si="65"/>
        <v>#DIV/0!</v>
      </c>
      <c r="BS65" s="1945"/>
      <c r="BT65" s="2059">
        <f t="shared" si="83"/>
        <v>40926.020000000004</v>
      </c>
      <c r="BU65" s="2059">
        <f t="shared" si="83"/>
        <v>13903</v>
      </c>
      <c r="BV65" s="2028">
        <f t="shared" si="84"/>
        <v>54829.020000000004</v>
      </c>
      <c r="BW65" s="2060">
        <f t="shared" si="66"/>
        <v>1.6690560818860114E-3</v>
      </c>
      <c r="BX65" s="2008"/>
    </row>
    <row r="66" spans="1:76" s="2" customFormat="1" ht="14.4" customHeight="1" x14ac:dyDescent="0.25">
      <c r="A66" s="237"/>
      <c r="B66" s="1237" t="s">
        <v>37</v>
      </c>
      <c r="C66" s="1242"/>
      <c r="D66" s="1243"/>
      <c r="E66" s="1244">
        <f t="shared" si="67"/>
        <v>0</v>
      </c>
      <c r="F66" s="1245">
        <f t="shared" si="85"/>
        <v>0</v>
      </c>
      <c r="G66" s="1188">
        <v>0</v>
      </c>
      <c r="H66" s="1188">
        <v>0</v>
      </c>
      <c r="I66" s="1190">
        <v>0</v>
      </c>
      <c r="J66" s="1049">
        <v>0</v>
      </c>
      <c r="K66" s="1049"/>
      <c r="L66" s="1188"/>
      <c r="M66" s="1188"/>
      <c r="N66" s="1190">
        <f t="shared" si="68"/>
        <v>0</v>
      </c>
      <c r="O66" s="1245">
        <f t="shared" si="59"/>
        <v>0</v>
      </c>
      <c r="P66" s="1246"/>
      <c r="Q66" s="1188"/>
      <c r="R66" s="1188"/>
      <c r="S66" s="1190">
        <f t="shared" si="69"/>
        <v>0</v>
      </c>
      <c r="T66" s="1245">
        <f t="shared" si="70"/>
        <v>0</v>
      </c>
      <c r="U66" s="1246"/>
      <c r="V66" s="1188"/>
      <c r="W66" s="1188"/>
      <c r="X66" s="1190">
        <f t="shared" si="71"/>
        <v>0</v>
      </c>
      <c r="Y66" s="1245">
        <f t="shared" si="72"/>
        <v>0</v>
      </c>
      <c r="Z66" s="1246"/>
      <c r="AA66" s="1188"/>
      <c r="AB66" s="1188"/>
      <c r="AC66" s="1190">
        <f t="shared" si="73"/>
        <v>0</v>
      </c>
      <c r="AD66" s="1245" t="e">
        <f t="shared" si="86"/>
        <v>#DIV/0!</v>
      </c>
      <c r="AE66" s="1157"/>
      <c r="AF66" s="1447"/>
      <c r="AG66" s="1447"/>
      <c r="AH66" s="1495">
        <f t="shared" si="74"/>
        <v>0</v>
      </c>
      <c r="AI66" s="1666">
        <f t="shared" si="75"/>
        <v>0</v>
      </c>
      <c r="AJ66" s="1861"/>
      <c r="AK66" s="1447"/>
      <c r="AL66" s="1447"/>
      <c r="AM66" s="1495">
        <f t="shared" si="76"/>
        <v>0</v>
      </c>
      <c r="AN66" s="1555">
        <f t="shared" si="60"/>
        <v>0</v>
      </c>
      <c r="AO66" s="1647"/>
      <c r="AP66" s="1447"/>
      <c r="AQ66" s="1447"/>
      <c r="AR66" s="1495">
        <f t="shared" si="77"/>
        <v>0</v>
      </c>
      <c r="AS66" s="1555" t="e">
        <f t="shared" si="61"/>
        <v>#DIV/0!</v>
      </c>
      <c r="AT66" s="1647"/>
      <c r="AU66" s="2059"/>
      <c r="AV66" s="2059"/>
      <c r="AW66" s="2028">
        <f t="shared" si="78"/>
        <v>0</v>
      </c>
      <c r="AX66" s="2060">
        <f t="shared" si="8"/>
        <v>0</v>
      </c>
      <c r="AY66" s="1945"/>
      <c r="AZ66" s="2059"/>
      <c r="BA66" s="2059"/>
      <c r="BB66" s="2028">
        <f t="shared" si="79"/>
        <v>0</v>
      </c>
      <c r="BC66" s="2060" t="e">
        <f t="shared" si="62"/>
        <v>#DIV/0!</v>
      </c>
      <c r="BD66" s="1945"/>
      <c r="BE66" s="2059"/>
      <c r="BF66" s="2059"/>
      <c r="BG66" s="2028">
        <f t="shared" si="80"/>
        <v>0</v>
      </c>
      <c r="BH66" s="2060" t="e">
        <f t="shared" si="63"/>
        <v>#DIV/0!</v>
      </c>
      <c r="BI66" s="1945"/>
      <c r="BJ66" s="2059"/>
      <c r="BK66" s="2059"/>
      <c r="BL66" s="2028">
        <f t="shared" si="81"/>
        <v>0</v>
      </c>
      <c r="BM66" s="2060" t="e">
        <f t="shared" si="64"/>
        <v>#DIV/0!</v>
      </c>
      <c r="BN66" s="1945"/>
      <c r="BO66" s="2059"/>
      <c r="BP66" s="2059"/>
      <c r="BQ66" s="2028">
        <f t="shared" si="82"/>
        <v>0</v>
      </c>
      <c r="BR66" s="2060" t="e">
        <f t="shared" si="65"/>
        <v>#DIV/0!</v>
      </c>
      <c r="BS66" s="1945"/>
      <c r="BT66" s="2059">
        <f t="shared" si="83"/>
        <v>0</v>
      </c>
      <c r="BU66" s="2059">
        <f t="shared" si="83"/>
        <v>0</v>
      </c>
      <c r="BV66" s="2028">
        <f t="shared" si="84"/>
        <v>0</v>
      </c>
      <c r="BW66" s="2060">
        <f t="shared" si="66"/>
        <v>0</v>
      </c>
      <c r="BX66" s="2008"/>
    </row>
    <row r="67" spans="1:76" s="2" customFormat="1" ht="14.4" customHeight="1" x14ac:dyDescent="0.25">
      <c r="A67" s="237"/>
      <c r="B67" s="1237" t="s">
        <v>3</v>
      </c>
      <c r="C67" s="1242"/>
      <c r="D67" s="1243"/>
      <c r="E67" s="1244">
        <f t="shared" si="67"/>
        <v>0</v>
      </c>
      <c r="F67" s="1245">
        <f t="shared" si="85"/>
        <v>0</v>
      </c>
      <c r="G67" s="1188">
        <v>0</v>
      </c>
      <c r="H67" s="1188">
        <v>2100</v>
      </c>
      <c r="I67" s="1190">
        <v>2100</v>
      </c>
      <c r="J67" s="1049">
        <v>7.5875293465688519E-5</v>
      </c>
      <c r="K67" s="1049"/>
      <c r="L67" s="1188"/>
      <c r="M67" s="1188">
        <v>300</v>
      </c>
      <c r="N67" s="1190">
        <f t="shared" si="68"/>
        <v>300</v>
      </c>
      <c r="O67" s="1245">
        <f t="shared" si="59"/>
        <v>4.8880547432001342E-4</v>
      </c>
      <c r="P67" s="1246" t="s">
        <v>988</v>
      </c>
      <c r="Q67" s="1188"/>
      <c r="R67" s="1188">
        <v>400</v>
      </c>
      <c r="S67" s="1190">
        <f t="shared" si="69"/>
        <v>400</v>
      </c>
      <c r="T67" s="1245">
        <f t="shared" si="70"/>
        <v>1.2132834794856892E-4</v>
      </c>
      <c r="U67" s="1246" t="s">
        <v>1023</v>
      </c>
      <c r="V67" s="1188"/>
      <c r="W67" s="1188"/>
      <c r="X67" s="1190">
        <f t="shared" si="71"/>
        <v>0</v>
      </c>
      <c r="Y67" s="1245">
        <f t="shared" si="72"/>
        <v>0</v>
      </c>
      <c r="Z67" s="1246"/>
      <c r="AA67" s="1188"/>
      <c r="AB67" s="1188"/>
      <c r="AC67" s="1190">
        <f t="shared" si="73"/>
        <v>0</v>
      </c>
      <c r="AD67" s="1245" t="e">
        <f t="shared" si="86"/>
        <v>#DIV/0!</v>
      </c>
      <c r="AE67" s="1157"/>
      <c r="AF67" s="1447"/>
      <c r="AG67" s="1447"/>
      <c r="AH67" s="1495">
        <f t="shared" si="74"/>
        <v>0</v>
      </c>
      <c r="AI67" s="1666">
        <f t="shared" si="75"/>
        <v>0</v>
      </c>
      <c r="AJ67" s="1861"/>
      <c r="AK67" s="1447"/>
      <c r="AL67" s="1447"/>
      <c r="AM67" s="1495">
        <f t="shared" si="76"/>
        <v>0</v>
      </c>
      <c r="AN67" s="1555">
        <f t="shared" si="60"/>
        <v>0</v>
      </c>
      <c r="AO67" s="1647"/>
      <c r="AP67" s="1447"/>
      <c r="AQ67" s="1447"/>
      <c r="AR67" s="1495">
        <f t="shared" si="77"/>
        <v>0</v>
      </c>
      <c r="AS67" s="1555" t="e">
        <f t="shared" si="61"/>
        <v>#DIV/0!</v>
      </c>
      <c r="AT67" s="1647"/>
      <c r="AU67" s="2059"/>
      <c r="AV67" s="2059"/>
      <c r="AW67" s="2028">
        <f t="shared" si="78"/>
        <v>0</v>
      </c>
      <c r="AX67" s="2060">
        <f t="shared" si="8"/>
        <v>0</v>
      </c>
      <c r="AY67" s="1945"/>
      <c r="AZ67" s="2059"/>
      <c r="BA67" s="2059"/>
      <c r="BB67" s="2028">
        <f t="shared" si="79"/>
        <v>0</v>
      </c>
      <c r="BC67" s="2060" t="e">
        <f t="shared" si="62"/>
        <v>#DIV/0!</v>
      </c>
      <c r="BD67" s="1945"/>
      <c r="BE67" s="2059"/>
      <c r="BF67" s="2059"/>
      <c r="BG67" s="2028">
        <f t="shared" si="80"/>
        <v>0</v>
      </c>
      <c r="BH67" s="2060" t="e">
        <f t="shared" si="63"/>
        <v>#DIV/0!</v>
      </c>
      <c r="BI67" s="1945"/>
      <c r="BJ67" s="2059"/>
      <c r="BK67" s="2059"/>
      <c r="BL67" s="2028">
        <f t="shared" si="81"/>
        <v>0</v>
      </c>
      <c r="BM67" s="2060" t="e">
        <f t="shared" si="64"/>
        <v>#DIV/0!</v>
      </c>
      <c r="BN67" s="1945"/>
      <c r="BO67" s="2059"/>
      <c r="BP67" s="2059"/>
      <c r="BQ67" s="2028">
        <f t="shared" si="82"/>
        <v>0</v>
      </c>
      <c r="BR67" s="2060" t="e">
        <f t="shared" si="65"/>
        <v>#DIV/0!</v>
      </c>
      <c r="BS67" s="1945"/>
      <c r="BT67" s="2059">
        <f t="shared" si="83"/>
        <v>0</v>
      </c>
      <c r="BU67" s="2059">
        <f t="shared" si="83"/>
        <v>2800</v>
      </c>
      <c r="BV67" s="2028">
        <f t="shared" si="84"/>
        <v>2800</v>
      </c>
      <c r="BW67" s="2060">
        <f t="shared" si="66"/>
        <v>8.5235100486582318E-5</v>
      </c>
      <c r="BX67" s="2008"/>
    </row>
    <row r="68" spans="1:76" s="2" customFormat="1" ht="14.4" customHeight="1" x14ac:dyDescent="0.25">
      <c r="A68" s="237"/>
      <c r="B68" s="1116" t="s">
        <v>5</v>
      </c>
      <c r="C68" s="1242"/>
      <c r="D68" s="1243">
        <v>3249.46</v>
      </c>
      <c r="E68" s="1244">
        <f t="shared" si="67"/>
        <v>3249.46</v>
      </c>
      <c r="F68" s="1245">
        <f t="shared" si="85"/>
        <v>1.326595246245095E-4</v>
      </c>
      <c r="G68" s="1188">
        <v>0</v>
      </c>
      <c r="H68" s="1188">
        <v>27308.489999999998</v>
      </c>
      <c r="I68" s="1190">
        <v>27308.489999999998</v>
      </c>
      <c r="J68" s="1049">
        <v>9.8668556802610483E-4</v>
      </c>
      <c r="K68" s="1049"/>
      <c r="L68" s="1188"/>
      <c r="M68" s="1188">
        <v>4317.21</v>
      </c>
      <c r="N68" s="1190">
        <f t="shared" si="68"/>
        <v>4317.21</v>
      </c>
      <c r="O68" s="1245">
        <f t="shared" si="59"/>
        <v>7.0342529392970164E-3</v>
      </c>
      <c r="P68" s="1246"/>
      <c r="Q68" s="1188"/>
      <c r="R68" s="1188">
        <v>4571.4799999999996</v>
      </c>
      <c r="S68" s="1190">
        <f t="shared" si="69"/>
        <v>4571.4799999999996</v>
      </c>
      <c r="T68" s="1245">
        <f t="shared" si="70"/>
        <v>1.3866252901998095E-3</v>
      </c>
      <c r="U68" s="1246"/>
      <c r="V68" s="1188"/>
      <c r="W68" s="1188">
        <v>432</v>
      </c>
      <c r="X68" s="1190">
        <f t="shared" si="71"/>
        <v>432</v>
      </c>
      <c r="Y68" s="1245">
        <f t="shared" si="72"/>
        <v>3.5560920660806152E-3</v>
      </c>
      <c r="Z68" s="1246"/>
      <c r="AA68" s="1188"/>
      <c r="AB68" s="1188"/>
      <c r="AC68" s="1190">
        <f t="shared" si="73"/>
        <v>0</v>
      </c>
      <c r="AD68" s="1245" t="e">
        <f t="shared" si="86"/>
        <v>#DIV/0!</v>
      </c>
      <c r="AE68" s="1157"/>
      <c r="AF68" s="1447"/>
      <c r="AG68" s="1447"/>
      <c r="AH68" s="1495">
        <f t="shared" si="74"/>
        <v>0</v>
      </c>
      <c r="AI68" s="1666">
        <f t="shared" si="75"/>
        <v>0</v>
      </c>
      <c r="AJ68" s="1861"/>
      <c r="AK68" s="1447"/>
      <c r="AL68" s="1447"/>
      <c r="AM68" s="1495">
        <f t="shared" si="76"/>
        <v>0</v>
      </c>
      <c r="AN68" s="1555">
        <f t="shared" si="60"/>
        <v>0</v>
      </c>
      <c r="AO68" s="1647"/>
      <c r="AP68" s="1447"/>
      <c r="AQ68" s="1447"/>
      <c r="AR68" s="1495">
        <f t="shared" si="77"/>
        <v>0</v>
      </c>
      <c r="AS68" s="1555" t="e">
        <f t="shared" si="61"/>
        <v>#DIV/0!</v>
      </c>
      <c r="AT68" s="1647"/>
      <c r="AU68" s="2059"/>
      <c r="AV68" s="2059"/>
      <c r="AW68" s="2028">
        <f t="shared" si="78"/>
        <v>0</v>
      </c>
      <c r="AX68" s="2060">
        <f t="shared" si="8"/>
        <v>0</v>
      </c>
      <c r="AY68" s="1945"/>
      <c r="AZ68" s="2059"/>
      <c r="BA68" s="2059"/>
      <c r="BB68" s="2028">
        <f t="shared" si="79"/>
        <v>0</v>
      </c>
      <c r="BC68" s="2060" t="e">
        <f t="shared" si="62"/>
        <v>#DIV/0!</v>
      </c>
      <c r="BD68" s="1945"/>
      <c r="BE68" s="2059"/>
      <c r="BF68" s="2059"/>
      <c r="BG68" s="2028">
        <f t="shared" si="80"/>
        <v>0</v>
      </c>
      <c r="BH68" s="2060" t="e">
        <f t="shared" si="63"/>
        <v>#DIV/0!</v>
      </c>
      <c r="BI68" s="1945"/>
      <c r="BJ68" s="2059"/>
      <c r="BK68" s="2059"/>
      <c r="BL68" s="2028">
        <f t="shared" si="81"/>
        <v>0</v>
      </c>
      <c r="BM68" s="2060" t="e">
        <f t="shared" si="64"/>
        <v>#DIV/0!</v>
      </c>
      <c r="BN68" s="1945"/>
      <c r="BO68" s="2059"/>
      <c r="BP68" s="2059"/>
      <c r="BQ68" s="2028">
        <f t="shared" si="82"/>
        <v>0</v>
      </c>
      <c r="BR68" s="2060" t="e">
        <f t="shared" si="65"/>
        <v>#DIV/0!</v>
      </c>
      <c r="BS68" s="1945"/>
      <c r="BT68" s="2059">
        <f t="shared" si="83"/>
        <v>0</v>
      </c>
      <c r="BU68" s="2059">
        <f t="shared" si="83"/>
        <v>36629.179999999993</v>
      </c>
      <c r="BV68" s="2028">
        <f t="shared" si="84"/>
        <v>36629.179999999993</v>
      </c>
      <c r="BW68" s="2060">
        <f t="shared" si="66"/>
        <v>1.1150327993003967E-3</v>
      </c>
      <c r="BX68" s="2008"/>
    </row>
    <row r="69" spans="1:76" s="2" customFormat="1" ht="14.4" customHeight="1" x14ac:dyDescent="0.25">
      <c r="A69" s="237"/>
      <c r="B69" s="1116" t="s">
        <v>42</v>
      </c>
      <c r="C69" s="1242">
        <f>11100+3500</f>
        <v>14600</v>
      </c>
      <c r="D69" s="1243"/>
      <c r="E69" s="1244">
        <f t="shared" si="67"/>
        <v>14600</v>
      </c>
      <c r="F69" s="1245">
        <f t="shared" si="85"/>
        <v>5.9604643833678173E-4</v>
      </c>
      <c r="G69" s="1188">
        <v>26660</v>
      </c>
      <c r="H69" s="1188">
        <v>0</v>
      </c>
      <c r="I69" s="1190">
        <v>26660</v>
      </c>
      <c r="J69" s="1049">
        <v>9.632549160929789E-4</v>
      </c>
      <c r="K69" s="1049"/>
      <c r="L69" s="1188">
        <v>2600</v>
      </c>
      <c r="M69" s="1188"/>
      <c r="N69" s="1190">
        <f t="shared" si="68"/>
        <v>2600</v>
      </c>
      <c r="O69" s="1245">
        <f t="shared" si="59"/>
        <v>4.2363141107734491E-3</v>
      </c>
      <c r="P69" s="1246" t="s">
        <v>992</v>
      </c>
      <c r="Q69" s="1188"/>
      <c r="R69" s="1188"/>
      <c r="S69" s="1190">
        <f t="shared" si="69"/>
        <v>0</v>
      </c>
      <c r="T69" s="1245">
        <f t="shared" si="70"/>
        <v>0</v>
      </c>
      <c r="U69" s="1312"/>
      <c r="V69" s="1188"/>
      <c r="W69" s="1188"/>
      <c r="X69" s="1190">
        <f t="shared" si="71"/>
        <v>0</v>
      </c>
      <c r="Y69" s="1245">
        <f t="shared" si="72"/>
        <v>0</v>
      </c>
      <c r="Z69" s="1312"/>
      <c r="AA69" s="1188"/>
      <c r="AB69" s="1188"/>
      <c r="AC69" s="1190">
        <f t="shared" si="73"/>
        <v>0</v>
      </c>
      <c r="AD69" s="1245" t="e">
        <f t="shared" si="86"/>
        <v>#DIV/0!</v>
      </c>
      <c r="AE69" s="1157"/>
      <c r="AF69" s="1447"/>
      <c r="AG69" s="1447"/>
      <c r="AH69" s="1495">
        <f t="shared" si="74"/>
        <v>0</v>
      </c>
      <c r="AI69" s="1666">
        <f t="shared" si="75"/>
        <v>0</v>
      </c>
      <c r="AJ69" s="1861"/>
      <c r="AK69" s="1447"/>
      <c r="AL69" s="1447"/>
      <c r="AM69" s="1495">
        <f t="shared" si="76"/>
        <v>0</v>
      </c>
      <c r="AN69" s="1555">
        <f t="shared" si="60"/>
        <v>0</v>
      </c>
      <c r="AO69" s="1647"/>
      <c r="AP69" s="1447"/>
      <c r="AQ69" s="1447"/>
      <c r="AR69" s="1495">
        <f t="shared" si="77"/>
        <v>0</v>
      </c>
      <c r="AS69" s="1555" t="e">
        <f t="shared" si="61"/>
        <v>#DIV/0!</v>
      </c>
      <c r="AT69" s="1647"/>
      <c r="AU69" s="2059"/>
      <c r="AV69" s="2059"/>
      <c r="AW69" s="2028">
        <f t="shared" si="78"/>
        <v>0</v>
      </c>
      <c r="AX69" s="2060">
        <f t="shared" si="8"/>
        <v>0</v>
      </c>
      <c r="AY69" s="1945"/>
      <c r="AZ69" s="2059"/>
      <c r="BA69" s="2059"/>
      <c r="BB69" s="2028">
        <f t="shared" si="79"/>
        <v>0</v>
      </c>
      <c r="BC69" s="2060" t="e">
        <f t="shared" si="62"/>
        <v>#DIV/0!</v>
      </c>
      <c r="BD69" s="1945"/>
      <c r="BE69" s="2059"/>
      <c r="BF69" s="2059"/>
      <c r="BG69" s="2028">
        <f t="shared" si="80"/>
        <v>0</v>
      </c>
      <c r="BH69" s="2060" t="e">
        <f t="shared" si="63"/>
        <v>#DIV/0!</v>
      </c>
      <c r="BI69" s="1945"/>
      <c r="BJ69" s="2059"/>
      <c r="BK69" s="2059"/>
      <c r="BL69" s="2028">
        <f t="shared" si="81"/>
        <v>0</v>
      </c>
      <c r="BM69" s="2060" t="e">
        <f t="shared" si="64"/>
        <v>#DIV/0!</v>
      </c>
      <c r="BN69" s="1945"/>
      <c r="BO69" s="2059"/>
      <c r="BP69" s="2059"/>
      <c r="BQ69" s="2028">
        <f t="shared" si="82"/>
        <v>0</v>
      </c>
      <c r="BR69" s="2060" t="e">
        <f t="shared" si="65"/>
        <v>#DIV/0!</v>
      </c>
      <c r="BS69" s="1945"/>
      <c r="BT69" s="2059">
        <f t="shared" si="83"/>
        <v>29260</v>
      </c>
      <c r="BU69" s="2059">
        <f t="shared" si="83"/>
        <v>0</v>
      </c>
      <c r="BV69" s="2028">
        <f t="shared" si="84"/>
        <v>29260</v>
      </c>
      <c r="BW69" s="2060">
        <f t="shared" si="66"/>
        <v>8.9070680008478521E-4</v>
      </c>
      <c r="BX69" s="2008"/>
    </row>
    <row r="70" spans="1:76" s="2" customFormat="1" ht="14.4" customHeight="1" x14ac:dyDescent="0.25">
      <c r="A70" s="237"/>
      <c r="B70" s="1116" t="s">
        <v>6</v>
      </c>
      <c r="C70" s="1242"/>
      <c r="D70" s="1243"/>
      <c r="E70" s="1244">
        <f t="shared" si="67"/>
        <v>0</v>
      </c>
      <c r="F70" s="1245">
        <f t="shared" si="85"/>
        <v>0</v>
      </c>
      <c r="G70" s="1188">
        <v>0</v>
      </c>
      <c r="H70" s="1188">
        <v>0</v>
      </c>
      <c r="I70" s="1190">
        <v>0</v>
      </c>
      <c r="J70" s="1049">
        <v>0</v>
      </c>
      <c r="K70" s="1049"/>
      <c r="L70" s="1188"/>
      <c r="M70" s="1188"/>
      <c r="N70" s="1190">
        <f t="shared" si="68"/>
        <v>0</v>
      </c>
      <c r="O70" s="1245">
        <f t="shared" si="59"/>
        <v>0</v>
      </c>
      <c r="P70" s="1246"/>
      <c r="Q70" s="1188"/>
      <c r="R70" s="1188"/>
      <c r="S70" s="1190">
        <f t="shared" si="69"/>
        <v>0</v>
      </c>
      <c r="T70" s="1245">
        <f t="shared" si="70"/>
        <v>0</v>
      </c>
      <c r="U70" s="1246"/>
      <c r="V70" s="1188"/>
      <c r="W70" s="1188"/>
      <c r="X70" s="1190">
        <f t="shared" si="71"/>
        <v>0</v>
      </c>
      <c r="Y70" s="1245">
        <f t="shared" si="72"/>
        <v>0</v>
      </c>
      <c r="Z70" s="1246"/>
      <c r="AA70" s="1188"/>
      <c r="AB70" s="1188"/>
      <c r="AC70" s="1190">
        <f t="shared" si="73"/>
        <v>0</v>
      </c>
      <c r="AD70" s="1245" t="e">
        <f t="shared" si="86"/>
        <v>#DIV/0!</v>
      </c>
      <c r="AE70" s="1157"/>
      <c r="AF70" s="1447"/>
      <c r="AG70" s="1447"/>
      <c r="AH70" s="1495">
        <f t="shared" si="74"/>
        <v>0</v>
      </c>
      <c r="AI70" s="1666">
        <f t="shared" si="75"/>
        <v>0</v>
      </c>
      <c r="AJ70" s="1861"/>
      <c r="AK70" s="1447"/>
      <c r="AL70" s="1447"/>
      <c r="AM70" s="1495">
        <f t="shared" si="76"/>
        <v>0</v>
      </c>
      <c r="AN70" s="1555">
        <f t="shared" si="60"/>
        <v>0</v>
      </c>
      <c r="AO70" s="1647"/>
      <c r="AP70" s="1447"/>
      <c r="AQ70" s="1447"/>
      <c r="AR70" s="1495">
        <f t="shared" si="77"/>
        <v>0</v>
      </c>
      <c r="AS70" s="1555" t="e">
        <f t="shared" si="61"/>
        <v>#DIV/0!</v>
      </c>
      <c r="AT70" s="1647"/>
      <c r="AU70" s="2059"/>
      <c r="AV70" s="2059"/>
      <c r="AW70" s="2028">
        <f t="shared" si="78"/>
        <v>0</v>
      </c>
      <c r="AX70" s="2060">
        <f t="shared" si="8"/>
        <v>0</v>
      </c>
      <c r="AY70" s="1945"/>
      <c r="AZ70" s="2059"/>
      <c r="BA70" s="2059"/>
      <c r="BB70" s="2028">
        <f t="shared" si="79"/>
        <v>0</v>
      </c>
      <c r="BC70" s="2060" t="e">
        <f t="shared" si="62"/>
        <v>#DIV/0!</v>
      </c>
      <c r="BD70" s="1945"/>
      <c r="BE70" s="2059"/>
      <c r="BF70" s="2059"/>
      <c r="BG70" s="2028">
        <f t="shared" si="80"/>
        <v>0</v>
      </c>
      <c r="BH70" s="2060" t="e">
        <f t="shared" si="63"/>
        <v>#DIV/0!</v>
      </c>
      <c r="BI70" s="1945"/>
      <c r="BJ70" s="2059"/>
      <c r="BK70" s="2059"/>
      <c r="BL70" s="2028">
        <f t="shared" si="81"/>
        <v>0</v>
      </c>
      <c r="BM70" s="2060" t="e">
        <f t="shared" si="64"/>
        <v>#DIV/0!</v>
      </c>
      <c r="BN70" s="1945"/>
      <c r="BO70" s="2059"/>
      <c r="BP70" s="2059"/>
      <c r="BQ70" s="2028">
        <f t="shared" si="82"/>
        <v>0</v>
      </c>
      <c r="BR70" s="2060" t="e">
        <f t="shared" si="65"/>
        <v>#DIV/0!</v>
      </c>
      <c r="BS70" s="1945"/>
      <c r="BT70" s="2059">
        <f t="shared" si="83"/>
        <v>0</v>
      </c>
      <c r="BU70" s="2059">
        <f t="shared" si="83"/>
        <v>0</v>
      </c>
      <c r="BV70" s="2028">
        <f t="shared" si="84"/>
        <v>0</v>
      </c>
      <c r="BW70" s="2060">
        <f t="shared" si="66"/>
        <v>0</v>
      </c>
      <c r="BX70" s="2008"/>
    </row>
    <row r="71" spans="1:76" s="2" customFormat="1" ht="14.4" customHeight="1" x14ac:dyDescent="0.25">
      <c r="A71" s="237"/>
      <c r="B71" s="1116" t="s">
        <v>884</v>
      </c>
      <c r="C71" s="1252"/>
      <c r="D71" s="1251"/>
      <c r="E71" s="1244">
        <f t="shared" si="67"/>
        <v>0</v>
      </c>
      <c r="F71" s="1121">
        <f t="shared" si="85"/>
        <v>0</v>
      </c>
      <c r="G71" s="1188">
        <v>300</v>
      </c>
      <c r="H71" s="1188">
        <v>24000</v>
      </c>
      <c r="I71" s="1190">
        <v>24300</v>
      </c>
      <c r="J71" s="851">
        <v>8.7798553867439563E-4</v>
      </c>
      <c r="K71" s="851"/>
      <c r="L71" s="1188"/>
      <c r="M71" s="1188"/>
      <c r="N71" s="1190">
        <f t="shared" si="68"/>
        <v>0</v>
      </c>
      <c r="O71" s="1245">
        <f t="shared" si="59"/>
        <v>0</v>
      </c>
      <c r="P71" s="1246"/>
      <c r="Q71" s="1188"/>
      <c r="R71" s="1188"/>
      <c r="S71" s="1190">
        <f t="shared" si="69"/>
        <v>0</v>
      </c>
      <c r="T71" s="1245">
        <f t="shared" si="70"/>
        <v>0</v>
      </c>
      <c r="U71" s="1246"/>
      <c r="V71" s="1188"/>
      <c r="W71" s="1188"/>
      <c r="X71" s="1190">
        <f t="shared" si="71"/>
        <v>0</v>
      </c>
      <c r="Y71" s="1245">
        <f t="shared" si="72"/>
        <v>0</v>
      </c>
      <c r="Z71" s="1246"/>
      <c r="AA71" s="1188"/>
      <c r="AB71" s="1188"/>
      <c r="AC71" s="1190">
        <f t="shared" si="73"/>
        <v>0</v>
      </c>
      <c r="AD71" s="1245" t="e">
        <f t="shared" si="86"/>
        <v>#DIV/0!</v>
      </c>
      <c r="AE71" s="1246"/>
      <c r="AF71" s="1447"/>
      <c r="AG71" s="1447"/>
      <c r="AH71" s="1495">
        <f t="shared" si="74"/>
        <v>0</v>
      </c>
      <c r="AI71" s="1666">
        <f t="shared" si="75"/>
        <v>0</v>
      </c>
      <c r="AJ71" s="1746"/>
      <c r="AK71" s="1447"/>
      <c r="AL71" s="1447"/>
      <c r="AM71" s="1495">
        <f t="shared" si="76"/>
        <v>0</v>
      </c>
      <c r="AN71" s="1555">
        <f t="shared" si="60"/>
        <v>0</v>
      </c>
      <c r="AO71" s="1475"/>
      <c r="AP71" s="1447"/>
      <c r="AQ71" s="1447"/>
      <c r="AR71" s="1495">
        <f t="shared" si="77"/>
        <v>0</v>
      </c>
      <c r="AS71" s="1555" t="e">
        <f t="shared" si="61"/>
        <v>#DIV/0!</v>
      </c>
      <c r="AT71" s="1475"/>
      <c r="AU71" s="2059"/>
      <c r="AV71" s="2059"/>
      <c r="AW71" s="2028">
        <f t="shared" si="78"/>
        <v>0</v>
      </c>
      <c r="AX71" s="2060">
        <f t="shared" si="8"/>
        <v>0</v>
      </c>
      <c r="AY71" s="1945"/>
      <c r="AZ71" s="2059"/>
      <c r="BA71" s="2059"/>
      <c r="BB71" s="2028">
        <f t="shared" si="79"/>
        <v>0</v>
      </c>
      <c r="BC71" s="2060" t="e">
        <f t="shared" si="62"/>
        <v>#DIV/0!</v>
      </c>
      <c r="BD71" s="1945"/>
      <c r="BE71" s="2059"/>
      <c r="BF71" s="2059"/>
      <c r="BG71" s="2028">
        <f t="shared" si="80"/>
        <v>0</v>
      </c>
      <c r="BH71" s="2060" t="e">
        <f t="shared" si="63"/>
        <v>#DIV/0!</v>
      </c>
      <c r="BI71" s="1945"/>
      <c r="BJ71" s="2059"/>
      <c r="BK71" s="2059"/>
      <c r="BL71" s="2028">
        <f t="shared" si="81"/>
        <v>0</v>
      </c>
      <c r="BM71" s="2060" t="e">
        <f t="shared" si="64"/>
        <v>#DIV/0!</v>
      </c>
      <c r="BN71" s="1945"/>
      <c r="BO71" s="2059"/>
      <c r="BP71" s="2059"/>
      <c r="BQ71" s="2028">
        <f t="shared" si="82"/>
        <v>0</v>
      </c>
      <c r="BR71" s="2060" t="e">
        <f t="shared" si="65"/>
        <v>#DIV/0!</v>
      </c>
      <c r="BS71" s="1945"/>
      <c r="BT71" s="2059">
        <f t="shared" si="83"/>
        <v>300</v>
      </c>
      <c r="BU71" s="2059">
        <f t="shared" si="83"/>
        <v>24000</v>
      </c>
      <c r="BV71" s="2028">
        <f t="shared" si="84"/>
        <v>24300</v>
      </c>
      <c r="BW71" s="2060">
        <f t="shared" si="66"/>
        <v>7.3971890779426792E-4</v>
      </c>
      <c r="BX71" s="2008"/>
    </row>
    <row r="72" spans="1:76" s="2" customFormat="1" ht="14.4" customHeight="1" thickBot="1" x14ac:dyDescent="0.3">
      <c r="A72" s="237"/>
      <c r="B72" s="1122"/>
      <c r="C72" s="1225"/>
      <c r="D72" s="1226"/>
      <c r="E72" s="1123"/>
      <c r="F72" s="1121">
        <f t="shared" si="85"/>
        <v>0</v>
      </c>
      <c r="G72" s="535"/>
      <c r="H72" s="535"/>
      <c r="I72" s="622"/>
      <c r="J72" s="851">
        <v>0</v>
      </c>
      <c r="K72" s="851"/>
      <c r="L72" s="535"/>
      <c r="M72" s="535"/>
      <c r="N72" s="622"/>
      <c r="O72" s="1121">
        <f t="shared" si="59"/>
        <v>0</v>
      </c>
      <c r="P72" s="1124"/>
      <c r="Q72" s="535"/>
      <c r="R72" s="535"/>
      <c r="S72" s="622"/>
      <c r="T72" s="1121">
        <f t="shared" si="70"/>
        <v>0</v>
      </c>
      <c r="U72" s="1124"/>
      <c r="V72" s="535"/>
      <c r="W72" s="535"/>
      <c r="X72" s="622"/>
      <c r="Y72" s="1121">
        <f t="shared" si="72"/>
        <v>0</v>
      </c>
      <c r="Z72" s="1124"/>
      <c r="AA72" s="535"/>
      <c r="AB72" s="535"/>
      <c r="AC72" s="622"/>
      <c r="AD72" s="1121" t="e">
        <f t="shared" si="86"/>
        <v>#DIV/0!</v>
      </c>
      <c r="AE72" s="1124"/>
      <c r="AF72" s="1651"/>
      <c r="AG72" s="1651"/>
      <c r="AH72" s="1668"/>
      <c r="AI72" s="1775">
        <f t="shared" si="75"/>
        <v>0</v>
      </c>
      <c r="AJ72" s="1870"/>
      <c r="AK72" s="1651"/>
      <c r="AL72" s="1651"/>
      <c r="AM72" s="1668"/>
      <c r="AN72" s="1560">
        <f t="shared" si="60"/>
        <v>0</v>
      </c>
      <c r="AO72" s="1711"/>
      <c r="AP72" s="1651"/>
      <c r="AQ72" s="1651"/>
      <c r="AR72" s="1668"/>
      <c r="AS72" s="1560" t="e">
        <f t="shared" si="61"/>
        <v>#DIV/0!</v>
      </c>
      <c r="AT72" s="1711"/>
      <c r="AU72" s="2043"/>
      <c r="AV72" s="2043"/>
      <c r="AW72" s="2046"/>
      <c r="AX72" s="2033">
        <f t="shared" si="8"/>
        <v>0</v>
      </c>
      <c r="AY72" s="1944"/>
      <c r="AZ72" s="2043"/>
      <c r="BA72" s="2043"/>
      <c r="BB72" s="2046"/>
      <c r="BC72" s="2033" t="e">
        <f t="shared" si="62"/>
        <v>#DIV/0!</v>
      </c>
      <c r="BD72" s="1944"/>
      <c r="BE72" s="2043"/>
      <c r="BF72" s="2043"/>
      <c r="BG72" s="2046"/>
      <c r="BH72" s="2033" t="e">
        <f t="shared" si="63"/>
        <v>#DIV/0!</v>
      </c>
      <c r="BI72" s="1944"/>
      <c r="BJ72" s="2043"/>
      <c r="BK72" s="2043"/>
      <c r="BL72" s="2046"/>
      <c r="BM72" s="2033" t="e">
        <f t="shared" si="64"/>
        <v>#DIV/0!</v>
      </c>
      <c r="BN72" s="1944"/>
      <c r="BO72" s="2043"/>
      <c r="BP72" s="2043"/>
      <c r="BQ72" s="2046"/>
      <c r="BR72" s="2033" t="e">
        <f t="shared" si="65"/>
        <v>#DIV/0!</v>
      </c>
      <c r="BS72" s="1944"/>
      <c r="BT72" s="2043"/>
      <c r="BU72" s="2043"/>
      <c r="BV72" s="2046"/>
      <c r="BW72" s="2033">
        <f t="shared" si="66"/>
        <v>0</v>
      </c>
      <c r="BX72" s="1944"/>
    </row>
    <row r="73" spans="1:76" s="2" customFormat="1" ht="14.4" customHeight="1" thickBot="1" x14ac:dyDescent="0.3">
      <c r="A73" s="990"/>
      <c r="B73" s="1013" t="s">
        <v>4</v>
      </c>
      <c r="C73" s="836">
        <f>C74</f>
        <v>827426.87699999998</v>
      </c>
      <c r="D73" s="843">
        <f>D74</f>
        <v>0</v>
      </c>
      <c r="E73" s="836">
        <f>E74</f>
        <v>827426.87699999998</v>
      </c>
      <c r="F73" s="838">
        <f>E73/$E$89</f>
        <v>3.3779783768491535E-2</v>
      </c>
      <c r="G73" s="836">
        <v>0</v>
      </c>
      <c r="H73" s="840">
        <v>0</v>
      </c>
      <c r="I73" s="837">
        <v>0</v>
      </c>
      <c r="J73" s="969"/>
      <c r="K73" s="969"/>
      <c r="L73" s="836">
        <f>L74</f>
        <v>0</v>
      </c>
      <c r="M73" s="840">
        <f>M74</f>
        <v>0</v>
      </c>
      <c r="N73" s="837">
        <f>N74</f>
        <v>0</v>
      </c>
      <c r="O73" s="840"/>
      <c r="P73" s="840"/>
      <c r="Q73" s="836">
        <f>Q74</f>
        <v>0</v>
      </c>
      <c r="R73" s="840">
        <f>R74</f>
        <v>0</v>
      </c>
      <c r="S73" s="837">
        <f>S74</f>
        <v>0</v>
      </c>
      <c r="T73" s="840"/>
      <c r="U73" s="840"/>
      <c r="V73" s="836">
        <f>V74</f>
        <v>0</v>
      </c>
      <c r="W73" s="840">
        <f>W74</f>
        <v>0</v>
      </c>
      <c r="X73" s="837">
        <f>X74</f>
        <v>0</v>
      </c>
      <c r="Y73" s="840"/>
      <c r="Z73" s="840"/>
      <c r="AA73" s="836">
        <f>AA74</f>
        <v>0</v>
      </c>
      <c r="AB73" s="840">
        <f>AB74</f>
        <v>0</v>
      </c>
      <c r="AC73" s="837">
        <f>AC74</f>
        <v>0</v>
      </c>
      <c r="AD73" s="840"/>
      <c r="AE73" s="840"/>
      <c r="AF73" s="1599">
        <f>AF74</f>
        <v>0</v>
      </c>
      <c r="AG73" s="1704">
        <f>AG74</f>
        <v>0</v>
      </c>
      <c r="AH73" s="1703">
        <f>AH74</f>
        <v>0</v>
      </c>
      <c r="AI73" s="1719"/>
      <c r="AJ73" s="1717"/>
      <c r="AK73" s="1599">
        <f>AK74</f>
        <v>0</v>
      </c>
      <c r="AL73" s="1704">
        <f>AL74</f>
        <v>0</v>
      </c>
      <c r="AM73" s="1703">
        <f>AM74</f>
        <v>0</v>
      </c>
      <c r="AN73" s="1704"/>
      <c r="AO73" s="1704"/>
      <c r="AP73" s="1599">
        <f>AP74</f>
        <v>0</v>
      </c>
      <c r="AQ73" s="1704">
        <f>AQ74</f>
        <v>0</v>
      </c>
      <c r="AR73" s="1703">
        <f>AR74</f>
        <v>0</v>
      </c>
      <c r="AS73" s="1704"/>
      <c r="AT73" s="1704"/>
      <c r="AU73" s="1599">
        <f>AU74</f>
        <v>0</v>
      </c>
      <c r="AV73" s="1599">
        <f>AV74</f>
        <v>0</v>
      </c>
      <c r="AW73" s="1703">
        <f>AW74</f>
        <v>0</v>
      </c>
      <c r="AX73" s="1704"/>
      <c r="AY73" s="1704"/>
      <c r="AZ73" s="1599">
        <f>AZ74</f>
        <v>0</v>
      </c>
      <c r="BA73" s="1704">
        <f>BA74</f>
        <v>0</v>
      </c>
      <c r="BB73" s="1703">
        <f>BB74</f>
        <v>0</v>
      </c>
      <c r="BC73" s="1704"/>
      <c r="BD73" s="1704"/>
      <c r="BE73" s="1599">
        <f>BE74</f>
        <v>0</v>
      </c>
      <c r="BF73" s="1704">
        <f>BF74</f>
        <v>0</v>
      </c>
      <c r="BG73" s="1703">
        <f>BG74</f>
        <v>0</v>
      </c>
      <c r="BH73" s="1704"/>
      <c r="BI73" s="1704"/>
      <c r="BJ73" s="1599">
        <f>BJ74</f>
        <v>0</v>
      </c>
      <c r="BK73" s="1704">
        <f>BK74</f>
        <v>0</v>
      </c>
      <c r="BL73" s="1703">
        <f>BL74</f>
        <v>0</v>
      </c>
      <c r="BM73" s="1704"/>
      <c r="BN73" s="1704"/>
      <c r="BO73" s="1599">
        <f>BO74</f>
        <v>0</v>
      </c>
      <c r="BP73" s="1704">
        <f>BP74</f>
        <v>0</v>
      </c>
      <c r="BQ73" s="1703">
        <f>BQ74</f>
        <v>0</v>
      </c>
      <c r="BR73" s="1704"/>
      <c r="BS73" s="1704"/>
      <c r="BT73" s="1599">
        <f>BT74</f>
        <v>0</v>
      </c>
      <c r="BU73" s="1704">
        <f>BU74</f>
        <v>0</v>
      </c>
      <c r="BV73" s="1703">
        <f>BV74</f>
        <v>0</v>
      </c>
      <c r="BW73" s="1704"/>
      <c r="BX73" s="1704"/>
    </row>
    <row r="74" spans="1:76" s="2" customFormat="1" ht="14.4" customHeight="1" thickBot="1" x14ac:dyDescent="0.3">
      <c r="A74" s="20"/>
      <c r="B74" s="1080" t="s">
        <v>64</v>
      </c>
      <c r="C74" s="1109">
        <f>C6*3%</f>
        <v>827426.87699999998</v>
      </c>
      <c r="D74" s="305"/>
      <c r="E74" s="306">
        <f>C74+D74</f>
        <v>827426.87699999998</v>
      </c>
      <c r="F74" s="307"/>
      <c r="G74" s="1188">
        <v>0</v>
      </c>
      <c r="H74" s="1188">
        <v>0</v>
      </c>
      <c r="I74" s="608">
        <v>0</v>
      </c>
      <c r="J74" s="961"/>
      <c r="K74" s="961"/>
      <c r="L74" s="1188"/>
      <c r="M74" s="1188"/>
      <c r="N74" s="608"/>
      <c r="O74" s="608"/>
      <c r="P74" s="608"/>
      <c r="Q74" s="1188"/>
      <c r="R74" s="1188"/>
      <c r="S74" s="608"/>
      <c r="T74" s="608"/>
      <c r="U74" s="608"/>
      <c r="V74" s="1188"/>
      <c r="W74" s="1188"/>
      <c r="X74" s="1020">
        <f>V74+W74*1</f>
        <v>0</v>
      </c>
      <c r="Y74" s="608"/>
      <c r="Z74" s="608"/>
      <c r="AA74" s="1188"/>
      <c r="AB74" s="1188"/>
      <c r="AC74" s="1020">
        <f>AA74+AB74*1</f>
        <v>0</v>
      </c>
      <c r="AD74" s="608"/>
      <c r="AE74" s="608"/>
      <c r="AF74" s="1447"/>
      <c r="AG74" s="1447"/>
      <c r="AH74" s="1754">
        <f>AF74+AG74*1</f>
        <v>0</v>
      </c>
      <c r="AI74" s="1686"/>
      <c r="AJ74" s="1699"/>
      <c r="AK74" s="1447"/>
      <c r="AL74" s="1447"/>
      <c r="AM74" s="1754">
        <f>AK74+AL74*1</f>
        <v>0</v>
      </c>
      <c r="AN74" s="1663"/>
      <c r="AO74" s="1663"/>
      <c r="AP74" s="1447"/>
      <c r="AQ74" s="1447"/>
      <c r="AR74" s="1754">
        <f>AP74+AQ74*1</f>
        <v>0</v>
      </c>
      <c r="AS74" s="1663"/>
      <c r="AT74" s="1663"/>
      <c r="AU74" s="2059"/>
      <c r="AV74" s="2059"/>
      <c r="AW74" s="1754">
        <f>AU74+AV74*1</f>
        <v>0</v>
      </c>
      <c r="AX74" s="1663"/>
      <c r="AY74" s="1663"/>
      <c r="AZ74" s="2059"/>
      <c r="BA74" s="2059"/>
      <c r="BB74" s="1754">
        <f>AZ74+BA74*1</f>
        <v>0</v>
      </c>
      <c r="BC74" s="1663"/>
      <c r="BD74" s="1663"/>
      <c r="BE74" s="2059"/>
      <c r="BF74" s="2059"/>
      <c r="BG74" s="1754">
        <f>BE74+BF74*1</f>
        <v>0</v>
      </c>
      <c r="BH74" s="1663"/>
      <c r="BI74" s="1663"/>
      <c r="BJ74" s="2059"/>
      <c r="BK74" s="2059"/>
      <c r="BL74" s="1754">
        <f>BJ74+BK74*1</f>
        <v>0</v>
      </c>
      <c r="BM74" s="1663"/>
      <c r="BN74" s="1663"/>
      <c r="BO74" s="2059"/>
      <c r="BP74" s="2059"/>
      <c r="BQ74" s="1754">
        <f>BO74+BP74*1</f>
        <v>0</v>
      </c>
      <c r="BR74" s="1663"/>
      <c r="BS74" s="1663"/>
      <c r="BT74" s="2059">
        <f>G74+L74+Q74+V74+AA74+AF74+AK74+AP74+AU74+AZ74+BE74</f>
        <v>0</v>
      </c>
      <c r="BU74" s="2059">
        <f>H74+M74+R74+W74+AB74+AG74+AL74+AQ74+AV74+BA74+BF74</f>
        <v>0</v>
      </c>
      <c r="BV74" s="841">
        <f>BT74+BU74*1</f>
        <v>0</v>
      </c>
      <c r="BW74" s="1663"/>
      <c r="BX74" s="1663"/>
    </row>
    <row r="75" spans="1:76" s="2" customFormat="1" ht="14.4" customHeight="1" thickBot="1" x14ac:dyDescent="0.3">
      <c r="A75" s="987"/>
      <c r="B75" s="870" t="s">
        <v>48</v>
      </c>
      <c r="C75" s="999">
        <f>C38-C41-C50-C54</f>
        <v>8994010.0799999982</v>
      </c>
      <c r="D75" s="999">
        <f>D38-D41-D50-D54</f>
        <v>-4417759.1700000009</v>
      </c>
      <c r="E75" s="670">
        <f>E38-E41-E50-E54</f>
        <v>4576250.9099999974</v>
      </c>
      <c r="F75" s="967"/>
      <c r="G75" s="646">
        <v>10103865.364000004</v>
      </c>
      <c r="H75" s="646">
        <v>-7461702.3268954549</v>
      </c>
      <c r="I75" s="670">
        <v>2642163.0371045512</v>
      </c>
      <c r="J75" s="962"/>
      <c r="K75" s="962"/>
      <c r="L75" s="646">
        <f>L38-L41-L50-L54</f>
        <v>-171533.66</v>
      </c>
      <c r="M75" s="646">
        <f>M38-M41-M50-M54</f>
        <v>-384720.45590000006</v>
      </c>
      <c r="N75" s="670">
        <f>N38-N41-N50-N54</f>
        <v>-556254.11590000009</v>
      </c>
      <c r="O75" s="671"/>
      <c r="P75" s="671"/>
      <c r="Q75" s="646">
        <f>Q38-Q41-Q50-Q54</f>
        <v>3264991.5079999999</v>
      </c>
      <c r="R75" s="646">
        <f>R38-R41-R50-R54</f>
        <v>-1451384.7699999998</v>
      </c>
      <c r="S75" s="670">
        <f>S38-S41-S50-S54</f>
        <v>1813606.7380000008</v>
      </c>
      <c r="T75" s="671"/>
      <c r="U75" s="671"/>
      <c r="V75" s="646">
        <f>V38-V41-V50-V54</f>
        <v>1437537.95</v>
      </c>
      <c r="W75" s="646">
        <f>W38-W41-W50-W54</f>
        <v>-90464</v>
      </c>
      <c r="X75" s="670">
        <f>X38-X41-X50-X54</f>
        <v>1347073.95</v>
      </c>
      <c r="Y75" s="671"/>
      <c r="Z75" s="671"/>
      <c r="AA75" s="646">
        <f>AA38-AA41-AA50-AA54</f>
        <v>0</v>
      </c>
      <c r="AB75" s="646">
        <f>AB38-AB41-AB50-AB54</f>
        <v>0</v>
      </c>
      <c r="AC75" s="670">
        <f>AC38-AC41-AC50-AC54</f>
        <v>0</v>
      </c>
      <c r="AD75" s="671"/>
      <c r="AE75" s="671"/>
      <c r="AF75" s="1465">
        <f>AF38-AF41-AF50-AF54</f>
        <v>56749.184000000001</v>
      </c>
      <c r="AG75" s="1465">
        <f>AG38-AG41-AG50-AG54</f>
        <v>0</v>
      </c>
      <c r="AH75" s="1523">
        <f>AH38-AH41-AH50-AH54</f>
        <v>56749.184000000001</v>
      </c>
      <c r="AI75" s="1465"/>
      <c r="AJ75" s="1466"/>
      <c r="AK75" s="1465">
        <f>AK38-AK41-AK50-AK54</f>
        <v>0</v>
      </c>
      <c r="AL75" s="1465">
        <f>AL38-AL41-AL50-AL54</f>
        <v>-72200</v>
      </c>
      <c r="AM75" s="1523">
        <f>AM38-AM41-AM50-AM54</f>
        <v>-72200</v>
      </c>
      <c r="AN75" s="1466"/>
      <c r="AO75" s="1466"/>
      <c r="AP75" s="1465">
        <f>AP38-AP41-AP50-AP54</f>
        <v>0</v>
      </c>
      <c r="AQ75" s="1465">
        <f>AQ38-AQ41-AQ50-AQ54</f>
        <v>0</v>
      </c>
      <c r="AR75" s="1523">
        <f>AR38-AR41-AR50-AR54</f>
        <v>0</v>
      </c>
      <c r="AS75" s="1466"/>
      <c r="AT75" s="1466"/>
      <c r="AU75" s="1465">
        <f>AU38-AU41-AU50-AU54</f>
        <v>-1055675.648</v>
      </c>
      <c r="AV75" s="1465">
        <f>AV38-AV41-AV50-AV54</f>
        <v>0</v>
      </c>
      <c r="AW75" s="1523">
        <f>AW38-AW41-AW50-AW54</f>
        <v>-1055675.648</v>
      </c>
      <c r="AX75" s="1969"/>
      <c r="AY75" s="1969"/>
      <c r="AZ75" s="1465">
        <f>AZ38-AZ41-AZ50-AZ54</f>
        <v>0</v>
      </c>
      <c r="BA75" s="1465">
        <f>BA38-BA41-BA50-BA54</f>
        <v>0</v>
      </c>
      <c r="BB75" s="1523">
        <f>BB38-BB41-BB50-BB54</f>
        <v>0</v>
      </c>
      <c r="BC75" s="1969"/>
      <c r="BD75" s="1969"/>
      <c r="BE75" s="1465">
        <f>BE38-BE41-BE50-BE54</f>
        <v>0</v>
      </c>
      <c r="BF75" s="1465">
        <f>BF38-BF41-BF50-BF54</f>
        <v>0</v>
      </c>
      <c r="BG75" s="1523">
        <f>BG38-BG41-BG50-BG54</f>
        <v>0</v>
      </c>
      <c r="BH75" s="1969"/>
      <c r="BI75" s="1969"/>
      <c r="BJ75" s="1465">
        <f>BJ38-BJ41-BJ50-BJ54</f>
        <v>0</v>
      </c>
      <c r="BK75" s="1465">
        <f>BK38-BK41-BK50-BK54</f>
        <v>0</v>
      </c>
      <c r="BL75" s="1523">
        <f>BL38-BL41-BL50-BL54</f>
        <v>0</v>
      </c>
      <c r="BM75" s="1969"/>
      <c r="BN75" s="1969"/>
      <c r="BO75" s="1465">
        <f>BO38-BO41-BO50-BO54</f>
        <v>0</v>
      </c>
      <c r="BP75" s="1465">
        <f>BP38-BP41-BP50-BP54</f>
        <v>0</v>
      </c>
      <c r="BQ75" s="1523">
        <f>BQ38-BQ41-BQ50-BQ54</f>
        <v>0</v>
      </c>
      <c r="BR75" s="1969"/>
      <c r="BS75" s="1969"/>
      <c r="BT75" s="1465">
        <f>BT38-BT41-BT50-BT54</f>
        <v>13635934.698000003</v>
      </c>
      <c r="BU75" s="1465">
        <f>BU38-BU41-BU50-BU54</f>
        <v>-9460471.5527954549</v>
      </c>
      <c r="BV75" s="1523">
        <f>BV38-BV41-BV50-BV54</f>
        <v>4175463.1452045534</v>
      </c>
      <c r="BW75" s="1969"/>
      <c r="BX75" s="1969"/>
    </row>
    <row r="76" spans="1:76" s="2" customFormat="1" ht="14.4" customHeight="1" x14ac:dyDescent="0.25">
      <c r="A76" s="294"/>
      <c r="B76" s="872" t="s">
        <v>49</v>
      </c>
      <c r="C76" s="873">
        <f>C75/C5</f>
        <v>0.3260956465159639</v>
      </c>
      <c r="D76" s="873" t="e">
        <f>D75/D5</f>
        <v>#DIV/0!</v>
      </c>
      <c r="E76" s="874">
        <f>E75/E5</f>
        <v>0.1659210392074319</v>
      </c>
      <c r="F76" s="875"/>
      <c r="G76" s="639">
        <v>0.34546908243545427</v>
      </c>
      <c r="H76" s="639" t="e">
        <v>#DIV/0!</v>
      </c>
      <c r="I76" s="660">
        <v>9.0340241797523424E-2</v>
      </c>
      <c r="J76" s="957"/>
      <c r="K76" s="957"/>
      <c r="L76" s="639" t="e">
        <f>L75/L5</f>
        <v>#DIV/0!</v>
      </c>
      <c r="M76" s="639" t="e">
        <f>M75/M5</f>
        <v>#DIV/0!</v>
      </c>
      <c r="N76" s="660" t="e">
        <f>N75/N5</f>
        <v>#DIV/0!</v>
      </c>
      <c r="O76" s="660"/>
      <c r="P76" s="660"/>
      <c r="Q76" s="639">
        <f>Q75/Q5</f>
        <v>0.66720006736347315</v>
      </c>
      <c r="R76" s="639" t="e">
        <f>R75/R5</f>
        <v>#DIV/0!</v>
      </c>
      <c r="S76" s="660">
        <f>S75/S5</f>
        <v>0.37061001071505678</v>
      </c>
      <c r="T76" s="660"/>
      <c r="U76" s="660"/>
      <c r="V76" s="639">
        <f>V75/V5</f>
        <v>0.98797278154953483</v>
      </c>
      <c r="W76" s="639" t="e">
        <f>W75/W5</f>
        <v>#DIV/0!</v>
      </c>
      <c r="X76" s="660">
        <f>X75/X5</f>
        <v>0.92579983529090071</v>
      </c>
      <c r="Y76" s="660"/>
      <c r="Z76" s="660"/>
      <c r="AA76" s="639" t="e">
        <f>AA75/AA5</f>
        <v>#DIV/0!</v>
      </c>
      <c r="AB76" s="639" t="e">
        <f>AB75/AB5</f>
        <v>#DIV/0!</v>
      </c>
      <c r="AC76" s="660" t="e">
        <f>AC75/AC5</f>
        <v>#DIV/0!</v>
      </c>
      <c r="AD76" s="660"/>
      <c r="AE76" s="660"/>
      <c r="AF76" s="1456">
        <f>AF75/AF5</f>
        <v>0.9509230202084521</v>
      </c>
      <c r="AG76" s="1456" t="e">
        <f>AG75/AG5</f>
        <v>#DIV/0!</v>
      </c>
      <c r="AH76" s="1457">
        <f>AH75/AH5</f>
        <v>0.9509230202084521</v>
      </c>
      <c r="AI76" s="1456"/>
      <c r="AJ76" s="1457"/>
      <c r="AK76" s="1456" t="e">
        <f>AK75/AK5</f>
        <v>#DIV/0!</v>
      </c>
      <c r="AL76" s="1456" t="e">
        <f>AL75/AL5</f>
        <v>#DIV/0!</v>
      </c>
      <c r="AM76" s="1457" t="e">
        <f>AM75/AM5</f>
        <v>#DIV/0!</v>
      </c>
      <c r="AN76" s="1457"/>
      <c r="AO76" s="1457"/>
      <c r="AP76" s="1456" t="e">
        <f>AP75/AP5</f>
        <v>#DIV/0!</v>
      </c>
      <c r="AQ76" s="1456" t="e">
        <f>AQ75/AQ5</f>
        <v>#DIV/0!</v>
      </c>
      <c r="AR76" s="1457" t="e">
        <f>AR75/AR5</f>
        <v>#DIV/0!</v>
      </c>
      <c r="AS76" s="1457"/>
      <c r="AT76" s="1457"/>
      <c r="AU76" s="2019" t="e">
        <f>AU75/AU5</f>
        <v>#DIV/0!</v>
      </c>
      <c r="AV76" s="2019" t="e">
        <f>AV75/AV5</f>
        <v>#DIV/0!</v>
      </c>
      <c r="AW76" s="2020" t="e">
        <f>AW75/AW5</f>
        <v>#DIV/0!</v>
      </c>
      <c r="AX76" s="2020"/>
      <c r="AY76" s="2020"/>
      <c r="AZ76" s="2019" t="e">
        <f>AZ75/AZ5</f>
        <v>#DIV/0!</v>
      </c>
      <c r="BA76" s="2019" t="e">
        <f>BA75/BA5</f>
        <v>#DIV/0!</v>
      </c>
      <c r="BB76" s="2020" t="e">
        <f>BB75/BB5</f>
        <v>#DIV/0!</v>
      </c>
      <c r="BC76" s="2020"/>
      <c r="BD76" s="2020"/>
      <c r="BE76" s="2019" t="e">
        <f>BE75/BE5</f>
        <v>#DIV/0!</v>
      </c>
      <c r="BF76" s="2019" t="e">
        <f>BF75/BF5</f>
        <v>#DIV/0!</v>
      </c>
      <c r="BG76" s="2020" t="e">
        <f>BG75/BG5</f>
        <v>#DIV/0!</v>
      </c>
      <c r="BH76" s="2020"/>
      <c r="BI76" s="2020"/>
      <c r="BJ76" s="2019" t="e">
        <f>BJ75/BJ5</f>
        <v>#DIV/0!</v>
      </c>
      <c r="BK76" s="2019" t="e">
        <f>BK75/BK5</f>
        <v>#DIV/0!</v>
      </c>
      <c r="BL76" s="2020" t="e">
        <f>BL75/BL5</f>
        <v>#DIV/0!</v>
      </c>
      <c r="BM76" s="2020"/>
      <c r="BN76" s="2020"/>
      <c r="BO76" s="2019" t="e">
        <f>BO75/BO5</f>
        <v>#DIV/0!</v>
      </c>
      <c r="BP76" s="2019" t="e">
        <f>BP75/BP5</f>
        <v>#DIV/0!</v>
      </c>
      <c r="BQ76" s="2020" t="e">
        <f>BQ75/BQ5</f>
        <v>#DIV/0!</v>
      </c>
      <c r="BR76" s="2020"/>
      <c r="BS76" s="2020"/>
      <c r="BT76" s="2019">
        <f>BT75/BT5</f>
        <v>0.38244007427370708</v>
      </c>
      <c r="BU76" s="2019" t="e">
        <f>BU75/BU5</f>
        <v>#DIV/0!</v>
      </c>
      <c r="BV76" s="2020">
        <f>BV75/BV5</f>
        <v>0.11710707558707874</v>
      </c>
      <c r="BW76" s="2020"/>
      <c r="BX76" s="2020"/>
    </row>
    <row r="77" spans="1:76" s="2" customFormat="1" ht="14.4" customHeight="1" thickBot="1" x14ac:dyDescent="0.3">
      <c r="A77" s="294"/>
      <c r="B77" s="1199" t="s">
        <v>9</v>
      </c>
      <c r="C77" s="1180">
        <f>C78-C79</f>
        <v>-662663.88</v>
      </c>
      <c r="D77" s="1180">
        <f>D78-D79</f>
        <v>0</v>
      </c>
      <c r="E77" s="1043">
        <f>E78-E79</f>
        <v>-662663.88</v>
      </c>
      <c r="F77" s="1098"/>
      <c r="G77" s="1180">
        <v>0</v>
      </c>
      <c r="H77" s="1180">
        <v>0</v>
      </c>
      <c r="I77" s="1043">
        <v>-1072355.8935897164</v>
      </c>
      <c r="J77" s="1238"/>
      <c r="K77" s="1238"/>
      <c r="L77" s="1180">
        <f>L78-L79</f>
        <v>0</v>
      </c>
      <c r="M77" s="1180">
        <f>M78-M79</f>
        <v>0</v>
      </c>
      <c r="N77" s="1043">
        <f>N78-N79</f>
        <v>-57486.964674712661</v>
      </c>
      <c r="O77" s="1056"/>
      <c r="P77" s="1056"/>
      <c r="Q77" s="1180">
        <f>Q78-Q79</f>
        <v>0</v>
      </c>
      <c r="R77" s="1180">
        <f>R78-R79</f>
        <v>0</v>
      </c>
      <c r="S77" s="1043">
        <f>S78-S79</f>
        <v>-216873.58632183907</v>
      </c>
      <c r="T77" s="1056"/>
      <c r="U77" s="1056"/>
      <c r="V77" s="1180">
        <f>V78-V79</f>
        <v>0</v>
      </c>
      <c r="W77" s="1180">
        <f>W78-W79</f>
        <v>0</v>
      </c>
      <c r="X77" s="1043">
        <f>X78-X79</f>
        <v>-13517.6091954023</v>
      </c>
      <c r="Y77" s="1056"/>
      <c r="Z77" s="1056"/>
      <c r="AA77" s="1180">
        <f>AA78-AA79</f>
        <v>0</v>
      </c>
      <c r="AB77" s="1180">
        <f>AB78-AB79</f>
        <v>0</v>
      </c>
      <c r="AC77" s="1043">
        <f>AC78-AC79</f>
        <v>0</v>
      </c>
      <c r="AD77" s="1056"/>
      <c r="AE77" s="1056"/>
      <c r="AF77" s="1524">
        <f>AF78-AF79</f>
        <v>0</v>
      </c>
      <c r="AG77" s="1524">
        <f>AG78-AG79</f>
        <v>0</v>
      </c>
      <c r="AH77" s="1384">
        <f>AH78-AH79</f>
        <v>0</v>
      </c>
      <c r="AI77" s="1672"/>
      <c r="AJ77" s="1379"/>
      <c r="AK77" s="1524">
        <f>AK78-AK79</f>
        <v>0</v>
      </c>
      <c r="AL77" s="1524">
        <f>AL78-AL79</f>
        <v>0</v>
      </c>
      <c r="AM77" s="1384">
        <f>AM78-AM79</f>
        <v>-10456.754168812735</v>
      </c>
      <c r="AN77" s="1379"/>
      <c r="AO77" s="1379"/>
      <c r="AP77" s="1524">
        <f>AP78-AP79</f>
        <v>0</v>
      </c>
      <c r="AQ77" s="1524">
        <f>AQ78-AQ79</f>
        <v>0</v>
      </c>
      <c r="AR77" s="1384">
        <f>AR78-AR79</f>
        <v>0</v>
      </c>
      <c r="AS77" s="1379"/>
      <c r="AT77" s="1379"/>
      <c r="AU77" s="1975">
        <f>AU78-AU79</f>
        <v>0</v>
      </c>
      <c r="AV77" s="1975">
        <f>AV78-AV79</f>
        <v>0</v>
      </c>
      <c r="AW77" s="2091">
        <f>AW78-AW79</f>
        <v>0</v>
      </c>
      <c r="AX77" s="2092"/>
      <c r="AY77" s="2092"/>
      <c r="AZ77" s="1975">
        <f>AZ78-AZ79</f>
        <v>0</v>
      </c>
      <c r="BA77" s="1975">
        <f>BA78-BA79</f>
        <v>0</v>
      </c>
      <c r="BB77" s="2091">
        <f>BB78-BB79</f>
        <v>0</v>
      </c>
      <c r="BC77" s="2092"/>
      <c r="BD77" s="2092"/>
      <c r="BE77" s="2109">
        <f>BE78-BE79</f>
        <v>0</v>
      </c>
      <c r="BF77" s="2109">
        <f>BF78-BF79</f>
        <v>0</v>
      </c>
      <c r="BG77" s="2108">
        <f>BG78-BG79</f>
        <v>0</v>
      </c>
      <c r="BH77" s="2110"/>
      <c r="BI77" s="2110"/>
      <c r="BJ77" s="2109">
        <f>BJ78-BJ79</f>
        <v>0</v>
      </c>
      <c r="BK77" s="2109">
        <f>BK78-BK79</f>
        <v>0</v>
      </c>
      <c r="BL77" s="2108" t="e">
        <f>BL78-BL79</f>
        <v>#DIV/0!</v>
      </c>
      <c r="BM77" s="2110"/>
      <c r="BN77" s="2110"/>
      <c r="BO77" s="2109">
        <f>BO78-BO79</f>
        <v>0</v>
      </c>
      <c r="BP77" s="2109">
        <f>BP78-BP79</f>
        <v>0</v>
      </c>
      <c r="BQ77" s="2108" t="e">
        <f>BQ78-BQ79</f>
        <v>#DIV/0!</v>
      </c>
      <c r="BR77" s="2110"/>
      <c r="BS77" s="2110"/>
      <c r="BT77" s="2109">
        <f>BT78-BT79</f>
        <v>0</v>
      </c>
      <c r="BU77" s="2109">
        <f>BU78-BU79</f>
        <v>0</v>
      </c>
      <c r="BV77" s="2108">
        <f>BV78-BV79</f>
        <v>-1370690.8079504832</v>
      </c>
      <c r="BW77" s="2110"/>
      <c r="BX77" s="2110"/>
    </row>
    <row r="78" spans="1:76" s="2" customFormat="1" ht="14.4" customHeight="1" x14ac:dyDescent="0.25">
      <c r="A78" s="11"/>
      <c r="B78" s="946" t="s">
        <v>43</v>
      </c>
      <c r="C78" s="483"/>
      <c r="D78" s="564"/>
      <c r="E78" s="1243">
        <f>C78+D78*1.15</f>
        <v>0</v>
      </c>
      <c r="F78" s="1161"/>
      <c r="G78" s="1188">
        <v>0</v>
      </c>
      <c r="H78" s="1188">
        <v>0</v>
      </c>
      <c r="I78" s="676">
        <v>0</v>
      </c>
      <c r="J78" s="1162"/>
      <c r="K78" s="1162"/>
      <c r="L78" s="1188"/>
      <c r="M78" s="1188"/>
      <c r="N78" s="676">
        <f>L78+M78*1.15</f>
        <v>0</v>
      </c>
      <c r="O78" s="676"/>
      <c r="P78" s="676"/>
      <c r="Q78" s="1188"/>
      <c r="R78" s="1188"/>
      <c r="S78" s="676">
        <f>Q78+R78*1.15</f>
        <v>0</v>
      </c>
      <c r="T78" s="676"/>
      <c r="U78" s="676"/>
      <c r="V78" s="1188"/>
      <c r="W78" s="1188"/>
      <c r="X78" s="676">
        <f>V78+W78*1.15</f>
        <v>0</v>
      </c>
      <c r="Y78" s="676"/>
      <c r="Z78" s="676"/>
      <c r="AA78" s="1188"/>
      <c r="AB78" s="1188"/>
      <c r="AC78" s="676">
        <f>AA78+AB78*1.15</f>
        <v>0</v>
      </c>
      <c r="AD78" s="676"/>
      <c r="AE78" s="676"/>
      <c r="AF78" s="1447"/>
      <c r="AG78" s="1447"/>
      <c r="AH78" s="1467">
        <f>AF78+AG78*1.15</f>
        <v>0</v>
      </c>
      <c r="AI78" s="1656"/>
      <c r="AJ78" s="1684"/>
      <c r="AK78" s="1447"/>
      <c r="AL78" s="1447"/>
      <c r="AM78" s="1467">
        <f>AK78+AL78*1.15</f>
        <v>0</v>
      </c>
      <c r="AN78" s="1467"/>
      <c r="AO78" s="1467"/>
      <c r="AP78" s="1447"/>
      <c r="AQ78" s="1447"/>
      <c r="AR78" s="1467">
        <f>AP78+AQ78*1.15</f>
        <v>0</v>
      </c>
      <c r="AS78" s="1467"/>
      <c r="AT78" s="1467"/>
      <c r="AU78" s="2059"/>
      <c r="AV78" s="2059"/>
      <c r="AW78" s="1467">
        <f>AU78+AV78*1.15</f>
        <v>0</v>
      </c>
      <c r="AX78" s="1467"/>
      <c r="AY78" s="1467"/>
      <c r="AZ78" s="2059"/>
      <c r="BA78" s="2059"/>
      <c r="BB78" s="1467">
        <f>AZ78+BA78*1.15</f>
        <v>0</v>
      </c>
      <c r="BC78" s="1467"/>
      <c r="BD78" s="1467"/>
      <c r="BE78" s="2059"/>
      <c r="BF78" s="2059"/>
      <c r="BG78" s="2129">
        <f>BE78+BF78*1.15</f>
        <v>0</v>
      </c>
      <c r="BH78" s="2130"/>
      <c r="BI78" s="1467"/>
      <c r="BJ78" s="2059"/>
      <c r="BK78" s="2059"/>
      <c r="BL78" s="1467">
        <f>BJ78+BK78*1.15</f>
        <v>0</v>
      </c>
      <c r="BM78" s="1467"/>
      <c r="BN78" s="1467"/>
      <c r="BO78" s="2059"/>
      <c r="BP78" s="2059"/>
      <c r="BQ78" s="1467">
        <f>BO78+BP78*1.15</f>
        <v>0</v>
      </c>
      <c r="BR78" s="1467"/>
      <c r="BS78" s="1467"/>
      <c r="BT78" s="2059">
        <f>G78+L78+Q78+V78+AA78+AF78+AK78+AP78+AU78+AZ78+BE78</f>
        <v>0</v>
      </c>
      <c r="BU78" s="2059">
        <f>H78+M78+R78+W78+AB78+AG78+AL78+AQ78+AV78+BA78+BF78</f>
        <v>0</v>
      </c>
      <c r="BV78" s="2028">
        <f>BT78+BU78*1.15</f>
        <v>0</v>
      </c>
      <c r="BW78" s="1467"/>
      <c r="BX78" s="1467"/>
    </row>
    <row r="79" spans="1:76" s="2" customFormat="1" ht="14.4" customHeight="1" x14ac:dyDescent="0.25">
      <c r="A79" s="11"/>
      <c r="B79" s="1253" t="s">
        <v>79</v>
      </c>
      <c r="C79" s="1243">
        <v>662663.88</v>
      </c>
      <c r="D79" s="1243"/>
      <c r="E79" s="1243">
        <f>C79</f>
        <v>662663.88</v>
      </c>
      <c r="F79" s="1319">
        <f>E79/$E$89</f>
        <v>2.7053318184139214E-2</v>
      </c>
      <c r="G79" s="1188">
        <v>0</v>
      </c>
      <c r="H79" s="1188">
        <v>0</v>
      </c>
      <c r="I79" s="1190">
        <v>1072355.8935897164</v>
      </c>
      <c r="J79" s="1162"/>
      <c r="K79" s="1162"/>
      <c r="L79" s="1188"/>
      <c r="M79" s="1188"/>
      <c r="N79" s="1190">
        <v>57486.964674712661</v>
      </c>
      <c r="O79" s="1249"/>
      <c r="P79" s="1249"/>
      <c r="Q79" s="1188"/>
      <c r="R79" s="1188"/>
      <c r="S79" s="1190">
        <v>216873.58632183907</v>
      </c>
      <c r="T79" s="1249"/>
      <c r="U79" s="1249"/>
      <c r="V79" s="1188"/>
      <c r="W79" s="1188"/>
      <c r="X79" s="1190">
        <v>13517.6091954023</v>
      </c>
      <c r="Y79" s="1249"/>
      <c r="Z79" s="1249"/>
      <c r="AA79" s="1188"/>
      <c r="AB79" s="1188"/>
      <c r="AC79" s="1190">
        <v>0</v>
      </c>
      <c r="AD79" s="1249"/>
      <c r="AE79" s="1249"/>
      <c r="AF79" s="1447"/>
      <c r="AG79" s="1447"/>
      <c r="AH79" s="1495">
        <v>0</v>
      </c>
      <c r="AI79" s="1701"/>
      <c r="AJ79" s="1490"/>
      <c r="AK79" s="1447"/>
      <c r="AL79" s="1447"/>
      <c r="AM79" s="1495">
        <v>10456.754168812735</v>
      </c>
      <c r="AN79" s="1450"/>
      <c r="AO79" s="1450"/>
      <c r="AP79" s="1447"/>
      <c r="AQ79" s="1447"/>
      <c r="AR79" s="1495">
        <v>0</v>
      </c>
      <c r="AS79" s="1450"/>
      <c r="AT79" s="1450"/>
      <c r="AU79" s="2059"/>
      <c r="AV79" s="2059"/>
      <c r="AW79" s="2028"/>
      <c r="AX79" s="2008">
        <f>AW79/$AW$89</f>
        <v>0</v>
      </c>
      <c r="AY79" s="1909"/>
      <c r="AZ79" s="2059"/>
      <c r="BA79" s="2059"/>
      <c r="BB79" s="2028"/>
      <c r="BC79" s="2008" t="e">
        <f>BB79/$BB$89</f>
        <v>#DIV/0!</v>
      </c>
      <c r="BD79" s="1909"/>
      <c r="BE79" s="2059"/>
      <c r="BF79" s="2059"/>
      <c r="BG79" s="2131">
        <f>(BF8+BF41+BF50+BF54)/(1-'расчет 2022'!E13)*'расчет 2022'!E13</f>
        <v>0</v>
      </c>
      <c r="BH79" s="2132" t="e">
        <f>BG79/$BG$89</f>
        <v>#DIV/0!</v>
      </c>
      <c r="BI79" s="1909"/>
      <c r="BJ79" s="2059"/>
      <c r="BK79" s="2059"/>
      <c r="BL79" s="2028" t="e">
        <v>#DIV/0!</v>
      </c>
      <c r="BM79" s="2008" t="e">
        <f>BL79/$BL$89</f>
        <v>#DIV/0!</v>
      </c>
      <c r="BN79" s="1909"/>
      <c r="BO79" s="2059"/>
      <c r="BP79" s="2059"/>
      <c r="BQ79" s="2028" t="e">
        <v>#DIV/0!</v>
      </c>
      <c r="BR79" s="2008" t="e">
        <f>BQ79/$BL$89</f>
        <v>#DIV/0!</v>
      </c>
      <c r="BS79" s="1909"/>
      <c r="BT79" s="2059">
        <f>G79+L79+Q79+V79+AA79+AF79+AK79+AP79+AU79+AZ79+BE79</f>
        <v>0</v>
      </c>
      <c r="BU79" s="2059">
        <f>H79+M79+R79+W79+AB79+AG79+AL79+AQ79+AV79+BA79+BF79</f>
        <v>0</v>
      </c>
      <c r="BV79" s="2028">
        <f>I79+N79+S79+X79+AC79+AH79+AM79+AR79</f>
        <v>1370690.8079504832</v>
      </c>
      <c r="BW79" s="1909"/>
      <c r="BX79" s="1909"/>
    </row>
    <row r="80" spans="1:76" ht="14.4" customHeight="1" x14ac:dyDescent="0.25">
      <c r="A80" s="3"/>
      <c r="B80" s="1254"/>
      <c r="C80" s="1255"/>
      <c r="D80" s="1256"/>
      <c r="E80" s="1257"/>
      <c r="F80" s="1258"/>
      <c r="G80" s="1188"/>
      <c r="H80" s="1188"/>
      <c r="I80" s="1259"/>
      <c r="J80" s="1090"/>
      <c r="K80" s="1090"/>
      <c r="L80" s="1188"/>
      <c r="M80" s="1188"/>
      <c r="N80" s="1259"/>
      <c r="O80" s="1259"/>
      <c r="P80" s="1259"/>
      <c r="Q80" s="1188"/>
      <c r="R80" s="1188"/>
      <c r="S80" s="1259"/>
      <c r="T80" s="1259"/>
      <c r="U80" s="1259"/>
      <c r="V80" s="1188"/>
      <c r="W80" s="1188"/>
      <c r="X80" s="1259"/>
      <c r="Y80" s="1259"/>
      <c r="Z80" s="1259"/>
      <c r="AA80" s="1188"/>
      <c r="AB80" s="1188"/>
      <c r="AC80" s="1259"/>
      <c r="AD80" s="1259"/>
      <c r="AE80" s="1259"/>
      <c r="AF80" s="1447"/>
      <c r="AG80" s="1447"/>
      <c r="AH80" s="1468"/>
      <c r="AI80" s="1657"/>
      <c r="AJ80" s="1685"/>
      <c r="AK80" s="1447"/>
      <c r="AL80" s="1447"/>
      <c r="AM80" s="1468"/>
      <c r="AN80" s="1468"/>
      <c r="AO80" s="1468"/>
      <c r="AP80" s="1447"/>
      <c r="AQ80" s="1447"/>
      <c r="AR80" s="1468"/>
      <c r="AS80" s="1468"/>
      <c r="AT80" s="1468"/>
      <c r="AU80" s="2059"/>
      <c r="AV80" s="2059"/>
      <c r="AW80" s="1910"/>
      <c r="AX80" s="1910"/>
      <c r="AY80" s="1910"/>
      <c r="AZ80" s="2059"/>
      <c r="BA80" s="2059"/>
      <c r="BB80" s="1910"/>
      <c r="BC80" s="1910"/>
      <c r="BD80" s="1910"/>
      <c r="BE80" s="2059"/>
      <c r="BF80" s="2059"/>
      <c r="BG80" s="1910"/>
      <c r="BH80" s="1910"/>
      <c r="BI80" s="1910"/>
      <c r="BJ80" s="2059"/>
      <c r="BK80" s="2059"/>
      <c r="BL80" s="1910"/>
      <c r="BM80" s="1910"/>
      <c r="BN80" s="1910"/>
      <c r="BO80" s="2059"/>
      <c r="BP80" s="2059"/>
      <c r="BQ80" s="1910"/>
      <c r="BR80" s="1910"/>
      <c r="BS80" s="1910"/>
      <c r="BT80" s="2059"/>
      <c r="BU80" s="2059"/>
      <c r="BV80" s="1910"/>
      <c r="BW80" s="1910"/>
      <c r="BX80" s="1910"/>
    </row>
    <row r="81" spans="1:76" s="2" customFormat="1" ht="14.4" customHeight="1" thickBot="1" x14ac:dyDescent="0.3">
      <c r="A81" s="26"/>
      <c r="B81" s="1199" t="s">
        <v>12</v>
      </c>
      <c r="C81" s="1180">
        <f>(C75+C78)-C79</f>
        <v>8331346.1999999983</v>
      </c>
      <c r="D81" s="1180">
        <f>(D75+D78)-D79</f>
        <v>-4417759.1700000009</v>
      </c>
      <c r="E81" s="1043">
        <f>(E75+E78)-E79</f>
        <v>3913587.0299999975</v>
      </c>
      <c r="F81" s="1098"/>
      <c r="G81" s="1180">
        <v>10103865.364000004</v>
      </c>
      <c r="H81" s="1180">
        <v>-7461702.3268954549</v>
      </c>
      <c r="I81" s="1043">
        <v>1569807.1435148348</v>
      </c>
      <c r="J81" s="1238"/>
      <c r="K81" s="1238"/>
      <c r="L81" s="1180">
        <f>(L75+L78)-L79</f>
        <v>-171533.66</v>
      </c>
      <c r="M81" s="1180">
        <f>(M75+M78)-M79</f>
        <v>-384720.45590000006</v>
      </c>
      <c r="N81" s="1043">
        <f>(N75+N78)-N79</f>
        <v>-613741.08057471272</v>
      </c>
      <c r="O81" s="1056"/>
      <c r="P81" s="1056"/>
      <c r="Q81" s="1180">
        <f>(Q75+Q78)-Q79</f>
        <v>3264991.5079999999</v>
      </c>
      <c r="R81" s="1180">
        <f>(R75+R78)-R79</f>
        <v>-1451384.7699999998</v>
      </c>
      <c r="S81" s="1043">
        <f>(S75+S78)-S79</f>
        <v>1596733.1516781617</v>
      </c>
      <c r="T81" s="1056"/>
      <c r="U81" s="1056"/>
      <c r="V81" s="1180">
        <f>(V75+V78)-V79</f>
        <v>1437537.95</v>
      </c>
      <c r="W81" s="1180">
        <f>(W75+W78)-W79</f>
        <v>-90464</v>
      </c>
      <c r="X81" s="1043">
        <f>(X75+X78)-X79</f>
        <v>1333556.3408045976</v>
      </c>
      <c r="Y81" s="1056"/>
      <c r="Z81" s="1056"/>
      <c r="AA81" s="1180">
        <f>(AA75+AA78)-AA79</f>
        <v>0</v>
      </c>
      <c r="AB81" s="1180">
        <f>(AB75+AB78)-AB79</f>
        <v>0</v>
      </c>
      <c r="AC81" s="1043">
        <f>(AC75+AC78)-AC79</f>
        <v>0</v>
      </c>
      <c r="AD81" s="1056"/>
      <c r="AE81" s="1056"/>
      <c r="AF81" s="1524">
        <f>(AF75+AF78)-AF79</f>
        <v>56749.184000000001</v>
      </c>
      <c r="AG81" s="1524">
        <f>(AG75+AG78)-AG79</f>
        <v>0</v>
      </c>
      <c r="AH81" s="1384">
        <f>(AH75+AH78)-AH79</f>
        <v>56749.184000000001</v>
      </c>
      <c r="AI81" s="1672"/>
      <c r="AJ81" s="1379"/>
      <c r="AK81" s="1524">
        <f>(AK75+AK78)-AK79</f>
        <v>0</v>
      </c>
      <c r="AL81" s="1524">
        <f>(AL75+AL78)-AL79</f>
        <v>-72200</v>
      </c>
      <c r="AM81" s="1384">
        <f>(AM75+AM78)-AM79</f>
        <v>-82656.754168812738</v>
      </c>
      <c r="AN81" s="1379"/>
      <c r="AO81" s="1379"/>
      <c r="AP81" s="1524">
        <f>(AP75+AP78)-AP79</f>
        <v>0</v>
      </c>
      <c r="AQ81" s="1524">
        <f>(AQ75+AQ78)-AQ79</f>
        <v>0</v>
      </c>
      <c r="AR81" s="1384">
        <f>(AR75+AR78)-AR79</f>
        <v>0</v>
      </c>
      <c r="AS81" s="1379"/>
      <c r="AT81" s="1379"/>
      <c r="AU81" s="1975">
        <f>(AU75+AU78)-AU79</f>
        <v>-1055675.648</v>
      </c>
      <c r="AV81" s="1975">
        <f>(AV75+AV78)-AV79</f>
        <v>0</v>
      </c>
      <c r="AW81" s="2091">
        <f>(AW75+AW78)-AW79</f>
        <v>-1055675.648</v>
      </c>
      <c r="AX81" s="2092"/>
      <c r="AY81" s="2092"/>
      <c r="AZ81" s="1975">
        <f>(AZ75+AZ78)-AZ79</f>
        <v>0</v>
      </c>
      <c r="BA81" s="1975">
        <f>(BA75+BA78)-BA79</f>
        <v>0</v>
      </c>
      <c r="BB81" s="2091">
        <f>(BB75+BB78)-BB79</f>
        <v>0</v>
      </c>
      <c r="BC81" s="2092"/>
      <c r="BD81" s="2092"/>
      <c r="BE81" s="2109">
        <f>(BE75+BE78)-BE79</f>
        <v>0</v>
      </c>
      <c r="BF81" s="2109">
        <f>(BF75+BF78)-BF79</f>
        <v>0</v>
      </c>
      <c r="BG81" s="2108">
        <f>(BG75+BG78)-BG79</f>
        <v>0</v>
      </c>
      <c r="BH81" s="2110"/>
      <c r="BI81" s="2110"/>
      <c r="BJ81" s="2109">
        <f>(BJ75+BJ78)-BJ79</f>
        <v>0</v>
      </c>
      <c r="BK81" s="2109">
        <f>(BK75+BK78)-BK79</f>
        <v>0</v>
      </c>
      <c r="BL81" s="2108" t="e">
        <f>(BL75+BL78)-BL79</f>
        <v>#DIV/0!</v>
      </c>
      <c r="BM81" s="2110"/>
      <c r="BN81" s="2110"/>
      <c r="BO81" s="2109">
        <f>(BO75+BO78)-BO79</f>
        <v>0</v>
      </c>
      <c r="BP81" s="2109">
        <f>(BP75+BP78)-BP79</f>
        <v>0</v>
      </c>
      <c r="BQ81" s="2108" t="e">
        <f>(BQ75+BQ78)-BQ79</f>
        <v>#DIV/0!</v>
      </c>
      <c r="BR81" s="2110"/>
      <c r="BS81" s="2110"/>
      <c r="BT81" s="2109">
        <f>(BT75+BT78)-BT79</f>
        <v>13635934.698000003</v>
      </c>
      <c r="BU81" s="2109">
        <f>(BU75+BU78)-BU79</f>
        <v>-9460471.5527954549</v>
      </c>
      <c r="BV81" s="2108">
        <f>(BV75+BV78)-BV79</f>
        <v>2804772.3372540702</v>
      </c>
      <c r="BW81" s="2110"/>
      <c r="BX81" s="2110"/>
    </row>
    <row r="82" spans="1:76" s="2" customFormat="1" ht="14.4" customHeight="1" x14ac:dyDescent="0.25">
      <c r="A82" s="293"/>
      <c r="B82" s="946" t="s">
        <v>38</v>
      </c>
      <c r="C82" s="483"/>
      <c r="D82" s="564"/>
      <c r="E82" s="565">
        <f>C82+D82</f>
        <v>0</v>
      </c>
      <c r="F82" s="1248">
        <f>E82/$E$89</f>
        <v>0</v>
      </c>
      <c r="G82" s="1188">
        <v>0</v>
      </c>
      <c r="H82" s="1188">
        <v>0</v>
      </c>
      <c r="I82" s="565">
        <v>0</v>
      </c>
      <c r="J82" s="1103"/>
      <c r="K82" s="1103"/>
      <c r="L82" s="1188"/>
      <c r="M82" s="1188"/>
      <c r="N82" s="565">
        <f>L82+M82</f>
        <v>0</v>
      </c>
      <c r="O82" s="1057"/>
      <c r="P82" s="1057"/>
      <c r="Q82" s="1188"/>
      <c r="R82" s="1188"/>
      <c r="S82" s="565">
        <f>Q82+R82</f>
        <v>0</v>
      </c>
      <c r="T82" s="1057"/>
      <c r="U82" s="1057"/>
      <c r="V82" s="1188"/>
      <c r="W82" s="1188"/>
      <c r="X82" s="565">
        <f>V82+W82</f>
        <v>0</v>
      </c>
      <c r="Y82" s="1057"/>
      <c r="Z82" s="1057"/>
      <c r="AA82" s="1188"/>
      <c r="AB82" s="1188"/>
      <c r="AC82" s="565">
        <f>AA82+AB82</f>
        <v>0</v>
      </c>
      <c r="AD82" s="1057"/>
      <c r="AE82" s="1057"/>
      <c r="AF82" s="1447"/>
      <c r="AG82" s="1447"/>
      <c r="AH82" s="1530">
        <f>AF82+AG82</f>
        <v>0</v>
      </c>
      <c r="AI82" s="1696"/>
      <c r="AJ82" s="1700"/>
      <c r="AK82" s="1447"/>
      <c r="AL82" s="1447"/>
      <c r="AM82" s="1530">
        <f>AK82+AL82</f>
        <v>0</v>
      </c>
      <c r="AN82" s="1491"/>
      <c r="AO82" s="1491"/>
      <c r="AP82" s="1447"/>
      <c r="AQ82" s="1447"/>
      <c r="AR82" s="1530">
        <f>AP82+AQ82</f>
        <v>0</v>
      </c>
      <c r="AS82" s="1491"/>
      <c r="AT82" s="1491"/>
      <c r="AU82" s="2059"/>
      <c r="AV82" s="2059"/>
      <c r="AW82" s="1530">
        <f>AU82+AV82</f>
        <v>0</v>
      </c>
      <c r="AX82" s="1491"/>
      <c r="AY82" s="1491"/>
      <c r="AZ82" s="2059"/>
      <c r="BA82" s="2059"/>
      <c r="BB82" s="1530">
        <f>AZ82+BA82</f>
        <v>0</v>
      </c>
      <c r="BC82" s="1491"/>
      <c r="BD82" s="1491"/>
      <c r="BE82" s="2059"/>
      <c r="BF82" s="2059"/>
      <c r="BG82" s="1530">
        <f>BE82+BF82</f>
        <v>0</v>
      </c>
      <c r="BH82" s="1491"/>
      <c r="BI82" s="1491"/>
      <c r="BJ82" s="2059"/>
      <c r="BK82" s="2059"/>
      <c r="BL82" s="1530">
        <f>BJ82+BK82</f>
        <v>0</v>
      </c>
      <c r="BM82" s="1491"/>
      <c r="BN82" s="1491"/>
      <c r="BO82" s="2059"/>
      <c r="BP82" s="2059"/>
      <c r="BQ82" s="1530">
        <f>BO82+BP82</f>
        <v>0</v>
      </c>
      <c r="BR82" s="1491"/>
      <c r="BS82" s="1491"/>
      <c r="BT82" s="2059">
        <f>G82+L82+Q82+V82+AA82+AF82+AK82+AP82+AU82+AZ82+BE82</f>
        <v>0</v>
      </c>
      <c r="BU82" s="2059">
        <f>H82+M82+R82+W82+AB82+AG82+AL82+AQ82+AV82+BA82+BF82</f>
        <v>0</v>
      </c>
      <c r="BV82" s="1530">
        <f>BT82+BU82</f>
        <v>0</v>
      </c>
      <c r="BW82" s="1491"/>
      <c r="BX82" s="1491"/>
    </row>
    <row r="83" spans="1:76" s="2" customFormat="1" ht="14.4" customHeight="1" x14ac:dyDescent="0.25">
      <c r="A83" s="11"/>
      <c r="B83" s="1260" t="s">
        <v>13</v>
      </c>
      <c r="C83" s="1261">
        <f>(C81+C7)-C36</f>
        <v>8331346.1999999983</v>
      </c>
      <c r="D83" s="1261">
        <f>(D81+D7)-D36</f>
        <v>-4417759.1700000009</v>
      </c>
      <c r="E83" s="1261">
        <f>(E81+E7)-E36</f>
        <v>3913587.0299999975</v>
      </c>
      <c r="F83" s="1262"/>
      <c r="G83" s="1261">
        <v>10103865.364000004</v>
      </c>
      <c r="H83" s="1261">
        <v>-7461702.3268954549</v>
      </c>
      <c r="I83" s="1263">
        <v>1569807.1435148348</v>
      </c>
      <c r="J83" s="1265"/>
      <c r="K83" s="1265"/>
      <c r="L83" s="1261">
        <f>(L81)-L36</f>
        <v>-171533.66</v>
      </c>
      <c r="M83" s="1261">
        <f>(M81)-M36</f>
        <v>-384720.45590000006</v>
      </c>
      <c r="N83" s="1263">
        <f>(N81)-N36</f>
        <v>-613741.08057471272</v>
      </c>
      <c r="O83" s="1264"/>
      <c r="P83" s="1264"/>
      <c r="Q83" s="1261">
        <f>(Q81+Q7)-Q36</f>
        <v>3264991.5079999999</v>
      </c>
      <c r="R83" s="1261">
        <f>(R81+R7)-R36</f>
        <v>-1451384.7699999998</v>
      </c>
      <c r="S83" s="1263">
        <f>(S81+S7)-S36</f>
        <v>1596733.1516781617</v>
      </c>
      <c r="T83" s="1264"/>
      <c r="U83" s="1264"/>
      <c r="V83" s="1261">
        <f>(V81+V7)-V36</f>
        <v>1437537.95</v>
      </c>
      <c r="W83" s="1261">
        <f>(W81+W7)-W36</f>
        <v>-90464</v>
      </c>
      <c r="X83" s="1263">
        <f>(X81+X7)-X36</f>
        <v>1333556.3408045976</v>
      </c>
      <c r="Y83" s="1264"/>
      <c r="Z83" s="1264"/>
      <c r="AA83" s="1261">
        <f>(AA81+AA7)-AA36</f>
        <v>0</v>
      </c>
      <c r="AB83" s="1261">
        <f>(AB81+AB7)-AB36</f>
        <v>0</v>
      </c>
      <c r="AC83" s="1263">
        <f>(AC81+AC7)-AC36</f>
        <v>0</v>
      </c>
      <c r="AD83" s="1264"/>
      <c r="AE83" s="1264"/>
      <c r="AF83" s="1531">
        <f>(AF81)-AF36</f>
        <v>56749.184000000001</v>
      </c>
      <c r="AG83" s="1531">
        <f>(AG81)-AG36</f>
        <v>0</v>
      </c>
      <c r="AH83" s="1532">
        <f>(AH81)-AH36</f>
        <v>56749.184000000001</v>
      </c>
      <c r="AI83" s="1673"/>
      <c r="AJ83" s="1469"/>
      <c r="AK83" s="1531">
        <f>(AK81)-AK36</f>
        <v>0</v>
      </c>
      <c r="AL83" s="1531">
        <f>(AL81)-AL36</f>
        <v>-72200</v>
      </c>
      <c r="AM83" s="1532">
        <f>(AM81)-AM36</f>
        <v>-82656.754168812738</v>
      </c>
      <c r="AN83" s="1469"/>
      <c r="AO83" s="1469"/>
      <c r="AP83" s="1531">
        <f>(AP81)-AP36</f>
        <v>0</v>
      </c>
      <c r="AQ83" s="1531">
        <f>(AQ81)-AQ36</f>
        <v>0</v>
      </c>
      <c r="AR83" s="1532">
        <f>(AR81)-AR36</f>
        <v>0</v>
      </c>
      <c r="AS83" s="1469"/>
      <c r="AT83" s="1469"/>
      <c r="AU83" s="1912">
        <f>(AU81)-AU36</f>
        <v>-1055675.648</v>
      </c>
      <c r="AV83" s="1912">
        <f>(AV81)-AV36</f>
        <v>0</v>
      </c>
      <c r="AW83" s="1913">
        <f>(AW81)-AW36</f>
        <v>-1055675.648</v>
      </c>
      <c r="AX83" s="1914"/>
      <c r="AY83" s="1914"/>
      <c r="AZ83" s="1912">
        <f>(AZ81)-AZ36</f>
        <v>0</v>
      </c>
      <c r="BA83" s="1912">
        <f>(BA81)-BA36</f>
        <v>0</v>
      </c>
      <c r="BB83" s="1913">
        <f>(BB81)-BB36</f>
        <v>0</v>
      </c>
      <c r="BC83" s="1914"/>
      <c r="BD83" s="1914"/>
      <c r="BE83" s="1912">
        <f>(BE81)-BE36</f>
        <v>0</v>
      </c>
      <c r="BF83" s="1912">
        <f>(BF81)-BF36</f>
        <v>0</v>
      </c>
      <c r="BG83" s="1913">
        <f>(BG81)-BG36</f>
        <v>0</v>
      </c>
      <c r="BH83" s="1914"/>
      <c r="BI83" s="1914"/>
      <c r="BJ83" s="1912">
        <f>(BJ81)-BJ36</f>
        <v>0</v>
      </c>
      <c r="BK83" s="1912">
        <f>(BK81)-BK36</f>
        <v>0</v>
      </c>
      <c r="BL83" s="1913" t="e">
        <f>(BL81)-BL36</f>
        <v>#DIV/0!</v>
      </c>
      <c r="BM83" s="1914"/>
      <c r="BN83" s="1914"/>
      <c r="BO83" s="1912">
        <f>(BO81)-BO36</f>
        <v>0</v>
      </c>
      <c r="BP83" s="1912">
        <f>(BP81)-BP36</f>
        <v>0</v>
      </c>
      <c r="BQ83" s="1913" t="e">
        <f>(BQ81)-BQ36</f>
        <v>#DIV/0!</v>
      </c>
      <c r="BR83" s="1914"/>
      <c r="BS83" s="1914"/>
      <c r="BT83" s="1912">
        <f>(BT81)-BT36</f>
        <v>13635934.698000003</v>
      </c>
      <c r="BU83" s="1913">
        <f>(BU81)-BU36</f>
        <v>-9460471.5527954549</v>
      </c>
      <c r="BV83" s="1913">
        <f>(BV81)-BV36</f>
        <v>2804772.3372540702</v>
      </c>
      <c r="BW83" s="1914"/>
      <c r="BX83" s="1914"/>
    </row>
    <row r="84" spans="1:76" s="2" customFormat="1" ht="14.4" customHeight="1" thickBot="1" x14ac:dyDescent="0.3">
      <c r="A84" s="11"/>
      <c r="B84" s="1320" t="s">
        <v>14</v>
      </c>
      <c r="C84" s="1321">
        <f>C83-C73-C82</f>
        <v>7503919.322999998</v>
      </c>
      <c r="D84" s="1321">
        <f>D83-D73-D82</f>
        <v>-4417759.1700000009</v>
      </c>
      <c r="E84" s="1321">
        <f>E83-E73-E82</f>
        <v>3086160.1529999976</v>
      </c>
      <c r="F84" s="1322"/>
      <c r="G84" s="1228">
        <v>10103865.364000004</v>
      </c>
      <c r="H84" s="1228">
        <v>-7461702.3268954549</v>
      </c>
      <c r="I84" s="1228">
        <v>1569807.1435148348</v>
      </c>
      <c r="J84" s="1322"/>
      <c r="K84" s="1322"/>
      <c r="L84" s="1228">
        <f>L83-L73-L82</f>
        <v>-171533.66</v>
      </c>
      <c r="M84" s="1228">
        <f>M83-M73-M82</f>
        <v>-384720.45590000006</v>
      </c>
      <c r="N84" s="1228">
        <f>N83-N73-N82</f>
        <v>-613741.08057471272</v>
      </c>
      <c r="O84" s="1323"/>
      <c r="P84" s="1323"/>
      <c r="Q84" s="1228">
        <f>Q83-Q73-Q82</f>
        <v>3264991.5079999999</v>
      </c>
      <c r="R84" s="1228">
        <f>R83-R73-R82</f>
        <v>-1451384.7699999998</v>
      </c>
      <c r="S84" s="1228">
        <f>S83-S73-S82</f>
        <v>1596733.1516781617</v>
      </c>
      <c r="T84" s="1323"/>
      <c r="U84" s="1323"/>
      <c r="V84" s="1228">
        <f>V83-V73-V82</f>
        <v>1437537.95</v>
      </c>
      <c r="W84" s="1228">
        <f>W83-W73-W82</f>
        <v>-90464</v>
      </c>
      <c r="X84" s="1228">
        <f>X83-X73-X82</f>
        <v>1333556.3408045976</v>
      </c>
      <c r="Y84" s="1323"/>
      <c r="Z84" s="1323"/>
      <c r="AA84" s="1044">
        <f>AA83-AA73-AA82</f>
        <v>0</v>
      </c>
      <c r="AB84" s="1044">
        <f>AB83-AB73-AB82</f>
        <v>0</v>
      </c>
      <c r="AC84" s="1228">
        <f>AC83-AC73-AC82</f>
        <v>0</v>
      </c>
      <c r="AD84" s="1323"/>
      <c r="AE84" s="1323"/>
      <c r="AF84" s="1392">
        <f>AF83-AF73-AF82</f>
        <v>56749.184000000001</v>
      </c>
      <c r="AG84" s="1392">
        <f>AG83-AG73-AG82</f>
        <v>0</v>
      </c>
      <c r="AH84" s="1570">
        <f>AH83-AH73-AH82</f>
        <v>56749.184000000001</v>
      </c>
      <c r="AI84" s="1697"/>
      <c r="AJ84" s="1476"/>
      <c r="AK84" s="1392">
        <f>AK83-AK73-AK82</f>
        <v>0</v>
      </c>
      <c r="AL84" s="1392">
        <f>AL83-AL73-AL82</f>
        <v>-72200</v>
      </c>
      <c r="AM84" s="1570">
        <f>AM83-AM73-AM82</f>
        <v>-82656.754168812738</v>
      </c>
      <c r="AN84" s="1476"/>
      <c r="AO84" s="1476"/>
      <c r="AP84" s="1392">
        <f>AP83-AP73-AP82</f>
        <v>0</v>
      </c>
      <c r="AQ84" s="1392">
        <f>AQ83-AQ73-AQ82</f>
        <v>0</v>
      </c>
      <c r="AR84" s="1570">
        <f>AR83-AR73-AR82</f>
        <v>0</v>
      </c>
      <c r="AS84" s="1476"/>
      <c r="AT84" s="1476"/>
      <c r="AU84" s="2093">
        <f>AU83-AU73-AU82</f>
        <v>-1055675.648</v>
      </c>
      <c r="AV84" s="2093">
        <f>AV83-AV73-AV82</f>
        <v>0</v>
      </c>
      <c r="AW84" s="1953">
        <f>AW83-AW73-AW82</f>
        <v>-1055675.648</v>
      </c>
      <c r="AX84" s="1954"/>
      <c r="AY84" s="1954"/>
      <c r="AZ84" s="2093">
        <f>AZ83-AZ73-AZ82</f>
        <v>0</v>
      </c>
      <c r="BA84" s="2093">
        <f>BA83-BA73-BA82</f>
        <v>0</v>
      </c>
      <c r="BB84" s="2093">
        <f>BB83-BB73-BB82</f>
        <v>0</v>
      </c>
      <c r="BC84" s="2094"/>
      <c r="BD84" s="2094"/>
      <c r="BE84" s="1953">
        <f>BE83-BE73-BE82</f>
        <v>0</v>
      </c>
      <c r="BF84" s="1953">
        <f>BF83-BF73-BF82</f>
        <v>0</v>
      </c>
      <c r="BG84" s="1953">
        <f>BG83-BG73-BG82</f>
        <v>0</v>
      </c>
      <c r="BH84" s="1954"/>
      <c r="BI84" s="1954"/>
      <c r="BJ84" s="1953">
        <f>BJ83-BJ73-BJ82</f>
        <v>0</v>
      </c>
      <c r="BK84" s="1953">
        <f>BK83-BK73-BK82</f>
        <v>0</v>
      </c>
      <c r="BL84" s="1953" t="e">
        <f>BL83-BL73-BL82</f>
        <v>#DIV/0!</v>
      </c>
      <c r="BM84" s="1954"/>
      <c r="BN84" s="1954"/>
      <c r="BO84" s="1953">
        <f>BO83-BO73-BO82</f>
        <v>0</v>
      </c>
      <c r="BP84" s="1953">
        <f>BP83-BP73-BP82</f>
        <v>0</v>
      </c>
      <c r="BQ84" s="1953" t="e">
        <f>BQ83-BQ73-BQ82</f>
        <v>#DIV/0!</v>
      </c>
      <c r="BR84" s="1954"/>
      <c r="BS84" s="1954"/>
      <c r="BT84" s="2105">
        <f>BT83-BT73-BT82</f>
        <v>13635934.698000003</v>
      </c>
      <c r="BU84" s="2105">
        <f>BU83-BU73-BU82</f>
        <v>-9460471.5527954549</v>
      </c>
      <c r="BV84" s="1953">
        <f>BV83-BV73-BV82</f>
        <v>2804772.3372540702</v>
      </c>
      <c r="BW84" s="1954"/>
      <c r="BX84" s="1954"/>
    </row>
    <row r="85" spans="1:76" s="2" customFormat="1" ht="14.4" customHeight="1" x14ac:dyDescent="0.25">
      <c r="A85" s="293"/>
      <c r="B85" s="216" t="s">
        <v>44</v>
      </c>
      <c r="C85" s="483"/>
      <c r="D85" s="564"/>
      <c r="E85" s="565">
        <f>C85+D85</f>
        <v>0</v>
      </c>
      <c r="F85" s="1019">
        <f>E85/$E$89</f>
        <v>0</v>
      </c>
      <c r="G85" s="1188">
        <v>0</v>
      </c>
      <c r="H85" s="1188">
        <v>0</v>
      </c>
      <c r="I85" s="484">
        <v>0</v>
      </c>
      <c r="J85" s="1103"/>
      <c r="K85" s="1103"/>
      <c r="L85" s="1188"/>
      <c r="M85" s="1188"/>
      <c r="N85" s="484">
        <f>L85+M85*1.15</f>
        <v>0</v>
      </c>
      <c r="O85" s="566"/>
      <c r="P85" s="566"/>
      <c r="Q85" s="1188"/>
      <c r="R85" s="1188"/>
      <c r="S85" s="484">
        <f>Q85+R85*1.15</f>
        <v>0</v>
      </c>
      <c r="T85" s="566"/>
      <c r="U85" s="566"/>
      <c r="V85" s="1188"/>
      <c r="W85" s="1188"/>
      <c r="X85" s="484">
        <f>V85+W85*1.15</f>
        <v>0</v>
      </c>
      <c r="Y85" s="566"/>
      <c r="Z85" s="566"/>
      <c r="AA85" s="1188"/>
      <c r="AB85" s="1188"/>
      <c r="AC85" s="484">
        <f>AA85+AB85*1.15</f>
        <v>0</v>
      </c>
      <c r="AD85" s="566"/>
      <c r="AE85" s="566"/>
      <c r="AF85" s="1447"/>
      <c r="AG85" s="1447"/>
      <c r="AH85" s="1575">
        <f>AF85+AG85*1.15</f>
        <v>0</v>
      </c>
      <c r="AI85" s="1702"/>
      <c r="AJ85" s="1759"/>
      <c r="AK85" s="1447"/>
      <c r="AL85" s="1447"/>
      <c r="AM85" s="1575">
        <f>AK85+AL85*1.15</f>
        <v>0</v>
      </c>
      <c r="AN85" s="1492"/>
      <c r="AO85" s="1492"/>
      <c r="AP85" s="1447"/>
      <c r="AQ85" s="1447"/>
      <c r="AR85" s="1575">
        <f>AP85+AQ85*1.15</f>
        <v>0</v>
      </c>
      <c r="AS85" s="1492"/>
      <c r="AT85" s="1492"/>
      <c r="AU85" s="2059"/>
      <c r="AV85" s="2059"/>
      <c r="AW85" s="1575">
        <f>AU85+AV85*1.15</f>
        <v>0</v>
      </c>
      <c r="AX85" s="1492"/>
      <c r="AY85" s="1492"/>
      <c r="AZ85" s="2059"/>
      <c r="BA85" s="2059"/>
      <c r="BB85" s="2028">
        <f>AZ85+BA85*1.15</f>
        <v>0</v>
      </c>
      <c r="BC85" s="1491"/>
      <c r="BD85" s="1491"/>
      <c r="BE85" s="2059"/>
      <c r="BF85" s="2059"/>
      <c r="BG85" s="1575">
        <f>BE85+BF85*1.15</f>
        <v>0</v>
      </c>
      <c r="BH85" s="1492"/>
      <c r="BI85" s="1492"/>
      <c r="BJ85" s="2059"/>
      <c r="BK85" s="2059"/>
      <c r="BL85" s="1575">
        <f>BJ85+BK85*1.15</f>
        <v>0</v>
      </c>
      <c r="BM85" s="1492"/>
      <c r="BN85" s="1492"/>
      <c r="BO85" s="2059"/>
      <c r="BP85" s="2059"/>
      <c r="BQ85" s="1575">
        <f>BO85+BP85*1.15</f>
        <v>0</v>
      </c>
      <c r="BR85" s="1492"/>
      <c r="BS85" s="1492"/>
      <c r="BT85" s="2059">
        <f>G85+L85+Q85+V85+AA85+AF85+AK85+AP85+AU85+AZ85+BE85</f>
        <v>0</v>
      </c>
      <c r="BU85" s="2059">
        <f>H85+M85+R85+W85+AB85+AG85+AL85+AQ85+AV85+BA85+BF85</f>
        <v>0</v>
      </c>
      <c r="BV85" s="1575">
        <f>BT85+BU85*1.15</f>
        <v>0</v>
      </c>
      <c r="BW85" s="1492"/>
      <c r="BX85" s="1492"/>
    </row>
    <row r="86" spans="1:76" s="2" customFormat="1" ht="14.4" customHeight="1" x14ac:dyDescent="0.25">
      <c r="A86" s="11"/>
      <c r="B86" s="1203" t="s">
        <v>50</v>
      </c>
      <c r="C86" s="1266">
        <f>C84-C85</f>
        <v>7503919.322999998</v>
      </c>
      <c r="D86" s="1266">
        <f>D84-D85</f>
        <v>-4417759.1700000009</v>
      </c>
      <c r="E86" s="1267">
        <f>E84-E85</f>
        <v>3086160.1529999976</v>
      </c>
      <c r="F86" s="1268"/>
      <c r="G86" s="1267">
        <v>10103865.364000004</v>
      </c>
      <c r="H86" s="1267">
        <v>-7461702.3268954549</v>
      </c>
      <c r="I86" s="1267">
        <v>1569807.1435148348</v>
      </c>
      <c r="J86" s="1268"/>
      <c r="K86" s="1268"/>
      <c r="L86" s="1267">
        <f>L84-L85</f>
        <v>-171533.66</v>
      </c>
      <c r="M86" s="1267">
        <f>M84-M85</f>
        <v>-384720.45590000006</v>
      </c>
      <c r="N86" s="1267">
        <f>N84-N85</f>
        <v>-613741.08057471272</v>
      </c>
      <c r="O86" s="1269"/>
      <c r="P86" s="1269"/>
      <c r="Q86" s="1267">
        <f>Q84-Q85</f>
        <v>3264991.5079999999</v>
      </c>
      <c r="R86" s="1267">
        <f>R84-R85</f>
        <v>-1451384.7699999998</v>
      </c>
      <c r="S86" s="1267">
        <f>S84-S85</f>
        <v>1596733.1516781617</v>
      </c>
      <c r="T86" s="1269"/>
      <c r="U86" s="1269"/>
      <c r="V86" s="1267">
        <f>V84-V85</f>
        <v>1437537.95</v>
      </c>
      <c r="W86" s="1267">
        <f>W84-W85</f>
        <v>-90464</v>
      </c>
      <c r="X86" s="1267">
        <f>X84-X85</f>
        <v>1333556.3408045976</v>
      </c>
      <c r="Y86" s="1269"/>
      <c r="Z86" s="1269"/>
      <c r="AA86" s="1267">
        <f>AA84-AA85</f>
        <v>0</v>
      </c>
      <c r="AB86" s="1267">
        <f>AB84-AB85</f>
        <v>0</v>
      </c>
      <c r="AC86" s="1267">
        <f>AC84-AC85</f>
        <v>0</v>
      </c>
      <c r="AD86" s="1269"/>
      <c r="AE86" s="1269"/>
      <c r="AF86" s="1534">
        <f>AF84-AF85</f>
        <v>56749.184000000001</v>
      </c>
      <c r="AG86" s="1534">
        <f>AG84-AG85</f>
        <v>0</v>
      </c>
      <c r="AH86" s="1534">
        <f>AH84-AH85</f>
        <v>56749.184000000001</v>
      </c>
      <c r="AI86" s="1470"/>
      <c r="AJ86" s="1471"/>
      <c r="AK86" s="1534">
        <f>AK84-AK85</f>
        <v>0</v>
      </c>
      <c r="AL86" s="1534">
        <f>AL84-AL85</f>
        <v>-72200</v>
      </c>
      <c r="AM86" s="1534">
        <f>AM84-AM85</f>
        <v>-82656.754168812738</v>
      </c>
      <c r="AN86" s="1471"/>
      <c r="AO86" s="1471"/>
      <c r="AP86" s="1534">
        <f>AP84-AP85</f>
        <v>0</v>
      </c>
      <c r="AQ86" s="1534">
        <f>AQ84-AQ85</f>
        <v>0</v>
      </c>
      <c r="AR86" s="1534">
        <f>AR84-AR85</f>
        <v>0</v>
      </c>
      <c r="AS86" s="1471"/>
      <c r="AT86" s="1471"/>
      <c r="AU86" s="1919">
        <f>AU84-AU85</f>
        <v>-1055675.648</v>
      </c>
      <c r="AV86" s="1919">
        <f>AV84-AV85</f>
        <v>0</v>
      </c>
      <c r="AW86" s="1919">
        <f>AW84-AW85</f>
        <v>-1055675.648</v>
      </c>
      <c r="AX86" s="1920"/>
      <c r="AY86" s="1920"/>
      <c r="AZ86" s="1919">
        <f>AZ84-AZ85</f>
        <v>0</v>
      </c>
      <c r="BA86" s="1919">
        <f>BA84-BA85</f>
        <v>0</v>
      </c>
      <c r="BB86" s="1919">
        <f>BB84-BB85</f>
        <v>0</v>
      </c>
      <c r="BC86" s="1920"/>
      <c r="BD86" s="1920"/>
      <c r="BE86" s="1919">
        <f>BE84-BE85</f>
        <v>0</v>
      </c>
      <c r="BF86" s="1919">
        <f>BF84-BF85</f>
        <v>0</v>
      </c>
      <c r="BG86" s="1919">
        <f>BG84-BG85</f>
        <v>0</v>
      </c>
      <c r="BH86" s="1920"/>
      <c r="BI86" s="1920"/>
      <c r="BJ86" s="1919">
        <f>BJ84-BJ85</f>
        <v>0</v>
      </c>
      <c r="BK86" s="1919">
        <f>BK84-BK85</f>
        <v>0</v>
      </c>
      <c r="BL86" s="1919" t="e">
        <f>BL84-BL85</f>
        <v>#DIV/0!</v>
      </c>
      <c r="BM86" s="1920"/>
      <c r="BN86" s="1920"/>
      <c r="BO86" s="1919">
        <f>BO84-BO85</f>
        <v>0</v>
      </c>
      <c r="BP86" s="1919">
        <f>BP84-BP85</f>
        <v>0</v>
      </c>
      <c r="BQ86" s="1919" t="e">
        <f>BQ84-BQ85</f>
        <v>#DIV/0!</v>
      </c>
      <c r="BR86" s="1920"/>
      <c r="BS86" s="1920"/>
      <c r="BT86" s="1919">
        <f>BT84-BT85</f>
        <v>13635934.698000003</v>
      </c>
      <c r="BU86" s="1919">
        <f>BU84-BU85</f>
        <v>-9460471.5527954549</v>
      </c>
      <c r="BV86" s="1919">
        <f>BV84-BV85</f>
        <v>2804772.3372540702</v>
      </c>
      <c r="BW86" s="1920"/>
      <c r="BX86" s="1920"/>
    </row>
    <row r="87" spans="1:76" s="2" customFormat="1" ht="14.4" customHeight="1" thickBot="1" x14ac:dyDescent="0.3">
      <c r="A87" s="295"/>
      <c r="B87" s="1204" t="s">
        <v>51</v>
      </c>
      <c r="C87" s="1182">
        <f>C86/C5</f>
        <v>0.2720694552565277</v>
      </c>
      <c r="D87" s="1183" t="e">
        <f>D86/D5</f>
        <v>#DIV/0!</v>
      </c>
      <c r="E87" s="1045">
        <f>E86/E5</f>
        <v>0.11189484794799569</v>
      </c>
      <c r="F87" s="1105"/>
      <c r="G87" s="1182">
        <v>0.34546908243545427</v>
      </c>
      <c r="H87" s="1183" t="e">
        <v>#DIV/0!</v>
      </c>
      <c r="I87" s="1045">
        <v>5.3674491289538849E-2</v>
      </c>
      <c r="J87" s="1239"/>
      <c r="K87" s="1239"/>
      <c r="L87" s="1182" t="e">
        <f>L86/L5</f>
        <v>#DIV/0!</v>
      </c>
      <c r="M87" s="1183" t="e">
        <f>M86/M5</f>
        <v>#DIV/0!</v>
      </c>
      <c r="N87" s="1045" t="e">
        <f>N86/N5</f>
        <v>#DIV/0!</v>
      </c>
      <c r="O87" s="1058"/>
      <c r="P87" s="1058"/>
      <c r="Q87" s="1182">
        <f>Q86/Q5</f>
        <v>0.66720006736347315</v>
      </c>
      <c r="R87" s="1183" t="e">
        <f>R86/R5</f>
        <v>#DIV/0!</v>
      </c>
      <c r="S87" s="1045">
        <f>S86/S5</f>
        <v>0.32629195627333935</v>
      </c>
      <c r="T87" s="1058"/>
      <c r="U87" s="1058"/>
      <c r="V87" s="1182">
        <f>V86/V5</f>
        <v>0.98797278154953483</v>
      </c>
      <c r="W87" s="1183" t="e">
        <f>W86/W5</f>
        <v>#DIV/0!</v>
      </c>
      <c r="X87" s="1045">
        <f>X86/X5</f>
        <v>0.9165096249304151</v>
      </c>
      <c r="Y87" s="1058"/>
      <c r="Z87" s="1058"/>
      <c r="AA87" s="1182" t="e">
        <f>AA86/AA5</f>
        <v>#DIV/0!</v>
      </c>
      <c r="AB87" s="1183" t="e">
        <f>AB86/AB5</f>
        <v>#DIV/0!</v>
      </c>
      <c r="AC87" s="1045" t="e">
        <f>AC86/AC5</f>
        <v>#DIV/0!</v>
      </c>
      <c r="AD87" s="1058"/>
      <c r="AE87" s="1058"/>
      <c r="AF87" s="1539">
        <f>AF86/AF5</f>
        <v>0.9509230202084521</v>
      </c>
      <c r="AG87" s="1535" t="e">
        <f>AG86/AG5</f>
        <v>#DIV/0!</v>
      </c>
      <c r="AH87" s="1385">
        <f>AH86/AH5</f>
        <v>0.9509230202084521</v>
      </c>
      <c r="AI87" s="1472"/>
      <c r="AJ87" s="1380"/>
      <c r="AK87" s="1539" t="e">
        <f>AK86/AK5</f>
        <v>#DIV/0!</v>
      </c>
      <c r="AL87" s="1535" t="e">
        <f>AL86/AL5</f>
        <v>#DIV/0!</v>
      </c>
      <c r="AM87" s="1385" t="e">
        <f>AM86/AM5</f>
        <v>#DIV/0!</v>
      </c>
      <c r="AN87" s="1380"/>
      <c r="AO87" s="1380"/>
      <c r="AP87" s="1539" t="e">
        <f>AP86/AP5</f>
        <v>#DIV/0!</v>
      </c>
      <c r="AQ87" s="1535" t="e">
        <f>AQ86/AQ5</f>
        <v>#DIV/0!</v>
      </c>
      <c r="AR87" s="1385" t="e">
        <f>AR86/AR5</f>
        <v>#DIV/0!</v>
      </c>
      <c r="AS87" s="1380"/>
      <c r="AT87" s="1380"/>
      <c r="AU87" s="1977" t="e">
        <f>AU86/AU5</f>
        <v>#DIV/0!</v>
      </c>
      <c r="AV87" s="1535" t="e">
        <f>AV86/AV5</f>
        <v>#DIV/0!</v>
      </c>
      <c r="AW87" s="2095" t="e">
        <f>AW86/AW5</f>
        <v>#DIV/0!</v>
      </c>
      <c r="AX87" s="2096"/>
      <c r="AY87" s="2096"/>
      <c r="AZ87" s="1977" t="e">
        <f>AZ86/AZ5</f>
        <v>#DIV/0!</v>
      </c>
      <c r="BA87" s="1535" t="e">
        <f>BA86/BA5</f>
        <v>#DIV/0!</v>
      </c>
      <c r="BB87" s="2095" t="e">
        <f>BB86/BB5</f>
        <v>#DIV/0!</v>
      </c>
      <c r="BC87" s="2096"/>
      <c r="BD87" s="2096"/>
      <c r="BE87" s="2112" t="e">
        <f>BE86/BE5</f>
        <v>#DIV/0!</v>
      </c>
      <c r="BF87" s="2117" t="e">
        <f>BF86/BF5</f>
        <v>#DIV/0!</v>
      </c>
      <c r="BG87" s="2111" t="e">
        <f>BG86/BG5</f>
        <v>#DIV/0!</v>
      </c>
      <c r="BH87" s="2113"/>
      <c r="BI87" s="2113"/>
      <c r="BJ87" s="2112" t="e">
        <f>BJ86/BJ5</f>
        <v>#DIV/0!</v>
      </c>
      <c r="BK87" s="2117" t="e">
        <f>BK86/BK5</f>
        <v>#DIV/0!</v>
      </c>
      <c r="BL87" s="2111" t="e">
        <f>BL86/BL5</f>
        <v>#DIV/0!</v>
      </c>
      <c r="BM87" s="2113"/>
      <c r="BN87" s="2113"/>
      <c r="BO87" s="2112" t="e">
        <f>BO86/BO5</f>
        <v>#DIV/0!</v>
      </c>
      <c r="BP87" s="2117" t="e">
        <f>BP86/BP5</f>
        <v>#DIV/0!</v>
      </c>
      <c r="BQ87" s="2111" t="e">
        <f>BQ86/BQ5</f>
        <v>#DIV/0!</v>
      </c>
      <c r="BR87" s="2113"/>
      <c r="BS87" s="2113"/>
      <c r="BT87" s="2112">
        <f>BT86/BT5</f>
        <v>0.38244007427370708</v>
      </c>
      <c r="BU87" s="2117" t="e">
        <f>BU86/BU5</f>
        <v>#DIV/0!</v>
      </c>
      <c r="BV87" s="2111">
        <f>BV86/BV5</f>
        <v>7.8664012752834134E-2</v>
      </c>
      <c r="BW87" s="2113"/>
      <c r="BX87" s="2113"/>
    </row>
    <row r="88" spans="1:76" ht="13.8" x14ac:dyDescent="0.25">
      <c r="A88" s="30"/>
      <c r="B88" s="30"/>
      <c r="C88" s="152"/>
      <c r="D88" s="152"/>
      <c r="E88" s="152"/>
      <c r="F88" s="188"/>
      <c r="G88" s="76"/>
      <c r="H88" s="76"/>
      <c r="I88" s="76"/>
      <c r="J88" s="188"/>
      <c r="K88" s="188"/>
      <c r="L88" s="76"/>
      <c r="M88" s="76"/>
      <c r="N88" s="76"/>
      <c r="O88" s="76"/>
      <c r="P88" s="76"/>
      <c r="Q88" s="76"/>
      <c r="R88" s="76"/>
      <c r="S88" s="76"/>
      <c r="T88" s="76"/>
      <c r="U88" s="76"/>
      <c r="V88" s="76"/>
      <c r="W88" s="76"/>
      <c r="X88" s="76"/>
      <c r="Y88" s="76"/>
      <c r="Z88" s="76"/>
      <c r="AA88" s="76"/>
      <c r="AB88" s="76"/>
      <c r="AC88" s="76"/>
      <c r="AD88" s="76"/>
      <c r="AE88" s="76"/>
      <c r="AF88" s="1473"/>
      <c r="AG88" s="1473"/>
      <c r="AH88" s="1473"/>
      <c r="AI88" s="1473"/>
      <c r="AJ88" s="1473"/>
      <c r="AK88" s="1473"/>
      <c r="AL88" s="1473"/>
      <c r="AM88" s="1473"/>
      <c r="AN88" s="1473"/>
      <c r="AO88" s="1473"/>
      <c r="AP88" s="1473"/>
      <c r="AQ88" s="1473"/>
      <c r="AR88" s="1473"/>
      <c r="AS88" s="1473"/>
      <c r="AT88" s="1473"/>
      <c r="AU88" s="1970"/>
      <c r="AV88" s="1970"/>
      <c r="AW88" s="1970"/>
      <c r="AX88" s="1970"/>
      <c r="AY88" s="1970"/>
      <c r="AZ88" s="1970"/>
      <c r="BA88" s="1970"/>
      <c r="BB88" s="1970"/>
      <c r="BC88" s="1970"/>
      <c r="BD88" s="1970"/>
      <c r="BE88" s="1970"/>
      <c r="BF88" s="1970"/>
      <c r="BG88" s="1970"/>
      <c r="BH88" s="1970"/>
      <c r="BI88" s="1970"/>
      <c r="BJ88" s="1970"/>
      <c r="BK88" s="1970"/>
      <c r="BL88" s="1970"/>
      <c r="BM88" s="1970"/>
      <c r="BN88" s="1970"/>
      <c r="BO88" s="1970"/>
      <c r="BP88" s="1970"/>
      <c r="BQ88" s="1970"/>
      <c r="BR88" s="1970"/>
      <c r="BS88" s="1970"/>
      <c r="BT88" s="1970"/>
      <c r="BU88" s="1970"/>
      <c r="BV88" s="1970"/>
      <c r="BW88" s="1970"/>
      <c r="BX88" s="1970"/>
    </row>
    <row r="89" spans="1:76" x14ac:dyDescent="0.25">
      <c r="B89" s="221" t="s">
        <v>56</v>
      </c>
      <c r="C89" s="153"/>
      <c r="D89" s="153"/>
      <c r="E89" s="154">
        <f>E8+E36+E41+E50+E54+E73+E79+E82+E85</f>
        <v>24494735.747000001</v>
      </c>
      <c r="F89" s="189"/>
      <c r="I89" s="154">
        <v>27676993.446485169</v>
      </c>
      <c r="J89" s="189"/>
      <c r="K89" s="189"/>
      <c r="N89" s="154">
        <f>N8+N36+N41+N50+N54+N73+N79+N82+N85</f>
        <v>613741.08057471272</v>
      </c>
      <c r="S89" s="154">
        <f>S8+S36+S41+S50+S54+S73+S79+S82+S85</f>
        <v>3296838.7583218389</v>
      </c>
      <c r="X89" s="154">
        <f>X8+X36+X41+X50+X54+X73+X79+X82+X85</f>
        <v>121481.6691954023</v>
      </c>
      <c r="AC89" s="154">
        <f>AC8+AC36+AC41+AC50+AC54+AC73+AC79+AC82+AC85</f>
        <v>0</v>
      </c>
      <c r="AH89" s="1538">
        <f>AH8+AH36+AH41+AH50+AH54+AH73+AH79+AH82+AH85</f>
        <v>2928.8159999999998</v>
      </c>
      <c r="AM89" s="1538">
        <f>AM8+AM36+AM41+AM50+AM54+AM73+AM79+AM82+AM85</f>
        <v>82656.754168812738</v>
      </c>
      <c r="AR89" s="1538">
        <f>AR8+AR36+AR41+AR50+AR54+AR73+AR79+AR82+AR85</f>
        <v>0</v>
      </c>
      <c r="AW89" s="1976">
        <f>AW8+AW36+AW41+AW50+AW54+AW73+AW79+AW82+AW85</f>
        <v>1055675.648</v>
      </c>
      <c r="BB89" s="1976">
        <f>BB8+BB36+BB41+BB50+BB54+BB73+BB79+BB82+BB85</f>
        <v>0</v>
      </c>
      <c r="BG89" s="1976">
        <f>BG8+BG36+BG41+BG50+BG54+BG73+BG79+BG82+BG85</f>
        <v>0</v>
      </c>
      <c r="BL89" s="1976" t="e">
        <f>BL8+BL36+BL41+BL50+BL54+BL73+BL79+BL82+BL85</f>
        <v>#DIV/0!</v>
      </c>
      <c r="BQ89" s="1976" t="e">
        <f>BQ8+BQ36+BQ41+BQ50+BQ54+BQ73+BQ79+BQ82+BQ85</f>
        <v>#DIV/0!</v>
      </c>
      <c r="BV89" s="1976">
        <f>BV8+BV36+BV41+BV50+BV54+BV73+BV79+BV82+BV85</f>
        <v>32850316.172745936</v>
      </c>
    </row>
    <row r="90" spans="1:76" s="1353" customFormat="1" x14ac:dyDescent="0.25">
      <c r="A90" s="1349"/>
      <c r="B90" s="1349"/>
      <c r="C90" s="1354"/>
      <c r="D90" s="1354"/>
      <c r="E90" s="1354"/>
      <c r="F90" s="1350"/>
      <c r="G90" s="1350"/>
      <c r="H90" s="1350"/>
      <c r="I90" s="1350" t="b">
        <v>1</v>
      </c>
      <c r="J90" s="1350"/>
      <c r="K90" s="1350"/>
      <c r="L90" s="1350"/>
      <c r="M90" s="1350"/>
      <c r="N90" s="1350"/>
      <c r="O90" s="1350"/>
      <c r="P90" s="1350"/>
      <c r="Q90" s="1350"/>
      <c r="R90" s="1350"/>
      <c r="S90" s="1350"/>
      <c r="T90" s="1350"/>
      <c r="U90" s="1350"/>
      <c r="V90" s="1350"/>
      <c r="W90" s="1350"/>
      <c r="X90" s="1350"/>
      <c r="Y90" s="1350"/>
      <c r="Z90" s="1350"/>
      <c r="AA90" s="1350"/>
      <c r="AB90" s="1350"/>
      <c r="AC90" s="1350"/>
      <c r="AD90" s="1350"/>
      <c r="AE90" s="1350"/>
      <c r="AF90" s="1871"/>
      <c r="AG90" s="1871"/>
      <c r="AH90" s="1871"/>
      <c r="AI90" s="1871"/>
      <c r="AJ90" s="1871"/>
      <c r="AK90" s="1871"/>
      <c r="AL90" s="1871"/>
      <c r="AM90" s="1871"/>
      <c r="AN90" s="1871"/>
      <c r="AO90" s="1871"/>
      <c r="AP90" s="1871"/>
      <c r="AQ90" s="1871"/>
      <c r="AR90" s="1871"/>
      <c r="AS90" s="1871"/>
      <c r="AT90" s="1871"/>
      <c r="AU90" s="1989"/>
      <c r="AV90" s="1989"/>
      <c r="AW90" s="1989"/>
      <c r="AX90" s="1989"/>
      <c r="AY90" s="1989"/>
      <c r="AZ90" s="1989"/>
      <c r="BA90" s="1989"/>
      <c r="BB90" s="1989"/>
      <c r="BC90" s="1989"/>
      <c r="BD90" s="1989"/>
      <c r="BE90" s="1989"/>
      <c r="BF90" s="1989"/>
      <c r="BG90" s="1989"/>
      <c r="BH90" s="1989"/>
      <c r="BI90" s="1989"/>
      <c r="BJ90" s="1989"/>
      <c r="BK90" s="1989"/>
      <c r="BL90" s="1989"/>
      <c r="BM90" s="1989"/>
      <c r="BN90" s="1989"/>
      <c r="BO90" s="1989"/>
      <c r="BP90" s="1989"/>
      <c r="BQ90" s="1989"/>
      <c r="BR90" s="1989"/>
      <c r="BS90" s="1989"/>
      <c r="BT90" s="1989"/>
      <c r="BU90" s="1989"/>
      <c r="BV90" s="1621" t="b">
        <f>(I89+N89+S89+X89+AC89+AH89+AR89+AM89+AW89+BB89+BG89)=BV89</f>
        <v>1</v>
      </c>
      <c r="BW90" s="1989"/>
      <c r="BX90" s="1989"/>
    </row>
    <row r="91" spans="1:76" s="1352" customFormat="1" x14ac:dyDescent="0.25">
      <c r="A91" s="1349"/>
      <c r="B91" s="1349"/>
      <c r="C91" s="1354"/>
      <c r="D91" s="1354"/>
      <c r="E91" s="1354"/>
      <c r="F91" s="1350"/>
      <c r="G91" s="1350"/>
      <c r="H91" s="1350"/>
      <c r="I91" s="1350"/>
      <c r="J91" s="1350"/>
      <c r="K91" s="1350"/>
      <c r="L91" s="1350"/>
      <c r="M91" s="1350"/>
      <c r="N91" s="1350"/>
      <c r="O91" s="1350"/>
      <c r="P91" s="1350"/>
      <c r="Q91" s="1350"/>
      <c r="R91" s="1350"/>
      <c r="S91" s="1350"/>
      <c r="T91" s="1350"/>
      <c r="U91" s="1350"/>
      <c r="V91" s="1350"/>
      <c r="W91" s="1350"/>
      <c r="X91" s="1350"/>
      <c r="Y91" s="1350"/>
      <c r="Z91" s="1350"/>
      <c r="AA91" s="1350"/>
      <c r="AB91" s="1350"/>
      <c r="AC91" s="1350"/>
      <c r="AD91" s="1350"/>
      <c r="AE91" s="1350"/>
      <c r="AF91" s="1871"/>
      <c r="AG91" s="1871"/>
      <c r="AH91" s="1871"/>
      <c r="AI91" s="1871"/>
      <c r="AJ91" s="1871"/>
      <c r="AK91" s="1871"/>
      <c r="AL91" s="1871"/>
      <c r="AM91" s="1871"/>
      <c r="AN91" s="1871"/>
      <c r="AO91" s="1871"/>
      <c r="AP91" s="1871"/>
      <c r="AQ91" s="1871"/>
      <c r="AR91" s="1871"/>
      <c r="AS91" s="1871"/>
      <c r="AT91" s="1871"/>
      <c r="AU91" s="1989"/>
      <c r="AV91" s="1989"/>
      <c r="AW91" s="1989"/>
      <c r="AX91" s="1989"/>
      <c r="AY91" s="1989"/>
      <c r="AZ91" s="1989"/>
      <c r="BA91" s="1989"/>
      <c r="BB91" s="1989"/>
      <c r="BC91" s="1989"/>
      <c r="BD91" s="1989"/>
      <c r="BE91" s="1989"/>
      <c r="BF91" s="1989"/>
      <c r="BG91" s="1989"/>
      <c r="BH91" s="1989"/>
      <c r="BI91" s="1989"/>
      <c r="BJ91" s="1989"/>
      <c r="BK91" s="1989"/>
      <c r="BL91" s="1989"/>
      <c r="BM91" s="1989"/>
      <c r="BN91" s="1989"/>
      <c r="BO91" s="1989"/>
      <c r="BP91" s="1989"/>
      <c r="BQ91" s="1989"/>
      <c r="BR91" s="1989"/>
      <c r="BS91" s="1989"/>
      <c r="BT91" s="1989"/>
      <c r="BU91" s="1989"/>
      <c r="BV91" s="1989"/>
      <c r="BW91" s="1989"/>
      <c r="BX91" s="1989"/>
    </row>
    <row r="92" spans="1:76" s="1353" customFormat="1" x14ac:dyDescent="0.25">
      <c r="A92" s="1349"/>
      <c r="B92" s="1349"/>
      <c r="C92" s="1350"/>
      <c r="D92" s="1350"/>
      <c r="E92" s="1350"/>
      <c r="F92" s="1350"/>
      <c r="G92" s="1350"/>
      <c r="H92" s="1350"/>
      <c r="I92" s="1350"/>
      <c r="J92" s="1350"/>
      <c r="K92" s="1350"/>
      <c r="L92" s="1350"/>
      <c r="M92" s="1350"/>
      <c r="N92" s="1350"/>
      <c r="O92" s="1350"/>
      <c r="P92" s="1350"/>
      <c r="Q92" s="1350"/>
      <c r="R92" s="1350"/>
      <c r="S92" s="1350"/>
      <c r="T92" s="1350"/>
      <c r="U92" s="1350"/>
      <c r="V92" s="1350"/>
      <c r="W92" s="1350"/>
      <c r="X92" s="1350"/>
      <c r="Y92" s="1350"/>
      <c r="Z92" s="1350"/>
      <c r="AA92" s="1350"/>
      <c r="AB92" s="1350"/>
      <c r="AC92" s="1350">
        <f>AC5-AC89</f>
        <v>0</v>
      </c>
      <c r="AD92" s="1350"/>
      <c r="AE92" s="1350"/>
      <c r="AF92" s="1871"/>
      <c r="AG92" s="1871"/>
      <c r="AH92" s="1871">
        <f>AH5-AH89</f>
        <v>56749.184000000001</v>
      </c>
      <c r="AI92" s="1871"/>
      <c r="AJ92" s="1871"/>
      <c r="AK92" s="1871"/>
      <c r="AL92" s="1871"/>
      <c r="AM92" s="1871">
        <f>AM5-AM89</f>
        <v>-82656.754168812738</v>
      </c>
      <c r="AN92" s="1871"/>
      <c r="AO92" s="1871"/>
      <c r="AP92" s="1871"/>
      <c r="AQ92" s="1871"/>
      <c r="AR92" s="1871">
        <f>AR5-AR89</f>
        <v>0</v>
      </c>
      <c r="AS92" s="1871"/>
      <c r="AT92" s="1871"/>
      <c r="AU92" s="1989"/>
      <c r="AV92" s="1989"/>
      <c r="AW92" s="1989">
        <f>AW5-AW89</f>
        <v>-1055675.648</v>
      </c>
      <c r="AX92" s="1989"/>
      <c r="AY92" s="1989"/>
      <c r="AZ92" s="1989"/>
      <c r="BA92" s="1989"/>
      <c r="BB92" s="1989">
        <f>BB5-BB89</f>
        <v>0</v>
      </c>
      <c r="BC92" s="1989"/>
      <c r="BD92" s="1989"/>
      <c r="BE92" s="1989"/>
      <c r="BF92" s="1989"/>
      <c r="BG92" s="1989">
        <f>BG5-BG89</f>
        <v>0</v>
      </c>
      <c r="BH92" s="1989"/>
      <c r="BI92" s="1989"/>
      <c r="BJ92" s="1989"/>
      <c r="BK92" s="1989"/>
      <c r="BL92" s="1989" t="e">
        <f>BL5-BL89</f>
        <v>#DIV/0!</v>
      </c>
      <c r="BM92" s="1989"/>
      <c r="BN92" s="1989"/>
      <c r="BO92" s="1989"/>
      <c r="BP92" s="1989"/>
      <c r="BQ92" s="1989"/>
      <c r="BR92" s="1989"/>
      <c r="BS92" s="1989"/>
      <c r="BT92" s="1989"/>
      <c r="BU92" s="1989"/>
      <c r="BV92" s="1989">
        <f>BV5-BV89</f>
        <v>2804772.3372540697</v>
      </c>
      <c r="BW92" s="1989"/>
      <c r="BX92" s="1989"/>
    </row>
    <row r="93" spans="1:76" s="2" customFormat="1" x14ac:dyDescent="0.25">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1446"/>
      <c r="AG93" s="1446"/>
      <c r="AH93" s="1446"/>
      <c r="AI93" s="1446"/>
      <c r="AJ93" s="1446"/>
      <c r="AK93" s="1446"/>
      <c r="AL93" s="1446"/>
      <c r="AM93" s="1446"/>
      <c r="AN93" s="1446"/>
      <c r="AO93" s="1446"/>
      <c r="AP93" s="1446"/>
      <c r="AQ93" s="1446"/>
      <c r="AR93" s="1446"/>
      <c r="AS93" s="1446"/>
      <c r="AT93" s="1446"/>
      <c r="AU93" s="1968"/>
      <c r="AV93" s="1968"/>
      <c r="AW93" s="1968"/>
      <c r="AX93" s="1968"/>
      <c r="AY93" s="1968"/>
      <c r="AZ93" s="1968"/>
      <c r="BA93" s="1968"/>
      <c r="BB93" s="1968"/>
      <c r="BC93" s="1968"/>
      <c r="BD93" s="1968"/>
      <c r="BE93" s="1968"/>
      <c r="BF93" s="1968"/>
      <c r="BG93" s="1968"/>
      <c r="BH93" s="1968"/>
      <c r="BI93" s="1968"/>
      <c r="BJ93" s="1968"/>
      <c r="BK93" s="1968"/>
      <c r="BL93" s="1968"/>
      <c r="BM93" s="1968"/>
      <c r="BN93" s="1968"/>
      <c r="BO93" s="1968"/>
      <c r="BP93" s="1968"/>
      <c r="BQ93" s="1968"/>
      <c r="BR93" s="1968"/>
      <c r="BS93" s="1968"/>
      <c r="BT93" s="1968"/>
      <c r="BU93" s="1968"/>
      <c r="BV93" s="1968"/>
      <c r="BW93" s="1968"/>
      <c r="BX93" s="1968"/>
    </row>
    <row r="94" spans="1:76" s="2" customFormat="1" x14ac:dyDescent="0.25">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1446"/>
      <c r="AG94" s="1446"/>
      <c r="AH94" s="1446"/>
      <c r="AI94" s="1446"/>
      <c r="AJ94" s="1446"/>
      <c r="AK94" s="1446"/>
      <c r="AL94" s="1446"/>
      <c r="AM94" s="1446"/>
      <c r="AN94" s="1446"/>
      <c r="AO94" s="1446"/>
      <c r="AP94" s="1446"/>
      <c r="AQ94" s="1446"/>
      <c r="AR94" s="1446"/>
      <c r="AS94" s="1446"/>
      <c r="AT94" s="1446"/>
      <c r="AU94" s="1968"/>
      <c r="AV94" s="1968"/>
      <c r="AW94" s="1968"/>
      <c r="AX94" s="1968"/>
      <c r="AY94" s="1968"/>
      <c r="AZ94" s="1968"/>
      <c r="BA94" s="1968"/>
      <c r="BB94" s="1968"/>
      <c r="BC94" s="1968"/>
      <c r="BD94" s="1968"/>
      <c r="BE94" s="1968"/>
      <c r="BF94" s="1968"/>
      <c r="BG94" s="1968"/>
      <c r="BH94" s="1968"/>
      <c r="BI94" s="1968"/>
      <c r="BJ94" s="1968"/>
      <c r="BK94" s="1968"/>
      <c r="BL94" s="1968"/>
      <c r="BM94" s="1968"/>
      <c r="BN94" s="1968"/>
      <c r="BO94" s="1968"/>
      <c r="BP94" s="1968"/>
      <c r="BQ94" s="1968"/>
      <c r="BR94" s="1968"/>
      <c r="BS94" s="1968"/>
      <c r="BT94" s="1669"/>
      <c r="BU94" s="1968"/>
      <c r="BV94" s="1968"/>
      <c r="BW94" s="1968"/>
      <c r="BX94" s="1968"/>
    </row>
    <row r="95" spans="1:76" s="2" customFormat="1" x14ac:dyDescent="0.25">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1446"/>
      <c r="AG95" s="1446"/>
      <c r="AH95" s="1446"/>
      <c r="AI95" s="1446"/>
      <c r="AJ95" s="1446"/>
      <c r="AK95" s="1446"/>
      <c r="AL95" s="1446"/>
      <c r="AM95" s="1446"/>
      <c r="AN95" s="1446"/>
      <c r="AO95" s="1446"/>
      <c r="AP95" s="1446"/>
      <c r="AQ95" s="1446"/>
      <c r="AR95" s="1446"/>
      <c r="AS95" s="1446"/>
      <c r="AT95" s="1446"/>
      <c r="AU95" s="1968"/>
      <c r="AV95" s="1968"/>
      <c r="AW95" s="1968"/>
      <c r="AX95" s="1968"/>
      <c r="AY95" s="1968"/>
      <c r="AZ95" s="1968"/>
      <c r="BA95" s="1968"/>
      <c r="BB95" s="1968"/>
      <c r="BC95" s="1968"/>
      <c r="BD95" s="1968"/>
      <c r="BE95" s="1968"/>
      <c r="BF95" s="1968"/>
      <c r="BG95" s="1968"/>
      <c r="BH95" s="1968"/>
      <c r="BI95" s="1968"/>
      <c r="BJ95" s="1968"/>
      <c r="BK95" s="1968"/>
      <c r="BL95" s="1968"/>
      <c r="BM95" s="1968"/>
      <c r="BN95" s="1968"/>
      <c r="BO95" s="1968"/>
      <c r="BP95" s="1968"/>
      <c r="BQ95" s="1968"/>
      <c r="BR95" s="1968"/>
      <c r="BS95" s="1968"/>
      <c r="BT95" s="1968"/>
      <c r="BU95" s="1968"/>
      <c r="BV95" s="1607"/>
      <c r="BW95" s="1968"/>
      <c r="BX95" s="1968"/>
    </row>
    <row r="96" spans="1:76" s="2" customFormat="1" x14ac:dyDescent="0.25">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1446"/>
      <c r="AG96" s="1446"/>
      <c r="AH96" s="1446"/>
      <c r="AI96" s="1446"/>
      <c r="AJ96" s="1446"/>
      <c r="AK96" s="1446"/>
      <c r="AL96" s="1446"/>
      <c r="AM96" s="1446"/>
      <c r="AN96" s="1446"/>
      <c r="AO96" s="1446"/>
      <c r="AP96" s="1446"/>
      <c r="AQ96" s="1446"/>
      <c r="AR96" s="1446"/>
      <c r="AS96" s="1446"/>
      <c r="AT96" s="1446"/>
      <c r="AU96" s="1968"/>
      <c r="AV96" s="1968"/>
      <c r="AW96" s="1968"/>
      <c r="AX96" s="1968"/>
      <c r="AY96" s="1968"/>
      <c r="AZ96" s="1968"/>
      <c r="BA96" s="1968"/>
      <c r="BB96" s="1968"/>
      <c r="BC96" s="1968"/>
      <c r="BD96" s="1968"/>
      <c r="BE96" s="1968"/>
      <c r="BF96" s="1968"/>
      <c r="BG96" s="1968"/>
      <c r="BH96" s="1968"/>
      <c r="BI96" s="1968"/>
      <c r="BJ96" s="1968"/>
      <c r="BK96" s="1968"/>
      <c r="BL96" s="1968"/>
      <c r="BM96" s="1968"/>
      <c r="BN96" s="1968"/>
      <c r="BO96" s="1968"/>
      <c r="BP96" s="1968"/>
      <c r="BQ96" s="1968"/>
      <c r="BR96" s="1968"/>
      <c r="BS96" s="1968"/>
      <c r="BT96" s="1968"/>
      <c r="BU96" s="1968"/>
      <c r="BV96" s="1968"/>
      <c r="BW96" s="1968"/>
      <c r="BX96" s="1968"/>
    </row>
    <row r="97" spans="1:76" x14ac:dyDescent="0.25">
      <c r="C97" s="38"/>
      <c r="D97" s="38"/>
    </row>
    <row r="98" spans="1:76"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1446"/>
      <c r="AG98" s="1446"/>
      <c r="AH98" s="1446"/>
      <c r="AI98" s="1446"/>
      <c r="AJ98" s="1446"/>
      <c r="AK98" s="1446"/>
      <c r="AL98" s="1446"/>
      <c r="AM98" s="1446"/>
      <c r="AN98" s="1446"/>
      <c r="AO98" s="1446"/>
      <c r="AP98" s="1446"/>
      <c r="AQ98" s="1446"/>
      <c r="AR98" s="1446"/>
      <c r="AS98" s="1446"/>
      <c r="AT98" s="1446"/>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row>
    <row r="99" spans="1:76" x14ac:dyDescent="0.25">
      <c r="C99" s="38"/>
      <c r="D99" s="38"/>
    </row>
  </sheetData>
  <mergeCells count="17">
    <mergeCell ref="A42:A48"/>
    <mergeCell ref="AA2:AD3"/>
    <mergeCell ref="AF2:AJ3"/>
    <mergeCell ref="G2:K3"/>
    <mergeCell ref="L2:P3"/>
    <mergeCell ref="BT2:BX3"/>
    <mergeCell ref="A2:F2"/>
    <mergeCell ref="A3:F3"/>
    <mergeCell ref="AK2:AO3"/>
    <mergeCell ref="AP2:AT3"/>
    <mergeCell ref="AU2:AY3"/>
    <mergeCell ref="AZ2:BD3"/>
    <mergeCell ref="BE2:BI3"/>
    <mergeCell ref="BJ2:BN3"/>
    <mergeCell ref="BO2:BS3"/>
    <mergeCell ref="Q2:U3"/>
    <mergeCell ref="V2:Z3"/>
  </mergeCells>
  <pageMargins left="0.7" right="0.7" top="0.75" bottom="0.75" header="0.3" footer="0.3"/>
  <pageSetup paperSize="9" orientation="portrait" verticalDpi="3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92D050"/>
  </sheetPr>
  <dimension ref="A1:BU103"/>
  <sheetViews>
    <sheetView zoomScale="70" zoomScaleNormal="70" workbookViewId="0">
      <pane xSplit="2" ySplit="5" topLeftCell="BJ6" activePane="bottomRight" state="frozen"/>
      <selection activeCell="AS17" sqref="AS17"/>
      <selection pane="topRight" activeCell="AS17" sqref="AS17"/>
      <selection pane="bottomLeft" activeCell="AS17" sqref="AS17"/>
      <selection pane="bottomRight" activeCell="A26" sqref="A26:XFD26"/>
    </sheetView>
  </sheetViews>
  <sheetFormatPr defaultColWidth="7.44140625" defaultRowHeight="13.2" outlineLevelCol="1" x14ac:dyDescent="0.25"/>
  <cols>
    <col min="1" max="1" width="5.5546875" style="8" customWidth="1"/>
    <col min="2" max="2" width="50"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13.6640625" style="38" hidden="1" customWidth="1" outlineLevel="1"/>
    <col min="11" max="11" width="34.44140625" style="38" hidden="1" customWidth="1" outlineLevel="1"/>
    <col min="12" max="14" width="16.33203125" style="38" hidden="1" customWidth="1" outlineLevel="1"/>
    <col min="15" max="15" width="9" style="38" hidden="1" customWidth="1" outlineLevel="1"/>
    <col min="16" max="16" width="47.109375" style="38" hidden="1" customWidth="1" outlineLevel="1"/>
    <col min="17" max="17" width="15.6640625" style="38" hidden="1" customWidth="1" outlineLevel="1"/>
    <col min="18" max="18" width="18.44140625" style="38" hidden="1" customWidth="1" outlineLevel="1"/>
    <col min="19" max="19" width="18.6640625" style="38" hidden="1" customWidth="1" outlineLevel="1"/>
    <col min="20" max="20" width="17.6640625" style="38" hidden="1" customWidth="1" outlineLevel="1"/>
    <col min="21" max="21" width="43.6640625" style="38" hidden="1" customWidth="1" outlineLevel="1"/>
    <col min="22" max="22" width="16.6640625" style="38" hidden="1" customWidth="1" outlineLevel="1"/>
    <col min="23" max="23" width="21.6640625" style="38" hidden="1" customWidth="1" outlineLevel="1"/>
    <col min="24" max="24" width="19.33203125" style="38" hidden="1" customWidth="1" outlineLevel="1"/>
    <col min="25" max="25" width="21.5546875" style="38" hidden="1" customWidth="1" outlineLevel="1"/>
    <col min="26" max="26" width="29.6640625" style="38" hidden="1" customWidth="1" outlineLevel="1"/>
    <col min="27" max="27" width="16.6640625" style="38" hidden="1" customWidth="1" outlineLevel="1"/>
    <col min="28" max="28" width="21.6640625" style="38" hidden="1" customWidth="1" outlineLevel="1"/>
    <col min="29" max="29" width="19.33203125" style="38" hidden="1" customWidth="1" outlineLevel="1"/>
    <col min="30" max="30" width="21.5546875" style="38" hidden="1" customWidth="1" outlineLevel="1"/>
    <col min="31" max="31" width="31.88671875" style="38" hidden="1" customWidth="1" outlineLevel="1"/>
    <col min="32" max="33" width="16.44140625" style="38" hidden="1" customWidth="1" outlineLevel="1"/>
    <col min="34" max="34" width="16.109375" style="38" hidden="1" customWidth="1" outlineLevel="1"/>
    <col min="35" max="35" width="13.109375" style="38" hidden="1" customWidth="1" outlineLevel="1"/>
    <col min="36" max="36" width="31.88671875" style="38" hidden="1" customWidth="1" outlineLevel="1"/>
    <col min="37" max="37" width="17" style="38" hidden="1" customWidth="1" outlineLevel="1"/>
    <col min="38" max="38" width="18.44140625" style="38" hidden="1" customWidth="1" outlineLevel="1"/>
    <col min="39" max="39" width="16.33203125" style="38" hidden="1" customWidth="1" outlineLevel="1"/>
    <col min="40" max="40" width="13.33203125" style="38" hidden="1" customWidth="1" outlineLevel="1"/>
    <col min="41" max="41" width="36.6640625" style="38" hidden="1" customWidth="1" outlineLevel="1"/>
    <col min="42" max="42" width="18.5546875" style="38" hidden="1" customWidth="1" outlineLevel="1"/>
    <col min="43" max="43" width="16.6640625" style="38" hidden="1" customWidth="1" outlineLevel="1"/>
    <col min="44" max="44" width="27" style="38" hidden="1" customWidth="1" outlineLevel="1"/>
    <col min="45" max="45" width="11.5546875" style="38" hidden="1" customWidth="1" outlineLevel="1"/>
    <col min="46" max="46" width="36.6640625" style="38" hidden="1" customWidth="1" outlineLevel="1"/>
    <col min="47" max="48" width="16.33203125" style="38" hidden="1" customWidth="1" outlineLevel="1"/>
    <col min="49" max="49" width="16.109375" style="38" hidden="1" customWidth="1" outlineLevel="1"/>
    <col min="50" max="50" width="14.6640625" style="38" hidden="1" customWidth="1" outlineLevel="1"/>
    <col min="51" max="54" width="26.109375" style="38" hidden="1" customWidth="1" outlineLevel="1"/>
    <col min="55" max="55" width="13.109375" style="38" hidden="1" customWidth="1" outlineLevel="1"/>
    <col min="56" max="61" width="26.109375" style="38" hidden="1" customWidth="1" outlineLevel="1"/>
    <col min="62" max="62" width="17.5546875" style="38" customWidth="1" collapsed="1"/>
    <col min="63" max="66" width="17.5546875" style="38" customWidth="1"/>
    <col min="67" max="67" width="16.33203125" style="38" customWidth="1"/>
    <col min="68" max="68" width="22.33203125" style="38" customWidth="1"/>
    <col min="69" max="69" width="16.33203125" style="38" customWidth="1"/>
    <col min="70" max="70" width="28.6640625" style="38" customWidth="1"/>
    <col min="71" max="71" width="16.33203125" style="38" customWidth="1"/>
    <col min="72" max="72" width="16.6640625" style="77" hidden="1" customWidth="1"/>
    <col min="73" max="73" width="15.6640625" style="77" hidden="1" customWidth="1"/>
    <col min="74" max="16384" width="7.44140625" style="1"/>
  </cols>
  <sheetData>
    <row r="1" spans="1:73" ht="13.8" thickBot="1" x14ac:dyDescent="0.3">
      <c r="C1" s="38"/>
      <c r="D1" s="38"/>
    </row>
    <row r="2" spans="1:73" ht="14.4" customHeight="1" x14ac:dyDescent="0.25">
      <c r="A2" s="4016" t="s">
        <v>365</v>
      </c>
      <c r="B2" s="4017"/>
      <c r="C2" s="4017"/>
      <c r="D2" s="4017"/>
      <c r="E2" s="4017"/>
      <c r="F2" s="4018"/>
      <c r="G2" s="4019" t="s">
        <v>464</v>
      </c>
      <c r="H2" s="4020"/>
      <c r="I2" s="4020"/>
      <c r="J2" s="4020"/>
      <c r="K2" s="382"/>
      <c r="L2" s="4019" t="s">
        <v>465</v>
      </c>
      <c r="M2" s="4020"/>
      <c r="N2" s="4020"/>
      <c r="O2" s="4020"/>
      <c r="P2" s="376"/>
      <c r="Q2" s="4019" t="s">
        <v>545</v>
      </c>
      <c r="R2" s="4020"/>
      <c r="S2" s="4020"/>
      <c r="T2" s="4020"/>
      <c r="U2" s="399"/>
      <c r="V2" s="4019" t="s">
        <v>624</v>
      </c>
      <c r="W2" s="4020"/>
      <c r="X2" s="4020"/>
      <c r="Y2" s="4020"/>
      <c r="Z2" s="468"/>
      <c r="AA2" s="4140" t="s">
        <v>714</v>
      </c>
      <c r="AB2" s="4141"/>
      <c r="AC2" s="4141"/>
      <c r="AD2" s="4141"/>
      <c r="AE2" s="533"/>
      <c r="AF2" s="4140" t="s">
        <v>770</v>
      </c>
      <c r="AG2" s="4141"/>
      <c r="AH2" s="4141"/>
      <c r="AI2" s="4141"/>
      <c r="AJ2" s="627"/>
      <c r="AK2" s="4047" t="s">
        <v>820</v>
      </c>
      <c r="AL2" s="4048"/>
      <c r="AM2" s="4048"/>
      <c r="AN2" s="4048"/>
      <c r="AO2" s="689"/>
      <c r="AP2" s="4185" t="s">
        <v>836</v>
      </c>
      <c r="AQ2" s="4186"/>
      <c r="AR2" s="4186"/>
      <c r="AS2" s="4186"/>
      <c r="AT2" s="757"/>
      <c r="AU2" s="4172" t="s">
        <v>883</v>
      </c>
      <c r="AV2" s="4173"/>
      <c r="AW2" s="4173"/>
      <c r="AX2" s="4173"/>
      <c r="AY2" s="4174"/>
      <c r="AZ2" s="4071" t="s">
        <v>909</v>
      </c>
      <c r="BA2" s="4072"/>
      <c r="BB2" s="4072"/>
      <c r="BC2" s="4072"/>
      <c r="BD2" s="4073"/>
      <c r="BE2" s="4077" t="s">
        <v>936</v>
      </c>
      <c r="BF2" s="4078"/>
      <c r="BG2" s="4078"/>
      <c r="BH2" s="4078"/>
      <c r="BI2" s="4079"/>
      <c r="BJ2" s="4047" t="s">
        <v>942</v>
      </c>
      <c r="BK2" s="4048"/>
      <c r="BL2" s="4048"/>
      <c r="BM2" s="4048"/>
      <c r="BN2" s="4049"/>
      <c r="BO2" s="4212" t="s">
        <v>469</v>
      </c>
      <c r="BP2" s="4213"/>
      <c r="BQ2" s="4213"/>
      <c r="BR2" s="4213"/>
      <c r="BS2" s="384"/>
    </row>
    <row r="3" spans="1:73" ht="15" customHeight="1" thickBot="1" x14ac:dyDescent="0.3">
      <c r="A3" s="4035" t="s">
        <v>54</v>
      </c>
      <c r="B3" s="4036"/>
      <c r="C3" s="4036"/>
      <c r="D3" s="4036"/>
      <c r="E3" s="4036"/>
      <c r="F3" s="4037"/>
      <c r="G3" s="4021"/>
      <c r="H3" s="4022"/>
      <c r="I3" s="4022"/>
      <c r="J3" s="4022"/>
      <c r="K3" s="383"/>
      <c r="L3" s="4021"/>
      <c r="M3" s="4022"/>
      <c r="N3" s="4022"/>
      <c r="O3" s="4022"/>
      <c r="P3" s="377"/>
      <c r="Q3" s="4021"/>
      <c r="R3" s="4022"/>
      <c r="S3" s="4022"/>
      <c r="T3" s="4022"/>
      <c r="U3" s="400"/>
      <c r="V3" s="4021"/>
      <c r="W3" s="4022"/>
      <c r="X3" s="4022"/>
      <c r="Y3" s="4022"/>
      <c r="Z3" s="469"/>
      <c r="AA3" s="4143"/>
      <c r="AB3" s="4144"/>
      <c r="AC3" s="4144"/>
      <c r="AD3" s="4144"/>
      <c r="AE3" s="534"/>
      <c r="AF3" s="4143"/>
      <c r="AG3" s="4144"/>
      <c r="AH3" s="4144"/>
      <c r="AI3" s="4144"/>
      <c r="AJ3" s="628"/>
      <c r="AK3" s="4050"/>
      <c r="AL3" s="4051"/>
      <c r="AM3" s="4051"/>
      <c r="AN3" s="4051"/>
      <c r="AO3" s="690"/>
      <c r="AP3" s="4188"/>
      <c r="AQ3" s="4189"/>
      <c r="AR3" s="4189"/>
      <c r="AS3" s="4189"/>
      <c r="AT3" s="758"/>
      <c r="AU3" s="4175"/>
      <c r="AV3" s="4176"/>
      <c r="AW3" s="4176"/>
      <c r="AX3" s="4176"/>
      <c r="AY3" s="4177"/>
      <c r="AZ3" s="4074"/>
      <c r="BA3" s="4075"/>
      <c r="BB3" s="4075"/>
      <c r="BC3" s="4075"/>
      <c r="BD3" s="4076"/>
      <c r="BE3" s="4080"/>
      <c r="BF3" s="4081"/>
      <c r="BG3" s="4081"/>
      <c r="BH3" s="4081"/>
      <c r="BI3" s="4082"/>
      <c r="BJ3" s="4050"/>
      <c r="BK3" s="4051"/>
      <c r="BL3" s="4051"/>
      <c r="BM3" s="4051"/>
      <c r="BN3" s="4052"/>
      <c r="BO3" s="4214"/>
      <c r="BP3" s="4215"/>
      <c r="BQ3" s="4215"/>
      <c r="BR3" s="4215"/>
      <c r="BS3" s="385"/>
    </row>
    <row r="4" spans="1:73" ht="41.4" thickBot="1" x14ac:dyDescent="0.3">
      <c r="A4" s="92"/>
      <c r="B4" s="93" t="s">
        <v>11</v>
      </c>
      <c r="C4" s="239" t="s">
        <v>55</v>
      </c>
      <c r="D4" s="239" t="s">
        <v>18</v>
      </c>
      <c r="E4" s="240" t="s">
        <v>39</v>
      </c>
      <c r="F4" s="209" t="s">
        <v>40</v>
      </c>
      <c r="G4" s="94" t="s">
        <v>55</v>
      </c>
      <c r="H4" s="94" t="s">
        <v>18</v>
      </c>
      <c r="I4" s="95" t="s">
        <v>39</v>
      </c>
      <c r="J4" s="209" t="s">
        <v>40</v>
      </c>
      <c r="K4" s="241" t="s">
        <v>86</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653" t="s">
        <v>39</v>
      </c>
      <c r="AN4" s="694" t="s">
        <v>40</v>
      </c>
      <c r="AO4" s="95" t="s">
        <v>19</v>
      </c>
      <c r="AP4" s="94" t="s">
        <v>55</v>
      </c>
      <c r="AQ4" s="94" t="s">
        <v>18</v>
      </c>
      <c r="AR4" s="653" t="s">
        <v>39</v>
      </c>
      <c r="AS4" s="694" t="s">
        <v>40</v>
      </c>
      <c r="AT4" s="95" t="s">
        <v>19</v>
      </c>
      <c r="AU4" s="94" t="s">
        <v>55</v>
      </c>
      <c r="AV4" s="94" t="s">
        <v>18</v>
      </c>
      <c r="AW4" s="653" t="s">
        <v>39</v>
      </c>
      <c r="AX4" s="694" t="s">
        <v>40</v>
      </c>
      <c r="AY4" s="95" t="s">
        <v>19</v>
      </c>
      <c r="AZ4" s="94" t="s">
        <v>55</v>
      </c>
      <c r="BA4" s="94" t="s">
        <v>18</v>
      </c>
      <c r="BB4" s="653" t="s">
        <v>39</v>
      </c>
      <c r="BC4" s="694" t="s">
        <v>40</v>
      </c>
      <c r="BD4" s="95" t="s">
        <v>19</v>
      </c>
      <c r="BE4" s="94" t="s">
        <v>55</v>
      </c>
      <c r="BF4" s="94" t="s">
        <v>18</v>
      </c>
      <c r="BG4" s="653" t="s">
        <v>39</v>
      </c>
      <c r="BH4" s="694" t="s">
        <v>40</v>
      </c>
      <c r="BI4" s="95" t="s">
        <v>19</v>
      </c>
      <c r="BJ4" s="94" t="s">
        <v>55</v>
      </c>
      <c r="BK4" s="94" t="s">
        <v>18</v>
      </c>
      <c r="BL4" s="653" t="s">
        <v>39</v>
      </c>
      <c r="BM4" s="694" t="s">
        <v>40</v>
      </c>
      <c r="BN4" s="95" t="s">
        <v>19</v>
      </c>
      <c r="BO4" s="94" t="s">
        <v>55</v>
      </c>
      <c r="BP4" s="94" t="s">
        <v>18</v>
      </c>
      <c r="BQ4" s="95" t="s">
        <v>39</v>
      </c>
      <c r="BR4" s="209" t="s">
        <v>40</v>
      </c>
      <c r="BS4" s="95" t="s">
        <v>19</v>
      </c>
    </row>
    <row r="5" spans="1:73" s="88" customFormat="1" ht="14.4" thickBot="1" x14ac:dyDescent="0.3">
      <c r="A5" s="83"/>
      <c r="B5" s="84" t="s">
        <v>10</v>
      </c>
      <c r="C5" s="85">
        <f>C6</f>
        <v>19252427</v>
      </c>
      <c r="D5" s="85">
        <f>D6</f>
        <v>0</v>
      </c>
      <c r="E5" s="86">
        <f>E6</f>
        <v>19252427</v>
      </c>
      <c r="F5" s="87"/>
      <c r="G5" s="85">
        <f>G6</f>
        <v>0</v>
      </c>
      <c r="H5" s="85">
        <f>H6</f>
        <v>0</v>
      </c>
      <c r="I5" s="86">
        <f>I6</f>
        <v>0</v>
      </c>
      <c r="J5" s="87"/>
      <c r="K5" s="263"/>
      <c r="L5" s="87">
        <f>L6</f>
        <v>0</v>
      </c>
      <c r="M5" s="87">
        <f>M6</f>
        <v>0</v>
      </c>
      <c r="N5" s="87">
        <f>N6</f>
        <v>0</v>
      </c>
      <c r="O5" s="87"/>
      <c r="P5" s="87"/>
      <c r="Q5" s="87">
        <f>Q6</f>
        <v>5075407.32</v>
      </c>
      <c r="R5" s="87">
        <f>R6</f>
        <v>0</v>
      </c>
      <c r="S5" s="87">
        <f>S6</f>
        <v>5075407.32</v>
      </c>
      <c r="T5" s="87"/>
      <c r="U5" s="87"/>
      <c r="V5" s="87">
        <f>V6</f>
        <v>8351202.96</v>
      </c>
      <c r="W5" s="87">
        <f>W6</f>
        <v>0</v>
      </c>
      <c r="X5" s="87">
        <f>X6</f>
        <v>8351202.96</v>
      </c>
      <c r="Y5" s="87"/>
      <c r="Z5" s="87"/>
      <c r="AA5" s="87">
        <f>AA6</f>
        <v>3388005.08</v>
      </c>
      <c r="AB5" s="87">
        <f>AB6</f>
        <v>0</v>
      </c>
      <c r="AC5" s="87">
        <f>AC6</f>
        <v>3388005.08</v>
      </c>
      <c r="AD5" s="87"/>
      <c r="AE5" s="87"/>
      <c r="AF5" s="87">
        <f>AF6+AF7</f>
        <v>1326027.58</v>
      </c>
      <c r="AG5" s="87">
        <f>AG6</f>
        <v>0</v>
      </c>
      <c r="AH5" s="87">
        <f>AH6+AH7</f>
        <v>1326027.58</v>
      </c>
      <c r="AI5" s="87"/>
      <c r="AJ5" s="87"/>
      <c r="AK5" s="87">
        <f>AK6+AK7</f>
        <v>1062234.6499999999</v>
      </c>
      <c r="AL5" s="87">
        <f>AL6</f>
        <v>0</v>
      </c>
      <c r="AM5" s="655">
        <f>AM6+AM7</f>
        <v>1062234.6499999999</v>
      </c>
      <c r="AN5" s="620"/>
      <c r="AO5" s="87"/>
      <c r="AP5" s="87">
        <f>AP6+AP7</f>
        <v>0</v>
      </c>
      <c r="AQ5" s="87">
        <f>AQ6</f>
        <v>0</v>
      </c>
      <c r="AR5" s="655">
        <f>AR6+AR7</f>
        <v>0</v>
      </c>
      <c r="AS5" s="620"/>
      <c r="AT5" s="87"/>
      <c r="AU5" s="87">
        <f>AU6+AU7</f>
        <v>0</v>
      </c>
      <c r="AV5" s="87">
        <f>AV6</f>
        <v>0</v>
      </c>
      <c r="AW5" s="655">
        <f>AW6+AW7</f>
        <v>0</v>
      </c>
      <c r="AX5" s="620"/>
      <c r="AY5" s="87"/>
      <c r="AZ5" s="87">
        <f>AZ6+AZ7</f>
        <v>582703.87</v>
      </c>
      <c r="BA5" s="87">
        <f>BA6</f>
        <v>0</v>
      </c>
      <c r="BB5" s="655">
        <f>BB6+BB7</f>
        <v>582703.87</v>
      </c>
      <c r="BC5" s="620"/>
      <c r="BD5" s="87"/>
      <c r="BE5" s="87">
        <f>BE6+BE7</f>
        <v>0</v>
      </c>
      <c r="BF5" s="87">
        <f>BF6</f>
        <v>0</v>
      </c>
      <c r="BG5" s="655">
        <f>BG6+BG7</f>
        <v>0</v>
      </c>
      <c r="BH5" s="620"/>
      <c r="BI5" s="87"/>
      <c r="BJ5" s="87">
        <f>BJ6+BJ7</f>
        <v>0</v>
      </c>
      <c r="BK5" s="87">
        <f>BK6</f>
        <v>0</v>
      </c>
      <c r="BL5" s="655">
        <f>BL6+BL7</f>
        <v>0</v>
      </c>
      <c r="BM5" s="620"/>
      <c r="BN5" s="87"/>
      <c r="BO5" s="87">
        <f>BO6+BO7</f>
        <v>19785581.459999997</v>
      </c>
      <c r="BP5" s="87">
        <f>BP6+BP7</f>
        <v>0</v>
      </c>
      <c r="BQ5" s="87">
        <f>BQ6+BQ7</f>
        <v>19785581.459999997</v>
      </c>
      <c r="BR5" s="87"/>
      <c r="BS5" s="87"/>
      <c r="BT5" s="918"/>
      <c r="BU5" s="918"/>
    </row>
    <row r="6" spans="1:73" s="2" customFormat="1" ht="13.8" x14ac:dyDescent="0.25">
      <c r="A6" s="331">
        <f>'PL_Сватово очередь 2'!I6</f>
        <v>0</v>
      </c>
      <c r="B6" s="9" t="s">
        <v>17</v>
      </c>
      <c r="C6" s="104">
        <v>19252427</v>
      </c>
      <c r="D6" s="105"/>
      <c r="E6" s="106">
        <f>C6+D6</f>
        <v>19252427</v>
      </c>
      <c r="F6" s="39"/>
      <c r="G6" s="39"/>
      <c r="H6" s="39"/>
      <c r="I6" s="39">
        <f>G6+H6</f>
        <v>0</v>
      </c>
      <c r="J6" s="39"/>
      <c r="K6" s="291"/>
      <c r="L6" s="39"/>
      <c r="M6" s="39"/>
      <c r="N6" s="106">
        <f>L6+M6</f>
        <v>0</v>
      </c>
      <c r="O6" s="39"/>
      <c r="P6" s="39"/>
      <c r="Q6" s="39">
        <v>5075407.32</v>
      </c>
      <c r="R6" s="39"/>
      <c r="S6" s="106">
        <f>Q6+R6</f>
        <v>5075407.32</v>
      </c>
      <c r="T6" s="39"/>
      <c r="U6" s="39"/>
      <c r="V6" s="39">
        <v>8351202.96</v>
      </c>
      <c r="W6" s="39"/>
      <c r="X6" s="106">
        <f>V6+W6</f>
        <v>8351202.96</v>
      </c>
      <c r="Y6" s="39"/>
      <c r="Z6" s="39"/>
      <c r="AA6" s="39">
        <v>3388005.08</v>
      </c>
      <c r="AB6" s="39"/>
      <c r="AC6" s="106">
        <f>AA6+AB6</f>
        <v>3388005.08</v>
      </c>
      <c r="AD6" s="39"/>
      <c r="AE6" s="39"/>
      <c r="AF6" s="39">
        <v>1303827.58</v>
      </c>
      <c r="AG6" s="39"/>
      <c r="AH6" s="106">
        <f>AF6+AG6</f>
        <v>1303827.58</v>
      </c>
      <c r="AI6" s="39"/>
      <c r="AJ6" s="39"/>
      <c r="AK6" s="39">
        <v>1062234.6499999999</v>
      </c>
      <c r="AL6" s="39"/>
      <c r="AM6" s="446">
        <f>AK6+AL6</f>
        <v>1062234.6499999999</v>
      </c>
      <c r="AN6" s="452"/>
      <c r="AO6" s="39" t="s">
        <v>858</v>
      </c>
      <c r="AP6" s="39"/>
      <c r="AQ6" s="39"/>
      <c r="AR6" s="446">
        <f>AP6+AQ6</f>
        <v>0</v>
      </c>
      <c r="AS6" s="452"/>
      <c r="AT6" s="39"/>
      <c r="AU6" s="39"/>
      <c r="AV6" s="39"/>
      <c r="AW6" s="446">
        <f>AU6+AV6</f>
        <v>0</v>
      </c>
      <c r="AX6" s="452"/>
      <c r="AY6" s="39"/>
      <c r="AZ6" s="39">
        <v>582703.87</v>
      </c>
      <c r="BA6" s="39"/>
      <c r="BB6" s="446">
        <f>AZ6+BA6</f>
        <v>582703.87</v>
      </c>
      <c r="BC6" s="452"/>
      <c r="BD6" s="39" t="s">
        <v>912</v>
      </c>
      <c r="BE6" s="39"/>
      <c r="BF6" s="39"/>
      <c r="BG6" s="446">
        <f>BE6+BF6</f>
        <v>0</v>
      </c>
      <c r="BH6" s="452"/>
      <c r="BI6" s="39"/>
      <c r="BJ6" s="39"/>
      <c r="BK6" s="39"/>
      <c r="BL6" s="446">
        <f>BJ6+BK6</f>
        <v>0</v>
      </c>
      <c r="BM6" s="452"/>
      <c r="BN6" s="39"/>
      <c r="BO6" s="39">
        <f>G6+L6+Q6+V6+AA6+AF6+AK6+AP6+AU6+AZ6+BE6+BJ6</f>
        <v>19763381.459999997</v>
      </c>
      <c r="BP6" s="39">
        <f>H6+M6+R6+W6+AB6+AG6+AL6+AQ6+AV6+BA6+BF6+BK6</f>
        <v>0</v>
      </c>
      <c r="BQ6" s="106">
        <f>BO6+BP6</f>
        <v>19763381.459999997</v>
      </c>
      <c r="BR6" s="39"/>
      <c r="BS6" s="39"/>
      <c r="BT6" s="919"/>
      <c r="BU6" s="919"/>
    </row>
    <row r="7" spans="1:73" s="2" customFormat="1" ht="14.4" thickBot="1" x14ac:dyDescent="0.3">
      <c r="A7" s="238"/>
      <c r="B7" s="10" t="s">
        <v>41</v>
      </c>
      <c r="C7" s="107"/>
      <c r="D7" s="108"/>
      <c r="E7" s="106">
        <f>C7+D7</f>
        <v>0</v>
      </c>
      <c r="F7" s="40"/>
      <c r="G7" s="40"/>
      <c r="H7" s="40"/>
      <c r="I7" s="40">
        <f>G7+H7</f>
        <v>0</v>
      </c>
      <c r="J7" s="40"/>
      <c r="K7" s="40"/>
      <c r="L7" s="39"/>
      <c r="M7" s="39"/>
      <c r="N7" s="106">
        <f>L7+M7</f>
        <v>0</v>
      </c>
      <c r="O7" s="40"/>
      <c r="P7" s="40"/>
      <c r="Q7" s="39"/>
      <c r="R7" s="39"/>
      <c r="S7" s="106">
        <f>Q7+R7</f>
        <v>0</v>
      </c>
      <c r="T7" s="40"/>
      <c r="U7" s="412"/>
      <c r="V7" s="39"/>
      <c r="W7" s="39"/>
      <c r="X7" s="106">
        <f>V7+W7</f>
        <v>0</v>
      </c>
      <c r="Y7" s="40"/>
      <c r="Z7" s="412"/>
      <c r="AA7" s="39"/>
      <c r="AB7" s="39"/>
      <c r="AC7" s="106">
        <f>AA7+AB7</f>
        <v>0</v>
      </c>
      <c r="AD7" s="40"/>
      <c r="AE7" s="412"/>
      <c r="AF7" s="39">
        <f>9000+13200</f>
        <v>22200</v>
      </c>
      <c r="AG7" s="39"/>
      <c r="AH7" s="106">
        <f>AF7+AG7</f>
        <v>22200</v>
      </c>
      <c r="AI7" s="40"/>
      <c r="AJ7" s="388" t="s">
        <v>788</v>
      </c>
      <c r="AK7" s="39"/>
      <c r="AL7" s="39"/>
      <c r="AM7" s="446">
        <f>AK7+AL7</f>
        <v>0</v>
      </c>
      <c r="AN7" s="612"/>
      <c r="AO7" s="388"/>
      <c r="AP7" s="39"/>
      <c r="AQ7" s="39"/>
      <c r="AR7" s="446">
        <f>AP7+AQ7</f>
        <v>0</v>
      </c>
      <c r="AS7" s="612"/>
      <c r="AT7" s="388"/>
      <c r="AU7" s="39"/>
      <c r="AV7" s="39"/>
      <c r="AW7" s="446">
        <f>AU7+AV7</f>
        <v>0</v>
      </c>
      <c r="AX7" s="612"/>
      <c r="AY7" s="388"/>
      <c r="AZ7" s="39"/>
      <c r="BA7" s="39"/>
      <c r="BB7" s="446">
        <f>AZ7+BA7</f>
        <v>0</v>
      </c>
      <c r="BC7" s="612"/>
      <c r="BD7" s="388"/>
      <c r="BE7" s="39"/>
      <c r="BF7" s="39"/>
      <c r="BG7" s="446">
        <f>BE7+BF7</f>
        <v>0</v>
      </c>
      <c r="BH7" s="612"/>
      <c r="BI7" s="388"/>
      <c r="BJ7" s="39"/>
      <c r="BK7" s="39"/>
      <c r="BL7" s="446">
        <f>BJ7+BK7</f>
        <v>0</v>
      </c>
      <c r="BM7" s="612"/>
      <c r="BN7" s="388"/>
      <c r="BO7" s="39">
        <f>G7+L7+Q7+V7+AA7+AF7+AK7+AP7+AU7+AZ7+BE7</f>
        <v>22200</v>
      </c>
      <c r="BP7" s="39">
        <f>H7+M7+R7+W7+AB7+AG7+AL7+AQ7+AV7+BA7+BF7</f>
        <v>0</v>
      </c>
      <c r="BQ7" s="106">
        <f>BO7+BP7</f>
        <v>22200</v>
      </c>
      <c r="BR7" s="40"/>
      <c r="BS7" s="40"/>
      <c r="BT7" s="919"/>
      <c r="BU7" s="919"/>
    </row>
    <row r="8" spans="1:73" s="88" customFormat="1" ht="14.4" thickBot="1" x14ac:dyDescent="0.3">
      <c r="A8" s="238"/>
      <c r="B8" s="84" t="s">
        <v>16</v>
      </c>
      <c r="C8" s="109">
        <f>SUM(C9:C33)</f>
        <v>14541337.25</v>
      </c>
      <c r="D8" s="109">
        <f>SUM(D9:D33)</f>
        <v>1909639</v>
      </c>
      <c r="E8" s="110">
        <f>SUM(E9:E33)</f>
        <v>16450976.25</v>
      </c>
      <c r="F8" s="164">
        <f t="shared" ref="F8:F22" si="0">E8/$E$89</f>
        <v>0.93768093139986519</v>
      </c>
      <c r="G8" s="109">
        <f>SUM(G9:G33)</f>
        <v>564602.42500000005</v>
      </c>
      <c r="H8" s="109">
        <f>SUM(H9:H33)</f>
        <v>86035</v>
      </c>
      <c r="I8" s="110">
        <f>SUM(I9:I33)</f>
        <v>650637.42500000005</v>
      </c>
      <c r="J8" s="164">
        <f t="shared" ref="J8:J21" si="1">I8/$I$89</f>
        <v>0.90697876163320235</v>
      </c>
      <c r="K8" s="264"/>
      <c r="L8" s="109">
        <f>SUM(L9:L33)</f>
        <v>520872.49</v>
      </c>
      <c r="M8" s="109">
        <f>SUM(M9:M33)</f>
        <v>170422.34</v>
      </c>
      <c r="N8" s="110">
        <f>SUM(N9:N33)</f>
        <v>691294.83</v>
      </c>
      <c r="O8" s="164">
        <f t="shared" ref="O8:O21" si="2">N8/$N$89</f>
        <v>0.93350957990539396</v>
      </c>
      <c r="P8" s="87"/>
      <c r="Q8" s="109">
        <f>SUM(Q9:Q33)</f>
        <v>3931662.4099999997</v>
      </c>
      <c r="R8" s="109">
        <f>SUM(R9:R33)</f>
        <v>123684</v>
      </c>
      <c r="S8" s="110">
        <f>SUM(S9:S33)</f>
        <v>4055346.4099999997</v>
      </c>
      <c r="T8" s="164">
        <f t="shared" ref="T8:T22" si="3">S8/$S$89</f>
        <v>0.9873919262586468</v>
      </c>
      <c r="U8" s="413"/>
      <c r="V8" s="109">
        <f>SUM(V9:V33)</f>
        <v>5029554.5579999993</v>
      </c>
      <c r="W8" s="109">
        <f>SUM(W9:W33)</f>
        <v>921091.91</v>
      </c>
      <c r="X8" s="110">
        <f>SUM(X9:X33)</f>
        <v>5950646.4679999994</v>
      </c>
      <c r="Y8" s="164">
        <f>X8/$X$89</f>
        <v>0.97192560136767259</v>
      </c>
      <c r="Z8" s="413"/>
      <c r="AA8" s="109">
        <f>SUM(AA9:AA33)</f>
        <v>3258302.6079999995</v>
      </c>
      <c r="AB8" s="109">
        <f>SUM(AB9:AB33)</f>
        <v>417166.5</v>
      </c>
      <c r="AC8" s="110">
        <f>SUM(AC9:AC33)</f>
        <v>3675469.1079999995</v>
      </c>
      <c r="AD8" s="164">
        <f>AC8/$AC$89</f>
        <v>0.97624297789276471</v>
      </c>
      <c r="AE8" s="413"/>
      <c r="AF8" s="109">
        <f>SUM(AF9:AF33)</f>
        <v>1241457.3159999999</v>
      </c>
      <c r="AG8" s="109">
        <f>SUM(AG9:AG33)</f>
        <v>197544.03999999998</v>
      </c>
      <c r="AH8" s="110">
        <f>SUM(AH9:AH33)</f>
        <v>1439001.3559999999</v>
      </c>
      <c r="AI8" s="651">
        <f t="shared" ref="AI8:AI35" si="4">AH8/$AH$89</f>
        <v>0.95756475134728647</v>
      </c>
      <c r="AJ8" s="413"/>
      <c r="AK8" s="109">
        <f>SUM(AK9:AK33)</f>
        <v>887510.80799999996</v>
      </c>
      <c r="AL8" s="109">
        <f>SUM(AL9:AL33)</f>
        <v>187128.5</v>
      </c>
      <c r="AM8" s="619">
        <f>SUM(AM9:AM33)</f>
        <v>1074639.308</v>
      </c>
      <c r="AN8" s="651" t="e">
        <f>AM8/$AM$89</f>
        <v>#DIV/0!</v>
      </c>
      <c r="AO8" s="413"/>
      <c r="AP8" s="109">
        <f>SUM(AP9:AP33)</f>
        <v>129.45599999999999</v>
      </c>
      <c r="AQ8" s="109">
        <f>SUM(AQ9:AQ33)</f>
        <v>68836</v>
      </c>
      <c r="AR8" s="619">
        <f>SUM(AR9:AR33)</f>
        <v>68965.456000000006</v>
      </c>
      <c r="AS8" s="651" t="e">
        <f>AR8/$AR$89</f>
        <v>#DIV/0!</v>
      </c>
      <c r="AT8" s="413"/>
      <c r="AU8" s="109">
        <f>SUM(AU9:AU33)</f>
        <v>2420.067</v>
      </c>
      <c r="AV8" s="109">
        <f>SUM(AV9:AV33)</f>
        <v>1600</v>
      </c>
      <c r="AW8" s="619">
        <f>SUM(AW9:AW33)</f>
        <v>4020.067</v>
      </c>
      <c r="AX8" s="651">
        <f>AW8/$AW$89</f>
        <v>0.95082527081689261</v>
      </c>
      <c r="AY8" s="413"/>
      <c r="AZ8" s="109">
        <f>SUM(AZ9:AZ33)</f>
        <v>292583.86800000002</v>
      </c>
      <c r="BA8" s="109">
        <f>SUM(BA9:BA33)</f>
        <v>17652.8</v>
      </c>
      <c r="BB8" s="619">
        <f>SUM(BB9:BB33)</f>
        <v>310236.66800000001</v>
      </c>
      <c r="BC8" s="651" t="e">
        <f>BB8/$BB$89</f>
        <v>#DIV/0!</v>
      </c>
      <c r="BD8" s="413"/>
      <c r="BE8" s="109">
        <f>SUM(BE9:BE33)</f>
        <v>0</v>
      </c>
      <c r="BF8" s="109">
        <f>SUM(BF9:BF33)</f>
        <v>0</v>
      </c>
      <c r="BG8" s="619">
        <f>SUM(BG9:BG33)</f>
        <v>0</v>
      </c>
      <c r="BH8" s="651" t="e">
        <f>BG8/$BB$89</f>
        <v>#DIV/0!</v>
      </c>
      <c r="BI8" s="413"/>
      <c r="BJ8" s="109">
        <f>SUM(BJ9:BJ33)</f>
        <v>0</v>
      </c>
      <c r="BK8" s="109">
        <f>SUM(BK9:BK33)</f>
        <v>0</v>
      </c>
      <c r="BL8" s="619">
        <f>SUM(BL9:BL33)</f>
        <v>0</v>
      </c>
      <c r="BM8" s="651" t="e">
        <f>BL8/$BB$89</f>
        <v>#DIV/0!</v>
      </c>
      <c r="BN8" s="413"/>
      <c r="BO8" s="109">
        <f>SUM(BO9:BO33)</f>
        <v>15729096.006000001</v>
      </c>
      <c r="BP8" s="109">
        <f>SUM(BP9:BP33)</f>
        <v>2191161.0900000003</v>
      </c>
      <c r="BQ8" s="110">
        <f>SUM(BQ9:BQ33)</f>
        <v>17920257.095999997</v>
      </c>
      <c r="BR8" s="164" t="e">
        <f t="shared" ref="BR8:BR19" si="5">BQ8/$BQ$89</f>
        <v>#DIV/0!</v>
      </c>
      <c r="BS8" s="87"/>
      <c r="BT8" s="918"/>
      <c r="BU8" s="918"/>
    </row>
    <row r="9" spans="1:73" s="2" customFormat="1" ht="69" x14ac:dyDescent="0.25">
      <c r="A9" s="238"/>
      <c r="B9" s="799" t="s">
        <v>74</v>
      </c>
      <c r="C9" s="482">
        <v>509855</v>
      </c>
      <c r="D9" s="483">
        <v>0</v>
      </c>
      <c r="E9" s="484">
        <f t="shared" ref="E9:E33" si="6">C9+D9</f>
        <v>509855</v>
      </c>
      <c r="F9" s="485">
        <f t="shared" si="0"/>
        <v>2.9060969027833727E-2</v>
      </c>
      <c r="G9" s="486">
        <v>47897.5</v>
      </c>
      <c r="H9" s="486"/>
      <c r="I9" s="486">
        <f>G9+H9*1</f>
        <v>47897.5</v>
      </c>
      <c r="J9" s="485">
        <f t="shared" si="1"/>
        <v>6.6768392911499538E-2</v>
      </c>
      <c r="K9" s="487"/>
      <c r="L9" s="488">
        <v>54229.279999999999</v>
      </c>
      <c r="M9" s="488"/>
      <c r="N9" s="489">
        <f>L9+M9*1</f>
        <v>54229.279999999999</v>
      </c>
      <c r="O9" s="485">
        <f t="shared" si="2"/>
        <v>7.3230046276162641E-2</v>
      </c>
      <c r="P9" s="490" t="s">
        <v>477</v>
      </c>
      <c r="Q9" s="488">
        <v>123821.88</v>
      </c>
      <c r="R9" s="488"/>
      <c r="S9" s="489">
        <f>Q9+R9*1</f>
        <v>123821.88</v>
      </c>
      <c r="T9" s="485">
        <f t="shared" si="3"/>
        <v>3.0148034778160176E-2</v>
      </c>
      <c r="U9" s="491" t="s">
        <v>477</v>
      </c>
      <c r="V9" s="488">
        <v>105555.12</v>
      </c>
      <c r="W9" s="488"/>
      <c r="X9" s="489">
        <f>V9+W9*1</f>
        <v>105555.12</v>
      </c>
      <c r="Y9" s="485">
        <f>X9/$X$89</f>
        <v>1.7240433293278422E-2</v>
      </c>
      <c r="Z9" s="388" t="s">
        <v>641</v>
      </c>
      <c r="AA9" s="488">
        <v>105555.12</v>
      </c>
      <c r="AB9" s="488"/>
      <c r="AC9" s="489">
        <f>AA9+AB9*1</f>
        <v>105555.12</v>
      </c>
      <c r="AD9" s="485">
        <f>AC9/$AC$89</f>
        <v>2.8036542180788784E-2</v>
      </c>
      <c r="AE9" s="388" t="s">
        <v>723</v>
      </c>
      <c r="AF9" s="488">
        <v>43422</v>
      </c>
      <c r="AG9" s="488"/>
      <c r="AH9" s="593">
        <f>AF9+AG9*1</f>
        <v>43422</v>
      </c>
      <c r="AI9" s="450">
        <f>AH9/$AH$89</f>
        <v>2.8894605595494571E-2</v>
      </c>
      <c r="AJ9" s="388" t="s">
        <v>776</v>
      </c>
      <c r="AK9" s="488">
        <v>49109</v>
      </c>
      <c r="AL9" s="488"/>
      <c r="AM9" s="705">
        <f>AK9+AL9*1</f>
        <v>49109</v>
      </c>
      <c r="AN9" s="450" t="e">
        <f>AM9/$AM$89</f>
        <v>#DIV/0!</v>
      </c>
      <c r="AO9" s="388" t="s">
        <v>825</v>
      </c>
      <c r="AP9" s="488"/>
      <c r="AQ9" s="488"/>
      <c r="AR9" s="705">
        <f>AP9+AQ9*1</f>
        <v>0</v>
      </c>
      <c r="AS9" s="450" t="e">
        <f t="shared" ref="AS9:AS72" si="7">AR9/$AR$89</f>
        <v>#DIV/0!</v>
      </c>
      <c r="AT9" s="388"/>
      <c r="AU9" s="488"/>
      <c r="AV9" s="488"/>
      <c r="AW9" s="705">
        <f>AU9+AV9*1</f>
        <v>0</v>
      </c>
      <c r="AX9" s="450">
        <f t="shared" ref="AX9:AX72" si="8">AW9/$AW$89</f>
        <v>0</v>
      </c>
      <c r="AY9" s="388"/>
      <c r="AZ9" s="488"/>
      <c r="BA9" s="488"/>
      <c r="BB9" s="705">
        <f>AZ9+BA9*1</f>
        <v>0</v>
      </c>
      <c r="BC9" s="450" t="e">
        <f t="shared" ref="BC9:BC33" si="9">BB9/$BB$89</f>
        <v>#DIV/0!</v>
      </c>
      <c r="BD9" s="388"/>
      <c r="BE9" s="488"/>
      <c r="BF9" s="488"/>
      <c r="BG9" s="705">
        <f>BE9+BF9*1</f>
        <v>0</v>
      </c>
      <c r="BH9" s="450" t="e">
        <f t="shared" ref="BH9:BH33" si="10">BG9/$BB$89</f>
        <v>#DIV/0!</v>
      </c>
      <c r="BI9" s="388"/>
      <c r="BJ9" s="39"/>
      <c r="BK9" s="39"/>
      <c r="BL9" s="705">
        <f>BJ9+BK9*1</f>
        <v>0</v>
      </c>
      <c r="BM9" s="450" t="e">
        <f t="shared" ref="BM9:BM33" si="11">BL9/$BB$89</f>
        <v>#DIV/0!</v>
      </c>
      <c r="BN9" s="388"/>
      <c r="BO9" s="39">
        <f t="shared" ref="BO9:BO33" si="12">G9+L9+Q9+V9+AA9+AF9+AK9+AP9+AU9+AZ9+BE9+BJ9</f>
        <v>529589.9</v>
      </c>
      <c r="BP9" s="39">
        <f t="shared" ref="BP9:BP33" si="13">H9+M9+R9+W9+AB9+AG9+AL9+AQ9+AV9+BA9+BF9+BK9</f>
        <v>0</v>
      </c>
      <c r="BQ9" s="489">
        <f>BO9+BP9*1</f>
        <v>529589.9</v>
      </c>
      <c r="BR9" s="485" t="e">
        <f t="shared" si="5"/>
        <v>#DIV/0!</v>
      </c>
      <c r="BS9" s="490"/>
      <c r="BT9" s="920">
        <v>511916</v>
      </c>
      <c r="BU9" s="921">
        <f>BQ9-BT9</f>
        <v>17673.900000000023</v>
      </c>
    </row>
    <row r="10" spans="1:73" s="2" customFormat="1" ht="13.8" x14ac:dyDescent="0.25">
      <c r="A10" s="238"/>
      <c r="B10" s="800" t="s">
        <v>72</v>
      </c>
      <c r="C10" s="111">
        <v>137982</v>
      </c>
      <c r="D10" s="493">
        <v>0</v>
      </c>
      <c r="E10" s="446">
        <f t="shared" si="6"/>
        <v>137982</v>
      </c>
      <c r="F10" s="447">
        <f t="shared" si="0"/>
        <v>7.8647667050407537E-3</v>
      </c>
      <c r="G10" s="449">
        <v>12944.28</v>
      </c>
      <c r="H10" s="449"/>
      <c r="I10" s="449">
        <f t="shared" ref="I10:I33" si="14">G10+H10*1</f>
        <v>12944.28</v>
      </c>
      <c r="J10" s="450">
        <f t="shared" si="1"/>
        <v>1.804413117587484E-2</v>
      </c>
      <c r="K10" s="494"/>
      <c r="L10" s="452">
        <v>26465.4</v>
      </c>
      <c r="M10" s="452"/>
      <c r="N10" s="453">
        <f t="shared" ref="N10:N33" si="15">L10+M10*1</f>
        <v>26465.4</v>
      </c>
      <c r="O10" s="450">
        <f t="shared" si="2"/>
        <v>3.5738303490607928E-2</v>
      </c>
      <c r="P10" s="456"/>
      <c r="Q10" s="452">
        <f>29994.12</f>
        <v>29994.12</v>
      </c>
      <c r="R10" s="452"/>
      <c r="S10" s="453">
        <f t="shared" ref="S10:S33" si="16">Q10+R10*1</f>
        <v>29994.12</v>
      </c>
      <c r="T10" s="450">
        <f t="shared" si="3"/>
        <v>7.3029401015419059E-3</v>
      </c>
      <c r="U10" s="465"/>
      <c r="V10" s="452">
        <v>26465.4</v>
      </c>
      <c r="W10" s="452"/>
      <c r="X10" s="453">
        <f t="shared" ref="X10:X23" si="17">V10+W10*1</f>
        <v>26465.4</v>
      </c>
      <c r="Y10" s="450">
        <f t="shared" ref="Y10:Y33" si="18">X10/$X$89</f>
        <v>4.3226227517900676E-3</v>
      </c>
      <c r="Z10" s="388"/>
      <c r="AA10" s="452">
        <v>26465.4</v>
      </c>
      <c r="AB10" s="452"/>
      <c r="AC10" s="453">
        <f t="shared" ref="AC10:AC21" si="19">AA10+AB10*1</f>
        <v>26465.4</v>
      </c>
      <c r="AD10" s="450">
        <f>AC10/$AC$89</f>
        <v>7.0294866173374404E-3</v>
      </c>
      <c r="AE10" s="388"/>
      <c r="AF10" s="452">
        <v>10518</v>
      </c>
      <c r="AG10" s="452"/>
      <c r="AH10" s="592">
        <f t="shared" ref="AH10:AH23" si="20">AF10+AG10*1</f>
        <v>10518</v>
      </c>
      <c r="AI10" s="450">
        <f t="shared" si="4"/>
        <v>6.9990664099629655E-3</v>
      </c>
      <c r="AJ10" s="388"/>
      <c r="AK10" s="452">
        <v>9025</v>
      </c>
      <c r="AL10" s="452"/>
      <c r="AM10" s="669">
        <f t="shared" ref="AM10:AM33" si="21">AK10+AL10*1</f>
        <v>9025</v>
      </c>
      <c r="AN10" s="450" t="e">
        <f t="shared" ref="AN10:AN33" si="22">AM10/$AM$89</f>
        <v>#DIV/0!</v>
      </c>
      <c r="AO10" s="388"/>
      <c r="AP10" s="452"/>
      <c r="AQ10" s="452"/>
      <c r="AR10" s="669">
        <f t="shared" ref="AR10:AR33" si="23">AP10+AQ10*1</f>
        <v>0</v>
      </c>
      <c r="AS10" s="450" t="e">
        <f t="shared" si="7"/>
        <v>#DIV/0!</v>
      </c>
      <c r="AT10" s="388"/>
      <c r="AU10" s="452"/>
      <c r="AV10" s="452"/>
      <c r="AW10" s="669">
        <f t="shared" ref="AW10:AW33" si="24">AU10+AV10*1</f>
        <v>0</v>
      </c>
      <c r="AX10" s="450">
        <f t="shared" si="8"/>
        <v>0</v>
      </c>
      <c r="AY10" s="388"/>
      <c r="AZ10" s="452"/>
      <c r="BA10" s="452"/>
      <c r="BB10" s="669">
        <f t="shared" ref="BB10:BB33" si="25">AZ10+BA10*1</f>
        <v>0</v>
      </c>
      <c r="BC10" s="450" t="e">
        <f t="shared" si="9"/>
        <v>#DIV/0!</v>
      </c>
      <c r="BD10" s="388"/>
      <c r="BE10" s="452"/>
      <c r="BF10" s="452"/>
      <c r="BG10" s="669">
        <f t="shared" ref="BG10:BG33" si="26">BE10+BF10*1</f>
        <v>0</v>
      </c>
      <c r="BH10" s="450" t="e">
        <f t="shared" si="10"/>
        <v>#DIV/0!</v>
      </c>
      <c r="BI10" s="388"/>
      <c r="BJ10" s="39"/>
      <c r="BK10" s="39"/>
      <c r="BL10" s="669">
        <f t="shared" ref="BL10:BL33" si="27">BJ10+BK10*1</f>
        <v>0</v>
      </c>
      <c r="BM10" s="450" t="e">
        <f t="shared" si="11"/>
        <v>#DIV/0!</v>
      </c>
      <c r="BN10" s="388"/>
      <c r="BO10" s="39">
        <f t="shared" si="12"/>
        <v>141877.6</v>
      </c>
      <c r="BP10" s="39">
        <f t="shared" si="13"/>
        <v>0</v>
      </c>
      <c r="BQ10" s="453">
        <f t="shared" ref="BQ10:BQ33" si="28">BO10+BP10*1</f>
        <v>141877.6</v>
      </c>
      <c r="BR10" s="450" t="e">
        <f t="shared" si="5"/>
        <v>#DIV/0!</v>
      </c>
      <c r="BS10" s="456"/>
      <c r="BT10" s="920">
        <v>138339</v>
      </c>
      <c r="BU10" s="921">
        <f>BQ10-BT10</f>
        <v>3538.6000000000058</v>
      </c>
    </row>
    <row r="11" spans="1:73" s="2" customFormat="1" ht="13.8" x14ac:dyDescent="0.25">
      <c r="A11" s="238"/>
      <c r="B11" s="800" t="s">
        <v>69</v>
      </c>
      <c r="C11" s="111">
        <v>124862</v>
      </c>
      <c r="D11" s="493">
        <v>0</v>
      </c>
      <c r="E11" s="446">
        <f t="shared" si="6"/>
        <v>124862</v>
      </c>
      <c r="F11" s="447">
        <f t="shared" si="0"/>
        <v>7.1169464156542054E-3</v>
      </c>
      <c r="G11" s="449">
        <v>14603.8</v>
      </c>
      <c r="H11" s="449"/>
      <c r="I11" s="449">
        <f t="shared" si="14"/>
        <v>14603.8</v>
      </c>
      <c r="J11" s="450">
        <f t="shared" si="1"/>
        <v>2.0357477037443641E-2</v>
      </c>
      <c r="K11" s="451"/>
      <c r="L11" s="452">
        <v>29858.400000000001</v>
      </c>
      <c r="M11" s="452"/>
      <c r="N11" s="453">
        <f t="shared" si="15"/>
        <v>29858.400000000001</v>
      </c>
      <c r="O11" s="450">
        <f t="shared" si="2"/>
        <v>4.03201372714551E-2</v>
      </c>
      <c r="P11" s="456"/>
      <c r="Q11" s="452">
        <v>33839.519999999997</v>
      </c>
      <c r="R11" s="452"/>
      <c r="S11" s="453">
        <f t="shared" si="16"/>
        <v>33839.519999999997</v>
      </c>
      <c r="T11" s="450">
        <f t="shared" si="3"/>
        <v>8.2392144735344581E-3</v>
      </c>
      <c r="U11" s="465"/>
      <c r="V11" s="452">
        <v>29858.400000000001</v>
      </c>
      <c r="W11" s="452"/>
      <c r="X11" s="453">
        <f t="shared" si="17"/>
        <v>29858.400000000001</v>
      </c>
      <c r="Y11" s="450">
        <f t="shared" si="18"/>
        <v>4.8768051558657176E-3</v>
      </c>
      <c r="Z11" s="388"/>
      <c r="AA11" s="452">
        <v>29858.400000000001</v>
      </c>
      <c r="AB11" s="452"/>
      <c r="AC11" s="453">
        <f t="shared" si="19"/>
        <v>29858.400000000001</v>
      </c>
      <c r="AD11" s="450">
        <f t="shared" ref="AD11:AD33" si="29">AC11/$AC$89</f>
        <v>7.9307028503294193E-3</v>
      </c>
      <c r="AE11" s="388"/>
      <c r="AF11" s="452">
        <v>11867</v>
      </c>
      <c r="AG11" s="452"/>
      <c r="AH11" s="592">
        <f t="shared" si="20"/>
        <v>11867</v>
      </c>
      <c r="AI11" s="450">
        <f t="shared" si="4"/>
        <v>7.8967409286014936E-3</v>
      </c>
      <c r="AJ11" s="388"/>
      <c r="AK11" s="452">
        <v>10182</v>
      </c>
      <c r="AL11" s="452"/>
      <c r="AM11" s="669">
        <f t="shared" si="21"/>
        <v>10182</v>
      </c>
      <c r="AN11" s="450" t="e">
        <f t="shared" si="22"/>
        <v>#DIV/0!</v>
      </c>
      <c r="AO11" s="388"/>
      <c r="AP11" s="452"/>
      <c r="AQ11" s="452"/>
      <c r="AR11" s="669">
        <f t="shared" si="23"/>
        <v>0</v>
      </c>
      <c r="AS11" s="450" t="e">
        <f t="shared" si="7"/>
        <v>#DIV/0!</v>
      </c>
      <c r="AT11" s="388"/>
      <c r="AU11" s="452"/>
      <c r="AV11" s="452"/>
      <c r="AW11" s="669">
        <f t="shared" si="24"/>
        <v>0</v>
      </c>
      <c r="AX11" s="450">
        <f t="shared" si="8"/>
        <v>0</v>
      </c>
      <c r="AY11" s="388"/>
      <c r="AZ11" s="452"/>
      <c r="BA11" s="452"/>
      <c r="BB11" s="669">
        <f t="shared" si="25"/>
        <v>0</v>
      </c>
      <c r="BC11" s="450" t="e">
        <f t="shared" si="9"/>
        <v>#DIV/0!</v>
      </c>
      <c r="BD11" s="388"/>
      <c r="BE11" s="452"/>
      <c r="BF11" s="452"/>
      <c r="BG11" s="669">
        <f t="shared" si="26"/>
        <v>0</v>
      </c>
      <c r="BH11" s="450" t="e">
        <f t="shared" si="10"/>
        <v>#DIV/0!</v>
      </c>
      <c r="BI11" s="388"/>
      <c r="BJ11" s="39"/>
      <c r="BK11" s="39"/>
      <c r="BL11" s="669">
        <f t="shared" si="27"/>
        <v>0</v>
      </c>
      <c r="BM11" s="450" t="e">
        <f t="shared" si="11"/>
        <v>#DIV/0!</v>
      </c>
      <c r="BN11" s="388"/>
      <c r="BO11" s="39">
        <f t="shared" si="12"/>
        <v>160067.51999999999</v>
      </c>
      <c r="BP11" s="39">
        <f t="shared" si="13"/>
        <v>0</v>
      </c>
      <c r="BQ11" s="453">
        <f t="shared" si="28"/>
        <v>160067.51999999999</v>
      </c>
      <c r="BR11" s="450" t="e">
        <f t="shared" si="5"/>
        <v>#DIV/0!</v>
      </c>
      <c r="BS11" s="456"/>
      <c r="BT11" s="920">
        <v>156086</v>
      </c>
      <c r="BU11" s="921">
        <f>BQ11-BT11</f>
        <v>3981.5199999999895</v>
      </c>
    </row>
    <row r="12" spans="1:73" s="2" customFormat="1" ht="52.2" customHeight="1" x14ac:dyDescent="0.25">
      <c r="A12" s="238"/>
      <c r="B12" s="800" t="s">
        <v>73</v>
      </c>
      <c r="C12" s="111">
        <v>48300</v>
      </c>
      <c r="D12" s="493">
        <v>251700</v>
      </c>
      <c r="E12" s="446">
        <f t="shared" si="6"/>
        <v>300000</v>
      </c>
      <c r="F12" s="447">
        <f t="shared" si="0"/>
        <v>1.709954929999729E-2</v>
      </c>
      <c r="G12" s="449">
        <v>9660</v>
      </c>
      <c r="H12" s="449">
        <v>10340</v>
      </c>
      <c r="I12" s="449">
        <f t="shared" si="14"/>
        <v>20000</v>
      </c>
      <c r="J12" s="450">
        <f t="shared" si="1"/>
        <v>2.7879698485933309E-2</v>
      </c>
      <c r="K12" s="451" t="s">
        <v>398</v>
      </c>
      <c r="L12" s="452">
        <v>9821</v>
      </c>
      <c r="M12" s="452">
        <f>10179+25000</f>
        <v>35179</v>
      </c>
      <c r="N12" s="453">
        <f t="shared" si="15"/>
        <v>45000</v>
      </c>
      <c r="O12" s="450">
        <f t="shared" si="2"/>
        <v>6.0767026271182634E-2</v>
      </c>
      <c r="P12" s="454" t="s">
        <v>476</v>
      </c>
      <c r="Q12" s="452">
        <f>8348.38+3437.35+8838.9</f>
        <v>20624.629999999997</v>
      </c>
      <c r="R12" s="452">
        <f>25000+5312.65+13661.1</f>
        <v>43973.75</v>
      </c>
      <c r="S12" s="453">
        <f t="shared" si="16"/>
        <v>64598.38</v>
      </c>
      <c r="T12" s="450">
        <f t="shared" si="3"/>
        <v>1.572835275036049E-2</v>
      </c>
      <c r="U12" s="462" t="s">
        <v>608</v>
      </c>
      <c r="V12" s="452">
        <f>4679.86</f>
        <v>4679.8599999999997</v>
      </c>
      <c r="W12" s="452">
        <f>25000+19210.14</f>
        <v>44210.14</v>
      </c>
      <c r="X12" s="453">
        <f t="shared" si="17"/>
        <v>48890</v>
      </c>
      <c r="Y12" s="450">
        <f t="shared" si="18"/>
        <v>7.9852572164039234E-3</v>
      </c>
      <c r="Z12" s="388" t="s">
        <v>640</v>
      </c>
      <c r="AA12" s="713">
        <v>1964.2</v>
      </c>
      <c r="AB12" s="452">
        <f>28000-10000</f>
        <v>18000</v>
      </c>
      <c r="AC12" s="453">
        <f t="shared" si="19"/>
        <v>19964.2</v>
      </c>
      <c r="AD12" s="450">
        <f t="shared" si="29"/>
        <v>5.3027000055108978E-3</v>
      </c>
      <c r="AE12" s="388" t="s">
        <v>718</v>
      </c>
      <c r="AF12" s="713">
        <v>1964.2</v>
      </c>
      <c r="AG12" s="452">
        <f>28000+12000</f>
        <v>40000</v>
      </c>
      <c r="AH12" s="592">
        <f t="shared" si="20"/>
        <v>41964.2</v>
      </c>
      <c r="AI12" s="450">
        <f t="shared" si="4"/>
        <v>2.792453153080128E-2</v>
      </c>
      <c r="AJ12" s="388" t="s">
        <v>783</v>
      </c>
      <c r="AK12" s="452">
        <v>966</v>
      </c>
      <c r="AL12" s="452">
        <f>22075+18000</f>
        <v>40075</v>
      </c>
      <c r="AM12" s="669">
        <f t="shared" si="21"/>
        <v>41041</v>
      </c>
      <c r="AN12" s="450" t="e">
        <f t="shared" si="22"/>
        <v>#DIV/0!</v>
      </c>
      <c r="AO12" s="388" t="s">
        <v>853</v>
      </c>
      <c r="AP12" s="452"/>
      <c r="AQ12" s="452"/>
      <c r="AR12" s="669">
        <f t="shared" si="23"/>
        <v>0</v>
      </c>
      <c r="AS12" s="450" t="e">
        <f t="shared" si="7"/>
        <v>#DIV/0!</v>
      </c>
      <c r="AT12" s="388"/>
      <c r="AU12" s="452">
        <f>517.58</f>
        <v>517.58000000000004</v>
      </c>
      <c r="AV12" s="452"/>
      <c r="AW12" s="669">
        <f t="shared" si="24"/>
        <v>517.58000000000004</v>
      </c>
      <c r="AX12" s="450">
        <f t="shared" si="8"/>
        <v>0.12241789593790534</v>
      </c>
      <c r="AY12" s="388" t="s">
        <v>892</v>
      </c>
      <c r="AZ12" s="452"/>
      <c r="BA12" s="452"/>
      <c r="BB12" s="669">
        <f t="shared" si="25"/>
        <v>0</v>
      </c>
      <c r="BC12" s="450" t="e">
        <f t="shared" si="9"/>
        <v>#DIV/0!</v>
      </c>
      <c r="BD12" s="388"/>
      <c r="BE12" s="452"/>
      <c r="BF12" s="452"/>
      <c r="BG12" s="669">
        <f t="shared" si="26"/>
        <v>0</v>
      </c>
      <c r="BH12" s="450" t="e">
        <f t="shared" si="10"/>
        <v>#DIV/0!</v>
      </c>
      <c r="BI12" s="388"/>
      <c r="BJ12" s="39"/>
      <c r="BK12" s="39"/>
      <c r="BL12" s="669">
        <f t="shared" si="27"/>
        <v>0</v>
      </c>
      <c r="BM12" s="450" t="e">
        <f t="shared" si="11"/>
        <v>#DIV/0!</v>
      </c>
      <c r="BN12" s="388"/>
      <c r="BO12" s="39">
        <f t="shared" si="12"/>
        <v>50197.469999999994</v>
      </c>
      <c r="BP12" s="39">
        <f t="shared" si="13"/>
        <v>231777.89</v>
      </c>
      <c r="BQ12" s="453">
        <f t="shared" si="28"/>
        <v>281975.36</v>
      </c>
      <c r="BR12" s="450" t="e">
        <f t="shared" si="5"/>
        <v>#DIV/0!</v>
      </c>
      <c r="BS12" s="456"/>
      <c r="BT12" s="920">
        <v>299930</v>
      </c>
      <c r="BU12" s="921">
        <f>BQ12-BT12</f>
        <v>-17954.640000000014</v>
      </c>
    </row>
    <row r="13" spans="1:73" s="2" customFormat="1" ht="13.8" x14ac:dyDescent="0.25">
      <c r="A13" s="238"/>
      <c r="B13" s="800" t="s">
        <v>71</v>
      </c>
      <c r="C13" s="111">
        <v>23499</v>
      </c>
      <c r="D13" s="493">
        <v>0</v>
      </c>
      <c r="E13" s="446">
        <f t="shared" si="6"/>
        <v>23499</v>
      </c>
      <c r="F13" s="447">
        <f t="shared" si="0"/>
        <v>1.3394076966687877E-3</v>
      </c>
      <c r="G13" s="449">
        <v>2340</v>
      </c>
      <c r="H13" s="449"/>
      <c r="I13" s="449">
        <f t="shared" si="14"/>
        <v>2340</v>
      </c>
      <c r="J13" s="450">
        <f t="shared" si="1"/>
        <v>3.2619247228541969E-3</v>
      </c>
      <c r="K13" s="451"/>
      <c r="L13" s="452">
        <v>4758</v>
      </c>
      <c r="M13" s="452"/>
      <c r="N13" s="453">
        <f t="shared" si="15"/>
        <v>4758</v>
      </c>
      <c r="O13" s="450">
        <f t="shared" si="2"/>
        <v>6.4251002444063766E-3</v>
      </c>
      <c r="P13" s="456"/>
      <c r="Q13" s="452">
        <f>2022.28+2379+832.65+2141.1</f>
        <v>7375.0299999999988</v>
      </c>
      <c r="R13" s="452"/>
      <c r="S13" s="453">
        <f t="shared" si="16"/>
        <v>7375.0299999999988</v>
      </c>
      <c r="T13" s="450">
        <f t="shared" si="3"/>
        <v>1.7956653616467025E-3</v>
      </c>
      <c r="U13" s="465"/>
      <c r="V13" s="452">
        <f>2379+2214.99</f>
        <v>4593.99</v>
      </c>
      <c r="W13" s="452"/>
      <c r="X13" s="453">
        <f t="shared" si="17"/>
        <v>4593.99</v>
      </c>
      <c r="Y13" s="450">
        <f t="shared" si="18"/>
        <v>7.5034141541393856E-4</v>
      </c>
      <c r="Z13" s="388"/>
      <c r="AA13" s="452">
        <v>2379</v>
      </c>
      <c r="AB13" s="452"/>
      <c r="AC13" s="453">
        <f t="shared" si="19"/>
        <v>2379</v>
      </c>
      <c r="AD13" s="450">
        <f t="shared" si="29"/>
        <v>6.3188724382196265E-4</v>
      </c>
      <c r="AE13" s="388"/>
      <c r="AF13" s="452">
        <v>2379</v>
      </c>
      <c r="AG13" s="452"/>
      <c r="AH13" s="592">
        <f t="shared" si="20"/>
        <v>2379</v>
      </c>
      <c r="AI13" s="450">
        <f t="shared" si="4"/>
        <v>1.5830746329437055E-3</v>
      </c>
      <c r="AJ13" s="388"/>
      <c r="AK13" s="452">
        <v>1170</v>
      </c>
      <c r="AL13" s="452"/>
      <c r="AM13" s="669">
        <f t="shared" si="21"/>
        <v>1170</v>
      </c>
      <c r="AN13" s="450" t="e">
        <f t="shared" si="22"/>
        <v>#DIV/0!</v>
      </c>
      <c r="AO13" s="388"/>
      <c r="AP13" s="452"/>
      <c r="AQ13" s="452"/>
      <c r="AR13" s="669">
        <f t="shared" si="23"/>
        <v>0</v>
      </c>
      <c r="AS13" s="450" t="e">
        <f t="shared" si="7"/>
        <v>#DIV/0!</v>
      </c>
      <c r="AT13" s="388"/>
      <c r="AU13" s="452">
        <v>626.89</v>
      </c>
      <c r="AV13" s="452"/>
      <c r="AW13" s="669">
        <f t="shared" si="24"/>
        <v>626.89</v>
      </c>
      <c r="AX13" s="450">
        <f t="shared" si="8"/>
        <v>0.14827187059877406</v>
      </c>
      <c r="AY13" s="388"/>
      <c r="AZ13" s="452"/>
      <c r="BA13" s="452"/>
      <c r="BB13" s="669">
        <f t="shared" si="25"/>
        <v>0</v>
      </c>
      <c r="BC13" s="450" t="e">
        <f t="shared" si="9"/>
        <v>#DIV/0!</v>
      </c>
      <c r="BD13" s="388"/>
      <c r="BE13" s="452"/>
      <c r="BF13" s="452"/>
      <c r="BG13" s="669">
        <f t="shared" si="26"/>
        <v>0</v>
      </c>
      <c r="BH13" s="450" t="e">
        <f t="shared" si="10"/>
        <v>#DIV/0!</v>
      </c>
      <c r="BI13" s="388"/>
      <c r="BJ13" s="39"/>
      <c r="BK13" s="39"/>
      <c r="BL13" s="669">
        <f t="shared" si="27"/>
        <v>0</v>
      </c>
      <c r="BM13" s="450" t="e">
        <f t="shared" si="11"/>
        <v>#DIV/0!</v>
      </c>
      <c r="BN13" s="388"/>
      <c r="BO13" s="39">
        <f t="shared" si="12"/>
        <v>25621.909999999996</v>
      </c>
      <c r="BP13" s="39">
        <f t="shared" si="13"/>
        <v>0</v>
      </c>
      <c r="BQ13" s="453">
        <f t="shared" si="28"/>
        <v>25621.909999999996</v>
      </c>
      <c r="BR13" s="450" t="e">
        <f t="shared" si="5"/>
        <v>#DIV/0!</v>
      </c>
      <c r="BS13" s="456"/>
      <c r="BT13" s="920">
        <v>23719</v>
      </c>
      <c r="BU13" s="921">
        <f t="shared" ref="BU13:BU76" si="30">BQ13-BT13</f>
        <v>1902.9099999999962</v>
      </c>
    </row>
    <row r="14" spans="1:73" s="2" customFormat="1" ht="13.8" x14ac:dyDescent="0.25">
      <c r="A14" s="238"/>
      <c r="B14" s="800" t="s">
        <v>70</v>
      </c>
      <c r="C14" s="111">
        <v>21404</v>
      </c>
      <c r="D14" s="493">
        <v>0</v>
      </c>
      <c r="E14" s="446">
        <f t="shared" si="6"/>
        <v>21404</v>
      </c>
      <c r="F14" s="447">
        <f t="shared" si="0"/>
        <v>1.2199958440571401E-3</v>
      </c>
      <c r="G14" s="449">
        <v>2640</v>
      </c>
      <c r="H14" s="449"/>
      <c r="I14" s="449">
        <f t="shared" si="14"/>
        <v>2640</v>
      </c>
      <c r="J14" s="450">
        <f t="shared" si="1"/>
        <v>3.6801202001431966E-3</v>
      </c>
      <c r="K14" s="451"/>
      <c r="L14" s="452">
        <v>5368</v>
      </c>
      <c r="M14" s="452"/>
      <c r="N14" s="453">
        <f t="shared" si="15"/>
        <v>5368</v>
      </c>
      <c r="O14" s="450">
        <f t="shared" si="2"/>
        <v>7.2488310449712965E-3</v>
      </c>
      <c r="P14" s="456"/>
      <c r="Q14" s="452">
        <f>2281.55+2684+939.4+2415.6</f>
        <v>8320.5499999999993</v>
      </c>
      <c r="R14" s="452"/>
      <c r="S14" s="453">
        <f t="shared" si="16"/>
        <v>8320.5499999999993</v>
      </c>
      <c r="T14" s="450">
        <f t="shared" si="3"/>
        <v>2.0258796811469882E-3</v>
      </c>
      <c r="U14" s="465"/>
      <c r="V14" s="452">
        <f>2684+2498.97</f>
        <v>5182.9699999999993</v>
      </c>
      <c r="W14" s="452"/>
      <c r="X14" s="453">
        <f t="shared" si="17"/>
        <v>5182.9699999999993</v>
      </c>
      <c r="Y14" s="450">
        <f t="shared" si="18"/>
        <v>8.4654016352843191E-4</v>
      </c>
      <c r="Z14" s="388"/>
      <c r="AA14" s="452">
        <v>2684</v>
      </c>
      <c r="AB14" s="452"/>
      <c r="AC14" s="453">
        <f t="shared" si="19"/>
        <v>2684</v>
      </c>
      <c r="AD14" s="450">
        <f t="shared" si="29"/>
        <v>7.1289842892734243E-4</v>
      </c>
      <c r="AE14" s="388"/>
      <c r="AF14" s="452">
        <v>2684</v>
      </c>
      <c r="AG14" s="452"/>
      <c r="AH14" s="592">
        <f t="shared" si="20"/>
        <v>2684</v>
      </c>
      <c r="AI14" s="450">
        <f t="shared" si="4"/>
        <v>1.7860329192185395E-3</v>
      </c>
      <c r="AJ14" s="388"/>
      <c r="AK14" s="452">
        <v>1320</v>
      </c>
      <c r="AL14" s="452"/>
      <c r="AM14" s="669">
        <f t="shared" si="21"/>
        <v>1320</v>
      </c>
      <c r="AN14" s="450" t="e">
        <f t="shared" si="22"/>
        <v>#DIV/0!</v>
      </c>
      <c r="AO14" s="388"/>
      <c r="AP14" s="452"/>
      <c r="AQ14" s="452"/>
      <c r="AR14" s="669">
        <f t="shared" si="23"/>
        <v>0</v>
      </c>
      <c r="AS14" s="450" t="e">
        <f t="shared" si="7"/>
        <v>#DIV/0!</v>
      </c>
      <c r="AT14" s="388"/>
      <c r="AU14" s="452">
        <v>707.26</v>
      </c>
      <c r="AV14" s="452"/>
      <c r="AW14" s="669">
        <f t="shared" si="24"/>
        <v>707.26</v>
      </c>
      <c r="AX14" s="450">
        <f t="shared" si="8"/>
        <v>0.16728096348592086</v>
      </c>
      <c r="AY14" s="388"/>
      <c r="AZ14" s="452"/>
      <c r="BA14" s="452"/>
      <c r="BB14" s="669">
        <f t="shared" si="25"/>
        <v>0</v>
      </c>
      <c r="BC14" s="450" t="e">
        <f t="shared" si="9"/>
        <v>#DIV/0!</v>
      </c>
      <c r="BD14" s="388"/>
      <c r="BE14" s="452"/>
      <c r="BF14" s="452"/>
      <c r="BG14" s="669">
        <f t="shared" si="26"/>
        <v>0</v>
      </c>
      <c r="BH14" s="450" t="e">
        <f t="shared" si="10"/>
        <v>#DIV/0!</v>
      </c>
      <c r="BI14" s="388"/>
      <c r="BJ14" s="39"/>
      <c r="BK14" s="39"/>
      <c r="BL14" s="669">
        <f t="shared" si="27"/>
        <v>0</v>
      </c>
      <c r="BM14" s="450" t="e">
        <f t="shared" si="11"/>
        <v>#DIV/0!</v>
      </c>
      <c r="BN14" s="388"/>
      <c r="BO14" s="39">
        <f t="shared" si="12"/>
        <v>28906.779999999995</v>
      </c>
      <c r="BP14" s="39">
        <f t="shared" si="13"/>
        <v>0</v>
      </c>
      <c r="BQ14" s="453">
        <f t="shared" si="28"/>
        <v>28906.779999999995</v>
      </c>
      <c r="BR14" s="450" t="e">
        <f t="shared" si="5"/>
        <v>#DIV/0!</v>
      </c>
      <c r="BS14" s="456"/>
      <c r="BT14" s="920">
        <v>26760</v>
      </c>
      <c r="BU14" s="921">
        <f t="shared" si="30"/>
        <v>2146.7799999999952</v>
      </c>
    </row>
    <row r="15" spans="1:73" s="2" customFormat="1" ht="13.8" x14ac:dyDescent="0.25">
      <c r="A15" s="238"/>
      <c r="B15" s="499" t="s">
        <v>20</v>
      </c>
      <c r="C15" s="111"/>
      <c r="D15" s="445"/>
      <c r="E15" s="446">
        <f t="shared" si="6"/>
        <v>0</v>
      </c>
      <c r="F15" s="447">
        <f t="shared" si="0"/>
        <v>0</v>
      </c>
      <c r="G15" s="449"/>
      <c r="H15" s="449"/>
      <c r="I15" s="449">
        <f t="shared" si="14"/>
        <v>0</v>
      </c>
      <c r="J15" s="450">
        <f t="shared" si="1"/>
        <v>0</v>
      </c>
      <c r="K15" s="451"/>
      <c r="L15" s="452"/>
      <c r="M15" s="452"/>
      <c r="N15" s="453">
        <f t="shared" si="15"/>
        <v>0</v>
      </c>
      <c r="O15" s="450">
        <f t="shared" si="2"/>
        <v>0</v>
      </c>
      <c r="P15" s="456"/>
      <c r="Q15" s="452"/>
      <c r="R15" s="452"/>
      <c r="S15" s="453">
        <f t="shared" si="16"/>
        <v>0</v>
      </c>
      <c r="T15" s="450">
        <f t="shared" si="3"/>
        <v>0</v>
      </c>
      <c r="U15" s="465"/>
      <c r="V15" s="452"/>
      <c r="W15" s="452"/>
      <c r="X15" s="453">
        <f t="shared" si="17"/>
        <v>0</v>
      </c>
      <c r="Y15" s="450">
        <f t="shared" si="18"/>
        <v>0</v>
      </c>
      <c r="Z15" s="388"/>
      <c r="AA15" s="452"/>
      <c r="AB15" s="452"/>
      <c r="AC15" s="453">
        <f t="shared" si="19"/>
        <v>0</v>
      </c>
      <c r="AD15" s="450">
        <f t="shared" si="29"/>
        <v>0</v>
      </c>
      <c r="AE15" s="388"/>
      <c r="AF15" s="452"/>
      <c r="AG15" s="452"/>
      <c r="AH15" s="592">
        <f t="shared" si="20"/>
        <v>0</v>
      </c>
      <c r="AI15" s="450">
        <f t="shared" si="4"/>
        <v>0</v>
      </c>
      <c r="AJ15" s="388"/>
      <c r="AK15" s="452"/>
      <c r="AL15" s="452">
        <v>34856</v>
      </c>
      <c r="AM15" s="669">
        <f t="shared" si="21"/>
        <v>34856</v>
      </c>
      <c r="AN15" s="450" t="e">
        <f t="shared" si="22"/>
        <v>#DIV/0!</v>
      </c>
      <c r="AO15" s="388"/>
      <c r="AP15" s="452"/>
      <c r="AQ15" s="452">
        <v>45300</v>
      </c>
      <c r="AR15" s="669">
        <f t="shared" si="23"/>
        <v>45300</v>
      </c>
      <c r="AS15" s="450" t="e">
        <f t="shared" si="7"/>
        <v>#DIV/0!</v>
      </c>
      <c r="AT15" s="388"/>
      <c r="AU15" s="452"/>
      <c r="AV15" s="452">
        <v>700</v>
      </c>
      <c r="AW15" s="669">
        <f t="shared" si="24"/>
        <v>700</v>
      </c>
      <c r="AX15" s="450">
        <f t="shared" si="8"/>
        <v>0.1655638300485601</v>
      </c>
      <c r="AY15" s="388"/>
      <c r="AZ15" s="452"/>
      <c r="BA15" s="452"/>
      <c r="BB15" s="669">
        <f t="shared" si="25"/>
        <v>0</v>
      </c>
      <c r="BC15" s="450" t="e">
        <f t="shared" si="9"/>
        <v>#DIV/0!</v>
      </c>
      <c r="BD15" s="388"/>
      <c r="BE15" s="452"/>
      <c r="BF15" s="452"/>
      <c r="BG15" s="669">
        <f t="shared" si="26"/>
        <v>0</v>
      </c>
      <c r="BH15" s="450" t="e">
        <f t="shared" si="10"/>
        <v>#DIV/0!</v>
      </c>
      <c r="BI15" s="388"/>
      <c r="BJ15" s="39"/>
      <c r="BK15" s="39"/>
      <c r="BL15" s="669">
        <f t="shared" si="27"/>
        <v>0</v>
      </c>
      <c r="BM15" s="450" t="e">
        <f t="shared" si="11"/>
        <v>#DIV/0!</v>
      </c>
      <c r="BN15" s="388"/>
      <c r="BO15" s="39">
        <f t="shared" si="12"/>
        <v>0</v>
      </c>
      <c r="BP15" s="39">
        <f t="shared" si="13"/>
        <v>80856</v>
      </c>
      <c r="BQ15" s="453">
        <f t="shared" si="28"/>
        <v>80856</v>
      </c>
      <c r="BR15" s="450" t="e">
        <f t="shared" si="5"/>
        <v>#DIV/0!</v>
      </c>
      <c r="BS15" s="456"/>
      <c r="BT15" s="920">
        <v>80856</v>
      </c>
      <c r="BU15" s="921">
        <f t="shared" si="30"/>
        <v>0</v>
      </c>
    </row>
    <row r="16" spans="1:73" s="2" customFormat="1" ht="27.6" x14ac:dyDescent="0.25">
      <c r="A16" s="292"/>
      <c r="B16" s="499" t="s">
        <v>21</v>
      </c>
      <c r="C16" s="111">
        <v>2785</v>
      </c>
      <c r="D16" s="445">
        <v>1379029</v>
      </c>
      <c r="E16" s="446">
        <f t="shared" si="6"/>
        <v>1381814</v>
      </c>
      <c r="F16" s="447">
        <f t="shared" si="0"/>
        <v>7.8761322054754848E-2</v>
      </c>
      <c r="G16" s="449"/>
      <c r="H16" s="449"/>
      <c r="I16" s="449">
        <f t="shared" si="14"/>
        <v>0</v>
      </c>
      <c r="J16" s="450">
        <f t="shared" si="1"/>
        <v>0</v>
      </c>
      <c r="K16" s="451"/>
      <c r="L16" s="452"/>
      <c r="M16" s="452"/>
      <c r="N16" s="453">
        <f t="shared" si="15"/>
        <v>0</v>
      </c>
      <c r="O16" s="450">
        <f t="shared" si="2"/>
        <v>0</v>
      </c>
      <c r="P16" s="456"/>
      <c r="Q16" s="452"/>
      <c r="R16" s="452"/>
      <c r="S16" s="453">
        <f t="shared" si="16"/>
        <v>0</v>
      </c>
      <c r="T16" s="450">
        <f t="shared" si="3"/>
        <v>0</v>
      </c>
      <c r="U16" s="465"/>
      <c r="V16" s="452"/>
      <c r="W16" s="452">
        <f>500856.2+176256.8+135971.35+7001</f>
        <v>820085.35</v>
      </c>
      <c r="X16" s="453">
        <f t="shared" si="17"/>
        <v>820085.35</v>
      </c>
      <c r="Y16" s="450">
        <f t="shared" si="18"/>
        <v>0.13394543790457428</v>
      </c>
      <c r="Z16" s="388" t="s">
        <v>652</v>
      </c>
      <c r="AA16" s="452"/>
      <c r="AB16" s="452">
        <f>298782.5</f>
        <v>298782.5</v>
      </c>
      <c r="AC16" s="453">
        <f t="shared" si="19"/>
        <v>298782.5</v>
      </c>
      <c r="AD16" s="450">
        <f t="shared" si="29"/>
        <v>7.935975217622343E-2</v>
      </c>
      <c r="AE16" s="388" t="s">
        <v>723</v>
      </c>
      <c r="AF16" s="452"/>
      <c r="AG16" s="452">
        <v>113547.04</v>
      </c>
      <c r="AH16" s="592">
        <f t="shared" si="20"/>
        <v>113547.04</v>
      </c>
      <c r="AI16" s="450">
        <f t="shared" si="4"/>
        <v>7.5558402131082072E-2</v>
      </c>
      <c r="AJ16" s="388" t="s">
        <v>790</v>
      </c>
      <c r="AK16" s="452"/>
      <c r="AL16" s="452">
        <v>47787.5</v>
      </c>
      <c r="AM16" s="669">
        <f t="shared" si="21"/>
        <v>47787.5</v>
      </c>
      <c r="AN16" s="450" t="e">
        <f t="shared" si="22"/>
        <v>#DIV/0!</v>
      </c>
      <c r="AO16" s="388" t="s">
        <v>641</v>
      </c>
      <c r="AP16" s="452"/>
      <c r="AQ16" s="452"/>
      <c r="AR16" s="669">
        <f t="shared" si="23"/>
        <v>0</v>
      </c>
      <c r="AS16" s="450" t="e">
        <f t="shared" si="7"/>
        <v>#DIV/0!</v>
      </c>
      <c r="AT16" s="388"/>
      <c r="AU16" s="452"/>
      <c r="AV16" s="452"/>
      <c r="AW16" s="669">
        <f t="shared" si="24"/>
        <v>0</v>
      </c>
      <c r="AX16" s="450">
        <f t="shared" si="8"/>
        <v>0</v>
      </c>
      <c r="AY16" s="388"/>
      <c r="AZ16" s="452"/>
      <c r="BA16" s="452"/>
      <c r="BB16" s="669">
        <f t="shared" si="25"/>
        <v>0</v>
      </c>
      <c r="BC16" s="450" t="e">
        <f t="shared" si="9"/>
        <v>#DIV/0!</v>
      </c>
      <c r="BD16" s="388"/>
      <c r="BE16" s="452"/>
      <c r="BF16" s="452"/>
      <c r="BG16" s="669">
        <f t="shared" si="26"/>
        <v>0</v>
      </c>
      <c r="BH16" s="450" t="e">
        <f t="shared" si="10"/>
        <v>#DIV/0!</v>
      </c>
      <c r="BI16" s="388"/>
      <c r="BJ16" s="39"/>
      <c r="BK16" s="39"/>
      <c r="BL16" s="669">
        <f t="shared" si="27"/>
        <v>0</v>
      </c>
      <c r="BM16" s="450" t="e">
        <f t="shared" si="11"/>
        <v>#DIV/0!</v>
      </c>
      <c r="BN16" s="388"/>
      <c r="BO16" s="39">
        <f t="shared" si="12"/>
        <v>0</v>
      </c>
      <c r="BP16" s="39">
        <f t="shared" si="13"/>
        <v>1280202.3900000001</v>
      </c>
      <c r="BQ16" s="453">
        <f t="shared" si="28"/>
        <v>1280202.3900000001</v>
      </c>
      <c r="BR16" s="450" t="e">
        <f t="shared" si="5"/>
        <v>#DIV/0!</v>
      </c>
      <c r="BS16" s="456"/>
      <c r="BT16" s="920">
        <v>1452818</v>
      </c>
      <c r="BU16" s="926">
        <f t="shared" si="30"/>
        <v>-172615.60999999987</v>
      </c>
    </row>
    <row r="17" spans="1:73" s="2" customFormat="1" ht="13.8" x14ac:dyDescent="0.25">
      <c r="A17" s="238"/>
      <c r="B17" s="499" t="s">
        <v>22</v>
      </c>
      <c r="C17" s="111"/>
      <c r="D17" s="445"/>
      <c r="E17" s="446">
        <f t="shared" si="6"/>
        <v>0</v>
      </c>
      <c r="F17" s="447">
        <f t="shared" si="0"/>
        <v>0</v>
      </c>
      <c r="G17" s="448"/>
      <c r="H17" s="445"/>
      <c r="I17" s="449">
        <f t="shared" si="14"/>
        <v>0</v>
      </c>
      <c r="J17" s="450">
        <f t="shared" si="1"/>
        <v>0</v>
      </c>
      <c r="K17" s="451"/>
      <c r="L17" s="452"/>
      <c r="M17" s="452"/>
      <c r="N17" s="453">
        <f t="shared" si="15"/>
        <v>0</v>
      </c>
      <c r="O17" s="450">
        <f t="shared" si="2"/>
        <v>0</v>
      </c>
      <c r="P17" s="456"/>
      <c r="Q17" s="452"/>
      <c r="R17" s="452"/>
      <c r="S17" s="453">
        <f t="shared" si="16"/>
        <v>0</v>
      </c>
      <c r="T17" s="450">
        <f t="shared" si="3"/>
        <v>0</v>
      </c>
      <c r="U17" s="465"/>
      <c r="V17" s="452"/>
      <c r="W17" s="452"/>
      <c r="X17" s="453">
        <f t="shared" si="17"/>
        <v>0</v>
      </c>
      <c r="Y17" s="450">
        <f t="shared" si="18"/>
        <v>0</v>
      </c>
      <c r="Z17" s="388"/>
      <c r="AA17" s="452"/>
      <c r="AB17" s="452"/>
      <c r="AC17" s="453">
        <f t="shared" si="19"/>
        <v>0</v>
      </c>
      <c r="AD17" s="450">
        <f t="shared" si="29"/>
        <v>0</v>
      </c>
      <c r="AE17" s="388"/>
      <c r="AF17" s="452"/>
      <c r="AG17" s="452"/>
      <c r="AH17" s="592">
        <f t="shared" si="20"/>
        <v>0</v>
      </c>
      <c r="AI17" s="450">
        <f t="shared" si="4"/>
        <v>0</v>
      </c>
      <c r="AJ17" s="388"/>
      <c r="AK17" s="452"/>
      <c r="AL17" s="452"/>
      <c r="AM17" s="669">
        <f t="shared" si="21"/>
        <v>0</v>
      </c>
      <c r="AN17" s="450" t="e">
        <f t="shared" si="22"/>
        <v>#DIV/0!</v>
      </c>
      <c r="AO17" s="388"/>
      <c r="AP17" s="452"/>
      <c r="AQ17" s="452"/>
      <c r="AR17" s="669">
        <f t="shared" si="23"/>
        <v>0</v>
      </c>
      <c r="AS17" s="450" t="e">
        <f t="shared" si="7"/>
        <v>#DIV/0!</v>
      </c>
      <c r="AT17" s="388"/>
      <c r="AU17" s="452"/>
      <c r="AV17" s="452"/>
      <c r="AW17" s="669">
        <f t="shared" si="24"/>
        <v>0</v>
      </c>
      <c r="AX17" s="450">
        <f t="shared" si="8"/>
        <v>0</v>
      </c>
      <c r="AY17" s="388"/>
      <c r="AZ17" s="452"/>
      <c r="BA17" s="452"/>
      <c r="BB17" s="669">
        <f t="shared" si="25"/>
        <v>0</v>
      </c>
      <c r="BC17" s="450" t="e">
        <f t="shared" si="9"/>
        <v>#DIV/0!</v>
      </c>
      <c r="BD17" s="388"/>
      <c r="BE17" s="452"/>
      <c r="BF17" s="452"/>
      <c r="BG17" s="669">
        <f t="shared" si="26"/>
        <v>0</v>
      </c>
      <c r="BH17" s="450" t="e">
        <f t="shared" si="10"/>
        <v>#DIV/0!</v>
      </c>
      <c r="BI17" s="388"/>
      <c r="BJ17" s="39"/>
      <c r="BK17" s="39"/>
      <c r="BL17" s="669">
        <f t="shared" si="27"/>
        <v>0</v>
      </c>
      <c r="BM17" s="450" t="e">
        <f t="shared" si="11"/>
        <v>#DIV/0!</v>
      </c>
      <c r="BN17" s="388"/>
      <c r="BO17" s="39">
        <f t="shared" si="12"/>
        <v>0</v>
      </c>
      <c r="BP17" s="39">
        <f t="shared" si="13"/>
        <v>0</v>
      </c>
      <c r="BQ17" s="453">
        <f t="shared" si="28"/>
        <v>0</v>
      </c>
      <c r="BR17" s="450" t="e">
        <f t="shared" si="5"/>
        <v>#DIV/0!</v>
      </c>
      <c r="BS17" s="456"/>
      <c r="BT17" s="920"/>
      <c r="BU17" s="921">
        <f t="shared" si="30"/>
        <v>0</v>
      </c>
    </row>
    <row r="18" spans="1:73" s="2" customFormat="1" ht="55.2" x14ac:dyDescent="0.25">
      <c r="A18" s="238"/>
      <c r="B18" s="499" t="s">
        <v>0</v>
      </c>
      <c r="C18" s="111">
        <v>838076</v>
      </c>
      <c r="D18" s="445"/>
      <c r="E18" s="446">
        <f t="shared" si="6"/>
        <v>838076</v>
      </c>
      <c r="F18" s="447">
        <f t="shared" si="0"/>
        <v>4.7769072930481764E-2</v>
      </c>
      <c r="G18" s="448"/>
      <c r="H18" s="449"/>
      <c r="I18" s="449">
        <f t="shared" si="14"/>
        <v>0</v>
      </c>
      <c r="J18" s="450">
        <f t="shared" si="1"/>
        <v>0</v>
      </c>
      <c r="K18" s="451"/>
      <c r="L18" s="452"/>
      <c r="M18" s="452">
        <v>58675.34</v>
      </c>
      <c r="N18" s="453">
        <f t="shared" si="15"/>
        <v>58675.34</v>
      </c>
      <c r="O18" s="450">
        <f t="shared" si="2"/>
        <v>7.9233909494457175E-2</v>
      </c>
      <c r="P18" s="454" t="s">
        <v>488</v>
      </c>
      <c r="Q18" s="495">
        <f>5090</f>
        <v>5090</v>
      </c>
      <c r="R18" s="452">
        <v>400</v>
      </c>
      <c r="S18" s="453">
        <f t="shared" si="16"/>
        <v>5490</v>
      </c>
      <c r="T18" s="450">
        <f t="shared" si="3"/>
        <v>1.3367000317883993E-3</v>
      </c>
      <c r="U18" s="455" t="s">
        <v>605</v>
      </c>
      <c r="V18" s="495">
        <f>75450*1.2</f>
        <v>90540</v>
      </c>
      <c r="W18" s="452"/>
      <c r="X18" s="453">
        <f t="shared" si="17"/>
        <v>90540</v>
      </c>
      <c r="Y18" s="450">
        <f t="shared" si="18"/>
        <v>1.4787997307695054E-2</v>
      </c>
      <c r="Z18" s="388" t="s">
        <v>664</v>
      </c>
      <c r="AA18" s="495">
        <f>13625*1.2+17315*1.2</f>
        <v>37128</v>
      </c>
      <c r="AB18" s="452">
        <v>35000</v>
      </c>
      <c r="AC18" s="453">
        <f t="shared" si="19"/>
        <v>72128</v>
      </c>
      <c r="AD18" s="450">
        <f t="shared" si="29"/>
        <v>1.9157950030428972E-2</v>
      </c>
      <c r="AE18" s="388" t="s">
        <v>746</v>
      </c>
      <c r="AF18" s="495"/>
      <c r="AG18" s="452"/>
      <c r="AH18" s="592">
        <f t="shared" si="20"/>
        <v>0</v>
      </c>
      <c r="AI18" s="450">
        <f t="shared" si="4"/>
        <v>0</v>
      </c>
      <c r="AJ18" s="388"/>
      <c r="AK18" s="495">
        <f>205254+45087</f>
        <v>250341</v>
      </c>
      <c r="AL18" s="452"/>
      <c r="AM18" s="669">
        <f t="shared" si="21"/>
        <v>250341</v>
      </c>
      <c r="AN18" s="450" t="e">
        <f t="shared" si="22"/>
        <v>#DIV/0!</v>
      </c>
      <c r="AO18" s="388" t="s">
        <v>859</v>
      </c>
      <c r="AP18" s="495"/>
      <c r="AQ18" s="452"/>
      <c r="AR18" s="669">
        <f t="shared" si="23"/>
        <v>0</v>
      </c>
      <c r="AS18" s="450" t="e">
        <f t="shared" si="7"/>
        <v>#DIV/0!</v>
      </c>
      <c r="AT18" s="388"/>
      <c r="AU18" s="495"/>
      <c r="AV18" s="452"/>
      <c r="AW18" s="669">
        <f t="shared" si="24"/>
        <v>0</v>
      </c>
      <c r="AX18" s="450">
        <f t="shared" si="8"/>
        <v>0</v>
      </c>
      <c r="AY18" s="388"/>
      <c r="AZ18" s="495">
        <f>81485*1.2</f>
        <v>97782</v>
      </c>
      <c r="BA18" s="452">
        <v>11000</v>
      </c>
      <c r="BB18" s="669">
        <f t="shared" si="25"/>
        <v>108782</v>
      </c>
      <c r="BC18" s="450" t="e">
        <f t="shared" si="9"/>
        <v>#DIV/0!</v>
      </c>
      <c r="BD18" s="388" t="s">
        <v>914</v>
      </c>
      <c r="BE18" s="495"/>
      <c r="BF18" s="452"/>
      <c r="BG18" s="669">
        <f t="shared" si="26"/>
        <v>0</v>
      </c>
      <c r="BH18" s="450" t="e">
        <f t="shared" si="10"/>
        <v>#DIV/0!</v>
      </c>
      <c r="BI18" s="388"/>
      <c r="BJ18" s="39"/>
      <c r="BK18" s="39"/>
      <c r="BL18" s="669">
        <f t="shared" si="27"/>
        <v>0</v>
      </c>
      <c r="BM18" s="450" t="e">
        <f t="shared" si="11"/>
        <v>#DIV/0!</v>
      </c>
      <c r="BN18" s="388"/>
      <c r="BO18" s="39">
        <f t="shared" si="12"/>
        <v>480881</v>
      </c>
      <c r="BP18" s="39">
        <f t="shared" si="13"/>
        <v>105075.34</v>
      </c>
      <c r="BQ18" s="453">
        <f t="shared" si="28"/>
        <v>585956.34</v>
      </c>
      <c r="BR18" s="450" t="e">
        <f t="shared" si="5"/>
        <v>#DIV/0!</v>
      </c>
      <c r="BS18" s="456"/>
      <c r="BT18" s="919">
        <v>667140</v>
      </c>
      <c r="BU18" s="921">
        <f t="shared" si="30"/>
        <v>-81183.660000000033</v>
      </c>
    </row>
    <row r="19" spans="1:73" s="2" customFormat="1" ht="27.6" x14ac:dyDescent="0.25">
      <c r="A19" s="238"/>
      <c r="B19" s="471" t="s">
        <v>53</v>
      </c>
      <c r="C19" s="114"/>
      <c r="D19" s="445"/>
      <c r="E19" s="446">
        <f t="shared" si="6"/>
        <v>0</v>
      </c>
      <c r="F19" s="447">
        <f t="shared" si="0"/>
        <v>0</v>
      </c>
      <c r="G19" s="448"/>
      <c r="H19" s="445"/>
      <c r="I19" s="449">
        <f t="shared" si="14"/>
        <v>0</v>
      </c>
      <c r="J19" s="450">
        <f t="shared" si="1"/>
        <v>0</v>
      </c>
      <c r="K19" s="451"/>
      <c r="L19" s="452"/>
      <c r="M19" s="452"/>
      <c r="N19" s="453">
        <f t="shared" si="15"/>
        <v>0</v>
      </c>
      <c r="O19" s="450">
        <f t="shared" si="2"/>
        <v>0</v>
      </c>
      <c r="P19" s="454"/>
      <c r="Q19" s="452"/>
      <c r="R19" s="452"/>
      <c r="S19" s="453">
        <f t="shared" si="16"/>
        <v>0</v>
      </c>
      <c r="T19" s="450">
        <f t="shared" si="3"/>
        <v>0</v>
      </c>
      <c r="U19" s="462"/>
      <c r="V19" s="452">
        <v>1300</v>
      </c>
      <c r="W19" s="452"/>
      <c r="X19" s="453">
        <f t="shared" si="17"/>
        <v>1300</v>
      </c>
      <c r="Y19" s="450">
        <f t="shared" si="18"/>
        <v>2.1233042301749028E-4</v>
      </c>
      <c r="Z19" s="388" t="s">
        <v>660</v>
      </c>
      <c r="AA19" s="452"/>
      <c r="AB19" s="452"/>
      <c r="AC19" s="453">
        <f t="shared" si="19"/>
        <v>0</v>
      </c>
      <c r="AD19" s="450">
        <f t="shared" si="29"/>
        <v>0</v>
      </c>
      <c r="AE19" s="388"/>
      <c r="AF19" s="452"/>
      <c r="AG19" s="452"/>
      <c r="AH19" s="592">
        <f t="shared" si="20"/>
        <v>0</v>
      </c>
      <c r="AI19" s="450">
        <f t="shared" si="4"/>
        <v>0</v>
      </c>
      <c r="AJ19" s="388"/>
      <c r="AK19" s="452"/>
      <c r="AL19" s="452"/>
      <c r="AM19" s="669">
        <f t="shared" si="21"/>
        <v>0</v>
      </c>
      <c r="AN19" s="450" t="e">
        <f t="shared" si="22"/>
        <v>#DIV/0!</v>
      </c>
      <c r="AO19" s="388"/>
      <c r="AP19" s="452"/>
      <c r="AQ19" s="452"/>
      <c r="AR19" s="669">
        <f t="shared" si="23"/>
        <v>0</v>
      </c>
      <c r="AS19" s="450" t="e">
        <f t="shared" si="7"/>
        <v>#DIV/0!</v>
      </c>
      <c r="AT19" s="388"/>
      <c r="AU19" s="452"/>
      <c r="AV19" s="452"/>
      <c r="AW19" s="669">
        <f t="shared" si="24"/>
        <v>0</v>
      </c>
      <c r="AX19" s="450">
        <f t="shared" si="8"/>
        <v>0</v>
      </c>
      <c r="AY19" s="388"/>
      <c r="AZ19" s="452"/>
      <c r="BA19" s="452"/>
      <c r="BB19" s="669">
        <f t="shared" si="25"/>
        <v>0</v>
      </c>
      <c r="BC19" s="450" t="e">
        <f t="shared" si="9"/>
        <v>#DIV/0!</v>
      </c>
      <c r="BD19" s="388"/>
      <c r="BE19" s="452"/>
      <c r="BF19" s="452"/>
      <c r="BG19" s="669">
        <f t="shared" si="26"/>
        <v>0</v>
      </c>
      <c r="BH19" s="450" t="e">
        <f t="shared" si="10"/>
        <v>#DIV/0!</v>
      </c>
      <c r="BI19" s="388"/>
      <c r="BJ19" s="39"/>
      <c r="BK19" s="39"/>
      <c r="BL19" s="669">
        <f t="shared" si="27"/>
        <v>0</v>
      </c>
      <c r="BM19" s="450" t="e">
        <f t="shared" si="11"/>
        <v>#DIV/0!</v>
      </c>
      <c r="BN19" s="388"/>
      <c r="BO19" s="39">
        <f t="shared" si="12"/>
        <v>1300</v>
      </c>
      <c r="BP19" s="39">
        <f t="shared" si="13"/>
        <v>0</v>
      </c>
      <c r="BQ19" s="453">
        <f t="shared" si="28"/>
        <v>1300</v>
      </c>
      <c r="BR19" s="450" t="e">
        <f t="shared" si="5"/>
        <v>#DIV/0!</v>
      </c>
      <c r="BS19" s="456"/>
      <c r="BT19" s="919">
        <v>1300</v>
      </c>
      <c r="BU19" s="921">
        <f t="shared" si="30"/>
        <v>0</v>
      </c>
    </row>
    <row r="20" spans="1:73" s="2" customFormat="1" ht="13.8" x14ac:dyDescent="0.25">
      <c r="A20" s="238"/>
      <c r="B20" s="471" t="s">
        <v>57</v>
      </c>
      <c r="C20" s="114">
        <v>73946.25</v>
      </c>
      <c r="D20" s="445"/>
      <c r="E20" s="446">
        <f t="shared" si="6"/>
        <v>73946.25</v>
      </c>
      <c r="F20" s="447">
        <f t="shared" si="0"/>
        <v>4.2148251580830824E-3</v>
      </c>
      <c r="G20" s="448"/>
      <c r="H20" s="445"/>
      <c r="I20" s="449">
        <f t="shared" si="14"/>
        <v>0</v>
      </c>
      <c r="J20" s="450">
        <f t="shared" si="1"/>
        <v>0</v>
      </c>
      <c r="K20" s="451"/>
      <c r="L20" s="452">
        <v>47552</v>
      </c>
      <c r="M20" s="452"/>
      <c r="N20" s="453">
        <f t="shared" si="15"/>
        <v>47552</v>
      </c>
      <c r="O20" s="450">
        <f t="shared" si="2"/>
        <v>6.4213191849939483E-2</v>
      </c>
      <c r="P20" s="456" t="s">
        <v>528</v>
      </c>
      <c r="Q20" s="452">
        <f>129862.6</f>
        <v>129862.6</v>
      </c>
      <c r="R20" s="452"/>
      <c r="S20" s="453">
        <f t="shared" si="16"/>
        <v>129862.6</v>
      </c>
      <c r="T20" s="450">
        <f t="shared" si="3"/>
        <v>3.1618823597108235E-2</v>
      </c>
      <c r="U20" s="460" t="s">
        <v>598</v>
      </c>
      <c r="V20" s="452">
        <f>(46371.15)*1.2</f>
        <v>55645.38</v>
      </c>
      <c r="W20" s="452"/>
      <c r="X20" s="453">
        <f t="shared" si="17"/>
        <v>55645.38</v>
      </c>
      <c r="Y20" s="450">
        <f t="shared" si="18"/>
        <v>9.0886208264376878E-3</v>
      </c>
      <c r="Z20" s="388" t="s">
        <v>710</v>
      </c>
      <c r="AA20" s="452">
        <f>16892.89*1.2</f>
        <v>20271.467999999997</v>
      </c>
      <c r="AB20" s="452"/>
      <c r="AC20" s="453">
        <f t="shared" si="19"/>
        <v>20271.467999999997</v>
      </c>
      <c r="AD20" s="450">
        <f t="shared" si="29"/>
        <v>5.3843135951009294E-3</v>
      </c>
      <c r="AE20" s="388" t="s">
        <v>745</v>
      </c>
      <c r="AF20" s="452">
        <v>168.14</v>
      </c>
      <c r="AG20" s="452"/>
      <c r="AH20" s="592">
        <f t="shared" si="20"/>
        <v>168.14</v>
      </c>
      <c r="AI20" s="450">
        <f t="shared" si="4"/>
        <v>1.1188657788278883E-4</v>
      </c>
      <c r="AJ20" s="388" t="s">
        <v>758</v>
      </c>
      <c r="AK20" s="452">
        <v>162.72</v>
      </c>
      <c r="AL20" s="452"/>
      <c r="AM20" s="669">
        <f t="shared" si="21"/>
        <v>162.72</v>
      </c>
      <c r="AN20" s="450" t="e">
        <f t="shared" si="22"/>
        <v>#DIV/0!</v>
      </c>
      <c r="AO20" s="388" t="s">
        <v>758</v>
      </c>
      <c r="AP20" s="452">
        <f>107.88*1.2</f>
        <v>129.45599999999999</v>
      </c>
      <c r="AQ20" s="452"/>
      <c r="AR20" s="669">
        <f t="shared" si="23"/>
        <v>129.45599999999999</v>
      </c>
      <c r="AS20" s="450" t="e">
        <f t="shared" si="7"/>
        <v>#DIV/0!</v>
      </c>
      <c r="AT20" s="388" t="s">
        <v>758</v>
      </c>
      <c r="AU20" s="452"/>
      <c r="AV20" s="452"/>
      <c r="AW20" s="669">
        <f t="shared" si="24"/>
        <v>0</v>
      </c>
      <c r="AX20" s="450">
        <f t="shared" si="8"/>
        <v>0</v>
      </c>
      <c r="AY20" s="388" t="s">
        <v>758</v>
      </c>
      <c r="AZ20" s="452"/>
      <c r="BA20" s="452"/>
      <c r="BB20" s="669">
        <f t="shared" si="25"/>
        <v>0</v>
      </c>
      <c r="BC20" s="450" t="e">
        <f t="shared" si="9"/>
        <v>#DIV/0!</v>
      </c>
      <c r="BD20" s="388"/>
      <c r="BE20" s="452"/>
      <c r="BF20" s="452"/>
      <c r="BG20" s="669">
        <f t="shared" si="26"/>
        <v>0</v>
      </c>
      <c r="BH20" s="450" t="e">
        <f t="shared" si="10"/>
        <v>#DIV/0!</v>
      </c>
      <c r="BI20" s="388"/>
      <c r="BJ20" s="39"/>
      <c r="BK20" s="39"/>
      <c r="BL20" s="669">
        <f t="shared" si="27"/>
        <v>0</v>
      </c>
      <c r="BM20" s="450" t="e">
        <f t="shared" si="11"/>
        <v>#DIV/0!</v>
      </c>
      <c r="BN20" s="388"/>
      <c r="BO20" s="39">
        <f t="shared" si="12"/>
        <v>253791.76400000002</v>
      </c>
      <c r="BP20" s="39">
        <f t="shared" si="13"/>
        <v>0</v>
      </c>
      <c r="BQ20" s="453">
        <f>BO20+BP20*1</f>
        <v>253791.76400000002</v>
      </c>
      <c r="BR20" s="450" t="e">
        <f>BQ20/$BQ$89</f>
        <v>#DIV/0!</v>
      </c>
      <c r="BS20" s="456"/>
      <c r="BT20" s="920">
        <v>253695</v>
      </c>
      <c r="BU20" s="921">
        <f t="shared" si="30"/>
        <v>96.76400000002468</v>
      </c>
    </row>
    <row r="21" spans="1:73" s="2" customFormat="1" ht="40.950000000000003" customHeight="1" x14ac:dyDescent="0.25">
      <c r="A21" s="238"/>
      <c r="B21" s="471" t="s">
        <v>58</v>
      </c>
      <c r="C21" s="114">
        <v>1219254</v>
      </c>
      <c r="D21" s="445"/>
      <c r="E21" s="446">
        <f t="shared" si="6"/>
        <v>1219254</v>
      </c>
      <c r="F21" s="447">
        <f t="shared" si="0"/>
        <v>6.9495646274062989E-2</v>
      </c>
      <c r="G21" s="448">
        <f>(182*393.7+141.5*728.43+193*243.17+1*437.17+11*2000+125*251.16)+7700*1.2</f>
        <v>284730.22499999998</v>
      </c>
      <c r="H21" s="445">
        <v>1800</v>
      </c>
      <c r="I21" s="449">
        <f t="shared" si="14"/>
        <v>286530.22499999998</v>
      </c>
      <c r="J21" s="450">
        <f t="shared" si="1"/>
        <v>0.39941881400533147</v>
      </c>
      <c r="K21" s="451" t="s">
        <v>397</v>
      </c>
      <c r="L21" s="452">
        <f>(145*393.7+69*728.43+127*243.17+93*243.17+78*251.16+23*437.17+12*2000)+570*16.08+15840</f>
        <v>239496.56000000003</v>
      </c>
      <c r="M21" s="452"/>
      <c r="N21" s="453">
        <f t="shared" si="15"/>
        <v>239496.56000000003</v>
      </c>
      <c r="O21" s="450">
        <f t="shared" si="2"/>
        <v>0.32341097229728599</v>
      </c>
      <c r="P21" s="454" t="s">
        <v>526</v>
      </c>
      <c r="Q21" s="452">
        <f>(85464+45891+52749+47399+9293+27554+34492)</f>
        <v>302842</v>
      </c>
      <c r="R21" s="452"/>
      <c r="S21" s="453">
        <f t="shared" si="16"/>
        <v>302842</v>
      </c>
      <c r="T21" s="450">
        <f t="shared" si="3"/>
        <v>7.3735685068645251E-2</v>
      </c>
      <c r="U21" s="455" t="s">
        <v>600</v>
      </c>
      <c r="V21" s="452">
        <v>191536</v>
      </c>
      <c r="W21" s="452"/>
      <c r="X21" s="453">
        <f t="shared" si="17"/>
        <v>191536</v>
      </c>
      <c r="Y21" s="450">
        <f t="shared" si="18"/>
        <v>3.1283784540829244E-2</v>
      </c>
      <c r="Z21" s="388" t="s">
        <v>659</v>
      </c>
      <c r="AA21" s="452">
        <v>230001.12</v>
      </c>
      <c r="AB21" s="452"/>
      <c r="AC21" s="453">
        <f t="shared" si="19"/>
        <v>230001.12</v>
      </c>
      <c r="AD21" s="450">
        <f t="shared" si="29"/>
        <v>6.1090699366441563E-2</v>
      </c>
      <c r="AE21" s="388" t="s">
        <v>741</v>
      </c>
      <c r="AF21" s="452">
        <v>146237.96</v>
      </c>
      <c r="AG21" s="452"/>
      <c r="AH21" s="592">
        <f t="shared" si="20"/>
        <v>146237.96</v>
      </c>
      <c r="AI21" s="450">
        <f t="shared" si="4"/>
        <v>9.7312149999763051E-2</v>
      </c>
      <c r="AJ21" s="388" t="s">
        <v>804</v>
      </c>
      <c r="AK21" s="452">
        <v>102721.82</v>
      </c>
      <c r="AL21" s="452"/>
      <c r="AM21" s="669">
        <f t="shared" si="21"/>
        <v>102721.82</v>
      </c>
      <c r="AN21" s="450" t="e">
        <f t="shared" si="22"/>
        <v>#DIV/0!</v>
      </c>
      <c r="AO21" s="388" t="s">
        <v>829</v>
      </c>
      <c r="AP21" s="452"/>
      <c r="AQ21" s="452"/>
      <c r="AR21" s="669">
        <f t="shared" si="23"/>
        <v>0</v>
      </c>
      <c r="AS21" s="450" t="e">
        <f t="shared" si="7"/>
        <v>#DIV/0!</v>
      </c>
      <c r="AT21" s="388"/>
      <c r="AU21" s="452"/>
      <c r="AV21" s="452"/>
      <c r="AW21" s="669">
        <f t="shared" si="24"/>
        <v>0</v>
      </c>
      <c r="AX21" s="450">
        <f t="shared" si="8"/>
        <v>0</v>
      </c>
      <c r="AY21" s="388"/>
      <c r="AZ21" s="452"/>
      <c r="BA21" s="452"/>
      <c r="BB21" s="669">
        <f t="shared" si="25"/>
        <v>0</v>
      </c>
      <c r="BC21" s="450" t="e">
        <f t="shared" si="9"/>
        <v>#DIV/0!</v>
      </c>
      <c r="BD21" s="388"/>
      <c r="BE21" s="452"/>
      <c r="BF21" s="452"/>
      <c r="BG21" s="669">
        <f t="shared" si="26"/>
        <v>0</v>
      </c>
      <c r="BH21" s="450" t="e">
        <f t="shared" si="10"/>
        <v>#DIV/0!</v>
      </c>
      <c r="BI21" s="388"/>
      <c r="BJ21" s="39"/>
      <c r="BK21" s="39"/>
      <c r="BL21" s="669">
        <f t="shared" si="27"/>
        <v>0</v>
      </c>
      <c r="BM21" s="450" t="e">
        <f t="shared" si="11"/>
        <v>#DIV/0!</v>
      </c>
      <c r="BN21" s="388"/>
      <c r="BO21" s="39">
        <f t="shared" si="12"/>
        <v>1497565.6850000001</v>
      </c>
      <c r="BP21" s="39">
        <f t="shared" si="13"/>
        <v>1800</v>
      </c>
      <c r="BQ21" s="453">
        <f>BO21+BP21*1</f>
        <v>1499365.6850000001</v>
      </c>
      <c r="BR21" s="450" t="e">
        <f>BQ21/$BQ$89</f>
        <v>#DIV/0!</v>
      </c>
      <c r="BS21" s="456"/>
      <c r="BT21" s="920">
        <v>1510066</v>
      </c>
      <c r="BU21" s="921">
        <f t="shared" si="30"/>
        <v>-10700.314999999944</v>
      </c>
    </row>
    <row r="22" spans="1:73" s="2" customFormat="1" ht="27.6" x14ac:dyDescent="0.25">
      <c r="A22" s="238"/>
      <c r="B22" s="471" t="s">
        <v>621</v>
      </c>
      <c r="C22" s="114"/>
      <c r="D22" s="445"/>
      <c r="E22" s="446">
        <f>C22+D22</f>
        <v>0</v>
      </c>
      <c r="F22" s="447">
        <f t="shared" si="0"/>
        <v>0</v>
      </c>
      <c r="G22" s="448"/>
      <c r="H22" s="445"/>
      <c r="I22" s="449"/>
      <c r="J22" s="450"/>
      <c r="K22" s="451"/>
      <c r="L22" s="452"/>
      <c r="M22" s="452"/>
      <c r="N22" s="453"/>
      <c r="O22" s="450"/>
      <c r="P22" s="454"/>
      <c r="Q22" s="452"/>
      <c r="R22" s="452"/>
      <c r="S22" s="453"/>
      <c r="T22" s="450">
        <f t="shared" si="3"/>
        <v>0</v>
      </c>
      <c r="U22" s="455"/>
      <c r="V22" s="452">
        <f>5416.67*1.2</f>
        <v>6500.0039999999999</v>
      </c>
      <c r="W22" s="452"/>
      <c r="X22" s="453">
        <f t="shared" si="17"/>
        <v>6500.0039999999999</v>
      </c>
      <c r="Y22" s="450">
        <f t="shared" si="18"/>
        <v>1.06165276841183E-3</v>
      </c>
      <c r="Z22" s="388" t="s">
        <v>662</v>
      </c>
      <c r="AA22" s="452"/>
      <c r="AB22" s="452"/>
      <c r="AC22" s="453"/>
      <c r="AD22" s="450">
        <f t="shared" si="29"/>
        <v>0</v>
      </c>
      <c r="AE22" s="388"/>
      <c r="AF22" s="452"/>
      <c r="AG22" s="452">
        <v>3300</v>
      </c>
      <c r="AH22" s="592">
        <f t="shared" si="20"/>
        <v>3300</v>
      </c>
      <c r="AI22" s="450">
        <f t="shared" si="4"/>
        <v>2.1959421137932862E-3</v>
      </c>
      <c r="AJ22" s="388" t="s">
        <v>803</v>
      </c>
      <c r="AK22" s="452"/>
      <c r="AL22" s="452">
        <f>4800+2000</f>
        <v>6800</v>
      </c>
      <c r="AM22" s="669">
        <f t="shared" si="21"/>
        <v>6800</v>
      </c>
      <c r="AN22" s="450" t="e">
        <f t="shared" si="22"/>
        <v>#DIV/0!</v>
      </c>
      <c r="AO22" s="388" t="s">
        <v>823</v>
      </c>
      <c r="AP22" s="452"/>
      <c r="AQ22" s="452">
        <v>12000</v>
      </c>
      <c r="AR22" s="669">
        <f t="shared" si="23"/>
        <v>12000</v>
      </c>
      <c r="AS22" s="450" t="e">
        <f t="shared" si="7"/>
        <v>#DIV/0!</v>
      </c>
      <c r="AT22" s="388" t="s">
        <v>871</v>
      </c>
      <c r="AU22" s="452"/>
      <c r="AV22" s="452"/>
      <c r="AW22" s="669">
        <f t="shared" si="24"/>
        <v>0</v>
      </c>
      <c r="AX22" s="450">
        <f t="shared" si="8"/>
        <v>0</v>
      </c>
      <c r="AY22" s="388" t="s">
        <v>871</v>
      </c>
      <c r="AZ22" s="452"/>
      <c r="BA22" s="452"/>
      <c r="BB22" s="669">
        <f t="shared" si="25"/>
        <v>0</v>
      </c>
      <c r="BC22" s="450" t="e">
        <f t="shared" si="9"/>
        <v>#DIV/0!</v>
      </c>
      <c r="BD22" s="388"/>
      <c r="BE22" s="452"/>
      <c r="BF22" s="452"/>
      <c r="BG22" s="669">
        <f t="shared" si="26"/>
        <v>0</v>
      </c>
      <c r="BH22" s="450" t="e">
        <f t="shared" si="10"/>
        <v>#DIV/0!</v>
      </c>
      <c r="BI22" s="388"/>
      <c r="BJ22" s="39"/>
      <c r="BK22" s="39"/>
      <c r="BL22" s="669">
        <f t="shared" si="27"/>
        <v>0</v>
      </c>
      <c r="BM22" s="450" t="e">
        <f t="shared" si="11"/>
        <v>#DIV/0!</v>
      </c>
      <c r="BN22" s="388"/>
      <c r="BO22" s="39">
        <f t="shared" si="12"/>
        <v>6500.0039999999999</v>
      </c>
      <c r="BP22" s="39">
        <f t="shared" si="13"/>
        <v>22100</v>
      </c>
      <c r="BQ22" s="453">
        <f>BO22+BP22*1</f>
        <v>28600.004000000001</v>
      </c>
      <c r="BR22" s="450" t="e">
        <f>BQ22/$BQ$89</f>
        <v>#DIV/0!</v>
      </c>
      <c r="BS22" s="456"/>
      <c r="BT22" s="920">
        <v>22100</v>
      </c>
      <c r="BU22" s="921">
        <f t="shared" si="30"/>
        <v>6500.0040000000008</v>
      </c>
    </row>
    <row r="23" spans="1:73" s="2" customFormat="1" ht="13.8" x14ac:dyDescent="0.25">
      <c r="A23" s="238"/>
      <c r="B23" s="471" t="s">
        <v>630</v>
      </c>
      <c r="C23" s="114"/>
      <c r="D23" s="445"/>
      <c r="E23" s="446"/>
      <c r="F23" s="447"/>
      <c r="G23" s="448"/>
      <c r="H23" s="445"/>
      <c r="I23" s="449"/>
      <c r="J23" s="450"/>
      <c r="K23" s="451"/>
      <c r="L23" s="452"/>
      <c r="M23" s="452"/>
      <c r="N23" s="453"/>
      <c r="O23" s="450"/>
      <c r="P23" s="454"/>
      <c r="Q23" s="452"/>
      <c r="R23" s="452"/>
      <c r="S23" s="453"/>
      <c r="T23" s="450"/>
      <c r="U23" s="455"/>
      <c r="V23" s="452"/>
      <c r="W23" s="452"/>
      <c r="X23" s="453">
        <f t="shared" si="17"/>
        <v>0</v>
      </c>
      <c r="Y23" s="450">
        <f t="shared" si="18"/>
        <v>0</v>
      </c>
      <c r="Z23" s="388"/>
      <c r="AA23" s="452"/>
      <c r="AB23" s="452"/>
      <c r="AC23" s="453"/>
      <c r="AD23" s="450">
        <f t="shared" si="29"/>
        <v>0</v>
      </c>
      <c r="AE23" s="388"/>
      <c r="AF23" s="452"/>
      <c r="AG23" s="452"/>
      <c r="AH23" s="592">
        <f t="shared" si="20"/>
        <v>0</v>
      </c>
      <c r="AI23" s="450">
        <f t="shared" si="4"/>
        <v>0</v>
      </c>
      <c r="AJ23" s="388"/>
      <c r="AK23" s="452"/>
      <c r="AL23" s="452"/>
      <c r="AM23" s="669">
        <f t="shared" si="21"/>
        <v>0</v>
      </c>
      <c r="AN23" s="450" t="e">
        <f t="shared" si="22"/>
        <v>#DIV/0!</v>
      </c>
      <c r="AO23" s="388"/>
      <c r="AP23" s="452"/>
      <c r="AQ23" s="452"/>
      <c r="AR23" s="669">
        <f t="shared" si="23"/>
        <v>0</v>
      </c>
      <c r="AS23" s="450" t="e">
        <f t="shared" si="7"/>
        <v>#DIV/0!</v>
      </c>
      <c r="AT23" s="388"/>
      <c r="AU23" s="452"/>
      <c r="AV23" s="452"/>
      <c r="AW23" s="669">
        <f t="shared" si="24"/>
        <v>0</v>
      </c>
      <c r="AX23" s="450">
        <f t="shared" si="8"/>
        <v>0</v>
      </c>
      <c r="AY23" s="388"/>
      <c r="AZ23" s="452"/>
      <c r="BA23" s="452"/>
      <c r="BB23" s="669">
        <f t="shared" si="25"/>
        <v>0</v>
      </c>
      <c r="BC23" s="450" t="e">
        <f t="shared" si="9"/>
        <v>#DIV/0!</v>
      </c>
      <c r="BD23" s="388"/>
      <c r="BE23" s="452"/>
      <c r="BF23" s="452"/>
      <c r="BG23" s="669">
        <f t="shared" si="26"/>
        <v>0</v>
      </c>
      <c r="BH23" s="450" t="e">
        <f t="shared" si="10"/>
        <v>#DIV/0!</v>
      </c>
      <c r="BI23" s="388"/>
      <c r="BJ23" s="39"/>
      <c r="BK23" s="39"/>
      <c r="BL23" s="669">
        <f t="shared" si="27"/>
        <v>0</v>
      </c>
      <c r="BM23" s="450" t="e">
        <f t="shared" si="11"/>
        <v>#DIV/0!</v>
      </c>
      <c r="BN23" s="388"/>
      <c r="BO23" s="39">
        <f t="shared" si="12"/>
        <v>0</v>
      </c>
      <c r="BP23" s="39">
        <f t="shared" si="13"/>
        <v>0</v>
      </c>
      <c r="BQ23" s="453">
        <f>BO23+BP23*1</f>
        <v>0</v>
      </c>
      <c r="BR23" s="450" t="e">
        <f>BQ23/$BQ$89</f>
        <v>#DIV/0!</v>
      </c>
      <c r="BS23" s="456"/>
      <c r="BT23" s="920"/>
      <c r="BU23" s="921">
        <f t="shared" si="30"/>
        <v>0</v>
      </c>
    </row>
    <row r="24" spans="1:73" s="2" customFormat="1" ht="41.4" x14ac:dyDescent="0.25">
      <c r="A24" s="238"/>
      <c r="B24" s="471" t="s">
        <v>23</v>
      </c>
      <c r="C24" s="114">
        <v>184000</v>
      </c>
      <c r="D24" s="445"/>
      <c r="E24" s="446">
        <f t="shared" si="6"/>
        <v>184000</v>
      </c>
      <c r="F24" s="447">
        <f t="shared" ref="F24:F33" si="31">E24/$E$89</f>
        <v>1.0487723570665006E-2</v>
      </c>
      <c r="G24" s="448">
        <f>87700+27000</f>
        <v>114700</v>
      </c>
      <c r="H24" s="445"/>
      <c r="I24" s="449">
        <f t="shared" si="14"/>
        <v>114700</v>
      </c>
      <c r="J24" s="450">
        <f t="shared" ref="J24:J55" si="32">I24/$I$89</f>
        <v>0.15989007081682752</v>
      </c>
      <c r="K24" s="451" t="s">
        <v>384</v>
      </c>
      <c r="L24" s="452">
        <f>34100+200+36500</f>
        <v>70800</v>
      </c>
      <c r="M24" s="452"/>
      <c r="N24" s="453">
        <f t="shared" si="15"/>
        <v>70800</v>
      </c>
      <c r="O24" s="450">
        <f t="shared" ref="O24:O33" si="33">N24/$N$89</f>
        <v>9.5606787999994003E-2</v>
      </c>
      <c r="P24" s="454" t="s">
        <v>527</v>
      </c>
      <c r="Q24" s="452">
        <f>47000+2790+200</f>
        <v>49990</v>
      </c>
      <c r="R24" s="452"/>
      <c r="S24" s="453">
        <f t="shared" si="16"/>
        <v>49990</v>
      </c>
      <c r="T24" s="450">
        <f t="shared" ref="T24:T33" si="34">S24/$S$89</f>
        <v>1.2171518140091453E-2</v>
      </c>
      <c r="U24" s="455" t="s">
        <v>597</v>
      </c>
      <c r="V24" s="452">
        <f>(166.67+14583.33+2325)*1.2</f>
        <v>20490</v>
      </c>
      <c r="W24" s="452"/>
      <c r="X24" s="453">
        <f t="shared" ref="X24:X33" si="35">V24+W24*1</f>
        <v>20490</v>
      </c>
      <c r="Y24" s="450">
        <f t="shared" si="18"/>
        <v>3.3466541289449048E-3</v>
      </c>
      <c r="Z24" s="388" t="s">
        <v>661</v>
      </c>
      <c r="AA24" s="452">
        <f>25662.5*1.2</f>
        <v>30795</v>
      </c>
      <c r="AB24" s="452"/>
      <c r="AC24" s="453">
        <f t="shared" ref="AC24:AC33" si="36">AA24+AB24*1</f>
        <v>30795</v>
      </c>
      <c r="AD24" s="450">
        <f t="shared" si="29"/>
        <v>8.1794735912136783E-3</v>
      </c>
      <c r="AE24" s="388" t="s">
        <v>744</v>
      </c>
      <c r="AF24" s="452">
        <v>9000</v>
      </c>
      <c r="AG24" s="452"/>
      <c r="AH24" s="592">
        <f t="shared" ref="AH24:AH33" si="37">AF24+AG24*1</f>
        <v>9000</v>
      </c>
      <c r="AI24" s="450">
        <f t="shared" si="4"/>
        <v>5.9889330376180537E-3</v>
      </c>
      <c r="AJ24" s="388" t="s">
        <v>805</v>
      </c>
      <c r="AK24" s="452"/>
      <c r="AL24" s="452"/>
      <c r="AM24" s="669">
        <f t="shared" si="21"/>
        <v>0</v>
      </c>
      <c r="AN24" s="450" t="e">
        <f t="shared" si="22"/>
        <v>#DIV/0!</v>
      </c>
      <c r="AO24" s="388"/>
      <c r="AP24" s="452"/>
      <c r="AQ24" s="452"/>
      <c r="AR24" s="669">
        <f t="shared" si="23"/>
        <v>0</v>
      </c>
      <c r="AS24" s="450" t="e">
        <f t="shared" si="7"/>
        <v>#DIV/0!</v>
      </c>
      <c r="AT24" s="388"/>
      <c r="AU24" s="452"/>
      <c r="AV24" s="452"/>
      <c r="AW24" s="669">
        <f t="shared" si="24"/>
        <v>0</v>
      </c>
      <c r="AX24" s="450">
        <f t="shared" si="8"/>
        <v>0</v>
      </c>
      <c r="AY24" s="388"/>
      <c r="AZ24" s="452"/>
      <c r="BA24" s="452"/>
      <c r="BB24" s="669">
        <f t="shared" si="25"/>
        <v>0</v>
      </c>
      <c r="BC24" s="450" t="e">
        <f t="shared" si="9"/>
        <v>#DIV/0!</v>
      </c>
      <c r="BD24" s="388"/>
      <c r="BE24" s="452"/>
      <c r="BF24" s="452"/>
      <c r="BG24" s="669">
        <f t="shared" si="26"/>
        <v>0</v>
      </c>
      <c r="BH24" s="450" t="e">
        <f t="shared" si="10"/>
        <v>#DIV/0!</v>
      </c>
      <c r="BI24" s="388"/>
      <c r="BJ24" s="39"/>
      <c r="BK24" s="39"/>
      <c r="BL24" s="669">
        <f t="shared" si="27"/>
        <v>0</v>
      </c>
      <c r="BM24" s="450" t="e">
        <f t="shared" si="11"/>
        <v>#DIV/0!</v>
      </c>
      <c r="BN24" s="388"/>
      <c r="BO24" s="39">
        <f t="shared" si="12"/>
        <v>295775</v>
      </c>
      <c r="BP24" s="39">
        <f t="shared" si="13"/>
        <v>0</v>
      </c>
      <c r="BQ24" s="453">
        <f>BO24+BP24*1</f>
        <v>295775</v>
      </c>
      <c r="BR24" s="450" t="e">
        <f>BQ24/$BQ$89</f>
        <v>#DIV/0!</v>
      </c>
      <c r="BS24" s="456"/>
      <c r="BT24" s="920">
        <v>287058</v>
      </c>
      <c r="BU24" s="921">
        <f t="shared" si="30"/>
        <v>8717</v>
      </c>
    </row>
    <row r="25" spans="1:73" s="2" customFormat="1" ht="55.2" x14ac:dyDescent="0.25">
      <c r="A25" s="238"/>
      <c r="B25" s="471" t="s">
        <v>24</v>
      </c>
      <c r="C25" s="114">
        <v>187582</v>
      </c>
      <c r="D25" s="445"/>
      <c r="E25" s="446">
        <f t="shared" si="6"/>
        <v>187582</v>
      </c>
      <c r="F25" s="447">
        <f t="shared" si="31"/>
        <v>1.0691892189306973E-2</v>
      </c>
      <c r="G25" s="448"/>
      <c r="H25" s="445">
        <v>1570</v>
      </c>
      <c r="I25" s="449">
        <f t="shared" si="14"/>
        <v>1570</v>
      </c>
      <c r="J25" s="450">
        <f t="shared" si="32"/>
        <v>2.1885563311457648E-3</v>
      </c>
      <c r="K25" s="451" t="s">
        <v>394</v>
      </c>
      <c r="L25" s="452"/>
      <c r="M25" s="452">
        <v>3500</v>
      </c>
      <c r="N25" s="453">
        <f t="shared" si="15"/>
        <v>3500</v>
      </c>
      <c r="O25" s="450">
        <f t="shared" si="33"/>
        <v>4.7263242655364267E-3</v>
      </c>
      <c r="P25" s="456" t="s">
        <v>487</v>
      </c>
      <c r="Q25" s="452">
        <f>92774.96*1.2</f>
        <v>111329.952</v>
      </c>
      <c r="R25" s="452">
        <v>628.25</v>
      </c>
      <c r="S25" s="453">
        <f t="shared" si="16"/>
        <v>111958.202</v>
      </c>
      <c r="T25" s="450">
        <f t="shared" si="34"/>
        <v>2.7259477627025873E-2</v>
      </c>
      <c r="U25" s="465"/>
      <c r="V25" s="452">
        <f>4220*1.2</f>
        <v>5064</v>
      </c>
      <c r="W25" s="452">
        <v>1117.42</v>
      </c>
      <c r="X25" s="453">
        <f t="shared" si="35"/>
        <v>6181.42</v>
      </c>
      <c r="Y25" s="450">
        <f t="shared" si="18"/>
        <v>1.0096180949605961E-3</v>
      </c>
      <c r="Z25" s="388" t="s">
        <v>657</v>
      </c>
      <c r="AA25" s="452">
        <f>7982.62*1.2</f>
        <v>9579.1440000000002</v>
      </c>
      <c r="AB25" s="452"/>
      <c r="AC25" s="453">
        <f t="shared" si="36"/>
        <v>9579.1440000000002</v>
      </c>
      <c r="AD25" s="450">
        <f t="shared" si="29"/>
        <v>2.5443206810986511E-3</v>
      </c>
      <c r="AE25" s="388"/>
      <c r="AF25" s="452">
        <f>1371.34*1.2</f>
        <v>1645.6079999999999</v>
      </c>
      <c r="AG25" s="452">
        <v>1223</v>
      </c>
      <c r="AH25" s="592">
        <f t="shared" si="37"/>
        <v>2868.6080000000002</v>
      </c>
      <c r="AI25" s="450">
        <f t="shared" si="4"/>
        <v>1.9088779136861612E-3</v>
      </c>
      <c r="AJ25" s="388"/>
      <c r="AK25" s="452">
        <f>6601.2*1.2</f>
        <v>7921.44</v>
      </c>
      <c r="AL25" s="452">
        <v>1195</v>
      </c>
      <c r="AM25" s="669">
        <f t="shared" si="21"/>
        <v>9116.4399999999987</v>
      </c>
      <c r="AN25" s="450" t="e">
        <f t="shared" si="22"/>
        <v>#DIV/0!</v>
      </c>
      <c r="AO25" s="388"/>
      <c r="AP25" s="452"/>
      <c r="AQ25" s="452">
        <v>836</v>
      </c>
      <c r="AR25" s="669">
        <f t="shared" si="23"/>
        <v>836</v>
      </c>
      <c r="AS25" s="450" t="e">
        <f t="shared" si="7"/>
        <v>#DIV/0!</v>
      </c>
      <c r="AT25" s="388"/>
      <c r="AU25" s="452"/>
      <c r="AV25" s="452"/>
      <c r="AW25" s="669">
        <f t="shared" si="24"/>
        <v>0</v>
      </c>
      <c r="AX25" s="450">
        <f t="shared" si="8"/>
        <v>0</v>
      </c>
      <c r="AY25" s="388"/>
      <c r="AZ25" s="452">
        <f>2124.58*1.2</f>
        <v>2549.4959999999996</v>
      </c>
      <c r="BA25" s="452"/>
      <c r="BB25" s="669">
        <f t="shared" si="25"/>
        <v>2549.4959999999996</v>
      </c>
      <c r="BC25" s="450" t="e">
        <f t="shared" si="9"/>
        <v>#DIV/0!</v>
      </c>
      <c r="BD25" s="388"/>
      <c r="BE25" s="452"/>
      <c r="BF25" s="452"/>
      <c r="BG25" s="669">
        <f t="shared" si="26"/>
        <v>0</v>
      </c>
      <c r="BH25" s="450" t="e">
        <f t="shared" si="10"/>
        <v>#DIV/0!</v>
      </c>
      <c r="BI25" s="388"/>
      <c r="BJ25" s="39"/>
      <c r="BK25" s="39"/>
      <c r="BL25" s="669">
        <f t="shared" si="27"/>
        <v>0</v>
      </c>
      <c r="BM25" s="450" t="e">
        <f t="shared" si="11"/>
        <v>#DIV/0!</v>
      </c>
      <c r="BN25" s="388"/>
      <c r="BO25" s="39">
        <f t="shared" si="12"/>
        <v>138089.64000000001</v>
      </c>
      <c r="BP25" s="39">
        <f t="shared" si="13"/>
        <v>10069.67</v>
      </c>
      <c r="BQ25" s="453">
        <f t="shared" si="28"/>
        <v>148159.31000000003</v>
      </c>
      <c r="BR25" s="450" t="e">
        <f t="shared" ref="BR25:BR33" si="38">BQ25/$BQ$89</f>
        <v>#DIV/0!</v>
      </c>
      <c r="BS25" s="456"/>
      <c r="BT25" s="920">
        <v>372314</v>
      </c>
      <c r="BU25" s="921">
        <f t="shared" si="30"/>
        <v>-224154.68999999997</v>
      </c>
    </row>
    <row r="26" spans="1:73" s="2" customFormat="1" ht="27.6" x14ac:dyDescent="0.25">
      <c r="A26" s="238"/>
      <c r="B26" s="471" t="s">
        <v>45</v>
      </c>
      <c r="C26" s="114">
        <v>10771855</v>
      </c>
      <c r="D26" s="445"/>
      <c r="E26" s="446">
        <f t="shared" si="6"/>
        <v>10771855</v>
      </c>
      <c r="F26" s="447">
        <f t="shared" si="31"/>
        <v>0.61397955208307442</v>
      </c>
      <c r="G26" s="448"/>
      <c r="H26" s="445">
        <v>4500</v>
      </c>
      <c r="I26" s="449">
        <f t="shared" si="14"/>
        <v>4500</v>
      </c>
      <c r="J26" s="450">
        <f t="shared" si="32"/>
        <v>6.2729321593349941E-3</v>
      </c>
      <c r="K26" s="451" t="s">
        <v>395</v>
      </c>
      <c r="L26" s="452"/>
      <c r="M26" s="452"/>
      <c r="N26" s="453">
        <f t="shared" si="15"/>
        <v>0</v>
      </c>
      <c r="O26" s="450">
        <f t="shared" si="33"/>
        <v>0</v>
      </c>
      <c r="P26" s="456"/>
      <c r="Q26" s="452">
        <f>2535773.29*1.2</f>
        <v>3042927.9479999999</v>
      </c>
      <c r="R26" s="452"/>
      <c r="S26" s="453">
        <f t="shared" si="16"/>
        <v>3042927.9479999999</v>
      </c>
      <c r="T26" s="450">
        <f t="shared" si="34"/>
        <v>0.74088923220790681</v>
      </c>
      <c r="U26" s="465"/>
      <c r="V26" s="452">
        <f>(2502967.57+1061433.49+870208.02-151568.91-118018.46-177752.63-304095.44)*1.2</f>
        <v>4419808.3679999998</v>
      </c>
      <c r="W26" s="452">
        <v>457</v>
      </c>
      <c r="X26" s="453">
        <f t="shared" si="35"/>
        <v>4420265.3679999998</v>
      </c>
      <c r="Y26" s="450">
        <f t="shared" si="18"/>
        <v>0.72196678110538637</v>
      </c>
      <c r="Z26" s="388" t="s">
        <v>658</v>
      </c>
      <c r="AA26" s="452">
        <f>(1867931.51+174186.1+866522.31)*1.2-(635914.22*1.2)</f>
        <v>2727270.84</v>
      </c>
      <c r="AB26" s="452"/>
      <c r="AC26" s="453">
        <f t="shared" si="36"/>
        <v>2727270.84</v>
      </c>
      <c r="AD26" s="450">
        <f t="shared" si="29"/>
        <v>0.72439161590735968</v>
      </c>
      <c r="AE26" s="388"/>
      <c r="AF26" s="452">
        <f>(519603+14781.3+28141.25+35921.24+231882.69)*1.2</f>
        <v>996395.37599999993</v>
      </c>
      <c r="AG26" s="452"/>
      <c r="AH26" s="592">
        <f t="shared" si="37"/>
        <v>996395.37599999993</v>
      </c>
      <c r="AI26" s="450">
        <f t="shared" si="4"/>
        <v>0.66303835398402911</v>
      </c>
      <c r="AJ26" s="388"/>
      <c r="AK26" s="452">
        <f>367662.19*1.2</f>
        <v>441194.62799999997</v>
      </c>
      <c r="AL26" s="452">
        <v>10000</v>
      </c>
      <c r="AM26" s="669">
        <f t="shared" si="21"/>
        <v>451194.62799999997</v>
      </c>
      <c r="AN26" s="450" t="e">
        <f t="shared" si="22"/>
        <v>#DIV/0!</v>
      </c>
      <c r="AO26" s="388"/>
      <c r="AP26" s="452"/>
      <c r="AQ26" s="452"/>
      <c r="AR26" s="669">
        <f t="shared" si="23"/>
        <v>0</v>
      </c>
      <c r="AS26" s="450" t="e">
        <f t="shared" si="7"/>
        <v>#DIV/0!</v>
      </c>
      <c r="AT26" s="388"/>
      <c r="AU26" s="452"/>
      <c r="AV26" s="452"/>
      <c r="AW26" s="669">
        <f t="shared" si="24"/>
        <v>0</v>
      </c>
      <c r="AX26" s="450">
        <f t="shared" si="8"/>
        <v>0</v>
      </c>
      <c r="AY26" s="388"/>
      <c r="AZ26" s="452">
        <f>160210.31*1.2</f>
        <v>192252.372</v>
      </c>
      <c r="BA26" s="452"/>
      <c r="BB26" s="669">
        <f t="shared" si="25"/>
        <v>192252.372</v>
      </c>
      <c r="BC26" s="450" t="e">
        <f t="shared" si="9"/>
        <v>#DIV/0!</v>
      </c>
      <c r="BD26" s="388"/>
      <c r="BE26" s="452"/>
      <c r="BF26" s="452"/>
      <c r="BG26" s="669">
        <f t="shared" si="26"/>
        <v>0</v>
      </c>
      <c r="BH26" s="450" t="e">
        <f t="shared" si="10"/>
        <v>#DIV/0!</v>
      </c>
      <c r="BI26" s="388"/>
      <c r="BJ26" s="39"/>
      <c r="BK26" s="39"/>
      <c r="BL26" s="669">
        <f t="shared" si="27"/>
        <v>0</v>
      </c>
      <c r="BM26" s="450" t="e">
        <f t="shared" si="11"/>
        <v>#DIV/0!</v>
      </c>
      <c r="BN26" s="388"/>
      <c r="BO26" s="39">
        <f t="shared" si="12"/>
        <v>11819849.532</v>
      </c>
      <c r="BP26" s="39">
        <f t="shared" si="13"/>
        <v>14957</v>
      </c>
      <c r="BQ26" s="453">
        <f t="shared" si="28"/>
        <v>11834806.532</v>
      </c>
      <c r="BR26" s="450" t="e">
        <f t="shared" si="38"/>
        <v>#DIV/0!</v>
      </c>
      <c r="BS26" s="456"/>
      <c r="BT26" s="920">
        <v>11518048</v>
      </c>
      <c r="BU26" s="921">
        <f t="shared" si="30"/>
        <v>316758.53199999966</v>
      </c>
    </row>
    <row r="27" spans="1:73" s="2" customFormat="1" ht="82.8" x14ac:dyDescent="0.25">
      <c r="A27" s="238"/>
      <c r="B27" s="471" t="s">
        <v>25</v>
      </c>
      <c r="C27" s="114"/>
      <c r="D27" s="445"/>
      <c r="E27" s="446">
        <f t="shared" si="6"/>
        <v>0</v>
      </c>
      <c r="F27" s="447">
        <f t="shared" si="31"/>
        <v>0</v>
      </c>
      <c r="G27" s="448"/>
      <c r="H27" s="445"/>
      <c r="I27" s="449">
        <f t="shared" si="14"/>
        <v>0</v>
      </c>
      <c r="J27" s="450">
        <f t="shared" si="32"/>
        <v>0</v>
      </c>
      <c r="K27" s="451"/>
      <c r="L27" s="452"/>
      <c r="M27" s="452"/>
      <c r="N27" s="453">
        <f t="shared" si="15"/>
        <v>0</v>
      </c>
      <c r="O27" s="450">
        <f t="shared" si="33"/>
        <v>0</v>
      </c>
      <c r="P27" s="456"/>
      <c r="Q27" s="452">
        <f>6700+627.98+1480</f>
        <v>8807.98</v>
      </c>
      <c r="R27" s="452"/>
      <c r="S27" s="453">
        <f t="shared" si="16"/>
        <v>8807.98</v>
      </c>
      <c r="T27" s="450">
        <f t="shared" si="34"/>
        <v>2.144558678686992E-3</v>
      </c>
      <c r="U27" s="455" t="s">
        <v>599</v>
      </c>
      <c r="V27" s="452">
        <f>(685.33+983.33+739.17)*1.2</f>
        <v>2889.3959999999997</v>
      </c>
      <c r="W27" s="452"/>
      <c r="X27" s="453">
        <f t="shared" si="35"/>
        <v>2889.3959999999997</v>
      </c>
      <c r="Y27" s="450">
        <f t="shared" si="18"/>
        <v>4.7192821149618795E-4</v>
      </c>
      <c r="Z27" s="388" t="s">
        <v>663</v>
      </c>
      <c r="AA27" s="452">
        <f>1502.7*1.2+776.7*1.2</f>
        <v>2735.2799999999997</v>
      </c>
      <c r="AB27" s="452"/>
      <c r="AC27" s="453">
        <f t="shared" si="36"/>
        <v>2735.2799999999997</v>
      </c>
      <c r="AD27" s="450">
        <f t="shared" si="29"/>
        <v>7.2651893244276493E-4</v>
      </c>
      <c r="AE27" s="388" t="s">
        <v>747</v>
      </c>
      <c r="AF27" s="452"/>
      <c r="AG27" s="452"/>
      <c r="AH27" s="592">
        <f t="shared" si="37"/>
        <v>0</v>
      </c>
      <c r="AI27" s="450">
        <f t="shared" si="4"/>
        <v>0</v>
      </c>
      <c r="AJ27" s="388"/>
      <c r="AK27" s="452">
        <f>2365*1.2</f>
        <v>2838</v>
      </c>
      <c r="AL27" s="452"/>
      <c r="AM27" s="669">
        <f t="shared" si="21"/>
        <v>2838</v>
      </c>
      <c r="AN27" s="450" t="e">
        <f t="shared" si="22"/>
        <v>#DIV/0!</v>
      </c>
      <c r="AO27" s="388" t="s">
        <v>826</v>
      </c>
      <c r="AP27" s="452"/>
      <c r="AQ27" s="452"/>
      <c r="AR27" s="669">
        <f t="shared" si="23"/>
        <v>0</v>
      </c>
      <c r="AS27" s="450" t="e">
        <f t="shared" si="7"/>
        <v>#DIV/0!</v>
      </c>
      <c r="AT27" s="388"/>
      <c r="AU27" s="452">
        <f>516.67*1.1</f>
        <v>568.33699999999999</v>
      </c>
      <c r="AV27" s="452"/>
      <c r="AW27" s="669">
        <f t="shared" si="24"/>
        <v>568.33699999999999</v>
      </c>
      <c r="AX27" s="450">
        <f t="shared" si="8"/>
        <v>0.13442292925472643</v>
      </c>
      <c r="AY27" s="388" t="s">
        <v>903</v>
      </c>
      <c r="AZ27" s="452"/>
      <c r="BA27" s="452"/>
      <c r="BB27" s="669">
        <f t="shared" si="25"/>
        <v>0</v>
      </c>
      <c r="BC27" s="450" t="e">
        <f t="shared" si="9"/>
        <v>#DIV/0!</v>
      </c>
      <c r="BD27" s="388"/>
      <c r="BE27" s="452"/>
      <c r="BF27" s="452"/>
      <c r="BG27" s="669">
        <f t="shared" si="26"/>
        <v>0</v>
      </c>
      <c r="BH27" s="450" t="e">
        <f t="shared" si="10"/>
        <v>#DIV/0!</v>
      </c>
      <c r="BI27" s="388"/>
      <c r="BJ27" s="39"/>
      <c r="BK27" s="39"/>
      <c r="BL27" s="669">
        <f t="shared" si="27"/>
        <v>0</v>
      </c>
      <c r="BM27" s="450" t="e">
        <f t="shared" si="11"/>
        <v>#DIV/0!</v>
      </c>
      <c r="BN27" s="388"/>
      <c r="BO27" s="39">
        <f t="shared" si="12"/>
        <v>17838.992999999999</v>
      </c>
      <c r="BP27" s="39">
        <f t="shared" si="13"/>
        <v>0</v>
      </c>
      <c r="BQ27" s="453">
        <f t="shared" si="28"/>
        <v>17838.992999999999</v>
      </c>
      <c r="BR27" s="450" t="e">
        <f t="shared" si="38"/>
        <v>#DIV/0!</v>
      </c>
      <c r="BS27" s="456"/>
      <c r="BT27" s="920">
        <v>16351</v>
      </c>
      <c r="BU27" s="921">
        <f t="shared" si="30"/>
        <v>1487.9929999999986</v>
      </c>
    </row>
    <row r="28" spans="1:73" s="226" customFormat="1" ht="44.4" customHeight="1" x14ac:dyDescent="0.25">
      <c r="A28" s="238"/>
      <c r="B28" s="496" t="s">
        <v>52</v>
      </c>
      <c r="C28" s="114">
        <v>198937</v>
      </c>
      <c r="D28" s="445"/>
      <c r="E28" s="446">
        <f t="shared" si="6"/>
        <v>198937</v>
      </c>
      <c r="F28" s="447">
        <f t="shared" si="31"/>
        <v>1.133911013031187E-2</v>
      </c>
      <c r="G28" s="448">
        <f>1400+48796.62</f>
        <v>50196.62</v>
      </c>
      <c r="H28" s="445">
        <f>725+3821</f>
        <v>4546</v>
      </c>
      <c r="I28" s="449">
        <f t="shared" si="14"/>
        <v>54742.62</v>
      </c>
      <c r="J28" s="450">
        <f t="shared" si="32"/>
        <v>7.6310386996501126E-2</v>
      </c>
      <c r="K28" s="451" t="s">
        <v>396</v>
      </c>
      <c r="L28" s="452">
        <v>57</v>
      </c>
      <c r="M28" s="452"/>
      <c r="N28" s="453">
        <f t="shared" si="15"/>
        <v>57</v>
      </c>
      <c r="O28" s="450">
        <f t="shared" si="33"/>
        <v>7.6971566610164663E-5</v>
      </c>
      <c r="P28" s="451" t="s">
        <v>529</v>
      </c>
      <c r="Q28" s="452">
        <f>700+7000+746.4+1900</f>
        <v>10346.4</v>
      </c>
      <c r="R28" s="452">
        <f>1040+910+2436</f>
        <v>4386</v>
      </c>
      <c r="S28" s="453">
        <f t="shared" si="16"/>
        <v>14732.4</v>
      </c>
      <c r="T28" s="450">
        <f t="shared" si="34"/>
        <v>3.5870308831182905E-3</v>
      </c>
      <c r="U28" s="497" t="s">
        <v>606</v>
      </c>
      <c r="V28" s="452">
        <f>900+2454+941.67</f>
        <v>4295.67</v>
      </c>
      <c r="W28" s="452">
        <v>1723</v>
      </c>
      <c r="X28" s="453">
        <f t="shared" si="35"/>
        <v>6018.67</v>
      </c>
      <c r="Y28" s="450">
        <f t="shared" si="18"/>
        <v>9.8303595930975245E-4</v>
      </c>
      <c r="Z28" s="388" t="s">
        <v>665</v>
      </c>
      <c r="AA28" s="452">
        <f>(446.54+1066.49)*1.2</f>
        <v>1815.636</v>
      </c>
      <c r="AB28" s="452"/>
      <c r="AC28" s="453">
        <f t="shared" si="36"/>
        <v>1815.636</v>
      </c>
      <c r="AD28" s="450">
        <f t="shared" si="29"/>
        <v>4.8225188222948001E-4</v>
      </c>
      <c r="AE28" s="388" t="s">
        <v>743</v>
      </c>
      <c r="AF28" s="452">
        <f>1813.36*1.2</f>
        <v>2176.0319999999997</v>
      </c>
      <c r="AG28" s="452"/>
      <c r="AH28" s="592">
        <f t="shared" si="37"/>
        <v>2176.0319999999997</v>
      </c>
      <c r="AI28" s="450">
        <f t="shared" si="4"/>
        <v>1.448012215079343E-3</v>
      </c>
      <c r="AJ28" s="388" t="s">
        <v>806</v>
      </c>
      <c r="AK28" s="452">
        <f>142.99+916.21</f>
        <v>1059.2</v>
      </c>
      <c r="AL28" s="452">
        <v>12600</v>
      </c>
      <c r="AM28" s="669">
        <f t="shared" si="21"/>
        <v>13659.2</v>
      </c>
      <c r="AN28" s="450" t="e">
        <f t="shared" si="22"/>
        <v>#DIV/0!</v>
      </c>
      <c r="AO28" s="388" t="s">
        <v>827</v>
      </c>
      <c r="AP28" s="452"/>
      <c r="AQ28" s="452"/>
      <c r="AR28" s="669">
        <f t="shared" si="23"/>
        <v>0</v>
      </c>
      <c r="AS28" s="450" t="e">
        <f t="shared" si="7"/>
        <v>#DIV/0!</v>
      </c>
      <c r="AT28" s="388"/>
      <c r="AU28" s="452"/>
      <c r="AV28" s="452"/>
      <c r="AW28" s="669">
        <f t="shared" si="24"/>
        <v>0</v>
      </c>
      <c r="AX28" s="450">
        <f t="shared" si="8"/>
        <v>0</v>
      </c>
      <c r="AY28" s="388"/>
      <c r="AZ28" s="452"/>
      <c r="BA28" s="452"/>
      <c r="BB28" s="669">
        <f t="shared" si="25"/>
        <v>0</v>
      </c>
      <c r="BC28" s="450" t="e">
        <f t="shared" si="9"/>
        <v>#DIV/0!</v>
      </c>
      <c r="BD28" s="388"/>
      <c r="BE28" s="452"/>
      <c r="BF28" s="452"/>
      <c r="BG28" s="669">
        <f t="shared" si="26"/>
        <v>0</v>
      </c>
      <c r="BH28" s="450" t="e">
        <f t="shared" si="10"/>
        <v>#DIV/0!</v>
      </c>
      <c r="BI28" s="388"/>
      <c r="BJ28" s="39"/>
      <c r="BK28" s="39"/>
      <c r="BL28" s="669">
        <f t="shared" si="27"/>
        <v>0</v>
      </c>
      <c r="BM28" s="450" t="e">
        <f t="shared" si="11"/>
        <v>#DIV/0!</v>
      </c>
      <c r="BN28" s="388"/>
      <c r="BO28" s="39">
        <f t="shared" si="12"/>
        <v>69946.558000000005</v>
      </c>
      <c r="BP28" s="39">
        <f t="shared" si="13"/>
        <v>23255</v>
      </c>
      <c r="BQ28" s="453">
        <f t="shared" si="28"/>
        <v>93201.558000000005</v>
      </c>
      <c r="BR28" s="450" t="e">
        <f t="shared" si="38"/>
        <v>#DIV/0!</v>
      </c>
      <c r="BS28" s="456"/>
      <c r="BT28" s="925">
        <f>54359+63837</f>
        <v>118196</v>
      </c>
      <c r="BU28" s="921">
        <f t="shared" si="30"/>
        <v>-24994.441999999995</v>
      </c>
    </row>
    <row r="29" spans="1:73" s="2" customFormat="1" ht="47.4" customHeight="1" x14ac:dyDescent="0.25">
      <c r="A29" s="238"/>
      <c r="B29" s="471" t="s">
        <v>31</v>
      </c>
      <c r="C29" s="114">
        <v>199000</v>
      </c>
      <c r="D29" s="445">
        <v>58000</v>
      </c>
      <c r="E29" s="446">
        <f t="shared" si="6"/>
        <v>257000</v>
      </c>
      <c r="F29" s="450">
        <f t="shared" si="31"/>
        <v>1.4648613900331012E-2</v>
      </c>
      <c r="G29" s="448">
        <v>24890</v>
      </c>
      <c r="H29" s="445">
        <v>2100</v>
      </c>
      <c r="I29" s="449">
        <f t="shared" si="14"/>
        <v>26990</v>
      </c>
      <c r="J29" s="450">
        <f t="shared" si="32"/>
        <v>3.7623653106766998E-2</v>
      </c>
      <c r="K29" s="451" t="s">
        <v>389</v>
      </c>
      <c r="L29" s="452">
        <v>29130</v>
      </c>
      <c r="M29" s="452">
        <v>4830</v>
      </c>
      <c r="N29" s="453">
        <f t="shared" si="15"/>
        <v>33960</v>
      </c>
      <c r="O29" s="450">
        <f t="shared" si="33"/>
        <v>4.5858849159319155E-2</v>
      </c>
      <c r="P29" s="451" t="s">
        <v>483</v>
      </c>
      <c r="Q29" s="452">
        <v>45980</v>
      </c>
      <c r="R29" s="452">
        <f>9940</f>
        <v>9940</v>
      </c>
      <c r="S29" s="453">
        <f t="shared" si="16"/>
        <v>55920</v>
      </c>
      <c r="T29" s="450">
        <f t="shared" si="34"/>
        <v>1.3615348957669816E-2</v>
      </c>
      <c r="U29" s="497" t="s">
        <v>586</v>
      </c>
      <c r="V29" s="452">
        <v>55150</v>
      </c>
      <c r="W29" s="452">
        <v>12550</v>
      </c>
      <c r="X29" s="453">
        <f t="shared" si="35"/>
        <v>67700</v>
      </c>
      <c r="Y29" s="450">
        <f t="shared" si="18"/>
        <v>1.1057515106372378E-2</v>
      </c>
      <c r="Z29" s="497"/>
      <c r="AA29" s="452">
        <v>29800</v>
      </c>
      <c r="AB29" s="452">
        <v>7380</v>
      </c>
      <c r="AC29" s="453">
        <f t="shared" si="36"/>
        <v>37180</v>
      </c>
      <c r="AD29" s="450">
        <f t="shared" si="29"/>
        <v>9.875396269567285E-3</v>
      </c>
      <c r="AE29" s="497"/>
      <c r="AF29" s="452">
        <v>13000</v>
      </c>
      <c r="AG29" s="452">
        <v>12484</v>
      </c>
      <c r="AH29" s="592">
        <f t="shared" si="37"/>
        <v>25484</v>
      </c>
      <c r="AI29" s="450">
        <f t="shared" si="4"/>
        <v>1.695799661451761E-2</v>
      </c>
      <c r="AJ29" s="497"/>
      <c r="AK29" s="452">
        <v>9500</v>
      </c>
      <c r="AL29" s="452">
        <v>4250</v>
      </c>
      <c r="AM29" s="669">
        <f t="shared" si="21"/>
        <v>13750</v>
      </c>
      <c r="AN29" s="450" t="e">
        <f t="shared" si="22"/>
        <v>#DIV/0!</v>
      </c>
      <c r="AO29" s="497"/>
      <c r="AP29" s="452"/>
      <c r="AQ29" s="452"/>
      <c r="AR29" s="669">
        <f t="shared" si="23"/>
        <v>0</v>
      </c>
      <c r="AS29" s="450" t="e">
        <f t="shared" si="7"/>
        <v>#DIV/0!</v>
      </c>
      <c r="AT29" s="497"/>
      <c r="AU29" s="452"/>
      <c r="AV29" s="452">
        <v>390</v>
      </c>
      <c r="AW29" s="669">
        <f t="shared" si="24"/>
        <v>390</v>
      </c>
      <c r="AX29" s="450">
        <f t="shared" si="8"/>
        <v>9.2242705312769194E-2</v>
      </c>
      <c r="AY29" s="497"/>
      <c r="AZ29" s="452"/>
      <c r="BA29" s="452"/>
      <c r="BB29" s="669">
        <f t="shared" si="25"/>
        <v>0</v>
      </c>
      <c r="BC29" s="450" t="e">
        <f t="shared" si="9"/>
        <v>#DIV/0!</v>
      </c>
      <c r="BD29" s="497"/>
      <c r="BE29" s="452"/>
      <c r="BF29" s="452"/>
      <c r="BG29" s="669">
        <f t="shared" si="26"/>
        <v>0</v>
      </c>
      <c r="BH29" s="450" t="e">
        <f t="shared" si="10"/>
        <v>#DIV/0!</v>
      </c>
      <c r="BI29" s="497"/>
      <c r="BJ29" s="39"/>
      <c r="BK29" s="39"/>
      <c r="BL29" s="669">
        <f t="shared" si="27"/>
        <v>0</v>
      </c>
      <c r="BM29" s="450" t="e">
        <f t="shared" si="11"/>
        <v>#DIV/0!</v>
      </c>
      <c r="BN29" s="497"/>
      <c r="BO29" s="39">
        <f t="shared" si="12"/>
        <v>207450</v>
      </c>
      <c r="BP29" s="39">
        <f t="shared" si="13"/>
        <v>53924</v>
      </c>
      <c r="BQ29" s="453">
        <f t="shared" si="28"/>
        <v>261374</v>
      </c>
      <c r="BR29" s="450" t="e">
        <f t="shared" si="38"/>
        <v>#DIV/0!</v>
      </c>
      <c r="BS29" s="498"/>
      <c r="BT29" s="920">
        <v>258730</v>
      </c>
      <c r="BU29" s="921">
        <f t="shared" si="30"/>
        <v>2644</v>
      </c>
    </row>
    <row r="30" spans="1:73" s="2" customFormat="1" ht="62.4" customHeight="1" x14ac:dyDescent="0.25">
      <c r="A30" s="238"/>
      <c r="B30" s="471" t="s">
        <v>62</v>
      </c>
      <c r="C30" s="114"/>
      <c r="D30" s="445">
        <f>157000+14910</f>
        <v>171910</v>
      </c>
      <c r="E30" s="446">
        <f t="shared" si="6"/>
        <v>171910</v>
      </c>
      <c r="F30" s="450">
        <f t="shared" si="31"/>
        <v>9.7986117338751139E-3</v>
      </c>
      <c r="G30" s="448"/>
      <c r="H30" s="445">
        <v>52639</v>
      </c>
      <c r="I30" s="449">
        <f t="shared" si="14"/>
        <v>52639</v>
      </c>
      <c r="J30" s="450">
        <f t="shared" si="32"/>
        <v>7.3377972430052174E-2</v>
      </c>
      <c r="K30" s="451" t="s">
        <v>386</v>
      </c>
      <c r="L30" s="452"/>
      <c r="M30" s="452">
        <v>58860</v>
      </c>
      <c r="N30" s="453">
        <f t="shared" si="15"/>
        <v>58860</v>
      </c>
      <c r="O30" s="450">
        <f t="shared" si="33"/>
        <v>7.9483270362706887E-2</v>
      </c>
      <c r="P30" s="451" t="s">
        <v>482</v>
      </c>
      <c r="Q30" s="452"/>
      <c r="R30" s="452">
        <v>54852</v>
      </c>
      <c r="S30" s="453">
        <f t="shared" si="16"/>
        <v>54852</v>
      </c>
      <c r="T30" s="450">
        <f t="shared" si="34"/>
        <v>1.3355313323070543E-2</v>
      </c>
      <c r="U30" s="497" t="s">
        <v>584</v>
      </c>
      <c r="V30" s="452"/>
      <c r="W30" s="452">
        <v>32819</v>
      </c>
      <c r="X30" s="453">
        <f t="shared" si="35"/>
        <v>32819</v>
      </c>
      <c r="Y30" s="450">
        <f t="shared" si="18"/>
        <v>5.3603631946238569E-3</v>
      </c>
      <c r="Z30" s="388" t="s">
        <v>653</v>
      </c>
      <c r="AA30" s="452"/>
      <c r="AB30" s="452">
        <v>47782</v>
      </c>
      <c r="AC30" s="453">
        <f t="shared" si="36"/>
        <v>47782</v>
      </c>
      <c r="AD30" s="450">
        <f t="shared" si="29"/>
        <v>1.2691398185918881E-2</v>
      </c>
      <c r="AE30" s="388"/>
      <c r="AF30" s="452"/>
      <c r="AG30" s="452">
        <v>26990</v>
      </c>
      <c r="AH30" s="592">
        <f t="shared" si="37"/>
        <v>26990</v>
      </c>
      <c r="AI30" s="450">
        <f t="shared" si="4"/>
        <v>1.7960144742812365E-2</v>
      </c>
      <c r="AJ30" s="388"/>
      <c r="AK30" s="452"/>
      <c r="AL30" s="452">
        <v>24500</v>
      </c>
      <c r="AM30" s="669">
        <f t="shared" si="21"/>
        <v>24500</v>
      </c>
      <c r="AN30" s="450" t="e">
        <f t="shared" si="22"/>
        <v>#DIV/0!</v>
      </c>
      <c r="AO30" s="388"/>
      <c r="AP30" s="452"/>
      <c r="AQ30" s="452">
        <v>10700</v>
      </c>
      <c r="AR30" s="669">
        <f t="shared" si="23"/>
        <v>10700</v>
      </c>
      <c r="AS30" s="450" t="e">
        <f t="shared" si="7"/>
        <v>#DIV/0!</v>
      </c>
      <c r="AT30" s="388"/>
      <c r="AU30" s="452"/>
      <c r="AV30" s="452"/>
      <c r="AW30" s="669">
        <f t="shared" si="24"/>
        <v>0</v>
      </c>
      <c r="AX30" s="450">
        <f t="shared" si="8"/>
        <v>0</v>
      </c>
      <c r="AY30" s="388"/>
      <c r="AZ30" s="452"/>
      <c r="BA30" s="452">
        <f>6652.8</f>
        <v>6652.8</v>
      </c>
      <c r="BB30" s="669">
        <f t="shared" si="25"/>
        <v>6652.8</v>
      </c>
      <c r="BC30" s="450" t="e">
        <f t="shared" si="9"/>
        <v>#DIV/0!</v>
      </c>
      <c r="BD30" s="388"/>
      <c r="BE30" s="452"/>
      <c r="BF30" s="452"/>
      <c r="BG30" s="669">
        <f t="shared" si="26"/>
        <v>0</v>
      </c>
      <c r="BH30" s="450" t="e">
        <f t="shared" si="10"/>
        <v>#DIV/0!</v>
      </c>
      <c r="BI30" s="388"/>
      <c r="BJ30" s="39"/>
      <c r="BK30" s="39"/>
      <c r="BL30" s="669">
        <f t="shared" si="27"/>
        <v>0</v>
      </c>
      <c r="BM30" s="450" t="e">
        <f t="shared" si="11"/>
        <v>#DIV/0!</v>
      </c>
      <c r="BN30" s="388"/>
      <c r="BO30" s="39">
        <f t="shared" si="12"/>
        <v>0</v>
      </c>
      <c r="BP30" s="39">
        <f t="shared" si="13"/>
        <v>315794.8</v>
      </c>
      <c r="BQ30" s="453">
        <f t="shared" si="28"/>
        <v>315794.8</v>
      </c>
      <c r="BR30" s="450" t="e">
        <f t="shared" si="38"/>
        <v>#DIV/0!</v>
      </c>
      <c r="BS30" s="498"/>
      <c r="BT30" s="920">
        <f>305095+10700</f>
        <v>315795</v>
      </c>
      <c r="BU30" s="921">
        <f t="shared" si="30"/>
        <v>-0.20000000001164153</v>
      </c>
    </row>
    <row r="31" spans="1:73" s="2" customFormat="1" ht="138" customHeight="1" x14ac:dyDescent="0.25">
      <c r="A31" s="238"/>
      <c r="B31" s="499" t="s">
        <v>34</v>
      </c>
      <c r="C31" s="114"/>
      <c r="D31" s="500">
        <v>44000</v>
      </c>
      <c r="E31" s="446">
        <f t="shared" si="6"/>
        <v>44000</v>
      </c>
      <c r="F31" s="450">
        <f t="shared" si="31"/>
        <v>2.5079338973329358E-3</v>
      </c>
      <c r="G31" s="448"/>
      <c r="H31" s="445">
        <v>8540</v>
      </c>
      <c r="I31" s="449">
        <f t="shared" si="14"/>
        <v>8540</v>
      </c>
      <c r="J31" s="450">
        <f t="shared" si="32"/>
        <v>1.1904631253493522E-2</v>
      </c>
      <c r="K31" s="451" t="s">
        <v>388</v>
      </c>
      <c r="L31" s="452">
        <v>3336.8500000000004</v>
      </c>
      <c r="M31" s="452">
        <f>7878+1500</f>
        <v>9378</v>
      </c>
      <c r="N31" s="453">
        <f t="shared" si="15"/>
        <v>12714.85</v>
      </c>
      <c r="O31" s="450">
        <f t="shared" si="33"/>
        <v>1.7169858310758811E-2</v>
      </c>
      <c r="P31" s="451" t="s">
        <v>485</v>
      </c>
      <c r="Q31" s="452">
        <f>509.8</f>
        <v>509.8</v>
      </c>
      <c r="R31" s="452">
        <v>9504</v>
      </c>
      <c r="S31" s="453">
        <f t="shared" si="16"/>
        <v>10013.799999999999</v>
      </c>
      <c r="T31" s="450">
        <f t="shared" si="34"/>
        <v>2.4381505971443848E-3</v>
      </c>
      <c r="U31" s="497" t="s">
        <v>607</v>
      </c>
      <c r="V31" s="452"/>
      <c r="W31" s="452">
        <v>8130</v>
      </c>
      <c r="X31" s="453">
        <f t="shared" si="35"/>
        <v>8130</v>
      </c>
      <c r="Y31" s="450">
        <f t="shared" si="18"/>
        <v>1.3278817993324585E-3</v>
      </c>
      <c r="Z31" s="388" t="s">
        <v>654</v>
      </c>
      <c r="AA31" s="452"/>
      <c r="AB31" s="452">
        <v>8404</v>
      </c>
      <c r="AC31" s="453">
        <f t="shared" si="36"/>
        <v>8404</v>
      </c>
      <c r="AD31" s="450">
        <f t="shared" si="29"/>
        <v>2.2321901627069245E-3</v>
      </c>
      <c r="AE31" s="388"/>
      <c r="AF31" s="452"/>
      <c r="AG31" s="452"/>
      <c r="AH31" s="592">
        <f t="shared" si="37"/>
        <v>0</v>
      </c>
      <c r="AI31" s="450">
        <f t="shared" si="4"/>
        <v>0</v>
      </c>
      <c r="AJ31" s="388"/>
      <c r="AK31" s="452"/>
      <c r="AL31" s="452">
        <f>4000+1065</f>
        <v>5065</v>
      </c>
      <c r="AM31" s="669">
        <f t="shared" si="21"/>
        <v>5065</v>
      </c>
      <c r="AN31" s="450" t="e">
        <f t="shared" si="22"/>
        <v>#DIV/0!</v>
      </c>
      <c r="AO31" s="388"/>
      <c r="AP31" s="452"/>
      <c r="AQ31" s="452"/>
      <c r="AR31" s="669">
        <f t="shared" si="23"/>
        <v>0</v>
      </c>
      <c r="AS31" s="450" t="e">
        <f t="shared" si="7"/>
        <v>#DIV/0!</v>
      </c>
      <c r="AT31" s="388"/>
      <c r="AU31" s="452"/>
      <c r="AV31" s="452">
        <v>510</v>
      </c>
      <c r="AW31" s="669">
        <f t="shared" si="24"/>
        <v>510</v>
      </c>
      <c r="AX31" s="450">
        <f t="shared" si="8"/>
        <v>0.12062507617823663</v>
      </c>
      <c r="AY31" s="388" t="s">
        <v>895</v>
      </c>
      <c r="AZ31" s="452"/>
      <c r="BA31" s="452"/>
      <c r="BB31" s="669">
        <f t="shared" si="25"/>
        <v>0</v>
      </c>
      <c r="BC31" s="450" t="e">
        <f t="shared" si="9"/>
        <v>#DIV/0!</v>
      </c>
      <c r="BD31" s="388"/>
      <c r="BE31" s="452"/>
      <c r="BF31" s="452"/>
      <c r="BG31" s="669">
        <f t="shared" si="26"/>
        <v>0</v>
      </c>
      <c r="BH31" s="450" t="e">
        <f t="shared" si="10"/>
        <v>#DIV/0!</v>
      </c>
      <c r="BI31" s="388"/>
      <c r="BJ31" s="39"/>
      <c r="BK31" s="39"/>
      <c r="BL31" s="669">
        <f t="shared" si="27"/>
        <v>0</v>
      </c>
      <c r="BM31" s="450" t="e">
        <f t="shared" si="11"/>
        <v>#DIV/0!</v>
      </c>
      <c r="BN31" s="388"/>
      <c r="BO31" s="39">
        <f t="shared" si="12"/>
        <v>3846.6500000000005</v>
      </c>
      <c r="BP31" s="39">
        <f t="shared" si="13"/>
        <v>49531</v>
      </c>
      <c r="BQ31" s="453">
        <f t="shared" si="28"/>
        <v>53377.65</v>
      </c>
      <c r="BR31" s="450" t="e">
        <f t="shared" si="38"/>
        <v>#DIV/0!</v>
      </c>
      <c r="BS31" s="498"/>
      <c r="BT31" s="920">
        <v>54050</v>
      </c>
      <c r="BU31" s="921">
        <f t="shared" si="30"/>
        <v>-672.34999999999854</v>
      </c>
    </row>
    <row r="32" spans="1:73" s="2" customFormat="1" ht="13.8" x14ac:dyDescent="0.25">
      <c r="A32" s="238"/>
      <c r="B32" s="501" t="s">
        <v>2</v>
      </c>
      <c r="C32" s="115"/>
      <c r="D32" s="116"/>
      <c r="E32" s="446">
        <f t="shared" si="6"/>
        <v>0</v>
      </c>
      <c r="F32" s="450">
        <f t="shared" si="31"/>
        <v>0</v>
      </c>
      <c r="G32" s="448"/>
      <c r="H32" s="116"/>
      <c r="I32" s="449">
        <f t="shared" si="14"/>
        <v>0</v>
      </c>
      <c r="J32" s="450">
        <f t="shared" si="32"/>
        <v>0</v>
      </c>
      <c r="K32" s="502"/>
      <c r="L32" s="452"/>
      <c r="M32" s="452"/>
      <c r="N32" s="453">
        <f t="shared" si="15"/>
        <v>0</v>
      </c>
      <c r="O32" s="450">
        <f t="shared" si="33"/>
        <v>0</v>
      </c>
      <c r="P32" s="498"/>
      <c r="Q32" s="452"/>
      <c r="R32" s="452"/>
      <c r="S32" s="453">
        <f t="shared" si="16"/>
        <v>0</v>
      </c>
      <c r="T32" s="450">
        <f t="shared" si="34"/>
        <v>0</v>
      </c>
      <c r="U32" s="503"/>
      <c r="V32" s="452"/>
      <c r="W32" s="452"/>
      <c r="X32" s="453">
        <f t="shared" si="35"/>
        <v>0</v>
      </c>
      <c r="Y32" s="450">
        <f t="shared" si="18"/>
        <v>0</v>
      </c>
      <c r="Z32" s="503"/>
      <c r="AA32" s="452"/>
      <c r="AB32" s="452"/>
      <c r="AC32" s="453">
        <f t="shared" si="36"/>
        <v>0</v>
      </c>
      <c r="AD32" s="450">
        <f t="shared" si="29"/>
        <v>0</v>
      </c>
      <c r="AE32" s="503"/>
      <c r="AF32" s="452"/>
      <c r="AG32" s="452"/>
      <c r="AH32" s="592">
        <f t="shared" si="37"/>
        <v>0</v>
      </c>
      <c r="AI32" s="450">
        <f t="shared" si="4"/>
        <v>0</v>
      </c>
      <c r="AJ32" s="503"/>
      <c r="AK32" s="452"/>
      <c r="AL32" s="452"/>
      <c r="AM32" s="669">
        <f t="shared" si="21"/>
        <v>0</v>
      </c>
      <c r="AN32" s="450" t="e">
        <f t="shared" si="22"/>
        <v>#DIV/0!</v>
      </c>
      <c r="AO32" s="503"/>
      <c r="AP32" s="452"/>
      <c r="AQ32" s="452"/>
      <c r="AR32" s="669">
        <f t="shared" si="23"/>
        <v>0</v>
      </c>
      <c r="AS32" s="450" t="e">
        <f t="shared" si="7"/>
        <v>#DIV/0!</v>
      </c>
      <c r="AT32" s="503"/>
      <c r="AU32" s="452"/>
      <c r="AV32" s="452"/>
      <c r="AW32" s="669">
        <f t="shared" si="24"/>
        <v>0</v>
      </c>
      <c r="AX32" s="450">
        <f t="shared" si="8"/>
        <v>0</v>
      </c>
      <c r="AY32" s="503"/>
      <c r="AZ32" s="452"/>
      <c r="BA32" s="452"/>
      <c r="BB32" s="669">
        <f t="shared" si="25"/>
        <v>0</v>
      </c>
      <c r="BC32" s="450" t="e">
        <f t="shared" si="9"/>
        <v>#DIV/0!</v>
      </c>
      <c r="BD32" s="503"/>
      <c r="BE32" s="452"/>
      <c r="BF32" s="452"/>
      <c r="BG32" s="669">
        <f t="shared" si="26"/>
        <v>0</v>
      </c>
      <c r="BH32" s="450" t="e">
        <f t="shared" si="10"/>
        <v>#DIV/0!</v>
      </c>
      <c r="BI32" s="503"/>
      <c r="BJ32" s="39"/>
      <c r="BK32" s="39"/>
      <c r="BL32" s="669">
        <f t="shared" si="27"/>
        <v>0</v>
      </c>
      <c r="BM32" s="450" t="e">
        <f t="shared" si="11"/>
        <v>#DIV/0!</v>
      </c>
      <c r="BN32" s="503"/>
      <c r="BO32" s="39">
        <f t="shared" si="12"/>
        <v>0</v>
      </c>
      <c r="BP32" s="39">
        <f t="shared" si="13"/>
        <v>0</v>
      </c>
      <c r="BQ32" s="453">
        <f t="shared" si="28"/>
        <v>0</v>
      </c>
      <c r="BR32" s="450" t="e">
        <f t="shared" si="38"/>
        <v>#DIV/0!</v>
      </c>
      <c r="BS32" s="498"/>
      <c r="BT32" s="920"/>
      <c r="BU32" s="921">
        <f t="shared" si="30"/>
        <v>0</v>
      </c>
    </row>
    <row r="33" spans="1:73" s="2" customFormat="1" ht="14.4" thickBot="1" x14ac:dyDescent="0.3">
      <c r="A33" s="238"/>
      <c r="B33" s="504" t="s">
        <v>75</v>
      </c>
      <c r="C33" s="505"/>
      <c r="D33" s="506">
        <v>5000</v>
      </c>
      <c r="E33" s="507">
        <f t="shared" si="6"/>
        <v>5000</v>
      </c>
      <c r="F33" s="508">
        <f t="shared" si="31"/>
        <v>2.8499248833328817E-4</v>
      </c>
      <c r="G33" s="509"/>
      <c r="H33" s="506"/>
      <c r="I33" s="510">
        <f t="shared" si="14"/>
        <v>0</v>
      </c>
      <c r="J33" s="508">
        <f t="shared" si="32"/>
        <v>0</v>
      </c>
      <c r="K33" s="511"/>
      <c r="L33" s="512"/>
      <c r="M33" s="512"/>
      <c r="N33" s="513">
        <f t="shared" si="15"/>
        <v>0</v>
      </c>
      <c r="O33" s="508">
        <f t="shared" si="33"/>
        <v>0</v>
      </c>
      <c r="P33" s="514"/>
      <c r="Q33" s="512"/>
      <c r="R33" s="512"/>
      <c r="S33" s="513">
        <f t="shared" si="16"/>
        <v>0</v>
      </c>
      <c r="T33" s="508">
        <f t="shared" si="34"/>
        <v>0</v>
      </c>
      <c r="U33" s="515"/>
      <c r="V33" s="512"/>
      <c r="W33" s="512"/>
      <c r="X33" s="513">
        <f t="shared" si="35"/>
        <v>0</v>
      </c>
      <c r="Y33" s="508">
        <f t="shared" si="18"/>
        <v>0</v>
      </c>
      <c r="Z33" s="515"/>
      <c r="AA33" s="512"/>
      <c r="AB33" s="512">
        <v>1818</v>
      </c>
      <c r="AC33" s="513">
        <f t="shared" si="36"/>
        <v>1818</v>
      </c>
      <c r="AD33" s="596">
        <f t="shared" si="29"/>
        <v>4.8287978531665743E-4</v>
      </c>
      <c r="AE33" s="388" t="s">
        <v>740</v>
      </c>
      <c r="AF33" s="512"/>
      <c r="AG33" s="512"/>
      <c r="AH33" s="594">
        <f t="shared" si="37"/>
        <v>0</v>
      </c>
      <c r="AI33" s="450">
        <f t="shared" si="4"/>
        <v>0</v>
      </c>
      <c r="AJ33" s="388"/>
      <c r="AK33" s="512"/>
      <c r="AL33" s="512"/>
      <c r="AM33" s="706">
        <f t="shared" si="21"/>
        <v>0</v>
      </c>
      <c r="AN33" s="450" t="e">
        <f t="shared" si="22"/>
        <v>#DIV/0!</v>
      </c>
      <c r="AO33" s="388"/>
      <c r="AP33" s="512"/>
      <c r="AQ33" s="512"/>
      <c r="AR33" s="706">
        <f t="shared" si="23"/>
        <v>0</v>
      </c>
      <c r="AS33" s="450" t="e">
        <f t="shared" si="7"/>
        <v>#DIV/0!</v>
      </c>
      <c r="AT33" s="388"/>
      <c r="AU33" s="512"/>
      <c r="AV33" s="512"/>
      <c r="AW33" s="706">
        <f t="shared" si="24"/>
        <v>0</v>
      </c>
      <c r="AX33" s="450">
        <f t="shared" si="8"/>
        <v>0</v>
      </c>
      <c r="AY33" s="388"/>
      <c r="AZ33" s="512"/>
      <c r="BA33" s="512"/>
      <c r="BB33" s="706">
        <f t="shared" si="25"/>
        <v>0</v>
      </c>
      <c r="BC33" s="450" t="e">
        <f t="shared" si="9"/>
        <v>#DIV/0!</v>
      </c>
      <c r="BD33" s="388"/>
      <c r="BE33" s="512"/>
      <c r="BF33" s="512"/>
      <c r="BG33" s="706">
        <f t="shared" si="26"/>
        <v>0</v>
      </c>
      <c r="BH33" s="450" t="e">
        <f t="shared" si="10"/>
        <v>#DIV/0!</v>
      </c>
      <c r="BI33" s="388"/>
      <c r="BJ33" s="39"/>
      <c r="BK33" s="39"/>
      <c r="BL33" s="706">
        <f t="shared" si="27"/>
        <v>0</v>
      </c>
      <c r="BM33" s="450" t="e">
        <f t="shared" si="11"/>
        <v>#DIV/0!</v>
      </c>
      <c r="BN33" s="388"/>
      <c r="BO33" s="39">
        <f t="shared" si="12"/>
        <v>0</v>
      </c>
      <c r="BP33" s="39">
        <f t="shared" si="13"/>
        <v>1818</v>
      </c>
      <c r="BQ33" s="513">
        <f t="shared" si="28"/>
        <v>1818</v>
      </c>
      <c r="BR33" s="508" t="e">
        <f t="shared" si="38"/>
        <v>#DIV/0!</v>
      </c>
      <c r="BS33" s="514"/>
      <c r="BT33" s="920">
        <v>1818</v>
      </c>
      <c r="BU33" s="921">
        <f t="shared" si="30"/>
        <v>0</v>
      </c>
    </row>
    <row r="34" spans="1:73" s="2" customFormat="1" ht="13.8" x14ac:dyDescent="0.25">
      <c r="A34" s="238"/>
      <c r="B34" s="473"/>
      <c r="C34" s="474"/>
      <c r="D34" s="475"/>
      <c r="E34" s="476"/>
      <c r="F34" s="477"/>
      <c r="G34" s="478"/>
      <c r="H34" s="476"/>
      <c r="I34" s="476"/>
      <c r="J34" s="479">
        <f t="shared" si="32"/>
        <v>0</v>
      </c>
      <c r="K34" s="480"/>
      <c r="L34" s="452"/>
      <c r="M34" s="452"/>
      <c r="N34" s="476"/>
      <c r="O34" s="476"/>
      <c r="P34" s="476"/>
      <c r="Q34" s="452"/>
      <c r="R34" s="452"/>
      <c r="S34" s="476"/>
      <c r="T34" s="476"/>
      <c r="U34" s="476"/>
      <c r="V34" s="452"/>
      <c r="W34" s="452"/>
      <c r="X34" s="476"/>
      <c r="Y34" s="476"/>
      <c r="Z34" s="476"/>
      <c r="AA34" s="452"/>
      <c r="AB34" s="452"/>
      <c r="AC34" s="476"/>
      <c r="AD34" s="476"/>
      <c r="AE34" s="476"/>
      <c r="AF34" s="452"/>
      <c r="AG34" s="452"/>
      <c r="AH34" s="476"/>
      <c r="AI34" s="476"/>
      <c r="AJ34" s="476"/>
      <c r="AK34" s="452"/>
      <c r="AL34" s="452"/>
      <c r="AM34" s="478"/>
      <c r="AN34" s="476"/>
      <c r="AO34" s="476"/>
      <c r="AP34" s="452"/>
      <c r="AQ34" s="452"/>
      <c r="AR34" s="478"/>
      <c r="AS34" s="476" t="e">
        <f t="shared" si="7"/>
        <v>#DIV/0!</v>
      </c>
      <c r="AT34" s="476"/>
      <c r="AU34" s="452"/>
      <c r="AV34" s="452"/>
      <c r="AW34" s="478"/>
      <c r="AX34" s="450"/>
      <c r="AY34" s="476"/>
      <c r="AZ34" s="452"/>
      <c r="BA34" s="452"/>
      <c r="BB34" s="478"/>
      <c r="BC34" s="450"/>
      <c r="BD34" s="476"/>
      <c r="BE34" s="452"/>
      <c r="BF34" s="452"/>
      <c r="BG34" s="478"/>
      <c r="BH34" s="450"/>
      <c r="BI34" s="476"/>
      <c r="BJ34" s="452"/>
      <c r="BK34" s="452"/>
      <c r="BL34" s="478"/>
      <c r="BM34" s="450"/>
      <c r="BN34" s="476"/>
      <c r="BO34" s="452"/>
      <c r="BP34" s="452"/>
      <c r="BQ34" s="476"/>
      <c r="BR34" s="476"/>
      <c r="BS34" s="476"/>
      <c r="BT34" s="919"/>
      <c r="BU34" s="921">
        <f t="shared" si="30"/>
        <v>0</v>
      </c>
    </row>
    <row r="35" spans="1:73" s="88" customFormat="1" ht="13.8" x14ac:dyDescent="0.25">
      <c r="A35" s="238"/>
      <c r="B35" s="89" t="s">
        <v>80</v>
      </c>
      <c r="C35" s="90">
        <f>C36</f>
        <v>2000</v>
      </c>
      <c r="D35" s="90">
        <f>D36</f>
        <v>0</v>
      </c>
      <c r="E35" s="91">
        <f>E36</f>
        <v>2000</v>
      </c>
      <c r="F35" s="165">
        <f>E35/$E$89</f>
        <v>1.1399699533331528E-4</v>
      </c>
      <c r="G35" s="90">
        <f>G36</f>
        <v>0</v>
      </c>
      <c r="H35" s="90">
        <f>H36</f>
        <v>0</v>
      </c>
      <c r="I35" s="91">
        <f>I36</f>
        <v>0</v>
      </c>
      <c r="J35" s="190">
        <f t="shared" si="32"/>
        <v>0</v>
      </c>
      <c r="K35" s="267"/>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f t="shared" si="4"/>
        <v>0</v>
      </c>
      <c r="AJ35" s="404"/>
      <c r="AK35" s="90">
        <f>AK36</f>
        <v>0</v>
      </c>
      <c r="AL35" s="90">
        <f>AL36</f>
        <v>0</v>
      </c>
      <c r="AM35" s="658">
        <f>AM36</f>
        <v>0</v>
      </c>
      <c r="AN35" s="695">
        <f>AM35/$AH$89</f>
        <v>0</v>
      </c>
      <c r="AO35" s="404"/>
      <c r="AP35" s="90">
        <f>AP36</f>
        <v>0</v>
      </c>
      <c r="AQ35" s="90">
        <f>AQ36</f>
        <v>0</v>
      </c>
      <c r="AR35" s="658">
        <f>AR36</f>
        <v>0</v>
      </c>
      <c r="AS35" s="695" t="e">
        <f t="shared" si="7"/>
        <v>#DIV/0!</v>
      </c>
      <c r="AT35" s="404"/>
      <c r="AU35" s="90">
        <f>AU36</f>
        <v>0</v>
      </c>
      <c r="AV35" s="90">
        <f>AV36</f>
        <v>0</v>
      </c>
      <c r="AW35" s="658">
        <f>AW36</f>
        <v>0</v>
      </c>
      <c r="AX35" s="695">
        <f t="shared" si="8"/>
        <v>0</v>
      </c>
      <c r="AY35" s="404"/>
      <c r="AZ35" s="90">
        <f>AZ36</f>
        <v>0</v>
      </c>
      <c r="BA35" s="90">
        <f>BA36</f>
        <v>0</v>
      </c>
      <c r="BB35" s="658">
        <f>BB36</f>
        <v>0</v>
      </c>
      <c r="BC35" s="695">
        <f t="shared" ref="BC35:BC40" si="39">BB35/$AW$89</f>
        <v>0</v>
      </c>
      <c r="BD35" s="404"/>
      <c r="BE35" s="90">
        <f>BE36</f>
        <v>0</v>
      </c>
      <c r="BF35" s="90">
        <f>BF36</f>
        <v>0</v>
      </c>
      <c r="BG35" s="658">
        <f>BG36</f>
        <v>0</v>
      </c>
      <c r="BH35" s="695">
        <f>BG35/$AW$89</f>
        <v>0</v>
      </c>
      <c r="BI35" s="404"/>
      <c r="BJ35" s="90">
        <f>BJ36</f>
        <v>0</v>
      </c>
      <c r="BK35" s="90">
        <f>BK36</f>
        <v>0</v>
      </c>
      <c r="BL35" s="658">
        <f>BL36</f>
        <v>0</v>
      </c>
      <c r="BM35" s="695">
        <f>BL35/$AW$89</f>
        <v>0</v>
      </c>
      <c r="BN35" s="404"/>
      <c r="BO35" s="90">
        <f>BO36</f>
        <v>0</v>
      </c>
      <c r="BP35" s="90">
        <f>BP36</f>
        <v>0</v>
      </c>
      <c r="BQ35" s="91">
        <f>BQ36</f>
        <v>0</v>
      </c>
      <c r="BR35" s="91"/>
      <c r="BS35" s="91"/>
      <c r="BT35" s="918"/>
      <c r="BU35" s="921">
        <f t="shared" si="30"/>
        <v>0</v>
      </c>
    </row>
    <row r="36" spans="1:73" s="226" customFormat="1" ht="13.8" x14ac:dyDescent="0.25">
      <c r="A36" s="238"/>
      <c r="B36" s="19" t="s">
        <v>81</v>
      </c>
      <c r="C36" s="43">
        <v>2000</v>
      </c>
      <c r="D36" s="49"/>
      <c r="E36" s="106">
        <f>C36+D36</f>
        <v>2000</v>
      </c>
      <c r="F36" s="178">
        <f>E36/$E$89</f>
        <v>1.1399699533331528E-4</v>
      </c>
      <c r="G36" s="97"/>
      <c r="H36" s="45"/>
      <c r="I36" s="41">
        <f>G36+H36*1</f>
        <v>0</v>
      </c>
      <c r="J36" s="178">
        <f t="shared" si="32"/>
        <v>0</v>
      </c>
      <c r="K36" s="265"/>
      <c r="L36" s="39"/>
      <c r="M36" s="39"/>
      <c r="N36" s="106">
        <f>L36+M36*1</f>
        <v>0</v>
      </c>
      <c r="O36" s="178">
        <f>N36/$N$89</f>
        <v>0</v>
      </c>
      <c r="P36" s="45"/>
      <c r="Q36" s="39"/>
      <c r="R36" s="39"/>
      <c r="S36" s="106">
        <f>Q36+R36*1</f>
        <v>0</v>
      </c>
      <c r="T36" s="178">
        <f>S36/$S$89</f>
        <v>0</v>
      </c>
      <c r="U36" s="405"/>
      <c r="V36" s="39"/>
      <c r="W36" s="39"/>
      <c r="X36" s="106">
        <f>V36+W36*1</f>
        <v>0</v>
      </c>
      <c r="Y36" s="178">
        <f>X36/$S$89</f>
        <v>0</v>
      </c>
      <c r="Z36" s="388"/>
      <c r="AA36" s="39"/>
      <c r="AB36" s="39"/>
      <c r="AC36" s="106">
        <f>AA36+AB36*1</f>
        <v>0</v>
      </c>
      <c r="AD36" s="450">
        <f>AC36/$AC$89</f>
        <v>0</v>
      </c>
      <c r="AE36" s="388"/>
      <c r="AF36" s="39"/>
      <c r="AG36" s="39"/>
      <c r="AH36" s="106">
        <f>AF36+AG36*1</f>
        <v>0</v>
      </c>
      <c r="AI36" s="450">
        <f>AH36/$AC$89</f>
        <v>0</v>
      </c>
      <c r="AJ36" s="388"/>
      <c r="AK36" s="39"/>
      <c r="AL36" s="39"/>
      <c r="AM36" s="446">
        <f>AK36+AL36*1</f>
        <v>0</v>
      </c>
      <c r="AN36" s="450" t="e">
        <f>AM36/$AM$89</f>
        <v>#DIV/0!</v>
      </c>
      <c r="AO36" s="388"/>
      <c r="AP36" s="39"/>
      <c r="AQ36" s="39"/>
      <c r="AR36" s="446">
        <f>AP36+AQ36*1</f>
        <v>0</v>
      </c>
      <c r="AS36" s="450" t="e">
        <f t="shared" si="7"/>
        <v>#DIV/0!</v>
      </c>
      <c r="AT36" s="388"/>
      <c r="AU36" s="39"/>
      <c r="AV36" s="39"/>
      <c r="AW36" s="446">
        <f>AU36+AV36*1</f>
        <v>0</v>
      </c>
      <c r="AX36" s="450">
        <f t="shared" si="8"/>
        <v>0</v>
      </c>
      <c r="AY36" s="388"/>
      <c r="AZ36" s="39"/>
      <c r="BA36" s="39"/>
      <c r="BB36" s="446">
        <f>AZ36+BA36*1</f>
        <v>0</v>
      </c>
      <c r="BC36" s="450">
        <f t="shared" si="39"/>
        <v>0</v>
      </c>
      <c r="BD36" s="388"/>
      <c r="BE36" s="39"/>
      <c r="BF36" s="39"/>
      <c r="BG36" s="446">
        <f>BE36+BF36*1</f>
        <v>0</v>
      </c>
      <c r="BH36" s="450">
        <f>BG36/$AW$89</f>
        <v>0</v>
      </c>
      <c r="BI36" s="388"/>
      <c r="BJ36" s="39"/>
      <c r="BK36" s="39"/>
      <c r="BL36" s="446">
        <f>BJ36+BK36*1</f>
        <v>0</v>
      </c>
      <c r="BM36" s="450">
        <f>BL36/$AW$89</f>
        <v>0</v>
      </c>
      <c r="BN36" s="388"/>
      <c r="BO36" s="39">
        <f>G36+L36+Q36+V36+AA36+AF36+AK36+AP36+AU36+AZ36+BE36</f>
        <v>0</v>
      </c>
      <c r="BP36" s="39">
        <f>H36+M36+R36+W36+AB36+AG36+AL36+AQ36+AV36+BA36+BF36</f>
        <v>0</v>
      </c>
      <c r="BQ36" s="106">
        <f>BO36+BP36*1</f>
        <v>0</v>
      </c>
      <c r="BR36" s="178" t="e">
        <f>BQ36/$BQ$89</f>
        <v>#DIV/0!</v>
      </c>
      <c r="BS36" s="45"/>
      <c r="BT36" s="922"/>
      <c r="BU36" s="921">
        <f t="shared" si="30"/>
        <v>0</v>
      </c>
    </row>
    <row r="37" spans="1:73" s="2" customFormat="1" ht="14.4" thickBot="1" x14ac:dyDescent="0.3">
      <c r="A37" s="4"/>
      <c r="B37" s="14"/>
      <c r="C37" s="50"/>
      <c r="D37" s="51"/>
      <c r="E37" s="52"/>
      <c r="F37" s="181"/>
      <c r="G37" s="98"/>
      <c r="H37" s="52"/>
      <c r="I37" s="52"/>
      <c r="J37" s="203">
        <f t="shared" si="32"/>
        <v>0</v>
      </c>
      <c r="K37" s="268"/>
      <c r="L37" s="39"/>
      <c r="M37" s="39"/>
      <c r="N37" s="52"/>
      <c r="O37" s="52"/>
      <c r="P37" s="52"/>
      <c r="Q37" s="39"/>
      <c r="R37" s="39"/>
      <c r="S37" s="52"/>
      <c r="T37" s="52"/>
      <c r="U37" s="64"/>
      <c r="V37" s="39"/>
      <c r="W37" s="39"/>
      <c r="X37" s="52"/>
      <c r="Y37" s="52"/>
      <c r="Z37" s="64"/>
      <c r="AA37" s="39"/>
      <c r="AB37" s="39"/>
      <c r="AC37" s="52"/>
      <c r="AD37" s="52"/>
      <c r="AE37" s="64"/>
      <c r="AF37" s="39"/>
      <c r="AG37" s="39"/>
      <c r="AH37" s="52"/>
      <c r="AI37" s="52"/>
      <c r="AJ37" s="64"/>
      <c r="AK37" s="39"/>
      <c r="AL37" s="39"/>
      <c r="AM37" s="707"/>
      <c r="AN37" s="606"/>
      <c r="AO37" s="64"/>
      <c r="AP37" s="39"/>
      <c r="AQ37" s="39"/>
      <c r="AR37" s="707"/>
      <c r="AS37" s="606" t="e">
        <f t="shared" si="7"/>
        <v>#DIV/0!</v>
      </c>
      <c r="AT37" s="64"/>
      <c r="AU37" s="39"/>
      <c r="AV37" s="39"/>
      <c r="AW37" s="707"/>
      <c r="AX37" s="606">
        <f t="shared" si="8"/>
        <v>0</v>
      </c>
      <c r="AY37" s="64"/>
      <c r="AZ37" s="39"/>
      <c r="BA37" s="39"/>
      <c r="BB37" s="707"/>
      <c r="BC37" s="606"/>
      <c r="BD37" s="64"/>
      <c r="BE37" s="39"/>
      <c r="BF37" s="39"/>
      <c r="BG37" s="707"/>
      <c r="BH37" s="606"/>
      <c r="BI37" s="64"/>
      <c r="BJ37" s="39"/>
      <c r="BK37" s="39"/>
      <c r="BL37" s="707"/>
      <c r="BM37" s="606"/>
      <c r="BN37" s="64"/>
      <c r="BO37" s="39"/>
      <c r="BP37" s="39"/>
      <c r="BQ37" s="52"/>
      <c r="BR37" s="52"/>
      <c r="BS37" s="52"/>
      <c r="BT37" s="919"/>
      <c r="BU37" s="921">
        <f t="shared" si="30"/>
        <v>0</v>
      </c>
    </row>
    <row r="38" spans="1:73" ht="14.4" thickBot="1" x14ac:dyDescent="0.3">
      <c r="A38" s="33"/>
      <c r="B38" s="34" t="s">
        <v>46</v>
      </c>
      <c r="C38" s="53">
        <f>(C5)-(C8)</f>
        <v>4711089.75</v>
      </c>
      <c r="D38" s="53">
        <f>(D5)-(D8)</f>
        <v>-1909639</v>
      </c>
      <c r="E38" s="53">
        <f>(E5)-(E8)</f>
        <v>2801450.75</v>
      </c>
      <c r="F38" s="166"/>
      <c r="G38" s="53">
        <f>(G5)-(G8)</f>
        <v>-564602.42500000005</v>
      </c>
      <c r="H38" s="53">
        <f>(H5)-(H8)</f>
        <v>-86035</v>
      </c>
      <c r="I38" s="53">
        <f>(I5)-(I8)</f>
        <v>-650637.42500000005</v>
      </c>
      <c r="J38" s="191">
        <f t="shared" si="32"/>
        <v>-0.90697876163320235</v>
      </c>
      <c r="K38" s="269"/>
      <c r="L38" s="53">
        <f>(L5)-(L8)</f>
        <v>-520872.49</v>
      </c>
      <c r="M38" s="53">
        <f>(M5)-(M8)</f>
        <v>-170422.34</v>
      </c>
      <c r="N38" s="53">
        <f>(N5)-(N8)</f>
        <v>-691294.83</v>
      </c>
      <c r="O38" s="53"/>
      <c r="P38" s="53"/>
      <c r="Q38" s="53">
        <f>(Q5)-(Q8)</f>
        <v>1143744.9100000006</v>
      </c>
      <c r="R38" s="53">
        <f>(R5)-(R8)</f>
        <v>-123684</v>
      </c>
      <c r="S38" s="53">
        <f>(S5)-(S8)</f>
        <v>1020060.9100000006</v>
      </c>
      <c r="T38" s="53"/>
      <c r="U38" s="406"/>
      <c r="V38" s="53">
        <f>(V5)-(V8)</f>
        <v>3321648.4020000007</v>
      </c>
      <c r="W38" s="53">
        <f>(W5)-(W8)</f>
        <v>-921091.91</v>
      </c>
      <c r="X38" s="53">
        <f>(X5)-(X8)</f>
        <v>2400556.4920000006</v>
      </c>
      <c r="Y38" s="53"/>
      <c r="Z38" s="406"/>
      <c r="AA38" s="53">
        <f>(AA5)-(AA8)</f>
        <v>129702.47200000053</v>
      </c>
      <c r="AB38" s="53">
        <f>(AB5)-(AB8)</f>
        <v>-417166.5</v>
      </c>
      <c r="AC38" s="53">
        <f>(AC5)-(AC8)</f>
        <v>-287464.02799999947</v>
      </c>
      <c r="AD38" s="53"/>
      <c r="AE38" s="406"/>
      <c r="AF38" s="53">
        <f>(AF5)-(AF8)</f>
        <v>84570.264000000199</v>
      </c>
      <c r="AG38" s="53">
        <f>(AG5)-(AG8)</f>
        <v>-197544.03999999998</v>
      </c>
      <c r="AH38" s="53">
        <f>(AH5)-(AH8)</f>
        <v>-112973.77599999984</v>
      </c>
      <c r="AI38" s="53"/>
      <c r="AJ38" s="406"/>
      <c r="AK38" s="53">
        <f>(AK5)-(AK8)</f>
        <v>174723.84199999995</v>
      </c>
      <c r="AL38" s="53">
        <f>(AL5)-(AL8)</f>
        <v>-187128.5</v>
      </c>
      <c r="AM38" s="648">
        <f>(AM5)-(AM8)</f>
        <v>-12404.658000000054</v>
      </c>
      <c r="AN38" s="696"/>
      <c r="AO38" s="406"/>
      <c r="AP38" s="53">
        <f>(AP5)-(AP8)</f>
        <v>-129.45599999999999</v>
      </c>
      <c r="AQ38" s="53">
        <f>(AQ5)-(AQ8)</f>
        <v>-68836</v>
      </c>
      <c r="AR38" s="648">
        <f>(AR5)-(AR8)</f>
        <v>-68965.456000000006</v>
      </c>
      <c r="AS38" s="696" t="e">
        <f t="shared" si="7"/>
        <v>#DIV/0!</v>
      </c>
      <c r="AT38" s="406"/>
      <c r="AU38" s="53">
        <f>(AU5)-(AU8)</f>
        <v>-2420.067</v>
      </c>
      <c r="AV38" s="53">
        <f>(AV5)-(AV8)</f>
        <v>-1600</v>
      </c>
      <c r="AW38" s="648">
        <f>(AW5)-(AW8)</f>
        <v>-4020.067</v>
      </c>
      <c r="AX38" s="696">
        <f t="shared" si="8"/>
        <v>-0.95082527081689261</v>
      </c>
      <c r="AY38" s="406"/>
      <c r="AZ38" s="53">
        <f>(AZ5)-(AZ8)</f>
        <v>290120.00199999998</v>
      </c>
      <c r="BA38" s="53">
        <f>(BA5)-(BA8)</f>
        <v>-17652.8</v>
      </c>
      <c r="BB38" s="648">
        <f>(BB5)-(BB8)</f>
        <v>272467.20199999999</v>
      </c>
      <c r="BC38" s="696">
        <f t="shared" si="39"/>
        <v>64.443876465335265</v>
      </c>
      <c r="BD38" s="406"/>
      <c r="BE38" s="53">
        <f>(BE5)-(BE8)</f>
        <v>0</v>
      </c>
      <c r="BF38" s="53">
        <f>(BF5)-(BF8)</f>
        <v>0</v>
      </c>
      <c r="BG38" s="648">
        <f>(BG5)-(BG8)</f>
        <v>0</v>
      </c>
      <c r="BH38" s="696">
        <f>BG38/$AW$89</f>
        <v>0</v>
      </c>
      <c r="BI38" s="406"/>
      <c r="BJ38" s="53">
        <f>(BJ5)-(BJ8)</f>
        <v>0</v>
      </c>
      <c r="BK38" s="53">
        <f>(BK5)-(BK8)</f>
        <v>0</v>
      </c>
      <c r="BL38" s="648">
        <f>(BL5)-(BL8)</f>
        <v>0</v>
      </c>
      <c r="BM38" s="696">
        <f>BL38/$AW$89</f>
        <v>0</v>
      </c>
      <c r="BN38" s="406"/>
      <c r="BO38" s="53">
        <f>(BO5)-(BO8)</f>
        <v>4056485.4539999962</v>
      </c>
      <c r="BP38" s="53">
        <f>(BP5)-(BP8)</f>
        <v>-2191161.0900000003</v>
      </c>
      <c r="BQ38" s="53">
        <f>(BQ5)-(BQ8)</f>
        <v>1865324.3640000001</v>
      </c>
      <c r="BR38" s="53"/>
      <c r="BS38" s="53"/>
      <c r="BU38" s="921">
        <f t="shared" si="30"/>
        <v>1865324.3640000001</v>
      </c>
    </row>
    <row r="39" spans="1:73" ht="13.8" x14ac:dyDescent="0.25">
      <c r="A39" s="293"/>
      <c r="B39" s="15" t="s">
        <v>47</v>
      </c>
      <c r="C39" s="157">
        <f>C38/(C5)</f>
        <v>0.24470108366077689</v>
      </c>
      <c r="D39" s="157" t="e">
        <f>D38/(D5)</f>
        <v>#DIV/0!</v>
      </c>
      <c r="E39" s="158">
        <f>E38/(E5)</f>
        <v>0.14551156329537049</v>
      </c>
      <c r="F39" s="167"/>
      <c r="G39" s="157" t="e">
        <f>G38/(G5)</f>
        <v>#DIV/0!</v>
      </c>
      <c r="H39" s="157" t="e">
        <f>H38/(H5)</f>
        <v>#DIV/0!</v>
      </c>
      <c r="I39" s="158" t="e">
        <f>I38/(I5)</f>
        <v>#DIV/0!</v>
      </c>
      <c r="J39" s="192" t="e">
        <f t="shared" si="32"/>
        <v>#DIV/0!</v>
      </c>
      <c r="K39" s="270"/>
      <c r="L39" s="54" t="e">
        <f>L38/(L5)</f>
        <v>#DIV/0!</v>
      </c>
      <c r="M39" s="54" t="e">
        <f>M38/(M5)</f>
        <v>#DIV/0!</v>
      </c>
      <c r="N39" s="55" t="e">
        <f>N38/(N5)</f>
        <v>#DIV/0!</v>
      </c>
      <c r="O39" s="55"/>
      <c r="P39" s="55"/>
      <c r="Q39" s="54">
        <f>Q38/(Q5)</f>
        <v>0.22535036852963369</v>
      </c>
      <c r="R39" s="54" t="e">
        <f>R38/(R5)</f>
        <v>#DIV/0!</v>
      </c>
      <c r="S39" s="55">
        <f>S38/(S5)</f>
        <v>0.20098109288300442</v>
      </c>
      <c r="T39" s="55"/>
      <c r="U39" s="407"/>
      <c r="V39" s="54">
        <f>V38/(V5)</f>
        <v>0.39774490189135586</v>
      </c>
      <c r="W39" s="54" t="e">
        <f>W38/(W5)</f>
        <v>#DIV/0!</v>
      </c>
      <c r="X39" s="55">
        <f>X38/(X5)</f>
        <v>0.28745038331579487</v>
      </c>
      <c r="Y39" s="55"/>
      <c r="Z39" s="407"/>
      <c r="AA39" s="54">
        <f>AA38/(AA5)</f>
        <v>3.8282844605416158E-2</v>
      </c>
      <c r="AB39" s="54" t="e">
        <f>AB38/(AB5)</f>
        <v>#DIV/0!</v>
      </c>
      <c r="AC39" s="55">
        <f>AC38/(AC5)</f>
        <v>-8.4847578799970236E-2</v>
      </c>
      <c r="AD39" s="55"/>
      <c r="AE39" s="407"/>
      <c r="AF39" s="54">
        <f>AF38/(AF5)</f>
        <v>6.37771531117024E-2</v>
      </c>
      <c r="AG39" s="54" t="e">
        <f>AG38/(AG5)</f>
        <v>#DIV/0!</v>
      </c>
      <c r="AH39" s="55">
        <f>AH38/(AH5)</f>
        <v>-8.5197154044111087E-2</v>
      </c>
      <c r="AI39" s="55"/>
      <c r="AJ39" s="407"/>
      <c r="AK39" s="54">
        <f>AK38/(AK5)</f>
        <v>0.16448704813009063</v>
      </c>
      <c r="AL39" s="54" t="e">
        <f>AL38/(AL5)</f>
        <v>#DIV/0!</v>
      </c>
      <c r="AM39" s="660">
        <f>AM38/(AM5)</f>
        <v>-1.1677888684953043E-2</v>
      </c>
      <c r="AN39" s="697"/>
      <c r="AO39" s="407"/>
      <c r="AP39" s="54" t="e">
        <f>AP38/(AP5)</f>
        <v>#DIV/0!</v>
      </c>
      <c r="AQ39" s="54" t="e">
        <f>AQ38/(AQ5)</f>
        <v>#DIV/0!</v>
      </c>
      <c r="AR39" s="660" t="e">
        <f>AR38/(AR5)</f>
        <v>#DIV/0!</v>
      </c>
      <c r="AS39" s="697" t="e">
        <f t="shared" si="7"/>
        <v>#DIV/0!</v>
      </c>
      <c r="AT39" s="407"/>
      <c r="AU39" s="54" t="e">
        <f>AU38/(AU5)</f>
        <v>#DIV/0!</v>
      </c>
      <c r="AV39" s="54" t="e">
        <f>AV38/(AV5)</f>
        <v>#DIV/0!</v>
      </c>
      <c r="AW39" s="660" t="e">
        <f>AW38/(AW5)</f>
        <v>#DIV/0!</v>
      </c>
      <c r="AX39" s="697" t="e">
        <f t="shared" si="8"/>
        <v>#DIV/0!</v>
      </c>
      <c r="AY39" s="407"/>
      <c r="AZ39" s="54">
        <f>AZ38/(AZ5)</f>
        <v>0.49788583350235854</v>
      </c>
      <c r="BA39" s="54" t="e">
        <f>BA38/(BA5)</f>
        <v>#DIV/0!</v>
      </c>
      <c r="BB39" s="660">
        <f>BB38/(BB5)</f>
        <v>0.46759120031243312</v>
      </c>
      <c r="BC39" s="697">
        <f t="shared" si="39"/>
        <v>1.1059455717247128E-4</v>
      </c>
      <c r="BD39" s="407"/>
      <c r="BE39" s="54" t="e">
        <f>BE38/(BE5)</f>
        <v>#DIV/0!</v>
      </c>
      <c r="BF39" s="54" t="e">
        <f>BF38/(BF5)</f>
        <v>#DIV/0!</v>
      </c>
      <c r="BG39" s="660" t="e">
        <f>BG38/(BG5)</f>
        <v>#DIV/0!</v>
      </c>
      <c r="BH39" s="697" t="e">
        <f>BG39/$AW$89</f>
        <v>#DIV/0!</v>
      </c>
      <c r="BI39" s="407"/>
      <c r="BJ39" s="54" t="e">
        <f>BJ38/(BJ5)</f>
        <v>#DIV/0!</v>
      </c>
      <c r="BK39" s="54" t="e">
        <f>BK38/(BK5)</f>
        <v>#DIV/0!</v>
      </c>
      <c r="BL39" s="660" t="e">
        <f>BL38/(BL5)</f>
        <v>#DIV/0!</v>
      </c>
      <c r="BM39" s="697" t="e">
        <f>BL39/$AW$89</f>
        <v>#DIV/0!</v>
      </c>
      <c r="BN39" s="407"/>
      <c r="BO39" s="54">
        <f>BO38/(BO5)</f>
        <v>0.20502230183130524</v>
      </c>
      <c r="BP39" s="54" t="e">
        <f>BP38/(BP5)</f>
        <v>#DIV/0!</v>
      </c>
      <c r="BQ39" s="55">
        <f>BQ38/(BQ5)</f>
        <v>9.4276954547485928E-2</v>
      </c>
      <c r="BR39" s="55"/>
      <c r="BS39" s="55"/>
      <c r="BU39" s="921">
        <f t="shared" si="30"/>
        <v>9.4276954547485928E-2</v>
      </c>
    </row>
    <row r="40" spans="1:73" ht="14.4" thickBot="1" x14ac:dyDescent="0.3">
      <c r="A40" s="295"/>
      <c r="B40" s="16"/>
      <c r="C40" s="56"/>
      <c r="D40" s="57"/>
      <c r="E40" s="58"/>
      <c r="F40" s="168"/>
      <c r="G40" s="80"/>
      <c r="H40" s="80"/>
      <c r="I40" s="80"/>
      <c r="J40" s="193">
        <f t="shared" si="32"/>
        <v>0</v>
      </c>
      <c r="K40" s="271"/>
      <c r="L40" s="58"/>
      <c r="M40" s="58"/>
      <c r="N40" s="58"/>
      <c r="O40" s="58"/>
      <c r="P40" s="58"/>
      <c r="Q40" s="58"/>
      <c r="R40" s="58"/>
      <c r="S40" s="58"/>
      <c r="T40" s="58"/>
      <c r="U40" s="408"/>
      <c r="V40" s="58"/>
      <c r="W40" s="58"/>
      <c r="X40" s="58"/>
      <c r="Y40" s="58"/>
      <c r="Z40" s="408"/>
      <c r="AA40" s="58"/>
      <c r="AB40" s="58"/>
      <c r="AC40" s="58"/>
      <c r="AD40" s="58"/>
      <c r="AE40" s="408"/>
      <c r="AF40" s="58"/>
      <c r="AG40" s="58"/>
      <c r="AH40" s="58"/>
      <c r="AI40" s="58"/>
      <c r="AJ40" s="408"/>
      <c r="AK40" s="58"/>
      <c r="AL40" s="58"/>
      <c r="AM40" s="662"/>
      <c r="AN40" s="649"/>
      <c r="AO40" s="408"/>
      <c r="AP40" s="58"/>
      <c r="AQ40" s="58"/>
      <c r="AR40" s="662"/>
      <c r="AS40" s="649" t="e">
        <f t="shared" si="7"/>
        <v>#DIV/0!</v>
      </c>
      <c r="AT40" s="408"/>
      <c r="AU40" s="58"/>
      <c r="AV40" s="58"/>
      <c r="AW40" s="662"/>
      <c r="AX40" s="649">
        <f t="shared" si="8"/>
        <v>0</v>
      </c>
      <c r="AY40" s="408"/>
      <c r="AZ40" s="58"/>
      <c r="BA40" s="58"/>
      <c r="BB40" s="662"/>
      <c r="BC40" s="649">
        <f t="shared" si="39"/>
        <v>0</v>
      </c>
      <c r="BD40" s="408"/>
      <c r="BE40" s="58"/>
      <c r="BF40" s="58"/>
      <c r="BG40" s="662"/>
      <c r="BH40" s="649">
        <f>BG40/$AW$89</f>
        <v>0</v>
      </c>
      <c r="BI40" s="408"/>
      <c r="BJ40" s="58"/>
      <c r="BK40" s="58"/>
      <c r="BL40" s="662"/>
      <c r="BM40" s="649">
        <f>BL40/$AW$89</f>
        <v>0</v>
      </c>
      <c r="BN40" s="408"/>
      <c r="BO40" s="58"/>
      <c r="BP40" s="58"/>
      <c r="BQ40" s="58"/>
      <c r="BR40" s="58"/>
      <c r="BS40" s="58"/>
      <c r="BU40" s="921">
        <f t="shared" si="30"/>
        <v>0</v>
      </c>
    </row>
    <row r="41" spans="1:73" ht="13.8" x14ac:dyDescent="0.25">
      <c r="A41" s="11"/>
      <c r="B41" s="22" t="s">
        <v>26</v>
      </c>
      <c r="C41" s="117">
        <f>SUM(C42:C48)</f>
        <v>38200</v>
      </c>
      <c r="D41" s="117">
        <f>SUM(D42:D48)</f>
        <v>4600</v>
      </c>
      <c r="E41" s="118">
        <f>SUM(E42:E48)</f>
        <v>42800</v>
      </c>
      <c r="F41" s="169">
        <f t="shared" ref="F41:F48" si="40">E41/$E$89</f>
        <v>2.4395357001329469E-3</v>
      </c>
      <c r="G41" s="117">
        <f>SUM(G42:G48)</f>
        <v>4330.0200000000004</v>
      </c>
      <c r="H41" s="117">
        <f>SUM(H42:H48)</f>
        <v>300</v>
      </c>
      <c r="I41" s="118">
        <f>SUM(I42:I48)</f>
        <v>4630.0200000000004</v>
      </c>
      <c r="J41" s="169">
        <f t="shared" si="32"/>
        <v>6.4541780791920475E-3</v>
      </c>
      <c r="K41" s="272"/>
      <c r="L41" s="117">
        <f>SUM(L42:L48)</f>
        <v>1712.91</v>
      </c>
      <c r="M41" s="117">
        <f>SUM(M42:M48)</f>
        <v>0</v>
      </c>
      <c r="N41" s="118">
        <f>SUM(N42:N48)</f>
        <v>1712.91</v>
      </c>
      <c r="O41" s="169">
        <f t="shared" ref="O41:O49" si="41">N41/$N$89</f>
        <v>2.3130765993371431E-3</v>
      </c>
      <c r="P41" s="60"/>
      <c r="Q41" s="117">
        <f>SUM(Q42:Q48)</f>
        <v>5180.33</v>
      </c>
      <c r="R41" s="117">
        <f>SUM(R42:R48)</f>
        <v>702</v>
      </c>
      <c r="S41" s="118">
        <f>SUM(S42:S48)</f>
        <v>5882.33</v>
      </c>
      <c r="T41" s="169">
        <f>S41/$S$89</f>
        <v>1.4322241708542541E-3</v>
      </c>
      <c r="U41" s="409"/>
      <c r="V41" s="117">
        <f>SUM(V42:V48)</f>
        <v>3328.38</v>
      </c>
      <c r="W41" s="117">
        <f>SUM(W42:W48)</f>
        <v>0</v>
      </c>
      <c r="X41" s="118">
        <f>SUM(X42:X48)</f>
        <v>3328.38</v>
      </c>
      <c r="Y41" s="169">
        <f>X41/$X$89</f>
        <v>5.4362794874073406E-4</v>
      </c>
      <c r="Z41" s="409"/>
      <c r="AA41" s="117">
        <f>SUM(AA42:AA48)</f>
        <v>8859.0239999999994</v>
      </c>
      <c r="AB41" s="117">
        <f>SUM(AB42:AB48)</f>
        <v>740</v>
      </c>
      <c r="AC41" s="118">
        <f>SUM(AC42:AC48)</f>
        <v>9599.0239999999994</v>
      </c>
      <c r="AD41" s="169">
        <f>AC41/$AC$89</f>
        <v>2.5496010167048635E-3</v>
      </c>
      <c r="AE41" s="409"/>
      <c r="AF41" s="117">
        <f>SUM(AF42:AF48)</f>
        <v>4054.4</v>
      </c>
      <c r="AG41" s="117">
        <f>SUM(AG42:AG48)</f>
        <v>300</v>
      </c>
      <c r="AH41" s="118">
        <f>SUM(AH42:AH48)</f>
        <v>4354.3999999999996</v>
      </c>
      <c r="AI41" s="169">
        <f t="shared" ref="AI41:AI52" si="42">AH41/$AH$89</f>
        <v>2.8975788910004501E-3</v>
      </c>
      <c r="AJ41" s="409"/>
      <c r="AK41" s="117">
        <f>SUM(AK42:AK48)</f>
        <v>10473.25</v>
      </c>
      <c r="AL41" s="117">
        <f>SUM(AL42:AL48)</f>
        <v>0</v>
      </c>
      <c r="AM41" s="663">
        <f>SUM(AM42:AM48)</f>
        <v>10473.25</v>
      </c>
      <c r="AN41" s="664" t="e">
        <f t="shared" ref="AN41:AN52" si="43">AM41/$AM$89</f>
        <v>#DIV/0!</v>
      </c>
      <c r="AO41" s="409"/>
      <c r="AP41" s="117">
        <f>SUM(AP42:AP48)</f>
        <v>205.5</v>
      </c>
      <c r="AQ41" s="117">
        <f>SUM(AQ42:AQ48)</f>
        <v>0</v>
      </c>
      <c r="AR41" s="663">
        <f>SUM(AR42:AR48)</f>
        <v>205.5</v>
      </c>
      <c r="AS41" s="664" t="e">
        <f t="shared" si="7"/>
        <v>#DIV/0!</v>
      </c>
      <c r="AT41" s="409"/>
      <c r="AU41" s="117">
        <f>SUM(AU42:AU48)</f>
        <v>0</v>
      </c>
      <c r="AV41" s="117">
        <f>SUM(AV42:AV48)</f>
        <v>0</v>
      </c>
      <c r="AW41" s="663">
        <f>SUM(AW42:AW48)</f>
        <v>0</v>
      </c>
      <c r="AX41" s="664">
        <f t="shared" si="8"/>
        <v>0</v>
      </c>
      <c r="AY41" s="409"/>
      <c r="AZ41" s="117">
        <f>SUM(AZ42:AZ48)</f>
        <v>75</v>
      </c>
      <c r="BA41" s="117">
        <f>SUM(BA42:BA48)</f>
        <v>0</v>
      </c>
      <c r="BB41" s="663">
        <f>SUM(BB42:BB48)</f>
        <v>75</v>
      </c>
      <c r="BC41" s="664" t="e">
        <f t="shared" ref="BC41:BC72" si="44">BB41/$BB$89</f>
        <v>#DIV/0!</v>
      </c>
      <c r="BD41" s="409"/>
      <c r="BE41" s="117">
        <f>SUM(BE42:BE48)</f>
        <v>0</v>
      </c>
      <c r="BF41" s="117">
        <f>SUM(BF42:BF48)</f>
        <v>0</v>
      </c>
      <c r="BG41" s="663">
        <f>SUM(BG42:BG48)</f>
        <v>0</v>
      </c>
      <c r="BH41" s="664" t="e">
        <f t="shared" ref="BH41:BH72" si="45">BG41/$BB$89</f>
        <v>#DIV/0!</v>
      </c>
      <c r="BI41" s="409"/>
      <c r="BJ41" s="117">
        <f>SUM(BJ42:BJ48)</f>
        <v>0</v>
      </c>
      <c r="BK41" s="117">
        <f>SUM(BK42:BK48)</f>
        <v>0</v>
      </c>
      <c r="BL41" s="663">
        <f>SUM(BL42:BL48)</f>
        <v>0</v>
      </c>
      <c r="BM41" s="664" t="e">
        <f t="shared" ref="BM41:BM72" si="46">BL41/$BB$89</f>
        <v>#DIV/0!</v>
      </c>
      <c r="BN41" s="409"/>
      <c r="BO41" s="117">
        <f>SUM(BO42:BO48)</f>
        <v>38218.813999999998</v>
      </c>
      <c r="BP41" s="117">
        <f>SUM(BP42:BP48)</f>
        <v>2042</v>
      </c>
      <c r="BQ41" s="118">
        <f>SUM(BQ42:BQ48)</f>
        <v>40260.813999999998</v>
      </c>
      <c r="BR41" s="169" t="e">
        <f t="shared" ref="BR41:BR49" si="47">BQ41/$BQ$89</f>
        <v>#DIV/0!</v>
      </c>
      <c r="BS41" s="60"/>
      <c r="BU41" s="921">
        <f t="shared" si="30"/>
        <v>40260.813999999998</v>
      </c>
    </row>
    <row r="42" spans="1:73" ht="13.8" x14ac:dyDescent="0.25">
      <c r="A42" s="4015"/>
      <c r="B42" s="18" t="s">
        <v>7</v>
      </c>
      <c r="C42" s="113"/>
      <c r="D42" s="119"/>
      <c r="E42" s="120">
        <f t="shared" ref="E42:E48" si="48">C42+D42</f>
        <v>0</v>
      </c>
      <c r="F42" s="178">
        <f t="shared" si="40"/>
        <v>0</v>
      </c>
      <c r="G42" s="78"/>
      <c r="H42" s="103"/>
      <c r="I42" s="41">
        <f t="shared" ref="I42:I48" si="49">G42+H42*1</f>
        <v>0</v>
      </c>
      <c r="J42" s="178">
        <f t="shared" si="32"/>
        <v>0</v>
      </c>
      <c r="K42" s="265"/>
      <c r="L42" s="39"/>
      <c r="M42" s="39"/>
      <c r="N42" s="106">
        <f t="shared" ref="N42:N48" si="50">L42+M42*1</f>
        <v>0</v>
      </c>
      <c r="O42" s="178">
        <f t="shared" si="41"/>
        <v>0</v>
      </c>
      <c r="P42" s="79"/>
      <c r="Q42" s="39"/>
      <c r="R42" s="39"/>
      <c r="S42" s="106">
        <f t="shared" ref="S42:S48" si="51">Q42+R42*1</f>
        <v>0</v>
      </c>
      <c r="T42" s="178">
        <f t="shared" ref="T42:T49" si="52">S42/$S$89</f>
        <v>0</v>
      </c>
      <c r="U42" s="259"/>
      <c r="V42" s="39"/>
      <c r="W42" s="39"/>
      <c r="X42" s="106">
        <f t="shared" ref="X42:X48" si="53">V42+W42*1</f>
        <v>0</v>
      </c>
      <c r="Y42" s="178">
        <f t="shared" ref="Y42:Y52" si="54">X42/$X$89</f>
        <v>0</v>
      </c>
      <c r="Z42" s="388"/>
      <c r="AA42" s="39"/>
      <c r="AB42" s="39"/>
      <c r="AC42" s="106">
        <f t="shared" ref="AC42:AC48" si="55">AA42+AB42*1</f>
        <v>0</v>
      </c>
      <c r="AD42" s="450">
        <f t="shared" ref="AD42:AD49" si="56">AC42/$AC$89</f>
        <v>0</v>
      </c>
      <c r="AE42" s="388"/>
      <c r="AF42" s="39"/>
      <c r="AG42" s="39"/>
      <c r="AH42" s="106">
        <f t="shared" ref="AH42:AH48" si="57">AF42+AG42*1</f>
        <v>0</v>
      </c>
      <c r="AI42" s="450">
        <f t="shared" si="42"/>
        <v>0</v>
      </c>
      <c r="AJ42" s="388"/>
      <c r="AK42" s="39"/>
      <c r="AL42" s="39"/>
      <c r="AM42" s="446">
        <f t="shared" ref="AM42:AM48" si="58">AK42+AL42*1</f>
        <v>0</v>
      </c>
      <c r="AN42" s="450" t="e">
        <f t="shared" si="43"/>
        <v>#DIV/0!</v>
      </c>
      <c r="AO42" s="388"/>
      <c r="AP42" s="39"/>
      <c r="AQ42" s="39"/>
      <c r="AR42" s="446">
        <f t="shared" ref="AR42:AR48" si="59">AP42+AQ42*1</f>
        <v>0</v>
      </c>
      <c r="AS42" s="450" t="e">
        <f t="shared" si="7"/>
        <v>#DIV/0!</v>
      </c>
      <c r="AT42" s="388"/>
      <c r="AU42" s="39"/>
      <c r="AV42" s="39"/>
      <c r="AW42" s="446">
        <f t="shared" ref="AW42:AW48" si="60">AU42+AV42*1</f>
        <v>0</v>
      </c>
      <c r="AX42" s="450">
        <f t="shared" si="8"/>
        <v>0</v>
      </c>
      <c r="AY42" s="388"/>
      <c r="AZ42" s="39"/>
      <c r="BA42" s="39"/>
      <c r="BB42" s="446">
        <f t="shared" ref="BB42:BB48" si="61">AZ42+BA42*1</f>
        <v>0</v>
      </c>
      <c r="BC42" s="450" t="e">
        <f t="shared" si="44"/>
        <v>#DIV/0!</v>
      </c>
      <c r="BD42" s="388"/>
      <c r="BE42" s="39"/>
      <c r="BF42" s="39"/>
      <c r="BG42" s="446">
        <f t="shared" ref="BG42:BG48" si="62">BE42+BF42*1</f>
        <v>0</v>
      </c>
      <c r="BH42" s="450" t="e">
        <f t="shared" si="45"/>
        <v>#DIV/0!</v>
      </c>
      <c r="BI42" s="388"/>
      <c r="BJ42" s="39"/>
      <c r="BK42" s="39"/>
      <c r="BL42" s="446">
        <f t="shared" ref="BL42:BL48" si="63">BJ42+BK42*1</f>
        <v>0</v>
      </c>
      <c r="BM42" s="450" t="e">
        <f t="shared" si="46"/>
        <v>#DIV/0!</v>
      </c>
      <c r="BN42" s="388"/>
      <c r="BO42" s="39">
        <f t="shared" ref="BO42:BO48" si="64">G42+L42+Q42+V42+AA42+AF42+AK42+AP42+AU42+AZ42+BE42+BJ42</f>
        <v>0</v>
      </c>
      <c r="BP42" s="39">
        <f t="shared" ref="BP42:BP48" si="65">H42+M42+R42+W42+AB42+AG42+AL42+AQ42+AV42+BA42+BF42+BK42</f>
        <v>0</v>
      </c>
      <c r="BQ42" s="106">
        <f t="shared" ref="BQ42:BQ48" si="66">BO42+BP42*1</f>
        <v>0</v>
      </c>
      <c r="BR42" s="178" t="e">
        <f t="shared" si="47"/>
        <v>#DIV/0!</v>
      </c>
      <c r="BS42" s="79"/>
      <c r="BU42" s="921">
        <f t="shared" si="30"/>
        <v>0</v>
      </c>
    </row>
    <row r="43" spans="1:73" ht="13.8" x14ac:dyDescent="0.25">
      <c r="A43" s="4015"/>
      <c r="B43" s="18" t="s">
        <v>27</v>
      </c>
      <c r="C43" s="113">
        <v>0</v>
      </c>
      <c r="D43" s="119">
        <v>4000</v>
      </c>
      <c r="E43" s="120">
        <f t="shared" si="48"/>
        <v>4000</v>
      </c>
      <c r="F43" s="178">
        <f t="shared" si="40"/>
        <v>2.2799399066663055E-4</v>
      </c>
      <c r="G43" s="78"/>
      <c r="H43" s="103">
        <v>300</v>
      </c>
      <c r="I43" s="41">
        <f t="shared" si="49"/>
        <v>300</v>
      </c>
      <c r="J43" s="178">
        <f t="shared" si="32"/>
        <v>4.1819547728899961E-4</v>
      </c>
      <c r="K43" s="368" t="s">
        <v>393</v>
      </c>
      <c r="L43" s="39"/>
      <c r="M43" s="39"/>
      <c r="N43" s="106">
        <f t="shared" si="50"/>
        <v>0</v>
      </c>
      <c r="O43" s="178">
        <f t="shared" si="41"/>
        <v>0</v>
      </c>
      <c r="P43" s="79"/>
      <c r="Q43" s="39"/>
      <c r="R43" s="39">
        <v>702</v>
      </c>
      <c r="S43" s="106">
        <f t="shared" si="51"/>
        <v>702</v>
      </c>
      <c r="T43" s="178">
        <f t="shared" si="52"/>
        <v>1.7092229914671337E-4</v>
      </c>
      <c r="U43" s="415" t="s">
        <v>604</v>
      </c>
      <c r="V43" s="39"/>
      <c r="W43" s="39"/>
      <c r="X43" s="106">
        <f t="shared" si="53"/>
        <v>0</v>
      </c>
      <c r="Y43" s="178">
        <f t="shared" si="54"/>
        <v>0</v>
      </c>
      <c r="Z43" s="388" t="s">
        <v>604</v>
      </c>
      <c r="AA43" s="39"/>
      <c r="AB43" s="39">
        <v>740</v>
      </c>
      <c r="AC43" s="106">
        <f t="shared" si="55"/>
        <v>740</v>
      </c>
      <c r="AD43" s="450">
        <f t="shared" si="56"/>
        <v>1.9655172779665925E-4</v>
      </c>
      <c r="AE43" s="388"/>
      <c r="AF43" s="39"/>
      <c r="AG43" s="39"/>
      <c r="AH43" s="106">
        <f t="shared" si="57"/>
        <v>0</v>
      </c>
      <c r="AI43" s="450">
        <f t="shared" si="42"/>
        <v>0</v>
      </c>
      <c r="AJ43" s="388"/>
      <c r="AK43" s="39"/>
      <c r="AL43" s="39"/>
      <c r="AM43" s="446">
        <f t="shared" si="58"/>
        <v>0</v>
      </c>
      <c r="AN43" s="450" t="e">
        <f t="shared" si="43"/>
        <v>#DIV/0!</v>
      </c>
      <c r="AO43" s="388"/>
      <c r="AP43" s="39"/>
      <c r="AQ43" s="39"/>
      <c r="AR43" s="446">
        <f t="shared" si="59"/>
        <v>0</v>
      </c>
      <c r="AS43" s="450" t="e">
        <f t="shared" si="7"/>
        <v>#DIV/0!</v>
      </c>
      <c r="AT43" s="388"/>
      <c r="AU43" s="39"/>
      <c r="AV43" s="39"/>
      <c r="AW43" s="446">
        <f t="shared" si="60"/>
        <v>0</v>
      </c>
      <c r="AX43" s="450">
        <f t="shared" si="8"/>
        <v>0</v>
      </c>
      <c r="AY43" s="388"/>
      <c r="AZ43" s="39"/>
      <c r="BA43" s="39"/>
      <c r="BB43" s="446">
        <f t="shared" si="61"/>
        <v>0</v>
      </c>
      <c r="BC43" s="450" t="e">
        <f t="shared" si="44"/>
        <v>#DIV/0!</v>
      </c>
      <c r="BD43" s="388"/>
      <c r="BE43" s="39"/>
      <c r="BF43" s="39"/>
      <c r="BG43" s="446">
        <f t="shared" si="62"/>
        <v>0</v>
      </c>
      <c r="BH43" s="450" t="e">
        <f t="shared" si="45"/>
        <v>#DIV/0!</v>
      </c>
      <c r="BI43" s="388"/>
      <c r="BJ43" s="39"/>
      <c r="BK43" s="39"/>
      <c r="BL43" s="446">
        <f t="shared" si="63"/>
        <v>0</v>
      </c>
      <c r="BM43" s="450" t="e">
        <f t="shared" si="46"/>
        <v>#DIV/0!</v>
      </c>
      <c r="BN43" s="388"/>
      <c r="BO43" s="39">
        <f t="shared" si="64"/>
        <v>0</v>
      </c>
      <c r="BP43" s="39">
        <f t="shared" si="65"/>
        <v>1742</v>
      </c>
      <c r="BQ43" s="106">
        <f t="shared" si="66"/>
        <v>1742</v>
      </c>
      <c r="BR43" s="178" t="e">
        <f t="shared" si="47"/>
        <v>#DIV/0!</v>
      </c>
      <c r="BS43" s="79"/>
      <c r="BT43" s="77">
        <v>1742</v>
      </c>
      <c r="BU43" s="921">
        <f t="shared" si="30"/>
        <v>0</v>
      </c>
    </row>
    <row r="44" spans="1:73" ht="13.8" x14ac:dyDescent="0.25">
      <c r="A44" s="4015"/>
      <c r="B44" s="19" t="s">
        <v>28</v>
      </c>
      <c r="C44" s="113"/>
      <c r="D44" s="119">
        <v>600</v>
      </c>
      <c r="E44" s="120">
        <f t="shared" si="48"/>
        <v>600</v>
      </c>
      <c r="F44" s="178">
        <f t="shared" si="40"/>
        <v>3.4199098599994579E-5</v>
      </c>
      <c r="G44" s="78"/>
      <c r="H44" s="103"/>
      <c r="I44" s="41">
        <f t="shared" si="49"/>
        <v>0</v>
      </c>
      <c r="J44" s="178">
        <f t="shared" si="32"/>
        <v>0</v>
      </c>
      <c r="K44" s="291"/>
      <c r="L44" s="39"/>
      <c r="M44" s="39"/>
      <c r="N44" s="106">
        <f t="shared" si="50"/>
        <v>0</v>
      </c>
      <c r="O44" s="178">
        <f t="shared" si="41"/>
        <v>0</v>
      </c>
      <c r="P44" s="79"/>
      <c r="Q44" s="39"/>
      <c r="R44" s="39"/>
      <c r="S44" s="106">
        <f t="shared" si="51"/>
        <v>0</v>
      </c>
      <c r="T44" s="178">
        <f t="shared" si="52"/>
        <v>0</v>
      </c>
      <c r="U44" s="259"/>
      <c r="V44" s="39"/>
      <c r="W44" s="39"/>
      <c r="X44" s="106">
        <f t="shared" si="53"/>
        <v>0</v>
      </c>
      <c r="Y44" s="178">
        <f t="shared" si="54"/>
        <v>0</v>
      </c>
      <c r="Z44" s="388"/>
      <c r="AA44" s="39"/>
      <c r="AB44" s="39"/>
      <c r="AC44" s="106">
        <f t="shared" si="55"/>
        <v>0</v>
      </c>
      <c r="AD44" s="450">
        <f t="shared" si="56"/>
        <v>0</v>
      </c>
      <c r="AE44" s="388"/>
      <c r="AF44" s="39"/>
      <c r="AG44" s="39">
        <v>300</v>
      </c>
      <c r="AH44" s="106">
        <f t="shared" si="57"/>
        <v>300</v>
      </c>
      <c r="AI44" s="450">
        <f t="shared" si="42"/>
        <v>1.9963110125393511E-4</v>
      </c>
      <c r="AJ44" s="388" t="s">
        <v>750</v>
      </c>
      <c r="AK44" s="39"/>
      <c r="AL44" s="39"/>
      <c r="AM44" s="446">
        <f t="shared" si="58"/>
        <v>0</v>
      </c>
      <c r="AN44" s="450" t="e">
        <f t="shared" si="43"/>
        <v>#DIV/0!</v>
      </c>
      <c r="AO44" s="388"/>
      <c r="AP44" s="39"/>
      <c r="AQ44" s="39"/>
      <c r="AR44" s="446">
        <f t="shared" si="59"/>
        <v>0</v>
      </c>
      <c r="AS44" s="450" t="e">
        <f t="shared" si="7"/>
        <v>#DIV/0!</v>
      </c>
      <c r="AT44" s="388"/>
      <c r="AU44" s="39"/>
      <c r="AV44" s="39"/>
      <c r="AW44" s="446">
        <f t="shared" si="60"/>
        <v>0</v>
      </c>
      <c r="AX44" s="450">
        <f t="shared" si="8"/>
        <v>0</v>
      </c>
      <c r="AY44" s="388"/>
      <c r="AZ44" s="39"/>
      <c r="BA44" s="39"/>
      <c r="BB44" s="446">
        <f t="shared" si="61"/>
        <v>0</v>
      </c>
      <c r="BC44" s="450" t="e">
        <f t="shared" si="44"/>
        <v>#DIV/0!</v>
      </c>
      <c r="BD44" s="388"/>
      <c r="BE44" s="39"/>
      <c r="BF44" s="39"/>
      <c r="BG44" s="446">
        <f t="shared" si="62"/>
        <v>0</v>
      </c>
      <c r="BH44" s="450" t="e">
        <f t="shared" si="45"/>
        <v>#DIV/0!</v>
      </c>
      <c r="BI44" s="388"/>
      <c r="BJ44" s="39"/>
      <c r="BK44" s="39"/>
      <c r="BL44" s="446">
        <f t="shared" si="63"/>
        <v>0</v>
      </c>
      <c r="BM44" s="450" t="e">
        <f t="shared" si="46"/>
        <v>#DIV/0!</v>
      </c>
      <c r="BN44" s="388"/>
      <c r="BO44" s="39">
        <f t="shared" si="64"/>
        <v>0</v>
      </c>
      <c r="BP44" s="39">
        <f t="shared" si="65"/>
        <v>300</v>
      </c>
      <c r="BQ44" s="106">
        <f t="shared" si="66"/>
        <v>300</v>
      </c>
      <c r="BR44" s="178" t="e">
        <f t="shared" si="47"/>
        <v>#DIV/0!</v>
      </c>
      <c r="BS44" s="79"/>
      <c r="BT44" s="77">
        <v>300</v>
      </c>
      <c r="BU44" s="921">
        <f t="shared" si="30"/>
        <v>0</v>
      </c>
    </row>
    <row r="45" spans="1:73" ht="13.8" x14ac:dyDescent="0.25">
      <c r="A45" s="4015"/>
      <c r="B45" s="18" t="s">
        <v>8</v>
      </c>
      <c r="C45" s="113">
        <v>15400</v>
      </c>
      <c r="D45" s="119"/>
      <c r="E45" s="120">
        <f t="shared" si="48"/>
        <v>15400</v>
      </c>
      <c r="F45" s="178">
        <f t="shared" si="40"/>
        <v>8.7777686406652756E-4</v>
      </c>
      <c r="G45" s="78">
        <v>2520</v>
      </c>
      <c r="H45" s="103"/>
      <c r="I45" s="41">
        <f t="shared" si="49"/>
        <v>2520</v>
      </c>
      <c r="J45" s="178">
        <f t="shared" si="32"/>
        <v>3.5128420092275969E-3</v>
      </c>
      <c r="K45" s="366" t="s">
        <v>392</v>
      </c>
      <c r="L45" s="39"/>
      <c r="M45" s="39"/>
      <c r="N45" s="106">
        <f t="shared" si="50"/>
        <v>0</v>
      </c>
      <c r="O45" s="178">
        <f t="shared" si="41"/>
        <v>0</v>
      </c>
      <c r="P45" s="79"/>
      <c r="Q45" s="39">
        <f>1350*1.2</f>
        <v>1620</v>
      </c>
      <c r="R45" s="39"/>
      <c r="S45" s="106">
        <f t="shared" si="51"/>
        <v>1620</v>
      </c>
      <c r="T45" s="178">
        <f t="shared" si="52"/>
        <v>3.9443607495395392E-4</v>
      </c>
      <c r="U45" s="259"/>
      <c r="V45" s="39">
        <v>1350</v>
      </c>
      <c r="W45" s="39"/>
      <c r="X45" s="106">
        <f t="shared" si="53"/>
        <v>1350</v>
      </c>
      <c r="Y45" s="178">
        <f t="shared" si="54"/>
        <v>2.2049697774893223E-4</v>
      </c>
      <c r="Z45" s="388"/>
      <c r="AA45" s="39">
        <v>3100</v>
      </c>
      <c r="AB45" s="39"/>
      <c r="AC45" s="106">
        <f t="shared" si="55"/>
        <v>3100</v>
      </c>
      <c r="AD45" s="450">
        <f t="shared" si="56"/>
        <v>8.2339237320222113E-4</v>
      </c>
      <c r="AE45" s="388"/>
      <c r="AF45" s="39">
        <v>1350</v>
      </c>
      <c r="AG45" s="39"/>
      <c r="AH45" s="106">
        <f t="shared" si="57"/>
        <v>1350</v>
      </c>
      <c r="AI45" s="450">
        <f t="shared" si="42"/>
        <v>8.9833995564270804E-4</v>
      </c>
      <c r="AJ45" s="388"/>
      <c r="AK45" s="39">
        <v>900</v>
      </c>
      <c r="AL45" s="39"/>
      <c r="AM45" s="446">
        <f t="shared" si="58"/>
        <v>900</v>
      </c>
      <c r="AN45" s="450" t="e">
        <f t="shared" si="43"/>
        <v>#DIV/0!</v>
      </c>
      <c r="AO45" s="388"/>
      <c r="AP45" s="39"/>
      <c r="AQ45" s="39"/>
      <c r="AR45" s="446">
        <f t="shared" si="59"/>
        <v>0</v>
      </c>
      <c r="AS45" s="450" t="e">
        <f t="shared" si="7"/>
        <v>#DIV/0!</v>
      </c>
      <c r="AT45" s="388"/>
      <c r="AU45" s="39"/>
      <c r="AV45" s="39"/>
      <c r="AW45" s="446">
        <f t="shared" si="60"/>
        <v>0</v>
      </c>
      <c r="AX45" s="450">
        <f t="shared" si="8"/>
        <v>0</v>
      </c>
      <c r="AY45" s="388"/>
      <c r="AZ45" s="39"/>
      <c r="BA45" s="39"/>
      <c r="BB45" s="446">
        <f t="shared" si="61"/>
        <v>0</v>
      </c>
      <c r="BC45" s="450" t="e">
        <f t="shared" si="44"/>
        <v>#DIV/0!</v>
      </c>
      <c r="BD45" s="388"/>
      <c r="BE45" s="39"/>
      <c r="BF45" s="39"/>
      <c r="BG45" s="446">
        <f t="shared" si="62"/>
        <v>0</v>
      </c>
      <c r="BH45" s="450" t="e">
        <f t="shared" si="45"/>
        <v>#DIV/0!</v>
      </c>
      <c r="BI45" s="388"/>
      <c r="BJ45" s="39"/>
      <c r="BK45" s="39"/>
      <c r="BL45" s="446">
        <f t="shared" si="63"/>
        <v>0</v>
      </c>
      <c r="BM45" s="450" t="e">
        <f t="shared" si="46"/>
        <v>#DIV/0!</v>
      </c>
      <c r="BN45" s="388"/>
      <c r="BO45" s="39">
        <f t="shared" si="64"/>
        <v>10840</v>
      </c>
      <c r="BP45" s="39">
        <f t="shared" si="65"/>
        <v>0</v>
      </c>
      <c r="BQ45" s="106">
        <f t="shared" si="66"/>
        <v>10840</v>
      </c>
      <c r="BR45" s="178" t="e">
        <f t="shared" si="47"/>
        <v>#DIV/0!</v>
      </c>
      <c r="BS45" s="79"/>
      <c r="BT45" s="77">
        <v>7870</v>
      </c>
      <c r="BU45" s="921">
        <f t="shared" si="30"/>
        <v>2970</v>
      </c>
    </row>
    <row r="46" spans="1:73" ht="13.8" x14ac:dyDescent="0.25">
      <c r="A46" s="4015"/>
      <c r="B46" s="18" t="s">
        <v>29</v>
      </c>
      <c r="C46" s="113"/>
      <c r="D46" s="119"/>
      <c r="E46" s="120">
        <f t="shared" si="48"/>
        <v>0</v>
      </c>
      <c r="F46" s="178">
        <f t="shared" si="40"/>
        <v>0</v>
      </c>
      <c r="G46" s="78"/>
      <c r="H46" s="103"/>
      <c r="I46" s="41">
        <f t="shared" si="49"/>
        <v>0</v>
      </c>
      <c r="J46" s="178">
        <f t="shared" si="32"/>
        <v>0</v>
      </c>
      <c r="K46" s="265"/>
      <c r="L46" s="39"/>
      <c r="M46" s="39"/>
      <c r="N46" s="106">
        <f t="shared" si="50"/>
        <v>0</v>
      </c>
      <c r="O46" s="178">
        <f t="shared" si="41"/>
        <v>0</v>
      </c>
      <c r="P46" s="79"/>
      <c r="Q46" s="39"/>
      <c r="R46" s="39"/>
      <c r="S46" s="106">
        <f t="shared" si="51"/>
        <v>0</v>
      </c>
      <c r="T46" s="178">
        <f t="shared" si="52"/>
        <v>0</v>
      </c>
      <c r="U46" s="259"/>
      <c r="V46" s="39"/>
      <c r="W46" s="39"/>
      <c r="X46" s="106">
        <f t="shared" si="53"/>
        <v>0</v>
      </c>
      <c r="Y46" s="178">
        <f t="shared" si="54"/>
        <v>0</v>
      </c>
      <c r="Z46" s="388"/>
      <c r="AA46" s="39"/>
      <c r="AB46" s="39"/>
      <c r="AC46" s="106">
        <f t="shared" si="55"/>
        <v>0</v>
      </c>
      <c r="AD46" s="450">
        <f t="shared" si="56"/>
        <v>0</v>
      </c>
      <c r="AE46" s="388"/>
      <c r="AF46" s="39"/>
      <c r="AG46" s="39"/>
      <c r="AH46" s="106">
        <f t="shared" si="57"/>
        <v>0</v>
      </c>
      <c r="AI46" s="450">
        <f t="shared" si="42"/>
        <v>0</v>
      </c>
      <c r="AJ46" s="388"/>
      <c r="AK46" s="39"/>
      <c r="AL46" s="39"/>
      <c r="AM46" s="446">
        <f t="shared" si="58"/>
        <v>0</v>
      </c>
      <c r="AN46" s="450" t="e">
        <f t="shared" si="43"/>
        <v>#DIV/0!</v>
      </c>
      <c r="AO46" s="388"/>
      <c r="AP46" s="39"/>
      <c r="AQ46" s="39"/>
      <c r="AR46" s="446">
        <f t="shared" si="59"/>
        <v>0</v>
      </c>
      <c r="AS46" s="450" t="e">
        <f t="shared" si="7"/>
        <v>#DIV/0!</v>
      </c>
      <c r="AT46" s="388"/>
      <c r="AU46" s="39"/>
      <c r="AV46" s="39"/>
      <c r="AW46" s="446">
        <f t="shared" si="60"/>
        <v>0</v>
      </c>
      <c r="AX46" s="450">
        <f t="shared" si="8"/>
        <v>0</v>
      </c>
      <c r="AY46" s="388"/>
      <c r="AZ46" s="39"/>
      <c r="BA46" s="39"/>
      <c r="BB46" s="446">
        <f t="shared" si="61"/>
        <v>0</v>
      </c>
      <c r="BC46" s="450" t="e">
        <f t="shared" si="44"/>
        <v>#DIV/0!</v>
      </c>
      <c r="BD46" s="388"/>
      <c r="BE46" s="39"/>
      <c r="BF46" s="39"/>
      <c r="BG46" s="446">
        <f t="shared" si="62"/>
        <v>0</v>
      </c>
      <c r="BH46" s="450" t="e">
        <f t="shared" si="45"/>
        <v>#DIV/0!</v>
      </c>
      <c r="BI46" s="388"/>
      <c r="BJ46" s="39"/>
      <c r="BK46" s="39"/>
      <c r="BL46" s="446">
        <f t="shared" si="63"/>
        <v>0</v>
      </c>
      <c r="BM46" s="450" t="e">
        <f t="shared" si="46"/>
        <v>#DIV/0!</v>
      </c>
      <c r="BN46" s="388"/>
      <c r="BO46" s="39">
        <f t="shared" si="64"/>
        <v>0</v>
      </c>
      <c r="BP46" s="39">
        <f t="shared" si="65"/>
        <v>0</v>
      </c>
      <c r="BQ46" s="106">
        <f t="shared" si="66"/>
        <v>0</v>
      </c>
      <c r="BR46" s="178" t="e">
        <f t="shared" si="47"/>
        <v>#DIV/0!</v>
      </c>
      <c r="BS46" s="79"/>
      <c r="BU46" s="921">
        <f t="shared" si="30"/>
        <v>0</v>
      </c>
    </row>
    <row r="47" spans="1:73" ht="13.8" x14ac:dyDescent="0.25">
      <c r="A47" s="4015"/>
      <c r="B47" s="18" t="s">
        <v>30</v>
      </c>
      <c r="C47" s="113">
        <v>16800</v>
      </c>
      <c r="D47" s="119"/>
      <c r="E47" s="120">
        <f t="shared" si="48"/>
        <v>16800</v>
      </c>
      <c r="F47" s="178">
        <f t="shared" si="40"/>
        <v>9.5757476079984824E-4</v>
      </c>
      <c r="G47" s="78"/>
      <c r="H47" s="103"/>
      <c r="I47" s="41">
        <f t="shared" si="49"/>
        <v>0</v>
      </c>
      <c r="J47" s="178">
        <f t="shared" si="32"/>
        <v>0</v>
      </c>
      <c r="K47" s="291"/>
      <c r="L47" s="39">
        <v>1712.91</v>
      </c>
      <c r="M47" s="39"/>
      <c r="N47" s="106">
        <f t="shared" si="50"/>
        <v>1712.91</v>
      </c>
      <c r="O47" s="178">
        <f t="shared" si="41"/>
        <v>2.3130765993371431E-3</v>
      </c>
      <c r="P47" s="79" t="s">
        <v>486</v>
      </c>
      <c r="Q47" s="39">
        <v>2405.5100000000002</v>
      </c>
      <c r="R47" s="39"/>
      <c r="S47" s="106">
        <f t="shared" si="51"/>
        <v>2405.5100000000002</v>
      </c>
      <c r="T47" s="178">
        <f t="shared" si="52"/>
        <v>5.8569131028548497E-4</v>
      </c>
      <c r="U47" s="415" t="s">
        <v>486</v>
      </c>
      <c r="V47" s="39">
        <v>1978.38</v>
      </c>
      <c r="W47" s="39"/>
      <c r="X47" s="106">
        <f t="shared" si="53"/>
        <v>1978.38</v>
      </c>
      <c r="Y47" s="178">
        <f t="shared" si="54"/>
        <v>3.2313097099180191E-4</v>
      </c>
      <c r="Z47" s="388" t="s">
        <v>486</v>
      </c>
      <c r="AA47" s="39">
        <v>3264.2</v>
      </c>
      <c r="AB47" s="39"/>
      <c r="AC47" s="106">
        <f t="shared" si="55"/>
        <v>3264.2</v>
      </c>
      <c r="AD47" s="450">
        <f t="shared" si="56"/>
        <v>8.6700560793764197E-4</v>
      </c>
      <c r="AE47" s="388" t="s">
        <v>726</v>
      </c>
      <c r="AF47" s="39">
        <v>2704.4</v>
      </c>
      <c r="AG47" s="39"/>
      <c r="AH47" s="106">
        <f t="shared" si="57"/>
        <v>2704.4</v>
      </c>
      <c r="AI47" s="450">
        <f t="shared" si="42"/>
        <v>1.7996078341038072E-3</v>
      </c>
      <c r="AJ47" s="388" t="s">
        <v>726</v>
      </c>
      <c r="AK47" s="39">
        <v>9573.25</v>
      </c>
      <c r="AL47" s="39"/>
      <c r="AM47" s="446">
        <f t="shared" si="58"/>
        <v>9573.25</v>
      </c>
      <c r="AN47" s="450" t="e">
        <f t="shared" si="43"/>
        <v>#DIV/0!</v>
      </c>
      <c r="AO47" s="388"/>
      <c r="AP47" s="39">
        <v>205.5</v>
      </c>
      <c r="AQ47" s="39"/>
      <c r="AR47" s="446">
        <f t="shared" si="59"/>
        <v>205.5</v>
      </c>
      <c r="AS47" s="450" t="e">
        <f t="shared" si="7"/>
        <v>#DIV/0!</v>
      </c>
      <c r="AT47" s="388"/>
      <c r="AU47" s="39"/>
      <c r="AV47" s="39"/>
      <c r="AW47" s="446">
        <f t="shared" si="60"/>
        <v>0</v>
      </c>
      <c r="AX47" s="450">
        <f t="shared" si="8"/>
        <v>0</v>
      </c>
      <c r="AY47" s="388"/>
      <c r="AZ47" s="39">
        <v>75</v>
      </c>
      <c r="BA47" s="39"/>
      <c r="BB47" s="446">
        <f t="shared" si="61"/>
        <v>75</v>
      </c>
      <c r="BC47" s="450" t="e">
        <f t="shared" si="44"/>
        <v>#DIV/0!</v>
      </c>
      <c r="BD47" s="388"/>
      <c r="BE47" s="39"/>
      <c r="BF47" s="39"/>
      <c r="BG47" s="446">
        <f t="shared" si="62"/>
        <v>0</v>
      </c>
      <c r="BH47" s="450" t="e">
        <f t="shared" si="45"/>
        <v>#DIV/0!</v>
      </c>
      <c r="BI47" s="388"/>
      <c r="BJ47" s="39"/>
      <c r="BK47" s="39"/>
      <c r="BL47" s="446">
        <f t="shared" si="63"/>
        <v>0</v>
      </c>
      <c r="BM47" s="450" t="e">
        <f t="shared" si="46"/>
        <v>#DIV/0!</v>
      </c>
      <c r="BN47" s="388"/>
      <c r="BO47" s="39">
        <f t="shared" si="64"/>
        <v>21919.15</v>
      </c>
      <c r="BP47" s="39">
        <f t="shared" si="65"/>
        <v>0</v>
      </c>
      <c r="BQ47" s="106">
        <f t="shared" si="66"/>
        <v>21919.15</v>
      </c>
      <c r="BR47" s="178" t="e">
        <f t="shared" si="47"/>
        <v>#DIV/0!</v>
      </c>
      <c r="BS47" s="79"/>
      <c r="BT47" s="77">
        <v>24456</v>
      </c>
      <c r="BU47" s="921">
        <f t="shared" si="30"/>
        <v>-2536.8499999999985</v>
      </c>
    </row>
    <row r="48" spans="1:73" ht="13.8" x14ac:dyDescent="0.25">
      <c r="A48" s="4015"/>
      <c r="B48" s="18" t="s">
        <v>15</v>
      </c>
      <c r="C48" s="113">
        <v>6000</v>
      </c>
      <c r="D48" s="119"/>
      <c r="E48" s="120">
        <f t="shared" si="48"/>
        <v>6000</v>
      </c>
      <c r="F48" s="178">
        <f t="shared" si="40"/>
        <v>3.4199098599994583E-4</v>
      </c>
      <c r="G48" s="78">
        <v>1810.02</v>
      </c>
      <c r="H48" s="103"/>
      <c r="I48" s="41">
        <f t="shared" si="49"/>
        <v>1810.02</v>
      </c>
      <c r="J48" s="178">
        <f t="shared" si="32"/>
        <v>2.5231405926754505E-3</v>
      </c>
      <c r="K48" s="366" t="s">
        <v>391</v>
      </c>
      <c r="L48" s="39"/>
      <c r="M48" s="39"/>
      <c r="N48" s="106">
        <f t="shared" si="50"/>
        <v>0</v>
      </c>
      <c r="O48" s="178">
        <f t="shared" si="41"/>
        <v>0</v>
      </c>
      <c r="P48" s="79"/>
      <c r="Q48" s="39">
        <v>1154.82</v>
      </c>
      <c r="R48" s="39"/>
      <c r="S48" s="106">
        <f t="shared" si="51"/>
        <v>1154.82</v>
      </c>
      <c r="T48" s="178">
        <f t="shared" si="52"/>
        <v>2.8117448646810189E-4</v>
      </c>
      <c r="U48" s="259"/>
      <c r="V48" s="39"/>
      <c r="W48" s="39"/>
      <c r="X48" s="106">
        <f t="shared" si="53"/>
        <v>0</v>
      </c>
      <c r="Y48" s="178">
        <f t="shared" si="54"/>
        <v>0</v>
      </c>
      <c r="Z48" s="259"/>
      <c r="AA48" s="39">
        <f>962.35*1.2+1116.67*1.2</f>
        <v>2494.8240000000001</v>
      </c>
      <c r="AB48" s="39"/>
      <c r="AC48" s="106">
        <f t="shared" si="55"/>
        <v>2494.8240000000001</v>
      </c>
      <c r="AD48" s="450">
        <f t="shared" si="56"/>
        <v>6.6265130776834141E-4</v>
      </c>
      <c r="AE48" s="259"/>
      <c r="AF48" s="39"/>
      <c r="AG48" s="39"/>
      <c r="AH48" s="106">
        <f t="shared" si="57"/>
        <v>0</v>
      </c>
      <c r="AI48" s="450">
        <f t="shared" si="42"/>
        <v>0</v>
      </c>
      <c r="AJ48" s="259"/>
      <c r="AK48" s="39"/>
      <c r="AL48" s="39"/>
      <c r="AM48" s="446">
        <f t="shared" si="58"/>
        <v>0</v>
      </c>
      <c r="AN48" s="450" t="e">
        <f t="shared" si="43"/>
        <v>#DIV/0!</v>
      </c>
      <c r="AO48" s="259"/>
      <c r="AP48" s="39"/>
      <c r="AQ48" s="39"/>
      <c r="AR48" s="446">
        <f t="shared" si="59"/>
        <v>0</v>
      </c>
      <c r="AS48" s="450" t="e">
        <f t="shared" si="7"/>
        <v>#DIV/0!</v>
      </c>
      <c r="AT48" s="259"/>
      <c r="AU48" s="39"/>
      <c r="AV48" s="39"/>
      <c r="AW48" s="446">
        <f t="shared" si="60"/>
        <v>0</v>
      </c>
      <c r="AX48" s="450">
        <f t="shared" si="8"/>
        <v>0</v>
      </c>
      <c r="AY48" s="259"/>
      <c r="AZ48" s="39"/>
      <c r="BA48" s="39"/>
      <c r="BB48" s="446">
        <f t="shared" si="61"/>
        <v>0</v>
      </c>
      <c r="BC48" s="450" t="e">
        <f t="shared" si="44"/>
        <v>#DIV/0!</v>
      </c>
      <c r="BD48" s="259"/>
      <c r="BE48" s="39"/>
      <c r="BF48" s="39"/>
      <c r="BG48" s="446">
        <f t="shared" si="62"/>
        <v>0</v>
      </c>
      <c r="BH48" s="450" t="e">
        <f t="shared" si="45"/>
        <v>#DIV/0!</v>
      </c>
      <c r="BI48" s="259"/>
      <c r="BJ48" s="39"/>
      <c r="BK48" s="39"/>
      <c r="BL48" s="446">
        <f t="shared" si="63"/>
        <v>0</v>
      </c>
      <c r="BM48" s="450" t="e">
        <f t="shared" si="46"/>
        <v>#DIV/0!</v>
      </c>
      <c r="BN48" s="259"/>
      <c r="BO48" s="39">
        <f t="shared" si="64"/>
        <v>5459.6640000000007</v>
      </c>
      <c r="BP48" s="39">
        <f t="shared" si="65"/>
        <v>0</v>
      </c>
      <c r="BQ48" s="106">
        <f t="shared" si="66"/>
        <v>5459.6640000000007</v>
      </c>
      <c r="BR48" s="178" t="e">
        <f t="shared" si="47"/>
        <v>#DIV/0!</v>
      </c>
      <c r="BS48" s="79"/>
      <c r="BT48" s="77">
        <v>2965</v>
      </c>
      <c r="BU48" s="921">
        <f t="shared" si="30"/>
        <v>2494.6640000000007</v>
      </c>
    </row>
    <row r="49" spans="1:73" s="2" customFormat="1" ht="14.4" thickBot="1" x14ac:dyDescent="0.3">
      <c r="A49" s="11"/>
      <c r="B49" s="35"/>
      <c r="C49" s="116"/>
      <c r="D49" s="121"/>
      <c r="E49" s="122"/>
      <c r="F49" s="182"/>
      <c r="G49" s="222"/>
      <c r="H49" s="223"/>
      <c r="I49" s="52"/>
      <c r="J49" s="203">
        <f t="shared" si="32"/>
        <v>0</v>
      </c>
      <c r="K49" s="273"/>
      <c r="L49" s="39"/>
      <c r="M49" s="39"/>
      <c r="N49" s="52"/>
      <c r="O49" s="178">
        <f t="shared" si="41"/>
        <v>0</v>
      </c>
      <c r="P49" s="52"/>
      <c r="Q49" s="39"/>
      <c r="R49" s="39"/>
      <c r="S49" s="52"/>
      <c r="T49" s="178">
        <f t="shared" si="52"/>
        <v>0</v>
      </c>
      <c r="U49" s="64"/>
      <c r="V49" s="39"/>
      <c r="W49" s="39"/>
      <c r="X49" s="52"/>
      <c r="Y49" s="178">
        <f t="shared" si="54"/>
        <v>0</v>
      </c>
      <c r="Z49" s="64"/>
      <c r="AA49" s="39"/>
      <c r="AB49" s="39"/>
      <c r="AC49" s="52"/>
      <c r="AD49" s="450">
        <f t="shared" si="56"/>
        <v>0</v>
      </c>
      <c r="AE49" s="64"/>
      <c r="AF49" s="39"/>
      <c r="AG49" s="39"/>
      <c r="AH49" s="52"/>
      <c r="AI49" s="450">
        <f t="shared" si="42"/>
        <v>0</v>
      </c>
      <c r="AJ49" s="64"/>
      <c r="AK49" s="39"/>
      <c r="AL49" s="39"/>
      <c r="AM49" s="707"/>
      <c r="AN49" s="450" t="e">
        <f t="shared" si="43"/>
        <v>#DIV/0!</v>
      </c>
      <c r="AO49" s="64"/>
      <c r="AP49" s="39"/>
      <c r="AQ49" s="39"/>
      <c r="AR49" s="707"/>
      <c r="AS49" s="450" t="e">
        <f t="shared" si="7"/>
        <v>#DIV/0!</v>
      </c>
      <c r="AT49" s="64"/>
      <c r="AU49" s="39"/>
      <c r="AV49" s="39"/>
      <c r="AW49" s="707"/>
      <c r="AX49" s="450">
        <f t="shared" si="8"/>
        <v>0</v>
      </c>
      <c r="AY49" s="64"/>
      <c r="AZ49" s="39"/>
      <c r="BA49" s="39"/>
      <c r="BB49" s="707"/>
      <c r="BC49" s="450" t="e">
        <f t="shared" si="44"/>
        <v>#DIV/0!</v>
      </c>
      <c r="BD49" s="64"/>
      <c r="BE49" s="39"/>
      <c r="BF49" s="39"/>
      <c r="BG49" s="707"/>
      <c r="BH49" s="450" t="e">
        <f t="shared" si="45"/>
        <v>#DIV/0!</v>
      </c>
      <c r="BI49" s="64"/>
      <c r="BJ49" s="39"/>
      <c r="BK49" s="39"/>
      <c r="BL49" s="707"/>
      <c r="BM49" s="450" t="e">
        <f t="shared" si="46"/>
        <v>#DIV/0!</v>
      </c>
      <c r="BN49" s="64"/>
      <c r="BO49" s="39"/>
      <c r="BP49" s="39"/>
      <c r="BQ49" s="52"/>
      <c r="BR49" s="178" t="e">
        <f t="shared" si="47"/>
        <v>#DIV/0!</v>
      </c>
      <c r="BS49" s="52"/>
      <c r="BT49" s="919"/>
      <c r="BU49" s="921">
        <f t="shared" si="30"/>
        <v>0</v>
      </c>
    </row>
    <row r="50" spans="1:73" s="2" customFormat="1" ht="13.8" x14ac:dyDescent="0.25">
      <c r="A50" s="293"/>
      <c r="B50" s="17" t="s">
        <v>59</v>
      </c>
      <c r="C50" s="123"/>
      <c r="D50" s="123"/>
      <c r="E50" s="123">
        <f>SUM(E51:E52)</f>
        <v>0</v>
      </c>
      <c r="F50" s="170">
        <f>E50/$E$89</f>
        <v>0</v>
      </c>
      <c r="G50" s="123">
        <f>SUM(G51:G52)</f>
        <v>5669.8</v>
      </c>
      <c r="H50" s="123">
        <f>SUM(H51:H52)</f>
        <v>0</v>
      </c>
      <c r="I50" s="123">
        <f>SUM(I51:I52)</f>
        <v>5669.8</v>
      </c>
      <c r="J50" s="170">
        <f t="shared" si="32"/>
        <v>7.9036157237772336E-3</v>
      </c>
      <c r="K50" s="274"/>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f t="shared" si="42"/>
        <v>0</v>
      </c>
      <c r="AJ50" s="409"/>
      <c r="AK50" s="123">
        <f>AK52+AK51</f>
        <v>0</v>
      </c>
      <c r="AL50" s="123">
        <f>AL52+AL51</f>
        <v>0</v>
      </c>
      <c r="AM50" s="579">
        <f>SUM(AM51:AM52)</f>
        <v>0</v>
      </c>
      <c r="AN50" s="698" t="e">
        <f t="shared" si="43"/>
        <v>#DIV/0!</v>
      </c>
      <c r="AO50" s="409"/>
      <c r="AP50" s="123">
        <f>AP52+AP51</f>
        <v>0</v>
      </c>
      <c r="AQ50" s="123">
        <f>AQ52+AQ51</f>
        <v>1400</v>
      </c>
      <c r="AR50" s="579">
        <f>SUM(AR51:AR52)</f>
        <v>1400</v>
      </c>
      <c r="AS50" s="698" t="e">
        <f t="shared" si="7"/>
        <v>#DIV/0!</v>
      </c>
      <c r="AT50" s="409"/>
      <c r="AU50" s="123">
        <f>AU52+AU51</f>
        <v>0</v>
      </c>
      <c r="AV50" s="123">
        <f>AV52+AV51</f>
        <v>0</v>
      </c>
      <c r="AW50" s="579">
        <f>SUM(AW51:AW52)</f>
        <v>0</v>
      </c>
      <c r="AX50" s="698">
        <f t="shared" si="8"/>
        <v>0</v>
      </c>
      <c r="AY50" s="409"/>
      <c r="AZ50" s="123">
        <f>AZ52+AZ51</f>
        <v>0</v>
      </c>
      <c r="BA50" s="123">
        <f>BA52+BA51</f>
        <v>0</v>
      </c>
      <c r="BB50" s="579">
        <f>SUM(BB51:BB52)</f>
        <v>0</v>
      </c>
      <c r="BC50" s="698" t="e">
        <f t="shared" si="44"/>
        <v>#DIV/0!</v>
      </c>
      <c r="BD50" s="409"/>
      <c r="BE50" s="123">
        <f>BE52+BE51</f>
        <v>0</v>
      </c>
      <c r="BF50" s="123">
        <f>BF52+BF51</f>
        <v>0</v>
      </c>
      <c r="BG50" s="579">
        <f>SUM(BG51:BG52)</f>
        <v>0</v>
      </c>
      <c r="BH50" s="698" t="e">
        <f t="shared" si="45"/>
        <v>#DIV/0!</v>
      </c>
      <c r="BI50" s="409"/>
      <c r="BJ50" s="123">
        <f>BJ52+BJ51</f>
        <v>0</v>
      </c>
      <c r="BK50" s="123">
        <f>BK52+BK51</f>
        <v>0</v>
      </c>
      <c r="BL50" s="579">
        <f>SUM(BL51:BL52)</f>
        <v>0</v>
      </c>
      <c r="BM50" s="698" t="e">
        <f t="shared" si="46"/>
        <v>#DIV/0!</v>
      </c>
      <c r="BN50" s="409"/>
      <c r="BO50" s="123">
        <f>BO52+BO51</f>
        <v>5669.8</v>
      </c>
      <c r="BP50" s="123">
        <f>BP52+BP51</f>
        <v>1400</v>
      </c>
      <c r="BQ50" s="123">
        <f>SUM(BQ51:BQ52)</f>
        <v>7069.8</v>
      </c>
      <c r="BR50" s="60"/>
      <c r="BS50" s="60"/>
      <c r="BT50" s="919"/>
      <c r="BU50" s="921">
        <f t="shared" si="30"/>
        <v>7069.8</v>
      </c>
    </row>
    <row r="51" spans="1:73" s="226" customFormat="1" ht="13.8" x14ac:dyDescent="0.25">
      <c r="A51" s="234"/>
      <c r="B51" s="18" t="s">
        <v>60</v>
      </c>
      <c r="C51" s="113"/>
      <c r="D51" s="119"/>
      <c r="E51" s="119">
        <f>C51+D51</f>
        <v>0</v>
      </c>
      <c r="F51" s="180">
        <f>E51/$E$89</f>
        <v>0</v>
      </c>
      <c r="G51" s="45"/>
      <c r="H51" s="45"/>
      <c r="I51" s="41">
        <f>G51+H51*1</f>
        <v>0</v>
      </c>
      <c r="J51" s="178">
        <f t="shared" si="32"/>
        <v>0</v>
      </c>
      <c r="K51" s="265"/>
      <c r="L51" s="39"/>
      <c r="M51" s="39"/>
      <c r="N51" s="106">
        <f>L51+M51*1</f>
        <v>0</v>
      </c>
      <c r="O51" s="178">
        <f>N51/$N$89</f>
        <v>0</v>
      </c>
      <c r="P51" s="45"/>
      <c r="Q51" s="39"/>
      <c r="R51" s="39"/>
      <c r="S51" s="106">
        <f>Q51+R51*1</f>
        <v>0</v>
      </c>
      <c r="T51" s="178">
        <f>S51/$S$89</f>
        <v>0</v>
      </c>
      <c r="U51" s="405"/>
      <c r="V51" s="39"/>
      <c r="W51" s="39"/>
      <c r="X51" s="106">
        <f>V51+W51*1</f>
        <v>0</v>
      </c>
      <c r="Y51" s="178">
        <f t="shared" si="54"/>
        <v>0</v>
      </c>
      <c r="Z51" s="405"/>
      <c r="AA51" s="39"/>
      <c r="AB51" s="39"/>
      <c r="AC51" s="106">
        <f>AA51+AB51*1</f>
        <v>0</v>
      </c>
      <c r="AD51" s="450">
        <f>AC51/$AC$89</f>
        <v>0</v>
      </c>
      <c r="AE51" s="405"/>
      <c r="AF51" s="39"/>
      <c r="AG51" s="39"/>
      <c r="AH51" s="106">
        <f>AF51+AG51*1</f>
        <v>0</v>
      </c>
      <c r="AI51" s="450">
        <f t="shared" si="42"/>
        <v>0</v>
      </c>
      <c r="AJ51" s="405"/>
      <c r="AK51" s="39"/>
      <c r="AL51" s="39"/>
      <c r="AM51" s="446">
        <f>AK51+AL51*1</f>
        <v>0</v>
      </c>
      <c r="AN51" s="450" t="e">
        <f t="shared" si="43"/>
        <v>#DIV/0!</v>
      </c>
      <c r="AO51" s="405"/>
      <c r="AP51" s="39"/>
      <c r="AQ51" s="39"/>
      <c r="AR51" s="446">
        <f>AP51+AQ51*1</f>
        <v>0</v>
      </c>
      <c r="AS51" s="450" t="e">
        <f t="shared" si="7"/>
        <v>#DIV/0!</v>
      </c>
      <c r="AT51" s="388"/>
      <c r="AU51" s="39"/>
      <c r="AV51" s="39"/>
      <c r="AW51" s="446">
        <f>AU51+AV51*1</f>
        <v>0</v>
      </c>
      <c r="AX51" s="450">
        <f t="shared" si="8"/>
        <v>0</v>
      </c>
      <c r="AY51" s="388"/>
      <c r="AZ51" s="39"/>
      <c r="BA51" s="39"/>
      <c r="BB51" s="446">
        <f>AZ51+BA51*1</f>
        <v>0</v>
      </c>
      <c r="BC51" s="450" t="e">
        <f t="shared" si="44"/>
        <v>#DIV/0!</v>
      </c>
      <c r="BD51" s="388"/>
      <c r="BE51" s="39"/>
      <c r="BF51" s="39"/>
      <c r="BG51" s="446">
        <f>BE51+BF51*1</f>
        <v>0</v>
      </c>
      <c r="BH51" s="450" t="e">
        <f t="shared" si="45"/>
        <v>#DIV/0!</v>
      </c>
      <c r="BI51" s="388"/>
      <c r="BJ51" s="39"/>
      <c r="BK51" s="39"/>
      <c r="BL51" s="446">
        <f>BJ51+BK51*1</f>
        <v>0</v>
      </c>
      <c r="BM51" s="450" t="e">
        <f t="shared" si="46"/>
        <v>#DIV/0!</v>
      </c>
      <c r="BN51" s="388"/>
      <c r="BO51" s="39">
        <f>G51+L51+Q51+V51+AA51+AF51+AK51+AP51+AU51+AZ51+BE51+BJ51</f>
        <v>0</v>
      </c>
      <c r="BP51" s="39">
        <f>H51+M51+R51+W51+AB51+AG51+AL51+AQ51+AV51+BA51+BF51+BK51</f>
        <v>0</v>
      </c>
      <c r="BQ51" s="106">
        <f>BO51+BP51*1</f>
        <v>0</v>
      </c>
      <c r="BR51" s="178" t="e">
        <f>BQ51/$BQ$89</f>
        <v>#DIV/0!</v>
      </c>
      <c r="BS51" s="45"/>
      <c r="BT51" s="922"/>
      <c r="BU51" s="921">
        <f t="shared" si="30"/>
        <v>0</v>
      </c>
    </row>
    <row r="52" spans="1:73" s="235" customFormat="1" ht="27.6" x14ac:dyDescent="0.25">
      <c r="A52" s="234"/>
      <c r="B52" s="18" t="s">
        <v>61</v>
      </c>
      <c r="C52" s="113"/>
      <c r="D52" s="119"/>
      <c r="E52" s="119">
        <f>C52+D52</f>
        <v>0</v>
      </c>
      <c r="F52" s="180">
        <f>E52/$E$89</f>
        <v>0</v>
      </c>
      <c r="G52" s="45">
        <v>5669.8</v>
      </c>
      <c r="H52" s="224"/>
      <c r="I52" s="41">
        <f>G52+H52*1</f>
        <v>5669.8</v>
      </c>
      <c r="J52" s="178">
        <f t="shared" si="32"/>
        <v>7.9036157237772336E-3</v>
      </c>
      <c r="K52" s="367" t="s">
        <v>366</v>
      </c>
      <c r="L52" s="39"/>
      <c r="M52" s="39"/>
      <c r="N52" s="106">
        <f>L52+M52*1</f>
        <v>0</v>
      </c>
      <c r="O52" s="178">
        <f>N52/$N$89</f>
        <v>0</v>
      </c>
      <c r="P52" s="45"/>
      <c r="Q52" s="39"/>
      <c r="R52" s="39"/>
      <c r="S52" s="106">
        <f>Q52+R52*1</f>
        <v>0</v>
      </c>
      <c r="T52" s="178">
        <f>S52/$S$89</f>
        <v>0</v>
      </c>
      <c r="U52" s="405"/>
      <c r="V52" s="39"/>
      <c r="W52" s="39"/>
      <c r="X52" s="106">
        <f>V52+W52*1</f>
        <v>0</v>
      </c>
      <c r="Y52" s="178">
        <f t="shared" si="54"/>
        <v>0</v>
      </c>
      <c r="Z52" s="405"/>
      <c r="AA52" s="39"/>
      <c r="AB52" s="39"/>
      <c r="AC52" s="106">
        <f>AA52+AB52*1</f>
        <v>0</v>
      </c>
      <c r="AD52" s="450">
        <f>AC52/$AC$89</f>
        <v>0</v>
      </c>
      <c r="AE52" s="405"/>
      <c r="AF52" s="39"/>
      <c r="AG52" s="39"/>
      <c r="AH52" s="106">
        <f>AF52+AG52*1</f>
        <v>0</v>
      </c>
      <c r="AI52" s="450">
        <f t="shared" si="42"/>
        <v>0</v>
      </c>
      <c r="AJ52" s="405"/>
      <c r="AK52" s="39"/>
      <c r="AL52" s="39"/>
      <c r="AM52" s="446">
        <f>AK52+AL52*1</f>
        <v>0</v>
      </c>
      <c r="AN52" s="450" t="e">
        <f t="shared" si="43"/>
        <v>#DIV/0!</v>
      </c>
      <c r="AO52" s="405"/>
      <c r="AP52" s="39"/>
      <c r="AQ52" s="39">
        <v>1400</v>
      </c>
      <c r="AR52" s="446">
        <f>AP52+AQ52*1</f>
        <v>1400</v>
      </c>
      <c r="AS52" s="450" t="e">
        <f t="shared" si="7"/>
        <v>#DIV/0!</v>
      </c>
      <c r="AT52" s="388" t="s">
        <v>872</v>
      </c>
      <c r="AU52" s="39"/>
      <c r="AV52" s="39"/>
      <c r="AW52" s="446">
        <f>AU52+AV52*1</f>
        <v>0</v>
      </c>
      <c r="AX52" s="450">
        <f t="shared" si="8"/>
        <v>0</v>
      </c>
      <c r="AY52" s="388"/>
      <c r="AZ52" s="39"/>
      <c r="BA52" s="39"/>
      <c r="BB52" s="446">
        <f>AZ52+BA52*1</f>
        <v>0</v>
      </c>
      <c r="BC52" s="450" t="e">
        <f t="shared" si="44"/>
        <v>#DIV/0!</v>
      </c>
      <c r="BD52" s="388"/>
      <c r="BE52" s="39"/>
      <c r="BF52" s="39"/>
      <c r="BG52" s="446">
        <f>BE52+BF52*1</f>
        <v>0</v>
      </c>
      <c r="BH52" s="450" t="e">
        <f t="shared" si="45"/>
        <v>#DIV/0!</v>
      </c>
      <c r="BI52" s="388"/>
      <c r="BJ52" s="39"/>
      <c r="BK52" s="39"/>
      <c r="BL52" s="446">
        <f>BJ52+BK52*1</f>
        <v>0</v>
      </c>
      <c r="BM52" s="450" t="e">
        <f t="shared" si="46"/>
        <v>#DIV/0!</v>
      </c>
      <c r="BN52" s="388"/>
      <c r="BO52" s="39">
        <f>G52+L52+Q52+V52+AA52+AF52+AK52+AP52+AU52+AZ52+BE52+BJ52</f>
        <v>5669.8</v>
      </c>
      <c r="BP52" s="39">
        <f>H52+M52+R52+W52+AB52+AG52+AL52+AQ52+AV52+BA52+BF52+BK52</f>
        <v>1400</v>
      </c>
      <c r="BQ52" s="106">
        <f>BO52+BP52*1</f>
        <v>7069.8</v>
      </c>
      <c r="BR52" s="178" t="e">
        <f>BQ52/$BQ$89</f>
        <v>#DIV/0!</v>
      </c>
      <c r="BS52" s="45"/>
      <c r="BT52" s="923">
        <v>7069</v>
      </c>
      <c r="BU52" s="921">
        <f t="shared" si="30"/>
        <v>0.8000000000001819</v>
      </c>
    </row>
    <row r="53" spans="1:73" ht="14.4" thickBot="1" x14ac:dyDescent="0.3">
      <c r="A53" s="20"/>
      <c r="B53" s="21"/>
      <c r="C53" s="124"/>
      <c r="D53" s="125"/>
      <c r="E53" s="126"/>
      <c r="F53" s="183"/>
      <c r="G53" s="81"/>
      <c r="H53" s="81"/>
      <c r="I53" s="81"/>
      <c r="J53" s="204">
        <f t="shared" si="32"/>
        <v>0</v>
      </c>
      <c r="K53" s="275"/>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708"/>
      <c r="AN53" s="668"/>
      <c r="AO53" s="61"/>
      <c r="AP53" s="39"/>
      <c r="AQ53" s="39"/>
      <c r="AR53" s="708"/>
      <c r="AS53" s="450" t="e">
        <f t="shared" si="7"/>
        <v>#DIV/0!</v>
      </c>
      <c r="AT53" s="61"/>
      <c r="AU53" s="39"/>
      <c r="AV53" s="39"/>
      <c r="AW53" s="708"/>
      <c r="AX53" s="450">
        <f t="shared" si="8"/>
        <v>0</v>
      </c>
      <c r="AY53" s="61"/>
      <c r="AZ53" s="39"/>
      <c r="BA53" s="39"/>
      <c r="BB53" s="708"/>
      <c r="BC53" s="450" t="e">
        <f t="shared" si="44"/>
        <v>#DIV/0!</v>
      </c>
      <c r="BD53" s="61"/>
      <c r="BE53" s="39"/>
      <c r="BF53" s="39"/>
      <c r="BG53" s="708"/>
      <c r="BH53" s="450" t="e">
        <f t="shared" si="45"/>
        <v>#DIV/0!</v>
      </c>
      <c r="BI53" s="61"/>
      <c r="BJ53" s="39"/>
      <c r="BK53" s="39"/>
      <c r="BL53" s="708"/>
      <c r="BM53" s="450" t="e">
        <f t="shared" si="46"/>
        <v>#DIV/0!</v>
      </c>
      <c r="BN53" s="61"/>
      <c r="BO53" s="39"/>
      <c r="BP53" s="39"/>
      <c r="BQ53" s="61"/>
      <c r="BR53" s="61"/>
      <c r="BS53" s="61"/>
      <c r="BU53" s="921">
        <f t="shared" si="30"/>
        <v>0</v>
      </c>
    </row>
    <row r="54" spans="1:73" ht="13.8" x14ac:dyDescent="0.25">
      <c r="A54" s="236"/>
      <c r="B54" s="17" t="s">
        <v>1</v>
      </c>
      <c r="C54" s="123">
        <f>SUM(C55:C71)</f>
        <v>74033</v>
      </c>
      <c r="D54" s="123">
        <f>SUM(D55:D71)</f>
        <v>65735</v>
      </c>
      <c r="E54" s="127">
        <f>SUM(E55:E71)</f>
        <v>139768</v>
      </c>
      <c r="F54" s="170">
        <f>E54/$E$89</f>
        <v>7.9665660218734037E-3</v>
      </c>
      <c r="G54" s="123">
        <f>SUM(G55:G71)</f>
        <v>27979.75</v>
      </c>
      <c r="H54" s="123">
        <f>SUM(H55:H71)</f>
        <v>14567.5</v>
      </c>
      <c r="I54" s="127">
        <f>SUM(I55:I71)</f>
        <v>42547.25</v>
      </c>
      <c r="J54" s="170">
        <f t="shared" si="32"/>
        <v>5.9310225070281296E-2</v>
      </c>
      <c r="K54" s="274"/>
      <c r="L54" s="123">
        <f>SUM(L55:L72)</f>
        <v>8052</v>
      </c>
      <c r="M54" s="123">
        <f>SUM(M55:M72)</f>
        <v>12187</v>
      </c>
      <c r="N54" s="123">
        <f>SUM(N55:N72)</f>
        <v>20239</v>
      </c>
      <c r="O54" s="169">
        <f t="shared" ref="O54:O72" si="67">N54/$N$89</f>
        <v>2.7330307660054783E-2</v>
      </c>
      <c r="P54" s="60"/>
      <c r="Q54" s="123">
        <f>SUM(Q55:Q72)</f>
        <v>13275.35</v>
      </c>
      <c r="R54" s="123">
        <f>SUM(R55:R72)</f>
        <v>12213.84</v>
      </c>
      <c r="S54" s="123">
        <f>SUM(S55:S72)</f>
        <v>25489.19</v>
      </c>
      <c r="T54" s="169">
        <f>S54/$S$89</f>
        <v>6.2060839860219579E-3</v>
      </c>
      <c r="U54" s="409"/>
      <c r="V54" s="123">
        <f>SUM(V55:V72)</f>
        <v>13975.35</v>
      </c>
      <c r="W54" s="123">
        <f>SUM(W55:W72)</f>
        <v>14745</v>
      </c>
      <c r="X54" s="123">
        <f>SUM(X55:X72)</f>
        <v>28720.35</v>
      </c>
      <c r="Y54" s="169">
        <f>X54/$X$89</f>
        <v>4.6909262036233671E-3</v>
      </c>
      <c r="Z54" s="409"/>
      <c r="AA54" s="123">
        <f>SUM(AA55:AA72)</f>
        <v>14529.6</v>
      </c>
      <c r="AB54" s="123">
        <f>SUM(AB55:AB72)</f>
        <v>12187</v>
      </c>
      <c r="AC54" s="123">
        <f>SUM(AC55:AC72)</f>
        <v>26716.6</v>
      </c>
      <c r="AD54" s="169">
        <f>AC54/$AC$89</f>
        <v>7.096207960611116E-3</v>
      </c>
      <c r="AE54" s="409"/>
      <c r="AF54" s="123">
        <f>SUM(AF55:AF72)</f>
        <v>11544</v>
      </c>
      <c r="AG54" s="123">
        <f>SUM(AG55:AG72)</f>
        <v>16787</v>
      </c>
      <c r="AH54" s="123">
        <f>SUM(AH55:AH72)</f>
        <v>28331</v>
      </c>
      <c r="AI54" s="169">
        <f t="shared" ref="AI54:AI72" si="68">AH54/$AH$89</f>
        <v>1.8852495765417452E-2</v>
      </c>
      <c r="AJ54" s="409"/>
      <c r="AK54" s="123">
        <f>SUM(AK55:AK72)</f>
        <v>12653.810000000001</v>
      </c>
      <c r="AL54" s="123">
        <f>SUM(AL55:AL72)</f>
        <v>14422.8</v>
      </c>
      <c r="AM54" s="579">
        <f>SUM(AM55:AM72)</f>
        <v>27076.61</v>
      </c>
      <c r="AN54" s="664" t="e">
        <f t="shared" ref="AN54:AN72" si="69">AM54/$AM$89</f>
        <v>#DIV/0!</v>
      </c>
      <c r="AO54" s="409"/>
      <c r="AP54" s="123">
        <f>SUM(AP55:AP72)</f>
        <v>0</v>
      </c>
      <c r="AQ54" s="123">
        <f>SUM(AQ55:AQ72)</f>
        <v>1409.46</v>
      </c>
      <c r="AR54" s="579">
        <f>SUM(AR55:AR72)</f>
        <v>1409.46</v>
      </c>
      <c r="AS54" s="664" t="e">
        <f t="shared" si="7"/>
        <v>#DIV/0!</v>
      </c>
      <c r="AT54" s="409"/>
      <c r="AU54" s="123">
        <f>SUM(AU55:AU72)</f>
        <v>0</v>
      </c>
      <c r="AV54" s="123">
        <f>SUM(AV55:AV72)</f>
        <v>0</v>
      </c>
      <c r="AW54" s="579">
        <f>SUM(AW55:AW72)</f>
        <v>0</v>
      </c>
      <c r="AX54" s="664">
        <f t="shared" si="8"/>
        <v>0</v>
      </c>
      <c r="AY54" s="409"/>
      <c r="AZ54" s="123">
        <f>SUM(AZ55:AZ72)</f>
        <v>0</v>
      </c>
      <c r="BA54" s="123">
        <f>SUM(BA55:BA72)</f>
        <v>300</v>
      </c>
      <c r="BB54" s="579">
        <f>SUM(BB55:BB72)</f>
        <v>300</v>
      </c>
      <c r="BC54" s="664" t="e">
        <f t="shared" si="44"/>
        <v>#DIV/0!</v>
      </c>
      <c r="BD54" s="409"/>
      <c r="BE54" s="123">
        <f>SUM(BE55:BE72)</f>
        <v>0</v>
      </c>
      <c r="BF54" s="123">
        <f>SUM(BF55:BF72)</f>
        <v>0</v>
      </c>
      <c r="BG54" s="579">
        <f>SUM(BG55:BG72)</f>
        <v>0</v>
      </c>
      <c r="BH54" s="664" t="e">
        <f t="shared" si="45"/>
        <v>#DIV/0!</v>
      </c>
      <c r="BI54" s="409"/>
      <c r="BJ54" s="123">
        <f>SUM(BJ55:BJ72)</f>
        <v>0</v>
      </c>
      <c r="BK54" s="123">
        <f>SUM(BK55:BK72)</f>
        <v>0</v>
      </c>
      <c r="BL54" s="579">
        <f>SUM(BL55:BL72)</f>
        <v>0</v>
      </c>
      <c r="BM54" s="664" t="e">
        <f t="shared" si="46"/>
        <v>#DIV/0!</v>
      </c>
      <c r="BN54" s="409"/>
      <c r="BO54" s="123">
        <f>SUM(BO55:BO72)</f>
        <v>102009.86</v>
      </c>
      <c r="BP54" s="123">
        <f>SUM(BP55:BP72)</f>
        <v>98819.6</v>
      </c>
      <c r="BQ54" s="123">
        <f>SUM(BQ55:BQ72)</f>
        <v>200829.46</v>
      </c>
      <c r="BR54" s="169" t="e">
        <f>BQ54/$BQ$89</f>
        <v>#DIV/0!</v>
      </c>
      <c r="BS54" s="60"/>
      <c r="BU54" s="921">
        <f t="shared" si="30"/>
        <v>200829.46</v>
      </c>
    </row>
    <row r="55" spans="1:73" ht="13.8" x14ac:dyDescent="0.25">
      <c r="A55" s="237"/>
      <c r="B55" s="19" t="s">
        <v>77</v>
      </c>
      <c r="C55" s="113"/>
      <c r="D55" s="119"/>
      <c r="E55" s="120">
        <f t="shared" ref="E55:E71" si="70">C55+D55</f>
        <v>0</v>
      </c>
      <c r="F55" s="178">
        <f>E55/$E$89</f>
        <v>0</v>
      </c>
      <c r="G55" s="78"/>
      <c r="H55" s="161"/>
      <c r="I55" s="41">
        <f t="shared" ref="I55:I71" si="71">G55+H55*1</f>
        <v>0</v>
      </c>
      <c r="J55" s="178">
        <f t="shared" si="32"/>
        <v>0</v>
      </c>
      <c r="K55" s="291"/>
      <c r="L55" s="210"/>
      <c r="M55" s="210"/>
      <c r="N55" s="106">
        <f t="shared" ref="N55:N71" si="72">L55+M55*1</f>
        <v>0</v>
      </c>
      <c r="O55" s="178">
        <f t="shared" si="67"/>
        <v>0</v>
      </c>
      <c r="P55" s="79"/>
      <c r="Q55" s="210"/>
      <c r="R55" s="210"/>
      <c r="S55" s="106">
        <f t="shared" ref="S55:S71" si="73">Q55+R55*1</f>
        <v>0</v>
      </c>
      <c r="T55" s="178">
        <f t="shared" ref="T55:T72" si="74">S55/$S$89</f>
        <v>0</v>
      </c>
      <c r="U55" s="259"/>
      <c r="V55" s="210"/>
      <c r="W55" s="210"/>
      <c r="X55" s="106">
        <f t="shared" ref="X55:X71" si="75">V55+W55*1</f>
        <v>0</v>
      </c>
      <c r="Y55" s="178">
        <f t="shared" ref="Y55:Y72" si="76">X55/$X$89</f>
        <v>0</v>
      </c>
      <c r="Z55" s="259"/>
      <c r="AA55" s="210"/>
      <c r="AB55" s="210"/>
      <c r="AC55" s="106">
        <f t="shared" ref="AC55:AC71" si="77">AA55+AB55*1</f>
        <v>0</v>
      </c>
      <c r="AD55" s="178">
        <f>AC55/$AC$89</f>
        <v>0</v>
      </c>
      <c r="AE55" s="259"/>
      <c r="AF55" s="210"/>
      <c r="AG55" s="210"/>
      <c r="AH55" s="106">
        <f t="shared" ref="AH55:AH71" si="78">AF55+AG55*1</f>
        <v>0</v>
      </c>
      <c r="AI55" s="450">
        <f t="shared" si="68"/>
        <v>0</v>
      </c>
      <c r="AJ55" s="259"/>
      <c r="AK55" s="210"/>
      <c r="AL55" s="210"/>
      <c r="AM55" s="446">
        <f t="shared" ref="AM55:AM71" si="79">AK55+AL55*1</f>
        <v>0</v>
      </c>
      <c r="AN55" s="450" t="e">
        <f t="shared" si="69"/>
        <v>#DIV/0!</v>
      </c>
      <c r="AO55" s="259"/>
      <c r="AP55" s="210"/>
      <c r="AQ55" s="210"/>
      <c r="AR55" s="446">
        <f t="shared" ref="AR55:AR71" si="80">AP55+AQ55*1</f>
        <v>0</v>
      </c>
      <c r="AS55" s="450" t="e">
        <f t="shared" si="7"/>
        <v>#DIV/0!</v>
      </c>
      <c r="AT55" s="259"/>
      <c r="AU55" s="210"/>
      <c r="AV55" s="210"/>
      <c r="AW55" s="446">
        <f t="shared" ref="AW55:AW71" si="81">AU55+AV55*1</f>
        <v>0</v>
      </c>
      <c r="AX55" s="450">
        <f t="shared" si="8"/>
        <v>0</v>
      </c>
      <c r="AY55" s="259"/>
      <c r="AZ55" s="210"/>
      <c r="BA55" s="210"/>
      <c r="BB55" s="446">
        <f t="shared" ref="BB55:BB71" si="82">AZ55+BA55*1</f>
        <v>0</v>
      </c>
      <c r="BC55" s="450" t="e">
        <f t="shared" si="44"/>
        <v>#DIV/0!</v>
      </c>
      <c r="BD55" s="259"/>
      <c r="BE55" s="210"/>
      <c r="BF55" s="210"/>
      <c r="BG55" s="446">
        <f t="shared" ref="BG55:BG71" si="83">BE55+BF55*1</f>
        <v>0</v>
      </c>
      <c r="BH55" s="450" t="e">
        <f t="shared" si="45"/>
        <v>#DIV/0!</v>
      </c>
      <c r="BI55" s="259"/>
      <c r="BJ55" s="39"/>
      <c r="BK55" s="39"/>
      <c r="BL55" s="446">
        <f t="shared" ref="BL55:BL71" si="84">BJ55+BK55*1</f>
        <v>0</v>
      </c>
      <c r="BM55" s="450" t="e">
        <f t="shared" si="46"/>
        <v>#DIV/0!</v>
      </c>
      <c r="BN55" s="259"/>
      <c r="BO55" s="39">
        <f t="shared" ref="BO55:BO71" si="85">G55+L55+Q55+V55+AA55+AF55+AK55+AP55+AU55+AZ55+BE55+BJ55</f>
        <v>0</v>
      </c>
      <c r="BP55" s="39">
        <f t="shared" ref="BP55:BP71" si="86">H55+M55+R55+W55+AB55+AG55+AL55+AQ55+AV55+BA55+BF55+BK55</f>
        <v>0</v>
      </c>
      <c r="BQ55" s="106">
        <f t="shared" ref="BQ55:BQ71" si="87">BO55+BP55*1</f>
        <v>0</v>
      </c>
      <c r="BR55" s="178" t="e">
        <f t="shared" ref="BR55:BR72" si="88">BQ55/$BQ$89</f>
        <v>#DIV/0!</v>
      </c>
      <c r="BS55" s="79"/>
      <c r="BU55" s="921">
        <f t="shared" si="30"/>
        <v>0</v>
      </c>
    </row>
    <row r="56" spans="1:73" ht="13.8" x14ac:dyDescent="0.25">
      <c r="A56" s="237"/>
      <c r="B56" s="19" t="s">
        <v>76</v>
      </c>
      <c r="C56" s="113"/>
      <c r="D56" s="119"/>
      <c r="E56" s="120">
        <f t="shared" si="70"/>
        <v>0</v>
      </c>
      <c r="F56" s="178">
        <f t="shared" ref="F56:F72" si="89">E56/$E$89</f>
        <v>0</v>
      </c>
      <c r="G56" s="163"/>
      <c r="H56" s="111"/>
      <c r="I56" s="41">
        <f t="shared" si="71"/>
        <v>0</v>
      </c>
      <c r="J56" s="178">
        <f t="shared" ref="J56:J74" si="90">I56/$I$89</f>
        <v>0</v>
      </c>
      <c r="K56" s="291"/>
      <c r="L56" s="210"/>
      <c r="M56" s="210"/>
      <c r="N56" s="106">
        <f t="shared" si="72"/>
        <v>0</v>
      </c>
      <c r="O56" s="178">
        <f t="shared" si="67"/>
        <v>0</v>
      </c>
      <c r="P56" s="79"/>
      <c r="Q56" s="210"/>
      <c r="R56" s="210"/>
      <c r="S56" s="106">
        <f t="shared" si="73"/>
        <v>0</v>
      </c>
      <c r="T56" s="178">
        <f t="shared" si="74"/>
        <v>0</v>
      </c>
      <c r="U56" s="259"/>
      <c r="V56" s="210"/>
      <c r="W56" s="210"/>
      <c r="X56" s="106">
        <f t="shared" si="75"/>
        <v>0</v>
      </c>
      <c r="Y56" s="178">
        <f t="shared" si="76"/>
        <v>0</v>
      </c>
      <c r="Z56" s="388"/>
      <c r="AA56" s="210"/>
      <c r="AB56" s="210"/>
      <c r="AC56" s="106">
        <f t="shared" si="77"/>
        <v>0</v>
      </c>
      <c r="AD56" s="178">
        <f t="shared" ref="AD56:AD72" si="91">AC56/$AC$89</f>
        <v>0</v>
      </c>
      <c r="AE56" s="388"/>
      <c r="AF56" s="210"/>
      <c r="AG56" s="210"/>
      <c r="AH56" s="106">
        <f t="shared" si="78"/>
        <v>0</v>
      </c>
      <c r="AI56" s="450">
        <f t="shared" si="68"/>
        <v>0</v>
      </c>
      <c r="AJ56" s="388"/>
      <c r="AK56" s="210"/>
      <c r="AL56" s="210"/>
      <c r="AM56" s="446">
        <f t="shared" si="79"/>
        <v>0</v>
      </c>
      <c r="AN56" s="450" t="e">
        <f t="shared" si="69"/>
        <v>#DIV/0!</v>
      </c>
      <c r="AO56" s="388"/>
      <c r="AP56" s="210"/>
      <c r="AQ56" s="210"/>
      <c r="AR56" s="446">
        <f t="shared" si="80"/>
        <v>0</v>
      </c>
      <c r="AS56" s="450" t="e">
        <f t="shared" si="7"/>
        <v>#DIV/0!</v>
      </c>
      <c r="AT56" s="388"/>
      <c r="AU56" s="210"/>
      <c r="AV56" s="210"/>
      <c r="AW56" s="446">
        <f t="shared" si="81"/>
        <v>0</v>
      </c>
      <c r="AX56" s="450">
        <f t="shared" si="8"/>
        <v>0</v>
      </c>
      <c r="AY56" s="388"/>
      <c r="AZ56" s="210"/>
      <c r="BA56" s="210"/>
      <c r="BB56" s="446">
        <f t="shared" si="82"/>
        <v>0</v>
      </c>
      <c r="BC56" s="450" t="e">
        <f t="shared" si="44"/>
        <v>#DIV/0!</v>
      </c>
      <c r="BD56" s="388"/>
      <c r="BE56" s="210"/>
      <c r="BF56" s="210"/>
      <c r="BG56" s="446">
        <f t="shared" si="83"/>
        <v>0</v>
      </c>
      <c r="BH56" s="450" t="e">
        <f t="shared" si="45"/>
        <v>#DIV/0!</v>
      </c>
      <c r="BI56" s="388"/>
      <c r="BJ56" s="39"/>
      <c r="BK56" s="39"/>
      <c r="BL56" s="446">
        <f t="shared" si="84"/>
        <v>0</v>
      </c>
      <c r="BM56" s="450" t="e">
        <f t="shared" si="46"/>
        <v>#DIV/0!</v>
      </c>
      <c r="BN56" s="388"/>
      <c r="BO56" s="39">
        <f t="shared" si="85"/>
        <v>0</v>
      </c>
      <c r="BP56" s="39">
        <f t="shared" si="86"/>
        <v>0</v>
      </c>
      <c r="BQ56" s="106">
        <f t="shared" si="87"/>
        <v>0</v>
      </c>
      <c r="BR56" s="178" t="e">
        <f t="shared" si="88"/>
        <v>#DIV/0!</v>
      </c>
      <c r="BS56" s="79"/>
      <c r="BU56" s="921">
        <f t="shared" si="30"/>
        <v>0</v>
      </c>
    </row>
    <row r="57" spans="1:73" ht="13.8" x14ac:dyDescent="0.25">
      <c r="A57" s="237"/>
      <c r="B57" s="19" t="s">
        <v>68</v>
      </c>
      <c r="C57" s="113"/>
      <c r="D57" s="119"/>
      <c r="E57" s="120">
        <f t="shared" si="70"/>
        <v>0</v>
      </c>
      <c r="F57" s="178">
        <f t="shared" si="89"/>
        <v>0</v>
      </c>
      <c r="G57" s="163"/>
      <c r="H57" s="111"/>
      <c r="I57" s="41">
        <f t="shared" si="71"/>
        <v>0</v>
      </c>
      <c r="J57" s="178">
        <f t="shared" si="90"/>
        <v>0</v>
      </c>
      <c r="K57" s="291"/>
      <c r="L57" s="210"/>
      <c r="M57" s="210"/>
      <c r="N57" s="106">
        <f t="shared" si="72"/>
        <v>0</v>
      </c>
      <c r="O57" s="178">
        <f t="shared" si="67"/>
        <v>0</v>
      </c>
      <c r="P57" s="79"/>
      <c r="Q57" s="210"/>
      <c r="R57" s="210"/>
      <c r="S57" s="106">
        <f t="shared" si="73"/>
        <v>0</v>
      </c>
      <c r="T57" s="178">
        <f t="shared" si="74"/>
        <v>0</v>
      </c>
      <c r="U57" s="259"/>
      <c r="V57" s="210"/>
      <c r="W57" s="210"/>
      <c r="X57" s="106">
        <f t="shared" si="75"/>
        <v>0</v>
      </c>
      <c r="Y57" s="178">
        <f t="shared" si="76"/>
        <v>0</v>
      </c>
      <c r="Z57" s="388"/>
      <c r="AA57" s="210"/>
      <c r="AB57" s="210"/>
      <c r="AC57" s="106">
        <f t="shared" si="77"/>
        <v>0</v>
      </c>
      <c r="AD57" s="178">
        <f t="shared" si="91"/>
        <v>0</v>
      </c>
      <c r="AE57" s="388"/>
      <c r="AF57" s="210"/>
      <c r="AG57" s="210"/>
      <c r="AH57" s="106">
        <f t="shared" si="78"/>
        <v>0</v>
      </c>
      <c r="AI57" s="450">
        <f t="shared" si="68"/>
        <v>0</v>
      </c>
      <c r="AJ57" s="388"/>
      <c r="AK57" s="210"/>
      <c r="AL57" s="210"/>
      <c r="AM57" s="446">
        <f t="shared" si="79"/>
        <v>0</v>
      </c>
      <c r="AN57" s="450" t="e">
        <f t="shared" si="69"/>
        <v>#DIV/0!</v>
      </c>
      <c r="AO57" s="388"/>
      <c r="AP57" s="210"/>
      <c r="AQ57" s="210"/>
      <c r="AR57" s="446">
        <f t="shared" si="80"/>
        <v>0</v>
      </c>
      <c r="AS57" s="450" t="e">
        <f t="shared" si="7"/>
        <v>#DIV/0!</v>
      </c>
      <c r="AT57" s="388"/>
      <c r="AU57" s="210"/>
      <c r="AV57" s="210"/>
      <c r="AW57" s="446">
        <f t="shared" si="81"/>
        <v>0</v>
      </c>
      <c r="AX57" s="450">
        <f t="shared" si="8"/>
        <v>0</v>
      </c>
      <c r="AY57" s="388"/>
      <c r="AZ57" s="210"/>
      <c r="BA57" s="210"/>
      <c r="BB57" s="446">
        <f t="shared" si="82"/>
        <v>0</v>
      </c>
      <c r="BC57" s="450" t="e">
        <f t="shared" si="44"/>
        <v>#DIV/0!</v>
      </c>
      <c r="BD57" s="388"/>
      <c r="BE57" s="210"/>
      <c r="BF57" s="210"/>
      <c r="BG57" s="446">
        <f t="shared" si="83"/>
        <v>0</v>
      </c>
      <c r="BH57" s="450" t="e">
        <f t="shared" si="45"/>
        <v>#DIV/0!</v>
      </c>
      <c r="BI57" s="388"/>
      <c r="BJ57" s="39"/>
      <c r="BK57" s="39"/>
      <c r="BL57" s="446">
        <f t="shared" si="84"/>
        <v>0</v>
      </c>
      <c r="BM57" s="450" t="e">
        <f t="shared" si="46"/>
        <v>#DIV/0!</v>
      </c>
      <c r="BN57" s="388"/>
      <c r="BO57" s="39">
        <f t="shared" si="85"/>
        <v>0</v>
      </c>
      <c r="BP57" s="39">
        <f t="shared" si="86"/>
        <v>0</v>
      </c>
      <c r="BQ57" s="106">
        <f t="shared" si="87"/>
        <v>0</v>
      </c>
      <c r="BR57" s="178" t="e">
        <f t="shared" si="88"/>
        <v>#DIV/0!</v>
      </c>
      <c r="BS57" s="79"/>
      <c r="BU57" s="921">
        <f t="shared" si="30"/>
        <v>0</v>
      </c>
    </row>
    <row r="58" spans="1:73" ht="13.8" x14ac:dyDescent="0.25">
      <c r="A58" s="237"/>
      <c r="B58" s="19" t="s">
        <v>67</v>
      </c>
      <c r="C58" s="113">
        <v>26565</v>
      </c>
      <c r="D58" s="119">
        <v>60935</v>
      </c>
      <c r="E58" s="120">
        <f t="shared" si="70"/>
        <v>87500</v>
      </c>
      <c r="F58" s="178">
        <f t="shared" si="89"/>
        <v>4.9873685458325431E-3</v>
      </c>
      <c r="G58" s="78">
        <v>5232.5</v>
      </c>
      <c r="H58" s="161">
        <v>11267.5</v>
      </c>
      <c r="I58" s="41">
        <f t="shared" si="71"/>
        <v>16500</v>
      </c>
      <c r="J58" s="178">
        <f t="shared" si="90"/>
        <v>2.3000751250894978E-2</v>
      </c>
      <c r="K58" s="291" t="s">
        <v>246</v>
      </c>
      <c r="L58" s="210">
        <v>5313</v>
      </c>
      <c r="M58" s="210">
        <v>12187</v>
      </c>
      <c r="N58" s="106">
        <f t="shared" si="72"/>
        <v>17500</v>
      </c>
      <c r="O58" s="178">
        <f t="shared" si="67"/>
        <v>2.3631621327682133E-2</v>
      </c>
      <c r="P58" s="79" t="s">
        <v>472</v>
      </c>
      <c r="Q58" s="210">
        <f>10626/2</f>
        <v>5313</v>
      </c>
      <c r="R58" s="210">
        <f>24374/2</f>
        <v>12187</v>
      </c>
      <c r="S58" s="106">
        <f t="shared" si="73"/>
        <v>17500</v>
      </c>
      <c r="T58" s="178">
        <f t="shared" si="74"/>
        <v>4.2608835257371561E-3</v>
      </c>
      <c r="U58" s="415" t="s">
        <v>472</v>
      </c>
      <c r="V58" s="210">
        <v>5313</v>
      </c>
      <c r="W58" s="210">
        <v>12187</v>
      </c>
      <c r="X58" s="106">
        <f t="shared" si="75"/>
        <v>17500</v>
      </c>
      <c r="Y58" s="178">
        <f t="shared" si="76"/>
        <v>2.858294156004677E-3</v>
      </c>
      <c r="Z58" s="388" t="s">
        <v>472</v>
      </c>
      <c r="AA58" s="210">
        <v>5313</v>
      </c>
      <c r="AB58" s="210">
        <v>12187</v>
      </c>
      <c r="AC58" s="106">
        <f t="shared" si="77"/>
        <v>17500</v>
      </c>
      <c r="AD58" s="178">
        <f t="shared" si="91"/>
        <v>4.6481827519480228E-3</v>
      </c>
      <c r="AE58" s="388" t="s">
        <v>716</v>
      </c>
      <c r="AF58" s="210">
        <v>5313</v>
      </c>
      <c r="AG58" s="210">
        <v>11687</v>
      </c>
      <c r="AH58" s="106">
        <f t="shared" si="78"/>
        <v>17000</v>
      </c>
      <c r="AI58" s="450">
        <f t="shared" si="68"/>
        <v>1.1312429071056325E-2</v>
      </c>
      <c r="AJ58" s="388" t="s">
        <v>716</v>
      </c>
      <c r="AK58" s="210">
        <v>4835.5600000000004</v>
      </c>
      <c r="AL58" s="210">
        <f>24213/2-500</f>
        <v>11606.5</v>
      </c>
      <c r="AM58" s="446">
        <f t="shared" si="79"/>
        <v>16442.060000000001</v>
      </c>
      <c r="AN58" s="450" t="e">
        <f t="shared" si="69"/>
        <v>#DIV/0!</v>
      </c>
      <c r="AO58" s="388" t="s">
        <v>824</v>
      </c>
      <c r="AP58" s="210"/>
      <c r="AQ58" s="210"/>
      <c r="AR58" s="446">
        <f t="shared" si="80"/>
        <v>0</v>
      </c>
      <c r="AS58" s="450" t="e">
        <f t="shared" si="7"/>
        <v>#DIV/0!</v>
      </c>
      <c r="AT58" s="388"/>
      <c r="AU58" s="210"/>
      <c r="AV58" s="210"/>
      <c r="AW58" s="446">
        <f t="shared" si="81"/>
        <v>0</v>
      </c>
      <c r="AX58" s="450">
        <f t="shared" si="8"/>
        <v>0</v>
      </c>
      <c r="AY58" s="388"/>
      <c r="AZ58" s="210"/>
      <c r="BA58" s="210"/>
      <c r="BB58" s="446">
        <f t="shared" si="82"/>
        <v>0</v>
      </c>
      <c r="BC58" s="450" t="e">
        <f t="shared" si="44"/>
        <v>#DIV/0!</v>
      </c>
      <c r="BD58" s="388"/>
      <c r="BE58" s="210"/>
      <c r="BF58" s="210"/>
      <c r="BG58" s="446">
        <f t="shared" si="83"/>
        <v>0</v>
      </c>
      <c r="BH58" s="450" t="e">
        <f t="shared" si="45"/>
        <v>#DIV/0!</v>
      </c>
      <c r="BI58" s="388"/>
      <c r="BJ58" s="39"/>
      <c r="BK58" s="39"/>
      <c r="BL58" s="446">
        <f t="shared" si="84"/>
        <v>0</v>
      </c>
      <c r="BM58" s="450" t="e">
        <f t="shared" si="46"/>
        <v>#DIV/0!</v>
      </c>
      <c r="BN58" s="388"/>
      <c r="BO58" s="39">
        <f t="shared" si="85"/>
        <v>36633.06</v>
      </c>
      <c r="BP58" s="39">
        <f t="shared" si="86"/>
        <v>83309</v>
      </c>
      <c r="BQ58" s="106">
        <f t="shared" si="87"/>
        <v>119942.06</v>
      </c>
      <c r="BR58" s="178" t="e">
        <f t="shared" si="88"/>
        <v>#DIV/0!</v>
      </c>
      <c r="BS58" s="79"/>
      <c r="BT58" s="77">
        <v>119942</v>
      </c>
      <c r="BU58" s="921">
        <f t="shared" si="30"/>
        <v>5.9999999997671694E-2</v>
      </c>
    </row>
    <row r="59" spans="1:73" ht="13.8" x14ac:dyDescent="0.25">
      <c r="A59" s="237"/>
      <c r="B59" s="19" t="s">
        <v>66</v>
      </c>
      <c r="C59" s="113">
        <v>7150</v>
      </c>
      <c r="D59" s="119">
        <v>0</v>
      </c>
      <c r="E59" s="120">
        <f t="shared" si="70"/>
        <v>7150</v>
      </c>
      <c r="F59" s="178">
        <f t="shared" si="89"/>
        <v>4.0753925831660211E-4</v>
      </c>
      <c r="G59" s="163">
        <v>1267.5</v>
      </c>
      <c r="H59" s="111"/>
      <c r="I59" s="41">
        <f t="shared" si="71"/>
        <v>1267.5</v>
      </c>
      <c r="J59" s="178">
        <f t="shared" si="90"/>
        <v>1.7668758915460234E-3</v>
      </c>
      <c r="K59" s="291"/>
      <c r="L59" s="210">
        <v>1287</v>
      </c>
      <c r="M59" s="210"/>
      <c r="N59" s="106">
        <f t="shared" si="72"/>
        <v>1287</v>
      </c>
      <c r="O59" s="178">
        <f t="shared" si="67"/>
        <v>1.7379369513558232E-3</v>
      </c>
      <c r="P59" s="79"/>
      <c r="Q59" s="210">
        <f>2904/2</f>
        <v>1452</v>
      </c>
      <c r="R59" s="210"/>
      <c r="S59" s="106">
        <f t="shared" si="73"/>
        <v>1452</v>
      </c>
      <c r="T59" s="178">
        <f t="shared" si="74"/>
        <v>3.5353159310687722E-4</v>
      </c>
      <c r="U59" s="259"/>
      <c r="V59" s="210">
        <v>1287</v>
      </c>
      <c r="W59" s="210"/>
      <c r="X59" s="106">
        <f t="shared" si="75"/>
        <v>1287</v>
      </c>
      <c r="Y59" s="178">
        <f t="shared" si="76"/>
        <v>2.1020711878731539E-4</v>
      </c>
      <c r="Z59" s="388"/>
      <c r="AA59" s="210">
        <v>1287</v>
      </c>
      <c r="AB59" s="210"/>
      <c r="AC59" s="106">
        <f t="shared" si="77"/>
        <v>1287</v>
      </c>
      <c r="AD59" s="178">
        <f t="shared" si="91"/>
        <v>3.41840640100406E-4</v>
      </c>
      <c r="AE59" s="388"/>
      <c r="AF59" s="210">
        <v>1287</v>
      </c>
      <c r="AG59" s="210"/>
      <c r="AH59" s="106">
        <f t="shared" si="78"/>
        <v>1287</v>
      </c>
      <c r="AI59" s="450">
        <f t="shared" si="68"/>
        <v>8.5641742437938173E-4</v>
      </c>
      <c r="AJ59" s="388"/>
      <c r="AK59" s="210">
        <v>1171.3399999999999</v>
      </c>
      <c r="AL59" s="210"/>
      <c r="AM59" s="446">
        <f t="shared" si="79"/>
        <v>1171.3399999999999</v>
      </c>
      <c r="AN59" s="450" t="e">
        <f t="shared" si="69"/>
        <v>#DIV/0!</v>
      </c>
      <c r="AO59" s="388"/>
      <c r="AP59" s="210"/>
      <c r="AQ59" s="210"/>
      <c r="AR59" s="446">
        <f t="shared" si="80"/>
        <v>0</v>
      </c>
      <c r="AS59" s="450" t="e">
        <f t="shared" si="7"/>
        <v>#DIV/0!</v>
      </c>
      <c r="AT59" s="388"/>
      <c r="AU59" s="210"/>
      <c r="AV59" s="210"/>
      <c r="AW59" s="446">
        <f t="shared" si="81"/>
        <v>0</v>
      </c>
      <c r="AX59" s="450">
        <f t="shared" si="8"/>
        <v>0</v>
      </c>
      <c r="AY59" s="388"/>
      <c r="AZ59" s="210"/>
      <c r="BA59" s="210"/>
      <c r="BB59" s="446">
        <f t="shared" si="82"/>
        <v>0</v>
      </c>
      <c r="BC59" s="450" t="e">
        <f t="shared" si="44"/>
        <v>#DIV/0!</v>
      </c>
      <c r="BD59" s="388"/>
      <c r="BE59" s="210"/>
      <c r="BF59" s="210"/>
      <c r="BG59" s="446">
        <f t="shared" si="83"/>
        <v>0</v>
      </c>
      <c r="BH59" s="450" t="e">
        <f t="shared" si="45"/>
        <v>#DIV/0!</v>
      </c>
      <c r="BI59" s="388"/>
      <c r="BJ59" s="39"/>
      <c r="BK59" s="39"/>
      <c r="BL59" s="446">
        <f t="shared" si="84"/>
        <v>0</v>
      </c>
      <c r="BM59" s="450" t="e">
        <f t="shared" si="46"/>
        <v>#DIV/0!</v>
      </c>
      <c r="BN59" s="388"/>
      <c r="BO59" s="39">
        <f t="shared" si="85"/>
        <v>9038.84</v>
      </c>
      <c r="BP59" s="39">
        <f t="shared" si="86"/>
        <v>0</v>
      </c>
      <c r="BQ59" s="106">
        <f t="shared" si="87"/>
        <v>9038.84</v>
      </c>
      <c r="BR59" s="178" t="e">
        <f t="shared" si="88"/>
        <v>#DIV/0!</v>
      </c>
      <c r="BS59" s="79"/>
      <c r="BT59" s="77">
        <v>10161</v>
      </c>
      <c r="BU59" s="921">
        <f t="shared" si="30"/>
        <v>-1122.1599999999999</v>
      </c>
    </row>
    <row r="60" spans="1:73" ht="13.8" x14ac:dyDescent="0.25">
      <c r="A60" s="237"/>
      <c r="B60" s="19" t="s">
        <v>65</v>
      </c>
      <c r="C60" s="113">
        <v>6338</v>
      </c>
      <c r="D60" s="119">
        <v>0</v>
      </c>
      <c r="E60" s="120">
        <f t="shared" si="70"/>
        <v>6338</v>
      </c>
      <c r="F60" s="178">
        <f t="shared" si="89"/>
        <v>3.6125647821127609E-4</v>
      </c>
      <c r="G60" s="163">
        <v>1430</v>
      </c>
      <c r="H60" s="111"/>
      <c r="I60" s="41">
        <f t="shared" si="71"/>
        <v>1430</v>
      </c>
      <c r="J60" s="178">
        <f t="shared" si="90"/>
        <v>1.9933984417442314E-3</v>
      </c>
      <c r="K60" s="291"/>
      <c r="L60" s="210">
        <v>1452</v>
      </c>
      <c r="M60" s="210"/>
      <c r="N60" s="106">
        <f t="shared" si="72"/>
        <v>1452</v>
      </c>
      <c r="O60" s="178">
        <f t="shared" si="67"/>
        <v>1.9607493810168261E-3</v>
      </c>
      <c r="P60" s="79"/>
      <c r="Q60" s="210">
        <f>2574/2</f>
        <v>1287</v>
      </c>
      <c r="R60" s="210"/>
      <c r="S60" s="106">
        <f t="shared" si="73"/>
        <v>1287</v>
      </c>
      <c r="T60" s="178">
        <f t="shared" si="74"/>
        <v>3.1335754843564114E-4</v>
      </c>
      <c r="U60" s="259"/>
      <c r="V60" s="210">
        <v>1452</v>
      </c>
      <c r="W60" s="210"/>
      <c r="X60" s="106">
        <f t="shared" si="75"/>
        <v>1452</v>
      </c>
      <c r="Y60" s="178">
        <f t="shared" si="76"/>
        <v>2.3715674940107378E-4</v>
      </c>
      <c r="Z60" s="388"/>
      <c r="AA60" s="210">
        <v>1452</v>
      </c>
      <c r="AB60" s="210"/>
      <c r="AC60" s="106">
        <f t="shared" si="77"/>
        <v>1452</v>
      </c>
      <c r="AD60" s="178">
        <f t="shared" si="91"/>
        <v>3.8566636319020166E-4</v>
      </c>
      <c r="AE60" s="388"/>
      <c r="AF60" s="210">
        <v>1452</v>
      </c>
      <c r="AG60" s="210"/>
      <c r="AH60" s="106">
        <f t="shared" si="78"/>
        <v>1452</v>
      </c>
      <c r="AI60" s="450">
        <f t="shared" si="68"/>
        <v>9.6621453006904602E-4</v>
      </c>
      <c r="AJ60" s="388"/>
      <c r="AK60" s="210">
        <v>1321.52</v>
      </c>
      <c r="AL60" s="210"/>
      <c r="AM60" s="446">
        <f t="shared" si="79"/>
        <v>1321.52</v>
      </c>
      <c r="AN60" s="450" t="e">
        <f t="shared" si="69"/>
        <v>#DIV/0!</v>
      </c>
      <c r="AO60" s="388"/>
      <c r="AP60" s="210"/>
      <c r="AQ60" s="210"/>
      <c r="AR60" s="446">
        <f t="shared" si="80"/>
        <v>0</v>
      </c>
      <c r="AS60" s="450" t="e">
        <f t="shared" si="7"/>
        <v>#DIV/0!</v>
      </c>
      <c r="AT60" s="388"/>
      <c r="AU60" s="210"/>
      <c r="AV60" s="210"/>
      <c r="AW60" s="446">
        <f t="shared" si="81"/>
        <v>0</v>
      </c>
      <c r="AX60" s="450">
        <f t="shared" si="8"/>
        <v>0</v>
      </c>
      <c r="AY60" s="388"/>
      <c r="AZ60" s="210"/>
      <c r="BA60" s="210"/>
      <c r="BB60" s="446">
        <f t="shared" si="82"/>
        <v>0</v>
      </c>
      <c r="BC60" s="450" t="e">
        <f t="shared" si="44"/>
        <v>#DIV/0!</v>
      </c>
      <c r="BD60" s="388"/>
      <c r="BE60" s="210"/>
      <c r="BF60" s="210"/>
      <c r="BG60" s="446">
        <f t="shared" si="83"/>
        <v>0</v>
      </c>
      <c r="BH60" s="450" t="e">
        <f t="shared" si="45"/>
        <v>#DIV/0!</v>
      </c>
      <c r="BI60" s="388"/>
      <c r="BJ60" s="39"/>
      <c r="BK60" s="39"/>
      <c r="BL60" s="446">
        <f t="shared" si="84"/>
        <v>0</v>
      </c>
      <c r="BM60" s="450" t="e">
        <f t="shared" si="46"/>
        <v>#DIV/0!</v>
      </c>
      <c r="BN60" s="388"/>
      <c r="BO60" s="39">
        <f t="shared" si="85"/>
        <v>9846.52</v>
      </c>
      <c r="BP60" s="39">
        <f t="shared" si="86"/>
        <v>0</v>
      </c>
      <c r="BQ60" s="106">
        <f t="shared" si="87"/>
        <v>9846.52</v>
      </c>
      <c r="BR60" s="178" t="e">
        <f t="shared" si="88"/>
        <v>#DIV/0!</v>
      </c>
      <c r="BS60" s="79"/>
      <c r="BT60" s="77">
        <v>11464</v>
      </c>
      <c r="BU60" s="921">
        <f t="shared" si="30"/>
        <v>-1617.4799999999996</v>
      </c>
    </row>
    <row r="61" spans="1:73" ht="13.8" x14ac:dyDescent="0.25">
      <c r="A61" s="237"/>
      <c r="B61" s="19" t="s">
        <v>32</v>
      </c>
      <c r="C61" s="113"/>
      <c r="D61" s="119"/>
      <c r="E61" s="120">
        <f t="shared" si="70"/>
        <v>0</v>
      </c>
      <c r="F61" s="178">
        <f t="shared" si="89"/>
        <v>0</v>
      </c>
      <c r="G61" s="78"/>
      <c r="H61" s="161"/>
      <c r="I61" s="41">
        <f t="shared" si="71"/>
        <v>0</v>
      </c>
      <c r="J61" s="178">
        <f t="shared" si="90"/>
        <v>0</v>
      </c>
      <c r="K61" s="291"/>
      <c r="L61" s="210"/>
      <c r="M61" s="210"/>
      <c r="N61" s="106">
        <f t="shared" si="72"/>
        <v>0</v>
      </c>
      <c r="O61" s="178">
        <f t="shared" si="67"/>
        <v>0</v>
      </c>
      <c r="P61" s="79"/>
      <c r="Q61" s="210"/>
      <c r="R61" s="210"/>
      <c r="S61" s="106">
        <f t="shared" si="73"/>
        <v>0</v>
      </c>
      <c r="T61" s="178">
        <f t="shared" si="74"/>
        <v>0</v>
      </c>
      <c r="U61" s="259"/>
      <c r="V61" s="210"/>
      <c r="W61" s="210"/>
      <c r="X61" s="106">
        <f t="shared" si="75"/>
        <v>0</v>
      </c>
      <c r="Y61" s="178">
        <f t="shared" si="76"/>
        <v>0</v>
      </c>
      <c r="Z61" s="259"/>
      <c r="AA61" s="210"/>
      <c r="AB61" s="210"/>
      <c r="AC61" s="106">
        <f t="shared" si="77"/>
        <v>0</v>
      </c>
      <c r="AD61" s="178">
        <f t="shared" si="91"/>
        <v>0</v>
      </c>
      <c r="AE61" s="259"/>
      <c r="AF61" s="210"/>
      <c r="AG61" s="210"/>
      <c r="AH61" s="106">
        <f t="shared" si="78"/>
        <v>0</v>
      </c>
      <c r="AI61" s="450">
        <f t="shared" si="68"/>
        <v>0</v>
      </c>
      <c r="AJ61" s="259"/>
      <c r="AK61" s="210"/>
      <c r="AL61" s="210"/>
      <c r="AM61" s="446">
        <f t="shared" si="79"/>
        <v>0</v>
      </c>
      <c r="AN61" s="450" t="e">
        <f t="shared" si="69"/>
        <v>#DIV/0!</v>
      </c>
      <c r="AO61" s="259"/>
      <c r="AP61" s="210"/>
      <c r="AQ61" s="210"/>
      <c r="AR61" s="446">
        <f t="shared" si="80"/>
        <v>0</v>
      </c>
      <c r="AS61" s="450" t="e">
        <f t="shared" si="7"/>
        <v>#DIV/0!</v>
      </c>
      <c r="AT61" s="259"/>
      <c r="AU61" s="210"/>
      <c r="AV61" s="210"/>
      <c r="AW61" s="446">
        <f t="shared" si="81"/>
        <v>0</v>
      </c>
      <c r="AX61" s="450">
        <f t="shared" si="8"/>
        <v>0</v>
      </c>
      <c r="AY61" s="259"/>
      <c r="AZ61" s="210"/>
      <c r="BA61" s="210"/>
      <c r="BB61" s="446">
        <f t="shared" si="82"/>
        <v>0</v>
      </c>
      <c r="BC61" s="450" t="e">
        <f t="shared" si="44"/>
        <v>#DIV/0!</v>
      </c>
      <c r="BD61" s="259"/>
      <c r="BE61" s="210"/>
      <c r="BF61" s="210"/>
      <c r="BG61" s="446">
        <f t="shared" si="83"/>
        <v>0</v>
      </c>
      <c r="BH61" s="450" t="e">
        <f t="shared" si="45"/>
        <v>#DIV/0!</v>
      </c>
      <c r="BI61" s="259"/>
      <c r="BJ61" s="39"/>
      <c r="BK61" s="39"/>
      <c r="BL61" s="446">
        <f t="shared" si="84"/>
        <v>0</v>
      </c>
      <c r="BM61" s="450" t="e">
        <f t="shared" si="46"/>
        <v>#DIV/0!</v>
      </c>
      <c r="BN61" s="259"/>
      <c r="BO61" s="39">
        <f t="shared" si="85"/>
        <v>0</v>
      </c>
      <c r="BP61" s="39">
        <f t="shared" si="86"/>
        <v>0</v>
      </c>
      <c r="BQ61" s="106">
        <f t="shared" si="87"/>
        <v>0</v>
      </c>
      <c r="BR61" s="178" t="e">
        <f t="shared" si="88"/>
        <v>#DIV/0!</v>
      </c>
      <c r="BS61" s="79"/>
      <c r="BU61" s="921">
        <f t="shared" si="30"/>
        <v>0</v>
      </c>
    </row>
    <row r="62" spans="1:73" ht="13.8" x14ac:dyDescent="0.25">
      <c r="A62" s="237"/>
      <c r="B62" s="19" t="s">
        <v>33</v>
      </c>
      <c r="C62" s="113"/>
      <c r="D62" s="119"/>
      <c r="E62" s="120">
        <f t="shared" si="70"/>
        <v>0</v>
      </c>
      <c r="F62" s="178">
        <f t="shared" si="89"/>
        <v>0</v>
      </c>
      <c r="G62" s="78"/>
      <c r="H62" s="161"/>
      <c r="I62" s="41">
        <f t="shared" si="71"/>
        <v>0</v>
      </c>
      <c r="J62" s="178">
        <f t="shared" si="90"/>
        <v>0</v>
      </c>
      <c r="K62" s="291"/>
      <c r="L62" s="210"/>
      <c r="M62" s="210"/>
      <c r="N62" s="106">
        <f t="shared" si="72"/>
        <v>0</v>
      </c>
      <c r="O62" s="178">
        <f t="shared" si="67"/>
        <v>0</v>
      </c>
      <c r="P62" s="79"/>
      <c r="Q62" s="210"/>
      <c r="R62" s="210"/>
      <c r="S62" s="106">
        <f t="shared" si="73"/>
        <v>0</v>
      </c>
      <c r="T62" s="178">
        <f t="shared" si="74"/>
        <v>0</v>
      </c>
      <c r="U62" s="259"/>
      <c r="V62" s="210"/>
      <c r="W62" s="210"/>
      <c r="X62" s="106">
        <f t="shared" si="75"/>
        <v>0</v>
      </c>
      <c r="Y62" s="178">
        <f t="shared" si="76"/>
        <v>0</v>
      </c>
      <c r="Z62" s="259"/>
      <c r="AA62" s="210"/>
      <c r="AB62" s="210"/>
      <c r="AC62" s="106">
        <f t="shared" si="77"/>
        <v>0</v>
      </c>
      <c r="AD62" s="178">
        <f t="shared" si="91"/>
        <v>0</v>
      </c>
      <c r="AE62" s="259"/>
      <c r="AF62" s="210"/>
      <c r="AG62" s="210"/>
      <c r="AH62" s="106">
        <f t="shared" si="78"/>
        <v>0</v>
      </c>
      <c r="AI62" s="450">
        <f t="shared" si="68"/>
        <v>0</v>
      </c>
      <c r="AJ62" s="259"/>
      <c r="AK62" s="210"/>
      <c r="AL62" s="210"/>
      <c r="AM62" s="446">
        <f t="shared" si="79"/>
        <v>0</v>
      </c>
      <c r="AN62" s="450" t="e">
        <f t="shared" si="69"/>
        <v>#DIV/0!</v>
      </c>
      <c r="AO62" s="259"/>
      <c r="AP62" s="210"/>
      <c r="AQ62" s="210"/>
      <c r="AR62" s="446">
        <f t="shared" si="80"/>
        <v>0</v>
      </c>
      <c r="AS62" s="450" t="e">
        <f t="shared" si="7"/>
        <v>#DIV/0!</v>
      </c>
      <c r="AT62" s="259"/>
      <c r="AU62" s="210"/>
      <c r="AV62" s="210"/>
      <c r="AW62" s="446">
        <f t="shared" si="81"/>
        <v>0</v>
      </c>
      <c r="AX62" s="450">
        <f t="shared" si="8"/>
        <v>0</v>
      </c>
      <c r="AY62" s="259"/>
      <c r="AZ62" s="210"/>
      <c r="BA62" s="210"/>
      <c r="BB62" s="446">
        <f t="shared" si="82"/>
        <v>0</v>
      </c>
      <c r="BC62" s="450" t="e">
        <f t="shared" si="44"/>
        <v>#DIV/0!</v>
      </c>
      <c r="BD62" s="259"/>
      <c r="BE62" s="210"/>
      <c r="BF62" s="210"/>
      <c r="BG62" s="446">
        <f t="shared" si="83"/>
        <v>0</v>
      </c>
      <c r="BH62" s="450" t="e">
        <f t="shared" si="45"/>
        <v>#DIV/0!</v>
      </c>
      <c r="BI62" s="259"/>
      <c r="BJ62" s="39"/>
      <c r="BK62" s="39"/>
      <c r="BL62" s="446">
        <f t="shared" si="84"/>
        <v>0</v>
      </c>
      <c r="BM62" s="450" t="e">
        <f t="shared" si="46"/>
        <v>#DIV/0!</v>
      </c>
      <c r="BN62" s="259"/>
      <c r="BO62" s="39">
        <f t="shared" si="85"/>
        <v>0</v>
      </c>
      <c r="BP62" s="39">
        <f t="shared" si="86"/>
        <v>0</v>
      </c>
      <c r="BQ62" s="106">
        <f t="shared" si="87"/>
        <v>0</v>
      </c>
      <c r="BR62" s="178" t="e">
        <f t="shared" si="88"/>
        <v>#DIV/0!</v>
      </c>
      <c r="BS62" s="79"/>
      <c r="BU62" s="921">
        <f t="shared" si="30"/>
        <v>0</v>
      </c>
    </row>
    <row r="63" spans="1:73" ht="82.8" x14ac:dyDescent="0.25">
      <c r="A63" s="237"/>
      <c r="B63" s="615" t="s">
        <v>35</v>
      </c>
      <c r="C63" s="113">
        <v>17280</v>
      </c>
      <c r="D63" s="119"/>
      <c r="E63" s="120">
        <f t="shared" si="70"/>
        <v>17280</v>
      </c>
      <c r="F63" s="178">
        <f t="shared" si="89"/>
        <v>9.8493403967984386E-4</v>
      </c>
      <c r="G63" s="78">
        <v>2329.75</v>
      </c>
      <c r="H63" s="161">
        <v>1500</v>
      </c>
      <c r="I63" s="41">
        <f t="shared" si="71"/>
        <v>3829.75</v>
      </c>
      <c r="J63" s="178">
        <f t="shared" si="90"/>
        <v>5.338613763825154E-3</v>
      </c>
      <c r="K63" s="291" t="s">
        <v>390</v>
      </c>
      <c r="L63" s="210"/>
      <c r="M63" s="210"/>
      <c r="N63" s="106">
        <f t="shared" si="72"/>
        <v>0</v>
      </c>
      <c r="O63" s="178">
        <f t="shared" si="67"/>
        <v>0</v>
      </c>
      <c r="P63" s="79"/>
      <c r="Q63" s="470">
        <v>2483.35</v>
      </c>
      <c r="R63" s="210"/>
      <c r="S63" s="106">
        <f t="shared" si="73"/>
        <v>2483.35</v>
      </c>
      <c r="T63" s="178">
        <f t="shared" si="74"/>
        <v>6.0464372020796377E-4</v>
      </c>
      <c r="U63" s="415" t="s">
        <v>580</v>
      </c>
      <c r="V63" s="210">
        <v>2483.35</v>
      </c>
      <c r="W63" s="210">
        <v>2300</v>
      </c>
      <c r="X63" s="106">
        <f t="shared" si="75"/>
        <v>4783.3500000000004</v>
      </c>
      <c r="Y63" s="178">
        <f t="shared" si="76"/>
        <v>7.8126979149285554E-4</v>
      </c>
      <c r="Z63" s="388" t="s">
        <v>655</v>
      </c>
      <c r="AA63" s="210">
        <f>12955.2/2</f>
        <v>6477.6</v>
      </c>
      <c r="AB63" s="210"/>
      <c r="AC63" s="106">
        <f t="shared" si="77"/>
        <v>6477.6</v>
      </c>
      <c r="AD63" s="178">
        <f t="shared" si="91"/>
        <v>1.7205182053724865E-3</v>
      </c>
      <c r="AE63" s="388" t="s">
        <v>728</v>
      </c>
      <c r="AF63" s="210">
        <v>3492</v>
      </c>
      <c r="AG63" s="210"/>
      <c r="AH63" s="106">
        <f t="shared" si="78"/>
        <v>3492</v>
      </c>
      <c r="AI63" s="450">
        <f t="shared" si="68"/>
        <v>2.3237060185958051E-3</v>
      </c>
      <c r="AJ63" s="388" t="s">
        <v>778</v>
      </c>
      <c r="AK63" s="210">
        <v>4325.3900000000003</v>
      </c>
      <c r="AL63" s="210">
        <f>280+936</f>
        <v>1216</v>
      </c>
      <c r="AM63" s="446">
        <f t="shared" si="79"/>
        <v>5541.39</v>
      </c>
      <c r="AN63" s="450" t="e">
        <f t="shared" si="69"/>
        <v>#DIV/0!</v>
      </c>
      <c r="AO63" s="388" t="s">
        <v>850</v>
      </c>
      <c r="AP63" s="210"/>
      <c r="AQ63" s="210"/>
      <c r="AR63" s="446">
        <f t="shared" si="80"/>
        <v>0</v>
      </c>
      <c r="AS63" s="450" t="e">
        <f t="shared" si="7"/>
        <v>#DIV/0!</v>
      </c>
      <c r="AT63" s="388"/>
      <c r="AU63" s="210"/>
      <c r="AV63" s="210"/>
      <c r="AW63" s="446">
        <f t="shared" si="81"/>
        <v>0</v>
      </c>
      <c r="AX63" s="450">
        <f t="shared" si="8"/>
        <v>0</v>
      </c>
      <c r="AY63" s="388"/>
      <c r="AZ63" s="210"/>
      <c r="BA63" s="210">
        <v>300</v>
      </c>
      <c r="BB63" s="446">
        <f t="shared" si="82"/>
        <v>300</v>
      </c>
      <c r="BC63" s="450" t="e">
        <f t="shared" si="44"/>
        <v>#DIV/0!</v>
      </c>
      <c r="BD63" s="388" t="s">
        <v>913</v>
      </c>
      <c r="BE63" s="210"/>
      <c r="BF63" s="210"/>
      <c r="BG63" s="446">
        <f t="shared" si="83"/>
        <v>0</v>
      </c>
      <c r="BH63" s="450" t="e">
        <f t="shared" si="45"/>
        <v>#DIV/0!</v>
      </c>
      <c r="BI63" s="388"/>
      <c r="BJ63" s="39"/>
      <c r="BK63" s="39"/>
      <c r="BL63" s="446">
        <f t="shared" si="84"/>
        <v>0</v>
      </c>
      <c r="BM63" s="450" t="e">
        <f t="shared" si="46"/>
        <v>#DIV/0!</v>
      </c>
      <c r="BN63" s="388"/>
      <c r="BO63" s="39">
        <f t="shared" si="85"/>
        <v>21591.440000000002</v>
      </c>
      <c r="BP63" s="39">
        <f t="shared" si="86"/>
        <v>5316</v>
      </c>
      <c r="BQ63" s="106">
        <f t="shared" si="87"/>
        <v>26907.440000000002</v>
      </c>
      <c r="BR63" s="178" t="e">
        <f t="shared" si="88"/>
        <v>#DIV/0!</v>
      </c>
      <c r="BS63" s="79"/>
      <c r="BT63" s="77">
        <v>37004</v>
      </c>
      <c r="BU63" s="921">
        <f t="shared" si="30"/>
        <v>-10096.559999999998</v>
      </c>
    </row>
    <row r="64" spans="1:73" ht="13.8" x14ac:dyDescent="0.25">
      <c r="A64" s="237"/>
      <c r="B64" s="615" t="s">
        <v>63</v>
      </c>
      <c r="C64" s="113"/>
      <c r="D64" s="119"/>
      <c r="E64" s="120">
        <f t="shared" si="70"/>
        <v>0</v>
      </c>
      <c r="F64" s="178">
        <f t="shared" si="89"/>
        <v>0</v>
      </c>
      <c r="G64" s="78"/>
      <c r="H64" s="161"/>
      <c r="I64" s="41">
        <f t="shared" si="71"/>
        <v>0</v>
      </c>
      <c r="J64" s="178">
        <f t="shared" si="90"/>
        <v>0</v>
      </c>
      <c r="K64" s="291"/>
      <c r="L64" s="210"/>
      <c r="M64" s="210"/>
      <c r="N64" s="106">
        <f t="shared" si="72"/>
        <v>0</v>
      </c>
      <c r="O64" s="178">
        <f t="shared" si="67"/>
        <v>0</v>
      </c>
      <c r="P64" s="79"/>
      <c r="Q64" s="210"/>
      <c r="R64" s="210"/>
      <c r="S64" s="106">
        <f t="shared" si="73"/>
        <v>0</v>
      </c>
      <c r="T64" s="178">
        <f t="shared" si="74"/>
        <v>0</v>
      </c>
      <c r="U64" s="259"/>
      <c r="V64" s="210"/>
      <c r="W64" s="210"/>
      <c r="X64" s="106">
        <f t="shared" si="75"/>
        <v>0</v>
      </c>
      <c r="Y64" s="178">
        <f t="shared" si="76"/>
        <v>0</v>
      </c>
      <c r="Z64" s="259"/>
      <c r="AA64" s="210"/>
      <c r="AB64" s="210"/>
      <c r="AC64" s="106">
        <f t="shared" si="77"/>
        <v>0</v>
      </c>
      <c r="AD64" s="178">
        <f t="shared" si="91"/>
        <v>0</v>
      </c>
      <c r="AE64" s="259"/>
      <c r="AF64" s="210"/>
      <c r="AG64" s="210"/>
      <c r="AH64" s="106">
        <f t="shared" si="78"/>
        <v>0</v>
      </c>
      <c r="AI64" s="450">
        <f t="shared" si="68"/>
        <v>0</v>
      </c>
      <c r="AJ64" s="259"/>
      <c r="AK64" s="210"/>
      <c r="AL64" s="210"/>
      <c r="AM64" s="446">
        <f t="shared" si="79"/>
        <v>0</v>
      </c>
      <c r="AN64" s="450" t="e">
        <f t="shared" si="69"/>
        <v>#DIV/0!</v>
      </c>
      <c r="AO64" s="259"/>
      <c r="AP64" s="210"/>
      <c r="AQ64" s="210"/>
      <c r="AR64" s="446">
        <f t="shared" si="80"/>
        <v>0</v>
      </c>
      <c r="AS64" s="450" t="e">
        <f t="shared" si="7"/>
        <v>#DIV/0!</v>
      </c>
      <c r="AT64" s="259"/>
      <c r="AU64" s="210"/>
      <c r="AV64" s="210"/>
      <c r="AW64" s="446">
        <f t="shared" si="81"/>
        <v>0</v>
      </c>
      <c r="AX64" s="450">
        <f t="shared" si="8"/>
        <v>0</v>
      </c>
      <c r="AY64" s="259"/>
      <c r="AZ64" s="210"/>
      <c r="BA64" s="210"/>
      <c r="BB64" s="446">
        <f t="shared" si="82"/>
        <v>0</v>
      </c>
      <c r="BC64" s="450" t="e">
        <f t="shared" si="44"/>
        <v>#DIV/0!</v>
      </c>
      <c r="BD64" s="259"/>
      <c r="BE64" s="210"/>
      <c r="BF64" s="210"/>
      <c r="BG64" s="446">
        <f t="shared" si="83"/>
        <v>0</v>
      </c>
      <c r="BH64" s="450" t="e">
        <f t="shared" si="45"/>
        <v>#DIV/0!</v>
      </c>
      <c r="BI64" s="259"/>
      <c r="BJ64" s="39"/>
      <c r="BK64" s="39"/>
      <c r="BL64" s="446">
        <f t="shared" si="84"/>
        <v>0</v>
      </c>
      <c r="BM64" s="450" t="e">
        <f t="shared" si="46"/>
        <v>#DIV/0!</v>
      </c>
      <c r="BN64" s="259"/>
      <c r="BO64" s="39">
        <f t="shared" si="85"/>
        <v>0</v>
      </c>
      <c r="BP64" s="39">
        <f t="shared" si="86"/>
        <v>0</v>
      </c>
      <c r="BQ64" s="106">
        <f t="shared" si="87"/>
        <v>0</v>
      </c>
      <c r="BR64" s="178" t="e">
        <f t="shared" si="88"/>
        <v>#DIV/0!</v>
      </c>
      <c r="BS64" s="79"/>
      <c r="BU64" s="921">
        <f t="shared" si="30"/>
        <v>0</v>
      </c>
    </row>
    <row r="65" spans="1:73" ht="27.6" x14ac:dyDescent="0.25">
      <c r="A65" s="237"/>
      <c r="B65" s="615" t="s">
        <v>36</v>
      </c>
      <c r="C65" s="113"/>
      <c r="D65" s="119"/>
      <c r="E65" s="120">
        <f t="shared" si="70"/>
        <v>0</v>
      </c>
      <c r="F65" s="178">
        <f t="shared" si="89"/>
        <v>0</v>
      </c>
      <c r="G65" s="78"/>
      <c r="H65" s="161"/>
      <c r="I65" s="41">
        <f t="shared" si="71"/>
        <v>0</v>
      </c>
      <c r="J65" s="342">
        <f t="shared" si="90"/>
        <v>0</v>
      </c>
      <c r="K65" s="291"/>
      <c r="L65" s="39"/>
      <c r="M65" s="39"/>
      <c r="N65" s="106">
        <f t="shared" si="72"/>
        <v>0</v>
      </c>
      <c r="O65" s="178">
        <f>N65/$N$89</f>
        <v>0</v>
      </c>
      <c r="P65" s="79"/>
      <c r="Q65" s="39"/>
      <c r="R65" s="39"/>
      <c r="S65" s="106">
        <f t="shared" si="73"/>
        <v>0</v>
      </c>
      <c r="T65" s="178">
        <f t="shared" si="74"/>
        <v>0</v>
      </c>
      <c r="U65" s="259"/>
      <c r="V65" s="39"/>
      <c r="W65" s="39"/>
      <c r="X65" s="106">
        <f t="shared" si="75"/>
        <v>0</v>
      </c>
      <c r="Y65" s="178">
        <f t="shared" si="76"/>
        <v>0</v>
      </c>
      <c r="Z65" s="259"/>
      <c r="AA65" s="39"/>
      <c r="AB65" s="39"/>
      <c r="AC65" s="106">
        <f t="shared" si="77"/>
        <v>0</v>
      </c>
      <c r="AD65" s="178">
        <f t="shared" si="91"/>
        <v>0</v>
      </c>
      <c r="AE65" s="259"/>
      <c r="AF65" s="39"/>
      <c r="AG65" s="39"/>
      <c r="AH65" s="106">
        <f t="shared" si="78"/>
        <v>0</v>
      </c>
      <c r="AI65" s="450">
        <f t="shared" si="68"/>
        <v>0</v>
      </c>
      <c r="AJ65" s="259"/>
      <c r="AK65" s="210">
        <v>1000</v>
      </c>
      <c r="AL65" s="39"/>
      <c r="AM65" s="446">
        <f t="shared" si="79"/>
        <v>1000</v>
      </c>
      <c r="AN65" s="450" t="e">
        <f t="shared" si="69"/>
        <v>#DIV/0!</v>
      </c>
      <c r="AO65" s="388" t="s">
        <v>828</v>
      </c>
      <c r="AP65" s="210"/>
      <c r="AQ65" s="39">
        <v>1400</v>
      </c>
      <c r="AR65" s="446">
        <f t="shared" si="80"/>
        <v>1400</v>
      </c>
      <c r="AS65" s="450" t="e">
        <f t="shared" si="7"/>
        <v>#DIV/0!</v>
      </c>
      <c r="AT65" s="388" t="s">
        <v>873</v>
      </c>
      <c r="AU65" s="210"/>
      <c r="AV65" s="39"/>
      <c r="AW65" s="446">
        <f t="shared" si="81"/>
        <v>0</v>
      </c>
      <c r="AX65" s="450">
        <f t="shared" si="8"/>
        <v>0</v>
      </c>
      <c r="AY65" s="388"/>
      <c r="AZ65" s="210"/>
      <c r="BA65" s="39"/>
      <c r="BB65" s="446">
        <f t="shared" si="82"/>
        <v>0</v>
      </c>
      <c r="BC65" s="450" t="e">
        <f t="shared" si="44"/>
        <v>#DIV/0!</v>
      </c>
      <c r="BD65" s="388"/>
      <c r="BE65" s="210"/>
      <c r="BF65" s="39"/>
      <c r="BG65" s="446">
        <f t="shared" si="83"/>
        <v>0</v>
      </c>
      <c r="BH65" s="450" t="e">
        <f t="shared" si="45"/>
        <v>#DIV/0!</v>
      </c>
      <c r="BI65" s="388"/>
      <c r="BJ65" s="39"/>
      <c r="BK65" s="39"/>
      <c r="BL65" s="446">
        <f t="shared" si="84"/>
        <v>0</v>
      </c>
      <c r="BM65" s="450" t="e">
        <f t="shared" si="46"/>
        <v>#DIV/0!</v>
      </c>
      <c r="BN65" s="388"/>
      <c r="BO65" s="39">
        <f t="shared" si="85"/>
        <v>1000</v>
      </c>
      <c r="BP65" s="39">
        <f t="shared" si="86"/>
        <v>1400</v>
      </c>
      <c r="BQ65" s="106">
        <f t="shared" si="87"/>
        <v>2400</v>
      </c>
      <c r="BR65" s="178" t="e">
        <f t="shared" si="88"/>
        <v>#DIV/0!</v>
      </c>
      <c r="BS65" s="79"/>
      <c r="BU65" s="921">
        <f t="shared" si="30"/>
        <v>2400</v>
      </c>
    </row>
    <row r="66" spans="1:73" s="2" customFormat="1" ht="13.8" x14ac:dyDescent="0.25">
      <c r="A66" s="237"/>
      <c r="B66" s="615" t="s">
        <v>37</v>
      </c>
      <c r="C66" s="113"/>
      <c r="D66" s="119"/>
      <c r="E66" s="120">
        <f t="shared" si="70"/>
        <v>0</v>
      </c>
      <c r="F66" s="178">
        <f t="shared" si="89"/>
        <v>0</v>
      </c>
      <c r="G66" s="78"/>
      <c r="H66" s="161"/>
      <c r="I66" s="41">
        <f t="shared" si="71"/>
        <v>0</v>
      </c>
      <c r="J66" s="178">
        <f t="shared" si="90"/>
        <v>0</v>
      </c>
      <c r="K66" s="291"/>
      <c r="L66" s="39"/>
      <c r="M66" s="39"/>
      <c r="N66" s="106">
        <f t="shared" si="72"/>
        <v>0</v>
      </c>
      <c r="O66" s="178">
        <f t="shared" si="67"/>
        <v>0</v>
      </c>
      <c r="P66" s="79"/>
      <c r="Q66" s="39"/>
      <c r="R66" s="39"/>
      <c r="S66" s="106">
        <f t="shared" si="73"/>
        <v>0</v>
      </c>
      <c r="T66" s="178">
        <f t="shared" si="74"/>
        <v>0</v>
      </c>
      <c r="U66" s="259"/>
      <c r="V66" s="39"/>
      <c r="W66" s="39"/>
      <c r="X66" s="106">
        <f t="shared" si="75"/>
        <v>0</v>
      </c>
      <c r="Y66" s="178">
        <f t="shared" si="76"/>
        <v>0</v>
      </c>
      <c r="Z66" s="259"/>
      <c r="AA66" s="39"/>
      <c r="AB66" s="39"/>
      <c r="AC66" s="106">
        <f t="shared" si="77"/>
        <v>0</v>
      </c>
      <c r="AD66" s="178">
        <f t="shared" si="91"/>
        <v>0</v>
      </c>
      <c r="AE66" s="259"/>
      <c r="AF66" s="39"/>
      <c r="AG66" s="39"/>
      <c r="AH66" s="106">
        <f t="shared" si="78"/>
        <v>0</v>
      </c>
      <c r="AI66" s="450">
        <f t="shared" si="68"/>
        <v>0</v>
      </c>
      <c r="AJ66" s="259"/>
      <c r="AK66" s="39"/>
      <c r="AL66" s="39"/>
      <c r="AM66" s="446">
        <f t="shared" si="79"/>
        <v>0</v>
      </c>
      <c r="AN66" s="450" t="e">
        <f t="shared" si="69"/>
        <v>#DIV/0!</v>
      </c>
      <c r="AO66" s="259"/>
      <c r="AP66" s="39"/>
      <c r="AQ66" s="39"/>
      <c r="AR66" s="446">
        <f t="shared" si="80"/>
        <v>0</v>
      </c>
      <c r="AS66" s="450" t="e">
        <f t="shared" si="7"/>
        <v>#DIV/0!</v>
      </c>
      <c r="AT66" s="259"/>
      <c r="AU66" s="39"/>
      <c r="AV66" s="39"/>
      <c r="AW66" s="446">
        <f t="shared" si="81"/>
        <v>0</v>
      </c>
      <c r="AX66" s="450">
        <f t="shared" si="8"/>
        <v>0</v>
      </c>
      <c r="AY66" s="259"/>
      <c r="AZ66" s="39"/>
      <c r="BA66" s="39"/>
      <c r="BB66" s="446">
        <f t="shared" si="82"/>
        <v>0</v>
      </c>
      <c r="BC66" s="450" t="e">
        <f t="shared" si="44"/>
        <v>#DIV/0!</v>
      </c>
      <c r="BD66" s="259"/>
      <c r="BE66" s="39"/>
      <c r="BF66" s="39"/>
      <c r="BG66" s="446">
        <f t="shared" si="83"/>
        <v>0</v>
      </c>
      <c r="BH66" s="450" t="e">
        <f t="shared" si="45"/>
        <v>#DIV/0!</v>
      </c>
      <c r="BI66" s="259"/>
      <c r="BJ66" s="39"/>
      <c r="BK66" s="39"/>
      <c r="BL66" s="446">
        <f t="shared" si="84"/>
        <v>0</v>
      </c>
      <c r="BM66" s="450" t="e">
        <f t="shared" si="46"/>
        <v>#DIV/0!</v>
      </c>
      <c r="BN66" s="259"/>
      <c r="BO66" s="39">
        <f t="shared" si="85"/>
        <v>0</v>
      </c>
      <c r="BP66" s="39">
        <f t="shared" si="86"/>
        <v>0</v>
      </c>
      <c r="BQ66" s="106">
        <f t="shared" si="87"/>
        <v>0</v>
      </c>
      <c r="BR66" s="178" t="e">
        <f t="shared" si="88"/>
        <v>#DIV/0!</v>
      </c>
      <c r="BS66" s="79"/>
      <c r="BT66" s="919"/>
      <c r="BU66" s="921">
        <f t="shared" si="30"/>
        <v>0</v>
      </c>
    </row>
    <row r="67" spans="1:73" s="2" customFormat="1" ht="27.6" x14ac:dyDescent="0.25">
      <c r="A67" s="237"/>
      <c r="B67" s="615" t="s">
        <v>3</v>
      </c>
      <c r="C67" s="113"/>
      <c r="D67" s="119"/>
      <c r="E67" s="120">
        <f t="shared" si="70"/>
        <v>0</v>
      </c>
      <c r="F67" s="178">
        <f t="shared" si="89"/>
        <v>0</v>
      </c>
      <c r="G67" s="78"/>
      <c r="H67" s="161"/>
      <c r="I67" s="41">
        <f t="shared" si="71"/>
        <v>0</v>
      </c>
      <c r="J67" s="178">
        <f t="shared" si="90"/>
        <v>0</v>
      </c>
      <c r="K67" s="291"/>
      <c r="L67" s="39"/>
      <c r="M67" s="39"/>
      <c r="N67" s="106">
        <f t="shared" si="72"/>
        <v>0</v>
      </c>
      <c r="O67" s="178">
        <f t="shared" si="67"/>
        <v>0</v>
      </c>
      <c r="P67" s="79"/>
      <c r="Q67" s="39"/>
      <c r="R67" s="39"/>
      <c r="S67" s="106">
        <f t="shared" si="73"/>
        <v>0</v>
      </c>
      <c r="T67" s="178">
        <f t="shared" si="74"/>
        <v>0</v>
      </c>
      <c r="U67" s="259"/>
      <c r="V67" s="39"/>
      <c r="W67" s="39"/>
      <c r="X67" s="106">
        <f t="shared" si="75"/>
        <v>0</v>
      </c>
      <c r="Y67" s="178">
        <f t="shared" si="76"/>
        <v>0</v>
      </c>
      <c r="Z67" s="259"/>
      <c r="AA67" s="39"/>
      <c r="AB67" s="39"/>
      <c r="AC67" s="106">
        <f t="shared" si="77"/>
        <v>0</v>
      </c>
      <c r="AD67" s="178">
        <f t="shared" si="91"/>
        <v>0</v>
      </c>
      <c r="AE67" s="259"/>
      <c r="AF67" s="39"/>
      <c r="AG67" s="39"/>
      <c r="AH67" s="106">
        <f t="shared" si="78"/>
        <v>0</v>
      </c>
      <c r="AI67" s="450">
        <f t="shared" si="68"/>
        <v>0</v>
      </c>
      <c r="AJ67" s="259"/>
      <c r="AK67" s="39"/>
      <c r="AL67" s="39">
        <v>1500</v>
      </c>
      <c r="AM67" s="446">
        <f t="shared" si="79"/>
        <v>1500</v>
      </c>
      <c r="AN67" s="450" t="e">
        <f t="shared" si="69"/>
        <v>#DIV/0!</v>
      </c>
      <c r="AO67" s="388" t="s">
        <v>822</v>
      </c>
      <c r="AP67" s="39"/>
      <c r="AQ67" s="39"/>
      <c r="AR67" s="446">
        <f t="shared" si="80"/>
        <v>0</v>
      </c>
      <c r="AS67" s="450" t="e">
        <f t="shared" si="7"/>
        <v>#DIV/0!</v>
      </c>
      <c r="AT67" s="388"/>
      <c r="AU67" s="39"/>
      <c r="AV67" s="39"/>
      <c r="AW67" s="446">
        <f t="shared" si="81"/>
        <v>0</v>
      </c>
      <c r="AX67" s="450">
        <f t="shared" si="8"/>
        <v>0</v>
      </c>
      <c r="AY67" s="388"/>
      <c r="AZ67" s="39"/>
      <c r="BA67" s="39"/>
      <c r="BB67" s="446">
        <f t="shared" si="82"/>
        <v>0</v>
      </c>
      <c r="BC67" s="450" t="e">
        <f t="shared" si="44"/>
        <v>#DIV/0!</v>
      </c>
      <c r="BD67" s="388"/>
      <c r="BE67" s="39"/>
      <c r="BF67" s="39"/>
      <c r="BG67" s="446">
        <f t="shared" si="83"/>
        <v>0</v>
      </c>
      <c r="BH67" s="450" t="e">
        <f t="shared" si="45"/>
        <v>#DIV/0!</v>
      </c>
      <c r="BI67" s="388"/>
      <c r="BJ67" s="39"/>
      <c r="BK67" s="39"/>
      <c r="BL67" s="446">
        <f t="shared" si="84"/>
        <v>0</v>
      </c>
      <c r="BM67" s="450" t="e">
        <f t="shared" si="46"/>
        <v>#DIV/0!</v>
      </c>
      <c r="BN67" s="388"/>
      <c r="BO67" s="39">
        <f t="shared" si="85"/>
        <v>0</v>
      </c>
      <c r="BP67" s="39">
        <f t="shared" si="86"/>
        <v>1500</v>
      </c>
      <c r="BQ67" s="106">
        <f t="shared" si="87"/>
        <v>1500</v>
      </c>
      <c r="BR67" s="178" t="e">
        <f t="shared" si="88"/>
        <v>#DIV/0!</v>
      </c>
      <c r="BS67" s="79"/>
      <c r="BT67" s="919"/>
      <c r="BU67" s="921">
        <f t="shared" si="30"/>
        <v>1500</v>
      </c>
    </row>
    <row r="68" spans="1:73" s="2" customFormat="1" ht="13.8" x14ac:dyDescent="0.25">
      <c r="A68" s="237"/>
      <c r="B68" s="615" t="s">
        <v>5</v>
      </c>
      <c r="C68" s="113"/>
      <c r="D68" s="119"/>
      <c r="E68" s="120">
        <f t="shared" si="70"/>
        <v>0</v>
      </c>
      <c r="F68" s="178">
        <f t="shared" si="89"/>
        <v>0</v>
      </c>
      <c r="G68" s="78"/>
      <c r="H68" s="362"/>
      <c r="I68" s="41">
        <f t="shared" si="71"/>
        <v>0</v>
      </c>
      <c r="J68" s="178">
        <f t="shared" si="90"/>
        <v>0</v>
      </c>
      <c r="K68" s="291"/>
      <c r="L68" s="39"/>
      <c r="M68" s="39"/>
      <c r="N68" s="106">
        <f t="shared" si="72"/>
        <v>0</v>
      </c>
      <c r="O68" s="178">
        <f t="shared" si="67"/>
        <v>0</v>
      </c>
      <c r="P68" s="79"/>
      <c r="Q68" s="39"/>
      <c r="R68" s="39">
        <v>26.84</v>
      </c>
      <c r="S68" s="106">
        <f t="shared" si="73"/>
        <v>26.84</v>
      </c>
      <c r="T68" s="178">
        <f t="shared" si="74"/>
        <v>6.53497793318773E-6</v>
      </c>
      <c r="U68" s="39" t="s">
        <v>603</v>
      </c>
      <c r="V68" s="39"/>
      <c r="W68" s="39">
        <v>258</v>
      </c>
      <c r="X68" s="106">
        <f t="shared" si="75"/>
        <v>258</v>
      </c>
      <c r="Y68" s="178">
        <f t="shared" si="76"/>
        <v>4.2139422414240377E-5</v>
      </c>
      <c r="Z68" s="39" t="s">
        <v>656</v>
      </c>
      <c r="AA68" s="39"/>
      <c r="AB68" s="39"/>
      <c r="AC68" s="106">
        <f t="shared" si="77"/>
        <v>0</v>
      </c>
      <c r="AD68" s="178">
        <f t="shared" si="91"/>
        <v>0</v>
      </c>
      <c r="AE68" s="39"/>
      <c r="AF68" s="39"/>
      <c r="AG68" s="39">
        <v>100</v>
      </c>
      <c r="AH68" s="106">
        <f t="shared" si="78"/>
        <v>100</v>
      </c>
      <c r="AI68" s="450">
        <f t="shared" si="68"/>
        <v>6.654370041797838E-5</v>
      </c>
      <c r="AJ68" s="39"/>
      <c r="AK68" s="39"/>
      <c r="AL68" s="39">
        <v>100.3</v>
      </c>
      <c r="AM68" s="446">
        <f t="shared" si="79"/>
        <v>100.3</v>
      </c>
      <c r="AN68" s="450" t="e">
        <f t="shared" si="69"/>
        <v>#DIV/0!</v>
      </c>
      <c r="AO68" s="39"/>
      <c r="AP68" s="39"/>
      <c r="AQ68" s="39">
        <v>9.4600000000000009</v>
      </c>
      <c r="AR68" s="446">
        <f t="shared" si="80"/>
        <v>9.4600000000000009</v>
      </c>
      <c r="AS68" s="450" t="e">
        <f t="shared" si="7"/>
        <v>#DIV/0!</v>
      </c>
      <c r="AT68" s="39"/>
      <c r="AU68" s="39"/>
      <c r="AV68" s="39"/>
      <c r="AW68" s="446">
        <f t="shared" si="81"/>
        <v>0</v>
      </c>
      <c r="AX68" s="450">
        <f t="shared" si="8"/>
        <v>0</v>
      </c>
      <c r="AY68" s="39"/>
      <c r="AZ68" s="39"/>
      <c r="BA68" s="39"/>
      <c r="BB68" s="446">
        <f t="shared" si="82"/>
        <v>0</v>
      </c>
      <c r="BC68" s="450" t="e">
        <f t="shared" si="44"/>
        <v>#DIV/0!</v>
      </c>
      <c r="BD68" s="39"/>
      <c r="BE68" s="39"/>
      <c r="BF68" s="39"/>
      <c r="BG68" s="446">
        <f t="shared" si="83"/>
        <v>0</v>
      </c>
      <c r="BH68" s="450" t="e">
        <f t="shared" si="45"/>
        <v>#DIV/0!</v>
      </c>
      <c r="BI68" s="39"/>
      <c r="BJ68" s="39"/>
      <c r="BK68" s="39"/>
      <c r="BL68" s="446">
        <f t="shared" si="84"/>
        <v>0</v>
      </c>
      <c r="BM68" s="450" t="e">
        <f t="shared" si="46"/>
        <v>#DIV/0!</v>
      </c>
      <c r="BN68" s="39"/>
      <c r="BO68" s="39">
        <f t="shared" si="85"/>
        <v>0</v>
      </c>
      <c r="BP68" s="39">
        <f t="shared" si="86"/>
        <v>494.59999999999997</v>
      </c>
      <c r="BQ68" s="106">
        <f t="shared" si="87"/>
        <v>494.59999999999997</v>
      </c>
      <c r="BR68" s="178" t="e">
        <f t="shared" si="88"/>
        <v>#DIV/0!</v>
      </c>
      <c r="BS68" s="79"/>
      <c r="BT68" s="919">
        <v>495</v>
      </c>
      <c r="BU68" s="921">
        <f t="shared" si="30"/>
        <v>-0.40000000000003411</v>
      </c>
    </row>
    <row r="69" spans="1:73" s="2" customFormat="1" ht="96.6" x14ac:dyDescent="0.25">
      <c r="A69" s="237"/>
      <c r="B69" s="615" t="s">
        <v>42</v>
      </c>
      <c r="C69" s="113">
        <v>16700</v>
      </c>
      <c r="D69" s="119">
        <v>4800</v>
      </c>
      <c r="E69" s="120">
        <f t="shared" si="70"/>
        <v>21500</v>
      </c>
      <c r="F69" s="178">
        <f t="shared" si="89"/>
        <v>1.2254676998331392E-3</v>
      </c>
      <c r="G69" s="78">
        <v>17720</v>
      </c>
      <c r="H69" s="161"/>
      <c r="I69" s="41">
        <f t="shared" si="71"/>
        <v>17720</v>
      </c>
      <c r="J69" s="178">
        <f t="shared" si="90"/>
        <v>2.4701412858536911E-2</v>
      </c>
      <c r="K69" s="291" t="s">
        <v>387</v>
      </c>
      <c r="L69" s="39"/>
      <c r="M69" s="39"/>
      <c r="N69" s="106">
        <f t="shared" si="72"/>
        <v>0</v>
      </c>
      <c r="O69" s="178">
        <f t="shared" si="67"/>
        <v>0</v>
      </c>
      <c r="P69" s="79"/>
      <c r="Q69" s="39">
        <v>2740</v>
      </c>
      <c r="R69" s="39"/>
      <c r="S69" s="106">
        <f t="shared" si="73"/>
        <v>2740</v>
      </c>
      <c r="T69" s="178">
        <f t="shared" si="74"/>
        <v>6.6713262060113187E-4</v>
      </c>
      <c r="U69" s="418" t="s">
        <v>585</v>
      </c>
      <c r="V69" s="39">
        <f>1700*1.2+1400</f>
        <v>3440</v>
      </c>
      <c r="W69" s="39"/>
      <c r="X69" s="106">
        <f t="shared" si="75"/>
        <v>3440</v>
      </c>
      <c r="Y69" s="178">
        <f t="shared" si="76"/>
        <v>5.6185896552320505E-4</v>
      </c>
      <c r="Z69" s="388" t="s">
        <v>666</v>
      </c>
      <c r="AA69" s="39"/>
      <c r="AB69" s="39"/>
      <c r="AC69" s="106">
        <f t="shared" si="77"/>
        <v>0</v>
      </c>
      <c r="AD69" s="178">
        <f t="shared" si="91"/>
        <v>0</v>
      </c>
      <c r="AE69" s="388"/>
      <c r="AF69" s="39"/>
      <c r="AG69" s="39"/>
      <c r="AH69" s="106">
        <f t="shared" si="78"/>
        <v>0</v>
      </c>
      <c r="AI69" s="450">
        <f t="shared" si="68"/>
        <v>0</v>
      </c>
      <c r="AJ69" s="388"/>
      <c r="AK69" s="39"/>
      <c r="AL69" s="39"/>
      <c r="AM69" s="446">
        <f t="shared" si="79"/>
        <v>0</v>
      </c>
      <c r="AN69" s="450" t="e">
        <f t="shared" si="69"/>
        <v>#DIV/0!</v>
      </c>
      <c r="AO69" s="388"/>
      <c r="AP69" s="39"/>
      <c r="AQ69" s="39"/>
      <c r="AR69" s="446">
        <f t="shared" si="80"/>
        <v>0</v>
      </c>
      <c r="AS69" s="450" t="e">
        <f t="shared" si="7"/>
        <v>#DIV/0!</v>
      </c>
      <c r="AT69" s="388"/>
      <c r="AU69" s="39"/>
      <c r="AV69" s="39"/>
      <c r="AW69" s="446">
        <f t="shared" si="81"/>
        <v>0</v>
      </c>
      <c r="AX69" s="450">
        <f t="shared" si="8"/>
        <v>0</v>
      </c>
      <c r="AY69" s="388"/>
      <c r="AZ69" s="39"/>
      <c r="BA69" s="39"/>
      <c r="BB69" s="446">
        <f t="shared" si="82"/>
        <v>0</v>
      </c>
      <c r="BC69" s="450" t="e">
        <f t="shared" si="44"/>
        <v>#DIV/0!</v>
      </c>
      <c r="BD69" s="388"/>
      <c r="BE69" s="39"/>
      <c r="BF69" s="39"/>
      <c r="BG69" s="446">
        <f t="shared" si="83"/>
        <v>0</v>
      </c>
      <c r="BH69" s="450" t="e">
        <f t="shared" si="45"/>
        <v>#DIV/0!</v>
      </c>
      <c r="BI69" s="388"/>
      <c r="BJ69" s="39"/>
      <c r="BK69" s="39"/>
      <c r="BL69" s="446">
        <f t="shared" si="84"/>
        <v>0</v>
      </c>
      <c r="BM69" s="450" t="e">
        <f t="shared" si="46"/>
        <v>#DIV/0!</v>
      </c>
      <c r="BN69" s="388"/>
      <c r="BO69" s="39">
        <f t="shared" si="85"/>
        <v>23900</v>
      </c>
      <c r="BP69" s="39">
        <f t="shared" si="86"/>
        <v>0</v>
      </c>
      <c r="BQ69" s="106">
        <f t="shared" si="87"/>
        <v>23900</v>
      </c>
      <c r="BR69" s="178" t="e">
        <f t="shared" si="88"/>
        <v>#DIV/0!</v>
      </c>
      <c r="BS69" s="79"/>
      <c r="BT69" s="919">
        <f>23360</f>
        <v>23360</v>
      </c>
      <c r="BU69" s="921">
        <f t="shared" si="30"/>
        <v>540</v>
      </c>
    </row>
    <row r="70" spans="1:73" s="2" customFormat="1" ht="13.8" x14ac:dyDescent="0.25">
      <c r="A70" s="237"/>
      <c r="B70" s="615" t="s">
        <v>6</v>
      </c>
      <c r="C70" s="129"/>
      <c r="D70" s="128"/>
      <c r="E70" s="120">
        <f t="shared" si="70"/>
        <v>0</v>
      </c>
      <c r="F70" s="178">
        <f t="shared" si="89"/>
        <v>0</v>
      </c>
      <c r="G70" s="78"/>
      <c r="H70" s="161">
        <v>1800</v>
      </c>
      <c r="I70" s="41">
        <f t="shared" si="71"/>
        <v>1800</v>
      </c>
      <c r="J70" s="178">
        <f t="shared" si="90"/>
        <v>2.5091728637339976E-3</v>
      </c>
      <c r="K70" s="291" t="s">
        <v>385</v>
      </c>
      <c r="L70" s="39"/>
      <c r="M70" s="39"/>
      <c r="N70" s="106">
        <f t="shared" si="72"/>
        <v>0</v>
      </c>
      <c r="O70" s="178">
        <f t="shared" si="67"/>
        <v>0</v>
      </c>
      <c r="P70" s="79"/>
      <c r="Q70" s="39"/>
      <c r="R70" s="39"/>
      <c r="S70" s="106">
        <f t="shared" si="73"/>
        <v>0</v>
      </c>
      <c r="T70" s="178">
        <f t="shared" si="74"/>
        <v>0</v>
      </c>
      <c r="U70" s="259"/>
      <c r="V70" s="39"/>
      <c r="W70" s="39"/>
      <c r="X70" s="106">
        <f t="shared" si="75"/>
        <v>0</v>
      </c>
      <c r="Y70" s="178">
        <f t="shared" si="76"/>
        <v>0</v>
      </c>
      <c r="Z70" s="259"/>
      <c r="AA70" s="39"/>
      <c r="AB70" s="39"/>
      <c r="AC70" s="106">
        <f t="shared" si="77"/>
        <v>0</v>
      </c>
      <c r="AD70" s="178">
        <f t="shared" si="91"/>
        <v>0</v>
      </c>
      <c r="AE70" s="259"/>
      <c r="AF70" s="39"/>
      <c r="AG70" s="39"/>
      <c r="AH70" s="106">
        <f t="shared" si="78"/>
        <v>0</v>
      </c>
      <c r="AI70" s="450">
        <f t="shared" si="68"/>
        <v>0</v>
      </c>
      <c r="AJ70" s="259"/>
      <c r="AK70" s="39"/>
      <c r="AL70" s="39"/>
      <c r="AM70" s="446">
        <f t="shared" si="79"/>
        <v>0</v>
      </c>
      <c r="AN70" s="450" t="e">
        <f t="shared" si="69"/>
        <v>#DIV/0!</v>
      </c>
      <c r="AO70" s="259"/>
      <c r="AP70" s="39"/>
      <c r="AQ70" s="39"/>
      <c r="AR70" s="446">
        <f t="shared" si="80"/>
        <v>0</v>
      </c>
      <c r="AS70" s="450" t="e">
        <f t="shared" si="7"/>
        <v>#DIV/0!</v>
      </c>
      <c r="AT70" s="259"/>
      <c r="AU70" s="39"/>
      <c r="AV70" s="39"/>
      <c r="AW70" s="446">
        <f t="shared" si="81"/>
        <v>0</v>
      </c>
      <c r="AX70" s="450">
        <f t="shared" si="8"/>
        <v>0</v>
      </c>
      <c r="AY70" s="259"/>
      <c r="AZ70" s="39"/>
      <c r="BA70" s="39"/>
      <c r="BB70" s="446">
        <f t="shared" si="82"/>
        <v>0</v>
      </c>
      <c r="BC70" s="450" t="e">
        <f t="shared" si="44"/>
        <v>#DIV/0!</v>
      </c>
      <c r="BD70" s="259"/>
      <c r="BE70" s="39"/>
      <c r="BF70" s="39"/>
      <c r="BG70" s="446">
        <f t="shared" si="83"/>
        <v>0</v>
      </c>
      <c r="BH70" s="450" t="e">
        <f t="shared" si="45"/>
        <v>#DIV/0!</v>
      </c>
      <c r="BI70" s="259"/>
      <c r="BJ70" s="39"/>
      <c r="BK70" s="39"/>
      <c r="BL70" s="446">
        <f t="shared" si="84"/>
        <v>0</v>
      </c>
      <c r="BM70" s="450" t="e">
        <f t="shared" si="46"/>
        <v>#DIV/0!</v>
      </c>
      <c r="BN70" s="259"/>
      <c r="BO70" s="39">
        <f t="shared" si="85"/>
        <v>0</v>
      </c>
      <c r="BP70" s="39">
        <f t="shared" si="86"/>
        <v>1800</v>
      </c>
      <c r="BQ70" s="106">
        <f t="shared" si="87"/>
        <v>1800</v>
      </c>
      <c r="BR70" s="178" t="e">
        <f t="shared" si="88"/>
        <v>#DIV/0!</v>
      </c>
      <c r="BS70" s="79"/>
      <c r="BT70" s="919">
        <v>1800</v>
      </c>
      <c r="BU70" s="921">
        <f t="shared" si="30"/>
        <v>0</v>
      </c>
    </row>
    <row r="71" spans="1:73" s="2" customFormat="1" ht="27.6" x14ac:dyDescent="0.25">
      <c r="A71" s="237"/>
      <c r="B71" s="19" t="s">
        <v>801</v>
      </c>
      <c r="C71" s="129"/>
      <c r="D71" s="128"/>
      <c r="E71" s="120">
        <f t="shared" si="70"/>
        <v>0</v>
      </c>
      <c r="F71" s="184">
        <f t="shared" si="89"/>
        <v>0</v>
      </c>
      <c r="G71" s="78"/>
      <c r="H71" s="161"/>
      <c r="I71" s="41">
        <f t="shared" si="71"/>
        <v>0</v>
      </c>
      <c r="J71" s="178">
        <f t="shared" si="90"/>
        <v>0</v>
      </c>
      <c r="K71" s="291"/>
      <c r="L71" s="39"/>
      <c r="M71" s="39"/>
      <c r="N71" s="106">
        <f t="shared" si="72"/>
        <v>0</v>
      </c>
      <c r="O71" s="178">
        <f t="shared" si="67"/>
        <v>0</v>
      </c>
      <c r="P71" s="79"/>
      <c r="Q71" s="39"/>
      <c r="R71" s="39"/>
      <c r="S71" s="106">
        <f t="shared" si="73"/>
        <v>0</v>
      </c>
      <c r="T71" s="178">
        <f t="shared" si="74"/>
        <v>0</v>
      </c>
      <c r="U71" s="259"/>
      <c r="V71" s="39"/>
      <c r="W71" s="39"/>
      <c r="X71" s="106">
        <f t="shared" si="75"/>
        <v>0</v>
      </c>
      <c r="Y71" s="178">
        <f t="shared" si="76"/>
        <v>0</v>
      </c>
      <c r="Z71" s="259"/>
      <c r="AA71" s="39"/>
      <c r="AB71" s="39"/>
      <c r="AC71" s="106">
        <f t="shared" si="77"/>
        <v>0</v>
      </c>
      <c r="AD71" s="178">
        <f t="shared" si="91"/>
        <v>0</v>
      </c>
      <c r="AE71" s="259"/>
      <c r="AF71" s="39"/>
      <c r="AG71" s="39">
        <v>5000</v>
      </c>
      <c r="AH71" s="106">
        <f t="shared" si="78"/>
        <v>5000</v>
      </c>
      <c r="AI71" s="450">
        <f t="shared" si="68"/>
        <v>3.3271850208989187E-3</v>
      </c>
      <c r="AJ71" s="388" t="s">
        <v>802</v>
      </c>
      <c r="AK71" s="39"/>
      <c r="AL71" s="39"/>
      <c r="AM71" s="446">
        <f t="shared" si="79"/>
        <v>0</v>
      </c>
      <c r="AN71" s="450" t="e">
        <f t="shared" si="69"/>
        <v>#DIV/0!</v>
      </c>
      <c r="AO71" s="388"/>
      <c r="AP71" s="39"/>
      <c r="AQ71" s="39"/>
      <c r="AR71" s="446">
        <f t="shared" si="80"/>
        <v>0</v>
      </c>
      <c r="AS71" s="450" t="e">
        <f t="shared" si="7"/>
        <v>#DIV/0!</v>
      </c>
      <c r="AT71" s="388"/>
      <c r="AU71" s="39"/>
      <c r="AV71" s="39"/>
      <c r="AW71" s="446">
        <f t="shared" si="81"/>
        <v>0</v>
      </c>
      <c r="AX71" s="450">
        <f t="shared" si="8"/>
        <v>0</v>
      </c>
      <c r="AY71" s="388"/>
      <c r="AZ71" s="39"/>
      <c r="BA71" s="39"/>
      <c r="BB71" s="446">
        <f t="shared" si="82"/>
        <v>0</v>
      </c>
      <c r="BC71" s="450" t="e">
        <f t="shared" si="44"/>
        <v>#DIV/0!</v>
      </c>
      <c r="BD71" s="388"/>
      <c r="BE71" s="39"/>
      <c r="BF71" s="39"/>
      <c r="BG71" s="446">
        <f t="shared" si="83"/>
        <v>0</v>
      </c>
      <c r="BH71" s="450" t="e">
        <f t="shared" si="45"/>
        <v>#DIV/0!</v>
      </c>
      <c r="BI71" s="388"/>
      <c r="BJ71" s="39"/>
      <c r="BK71" s="39"/>
      <c r="BL71" s="446">
        <f t="shared" si="84"/>
        <v>0</v>
      </c>
      <c r="BM71" s="450" t="e">
        <f t="shared" si="46"/>
        <v>#DIV/0!</v>
      </c>
      <c r="BN71" s="388"/>
      <c r="BO71" s="39">
        <f t="shared" si="85"/>
        <v>0</v>
      </c>
      <c r="BP71" s="39">
        <f t="shared" si="86"/>
        <v>5000</v>
      </c>
      <c r="BQ71" s="106">
        <f t="shared" si="87"/>
        <v>5000</v>
      </c>
      <c r="BR71" s="178" t="e">
        <f t="shared" si="88"/>
        <v>#DIV/0!</v>
      </c>
      <c r="BS71" s="79"/>
      <c r="BT71" s="919">
        <v>5000</v>
      </c>
      <c r="BU71" s="921">
        <f t="shared" si="30"/>
        <v>0</v>
      </c>
    </row>
    <row r="72" spans="1:73" s="2" customFormat="1" ht="14.4" thickBot="1" x14ac:dyDescent="0.3">
      <c r="A72" s="237"/>
      <c r="B72" s="19"/>
      <c r="C72" s="130"/>
      <c r="D72" s="131"/>
      <c r="E72" s="159"/>
      <c r="F72" s="184">
        <f t="shared" si="89"/>
        <v>0</v>
      </c>
      <c r="G72" s="160"/>
      <c r="H72" s="162"/>
      <c r="I72" s="62"/>
      <c r="J72" s="178">
        <f t="shared" si="90"/>
        <v>0</v>
      </c>
      <c r="K72" s="276"/>
      <c r="L72" s="39"/>
      <c r="M72" s="39"/>
      <c r="N72" s="106"/>
      <c r="O72" s="178">
        <f t="shared" si="67"/>
        <v>0</v>
      </c>
      <c r="P72" s="79"/>
      <c r="Q72" s="39"/>
      <c r="R72" s="39"/>
      <c r="S72" s="106"/>
      <c r="T72" s="178">
        <f t="shared" si="74"/>
        <v>0</v>
      </c>
      <c r="U72" s="259"/>
      <c r="V72" s="39"/>
      <c r="W72" s="39"/>
      <c r="X72" s="106"/>
      <c r="Y72" s="178">
        <f t="shared" si="76"/>
        <v>0</v>
      </c>
      <c r="Z72" s="259"/>
      <c r="AA72" s="39"/>
      <c r="AB72" s="39"/>
      <c r="AC72" s="106"/>
      <c r="AD72" s="178">
        <f t="shared" si="91"/>
        <v>0</v>
      </c>
      <c r="AE72" s="259"/>
      <c r="AF72" s="39"/>
      <c r="AG72" s="39"/>
      <c r="AH72" s="106"/>
      <c r="AI72" s="450">
        <f t="shared" si="68"/>
        <v>0</v>
      </c>
      <c r="AJ72" s="259"/>
      <c r="AK72" s="39"/>
      <c r="AL72" s="39"/>
      <c r="AM72" s="446"/>
      <c r="AN72" s="450" t="e">
        <f t="shared" si="69"/>
        <v>#DIV/0!</v>
      </c>
      <c r="AO72" s="259"/>
      <c r="AP72" s="39"/>
      <c r="AQ72" s="39"/>
      <c r="AR72" s="446"/>
      <c r="AS72" s="450" t="e">
        <f t="shared" si="7"/>
        <v>#DIV/0!</v>
      </c>
      <c r="AT72" s="259"/>
      <c r="AU72" s="39"/>
      <c r="AV72" s="39"/>
      <c r="AW72" s="446"/>
      <c r="AX72" s="450">
        <f t="shared" si="8"/>
        <v>0</v>
      </c>
      <c r="AY72" s="259"/>
      <c r="AZ72" s="39"/>
      <c r="BA72" s="39"/>
      <c r="BB72" s="446"/>
      <c r="BC72" s="450" t="e">
        <f t="shared" si="44"/>
        <v>#DIV/0!</v>
      </c>
      <c r="BD72" s="259"/>
      <c r="BE72" s="39"/>
      <c r="BF72" s="39"/>
      <c r="BG72" s="446"/>
      <c r="BH72" s="450" t="e">
        <f t="shared" si="45"/>
        <v>#DIV/0!</v>
      </c>
      <c r="BI72" s="259"/>
      <c r="BJ72" s="39"/>
      <c r="BK72" s="39"/>
      <c r="BL72" s="446"/>
      <c r="BM72" s="450" t="e">
        <f t="shared" si="46"/>
        <v>#DIV/0!</v>
      </c>
      <c r="BN72" s="259"/>
      <c r="BO72" s="39"/>
      <c r="BP72" s="39"/>
      <c r="BQ72" s="106"/>
      <c r="BR72" s="178" t="e">
        <f t="shared" si="88"/>
        <v>#DIV/0!</v>
      </c>
      <c r="BS72" s="79"/>
      <c r="BT72" s="919"/>
      <c r="BU72" s="921">
        <f t="shared" si="30"/>
        <v>0</v>
      </c>
    </row>
    <row r="73" spans="1:73" s="2" customFormat="1" ht="14.4" thickBot="1" x14ac:dyDescent="0.3">
      <c r="A73" s="237"/>
      <c r="B73" s="13" t="s">
        <v>4</v>
      </c>
      <c r="C73" s="132">
        <f>C74</f>
        <v>611781.80999999994</v>
      </c>
      <c r="D73" s="133">
        <f>D74</f>
        <v>0</v>
      </c>
      <c r="E73" s="132">
        <f>E74</f>
        <v>611781.80999999994</v>
      </c>
      <c r="F73" s="171">
        <f>E73/$E$89</f>
        <v>3.4870644069788584E-2</v>
      </c>
      <c r="G73" s="99">
        <f>G74</f>
        <v>0</v>
      </c>
      <c r="H73" s="63">
        <f>H74</f>
        <v>0</v>
      </c>
      <c r="I73" s="63">
        <f>I74</f>
        <v>0</v>
      </c>
      <c r="J73" s="178">
        <f t="shared" si="90"/>
        <v>0</v>
      </c>
      <c r="K73" s="277"/>
      <c r="L73" s="139">
        <f>L74</f>
        <v>0</v>
      </c>
      <c r="M73" s="63">
        <f>M74</f>
        <v>0</v>
      </c>
      <c r="N73" s="60">
        <f>N74</f>
        <v>0</v>
      </c>
      <c r="O73" s="63"/>
      <c r="P73" s="63"/>
      <c r="Q73" s="139">
        <f>Q74</f>
        <v>0</v>
      </c>
      <c r="R73" s="63">
        <f>R74</f>
        <v>0</v>
      </c>
      <c r="S73" s="60">
        <f>S74</f>
        <v>0</v>
      </c>
      <c r="T73" s="63"/>
      <c r="U73" s="410"/>
      <c r="V73" s="139">
        <f>V74</f>
        <v>0</v>
      </c>
      <c r="W73" s="63">
        <f>W74</f>
        <v>0</v>
      </c>
      <c r="X73" s="60">
        <f>X74</f>
        <v>0</v>
      </c>
      <c r="Y73" s="63"/>
      <c r="Z73" s="410"/>
      <c r="AA73" s="139">
        <f>AA74</f>
        <v>0</v>
      </c>
      <c r="AB73" s="63">
        <f>AB74</f>
        <v>0</v>
      </c>
      <c r="AC73" s="60">
        <f>AC74</f>
        <v>0</v>
      </c>
      <c r="AD73" s="63"/>
      <c r="AE73" s="410"/>
      <c r="AF73" s="139">
        <f>AF74</f>
        <v>0</v>
      </c>
      <c r="AG73" s="63">
        <f>AG74</f>
        <v>0</v>
      </c>
      <c r="AH73" s="60">
        <f>AH74</f>
        <v>0</v>
      </c>
      <c r="AI73" s="63"/>
      <c r="AJ73" s="410"/>
      <c r="AK73" s="139">
        <f>AK74</f>
        <v>0</v>
      </c>
      <c r="AL73" s="63">
        <f>AL74</f>
        <v>0</v>
      </c>
      <c r="AM73" s="581">
        <f>AM74</f>
        <v>0</v>
      </c>
      <c r="AN73" s="586"/>
      <c r="AO73" s="410"/>
      <c r="AP73" s="139">
        <f>AP74</f>
        <v>0</v>
      </c>
      <c r="AQ73" s="63">
        <f>AQ74</f>
        <v>0</v>
      </c>
      <c r="AR73" s="581">
        <f>AR74</f>
        <v>0</v>
      </c>
      <c r="AS73" s="586"/>
      <c r="AT73" s="410"/>
      <c r="AU73" s="139">
        <f>AU74</f>
        <v>0</v>
      </c>
      <c r="AV73" s="63">
        <f>AV74</f>
        <v>0</v>
      </c>
      <c r="AW73" s="581">
        <f>AW74</f>
        <v>0</v>
      </c>
      <c r="AX73" s="586"/>
      <c r="AY73" s="410"/>
      <c r="AZ73" s="139">
        <f>AZ74</f>
        <v>0</v>
      </c>
      <c r="BA73" s="63">
        <f>BA74</f>
        <v>0</v>
      </c>
      <c r="BB73" s="581">
        <f>BB74</f>
        <v>0</v>
      </c>
      <c r="BC73" s="586"/>
      <c r="BD73" s="410"/>
      <c r="BE73" s="139">
        <f>BE74</f>
        <v>0</v>
      </c>
      <c r="BF73" s="63">
        <f>BF74</f>
        <v>0</v>
      </c>
      <c r="BG73" s="581">
        <f>BG74</f>
        <v>0</v>
      </c>
      <c r="BH73" s="586"/>
      <c r="BI73" s="410"/>
      <c r="BJ73" s="139">
        <f>BJ74</f>
        <v>0</v>
      </c>
      <c r="BK73" s="63">
        <f>BK74</f>
        <v>0</v>
      </c>
      <c r="BL73" s="581">
        <f>BL74</f>
        <v>0</v>
      </c>
      <c r="BM73" s="586"/>
      <c r="BN73" s="410"/>
      <c r="BO73" s="139">
        <f>BO74</f>
        <v>0</v>
      </c>
      <c r="BP73" s="63">
        <f>BP74</f>
        <v>0</v>
      </c>
      <c r="BQ73" s="60">
        <f>BQ74</f>
        <v>0</v>
      </c>
      <c r="BR73" s="63"/>
      <c r="BS73" s="63"/>
      <c r="BT73" s="919"/>
      <c r="BU73" s="921">
        <f t="shared" si="30"/>
        <v>0</v>
      </c>
    </row>
    <row r="74" spans="1:73" s="2" customFormat="1" ht="14.4" thickBot="1" x14ac:dyDescent="0.3">
      <c r="A74" s="20"/>
      <c r="B74" s="225" t="s">
        <v>64</v>
      </c>
      <c r="C74" s="113">
        <f>C6*3%+34209</f>
        <v>611781.80999999994</v>
      </c>
      <c r="D74" s="135"/>
      <c r="E74" s="136">
        <f>C74+D74</f>
        <v>611781.80999999994</v>
      </c>
      <c r="F74" s="185"/>
      <c r="G74" s="163"/>
      <c r="H74" s="112"/>
      <c r="I74" s="41">
        <f>G74+H74*1</f>
        <v>0</v>
      </c>
      <c r="J74" s="178">
        <f t="shared" si="90"/>
        <v>0</v>
      </c>
      <c r="K74" s="278"/>
      <c r="L74" s="39"/>
      <c r="M74" s="39"/>
      <c r="N74" s="64">
        <f>L74+M74*1</f>
        <v>0</v>
      </c>
      <c r="O74" s="64"/>
      <c r="P74" s="64"/>
      <c r="Q74" s="39"/>
      <c r="R74" s="39"/>
      <c r="S74" s="523">
        <f>Q74+R74*1</f>
        <v>0</v>
      </c>
      <c r="T74" s="64"/>
      <c r="U74" s="64"/>
      <c r="V74" s="39"/>
      <c r="W74" s="39"/>
      <c r="X74" s="523">
        <f>V74+W74*1</f>
        <v>0</v>
      </c>
      <c r="Y74" s="64"/>
      <c r="Z74" s="64"/>
      <c r="AA74" s="39"/>
      <c r="AB74" s="39"/>
      <c r="AC74" s="523">
        <f>AA74+AB74*1</f>
        <v>0</v>
      </c>
      <c r="AD74" s="64"/>
      <c r="AE74" s="64"/>
      <c r="AF74" s="39"/>
      <c r="AG74" s="39"/>
      <c r="AH74" s="523">
        <f>AF74+AG74*1</f>
        <v>0</v>
      </c>
      <c r="AI74" s="64"/>
      <c r="AJ74" s="64"/>
      <c r="AK74" s="39"/>
      <c r="AL74" s="39"/>
      <c r="AM74" s="709">
        <f>AK74+AL74*1</f>
        <v>0</v>
      </c>
      <c r="AN74" s="588"/>
      <c r="AO74" s="64"/>
      <c r="AP74" s="39"/>
      <c r="AQ74" s="39"/>
      <c r="AR74" s="709">
        <f>AP74+AQ74*1</f>
        <v>0</v>
      </c>
      <c r="AS74" s="588"/>
      <c r="AT74" s="64"/>
      <c r="AU74" s="39"/>
      <c r="AV74" s="39"/>
      <c r="AW74" s="709">
        <f>AU74+AV74*1</f>
        <v>0</v>
      </c>
      <c r="AX74" s="588"/>
      <c r="AY74" s="64"/>
      <c r="AZ74" s="39"/>
      <c r="BA74" s="39"/>
      <c r="BB74" s="709">
        <f>AZ74+BA74*1</f>
        <v>0</v>
      </c>
      <c r="BC74" s="588"/>
      <c r="BD74" s="64"/>
      <c r="BE74" s="39"/>
      <c r="BF74" s="39"/>
      <c r="BG74" s="709">
        <f>BE74+BF74*1</f>
        <v>0</v>
      </c>
      <c r="BH74" s="588"/>
      <c r="BI74" s="64"/>
      <c r="BJ74" s="39"/>
      <c r="BK74" s="39"/>
      <c r="BL74" s="709">
        <f>BJ74+BK74*1</f>
        <v>0</v>
      </c>
      <c r="BM74" s="588"/>
      <c r="BN74" s="64"/>
      <c r="BO74" s="39">
        <f>G74+L74+Q74+V74+AA74+AF74+AK74+AP74+AU74+AZ74</f>
        <v>0</v>
      </c>
      <c r="BP74" s="39">
        <f>H74+M74+R74+W74+AB74+AG74+AL74+AQ74+AV74+BA74</f>
        <v>0</v>
      </c>
      <c r="BQ74" s="523">
        <f>BO74+BP74*1</f>
        <v>0</v>
      </c>
      <c r="BR74" s="64"/>
      <c r="BS74" s="64"/>
      <c r="BT74" s="924"/>
      <c r="BU74" s="921">
        <f t="shared" si="30"/>
        <v>0</v>
      </c>
    </row>
    <row r="75" spans="1:73" s="2" customFormat="1" ht="14.4" thickBot="1" x14ac:dyDescent="0.3">
      <c r="A75" s="5"/>
      <c r="B75" s="23" t="s">
        <v>48</v>
      </c>
      <c r="C75" s="137">
        <f>C38-C41-C50-C54</f>
        <v>4598856.75</v>
      </c>
      <c r="D75" s="137">
        <f>D38-D41-D50-D54</f>
        <v>-1979974</v>
      </c>
      <c r="E75" s="138">
        <f>E38-E41-E50-E54</f>
        <v>2618882.75</v>
      </c>
      <c r="F75" s="172"/>
      <c r="G75" s="65">
        <f>G38-G41-G50-G54</f>
        <v>-602581.99500000011</v>
      </c>
      <c r="H75" s="65">
        <f>H38-H41-H50-H54</f>
        <v>-100902.5</v>
      </c>
      <c r="I75" s="66">
        <f>I38-I41-I50-I54</f>
        <v>-703484.49500000011</v>
      </c>
      <c r="J75" s="195"/>
      <c r="K75" s="279"/>
      <c r="L75" s="65">
        <f>L38-L41-L50-L54</f>
        <v>-530637.39999999991</v>
      </c>
      <c r="M75" s="65">
        <f>M38-M41-M50-M54</f>
        <v>-182609.34</v>
      </c>
      <c r="N75" s="138">
        <f>N38-N41-N50-N54</f>
        <v>-713246.74</v>
      </c>
      <c r="O75" s="66"/>
      <c r="P75" s="66"/>
      <c r="Q75" s="65">
        <f>Q38-Q41-Q50-Q54</f>
        <v>1125289.2300000004</v>
      </c>
      <c r="R75" s="65">
        <f>R38-R41-R50-R54</f>
        <v>-136599.84</v>
      </c>
      <c r="S75" s="138">
        <f>S38-S41-S50-S54</f>
        <v>988689.39000000071</v>
      </c>
      <c r="T75" s="66"/>
      <c r="U75" s="411"/>
      <c r="V75" s="65">
        <f>V38-V41-V50-V54</f>
        <v>3304344.6720000007</v>
      </c>
      <c r="W75" s="65">
        <f>W38-W41-W50-W54</f>
        <v>-935836.91</v>
      </c>
      <c r="X75" s="138">
        <f>X38-X41-X50-X54</f>
        <v>2368507.7620000006</v>
      </c>
      <c r="Y75" s="66"/>
      <c r="Z75" s="411"/>
      <c r="AA75" s="65">
        <f>AA38-AA41-AA50-AA54</f>
        <v>106313.84800000052</v>
      </c>
      <c r="AB75" s="65">
        <f>AB38-AB41-AB50-AB54</f>
        <v>-430093.5</v>
      </c>
      <c r="AC75" s="138">
        <f>AC38-AC41-AC50-AC54</f>
        <v>-323779.65199999942</v>
      </c>
      <c r="AD75" s="66"/>
      <c r="AE75" s="411"/>
      <c r="AF75" s="65">
        <f>AF38-AF41-AF50-AF54</f>
        <v>68971.864000000205</v>
      </c>
      <c r="AG75" s="65">
        <f>AG38-AG41-AG50-AG54</f>
        <v>-214631.03999999998</v>
      </c>
      <c r="AH75" s="138">
        <f>AH38-AH41-AH50-AH54</f>
        <v>-145659.17599999983</v>
      </c>
      <c r="AI75" s="66"/>
      <c r="AJ75" s="411"/>
      <c r="AK75" s="65">
        <f>AK38-AK41-AK50-AK54</f>
        <v>151596.78199999995</v>
      </c>
      <c r="AL75" s="65">
        <f>AL38-AL41-AL50-AL54</f>
        <v>-201551.3</v>
      </c>
      <c r="AM75" s="670">
        <f>AM38-AM41-AM50-AM54</f>
        <v>-49954.518000000055</v>
      </c>
      <c r="AN75" s="699"/>
      <c r="AO75" s="411"/>
      <c r="AP75" s="65">
        <f>AP38-AP41-AP50-AP54</f>
        <v>-334.95600000000002</v>
      </c>
      <c r="AQ75" s="65">
        <f>AQ38-AQ41-AQ50-AQ54</f>
        <v>-71645.460000000006</v>
      </c>
      <c r="AR75" s="670">
        <f>AR38-AR41-AR50-AR54</f>
        <v>-71980.416000000012</v>
      </c>
      <c r="AS75" s="699"/>
      <c r="AT75" s="411"/>
      <c r="AU75" s="65">
        <f>AU38-AU41-AU50-AU54</f>
        <v>-2420.067</v>
      </c>
      <c r="AV75" s="65">
        <f>AV38-AV41-AV50-AV54</f>
        <v>-1600</v>
      </c>
      <c r="AW75" s="670">
        <f>AW38-AW41-AW50-AW54</f>
        <v>-4020.067</v>
      </c>
      <c r="AX75" s="699"/>
      <c r="AY75" s="411"/>
      <c r="AZ75" s="65">
        <f>AZ38-AZ41-AZ50-AZ54</f>
        <v>290045.00199999998</v>
      </c>
      <c r="BA75" s="65">
        <f>BA38-BA41-BA50-BA54</f>
        <v>-17952.8</v>
      </c>
      <c r="BB75" s="670">
        <f>BB38-BB41-BB50-BB54</f>
        <v>272092.20199999999</v>
      </c>
      <c r="BC75" s="699"/>
      <c r="BD75" s="411"/>
      <c r="BE75" s="65">
        <f>BE38-BE41-BE50-BE54</f>
        <v>0</v>
      </c>
      <c r="BF75" s="65">
        <f>BF38-BF41-BF50-BF54</f>
        <v>0</v>
      </c>
      <c r="BG75" s="670">
        <f>BG38-BG41-BG50-BG54</f>
        <v>0</v>
      </c>
      <c r="BH75" s="699"/>
      <c r="BI75" s="411"/>
      <c r="BJ75" s="65">
        <f>BJ38-BJ41-BJ50-BJ54</f>
        <v>0</v>
      </c>
      <c r="BK75" s="65">
        <f>BK38-BK41-BK50-BK54</f>
        <v>0</v>
      </c>
      <c r="BL75" s="670">
        <f>BL38-BL41-BL50-BL54</f>
        <v>0</v>
      </c>
      <c r="BM75" s="699"/>
      <c r="BN75" s="411"/>
      <c r="BO75" s="65">
        <f>BO38-BO41-BO50-BO54</f>
        <v>3910586.9799999967</v>
      </c>
      <c r="BP75" s="65">
        <f>BP38-BP41-BP50-BP54</f>
        <v>-2293422.6900000004</v>
      </c>
      <c r="BQ75" s="138">
        <f>BQ38-BQ41-BQ50-BQ54</f>
        <v>1617164.29</v>
      </c>
      <c r="BR75" s="66"/>
      <c r="BS75" s="66"/>
      <c r="BT75" s="919"/>
      <c r="BU75" s="921">
        <f t="shared" si="30"/>
        <v>1617164.29</v>
      </c>
    </row>
    <row r="76" spans="1:73" s="2" customFormat="1" ht="13.8" x14ac:dyDescent="0.25">
      <c r="A76" s="294"/>
      <c r="B76" s="36" t="s">
        <v>49</v>
      </c>
      <c r="C76" s="157">
        <f>C75/C5</f>
        <v>0.23887153292413471</v>
      </c>
      <c r="D76" s="157" t="e">
        <f>D75/D5</f>
        <v>#DIV/0!</v>
      </c>
      <c r="E76" s="158">
        <f>E75/E5</f>
        <v>0.13602870692614494</v>
      </c>
      <c r="F76" s="167"/>
      <c r="G76" s="54" t="e">
        <f>G75/G5</f>
        <v>#DIV/0!</v>
      </c>
      <c r="H76" s="54" t="e">
        <f>H75/H5</f>
        <v>#DIV/0!</v>
      </c>
      <c r="I76" s="55" t="e">
        <f>I75/I5</f>
        <v>#DIV/0!</v>
      </c>
      <c r="J76" s="196"/>
      <c r="K76" s="280"/>
      <c r="L76" s="54" t="e">
        <f>L75/L5</f>
        <v>#DIV/0!</v>
      </c>
      <c r="M76" s="54" t="e">
        <f>M75/M5</f>
        <v>#DIV/0!</v>
      </c>
      <c r="N76" s="55" t="e">
        <f>N75/N5</f>
        <v>#DIV/0!</v>
      </c>
      <c r="O76" s="55"/>
      <c r="P76" s="55"/>
      <c r="Q76" s="54">
        <f>Q75/Q5</f>
        <v>0.22171407318693789</v>
      </c>
      <c r="R76" s="54" t="e">
        <f>R75/R5</f>
        <v>#DIV/0!</v>
      </c>
      <c r="S76" s="55">
        <f>S75/S5</f>
        <v>0.19480000868186489</v>
      </c>
      <c r="T76" s="55"/>
      <c r="U76" s="407"/>
      <c r="V76" s="54">
        <f>V75/V5</f>
        <v>0.39567289740495071</v>
      </c>
      <c r="W76" s="54" t="e">
        <f>W75/W5</f>
        <v>#DIV/0!</v>
      </c>
      <c r="X76" s="55">
        <f>X75/X5</f>
        <v>0.28361276493273019</v>
      </c>
      <c r="Y76" s="55"/>
      <c r="Z76" s="407"/>
      <c r="AA76" s="54">
        <f>AA75/AA5</f>
        <v>3.1379483055556844E-2</v>
      </c>
      <c r="AB76" s="54" t="e">
        <f>AB75/AB5</f>
        <v>#DIV/0!</v>
      </c>
      <c r="AC76" s="55">
        <f>AC75/AC5</f>
        <v>-9.556646001250961E-2</v>
      </c>
      <c r="AD76" s="55"/>
      <c r="AE76" s="407"/>
      <c r="AF76" s="54">
        <f>AF75/AF5</f>
        <v>5.2013898534448433E-2</v>
      </c>
      <c r="AG76" s="54" t="e">
        <f>AG75/AG5</f>
        <v>#DIV/0!</v>
      </c>
      <c r="AH76" s="55">
        <f>AH75/AH5</f>
        <v>-0.10984626428358286</v>
      </c>
      <c r="AI76" s="55"/>
      <c r="AJ76" s="407"/>
      <c r="AK76" s="54">
        <f>AK75/AK5</f>
        <v>0.14271496603881256</v>
      </c>
      <c r="AL76" s="54" t="e">
        <f>AL75/AL5</f>
        <v>#DIV/0!</v>
      </c>
      <c r="AM76" s="660">
        <f>AM75/AM5</f>
        <v>-4.7027761709712686E-2</v>
      </c>
      <c r="AN76" s="697"/>
      <c r="AO76" s="407"/>
      <c r="AP76" s="54" t="e">
        <f>AP75/AP5</f>
        <v>#DIV/0!</v>
      </c>
      <c r="AQ76" s="54" t="e">
        <f>AQ75/AQ5</f>
        <v>#DIV/0!</v>
      </c>
      <c r="AR76" s="660" t="e">
        <f>AR75/AR5</f>
        <v>#DIV/0!</v>
      </c>
      <c r="AS76" s="697"/>
      <c r="AT76" s="407"/>
      <c r="AU76" s="54" t="e">
        <f>AU75/AU5</f>
        <v>#DIV/0!</v>
      </c>
      <c r="AV76" s="54" t="e">
        <f>AV75/AV5</f>
        <v>#DIV/0!</v>
      </c>
      <c r="AW76" s="660" t="e">
        <f>AW75/AW5</f>
        <v>#DIV/0!</v>
      </c>
      <c r="AX76" s="697"/>
      <c r="AY76" s="407"/>
      <c r="AZ76" s="54">
        <f>AZ75/AZ5</f>
        <v>0.49775712318505794</v>
      </c>
      <c r="BA76" s="54" t="e">
        <f>BA75/BA5</f>
        <v>#DIV/0!</v>
      </c>
      <c r="BB76" s="660">
        <f>BB75/BB5</f>
        <v>0.46694764872593003</v>
      </c>
      <c r="BC76" s="697"/>
      <c r="BD76" s="407"/>
      <c r="BE76" s="54" t="e">
        <f>BE75/BE5</f>
        <v>#DIV/0!</v>
      </c>
      <c r="BF76" s="54" t="e">
        <f>BF75/BF5</f>
        <v>#DIV/0!</v>
      </c>
      <c r="BG76" s="660" t="e">
        <f>BG75/BG5</f>
        <v>#DIV/0!</v>
      </c>
      <c r="BH76" s="697"/>
      <c r="BI76" s="407"/>
      <c r="BJ76" s="54" t="e">
        <f>BJ75/BJ5</f>
        <v>#DIV/0!</v>
      </c>
      <c r="BK76" s="54" t="e">
        <f>BK75/BK5</f>
        <v>#DIV/0!</v>
      </c>
      <c r="BL76" s="660" t="e">
        <f>BL75/BL5</f>
        <v>#DIV/0!</v>
      </c>
      <c r="BM76" s="697"/>
      <c r="BN76" s="407"/>
      <c r="BO76" s="54">
        <f>BO75/BO5</f>
        <v>0.19764832223434678</v>
      </c>
      <c r="BP76" s="54" t="e">
        <f>BP75/BP5</f>
        <v>#DIV/0!</v>
      </c>
      <c r="BQ76" s="55">
        <f>BQ75/BQ5</f>
        <v>8.1734483935656868E-2</v>
      </c>
      <c r="BR76" s="55"/>
      <c r="BS76" s="55"/>
      <c r="BT76" s="919"/>
      <c r="BU76" s="921">
        <f t="shared" si="30"/>
        <v>8.1734483935656868E-2</v>
      </c>
    </row>
    <row r="77" spans="1:73" s="2" customFormat="1" ht="14.4" thickBot="1" x14ac:dyDescent="0.3">
      <c r="A77" s="294"/>
      <c r="B77" s="27" t="s">
        <v>9</v>
      </c>
      <c r="C77" s="139">
        <f>C78-C79</f>
        <v>-296996</v>
      </c>
      <c r="D77" s="139">
        <f>D78-D79</f>
        <v>0</v>
      </c>
      <c r="E77" s="140">
        <f>E78-E79</f>
        <v>-296996</v>
      </c>
      <c r="F77" s="173"/>
      <c r="G77" s="67">
        <f>G78-G79</f>
        <v>0</v>
      </c>
      <c r="H77" s="67">
        <f>H78-H79</f>
        <v>0</v>
      </c>
      <c r="I77" s="67">
        <f>I78-I79</f>
        <v>-13883.377901889122</v>
      </c>
      <c r="J77" s="197"/>
      <c r="K77" s="281"/>
      <c r="L77" s="139">
        <f>L78-L79</f>
        <v>0</v>
      </c>
      <c r="M77" s="139">
        <f>M78-M79</f>
        <v>0</v>
      </c>
      <c r="N77" s="140">
        <f>N78-N79</f>
        <v>-27286.453103448275</v>
      </c>
      <c r="O77" s="67"/>
      <c r="P77" s="67"/>
      <c r="Q77" s="139">
        <f>Q78-Q79</f>
        <v>0</v>
      </c>
      <c r="R77" s="139">
        <f>R78-R79</f>
        <v>0</v>
      </c>
      <c r="S77" s="140">
        <f>S78-S79</f>
        <v>-20411.470344827587</v>
      </c>
      <c r="T77" s="67"/>
      <c r="U77" s="414"/>
      <c r="V77" s="139">
        <f>V78-V79</f>
        <v>0</v>
      </c>
      <c r="W77" s="139">
        <f>W78-W79</f>
        <v>0</v>
      </c>
      <c r="X77" s="140">
        <f>X78-X79</f>
        <v>-139837.69919540233</v>
      </c>
      <c r="Y77" s="67"/>
      <c r="Z77" s="414"/>
      <c r="AA77" s="139">
        <f>AA78-AA79</f>
        <v>0</v>
      </c>
      <c r="AB77" s="139">
        <f>AB78-AB79</f>
        <v>0</v>
      </c>
      <c r="AC77" s="140">
        <f>AC78-AC79</f>
        <v>-53127.478619487199</v>
      </c>
      <c r="AD77" s="67"/>
      <c r="AE77" s="414"/>
      <c r="AF77" s="139">
        <f>AF78-AF79</f>
        <v>0</v>
      </c>
      <c r="AG77" s="139">
        <f>AG78-AG79</f>
        <v>0</v>
      </c>
      <c r="AH77" s="140">
        <f>AH78-AH79</f>
        <v>-31085.097261448926</v>
      </c>
      <c r="AI77" s="67"/>
      <c r="AJ77" s="414"/>
      <c r="AK77" s="139">
        <f>AK78-AK79</f>
        <v>0</v>
      </c>
      <c r="AL77" s="139">
        <f>AL78-AL79</f>
        <v>0</v>
      </c>
      <c r="AM77" s="674" t="e">
        <f>AM78-AM79</f>
        <v>#DIV/0!</v>
      </c>
      <c r="AN77" s="700"/>
      <c r="AO77" s="414"/>
      <c r="AP77" s="139">
        <f>AP78-AP79</f>
        <v>0</v>
      </c>
      <c r="AQ77" s="139">
        <f>AQ78-AQ79</f>
        <v>0</v>
      </c>
      <c r="AR77" s="674" t="e">
        <f>AR78-AR79</f>
        <v>#DIV/0!</v>
      </c>
      <c r="AS77" s="700"/>
      <c r="AT77" s="414"/>
      <c r="AU77" s="139">
        <f>AU78-AU79</f>
        <v>0</v>
      </c>
      <c r="AV77" s="139">
        <f>AV78-AV79</f>
        <v>0</v>
      </c>
      <c r="AW77" s="674">
        <f>AW78-AW79</f>
        <v>-207.90960451977401</v>
      </c>
      <c r="AX77" s="700"/>
      <c r="AY77" s="414"/>
      <c r="AZ77" s="139">
        <f>AZ78-AZ79</f>
        <v>0</v>
      </c>
      <c r="BA77" s="139">
        <f>BA78-BA79</f>
        <v>0</v>
      </c>
      <c r="BB77" s="674" t="e">
        <f>BB78-BB79</f>
        <v>#DIV/0!</v>
      </c>
      <c r="BC77" s="700"/>
      <c r="BD77" s="414"/>
      <c r="BE77" s="139">
        <f>BE78-BE79</f>
        <v>0</v>
      </c>
      <c r="BF77" s="139">
        <f>BF78-BF79</f>
        <v>0</v>
      </c>
      <c r="BG77" s="674">
        <f>BG78-BG79</f>
        <v>0</v>
      </c>
      <c r="BH77" s="700"/>
      <c r="BI77" s="414"/>
      <c r="BJ77" s="139">
        <f>BJ78-BJ79</f>
        <v>0</v>
      </c>
      <c r="BK77" s="139">
        <f>BK78-BK79</f>
        <v>0</v>
      </c>
      <c r="BL77" s="674">
        <f>BL78-BL79</f>
        <v>0</v>
      </c>
      <c r="BM77" s="700"/>
      <c r="BN77" s="414"/>
      <c r="BO77" s="139">
        <f>BO78-BO79</f>
        <v>0</v>
      </c>
      <c r="BP77" s="139">
        <f>BP78-BP79</f>
        <v>0</v>
      </c>
      <c r="BQ77" s="140" t="e">
        <f>BQ78-BQ79</f>
        <v>#DIV/0!</v>
      </c>
      <c r="BR77" s="67"/>
      <c r="BS77" s="67"/>
      <c r="BT77" s="919"/>
      <c r="BU77" s="921" t="e">
        <f>BQ77-BT77</f>
        <v>#DIV/0!</v>
      </c>
    </row>
    <row r="78" spans="1:73" s="2" customFormat="1" ht="13.8" x14ac:dyDescent="0.25">
      <c r="A78" s="11"/>
      <c r="B78" s="6" t="s">
        <v>43</v>
      </c>
      <c r="C78" s="141"/>
      <c r="D78" s="142"/>
      <c r="E78" s="119">
        <f>C78+D78*1.15</f>
        <v>0</v>
      </c>
      <c r="F78" s="186"/>
      <c r="G78" s="71"/>
      <c r="H78" s="71"/>
      <c r="I78" s="71">
        <f>G78+H78*1.15</f>
        <v>0</v>
      </c>
      <c r="J78" s="178">
        <f>I78/$I$89</f>
        <v>0</v>
      </c>
      <c r="K78" s="265"/>
      <c r="L78" s="39"/>
      <c r="M78" s="39"/>
      <c r="N78" s="68">
        <f>L78+M78*1.15</f>
        <v>0</v>
      </c>
      <c r="O78" s="68"/>
      <c r="P78" s="68"/>
      <c r="Q78" s="39"/>
      <c r="R78" s="39"/>
      <c r="S78" s="68">
        <f>Q78+R78*1.15</f>
        <v>0</v>
      </c>
      <c r="T78" s="68"/>
      <c r="U78" s="48"/>
      <c r="V78" s="39"/>
      <c r="W78" s="39"/>
      <c r="X78" s="68">
        <f>V78+W78*1.15</f>
        <v>0</v>
      </c>
      <c r="Y78" s="68"/>
      <c r="Z78" s="48"/>
      <c r="AA78" s="39"/>
      <c r="AB78" s="39"/>
      <c r="AC78" s="68">
        <f>AA78+AB78*1.15</f>
        <v>0</v>
      </c>
      <c r="AD78" s="68"/>
      <c r="AE78" s="48"/>
      <c r="AF78" s="39"/>
      <c r="AG78" s="39"/>
      <c r="AH78" s="68">
        <f>AF78+AG78*1.15</f>
        <v>0</v>
      </c>
      <c r="AI78" s="68"/>
      <c r="AJ78" s="48"/>
      <c r="AK78" s="39"/>
      <c r="AL78" s="39"/>
      <c r="AM78" s="710">
        <f>AK78+AL78*1.15</f>
        <v>0</v>
      </c>
      <c r="AN78" s="676"/>
      <c r="AO78" s="48"/>
      <c r="AP78" s="39"/>
      <c r="AQ78" s="39"/>
      <c r="AR78" s="710">
        <f>AP78+AQ78*1.15</f>
        <v>0</v>
      </c>
      <c r="AS78" s="676"/>
      <c r="AT78" s="48"/>
      <c r="AU78" s="39"/>
      <c r="AV78" s="39"/>
      <c r="AW78" s="710">
        <f>AU78+AV78*1.15</f>
        <v>0</v>
      </c>
      <c r="AX78" s="676"/>
      <c r="AY78" s="48"/>
      <c r="AZ78" s="39"/>
      <c r="BA78" s="39"/>
      <c r="BB78" s="710">
        <f>AZ78+BA78*1.15</f>
        <v>0</v>
      </c>
      <c r="BC78" s="676"/>
      <c r="BD78" s="48"/>
      <c r="BE78" s="39"/>
      <c r="BF78" s="39"/>
      <c r="BG78" s="710">
        <f>BE78+BF78*1.15</f>
        <v>0</v>
      </c>
      <c r="BH78" s="676"/>
      <c r="BI78" s="48"/>
      <c r="BJ78" s="39"/>
      <c r="BK78" s="39"/>
      <c r="BL78" s="710">
        <f>BJ78+BK78*1.15</f>
        <v>0</v>
      </c>
      <c r="BM78" s="676"/>
      <c r="BN78" s="48"/>
      <c r="BO78" s="39">
        <f>G78+L78+Q78+V78+AA78+AF78+AK78+AP78+AU78+AZ78+BE78+BJ78</f>
        <v>0</v>
      </c>
      <c r="BP78" s="39">
        <f>H78+M78+R78+W78+AB78+AG78+AL78+AQ78+AV78+BA78+BF78+BK78</f>
        <v>0</v>
      </c>
      <c r="BQ78" s="68">
        <f>BO78+BP78*1.15</f>
        <v>0</v>
      </c>
      <c r="BR78" s="68"/>
      <c r="BS78" s="68"/>
      <c r="BT78" s="919"/>
      <c r="BU78" s="921">
        <f>BQ78-BT78</f>
        <v>0</v>
      </c>
    </row>
    <row r="79" spans="1:73" s="2" customFormat="1" ht="13.8" x14ac:dyDescent="0.25">
      <c r="A79" s="11"/>
      <c r="B79" s="24" t="s">
        <v>79</v>
      </c>
      <c r="C79" s="113">
        <v>296996</v>
      </c>
      <c r="D79" s="119"/>
      <c r="E79" s="119">
        <f>C79+D79*1.15</f>
        <v>296996</v>
      </c>
      <c r="F79" s="184">
        <f>E79/$E$89</f>
        <v>1.6928325813006653E-2</v>
      </c>
      <c r="G79" s="45"/>
      <c r="H79" s="45"/>
      <c r="I79" s="346">
        <f>(H8+H41+H50+H54)/(1-'расчет 2020'!E15)*'расчет 2020'!E15</f>
        <v>13883.377901889122</v>
      </c>
      <c r="J79" s="178">
        <f>I79/$I$89</f>
        <v>1.9353219493546906E-2</v>
      </c>
      <c r="K79" s="265"/>
      <c r="L79" s="39"/>
      <c r="M79" s="39"/>
      <c r="N79" s="106">
        <f>(M8+M41+M50+M54)/(1-'расчет 2022'!E5)*'расчет 2022'!E5</f>
        <v>27286.453103448275</v>
      </c>
      <c r="O79" s="45"/>
      <c r="P79" s="45"/>
      <c r="Q79" s="39"/>
      <c r="R79" s="39"/>
      <c r="S79" s="106">
        <f>(R8+R41+R50+R54)/(1-'расчет 2022'!E5)*'расчет 2022'!E5</f>
        <v>20411.470344827587</v>
      </c>
      <c r="T79" s="45"/>
      <c r="U79" s="405"/>
      <c r="V79" s="39"/>
      <c r="W79" s="39"/>
      <c r="X79" s="106">
        <f>(W8+W41+W50+W54)/(1-'расчет 2022'!E6)*'расчет 2022'!E6</f>
        <v>139837.69919540233</v>
      </c>
      <c r="Y79" s="45"/>
      <c r="Z79" s="405"/>
      <c r="AA79" s="39"/>
      <c r="AB79" s="39"/>
      <c r="AC79" s="106">
        <f>(AB8+AB41+AB50+AB54)/(1-'расчет 2022'!E7)*'расчет 2022'!E7</f>
        <v>53127.478619487199</v>
      </c>
      <c r="AD79" s="45"/>
      <c r="AE79" s="405"/>
      <c r="AF79" s="39"/>
      <c r="AG79" s="39"/>
      <c r="AH79" s="106">
        <f>(AG8+AG41+AG50+AG54)/(1-'расчет 2022'!E8)*'расчет 2022'!E8</f>
        <v>31085.097261448926</v>
      </c>
      <c r="AI79" s="45"/>
      <c r="AJ79" s="405"/>
      <c r="AK79" s="39"/>
      <c r="AL79" s="39"/>
      <c r="AM79" s="446" t="e">
        <f>(AL8+AL41+AL50+AL54)/(1-'расчет 2022'!E9)*'расчет 2022'!E9</f>
        <v>#DIV/0!</v>
      </c>
      <c r="AN79" s="693"/>
      <c r="AO79" s="405"/>
      <c r="AP79" s="39"/>
      <c r="AQ79" s="39"/>
      <c r="AR79" s="446" t="e">
        <f>(AQ8+AQ41+AQ50+AQ54)/(1-'расчет 2022'!E10)*'расчет 2022'!E10</f>
        <v>#DIV/0!</v>
      </c>
      <c r="AS79" s="693"/>
      <c r="AT79" s="405"/>
      <c r="AU79" s="39"/>
      <c r="AV79" s="39"/>
      <c r="AW79" s="446">
        <f>(AV8+AV41+AV50+AV54)/(1-'расчет 2022'!E11)*'расчет 2022'!E11</f>
        <v>207.90960451977401</v>
      </c>
      <c r="AX79" s="450">
        <f>AW79/$AW$89</f>
        <v>4.9174729183107432E-2</v>
      </c>
      <c r="AY79" s="405"/>
      <c r="AZ79" s="39"/>
      <c r="BA79" s="39"/>
      <c r="BB79" s="446" t="e">
        <f>(BA8+BA41+BA50+BA54)/(1-'расчет 2022'!E12)*'расчет 2022'!E12</f>
        <v>#DIV/0!</v>
      </c>
      <c r="BC79" s="450" t="e">
        <f>BB79/$BB$89</f>
        <v>#DIV/0!</v>
      </c>
      <c r="BD79" s="405"/>
      <c r="BE79" s="39"/>
      <c r="BF79" s="39"/>
      <c r="BG79" s="446">
        <f>(BF8+BF41+BF50+BF54)/(1-'расчет 2022'!J12)*'расчет 2022'!J12</f>
        <v>0</v>
      </c>
      <c r="BH79" s="450" t="e">
        <f>BG79/$BB$89</f>
        <v>#DIV/0!</v>
      </c>
      <c r="BI79" s="405"/>
      <c r="BJ79" s="39"/>
      <c r="BK79" s="39"/>
      <c r="BL79" s="446">
        <f>(BK8+BK41+BK50+BK54)/(1-'расчет 2022'!O12)*'расчет 2022'!O12</f>
        <v>0</v>
      </c>
      <c r="BM79" s="450" t="e">
        <f>BL79/$BB$89</f>
        <v>#DIV/0!</v>
      </c>
      <c r="BN79" s="405"/>
      <c r="BO79" s="39">
        <f>G79+L79+Q79+V79+AA79+AF79+AK79+AP79+AU79+AZ79+BE79+BJ79</f>
        <v>0</v>
      </c>
      <c r="BP79" s="39">
        <f>H79+M79+R79+W79+AB79+AG79+AL79+AQ79+AV79+BA79+BF79+BK79</f>
        <v>0</v>
      </c>
      <c r="BQ79" s="106" t="e">
        <f>I79+N79+S79+X79+AC79+AH79+AM79+AR79+AW79+BB79</f>
        <v>#DIV/0!</v>
      </c>
      <c r="BR79" s="45"/>
      <c r="BS79" s="45"/>
      <c r="BT79" s="920">
        <v>356064</v>
      </c>
      <c r="BU79" s="921" t="e">
        <f>BQ79-BT79</f>
        <v>#DIV/0!</v>
      </c>
    </row>
    <row r="80" spans="1:73" ht="13.8" x14ac:dyDescent="0.25">
      <c r="A80" s="3"/>
      <c r="B80" s="25"/>
      <c r="C80" s="143"/>
      <c r="D80" s="144"/>
      <c r="E80" s="145"/>
      <c r="F80" s="187"/>
      <c r="G80" s="69"/>
      <c r="H80" s="69"/>
      <c r="I80" s="69"/>
      <c r="J80" s="177"/>
      <c r="K80" s="282"/>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711"/>
      <c r="AN80" s="678"/>
      <c r="AO80" s="69"/>
      <c r="AP80" s="39"/>
      <c r="AQ80" s="39"/>
      <c r="AR80" s="711"/>
      <c r="AS80" s="678"/>
      <c r="AT80" s="69"/>
      <c r="AU80" s="39"/>
      <c r="AV80" s="39"/>
      <c r="AW80" s="711"/>
      <c r="AX80" s="678"/>
      <c r="AY80" s="69"/>
      <c r="AZ80" s="39"/>
      <c r="BA80" s="39"/>
      <c r="BB80" s="711"/>
      <c r="BC80" s="678"/>
      <c r="BD80" s="69"/>
      <c r="BE80" s="39"/>
      <c r="BF80" s="39"/>
      <c r="BG80" s="711"/>
      <c r="BH80" s="678"/>
      <c r="BI80" s="69"/>
      <c r="BJ80" s="39"/>
      <c r="BK80" s="39"/>
      <c r="BL80" s="711"/>
      <c r="BM80" s="678"/>
      <c r="BN80" s="69"/>
      <c r="BO80" s="39"/>
      <c r="BP80" s="39"/>
      <c r="BQ80" s="69"/>
      <c r="BR80" s="69"/>
      <c r="BS80" s="69"/>
      <c r="BU80" s="921">
        <f>BQ80-BT80</f>
        <v>0</v>
      </c>
    </row>
    <row r="81" spans="1:73" s="2" customFormat="1" ht="14.4" thickBot="1" x14ac:dyDescent="0.3">
      <c r="A81" s="26"/>
      <c r="B81" s="27" t="s">
        <v>12</v>
      </c>
      <c r="C81" s="139">
        <f>(C75+C78)-C79</f>
        <v>4301860.75</v>
      </c>
      <c r="D81" s="139">
        <f>(D75+D78)-D79</f>
        <v>-1979974</v>
      </c>
      <c r="E81" s="140">
        <f>(E75+E78)-E79</f>
        <v>2321886.75</v>
      </c>
      <c r="F81" s="173"/>
      <c r="G81" s="139">
        <f>(G75+G78)-G79</f>
        <v>-602581.99500000011</v>
      </c>
      <c r="H81" s="139">
        <f>(H75+H78)-H79</f>
        <v>-100902.5</v>
      </c>
      <c r="I81" s="140">
        <f>(I75+I78)-I79</f>
        <v>-717367.87290188926</v>
      </c>
      <c r="J81" s="198"/>
      <c r="K81" s="283"/>
      <c r="L81" s="139">
        <f>(L75+L78)-L79</f>
        <v>-530637.39999999991</v>
      </c>
      <c r="M81" s="139">
        <f>(M75+M78)-M79</f>
        <v>-182609.34</v>
      </c>
      <c r="N81" s="140">
        <f>(N75+N78)-N79</f>
        <v>-740533.19310344825</v>
      </c>
      <c r="O81" s="67"/>
      <c r="P81" s="67"/>
      <c r="Q81" s="139">
        <f>(Q75+Q78)-Q79</f>
        <v>1125289.2300000004</v>
      </c>
      <c r="R81" s="139">
        <f>(R75+R78)-R79</f>
        <v>-136599.84</v>
      </c>
      <c r="S81" s="140">
        <f>(S75+S78)-S79</f>
        <v>968277.91965517309</v>
      </c>
      <c r="T81" s="67"/>
      <c r="U81" s="67"/>
      <c r="V81" s="139">
        <f>(V75+V78)-V79</f>
        <v>3304344.6720000007</v>
      </c>
      <c r="W81" s="139">
        <f>(W75+W78)-W79</f>
        <v>-935836.91</v>
      </c>
      <c r="X81" s="140">
        <f>(X75+X78)-X79</f>
        <v>2228670.0628045984</v>
      </c>
      <c r="Y81" s="67"/>
      <c r="Z81" s="67"/>
      <c r="AA81" s="139">
        <f>(AA75+AA78)-AA79</f>
        <v>106313.84800000052</v>
      </c>
      <c r="AB81" s="139">
        <f>(AB75+AB78)-AB79</f>
        <v>-430093.5</v>
      </c>
      <c r="AC81" s="140">
        <f>(AC75+AC78)-AC79</f>
        <v>-376907.13061948662</v>
      </c>
      <c r="AD81" s="67"/>
      <c r="AE81" s="67"/>
      <c r="AF81" s="139">
        <f>(AF75+AF78)-AF79</f>
        <v>68971.864000000205</v>
      </c>
      <c r="AG81" s="139">
        <f>(AG75+AG78)-AG79</f>
        <v>-214631.03999999998</v>
      </c>
      <c r="AH81" s="140">
        <f>(AH75+AH78)-AH79</f>
        <v>-176744.27326144875</v>
      </c>
      <c r="AI81" s="67"/>
      <c r="AJ81" s="67"/>
      <c r="AK81" s="139">
        <f>(AK75+AK78)-AK79</f>
        <v>151596.78199999995</v>
      </c>
      <c r="AL81" s="139">
        <f>(AL75+AL78)-AL79</f>
        <v>-201551.3</v>
      </c>
      <c r="AM81" s="674" t="e">
        <f>(AM75+AM78)-AM79</f>
        <v>#DIV/0!</v>
      </c>
      <c r="AN81" s="700"/>
      <c r="AO81" s="67"/>
      <c r="AP81" s="139">
        <f>(AP75+AP78)-AP79</f>
        <v>-334.95600000000002</v>
      </c>
      <c r="AQ81" s="139">
        <f>(AQ75+AQ78)-AQ79</f>
        <v>-71645.460000000006</v>
      </c>
      <c r="AR81" s="674" t="e">
        <f>(AR75+AR78)-AR79</f>
        <v>#DIV/0!</v>
      </c>
      <c r="AS81" s="700"/>
      <c r="AT81" s="67"/>
      <c r="AU81" s="139">
        <f>(AU75+AU78)-AU79</f>
        <v>-2420.067</v>
      </c>
      <c r="AV81" s="139">
        <f>(AV75+AV78)-AV79</f>
        <v>-1600</v>
      </c>
      <c r="AW81" s="674">
        <f>(AW75+AW78)-AW79</f>
        <v>-4227.9766045197739</v>
      </c>
      <c r="AX81" s="700"/>
      <c r="AY81" s="67"/>
      <c r="AZ81" s="139">
        <f>(AZ75+AZ78)-AZ79</f>
        <v>290045.00199999998</v>
      </c>
      <c r="BA81" s="139">
        <f>(BA75+BA78)-BA79</f>
        <v>-17952.8</v>
      </c>
      <c r="BB81" s="674" t="e">
        <f>(BB75+BB78)-BB79</f>
        <v>#DIV/0!</v>
      </c>
      <c r="BC81" s="700"/>
      <c r="BD81" s="67"/>
      <c r="BE81" s="139">
        <f>(BE75+BE78)-BE79</f>
        <v>0</v>
      </c>
      <c r="BF81" s="139">
        <f>(BF75+BF78)-BF79</f>
        <v>0</v>
      </c>
      <c r="BG81" s="674">
        <f>(BG75+BG78)-BG79</f>
        <v>0</v>
      </c>
      <c r="BH81" s="700"/>
      <c r="BI81" s="67"/>
      <c r="BJ81" s="139">
        <f>(BJ75+BJ78)-BJ79</f>
        <v>0</v>
      </c>
      <c r="BK81" s="139">
        <f>(BK75+BK78)-BK79</f>
        <v>0</v>
      </c>
      <c r="BL81" s="674">
        <f>(BL75+BL78)-BL79</f>
        <v>0</v>
      </c>
      <c r="BM81" s="700"/>
      <c r="BN81" s="67"/>
      <c r="BO81" s="139">
        <f>(BO75+BO78)-BO79</f>
        <v>3910586.9799999967</v>
      </c>
      <c r="BP81" s="139">
        <f>(BP75+BP78)-BP79</f>
        <v>-2293422.6900000004</v>
      </c>
      <c r="BQ81" s="140" t="e">
        <f>(BQ75+BQ78)-BQ79</f>
        <v>#DIV/0!</v>
      </c>
      <c r="BR81" s="67"/>
      <c r="BS81" s="67"/>
      <c r="BT81" s="919"/>
      <c r="BU81" s="921"/>
    </row>
    <row r="82" spans="1:73" s="2" customFormat="1" ht="13.8" x14ac:dyDescent="0.25">
      <c r="A82" s="293"/>
      <c r="B82" s="6" t="s">
        <v>38</v>
      </c>
      <c r="C82" s="141"/>
      <c r="D82" s="142"/>
      <c r="E82" s="146">
        <f>C82+D82</f>
        <v>0</v>
      </c>
      <c r="F82" s="180">
        <f>E82/$E$89</f>
        <v>0</v>
      </c>
      <c r="G82" s="141"/>
      <c r="H82" s="142"/>
      <c r="I82" s="146">
        <f>G82+H82</f>
        <v>0</v>
      </c>
      <c r="J82" s="178">
        <f>I82/$I$89</f>
        <v>0</v>
      </c>
      <c r="K82" s="284"/>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564">
        <f>AK82+AL82</f>
        <v>0</v>
      </c>
      <c r="AN82" s="642"/>
      <c r="AO82" s="101"/>
      <c r="AP82" s="39"/>
      <c r="AQ82" s="39"/>
      <c r="AR82" s="564">
        <f>AP82+AQ82</f>
        <v>0</v>
      </c>
      <c r="AS82" s="642"/>
      <c r="AT82" s="101"/>
      <c r="AU82" s="39"/>
      <c r="AV82" s="39"/>
      <c r="AW82" s="564">
        <f>AU82+AV82</f>
        <v>0</v>
      </c>
      <c r="AX82" s="642"/>
      <c r="AY82" s="101"/>
      <c r="AZ82" s="39"/>
      <c r="BA82" s="39"/>
      <c r="BB82" s="564">
        <f>AZ82+BA82</f>
        <v>0</v>
      </c>
      <c r="BC82" s="642"/>
      <c r="BD82" s="101"/>
      <c r="BE82" s="39"/>
      <c r="BF82" s="39"/>
      <c r="BG82" s="564">
        <f>BE82+BF82</f>
        <v>0</v>
      </c>
      <c r="BH82" s="642"/>
      <c r="BI82" s="101"/>
      <c r="BJ82" s="39"/>
      <c r="BK82" s="39"/>
      <c r="BL82" s="564">
        <f>BJ82+BK82</f>
        <v>0</v>
      </c>
      <c r="BM82" s="642"/>
      <c r="BN82" s="101"/>
      <c r="BO82" s="39">
        <f>G82+L82+Q82+V82+AA82+AF82+AK82+AP82+AU82</f>
        <v>0</v>
      </c>
      <c r="BP82" s="39">
        <f>H82+M82+R82+W82+AB82+AG82+AL82+AQ82+AV82</f>
        <v>0</v>
      </c>
      <c r="BQ82" s="146">
        <f>BO82+BP82*1</f>
        <v>0</v>
      </c>
      <c r="BR82" s="101"/>
      <c r="BS82" s="101"/>
      <c r="BT82" s="919"/>
      <c r="BU82" s="921"/>
    </row>
    <row r="83" spans="1:73" s="2" customFormat="1" ht="13.8" x14ac:dyDescent="0.25">
      <c r="A83" s="11"/>
      <c r="B83" s="28" t="s">
        <v>13</v>
      </c>
      <c r="C83" s="147">
        <f>(C81+C7)-C36</f>
        <v>4299860.75</v>
      </c>
      <c r="D83" s="147">
        <f>(D81+D7)-D36</f>
        <v>-1979974</v>
      </c>
      <c r="E83" s="147">
        <f>(E81+E7)-E36</f>
        <v>2319886.75</v>
      </c>
      <c r="F83" s="174"/>
      <c r="G83" s="147">
        <f>(G81+G7)-G36</f>
        <v>-602581.99500000011</v>
      </c>
      <c r="H83" s="147">
        <f>(H81+H7)-H36</f>
        <v>-100902.5</v>
      </c>
      <c r="I83" s="148">
        <f>(I81+I7)-I36</f>
        <v>-717367.87290188926</v>
      </c>
      <c r="J83" s="199"/>
      <c r="K83" s="285"/>
      <c r="L83" s="147">
        <f>(L81+L7)-L36</f>
        <v>-530637.39999999991</v>
      </c>
      <c r="M83" s="147">
        <f>(M81+M7)-M36</f>
        <v>-182609.34</v>
      </c>
      <c r="N83" s="148">
        <f>(N81+N7)-N36</f>
        <v>-740533.19310344825</v>
      </c>
      <c r="O83" s="70"/>
      <c r="P83" s="70"/>
      <c r="Q83" s="147">
        <f>(Q81+Q7)-Q36</f>
        <v>1125289.2300000004</v>
      </c>
      <c r="R83" s="147">
        <f>(R81+R7)-R36</f>
        <v>-136599.84</v>
      </c>
      <c r="S83" s="148">
        <f>(S81+S7)-S36</f>
        <v>968277.91965517309</v>
      </c>
      <c r="T83" s="70"/>
      <c r="U83" s="70"/>
      <c r="V83" s="147">
        <f>(V81+V7)-V36</f>
        <v>3304344.6720000007</v>
      </c>
      <c r="W83" s="147">
        <f>(W81+W7)-W36</f>
        <v>-935836.91</v>
      </c>
      <c r="X83" s="148">
        <f>(X81+X7)-X36</f>
        <v>2228670.0628045984</v>
      </c>
      <c r="Y83" s="70"/>
      <c r="Z83" s="70"/>
      <c r="AA83" s="147">
        <f>(AA81+AA7)-AA36</f>
        <v>106313.84800000052</v>
      </c>
      <c r="AB83" s="147">
        <f>(AB81+AB7)-AB36</f>
        <v>-430093.5</v>
      </c>
      <c r="AC83" s="148">
        <f>(AC81+AC7)-AC36</f>
        <v>-376907.13061948662</v>
      </c>
      <c r="AD83" s="70"/>
      <c r="AE83" s="70"/>
      <c r="AF83" s="147">
        <f>(AF81)-AF36</f>
        <v>68971.864000000205</v>
      </c>
      <c r="AG83" s="147">
        <f>(AG81)-AG36</f>
        <v>-214631.03999999998</v>
      </c>
      <c r="AH83" s="147">
        <f>(AH81)-AH36</f>
        <v>-176744.27326144875</v>
      </c>
      <c r="AI83" s="70"/>
      <c r="AJ83" s="70"/>
      <c r="AK83" s="147">
        <f>(AK81)-AK36</f>
        <v>151596.78199999995</v>
      </c>
      <c r="AL83" s="147">
        <f>(AL81)-AL36</f>
        <v>-201551.3</v>
      </c>
      <c r="AM83" s="680" t="e">
        <f>(AM81)-AM36</f>
        <v>#DIV/0!</v>
      </c>
      <c r="AN83" s="701"/>
      <c r="AO83" s="70"/>
      <c r="AP83" s="147">
        <f>(AP81)-AP36</f>
        <v>-334.95600000000002</v>
      </c>
      <c r="AQ83" s="147">
        <f>(AQ81)-AQ36</f>
        <v>-71645.460000000006</v>
      </c>
      <c r="AR83" s="680" t="e">
        <f>(AR81)-AR36</f>
        <v>#DIV/0!</v>
      </c>
      <c r="AS83" s="701"/>
      <c r="AT83" s="70"/>
      <c r="AU83" s="147">
        <f>(AU81)-AU36</f>
        <v>-2420.067</v>
      </c>
      <c r="AV83" s="147">
        <f>(AV81)-AV36</f>
        <v>-1600</v>
      </c>
      <c r="AW83" s="680">
        <f>(AW81)-AW36</f>
        <v>-4227.9766045197739</v>
      </c>
      <c r="AX83" s="701"/>
      <c r="AY83" s="70"/>
      <c r="AZ83" s="147">
        <f>(AZ81)-AZ36</f>
        <v>290045.00199999998</v>
      </c>
      <c r="BA83" s="147">
        <f>(BA81)-BA36</f>
        <v>-17952.8</v>
      </c>
      <c r="BB83" s="680" t="e">
        <f>(BB81)-BB36</f>
        <v>#DIV/0!</v>
      </c>
      <c r="BC83" s="701"/>
      <c r="BD83" s="70"/>
      <c r="BE83" s="147">
        <f>(BE81)-BE36</f>
        <v>0</v>
      </c>
      <c r="BF83" s="147">
        <f>(BF81)-BF36</f>
        <v>0</v>
      </c>
      <c r="BG83" s="680">
        <f>(BG81)-BG36</f>
        <v>0</v>
      </c>
      <c r="BH83" s="701"/>
      <c r="BI83" s="70"/>
      <c r="BJ83" s="147">
        <f>(BJ81)-BJ36</f>
        <v>0</v>
      </c>
      <c r="BK83" s="147">
        <f>(BK81)-BK36</f>
        <v>0</v>
      </c>
      <c r="BL83" s="680">
        <f>(BL81)-BL36</f>
        <v>0</v>
      </c>
      <c r="BM83" s="701"/>
      <c r="BN83" s="70"/>
      <c r="BO83" s="147">
        <f>(BO81)-BO36</f>
        <v>3910586.9799999967</v>
      </c>
      <c r="BP83" s="147">
        <f>(BP81)-BP36</f>
        <v>-2293422.6900000004</v>
      </c>
      <c r="BQ83" s="147" t="e">
        <f>(BQ81)-BQ36</f>
        <v>#DIV/0!</v>
      </c>
      <c r="BR83" s="70"/>
      <c r="BS83" s="70"/>
      <c r="BT83" s="919"/>
      <c r="BU83" s="921"/>
    </row>
    <row r="84" spans="1:73" s="2" customFormat="1" ht="14.4" thickBot="1" x14ac:dyDescent="0.3">
      <c r="A84" s="11"/>
      <c r="B84" s="211" t="s">
        <v>14</v>
      </c>
      <c r="C84" s="212">
        <f>C83-C73-C82</f>
        <v>3688078.94</v>
      </c>
      <c r="D84" s="212">
        <f>D83-D73-D82</f>
        <v>-1979974</v>
      </c>
      <c r="E84" s="212">
        <f>E83-E73-E82</f>
        <v>1708104.94</v>
      </c>
      <c r="F84" s="214"/>
      <c r="G84" s="212">
        <f>G83-G73-G82</f>
        <v>-602581.99500000011</v>
      </c>
      <c r="H84" s="212">
        <f>H83-H73-H82</f>
        <v>-100902.5</v>
      </c>
      <c r="I84" s="213">
        <f>I83-I73-I82</f>
        <v>-717367.87290188926</v>
      </c>
      <c r="J84" s="215"/>
      <c r="K84" s="286"/>
      <c r="L84" s="213">
        <f>L83-L73-L82</f>
        <v>-530637.39999999991</v>
      </c>
      <c r="M84" s="213">
        <f>M83-M73-M82</f>
        <v>-182609.34</v>
      </c>
      <c r="N84" s="213">
        <f>N83-N73-N82</f>
        <v>-740533.19310344825</v>
      </c>
      <c r="O84" s="82"/>
      <c r="P84" s="82"/>
      <c r="Q84" s="213">
        <f>Q83-Q73-Q82</f>
        <v>1125289.2300000004</v>
      </c>
      <c r="R84" s="213">
        <f>R83-R73-R82</f>
        <v>-136599.84</v>
      </c>
      <c r="S84" s="213">
        <f>S83-S73-S82</f>
        <v>968277.91965517309</v>
      </c>
      <c r="T84" s="82"/>
      <c r="U84" s="82"/>
      <c r="V84" s="213">
        <f>V83-V73-V82</f>
        <v>3304344.6720000007</v>
      </c>
      <c r="W84" s="213">
        <f>W83-W73-W82</f>
        <v>-935836.91</v>
      </c>
      <c r="X84" s="213">
        <f>X83-X73-X82</f>
        <v>2228670.0628045984</v>
      </c>
      <c r="Y84" s="82"/>
      <c r="Z84" s="82"/>
      <c r="AA84" s="213">
        <f>AA83-AA73-AA82</f>
        <v>106313.84800000052</v>
      </c>
      <c r="AB84" s="213">
        <f>AB83-AB73-AB82</f>
        <v>-430093.5</v>
      </c>
      <c r="AC84" s="213">
        <f>AC83-AC73-AC82</f>
        <v>-376907.13061948662</v>
      </c>
      <c r="AD84" s="82"/>
      <c r="AE84" s="82"/>
      <c r="AF84" s="213">
        <f>AF83-AF73-AF82</f>
        <v>68971.864000000205</v>
      </c>
      <c r="AG84" s="213">
        <f>AG83-AG73-AG82</f>
        <v>-214631.03999999998</v>
      </c>
      <c r="AH84" s="213">
        <f>AH83-AH73-AH82</f>
        <v>-176744.27326144875</v>
      </c>
      <c r="AI84" s="82"/>
      <c r="AJ84" s="82"/>
      <c r="AK84" s="213">
        <f>AK83-AK73-AK82</f>
        <v>151596.78199999995</v>
      </c>
      <c r="AL84" s="213">
        <f>AL83-AL73-AL82</f>
        <v>-201551.3</v>
      </c>
      <c r="AM84" s="562" t="e">
        <f>AM83-AM73-AM82</f>
        <v>#DIV/0!</v>
      </c>
      <c r="AN84" s="702"/>
      <c r="AO84" s="82"/>
      <c r="AP84" s="213">
        <f>AP83-AP73-AP82</f>
        <v>-334.95600000000002</v>
      </c>
      <c r="AQ84" s="213">
        <f>AQ83-AQ73-AQ82</f>
        <v>-71645.460000000006</v>
      </c>
      <c r="AR84" s="562" t="e">
        <f>AR83-AR73-AR82</f>
        <v>#DIV/0!</v>
      </c>
      <c r="AS84" s="702"/>
      <c r="AT84" s="82"/>
      <c r="AU84" s="213">
        <f>AU83-AU73-AU82</f>
        <v>-2420.067</v>
      </c>
      <c r="AV84" s="213">
        <f>AV83-AV73-AV82</f>
        <v>-1600</v>
      </c>
      <c r="AW84" s="562">
        <f>AW83-AW73-AW82</f>
        <v>-4227.9766045197739</v>
      </c>
      <c r="AX84" s="702"/>
      <c r="AY84" s="82"/>
      <c r="AZ84" s="213">
        <f>AZ83-AZ73-AZ82</f>
        <v>290045.00199999998</v>
      </c>
      <c r="BA84" s="213">
        <f>BA83-BA73-BA82</f>
        <v>-17952.8</v>
      </c>
      <c r="BB84" s="562" t="e">
        <f>BB83-BB73-BB82</f>
        <v>#DIV/0!</v>
      </c>
      <c r="BC84" s="702"/>
      <c r="BD84" s="82"/>
      <c r="BE84" s="213">
        <f>BE83-BE73-BE82</f>
        <v>0</v>
      </c>
      <c r="BF84" s="213">
        <f>BF83-BF73-BF82</f>
        <v>0</v>
      </c>
      <c r="BG84" s="562">
        <f>BG83-BG73-BG82</f>
        <v>0</v>
      </c>
      <c r="BH84" s="702"/>
      <c r="BI84" s="82"/>
      <c r="BJ84" s="213">
        <f>BJ83-BJ73-BJ82</f>
        <v>0</v>
      </c>
      <c r="BK84" s="213">
        <f>BK83-BK73-BK82</f>
        <v>0</v>
      </c>
      <c r="BL84" s="562">
        <f>BL83-BL73-BL82</f>
        <v>0</v>
      </c>
      <c r="BM84" s="702"/>
      <c r="BN84" s="82"/>
      <c r="BO84" s="213">
        <f>BO83-BO73-BO82</f>
        <v>3910586.9799999967</v>
      </c>
      <c r="BP84" s="213">
        <f>BP83-BP73-BP82</f>
        <v>-2293422.6900000004</v>
      </c>
      <c r="BQ84" s="213" t="e">
        <f>BQ83-BQ73-BQ82</f>
        <v>#DIV/0!</v>
      </c>
      <c r="BR84" s="82"/>
      <c r="BS84" s="82"/>
      <c r="BT84" s="919"/>
      <c r="BU84" s="921"/>
    </row>
    <row r="85" spans="1:73" s="2" customFormat="1" ht="13.8" x14ac:dyDescent="0.25">
      <c r="A85" s="293"/>
      <c r="B85" s="216" t="s">
        <v>44</v>
      </c>
      <c r="C85" s="141"/>
      <c r="D85" s="142"/>
      <c r="E85" s="146">
        <f>C85+D85</f>
        <v>0</v>
      </c>
      <c r="F85" s="217">
        <f>E85/$E$89</f>
        <v>0</v>
      </c>
      <c r="G85" s="102"/>
      <c r="H85" s="102"/>
      <c r="I85" s="146">
        <f>G85+H85</f>
        <v>0</v>
      </c>
      <c r="J85" s="178">
        <f>I85/$I$89</f>
        <v>0</v>
      </c>
      <c r="K85" s="287"/>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484">
        <f>AK85+AL85*1.15</f>
        <v>0</v>
      </c>
      <c r="AN85" s="566"/>
      <c r="AO85" s="102"/>
      <c r="AP85" s="39"/>
      <c r="AQ85" s="39"/>
      <c r="AR85" s="484">
        <f>AP85+AQ85*1.15</f>
        <v>0</v>
      </c>
      <c r="AS85" s="566"/>
      <c r="AT85" s="102"/>
      <c r="AU85" s="39"/>
      <c r="AV85" s="39"/>
      <c r="AW85" s="484">
        <f>AU85+AV85*1.15</f>
        <v>0</v>
      </c>
      <c r="AX85" s="566"/>
      <c r="AY85" s="102"/>
      <c r="AZ85" s="39"/>
      <c r="BA85" s="39"/>
      <c r="BB85" s="484">
        <f>AZ85+BA85*1.15</f>
        <v>0</v>
      </c>
      <c r="BC85" s="566"/>
      <c r="BD85" s="102"/>
      <c r="BE85" s="39"/>
      <c r="BF85" s="39"/>
      <c r="BG85" s="484">
        <f>BE85+BF85*1.15</f>
        <v>0</v>
      </c>
      <c r="BH85" s="566"/>
      <c r="BI85" s="102"/>
      <c r="BJ85" s="39"/>
      <c r="BK85" s="39"/>
      <c r="BL85" s="484">
        <f>BJ85+BK85*1.15</f>
        <v>0</v>
      </c>
      <c r="BM85" s="566"/>
      <c r="BN85" s="102"/>
      <c r="BO85" s="39">
        <f>G85+L85+Q85+V85+AA85+AF85+AK85+AP85+AU85</f>
        <v>0</v>
      </c>
      <c r="BP85" s="39">
        <f>H85+M85+R85+W85+AB85+AG85+AL85+AQ85+AV85</f>
        <v>0</v>
      </c>
      <c r="BQ85" s="219">
        <f>BO85+BP85*1</f>
        <v>0</v>
      </c>
      <c r="BR85" s="102"/>
      <c r="BS85" s="102"/>
      <c r="BT85" s="919"/>
      <c r="BU85" s="921"/>
    </row>
    <row r="86" spans="1:73" s="2" customFormat="1" ht="28.2" thickBot="1" x14ac:dyDescent="0.3">
      <c r="A86" s="11"/>
      <c r="B86" s="37" t="s">
        <v>50</v>
      </c>
      <c r="C86" s="149">
        <f>C84-C85</f>
        <v>3688078.94</v>
      </c>
      <c r="D86" s="149">
        <f>D84-D85</f>
        <v>-1979974</v>
      </c>
      <c r="E86" s="150">
        <f>E84-E85</f>
        <v>1708104.94</v>
      </c>
      <c r="F86" s="175"/>
      <c r="G86" s="72">
        <f>G84-G85</f>
        <v>-602581.99500000011</v>
      </c>
      <c r="H86" s="72">
        <f>H84-H85</f>
        <v>-100902.5</v>
      </c>
      <c r="I86" s="73">
        <f>I84-I85</f>
        <v>-717367.87290188926</v>
      </c>
      <c r="J86" s="200"/>
      <c r="K86" s="288"/>
      <c r="L86" s="150">
        <f>L84-L85</f>
        <v>-530637.39999999991</v>
      </c>
      <c r="M86" s="150">
        <f>M84-M85</f>
        <v>-182609.34</v>
      </c>
      <c r="N86" s="150">
        <f>N84-N85</f>
        <v>-740533.19310344825</v>
      </c>
      <c r="O86" s="73"/>
      <c r="P86" s="73"/>
      <c r="Q86" s="150">
        <f>Q84-Q85</f>
        <v>1125289.2300000004</v>
      </c>
      <c r="R86" s="150">
        <f>R84-R85</f>
        <v>-136599.84</v>
      </c>
      <c r="S86" s="150">
        <f>S84-S85</f>
        <v>968277.91965517309</v>
      </c>
      <c r="T86" s="73"/>
      <c r="U86" s="73"/>
      <c r="V86" s="150">
        <f>V84-V85</f>
        <v>3304344.6720000007</v>
      </c>
      <c r="W86" s="150">
        <f>W84-W85</f>
        <v>-935836.91</v>
      </c>
      <c r="X86" s="150">
        <f>X84-X85</f>
        <v>2228670.0628045984</v>
      </c>
      <c r="Y86" s="73"/>
      <c r="Z86" s="73"/>
      <c r="AA86" s="150">
        <f>AA84-AA85</f>
        <v>106313.84800000052</v>
      </c>
      <c r="AB86" s="150">
        <f>AB84-AB85</f>
        <v>-430093.5</v>
      </c>
      <c r="AC86" s="150">
        <f>AC84-AC85</f>
        <v>-376907.13061948662</v>
      </c>
      <c r="AD86" s="73"/>
      <c r="AE86" s="73"/>
      <c r="AF86" s="150">
        <f>AF84-AF85</f>
        <v>68971.864000000205</v>
      </c>
      <c r="AG86" s="150">
        <f>AG84-AG85</f>
        <v>-214631.03999999998</v>
      </c>
      <c r="AH86" s="150">
        <f>AH84-AH85</f>
        <v>-176744.27326144875</v>
      </c>
      <c r="AI86" s="73"/>
      <c r="AJ86" s="73"/>
      <c r="AK86" s="150">
        <f>AK84-AK85</f>
        <v>151596.78199999995</v>
      </c>
      <c r="AL86" s="150">
        <f>AL84-AL85</f>
        <v>-201551.3</v>
      </c>
      <c r="AM86" s="712" t="e">
        <f>AM84-AM85</f>
        <v>#DIV/0!</v>
      </c>
      <c r="AN86" s="703"/>
      <c r="AO86" s="73"/>
      <c r="AP86" s="150">
        <f>AP84-AP85</f>
        <v>-334.95600000000002</v>
      </c>
      <c r="AQ86" s="150">
        <f>AQ84-AQ85</f>
        <v>-71645.460000000006</v>
      </c>
      <c r="AR86" s="712" t="e">
        <f>AR84-AR85</f>
        <v>#DIV/0!</v>
      </c>
      <c r="AS86" s="703"/>
      <c r="AT86" s="73"/>
      <c r="AU86" s="150">
        <f>AU84-AU85</f>
        <v>-2420.067</v>
      </c>
      <c r="AV86" s="150">
        <f>AV84-AV85</f>
        <v>-1600</v>
      </c>
      <c r="AW86" s="712">
        <f>AW84-AW85</f>
        <v>-4227.9766045197739</v>
      </c>
      <c r="AX86" s="703"/>
      <c r="AY86" s="73"/>
      <c r="AZ86" s="150">
        <f>AZ84-AZ85</f>
        <v>290045.00199999998</v>
      </c>
      <c r="BA86" s="150">
        <f>BA84-BA85</f>
        <v>-17952.8</v>
      </c>
      <c r="BB86" s="712" t="e">
        <f>BB84-BB85</f>
        <v>#DIV/0!</v>
      </c>
      <c r="BC86" s="703"/>
      <c r="BD86" s="73"/>
      <c r="BE86" s="150">
        <f>BE84-BE85</f>
        <v>0</v>
      </c>
      <c r="BF86" s="150">
        <f>BF84-BF85</f>
        <v>0</v>
      </c>
      <c r="BG86" s="712">
        <f>BG84-BG85</f>
        <v>0</v>
      </c>
      <c r="BH86" s="703"/>
      <c r="BI86" s="73"/>
      <c r="BJ86" s="150">
        <f>BJ84-BJ85</f>
        <v>0</v>
      </c>
      <c r="BK86" s="150">
        <f>BK84-BK85</f>
        <v>0</v>
      </c>
      <c r="BL86" s="712">
        <f>BL84-BL85</f>
        <v>0</v>
      </c>
      <c r="BM86" s="703"/>
      <c r="BN86" s="73"/>
      <c r="BO86" s="150">
        <f>BO84-BO85</f>
        <v>3910586.9799999967</v>
      </c>
      <c r="BP86" s="150">
        <f>BP84-BP85</f>
        <v>-2293422.6900000004</v>
      </c>
      <c r="BQ86" s="150" t="e">
        <f>BQ84-BQ85</f>
        <v>#DIV/0!</v>
      </c>
      <c r="BR86" s="73"/>
      <c r="BS86" s="73"/>
      <c r="BT86" s="919"/>
      <c r="BU86" s="921"/>
    </row>
    <row r="87" spans="1:73" s="2" customFormat="1" ht="14.4" thickBot="1" x14ac:dyDescent="0.3">
      <c r="A87" s="295"/>
      <c r="B87" s="29" t="s">
        <v>51</v>
      </c>
      <c r="C87" s="155">
        <f>C86/C5</f>
        <v>0.19156436432663787</v>
      </c>
      <c r="D87" s="151" t="e">
        <f>D86/D5</f>
        <v>#DIV/0!</v>
      </c>
      <c r="E87" s="156">
        <f>E86/E5</f>
        <v>8.8721538328648125E-2</v>
      </c>
      <c r="F87" s="176"/>
      <c r="G87" s="74" t="e">
        <f>G86/G5</f>
        <v>#DIV/0!</v>
      </c>
      <c r="H87" s="74" t="e">
        <f>H86/H5</f>
        <v>#DIV/0!</v>
      </c>
      <c r="I87" s="75" t="e">
        <f>I86/I5</f>
        <v>#DIV/0!</v>
      </c>
      <c r="J87" s="201"/>
      <c r="K87" s="289"/>
      <c r="L87" s="155" t="e">
        <f>L86/L5</f>
        <v>#DIV/0!</v>
      </c>
      <c r="M87" s="151" t="e">
        <f>M86/M5</f>
        <v>#DIV/0!</v>
      </c>
      <c r="N87" s="156" t="e">
        <f>N86/N5</f>
        <v>#DIV/0!</v>
      </c>
      <c r="O87" s="75"/>
      <c r="P87" s="75"/>
      <c r="Q87" s="155">
        <f>Q86/Q5</f>
        <v>0.22171407318693789</v>
      </c>
      <c r="R87" s="151" t="e">
        <f>R86/R5</f>
        <v>#DIV/0!</v>
      </c>
      <c r="S87" s="156">
        <f>S86/S5</f>
        <v>0.19077836685926777</v>
      </c>
      <c r="T87" s="75"/>
      <c r="U87" s="75"/>
      <c r="V87" s="155">
        <f>V86/V5</f>
        <v>0.39567289740495071</v>
      </c>
      <c r="W87" s="151" t="e">
        <f>W86/W5</f>
        <v>#DIV/0!</v>
      </c>
      <c r="X87" s="156">
        <f>X86/X5</f>
        <v>0.26686814743688114</v>
      </c>
      <c r="Y87" s="75"/>
      <c r="Z87" s="75"/>
      <c r="AA87" s="155">
        <f>AA86/AA5</f>
        <v>3.1379483055556844E-2</v>
      </c>
      <c r="AB87" s="151" t="e">
        <f>AB86/AB5</f>
        <v>#DIV/0!</v>
      </c>
      <c r="AC87" s="156">
        <f>AC86/AC5</f>
        <v>-0.11124751047288471</v>
      </c>
      <c r="AD87" s="75"/>
      <c r="AE87" s="75"/>
      <c r="AF87" s="155">
        <f>AF86/AF5</f>
        <v>5.2013898534448433E-2</v>
      </c>
      <c r="AG87" s="151" t="e">
        <f>AG86/AG5</f>
        <v>#DIV/0!</v>
      </c>
      <c r="AH87" s="156">
        <f>AH86/AH5</f>
        <v>-0.13328853481422215</v>
      </c>
      <c r="AI87" s="75"/>
      <c r="AJ87" s="75"/>
      <c r="AK87" s="155">
        <f>AK86/AK5</f>
        <v>0.14271496603881256</v>
      </c>
      <c r="AL87" s="151" t="e">
        <f>AL86/AL5</f>
        <v>#DIV/0!</v>
      </c>
      <c r="AM87" s="704" t="e">
        <f>AM86/AM5</f>
        <v>#DIV/0!</v>
      </c>
      <c r="AN87" s="75"/>
      <c r="AO87" s="75"/>
      <c r="AP87" s="155" t="e">
        <f>AP86/AP5</f>
        <v>#DIV/0!</v>
      </c>
      <c r="AQ87" s="151" t="e">
        <f>AQ86/AQ5</f>
        <v>#DIV/0!</v>
      </c>
      <c r="AR87" s="704" t="e">
        <f>AR86/AR5</f>
        <v>#DIV/0!</v>
      </c>
      <c r="AS87" s="75"/>
      <c r="AT87" s="75"/>
      <c r="AU87" s="155" t="e">
        <f>AU86/AU5</f>
        <v>#DIV/0!</v>
      </c>
      <c r="AV87" s="151" t="e">
        <f>AV86/AV5</f>
        <v>#DIV/0!</v>
      </c>
      <c r="AW87" s="704" t="e">
        <f>AW86/AW5</f>
        <v>#DIV/0!</v>
      </c>
      <c r="AX87" s="75"/>
      <c r="AY87" s="75"/>
      <c r="AZ87" s="155">
        <f>AZ86/AZ5</f>
        <v>0.49775712318505794</v>
      </c>
      <c r="BA87" s="151" t="e">
        <f>BA86/BA5</f>
        <v>#DIV/0!</v>
      </c>
      <c r="BB87" s="704" t="e">
        <f>BB86/BB5</f>
        <v>#DIV/0!</v>
      </c>
      <c r="BC87" s="75"/>
      <c r="BD87" s="75"/>
      <c r="BE87" s="155" t="e">
        <f>BE86/BE5</f>
        <v>#DIV/0!</v>
      </c>
      <c r="BF87" s="151" t="e">
        <f>BF86/BF5</f>
        <v>#DIV/0!</v>
      </c>
      <c r="BG87" s="704" t="e">
        <f>BG86/BG5</f>
        <v>#DIV/0!</v>
      </c>
      <c r="BH87" s="75"/>
      <c r="BI87" s="75"/>
      <c r="BJ87" s="155" t="e">
        <f>BJ86/BJ5</f>
        <v>#DIV/0!</v>
      </c>
      <c r="BK87" s="151" t="e">
        <f>BK86/BK5</f>
        <v>#DIV/0!</v>
      </c>
      <c r="BL87" s="704" t="e">
        <f>BL86/BL5</f>
        <v>#DIV/0!</v>
      </c>
      <c r="BM87" s="75"/>
      <c r="BN87" s="75"/>
      <c r="BO87" s="155">
        <f>BO86/BO5</f>
        <v>0.19764832223434678</v>
      </c>
      <c r="BP87" s="151" t="e">
        <f>BP86/BP5</f>
        <v>#DIV/0!</v>
      </c>
      <c r="BQ87" s="156" t="e">
        <f>BQ86/BQ5</f>
        <v>#DIV/0!</v>
      </c>
      <c r="BR87" s="75"/>
      <c r="BS87" s="75"/>
      <c r="BT87" s="919"/>
      <c r="BU87" s="921"/>
    </row>
    <row r="88" spans="1:73" ht="13.8" x14ac:dyDescent="0.25">
      <c r="A88" s="30"/>
      <c r="B88" s="30"/>
      <c r="C88" s="152"/>
      <c r="D88" s="152"/>
      <c r="E88" s="152"/>
      <c r="F88" s="188"/>
      <c r="G88" s="76"/>
      <c r="H88" s="76"/>
      <c r="I88" s="76"/>
      <c r="J88" s="208"/>
      <c r="K88" s="20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U88" s="921"/>
    </row>
    <row r="89" spans="1:73" x14ac:dyDescent="0.25">
      <c r="B89" s="221" t="s">
        <v>56</v>
      </c>
      <c r="C89" s="153"/>
      <c r="D89" s="153"/>
      <c r="E89" s="154">
        <f>E8+E36+E41+E50+E54+E73+E79+E82+E85</f>
        <v>17544322.059999999</v>
      </c>
      <c r="F89" s="189"/>
      <c r="I89" s="154">
        <f>I8+I36+I41+I50+I54+I73+I79+I82+I85</f>
        <v>717367.87290188926</v>
      </c>
      <c r="N89" s="154">
        <f>N8+N36+N41+N50+N54+N73+N79+N82+N85</f>
        <v>740533.19310344825</v>
      </c>
      <c r="S89" s="154">
        <f>S8+S36+S41+S50+S54+S73+S79+S82+S85</f>
        <v>4107129.4003448272</v>
      </c>
      <c r="X89" s="154">
        <f>X8+X36+X41+X50+X54+X73+X79+X82+X85</f>
        <v>6122532.8971954016</v>
      </c>
      <c r="AC89" s="154">
        <f>AC8+AC36+AC41+AC50+AC54+AC73+AC79+AC82+AC85</f>
        <v>3764912.2106194869</v>
      </c>
      <c r="AH89" s="154">
        <f>AH8+AH36+AH41+AH50+AH54+AH73+AH79+AH82+AH85</f>
        <v>1502771.8532614487</v>
      </c>
      <c r="AM89" s="154" t="e">
        <f>AM8+AM36+AM41+AM50+AM54+AM73+AM79+AM82+AM85</f>
        <v>#DIV/0!</v>
      </c>
      <c r="AR89" s="154" t="e">
        <f>AR8+AR36+AR41+AR50+AR54+AR73+AR79+AR82+AR85</f>
        <v>#DIV/0!</v>
      </c>
      <c r="AW89" s="154">
        <f>AW8+AW36+AW41+AW50+AW54+AW73+AW79+AW82+AW85</f>
        <v>4227.9766045197739</v>
      </c>
      <c r="BB89" s="154" t="e">
        <f>BB8+BB36+BB41+BB50+BB54+BB73+BB79+BB82+BB85</f>
        <v>#DIV/0!</v>
      </c>
      <c r="BG89" s="154">
        <f>BG8+BG36+BG41+BG50+BG54+BG73+BG79+BG82+BG85</f>
        <v>0</v>
      </c>
      <c r="BL89" s="154">
        <f>BL8+BL36+BL41+BL50+BL54+BL73+BL79+BL82+BL85</f>
        <v>0</v>
      </c>
      <c r="BQ89" s="154" t="e">
        <f>BQ8+BQ36+BQ41+BQ50+BQ54+BQ73+BQ79+BQ82+BQ85</f>
        <v>#DIV/0!</v>
      </c>
      <c r="BT89" s="38"/>
    </row>
    <row r="90" spans="1:73" x14ac:dyDescent="0.25">
      <c r="C90" s="153"/>
      <c r="D90" s="153"/>
      <c r="E90" s="153"/>
      <c r="BQ90" s="395" t="e">
        <f>(N89+I89+S89+X89+AC89+AH89+AM89+AR89+AW89+BB89+BG89)=BQ89</f>
        <v>#DIV/0!</v>
      </c>
    </row>
    <row r="91" spans="1:73" s="2" customFormat="1" x14ac:dyDescent="0.25">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c r="BT91" s="920"/>
      <c r="BU91" s="919"/>
    </row>
    <row r="92" spans="1:73" x14ac:dyDescent="0.25">
      <c r="B92" s="629"/>
      <c r="C92" s="38"/>
      <c r="D92" s="38"/>
    </row>
    <row r="93" spans="1:73" s="2" customFormat="1" x14ac:dyDescent="0.25">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7">
        <f>AH5-AH89</f>
        <v>-176744.2732614486</v>
      </c>
      <c r="AI93" s="687"/>
      <c r="AJ93" s="687"/>
      <c r="AK93" s="38"/>
      <c r="AL93" s="38"/>
      <c r="AM93" s="687" t="e">
        <f>AM5-AM89</f>
        <v>#DIV/0!</v>
      </c>
      <c r="AN93" s="687"/>
      <c r="AO93" s="687"/>
      <c r="AP93" s="38"/>
      <c r="AQ93" s="38"/>
      <c r="AR93" s="687" t="e">
        <f>AR5-AR89</f>
        <v>#DIV/0!</v>
      </c>
      <c r="AS93" s="687"/>
      <c r="AT93" s="687"/>
      <c r="AU93" s="38"/>
      <c r="AV93" s="38"/>
      <c r="AW93" s="687">
        <f>AW5-AW89</f>
        <v>-4227.9766045197739</v>
      </c>
      <c r="AX93" s="687"/>
      <c r="AY93" s="687"/>
      <c r="AZ93" s="38"/>
      <c r="BA93" s="38"/>
      <c r="BB93" s="687" t="e">
        <f>BB5-BB89</f>
        <v>#DIV/0!</v>
      </c>
      <c r="BC93" s="687"/>
      <c r="BD93" s="687"/>
      <c r="BE93" s="38"/>
      <c r="BF93" s="38"/>
      <c r="BG93" s="687">
        <f>BG5-BG89</f>
        <v>0</v>
      </c>
      <c r="BH93" s="687"/>
      <c r="BI93" s="687"/>
      <c r="BJ93" s="687"/>
      <c r="BK93" s="687"/>
      <c r="BL93" s="687"/>
      <c r="BM93" s="687"/>
      <c r="BN93" s="687"/>
      <c r="BO93" s="687"/>
      <c r="BP93" s="687"/>
      <c r="BQ93" s="687" t="e">
        <f>BQ5-BQ89</f>
        <v>#DIV/0!</v>
      </c>
      <c r="BR93" s="38"/>
      <c r="BS93" s="38"/>
      <c r="BT93" s="919"/>
      <c r="BU93" s="919"/>
    </row>
    <row r="94" spans="1:73" s="2" customFormat="1" x14ac:dyDescent="0.25">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c r="BO94" s="626"/>
      <c r="BP94" s="38"/>
      <c r="BQ94" s="38"/>
      <c r="BR94" s="38"/>
      <c r="BS94" s="38"/>
      <c r="BT94" s="919"/>
      <c r="BU94" s="919"/>
    </row>
    <row r="95" spans="1:73" s="2" customFormat="1" x14ac:dyDescent="0.25">
      <c r="A95" s="8"/>
      <c r="B95" s="721"/>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v>45087</v>
      </c>
      <c r="AN95" s="722" t="s">
        <v>860</v>
      </c>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c r="BT95" s="919"/>
      <c r="BU95" s="919"/>
    </row>
    <row r="96" spans="1:73" s="2" customFormat="1" x14ac:dyDescent="0.25">
      <c r="A96" s="8"/>
      <c r="B96" s="721"/>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v>61098</v>
      </c>
      <c r="AN96" s="722" t="s">
        <v>861</v>
      </c>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v>19468544.969999999</v>
      </c>
      <c r="BR96" s="38"/>
      <c r="BS96" s="38"/>
      <c r="BT96" s="919"/>
      <c r="BU96" s="919"/>
    </row>
    <row r="97" spans="1:73" x14ac:dyDescent="0.25">
      <c r="C97" s="38"/>
      <c r="D97" s="38"/>
      <c r="AM97" s="756">
        <f>AM95+AM96</f>
        <v>106185</v>
      </c>
      <c r="BQ97" s="38" t="e">
        <f>BQ89-BQ96</f>
        <v>#DIV/0!</v>
      </c>
    </row>
    <row r="98" spans="1:73"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927"/>
      <c r="BS98" s="38"/>
      <c r="BT98" s="919"/>
      <c r="BU98" s="919"/>
    </row>
    <row r="99" spans="1:73" x14ac:dyDescent="0.25">
      <c r="B99" s="723"/>
      <c r="C99" s="38"/>
      <c r="D99" s="38"/>
      <c r="AM99" s="38" t="e">
        <f>AM97+AM86</f>
        <v>#DIV/0!</v>
      </c>
      <c r="BP99" s="38" t="s">
        <v>926</v>
      </c>
      <c r="BQ99" s="38">
        <f>3%*BO6</f>
        <v>592901.44379999989</v>
      </c>
      <c r="BR99" s="927" t="s">
        <v>931</v>
      </c>
    </row>
    <row r="100" spans="1:73" x14ac:dyDescent="0.25">
      <c r="BP100" s="38" t="s">
        <v>927</v>
      </c>
      <c r="BQ100" s="38">
        <f>-BU16</f>
        <v>172615.60999999987</v>
      </c>
      <c r="BR100" s="927" t="s">
        <v>932</v>
      </c>
    </row>
    <row r="101" spans="1:73" ht="39.6" x14ac:dyDescent="0.25">
      <c r="BP101" s="927" t="s">
        <v>928</v>
      </c>
      <c r="BQ101" s="38">
        <f>SUM(BU25:BU26)</f>
        <v>92603.841999999684</v>
      </c>
      <c r="BR101" s="927" t="s">
        <v>933</v>
      </c>
    </row>
    <row r="102" spans="1:73" ht="26.4" x14ac:dyDescent="0.25">
      <c r="BP102" s="927" t="s">
        <v>929</v>
      </c>
      <c r="BQ102" s="38">
        <f>-BU18</f>
        <v>81183.660000000033</v>
      </c>
      <c r="BR102" s="927" t="s">
        <v>933</v>
      </c>
    </row>
    <row r="103" spans="1:73" ht="52.8" x14ac:dyDescent="0.25">
      <c r="BP103" s="38" t="s">
        <v>930</v>
      </c>
      <c r="BQ103" s="38" t="e">
        <f>-BU79</f>
        <v>#DIV/0!</v>
      </c>
      <c r="BR103" s="927" t="s">
        <v>934</v>
      </c>
    </row>
  </sheetData>
  <mergeCells count="16">
    <mergeCell ref="BO2:BR3"/>
    <mergeCell ref="G2:J3"/>
    <mergeCell ref="A42:A48"/>
    <mergeCell ref="A2:F2"/>
    <mergeCell ref="A3:F3"/>
    <mergeCell ref="L2:O3"/>
    <mergeCell ref="Q2:T3"/>
    <mergeCell ref="V2:Y3"/>
    <mergeCell ref="AA2:AD3"/>
    <mergeCell ref="AF2:AI3"/>
    <mergeCell ref="AK2:AN3"/>
    <mergeCell ref="AP2:AS3"/>
    <mergeCell ref="AU2:AY3"/>
    <mergeCell ref="AZ2:BD3"/>
    <mergeCell ref="BE2:BI3"/>
    <mergeCell ref="BJ2:BN3"/>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79998168889431442"/>
  </sheetPr>
  <dimension ref="A1:AY99"/>
  <sheetViews>
    <sheetView zoomScale="70" zoomScaleNormal="70" workbookViewId="0">
      <pane xSplit="2" ySplit="5" topLeftCell="C69" activePane="bottomRight" state="frozen"/>
      <selection activeCell="AW86" sqref="AW86"/>
      <selection pane="topRight" activeCell="AW86" sqref="AW86"/>
      <selection pane="bottomLeft" activeCell="AW86" sqref="AW86"/>
      <selection pane="bottomRight" activeCell="AW86" sqref="AW86"/>
    </sheetView>
  </sheetViews>
  <sheetFormatPr defaultColWidth="7.44140625" defaultRowHeight="13.2" outlineLevelCol="1" x14ac:dyDescent="0.25"/>
  <cols>
    <col min="1" max="1" width="5.5546875" style="8" customWidth="1"/>
    <col min="2" max="2" width="47.44140625"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col min="10" max="10" width="9" style="38" hidden="1" customWidth="1"/>
    <col min="11" max="11" width="41.88671875" style="38" hidden="1" customWidth="1"/>
    <col min="12" max="12" width="17.6640625" style="38" customWidth="1"/>
    <col min="13" max="13" width="20.44140625" style="38" customWidth="1"/>
    <col min="14" max="14" width="18.6640625" style="38" customWidth="1"/>
    <col min="15" max="15" width="15.6640625" style="38" customWidth="1"/>
    <col min="16" max="16" width="29.6640625" style="38" customWidth="1"/>
    <col min="17" max="17" width="18.33203125" style="38" hidden="1" customWidth="1" outlineLevel="1"/>
    <col min="18" max="18" width="18.6640625" style="38" hidden="1" customWidth="1" outlineLevel="1"/>
    <col min="19" max="19" width="19.6640625" style="38" hidden="1" customWidth="1" outlineLevel="1"/>
    <col min="20" max="20" width="9.6640625" style="38" hidden="1" customWidth="1" outlineLevel="1"/>
    <col min="21" max="21" width="29.6640625" style="38" hidden="1" customWidth="1" outlineLevel="1"/>
    <col min="22" max="22" width="18.6640625" style="38" hidden="1" customWidth="1" outlineLevel="1"/>
    <col min="23" max="23" width="18.33203125" style="38" hidden="1" customWidth="1" outlineLevel="1"/>
    <col min="24" max="24" width="23.88671875" style="38" hidden="1" customWidth="1" outlineLevel="1"/>
    <col min="25" max="25" width="12.6640625" style="38" hidden="1" customWidth="1" outlineLevel="1"/>
    <col min="26" max="26" width="29.6640625" style="38" hidden="1" customWidth="1" outlineLevel="1"/>
    <col min="27" max="28" width="16.44140625" style="38" hidden="1" customWidth="1" outlineLevel="1"/>
    <col min="29" max="29" width="10.5546875" style="38" hidden="1" customWidth="1" outlineLevel="1"/>
    <col min="30" max="30" width="11.109375" style="38" hidden="1" customWidth="1" outlineLevel="1"/>
    <col min="31" max="40" width="16.44140625" style="38" hidden="1" customWidth="1" outlineLevel="1"/>
    <col min="41" max="46" width="19" style="38" hidden="1" customWidth="1" outlineLevel="1"/>
    <col min="47" max="47" width="16.33203125" style="38" customWidth="1" collapsed="1"/>
    <col min="48" max="49" width="16.33203125" style="38" customWidth="1"/>
    <col min="50" max="50" width="9" style="38" customWidth="1"/>
    <col min="51" max="51" width="16.33203125" style="38" customWidth="1"/>
    <col min="52" max="16384" width="7.44140625" style="1"/>
  </cols>
  <sheetData>
    <row r="1" spans="1:51" ht="13.8" thickBot="1" x14ac:dyDescent="0.3">
      <c r="C1" s="38"/>
      <c r="D1" s="38"/>
    </row>
    <row r="2" spans="1:51" ht="14.4" customHeight="1" x14ac:dyDescent="0.25">
      <c r="A2" s="4016" t="s">
        <v>921</v>
      </c>
      <c r="B2" s="4017"/>
      <c r="C2" s="4017"/>
      <c r="D2" s="4017"/>
      <c r="E2" s="4017"/>
      <c r="F2" s="4018"/>
      <c r="G2" s="4071" t="s">
        <v>909</v>
      </c>
      <c r="H2" s="4072"/>
      <c r="I2" s="4072"/>
      <c r="J2" s="4072"/>
      <c r="K2" s="4073"/>
      <c r="L2" s="4077" t="s">
        <v>936</v>
      </c>
      <c r="M2" s="4078"/>
      <c r="N2" s="4078"/>
      <c r="O2" s="4078"/>
      <c r="P2" s="4079"/>
      <c r="Q2" s="4019"/>
      <c r="R2" s="4020"/>
      <c r="S2" s="4020"/>
      <c r="T2" s="4020"/>
      <c r="U2" s="852"/>
      <c r="V2" s="4019"/>
      <c r="W2" s="4020"/>
      <c r="X2" s="4020"/>
      <c r="Y2" s="4020"/>
      <c r="Z2" s="852"/>
      <c r="AA2" s="4019"/>
      <c r="AB2" s="4020"/>
      <c r="AC2" s="4020"/>
      <c r="AD2" s="4020"/>
      <c r="AE2" s="4020"/>
      <c r="AF2" s="4053"/>
      <c r="AG2" s="4054"/>
      <c r="AH2" s="4054"/>
      <c r="AI2" s="4054"/>
      <c r="AJ2" s="4055"/>
      <c r="AK2" s="4185"/>
      <c r="AL2" s="4186"/>
      <c r="AM2" s="4186"/>
      <c r="AN2" s="4186"/>
      <c r="AO2" s="4187"/>
      <c r="AP2" s="4172"/>
      <c r="AQ2" s="4173"/>
      <c r="AR2" s="4173"/>
      <c r="AS2" s="4173"/>
      <c r="AT2" s="4174"/>
      <c r="AU2" s="4212" t="s">
        <v>469</v>
      </c>
      <c r="AV2" s="4213"/>
      <c r="AW2" s="4213"/>
      <c r="AX2" s="4213"/>
      <c r="AY2" s="854"/>
    </row>
    <row r="3" spans="1:51" ht="15" customHeight="1" thickBot="1" x14ac:dyDescent="0.3">
      <c r="A3" s="4035" t="s">
        <v>54</v>
      </c>
      <c r="B3" s="4036"/>
      <c r="C3" s="4036"/>
      <c r="D3" s="4036"/>
      <c r="E3" s="4036"/>
      <c r="F3" s="4037"/>
      <c r="G3" s="4074"/>
      <c r="H3" s="4075"/>
      <c r="I3" s="4075"/>
      <c r="J3" s="4075"/>
      <c r="K3" s="4076"/>
      <c r="L3" s="4080"/>
      <c r="M3" s="4081"/>
      <c r="N3" s="4081"/>
      <c r="O3" s="4081"/>
      <c r="P3" s="4082"/>
      <c r="Q3" s="4021"/>
      <c r="R3" s="4022"/>
      <c r="S3" s="4022"/>
      <c r="T3" s="4022"/>
      <c r="U3" s="853"/>
      <c r="V3" s="4021"/>
      <c r="W3" s="4022"/>
      <c r="X3" s="4022"/>
      <c r="Y3" s="4022"/>
      <c r="Z3" s="853"/>
      <c r="AA3" s="4021"/>
      <c r="AB3" s="4022"/>
      <c r="AC3" s="4022"/>
      <c r="AD3" s="4022"/>
      <c r="AE3" s="4022"/>
      <c r="AF3" s="4056"/>
      <c r="AG3" s="4057"/>
      <c r="AH3" s="4057"/>
      <c r="AI3" s="4057"/>
      <c r="AJ3" s="4058"/>
      <c r="AK3" s="4188"/>
      <c r="AL3" s="4189"/>
      <c r="AM3" s="4189"/>
      <c r="AN3" s="4189"/>
      <c r="AO3" s="4190"/>
      <c r="AP3" s="4175"/>
      <c r="AQ3" s="4176"/>
      <c r="AR3" s="4176"/>
      <c r="AS3" s="4176"/>
      <c r="AT3" s="4177"/>
      <c r="AU3" s="4214"/>
      <c r="AV3" s="4215"/>
      <c r="AW3" s="4215"/>
      <c r="AX3" s="4215"/>
      <c r="AY3" s="855"/>
    </row>
    <row r="4" spans="1:51" ht="41.4" thickBot="1" x14ac:dyDescent="0.3">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632" t="s">
        <v>19</v>
      </c>
      <c r="AF4" s="632" t="s">
        <v>55</v>
      </c>
      <c r="AG4" s="632" t="s">
        <v>18</v>
      </c>
      <c r="AH4" s="653" t="s">
        <v>39</v>
      </c>
      <c r="AI4" s="654" t="s">
        <v>40</v>
      </c>
      <c r="AJ4" s="653" t="s">
        <v>19</v>
      </c>
      <c r="AK4" s="632" t="s">
        <v>55</v>
      </c>
      <c r="AL4" s="632" t="s">
        <v>18</v>
      </c>
      <c r="AM4" s="653" t="s">
        <v>39</v>
      </c>
      <c r="AN4" s="654" t="s">
        <v>40</v>
      </c>
      <c r="AO4" s="653" t="s">
        <v>19</v>
      </c>
      <c r="AP4" s="632" t="s">
        <v>55</v>
      </c>
      <c r="AQ4" s="632" t="s">
        <v>18</v>
      </c>
      <c r="AR4" s="653" t="s">
        <v>39</v>
      </c>
      <c r="AS4" s="654" t="s">
        <v>40</v>
      </c>
      <c r="AT4" s="653" t="s">
        <v>19</v>
      </c>
      <c r="AU4" s="94" t="s">
        <v>55</v>
      </c>
      <c r="AV4" s="94" t="s">
        <v>18</v>
      </c>
      <c r="AW4" s="95" t="s">
        <v>39</v>
      </c>
      <c r="AX4" s="209" t="s">
        <v>40</v>
      </c>
      <c r="AY4" s="95" t="s">
        <v>19</v>
      </c>
    </row>
    <row r="5" spans="1:51" s="88" customFormat="1" ht="14.4" thickBot="1" x14ac:dyDescent="0.3">
      <c r="A5" s="83"/>
      <c r="B5" s="84" t="s">
        <v>10</v>
      </c>
      <c r="C5" s="85">
        <f>C6</f>
        <v>0</v>
      </c>
      <c r="D5" s="85">
        <f>D6</f>
        <v>0</v>
      </c>
      <c r="E5" s="86">
        <f>E6</f>
        <v>0</v>
      </c>
      <c r="F5" s="87"/>
      <c r="G5" s="87">
        <f>G6</f>
        <v>0</v>
      </c>
      <c r="H5" s="87">
        <f>H6</f>
        <v>0</v>
      </c>
      <c r="I5" s="87">
        <f>I6</f>
        <v>0</v>
      </c>
      <c r="J5" s="87"/>
      <c r="K5" s="87"/>
      <c r="L5" s="87">
        <f>L6</f>
        <v>370000</v>
      </c>
      <c r="M5" s="87">
        <f>M6</f>
        <v>0</v>
      </c>
      <c r="N5" s="87">
        <f>N6</f>
        <v>370000</v>
      </c>
      <c r="O5" s="87"/>
      <c r="P5" s="87"/>
      <c r="Q5" s="87">
        <f>Q6</f>
        <v>0</v>
      </c>
      <c r="R5" s="87">
        <f>R6</f>
        <v>0</v>
      </c>
      <c r="S5" s="87">
        <f>S6</f>
        <v>0</v>
      </c>
      <c r="T5" s="87"/>
      <c r="U5" s="87"/>
      <c r="V5" s="87">
        <f>V6</f>
        <v>0</v>
      </c>
      <c r="W5" s="87">
        <f>W6</f>
        <v>0</v>
      </c>
      <c r="X5" s="87">
        <f>X6</f>
        <v>0</v>
      </c>
      <c r="Y5" s="87"/>
      <c r="Z5" s="87"/>
      <c r="AA5" s="87">
        <f>AA6</f>
        <v>0</v>
      </c>
      <c r="AB5" s="87">
        <f>AB6</f>
        <v>0</v>
      </c>
      <c r="AC5" s="87">
        <f>AC6</f>
        <v>0</v>
      </c>
      <c r="AD5" s="87"/>
      <c r="AE5" s="633"/>
      <c r="AF5" s="655">
        <f>AF6</f>
        <v>0</v>
      </c>
      <c r="AG5" s="620">
        <f>AG6</f>
        <v>0</v>
      </c>
      <c r="AH5" s="620">
        <f>AH6</f>
        <v>0</v>
      </c>
      <c r="AI5" s="620"/>
      <c r="AJ5" s="620"/>
      <c r="AK5" s="655">
        <f>AK6</f>
        <v>0</v>
      </c>
      <c r="AL5" s="620">
        <f>AL6</f>
        <v>0</v>
      </c>
      <c r="AM5" s="620">
        <f>AM6</f>
        <v>0</v>
      </c>
      <c r="AN5" s="620"/>
      <c r="AO5" s="620"/>
      <c r="AP5" s="655">
        <f>AP6</f>
        <v>0</v>
      </c>
      <c r="AQ5" s="620">
        <f>AQ6</f>
        <v>0</v>
      </c>
      <c r="AR5" s="620">
        <f>AR6</f>
        <v>0</v>
      </c>
      <c r="AS5" s="620"/>
      <c r="AT5" s="620"/>
      <c r="AU5" s="87">
        <f>AU6</f>
        <v>370000</v>
      </c>
      <c r="AV5" s="87">
        <f>AV6</f>
        <v>0</v>
      </c>
      <c r="AW5" s="87">
        <f>AW6</f>
        <v>370000</v>
      </c>
      <c r="AX5" s="87"/>
      <c r="AY5" s="87"/>
    </row>
    <row r="6" spans="1:51" s="2" customFormat="1" ht="13.8" x14ac:dyDescent="0.25">
      <c r="A6" s="331">
        <f>'PL_Сватово очередь 2'!I6</f>
        <v>0</v>
      </c>
      <c r="B6" s="9" t="s">
        <v>17</v>
      </c>
      <c r="C6" s="104"/>
      <c r="D6" s="105"/>
      <c r="E6" s="106">
        <f>C6+D6</f>
        <v>0</v>
      </c>
      <c r="F6" s="39"/>
      <c r="G6" s="39"/>
      <c r="H6" s="39"/>
      <c r="I6" s="106">
        <f>G6+H6</f>
        <v>0</v>
      </c>
      <c r="J6" s="39"/>
      <c r="K6" s="39"/>
      <c r="L6" s="39">
        <v>370000</v>
      </c>
      <c r="M6" s="39"/>
      <c r="N6" s="106">
        <f>L6+M6</f>
        <v>370000</v>
      </c>
      <c r="O6" s="39"/>
      <c r="P6" s="39"/>
      <c r="Q6" s="39"/>
      <c r="R6" s="39"/>
      <c r="S6" s="106">
        <f>Q6+R6</f>
        <v>0</v>
      </c>
      <c r="T6" s="39"/>
      <c r="U6" s="39"/>
      <c r="V6" s="39"/>
      <c r="W6" s="39"/>
      <c r="X6" s="106">
        <f>V6+W6</f>
        <v>0</v>
      </c>
      <c r="Y6" s="39"/>
      <c r="Z6" s="39"/>
      <c r="AA6" s="39"/>
      <c r="AB6" s="39"/>
      <c r="AC6" s="106">
        <f>AA6+AB6</f>
        <v>0</v>
      </c>
      <c r="AD6" s="39"/>
      <c r="AE6" s="540"/>
      <c r="AF6" s="560"/>
      <c r="AG6" s="452"/>
      <c r="AH6" s="446">
        <f>AF6+AG6</f>
        <v>0</v>
      </c>
      <c r="AI6" s="452"/>
      <c r="AJ6" s="452"/>
      <c r="AK6" s="560"/>
      <c r="AL6" s="452"/>
      <c r="AM6" s="446">
        <f>AK6+AL6</f>
        <v>0</v>
      </c>
      <c r="AN6" s="452"/>
      <c r="AO6" s="452"/>
      <c r="AP6" s="560"/>
      <c r="AQ6" s="452"/>
      <c r="AR6" s="446">
        <f>AP6+AQ6</f>
        <v>0</v>
      </c>
      <c r="AS6" s="452"/>
      <c r="AT6" s="452"/>
      <c r="AU6" s="39">
        <f>G6+L6+Q6+V6+AA6+AF6+AK6+AP6</f>
        <v>370000</v>
      </c>
      <c r="AV6" s="39">
        <f>H6+M6+R6+W6+AB6+AG6+AL6+AQ6</f>
        <v>0</v>
      </c>
      <c r="AW6" s="106">
        <f>AU6+AV6</f>
        <v>370000</v>
      </c>
      <c r="AX6" s="39"/>
      <c r="AY6" s="39"/>
    </row>
    <row r="7" spans="1:51" s="2" customFormat="1" ht="14.4" thickBot="1" x14ac:dyDescent="0.3">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729"/>
      <c r="AF7" s="560"/>
      <c r="AG7" s="452"/>
      <c r="AH7" s="446">
        <f>AF7+AG7</f>
        <v>0</v>
      </c>
      <c r="AI7" s="612"/>
      <c r="AJ7" s="612"/>
      <c r="AK7" s="560"/>
      <c r="AL7" s="452"/>
      <c r="AM7" s="446">
        <f>AK7+AL7</f>
        <v>0</v>
      </c>
      <c r="AN7" s="612"/>
      <c r="AO7" s="612"/>
      <c r="AP7" s="560"/>
      <c r="AQ7" s="452"/>
      <c r="AR7" s="446">
        <f>AP7+AQ7</f>
        <v>0</v>
      </c>
      <c r="AS7" s="612"/>
      <c r="AT7" s="612"/>
      <c r="AU7" s="39">
        <f>G7+L7+Q7+V7+AA7+AF7+AK7+AP7</f>
        <v>0</v>
      </c>
      <c r="AV7" s="39">
        <f>H7+M7+R7+W7+AB7+AG7+AL7+AQ7</f>
        <v>0</v>
      </c>
      <c r="AW7" s="106">
        <f>AU7+AV7</f>
        <v>0</v>
      </c>
      <c r="AX7" s="40"/>
      <c r="AY7" s="40"/>
    </row>
    <row r="8" spans="1:51" s="88" customFormat="1" ht="14.4" thickBot="1" x14ac:dyDescent="0.3">
      <c r="A8" s="238"/>
      <c r="B8" s="84" t="s">
        <v>16</v>
      </c>
      <c r="C8" s="109">
        <f>SUM(C9:C33)</f>
        <v>0</v>
      </c>
      <c r="D8" s="109">
        <f>SUM(D9:D33)</f>
        <v>0</v>
      </c>
      <c r="E8" s="110">
        <f>SUM(E9:E33)</f>
        <v>0</v>
      </c>
      <c r="F8" s="164" t="e">
        <f t="shared" ref="F8:F21" si="0">E8/$E$89</f>
        <v>#DIV/0!</v>
      </c>
      <c r="G8" s="109">
        <f>SUM(G9:G33)</f>
        <v>0</v>
      </c>
      <c r="H8" s="109">
        <f>SUM(H9:H33)</f>
        <v>0</v>
      </c>
      <c r="I8" s="110">
        <f>SUM(I9:I33)</f>
        <v>0</v>
      </c>
      <c r="J8" s="164" t="e">
        <f>I8/$I$89</f>
        <v>#DIV/0!</v>
      </c>
      <c r="K8" s="87"/>
      <c r="L8" s="109">
        <f>SUM(L9:L33)</f>
        <v>0</v>
      </c>
      <c r="M8" s="109">
        <f>SUM(M9:M33)</f>
        <v>49400</v>
      </c>
      <c r="N8" s="110">
        <f>SUM(N9:N33)</f>
        <v>49400</v>
      </c>
      <c r="O8" s="164">
        <f>N8/$N$89</f>
        <v>0.88500000087501896</v>
      </c>
      <c r="P8" s="87"/>
      <c r="Q8" s="109">
        <f>SUM(Q9:Q33)</f>
        <v>0</v>
      </c>
      <c r="R8" s="109">
        <f>SUM(R9:R33)</f>
        <v>0</v>
      </c>
      <c r="S8" s="110">
        <f>SUM(S9:S33)</f>
        <v>0</v>
      </c>
      <c r="T8" s="164" t="e">
        <f>S8/$S$89</f>
        <v>#DIV/0!</v>
      </c>
      <c r="U8" s="87"/>
      <c r="V8" s="109">
        <f>SUM(V9:V33)</f>
        <v>0</v>
      </c>
      <c r="W8" s="109">
        <f>SUM(W9:W33)</f>
        <v>0</v>
      </c>
      <c r="X8" s="110">
        <f>SUM(X9:X33)</f>
        <v>0</v>
      </c>
      <c r="Y8" s="164" t="e">
        <f>X8/$X$89</f>
        <v>#DIV/0!</v>
      </c>
      <c r="Z8" s="87"/>
      <c r="AA8" s="109">
        <f>SUM(AA9:AA33)</f>
        <v>0</v>
      </c>
      <c r="AB8" s="109">
        <f>SUM(AB9:AB33)</f>
        <v>0</v>
      </c>
      <c r="AC8" s="110">
        <f>SUM(AC9:AC33)</f>
        <v>0</v>
      </c>
      <c r="AD8" s="164" t="e">
        <f>AC8/$AC$89</f>
        <v>#DIV/0!</v>
      </c>
      <c r="AE8" s="633"/>
      <c r="AF8" s="618">
        <f>SUM(AF9:AF33)</f>
        <v>0</v>
      </c>
      <c r="AG8" s="618">
        <f>SUM(AG9:AG33)</f>
        <v>0</v>
      </c>
      <c r="AH8" s="619">
        <f>SUM(AH9:AH33)</f>
        <v>0</v>
      </c>
      <c r="AI8" s="577" t="e">
        <f>AH8/$AC$89</f>
        <v>#DIV/0!</v>
      </c>
      <c r="AJ8" s="620"/>
      <c r="AK8" s="618">
        <f>SUM(AK9:AK33)</f>
        <v>0</v>
      </c>
      <c r="AL8" s="618">
        <f>SUM(AL9:AL33)</f>
        <v>0</v>
      </c>
      <c r="AM8" s="619">
        <f>SUM(AM9:AM33)</f>
        <v>0</v>
      </c>
      <c r="AN8" s="577" t="e">
        <f>AM8/$AC$89</f>
        <v>#DIV/0!</v>
      </c>
      <c r="AO8" s="620"/>
      <c r="AP8" s="618">
        <f>SUM(AP9:AP33)</f>
        <v>120000</v>
      </c>
      <c r="AQ8" s="618">
        <f>SUM(AQ9:AQ33)</f>
        <v>0</v>
      </c>
      <c r="AR8" s="619">
        <f>SUM(AR9:AR33)</f>
        <v>120000</v>
      </c>
      <c r="AS8" s="577" t="e">
        <f>AR8/$AC$89</f>
        <v>#DIV/0!</v>
      </c>
      <c r="AT8" s="620"/>
      <c r="AU8" s="109">
        <f>SUM(AU9:AU33)</f>
        <v>120000</v>
      </c>
      <c r="AV8" s="109">
        <f>SUM(AV9:AV33)</f>
        <v>49400</v>
      </c>
      <c r="AW8" s="110">
        <f>SUM(AW9:AW33)</f>
        <v>169400</v>
      </c>
      <c r="AX8" s="164" t="e">
        <f t="shared" ref="AX8:AX33" si="1">AW8/$AW$89</f>
        <v>#DIV/0!</v>
      </c>
      <c r="AY8" s="87"/>
    </row>
    <row r="9" spans="1:51" s="2" customFormat="1" ht="13.8" x14ac:dyDescent="0.25">
      <c r="A9" s="238"/>
      <c r="B9" s="481" t="s">
        <v>74</v>
      </c>
      <c r="C9" s="482"/>
      <c r="D9" s="483"/>
      <c r="E9" s="484">
        <f t="shared" ref="E9:E33" si="2">C9+D9</f>
        <v>0</v>
      </c>
      <c r="F9" s="485" t="e">
        <f t="shared" si="0"/>
        <v>#DIV/0!</v>
      </c>
      <c r="G9" s="488"/>
      <c r="H9" s="488"/>
      <c r="I9" s="489">
        <f>G9+H9*1</f>
        <v>0</v>
      </c>
      <c r="J9" s="485" t="e">
        <f t="shared" ref="J9:J72" si="3">I9/$I$89</f>
        <v>#DIV/0!</v>
      </c>
      <c r="K9" s="516"/>
      <c r="L9" s="488"/>
      <c r="M9" s="488"/>
      <c r="N9" s="489">
        <f>L9+M9*1</f>
        <v>0</v>
      </c>
      <c r="O9" s="485">
        <f t="shared" ref="O9:O33" si="4">N9/$N$89</f>
        <v>0</v>
      </c>
      <c r="P9" s="517"/>
      <c r="Q9" s="488"/>
      <c r="R9" s="488"/>
      <c r="S9" s="489">
        <f>Q9+R9*1</f>
        <v>0</v>
      </c>
      <c r="T9" s="485" t="e">
        <f>S9/$S$89</f>
        <v>#DIV/0!</v>
      </c>
      <c r="U9" s="879"/>
      <c r="V9" s="488"/>
      <c r="W9" s="488"/>
      <c r="X9" s="489">
        <f>V9+W9*1</f>
        <v>0</v>
      </c>
      <c r="Y9" s="485" t="e">
        <f>X9/$X$89</f>
        <v>#DIV/0!</v>
      </c>
      <c r="Z9" s="879"/>
      <c r="AA9" s="488"/>
      <c r="AB9" s="488"/>
      <c r="AC9" s="489">
        <f>AA9+AB9*1</f>
        <v>0</v>
      </c>
      <c r="AD9" s="485" t="e">
        <f>AC9/$AC$89</f>
        <v>#DIV/0!</v>
      </c>
      <c r="AE9" s="891"/>
      <c r="AF9" s="892"/>
      <c r="AG9" s="488"/>
      <c r="AH9" s="489">
        <f>AF9+AG9*1</f>
        <v>0</v>
      </c>
      <c r="AI9" s="485" t="e">
        <f>AH9/$AH$89</f>
        <v>#DIV/0!</v>
      </c>
      <c r="AJ9" s="879"/>
      <c r="AK9" s="892"/>
      <c r="AL9" s="488"/>
      <c r="AM9" s="489">
        <f>AK9+AL9*1</f>
        <v>0</v>
      </c>
      <c r="AN9" s="485" t="e">
        <f>AM9/$AH$89</f>
        <v>#DIV/0!</v>
      </c>
      <c r="AO9" s="879"/>
      <c r="AP9" s="892"/>
      <c r="AQ9" s="488"/>
      <c r="AR9" s="489">
        <f>AP9+AQ9*1</f>
        <v>0</v>
      </c>
      <c r="AS9" s="485" t="e">
        <f>AR9/$AH$89</f>
        <v>#DIV/0!</v>
      </c>
      <c r="AT9" s="879"/>
      <c r="AU9" s="488">
        <f t="shared" ref="AU9:AV33" si="5">G9+L9+Q9+V9+AA9+AF9+AK9+AP9</f>
        <v>0</v>
      </c>
      <c r="AV9" s="488">
        <f t="shared" si="5"/>
        <v>0</v>
      </c>
      <c r="AW9" s="489">
        <f>AU9+AV9*1</f>
        <v>0</v>
      </c>
      <c r="AX9" s="485" t="e">
        <f t="shared" si="1"/>
        <v>#DIV/0!</v>
      </c>
      <c r="AY9" s="490"/>
    </row>
    <row r="10" spans="1:51" s="2" customFormat="1" ht="13.8" x14ac:dyDescent="0.25">
      <c r="A10" s="238"/>
      <c r="B10" s="492" t="s">
        <v>72</v>
      </c>
      <c r="C10" s="111"/>
      <c r="D10" s="493"/>
      <c r="E10" s="446">
        <f t="shared" si="2"/>
        <v>0</v>
      </c>
      <c r="F10" s="447" t="e">
        <f t="shared" si="0"/>
        <v>#DIV/0!</v>
      </c>
      <c r="G10" s="452"/>
      <c r="H10" s="452"/>
      <c r="I10" s="453">
        <f t="shared" ref="I10:I33" si="6">G10+H10*1</f>
        <v>0</v>
      </c>
      <c r="J10" s="450" t="e">
        <f t="shared" si="3"/>
        <v>#DIV/0!</v>
      </c>
      <c r="K10" s="456"/>
      <c r="L10" s="452"/>
      <c r="M10" s="452"/>
      <c r="N10" s="453">
        <f t="shared" ref="N10:N33" si="7">L10+M10*1</f>
        <v>0</v>
      </c>
      <c r="O10" s="450">
        <f t="shared" si="4"/>
        <v>0</v>
      </c>
      <c r="P10" s="465"/>
      <c r="Q10" s="452"/>
      <c r="R10" s="452"/>
      <c r="S10" s="453">
        <f t="shared" ref="S10:S33" si="8">Q10+R10*1</f>
        <v>0</v>
      </c>
      <c r="T10" s="450" t="e">
        <f>S10/$S$89</f>
        <v>#DIV/0!</v>
      </c>
      <c r="U10" s="458"/>
      <c r="V10" s="452"/>
      <c r="W10" s="452"/>
      <c r="X10" s="453">
        <f t="shared" ref="X10:X33" si="9">V10+W10*1</f>
        <v>0</v>
      </c>
      <c r="Y10" s="450" t="e">
        <f t="shared" ref="Y10:Y33" si="10">X10/$X$89</f>
        <v>#DIV/0!</v>
      </c>
      <c r="Z10" s="458"/>
      <c r="AA10" s="452"/>
      <c r="AB10" s="452"/>
      <c r="AC10" s="453">
        <f t="shared" ref="AC10:AC33" si="11">AA10+AB10*1</f>
        <v>0</v>
      </c>
      <c r="AD10" s="450" t="e">
        <f t="shared" ref="AD10:AD33" si="12">AC10/$AC$89</f>
        <v>#DIV/0!</v>
      </c>
      <c r="AE10" s="730"/>
      <c r="AF10" s="560"/>
      <c r="AG10" s="452"/>
      <c r="AH10" s="453">
        <f t="shared" ref="AH10:AH33" si="13">AF10+AG10*1</f>
        <v>0</v>
      </c>
      <c r="AI10" s="450" t="e">
        <f t="shared" ref="AI10:AI33" si="14">AH10/$AH$89</f>
        <v>#DIV/0!</v>
      </c>
      <c r="AJ10" s="458"/>
      <c r="AK10" s="560"/>
      <c r="AL10" s="452"/>
      <c r="AM10" s="453">
        <f t="shared" ref="AM10:AM33" si="15">AK10+AL10*1</f>
        <v>0</v>
      </c>
      <c r="AN10" s="450" t="e">
        <f t="shared" ref="AN10:AN33" si="16">AM10/$AH$89</f>
        <v>#DIV/0!</v>
      </c>
      <c r="AO10" s="458"/>
      <c r="AP10" s="560"/>
      <c r="AQ10" s="452"/>
      <c r="AR10" s="453">
        <f t="shared" ref="AR10:AR33" si="17">AP10+AQ10*1</f>
        <v>0</v>
      </c>
      <c r="AS10" s="450" t="e">
        <f t="shared" ref="AS10:AS33" si="18">AR10/$AH$89</f>
        <v>#DIV/0!</v>
      </c>
      <c r="AT10" s="458"/>
      <c r="AU10" s="452">
        <f t="shared" si="5"/>
        <v>0</v>
      </c>
      <c r="AV10" s="452">
        <f t="shared" si="5"/>
        <v>0</v>
      </c>
      <c r="AW10" s="453">
        <f t="shared" ref="AW10:AW33" si="19">AU10+AV10*1</f>
        <v>0</v>
      </c>
      <c r="AX10" s="450" t="e">
        <f t="shared" si="1"/>
        <v>#DIV/0!</v>
      </c>
      <c r="AY10" s="456"/>
    </row>
    <row r="11" spans="1:51" s="2" customFormat="1" ht="13.8" x14ac:dyDescent="0.25">
      <c r="A11" s="238"/>
      <c r="B11" s="492" t="s">
        <v>69</v>
      </c>
      <c r="C11" s="111"/>
      <c r="D11" s="493"/>
      <c r="E11" s="446">
        <f t="shared" si="2"/>
        <v>0</v>
      </c>
      <c r="F11" s="447" t="e">
        <f t="shared" si="0"/>
        <v>#DIV/0!</v>
      </c>
      <c r="G11" s="452"/>
      <c r="H11" s="452"/>
      <c r="I11" s="453">
        <f t="shared" si="6"/>
        <v>0</v>
      </c>
      <c r="J11" s="450" t="e">
        <f t="shared" si="3"/>
        <v>#DIV/0!</v>
      </c>
      <c r="K11" s="456"/>
      <c r="L11" s="452"/>
      <c r="M11" s="452"/>
      <c r="N11" s="453">
        <f t="shared" si="7"/>
        <v>0</v>
      </c>
      <c r="O11" s="450">
        <f t="shared" si="4"/>
        <v>0</v>
      </c>
      <c r="P11" s="465"/>
      <c r="Q11" s="452"/>
      <c r="R11" s="452"/>
      <c r="S11" s="453">
        <f t="shared" si="8"/>
        <v>0</v>
      </c>
      <c r="T11" s="450" t="e">
        <f t="shared" ref="T11:T33" si="20">S11/$S$89</f>
        <v>#DIV/0!</v>
      </c>
      <c r="U11" s="458"/>
      <c r="V11" s="452"/>
      <c r="W11" s="452"/>
      <c r="X11" s="453">
        <f t="shared" si="9"/>
        <v>0</v>
      </c>
      <c r="Y11" s="450" t="e">
        <f t="shared" si="10"/>
        <v>#DIV/0!</v>
      </c>
      <c r="Z11" s="458"/>
      <c r="AA11" s="452"/>
      <c r="AB11" s="452"/>
      <c r="AC11" s="453">
        <f t="shared" si="11"/>
        <v>0</v>
      </c>
      <c r="AD11" s="450" t="e">
        <f t="shared" si="12"/>
        <v>#DIV/0!</v>
      </c>
      <c r="AE11" s="730"/>
      <c r="AF11" s="560"/>
      <c r="AG11" s="452"/>
      <c r="AH11" s="453">
        <f t="shared" si="13"/>
        <v>0</v>
      </c>
      <c r="AI11" s="450" t="e">
        <f t="shared" si="14"/>
        <v>#DIV/0!</v>
      </c>
      <c r="AJ11" s="458"/>
      <c r="AK11" s="560"/>
      <c r="AL11" s="452"/>
      <c r="AM11" s="453">
        <f t="shared" si="15"/>
        <v>0</v>
      </c>
      <c r="AN11" s="450" t="e">
        <f t="shared" si="16"/>
        <v>#DIV/0!</v>
      </c>
      <c r="AO11" s="458"/>
      <c r="AP11" s="560"/>
      <c r="AQ11" s="452"/>
      <c r="AR11" s="453">
        <f t="shared" si="17"/>
        <v>0</v>
      </c>
      <c r="AS11" s="450" t="e">
        <f t="shared" si="18"/>
        <v>#DIV/0!</v>
      </c>
      <c r="AT11" s="458"/>
      <c r="AU11" s="452">
        <f t="shared" si="5"/>
        <v>0</v>
      </c>
      <c r="AV11" s="452">
        <f t="shared" si="5"/>
        <v>0</v>
      </c>
      <c r="AW11" s="453">
        <f t="shared" si="19"/>
        <v>0</v>
      </c>
      <c r="AX11" s="450" t="e">
        <f t="shared" si="1"/>
        <v>#DIV/0!</v>
      </c>
      <c r="AY11" s="456"/>
    </row>
    <row r="12" spans="1:51" s="2" customFormat="1" ht="13.8" x14ac:dyDescent="0.25">
      <c r="A12" s="238"/>
      <c r="B12" s="492" t="s">
        <v>73</v>
      </c>
      <c r="C12" s="111"/>
      <c r="D12" s="493"/>
      <c r="E12" s="446">
        <f t="shared" si="2"/>
        <v>0</v>
      </c>
      <c r="F12" s="447" t="e">
        <f t="shared" si="0"/>
        <v>#DIV/0!</v>
      </c>
      <c r="G12" s="452"/>
      <c r="H12" s="452"/>
      <c r="I12" s="453">
        <f t="shared" si="6"/>
        <v>0</v>
      </c>
      <c r="J12" s="450" t="e">
        <f t="shared" si="3"/>
        <v>#DIV/0!</v>
      </c>
      <c r="K12" s="456"/>
      <c r="L12" s="452"/>
      <c r="M12" s="452"/>
      <c r="N12" s="453">
        <f t="shared" si="7"/>
        <v>0</v>
      </c>
      <c r="O12" s="450">
        <f t="shared" si="4"/>
        <v>0</v>
      </c>
      <c r="P12" s="460"/>
      <c r="Q12" s="452"/>
      <c r="R12" s="452"/>
      <c r="S12" s="453">
        <f t="shared" si="8"/>
        <v>0</v>
      </c>
      <c r="T12" s="450" t="e">
        <f t="shared" si="20"/>
        <v>#DIV/0!</v>
      </c>
      <c r="U12" s="458"/>
      <c r="V12" s="452"/>
      <c r="W12" s="452"/>
      <c r="X12" s="453">
        <f t="shared" si="9"/>
        <v>0</v>
      </c>
      <c r="Y12" s="450" t="e">
        <f t="shared" si="10"/>
        <v>#DIV/0!</v>
      </c>
      <c r="Z12" s="458"/>
      <c r="AA12" s="452"/>
      <c r="AB12" s="452"/>
      <c r="AC12" s="453">
        <f t="shared" si="11"/>
        <v>0</v>
      </c>
      <c r="AD12" s="450" t="e">
        <f t="shared" si="12"/>
        <v>#DIV/0!</v>
      </c>
      <c r="AE12" s="730"/>
      <c r="AF12" s="560"/>
      <c r="AG12" s="452"/>
      <c r="AH12" s="453">
        <f t="shared" si="13"/>
        <v>0</v>
      </c>
      <c r="AI12" s="450" t="e">
        <f t="shared" si="14"/>
        <v>#DIV/0!</v>
      </c>
      <c r="AJ12" s="458"/>
      <c r="AK12" s="560"/>
      <c r="AL12" s="452"/>
      <c r="AM12" s="453">
        <f t="shared" si="15"/>
        <v>0</v>
      </c>
      <c r="AN12" s="450" t="e">
        <f t="shared" si="16"/>
        <v>#DIV/0!</v>
      </c>
      <c r="AO12" s="458"/>
      <c r="AP12" s="560"/>
      <c r="AQ12" s="452"/>
      <c r="AR12" s="453">
        <f t="shared" si="17"/>
        <v>0</v>
      </c>
      <c r="AS12" s="450" t="e">
        <f t="shared" si="18"/>
        <v>#DIV/0!</v>
      </c>
      <c r="AT12" s="458"/>
      <c r="AU12" s="452">
        <f t="shared" si="5"/>
        <v>0</v>
      </c>
      <c r="AV12" s="452">
        <f t="shared" si="5"/>
        <v>0</v>
      </c>
      <c r="AW12" s="453">
        <f t="shared" si="19"/>
        <v>0</v>
      </c>
      <c r="AX12" s="450" t="e">
        <f t="shared" si="1"/>
        <v>#DIV/0!</v>
      </c>
      <c r="AY12" s="456"/>
    </row>
    <row r="13" spans="1:51" s="2" customFormat="1" ht="13.8" x14ac:dyDescent="0.25">
      <c r="A13" s="238"/>
      <c r="B13" s="492" t="s">
        <v>71</v>
      </c>
      <c r="C13" s="111"/>
      <c r="D13" s="493"/>
      <c r="E13" s="446">
        <f t="shared" si="2"/>
        <v>0</v>
      </c>
      <c r="F13" s="447" t="e">
        <f t="shared" si="0"/>
        <v>#DIV/0!</v>
      </c>
      <c r="G13" s="452"/>
      <c r="H13" s="452"/>
      <c r="I13" s="453">
        <f t="shared" si="6"/>
        <v>0</v>
      </c>
      <c r="J13" s="450" t="e">
        <f t="shared" si="3"/>
        <v>#DIV/0!</v>
      </c>
      <c r="K13" s="456"/>
      <c r="L13" s="452"/>
      <c r="M13" s="452"/>
      <c r="N13" s="453">
        <f t="shared" si="7"/>
        <v>0</v>
      </c>
      <c r="O13" s="450">
        <f t="shared" si="4"/>
        <v>0</v>
      </c>
      <c r="P13" s="465"/>
      <c r="Q13" s="452"/>
      <c r="R13" s="452"/>
      <c r="S13" s="453">
        <f t="shared" si="8"/>
        <v>0</v>
      </c>
      <c r="T13" s="450" t="e">
        <f t="shared" si="20"/>
        <v>#DIV/0!</v>
      </c>
      <c r="U13" s="458"/>
      <c r="V13" s="452"/>
      <c r="W13" s="452"/>
      <c r="X13" s="453">
        <f t="shared" si="9"/>
        <v>0</v>
      </c>
      <c r="Y13" s="450" t="e">
        <f t="shared" si="10"/>
        <v>#DIV/0!</v>
      </c>
      <c r="Z13" s="458"/>
      <c r="AA13" s="452"/>
      <c r="AB13" s="452"/>
      <c r="AC13" s="453">
        <f t="shared" si="11"/>
        <v>0</v>
      </c>
      <c r="AD13" s="450" t="e">
        <f t="shared" si="12"/>
        <v>#DIV/0!</v>
      </c>
      <c r="AE13" s="730"/>
      <c r="AF13" s="560"/>
      <c r="AG13" s="452"/>
      <c r="AH13" s="453">
        <f t="shared" si="13"/>
        <v>0</v>
      </c>
      <c r="AI13" s="450" t="e">
        <f t="shared" si="14"/>
        <v>#DIV/0!</v>
      </c>
      <c r="AJ13" s="458"/>
      <c r="AK13" s="560"/>
      <c r="AL13" s="452"/>
      <c r="AM13" s="453">
        <f t="shared" si="15"/>
        <v>0</v>
      </c>
      <c r="AN13" s="450" t="e">
        <f t="shared" si="16"/>
        <v>#DIV/0!</v>
      </c>
      <c r="AO13" s="458"/>
      <c r="AP13" s="560"/>
      <c r="AQ13" s="452"/>
      <c r="AR13" s="453">
        <f t="shared" si="17"/>
        <v>0</v>
      </c>
      <c r="AS13" s="450" t="e">
        <f t="shared" si="18"/>
        <v>#DIV/0!</v>
      </c>
      <c r="AT13" s="458"/>
      <c r="AU13" s="452">
        <f>G13+L13+Q13+V13+AA13+AF13+AK13+AP13</f>
        <v>0</v>
      </c>
      <c r="AV13" s="452">
        <f t="shared" si="5"/>
        <v>0</v>
      </c>
      <c r="AW13" s="453">
        <f t="shared" si="19"/>
        <v>0</v>
      </c>
      <c r="AX13" s="450" t="e">
        <f t="shared" si="1"/>
        <v>#DIV/0!</v>
      </c>
      <c r="AY13" s="456"/>
    </row>
    <row r="14" spans="1:51" s="2" customFormat="1" ht="13.8" x14ac:dyDescent="0.25">
      <c r="A14" s="238"/>
      <c r="B14" s="492" t="s">
        <v>70</v>
      </c>
      <c r="C14" s="111"/>
      <c r="D14" s="493"/>
      <c r="E14" s="446">
        <f t="shared" si="2"/>
        <v>0</v>
      </c>
      <c r="F14" s="447" t="e">
        <f t="shared" si="0"/>
        <v>#DIV/0!</v>
      </c>
      <c r="G14" s="452"/>
      <c r="H14" s="452"/>
      <c r="I14" s="453">
        <f t="shared" si="6"/>
        <v>0</v>
      </c>
      <c r="J14" s="450" t="e">
        <f t="shared" si="3"/>
        <v>#DIV/0!</v>
      </c>
      <c r="K14" s="456"/>
      <c r="L14" s="452"/>
      <c r="M14" s="452"/>
      <c r="N14" s="453">
        <f t="shared" si="7"/>
        <v>0</v>
      </c>
      <c r="O14" s="450">
        <f t="shared" si="4"/>
        <v>0</v>
      </c>
      <c r="P14" s="465"/>
      <c r="Q14" s="452"/>
      <c r="R14" s="452"/>
      <c r="S14" s="453">
        <f t="shared" si="8"/>
        <v>0</v>
      </c>
      <c r="T14" s="450" t="e">
        <f t="shared" si="20"/>
        <v>#DIV/0!</v>
      </c>
      <c r="U14" s="458"/>
      <c r="V14" s="452"/>
      <c r="W14" s="452"/>
      <c r="X14" s="453">
        <f t="shared" si="9"/>
        <v>0</v>
      </c>
      <c r="Y14" s="450" t="e">
        <f t="shared" si="10"/>
        <v>#DIV/0!</v>
      </c>
      <c r="Z14" s="458"/>
      <c r="AA14" s="452"/>
      <c r="AB14" s="452"/>
      <c r="AC14" s="453">
        <f t="shared" si="11"/>
        <v>0</v>
      </c>
      <c r="AD14" s="450" t="e">
        <f t="shared" si="12"/>
        <v>#DIV/0!</v>
      </c>
      <c r="AE14" s="730"/>
      <c r="AF14" s="560"/>
      <c r="AG14" s="452"/>
      <c r="AH14" s="453">
        <f t="shared" si="13"/>
        <v>0</v>
      </c>
      <c r="AI14" s="450" t="e">
        <f t="shared" si="14"/>
        <v>#DIV/0!</v>
      </c>
      <c r="AJ14" s="458"/>
      <c r="AK14" s="560"/>
      <c r="AL14" s="452"/>
      <c r="AM14" s="453">
        <f t="shared" si="15"/>
        <v>0</v>
      </c>
      <c r="AN14" s="450" t="e">
        <f t="shared" si="16"/>
        <v>#DIV/0!</v>
      </c>
      <c r="AO14" s="458"/>
      <c r="AP14" s="560"/>
      <c r="AQ14" s="452"/>
      <c r="AR14" s="453">
        <f t="shared" si="17"/>
        <v>0</v>
      </c>
      <c r="AS14" s="450" t="e">
        <f t="shared" si="18"/>
        <v>#DIV/0!</v>
      </c>
      <c r="AT14" s="458"/>
      <c r="AU14" s="452">
        <f t="shared" si="5"/>
        <v>0</v>
      </c>
      <c r="AV14" s="452">
        <f t="shared" si="5"/>
        <v>0</v>
      </c>
      <c r="AW14" s="453">
        <f t="shared" si="19"/>
        <v>0</v>
      </c>
      <c r="AX14" s="450" t="e">
        <f t="shared" si="1"/>
        <v>#DIV/0!</v>
      </c>
      <c r="AY14" s="456"/>
    </row>
    <row r="15" spans="1:51" s="2" customFormat="1" ht="13.8" x14ac:dyDescent="0.25">
      <c r="A15" s="238"/>
      <c r="B15" s="471" t="s">
        <v>20</v>
      </c>
      <c r="C15" s="111"/>
      <c r="D15" s="445"/>
      <c r="E15" s="446">
        <f t="shared" si="2"/>
        <v>0</v>
      </c>
      <c r="F15" s="447" t="e">
        <f t="shared" si="0"/>
        <v>#DIV/0!</v>
      </c>
      <c r="G15" s="452"/>
      <c r="H15" s="452"/>
      <c r="I15" s="453">
        <f t="shared" si="6"/>
        <v>0</v>
      </c>
      <c r="J15" s="450" t="e">
        <f t="shared" si="3"/>
        <v>#DIV/0!</v>
      </c>
      <c r="K15" s="456"/>
      <c r="L15" s="452"/>
      <c r="M15" s="452"/>
      <c r="N15" s="453">
        <f t="shared" si="7"/>
        <v>0</v>
      </c>
      <c r="O15" s="450">
        <f t="shared" si="4"/>
        <v>0</v>
      </c>
      <c r="P15" s="465"/>
      <c r="Q15" s="452"/>
      <c r="R15" s="452"/>
      <c r="S15" s="453">
        <f t="shared" si="8"/>
        <v>0</v>
      </c>
      <c r="T15" s="450" t="e">
        <f t="shared" si="20"/>
        <v>#DIV/0!</v>
      </c>
      <c r="U15" s="458"/>
      <c r="V15" s="452"/>
      <c r="W15" s="452"/>
      <c r="X15" s="453">
        <f t="shared" si="9"/>
        <v>0</v>
      </c>
      <c r="Y15" s="450" t="e">
        <f t="shared" si="10"/>
        <v>#DIV/0!</v>
      </c>
      <c r="Z15" s="458"/>
      <c r="AA15" s="452"/>
      <c r="AB15" s="452"/>
      <c r="AC15" s="453">
        <f t="shared" si="11"/>
        <v>0</v>
      </c>
      <c r="AD15" s="450" t="e">
        <f t="shared" si="12"/>
        <v>#DIV/0!</v>
      </c>
      <c r="AE15" s="730"/>
      <c r="AF15" s="560"/>
      <c r="AG15" s="452"/>
      <c r="AH15" s="453">
        <f t="shared" si="13"/>
        <v>0</v>
      </c>
      <c r="AI15" s="450" t="e">
        <f t="shared" si="14"/>
        <v>#DIV/0!</v>
      </c>
      <c r="AJ15" s="458"/>
      <c r="AK15" s="560"/>
      <c r="AL15" s="452"/>
      <c r="AM15" s="453">
        <f t="shared" si="15"/>
        <v>0</v>
      </c>
      <c r="AN15" s="450" t="e">
        <f t="shared" si="16"/>
        <v>#DIV/0!</v>
      </c>
      <c r="AO15" s="458"/>
      <c r="AP15" s="560"/>
      <c r="AQ15" s="452"/>
      <c r="AR15" s="453">
        <f t="shared" si="17"/>
        <v>0</v>
      </c>
      <c r="AS15" s="450" t="e">
        <f t="shared" si="18"/>
        <v>#DIV/0!</v>
      </c>
      <c r="AT15" s="458"/>
      <c r="AU15" s="452">
        <f t="shared" si="5"/>
        <v>0</v>
      </c>
      <c r="AV15" s="452">
        <f t="shared" si="5"/>
        <v>0</v>
      </c>
      <c r="AW15" s="453">
        <f t="shared" si="19"/>
        <v>0</v>
      </c>
      <c r="AX15" s="450" t="e">
        <f t="shared" si="1"/>
        <v>#DIV/0!</v>
      </c>
      <c r="AY15" s="456"/>
    </row>
    <row r="16" spans="1:51" s="2" customFormat="1" ht="13.8" x14ac:dyDescent="0.25">
      <c r="A16" s="292"/>
      <c r="B16" s="471" t="s">
        <v>21</v>
      </c>
      <c r="C16" s="111"/>
      <c r="D16" s="445"/>
      <c r="E16" s="446">
        <f t="shared" si="2"/>
        <v>0</v>
      </c>
      <c r="F16" s="447" t="e">
        <f t="shared" si="0"/>
        <v>#DIV/0!</v>
      </c>
      <c r="G16" s="452"/>
      <c r="H16" s="452"/>
      <c r="I16" s="453">
        <f t="shared" si="6"/>
        <v>0</v>
      </c>
      <c r="J16" s="450" t="e">
        <f t="shared" si="3"/>
        <v>#DIV/0!</v>
      </c>
      <c r="K16" s="456"/>
      <c r="L16" s="452"/>
      <c r="M16" s="452"/>
      <c r="N16" s="453">
        <f t="shared" si="7"/>
        <v>0</v>
      </c>
      <c r="O16" s="450">
        <f t="shared" si="4"/>
        <v>0</v>
      </c>
      <c r="P16" s="460"/>
      <c r="Q16" s="452"/>
      <c r="R16" s="452"/>
      <c r="S16" s="453">
        <f t="shared" si="8"/>
        <v>0</v>
      </c>
      <c r="T16" s="450" t="e">
        <f t="shared" si="20"/>
        <v>#DIV/0!</v>
      </c>
      <c r="U16" s="458"/>
      <c r="V16" s="452"/>
      <c r="W16" s="452"/>
      <c r="X16" s="453">
        <f t="shared" si="9"/>
        <v>0</v>
      </c>
      <c r="Y16" s="450" t="e">
        <f t="shared" si="10"/>
        <v>#DIV/0!</v>
      </c>
      <c r="Z16" s="458"/>
      <c r="AA16" s="452"/>
      <c r="AB16" s="452"/>
      <c r="AC16" s="453">
        <f t="shared" si="11"/>
        <v>0</v>
      </c>
      <c r="AD16" s="450" t="e">
        <f t="shared" si="12"/>
        <v>#DIV/0!</v>
      </c>
      <c r="AE16" s="730"/>
      <c r="AF16" s="560"/>
      <c r="AG16" s="452"/>
      <c r="AH16" s="453">
        <f t="shared" si="13"/>
        <v>0</v>
      </c>
      <c r="AI16" s="450" t="e">
        <f t="shared" si="14"/>
        <v>#DIV/0!</v>
      </c>
      <c r="AJ16" s="458"/>
      <c r="AK16" s="560"/>
      <c r="AL16" s="452"/>
      <c r="AM16" s="453">
        <f t="shared" si="15"/>
        <v>0</v>
      </c>
      <c r="AN16" s="450" t="e">
        <f t="shared" si="16"/>
        <v>#DIV/0!</v>
      </c>
      <c r="AO16" s="458"/>
      <c r="AP16" s="560"/>
      <c r="AQ16" s="452"/>
      <c r="AR16" s="453">
        <f t="shared" si="17"/>
        <v>0</v>
      </c>
      <c r="AS16" s="450" t="e">
        <f t="shared" si="18"/>
        <v>#DIV/0!</v>
      </c>
      <c r="AT16" s="458"/>
      <c r="AU16" s="452">
        <f t="shared" si="5"/>
        <v>0</v>
      </c>
      <c r="AV16" s="452">
        <f t="shared" si="5"/>
        <v>0</v>
      </c>
      <c r="AW16" s="453">
        <f t="shared" si="19"/>
        <v>0</v>
      </c>
      <c r="AX16" s="450" t="e">
        <f t="shared" si="1"/>
        <v>#DIV/0!</v>
      </c>
      <c r="AY16" s="456"/>
    </row>
    <row r="17" spans="1:51" s="2" customFormat="1" ht="13.8" x14ac:dyDescent="0.25">
      <c r="A17" s="238"/>
      <c r="B17" s="471" t="s">
        <v>22</v>
      </c>
      <c r="C17" s="111"/>
      <c r="D17" s="445"/>
      <c r="E17" s="446">
        <f t="shared" si="2"/>
        <v>0</v>
      </c>
      <c r="F17" s="447" t="e">
        <f t="shared" si="0"/>
        <v>#DIV/0!</v>
      </c>
      <c r="G17" s="452"/>
      <c r="H17" s="452"/>
      <c r="I17" s="453">
        <f t="shared" si="6"/>
        <v>0</v>
      </c>
      <c r="J17" s="450" t="e">
        <f t="shared" si="3"/>
        <v>#DIV/0!</v>
      </c>
      <c r="K17" s="456"/>
      <c r="L17" s="452"/>
      <c r="M17" s="452"/>
      <c r="N17" s="453">
        <f t="shared" si="7"/>
        <v>0</v>
      </c>
      <c r="O17" s="450">
        <f t="shared" si="4"/>
        <v>0</v>
      </c>
      <c r="P17" s="893"/>
      <c r="Q17" s="452"/>
      <c r="R17" s="452"/>
      <c r="S17" s="453">
        <f t="shared" si="8"/>
        <v>0</v>
      </c>
      <c r="T17" s="450" t="e">
        <f t="shared" si="20"/>
        <v>#DIV/0!</v>
      </c>
      <c r="U17" s="458"/>
      <c r="V17" s="452"/>
      <c r="W17" s="452"/>
      <c r="X17" s="453">
        <f t="shared" si="9"/>
        <v>0</v>
      </c>
      <c r="Y17" s="450" t="e">
        <f t="shared" si="10"/>
        <v>#DIV/0!</v>
      </c>
      <c r="Z17" s="458"/>
      <c r="AA17" s="452"/>
      <c r="AB17" s="452"/>
      <c r="AC17" s="453">
        <f t="shared" si="11"/>
        <v>0</v>
      </c>
      <c r="AD17" s="450" t="e">
        <f t="shared" si="12"/>
        <v>#DIV/0!</v>
      </c>
      <c r="AE17" s="730"/>
      <c r="AF17" s="560"/>
      <c r="AG17" s="452"/>
      <c r="AH17" s="453">
        <f t="shared" si="13"/>
        <v>0</v>
      </c>
      <c r="AI17" s="450" t="e">
        <f t="shared" si="14"/>
        <v>#DIV/0!</v>
      </c>
      <c r="AJ17" s="458"/>
      <c r="AK17" s="560"/>
      <c r="AL17" s="452"/>
      <c r="AM17" s="453">
        <f t="shared" si="15"/>
        <v>0</v>
      </c>
      <c r="AN17" s="450" t="e">
        <f t="shared" si="16"/>
        <v>#DIV/0!</v>
      </c>
      <c r="AO17" s="458"/>
      <c r="AP17" s="560"/>
      <c r="AQ17" s="452"/>
      <c r="AR17" s="453">
        <f t="shared" si="17"/>
        <v>0</v>
      </c>
      <c r="AS17" s="450" t="e">
        <f t="shared" si="18"/>
        <v>#DIV/0!</v>
      </c>
      <c r="AT17" s="458"/>
      <c r="AU17" s="452">
        <f t="shared" si="5"/>
        <v>0</v>
      </c>
      <c r="AV17" s="452">
        <f t="shared" si="5"/>
        <v>0</v>
      </c>
      <c r="AW17" s="453">
        <f t="shared" si="19"/>
        <v>0</v>
      </c>
      <c r="AX17" s="450" t="e">
        <f t="shared" si="1"/>
        <v>#DIV/0!</v>
      </c>
      <c r="AY17" s="456"/>
    </row>
    <row r="18" spans="1:51" s="2" customFormat="1" ht="69" x14ac:dyDescent="0.25">
      <c r="A18" s="238"/>
      <c r="B18" s="471" t="s">
        <v>0</v>
      </c>
      <c r="C18" s="111"/>
      <c r="D18" s="445"/>
      <c r="E18" s="446">
        <f t="shared" si="2"/>
        <v>0</v>
      </c>
      <c r="F18" s="447" t="e">
        <f t="shared" si="0"/>
        <v>#DIV/0!</v>
      </c>
      <c r="G18" s="452"/>
      <c r="H18" s="452"/>
      <c r="I18" s="453">
        <f t="shared" si="6"/>
        <v>0</v>
      </c>
      <c r="J18" s="450" t="e">
        <f t="shared" si="3"/>
        <v>#DIV/0!</v>
      </c>
      <c r="K18" s="454"/>
      <c r="L18" s="452"/>
      <c r="M18" s="452"/>
      <c r="N18" s="453">
        <f t="shared" si="7"/>
        <v>0</v>
      </c>
      <c r="O18" s="450">
        <f t="shared" si="4"/>
        <v>0</v>
      </c>
      <c r="P18" s="894"/>
      <c r="Q18" s="452"/>
      <c r="R18" s="452"/>
      <c r="S18" s="453">
        <f t="shared" si="8"/>
        <v>0</v>
      </c>
      <c r="T18" s="450" t="e">
        <f t="shared" si="20"/>
        <v>#DIV/0!</v>
      </c>
      <c r="U18" s="458"/>
      <c r="V18" s="452"/>
      <c r="W18" s="452"/>
      <c r="X18" s="453">
        <f t="shared" si="9"/>
        <v>0</v>
      </c>
      <c r="Y18" s="450" t="e">
        <f t="shared" si="10"/>
        <v>#DIV/0!</v>
      </c>
      <c r="Z18" s="458"/>
      <c r="AA18" s="452"/>
      <c r="AB18" s="452"/>
      <c r="AC18" s="453">
        <f t="shared" si="11"/>
        <v>0</v>
      </c>
      <c r="AD18" s="450" t="e">
        <f t="shared" si="12"/>
        <v>#DIV/0!</v>
      </c>
      <c r="AE18" s="730"/>
      <c r="AF18" s="560"/>
      <c r="AG18" s="452"/>
      <c r="AH18" s="453">
        <f t="shared" si="13"/>
        <v>0</v>
      </c>
      <c r="AI18" s="450" t="e">
        <f t="shared" si="14"/>
        <v>#DIV/0!</v>
      </c>
      <c r="AJ18" s="458"/>
      <c r="AK18" s="560"/>
      <c r="AL18" s="452"/>
      <c r="AM18" s="453">
        <f t="shared" si="15"/>
        <v>0</v>
      </c>
      <c r="AN18" s="450" t="e">
        <f t="shared" si="16"/>
        <v>#DIV/0!</v>
      </c>
      <c r="AO18" s="458"/>
      <c r="AP18" s="560">
        <v>120000</v>
      </c>
      <c r="AQ18" s="452"/>
      <c r="AR18" s="453">
        <f t="shared" si="17"/>
        <v>120000</v>
      </c>
      <c r="AS18" s="450" t="e">
        <f t="shared" si="18"/>
        <v>#DIV/0!</v>
      </c>
      <c r="AT18" s="458" t="s">
        <v>922</v>
      </c>
      <c r="AU18" s="452">
        <f t="shared" si="5"/>
        <v>120000</v>
      </c>
      <c r="AV18" s="452">
        <f t="shared" si="5"/>
        <v>0</v>
      </c>
      <c r="AW18" s="453">
        <f t="shared" si="19"/>
        <v>120000</v>
      </c>
      <c r="AX18" s="450" t="e">
        <f t="shared" si="1"/>
        <v>#DIV/0!</v>
      </c>
      <c r="AY18" s="456"/>
    </row>
    <row r="19" spans="1:51" s="2" customFormat="1" ht="13.8" x14ac:dyDescent="0.25">
      <c r="A19" s="238"/>
      <c r="B19" s="471" t="s">
        <v>53</v>
      </c>
      <c r="C19" s="114"/>
      <c r="D19" s="445"/>
      <c r="E19" s="446">
        <f t="shared" si="2"/>
        <v>0</v>
      </c>
      <c r="F19" s="447" t="e">
        <f t="shared" si="0"/>
        <v>#DIV/0!</v>
      </c>
      <c r="G19" s="452"/>
      <c r="H19" s="452"/>
      <c r="I19" s="453">
        <f t="shared" si="6"/>
        <v>0</v>
      </c>
      <c r="J19" s="450" t="e">
        <f t="shared" si="3"/>
        <v>#DIV/0!</v>
      </c>
      <c r="K19" s="456"/>
      <c r="L19" s="452"/>
      <c r="M19" s="452"/>
      <c r="N19" s="453">
        <f t="shared" si="7"/>
        <v>0</v>
      </c>
      <c r="O19" s="450">
        <f t="shared" si="4"/>
        <v>0</v>
      </c>
      <c r="P19" s="895"/>
      <c r="Q19" s="452"/>
      <c r="R19" s="452"/>
      <c r="S19" s="453">
        <f t="shared" si="8"/>
        <v>0</v>
      </c>
      <c r="T19" s="450" t="e">
        <f t="shared" si="20"/>
        <v>#DIV/0!</v>
      </c>
      <c r="U19" s="458"/>
      <c r="V19" s="452"/>
      <c r="W19" s="452"/>
      <c r="X19" s="453">
        <f t="shared" si="9"/>
        <v>0</v>
      </c>
      <c r="Y19" s="450" t="e">
        <f t="shared" si="10"/>
        <v>#DIV/0!</v>
      </c>
      <c r="Z19" s="458"/>
      <c r="AA19" s="452"/>
      <c r="AB19" s="452"/>
      <c r="AC19" s="453">
        <f t="shared" si="11"/>
        <v>0</v>
      </c>
      <c r="AD19" s="450" t="e">
        <f t="shared" si="12"/>
        <v>#DIV/0!</v>
      </c>
      <c r="AE19" s="730"/>
      <c r="AF19" s="560"/>
      <c r="AG19" s="452"/>
      <c r="AH19" s="453">
        <f t="shared" si="13"/>
        <v>0</v>
      </c>
      <c r="AI19" s="450" t="e">
        <f t="shared" si="14"/>
        <v>#DIV/0!</v>
      </c>
      <c r="AJ19" s="458"/>
      <c r="AK19" s="560"/>
      <c r="AL19" s="452"/>
      <c r="AM19" s="453">
        <f t="shared" si="15"/>
        <v>0</v>
      </c>
      <c r="AN19" s="450" t="e">
        <f t="shared" si="16"/>
        <v>#DIV/0!</v>
      </c>
      <c r="AO19" s="458"/>
      <c r="AP19" s="560"/>
      <c r="AQ19" s="452"/>
      <c r="AR19" s="453">
        <f t="shared" si="17"/>
        <v>0</v>
      </c>
      <c r="AS19" s="450" t="e">
        <f t="shared" si="18"/>
        <v>#DIV/0!</v>
      </c>
      <c r="AT19" s="458"/>
      <c r="AU19" s="452">
        <f t="shared" si="5"/>
        <v>0</v>
      </c>
      <c r="AV19" s="452">
        <f t="shared" si="5"/>
        <v>0</v>
      </c>
      <c r="AW19" s="453">
        <f t="shared" si="19"/>
        <v>0</v>
      </c>
      <c r="AX19" s="450" t="e">
        <f t="shared" si="1"/>
        <v>#DIV/0!</v>
      </c>
      <c r="AY19" s="456"/>
    </row>
    <row r="20" spans="1:51" s="2" customFormat="1" ht="13.8" x14ac:dyDescent="0.25">
      <c r="A20" s="238"/>
      <c r="B20" s="471" t="s">
        <v>57</v>
      </c>
      <c r="C20" s="114"/>
      <c r="D20" s="445"/>
      <c r="E20" s="446">
        <f t="shared" si="2"/>
        <v>0</v>
      </c>
      <c r="F20" s="447" t="e">
        <f t="shared" si="0"/>
        <v>#DIV/0!</v>
      </c>
      <c r="G20" s="452"/>
      <c r="H20" s="452"/>
      <c r="I20" s="453">
        <f t="shared" si="6"/>
        <v>0</v>
      </c>
      <c r="J20" s="450" t="e">
        <f t="shared" si="3"/>
        <v>#DIV/0!</v>
      </c>
      <c r="K20" s="456"/>
      <c r="L20" s="452"/>
      <c r="M20" s="452"/>
      <c r="N20" s="453">
        <f t="shared" si="7"/>
        <v>0</v>
      </c>
      <c r="O20" s="450">
        <f t="shared" si="4"/>
        <v>0</v>
      </c>
      <c r="P20" s="895"/>
      <c r="Q20" s="452"/>
      <c r="R20" s="452"/>
      <c r="S20" s="453">
        <f t="shared" si="8"/>
        <v>0</v>
      </c>
      <c r="T20" s="450" t="e">
        <f t="shared" si="20"/>
        <v>#DIV/0!</v>
      </c>
      <c r="U20" s="458"/>
      <c r="V20" s="452"/>
      <c r="W20" s="452"/>
      <c r="X20" s="453">
        <f t="shared" si="9"/>
        <v>0</v>
      </c>
      <c r="Y20" s="450" t="e">
        <f t="shared" si="10"/>
        <v>#DIV/0!</v>
      </c>
      <c r="Z20" s="458"/>
      <c r="AA20" s="452"/>
      <c r="AB20" s="452"/>
      <c r="AC20" s="453">
        <f t="shared" si="11"/>
        <v>0</v>
      </c>
      <c r="AD20" s="450" t="e">
        <f t="shared" si="12"/>
        <v>#DIV/0!</v>
      </c>
      <c r="AE20" s="730"/>
      <c r="AF20" s="560"/>
      <c r="AG20" s="452"/>
      <c r="AH20" s="453">
        <f t="shared" si="13"/>
        <v>0</v>
      </c>
      <c r="AI20" s="450" t="e">
        <f t="shared" si="14"/>
        <v>#DIV/0!</v>
      </c>
      <c r="AJ20" s="458"/>
      <c r="AK20" s="560"/>
      <c r="AL20" s="452"/>
      <c r="AM20" s="453">
        <f t="shared" si="15"/>
        <v>0</v>
      </c>
      <c r="AN20" s="450" t="e">
        <f t="shared" si="16"/>
        <v>#DIV/0!</v>
      </c>
      <c r="AO20" s="458"/>
      <c r="AP20" s="560"/>
      <c r="AQ20" s="452"/>
      <c r="AR20" s="453">
        <f t="shared" si="17"/>
        <v>0</v>
      </c>
      <c r="AS20" s="450" t="e">
        <f t="shared" si="18"/>
        <v>#DIV/0!</v>
      </c>
      <c r="AT20" s="458"/>
      <c r="AU20" s="452">
        <f t="shared" si="5"/>
        <v>0</v>
      </c>
      <c r="AV20" s="452">
        <f t="shared" si="5"/>
        <v>0</v>
      </c>
      <c r="AW20" s="453">
        <f t="shared" si="19"/>
        <v>0</v>
      </c>
      <c r="AX20" s="450" t="e">
        <f t="shared" si="1"/>
        <v>#DIV/0!</v>
      </c>
      <c r="AY20" s="456"/>
    </row>
    <row r="21" spans="1:51" s="2" customFormat="1" ht="13.8" x14ac:dyDescent="0.25">
      <c r="A21" s="238"/>
      <c r="B21" s="471" t="s">
        <v>58</v>
      </c>
      <c r="C21" s="114"/>
      <c r="D21" s="445"/>
      <c r="E21" s="446">
        <f t="shared" si="2"/>
        <v>0</v>
      </c>
      <c r="F21" s="447" t="e">
        <f t="shared" si="0"/>
        <v>#DIV/0!</v>
      </c>
      <c r="G21" s="452"/>
      <c r="H21" s="452"/>
      <c r="I21" s="453">
        <f t="shared" si="6"/>
        <v>0</v>
      </c>
      <c r="J21" s="450" t="e">
        <f t="shared" si="3"/>
        <v>#DIV/0!</v>
      </c>
      <c r="K21" s="456"/>
      <c r="L21" s="452"/>
      <c r="M21" s="452"/>
      <c r="N21" s="453">
        <f t="shared" si="7"/>
        <v>0</v>
      </c>
      <c r="O21" s="450">
        <f t="shared" si="4"/>
        <v>0</v>
      </c>
      <c r="P21" s="861"/>
      <c r="Q21" s="452"/>
      <c r="R21" s="452"/>
      <c r="S21" s="453">
        <f t="shared" si="8"/>
        <v>0</v>
      </c>
      <c r="T21" s="450" t="e">
        <f t="shared" si="20"/>
        <v>#DIV/0!</v>
      </c>
      <c r="U21" s="458"/>
      <c r="V21" s="452"/>
      <c r="W21" s="452"/>
      <c r="X21" s="453">
        <f t="shared" si="9"/>
        <v>0</v>
      </c>
      <c r="Y21" s="450" t="e">
        <f t="shared" si="10"/>
        <v>#DIV/0!</v>
      </c>
      <c r="Z21" s="458"/>
      <c r="AA21" s="452"/>
      <c r="AB21" s="452"/>
      <c r="AC21" s="453">
        <f t="shared" si="11"/>
        <v>0</v>
      </c>
      <c r="AD21" s="450" t="e">
        <f t="shared" si="12"/>
        <v>#DIV/0!</v>
      </c>
      <c r="AE21" s="730"/>
      <c r="AF21" s="560"/>
      <c r="AG21" s="452"/>
      <c r="AH21" s="453">
        <f t="shared" si="13"/>
        <v>0</v>
      </c>
      <c r="AI21" s="450" t="e">
        <f t="shared" si="14"/>
        <v>#DIV/0!</v>
      </c>
      <c r="AJ21" s="458"/>
      <c r="AK21" s="560"/>
      <c r="AL21" s="452"/>
      <c r="AM21" s="453">
        <f t="shared" si="15"/>
        <v>0</v>
      </c>
      <c r="AN21" s="450" t="e">
        <f t="shared" si="16"/>
        <v>#DIV/0!</v>
      </c>
      <c r="AO21" s="458"/>
      <c r="AP21" s="560"/>
      <c r="AQ21" s="452"/>
      <c r="AR21" s="453">
        <f t="shared" si="17"/>
        <v>0</v>
      </c>
      <c r="AS21" s="450" t="e">
        <f t="shared" si="18"/>
        <v>#DIV/0!</v>
      </c>
      <c r="AT21" s="458"/>
      <c r="AU21" s="452">
        <f t="shared" si="5"/>
        <v>0</v>
      </c>
      <c r="AV21" s="452">
        <f t="shared" si="5"/>
        <v>0</v>
      </c>
      <c r="AW21" s="453">
        <f t="shared" si="19"/>
        <v>0</v>
      </c>
      <c r="AX21" s="450" t="e">
        <f t="shared" si="1"/>
        <v>#DIV/0!</v>
      </c>
      <c r="AY21" s="456"/>
    </row>
    <row r="22" spans="1:51" s="2" customFormat="1" ht="31.2" customHeight="1" x14ac:dyDescent="0.25">
      <c r="A22" s="238"/>
      <c r="B22" s="471" t="s">
        <v>621</v>
      </c>
      <c r="C22" s="114"/>
      <c r="D22" s="445"/>
      <c r="E22" s="446"/>
      <c r="F22" s="447"/>
      <c r="G22" s="452"/>
      <c r="H22" s="452"/>
      <c r="I22" s="453"/>
      <c r="J22" s="450" t="e">
        <f t="shared" si="3"/>
        <v>#DIV/0!</v>
      </c>
      <c r="K22" s="456"/>
      <c r="L22" s="452"/>
      <c r="M22" s="452"/>
      <c r="N22" s="453"/>
      <c r="O22" s="450">
        <f t="shared" si="4"/>
        <v>0</v>
      </c>
      <c r="P22" s="861"/>
      <c r="Q22" s="452"/>
      <c r="R22" s="452"/>
      <c r="S22" s="453">
        <f t="shared" si="8"/>
        <v>0</v>
      </c>
      <c r="T22" s="450" t="e">
        <f t="shared" si="20"/>
        <v>#DIV/0!</v>
      </c>
      <c r="U22" s="458"/>
      <c r="V22" s="452"/>
      <c r="W22" s="452"/>
      <c r="X22" s="453">
        <f t="shared" si="9"/>
        <v>0</v>
      </c>
      <c r="Y22" s="450" t="e">
        <f t="shared" si="10"/>
        <v>#DIV/0!</v>
      </c>
      <c r="Z22" s="458"/>
      <c r="AA22" s="452"/>
      <c r="AB22" s="452"/>
      <c r="AC22" s="453">
        <f t="shared" si="11"/>
        <v>0</v>
      </c>
      <c r="AD22" s="450" t="e">
        <f t="shared" si="12"/>
        <v>#DIV/0!</v>
      </c>
      <c r="AE22" s="730"/>
      <c r="AF22" s="560"/>
      <c r="AG22" s="452"/>
      <c r="AH22" s="453">
        <f t="shared" si="13"/>
        <v>0</v>
      </c>
      <c r="AI22" s="450" t="e">
        <f t="shared" si="14"/>
        <v>#DIV/0!</v>
      </c>
      <c r="AJ22" s="458"/>
      <c r="AK22" s="560"/>
      <c r="AL22" s="452"/>
      <c r="AM22" s="453">
        <f t="shared" si="15"/>
        <v>0</v>
      </c>
      <c r="AN22" s="450" t="e">
        <f t="shared" si="16"/>
        <v>#DIV/0!</v>
      </c>
      <c r="AO22" s="458"/>
      <c r="AP22" s="560"/>
      <c r="AQ22" s="452"/>
      <c r="AR22" s="453">
        <f t="shared" si="17"/>
        <v>0</v>
      </c>
      <c r="AS22" s="450" t="e">
        <f t="shared" si="18"/>
        <v>#DIV/0!</v>
      </c>
      <c r="AT22" s="458"/>
      <c r="AU22" s="452">
        <f t="shared" si="5"/>
        <v>0</v>
      </c>
      <c r="AV22" s="452">
        <f t="shared" si="5"/>
        <v>0</v>
      </c>
      <c r="AW22" s="453">
        <f t="shared" si="19"/>
        <v>0</v>
      </c>
      <c r="AX22" s="450" t="e">
        <f t="shared" si="1"/>
        <v>#DIV/0!</v>
      </c>
      <c r="AY22" s="456"/>
    </row>
    <row r="23" spans="1:51" s="2" customFormat="1" ht="13.8" x14ac:dyDescent="0.25">
      <c r="A23" s="238"/>
      <c r="B23" s="471" t="s">
        <v>630</v>
      </c>
      <c r="C23" s="114"/>
      <c r="D23" s="445"/>
      <c r="E23" s="446"/>
      <c r="F23" s="447"/>
      <c r="G23" s="452"/>
      <c r="H23" s="452"/>
      <c r="I23" s="453"/>
      <c r="J23" s="450" t="e">
        <f t="shared" si="3"/>
        <v>#DIV/0!</v>
      </c>
      <c r="K23" s="456"/>
      <c r="L23" s="452"/>
      <c r="M23" s="452"/>
      <c r="N23" s="453"/>
      <c r="O23" s="450">
        <f t="shared" si="4"/>
        <v>0</v>
      </c>
      <c r="P23" s="861"/>
      <c r="Q23" s="452"/>
      <c r="R23" s="452"/>
      <c r="S23" s="453">
        <f t="shared" si="8"/>
        <v>0</v>
      </c>
      <c r="T23" s="450" t="e">
        <f t="shared" si="20"/>
        <v>#DIV/0!</v>
      </c>
      <c r="U23" s="458"/>
      <c r="V23" s="452"/>
      <c r="W23" s="452"/>
      <c r="X23" s="453">
        <f t="shared" si="9"/>
        <v>0</v>
      </c>
      <c r="Y23" s="450" t="e">
        <f t="shared" si="10"/>
        <v>#DIV/0!</v>
      </c>
      <c r="Z23" s="458"/>
      <c r="AA23" s="452"/>
      <c r="AB23" s="452"/>
      <c r="AC23" s="453">
        <f t="shared" si="11"/>
        <v>0</v>
      </c>
      <c r="AD23" s="450" t="e">
        <f t="shared" si="12"/>
        <v>#DIV/0!</v>
      </c>
      <c r="AE23" s="730"/>
      <c r="AF23" s="560"/>
      <c r="AG23" s="452"/>
      <c r="AH23" s="453">
        <f t="shared" si="13"/>
        <v>0</v>
      </c>
      <c r="AI23" s="450" t="e">
        <f t="shared" si="14"/>
        <v>#DIV/0!</v>
      </c>
      <c r="AJ23" s="458"/>
      <c r="AK23" s="560"/>
      <c r="AL23" s="452"/>
      <c r="AM23" s="453">
        <f t="shared" si="15"/>
        <v>0</v>
      </c>
      <c r="AN23" s="450" t="e">
        <f t="shared" si="16"/>
        <v>#DIV/0!</v>
      </c>
      <c r="AO23" s="458"/>
      <c r="AP23" s="560"/>
      <c r="AQ23" s="452"/>
      <c r="AR23" s="453">
        <f t="shared" si="17"/>
        <v>0</v>
      </c>
      <c r="AS23" s="450" t="e">
        <f t="shared" si="18"/>
        <v>#DIV/0!</v>
      </c>
      <c r="AT23" s="458"/>
      <c r="AU23" s="452">
        <f t="shared" si="5"/>
        <v>0</v>
      </c>
      <c r="AV23" s="452">
        <f t="shared" si="5"/>
        <v>0</v>
      </c>
      <c r="AW23" s="453">
        <f t="shared" si="19"/>
        <v>0</v>
      </c>
      <c r="AX23" s="450" t="e">
        <f t="shared" si="1"/>
        <v>#DIV/0!</v>
      </c>
      <c r="AY23" s="456"/>
    </row>
    <row r="24" spans="1:51" s="2" customFormat="1" ht="13.8" x14ac:dyDescent="0.25">
      <c r="A24" s="238"/>
      <c r="B24" s="471" t="s">
        <v>23</v>
      </c>
      <c r="C24" s="114"/>
      <c r="D24" s="445"/>
      <c r="E24" s="446">
        <f t="shared" si="2"/>
        <v>0</v>
      </c>
      <c r="F24" s="447" t="e">
        <f t="shared" ref="F24:F33" si="21">E24/$E$89</f>
        <v>#DIV/0!</v>
      </c>
      <c r="G24" s="452"/>
      <c r="H24" s="452"/>
      <c r="I24" s="453">
        <f t="shared" si="6"/>
        <v>0</v>
      </c>
      <c r="J24" s="450" t="e">
        <f t="shared" si="3"/>
        <v>#DIV/0!</v>
      </c>
      <c r="K24" s="456"/>
      <c r="L24" s="452"/>
      <c r="M24" s="452"/>
      <c r="N24" s="453">
        <f t="shared" si="7"/>
        <v>0</v>
      </c>
      <c r="O24" s="450">
        <f t="shared" si="4"/>
        <v>0</v>
      </c>
      <c r="P24" s="895"/>
      <c r="Q24" s="452"/>
      <c r="R24" s="452"/>
      <c r="S24" s="453">
        <f t="shared" si="8"/>
        <v>0</v>
      </c>
      <c r="T24" s="450" t="e">
        <f t="shared" si="20"/>
        <v>#DIV/0!</v>
      </c>
      <c r="U24" s="458"/>
      <c r="V24" s="452"/>
      <c r="W24" s="452"/>
      <c r="X24" s="453">
        <f t="shared" si="9"/>
        <v>0</v>
      </c>
      <c r="Y24" s="450" t="e">
        <f t="shared" si="10"/>
        <v>#DIV/0!</v>
      </c>
      <c r="Z24" s="458"/>
      <c r="AA24" s="452"/>
      <c r="AB24" s="452"/>
      <c r="AC24" s="453">
        <f t="shared" si="11"/>
        <v>0</v>
      </c>
      <c r="AD24" s="450" t="e">
        <f t="shared" si="12"/>
        <v>#DIV/0!</v>
      </c>
      <c r="AE24" s="730"/>
      <c r="AF24" s="560"/>
      <c r="AG24" s="452"/>
      <c r="AH24" s="453">
        <f t="shared" si="13"/>
        <v>0</v>
      </c>
      <c r="AI24" s="450" t="e">
        <f t="shared" si="14"/>
        <v>#DIV/0!</v>
      </c>
      <c r="AJ24" s="458"/>
      <c r="AK24" s="560"/>
      <c r="AL24" s="452"/>
      <c r="AM24" s="453">
        <f t="shared" si="15"/>
        <v>0</v>
      </c>
      <c r="AN24" s="450" t="e">
        <f t="shared" si="16"/>
        <v>#DIV/0!</v>
      </c>
      <c r="AO24" s="452"/>
      <c r="AP24" s="560"/>
      <c r="AQ24" s="452"/>
      <c r="AR24" s="453">
        <f t="shared" si="17"/>
        <v>0</v>
      </c>
      <c r="AS24" s="450" t="e">
        <f t="shared" si="18"/>
        <v>#DIV/0!</v>
      </c>
      <c r="AT24" s="452"/>
      <c r="AU24" s="452">
        <f t="shared" si="5"/>
        <v>0</v>
      </c>
      <c r="AV24" s="452">
        <f t="shared" si="5"/>
        <v>0</v>
      </c>
      <c r="AW24" s="453">
        <f t="shared" si="19"/>
        <v>0</v>
      </c>
      <c r="AX24" s="450" t="e">
        <f t="shared" si="1"/>
        <v>#DIV/0!</v>
      </c>
      <c r="AY24" s="456"/>
    </row>
    <row r="25" spans="1:51" s="2" customFormat="1" ht="13.8" x14ac:dyDescent="0.25">
      <c r="A25" s="238"/>
      <c r="B25" s="471" t="s">
        <v>24</v>
      </c>
      <c r="C25" s="114"/>
      <c r="D25" s="445"/>
      <c r="E25" s="446">
        <f t="shared" si="2"/>
        <v>0</v>
      </c>
      <c r="F25" s="447" t="e">
        <f t="shared" si="21"/>
        <v>#DIV/0!</v>
      </c>
      <c r="G25" s="452"/>
      <c r="H25" s="452"/>
      <c r="I25" s="453">
        <f t="shared" si="6"/>
        <v>0</v>
      </c>
      <c r="J25" s="450" t="e">
        <f t="shared" si="3"/>
        <v>#DIV/0!</v>
      </c>
      <c r="K25" s="456"/>
      <c r="L25" s="452"/>
      <c r="M25" s="452"/>
      <c r="N25" s="453">
        <f t="shared" si="7"/>
        <v>0</v>
      </c>
      <c r="O25" s="450">
        <f t="shared" si="4"/>
        <v>0</v>
      </c>
      <c r="P25" s="895"/>
      <c r="Q25" s="452"/>
      <c r="R25" s="452"/>
      <c r="S25" s="453">
        <f t="shared" si="8"/>
        <v>0</v>
      </c>
      <c r="T25" s="450" t="e">
        <f t="shared" si="20"/>
        <v>#DIV/0!</v>
      </c>
      <c r="U25" s="458"/>
      <c r="V25" s="452"/>
      <c r="W25" s="452"/>
      <c r="X25" s="453">
        <f t="shared" si="9"/>
        <v>0</v>
      </c>
      <c r="Y25" s="450" t="e">
        <f t="shared" si="10"/>
        <v>#DIV/0!</v>
      </c>
      <c r="Z25" s="458"/>
      <c r="AA25" s="452"/>
      <c r="AB25" s="452"/>
      <c r="AC25" s="453">
        <f t="shared" si="11"/>
        <v>0</v>
      </c>
      <c r="AD25" s="450" t="e">
        <f t="shared" si="12"/>
        <v>#DIV/0!</v>
      </c>
      <c r="AE25" s="730"/>
      <c r="AF25" s="560"/>
      <c r="AG25" s="452"/>
      <c r="AH25" s="453">
        <f t="shared" si="13"/>
        <v>0</v>
      </c>
      <c r="AI25" s="450" t="e">
        <f t="shared" si="14"/>
        <v>#DIV/0!</v>
      </c>
      <c r="AJ25" s="458"/>
      <c r="AK25" s="560"/>
      <c r="AL25" s="452"/>
      <c r="AM25" s="453">
        <f t="shared" si="15"/>
        <v>0</v>
      </c>
      <c r="AN25" s="450" t="e">
        <f t="shared" si="16"/>
        <v>#DIV/0!</v>
      </c>
      <c r="AO25" s="458"/>
      <c r="AP25" s="560"/>
      <c r="AQ25" s="452"/>
      <c r="AR25" s="453">
        <f t="shared" si="17"/>
        <v>0</v>
      </c>
      <c r="AS25" s="450" t="e">
        <f t="shared" si="18"/>
        <v>#DIV/0!</v>
      </c>
      <c r="AT25" s="458"/>
      <c r="AU25" s="452">
        <f t="shared" si="5"/>
        <v>0</v>
      </c>
      <c r="AV25" s="452">
        <f t="shared" si="5"/>
        <v>0</v>
      </c>
      <c r="AW25" s="453">
        <f t="shared" si="19"/>
        <v>0</v>
      </c>
      <c r="AX25" s="450" t="e">
        <f t="shared" si="1"/>
        <v>#DIV/0!</v>
      </c>
      <c r="AY25" s="456"/>
    </row>
    <row r="26" spans="1:51" s="2" customFormat="1" ht="13.8" x14ac:dyDescent="0.25">
      <c r="A26" s="238"/>
      <c r="B26" s="471" t="s">
        <v>45</v>
      </c>
      <c r="C26" s="114"/>
      <c r="D26" s="445"/>
      <c r="E26" s="446">
        <f t="shared" si="2"/>
        <v>0</v>
      </c>
      <c r="F26" s="447" t="e">
        <f t="shared" si="21"/>
        <v>#DIV/0!</v>
      </c>
      <c r="G26" s="452"/>
      <c r="H26" s="452"/>
      <c r="I26" s="453">
        <f t="shared" si="6"/>
        <v>0</v>
      </c>
      <c r="J26" s="450" t="e">
        <f t="shared" si="3"/>
        <v>#DIV/0!</v>
      </c>
      <c r="K26" s="456"/>
      <c r="L26" s="452"/>
      <c r="M26" s="452"/>
      <c r="N26" s="453">
        <f t="shared" si="7"/>
        <v>0</v>
      </c>
      <c r="O26" s="450">
        <f t="shared" si="4"/>
        <v>0</v>
      </c>
      <c r="P26" s="895"/>
      <c r="Q26" s="452"/>
      <c r="R26" s="452"/>
      <c r="S26" s="453">
        <f t="shared" si="8"/>
        <v>0</v>
      </c>
      <c r="T26" s="450" t="e">
        <f t="shared" si="20"/>
        <v>#DIV/0!</v>
      </c>
      <c r="U26" s="458"/>
      <c r="V26" s="452"/>
      <c r="W26" s="452"/>
      <c r="X26" s="453">
        <f t="shared" si="9"/>
        <v>0</v>
      </c>
      <c r="Y26" s="450" t="e">
        <f t="shared" si="10"/>
        <v>#DIV/0!</v>
      </c>
      <c r="Z26" s="458"/>
      <c r="AA26" s="452"/>
      <c r="AB26" s="452"/>
      <c r="AC26" s="453">
        <f t="shared" si="11"/>
        <v>0</v>
      </c>
      <c r="AD26" s="450" t="e">
        <f t="shared" si="12"/>
        <v>#DIV/0!</v>
      </c>
      <c r="AE26" s="730"/>
      <c r="AF26" s="560"/>
      <c r="AG26" s="452"/>
      <c r="AH26" s="453">
        <f t="shared" si="13"/>
        <v>0</v>
      </c>
      <c r="AI26" s="450" t="e">
        <f t="shared" si="14"/>
        <v>#DIV/0!</v>
      </c>
      <c r="AJ26" s="458"/>
      <c r="AK26" s="560"/>
      <c r="AL26" s="452"/>
      <c r="AM26" s="453">
        <f t="shared" si="15"/>
        <v>0</v>
      </c>
      <c r="AN26" s="450" t="e">
        <f t="shared" si="16"/>
        <v>#DIV/0!</v>
      </c>
      <c r="AO26" s="458"/>
      <c r="AP26" s="560"/>
      <c r="AQ26" s="452"/>
      <c r="AR26" s="453">
        <f t="shared" si="17"/>
        <v>0</v>
      </c>
      <c r="AS26" s="450" t="e">
        <f t="shared" si="18"/>
        <v>#DIV/0!</v>
      </c>
      <c r="AT26" s="458"/>
      <c r="AU26" s="452">
        <f t="shared" si="5"/>
        <v>0</v>
      </c>
      <c r="AV26" s="452">
        <f t="shared" si="5"/>
        <v>0</v>
      </c>
      <c r="AW26" s="453">
        <f t="shared" si="19"/>
        <v>0</v>
      </c>
      <c r="AX26" s="450" t="e">
        <f t="shared" si="1"/>
        <v>#DIV/0!</v>
      </c>
      <c r="AY26" s="456"/>
    </row>
    <row r="27" spans="1:51" s="2" customFormat="1" ht="13.8" x14ac:dyDescent="0.25">
      <c r="A27" s="238"/>
      <c r="B27" s="471" t="s">
        <v>25</v>
      </c>
      <c r="C27" s="114"/>
      <c r="D27" s="445"/>
      <c r="E27" s="446">
        <f t="shared" si="2"/>
        <v>0</v>
      </c>
      <c r="F27" s="447" t="e">
        <f t="shared" si="21"/>
        <v>#DIV/0!</v>
      </c>
      <c r="G27" s="452"/>
      <c r="H27" s="452"/>
      <c r="I27" s="453">
        <f t="shared" si="6"/>
        <v>0</v>
      </c>
      <c r="J27" s="450" t="e">
        <f t="shared" si="3"/>
        <v>#DIV/0!</v>
      </c>
      <c r="K27" s="456"/>
      <c r="L27" s="452"/>
      <c r="M27" s="452"/>
      <c r="N27" s="453">
        <f t="shared" si="7"/>
        <v>0</v>
      </c>
      <c r="O27" s="450">
        <f t="shared" si="4"/>
        <v>0</v>
      </c>
      <c r="P27" s="895"/>
      <c r="Q27" s="452"/>
      <c r="R27" s="452"/>
      <c r="S27" s="453">
        <f t="shared" si="8"/>
        <v>0</v>
      </c>
      <c r="T27" s="450" t="e">
        <f t="shared" si="20"/>
        <v>#DIV/0!</v>
      </c>
      <c r="U27" s="458"/>
      <c r="V27" s="452"/>
      <c r="W27" s="452"/>
      <c r="X27" s="453">
        <f t="shared" si="9"/>
        <v>0</v>
      </c>
      <c r="Y27" s="450" t="e">
        <f t="shared" si="10"/>
        <v>#DIV/0!</v>
      </c>
      <c r="Z27" s="458"/>
      <c r="AA27" s="452"/>
      <c r="AB27" s="452"/>
      <c r="AC27" s="453">
        <f t="shared" si="11"/>
        <v>0</v>
      </c>
      <c r="AD27" s="450" t="e">
        <f t="shared" si="12"/>
        <v>#DIV/0!</v>
      </c>
      <c r="AE27" s="730"/>
      <c r="AF27" s="560"/>
      <c r="AG27" s="452"/>
      <c r="AH27" s="453">
        <f t="shared" si="13"/>
        <v>0</v>
      </c>
      <c r="AI27" s="450" t="e">
        <f t="shared" si="14"/>
        <v>#DIV/0!</v>
      </c>
      <c r="AJ27" s="458"/>
      <c r="AK27" s="560"/>
      <c r="AL27" s="452"/>
      <c r="AM27" s="453">
        <f t="shared" si="15"/>
        <v>0</v>
      </c>
      <c r="AN27" s="450" t="e">
        <f t="shared" si="16"/>
        <v>#DIV/0!</v>
      </c>
      <c r="AO27" s="458"/>
      <c r="AP27" s="560"/>
      <c r="AQ27" s="452"/>
      <c r="AR27" s="453">
        <f t="shared" si="17"/>
        <v>0</v>
      </c>
      <c r="AS27" s="450" t="e">
        <f t="shared" si="18"/>
        <v>#DIV/0!</v>
      </c>
      <c r="AT27" s="458"/>
      <c r="AU27" s="452">
        <f t="shared" si="5"/>
        <v>0</v>
      </c>
      <c r="AV27" s="452">
        <f t="shared" si="5"/>
        <v>0</v>
      </c>
      <c r="AW27" s="453">
        <f t="shared" si="19"/>
        <v>0</v>
      </c>
      <c r="AX27" s="450" t="e">
        <f t="shared" si="1"/>
        <v>#DIV/0!</v>
      </c>
      <c r="AY27" s="456"/>
    </row>
    <row r="28" spans="1:51" s="226" customFormat="1" ht="13.8" x14ac:dyDescent="0.25">
      <c r="A28" s="238"/>
      <c r="B28" s="496" t="s">
        <v>52</v>
      </c>
      <c r="C28" s="114"/>
      <c r="D28" s="445"/>
      <c r="E28" s="446">
        <f t="shared" si="2"/>
        <v>0</v>
      </c>
      <c r="F28" s="447" t="e">
        <f t="shared" si="21"/>
        <v>#DIV/0!</v>
      </c>
      <c r="G28" s="452"/>
      <c r="H28" s="452"/>
      <c r="I28" s="453">
        <f t="shared" si="6"/>
        <v>0</v>
      </c>
      <c r="J28" s="450" t="e">
        <f t="shared" si="3"/>
        <v>#DIV/0!</v>
      </c>
      <c r="K28" s="456"/>
      <c r="L28" s="452"/>
      <c r="M28" s="452"/>
      <c r="N28" s="453">
        <f t="shared" si="7"/>
        <v>0</v>
      </c>
      <c r="O28" s="450">
        <f t="shared" si="4"/>
        <v>0</v>
      </c>
      <c r="P28" s="895"/>
      <c r="Q28" s="452"/>
      <c r="R28" s="452"/>
      <c r="S28" s="453">
        <f t="shared" si="8"/>
        <v>0</v>
      </c>
      <c r="T28" s="450" t="e">
        <f t="shared" si="20"/>
        <v>#DIV/0!</v>
      </c>
      <c r="U28" s="458"/>
      <c r="V28" s="452"/>
      <c r="W28" s="452"/>
      <c r="X28" s="453">
        <f t="shared" si="9"/>
        <v>0</v>
      </c>
      <c r="Y28" s="450" t="e">
        <f t="shared" si="10"/>
        <v>#DIV/0!</v>
      </c>
      <c r="Z28" s="458"/>
      <c r="AA28" s="452"/>
      <c r="AB28" s="452"/>
      <c r="AC28" s="453">
        <f t="shared" si="11"/>
        <v>0</v>
      </c>
      <c r="AD28" s="450" t="e">
        <f t="shared" si="12"/>
        <v>#DIV/0!</v>
      </c>
      <c r="AE28" s="730"/>
      <c r="AF28" s="560"/>
      <c r="AG28" s="452"/>
      <c r="AH28" s="453">
        <f t="shared" si="13"/>
        <v>0</v>
      </c>
      <c r="AI28" s="450" t="e">
        <f t="shared" si="14"/>
        <v>#DIV/0!</v>
      </c>
      <c r="AJ28" s="458"/>
      <c r="AK28" s="560"/>
      <c r="AL28" s="452"/>
      <c r="AM28" s="453">
        <f t="shared" si="15"/>
        <v>0</v>
      </c>
      <c r="AN28" s="450" t="e">
        <f t="shared" si="16"/>
        <v>#DIV/0!</v>
      </c>
      <c r="AO28" s="458"/>
      <c r="AP28" s="560"/>
      <c r="AQ28" s="452"/>
      <c r="AR28" s="453">
        <f t="shared" si="17"/>
        <v>0</v>
      </c>
      <c r="AS28" s="450" t="e">
        <f t="shared" si="18"/>
        <v>#DIV/0!</v>
      </c>
      <c r="AT28" s="458"/>
      <c r="AU28" s="452">
        <f t="shared" si="5"/>
        <v>0</v>
      </c>
      <c r="AV28" s="452">
        <f t="shared" si="5"/>
        <v>0</v>
      </c>
      <c r="AW28" s="453">
        <f t="shared" si="19"/>
        <v>0</v>
      </c>
      <c r="AX28" s="450" t="e">
        <f t="shared" si="1"/>
        <v>#DIV/0!</v>
      </c>
      <c r="AY28" s="456"/>
    </row>
    <row r="29" spans="1:51" s="2" customFormat="1" ht="13.8" x14ac:dyDescent="0.25">
      <c r="A29" s="238"/>
      <c r="B29" s="471" t="s">
        <v>31</v>
      </c>
      <c r="C29" s="114"/>
      <c r="D29" s="445"/>
      <c r="E29" s="446">
        <f t="shared" si="2"/>
        <v>0</v>
      </c>
      <c r="F29" s="450" t="e">
        <f t="shared" si="21"/>
        <v>#DIV/0!</v>
      </c>
      <c r="G29" s="452"/>
      <c r="H29" s="452"/>
      <c r="I29" s="453">
        <f t="shared" si="6"/>
        <v>0</v>
      </c>
      <c r="J29" s="450" t="e">
        <f t="shared" si="3"/>
        <v>#DIV/0!</v>
      </c>
      <c r="K29" s="454"/>
      <c r="L29" s="452"/>
      <c r="M29" s="452"/>
      <c r="N29" s="453">
        <f t="shared" si="7"/>
        <v>0</v>
      </c>
      <c r="O29" s="450">
        <f t="shared" si="4"/>
        <v>0</v>
      </c>
      <c r="P29" s="894"/>
      <c r="Q29" s="452"/>
      <c r="R29" s="452"/>
      <c r="S29" s="453">
        <f t="shared" si="8"/>
        <v>0</v>
      </c>
      <c r="T29" s="450" t="e">
        <f t="shared" si="20"/>
        <v>#DIV/0!</v>
      </c>
      <c r="U29" s="458"/>
      <c r="V29" s="452"/>
      <c r="W29" s="452"/>
      <c r="X29" s="453">
        <f t="shared" si="9"/>
        <v>0</v>
      </c>
      <c r="Y29" s="450" t="e">
        <f t="shared" si="10"/>
        <v>#DIV/0!</v>
      </c>
      <c r="Z29" s="458"/>
      <c r="AA29" s="452"/>
      <c r="AB29" s="452"/>
      <c r="AC29" s="453">
        <f t="shared" si="11"/>
        <v>0</v>
      </c>
      <c r="AD29" s="450" t="e">
        <f t="shared" si="12"/>
        <v>#DIV/0!</v>
      </c>
      <c r="AE29" s="730"/>
      <c r="AF29" s="560"/>
      <c r="AG29" s="452"/>
      <c r="AH29" s="453">
        <f t="shared" si="13"/>
        <v>0</v>
      </c>
      <c r="AI29" s="450" t="e">
        <f t="shared" si="14"/>
        <v>#DIV/0!</v>
      </c>
      <c r="AJ29" s="458"/>
      <c r="AK29" s="560"/>
      <c r="AL29" s="452"/>
      <c r="AM29" s="453">
        <f t="shared" si="15"/>
        <v>0</v>
      </c>
      <c r="AN29" s="450" t="e">
        <f t="shared" si="16"/>
        <v>#DIV/0!</v>
      </c>
      <c r="AO29" s="458"/>
      <c r="AP29" s="560"/>
      <c r="AQ29" s="452"/>
      <c r="AR29" s="453">
        <f t="shared" si="17"/>
        <v>0</v>
      </c>
      <c r="AS29" s="450" t="e">
        <f t="shared" si="18"/>
        <v>#DIV/0!</v>
      </c>
      <c r="AT29" s="458"/>
      <c r="AU29" s="452">
        <f t="shared" si="5"/>
        <v>0</v>
      </c>
      <c r="AV29" s="452">
        <f t="shared" si="5"/>
        <v>0</v>
      </c>
      <c r="AW29" s="453">
        <f t="shared" si="19"/>
        <v>0</v>
      </c>
      <c r="AX29" s="450" t="e">
        <f t="shared" si="1"/>
        <v>#DIV/0!</v>
      </c>
      <c r="AY29" s="498"/>
    </row>
    <row r="30" spans="1:51" s="2" customFormat="1" ht="13.8" x14ac:dyDescent="0.25">
      <c r="A30" s="238"/>
      <c r="B30" s="471" t="s">
        <v>62</v>
      </c>
      <c r="C30" s="114"/>
      <c r="D30" s="445"/>
      <c r="E30" s="446">
        <f t="shared" si="2"/>
        <v>0</v>
      </c>
      <c r="F30" s="450" t="e">
        <f t="shared" si="21"/>
        <v>#DIV/0!</v>
      </c>
      <c r="G30" s="452"/>
      <c r="H30" s="452"/>
      <c r="I30" s="453">
        <f t="shared" si="6"/>
        <v>0</v>
      </c>
      <c r="J30" s="450" t="e">
        <f t="shared" si="3"/>
        <v>#DIV/0!</v>
      </c>
      <c r="K30" s="498"/>
      <c r="L30" s="452"/>
      <c r="M30" s="452"/>
      <c r="N30" s="453">
        <f t="shared" si="7"/>
        <v>0</v>
      </c>
      <c r="O30" s="450">
        <f t="shared" si="4"/>
        <v>0</v>
      </c>
      <c r="P30" s="896"/>
      <c r="Q30" s="452"/>
      <c r="R30" s="452"/>
      <c r="S30" s="453">
        <f t="shared" si="8"/>
        <v>0</v>
      </c>
      <c r="T30" s="450" t="e">
        <f t="shared" si="20"/>
        <v>#DIV/0!</v>
      </c>
      <c r="U30" s="458"/>
      <c r="V30" s="452"/>
      <c r="W30" s="452"/>
      <c r="X30" s="453">
        <f t="shared" si="9"/>
        <v>0</v>
      </c>
      <c r="Y30" s="450" t="e">
        <f t="shared" si="10"/>
        <v>#DIV/0!</v>
      </c>
      <c r="Z30" s="458"/>
      <c r="AA30" s="452"/>
      <c r="AB30" s="452"/>
      <c r="AC30" s="453">
        <f t="shared" si="11"/>
        <v>0</v>
      </c>
      <c r="AD30" s="450" t="e">
        <f t="shared" si="12"/>
        <v>#DIV/0!</v>
      </c>
      <c r="AE30" s="730"/>
      <c r="AF30" s="560"/>
      <c r="AG30" s="452"/>
      <c r="AH30" s="453">
        <f t="shared" si="13"/>
        <v>0</v>
      </c>
      <c r="AI30" s="450" t="e">
        <f t="shared" si="14"/>
        <v>#DIV/0!</v>
      </c>
      <c r="AJ30" s="458"/>
      <c r="AK30" s="560"/>
      <c r="AL30" s="452"/>
      <c r="AM30" s="453">
        <f t="shared" si="15"/>
        <v>0</v>
      </c>
      <c r="AN30" s="450" t="e">
        <f t="shared" si="16"/>
        <v>#DIV/0!</v>
      </c>
      <c r="AO30" s="458"/>
      <c r="AP30" s="560"/>
      <c r="AQ30" s="452"/>
      <c r="AR30" s="453">
        <f t="shared" si="17"/>
        <v>0</v>
      </c>
      <c r="AS30" s="450" t="e">
        <f t="shared" si="18"/>
        <v>#DIV/0!</v>
      </c>
      <c r="AT30" s="458"/>
      <c r="AU30" s="452">
        <f t="shared" si="5"/>
        <v>0</v>
      </c>
      <c r="AV30" s="452">
        <f t="shared" si="5"/>
        <v>0</v>
      </c>
      <c r="AW30" s="453">
        <f t="shared" si="19"/>
        <v>0</v>
      </c>
      <c r="AX30" s="450" t="e">
        <f t="shared" si="1"/>
        <v>#DIV/0!</v>
      </c>
      <c r="AY30" s="498"/>
    </row>
    <row r="31" spans="1:51" s="2" customFormat="1" ht="13.8" x14ac:dyDescent="0.25">
      <c r="A31" s="238"/>
      <c r="B31" s="471" t="s">
        <v>34</v>
      </c>
      <c r="C31" s="114"/>
      <c r="D31" s="582"/>
      <c r="E31" s="446">
        <f t="shared" si="2"/>
        <v>0</v>
      </c>
      <c r="F31" s="450" t="e">
        <f t="shared" si="21"/>
        <v>#DIV/0!</v>
      </c>
      <c r="G31" s="452"/>
      <c r="H31" s="452"/>
      <c r="I31" s="453">
        <f t="shared" si="6"/>
        <v>0</v>
      </c>
      <c r="J31" s="450" t="e">
        <f t="shared" si="3"/>
        <v>#DIV/0!</v>
      </c>
      <c r="K31" s="498"/>
      <c r="L31" s="452"/>
      <c r="M31" s="452"/>
      <c r="N31" s="453">
        <f t="shared" si="7"/>
        <v>0</v>
      </c>
      <c r="O31" s="450">
        <f t="shared" si="4"/>
        <v>0</v>
      </c>
      <c r="P31" s="897"/>
      <c r="Q31" s="452"/>
      <c r="R31" s="452"/>
      <c r="S31" s="453">
        <f t="shared" si="8"/>
        <v>0</v>
      </c>
      <c r="T31" s="450" t="e">
        <f t="shared" si="20"/>
        <v>#DIV/0!</v>
      </c>
      <c r="U31" s="458"/>
      <c r="V31" s="452"/>
      <c r="W31" s="452"/>
      <c r="X31" s="453">
        <f t="shared" si="9"/>
        <v>0</v>
      </c>
      <c r="Y31" s="450" t="e">
        <f t="shared" si="10"/>
        <v>#DIV/0!</v>
      </c>
      <c r="Z31" s="458"/>
      <c r="AA31" s="452"/>
      <c r="AB31" s="452"/>
      <c r="AC31" s="453">
        <f t="shared" si="11"/>
        <v>0</v>
      </c>
      <c r="AD31" s="450" t="e">
        <f t="shared" si="12"/>
        <v>#DIV/0!</v>
      </c>
      <c r="AE31" s="730"/>
      <c r="AF31" s="560"/>
      <c r="AG31" s="452"/>
      <c r="AH31" s="453">
        <f t="shared" si="13"/>
        <v>0</v>
      </c>
      <c r="AI31" s="450" t="e">
        <f t="shared" si="14"/>
        <v>#DIV/0!</v>
      </c>
      <c r="AJ31" s="458"/>
      <c r="AK31" s="560"/>
      <c r="AL31" s="452"/>
      <c r="AM31" s="453">
        <f t="shared" si="15"/>
        <v>0</v>
      </c>
      <c r="AN31" s="450" t="e">
        <f t="shared" si="16"/>
        <v>#DIV/0!</v>
      </c>
      <c r="AO31" s="458"/>
      <c r="AP31" s="560"/>
      <c r="AQ31" s="452"/>
      <c r="AR31" s="453">
        <f t="shared" si="17"/>
        <v>0</v>
      </c>
      <c r="AS31" s="450" t="e">
        <f t="shared" si="18"/>
        <v>#DIV/0!</v>
      </c>
      <c r="AT31" s="458"/>
      <c r="AU31" s="452">
        <f t="shared" si="5"/>
        <v>0</v>
      </c>
      <c r="AV31" s="452">
        <f t="shared" si="5"/>
        <v>0</v>
      </c>
      <c r="AW31" s="453">
        <f t="shared" si="19"/>
        <v>0</v>
      </c>
      <c r="AX31" s="450" t="e">
        <f t="shared" si="1"/>
        <v>#DIV/0!</v>
      </c>
      <c r="AY31" s="498"/>
    </row>
    <row r="32" spans="1:51" s="2" customFormat="1" ht="13.8" x14ac:dyDescent="0.25">
      <c r="A32" s="238"/>
      <c r="B32" s="501" t="s">
        <v>2</v>
      </c>
      <c r="C32" s="115"/>
      <c r="D32" s="116"/>
      <c r="E32" s="446">
        <f t="shared" si="2"/>
        <v>0</v>
      </c>
      <c r="F32" s="450" t="e">
        <f t="shared" si="21"/>
        <v>#DIV/0!</v>
      </c>
      <c r="G32" s="452"/>
      <c r="H32" s="452"/>
      <c r="I32" s="453">
        <f t="shared" si="6"/>
        <v>0</v>
      </c>
      <c r="J32" s="450" t="e">
        <f t="shared" si="3"/>
        <v>#DIV/0!</v>
      </c>
      <c r="K32" s="498"/>
      <c r="L32" s="452"/>
      <c r="M32" s="452"/>
      <c r="N32" s="453">
        <f t="shared" si="7"/>
        <v>0</v>
      </c>
      <c r="O32" s="450">
        <f t="shared" si="4"/>
        <v>0</v>
      </c>
      <c r="P32" s="896"/>
      <c r="Q32" s="452"/>
      <c r="R32" s="452"/>
      <c r="S32" s="453">
        <f t="shared" si="8"/>
        <v>0</v>
      </c>
      <c r="T32" s="450" t="e">
        <f t="shared" si="20"/>
        <v>#DIV/0!</v>
      </c>
      <c r="U32" s="503"/>
      <c r="V32" s="452"/>
      <c r="W32" s="452"/>
      <c r="X32" s="453">
        <f t="shared" si="9"/>
        <v>0</v>
      </c>
      <c r="Y32" s="450" t="e">
        <f t="shared" si="10"/>
        <v>#DIV/0!</v>
      </c>
      <c r="Z32" s="503"/>
      <c r="AA32" s="452"/>
      <c r="AB32" s="452"/>
      <c r="AC32" s="453">
        <f t="shared" si="11"/>
        <v>0</v>
      </c>
      <c r="AD32" s="450" t="e">
        <f t="shared" si="12"/>
        <v>#DIV/0!</v>
      </c>
      <c r="AE32" s="731"/>
      <c r="AF32" s="560"/>
      <c r="AG32" s="452"/>
      <c r="AH32" s="453">
        <f t="shared" si="13"/>
        <v>0</v>
      </c>
      <c r="AI32" s="450" t="e">
        <f t="shared" si="14"/>
        <v>#DIV/0!</v>
      </c>
      <c r="AJ32" s="503"/>
      <c r="AK32" s="560"/>
      <c r="AL32" s="452"/>
      <c r="AM32" s="453">
        <f t="shared" si="15"/>
        <v>0</v>
      </c>
      <c r="AN32" s="450" t="e">
        <f t="shared" si="16"/>
        <v>#DIV/0!</v>
      </c>
      <c r="AO32" s="503"/>
      <c r="AP32" s="560"/>
      <c r="AQ32" s="452"/>
      <c r="AR32" s="453">
        <f t="shared" si="17"/>
        <v>0</v>
      </c>
      <c r="AS32" s="450" t="e">
        <f t="shared" si="18"/>
        <v>#DIV/0!</v>
      </c>
      <c r="AT32" s="503"/>
      <c r="AU32" s="452">
        <f t="shared" si="5"/>
        <v>0</v>
      </c>
      <c r="AV32" s="452">
        <f t="shared" si="5"/>
        <v>0</v>
      </c>
      <c r="AW32" s="453">
        <f t="shared" si="19"/>
        <v>0</v>
      </c>
      <c r="AX32" s="450" t="e">
        <f t="shared" si="1"/>
        <v>#DIV/0!</v>
      </c>
      <c r="AY32" s="498"/>
    </row>
    <row r="33" spans="1:51" s="2" customFormat="1" ht="14.4" thickBot="1" x14ac:dyDescent="0.3">
      <c r="A33" s="238"/>
      <c r="B33" s="504" t="s">
        <v>75</v>
      </c>
      <c r="C33" s="505"/>
      <c r="D33" s="506"/>
      <c r="E33" s="507">
        <f t="shared" si="2"/>
        <v>0</v>
      </c>
      <c r="F33" s="508" t="e">
        <f t="shared" si="21"/>
        <v>#DIV/0!</v>
      </c>
      <c r="G33" s="512"/>
      <c r="H33" s="512"/>
      <c r="I33" s="513">
        <f t="shared" si="6"/>
        <v>0</v>
      </c>
      <c r="J33" s="508" t="e">
        <f t="shared" si="3"/>
        <v>#DIV/0!</v>
      </c>
      <c r="K33" s="514"/>
      <c r="L33" s="512"/>
      <c r="M33" s="512">
        <v>49400</v>
      </c>
      <c r="N33" s="513">
        <f t="shared" si="7"/>
        <v>49400</v>
      </c>
      <c r="O33" s="508">
        <f t="shared" si="4"/>
        <v>0.88500000087501896</v>
      </c>
      <c r="P33" s="898" t="s">
        <v>941</v>
      </c>
      <c r="Q33" s="512"/>
      <c r="R33" s="512"/>
      <c r="S33" s="513">
        <f t="shared" si="8"/>
        <v>0</v>
      </c>
      <c r="T33" s="508" t="e">
        <f t="shared" si="20"/>
        <v>#DIV/0!</v>
      </c>
      <c r="U33" s="515"/>
      <c r="V33" s="512"/>
      <c r="W33" s="512"/>
      <c r="X33" s="513">
        <f t="shared" si="9"/>
        <v>0</v>
      </c>
      <c r="Y33" s="508" t="e">
        <f t="shared" si="10"/>
        <v>#DIV/0!</v>
      </c>
      <c r="Z33" s="515"/>
      <c r="AA33" s="512"/>
      <c r="AB33" s="512"/>
      <c r="AC33" s="513">
        <f t="shared" si="11"/>
        <v>0</v>
      </c>
      <c r="AD33" s="508" t="e">
        <f t="shared" si="12"/>
        <v>#DIV/0!</v>
      </c>
      <c r="AE33" s="804"/>
      <c r="AF33" s="600"/>
      <c r="AG33" s="512"/>
      <c r="AH33" s="513">
        <f t="shared" si="13"/>
        <v>0</v>
      </c>
      <c r="AI33" s="508" t="e">
        <f t="shared" si="14"/>
        <v>#DIV/0!</v>
      </c>
      <c r="AJ33" s="515"/>
      <c r="AK33" s="600"/>
      <c r="AL33" s="512"/>
      <c r="AM33" s="513">
        <f t="shared" si="15"/>
        <v>0</v>
      </c>
      <c r="AN33" s="508" t="e">
        <f t="shared" si="16"/>
        <v>#DIV/0!</v>
      </c>
      <c r="AO33" s="515"/>
      <c r="AP33" s="600"/>
      <c r="AQ33" s="512"/>
      <c r="AR33" s="513">
        <f t="shared" si="17"/>
        <v>0</v>
      </c>
      <c r="AS33" s="508" t="e">
        <f t="shared" si="18"/>
        <v>#DIV/0!</v>
      </c>
      <c r="AT33" s="515"/>
      <c r="AU33" s="512">
        <f t="shared" si="5"/>
        <v>0</v>
      </c>
      <c r="AV33" s="512">
        <f t="shared" si="5"/>
        <v>49400</v>
      </c>
      <c r="AW33" s="513">
        <f t="shared" si="19"/>
        <v>49400</v>
      </c>
      <c r="AX33" s="508" t="e">
        <f t="shared" si="1"/>
        <v>#DIV/0!</v>
      </c>
      <c r="AY33" s="514"/>
    </row>
    <row r="34" spans="1:51" s="2" customFormat="1" ht="13.8" x14ac:dyDescent="0.25">
      <c r="A34" s="238"/>
      <c r="B34" s="473"/>
      <c r="C34" s="474"/>
      <c r="D34" s="475"/>
      <c r="E34" s="476"/>
      <c r="F34" s="477"/>
      <c r="G34" s="452"/>
      <c r="H34" s="452"/>
      <c r="I34" s="476"/>
      <c r="J34" s="476"/>
      <c r="K34" s="476"/>
      <c r="L34" s="452"/>
      <c r="M34" s="452"/>
      <c r="N34" s="476"/>
      <c r="O34" s="476"/>
      <c r="P34" s="476"/>
      <c r="Q34" s="452"/>
      <c r="R34" s="452"/>
      <c r="S34" s="476"/>
      <c r="T34" s="476"/>
      <c r="U34" s="476"/>
      <c r="V34" s="452"/>
      <c r="W34" s="452"/>
      <c r="X34" s="476"/>
      <c r="Y34" s="476"/>
      <c r="Z34" s="476"/>
      <c r="AA34" s="452"/>
      <c r="AB34" s="452"/>
      <c r="AC34" s="476"/>
      <c r="AD34" s="476"/>
      <c r="AE34" s="764"/>
      <c r="AF34" s="560"/>
      <c r="AG34" s="452"/>
      <c r="AH34" s="476"/>
      <c r="AI34" s="476"/>
      <c r="AJ34" s="476"/>
      <c r="AK34" s="560"/>
      <c r="AL34" s="452"/>
      <c r="AM34" s="476"/>
      <c r="AN34" s="476"/>
      <c r="AO34" s="476"/>
      <c r="AP34" s="560"/>
      <c r="AQ34" s="452"/>
      <c r="AR34" s="476"/>
      <c r="AS34" s="476"/>
      <c r="AT34" s="476"/>
      <c r="AU34" s="452"/>
      <c r="AV34" s="452"/>
      <c r="AW34" s="476"/>
      <c r="AX34" s="476"/>
      <c r="AY34" s="476"/>
    </row>
    <row r="35" spans="1:51" s="88" customFormat="1" ht="13.8" x14ac:dyDescent="0.25">
      <c r="A35" s="238"/>
      <c r="B35" s="89" t="s">
        <v>80</v>
      </c>
      <c r="C35" s="90">
        <f>C36</f>
        <v>0</v>
      </c>
      <c r="D35" s="90">
        <f>D36</f>
        <v>0</v>
      </c>
      <c r="E35" s="91">
        <f>E36</f>
        <v>0</v>
      </c>
      <c r="F35" s="165" t="e">
        <f>E35/$E$89</f>
        <v>#DIV/0!</v>
      </c>
      <c r="G35" s="90">
        <f>G36</f>
        <v>0</v>
      </c>
      <c r="H35" s="90">
        <f>H36</f>
        <v>0</v>
      </c>
      <c r="I35" s="91">
        <f>I36</f>
        <v>0</v>
      </c>
      <c r="J35" s="91" t="e">
        <f t="shared" si="3"/>
        <v>#DIV/0!</v>
      </c>
      <c r="K35" s="91"/>
      <c r="L35" s="90">
        <f>L36</f>
        <v>0</v>
      </c>
      <c r="M35" s="90">
        <f>M36</f>
        <v>0</v>
      </c>
      <c r="N35" s="91">
        <f>N36</f>
        <v>0</v>
      </c>
      <c r="O35" s="91"/>
      <c r="P35" s="404"/>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634"/>
      <c r="AF35" s="536">
        <f>AF36</f>
        <v>0</v>
      </c>
      <c r="AG35" s="536">
        <f>AG36</f>
        <v>0</v>
      </c>
      <c r="AH35" s="658">
        <f>AH36</f>
        <v>0</v>
      </c>
      <c r="AI35" s="658"/>
      <c r="AJ35" s="659"/>
      <c r="AK35" s="536">
        <f>AK36</f>
        <v>0</v>
      </c>
      <c r="AL35" s="536">
        <f>AL36</f>
        <v>0</v>
      </c>
      <c r="AM35" s="658">
        <f>AM36</f>
        <v>0</v>
      </c>
      <c r="AN35" s="658"/>
      <c r="AO35" s="659"/>
      <c r="AP35" s="536">
        <f>AP36</f>
        <v>0</v>
      </c>
      <c r="AQ35" s="536">
        <f>AQ36</f>
        <v>0</v>
      </c>
      <c r="AR35" s="658">
        <f>AR36</f>
        <v>0</v>
      </c>
      <c r="AS35" s="658"/>
      <c r="AT35" s="659"/>
      <c r="AU35" s="90">
        <f>AU36</f>
        <v>0</v>
      </c>
      <c r="AV35" s="90">
        <f>AV36</f>
        <v>0</v>
      </c>
      <c r="AW35" s="91">
        <f>AW36</f>
        <v>0</v>
      </c>
      <c r="AX35" s="91"/>
      <c r="AY35" s="91"/>
    </row>
    <row r="36" spans="1:51" s="226" customFormat="1" ht="13.8" x14ac:dyDescent="0.25">
      <c r="A36" s="238"/>
      <c r="B36" s="19" t="s">
        <v>81</v>
      </c>
      <c r="C36" s="43"/>
      <c r="D36" s="49"/>
      <c r="E36" s="106">
        <f>C36+D36</f>
        <v>0</v>
      </c>
      <c r="F36" s="178" t="e">
        <f>E36/$E$89</f>
        <v>#DIV/0!</v>
      </c>
      <c r="G36" s="39"/>
      <c r="H36" s="39"/>
      <c r="I36" s="106">
        <f>G36+H36*1</f>
        <v>0</v>
      </c>
      <c r="J36" s="178" t="e">
        <f t="shared" si="3"/>
        <v>#DIV/0!</v>
      </c>
      <c r="K36" s="45"/>
      <c r="L36" s="39"/>
      <c r="M36" s="39"/>
      <c r="N36" s="106">
        <f>L36+M36*1</f>
        <v>0</v>
      </c>
      <c r="O36" s="178">
        <f>N36/$N$89</f>
        <v>0</v>
      </c>
      <c r="P36" s="405"/>
      <c r="Q36" s="39"/>
      <c r="R36" s="39"/>
      <c r="S36" s="106">
        <f>Q36+R36*1</f>
        <v>0</v>
      </c>
      <c r="T36" s="178" t="e">
        <f>S36/$S$89</f>
        <v>#DIV/0!</v>
      </c>
      <c r="U36" s="405"/>
      <c r="V36" s="39"/>
      <c r="W36" s="39"/>
      <c r="X36" s="106">
        <f>V36+W36*1</f>
        <v>0</v>
      </c>
      <c r="Y36" s="178" t="e">
        <f>X36/$S$89</f>
        <v>#DIV/0!</v>
      </c>
      <c r="Z36" s="405"/>
      <c r="AA36" s="39"/>
      <c r="AB36" s="39"/>
      <c r="AC36" s="106">
        <f>AA36+AB36*1</f>
        <v>0</v>
      </c>
      <c r="AD36" s="178" t="e">
        <f>AC36/$S$89</f>
        <v>#DIV/0!</v>
      </c>
      <c r="AE36" s="732"/>
      <c r="AF36" s="560"/>
      <c r="AG36" s="452"/>
      <c r="AH36" s="446">
        <f>AF36+AG36*1</f>
        <v>0</v>
      </c>
      <c r="AI36" s="450" t="e">
        <f>AH36/$AH$89</f>
        <v>#DIV/0!</v>
      </c>
      <c r="AJ36" s="745"/>
      <c r="AK36" s="560"/>
      <c r="AL36" s="452"/>
      <c r="AM36" s="446">
        <f>AK36+AL36*1</f>
        <v>0</v>
      </c>
      <c r="AN36" s="450" t="e">
        <f>AM36/$AH$89</f>
        <v>#DIV/0!</v>
      </c>
      <c r="AO36" s="745"/>
      <c r="AP36" s="560"/>
      <c r="AQ36" s="452"/>
      <c r="AR36" s="446">
        <f>AP36+AQ36*1</f>
        <v>0</v>
      </c>
      <c r="AS36" s="450" t="e">
        <f>AR36/$AH$89</f>
        <v>#DIV/0!</v>
      </c>
      <c r="AT36" s="745"/>
      <c r="AU36" s="39">
        <f>G36+L36+Q36+V36+AA36+AF36+AK36+AP36</f>
        <v>0</v>
      </c>
      <c r="AV36" s="39">
        <f>H36+M36+R36+W36+AB36+AG36+AL36+AQ36</f>
        <v>0</v>
      </c>
      <c r="AW36" s="106">
        <f>AU36+AV36*1</f>
        <v>0</v>
      </c>
      <c r="AX36" s="178" t="e">
        <f>AW36/$AW$89</f>
        <v>#DIV/0!</v>
      </c>
      <c r="AY36" s="45"/>
    </row>
    <row r="37" spans="1:51" s="2" customFormat="1" ht="14.4" thickBot="1" x14ac:dyDescent="0.3">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03"/>
      <c r="AF37" s="560"/>
      <c r="AG37" s="452"/>
      <c r="AH37" s="606"/>
      <c r="AI37" s="606"/>
      <c r="AJ37" s="588"/>
      <c r="AK37" s="560"/>
      <c r="AL37" s="452"/>
      <c r="AM37" s="606"/>
      <c r="AN37" s="606"/>
      <c r="AO37" s="588"/>
      <c r="AP37" s="560"/>
      <c r="AQ37" s="452"/>
      <c r="AR37" s="606"/>
      <c r="AS37" s="606"/>
      <c r="AT37" s="588"/>
      <c r="AU37" s="39"/>
      <c r="AV37" s="39"/>
      <c r="AW37" s="52"/>
      <c r="AX37" s="52"/>
      <c r="AY37" s="52"/>
    </row>
    <row r="38" spans="1:51" ht="14.4" thickBot="1" x14ac:dyDescent="0.3">
      <c r="A38" s="33"/>
      <c r="B38" s="34" t="s">
        <v>46</v>
      </c>
      <c r="C38" s="53">
        <f>(C5)-(C8)</f>
        <v>0</v>
      </c>
      <c r="D38" s="53">
        <f>(D5)-(D8)</f>
        <v>0</v>
      </c>
      <c r="E38" s="53">
        <f>(E5)-(E8)</f>
        <v>0</v>
      </c>
      <c r="F38" s="166"/>
      <c r="G38" s="53">
        <f>(G5)-(G8)</f>
        <v>0</v>
      </c>
      <c r="H38" s="53">
        <f>(H5)-(H8)</f>
        <v>0</v>
      </c>
      <c r="I38" s="53">
        <f>(I5)-(I8)</f>
        <v>0</v>
      </c>
      <c r="J38" s="53" t="e">
        <f t="shared" si="3"/>
        <v>#DIV/0!</v>
      </c>
      <c r="K38" s="53"/>
      <c r="L38" s="53">
        <f>(L5)-(L8)</f>
        <v>370000</v>
      </c>
      <c r="M38" s="53">
        <f>(M5)-(M8)</f>
        <v>-49400</v>
      </c>
      <c r="N38" s="53">
        <f>(N5)-(N8)</f>
        <v>320600</v>
      </c>
      <c r="O38" s="53"/>
      <c r="P38" s="406"/>
      <c r="Q38" s="53">
        <f>(Q5)-(Q8)</f>
        <v>0</v>
      </c>
      <c r="R38" s="53">
        <f>(R5)-(R8)</f>
        <v>0</v>
      </c>
      <c r="S38" s="53">
        <f>(S5)-(S8)</f>
        <v>0</v>
      </c>
      <c r="T38" s="53"/>
      <c r="U38" s="406"/>
      <c r="V38" s="53">
        <f>(V5)-(V8)</f>
        <v>0</v>
      </c>
      <c r="W38" s="53">
        <f>(W5)-(W8)</f>
        <v>0</v>
      </c>
      <c r="X38" s="53">
        <f>(X5)-(X8)</f>
        <v>0</v>
      </c>
      <c r="Y38" s="53"/>
      <c r="Z38" s="406"/>
      <c r="AA38" s="53">
        <f>(AA5)-(AA8)</f>
        <v>0</v>
      </c>
      <c r="AB38" s="53">
        <f>(AB5)-(AB8)</f>
        <v>0</v>
      </c>
      <c r="AC38" s="53">
        <f>(AC5)-(AC8)</f>
        <v>0</v>
      </c>
      <c r="AD38" s="53"/>
      <c r="AE38" s="733"/>
      <c r="AF38" s="648">
        <f>(AF5)-(AF8)</f>
        <v>0</v>
      </c>
      <c r="AG38" s="648">
        <f>(AG5)-(AG8)</f>
        <v>0</v>
      </c>
      <c r="AH38" s="648">
        <f>(AH5)-(AH8)</f>
        <v>0</v>
      </c>
      <c r="AI38" s="648"/>
      <c r="AJ38" s="636"/>
      <c r="AK38" s="648">
        <f>(AK5)-(AK8)</f>
        <v>0</v>
      </c>
      <c r="AL38" s="648">
        <f>(AL5)-(AL8)</f>
        <v>0</v>
      </c>
      <c r="AM38" s="648">
        <f>(AM5)-(AM8)</f>
        <v>0</v>
      </c>
      <c r="AN38" s="648"/>
      <c r="AO38" s="636"/>
      <c r="AP38" s="648">
        <f>(AP5)-(AP8)</f>
        <v>-120000</v>
      </c>
      <c r="AQ38" s="648">
        <f>(AQ5)-(AQ8)</f>
        <v>0</v>
      </c>
      <c r="AR38" s="648">
        <f>(AR5)-(AR8)</f>
        <v>-120000</v>
      </c>
      <c r="AS38" s="648"/>
      <c r="AT38" s="636"/>
      <c r="AU38" s="53">
        <f>(AU5)-(AU8)</f>
        <v>250000</v>
      </c>
      <c r="AV38" s="53">
        <f>(AV5)-(AV8)</f>
        <v>-49400</v>
      </c>
      <c r="AW38" s="53">
        <f>(AW5)-(AW8)</f>
        <v>200600</v>
      </c>
      <c r="AX38" s="53"/>
      <c r="AY38" s="53"/>
    </row>
    <row r="39" spans="1:51" ht="13.8" x14ac:dyDescent="0.25">
      <c r="A39" s="293"/>
      <c r="B39" s="15" t="s">
        <v>47</v>
      </c>
      <c r="C39" s="157" t="e">
        <f>C38/(C5)</f>
        <v>#DIV/0!</v>
      </c>
      <c r="D39" s="157" t="e">
        <f>D38/(D5)</f>
        <v>#DIV/0!</v>
      </c>
      <c r="E39" s="158" t="e">
        <f>E38/(E5)</f>
        <v>#DIV/0!</v>
      </c>
      <c r="F39" s="167"/>
      <c r="G39" s="54" t="e">
        <f>G38/(G5)</f>
        <v>#DIV/0!</v>
      </c>
      <c r="H39" s="54" t="e">
        <f>H38/(H5)</f>
        <v>#DIV/0!</v>
      </c>
      <c r="I39" s="55" t="e">
        <f>I38/(I5)</f>
        <v>#DIV/0!</v>
      </c>
      <c r="J39" s="55" t="e">
        <f t="shared" si="3"/>
        <v>#DIV/0!</v>
      </c>
      <c r="K39" s="55"/>
      <c r="L39" s="54">
        <f>L38/(L5)</f>
        <v>1</v>
      </c>
      <c r="M39" s="54" t="e">
        <f>M38/(M5)</f>
        <v>#DIV/0!</v>
      </c>
      <c r="N39" s="55">
        <f>N38/(N5)</f>
        <v>0.86648648648648652</v>
      </c>
      <c r="O39" s="55"/>
      <c r="P39" s="407"/>
      <c r="Q39" s="54" t="e">
        <f>Q38/(Q5)</f>
        <v>#DIV/0!</v>
      </c>
      <c r="R39" s="54" t="e">
        <f>R38/(R5)</f>
        <v>#DIV/0!</v>
      </c>
      <c r="S39" s="55" t="e">
        <f>S38/(S5)</f>
        <v>#DIV/0!</v>
      </c>
      <c r="T39" s="55"/>
      <c r="U39" s="407"/>
      <c r="V39" s="54" t="e">
        <f>V38/(V5)</f>
        <v>#DIV/0!</v>
      </c>
      <c r="W39" s="54" t="e">
        <f>W38/(W5)</f>
        <v>#DIV/0!</v>
      </c>
      <c r="X39" s="55" t="e">
        <f>X38/(X5)</f>
        <v>#DIV/0!</v>
      </c>
      <c r="Y39" s="55"/>
      <c r="Z39" s="407"/>
      <c r="AA39" s="54" t="e">
        <f>AA38/(AA5)</f>
        <v>#DIV/0!</v>
      </c>
      <c r="AB39" s="54" t="e">
        <f>AB38/(AB5)</f>
        <v>#DIV/0!</v>
      </c>
      <c r="AC39" s="55" t="e">
        <f>AC38/(AC5)</f>
        <v>#DIV/0!</v>
      </c>
      <c r="AD39" s="55"/>
      <c r="AE39" s="716"/>
      <c r="AF39" s="639" t="e">
        <f>AF38/(AF5)</f>
        <v>#DIV/0!</v>
      </c>
      <c r="AG39" s="639" t="e">
        <f>AG38/(AG5)</f>
        <v>#DIV/0!</v>
      </c>
      <c r="AH39" s="660" t="e">
        <f>AH38/(AH5)</f>
        <v>#DIV/0!</v>
      </c>
      <c r="AI39" s="660"/>
      <c r="AJ39" s="661"/>
      <c r="AK39" s="639" t="e">
        <f>AK38/(AK5)</f>
        <v>#DIV/0!</v>
      </c>
      <c r="AL39" s="639" t="e">
        <f>AL38/(AL5)</f>
        <v>#DIV/0!</v>
      </c>
      <c r="AM39" s="660" t="e">
        <f>AM38/(AM5)</f>
        <v>#DIV/0!</v>
      </c>
      <c r="AN39" s="660"/>
      <c r="AO39" s="661"/>
      <c r="AP39" s="639" t="e">
        <f>AP38/(AP5)</f>
        <v>#DIV/0!</v>
      </c>
      <c r="AQ39" s="639" t="e">
        <f>AQ38/(AQ5)</f>
        <v>#DIV/0!</v>
      </c>
      <c r="AR39" s="660" t="e">
        <f>AR38/(AR5)</f>
        <v>#DIV/0!</v>
      </c>
      <c r="AS39" s="660"/>
      <c r="AT39" s="661"/>
      <c r="AU39" s="54">
        <f>AU38/(AU5)</f>
        <v>0.67567567567567566</v>
      </c>
      <c r="AV39" s="54" t="e">
        <f>AV38/(AV5)</f>
        <v>#DIV/0!</v>
      </c>
      <c r="AW39" s="55">
        <f>AW38/(AW5)</f>
        <v>0.54216216216216218</v>
      </c>
      <c r="AX39" s="55"/>
      <c r="AY39" s="55"/>
    </row>
    <row r="40" spans="1:51" ht="14.4" thickBot="1" x14ac:dyDescent="0.3">
      <c r="A40" s="295"/>
      <c r="B40" s="16"/>
      <c r="C40" s="56"/>
      <c r="D40" s="57"/>
      <c r="E40" s="58"/>
      <c r="F40" s="168"/>
      <c r="G40" s="58"/>
      <c r="H40" s="58"/>
      <c r="I40" s="58"/>
      <c r="J40" s="58" t="e">
        <f t="shared" si="3"/>
        <v>#DIV/0!</v>
      </c>
      <c r="K40" s="58"/>
      <c r="L40" s="58"/>
      <c r="M40" s="58"/>
      <c r="N40" s="58"/>
      <c r="O40" s="58"/>
      <c r="P40" s="408"/>
      <c r="Q40" s="58"/>
      <c r="R40" s="58"/>
      <c r="S40" s="58"/>
      <c r="T40" s="58"/>
      <c r="U40" s="408"/>
      <c r="V40" s="58"/>
      <c r="W40" s="58"/>
      <c r="X40" s="58"/>
      <c r="Y40" s="58"/>
      <c r="Z40" s="408"/>
      <c r="AA40" s="58"/>
      <c r="AB40" s="58"/>
      <c r="AC40" s="58"/>
      <c r="AD40" s="58"/>
      <c r="AE40" s="734"/>
      <c r="AF40" s="662"/>
      <c r="AG40" s="649"/>
      <c r="AH40" s="649"/>
      <c r="AI40" s="649"/>
      <c r="AJ40" s="637"/>
      <c r="AK40" s="662"/>
      <c r="AL40" s="649"/>
      <c r="AM40" s="649"/>
      <c r="AN40" s="649"/>
      <c r="AO40" s="637"/>
      <c r="AP40" s="662"/>
      <c r="AQ40" s="649"/>
      <c r="AR40" s="649"/>
      <c r="AS40" s="649"/>
      <c r="AT40" s="637"/>
      <c r="AU40" s="58"/>
      <c r="AV40" s="58"/>
      <c r="AW40" s="58"/>
      <c r="AX40" s="58"/>
      <c r="AY40" s="58"/>
    </row>
    <row r="41" spans="1:51" ht="13.8" x14ac:dyDescent="0.25">
      <c r="A41" s="11"/>
      <c r="B41" s="22" t="s">
        <v>26</v>
      </c>
      <c r="C41" s="117">
        <f>SUM(C42:C48)</f>
        <v>0</v>
      </c>
      <c r="D41" s="117">
        <f>SUM(D42:D48)</f>
        <v>0</v>
      </c>
      <c r="E41" s="118">
        <f>SUM(E42:E48)</f>
        <v>0</v>
      </c>
      <c r="F41" s="169" t="e">
        <f t="shared" ref="F41:F48" si="22">E41/$E$89</f>
        <v>#DIV/0!</v>
      </c>
      <c r="G41" s="117">
        <f>SUM(G42:G48)</f>
        <v>0</v>
      </c>
      <c r="H41" s="117">
        <f>SUM(H42:H48)</f>
        <v>0</v>
      </c>
      <c r="I41" s="118">
        <f>SUM(I42:I48)</f>
        <v>0</v>
      </c>
      <c r="J41" s="169" t="e">
        <f t="shared" si="3"/>
        <v>#DIV/0!</v>
      </c>
      <c r="K41" s="60"/>
      <c r="L41" s="117">
        <f>SUM(L42:L48)</f>
        <v>0</v>
      </c>
      <c r="M41" s="117">
        <f>SUM(M42:M48)</f>
        <v>0</v>
      </c>
      <c r="N41" s="118">
        <f>SUM(N42:N48)</f>
        <v>0</v>
      </c>
      <c r="O41" s="169">
        <f t="shared" ref="O41:O49" si="23">N41/$N$89</f>
        <v>0</v>
      </c>
      <c r="P41" s="409"/>
      <c r="Q41" s="117">
        <f>SUM(Q42:Q48)</f>
        <v>0</v>
      </c>
      <c r="R41" s="117">
        <f>SUM(R42:R48)</f>
        <v>0</v>
      </c>
      <c r="S41" s="118">
        <f>SUM(S42:S48)</f>
        <v>0</v>
      </c>
      <c r="T41" s="169" t="e">
        <f>S41/$S$89</f>
        <v>#DIV/0!</v>
      </c>
      <c r="U41" s="409"/>
      <c r="V41" s="117">
        <f>SUM(V42:V48)</f>
        <v>0</v>
      </c>
      <c r="W41" s="117">
        <f>SUM(W42:W48)</f>
        <v>0</v>
      </c>
      <c r="X41" s="118">
        <f>SUM(X42:X48)</f>
        <v>0</v>
      </c>
      <c r="Y41" s="169" t="e">
        <f>X41/$S$89</f>
        <v>#DIV/0!</v>
      </c>
      <c r="Z41" s="409"/>
      <c r="AA41" s="117">
        <f>SUM(AA42:AA48)</f>
        <v>0</v>
      </c>
      <c r="AB41" s="117">
        <f>SUM(AB42:AB48)</f>
        <v>0</v>
      </c>
      <c r="AC41" s="118">
        <f>SUM(AC42:AC48)</f>
        <v>0</v>
      </c>
      <c r="AD41" s="169" t="e">
        <f t="shared" ref="AD41:AD52" si="24">AC41/$AC$89</f>
        <v>#DIV/0!</v>
      </c>
      <c r="AE41" s="591"/>
      <c r="AF41" s="547">
        <f>SUM(AF42:AF48)</f>
        <v>0</v>
      </c>
      <c r="AG41" s="547">
        <f>SUM(AG42:AG48)</f>
        <v>0</v>
      </c>
      <c r="AH41" s="663">
        <f>SUM(AH42:AH48)</f>
        <v>0</v>
      </c>
      <c r="AI41" s="664" t="e">
        <f t="shared" ref="AI41:AI52" si="25">AH41/$AH$89</f>
        <v>#DIV/0!</v>
      </c>
      <c r="AJ41" s="665"/>
      <c r="AK41" s="547">
        <f>SUM(AK42:AK48)</f>
        <v>0</v>
      </c>
      <c r="AL41" s="547">
        <f>SUM(AL42:AL48)</f>
        <v>0</v>
      </c>
      <c r="AM41" s="663">
        <f>SUM(AM42:AM48)</f>
        <v>0</v>
      </c>
      <c r="AN41" s="664" t="e">
        <f t="shared" ref="AN41:AN52" si="26">AM41/$AH$89</f>
        <v>#DIV/0!</v>
      </c>
      <c r="AO41" s="665"/>
      <c r="AP41" s="547">
        <f>SUM(AP42:AP48)</f>
        <v>0</v>
      </c>
      <c r="AQ41" s="547">
        <f>SUM(AQ42:AQ48)</f>
        <v>0</v>
      </c>
      <c r="AR41" s="663">
        <f>SUM(AR42:AR48)</f>
        <v>0</v>
      </c>
      <c r="AS41" s="664" t="e">
        <f t="shared" ref="AS41:AS52" si="27">AR41/$AH$89</f>
        <v>#DIV/0!</v>
      </c>
      <c r="AT41" s="665"/>
      <c r="AU41" s="117">
        <f>SUM(AU42:AU48)</f>
        <v>0</v>
      </c>
      <c r="AV41" s="117">
        <f>SUM(AV42:AV48)</f>
        <v>0</v>
      </c>
      <c r="AW41" s="118">
        <f>SUM(AW42:AW48)</f>
        <v>0</v>
      </c>
      <c r="AX41" s="169" t="e">
        <f>AW41/$AW$89</f>
        <v>#DIV/0!</v>
      </c>
      <c r="AY41" s="60"/>
    </row>
    <row r="42" spans="1:51" ht="13.8" x14ac:dyDescent="0.25">
      <c r="A42" s="4015"/>
      <c r="B42" s="18" t="s">
        <v>7</v>
      </c>
      <c r="C42" s="113"/>
      <c r="D42" s="119"/>
      <c r="E42" s="120">
        <f t="shared" ref="E42:E48" si="28">C42+D42</f>
        <v>0</v>
      </c>
      <c r="F42" s="178" t="e">
        <f t="shared" si="22"/>
        <v>#DIV/0!</v>
      </c>
      <c r="G42" s="39"/>
      <c r="H42" s="39"/>
      <c r="I42" s="106">
        <f t="shared" ref="I42:I48" si="29">G42+H42*1</f>
        <v>0</v>
      </c>
      <c r="J42" s="178" t="e">
        <f t="shared" si="3"/>
        <v>#DIV/0!</v>
      </c>
      <c r="K42" s="79"/>
      <c r="L42" s="39"/>
      <c r="M42" s="39"/>
      <c r="N42" s="106">
        <f t="shared" ref="N42:N48" si="30">L42+M42*1</f>
        <v>0</v>
      </c>
      <c r="O42" s="178">
        <f t="shared" si="23"/>
        <v>0</v>
      </c>
      <c r="P42" s="259"/>
      <c r="Q42" s="39"/>
      <c r="R42" s="39"/>
      <c r="S42" s="106">
        <f t="shared" ref="S42:S48" si="31">Q42+R42*1</f>
        <v>0</v>
      </c>
      <c r="T42" s="178" t="e">
        <f t="shared" ref="T42:T52" si="32">S42/$S$89</f>
        <v>#DIV/0!</v>
      </c>
      <c r="U42" s="259"/>
      <c r="V42" s="39"/>
      <c r="W42" s="39"/>
      <c r="X42" s="106">
        <f t="shared" ref="X42:X48" si="33">V42+W42*1</f>
        <v>0</v>
      </c>
      <c r="Y42" s="178" t="e">
        <f t="shared" ref="Y42:Y49" si="34">X42/$S$89</f>
        <v>#DIV/0!</v>
      </c>
      <c r="Z42" s="259"/>
      <c r="AA42" s="39"/>
      <c r="AB42" s="39"/>
      <c r="AC42" s="106">
        <f t="shared" ref="AC42:AC48" si="35">AA42+AB42*1</f>
        <v>0</v>
      </c>
      <c r="AD42" s="178" t="e">
        <f t="shared" si="24"/>
        <v>#DIV/0!</v>
      </c>
      <c r="AE42" s="731"/>
      <c r="AF42" s="560"/>
      <c r="AG42" s="452"/>
      <c r="AH42" s="446">
        <f t="shared" ref="AH42:AH48" si="36">AF42+AG42*1</f>
        <v>0</v>
      </c>
      <c r="AI42" s="450" t="e">
        <f t="shared" si="25"/>
        <v>#DIV/0!</v>
      </c>
      <c r="AJ42" s="503"/>
      <c r="AK42" s="560"/>
      <c r="AL42" s="452"/>
      <c r="AM42" s="446">
        <f t="shared" ref="AM42:AM48" si="37">AK42+AL42*1</f>
        <v>0</v>
      </c>
      <c r="AN42" s="450" t="e">
        <f t="shared" si="26"/>
        <v>#DIV/0!</v>
      </c>
      <c r="AO42" s="503"/>
      <c r="AP42" s="560"/>
      <c r="AQ42" s="452"/>
      <c r="AR42" s="446">
        <f t="shared" ref="AR42:AR48" si="38">AP42+AQ42*1</f>
        <v>0</v>
      </c>
      <c r="AS42" s="450" t="e">
        <f t="shared" si="27"/>
        <v>#DIV/0!</v>
      </c>
      <c r="AT42" s="503"/>
      <c r="AU42" s="39">
        <f t="shared" ref="AU42:AV48" si="39">G42+L42+Q42+V42+AA42+AF42+AK42+AP42</f>
        <v>0</v>
      </c>
      <c r="AV42" s="39">
        <f t="shared" si="39"/>
        <v>0</v>
      </c>
      <c r="AW42" s="106">
        <f t="shared" ref="AW42:AW48" si="40">AU42+AV42*1</f>
        <v>0</v>
      </c>
      <c r="AX42" s="178" t="e">
        <f t="shared" ref="AX42:AX72" si="41">AW42/$AW$89</f>
        <v>#DIV/0!</v>
      </c>
      <c r="AY42" s="79"/>
    </row>
    <row r="43" spans="1:51" ht="13.8" x14ac:dyDescent="0.25">
      <c r="A43" s="4015"/>
      <c r="B43" s="18" t="s">
        <v>27</v>
      </c>
      <c r="C43" s="113"/>
      <c r="D43" s="119"/>
      <c r="E43" s="120">
        <f t="shared" si="28"/>
        <v>0</v>
      </c>
      <c r="F43" s="178" t="e">
        <f t="shared" si="22"/>
        <v>#DIV/0!</v>
      </c>
      <c r="G43" s="39"/>
      <c r="H43" s="39"/>
      <c r="I43" s="106">
        <f t="shared" si="29"/>
        <v>0</v>
      </c>
      <c r="J43" s="178" t="e">
        <f t="shared" si="3"/>
        <v>#DIV/0!</v>
      </c>
      <c r="K43" s="79"/>
      <c r="L43" s="39"/>
      <c r="M43" s="39"/>
      <c r="N43" s="106">
        <f t="shared" si="30"/>
        <v>0</v>
      </c>
      <c r="O43" s="178">
        <f t="shared" si="23"/>
        <v>0</v>
      </c>
      <c r="P43" s="857"/>
      <c r="Q43" s="39"/>
      <c r="R43" s="39"/>
      <c r="S43" s="106">
        <f t="shared" si="31"/>
        <v>0</v>
      </c>
      <c r="T43" s="178" t="e">
        <f t="shared" si="32"/>
        <v>#DIV/0!</v>
      </c>
      <c r="U43" s="259"/>
      <c r="V43" s="39"/>
      <c r="W43" s="39"/>
      <c r="X43" s="106">
        <f t="shared" si="33"/>
        <v>0</v>
      </c>
      <c r="Y43" s="178" t="e">
        <f t="shared" si="34"/>
        <v>#DIV/0!</v>
      </c>
      <c r="Z43" s="259"/>
      <c r="AA43" s="39"/>
      <c r="AB43" s="39"/>
      <c r="AC43" s="106">
        <f t="shared" si="35"/>
        <v>0</v>
      </c>
      <c r="AD43" s="178" t="e">
        <f t="shared" si="24"/>
        <v>#DIV/0!</v>
      </c>
      <c r="AE43" s="731"/>
      <c r="AF43" s="560"/>
      <c r="AG43" s="452"/>
      <c r="AH43" s="446">
        <f t="shared" si="36"/>
        <v>0</v>
      </c>
      <c r="AI43" s="450" t="e">
        <f t="shared" si="25"/>
        <v>#DIV/0!</v>
      </c>
      <c r="AJ43" s="503"/>
      <c r="AK43" s="560"/>
      <c r="AL43" s="452"/>
      <c r="AM43" s="446">
        <f t="shared" si="37"/>
        <v>0</v>
      </c>
      <c r="AN43" s="450" t="e">
        <f t="shared" si="26"/>
        <v>#DIV/0!</v>
      </c>
      <c r="AO43" s="503"/>
      <c r="AP43" s="560"/>
      <c r="AQ43" s="452"/>
      <c r="AR43" s="446">
        <f t="shared" si="38"/>
        <v>0</v>
      </c>
      <c r="AS43" s="450" t="e">
        <f t="shared" si="27"/>
        <v>#DIV/0!</v>
      </c>
      <c r="AT43" s="503"/>
      <c r="AU43" s="39">
        <f t="shared" si="39"/>
        <v>0</v>
      </c>
      <c r="AV43" s="39">
        <f t="shared" si="39"/>
        <v>0</v>
      </c>
      <c r="AW43" s="106">
        <f t="shared" si="40"/>
        <v>0</v>
      </c>
      <c r="AX43" s="178" t="e">
        <f t="shared" si="41"/>
        <v>#DIV/0!</v>
      </c>
      <c r="AY43" s="79"/>
    </row>
    <row r="44" spans="1:51" ht="13.8" x14ac:dyDescent="0.25">
      <c r="A44" s="4015"/>
      <c r="B44" s="19" t="s">
        <v>28</v>
      </c>
      <c r="C44" s="113"/>
      <c r="D44" s="119"/>
      <c r="E44" s="120">
        <f t="shared" si="28"/>
        <v>0</v>
      </c>
      <c r="F44" s="178" t="e">
        <f t="shared" si="22"/>
        <v>#DIV/0!</v>
      </c>
      <c r="G44" s="39"/>
      <c r="H44" s="39"/>
      <c r="I44" s="106">
        <f t="shared" si="29"/>
        <v>0</v>
      </c>
      <c r="J44" s="178" t="e">
        <f t="shared" si="3"/>
        <v>#DIV/0!</v>
      </c>
      <c r="K44" s="79"/>
      <c r="L44" s="39"/>
      <c r="M44" s="39"/>
      <c r="N44" s="106">
        <f t="shared" si="30"/>
        <v>0</v>
      </c>
      <c r="O44" s="178">
        <f t="shared" si="23"/>
        <v>0</v>
      </c>
      <c r="P44" s="259"/>
      <c r="Q44" s="39"/>
      <c r="R44" s="39"/>
      <c r="S44" s="106">
        <f t="shared" si="31"/>
        <v>0</v>
      </c>
      <c r="T44" s="178" t="e">
        <f t="shared" si="32"/>
        <v>#DIV/0!</v>
      </c>
      <c r="U44" s="259"/>
      <c r="V44" s="39"/>
      <c r="W44" s="39"/>
      <c r="X44" s="106">
        <f t="shared" si="33"/>
        <v>0</v>
      </c>
      <c r="Y44" s="178" t="e">
        <f t="shared" si="34"/>
        <v>#DIV/0!</v>
      </c>
      <c r="Z44" s="259"/>
      <c r="AA44" s="39"/>
      <c r="AB44" s="39"/>
      <c r="AC44" s="106">
        <f t="shared" si="35"/>
        <v>0</v>
      </c>
      <c r="AD44" s="178" t="e">
        <f t="shared" si="24"/>
        <v>#DIV/0!</v>
      </c>
      <c r="AE44" s="731"/>
      <c r="AF44" s="560"/>
      <c r="AG44" s="452"/>
      <c r="AH44" s="446">
        <f t="shared" si="36"/>
        <v>0</v>
      </c>
      <c r="AI44" s="450" t="e">
        <f t="shared" si="25"/>
        <v>#DIV/0!</v>
      </c>
      <c r="AJ44" s="503"/>
      <c r="AK44" s="560"/>
      <c r="AL44" s="452"/>
      <c r="AM44" s="446">
        <f t="shared" si="37"/>
        <v>0</v>
      </c>
      <c r="AN44" s="450" t="e">
        <f t="shared" si="26"/>
        <v>#DIV/0!</v>
      </c>
      <c r="AO44" s="503"/>
      <c r="AP44" s="560"/>
      <c r="AQ44" s="452"/>
      <c r="AR44" s="446">
        <f t="shared" si="38"/>
        <v>0</v>
      </c>
      <c r="AS44" s="450" t="e">
        <f t="shared" si="27"/>
        <v>#DIV/0!</v>
      </c>
      <c r="AT44" s="503"/>
      <c r="AU44" s="39">
        <f t="shared" si="39"/>
        <v>0</v>
      </c>
      <c r="AV44" s="39">
        <f t="shared" si="39"/>
        <v>0</v>
      </c>
      <c r="AW44" s="106">
        <f t="shared" si="40"/>
        <v>0</v>
      </c>
      <c r="AX44" s="178" t="e">
        <f t="shared" si="41"/>
        <v>#DIV/0!</v>
      </c>
      <c r="AY44" s="79"/>
    </row>
    <row r="45" spans="1:51" ht="13.8" x14ac:dyDescent="0.25">
      <c r="A45" s="4015"/>
      <c r="B45" s="18" t="s">
        <v>8</v>
      </c>
      <c r="C45" s="113"/>
      <c r="D45" s="119"/>
      <c r="E45" s="120">
        <f t="shared" si="28"/>
        <v>0</v>
      </c>
      <c r="F45" s="178" t="e">
        <f t="shared" si="22"/>
        <v>#DIV/0!</v>
      </c>
      <c r="G45" s="39"/>
      <c r="H45" s="39"/>
      <c r="I45" s="106">
        <f t="shared" si="29"/>
        <v>0</v>
      </c>
      <c r="J45" s="178" t="e">
        <f t="shared" si="3"/>
        <v>#DIV/0!</v>
      </c>
      <c r="K45" s="79"/>
      <c r="L45" s="39"/>
      <c r="M45" s="39"/>
      <c r="N45" s="106">
        <f t="shared" si="30"/>
        <v>0</v>
      </c>
      <c r="O45" s="178">
        <f t="shared" si="23"/>
        <v>0</v>
      </c>
      <c r="P45" s="259"/>
      <c r="Q45" s="39"/>
      <c r="R45" s="39"/>
      <c r="S45" s="106">
        <f t="shared" si="31"/>
        <v>0</v>
      </c>
      <c r="T45" s="178" t="e">
        <f t="shared" si="32"/>
        <v>#DIV/0!</v>
      </c>
      <c r="U45" s="259"/>
      <c r="V45" s="39"/>
      <c r="W45" s="39"/>
      <c r="X45" s="106">
        <f t="shared" si="33"/>
        <v>0</v>
      </c>
      <c r="Y45" s="178" t="e">
        <f t="shared" si="34"/>
        <v>#DIV/0!</v>
      </c>
      <c r="Z45" s="259"/>
      <c r="AA45" s="39"/>
      <c r="AB45" s="39"/>
      <c r="AC45" s="106">
        <f t="shared" si="35"/>
        <v>0</v>
      </c>
      <c r="AD45" s="178" t="e">
        <f t="shared" si="24"/>
        <v>#DIV/0!</v>
      </c>
      <c r="AE45" s="731"/>
      <c r="AF45" s="560"/>
      <c r="AG45" s="452"/>
      <c r="AH45" s="446">
        <f t="shared" si="36"/>
        <v>0</v>
      </c>
      <c r="AI45" s="450" t="e">
        <f t="shared" si="25"/>
        <v>#DIV/0!</v>
      </c>
      <c r="AJ45" s="503"/>
      <c r="AK45" s="560"/>
      <c r="AL45" s="452"/>
      <c r="AM45" s="446">
        <f t="shared" si="37"/>
        <v>0</v>
      </c>
      <c r="AN45" s="450" t="e">
        <f t="shared" si="26"/>
        <v>#DIV/0!</v>
      </c>
      <c r="AO45" s="503"/>
      <c r="AP45" s="560"/>
      <c r="AQ45" s="452"/>
      <c r="AR45" s="446">
        <f t="shared" si="38"/>
        <v>0</v>
      </c>
      <c r="AS45" s="450" t="e">
        <f t="shared" si="27"/>
        <v>#DIV/0!</v>
      </c>
      <c r="AT45" s="503"/>
      <c r="AU45" s="39">
        <f t="shared" si="39"/>
        <v>0</v>
      </c>
      <c r="AV45" s="39">
        <f t="shared" si="39"/>
        <v>0</v>
      </c>
      <c r="AW45" s="106">
        <f t="shared" si="40"/>
        <v>0</v>
      </c>
      <c r="AX45" s="178" t="e">
        <f t="shared" si="41"/>
        <v>#DIV/0!</v>
      </c>
      <c r="AY45" s="79"/>
    </row>
    <row r="46" spans="1:51" ht="13.8" x14ac:dyDescent="0.25">
      <c r="A46" s="4015"/>
      <c r="B46" s="18" t="s">
        <v>29</v>
      </c>
      <c r="C46" s="113"/>
      <c r="D46" s="119"/>
      <c r="E46" s="120">
        <f t="shared" si="28"/>
        <v>0</v>
      </c>
      <c r="F46" s="178" t="e">
        <f t="shared" si="22"/>
        <v>#DIV/0!</v>
      </c>
      <c r="G46" s="39"/>
      <c r="H46" s="39"/>
      <c r="I46" s="106">
        <f t="shared" si="29"/>
        <v>0</v>
      </c>
      <c r="J46" s="178" t="e">
        <f t="shared" si="3"/>
        <v>#DIV/0!</v>
      </c>
      <c r="K46" s="79"/>
      <c r="L46" s="39"/>
      <c r="M46" s="39"/>
      <c r="N46" s="106">
        <f t="shared" si="30"/>
        <v>0</v>
      </c>
      <c r="O46" s="178">
        <f t="shared" si="23"/>
        <v>0</v>
      </c>
      <c r="P46" s="259"/>
      <c r="Q46" s="39"/>
      <c r="R46" s="39"/>
      <c r="S46" s="106">
        <f t="shared" si="31"/>
        <v>0</v>
      </c>
      <c r="T46" s="178" t="e">
        <f t="shared" si="32"/>
        <v>#DIV/0!</v>
      </c>
      <c r="U46" s="259"/>
      <c r="V46" s="39"/>
      <c r="W46" s="39"/>
      <c r="X46" s="106">
        <f t="shared" si="33"/>
        <v>0</v>
      </c>
      <c r="Y46" s="178" t="e">
        <f t="shared" si="34"/>
        <v>#DIV/0!</v>
      </c>
      <c r="Z46" s="259"/>
      <c r="AA46" s="39"/>
      <c r="AB46" s="39"/>
      <c r="AC46" s="106">
        <f t="shared" si="35"/>
        <v>0</v>
      </c>
      <c r="AD46" s="178" t="e">
        <f t="shared" si="24"/>
        <v>#DIV/0!</v>
      </c>
      <c r="AE46" s="731"/>
      <c r="AF46" s="560"/>
      <c r="AG46" s="452"/>
      <c r="AH46" s="446">
        <f t="shared" si="36"/>
        <v>0</v>
      </c>
      <c r="AI46" s="450" t="e">
        <f t="shared" si="25"/>
        <v>#DIV/0!</v>
      </c>
      <c r="AJ46" s="503"/>
      <c r="AK46" s="560"/>
      <c r="AL46" s="452"/>
      <c r="AM46" s="446">
        <f t="shared" si="37"/>
        <v>0</v>
      </c>
      <c r="AN46" s="450" t="e">
        <f t="shared" si="26"/>
        <v>#DIV/0!</v>
      </c>
      <c r="AO46" s="503"/>
      <c r="AP46" s="560"/>
      <c r="AQ46" s="452"/>
      <c r="AR46" s="446">
        <f t="shared" si="38"/>
        <v>0</v>
      </c>
      <c r="AS46" s="450" t="e">
        <f t="shared" si="27"/>
        <v>#DIV/0!</v>
      </c>
      <c r="AT46" s="503"/>
      <c r="AU46" s="39">
        <f t="shared" si="39"/>
        <v>0</v>
      </c>
      <c r="AV46" s="39">
        <f t="shared" si="39"/>
        <v>0</v>
      </c>
      <c r="AW46" s="106">
        <f t="shared" si="40"/>
        <v>0</v>
      </c>
      <c r="AX46" s="178" t="e">
        <f t="shared" si="41"/>
        <v>#DIV/0!</v>
      </c>
      <c r="AY46" s="79"/>
    </row>
    <row r="47" spans="1:51" ht="13.8" x14ac:dyDescent="0.25">
      <c r="A47" s="4015"/>
      <c r="B47" s="18" t="s">
        <v>30</v>
      </c>
      <c r="C47" s="113"/>
      <c r="D47" s="119"/>
      <c r="E47" s="120">
        <f t="shared" si="28"/>
        <v>0</v>
      </c>
      <c r="F47" s="178" t="e">
        <f t="shared" si="22"/>
        <v>#DIV/0!</v>
      </c>
      <c r="G47" s="39"/>
      <c r="H47" s="39"/>
      <c r="I47" s="106">
        <f t="shared" si="29"/>
        <v>0</v>
      </c>
      <c r="J47" s="178" t="e">
        <f t="shared" si="3"/>
        <v>#DIV/0!</v>
      </c>
      <c r="K47" s="79"/>
      <c r="L47" s="39"/>
      <c r="M47" s="39"/>
      <c r="N47" s="106">
        <f t="shared" si="30"/>
        <v>0</v>
      </c>
      <c r="O47" s="178">
        <f t="shared" si="23"/>
        <v>0</v>
      </c>
      <c r="P47" s="259"/>
      <c r="Q47" s="39"/>
      <c r="R47" s="39"/>
      <c r="S47" s="106">
        <f t="shared" si="31"/>
        <v>0</v>
      </c>
      <c r="T47" s="178" t="e">
        <f t="shared" si="32"/>
        <v>#DIV/0!</v>
      </c>
      <c r="U47" s="259"/>
      <c r="V47" s="39"/>
      <c r="W47" s="39"/>
      <c r="X47" s="106">
        <f t="shared" si="33"/>
        <v>0</v>
      </c>
      <c r="Y47" s="178" t="e">
        <f t="shared" si="34"/>
        <v>#DIV/0!</v>
      </c>
      <c r="Z47" s="259"/>
      <c r="AA47" s="39"/>
      <c r="AB47" s="39"/>
      <c r="AC47" s="106">
        <f t="shared" si="35"/>
        <v>0</v>
      </c>
      <c r="AD47" s="178" t="e">
        <f t="shared" si="24"/>
        <v>#DIV/0!</v>
      </c>
      <c r="AE47" s="731"/>
      <c r="AF47" s="560"/>
      <c r="AG47" s="452"/>
      <c r="AH47" s="446">
        <f t="shared" si="36"/>
        <v>0</v>
      </c>
      <c r="AI47" s="450" t="e">
        <f t="shared" si="25"/>
        <v>#DIV/0!</v>
      </c>
      <c r="AJ47" s="503"/>
      <c r="AK47" s="560"/>
      <c r="AL47" s="452"/>
      <c r="AM47" s="446">
        <f t="shared" si="37"/>
        <v>0</v>
      </c>
      <c r="AN47" s="450" t="e">
        <f t="shared" si="26"/>
        <v>#DIV/0!</v>
      </c>
      <c r="AO47" s="503"/>
      <c r="AP47" s="560"/>
      <c r="AQ47" s="452"/>
      <c r="AR47" s="446">
        <f t="shared" si="38"/>
        <v>0</v>
      </c>
      <c r="AS47" s="450" t="e">
        <f t="shared" si="27"/>
        <v>#DIV/0!</v>
      </c>
      <c r="AT47" s="503"/>
      <c r="AU47" s="39">
        <f t="shared" si="39"/>
        <v>0</v>
      </c>
      <c r="AV47" s="39">
        <f t="shared" si="39"/>
        <v>0</v>
      </c>
      <c r="AW47" s="106">
        <f t="shared" si="40"/>
        <v>0</v>
      </c>
      <c r="AX47" s="178" t="e">
        <f t="shared" si="41"/>
        <v>#DIV/0!</v>
      </c>
      <c r="AY47" s="79"/>
    </row>
    <row r="48" spans="1:51" ht="13.8" x14ac:dyDescent="0.25">
      <c r="A48" s="4015"/>
      <c r="B48" s="18" t="s">
        <v>15</v>
      </c>
      <c r="C48" s="113"/>
      <c r="D48" s="119"/>
      <c r="E48" s="120">
        <f t="shared" si="28"/>
        <v>0</v>
      </c>
      <c r="F48" s="178" t="e">
        <f t="shared" si="22"/>
        <v>#DIV/0!</v>
      </c>
      <c r="G48" s="39"/>
      <c r="H48" s="39"/>
      <c r="I48" s="106">
        <f t="shared" si="29"/>
        <v>0</v>
      </c>
      <c r="J48" s="178" t="e">
        <f t="shared" si="3"/>
        <v>#DIV/0!</v>
      </c>
      <c r="K48" s="79"/>
      <c r="L48" s="39"/>
      <c r="M48" s="39"/>
      <c r="N48" s="106">
        <f t="shared" si="30"/>
        <v>0</v>
      </c>
      <c r="O48" s="178">
        <f t="shared" si="23"/>
        <v>0</v>
      </c>
      <c r="P48" s="259"/>
      <c r="Q48" s="39"/>
      <c r="R48" s="39"/>
      <c r="S48" s="106">
        <f t="shared" si="31"/>
        <v>0</v>
      </c>
      <c r="T48" s="178" t="e">
        <f t="shared" si="32"/>
        <v>#DIV/0!</v>
      </c>
      <c r="U48" s="259"/>
      <c r="V48" s="39"/>
      <c r="W48" s="39"/>
      <c r="X48" s="106">
        <f t="shared" si="33"/>
        <v>0</v>
      </c>
      <c r="Y48" s="178" t="e">
        <f t="shared" si="34"/>
        <v>#DIV/0!</v>
      </c>
      <c r="Z48" s="259"/>
      <c r="AA48" s="39"/>
      <c r="AB48" s="39"/>
      <c r="AC48" s="106">
        <f t="shared" si="35"/>
        <v>0</v>
      </c>
      <c r="AD48" s="178" t="e">
        <f t="shared" si="24"/>
        <v>#DIV/0!</v>
      </c>
      <c r="AE48" s="731"/>
      <c r="AF48" s="560"/>
      <c r="AG48" s="452"/>
      <c r="AH48" s="446">
        <f t="shared" si="36"/>
        <v>0</v>
      </c>
      <c r="AI48" s="450" t="e">
        <f t="shared" si="25"/>
        <v>#DIV/0!</v>
      </c>
      <c r="AJ48" s="503"/>
      <c r="AK48" s="560"/>
      <c r="AL48" s="452"/>
      <c r="AM48" s="446">
        <f t="shared" si="37"/>
        <v>0</v>
      </c>
      <c r="AN48" s="450" t="e">
        <f t="shared" si="26"/>
        <v>#DIV/0!</v>
      </c>
      <c r="AO48" s="503"/>
      <c r="AP48" s="560"/>
      <c r="AQ48" s="452"/>
      <c r="AR48" s="446">
        <f t="shared" si="38"/>
        <v>0</v>
      </c>
      <c r="AS48" s="450" t="e">
        <f t="shared" si="27"/>
        <v>#DIV/0!</v>
      </c>
      <c r="AT48" s="503"/>
      <c r="AU48" s="39">
        <f t="shared" si="39"/>
        <v>0</v>
      </c>
      <c r="AV48" s="39">
        <f t="shared" si="39"/>
        <v>0</v>
      </c>
      <c r="AW48" s="106">
        <f t="shared" si="40"/>
        <v>0</v>
      </c>
      <c r="AX48" s="178" t="e">
        <f t="shared" si="41"/>
        <v>#DIV/0!</v>
      </c>
      <c r="AY48" s="79"/>
    </row>
    <row r="49" spans="1:51" s="2" customFormat="1" ht="14.4" thickBot="1" x14ac:dyDescent="0.3">
      <c r="A49" s="11"/>
      <c r="B49" s="35"/>
      <c r="C49" s="116"/>
      <c r="D49" s="121"/>
      <c r="E49" s="122"/>
      <c r="F49" s="182"/>
      <c r="G49" s="39"/>
      <c r="H49" s="39"/>
      <c r="I49" s="52"/>
      <c r="J49" s="178" t="e">
        <f t="shared" si="3"/>
        <v>#DIV/0!</v>
      </c>
      <c r="K49" s="52"/>
      <c r="L49" s="39"/>
      <c r="M49" s="39"/>
      <c r="N49" s="52"/>
      <c r="O49" s="178">
        <f t="shared" si="23"/>
        <v>0</v>
      </c>
      <c r="P49" s="64"/>
      <c r="Q49" s="39"/>
      <c r="R49" s="39"/>
      <c r="S49" s="52"/>
      <c r="T49" s="178" t="e">
        <f t="shared" si="32"/>
        <v>#DIV/0!</v>
      </c>
      <c r="U49" s="64"/>
      <c r="V49" s="39"/>
      <c r="W49" s="39"/>
      <c r="X49" s="52"/>
      <c r="Y49" s="178" t="e">
        <f t="shared" si="34"/>
        <v>#DIV/0!</v>
      </c>
      <c r="Z49" s="64"/>
      <c r="AA49" s="39"/>
      <c r="AB49" s="39"/>
      <c r="AC49" s="52"/>
      <c r="AD49" s="178" t="e">
        <f t="shared" si="24"/>
        <v>#DIV/0!</v>
      </c>
      <c r="AE49" s="603"/>
      <c r="AF49" s="560"/>
      <c r="AG49" s="452"/>
      <c r="AH49" s="606"/>
      <c r="AI49" s="450" t="e">
        <f t="shared" si="25"/>
        <v>#DIV/0!</v>
      </c>
      <c r="AJ49" s="588"/>
      <c r="AK49" s="560"/>
      <c r="AL49" s="452"/>
      <c r="AM49" s="606"/>
      <c r="AN49" s="450" t="e">
        <f t="shared" si="26"/>
        <v>#DIV/0!</v>
      </c>
      <c r="AO49" s="588"/>
      <c r="AP49" s="560"/>
      <c r="AQ49" s="452"/>
      <c r="AR49" s="606"/>
      <c r="AS49" s="450" t="e">
        <f t="shared" si="27"/>
        <v>#DIV/0!</v>
      </c>
      <c r="AT49" s="588"/>
      <c r="AU49" s="39"/>
      <c r="AV49" s="39"/>
      <c r="AW49" s="52"/>
      <c r="AX49" s="178" t="e">
        <f t="shared" si="41"/>
        <v>#DIV/0!</v>
      </c>
      <c r="AY49" s="52"/>
    </row>
    <row r="50" spans="1:51" s="2" customFormat="1" ht="13.8" x14ac:dyDescent="0.25">
      <c r="A50" s="293"/>
      <c r="B50" s="17" t="s">
        <v>59</v>
      </c>
      <c r="C50" s="123"/>
      <c r="D50" s="123"/>
      <c r="E50" s="123">
        <f>SUM(E51:E52)</f>
        <v>0</v>
      </c>
      <c r="F50" s="170" t="e">
        <f>E50/$E$89</f>
        <v>#DIV/0!</v>
      </c>
      <c r="G50" s="123">
        <f>G52+G51</f>
        <v>0</v>
      </c>
      <c r="H50" s="123">
        <f>H52+H51</f>
        <v>0</v>
      </c>
      <c r="I50" s="123">
        <f>SUM(I51:I52)</f>
        <v>0</v>
      </c>
      <c r="J50" s="60" t="e">
        <f t="shared" si="3"/>
        <v>#DIV/0!</v>
      </c>
      <c r="K50" s="60"/>
      <c r="L50" s="123">
        <f>L52+L51</f>
        <v>0</v>
      </c>
      <c r="M50" s="123">
        <f>M52+M51</f>
        <v>0</v>
      </c>
      <c r="N50" s="123">
        <f>SUM(N51:N52)</f>
        <v>0</v>
      </c>
      <c r="O50" s="60"/>
      <c r="P50" s="409"/>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t="e">
        <v>#DIV/0!</v>
      </c>
      <c r="AE50" s="591"/>
      <c r="AF50" s="578">
        <f>AF52+AF51</f>
        <v>0</v>
      </c>
      <c r="AG50" s="578">
        <f>AG52+AG51</f>
        <v>0</v>
      </c>
      <c r="AH50" s="578">
        <f>SUM(AH51:AH52)</f>
        <v>0</v>
      </c>
      <c r="AI50" s="581" t="e">
        <f t="shared" si="25"/>
        <v>#DIV/0!</v>
      </c>
      <c r="AJ50" s="665"/>
      <c r="AK50" s="578">
        <f>AK52+AK51</f>
        <v>0</v>
      </c>
      <c r="AL50" s="578">
        <f>AL52+AL51</f>
        <v>0</v>
      </c>
      <c r="AM50" s="578">
        <f>SUM(AM51:AM52)</f>
        <v>0</v>
      </c>
      <c r="AN50" s="581" t="e">
        <f t="shared" si="26"/>
        <v>#DIV/0!</v>
      </c>
      <c r="AO50" s="665"/>
      <c r="AP50" s="578">
        <f>AP52+AP51</f>
        <v>0</v>
      </c>
      <c r="AQ50" s="578">
        <f>AQ52+AQ51</f>
        <v>0</v>
      </c>
      <c r="AR50" s="578">
        <f>SUM(AR51:AR52)</f>
        <v>0</v>
      </c>
      <c r="AS50" s="581" t="e">
        <f t="shared" si="27"/>
        <v>#DIV/0!</v>
      </c>
      <c r="AT50" s="665"/>
      <c r="AU50" s="123">
        <f>AU52+AU51</f>
        <v>0</v>
      </c>
      <c r="AV50" s="123">
        <f>AV52+AV51</f>
        <v>0</v>
      </c>
      <c r="AW50" s="123">
        <f>SUM(AW51:AW52)</f>
        <v>0</v>
      </c>
      <c r="AX50" s="60"/>
      <c r="AY50" s="60"/>
    </row>
    <row r="51" spans="1:51" s="226" customFormat="1" ht="13.8" x14ac:dyDescent="0.25">
      <c r="A51" s="234"/>
      <c r="B51" s="18" t="s">
        <v>60</v>
      </c>
      <c r="C51" s="113"/>
      <c r="D51" s="119"/>
      <c r="E51" s="119">
        <f>C51+D51</f>
        <v>0</v>
      </c>
      <c r="F51" s="180" t="e">
        <f>E51/$E$89</f>
        <v>#DIV/0!</v>
      </c>
      <c r="G51" s="39"/>
      <c r="H51" s="39"/>
      <c r="I51" s="106">
        <f>G51+H51*1</f>
        <v>0</v>
      </c>
      <c r="J51" s="178" t="e">
        <f t="shared" si="3"/>
        <v>#DIV/0!</v>
      </c>
      <c r="K51" s="45"/>
      <c r="L51" s="39"/>
      <c r="M51" s="39"/>
      <c r="N51" s="106">
        <f>L51+M51*1</f>
        <v>0</v>
      </c>
      <c r="O51" s="178">
        <f>N51/$N$89</f>
        <v>0</v>
      </c>
      <c r="P51" s="405"/>
      <c r="Q51" s="39"/>
      <c r="R51" s="39"/>
      <c r="S51" s="106">
        <f>Q51+R51*1</f>
        <v>0</v>
      </c>
      <c r="T51" s="178" t="e">
        <f t="shared" si="32"/>
        <v>#DIV/0!</v>
      </c>
      <c r="U51" s="405"/>
      <c r="V51" s="39"/>
      <c r="W51" s="39"/>
      <c r="X51" s="106">
        <f>V51+W51*1</f>
        <v>0</v>
      </c>
      <c r="Y51" s="178" t="e">
        <f>X51/$S$89</f>
        <v>#DIV/0!</v>
      </c>
      <c r="Z51" s="405"/>
      <c r="AA51" s="39"/>
      <c r="AB51" s="39"/>
      <c r="AC51" s="106">
        <f>AA51+AB51*1</f>
        <v>0</v>
      </c>
      <c r="AD51" s="178" t="e">
        <f t="shared" si="24"/>
        <v>#DIV/0!</v>
      </c>
      <c r="AE51" s="732"/>
      <c r="AF51" s="560"/>
      <c r="AG51" s="452"/>
      <c r="AH51" s="446">
        <f>AF51+AG51*1</f>
        <v>0</v>
      </c>
      <c r="AI51" s="450" t="e">
        <f t="shared" si="25"/>
        <v>#DIV/0!</v>
      </c>
      <c r="AJ51" s="745"/>
      <c r="AK51" s="560"/>
      <c r="AL51" s="452"/>
      <c r="AM51" s="446">
        <f>AK51+AL51*1</f>
        <v>0</v>
      </c>
      <c r="AN51" s="450" t="e">
        <f t="shared" si="26"/>
        <v>#DIV/0!</v>
      </c>
      <c r="AO51" s="745"/>
      <c r="AP51" s="560"/>
      <c r="AQ51" s="452"/>
      <c r="AR51" s="446">
        <f>AP51+AQ51*1</f>
        <v>0</v>
      </c>
      <c r="AS51" s="450" t="e">
        <f t="shared" si="27"/>
        <v>#DIV/0!</v>
      </c>
      <c r="AT51" s="745"/>
      <c r="AU51" s="39">
        <f>G51+L51+Q51+V51+AA51+AF51+AK51+AP51</f>
        <v>0</v>
      </c>
      <c r="AV51" s="39">
        <f>H51+M51+R51+W51+AB51+AG51+AL51+AQ51</f>
        <v>0</v>
      </c>
      <c r="AW51" s="106">
        <f>AU51+AV51*1</f>
        <v>0</v>
      </c>
      <c r="AX51" s="178" t="e">
        <f t="shared" si="41"/>
        <v>#DIV/0!</v>
      </c>
      <c r="AY51" s="45"/>
    </row>
    <row r="52" spans="1:51" s="235" customFormat="1" ht="13.8" x14ac:dyDescent="0.25">
      <c r="A52" s="234"/>
      <c r="B52" s="18" t="s">
        <v>61</v>
      </c>
      <c r="C52" s="113"/>
      <c r="D52" s="119"/>
      <c r="E52" s="119">
        <f>C52+D52</f>
        <v>0</v>
      </c>
      <c r="F52" s="180" t="e">
        <f>E52/$E$89</f>
        <v>#DIV/0!</v>
      </c>
      <c r="G52" s="39"/>
      <c r="H52" s="39"/>
      <c r="I52" s="106">
        <f>G52+H52*1</f>
        <v>0</v>
      </c>
      <c r="J52" s="178" t="e">
        <f t="shared" si="3"/>
        <v>#DIV/0!</v>
      </c>
      <c r="K52" s="45"/>
      <c r="L52" s="39"/>
      <c r="M52" s="39"/>
      <c r="N52" s="106">
        <f>L52+M52*1</f>
        <v>0</v>
      </c>
      <c r="O52" s="178">
        <f>N52/$N$89</f>
        <v>0</v>
      </c>
      <c r="P52" s="405"/>
      <c r="Q52" s="39"/>
      <c r="R52" s="39"/>
      <c r="S52" s="106">
        <f>Q52+R52*1</f>
        <v>0</v>
      </c>
      <c r="T52" s="178" t="e">
        <f t="shared" si="32"/>
        <v>#DIV/0!</v>
      </c>
      <c r="U52" s="405"/>
      <c r="V52" s="39"/>
      <c r="W52" s="39"/>
      <c r="X52" s="106">
        <f>V52+W52*1</f>
        <v>0</v>
      </c>
      <c r="Y52" s="178" t="e">
        <f>X52/$S$89</f>
        <v>#DIV/0!</v>
      </c>
      <c r="Z52" s="405"/>
      <c r="AA52" s="39"/>
      <c r="AB52" s="39"/>
      <c r="AC52" s="106">
        <f>AA52+AB52*1</f>
        <v>0</v>
      </c>
      <c r="AD52" s="178" t="e">
        <f t="shared" si="24"/>
        <v>#DIV/0!</v>
      </c>
      <c r="AE52" s="732"/>
      <c r="AF52" s="560"/>
      <c r="AG52" s="452"/>
      <c r="AH52" s="446">
        <f>AF52+AG52*1</f>
        <v>0</v>
      </c>
      <c r="AI52" s="450" t="e">
        <f t="shared" si="25"/>
        <v>#DIV/0!</v>
      </c>
      <c r="AJ52" s="745"/>
      <c r="AK52" s="560"/>
      <c r="AL52" s="452"/>
      <c r="AM52" s="446">
        <f>AK52+AL52*1</f>
        <v>0</v>
      </c>
      <c r="AN52" s="450" t="e">
        <f t="shared" si="26"/>
        <v>#DIV/0!</v>
      </c>
      <c r="AO52" s="745"/>
      <c r="AP52" s="560"/>
      <c r="AQ52" s="452"/>
      <c r="AR52" s="446">
        <f>AP52+AQ52*1</f>
        <v>0</v>
      </c>
      <c r="AS52" s="450" t="e">
        <f t="shared" si="27"/>
        <v>#DIV/0!</v>
      </c>
      <c r="AT52" s="745"/>
      <c r="AU52" s="39">
        <f>G52+L52+Q52+V52+AA52+AF52+AK52+AP52</f>
        <v>0</v>
      </c>
      <c r="AV52" s="39">
        <f>H52+M52+R52+W52+AB52+AG52+AL52+AQ52</f>
        <v>0</v>
      </c>
      <c r="AW52" s="106">
        <f>AU52+AV52*1</f>
        <v>0</v>
      </c>
      <c r="AX52" s="178" t="e">
        <f t="shared" si="41"/>
        <v>#DIV/0!</v>
      </c>
      <c r="AY52" s="45"/>
    </row>
    <row r="53" spans="1:51" ht="14.4" thickBot="1" x14ac:dyDescent="0.3">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735"/>
      <c r="AF53" s="560"/>
      <c r="AG53" s="452"/>
      <c r="AH53" s="668"/>
      <c r="AI53" s="668"/>
      <c r="AJ53" s="668"/>
      <c r="AK53" s="560"/>
      <c r="AL53" s="452"/>
      <c r="AM53" s="668"/>
      <c r="AN53" s="668"/>
      <c r="AO53" s="668"/>
      <c r="AP53" s="560"/>
      <c r="AQ53" s="452"/>
      <c r="AR53" s="668"/>
      <c r="AS53" s="668"/>
      <c r="AT53" s="668"/>
      <c r="AU53" s="39"/>
      <c r="AV53" s="39"/>
      <c r="AW53" s="61"/>
      <c r="AX53" s="61"/>
      <c r="AY53" s="61"/>
    </row>
    <row r="54" spans="1:51" ht="13.8" x14ac:dyDescent="0.25">
      <c r="A54" s="236"/>
      <c r="B54" s="17" t="s">
        <v>1</v>
      </c>
      <c r="C54" s="123">
        <f>SUM(C55:C71)</f>
        <v>0</v>
      </c>
      <c r="D54" s="123">
        <f>SUM(D55:D71)</f>
        <v>0</v>
      </c>
      <c r="E54" s="127">
        <f>SUM(E55:E71)</f>
        <v>0</v>
      </c>
      <c r="F54" s="170" t="e">
        <f>E54/$E$89</f>
        <v>#DIV/0!</v>
      </c>
      <c r="G54" s="123">
        <f>SUM(G55:G72)</f>
        <v>0</v>
      </c>
      <c r="H54" s="123">
        <f>SUM(H55:H72)</f>
        <v>0</v>
      </c>
      <c r="I54" s="123">
        <f>SUM(I55:I72)</f>
        <v>0</v>
      </c>
      <c r="J54" s="169" t="e">
        <f t="shared" si="3"/>
        <v>#DIV/0!</v>
      </c>
      <c r="K54" s="60"/>
      <c r="L54" s="123">
        <f>SUM(L55:L72)</f>
        <v>0</v>
      </c>
      <c r="M54" s="123">
        <f>SUM(M55:M72)</f>
        <v>0</v>
      </c>
      <c r="N54" s="123">
        <f>SUM(N55:N72)</f>
        <v>0</v>
      </c>
      <c r="O54" s="169">
        <f t="shared" ref="O54:O72" si="42">N54/$N$89</f>
        <v>0</v>
      </c>
      <c r="P54" s="409"/>
      <c r="Q54" s="123">
        <f>SUM(Q55:Q72)</f>
        <v>0</v>
      </c>
      <c r="R54" s="123">
        <f>SUM(R55:R72)</f>
        <v>0</v>
      </c>
      <c r="S54" s="123">
        <f>SUM(S55:S72)</f>
        <v>0</v>
      </c>
      <c r="T54" s="169" t="e">
        <f>S54/$S$89</f>
        <v>#DIV/0!</v>
      </c>
      <c r="U54" s="409"/>
      <c r="V54" s="123">
        <f>SUM(V55:V72)</f>
        <v>0</v>
      </c>
      <c r="W54" s="123">
        <f>SUM(W55:W72)</f>
        <v>0</v>
      </c>
      <c r="X54" s="123">
        <f>SUM(X55:X72)</f>
        <v>0</v>
      </c>
      <c r="Y54" s="169" t="e">
        <f>X54/$S$89</f>
        <v>#DIV/0!</v>
      </c>
      <c r="Z54" s="409"/>
      <c r="AA54" s="123">
        <f>SUM(AA55:AA72)</f>
        <v>0</v>
      </c>
      <c r="AB54" s="123">
        <f>SUM(AB55:AB72)</f>
        <v>0</v>
      </c>
      <c r="AC54" s="123">
        <f>SUM(AC55:AC72)</f>
        <v>0</v>
      </c>
      <c r="AD54" s="169" t="e">
        <f t="shared" ref="AD54:AD71" si="43">AC54/$AC$89</f>
        <v>#DIV/0!</v>
      </c>
      <c r="AE54" s="591"/>
      <c r="AF54" s="578">
        <f>SUM(AF55:AF72)</f>
        <v>0</v>
      </c>
      <c r="AG54" s="578">
        <f>SUM(AG55:AG72)</f>
        <v>0</v>
      </c>
      <c r="AH54" s="578">
        <f>SUM(AH55:AH72)</f>
        <v>0</v>
      </c>
      <c r="AI54" s="664" t="e">
        <f t="shared" ref="AI54:AI71" si="44">AH54/$AH$89</f>
        <v>#DIV/0!</v>
      </c>
      <c r="AJ54" s="665"/>
      <c r="AK54" s="578">
        <f>SUM(AK55:AK72)</f>
        <v>0</v>
      </c>
      <c r="AL54" s="578">
        <f>SUM(AL55:AL72)</f>
        <v>0</v>
      </c>
      <c r="AM54" s="578">
        <f>SUM(AM55:AM72)</f>
        <v>0</v>
      </c>
      <c r="AN54" s="664" t="e">
        <f t="shared" ref="AN54:AN71" si="45">AM54/$AH$89</f>
        <v>#DIV/0!</v>
      </c>
      <c r="AO54" s="665"/>
      <c r="AP54" s="578">
        <f>SUM(AP55:AP72)</f>
        <v>0</v>
      </c>
      <c r="AQ54" s="578">
        <f>SUM(AQ55:AQ72)</f>
        <v>0</v>
      </c>
      <c r="AR54" s="578">
        <f>SUM(AR55:AR72)</f>
        <v>0</v>
      </c>
      <c r="AS54" s="664" t="e">
        <f t="shared" ref="AS54:AS71" si="46">AR54/$AH$89</f>
        <v>#DIV/0!</v>
      </c>
      <c r="AT54" s="665"/>
      <c r="AU54" s="123">
        <f>SUM(AU55:AU72)</f>
        <v>0</v>
      </c>
      <c r="AV54" s="123">
        <f>SUM(AV55:AV72)</f>
        <v>0</v>
      </c>
      <c r="AW54" s="123">
        <f>SUM(AW55:AW72)</f>
        <v>0</v>
      </c>
      <c r="AX54" s="169" t="e">
        <f t="shared" si="41"/>
        <v>#DIV/0!</v>
      </c>
      <c r="AY54" s="60"/>
    </row>
    <row r="55" spans="1:51" ht="13.8" x14ac:dyDescent="0.25">
      <c r="A55" s="237"/>
      <c r="B55" s="19" t="s">
        <v>77</v>
      </c>
      <c r="C55" s="113"/>
      <c r="D55" s="128"/>
      <c r="E55" s="120">
        <f t="shared" ref="E55:E71" si="47">C55+D55</f>
        <v>0</v>
      </c>
      <c r="F55" s="178" t="e">
        <f>E55/$E$89</f>
        <v>#DIV/0!</v>
      </c>
      <c r="G55" s="210"/>
      <c r="H55" s="210"/>
      <c r="I55" s="106">
        <f t="shared" ref="I55:I71" si="48">G55+H55*1</f>
        <v>0</v>
      </c>
      <c r="J55" s="178" t="e">
        <f t="shared" si="3"/>
        <v>#DIV/0!</v>
      </c>
      <c r="K55" s="79"/>
      <c r="L55" s="210"/>
      <c r="M55" s="210"/>
      <c r="N55" s="106">
        <f t="shared" ref="N55:N71" si="49">L55+M55*1</f>
        <v>0</v>
      </c>
      <c r="O55" s="178">
        <f t="shared" si="42"/>
        <v>0</v>
      </c>
      <c r="P55" s="259"/>
      <c r="Q55" s="210"/>
      <c r="R55" s="210"/>
      <c r="S55" s="106">
        <f t="shared" ref="S55:S71" si="50">Q55+R55*1</f>
        <v>0</v>
      </c>
      <c r="T55" s="178" t="e">
        <f t="shared" ref="T55:T72" si="51">S55/$S$89</f>
        <v>#DIV/0!</v>
      </c>
      <c r="U55" s="259"/>
      <c r="V55" s="210"/>
      <c r="W55" s="210"/>
      <c r="X55" s="106">
        <f t="shared" ref="X55:X71" si="52">V55+W55*1</f>
        <v>0</v>
      </c>
      <c r="Y55" s="178" t="e">
        <f t="shared" ref="Y55:Y72" si="53">X55/$S$89</f>
        <v>#DIV/0!</v>
      </c>
      <c r="Z55" s="259"/>
      <c r="AA55" s="210"/>
      <c r="AB55" s="210"/>
      <c r="AC55" s="106">
        <f t="shared" ref="AC55:AC71" si="54">AA55+AB55*1</f>
        <v>0</v>
      </c>
      <c r="AD55" s="178" t="e">
        <f t="shared" si="43"/>
        <v>#DIV/0!</v>
      </c>
      <c r="AE55" s="731"/>
      <c r="AF55" s="669"/>
      <c r="AG55" s="453"/>
      <c r="AH55" s="446">
        <f t="shared" ref="AH55:AH71" si="55">AF55+AG55*1</f>
        <v>0</v>
      </c>
      <c r="AI55" s="450" t="e">
        <f t="shared" si="44"/>
        <v>#DIV/0!</v>
      </c>
      <c r="AJ55" s="503"/>
      <c r="AK55" s="669"/>
      <c r="AL55" s="453"/>
      <c r="AM55" s="446">
        <f t="shared" ref="AM55:AM71" si="56">AK55+AL55*1</f>
        <v>0</v>
      </c>
      <c r="AN55" s="450" t="e">
        <f t="shared" si="45"/>
        <v>#DIV/0!</v>
      </c>
      <c r="AO55" s="503"/>
      <c r="AP55" s="669"/>
      <c r="AQ55" s="453"/>
      <c r="AR55" s="446">
        <f t="shared" ref="AR55:AR71" si="57">AP55+AQ55*1</f>
        <v>0</v>
      </c>
      <c r="AS55" s="450" t="e">
        <f t="shared" si="46"/>
        <v>#DIV/0!</v>
      </c>
      <c r="AT55" s="503"/>
      <c r="AU55" s="39">
        <f t="shared" ref="AU55:AV71" si="58">G55+L55+Q55+V55+AA55+AF55+AK55+AP55</f>
        <v>0</v>
      </c>
      <c r="AV55" s="39">
        <f t="shared" si="58"/>
        <v>0</v>
      </c>
      <c r="AW55" s="106">
        <f t="shared" ref="AW55:AW71" si="59">AU55+AV55*1</f>
        <v>0</v>
      </c>
      <c r="AX55" s="178" t="e">
        <f t="shared" si="41"/>
        <v>#DIV/0!</v>
      </c>
      <c r="AY55" s="79"/>
    </row>
    <row r="56" spans="1:51" ht="13.8" x14ac:dyDescent="0.25">
      <c r="A56" s="237"/>
      <c r="B56" s="19" t="s">
        <v>76</v>
      </c>
      <c r="C56" s="113"/>
      <c r="D56" s="128"/>
      <c r="E56" s="120">
        <f t="shared" si="47"/>
        <v>0</v>
      </c>
      <c r="F56" s="178" t="e">
        <f t="shared" ref="F56:F72" si="60">E56/$E$89</f>
        <v>#DIV/0!</v>
      </c>
      <c r="G56" s="210"/>
      <c r="H56" s="210"/>
      <c r="I56" s="106">
        <f t="shared" si="48"/>
        <v>0</v>
      </c>
      <c r="J56" s="178" t="e">
        <f t="shared" si="3"/>
        <v>#DIV/0!</v>
      </c>
      <c r="K56" s="79"/>
      <c r="L56" s="210"/>
      <c r="M56" s="210"/>
      <c r="N56" s="106">
        <f t="shared" si="49"/>
        <v>0</v>
      </c>
      <c r="O56" s="178">
        <f t="shared" si="42"/>
        <v>0</v>
      </c>
      <c r="P56" s="259"/>
      <c r="Q56" s="210"/>
      <c r="R56" s="210"/>
      <c r="S56" s="106">
        <f t="shared" si="50"/>
        <v>0</v>
      </c>
      <c r="T56" s="178" t="e">
        <f t="shared" si="51"/>
        <v>#DIV/0!</v>
      </c>
      <c r="U56" s="259"/>
      <c r="V56" s="210"/>
      <c r="W56" s="210"/>
      <c r="X56" s="106">
        <f t="shared" si="52"/>
        <v>0</v>
      </c>
      <c r="Y56" s="178" t="e">
        <f t="shared" si="53"/>
        <v>#DIV/0!</v>
      </c>
      <c r="Z56" s="259"/>
      <c r="AA56" s="210"/>
      <c r="AB56" s="210"/>
      <c r="AC56" s="106">
        <f t="shared" si="54"/>
        <v>0</v>
      </c>
      <c r="AD56" s="178" t="e">
        <f t="shared" si="43"/>
        <v>#DIV/0!</v>
      </c>
      <c r="AE56" s="731"/>
      <c r="AF56" s="669"/>
      <c r="AG56" s="453"/>
      <c r="AH56" s="446">
        <f t="shared" si="55"/>
        <v>0</v>
      </c>
      <c r="AI56" s="450" t="e">
        <f t="shared" si="44"/>
        <v>#DIV/0!</v>
      </c>
      <c r="AJ56" s="503"/>
      <c r="AK56" s="669"/>
      <c r="AL56" s="453"/>
      <c r="AM56" s="446">
        <f t="shared" si="56"/>
        <v>0</v>
      </c>
      <c r="AN56" s="450" t="e">
        <f t="shared" si="45"/>
        <v>#DIV/0!</v>
      </c>
      <c r="AO56" s="503"/>
      <c r="AP56" s="669"/>
      <c r="AQ56" s="453"/>
      <c r="AR56" s="446">
        <f t="shared" si="57"/>
        <v>0</v>
      </c>
      <c r="AS56" s="450" t="e">
        <f t="shared" si="46"/>
        <v>#DIV/0!</v>
      </c>
      <c r="AT56" s="503"/>
      <c r="AU56" s="39">
        <f t="shared" si="58"/>
        <v>0</v>
      </c>
      <c r="AV56" s="39">
        <f t="shared" si="58"/>
        <v>0</v>
      </c>
      <c r="AW56" s="106">
        <f t="shared" si="59"/>
        <v>0</v>
      </c>
      <c r="AX56" s="178" t="e">
        <f t="shared" si="41"/>
        <v>#DIV/0!</v>
      </c>
      <c r="AY56" s="79"/>
    </row>
    <row r="57" spans="1:51" ht="13.8" x14ac:dyDescent="0.25">
      <c r="A57" s="237"/>
      <c r="B57" s="615" t="s">
        <v>68</v>
      </c>
      <c r="C57" s="113"/>
      <c r="D57" s="128"/>
      <c r="E57" s="120">
        <f t="shared" si="47"/>
        <v>0</v>
      </c>
      <c r="F57" s="178" t="e">
        <f t="shared" si="60"/>
        <v>#DIV/0!</v>
      </c>
      <c r="G57" s="210"/>
      <c r="H57" s="210"/>
      <c r="I57" s="106">
        <f t="shared" si="48"/>
        <v>0</v>
      </c>
      <c r="J57" s="178" t="e">
        <f t="shared" si="3"/>
        <v>#DIV/0!</v>
      </c>
      <c r="K57" s="79"/>
      <c r="L57" s="210"/>
      <c r="M57" s="210"/>
      <c r="N57" s="106">
        <f t="shared" si="49"/>
        <v>0</v>
      </c>
      <c r="O57" s="178">
        <f t="shared" si="42"/>
        <v>0</v>
      </c>
      <c r="P57" s="259"/>
      <c r="Q57" s="210"/>
      <c r="R57" s="210"/>
      <c r="S57" s="106">
        <f t="shared" si="50"/>
        <v>0</v>
      </c>
      <c r="T57" s="178" t="e">
        <f t="shared" si="51"/>
        <v>#DIV/0!</v>
      </c>
      <c r="U57" s="259"/>
      <c r="V57" s="210"/>
      <c r="W57" s="210"/>
      <c r="X57" s="106">
        <f t="shared" si="52"/>
        <v>0</v>
      </c>
      <c r="Y57" s="178" t="e">
        <f t="shared" si="53"/>
        <v>#DIV/0!</v>
      </c>
      <c r="Z57" s="259"/>
      <c r="AA57" s="210"/>
      <c r="AB57" s="210"/>
      <c r="AC57" s="106">
        <f t="shared" si="54"/>
        <v>0</v>
      </c>
      <c r="AD57" s="178" t="e">
        <f t="shared" si="43"/>
        <v>#DIV/0!</v>
      </c>
      <c r="AE57" s="731"/>
      <c r="AF57" s="669"/>
      <c r="AG57" s="453"/>
      <c r="AH57" s="446">
        <f t="shared" si="55"/>
        <v>0</v>
      </c>
      <c r="AI57" s="450" t="e">
        <f t="shared" si="44"/>
        <v>#DIV/0!</v>
      </c>
      <c r="AJ57" s="503"/>
      <c r="AK57" s="669"/>
      <c r="AL57" s="453"/>
      <c r="AM57" s="446">
        <f t="shared" si="56"/>
        <v>0</v>
      </c>
      <c r="AN57" s="450" t="e">
        <f t="shared" si="45"/>
        <v>#DIV/0!</v>
      </c>
      <c r="AO57" s="503"/>
      <c r="AP57" s="669"/>
      <c r="AQ57" s="453"/>
      <c r="AR57" s="446">
        <f t="shared" si="57"/>
        <v>0</v>
      </c>
      <c r="AS57" s="450" t="e">
        <f t="shared" si="46"/>
        <v>#DIV/0!</v>
      </c>
      <c r="AT57" s="503"/>
      <c r="AU57" s="39">
        <f t="shared" si="58"/>
        <v>0</v>
      </c>
      <c r="AV57" s="39">
        <f t="shared" si="58"/>
        <v>0</v>
      </c>
      <c r="AW57" s="106">
        <f t="shared" si="59"/>
        <v>0</v>
      </c>
      <c r="AX57" s="178" t="e">
        <f t="shared" si="41"/>
        <v>#DIV/0!</v>
      </c>
      <c r="AY57" s="79"/>
    </row>
    <row r="58" spans="1:51" ht="13.8" x14ac:dyDescent="0.25">
      <c r="A58" s="237"/>
      <c r="B58" s="615" t="s">
        <v>67</v>
      </c>
      <c r="C58" s="113"/>
      <c r="D58" s="128"/>
      <c r="E58" s="120">
        <f t="shared" si="47"/>
        <v>0</v>
      </c>
      <c r="F58" s="178" t="e">
        <f t="shared" si="60"/>
        <v>#DIV/0!</v>
      </c>
      <c r="G58" s="210"/>
      <c r="H58" s="210"/>
      <c r="I58" s="106">
        <f t="shared" si="48"/>
        <v>0</v>
      </c>
      <c r="J58" s="178" t="e">
        <f t="shared" si="3"/>
        <v>#DIV/0!</v>
      </c>
      <c r="K58" s="79"/>
      <c r="L58" s="210"/>
      <c r="M58" s="210"/>
      <c r="N58" s="106">
        <f t="shared" si="49"/>
        <v>0</v>
      </c>
      <c r="O58" s="178">
        <f t="shared" si="42"/>
        <v>0</v>
      </c>
      <c r="P58" s="857"/>
      <c r="Q58" s="210"/>
      <c r="R58" s="210"/>
      <c r="S58" s="106">
        <f t="shared" si="50"/>
        <v>0</v>
      </c>
      <c r="T58" s="178" t="e">
        <f t="shared" si="51"/>
        <v>#DIV/0!</v>
      </c>
      <c r="U58" s="415"/>
      <c r="V58" s="210"/>
      <c r="W58" s="210"/>
      <c r="X58" s="106">
        <f t="shared" si="52"/>
        <v>0</v>
      </c>
      <c r="Y58" s="178" t="e">
        <f t="shared" si="53"/>
        <v>#DIV/0!</v>
      </c>
      <c r="Z58" s="415"/>
      <c r="AA58" s="210"/>
      <c r="AB58" s="210"/>
      <c r="AC58" s="106">
        <f t="shared" si="54"/>
        <v>0</v>
      </c>
      <c r="AD58" s="178" t="e">
        <f t="shared" si="43"/>
        <v>#DIV/0!</v>
      </c>
      <c r="AE58" s="736"/>
      <c r="AF58" s="669"/>
      <c r="AG58" s="453"/>
      <c r="AH58" s="446">
        <f t="shared" si="55"/>
        <v>0</v>
      </c>
      <c r="AI58" s="450" t="e">
        <f t="shared" si="44"/>
        <v>#DIV/0!</v>
      </c>
      <c r="AJ58" s="518"/>
      <c r="AK58" s="669"/>
      <c r="AL58" s="453"/>
      <c r="AM58" s="446">
        <f t="shared" si="56"/>
        <v>0</v>
      </c>
      <c r="AN58" s="450" t="e">
        <f t="shared" si="45"/>
        <v>#DIV/0!</v>
      </c>
      <c r="AO58" s="518"/>
      <c r="AP58" s="669"/>
      <c r="AQ58" s="453"/>
      <c r="AR58" s="446">
        <f t="shared" si="57"/>
        <v>0</v>
      </c>
      <c r="AS58" s="450" t="e">
        <f t="shared" si="46"/>
        <v>#DIV/0!</v>
      </c>
      <c r="AT58" s="518"/>
      <c r="AU58" s="39">
        <f t="shared" si="58"/>
        <v>0</v>
      </c>
      <c r="AV58" s="39">
        <f t="shared" si="58"/>
        <v>0</v>
      </c>
      <c r="AW58" s="106">
        <f t="shared" si="59"/>
        <v>0</v>
      </c>
      <c r="AX58" s="178" t="e">
        <f t="shared" si="41"/>
        <v>#DIV/0!</v>
      </c>
      <c r="AY58" s="79"/>
    </row>
    <row r="59" spans="1:51" ht="13.8" x14ac:dyDescent="0.25">
      <c r="A59" s="237"/>
      <c r="B59" s="615" t="s">
        <v>66</v>
      </c>
      <c r="C59" s="113"/>
      <c r="D59" s="128"/>
      <c r="E59" s="120">
        <f t="shared" si="47"/>
        <v>0</v>
      </c>
      <c r="F59" s="178" t="e">
        <f t="shared" si="60"/>
        <v>#DIV/0!</v>
      </c>
      <c r="G59" s="210"/>
      <c r="H59" s="210"/>
      <c r="I59" s="106">
        <f t="shared" si="48"/>
        <v>0</v>
      </c>
      <c r="J59" s="178" t="e">
        <f t="shared" si="3"/>
        <v>#DIV/0!</v>
      </c>
      <c r="K59" s="79"/>
      <c r="L59" s="210"/>
      <c r="M59" s="210"/>
      <c r="N59" s="106">
        <f t="shared" si="49"/>
        <v>0</v>
      </c>
      <c r="O59" s="178">
        <f t="shared" si="42"/>
        <v>0</v>
      </c>
      <c r="P59" s="857"/>
      <c r="Q59" s="210"/>
      <c r="R59" s="210"/>
      <c r="S59" s="106">
        <f t="shared" si="50"/>
        <v>0</v>
      </c>
      <c r="T59" s="178" t="e">
        <f t="shared" si="51"/>
        <v>#DIV/0!</v>
      </c>
      <c r="U59" s="259"/>
      <c r="V59" s="210"/>
      <c r="W59" s="210"/>
      <c r="X59" s="106">
        <f t="shared" si="52"/>
        <v>0</v>
      </c>
      <c r="Y59" s="178" t="e">
        <f t="shared" si="53"/>
        <v>#DIV/0!</v>
      </c>
      <c r="Z59" s="259"/>
      <c r="AA59" s="210"/>
      <c r="AB59" s="210"/>
      <c r="AC59" s="106">
        <f t="shared" si="54"/>
        <v>0</v>
      </c>
      <c r="AD59" s="178" t="e">
        <f t="shared" si="43"/>
        <v>#DIV/0!</v>
      </c>
      <c r="AE59" s="731"/>
      <c r="AF59" s="669"/>
      <c r="AG59" s="453"/>
      <c r="AH59" s="446">
        <f t="shared" si="55"/>
        <v>0</v>
      </c>
      <c r="AI59" s="450" t="e">
        <f t="shared" si="44"/>
        <v>#DIV/0!</v>
      </c>
      <c r="AJ59" s="503"/>
      <c r="AK59" s="669"/>
      <c r="AL59" s="453"/>
      <c r="AM59" s="446">
        <f t="shared" si="56"/>
        <v>0</v>
      </c>
      <c r="AN59" s="450" t="e">
        <f t="shared" si="45"/>
        <v>#DIV/0!</v>
      </c>
      <c r="AO59" s="503"/>
      <c r="AP59" s="669"/>
      <c r="AQ59" s="453"/>
      <c r="AR59" s="446">
        <f t="shared" si="57"/>
        <v>0</v>
      </c>
      <c r="AS59" s="450" t="e">
        <f t="shared" si="46"/>
        <v>#DIV/0!</v>
      </c>
      <c r="AT59" s="503"/>
      <c r="AU59" s="39">
        <f t="shared" si="58"/>
        <v>0</v>
      </c>
      <c r="AV59" s="39">
        <f t="shared" si="58"/>
        <v>0</v>
      </c>
      <c r="AW59" s="106">
        <f t="shared" si="59"/>
        <v>0</v>
      </c>
      <c r="AX59" s="178" t="e">
        <f t="shared" si="41"/>
        <v>#DIV/0!</v>
      </c>
      <c r="AY59" s="79"/>
    </row>
    <row r="60" spans="1:51" ht="13.8" x14ac:dyDescent="0.25">
      <c r="A60" s="237"/>
      <c r="B60" s="615" t="s">
        <v>65</v>
      </c>
      <c r="C60" s="113"/>
      <c r="D60" s="128"/>
      <c r="E60" s="120">
        <f t="shared" si="47"/>
        <v>0</v>
      </c>
      <c r="F60" s="178" t="e">
        <f t="shared" si="60"/>
        <v>#DIV/0!</v>
      </c>
      <c r="G60" s="210"/>
      <c r="H60" s="210"/>
      <c r="I60" s="106">
        <f t="shared" si="48"/>
        <v>0</v>
      </c>
      <c r="J60" s="178" t="e">
        <f t="shared" si="3"/>
        <v>#DIV/0!</v>
      </c>
      <c r="K60" s="79"/>
      <c r="L60" s="210"/>
      <c r="M60" s="210"/>
      <c r="N60" s="106">
        <f t="shared" si="49"/>
        <v>0</v>
      </c>
      <c r="O60" s="178">
        <f t="shared" si="42"/>
        <v>0</v>
      </c>
      <c r="P60" s="857"/>
      <c r="Q60" s="210"/>
      <c r="R60" s="210"/>
      <c r="S60" s="106">
        <f t="shared" si="50"/>
        <v>0</v>
      </c>
      <c r="T60" s="178" t="e">
        <f t="shared" si="51"/>
        <v>#DIV/0!</v>
      </c>
      <c r="U60" s="259"/>
      <c r="V60" s="210"/>
      <c r="W60" s="210"/>
      <c r="X60" s="106">
        <f t="shared" si="52"/>
        <v>0</v>
      </c>
      <c r="Y60" s="178" t="e">
        <f t="shared" si="53"/>
        <v>#DIV/0!</v>
      </c>
      <c r="Z60" s="259"/>
      <c r="AA60" s="210"/>
      <c r="AB60" s="210"/>
      <c r="AC60" s="106">
        <f t="shared" si="54"/>
        <v>0</v>
      </c>
      <c r="AD60" s="178" t="e">
        <f t="shared" si="43"/>
        <v>#DIV/0!</v>
      </c>
      <c r="AE60" s="731"/>
      <c r="AF60" s="669"/>
      <c r="AG60" s="453"/>
      <c r="AH60" s="446">
        <f t="shared" si="55"/>
        <v>0</v>
      </c>
      <c r="AI60" s="450" t="e">
        <f t="shared" si="44"/>
        <v>#DIV/0!</v>
      </c>
      <c r="AJ60" s="503"/>
      <c r="AK60" s="669"/>
      <c r="AL60" s="453"/>
      <c r="AM60" s="446">
        <f t="shared" si="56"/>
        <v>0</v>
      </c>
      <c r="AN60" s="450" t="e">
        <f t="shared" si="45"/>
        <v>#DIV/0!</v>
      </c>
      <c r="AO60" s="503"/>
      <c r="AP60" s="669"/>
      <c r="AQ60" s="453"/>
      <c r="AR60" s="446">
        <f t="shared" si="57"/>
        <v>0</v>
      </c>
      <c r="AS60" s="450" t="e">
        <f t="shared" si="46"/>
        <v>#DIV/0!</v>
      </c>
      <c r="AT60" s="503"/>
      <c r="AU60" s="39">
        <f t="shared" si="58"/>
        <v>0</v>
      </c>
      <c r="AV60" s="39">
        <f t="shared" si="58"/>
        <v>0</v>
      </c>
      <c r="AW60" s="106">
        <f t="shared" si="59"/>
        <v>0</v>
      </c>
      <c r="AX60" s="178" t="e">
        <f t="shared" si="41"/>
        <v>#DIV/0!</v>
      </c>
      <c r="AY60" s="79"/>
    </row>
    <row r="61" spans="1:51" ht="13.8" x14ac:dyDescent="0.25">
      <c r="A61" s="237"/>
      <c r="B61" s="615" t="s">
        <v>32</v>
      </c>
      <c r="C61" s="113"/>
      <c r="D61" s="128"/>
      <c r="E61" s="120">
        <f t="shared" si="47"/>
        <v>0</v>
      </c>
      <c r="F61" s="178" t="e">
        <f t="shared" si="60"/>
        <v>#DIV/0!</v>
      </c>
      <c r="G61" s="210"/>
      <c r="H61" s="210"/>
      <c r="I61" s="106">
        <f t="shared" si="48"/>
        <v>0</v>
      </c>
      <c r="J61" s="178" t="e">
        <f t="shared" si="3"/>
        <v>#DIV/0!</v>
      </c>
      <c r="K61" s="79"/>
      <c r="L61" s="210"/>
      <c r="M61" s="210"/>
      <c r="N61" s="106">
        <f t="shared" si="49"/>
        <v>0</v>
      </c>
      <c r="O61" s="178">
        <f t="shared" si="42"/>
        <v>0</v>
      </c>
      <c r="P61" s="857"/>
      <c r="Q61" s="210"/>
      <c r="R61" s="210"/>
      <c r="S61" s="106">
        <f t="shared" si="50"/>
        <v>0</v>
      </c>
      <c r="T61" s="178" t="e">
        <f t="shared" si="51"/>
        <v>#DIV/0!</v>
      </c>
      <c r="U61" s="259"/>
      <c r="V61" s="210"/>
      <c r="W61" s="210"/>
      <c r="X61" s="106">
        <f t="shared" si="52"/>
        <v>0</v>
      </c>
      <c r="Y61" s="178" t="e">
        <f t="shared" si="53"/>
        <v>#DIV/0!</v>
      </c>
      <c r="Z61" s="259"/>
      <c r="AA61" s="210"/>
      <c r="AB61" s="210"/>
      <c r="AC61" s="106">
        <f t="shared" si="54"/>
        <v>0</v>
      </c>
      <c r="AD61" s="178" t="e">
        <f t="shared" si="43"/>
        <v>#DIV/0!</v>
      </c>
      <c r="AE61" s="731"/>
      <c r="AF61" s="669"/>
      <c r="AG61" s="453"/>
      <c r="AH61" s="446">
        <f t="shared" si="55"/>
        <v>0</v>
      </c>
      <c r="AI61" s="450" t="e">
        <f t="shared" si="44"/>
        <v>#DIV/0!</v>
      </c>
      <c r="AJ61" s="503"/>
      <c r="AK61" s="669"/>
      <c r="AL61" s="453"/>
      <c r="AM61" s="446">
        <f t="shared" si="56"/>
        <v>0</v>
      </c>
      <c r="AN61" s="450" t="e">
        <f t="shared" si="45"/>
        <v>#DIV/0!</v>
      </c>
      <c r="AO61" s="503"/>
      <c r="AP61" s="669"/>
      <c r="AQ61" s="453"/>
      <c r="AR61" s="446">
        <f t="shared" si="57"/>
        <v>0</v>
      </c>
      <c r="AS61" s="450" t="e">
        <f t="shared" si="46"/>
        <v>#DIV/0!</v>
      </c>
      <c r="AT61" s="503"/>
      <c r="AU61" s="39">
        <f t="shared" si="58"/>
        <v>0</v>
      </c>
      <c r="AV61" s="39">
        <f t="shared" si="58"/>
        <v>0</v>
      </c>
      <c r="AW61" s="106">
        <f t="shared" si="59"/>
        <v>0</v>
      </c>
      <c r="AX61" s="178" t="e">
        <f t="shared" si="41"/>
        <v>#DIV/0!</v>
      </c>
      <c r="AY61" s="79"/>
    </row>
    <row r="62" spans="1:51" ht="13.8" x14ac:dyDescent="0.25">
      <c r="A62" s="237"/>
      <c r="B62" s="615" t="s">
        <v>33</v>
      </c>
      <c r="C62" s="129"/>
      <c r="D62" s="128"/>
      <c r="E62" s="120">
        <f t="shared" si="47"/>
        <v>0</v>
      </c>
      <c r="F62" s="178" t="e">
        <f t="shared" si="60"/>
        <v>#DIV/0!</v>
      </c>
      <c r="G62" s="210"/>
      <c r="H62" s="210"/>
      <c r="I62" s="106">
        <f t="shared" si="48"/>
        <v>0</v>
      </c>
      <c r="J62" s="178" t="e">
        <f t="shared" si="3"/>
        <v>#DIV/0!</v>
      </c>
      <c r="K62" s="79"/>
      <c r="L62" s="210"/>
      <c r="M62" s="210"/>
      <c r="N62" s="106">
        <f t="shared" si="49"/>
        <v>0</v>
      </c>
      <c r="O62" s="178">
        <f t="shared" si="42"/>
        <v>0</v>
      </c>
      <c r="P62" s="857"/>
      <c r="Q62" s="210"/>
      <c r="R62" s="210"/>
      <c r="S62" s="106">
        <f t="shared" si="50"/>
        <v>0</v>
      </c>
      <c r="T62" s="178" t="e">
        <f t="shared" si="51"/>
        <v>#DIV/0!</v>
      </c>
      <c r="U62" s="259"/>
      <c r="V62" s="210"/>
      <c r="W62" s="210"/>
      <c r="X62" s="106">
        <f t="shared" si="52"/>
        <v>0</v>
      </c>
      <c r="Y62" s="178" t="e">
        <f t="shared" si="53"/>
        <v>#DIV/0!</v>
      </c>
      <c r="Z62" s="259"/>
      <c r="AA62" s="210"/>
      <c r="AB62" s="210"/>
      <c r="AC62" s="106">
        <f t="shared" si="54"/>
        <v>0</v>
      </c>
      <c r="AD62" s="178" t="e">
        <f t="shared" si="43"/>
        <v>#DIV/0!</v>
      </c>
      <c r="AE62" s="731"/>
      <c r="AF62" s="669"/>
      <c r="AG62" s="453"/>
      <c r="AH62" s="446">
        <f t="shared" si="55"/>
        <v>0</v>
      </c>
      <c r="AI62" s="450" t="e">
        <f t="shared" si="44"/>
        <v>#DIV/0!</v>
      </c>
      <c r="AJ62" s="503"/>
      <c r="AK62" s="669"/>
      <c r="AL62" s="453"/>
      <c r="AM62" s="446">
        <f t="shared" si="56"/>
        <v>0</v>
      </c>
      <c r="AN62" s="450" t="e">
        <f t="shared" si="45"/>
        <v>#DIV/0!</v>
      </c>
      <c r="AO62" s="503"/>
      <c r="AP62" s="669"/>
      <c r="AQ62" s="453"/>
      <c r="AR62" s="446">
        <f t="shared" si="57"/>
        <v>0</v>
      </c>
      <c r="AS62" s="450" t="e">
        <f t="shared" si="46"/>
        <v>#DIV/0!</v>
      </c>
      <c r="AT62" s="503"/>
      <c r="AU62" s="39">
        <f t="shared" si="58"/>
        <v>0</v>
      </c>
      <c r="AV62" s="39">
        <f t="shared" si="58"/>
        <v>0</v>
      </c>
      <c r="AW62" s="106">
        <f t="shared" si="59"/>
        <v>0</v>
      </c>
      <c r="AX62" s="178" t="e">
        <f t="shared" si="41"/>
        <v>#DIV/0!</v>
      </c>
      <c r="AY62" s="79"/>
    </row>
    <row r="63" spans="1:51" ht="13.8" x14ac:dyDescent="0.25">
      <c r="A63" s="237"/>
      <c r="B63" s="615" t="s">
        <v>35</v>
      </c>
      <c r="C63" s="129"/>
      <c r="D63" s="128"/>
      <c r="E63" s="120">
        <f t="shared" si="47"/>
        <v>0</v>
      </c>
      <c r="F63" s="178" t="e">
        <f t="shared" si="60"/>
        <v>#DIV/0!</v>
      </c>
      <c r="G63" s="210"/>
      <c r="H63" s="210"/>
      <c r="I63" s="106">
        <f t="shared" si="48"/>
        <v>0</v>
      </c>
      <c r="J63" s="178" t="e">
        <f t="shared" si="3"/>
        <v>#DIV/0!</v>
      </c>
      <c r="K63" s="210"/>
      <c r="L63" s="39"/>
      <c r="M63" s="210"/>
      <c r="N63" s="106">
        <f t="shared" si="49"/>
        <v>0</v>
      </c>
      <c r="O63" s="178">
        <f t="shared" si="42"/>
        <v>0</v>
      </c>
      <c r="P63" s="860"/>
      <c r="Q63" s="39"/>
      <c r="R63" s="210"/>
      <c r="S63" s="106">
        <f t="shared" si="50"/>
        <v>0</v>
      </c>
      <c r="T63" s="178" t="e">
        <f t="shared" si="51"/>
        <v>#DIV/0!</v>
      </c>
      <c r="U63" s="415"/>
      <c r="V63" s="39"/>
      <c r="W63" s="210"/>
      <c r="X63" s="106">
        <f t="shared" si="52"/>
        <v>0</v>
      </c>
      <c r="Y63" s="178" t="e">
        <f t="shared" si="53"/>
        <v>#DIV/0!</v>
      </c>
      <c r="Z63" s="415"/>
      <c r="AA63" s="39"/>
      <c r="AB63" s="210"/>
      <c r="AC63" s="106">
        <f t="shared" si="54"/>
        <v>0</v>
      </c>
      <c r="AD63" s="178" t="e">
        <f t="shared" si="43"/>
        <v>#DIV/0!</v>
      </c>
      <c r="AE63" s="736"/>
      <c r="AF63" s="560"/>
      <c r="AG63" s="453"/>
      <c r="AH63" s="446">
        <f t="shared" si="55"/>
        <v>0</v>
      </c>
      <c r="AI63" s="450" t="e">
        <f t="shared" si="44"/>
        <v>#DIV/0!</v>
      </c>
      <c r="AJ63" s="518"/>
      <c r="AK63" s="560"/>
      <c r="AL63" s="453"/>
      <c r="AM63" s="446">
        <f t="shared" si="56"/>
        <v>0</v>
      </c>
      <c r="AN63" s="450" t="e">
        <f t="shared" si="45"/>
        <v>#DIV/0!</v>
      </c>
      <c r="AO63" s="518"/>
      <c r="AP63" s="560"/>
      <c r="AQ63" s="453"/>
      <c r="AR63" s="446">
        <f t="shared" si="57"/>
        <v>0</v>
      </c>
      <c r="AS63" s="450" t="e">
        <f t="shared" si="46"/>
        <v>#DIV/0!</v>
      </c>
      <c r="AT63" s="518"/>
      <c r="AU63" s="39">
        <f t="shared" si="58"/>
        <v>0</v>
      </c>
      <c r="AV63" s="39">
        <f t="shared" si="58"/>
        <v>0</v>
      </c>
      <c r="AW63" s="106">
        <f t="shared" si="59"/>
        <v>0</v>
      </c>
      <c r="AX63" s="178" t="e">
        <f t="shared" si="41"/>
        <v>#DIV/0!</v>
      </c>
      <c r="AY63" s="79"/>
    </row>
    <row r="64" spans="1:51" ht="13.8" x14ac:dyDescent="0.25">
      <c r="A64" s="237"/>
      <c r="B64" s="615" t="s">
        <v>63</v>
      </c>
      <c r="C64" s="129"/>
      <c r="D64" s="128"/>
      <c r="E64" s="120">
        <f t="shared" si="47"/>
        <v>0</v>
      </c>
      <c r="F64" s="178" t="e">
        <f t="shared" si="60"/>
        <v>#DIV/0!</v>
      </c>
      <c r="G64" s="210"/>
      <c r="H64" s="210"/>
      <c r="I64" s="106">
        <f t="shared" si="48"/>
        <v>0</v>
      </c>
      <c r="J64" s="178" t="e">
        <f t="shared" si="3"/>
        <v>#DIV/0!</v>
      </c>
      <c r="K64" s="79"/>
      <c r="L64" s="210"/>
      <c r="M64" s="210"/>
      <c r="N64" s="106">
        <f t="shared" si="49"/>
        <v>0</v>
      </c>
      <c r="O64" s="178">
        <f t="shared" si="42"/>
        <v>0</v>
      </c>
      <c r="P64" s="857"/>
      <c r="Q64" s="210"/>
      <c r="R64" s="210"/>
      <c r="S64" s="106">
        <f t="shared" si="50"/>
        <v>0</v>
      </c>
      <c r="T64" s="178" t="e">
        <f t="shared" si="51"/>
        <v>#DIV/0!</v>
      </c>
      <c r="U64" s="259"/>
      <c r="V64" s="210"/>
      <c r="W64" s="210"/>
      <c r="X64" s="106">
        <f t="shared" si="52"/>
        <v>0</v>
      </c>
      <c r="Y64" s="178" t="e">
        <f t="shared" si="53"/>
        <v>#DIV/0!</v>
      </c>
      <c r="Z64" s="259"/>
      <c r="AA64" s="210"/>
      <c r="AB64" s="210"/>
      <c r="AC64" s="106">
        <f t="shared" si="54"/>
        <v>0</v>
      </c>
      <c r="AD64" s="178" t="e">
        <f t="shared" si="43"/>
        <v>#DIV/0!</v>
      </c>
      <c r="AE64" s="731"/>
      <c r="AF64" s="669"/>
      <c r="AG64" s="453"/>
      <c r="AH64" s="446">
        <f t="shared" si="55"/>
        <v>0</v>
      </c>
      <c r="AI64" s="450" t="e">
        <f t="shared" si="44"/>
        <v>#DIV/0!</v>
      </c>
      <c r="AJ64" s="503"/>
      <c r="AK64" s="669"/>
      <c r="AL64" s="453"/>
      <c r="AM64" s="446">
        <f t="shared" si="56"/>
        <v>0</v>
      </c>
      <c r="AN64" s="450" t="e">
        <f t="shared" si="45"/>
        <v>#DIV/0!</v>
      </c>
      <c r="AO64" s="503"/>
      <c r="AP64" s="669"/>
      <c r="AQ64" s="453"/>
      <c r="AR64" s="446">
        <f t="shared" si="57"/>
        <v>0</v>
      </c>
      <c r="AS64" s="450" t="e">
        <f t="shared" si="46"/>
        <v>#DIV/0!</v>
      </c>
      <c r="AT64" s="503"/>
      <c r="AU64" s="39">
        <f t="shared" si="58"/>
        <v>0</v>
      </c>
      <c r="AV64" s="39">
        <f t="shared" si="58"/>
        <v>0</v>
      </c>
      <c r="AW64" s="106">
        <f t="shared" si="59"/>
        <v>0</v>
      </c>
      <c r="AX64" s="178" t="e">
        <f t="shared" si="41"/>
        <v>#DIV/0!</v>
      </c>
      <c r="AY64" s="79"/>
    </row>
    <row r="65" spans="1:51" ht="27.6" x14ac:dyDescent="0.25">
      <c r="A65" s="237"/>
      <c r="B65" s="615" t="s">
        <v>36</v>
      </c>
      <c r="C65" s="129"/>
      <c r="D65" s="128"/>
      <c r="E65" s="120">
        <f t="shared" si="47"/>
        <v>0</v>
      </c>
      <c r="F65" s="178" t="e">
        <f t="shared" si="60"/>
        <v>#DIV/0!</v>
      </c>
      <c r="G65" s="39"/>
      <c r="H65" s="39"/>
      <c r="I65" s="106">
        <f t="shared" si="48"/>
        <v>0</v>
      </c>
      <c r="J65" s="178" t="e">
        <f t="shared" si="3"/>
        <v>#DIV/0!</v>
      </c>
      <c r="K65" s="389"/>
      <c r="L65" s="39"/>
      <c r="M65" s="39"/>
      <c r="N65" s="106">
        <f t="shared" si="49"/>
        <v>0</v>
      </c>
      <c r="O65" s="178">
        <f t="shared" si="42"/>
        <v>0</v>
      </c>
      <c r="P65" s="860"/>
      <c r="Q65" s="39"/>
      <c r="R65" s="39"/>
      <c r="S65" s="106">
        <f t="shared" si="50"/>
        <v>0</v>
      </c>
      <c r="T65" s="178" t="e">
        <f t="shared" si="51"/>
        <v>#DIV/0!</v>
      </c>
      <c r="U65" s="259"/>
      <c r="V65" s="39"/>
      <c r="W65" s="39"/>
      <c r="X65" s="106">
        <f t="shared" si="52"/>
        <v>0</v>
      </c>
      <c r="Y65" s="178" t="e">
        <f t="shared" si="53"/>
        <v>#DIV/0!</v>
      </c>
      <c r="Z65" s="259"/>
      <c r="AA65" s="39"/>
      <c r="AB65" s="39"/>
      <c r="AC65" s="106">
        <f t="shared" si="54"/>
        <v>0</v>
      </c>
      <c r="AD65" s="178" t="e">
        <f t="shared" si="43"/>
        <v>#DIV/0!</v>
      </c>
      <c r="AE65" s="731"/>
      <c r="AF65" s="560"/>
      <c r="AG65" s="452"/>
      <c r="AH65" s="446">
        <f t="shared" si="55"/>
        <v>0</v>
      </c>
      <c r="AI65" s="450" t="e">
        <f t="shared" si="44"/>
        <v>#DIV/0!</v>
      </c>
      <c r="AJ65" s="503"/>
      <c r="AK65" s="560"/>
      <c r="AL65" s="452"/>
      <c r="AM65" s="446">
        <f t="shared" si="56"/>
        <v>0</v>
      </c>
      <c r="AN65" s="450" t="e">
        <f t="shared" si="45"/>
        <v>#DIV/0!</v>
      </c>
      <c r="AO65" s="503"/>
      <c r="AP65" s="560"/>
      <c r="AQ65" s="452"/>
      <c r="AR65" s="446">
        <f t="shared" si="57"/>
        <v>0</v>
      </c>
      <c r="AS65" s="450" t="e">
        <f t="shared" si="46"/>
        <v>#DIV/0!</v>
      </c>
      <c r="AT65" s="503"/>
      <c r="AU65" s="39">
        <f t="shared" si="58"/>
        <v>0</v>
      </c>
      <c r="AV65" s="39">
        <f t="shared" si="58"/>
        <v>0</v>
      </c>
      <c r="AW65" s="106">
        <f t="shared" si="59"/>
        <v>0</v>
      </c>
      <c r="AX65" s="178" t="e">
        <f t="shared" si="41"/>
        <v>#DIV/0!</v>
      </c>
      <c r="AY65" s="79"/>
    </row>
    <row r="66" spans="1:51" s="2" customFormat="1" ht="13.8" x14ac:dyDescent="0.25">
      <c r="A66" s="237"/>
      <c r="B66" s="615" t="s">
        <v>37</v>
      </c>
      <c r="C66" s="129"/>
      <c r="D66" s="128"/>
      <c r="E66" s="120">
        <f t="shared" si="47"/>
        <v>0</v>
      </c>
      <c r="F66" s="178" t="e">
        <f t="shared" si="60"/>
        <v>#DIV/0!</v>
      </c>
      <c r="G66" s="39"/>
      <c r="H66" s="39"/>
      <c r="I66" s="106">
        <f t="shared" si="48"/>
        <v>0</v>
      </c>
      <c r="J66" s="178" t="e">
        <f t="shared" si="3"/>
        <v>#DIV/0!</v>
      </c>
      <c r="K66" s="79"/>
      <c r="L66" s="39"/>
      <c r="M66" s="39"/>
      <c r="N66" s="106">
        <f t="shared" si="49"/>
        <v>0</v>
      </c>
      <c r="O66" s="178">
        <f t="shared" si="42"/>
        <v>0</v>
      </c>
      <c r="P66" s="259"/>
      <c r="Q66" s="39"/>
      <c r="R66" s="39"/>
      <c r="S66" s="106">
        <f t="shared" si="50"/>
        <v>0</v>
      </c>
      <c r="T66" s="178" t="e">
        <f t="shared" si="51"/>
        <v>#DIV/0!</v>
      </c>
      <c r="U66" s="259"/>
      <c r="V66" s="39"/>
      <c r="W66" s="39"/>
      <c r="X66" s="106">
        <f t="shared" si="52"/>
        <v>0</v>
      </c>
      <c r="Y66" s="178" t="e">
        <f t="shared" si="53"/>
        <v>#DIV/0!</v>
      </c>
      <c r="Z66" s="259"/>
      <c r="AA66" s="39"/>
      <c r="AB66" s="39"/>
      <c r="AC66" s="106">
        <f t="shared" si="54"/>
        <v>0</v>
      </c>
      <c r="AD66" s="178" t="e">
        <f t="shared" si="43"/>
        <v>#DIV/0!</v>
      </c>
      <c r="AE66" s="731"/>
      <c r="AF66" s="560"/>
      <c r="AG66" s="452"/>
      <c r="AH66" s="446">
        <f t="shared" si="55"/>
        <v>0</v>
      </c>
      <c r="AI66" s="450" t="e">
        <f t="shared" si="44"/>
        <v>#DIV/0!</v>
      </c>
      <c r="AJ66" s="503"/>
      <c r="AK66" s="560"/>
      <c r="AL66" s="452"/>
      <c r="AM66" s="446">
        <f t="shared" si="56"/>
        <v>0</v>
      </c>
      <c r="AN66" s="450" t="e">
        <f t="shared" si="45"/>
        <v>#DIV/0!</v>
      </c>
      <c r="AO66" s="503"/>
      <c r="AP66" s="560"/>
      <c r="AQ66" s="452"/>
      <c r="AR66" s="446">
        <f t="shared" si="57"/>
        <v>0</v>
      </c>
      <c r="AS66" s="450" t="e">
        <f t="shared" si="46"/>
        <v>#DIV/0!</v>
      </c>
      <c r="AT66" s="503"/>
      <c r="AU66" s="39">
        <f t="shared" si="58"/>
        <v>0</v>
      </c>
      <c r="AV66" s="39">
        <f t="shared" si="58"/>
        <v>0</v>
      </c>
      <c r="AW66" s="106">
        <f t="shared" si="59"/>
        <v>0</v>
      </c>
      <c r="AX66" s="178" t="e">
        <f t="shared" si="41"/>
        <v>#DIV/0!</v>
      </c>
      <c r="AY66" s="79"/>
    </row>
    <row r="67" spans="1:51" s="2" customFormat="1" ht="13.8" x14ac:dyDescent="0.25">
      <c r="A67" s="237"/>
      <c r="B67" s="615" t="s">
        <v>3</v>
      </c>
      <c r="C67" s="129"/>
      <c r="D67" s="128"/>
      <c r="E67" s="120">
        <f t="shared" si="47"/>
        <v>0</v>
      </c>
      <c r="F67" s="178" t="e">
        <f t="shared" si="60"/>
        <v>#DIV/0!</v>
      </c>
      <c r="G67" s="39"/>
      <c r="H67" s="39"/>
      <c r="I67" s="106">
        <f t="shared" si="48"/>
        <v>0</v>
      </c>
      <c r="J67" s="178" t="e">
        <f t="shared" si="3"/>
        <v>#DIV/0!</v>
      </c>
      <c r="K67" s="79"/>
      <c r="L67" s="39"/>
      <c r="M67" s="39"/>
      <c r="N67" s="106">
        <f t="shared" si="49"/>
        <v>0</v>
      </c>
      <c r="O67" s="178">
        <f t="shared" si="42"/>
        <v>0</v>
      </c>
      <c r="P67" s="860"/>
      <c r="Q67" s="39"/>
      <c r="R67" s="39"/>
      <c r="S67" s="106">
        <f t="shared" si="50"/>
        <v>0</v>
      </c>
      <c r="T67" s="178" t="e">
        <f t="shared" si="51"/>
        <v>#DIV/0!</v>
      </c>
      <c r="U67" s="259"/>
      <c r="V67" s="39"/>
      <c r="W67" s="39"/>
      <c r="X67" s="106">
        <f t="shared" si="52"/>
        <v>0</v>
      </c>
      <c r="Y67" s="178" t="e">
        <f t="shared" si="53"/>
        <v>#DIV/0!</v>
      </c>
      <c r="Z67" s="259"/>
      <c r="AA67" s="39"/>
      <c r="AB67" s="39"/>
      <c r="AC67" s="106">
        <f t="shared" si="54"/>
        <v>0</v>
      </c>
      <c r="AD67" s="178" t="e">
        <f t="shared" si="43"/>
        <v>#DIV/0!</v>
      </c>
      <c r="AE67" s="731"/>
      <c r="AF67" s="560"/>
      <c r="AG67" s="452"/>
      <c r="AH67" s="446">
        <f t="shared" si="55"/>
        <v>0</v>
      </c>
      <c r="AI67" s="450" t="e">
        <f t="shared" si="44"/>
        <v>#DIV/0!</v>
      </c>
      <c r="AJ67" s="503"/>
      <c r="AK67" s="560"/>
      <c r="AL67" s="452"/>
      <c r="AM67" s="446">
        <f t="shared" si="56"/>
        <v>0</v>
      </c>
      <c r="AN67" s="450" t="e">
        <f t="shared" si="45"/>
        <v>#DIV/0!</v>
      </c>
      <c r="AO67" s="503"/>
      <c r="AP67" s="560"/>
      <c r="AQ67" s="452"/>
      <c r="AR67" s="446">
        <f t="shared" si="57"/>
        <v>0</v>
      </c>
      <c r="AS67" s="450" t="e">
        <f t="shared" si="46"/>
        <v>#DIV/0!</v>
      </c>
      <c r="AT67" s="503"/>
      <c r="AU67" s="39">
        <f t="shared" si="58"/>
        <v>0</v>
      </c>
      <c r="AV67" s="39">
        <f t="shared" si="58"/>
        <v>0</v>
      </c>
      <c r="AW67" s="106">
        <f t="shared" si="59"/>
        <v>0</v>
      </c>
      <c r="AX67" s="178" t="e">
        <f t="shared" si="41"/>
        <v>#DIV/0!</v>
      </c>
      <c r="AY67" s="79"/>
    </row>
    <row r="68" spans="1:51" s="2" customFormat="1" ht="13.8" x14ac:dyDescent="0.25">
      <c r="A68" s="237"/>
      <c r="B68" s="615" t="s">
        <v>5</v>
      </c>
      <c r="C68" s="129"/>
      <c r="D68" s="128"/>
      <c r="E68" s="120">
        <f t="shared" si="47"/>
        <v>0</v>
      </c>
      <c r="F68" s="178" t="e">
        <f t="shared" si="60"/>
        <v>#DIV/0!</v>
      </c>
      <c r="G68" s="39"/>
      <c r="H68" s="39"/>
      <c r="I68" s="106">
        <f t="shared" si="48"/>
        <v>0</v>
      </c>
      <c r="J68" s="178" t="e">
        <f t="shared" si="3"/>
        <v>#DIV/0!</v>
      </c>
      <c r="K68" s="79"/>
      <c r="L68" s="39"/>
      <c r="M68" s="39"/>
      <c r="N68" s="106">
        <f t="shared" si="49"/>
        <v>0</v>
      </c>
      <c r="O68" s="178">
        <f t="shared" si="42"/>
        <v>0</v>
      </c>
      <c r="P68" s="259"/>
      <c r="Q68" s="39"/>
      <c r="R68" s="39"/>
      <c r="S68" s="106">
        <f t="shared" si="50"/>
        <v>0</v>
      </c>
      <c r="T68" s="178" t="e">
        <f t="shared" si="51"/>
        <v>#DIV/0!</v>
      </c>
      <c r="U68" s="259"/>
      <c r="V68" s="39"/>
      <c r="W68" s="39"/>
      <c r="X68" s="106">
        <f t="shared" si="52"/>
        <v>0</v>
      </c>
      <c r="Y68" s="178" t="e">
        <f t="shared" si="53"/>
        <v>#DIV/0!</v>
      </c>
      <c r="Z68" s="259"/>
      <c r="AA68" s="39"/>
      <c r="AB68" s="39"/>
      <c r="AC68" s="106">
        <f t="shared" si="54"/>
        <v>0</v>
      </c>
      <c r="AD68" s="178" t="e">
        <f t="shared" si="43"/>
        <v>#DIV/0!</v>
      </c>
      <c r="AE68" s="731"/>
      <c r="AF68" s="560"/>
      <c r="AG68" s="452"/>
      <c r="AH68" s="446">
        <f t="shared" si="55"/>
        <v>0</v>
      </c>
      <c r="AI68" s="450" t="e">
        <f t="shared" si="44"/>
        <v>#DIV/0!</v>
      </c>
      <c r="AJ68" s="503"/>
      <c r="AK68" s="560"/>
      <c r="AL68" s="452"/>
      <c r="AM68" s="446">
        <f t="shared" si="56"/>
        <v>0</v>
      </c>
      <c r="AN68" s="450" t="e">
        <f t="shared" si="45"/>
        <v>#DIV/0!</v>
      </c>
      <c r="AO68" s="503"/>
      <c r="AP68" s="560"/>
      <c r="AQ68" s="452"/>
      <c r="AR68" s="446">
        <f t="shared" si="57"/>
        <v>0</v>
      </c>
      <c r="AS68" s="450" t="e">
        <f t="shared" si="46"/>
        <v>#DIV/0!</v>
      </c>
      <c r="AT68" s="503"/>
      <c r="AU68" s="39">
        <f t="shared" si="58"/>
        <v>0</v>
      </c>
      <c r="AV68" s="39">
        <f t="shared" si="58"/>
        <v>0</v>
      </c>
      <c r="AW68" s="106">
        <f t="shared" si="59"/>
        <v>0</v>
      </c>
      <c r="AX68" s="178" t="e">
        <f t="shared" si="41"/>
        <v>#DIV/0!</v>
      </c>
      <c r="AY68" s="79"/>
    </row>
    <row r="69" spans="1:51" s="2" customFormat="1" ht="13.8" x14ac:dyDescent="0.25">
      <c r="A69" s="237"/>
      <c r="B69" s="615" t="s">
        <v>42</v>
      </c>
      <c r="C69" s="129"/>
      <c r="D69" s="128"/>
      <c r="E69" s="120">
        <f t="shared" si="47"/>
        <v>0</v>
      </c>
      <c r="F69" s="178" t="e">
        <f t="shared" si="60"/>
        <v>#DIV/0!</v>
      </c>
      <c r="G69" s="39"/>
      <c r="H69" s="39"/>
      <c r="I69" s="106">
        <f t="shared" si="48"/>
        <v>0</v>
      </c>
      <c r="J69" s="178" t="e">
        <f t="shared" si="3"/>
        <v>#DIV/0!</v>
      </c>
      <c r="K69" s="79"/>
      <c r="L69" s="39"/>
      <c r="M69" s="39"/>
      <c r="N69" s="106">
        <f t="shared" si="49"/>
        <v>0</v>
      </c>
      <c r="O69" s="178">
        <f t="shared" si="42"/>
        <v>0</v>
      </c>
      <c r="P69" s="415"/>
      <c r="Q69" s="39"/>
      <c r="R69" s="39"/>
      <c r="S69" s="106">
        <f t="shared" si="50"/>
        <v>0</v>
      </c>
      <c r="T69" s="178" t="e">
        <f t="shared" si="51"/>
        <v>#DIV/0!</v>
      </c>
      <c r="U69" s="415"/>
      <c r="V69" s="39"/>
      <c r="W69" s="39"/>
      <c r="X69" s="106">
        <f t="shared" si="52"/>
        <v>0</v>
      </c>
      <c r="Y69" s="178" t="e">
        <f t="shared" si="53"/>
        <v>#DIV/0!</v>
      </c>
      <c r="Z69" s="415"/>
      <c r="AA69" s="39"/>
      <c r="AB69" s="39"/>
      <c r="AC69" s="106">
        <f t="shared" si="54"/>
        <v>0</v>
      </c>
      <c r="AD69" s="178" t="e">
        <f t="shared" si="43"/>
        <v>#DIV/0!</v>
      </c>
      <c r="AE69" s="736"/>
      <c r="AF69" s="560"/>
      <c r="AG69" s="452"/>
      <c r="AH69" s="446">
        <f t="shared" si="55"/>
        <v>0</v>
      </c>
      <c r="AI69" s="450" t="e">
        <f t="shared" si="44"/>
        <v>#DIV/0!</v>
      </c>
      <c r="AJ69" s="518"/>
      <c r="AK69" s="560"/>
      <c r="AL69" s="452"/>
      <c r="AM69" s="446">
        <f t="shared" si="56"/>
        <v>0</v>
      </c>
      <c r="AN69" s="450" t="e">
        <f t="shared" si="45"/>
        <v>#DIV/0!</v>
      </c>
      <c r="AO69" s="518"/>
      <c r="AP69" s="560"/>
      <c r="AQ69" s="452"/>
      <c r="AR69" s="446">
        <f t="shared" si="57"/>
        <v>0</v>
      </c>
      <c r="AS69" s="450" t="e">
        <f t="shared" si="46"/>
        <v>#DIV/0!</v>
      </c>
      <c r="AT69" s="518"/>
      <c r="AU69" s="39">
        <f t="shared" si="58"/>
        <v>0</v>
      </c>
      <c r="AV69" s="39">
        <f t="shared" si="58"/>
        <v>0</v>
      </c>
      <c r="AW69" s="106">
        <f t="shared" si="59"/>
        <v>0</v>
      </c>
      <c r="AX69" s="178" t="e">
        <f t="shared" si="41"/>
        <v>#DIV/0!</v>
      </c>
      <c r="AY69" s="79"/>
    </row>
    <row r="70" spans="1:51" s="2" customFormat="1" ht="13.8" x14ac:dyDescent="0.25">
      <c r="A70" s="237"/>
      <c r="B70" s="615" t="s">
        <v>6</v>
      </c>
      <c r="C70" s="129"/>
      <c r="D70" s="128"/>
      <c r="E70" s="120">
        <f t="shared" si="47"/>
        <v>0</v>
      </c>
      <c r="F70" s="178" t="e">
        <f t="shared" si="60"/>
        <v>#DIV/0!</v>
      </c>
      <c r="G70" s="39"/>
      <c r="H70" s="39"/>
      <c r="I70" s="106">
        <f t="shared" si="48"/>
        <v>0</v>
      </c>
      <c r="J70" s="178" t="e">
        <f t="shared" si="3"/>
        <v>#DIV/0!</v>
      </c>
      <c r="K70" s="79"/>
      <c r="L70" s="39"/>
      <c r="M70" s="39"/>
      <c r="N70" s="106">
        <f t="shared" si="49"/>
        <v>0</v>
      </c>
      <c r="O70" s="178">
        <f t="shared" si="42"/>
        <v>0</v>
      </c>
      <c r="P70" s="259"/>
      <c r="Q70" s="39"/>
      <c r="R70" s="39"/>
      <c r="S70" s="106">
        <f t="shared" si="50"/>
        <v>0</v>
      </c>
      <c r="T70" s="178" t="e">
        <f t="shared" si="51"/>
        <v>#DIV/0!</v>
      </c>
      <c r="U70" s="259"/>
      <c r="V70" s="39"/>
      <c r="W70" s="39"/>
      <c r="X70" s="106">
        <f t="shared" si="52"/>
        <v>0</v>
      </c>
      <c r="Y70" s="178" t="e">
        <f t="shared" si="53"/>
        <v>#DIV/0!</v>
      </c>
      <c r="Z70" s="259"/>
      <c r="AA70" s="39"/>
      <c r="AB70" s="39"/>
      <c r="AC70" s="106">
        <f t="shared" si="54"/>
        <v>0</v>
      </c>
      <c r="AD70" s="178" t="e">
        <f t="shared" si="43"/>
        <v>#DIV/0!</v>
      </c>
      <c r="AE70" s="731"/>
      <c r="AF70" s="560"/>
      <c r="AG70" s="452"/>
      <c r="AH70" s="446">
        <f t="shared" si="55"/>
        <v>0</v>
      </c>
      <c r="AI70" s="450" t="e">
        <f t="shared" si="44"/>
        <v>#DIV/0!</v>
      </c>
      <c r="AJ70" s="503"/>
      <c r="AK70" s="560"/>
      <c r="AL70" s="452"/>
      <c r="AM70" s="446">
        <f t="shared" si="56"/>
        <v>0</v>
      </c>
      <c r="AN70" s="450" t="e">
        <f t="shared" si="45"/>
        <v>#DIV/0!</v>
      </c>
      <c r="AO70" s="503"/>
      <c r="AP70" s="560"/>
      <c r="AQ70" s="452"/>
      <c r="AR70" s="446">
        <f t="shared" si="57"/>
        <v>0</v>
      </c>
      <c r="AS70" s="450" t="e">
        <f t="shared" si="46"/>
        <v>#DIV/0!</v>
      </c>
      <c r="AT70" s="503"/>
      <c r="AU70" s="39">
        <f t="shared" si="58"/>
        <v>0</v>
      </c>
      <c r="AV70" s="39">
        <f t="shared" si="58"/>
        <v>0</v>
      </c>
      <c r="AW70" s="106">
        <f t="shared" si="59"/>
        <v>0</v>
      </c>
      <c r="AX70" s="178" t="e">
        <f t="shared" si="41"/>
        <v>#DIV/0!</v>
      </c>
      <c r="AY70" s="79"/>
    </row>
    <row r="71" spans="1:51" s="2" customFormat="1" ht="13.8" x14ac:dyDescent="0.25">
      <c r="A71" s="237"/>
      <c r="B71" s="615" t="s">
        <v>78</v>
      </c>
      <c r="C71" s="129"/>
      <c r="D71" s="128"/>
      <c r="E71" s="120">
        <f t="shared" si="47"/>
        <v>0</v>
      </c>
      <c r="F71" s="184" t="e">
        <f t="shared" si="60"/>
        <v>#DIV/0!</v>
      </c>
      <c r="G71" s="39"/>
      <c r="H71" s="39"/>
      <c r="I71" s="106">
        <f t="shared" si="48"/>
        <v>0</v>
      </c>
      <c r="J71" s="178" t="e">
        <f t="shared" si="3"/>
        <v>#DIV/0!</v>
      </c>
      <c r="K71" s="79"/>
      <c r="L71" s="39"/>
      <c r="M71" s="39"/>
      <c r="N71" s="106">
        <f t="shared" si="49"/>
        <v>0</v>
      </c>
      <c r="O71" s="178">
        <f t="shared" si="42"/>
        <v>0</v>
      </c>
      <c r="P71" s="259"/>
      <c r="Q71" s="39"/>
      <c r="R71" s="39"/>
      <c r="S71" s="106">
        <f t="shared" si="50"/>
        <v>0</v>
      </c>
      <c r="T71" s="178" t="e">
        <f t="shared" si="51"/>
        <v>#DIV/0!</v>
      </c>
      <c r="U71" s="259"/>
      <c r="V71" s="39"/>
      <c r="W71" s="39"/>
      <c r="X71" s="106">
        <f t="shared" si="52"/>
        <v>0</v>
      </c>
      <c r="Y71" s="178" t="e">
        <f t="shared" si="53"/>
        <v>#DIV/0!</v>
      </c>
      <c r="Z71" s="259"/>
      <c r="AA71" s="39"/>
      <c r="AB71" s="39"/>
      <c r="AC71" s="106">
        <f t="shared" si="54"/>
        <v>0</v>
      </c>
      <c r="AD71" s="178" t="e">
        <f t="shared" si="43"/>
        <v>#DIV/0!</v>
      </c>
      <c r="AE71" s="731"/>
      <c r="AF71" s="560"/>
      <c r="AG71" s="452"/>
      <c r="AH71" s="446">
        <f t="shared" si="55"/>
        <v>0</v>
      </c>
      <c r="AI71" s="450" t="e">
        <f t="shared" si="44"/>
        <v>#DIV/0!</v>
      </c>
      <c r="AJ71" s="503"/>
      <c r="AK71" s="560"/>
      <c r="AL71" s="452"/>
      <c r="AM71" s="446">
        <f t="shared" si="56"/>
        <v>0</v>
      </c>
      <c r="AN71" s="450" t="e">
        <f t="shared" si="45"/>
        <v>#DIV/0!</v>
      </c>
      <c r="AO71" s="503"/>
      <c r="AP71" s="560"/>
      <c r="AQ71" s="452"/>
      <c r="AR71" s="446">
        <f t="shared" si="57"/>
        <v>0</v>
      </c>
      <c r="AS71" s="450" t="e">
        <f t="shared" si="46"/>
        <v>#DIV/0!</v>
      </c>
      <c r="AT71" s="503"/>
      <c r="AU71" s="39">
        <f t="shared" si="58"/>
        <v>0</v>
      </c>
      <c r="AV71" s="39">
        <f t="shared" si="58"/>
        <v>0</v>
      </c>
      <c r="AW71" s="106">
        <f t="shared" si="59"/>
        <v>0</v>
      </c>
      <c r="AX71" s="178" t="e">
        <f t="shared" si="41"/>
        <v>#DIV/0!</v>
      </c>
      <c r="AY71" s="79"/>
    </row>
    <row r="72" spans="1:51" s="2" customFormat="1" ht="14.4" thickBot="1" x14ac:dyDescent="0.3">
      <c r="A72" s="237"/>
      <c r="B72" s="19"/>
      <c r="C72" s="130"/>
      <c r="D72" s="131"/>
      <c r="E72" s="159"/>
      <c r="F72" s="184" t="e">
        <f t="shared" si="60"/>
        <v>#DIV/0!</v>
      </c>
      <c r="G72" s="39"/>
      <c r="H72" s="39"/>
      <c r="I72" s="106"/>
      <c r="J72" s="178" t="e">
        <f t="shared" si="3"/>
        <v>#DIV/0!</v>
      </c>
      <c r="K72" s="79"/>
      <c r="L72" s="39"/>
      <c r="M72" s="39"/>
      <c r="N72" s="106"/>
      <c r="O72" s="178">
        <f t="shared" si="42"/>
        <v>0</v>
      </c>
      <c r="P72" s="259"/>
      <c r="Q72" s="39"/>
      <c r="R72" s="39"/>
      <c r="S72" s="106"/>
      <c r="T72" s="178" t="e">
        <f t="shared" si="51"/>
        <v>#DIV/0!</v>
      </c>
      <c r="U72" s="259"/>
      <c r="V72" s="39"/>
      <c r="W72" s="39"/>
      <c r="X72" s="106"/>
      <c r="Y72" s="178" t="e">
        <f t="shared" si="53"/>
        <v>#DIV/0!</v>
      </c>
      <c r="Z72" s="259"/>
      <c r="AA72" s="39"/>
      <c r="AB72" s="39"/>
      <c r="AC72" s="106"/>
      <c r="AD72" s="178"/>
      <c r="AE72" s="731"/>
      <c r="AF72" s="560"/>
      <c r="AG72" s="452"/>
      <c r="AH72" s="446"/>
      <c r="AI72" s="450"/>
      <c r="AJ72" s="503"/>
      <c r="AK72" s="560"/>
      <c r="AL72" s="452"/>
      <c r="AM72" s="446"/>
      <c r="AN72" s="450"/>
      <c r="AO72" s="503"/>
      <c r="AP72" s="560"/>
      <c r="AQ72" s="452"/>
      <c r="AR72" s="446"/>
      <c r="AS72" s="450"/>
      <c r="AT72" s="503"/>
      <c r="AU72" s="39"/>
      <c r="AV72" s="39"/>
      <c r="AW72" s="106"/>
      <c r="AX72" s="178" t="e">
        <f t="shared" si="41"/>
        <v>#DIV/0!</v>
      </c>
      <c r="AY72" s="79"/>
    </row>
    <row r="73" spans="1:51" s="2" customFormat="1" ht="14.4" thickBot="1" x14ac:dyDescent="0.3">
      <c r="A73" s="237"/>
      <c r="B73" s="13" t="s">
        <v>4</v>
      </c>
      <c r="C73" s="132">
        <f>C74</f>
        <v>0</v>
      </c>
      <c r="D73" s="133">
        <f>D74</f>
        <v>0</v>
      </c>
      <c r="E73" s="132">
        <f>E74</f>
        <v>0</v>
      </c>
      <c r="F73" s="171" t="e">
        <f>E73/$E$89</f>
        <v>#DIV/0!</v>
      </c>
      <c r="G73" s="139">
        <f>G74</f>
        <v>0</v>
      </c>
      <c r="H73" s="63">
        <f>H74</f>
        <v>0</v>
      </c>
      <c r="I73" s="60">
        <f>I74</f>
        <v>0</v>
      </c>
      <c r="J73" s="63"/>
      <c r="K73" s="63"/>
      <c r="L73" s="139">
        <f>L74</f>
        <v>0</v>
      </c>
      <c r="M73" s="63">
        <f>M74</f>
        <v>0</v>
      </c>
      <c r="N73" s="60">
        <f>N74</f>
        <v>0</v>
      </c>
      <c r="O73" s="63"/>
      <c r="P73" s="410"/>
      <c r="Q73" s="139">
        <f>Q74</f>
        <v>0</v>
      </c>
      <c r="R73" s="63">
        <f>R74</f>
        <v>0</v>
      </c>
      <c r="S73" s="60">
        <f>S74</f>
        <v>0</v>
      </c>
      <c r="T73" s="63"/>
      <c r="U73" s="410"/>
      <c r="V73" s="139">
        <f>V74</f>
        <v>0</v>
      </c>
      <c r="W73" s="63">
        <f>W74</f>
        <v>0</v>
      </c>
      <c r="X73" s="60">
        <f>X74</f>
        <v>0</v>
      </c>
      <c r="Y73" s="63"/>
      <c r="Z73" s="410"/>
      <c r="AA73" s="139">
        <f>AA74</f>
        <v>0</v>
      </c>
      <c r="AB73" s="63">
        <f>AB74</f>
        <v>0</v>
      </c>
      <c r="AC73" s="60">
        <f>AC74</f>
        <v>0</v>
      </c>
      <c r="AD73" s="63"/>
      <c r="AE73" s="737"/>
      <c r="AF73" s="587">
        <f>AF74</f>
        <v>0</v>
      </c>
      <c r="AG73" s="586">
        <f>AG74</f>
        <v>0</v>
      </c>
      <c r="AH73" s="581">
        <f>AH74</f>
        <v>0</v>
      </c>
      <c r="AI73" s="586"/>
      <c r="AJ73" s="746"/>
      <c r="AK73" s="587">
        <f>AK74</f>
        <v>0</v>
      </c>
      <c r="AL73" s="586">
        <f>AL74</f>
        <v>0</v>
      </c>
      <c r="AM73" s="581">
        <f>AM74</f>
        <v>0</v>
      </c>
      <c r="AN73" s="586"/>
      <c r="AO73" s="746"/>
      <c r="AP73" s="587">
        <f>AP74</f>
        <v>0</v>
      </c>
      <c r="AQ73" s="586">
        <f>AQ74</f>
        <v>0</v>
      </c>
      <c r="AR73" s="581">
        <f>AR74</f>
        <v>0</v>
      </c>
      <c r="AS73" s="586"/>
      <c r="AT73" s="746"/>
      <c r="AU73" s="139">
        <f>AU74</f>
        <v>0</v>
      </c>
      <c r="AV73" s="63">
        <f>AV74</f>
        <v>0</v>
      </c>
      <c r="AW73" s="60">
        <f>AW74</f>
        <v>0</v>
      </c>
      <c r="AX73" s="63"/>
      <c r="AY73" s="63"/>
    </row>
    <row r="74" spans="1:51" s="2" customFormat="1" ht="14.4" thickBot="1" x14ac:dyDescent="0.3">
      <c r="A74" s="20"/>
      <c r="B74" s="225" t="s">
        <v>64</v>
      </c>
      <c r="C74" s="129">
        <f>C6*3%</f>
        <v>0</v>
      </c>
      <c r="D74" s="135"/>
      <c r="E74" s="136">
        <f>C74+D74</f>
        <v>0</v>
      </c>
      <c r="F74" s="185"/>
      <c r="G74" s="39"/>
      <c r="H74" s="39"/>
      <c r="I74" s="64"/>
      <c r="J74" s="64"/>
      <c r="K74" s="64"/>
      <c r="L74" s="39"/>
      <c r="M74" s="39"/>
      <c r="N74" s="527">
        <f>L74+M74*1</f>
        <v>0</v>
      </c>
      <c r="O74" s="64"/>
      <c r="P74" s="64"/>
      <c r="Q74" s="39"/>
      <c r="R74" s="39"/>
      <c r="S74" s="527">
        <f>Q74+R74*1</f>
        <v>0</v>
      </c>
      <c r="T74" s="64"/>
      <c r="U74" s="64"/>
      <c r="V74" s="39"/>
      <c r="W74" s="39"/>
      <c r="X74" s="527">
        <f>V74+W74*1</f>
        <v>0</v>
      </c>
      <c r="Y74" s="64"/>
      <c r="Z74" s="64"/>
      <c r="AA74" s="39"/>
      <c r="AB74" s="39"/>
      <c r="AC74" s="527">
        <f>AA74+AB74*1</f>
        <v>0</v>
      </c>
      <c r="AD74" s="64"/>
      <c r="AE74" s="603"/>
      <c r="AF74" s="560"/>
      <c r="AG74" s="452"/>
      <c r="AH74" s="747">
        <f>AF74+AG74*1</f>
        <v>0</v>
      </c>
      <c r="AI74" s="588"/>
      <c r="AJ74" s="588"/>
      <c r="AK74" s="560"/>
      <c r="AL74" s="452"/>
      <c r="AM74" s="747">
        <f>AK74+AL74*1</f>
        <v>0</v>
      </c>
      <c r="AN74" s="588"/>
      <c r="AO74" s="588"/>
      <c r="AP74" s="560"/>
      <c r="AQ74" s="452"/>
      <c r="AR74" s="747">
        <f>AP74+AQ74*1</f>
        <v>0</v>
      </c>
      <c r="AS74" s="588"/>
      <c r="AT74" s="588"/>
      <c r="AU74" s="39">
        <f>G74+L74+Q74+V74+AA74+AF74+AK74</f>
        <v>0</v>
      </c>
      <c r="AV74" s="39">
        <f>H74+M74+R74+W74+AB74+AG74+AL74</f>
        <v>0</v>
      </c>
      <c r="AW74" s="527">
        <f>AU74+AV74*1</f>
        <v>0</v>
      </c>
      <c r="AX74" s="64"/>
      <c r="AY74" s="64"/>
    </row>
    <row r="75" spans="1:51" s="2" customFormat="1" ht="14.4" thickBot="1" x14ac:dyDescent="0.3">
      <c r="A75" s="5"/>
      <c r="B75" s="23" t="s">
        <v>48</v>
      </c>
      <c r="C75" s="137">
        <f>C38-C41-C50-C54</f>
        <v>0</v>
      </c>
      <c r="D75" s="137">
        <f>D38-D41-D50-D54</f>
        <v>0</v>
      </c>
      <c r="E75" s="138">
        <f>E38-E41-E50-E54</f>
        <v>0</v>
      </c>
      <c r="F75" s="172"/>
      <c r="G75" s="65">
        <f>G38-G41-G50-G54</f>
        <v>0</v>
      </c>
      <c r="H75" s="65">
        <f>H38-H41-H50-H54</f>
        <v>0</v>
      </c>
      <c r="I75" s="138">
        <f>I38-I41-I50-I54</f>
        <v>0</v>
      </c>
      <c r="J75" s="66"/>
      <c r="K75" s="66"/>
      <c r="L75" s="65">
        <f>L38-L41-L50-L54</f>
        <v>370000</v>
      </c>
      <c r="M75" s="65">
        <f>M38-M41-M50-M54</f>
        <v>-49400</v>
      </c>
      <c r="N75" s="138">
        <f>N38-N41-N50-N54</f>
        <v>320600</v>
      </c>
      <c r="O75" s="66"/>
      <c r="P75" s="411"/>
      <c r="Q75" s="65">
        <f>Q38-Q41-Q50-Q54</f>
        <v>0</v>
      </c>
      <c r="R75" s="65">
        <f>R38-R41-R50-R54</f>
        <v>0</v>
      </c>
      <c r="S75" s="138">
        <f>S38-S41-S50-S54</f>
        <v>0</v>
      </c>
      <c r="T75" s="66"/>
      <c r="U75" s="411"/>
      <c r="V75" s="65">
        <f>V38-V41-V50-V54</f>
        <v>0</v>
      </c>
      <c r="W75" s="65">
        <f>W38-W41-W50-W54</f>
        <v>0</v>
      </c>
      <c r="X75" s="138">
        <f>X38-X41-X50-X54</f>
        <v>0</v>
      </c>
      <c r="Y75" s="66"/>
      <c r="Z75" s="411"/>
      <c r="AA75" s="65">
        <f>AA38-AA41-AA50-AA54</f>
        <v>0</v>
      </c>
      <c r="AB75" s="65">
        <f>AB38-AB41-AB50-AB54</f>
        <v>0</v>
      </c>
      <c r="AC75" s="138">
        <f>AC38-AC41-AC50-AC54</f>
        <v>0</v>
      </c>
      <c r="AD75" s="66"/>
      <c r="AE75" s="738"/>
      <c r="AF75" s="646">
        <f>AF38-AF41-AF50-AF54</f>
        <v>0</v>
      </c>
      <c r="AG75" s="646">
        <f>AG38-AG41-AG50-AG54</f>
        <v>0</v>
      </c>
      <c r="AH75" s="670">
        <f>AH38-AH41-AH50-AH54</f>
        <v>0</v>
      </c>
      <c r="AI75" s="671"/>
      <c r="AJ75" s="748"/>
      <c r="AK75" s="646">
        <f>AK38-AK41-AK50-AK54</f>
        <v>0</v>
      </c>
      <c r="AL75" s="646">
        <f>AL38-AL41-AL50-AL54</f>
        <v>0</v>
      </c>
      <c r="AM75" s="670">
        <f>AM38-AM41-AM50-AM54</f>
        <v>0</v>
      </c>
      <c r="AN75" s="671"/>
      <c r="AO75" s="748"/>
      <c r="AP75" s="646">
        <f>AP38-AP41-AP50-AP54</f>
        <v>-120000</v>
      </c>
      <c r="AQ75" s="646">
        <f>AQ38-AQ41-AQ50-AQ54</f>
        <v>0</v>
      </c>
      <c r="AR75" s="670">
        <f>AR38-AR41-AR50-AR54</f>
        <v>-120000</v>
      </c>
      <c r="AS75" s="671"/>
      <c r="AT75" s="748"/>
      <c r="AU75" s="65">
        <f>AU38-AU41-AU50-AU54</f>
        <v>250000</v>
      </c>
      <c r="AV75" s="65">
        <f>AV38-AV41-AV50-AV54</f>
        <v>-49400</v>
      </c>
      <c r="AW75" s="138">
        <f>AW38-AW41-AW50-AW54</f>
        <v>200600</v>
      </c>
      <c r="AX75" s="66"/>
      <c r="AY75" s="66"/>
    </row>
    <row r="76" spans="1:51" s="2" customFormat="1" ht="13.8" x14ac:dyDescent="0.25">
      <c r="A76" s="294"/>
      <c r="B76" s="36" t="s">
        <v>49</v>
      </c>
      <c r="C76" s="157" t="e">
        <f>C75/C5</f>
        <v>#DIV/0!</v>
      </c>
      <c r="D76" s="157" t="e">
        <f>D75/D5</f>
        <v>#DIV/0!</v>
      </c>
      <c r="E76" s="158" t="e">
        <f>E75/E5</f>
        <v>#DIV/0!</v>
      </c>
      <c r="F76" s="167"/>
      <c r="G76" s="54" t="e">
        <f>G75/G5</f>
        <v>#DIV/0!</v>
      </c>
      <c r="H76" s="54" t="e">
        <f>H75/H5</f>
        <v>#DIV/0!</v>
      </c>
      <c r="I76" s="55" t="e">
        <f>I75/I5</f>
        <v>#DIV/0!</v>
      </c>
      <c r="J76" s="55"/>
      <c r="K76" s="55"/>
      <c r="L76" s="54">
        <f>L75/L5</f>
        <v>1</v>
      </c>
      <c r="M76" s="54" t="e">
        <f>M75/M5</f>
        <v>#DIV/0!</v>
      </c>
      <c r="N76" s="55">
        <f>N75/N5</f>
        <v>0.86648648648648652</v>
      </c>
      <c r="O76" s="55"/>
      <c r="P76" s="407"/>
      <c r="Q76" s="54" t="e">
        <f>Q75/Q5</f>
        <v>#DIV/0!</v>
      </c>
      <c r="R76" s="54" t="e">
        <f>R75/R5</f>
        <v>#DIV/0!</v>
      </c>
      <c r="S76" s="55" t="e">
        <f>S75/S5</f>
        <v>#DIV/0!</v>
      </c>
      <c r="T76" s="55"/>
      <c r="U76" s="407"/>
      <c r="V76" s="54" t="e">
        <f>V75/V5</f>
        <v>#DIV/0!</v>
      </c>
      <c r="W76" s="54" t="e">
        <f>W75/W5</f>
        <v>#DIV/0!</v>
      </c>
      <c r="X76" s="55" t="e">
        <f>X75/X5</f>
        <v>#DIV/0!</v>
      </c>
      <c r="Y76" s="55"/>
      <c r="Z76" s="407"/>
      <c r="AA76" s="54" t="e">
        <f>AA75/AA5</f>
        <v>#DIV/0!</v>
      </c>
      <c r="AB76" s="54" t="e">
        <f>AB75/AB5</f>
        <v>#DIV/0!</v>
      </c>
      <c r="AC76" s="55" t="e">
        <f>AC75/AC5</f>
        <v>#DIV/0!</v>
      </c>
      <c r="AD76" s="55"/>
      <c r="AE76" s="716"/>
      <c r="AF76" s="639" t="e">
        <f>AF75/AF5</f>
        <v>#DIV/0!</v>
      </c>
      <c r="AG76" s="639" t="e">
        <f>AG75/AG5</f>
        <v>#DIV/0!</v>
      </c>
      <c r="AH76" s="660" t="e">
        <f>AH75/AH5</f>
        <v>#DIV/0!</v>
      </c>
      <c r="AI76" s="660"/>
      <c r="AJ76" s="661"/>
      <c r="AK76" s="639" t="e">
        <f>AK75/AK5</f>
        <v>#DIV/0!</v>
      </c>
      <c r="AL76" s="639" t="e">
        <f>AL75/AL5</f>
        <v>#DIV/0!</v>
      </c>
      <c r="AM76" s="660" t="e">
        <f>AM75/AM5</f>
        <v>#DIV/0!</v>
      </c>
      <c r="AN76" s="660"/>
      <c r="AO76" s="661"/>
      <c r="AP76" s="639" t="e">
        <f>AP75/AP5</f>
        <v>#DIV/0!</v>
      </c>
      <c r="AQ76" s="639" t="e">
        <f>AQ75/AQ5</f>
        <v>#DIV/0!</v>
      </c>
      <c r="AR76" s="660" t="e">
        <f>AR75/AR5</f>
        <v>#DIV/0!</v>
      </c>
      <c r="AS76" s="660"/>
      <c r="AT76" s="661"/>
      <c r="AU76" s="54">
        <f>AU75/AU5</f>
        <v>0.67567567567567566</v>
      </c>
      <c r="AV76" s="54" t="e">
        <f>AV75/AV5</f>
        <v>#DIV/0!</v>
      </c>
      <c r="AW76" s="55">
        <f>AW75/AW5</f>
        <v>0.54216216216216218</v>
      </c>
      <c r="AX76" s="55"/>
      <c r="AY76" s="55"/>
    </row>
    <row r="77" spans="1:51" s="2" customFormat="1" ht="14.4" thickBot="1" x14ac:dyDescent="0.3">
      <c r="A77" s="294"/>
      <c r="B77" s="27" t="s">
        <v>9</v>
      </c>
      <c r="C77" s="139">
        <f>C78-C79</f>
        <v>0</v>
      </c>
      <c r="D77" s="139">
        <f>D78-D79</f>
        <v>0</v>
      </c>
      <c r="E77" s="140">
        <f>E78-E79</f>
        <v>0</v>
      </c>
      <c r="F77" s="173"/>
      <c r="G77" s="139">
        <f>G78-G79</f>
        <v>0</v>
      </c>
      <c r="H77" s="139">
        <f>H78-H79</f>
        <v>0</v>
      </c>
      <c r="I77" s="140">
        <f>I78-I79</f>
        <v>0</v>
      </c>
      <c r="J77" s="67"/>
      <c r="K77" s="67"/>
      <c r="L77" s="139">
        <f>L78-L79</f>
        <v>0</v>
      </c>
      <c r="M77" s="139">
        <f>M78-M79</f>
        <v>0</v>
      </c>
      <c r="N77" s="140">
        <f>N78-N79</f>
        <v>-6419.2089843583453</v>
      </c>
      <c r="O77" s="67"/>
      <c r="P77" s="414"/>
      <c r="Q77" s="139">
        <f>Q78-Q79</f>
        <v>0</v>
      </c>
      <c r="R77" s="139">
        <f>R78-R79</f>
        <v>0</v>
      </c>
      <c r="S77" s="140">
        <f>S78-S79</f>
        <v>0</v>
      </c>
      <c r="T77" s="67"/>
      <c r="U77" s="414"/>
      <c r="V77" s="139">
        <f>V78-V79</f>
        <v>0</v>
      </c>
      <c r="W77" s="139">
        <f>W78-W79</f>
        <v>0</v>
      </c>
      <c r="X77" s="140">
        <f>X78-X79</f>
        <v>0</v>
      </c>
      <c r="Y77" s="67"/>
      <c r="Z77" s="414"/>
      <c r="AA77" s="139">
        <f>AA78-AA79</f>
        <v>0</v>
      </c>
      <c r="AB77" s="139">
        <f>AB78-AB79</f>
        <v>0</v>
      </c>
      <c r="AC77" s="140">
        <f>AC78-AC79</f>
        <v>0</v>
      </c>
      <c r="AD77" s="67"/>
      <c r="AE77" s="739"/>
      <c r="AF77" s="587">
        <f>AF78-AF79</f>
        <v>0</v>
      </c>
      <c r="AG77" s="587">
        <f>AG78-AG79</f>
        <v>0</v>
      </c>
      <c r="AH77" s="674">
        <f>AH78-AH79</f>
        <v>0</v>
      </c>
      <c r="AI77" s="675"/>
      <c r="AJ77" s="749"/>
      <c r="AK77" s="587">
        <f>AK78-AK79</f>
        <v>0</v>
      </c>
      <c r="AL77" s="587">
        <f>AL78-AL79</f>
        <v>0</v>
      </c>
      <c r="AM77" s="674" t="e">
        <f>AM78-AM79</f>
        <v>#DIV/0!</v>
      </c>
      <c r="AN77" s="675"/>
      <c r="AO77" s="749"/>
      <c r="AP77" s="587">
        <f>AP78-AP79</f>
        <v>0</v>
      </c>
      <c r="AQ77" s="587">
        <f>AQ78-AQ79</f>
        <v>0</v>
      </c>
      <c r="AR77" s="674">
        <f>AR78-AR79</f>
        <v>0</v>
      </c>
      <c r="AS77" s="675"/>
      <c r="AT77" s="749"/>
      <c r="AU77" s="139">
        <f>AU78-AU79</f>
        <v>0</v>
      </c>
      <c r="AV77" s="139">
        <f>AV78-AV79</f>
        <v>0</v>
      </c>
      <c r="AW77" s="140" t="e">
        <f>AW78-AW79</f>
        <v>#DIV/0!</v>
      </c>
      <c r="AX77" s="67"/>
      <c r="AY77" s="67"/>
    </row>
    <row r="78" spans="1:51" s="2" customFormat="1" ht="13.8" x14ac:dyDescent="0.25">
      <c r="A78" s="11"/>
      <c r="B78" s="6" t="s">
        <v>43</v>
      </c>
      <c r="C78" s="141"/>
      <c r="D78" s="142"/>
      <c r="E78" s="119">
        <f>C78+D78*1.15</f>
        <v>0</v>
      </c>
      <c r="F78" s="186"/>
      <c r="G78" s="39"/>
      <c r="H78" s="39"/>
      <c r="I78" s="68">
        <f>G78+H78*1.15</f>
        <v>0</v>
      </c>
      <c r="J78" s="68"/>
      <c r="K78" s="68"/>
      <c r="L78" s="39"/>
      <c r="M78" s="39"/>
      <c r="N78" s="68">
        <f>L78+M78*1.15</f>
        <v>0</v>
      </c>
      <c r="O78" s="68"/>
      <c r="P78" s="48"/>
      <c r="Q78" s="39"/>
      <c r="R78" s="39"/>
      <c r="S78" s="68">
        <f>Q78+R78*1.15</f>
        <v>0</v>
      </c>
      <c r="T78" s="68"/>
      <c r="U78" s="48"/>
      <c r="V78" s="39"/>
      <c r="W78" s="39"/>
      <c r="X78" s="68">
        <f>V78+W78*1.15</f>
        <v>0</v>
      </c>
      <c r="Y78" s="68"/>
      <c r="Z78" s="48"/>
      <c r="AA78" s="39"/>
      <c r="AB78" s="39"/>
      <c r="AC78" s="68">
        <f>AA78+AB78*1.15</f>
        <v>0</v>
      </c>
      <c r="AD78" s="68"/>
      <c r="AE78" s="543"/>
      <c r="AF78" s="560"/>
      <c r="AG78" s="452"/>
      <c r="AH78" s="676">
        <f>AF78+AG78*1.15</f>
        <v>0</v>
      </c>
      <c r="AI78" s="676"/>
      <c r="AJ78" s="657"/>
      <c r="AK78" s="560"/>
      <c r="AL78" s="452"/>
      <c r="AM78" s="676">
        <f>AK78+AL78*1.15</f>
        <v>0</v>
      </c>
      <c r="AN78" s="676"/>
      <c r="AO78" s="657"/>
      <c r="AP78" s="560"/>
      <c r="AQ78" s="452"/>
      <c r="AR78" s="676">
        <f>AP78+AQ78*1.15</f>
        <v>0</v>
      </c>
      <c r="AS78" s="676"/>
      <c r="AT78" s="657"/>
      <c r="AU78" s="39">
        <f>G78+L78+Q78+V78+AA78+AF78+AK78+AP78</f>
        <v>0</v>
      </c>
      <c r="AV78" s="39">
        <f>H78+M78+R78+W78+AB78+AG78+AL78+AQ78</f>
        <v>0</v>
      </c>
      <c r="AW78" s="68">
        <f>AU78+AV78*1.15</f>
        <v>0</v>
      </c>
      <c r="AX78" s="68"/>
      <c r="AY78" s="68"/>
    </row>
    <row r="79" spans="1:51" s="2" customFormat="1" ht="13.8" x14ac:dyDescent="0.25">
      <c r="A79" s="11"/>
      <c r="B79" s="24" t="s">
        <v>79</v>
      </c>
      <c r="C79" s="113"/>
      <c r="D79" s="119"/>
      <c r="E79" s="119">
        <f>C79+D79*1.15</f>
        <v>0</v>
      </c>
      <c r="F79" s="180" t="e">
        <f>E79/$E$89</f>
        <v>#DIV/0!</v>
      </c>
      <c r="G79" s="39"/>
      <c r="H79" s="39"/>
      <c r="I79" s="106">
        <f>(H8+H41+H50+H54)/(1-'расчет 2022'!E4)*'расчет 2022'!E4</f>
        <v>0</v>
      </c>
      <c r="J79" s="79" t="e">
        <f>I79/$I$89</f>
        <v>#DIV/0!</v>
      </c>
      <c r="K79" s="45"/>
      <c r="L79" s="39"/>
      <c r="M79" s="39"/>
      <c r="N79" s="106">
        <f>(M8+M41+M50+M54)/(1-'расчет 2022'!E13)*'расчет 2022'!E13</f>
        <v>6419.2089843583453</v>
      </c>
      <c r="O79" s="79">
        <f>N79/$N$89</f>
        <v>0.11499999912498107</v>
      </c>
      <c r="P79" s="405"/>
      <c r="Q79" s="39"/>
      <c r="R79" s="39"/>
      <c r="S79" s="106">
        <f>(R8+R41+R50+R54)/(1-'расчет 2022'!E6)*'расчет 2022'!E6</f>
        <v>0</v>
      </c>
      <c r="T79" s="45"/>
      <c r="U79" s="405"/>
      <c r="V79" s="39"/>
      <c r="W79" s="39"/>
      <c r="X79" s="106">
        <f>(W8+W41+W50+W54)/(1-'расчет 2022'!E7)*'расчет 2022'!E7</f>
        <v>0</v>
      </c>
      <c r="Y79" s="45"/>
      <c r="Z79" s="405"/>
      <c r="AA79" s="39"/>
      <c r="AB79" s="39"/>
      <c r="AC79" s="106">
        <f>(AB8+AB41+AB50+AB54)/(1-'расчет 2022'!J7)*'расчет 2022'!J7</f>
        <v>0</v>
      </c>
      <c r="AD79" s="45"/>
      <c r="AE79" s="732"/>
      <c r="AF79" s="560"/>
      <c r="AG79" s="452"/>
      <c r="AH79" s="446">
        <f>(AG8+AG41+AG50+AG54)/(1-'расчет 2022'!O7)*'расчет 2022'!O7</f>
        <v>0</v>
      </c>
      <c r="AI79" s="693"/>
      <c r="AJ79" s="745"/>
      <c r="AK79" s="560"/>
      <c r="AL79" s="452"/>
      <c r="AM79" s="446" t="e">
        <f>(AL8+AL41+AL50+AL54)/(1-'расчет 2022'!E10)*'расчет 2022'!E10</f>
        <v>#DIV/0!</v>
      </c>
      <c r="AN79" s="693"/>
      <c r="AO79" s="745"/>
      <c r="AP79" s="560"/>
      <c r="AQ79" s="452"/>
      <c r="AR79" s="446">
        <f>(AQ8+AQ41+AQ50+AQ54)/(1-'расчет 2022'!J10)*'расчет 2022'!J10</f>
        <v>0</v>
      </c>
      <c r="AS79" s="693"/>
      <c r="AT79" s="745"/>
      <c r="AU79" s="39">
        <f>G79+L79+Q79+V79+AA79+AF79+AK79+AP79</f>
        <v>0</v>
      </c>
      <c r="AV79" s="39">
        <f>H79+M79+R79+W79+AB79+AG79+AL79+AQ79</f>
        <v>0</v>
      </c>
      <c r="AW79" s="106" t="e">
        <f>I79+N79+S79+AM79</f>
        <v>#DIV/0!</v>
      </c>
      <c r="AX79" s="45"/>
      <c r="AY79" s="45"/>
    </row>
    <row r="80" spans="1:51" ht="13.8" x14ac:dyDescent="0.25">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552"/>
      <c r="AF80" s="560"/>
      <c r="AG80" s="452"/>
      <c r="AH80" s="678"/>
      <c r="AI80" s="678"/>
      <c r="AJ80" s="678"/>
      <c r="AK80" s="560"/>
      <c r="AL80" s="452"/>
      <c r="AM80" s="678"/>
      <c r="AN80" s="678"/>
      <c r="AO80" s="678"/>
      <c r="AP80" s="560"/>
      <c r="AQ80" s="452"/>
      <c r="AR80" s="678"/>
      <c r="AS80" s="678"/>
      <c r="AT80" s="678"/>
      <c r="AU80" s="39"/>
      <c r="AV80" s="39"/>
      <c r="AW80" s="69"/>
      <c r="AX80" s="69"/>
      <c r="AY80" s="69"/>
    </row>
    <row r="81" spans="1:51" s="2" customFormat="1" ht="14.4" thickBot="1" x14ac:dyDescent="0.3">
      <c r="A81" s="26"/>
      <c r="B81" s="27" t="s">
        <v>12</v>
      </c>
      <c r="C81" s="139">
        <f>(C75+C78)-C79</f>
        <v>0</v>
      </c>
      <c r="D81" s="139">
        <f>(D75+D78)-D79</f>
        <v>0</v>
      </c>
      <c r="E81" s="140">
        <f>(E75+E78)-E79</f>
        <v>0</v>
      </c>
      <c r="F81" s="173"/>
      <c r="G81" s="139">
        <f>(G75+G78)-G79</f>
        <v>0</v>
      </c>
      <c r="H81" s="139">
        <f>(H75+H78)-H79</f>
        <v>0</v>
      </c>
      <c r="I81" s="140">
        <f>(I75+I78)-I79</f>
        <v>0</v>
      </c>
      <c r="J81" s="67"/>
      <c r="K81" s="67"/>
      <c r="L81" s="139">
        <f>(L75+L78)-L79</f>
        <v>370000</v>
      </c>
      <c r="M81" s="139">
        <f>(M75+M78)-M79</f>
        <v>-49400</v>
      </c>
      <c r="N81" s="140">
        <f>(N75+N78)-N79</f>
        <v>314180.79101564165</v>
      </c>
      <c r="O81" s="67"/>
      <c r="P81" s="414"/>
      <c r="Q81" s="139">
        <f>(Q75+Q78)-Q79</f>
        <v>0</v>
      </c>
      <c r="R81" s="139">
        <f>(R75+R78)-R79</f>
        <v>0</v>
      </c>
      <c r="S81" s="140">
        <f>(S75+S78)-S79</f>
        <v>0</v>
      </c>
      <c r="T81" s="67"/>
      <c r="U81" s="414"/>
      <c r="V81" s="139">
        <f>(V75+V78)-V79</f>
        <v>0</v>
      </c>
      <c r="W81" s="139">
        <f>(W75+W78)-W79</f>
        <v>0</v>
      </c>
      <c r="X81" s="140">
        <f>(X75+X78)-X79</f>
        <v>0</v>
      </c>
      <c r="Y81" s="67"/>
      <c r="Z81" s="414"/>
      <c r="AA81" s="139">
        <f>(AA75+AA78)-AA79</f>
        <v>0</v>
      </c>
      <c r="AB81" s="139">
        <f>(AB75+AB78)-AB79</f>
        <v>0</v>
      </c>
      <c r="AC81" s="140">
        <f>(AC75+AC78)-AC79</f>
        <v>0</v>
      </c>
      <c r="AD81" s="67"/>
      <c r="AE81" s="739"/>
      <c r="AF81" s="587">
        <f>(AF75+AF78)-AF79</f>
        <v>0</v>
      </c>
      <c r="AG81" s="587">
        <f>(AG75+AG78)-AG79</f>
        <v>0</v>
      </c>
      <c r="AH81" s="674">
        <f>(AH75+AH78)-AH79</f>
        <v>0</v>
      </c>
      <c r="AI81" s="675"/>
      <c r="AJ81" s="749"/>
      <c r="AK81" s="587">
        <f>(AK75+AK78)-AK79</f>
        <v>0</v>
      </c>
      <c r="AL81" s="587">
        <f>(AL75+AL78)-AL79</f>
        <v>0</v>
      </c>
      <c r="AM81" s="674" t="e">
        <f>(AM75+AM78)-AM79</f>
        <v>#DIV/0!</v>
      </c>
      <c r="AN81" s="675"/>
      <c r="AO81" s="749"/>
      <c r="AP81" s="587">
        <f>(AP75+AP78)-AP79</f>
        <v>-120000</v>
      </c>
      <c r="AQ81" s="587">
        <f>(AQ75+AQ78)-AQ79</f>
        <v>0</v>
      </c>
      <c r="AR81" s="674">
        <f>(AR75+AR78)-AR79</f>
        <v>-120000</v>
      </c>
      <c r="AS81" s="675"/>
      <c r="AT81" s="749"/>
      <c r="AU81" s="139">
        <f>(AU75+AU78)-AU79</f>
        <v>250000</v>
      </c>
      <c r="AV81" s="139">
        <f>(AV75+AV78)-AV79</f>
        <v>-49400</v>
      </c>
      <c r="AW81" s="140" t="e">
        <f>(AW75+AW78)-AW79</f>
        <v>#DIV/0!</v>
      </c>
      <c r="AX81" s="67"/>
      <c r="AY81" s="67"/>
    </row>
    <row r="82" spans="1:51" s="2" customFormat="1" ht="13.8" x14ac:dyDescent="0.25">
      <c r="A82" s="293"/>
      <c r="B82" s="6" t="s">
        <v>38</v>
      </c>
      <c r="C82" s="141"/>
      <c r="D82" s="142"/>
      <c r="E82" s="146">
        <f>C82+D82</f>
        <v>0</v>
      </c>
      <c r="F82" s="180" t="e">
        <f>E82/$E$89</f>
        <v>#DIV/0!</v>
      </c>
      <c r="G82" s="39"/>
      <c r="H82" s="39"/>
      <c r="I82" s="146">
        <f>G82+H82</f>
        <v>0</v>
      </c>
      <c r="J82" s="101"/>
      <c r="K82" s="101"/>
      <c r="L82" s="39"/>
      <c r="M82" s="39"/>
      <c r="N82" s="146">
        <f>L82+M82</f>
        <v>0</v>
      </c>
      <c r="O82" s="101"/>
      <c r="P82" s="433"/>
      <c r="Q82" s="39"/>
      <c r="R82" s="39"/>
      <c r="S82" s="146">
        <f>Q82+R82</f>
        <v>0</v>
      </c>
      <c r="T82" s="101"/>
      <c r="U82" s="433"/>
      <c r="V82" s="39"/>
      <c r="W82" s="39"/>
      <c r="X82" s="146">
        <f>V82+W82</f>
        <v>0</v>
      </c>
      <c r="Y82" s="101"/>
      <c r="Z82" s="433"/>
      <c r="AA82" s="39"/>
      <c r="AB82" s="39"/>
      <c r="AC82" s="146">
        <f>AA82+AB82</f>
        <v>0</v>
      </c>
      <c r="AD82" s="101"/>
      <c r="AE82" s="740"/>
      <c r="AF82" s="560"/>
      <c r="AG82" s="452"/>
      <c r="AH82" s="565">
        <f>AF82+AG82</f>
        <v>0</v>
      </c>
      <c r="AI82" s="642"/>
      <c r="AJ82" s="719"/>
      <c r="AK82" s="560"/>
      <c r="AL82" s="452"/>
      <c r="AM82" s="565">
        <f>AK82+AL82</f>
        <v>0</v>
      </c>
      <c r="AN82" s="642"/>
      <c r="AO82" s="719"/>
      <c r="AP82" s="560"/>
      <c r="AQ82" s="452"/>
      <c r="AR82" s="565">
        <f>AP82+AQ82</f>
        <v>0</v>
      </c>
      <c r="AS82" s="642"/>
      <c r="AT82" s="719"/>
      <c r="AU82" s="39">
        <f>G82</f>
        <v>0</v>
      </c>
      <c r="AV82" s="39">
        <f>H82</f>
        <v>0</v>
      </c>
      <c r="AW82" s="146">
        <f>AU82+AV82</f>
        <v>0</v>
      </c>
      <c r="AX82" s="101"/>
      <c r="AY82" s="101"/>
    </row>
    <row r="83" spans="1:51" s="2" customFormat="1" ht="13.8" x14ac:dyDescent="0.25">
      <c r="A83" s="11"/>
      <c r="B83" s="28" t="s">
        <v>13</v>
      </c>
      <c r="C83" s="147">
        <f>(C81+C7)-C36</f>
        <v>0</v>
      </c>
      <c r="D83" s="147">
        <f>(D81+D7)-D36</f>
        <v>0</v>
      </c>
      <c r="E83" s="147">
        <f>(E81+E7)-E36</f>
        <v>0</v>
      </c>
      <c r="F83" s="174"/>
      <c r="G83" s="147">
        <f>(G81+G7)-G36</f>
        <v>0</v>
      </c>
      <c r="H83" s="147">
        <f>(H81+H7)-H36</f>
        <v>0</v>
      </c>
      <c r="I83" s="148">
        <f>(I81+I7)-I36</f>
        <v>0</v>
      </c>
      <c r="J83" s="70"/>
      <c r="K83" s="70"/>
      <c r="L83" s="147">
        <f>(L81+L7)-L36</f>
        <v>370000</v>
      </c>
      <c r="M83" s="147">
        <f>(M81+M7)-M36</f>
        <v>-49400</v>
      </c>
      <c r="N83" s="148">
        <f>(N81+N7)-N36</f>
        <v>314180.79101564165</v>
      </c>
      <c r="O83" s="70"/>
      <c r="P83" s="434"/>
      <c r="Q83" s="147">
        <f>(Q81+Q7)-Q36</f>
        <v>0</v>
      </c>
      <c r="R83" s="147">
        <f>(R81+R7)-R36</f>
        <v>0</v>
      </c>
      <c r="S83" s="148">
        <f>(S81+S7)-S36</f>
        <v>0</v>
      </c>
      <c r="T83" s="70"/>
      <c r="U83" s="434"/>
      <c r="V83" s="147">
        <f>(V81+V7)-V36</f>
        <v>0</v>
      </c>
      <c r="W83" s="147">
        <f>(W81+W7)-W36</f>
        <v>0</v>
      </c>
      <c r="X83" s="148">
        <f>(X81+X7)-X36</f>
        <v>0</v>
      </c>
      <c r="Y83" s="70"/>
      <c r="Z83" s="434"/>
      <c r="AA83" s="147">
        <f>(AA81+AA7)-AA36</f>
        <v>0</v>
      </c>
      <c r="AB83" s="147">
        <f>(AB81+AB7)-AB36</f>
        <v>0</v>
      </c>
      <c r="AC83" s="148">
        <f>(AC81+AC7)-AC36</f>
        <v>0</v>
      </c>
      <c r="AD83" s="70"/>
      <c r="AE83" s="741"/>
      <c r="AF83" s="679">
        <f>(AF81+AF7)-AF36</f>
        <v>0</v>
      </c>
      <c r="AG83" s="679">
        <f>(AG81+AG7)-AG36</f>
        <v>0</v>
      </c>
      <c r="AH83" s="680">
        <f>(AH81+AH7)-AH36</f>
        <v>0</v>
      </c>
      <c r="AI83" s="681"/>
      <c r="AJ83" s="750"/>
      <c r="AK83" s="679">
        <f>(AK81+AK7)-AK36</f>
        <v>0</v>
      </c>
      <c r="AL83" s="679">
        <f>(AL81+AL7)-AL36</f>
        <v>0</v>
      </c>
      <c r="AM83" s="680" t="e">
        <f>(AM81+AM7)-AM36</f>
        <v>#DIV/0!</v>
      </c>
      <c r="AN83" s="681"/>
      <c r="AO83" s="750"/>
      <c r="AP83" s="679">
        <f>(AP81+AP7)-AP36</f>
        <v>-120000</v>
      </c>
      <c r="AQ83" s="679">
        <f>(AQ81+AQ7)-AQ36</f>
        <v>0</v>
      </c>
      <c r="AR83" s="680">
        <f>(AR81+AR7)-AR36</f>
        <v>-120000</v>
      </c>
      <c r="AS83" s="681"/>
      <c r="AT83" s="750"/>
      <c r="AU83" s="147">
        <f>(AU81+AU7)-AU36</f>
        <v>250000</v>
      </c>
      <c r="AV83" s="147">
        <f>(AV81+AV7)-AV36</f>
        <v>-49400</v>
      </c>
      <c r="AW83" s="148" t="e">
        <f>(AW81+AW7)-AW36</f>
        <v>#DIV/0!</v>
      </c>
      <c r="AX83" s="70"/>
      <c r="AY83" s="70"/>
    </row>
    <row r="84" spans="1:51" s="2" customFormat="1" ht="14.4" thickBot="1" x14ac:dyDescent="0.3">
      <c r="A84" s="11"/>
      <c r="B84" s="211" t="s">
        <v>14</v>
      </c>
      <c r="C84" s="212">
        <f>C83-C73-C82</f>
        <v>0</v>
      </c>
      <c r="D84" s="212">
        <f>D83-D73-D82</f>
        <v>0</v>
      </c>
      <c r="E84" s="212">
        <f>E83-E73-E82</f>
        <v>0</v>
      </c>
      <c r="F84" s="214"/>
      <c r="G84" s="213">
        <f>G83-G73-G82</f>
        <v>0</v>
      </c>
      <c r="H84" s="213">
        <f>H83-H73-H82</f>
        <v>0</v>
      </c>
      <c r="I84" s="213">
        <f>I83-I73-I82</f>
        <v>0</v>
      </c>
      <c r="J84" s="82"/>
      <c r="K84" s="82"/>
      <c r="L84" s="213">
        <f>L83-L73-L82</f>
        <v>370000</v>
      </c>
      <c r="M84" s="213">
        <f>M83-M73-M82</f>
        <v>-49400</v>
      </c>
      <c r="N84" s="213">
        <f>N83-N73-N82</f>
        <v>314180.79101564165</v>
      </c>
      <c r="O84" s="82"/>
      <c r="P84" s="435"/>
      <c r="Q84" s="213">
        <f>Q83-Q73-Q82</f>
        <v>0</v>
      </c>
      <c r="R84" s="213">
        <f>R83-R73-R82</f>
        <v>0</v>
      </c>
      <c r="S84" s="213">
        <f>S83-S73-S82</f>
        <v>0</v>
      </c>
      <c r="T84" s="82"/>
      <c r="U84" s="435"/>
      <c r="V84" s="213">
        <f>V83-V73-V82</f>
        <v>0</v>
      </c>
      <c r="W84" s="213">
        <f>W83-W73-W82</f>
        <v>0</v>
      </c>
      <c r="X84" s="213">
        <f>X83-X73-X82</f>
        <v>0</v>
      </c>
      <c r="Y84" s="82"/>
      <c r="Z84" s="435"/>
      <c r="AA84" s="213">
        <f>AA83-AA73-AA82</f>
        <v>0</v>
      </c>
      <c r="AB84" s="213">
        <f>AB83-AB73-AB82</f>
        <v>0</v>
      </c>
      <c r="AC84" s="213">
        <f>AC83-AC73-AC82</f>
        <v>0</v>
      </c>
      <c r="AD84" s="82"/>
      <c r="AE84" s="742"/>
      <c r="AF84" s="562">
        <f>AF83-AF73-AF82</f>
        <v>0</v>
      </c>
      <c r="AG84" s="562">
        <f>AG83-AG73-AG82</f>
        <v>0</v>
      </c>
      <c r="AH84" s="562">
        <f>AH83-AH73-AH82</f>
        <v>0</v>
      </c>
      <c r="AI84" s="537"/>
      <c r="AJ84" s="751"/>
      <c r="AK84" s="562">
        <f>AK83-AK73-AK82</f>
        <v>0</v>
      </c>
      <c r="AL84" s="562">
        <f>AL83-AL73-AL82</f>
        <v>0</v>
      </c>
      <c r="AM84" s="562" t="e">
        <f>AM83-AM73-AM82</f>
        <v>#DIV/0!</v>
      </c>
      <c r="AN84" s="537"/>
      <c r="AO84" s="751"/>
      <c r="AP84" s="562">
        <f>AP83-AP73-AP82</f>
        <v>-120000</v>
      </c>
      <c r="AQ84" s="562">
        <f>AQ83-AQ73-AQ82</f>
        <v>0</v>
      </c>
      <c r="AR84" s="562">
        <f>AR83-AR73-AR82</f>
        <v>-120000</v>
      </c>
      <c r="AS84" s="537"/>
      <c r="AT84" s="751"/>
      <c r="AU84" s="213">
        <f>AU83-AU73-AU82</f>
        <v>250000</v>
      </c>
      <c r="AV84" s="213">
        <f>AV83-AV73-AV82</f>
        <v>-49400</v>
      </c>
      <c r="AW84" s="213" t="e">
        <f>AW83-AW73-AW82</f>
        <v>#DIV/0!</v>
      </c>
      <c r="AX84" s="82"/>
      <c r="AY84" s="82"/>
    </row>
    <row r="85" spans="1:51" s="2" customFormat="1" ht="13.8" x14ac:dyDescent="0.25">
      <c r="A85" s="293"/>
      <c r="B85" s="216" t="s">
        <v>44</v>
      </c>
      <c r="C85" s="141"/>
      <c r="D85" s="142"/>
      <c r="E85" s="146">
        <f>C85+D85</f>
        <v>0</v>
      </c>
      <c r="F85" s="217" t="e">
        <f>E85/$E$89</f>
        <v>#DIV/0!</v>
      </c>
      <c r="G85" s="39"/>
      <c r="H85" s="39"/>
      <c r="I85" s="219">
        <f>G85+H85*1.15</f>
        <v>0</v>
      </c>
      <c r="J85" s="102"/>
      <c r="K85" s="102"/>
      <c r="L85" s="39"/>
      <c r="M85" s="39"/>
      <c r="N85" s="219">
        <f>L85+M85*1.15</f>
        <v>0</v>
      </c>
      <c r="O85" s="102"/>
      <c r="P85" s="436"/>
      <c r="Q85" s="39"/>
      <c r="R85" s="39"/>
      <c r="S85" s="219">
        <f>Q85+R85*1.15</f>
        <v>0</v>
      </c>
      <c r="T85" s="102"/>
      <c r="U85" s="436"/>
      <c r="V85" s="39"/>
      <c r="W85" s="39"/>
      <c r="X85" s="219">
        <f>V85+W85*1.15</f>
        <v>0</v>
      </c>
      <c r="Y85" s="102"/>
      <c r="Z85" s="436"/>
      <c r="AA85" s="39"/>
      <c r="AB85" s="39"/>
      <c r="AC85" s="219">
        <f>AA85+AB85*1.15</f>
        <v>0</v>
      </c>
      <c r="AD85" s="102"/>
      <c r="AE85" s="743"/>
      <c r="AF85" s="560"/>
      <c r="AG85" s="452"/>
      <c r="AH85" s="484">
        <f>AF85+AG85*1.15</f>
        <v>0</v>
      </c>
      <c r="AI85" s="566"/>
      <c r="AJ85" s="752"/>
      <c r="AK85" s="560"/>
      <c r="AL85" s="452"/>
      <c r="AM85" s="484">
        <f>AK85+AL85*1.15</f>
        <v>0</v>
      </c>
      <c r="AN85" s="566"/>
      <c r="AO85" s="752"/>
      <c r="AP85" s="560"/>
      <c r="AQ85" s="452"/>
      <c r="AR85" s="484">
        <f>AP85+AQ85*1.15</f>
        <v>0</v>
      </c>
      <c r="AS85" s="566"/>
      <c r="AT85" s="752"/>
      <c r="AU85" s="39">
        <f>G85</f>
        <v>0</v>
      </c>
      <c r="AV85" s="39">
        <f>H85</f>
        <v>0</v>
      </c>
      <c r="AW85" s="219">
        <f>AU85+AV85*1.15</f>
        <v>0</v>
      </c>
      <c r="AX85" s="102"/>
      <c r="AY85" s="102"/>
    </row>
    <row r="86" spans="1:51" s="2" customFormat="1" ht="27.6" x14ac:dyDescent="0.25">
      <c r="A86" s="11"/>
      <c r="B86" s="37" t="s">
        <v>50</v>
      </c>
      <c r="C86" s="149">
        <f>C84-C85</f>
        <v>0</v>
      </c>
      <c r="D86" s="149">
        <f>D84-D85</f>
        <v>0</v>
      </c>
      <c r="E86" s="150">
        <f>E84-E85</f>
        <v>0</v>
      </c>
      <c r="F86" s="175"/>
      <c r="G86" s="150">
        <f>G84-G85</f>
        <v>0</v>
      </c>
      <c r="H86" s="150">
        <f>H84-H85</f>
        <v>0</v>
      </c>
      <c r="I86" s="150">
        <f>I84-I85</f>
        <v>0</v>
      </c>
      <c r="J86" s="73"/>
      <c r="K86" s="73"/>
      <c r="L86" s="150">
        <f>L84-L85</f>
        <v>370000</v>
      </c>
      <c r="M86" s="150">
        <f>M84-M85</f>
        <v>-49400</v>
      </c>
      <c r="N86" s="150">
        <f>N84-N85</f>
        <v>314180.79101564165</v>
      </c>
      <c r="O86" s="73"/>
      <c r="P86" s="434"/>
      <c r="Q86" s="150">
        <f>Q84-Q85</f>
        <v>0</v>
      </c>
      <c r="R86" s="150">
        <f>R84-R85</f>
        <v>0</v>
      </c>
      <c r="S86" s="150">
        <f>S84-S85</f>
        <v>0</v>
      </c>
      <c r="T86" s="73"/>
      <c r="U86" s="434"/>
      <c r="V86" s="150">
        <f>V84-V85</f>
        <v>0</v>
      </c>
      <c r="W86" s="150">
        <f>W84-W85</f>
        <v>0</v>
      </c>
      <c r="X86" s="150">
        <f>X84-X85</f>
        <v>0</v>
      </c>
      <c r="Y86" s="73"/>
      <c r="Z86" s="434"/>
      <c r="AA86" s="150">
        <f>AA84-AA85</f>
        <v>0</v>
      </c>
      <c r="AB86" s="150">
        <f>AB84-AB85</f>
        <v>0</v>
      </c>
      <c r="AC86" s="150">
        <f>AC84-AC85</f>
        <v>0</v>
      </c>
      <c r="AD86" s="73"/>
      <c r="AE86" s="741"/>
      <c r="AF86" s="569">
        <f>AF84-AF85</f>
        <v>0</v>
      </c>
      <c r="AG86" s="569">
        <f>AG84-AG85</f>
        <v>0</v>
      </c>
      <c r="AH86" s="569">
        <f>AH84-AH85</f>
        <v>0</v>
      </c>
      <c r="AI86" s="538"/>
      <c r="AJ86" s="750"/>
      <c r="AK86" s="569">
        <f>AK84-AK85</f>
        <v>0</v>
      </c>
      <c r="AL86" s="569">
        <f>AL84-AL85</f>
        <v>0</v>
      </c>
      <c r="AM86" s="569" t="e">
        <f>AM84-AM85</f>
        <v>#DIV/0!</v>
      </c>
      <c r="AN86" s="538"/>
      <c r="AO86" s="750"/>
      <c r="AP86" s="569">
        <f>AP84-AP85</f>
        <v>-120000</v>
      </c>
      <c r="AQ86" s="569">
        <f>AQ84-AQ85</f>
        <v>0</v>
      </c>
      <c r="AR86" s="569">
        <f>AR84-AR85</f>
        <v>-120000</v>
      </c>
      <c r="AS86" s="538"/>
      <c r="AT86" s="750"/>
      <c r="AU86" s="150">
        <f>AU84-AU85</f>
        <v>250000</v>
      </c>
      <c r="AV86" s="150">
        <f>AV84-AV85</f>
        <v>-49400</v>
      </c>
      <c r="AW86" s="150" t="e">
        <f>AW84-AW85</f>
        <v>#DIV/0!</v>
      </c>
      <c r="AX86" s="73"/>
      <c r="AY86" s="73"/>
    </row>
    <row r="87" spans="1:51" s="2" customFormat="1" ht="14.4" thickBot="1" x14ac:dyDescent="0.3">
      <c r="A87" s="295"/>
      <c r="B87" s="29" t="s">
        <v>51</v>
      </c>
      <c r="C87" s="155" t="e">
        <f>C86/C5</f>
        <v>#DIV/0!</v>
      </c>
      <c r="D87" s="151" t="e">
        <f>D86/D5</f>
        <v>#DIV/0!</v>
      </c>
      <c r="E87" s="156" t="e">
        <f>E86/E5</f>
        <v>#DIV/0!</v>
      </c>
      <c r="F87" s="176"/>
      <c r="G87" s="155" t="e">
        <f>G86/G5</f>
        <v>#DIV/0!</v>
      </c>
      <c r="H87" s="151" t="e">
        <f>H86/H5</f>
        <v>#DIV/0!</v>
      </c>
      <c r="I87" s="156" t="e">
        <f>I86/I5</f>
        <v>#DIV/0!</v>
      </c>
      <c r="J87" s="75"/>
      <c r="K87" s="75"/>
      <c r="L87" s="155">
        <f>L86/L5</f>
        <v>1</v>
      </c>
      <c r="M87" s="151" t="e">
        <f>M86/M5</f>
        <v>#DIV/0!</v>
      </c>
      <c r="N87" s="156">
        <f>N86/N5</f>
        <v>0.84913727301524766</v>
      </c>
      <c r="O87" s="75"/>
      <c r="P87" s="437"/>
      <c r="Q87" s="155" t="e">
        <f>Q86/Q5</f>
        <v>#DIV/0!</v>
      </c>
      <c r="R87" s="151" t="e">
        <f>R86/R5</f>
        <v>#DIV/0!</v>
      </c>
      <c r="S87" s="156" t="e">
        <f>S86/S5</f>
        <v>#DIV/0!</v>
      </c>
      <c r="T87" s="75"/>
      <c r="U87" s="437"/>
      <c r="V87" s="155" t="e">
        <f>V86/V5</f>
        <v>#DIV/0!</v>
      </c>
      <c r="W87" s="151" t="e">
        <f>W86/W5</f>
        <v>#DIV/0!</v>
      </c>
      <c r="X87" s="156" t="e">
        <f>X86/X5</f>
        <v>#DIV/0!</v>
      </c>
      <c r="Y87" s="75"/>
      <c r="Z87" s="437"/>
      <c r="AA87" s="155" t="e">
        <f>AA86/AA5</f>
        <v>#DIV/0!</v>
      </c>
      <c r="AB87" s="151" t="e">
        <f>AB86/AB5</f>
        <v>#DIV/0!</v>
      </c>
      <c r="AC87" s="156" t="e">
        <f>AC86/AC5</f>
        <v>#DIV/0!</v>
      </c>
      <c r="AD87" s="75"/>
      <c r="AE87" s="744"/>
      <c r="AF87" s="573" t="e">
        <f>AF86/AF5</f>
        <v>#DIV/0!</v>
      </c>
      <c r="AG87" s="574" t="e">
        <f>AG86/AG5</f>
        <v>#DIV/0!</v>
      </c>
      <c r="AH87" s="575" t="e">
        <f>AH86/AH5</f>
        <v>#DIV/0!</v>
      </c>
      <c r="AI87" s="576"/>
      <c r="AJ87" s="753"/>
      <c r="AK87" s="573" t="e">
        <f>AK86/AK5</f>
        <v>#DIV/0!</v>
      </c>
      <c r="AL87" s="574" t="e">
        <f>AL86/AL5</f>
        <v>#DIV/0!</v>
      </c>
      <c r="AM87" s="575" t="e">
        <f>AM86/AM5</f>
        <v>#DIV/0!</v>
      </c>
      <c r="AN87" s="576"/>
      <c r="AO87" s="753"/>
      <c r="AP87" s="573" t="e">
        <f>AP86/AP5</f>
        <v>#DIV/0!</v>
      </c>
      <c r="AQ87" s="574" t="e">
        <f>AQ86/AQ5</f>
        <v>#DIV/0!</v>
      </c>
      <c r="AR87" s="575" t="e">
        <f>AR86/AR5</f>
        <v>#DIV/0!</v>
      </c>
      <c r="AS87" s="576"/>
      <c r="AT87" s="753"/>
      <c r="AU87" s="155">
        <f>AU86/AU5</f>
        <v>0.67567567567567566</v>
      </c>
      <c r="AV87" s="151" t="e">
        <f>AV86/AV5</f>
        <v>#DIV/0!</v>
      </c>
      <c r="AW87" s="156" t="e">
        <f>AW86/AW5</f>
        <v>#DIV/0!</v>
      </c>
      <c r="AX87" s="75"/>
      <c r="AY87" s="75"/>
    </row>
    <row r="88" spans="1:51" ht="13.8" x14ac:dyDescent="0.25">
      <c r="A88" s="30"/>
      <c r="B88" s="30"/>
      <c r="C88" s="152"/>
      <c r="D88" s="152"/>
      <c r="E88" s="152"/>
      <c r="F88" s="188"/>
      <c r="G88" s="76"/>
      <c r="H88" s="76"/>
      <c r="I88" s="76"/>
      <c r="J88" s="76"/>
      <c r="K88" s="76"/>
      <c r="L88" s="76"/>
      <c r="M88" s="76"/>
      <c r="N88" s="76"/>
      <c r="O88" s="76"/>
      <c r="P88" s="438"/>
      <c r="Q88" s="76"/>
      <c r="R88" s="76"/>
      <c r="S88" s="76"/>
      <c r="T88" s="76"/>
      <c r="U88" s="438"/>
      <c r="V88" s="76"/>
      <c r="W88" s="76"/>
      <c r="X88" s="76"/>
      <c r="Y88" s="76"/>
      <c r="Z88" s="438"/>
      <c r="AA88" s="76"/>
      <c r="AB88" s="76"/>
      <c r="AC88" s="76"/>
      <c r="AD88" s="76"/>
      <c r="AE88" s="438"/>
      <c r="AF88" s="76"/>
      <c r="AG88" s="76"/>
      <c r="AH88" s="76"/>
      <c r="AI88" s="76"/>
      <c r="AJ88" s="438"/>
      <c r="AK88" s="76"/>
      <c r="AL88" s="76"/>
      <c r="AM88" s="76"/>
      <c r="AN88" s="76"/>
      <c r="AO88" s="438"/>
      <c r="AP88" s="76"/>
      <c r="AQ88" s="76"/>
      <c r="AR88" s="76"/>
      <c r="AS88" s="76"/>
      <c r="AT88" s="438"/>
      <c r="AU88" s="76"/>
      <c r="AV88" s="76"/>
      <c r="AW88" s="76"/>
      <c r="AX88" s="76"/>
      <c r="AY88" s="76"/>
    </row>
    <row r="89" spans="1:51" x14ac:dyDescent="0.25">
      <c r="B89" s="221" t="s">
        <v>56</v>
      </c>
      <c r="C89" s="153"/>
      <c r="D89" s="153"/>
      <c r="E89" s="154">
        <f>E8+E36+E41+E50+E54+E73+E79+E82+E85</f>
        <v>0</v>
      </c>
      <c r="F89" s="189"/>
      <c r="I89" s="154">
        <f>I8+I36+I41+I50+I54+I73+I79+I82+I85</f>
        <v>0</v>
      </c>
      <c r="N89" s="154">
        <f>N8+N36+N41+N50+N54+N73+N79+N82+N85</f>
        <v>55819.208984358345</v>
      </c>
      <c r="P89" s="395"/>
      <c r="S89" s="154">
        <f>S8+S36+S41+S50+S54+S73+S79+S82+S85</f>
        <v>0</v>
      </c>
      <c r="U89" s="395"/>
      <c r="X89" s="154">
        <f>X8+X36+X41+X50+X54+X73+X79+X82+X85</f>
        <v>0</v>
      </c>
      <c r="Z89" s="395"/>
      <c r="AC89" s="154">
        <f>AC8+AC36+AC41+AC50+AC54+AC73+AC79+AC82+AC85</f>
        <v>0</v>
      </c>
      <c r="AE89" s="395"/>
      <c r="AH89" s="154">
        <f>AH8+AH36+AH41+AH50+AH54+AH73+AH79+AH82+AH85</f>
        <v>0</v>
      </c>
      <c r="AJ89" s="395"/>
      <c r="AM89" s="154" t="e">
        <f>AM8+AM36+AM41+AM50+AM54+AM73+AM79+AM82+AM85</f>
        <v>#DIV/0!</v>
      </c>
      <c r="AO89" s="395"/>
      <c r="AR89" s="154">
        <f>AR8+AR36+AR41+AR50+AR54+AR73+AR79+AR82+AR85</f>
        <v>120000</v>
      </c>
      <c r="AT89" s="395"/>
      <c r="AW89" s="154" t="e">
        <f>AW8+AW36+AW41+AW50+AW54+AW73+AW79+AW82+AW85</f>
        <v>#DIV/0!</v>
      </c>
    </row>
    <row r="90" spans="1:51" x14ac:dyDescent="0.25">
      <c r="C90" s="153"/>
      <c r="D90" s="153"/>
      <c r="E90" s="153"/>
      <c r="P90" s="395"/>
      <c r="U90" s="395"/>
      <c r="Z90" s="395"/>
      <c r="AA90" s="395"/>
      <c r="AB90" s="395"/>
      <c r="AC90" s="395"/>
      <c r="AD90" s="395"/>
      <c r="AE90" s="395"/>
      <c r="AF90" s="395"/>
      <c r="AG90" s="395"/>
      <c r="AH90" s="395"/>
      <c r="AI90" s="395"/>
      <c r="AJ90" s="395"/>
      <c r="AK90" s="395"/>
      <c r="AL90" s="395"/>
      <c r="AM90" s="395"/>
      <c r="AN90" s="395"/>
      <c r="AO90" s="395"/>
      <c r="AP90" s="395"/>
      <c r="AQ90" s="395"/>
      <c r="AR90" s="395"/>
      <c r="AS90" s="395"/>
      <c r="AT90" s="395"/>
      <c r="AW90" s="424" t="e">
        <f>(N89+I89+S89+X89+AC89+AH89+AM89+AR89)=AW89</f>
        <v>#DIV/0!</v>
      </c>
    </row>
    <row r="91" spans="1:51" s="2" customFormat="1" x14ac:dyDescent="0.25">
      <c r="A91" s="8"/>
      <c r="B91" s="8"/>
      <c r="C91" s="153"/>
      <c r="D91" s="153"/>
      <c r="E91" s="153"/>
      <c r="F91" s="38"/>
      <c r="G91" s="38"/>
      <c r="H91" s="38"/>
      <c r="I91" s="38"/>
      <c r="J91" s="38"/>
      <c r="K91" s="38"/>
      <c r="L91" s="38"/>
      <c r="M91" s="38"/>
      <c r="N91" s="38"/>
      <c r="O91" s="38"/>
      <c r="P91" s="395"/>
      <c r="Q91" s="38"/>
      <c r="R91" s="38"/>
      <c r="S91" s="38"/>
      <c r="T91" s="38"/>
      <c r="U91" s="395"/>
      <c r="V91" s="395"/>
      <c r="W91" s="395"/>
      <c r="X91" s="395"/>
      <c r="Y91" s="395"/>
      <c r="Z91" s="395"/>
      <c r="AA91" s="395"/>
      <c r="AB91" s="395"/>
      <c r="AC91" s="395"/>
      <c r="AD91" s="395"/>
      <c r="AE91" s="395"/>
      <c r="AF91" s="395"/>
      <c r="AG91" s="395"/>
      <c r="AH91" s="395"/>
      <c r="AI91" s="395"/>
      <c r="AJ91" s="395"/>
      <c r="AK91" s="395"/>
      <c r="AL91" s="395"/>
      <c r="AM91" s="395"/>
      <c r="AN91" s="395"/>
      <c r="AO91" s="395"/>
      <c r="AP91" s="395"/>
      <c r="AQ91" s="395"/>
      <c r="AR91" s="395"/>
      <c r="AS91" s="395"/>
      <c r="AT91" s="395"/>
      <c r="AU91" s="38"/>
      <c r="AV91" s="38"/>
      <c r="AW91" s="38"/>
      <c r="AX91" s="38"/>
      <c r="AY91" s="38"/>
    </row>
    <row r="92" spans="1:51" x14ac:dyDescent="0.25">
      <c r="C92" s="38"/>
      <c r="D92" s="38"/>
      <c r="P92" s="395"/>
      <c r="U92" s="395"/>
      <c r="W92" s="395"/>
      <c r="X92" s="395"/>
      <c r="Y92" s="395"/>
      <c r="Z92" s="395"/>
      <c r="AA92" s="395"/>
      <c r="AB92" s="395"/>
      <c r="AC92" s="395"/>
      <c r="AD92" s="395"/>
      <c r="AE92" s="395"/>
      <c r="AF92" s="395"/>
      <c r="AG92" s="395"/>
      <c r="AH92" s="395"/>
      <c r="AI92" s="395"/>
      <c r="AJ92" s="395"/>
      <c r="AK92" s="395"/>
      <c r="AL92" s="395"/>
      <c r="AM92" s="395"/>
      <c r="AN92" s="395"/>
      <c r="AO92" s="395"/>
      <c r="AP92" s="395"/>
      <c r="AQ92" s="395"/>
      <c r="AR92" s="395"/>
      <c r="AS92" s="395"/>
      <c r="AT92" s="395"/>
    </row>
    <row r="93" spans="1:51" s="2" customFormat="1" x14ac:dyDescent="0.25">
      <c r="A93" s="8"/>
      <c r="B93" s="629"/>
      <c r="C93" s="38"/>
      <c r="D93" s="38"/>
      <c r="E93" s="38"/>
      <c r="F93" s="38"/>
      <c r="G93" s="38"/>
      <c r="H93" s="38"/>
      <c r="I93" s="38"/>
      <c r="J93" s="38"/>
      <c r="K93" s="38"/>
      <c r="L93" s="38"/>
      <c r="M93" s="38"/>
      <c r="N93" s="38"/>
      <c r="O93" s="38"/>
      <c r="P93" s="395"/>
      <c r="Q93" s="38"/>
      <c r="R93" s="38"/>
      <c r="S93" s="38"/>
      <c r="T93" s="38"/>
      <c r="U93" s="395"/>
      <c r="V93" s="38"/>
      <c r="W93" s="395"/>
      <c r="X93" s="395"/>
      <c r="Y93" s="395"/>
      <c r="Z93" s="395"/>
      <c r="AA93" s="395"/>
      <c r="AB93" s="395"/>
      <c r="AC93" s="687">
        <f>AC5-AC89</f>
        <v>0</v>
      </c>
      <c r="AD93" s="395"/>
      <c r="AE93" s="395"/>
      <c r="AF93" s="395"/>
      <c r="AG93" s="395"/>
      <c r="AH93" s="687">
        <f>AH5-AH89</f>
        <v>0</v>
      </c>
      <c r="AI93" s="395"/>
      <c r="AJ93" s="395"/>
      <c r="AK93" s="395"/>
      <c r="AL93" s="395"/>
      <c r="AM93" s="687" t="e">
        <f>AM5-AM89</f>
        <v>#DIV/0!</v>
      </c>
      <c r="AN93" s="395"/>
      <c r="AO93" s="395"/>
      <c r="AP93" s="395"/>
      <c r="AQ93" s="395"/>
      <c r="AR93" s="687">
        <f>AR5-AR89</f>
        <v>-120000</v>
      </c>
      <c r="AS93" s="395"/>
      <c r="AT93" s="395"/>
      <c r="AU93" s="38"/>
      <c r="AV93" s="38"/>
      <c r="AW93" s="687" t="e">
        <f>AW5-AW89</f>
        <v>#DIV/0!</v>
      </c>
      <c r="AX93" s="38"/>
      <c r="AY93" s="38"/>
    </row>
    <row r="94" spans="1:51" s="2" customFormat="1" x14ac:dyDescent="0.25">
      <c r="A94" s="8"/>
      <c r="B94" s="629"/>
      <c r="C94" s="38"/>
      <c r="D94" s="38"/>
      <c r="E94" s="38"/>
      <c r="F94" s="38"/>
      <c r="G94" s="38"/>
      <c r="H94" s="38"/>
      <c r="I94" s="38"/>
      <c r="J94" s="38"/>
      <c r="K94" s="38"/>
      <c r="L94" s="38"/>
      <c r="M94" s="38"/>
      <c r="N94" s="38"/>
      <c r="O94" s="38"/>
      <c r="P94" s="395"/>
      <c r="Q94" s="38"/>
      <c r="R94" s="38"/>
      <c r="S94" s="38"/>
      <c r="T94" s="38"/>
      <c r="U94" s="395"/>
      <c r="V94" s="626"/>
      <c r="W94" s="395"/>
      <c r="X94" s="395"/>
      <c r="Y94" s="395"/>
      <c r="Z94" s="395"/>
      <c r="AA94" s="395"/>
      <c r="AB94" s="395"/>
      <c r="AC94" s="395"/>
      <c r="AD94" s="395"/>
      <c r="AE94" s="395"/>
      <c r="AF94" s="395"/>
      <c r="AG94" s="395"/>
      <c r="AH94" s="395"/>
      <c r="AI94" s="395"/>
      <c r="AJ94" s="395"/>
      <c r="AK94" s="395"/>
      <c r="AL94" s="395"/>
      <c r="AM94" s="395"/>
      <c r="AN94" s="395"/>
      <c r="AO94" s="395"/>
      <c r="AP94" s="395"/>
      <c r="AQ94" s="395"/>
      <c r="AR94" s="395"/>
      <c r="AS94" s="395"/>
      <c r="AT94" s="395"/>
      <c r="AU94" s="626"/>
      <c r="AV94" s="38"/>
      <c r="AW94" s="38"/>
      <c r="AX94" s="38"/>
      <c r="AY94" s="38"/>
    </row>
    <row r="95" spans="1:51" s="2" customFormat="1" x14ac:dyDescent="0.25">
      <c r="A95" s="8"/>
      <c r="B95" s="629"/>
      <c r="C95" s="38"/>
      <c r="D95" s="38"/>
      <c r="E95" s="38"/>
      <c r="F95" s="38"/>
      <c r="G95" s="38"/>
      <c r="H95" s="38"/>
      <c r="I95" s="38"/>
      <c r="J95" s="38"/>
      <c r="K95" s="38"/>
      <c r="L95" s="38"/>
      <c r="M95" s="38"/>
      <c r="N95" s="38"/>
      <c r="O95" s="38"/>
      <c r="P95" s="395"/>
      <c r="Q95" s="38"/>
      <c r="R95" s="38"/>
      <c r="S95" s="38"/>
      <c r="T95" s="38"/>
      <c r="U95" s="395"/>
      <c r="V95" s="38"/>
      <c r="W95" s="395"/>
      <c r="X95" s="395"/>
      <c r="Y95" s="395"/>
      <c r="Z95" s="395"/>
      <c r="AA95" s="395"/>
      <c r="AB95" s="395"/>
      <c r="AC95" s="395"/>
      <c r="AD95" s="395"/>
      <c r="AE95" s="395"/>
      <c r="AF95" s="395"/>
      <c r="AG95" s="395"/>
      <c r="AH95" s="395"/>
      <c r="AI95" s="395"/>
      <c r="AJ95" s="395"/>
      <c r="AK95" s="395"/>
      <c r="AL95" s="395"/>
      <c r="AM95" s="395"/>
      <c r="AN95" s="395"/>
      <c r="AO95" s="395"/>
      <c r="AP95" s="395"/>
      <c r="AQ95" s="395"/>
      <c r="AR95" s="395"/>
      <c r="AS95" s="395"/>
      <c r="AT95" s="395"/>
      <c r="AU95" s="38"/>
      <c r="AV95" s="38"/>
      <c r="AW95" s="38"/>
      <c r="AX95" s="38"/>
      <c r="AY95" s="38"/>
    </row>
    <row r="96" spans="1:51" s="2" customFormat="1" x14ac:dyDescent="0.25">
      <c r="A96" s="8"/>
      <c r="B96" s="629"/>
      <c r="C96" s="38"/>
      <c r="D96" s="38"/>
      <c r="E96" s="38"/>
      <c r="F96" s="38"/>
      <c r="G96" s="38"/>
      <c r="H96" s="38"/>
      <c r="I96" s="38"/>
      <c r="J96" s="38"/>
      <c r="K96" s="38"/>
      <c r="L96" s="38"/>
      <c r="M96" s="38"/>
      <c r="N96" s="38"/>
      <c r="O96" s="38"/>
      <c r="P96" s="395"/>
      <c r="Q96" s="38"/>
      <c r="R96" s="38"/>
      <c r="S96" s="38"/>
      <c r="T96" s="38"/>
      <c r="U96" s="395"/>
      <c r="V96" s="38"/>
      <c r="W96" s="395"/>
      <c r="X96" s="395"/>
      <c r="Y96" s="395"/>
      <c r="Z96" s="395"/>
      <c r="AA96" s="395"/>
      <c r="AB96" s="395"/>
      <c r="AC96" s="395"/>
      <c r="AD96" s="395"/>
      <c r="AE96" s="395"/>
      <c r="AF96" s="395"/>
      <c r="AG96" s="395"/>
      <c r="AH96" s="395"/>
      <c r="AI96" s="395"/>
      <c r="AJ96" s="395"/>
      <c r="AK96" s="395"/>
      <c r="AL96" s="395"/>
      <c r="AM96" s="395"/>
      <c r="AN96" s="395"/>
      <c r="AO96" s="395"/>
      <c r="AP96" s="395"/>
      <c r="AQ96" s="395"/>
      <c r="AR96" s="395"/>
      <c r="AS96" s="395"/>
      <c r="AT96" s="395"/>
      <c r="AU96" s="38"/>
      <c r="AV96" s="38"/>
      <c r="AW96" s="38"/>
      <c r="AX96" s="38"/>
      <c r="AY96" s="38"/>
    </row>
    <row r="97" spans="1:51" x14ac:dyDescent="0.25">
      <c r="C97" s="38"/>
      <c r="D97" s="38"/>
      <c r="P97" s="395"/>
      <c r="U97" s="395"/>
      <c r="W97" s="395"/>
      <c r="X97" s="395"/>
      <c r="Y97" s="395"/>
      <c r="Z97" s="395"/>
      <c r="AA97" s="395"/>
      <c r="AB97" s="395"/>
      <c r="AC97" s="395"/>
      <c r="AD97" s="395"/>
      <c r="AE97" s="395"/>
      <c r="AF97" s="395"/>
      <c r="AG97" s="395"/>
      <c r="AH97" s="395"/>
      <c r="AI97" s="395"/>
      <c r="AJ97" s="395"/>
      <c r="AK97" s="395"/>
      <c r="AL97" s="395"/>
      <c r="AM97" s="395"/>
      <c r="AN97" s="395"/>
      <c r="AO97" s="395"/>
      <c r="AP97" s="395"/>
      <c r="AQ97" s="395"/>
      <c r="AR97" s="395"/>
      <c r="AS97" s="395"/>
      <c r="AT97" s="395"/>
    </row>
    <row r="98" spans="1:51" s="2" customFormat="1" x14ac:dyDescent="0.25">
      <c r="A98" s="8"/>
      <c r="B98" s="8"/>
      <c r="C98" s="38"/>
      <c r="D98" s="38"/>
      <c r="E98" s="38"/>
      <c r="F98" s="38"/>
      <c r="G98" s="38"/>
      <c r="H98" s="38"/>
      <c r="I98" s="38"/>
      <c r="J98" s="38"/>
      <c r="K98" s="38"/>
      <c r="L98" s="38"/>
      <c r="M98" s="38"/>
      <c r="N98" s="38"/>
      <c r="O98" s="38"/>
      <c r="P98" s="395"/>
      <c r="Q98" s="38"/>
      <c r="R98" s="38"/>
      <c r="S98" s="38"/>
      <c r="T98" s="38"/>
      <c r="U98" s="395"/>
      <c r="V98" s="38"/>
      <c r="W98" s="395"/>
      <c r="X98" s="395"/>
      <c r="Y98" s="395"/>
      <c r="Z98" s="395"/>
      <c r="AA98" s="395"/>
      <c r="AB98" s="395"/>
      <c r="AC98" s="395"/>
      <c r="AD98" s="395"/>
      <c r="AE98" s="395"/>
      <c r="AF98" s="395"/>
      <c r="AG98" s="395"/>
      <c r="AH98" s="395"/>
      <c r="AI98" s="395"/>
      <c r="AJ98" s="395"/>
      <c r="AK98" s="395"/>
      <c r="AL98" s="395"/>
      <c r="AM98" s="395"/>
      <c r="AN98" s="395"/>
      <c r="AO98" s="395"/>
      <c r="AP98" s="395"/>
      <c r="AQ98" s="395"/>
      <c r="AR98" s="395"/>
      <c r="AS98" s="395"/>
      <c r="AT98" s="395"/>
      <c r="AU98" s="38"/>
      <c r="AV98" s="38"/>
      <c r="AW98" s="38"/>
      <c r="AX98" s="38"/>
      <c r="AY98" s="38"/>
    </row>
    <row r="99" spans="1:51" x14ac:dyDescent="0.25">
      <c r="C99" s="38"/>
      <c r="D99" s="38"/>
    </row>
  </sheetData>
  <mergeCells count="12">
    <mergeCell ref="A42:A48"/>
    <mergeCell ref="A2:F2"/>
    <mergeCell ref="G2:K3"/>
    <mergeCell ref="L2:P3"/>
    <mergeCell ref="Q2:T3"/>
    <mergeCell ref="AF2:AJ3"/>
    <mergeCell ref="AK2:AO3"/>
    <mergeCell ref="AP2:AT3"/>
    <mergeCell ref="AU2:AX3"/>
    <mergeCell ref="A3:F3"/>
    <mergeCell ref="V2:Y3"/>
    <mergeCell ref="AA2:AE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79998168889431442"/>
    <pageSetUpPr fitToPage="1"/>
  </sheetPr>
  <dimension ref="A1:AT99"/>
  <sheetViews>
    <sheetView showZeros="0" zoomScale="55" zoomScaleNormal="55" workbookViewId="0">
      <pane xSplit="6" ySplit="5" topLeftCell="AH54"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x14ac:dyDescent="0.25"/>
  <cols>
    <col min="1" max="1" width="5.5546875" style="8" customWidth="1"/>
    <col min="2" max="2" width="55" style="8" customWidth="1"/>
    <col min="3" max="3" width="16.44140625" style="77" customWidth="1"/>
    <col min="4" max="4" width="16.6640625" style="77" customWidth="1"/>
    <col min="5" max="5" width="16.33203125" style="38" customWidth="1"/>
    <col min="6" max="6" width="9.5546875" style="38" customWidth="1"/>
    <col min="7" max="7" width="15.33203125" style="38" hidden="1" customWidth="1" outlineLevel="1"/>
    <col min="8" max="8" width="14.109375" style="38" hidden="1" customWidth="1" outlineLevel="1"/>
    <col min="9" max="9" width="18.109375" style="38" hidden="1" customWidth="1" outlineLevel="1"/>
    <col min="10" max="10" width="11.6640625" style="38" hidden="1" customWidth="1" outlineLevel="1"/>
    <col min="11" max="11" width="49.88671875" style="38" hidden="1" customWidth="1" outlineLevel="1"/>
    <col min="12" max="12" width="15.33203125" style="38" hidden="1" customWidth="1" outlineLevel="1"/>
    <col min="13" max="13" width="14.109375" style="38" hidden="1" customWidth="1" outlineLevel="1"/>
    <col min="14" max="14" width="18.109375" style="38" hidden="1" customWidth="1" outlineLevel="1"/>
    <col min="15" max="15" width="11.6640625" style="38" hidden="1" customWidth="1" outlineLevel="1"/>
    <col min="16" max="16" width="49.88671875" style="38" hidden="1" customWidth="1" outlineLevel="1"/>
    <col min="17" max="17" width="19.44140625" style="38" hidden="1" customWidth="1" outlineLevel="1"/>
    <col min="18" max="18" width="16.6640625" style="38" hidden="1" customWidth="1" outlineLevel="1"/>
    <col min="19" max="19" width="17.6640625" style="38" hidden="1" customWidth="1" outlineLevel="1"/>
    <col min="20" max="20" width="12.5546875" style="38" hidden="1" customWidth="1" outlineLevel="1"/>
    <col min="21" max="24" width="20.33203125" style="38" hidden="1" customWidth="1" outlineLevel="1"/>
    <col min="25" max="25" width="11" style="38" hidden="1" customWidth="1" outlineLevel="1"/>
    <col min="26" max="36" width="20.33203125" style="38" hidden="1" customWidth="1" outlineLevel="1"/>
    <col min="37" max="41" width="20.33203125" style="1968" hidden="1" customWidth="1" outlineLevel="1"/>
    <col min="42" max="42" width="18" style="1968" customWidth="1" collapsed="1"/>
    <col min="43" max="43" width="17.88671875" style="1968" customWidth="1"/>
    <col min="44" max="44" width="15.33203125" style="1968" customWidth="1"/>
    <col min="45" max="45" width="17.109375" style="1968" customWidth="1"/>
    <col min="46" max="46" width="37.44140625" style="1968" customWidth="1"/>
    <col min="47" max="16384" width="7.44140625" style="1"/>
  </cols>
  <sheetData>
    <row r="1" spans="1:46" ht="13.8" thickBot="1" x14ac:dyDescent="0.3">
      <c r="C1" s="38"/>
      <c r="D1" s="38"/>
    </row>
    <row r="2" spans="1:46" ht="22.2" customHeight="1" x14ac:dyDescent="0.25">
      <c r="A2" s="4016" t="s">
        <v>938</v>
      </c>
      <c r="B2" s="4017"/>
      <c r="C2" s="4017"/>
      <c r="D2" s="4017"/>
      <c r="E2" s="4017"/>
      <c r="F2" s="4018"/>
      <c r="G2" s="4019" t="s">
        <v>770</v>
      </c>
      <c r="H2" s="4020"/>
      <c r="I2" s="4020"/>
      <c r="J2" s="4020"/>
      <c r="K2" s="4041"/>
      <c r="L2" s="4140" t="s">
        <v>820</v>
      </c>
      <c r="M2" s="4141"/>
      <c r="N2" s="4141"/>
      <c r="O2" s="4141"/>
      <c r="P2" s="630"/>
      <c r="Q2" s="4185" t="s">
        <v>836</v>
      </c>
      <c r="R2" s="4186"/>
      <c r="S2" s="4186"/>
      <c r="T2" s="4186"/>
      <c r="U2" s="757"/>
      <c r="V2" s="4172" t="s">
        <v>883</v>
      </c>
      <c r="W2" s="4173"/>
      <c r="X2" s="4173"/>
      <c r="Y2" s="4173"/>
      <c r="Z2" s="4174"/>
      <c r="AA2" s="4071" t="s">
        <v>909</v>
      </c>
      <c r="AB2" s="4072"/>
      <c r="AC2" s="4072"/>
      <c r="AD2" s="4072"/>
      <c r="AE2" s="4073"/>
      <c r="AF2" s="4077" t="s">
        <v>936</v>
      </c>
      <c r="AG2" s="4078"/>
      <c r="AH2" s="4078"/>
      <c r="AI2" s="4078"/>
      <c r="AJ2" s="4079"/>
      <c r="AK2" s="4023" t="s">
        <v>1470</v>
      </c>
      <c r="AL2" s="4024"/>
      <c r="AM2" s="4024"/>
      <c r="AN2" s="4024"/>
      <c r="AO2" s="4025"/>
      <c r="AP2" s="4212" t="s">
        <v>469</v>
      </c>
      <c r="AQ2" s="4213"/>
      <c r="AR2" s="4213"/>
      <c r="AS2" s="4213"/>
      <c r="AT2" s="1603"/>
    </row>
    <row r="3" spans="1:46" ht="14.4" customHeight="1" thickBot="1" x14ac:dyDescent="0.3">
      <c r="A3" s="4035" t="s">
        <v>54</v>
      </c>
      <c r="B3" s="4036"/>
      <c r="C3" s="4036"/>
      <c r="D3" s="4036"/>
      <c r="E3" s="4036"/>
      <c r="F3" s="4037"/>
      <c r="G3" s="4021"/>
      <c r="H3" s="4022"/>
      <c r="I3" s="4022"/>
      <c r="J3" s="4022"/>
      <c r="K3" s="4042"/>
      <c r="L3" s="4143"/>
      <c r="M3" s="4144"/>
      <c r="N3" s="4144"/>
      <c r="O3" s="4144"/>
      <c r="P3" s="631"/>
      <c r="Q3" s="4188"/>
      <c r="R3" s="4189"/>
      <c r="S3" s="4189"/>
      <c r="T3" s="4189"/>
      <c r="U3" s="758"/>
      <c r="V3" s="4175"/>
      <c r="W3" s="4176"/>
      <c r="X3" s="4176"/>
      <c r="Y3" s="4176"/>
      <c r="Z3" s="4177"/>
      <c r="AA3" s="4074"/>
      <c r="AB3" s="4075"/>
      <c r="AC3" s="4075"/>
      <c r="AD3" s="4075"/>
      <c r="AE3" s="4076"/>
      <c r="AF3" s="4080"/>
      <c r="AG3" s="4081"/>
      <c r="AH3" s="4081"/>
      <c r="AI3" s="4081"/>
      <c r="AJ3" s="4082"/>
      <c r="AK3" s="4026"/>
      <c r="AL3" s="4027"/>
      <c r="AM3" s="4027"/>
      <c r="AN3" s="4027"/>
      <c r="AO3" s="4028"/>
      <c r="AP3" s="4214"/>
      <c r="AQ3" s="4215"/>
      <c r="AR3" s="4215"/>
      <c r="AS3" s="4215"/>
      <c r="AT3" s="1604"/>
    </row>
    <row r="4" spans="1:46" ht="41.4" thickBot="1" x14ac:dyDescent="0.3">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1972" t="s">
        <v>55</v>
      </c>
      <c r="AL4" s="1972" t="s">
        <v>18</v>
      </c>
      <c r="AM4" s="1489" t="s">
        <v>39</v>
      </c>
      <c r="AN4" s="1978" t="s">
        <v>40</v>
      </c>
      <c r="AO4" s="1489" t="s">
        <v>19</v>
      </c>
      <c r="AP4" s="1972" t="s">
        <v>55</v>
      </c>
      <c r="AQ4" s="1972" t="s">
        <v>18</v>
      </c>
      <c r="AR4" s="1489" t="s">
        <v>39</v>
      </c>
      <c r="AS4" s="1978" t="s">
        <v>40</v>
      </c>
      <c r="AT4" s="1489" t="s">
        <v>19</v>
      </c>
    </row>
    <row r="5" spans="1:46" s="88" customFormat="1" ht="14.4" thickBot="1" x14ac:dyDescent="0.3">
      <c r="A5" s="83"/>
      <c r="B5" s="84" t="s">
        <v>10</v>
      </c>
      <c r="C5" s="85">
        <f>C6</f>
        <v>2648220</v>
      </c>
      <c r="D5" s="85">
        <f>D6</f>
        <v>0</v>
      </c>
      <c r="E5" s="86">
        <f>E6</f>
        <v>2648220</v>
      </c>
      <c r="F5" s="87"/>
      <c r="G5" s="87">
        <f>G6</f>
        <v>0</v>
      </c>
      <c r="H5" s="87">
        <f>H6</f>
        <v>0</v>
      </c>
      <c r="I5" s="87">
        <f>I6</f>
        <v>0</v>
      </c>
      <c r="J5" s="87"/>
      <c r="K5" s="87"/>
      <c r="L5" s="87">
        <f>L6</f>
        <v>403280</v>
      </c>
      <c r="M5" s="87">
        <f>M6</f>
        <v>0</v>
      </c>
      <c r="N5" s="87">
        <f>N6</f>
        <v>403280</v>
      </c>
      <c r="O5" s="87"/>
      <c r="P5" s="87"/>
      <c r="Q5" s="87">
        <f>Q6+Q7</f>
        <v>652190</v>
      </c>
      <c r="R5" s="87">
        <f>R6+R7</f>
        <v>0</v>
      </c>
      <c r="S5" s="87">
        <f>S6+S7</f>
        <v>652190</v>
      </c>
      <c r="T5" s="87"/>
      <c r="U5" s="87"/>
      <c r="V5" s="87">
        <f>V6+V7</f>
        <v>503834</v>
      </c>
      <c r="W5" s="87">
        <f>W6+W7</f>
        <v>0</v>
      </c>
      <c r="X5" s="87">
        <f>X6+X7</f>
        <v>503834</v>
      </c>
      <c r="Y5" s="87"/>
      <c r="Z5" s="87"/>
      <c r="AA5" s="87">
        <f>AA6+AA7</f>
        <v>1688454.79</v>
      </c>
      <c r="AB5" s="87">
        <f>AB6+AB7</f>
        <v>0</v>
      </c>
      <c r="AC5" s="87">
        <f>AC6+AC7</f>
        <v>1688454.79</v>
      </c>
      <c r="AD5" s="87"/>
      <c r="AE5" s="87"/>
      <c r="AF5" s="87">
        <f>AF6+AF7</f>
        <v>0</v>
      </c>
      <c r="AG5" s="87">
        <f>AG6+AG7</f>
        <v>0</v>
      </c>
      <c r="AH5" s="87">
        <f>AH6+AH7</f>
        <v>0</v>
      </c>
      <c r="AI5" s="87"/>
      <c r="AJ5" s="87"/>
      <c r="AK5" s="1481">
        <f>AK6+AK7</f>
        <v>0</v>
      </c>
      <c r="AL5" s="1481">
        <f>AL6+AL7</f>
        <v>0</v>
      </c>
      <c r="AM5" s="1481">
        <f>AM6+AM7</f>
        <v>0</v>
      </c>
      <c r="AN5" s="1481"/>
      <c r="AO5" s="1481"/>
      <c r="AP5" s="1481">
        <f>AP6+AP7</f>
        <v>3247758.79</v>
      </c>
      <c r="AQ5" s="1481">
        <f>AQ6+AQ7</f>
        <v>0</v>
      </c>
      <c r="AR5" s="1481">
        <f>AR6+AR7</f>
        <v>3247758.79</v>
      </c>
      <c r="AS5" s="1481"/>
      <c r="AT5" s="1481"/>
    </row>
    <row r="6" spans="1:46" s="2" customFormat="1" ht="27.6" outlineLevel="1" x14ac:dyDescent="0.25">
      <c r="A6" s="238"/>
      <c r="B6" s="9" t="s">
        <v>17</v>
      </c>
      <c r="C6" s="104">
        <v>2648220</v>
      </c>
      <c r="D6" s="105"/>
      <c r="E6" s="106">
        <f>C6+D6</f>
        <v>2648220</v>
      </c>
      <c r="F6" s="39"/>
      <c r="G6" s="39"/>
      <c r="H6" s="39"/>
      <c r="I6" s="106">
        <f>G6+H6</f>
        <v>0</v>
      </c>
      <c r="J6" s="39"/>
      <c r="K6" s="39"/>
      <c r="L6" s="39">
        <v>403280</v>
      </c>
      <c r="M6" s="39"/>
      <c r="N6" s="106">
        <f>L6+M6</f>
        <v>403280</v>
      </c>
      <c r="O6" s="39"/>
      <c r="P6" s="39"/>
      <c r="Q6" s="39">
        <f>269770+382420</f>
        <v>652190</v>
      </c>
      <c r="R6" s="39"/>
      <c r="S6" s="106">
        <f>Q6+R6</f>
        <v>652190</v>
      </c>
      <c r="T6" s="39"/>
      <c r="U6" s="39"/>
      <c r="V6" s="39">
        <v>503834</v>
      </c>
      <c r="W6" s="39"/>
      <c r="X6" s="106">
        <f>V6+W6</f>
        <v>503834</v>
      </c>
      <c r="Y6" s="39"/>
      <c r="Z6" s="39"/>
      <c r="AA6" s="39">
        <f>488536+66679.31+340939.48+792300</f>
        <v>1688454.79</v>
      </c>
      <c r="AB6" s="39"/>
      <c r="AC6" s="106">
        <f>AA6+AB6</f>
        <v>1688454.79</v>
      </c>
      <c r="AD6" s="39"/>
      <c r="AE6" s="388" t="s">
        <v>911</v>
      </c>
      <c r="AF6" s="39"/>
      <c r="AG6" s="39"/>
      <c r="AH6" s="106">
        <f>AF6+AG6</f>
        <v>0</v>
      </c>
      <c r="AI6" s="39"/>
      <c r="AJ6" s="388" t="s">
        <v>911</v>
      </c>
      <c r="AK6" s="2059"/>
      <c r="AL6" s="2059"/>
      <c r="AM6" s="2028">
        <f>AK6+AL6</f>
        <v>0</v>
      </c>
      <c r="AN6" s="2059"/>
      <c r="AO6" s="2062"/>
      <c r="AP6" s="2059">
        <f>G6+L6+Q6+V6+AA6+AF6+AK6</f>
        <v>3247758.79</v>
      </c>
      <c r="AQ6" s="2059">
        <f>H6+M6+R6+W6+AB6+AG6+AL6</f>
        <v>0</v>
      </c>
      <c r="AR6" s="2028">
        <f>AP6+AQ6</f>
        <v>3247758.79</v>
      </c>
      <c r="AS6" s="2059"/>
      <c r="AT6" s="2059"/>
    </row>
    <row r="7" spans="1:46" s="2" customFormat="1" ht="33.6" customHeight="1" outlineLevel="1" collapsed="1" thickBot="1" x14ac:dyDescent="0.3">
      <c r="A7" s="238"/>
      <c r="B7" s="10" t="s">
        <v>41</v>
      </c>
      <c r="C7" s="107"/>
      <c r="D7" s="621"/>
      <c r="E7" s="622">
        <f>C7+D7</f>
        <v>0</v>
      </c>
      <c r="F7" s="612"/>
      <c r="G7" s="535"/>
      <c r="H7" s="535"/>
      <c r="I7" s="622">
        <f>G7+H7</f>
        <v>0</v>
      </c>
      <c r="J7" s="612"/>
      <c r="K7" s="612"/>
      <c r="L7" s="535"/>
      <c r="M7" s="535"/>
      <c r="N7" s="622">
        <f>L7+M7</f>
        <v>0</v>
      </c>
      <c r="O7" s="612"/>
      <c r="P7" s="612"/>
      <c r="Q7" s="535"/>
      <c r="R7" s="535"/>
      <c r="S7" s="622">
        <f>Q7+R7</f>
        <v>0</v>
      </c>
      <c r="T7" s="612"/>
      <c r="U7" s="612"/>
      <c r="V7" s="535"/>
      <c r="W7" s="535"/>
      <c r="X7" s="622">
        <f>V7+W7</f>
        <v>0</v>
      </c>
      <c r="Y7" s="612"/>
      <c r="Z7" s="612"/>
      <c r="AA7" s="535"/>
      <c r="AB7" s="535"/>
      <c r="AC7" s="622">
        <f>AA7+AB7</f>
        <v>0</v>
      </c>
      <c r="AD7" s="612"/>
      <c r="AE7" s="612"/>
      <c r="AF7" s="535"/>
      <c r="AG7" s="535"/>
      <c r="AH7" s="622">
        <f>AF7+AG7</f>
        <v>0</v>
      </c>
      <c r="AI7" s="612"/>
      <c r="AJ7" s="612"/>
      <c r="AK7" s="2043"/>
      <c r="AL7" s="2043"/>
      <c r="AM7" s="2046">
        <f>AK7+AL7</f>
        <v>0</v>
      </c>
      <c r="AN7" s="1921"/>
      <c r="AO7" s="1921"/>
      <c r="AP7" s="2059">
        <f>G7+L7+Q7+V7+AA7+AF7+AK7</f>
        <v>0</v>
      </c>
      <c r="AQ7" s="2059">
        <f>H7+M7+R7+W7+AB7+AG7+AL7</f>
        <v>0</v>
      </c>
      <c r="AR7" s="2046">
        <f>AP7+AQ7</f>
        <v>0</v>
      </c>
      <c r="AS7" s="1921"/>
      <c r="AT7" s="1921"/>
    </row>
    <row r="8" spans="1:46" s="88" customFormat="1" ht="15" customHeight="1" outlineLevel="1" thickBot="1" x14ac:dyDescent="0.3">
      <c r="A8" s="238"/>
      <c r="B8" s="617" t="s">
        <v>16</v>
      </c>
      <c r="C8" s="618">
        <f>SUM(C9:C33)</f>
        <v>1843827</v>
      </c>
      <c r="D8" s="618">
        <f>SUM(D9:D33)</f>
        <v>89863</v>
      </c>
      <c r="E8" s="619">
        <f>SUM(E9:E33)</f>
        <v>1933690</v>
      </c>
      <c r="F8" s="577">
        <f t="shared" ref="F8:F21" si="0">E8/$E$89</f>
        <v>0.9022253638758051</v>
      </c>
      <c r="G8" s="618">
        <f>SUM(G9:G33)</f>
        <v>1828.3074000000001</v>
      </c>
      <c r="H8" s="618">
        <f>SUM(H9:H33)</f>
        <v>0</v>
      </c>
      <c r="I8" s="619">
        <f>SUM(I9:I33)</f>
        <v>1828.3074000000001</v>
      </c>
      <c r="J8" s="577">
        <f>I8/$I$89</f>
        <v>7.59914942720952E-2</v>
      </c>
      <c r="K8" s="620"/>
      <c r="L8" s="618">
        <f>SUM(L9:L33)</f>
        <v>208153.00400000002</v>
      </c>
      <c r="M8" s="618">
        <f>SUM(M9:M33)</f>
        <v>0</v>
      </c>
      <c r="N8" s="619">
        <f>SUM(N9:N33)</f>
        <v>208153.00400000002</v>
      </c>
      <c r="O8" s="577">
        <f t="shared" ref="O8:O71" si="1">N8/$N$89</f>
        <v>0.99975504793846326</v>
      </c>
      <c r="P8" s="620"/>
      <c r="Q8" s="618">
        <f>SUM(Q9:Q33)</f>
        <v>538514.52800000005</v>
      </c>
      <c r="R8" s="618">
        <f>SUM(R9:R33)</f>
        <v>0</v>
      </c>
      <c r="S8" s="619">
        <f>SUM(S9:S33)</f>
        <v>538514.52800000005</v>
      </c>
      <c r="T8" s="577">
        <f>S8/$S$89</f>
        <v>0.99991458713067805</v>
      </c>
      <c r="U8" s="620"/>
      <c r="V8" s="618">
        <f>SUM(V9:V33)</f>
        <v>357812</v>
      </c>
      <c r="W8" s="618">
        <f>SUM(W9:W33)</f>
        <v>0</v>
      </c>
      <c r="X8" s="619">
        <f>SUM(X9:X33)</f>
        <v>357812</v>
      </c>
      <c r="Y8" s="577">
        <f>X8/$X$89</f>
        <v>0.99346995328931231</v>
      </c>
      <c r="Z8" s="620"/>
      <c r="AA8" s="618">
        <f>SUM(AA9:AA33)</f>
        <v>248567</v>
      </c>
      <c r="AB8" s="618">
        <f>SUM(AB9:AB33)</f>
        <v>112506.04000000001</v>
      </c>
      <c r="AC8" s="619">
        <f>SUM(AC9:AC33)</f>
        <v>361073.04000000004</v>
      </c>
      <c r="AD8" s="577">
        <f>AC8/$AC$89</f>
        <v>0.99926108382563972</v>
      </c>
      <c r="AE8" s="620"/>
      <c r="AF8" s="618">
        <f>SUM(AF9:AF33)</f>
        <v>803539.23</v>
      </c>
      <c r="AG8" s="618">
        <f>SUM(AG9:AG33)</f>
        <v>40000</v>
      </c>
      <c r="AH8" s="619">
        <f>SUM(AH9:AH33)</f>
        <v>843539.23</v>
      </c>
      <c r="AI8" s="577">
        <f>AH8/$AC$89</f>
        <v>2.334474834286286</v>
      </c>
      <c r="AJ8" s="620"/>
      <c r="AK8" s="1973">
        <f>SUM(AK9:AK33)</f>
        <v>1299.9599999999998</v>
      </c>
      <c r="AL8" s="1973">
        <f>SUM(AL9:AL33)</f>
        <v>0</v>
      </c>
      <c r="AM8" s="1499">
        <f>SUM(AM9:AM33)</f>
        <v>1299.9599999999998</v>
      </c>
      <c r="AN8" s="1543">
        <f>AM8/$AM$89</f>
        <v>1</v>
      </c>
      <c r="AO8" s="1481"/>
      <c r="AP8" s="1973">
        <f>SUM(AP9:AP33)</f>
        <v>2159714.0293999999</v>
      </c>
      <c r="AQ8" s="1973">
        <f>SUM(AQ9:AQ33)</f>
        <v>152506.04</v>
      </c>
      <c r="AR8" s="1499">
        <f>SUM(AR9:AR33)</f>
        <v>2312220.0693999999</v>
      </c>
      <c r="AS8" s="1543">
        <f>AR8/$AR$89</f>
        <v>0.98924133506132883</v>
      </c>
      <c r="AT8" s="1481"/>
    </row>
    <row r="9" spans="1:46" s="2" customFormat="1" ht="92.4" customHeight="1" outlineLevel="2" x14ac:dyDescent="0.25">
      <c r="A9" s="238"/>
      <c r="B9" s="492" t="s">
        <v>74</v>
      </c>
      <c r="C9" s="111"/>
      <c r="D9" s="493"/>
      <c r="E9" s="446">
        <f>C9+D9</f>
        <v>0</v>
      </c>
      <c r="F9" s="447">
        <f t="shared" si="0"/>
        <v>0</v>
      </c>
      <c r="G9" s="452"/>
      <c r="H9" s="452"/>
      <c r="I9" s="453">
        <f>G9+H9*1</f>
        <v>0</v>
      </c>
      <c r="J9" s="447">
        <f>I9/$I$89</f>
        <v>0</v>
      </c>
      <c r="K9" s="458"/>
      <c r="L9" s="452"/>
      <c r="M9" s="452"/>
      <c r="N9" s="453">
        <f>L9+M9*1</f>
        <v>0</v>
      </c>
      <c r="O9" s="447">
        <f>N9/$N$89</f>
        <v>0</v>
      </c>
      <c r="P9" s="458"/>
      <c r="Q9" s="452"/>
      <c r="R9" s="452"/>
      <c r="S9" s="453">
        <f>Q9+R9*1</f>
        <v>0</v>
      </c>
      <c r="T9" s="447">
        <f>S9/$S$89</f>
        <v>0</v>
      </c>
      <c r="U9" s="458"/>
      <c r="V9" s="452"/>
      <c r="W9" s="452"/>
      <c r="X9" s="453">
        <f>V9+W9*1</f>
        <v>0</v>
      </c>
      <c r="Y9" s="447">
        <f t="shared" ref="Y9:Y72" si="2">X9/$X$89</f>
        <v>0</v>
      </c>
      <c r="Z9" s="458"/>
      <c r="AA9" s="452"/>
      <c r="AB9" s="452"/>
      <c r="AC9" s="453">
        <f>AA9+AB9*1</f>
        <v>0</v>
      </c>
      <c r="AD9" s="447">
        <f>AC9/$AC$89</f>
        <v>0</v>
      </c>
      <c r="AE9" s="458"/>
      <c r="AF9" s="452"/>
      <c r="AG9" s="452"/>
      <c r="AH9" s="453">
        <f>AF9+AG9*1</f>
        <v>0</v>
      </c>
      <c r="AI9" s="447">
        <f>AH9/$AC$89</f>
        <v>0</v>
      </c>
      <c r="AJ9" s="458"/>
      <c r="AK9" s="2059"/>
      <c r="AL9" s="2059"/>
      <c r="AM9" s="2061">
        <f>AK9+AL9*1</f>
        <v>0</v>
      </c>
      <c r="AN9" s="1992">
        <f t="shared" ref="AN9:AN72" si="3">AM9/$AM$89</f>
        <v>0</v>
      </c>
      <c r="AO9" s="2062"/>
      <c r="AP9" s="2059">
        <f t="shared" ref="AP9:AQ33" si="4">G9+L9+Q9+V9+AA9+AF9+AK9</f>
        <v>0</v>
      </c>
      <c r="AQ9" s="2059">
        <f t="shared" si="4"/>
        <v>0</v>
      </c>
      <c r="AR9" s="2028">
        <f t="shared" ref="AR9:AR33" si="5">AP9+AQ9</f>
        <v>0</v>
      </c>
      <c r="AS9" s="1992">
        <f>AR9/$AR$89</f>
        <v>0</v>
      </c>
      <c r="AT9" s="1449"/>
    </row>
    <row r="10" spans="1:46" s="2" customFormat="1" ht="37.200000000000003" customHeight="1" outlineLevel="2" x14ac:dyDescent="0.25">
      <c r="A10" s="238"/>
      <c r="B10" s="31" t="s">
        <v>72</v>
      </c>
      <c r="C10" s="111"/>
      <c r="D10" s="112"/>
      <c r="E10" s="106">
        <f t="shared" ref="E10:E33" si="6">C10+D10</f>
        <v>0</v>
      </c>
      <c r="F10" s="177">
        <f t="shared" si="0"/>
        <v>0</v>
      </c>
      <c r="G10" s="39"/>
      <c r="H10" s="39"/>
      <c r="I10" s="210">
        <f t="shared" ref="I10:I22" si="7">G10+H10*1</f>
        <v>0</v>
      </c>
      <c r="J10" s="178">
        <f t="shared" ref="J10:J33" si="8">I10/$I$89</f>
        <v>0</v>
      </c>
      <c r="K10" s="388"/>
      <c r="L10" s="39"/>
      <c r="M10" s="39"/>
      <c r="N10" s="210">
        <f t="shared" ref="N10:N22" si="9">L10+M10*1</f>
        <v>0</v>
      </c>
      <c r="O10" s="178">
        <f t="shared" si="1"/>
        <v>0</v>
      </c>
      <c r="P10" s="388"/>
      <c r="Q10" s="39"/>
      <c r="R10" s="39"/>
      <c r="S10" s="210">
        <f t="shared" ref="S10:S22" si="10">Q10+R10*1</f>
        <v>0</v>
      </c>
      <c r="T10" s="178">
        <f t="shared" ref="T10:T33" si="11">S10/$S$89</f>
        <v>0</v>
      </c>
      <c r="U10" s="388"/>
      <c r="V10" s="39"/>
      <c r="W10" s="39"/>
      <c r="X10" s="210">
        <f t="shared" ref="X10:X22" si="12">V10+W10*1</f>
        <v>0</v>
      </c>
      <c r="Y10" s="178">
        <f t="shared" si="2"/>
        <v>0</v>
      </c>
      <c r="Z10" s="388"/>
      <c r="AA10" s="39"/>
      <c r="AB10" s="39"/>
      <c r="AC10" s="210">
        <f t="shared" ref="AC10:AC22" si="13">AA10+AB10*1</f>
        <v>0</v>
      </c>
      <c r="AD10" s="178">
        <f t="shared" ref="AD10:AD33" si="14">AC10/$AC$89</f>
        <v>0</v>
      </c>
      <c r="AE10" s="388"/>
      <c r="AF10" s="39"/>
      <c r="AG10" s="39"/>
      <c r="AH10" s="210">
        <f t="shared" ref="AH10:AH22" si="15">AF10+AG10*1</f>
        <v>0</v>
      </c>
      <c r="AI10" s="178">
        <f t="shared" ref="AI10:AI33" si="16">AH10/$AC$89</f>
        <v>0</v>
      </c>
      <c r="AJ10" s="388"/>
      <c r="AK10" s="2059"/>
      <c r="AL10" s="2059"/>
      <c r="AM10" s="2061">
        <f t="shared" ref="AM10:AM17" si="17">AK10+AL10*1</f>
        <v>0</v>
      </c>
      <c r="AN10" s="2060">
        <f t="shared" si="3"/>
        <v>0</v>
      </c>
      <c r="AO10" s="2062"/>
      <c r="AP10" s="2059">
        <f t="shared" si="4"/>
        <v>0</v>
      </c>
      <c r="AQ10" s="2059">
        <f t="shared" si="4"/>
        <v>0</v>
      </c>
      <c r="AR10" s="2028">
        <f t="shared" si="5"/>
        <v>0</v>
      </c>
      <c r="AS10" s="2060">
        <f t="shared" ref="AS10:AS21" si="18">AR10/$AR$89</f>
        <v>0</v>
      </c>
      <c r="AT10" s="1449"/>
    </row>
    <row r="11" spans="1:46" s="2" customFormat="1" ht="30.6" customHeight="1" outlineLevel="2" x14ac:dyDescent="0.25">
      <c r="A11" s="238"/>
      <c r="B11" s="31" t="s">
        <v>69</v>
      </c>
      <c r="C11" s="111"/>
      <c r="D11" s="112"/>
      <c r="E11" s="106">
        <f t="shared" si="6"/>
        <v>0</v>
      </c>
      <c r="F11" s="177">
        <f t="shared" si="0"/>
        <v>0</v>
      </c>
      <c r="G11" s="39"/>
      <c r="H11" s="39"/>
      <c r="I11" s="210">
        <f t="shared" si="7"/>
        <v>0</v>
      </c>
      <c r="J11" s="178">
        <f t="shared" si="8"/>
        <v>0</v>
      </c>
      <c r="K11" s="388"/>
      <c r="L11" s="39"/>
      <c r="M11" s="39"/>
      <c r="N11" s="210">
        <f t="shared" si="9"/>
        <v>0</v>
      </c>
      <c r="O11" s="178">
        <f t="shared" si="1"/>
        <v>0</v>
      </c>
      <c r="P11" s="388"/>
      <c r="Q11" s="39"/>
      <c r="R11" s="39"/>
      <c r="S11" s="210">
        <f t="shared" si="10"/>
        <v>0</v>
      </c>
      <c r="T11" s="178">
        <f t="shared" si="11"/>
        <v>0</v>
      </c>
      <c r="U11" s="388"/>
      <c r="V11" s="39"/>
      <c r="W11" s="39"/>
      <c r="X11" s="210">
        <f t="shared" si="12"/>
        <v>0</v>
      </c>
      <c r="Y11" s="178">
        <f t="shared" si="2"/>
        <v>0</v>
      </c>
      <c r="Z11" s="388"/>
      <c r="AA11" s="39"/>
      <c r="AB11" s="39"/>
      <c r="AC11" s="210">
        <f t="shared" si="13"/>
        <v>0</v>
      </c>
      <c r="AD11" s="178">
        <f t="shared" si="14"/>
        <v>0</v>
      </c>
      <c r="AE11" s="388"/>
      <c r="AF11" s="39"/>
      <c r="AG11" s="39"/>
      <c r="AH11" s="210">
        <f t="shared" si="15"/>
        <v>0</v>
      </c>
      <c r="AI11" s="178">
        <f t="shared" si="16"/>
        <v>0</v>
      </c>
      <c r="AJ11" s="388"/>
      <c r="AK11" s="2059"/>
      <c r="AL11" s="2059"/>
      <c r="AM11" s="2061">
        <f t="shared" si="17"/>
        <v>0</v>
      </c>
      <c r="AN11" s="2060">
        <f t="shared" si="3"/>
        <v>0</v>
      </c>
      <c r="AO11" s="2062"/>
      <c r="AP11" s="2059">
        <f t="shared" si="4"/>
        <v>0</v>
      </c>
      <c r="AQ11" s="2059">
        <f t="shared" si="4"/>
        <v>0</v>
      </c>
      <c r="AR11" s="2028">
        <f t="shared" si="5"/>
        <v>0</v>
      </c>
      <c r="AS11" s="2060">
        <f t="shared" si="18"/>
        <v>0</v>
      </c>
      <c r="AT11" s="1449"/>
    </row>
    <row r="12" spans="1:46" s="2" customFormat="1" ht="36" customHeight="1" outlineLevel="2" x14ac:dyDescent="0.25">
      <c r="A12" s="238"/>
      <c r="B12" s="31" t="s">
        <v>73</v>
      </c>
      <c r="C12" s="111">
        <v>17187</v>
      </c>
      <c r="D12" s="112"/>
      <c r="E12" s="106">
        <f t="shared" si="6"/>
        <v>17187</v>
      </c>
      <c r="F12" s="177">
        <f t="shared" si="0"/>
        <v>8.0191485341153251E-3</v>
      </c>
      <c r="G12" s="39"/>
      <c r="H12" s="39"/>
      <c r="I12" s="210">
        <f t="shared" si="7"/>
        <v>0</v>
      </c>
      <c r="J12" s="178">
        <f t="shared" si="8"/>
        <v>0</v>
      </c>
      <c r="K12" s="388"/>
      <c r="L12" s="39"/>
      <c r="M12" s="39"/>
      <c r="N12" s="210">
        <f t="shared" si="9"/>
        <v>0</v>
      </c>
      <c r="O12" s="178">
        <f t="shared" si="1"/>
        <v>0</v>
      </c>
      <c r="P12" s="388"/>
      <c r="Q12" s="39"/>
      <c r="R12" s="39"/>
      <c r="S12" s="210">
        <f t="shared" si="10"/>
        <v>0</v>
      </c>
      <c r="T12" s="178">
        <f t="shared" si="11"/>
        <v>0</v>
      </c>
      <c r="U12" s="388"/>
      <c r="V12" s="39"/>
      <c r="W12" s="39"/>
      <c r="X12" s="210">
        <f t="shared" si="12"/>
        <v>0</v>
      </c>
      <c r="Y12" s="178">
        <f t="shared" si="2"/>
        <v>0</v>
      </c>
      <c r="Z12" s="388"/>
      <c r="AA12" s="39"/>
      <c r="AB12" s="39"/>
      <c r="AC12" s="210">
        <f t="shared" si="13"/>
        <v>0</v>
      </c>
      <c r="AD12" s="178">
        <f t="shared" si="14"/>
        <v>0</v>
      </c>
      <c r="AE12" s="388"/>
      <c r="AF12" s="39"/>
      <c r="AG12" s="39"/>
      <c r="AH12" s="210">
        <f t="shared" si="15"/>
        <v>0</v>
      </c>
      <c r="AI12" s="178">
        <f t="shared" si="16"/>
        <v>0</v>
      </c>
      <c r="AJ12" s="388"/>
      <c r="AK12" s="2059"/>
      <c r="AL12" s="2059"/>
      <c r="AM12" s="2061">
        <f t="shared" si="17"/>
        <v>0</v>
      </c>
      <c r="AN12" s="2060">
        <f t="shared" si="3"/>
        <v>0</v>
      </c>
      <c r="AO12" s="2062"/>
      <c r="AP12" s="2059">
        <f t="shared" si="4"/>
        <v>0</v>
      </c>
      <c r="AQ12" s="2059">
        <f t="shared" si="4"/>
        <v>0</v>
      </c>
      <c r="AR12" s="2028">
        <f t="shared" si="5"/>
        <v>0</v>
      </c>
      <c r="AS12" s="2060">
        <f t="shared" si="18"/>
        <v>0</v>
      </c>
      <c r="AT12" s="1449"/>
    </row>
    <row r="13" spans="1:46" s="2" customFormat="1" ht="54" customHeight="1" outlineLevel="2" x14ac:dyDescent="0.25">
      <c r="A13" s="238"/>
      <c r="B13" s="31" t="s">
        <v>71</v>
      </c>
      <c r="C13" s="111">
        <v>4163</v>
      </c>
      <c r="D13" s="112"/>
      <c r="E13" s="106">
        <f t="shared" si="6"/>
        <v>4163</v>
      </c>
      <c r="F13" s="177">
        <f t="shared" si="0"/>
        <v>1.9423817622343689E-3</v>
      </c>
      <c r="G13" s="39">
        <v>859.08420000000001</v>
      </c>
      <c r="H13" s="39"/>
      <c r="I13" s="210">
        <f t="shared" si="7"/>
        <v>859.08420000000001</v>
      </c>
      <c r="J13" s="178">
        <f t="shared" si="8"/>
        <v>3.5706846706165217E-2</v>
      </c>
      <c r="K13" s="388" t="s">
        <v>785</v>
      </c>
      <c r="L13" s="39">
        <v>1364</v>
      </c>
      <c r="M13" s="39"/>
      <c r="N13" s="210">
        <f t="shared" si="9"/>
        <v>1364</v>
      </c>
      <c r="O13" s="178">
        <f t="shared" si="1"/>
        <v>6.5512669007076344E-3</v>
      </c>
      <c r="P13" s="388" t="s">
        <v>785</v>
      </c>
      <c r="Q13" s="39">
        <v>1364</v>
      </c>
      <c r="R13" s="39"/>
      <c r="S13" s="210">
        <f t="shared" si="10"/>
        <v>1364</v>
      </c>
      <c r="T13" s="178">
        <f t="shared" si="11"/>
        <v>2.5326772555451741E-3</v>
      </c>
      <c r="U13" s="388" t="s">
        <v>785</v>
      </c>
      <c r="V13" s="39">
        <v>1209</v>
      </c>
      <c r="W13" s="39"/>
      <c r="X13" s="210">
        <f t="shared" si="12"/>
        <v>1209</v>
      </c>
      <c r="Y13" s="178">
        <f t="shared" si="2"/>
        <v>3.3568051756977927E-3</v>
      </c>
      <c r="Z13" s="388" t="s">
        <v>785</v>
      </c>
      <c r="AA13" s="39">
        <v>1269</v>
      </c>
      <c r="AB13" s="39"/>
      <c r="AC13" s="210">
        <f t="shared" si="13"/>
        <v>1269</v>
      </c>
      <c r="AD13" s="178">
        <f t="shared" si="14"/>
        <v>3.5119274354428031E-3</v>
      </c>
      <c r="AE13" s="388" t="s">
        <v>785</v>
      </c>
      <c r="AF13" s="39">
        <f>708.64-370</f>
        <v>338.64</v>
      </c>
      <c r="AG13" s="39"/>
      <c r="AH13" s="210">
        <f t="shared" si="15"/>
        <v>338.64</v>
      </c>
      <c r="AI13" s="178">
        <f t="shared" si="16"/>
        <v>9.3717817709877921E-4</v>
      </c>
      <c r="AJ13" s="388" t="s">
        <v>785</v>
      </c>
      <c r="AK13" s="2059"/>
      <c r="AL13" s="2059"/>
      <c r="AM13" s="2061">
        <f t="shared" si="17"/>
        <v>0</v>
      </c>
      <c r="AN13" s="2060">
        <f t="shared" si="3"/>
        <v>0</v>
      </c>
      <c r="AO13" s="2062"/>
      <c r="AP13" s="2059">
        <f t="shared" si="4"/>
        <v>6403.7242000000006</v>
      </c>
      <c r="AQ13" s="2059">
        <f t="shared" si="4"/>
        <v>0</v>
      </c>
      <c r="AR13" s="2028">
        <f t="shared" si="5"/>
        <v>6403.7242000000006</v>
      </c>
      <c r="AS13" s="2060">
        <f t="shared" si="18"/>
        <v>2.7397170195034119E-3</v>
      </c>
      <c r="AT13" s="1449"/>
    </row>
    <row r="14" spans="1:46" s="2" customFormat="1" ht="14.4" customHeight="1" outlineLevel="2" x14ac:dyDescent="0.25">
      <c r="A14" s="238"/>
      <c r="B14" s="31" t="s">
        <v>70</v>
      </c>
      <c r="C14" s="111">
        <v>4697</v>
      </c>
      <c r="D14" s="112"/>
      <c r="E14" s="106">
        <f t="shared" si="6"/>
        <v>4697</v>
      </c>
      <c r="F14" s="177">
        <f t="shared" si="0"/>
        <v>2.1915366651969327E-3</v>
      </c>
      <c r="G14" s="39">
        <v>969.22320000000013</v>
      </c>
      <c r="H14" s="39"/>
      <c r="I14" s="210">
        <f t="shared" si="7"/>
        <v>969.22320000000013</v>
      </c>
      <c r="J14" s="178">
        <f t="shared" si="8"/>
        <v>4.028464756592999E-2</v>
      </c>
      <c r="K14" s="388"/>
      <c r="L14" s="39">
        <v>1209</v>
      </c>
      <c r="M14" s="39"/>
      <c r="N14" s="210">
        <f t="shared" si="9"/>
        <v>1209</v>
      </c>
      <c r="O14" s="178">
        <f t="shared" si="1"/>
        <v>5.8068047528999486E-3</v>
      </c>
      <c r="P14" s="388"/>
      <c r="Q14" s="39">
        <v>1209</v>
      </c>
      <c r="R14" s="39"/>
      <c r="S14" s="210">
        <f t="shared" si="10"/>
        <v>1209</v>
      </c>
      <c r="T14" s="178">
        <f t="shared" si="11"/>
        <v>2.2448730219604951E-3</v>
      </c>
      <c r="U14" s="388"/>
      <c r="V14" s="39">
        <v>1364</v>
      </c>
      <c r="W14" s="39"/>
      <c r="X14" s="210">
        <f t="shared" si="12"/>
        <v>1364</v>
      </c>
      <c r="Y14" s="178">
        <f t="shared" si="2"/>
        <v>3.7871648136077662E-3</v>
      </c>
      <c r="Z14" s="388"/>
      <c r="AA14" s="39">
        <v>1364</v>
      </c>
      <c r="AB14" s="39"/>
      <c r="AC14" s="210">
        <f t="shared" si="13"/>
        <v>1364</v>
      </c>
      <c r="AD14" s="178">
        <f t="shared" si="14"/>
        <v>3.7748376847470317E-3</v>
      </c>
      <c r="AE14" s="388"/>
      <c r="AF14" s="39">
        <f>799.49+310</f>
        <v>1109.49</v>
      </c>
      <c r="AG14" s="39"/>
      <c r="AH14" s="210">
        <f t="shared" si="15"/>
        <v>1109.49</v>
      </c>
      <c r="AI14" s="178">
        <f t="shared" si="16"/>
        <v>3.0704872894794606E-3</v>
      </c>
      <c r="AJ14" s="388"/>
      <c r="AK14" s="2059"/>
      <c r="AL14" s="2059"/>
      <c r="AM14" s="2061">
        <f t="shared" si="17"/>
        <v>0</v>
      </c>
      <c r="AN14" s="2060">
        <f t="shared" si="3"/>
        <v>0</v>
      </c>
      <c r="AO14" s="2062"/>
      <c r="AP14" s="2059">
        <f t="shared" si="4"/>
        <v>7224.7132000000001</v>
      </c>
      <c r="AQ14" s="2059">
        <f t="shared" si="4"/>
        <v>0</v>
      </c>
      <c r="AR14" s="2028">
        <f t="shared" si="5"/>
        <v>7224.7132000000001</v>
      </c>
      <c r="AS14" s="2060">
        <f t="shared" si="18"/>
        <v>3.090962242732277E-3</v>
      </c>
      <c r="AT14" s="1449"/>
    </row>
    <row r="15" spans="1:46" s="2" customFormat="1" ht="14.4" customHeight="1" outlineLevel="2" x14ac:dyDescent="0.25">
      <c r="A15" s="238"/>
      <c r="B15" s="7" t="s">
        <v>20</v>
      </c>
      <c r="C15" s="111"/>
      <c r="D15" s="113"/>
      <c r="E15" s="106">
        <f t="shared" si="6"/>
        <v>0</v>
      </c>
      <c r="F15" s="177">
        <f t="shared" si="0"/>
        <v>0</v>
      </c>
      <c r="G15" s="39"/>
      <c r="H15" s="39"/>
      <c r="I15" s="210">
        <f t="shared" si="7"/>
        <v>0</v>
      </c>
      <c r="J15" s="178">
        <f t="shared" si="8"/>
        <v>0</v>
      </c>
      <c r="K15" s="388"/>
      <c r="L15" s="39"/>
      <c r="M15" s="39"/>
      <c r="N15" s="210">
        <f t="shared" si="9"/>
        <v>0</v>
      </c>
      <c r="O15" s="178">
        <f t="shared" si="1"/>
        <v>0</v>
      </c>
      <c r="P15" s="388"/>
      <c r="Q15" s="39"/>
      <c r="R15" s="39"/>
      <c r="S15" s="210">
        <f t="shared" si="10"/>
        <v>0</v>
      </c>
      <c r="T15" s="178">
        <f t="shared" si="11"/>
        <v>0</v>
      </c>
      <c r="U15" s="388"/>
      <c r="V15" s="39"/>
      <c r="W15" s="39"/>
      <c r="X15" s="210">
        <f t="shared" si="12"/>
        <v>0</v>
      </c>
      <c r="Y15" s="178">
        <f t="shared" si="2"/>
        <v>0</v>
      </c>
      <c r="Z15" s="388"/>
      <c r="AA15" s="39"/>
      <c r="AB15" s="39"/>
      <c r="AC15" s="210">
        <f t="shared" si="13"/>
        <v>0</v>
      </c>
      <c r="AD15" s="178">
        <f t="shared" si="14"/>
        <v>0</v>
      </c>
      <c r="AE15" s="388"/>
      <c r="AF15" s="39"/>
      <c r="AG15" s="39"/>
      <c r="AH15" s="210">
        <f t="shared" si="15"/>
        <v>0</v>
      </c>
      <c r="AI15" s="178">
        <f t="shared" si="16"/>
        <v>0</v>
      </c>
      <c r="AJ15" s="388"/>
      <c r="AK15" s="2059"/>
      <c r="AL15" s="2059"/>
      <c r="AM15" s="2061">
        <f t="shared" si="17"/>
        <v>0</v>
      </c>
      <c r="AN15" s="2060">
        <f t="shared" si="3"/>
        <v>0</v>
      </c>
      <c r="AO15" s="2062"/>
      <c r="AP15" s="2059">
        <f t="shared" si="4"/>
        <v>0</v>
      </c>
      <c r="AQ15" s="2059">
        <f t="shared" si="4"/>
        <v>0</v>
      </c>
      <c r="AR15" s="2028">
        <f t="shared" si="5"/>
        <v>0</v>
      </c>
      <c r="AS15" s="2060">
        <f t="shared" si="18"/>
        <v>0</v>
      </c>
      <c r="AT15" s="1449"/>
    </row>
    <row r="16" spans="1:46" s="2" customFormat="1" ht="103.95" customHeight="1" outlineLevel="2" x14ac:dyDescent="0.25">
      <c r="A16" s="292"/>
      <c r="B16" s="7" t="s">
        <v>21</v>
      </c>
      <c r="C16" s="111"/>
      <c r="D16" s="113"/>
      <c r="E16" s="106">
        <f t="shared" si="6"/>
        <v>0</v>
      </c>
      <c r="F16" s="177">
        <f t="shared" si="0"/>
        <v>0</v>
      </c>
      <c r="G16" s="39"/>
      <c r="H16" s="39"/>
      <c r="I16" s="210">
        <f t="shared" si="7"/>
        <v>0</v>
      </c>
      <c r="J16" s="178">
        <f t="shared" si="8"/>
        <v>0</v>
      </c>
      <c r="K16" s="388"/>
      <c r="L16" s="39"/>
      <c r="M16" s="39"/>
      <c r="N16" s="210">
        <f t="shared" si="9"/>
        <v>0</v>
      </c>
      <c r="O16" s="178">
        <f t="shared" si="1"/>
        <v>0</v>
      </c>
      <c r="P16" s="388"/>
      <c r="Q16" s="39"/>
      <c r="R16" s="39"/>
      <c r="S16" s="210">
        <f t="shared" si="10"/>
        <v>0</v>
      </c>
      <c r="T16" s="178">
        <f t="shared" si="11"/>
        <v>0</v>
      </c>
      <c r="U16" s="388"/>
      <c r="V16" s="39"/>
      <c r="W16" s="39"/>
      <c r="X16" s="210">
        <f t="shared" si="12"/>
        <v>0</v>
      </c>
      <c r="Y16" s="178">
        <f t="shared" si="2"/>
        <v>0</v>
      </c>
      <c r="Z16" s="388"/>
      <c r="AA16" s="39"/>
      <c r="AB16" s="39">
        <f>45892.04+62914</f>
        <v>108806.04000000001</v>
      </c>
      <c r="AC16" s="210">
        <f t="shared" si="13"/>
        <v>108806.04000000001</v>
      </c>
      <c r="AD16" s="178">
        <f t="shared" si="14"/>
        <v>0.30111813791795672</v>
      </c>
      <c r="AE16" s="388" t="s">
        <v>920</v>
      </c>
      <c r="AF16" s="39"/>
      <c r="AG16" s="39"/>
      <c r="AH16" s="210">
        <f t="shared" si="15"/>
        <v>0</v>
      </c>
      <c r="AI16" s="178">
        <f t="shared" si="16"/>
        <v>0</v>
      </c>
      <c r="AJ16" s="388" t="s">
        <v>920</v>
      </c>
      <c r="AK16" s="2059"/>
      <c r="AL16" s="2059"/>
      <c r="AM16" s="2061">
        <f t="shared" si="17"/>
        <v>0</v>
      </c>
      <c r="AN16" s="2060">
        <f t="shared" si="3"/>
        <v>0</v>
      </c>
      <c r="AO16" s="2062"/>
      <c r="AP16" s="2059">
        <f t="shared" si="4"/>
        <v>0</v>
      </c>
      <c r="AQ16" s="2059">
        <f t="shared" si="4"/>
        <v>108806.04000000001</v>
      </c>
      <c r="AR16" s="2028">
        <f t="shared" si="5"/>
        <v>108806.04000000001</v>
      </c>
      <c r="AS16" s="2060">
        <f t="shared" si="18"/>
        <v>4.6550686803902175E-2</v>
      </c>
      <c r="AT16" s="1449"/>
    </row>
    <row r="17" spans="1:46" s="2" customFormat="1" ht="58.2" customHeight="1" outlineLevel="2" x14ac:dyDescent="0.25">
      <c r="A17" s="238"/>
      <c r="B17" s="7" t="s">
        <v>22</v>
      </c>
      <c r="C17" s="111"/>
      <c r="D17" s="113"/>
      <c r="E17" s="106">
        <f t="shared" si="6"/>
        <v>0</v>
      </c>
      <c r="F17" s="177">
        <f t="shared" si="0"/>
        <v>0</v>
      </c>
      <c r="G17" s="39"/>
      <c r="H17" s="39"/>
      <c r="I17" s="210">
        <f t="shared" si="7"/>
        <v>0</v>
      </c>
      <c r="J17" s="178">
        <f t="shared" si="8"/>
        <v>0</v>
      </c>
      <c r="K17" s="388"/>
      <c r="L17" s="39"/>
      <c r="M17" s="39"/>
      <c r="N17" s="210">
        <f t="shared" si="9"/>
        <v>0</v>
      </c>
      <c r="O17" s="178">
        <f t="shared" si="1"/>
        <v>0</v>
      </c>
      <c r="P17" s="388"/>
      <c r="Q17" s="39"/>
      <c r="R17" s="39"/>
      <c r="S17" s="210">
        <f t="shared" si="10"/>
        <v>0</v>
      </c>
      <c r="T17" s="178">
        <f t="shared" si="11"/>
        <v>0</v>
      </c>
      <c r="U17" s="388"/>
      <c r="V17" s="39"/>
      <c r="W17" s="39"/>
      <c r="X17" s="210">
        <f t="shared" si="12"/>
        <v>0</v>
      </c>
      <c r="Y17" s="178">
        <f t="shared" si="2"/>
        <v>0</v>
      </c>
      <c r="Z17" s="388"/>
      <c r="AA17" s="39"/>
      <c r="AB17" s="39"/>
      <c r="AC17" s="210">
        <f t="shared" si="13"/>
        <v>0</v>
      </c>
      <c r="AD17" s="178">
        <f t="shared" si="14"/>
        <v>0</v>
      </c>
      <c r="AE17" s="388"/>
      <c r="AF17" s="39"/>
      <c r="AG17" s="39"/>
      <c r="AH17" s="210">
        <f t="shared" si="15"/>
        <v>0</v>
      </c>
      <c r="AI17" s="178">
        <f t="shared" si="16"/>
        <v>0</v>
      </c>
      <c r="AJ17" s="388"/>
      <c r="AK17" s="2059"/>
      <c r="AL17" s="2059"/>
      <c r="AM17" s="2061">
        <f t="shared" si="17"/>
        <v>0</v>
      </c>
      <c r="AN17" s="2060">
        <f t="shared" si="3"/>
        <v>0</v>
      </c>
      <c r="AO17" s="2062"/>
      <c r="AP17" s="2059">
        <f t="shared" si="4"/>
        <v>0</v>
      </c>
      <c r="AQ17" s="2059">
        <f t="shared" si="4"/>
        <v>0</v>
      </c>
      <c r="AR17" s="2028">
        <f t="shared" si="5"/>
        <v>0</v>
      </c>
      <c r="AS17" s="2060">
        <f t="shared" si="18"/>
        <v>0</v>
      </c>
      <c r="AT17" s="1449"/>
    </row>
    <row r="18" spans="1:46" s="2" customFormat="1" ht="58.2" customHeight="1" outlineLevel="2" x14ac:dyDescent="0.25">
      <c r="A18" s="238"/>
      <c r="B18" s="7" t="s">
        <v>0</v>
      </c>
      <c r="C18" s="111">
        <v>1813130</v>
      </c>
      <c r="D18" s="113"/>
      <c r="E18" s="106">
        <f t="shared" si="6"/>
        <v>1813130</v>
      </c>
      <c r="F18" s="177">
        <f t="shared" si="0"/>
        <v>0.84597421200096112</v>
      </c>
      <c r="G18" s="39"/>
      <c r="H18" s="39"/>
      <c r="I18" s="210">
        <f t="shared" si="7"/>
        <v>0</v>
      </c>
      <c r="J18" s="178">
        <f t="shared" si="8"/>
        <v>0</v>
      </c>
      <c r="K18" s="388"/>
      <c r="L18" s="39">
        <f>171316.67*1.2</f>
        <v>205580.00400000002</v>
      </c>
      <c r="M18" s="39"/>
      <c r="N18" s="210">
        <f t="shared" si="9"/>
        <v>205580.00400000002</v>
      </c>
      <c r="O18" s="178">
        <f t="shared" si="1"/>
        <v>0.98739697628485568</v>
      </c>
      <c r="P18" s="388" t="s">
        <v>848</v>
      </c>
      <c r="Q18" s="39">
        <f>377615*1.2</f>
        <v>453138</v>
      </c>
      <c r="R18" s="39"/>
      <c r="S18" s="210">
        <f t="shared" si="10"/>
        <v>453138</v>
      </c>
      <c r="T18" s="178">
        <f t="shared" si="11"/>
        <v>0.84138732127802718</v>
      </c>
      <c r="U18" s="388" t="s">
        <v>889</v>
      </c>
      <c r="V18" s="39">
        <v>283000</v>
      </c>
      <c r="W18" s="39"/>
      <c r="X18" s="210">
        <f t="shared" si="12"/>
        <v>283000</v>
      </c>
      <c r="Y18" s="178">
        <f t="shared" si="2"/>
        <v>0.78575340340982247</v>
      </c>
      <c r="Z18" s="388" t="s">
        <v>904</v>
      </c>
      <c r="AA18" s="39">
        <f>204945*1.2</f>
        <v>245934</v>
      </c>
      <c r="AB18" s="39"/>
      <c r="AC18" s="210">
        <f t="shared" si="13"/>
        <v>245934</v>
      </c>
      <c r="AD18" s="178">
        <f t="shared" si="14"/>
        <v>0.68061651844617044</v>
      </c>
      <c r="AE18" s="388" t="s">
        <v>889</v>
      </c>
      <c r="AF18" s="39">
        <f>634826.25*1.2</f>
        <v>761791.5</v>
      </c>
      <c r="AG18" s="39">
        <v>10000</v>
      </c>
      <c r="AH18" s="210">
        <f>AF18+AG18*1</f>
        <v>771791.5</v>
      </c>
      <c r="AI18" s="178">
        <f t="shared" si="16"/>
        <v>2.1359146913251017</v>
      </c>
      <c r="AJ18" s="388" t="s">
        <v>889</v>
      </c>
      <c r="AK18" s="2059"/>
      <c r="AL18" s="2059"/>
      <c r="AM18" s="2061">
        <f>AK18+AL18*1</f>
        <v>0</v>
      </c>
      <c r="AN18" s="2060">
        <f t="shared" si="3"/>
        <v>0</v>
      </c>
      <c r="AO18" s="2062"/>
      <c r="AP18" s="2059">
        <f t="shared" si="4"/>
        <v>1949443.504</v>
      </c>
      <c r="AQ18" s="2059">
        <f t="shared" si="4"/>
        <v>10000</v>
      </c>
      <c r="AR18" s="2028">
        <f t="shared" si="5"/>
        <v>1959443.504</v>
      </c>
      <c r="AS18" s="2060">
        <f t="shared" si="18"/>
        <v>0.83831229281613995</v>
      </c>
      <c r="AT18" s="1449"/>
    </row>
    <row r="19" spans="1:46" s="2" customFormat="1" ht="40.950000000000003" customHeight="1" outlineLevel="2" x14ac:dyDescent="0.25">
      <c r="A19" s="238"/>
      <c r="B19" s="7" t="s">
        <v>53</v>
      </c>
      <c r="C19" s="114"/>
      <c r="D19" s="113"/>
      <c r="E19" s="106">
        <f t="shared" si="6"/>
        <v>0</v>
      </c>
      <c r="F19" s="177">
        <f t="shared" si="0"/>
        <v>0</v>
      </c>
      <c r="G19" s="39"/>
      <c r="H19" s="39"/>
      <c r="I19" s="210">
        <f t="shared" si="7"/>
        <v>0</v>
      </c>
      <c r="J19" s="178">
        <f t="shared" si="8"/>
        <v>0</v>
      </c>
      <c r="K19" s="388"/>
      <c r="L19" s="39"/>
      <c r="M19" s="39"/>
      <c r="N19" s="210">
        <f t="shared" si="9"/>
        <v>0</v>
      </c>
      <c r="O19" s="178">
        <f t="shared" si="1"/>
        <v>0</v>
      </c>
      <c r="P19" s="388"/>
      <c r="Q19" s="39"/>
      <c r="R19" s="39"/>
      <c r="S19" s="210">
        <f t="shared" si="10"/>
        <v>0</v>
      </c>
      <c r="T19" s="178">
        <f t="shared" si="11"/>
        <v>0</v>
      </c>
      <c r="U19" s="388"/>
      <c r="V19" s="39"/>
      <c r="W19" s="39"/>
      <c r="X19" s="210">
        <f t="shared" si="12"/>
        <v>0</v>
      </c>
      <c r="Y19" s="178">
        <f t="shared" si="2"/>
        <v>0</v>
      </c>
      <c r="Z19" s="388"/>
      <c r="AA19" s="39"/>
      <c r="AB19" s="39"/>
      <c r="AC19" s="210">
        <f t="shared" si="13"/>
        <v>0</v>
      </c>
      <c r="AD19" s="178">
        <f t="shared" si="14"/>
        <v>0</v>
      </c>
      <c r="AE19" s="388"/>
      <c r="AF19" s="39"/>
      <c r="AG19" s="39"/>
      <c r="AH19" s="210">
        <f t="shared" si="15"/>
        <v>0</v>
      </c>
      <c r="AI19" s="178">
        <f t="shared" si="16"/>
        <v>0</v>
      </c>
      <c r="AJ19" s="388"/>
      <c r="AK19" s="2059"/>
      <c r="AL19" s="2059"/>
      <c r="AM19" s="2061">
        <f>AK19+AL19*1</f>
        <v>0</v>
      </c>
      <c r="AN19" s="2060">
        <f t="shared" si="3"/>
        <v>0</v>
      </c>
      <c r="AO19" s="2062"/>
      <c r="AP19" s="2059">
        <f t="shared" si="4"/>
        <v>0</v>
      </c>
      <c r="AQ19" s="2059">
        <f t="shared" si="4"/>
        <v>0</v>
      </c>
      <c r="AR19" s="2028">
        <f t="shared" si="5"/>
        <v>0</v>
      </c>
      <c r="AS19" s="2060">
        <f t="shared" si="18"/>
        <v>0</v>
      </c>
      <c r="AT19" s="1449"/>
    </row>
    <row r="20" spans="1:46" s="2" customFormat="1" ht="28.95" customHeight="1" outlineLevel="2" x14ac:dyDescent="0.25">
      <c r="A20" s="238"/>
      <c r="B20" s="7" t="s">
        <v>57</v>
      </c>
      <c r="C20" s="114"/>
      <c r="D20" s="113"/>
      <c r="E20" s="106">
        <f t="shared" si="6"/>
        <v>0</v>
      </c>
      <c r="F20" s="177">
        <f t="shared" si="0"/>
        <v>0</v>
      </c>
      <c r="G20" s="39"/>
      <c r="H20" s="39"/>
      <c r="I20" s="210">
        <f t="shared" si="7"/>
        <v>0</v>
      </c>
      <c r="J20" s="178">
        <f t="shared" si="8"/>
        <v>0</v>
      </c>
      <c r="K20" s="388"/>
      <c r="L20" s="39"/>
      <c r="M20" s="39"/>
      <c r="N20" s="210">
        <f t="shared" si="9"/>
        <v>0</v>
      </c>
      <c r="O20" s="178">
        <f t="shared" si="1"/>
        <v>0</v>
      </c>
      <c r="P20" s="388"/>
      <c r="Q20" s="39"/>
      <c r="R20" s="39"/>
      <c r="S20" s="210">
        <f t="shared" si="10"/>
        <v>0</v>
      </c>
      <c r="T20" s="178">
        <f t="shared" si="11"/>
        <v>0</v>
      </c>
      <c r="U20" s="388"/>
      <c r="V20" s="39"/>
      <c r="W20" s="39"/>
      <c r="X20" s="210">
        <f t="shared" si="12"/>
        <v>0</v>
      </c>
      <c r="Y20" s="178">
        <f t="shared" si="2"/>
        <v>0</v>
      </c>
      <c r="Z20" s="388"/>
      <c r="AA20" s="39"/>
      <c r="AB20" s="39"/>
      <c r="AC20" s="210">
        <f t="shared" si="13"/>
        <v>0</v>
      </c>
      <c r="AD20" s="178">
        <f t="shared" si="14"/>
        <v>0</v>
      </c>
      <c r="AE20" s="388"/>
      <c r="AF20" s="39"/>
      <c r="AG20" s="39"/>
      <c r="AH20" s="210">
        <f t="shared" si="15"/>
        <v>0</v>
      </c>
      <c r="AI20" s="178">
        <f t="shared" si="16"/>
        <v>0</v>
      </c>
      <c r="AJ20" s="388"/>
      <c r="AK20" s="2059"/>
      <c r="AL20" s="2059"/>
      <c r="AM20" s="2061">
        <f>AK20+AL20*1</f>
        <v>0</v>
      </c>
      <c r="AN20" s="2060">
        <f t="shared" si="3"/>
        <v>0</v>
      </c>
      <c r="AO20" s="2062"/>
      <c r="AP20" s="2059">
        <f t="shared" si="4"/>
        <v>0</v>
      </c>
      <c r="AQ20" s="2059">
        <f t="shared" si="4"/>
        <v>0</v>
      </c>
      <c r="AR20" s="2028">
        <f t="shared" si="5"/>
        <v>0</v>
      </c>
      <c r="AS20" s="2060">
        <f t="shared" si="18"/>
        <v>0</v>
      </c>
      <c r="AT20" s="1449"/>
    </row>
    <row r="21" spans="1:46" s="2" customFormat="1" ht="13.8" outlineLevel="2" x14ac:dyDescent="0.25">
      <c r="A21" s="238"/>
      <c r="B21" s="7" t="s">
        <v>58</v>
      </c>
      <c r="C21" s="114"/>
      <c r="D21" s="113"/>
      <c r="E21" s="106">
        <f t="shared" si="6"/>
        <v>0</v>
      </c>
      <c r="F21" s="177">
        <f t="shared" si="0"/>
        <v>0</v>
      </c>
      <c r="G21" s="39"/>
      <c r="H21" s="39"/>
      <c r="I21" s="210">
        <f t="shared" si="7"/>
        <v>0</v>
      </c>
      <c r="J21" s="178">
        <f t="shared" si="8"/>
        <v>0</v>
      </c>
      <c r="K21" s="388"/>
      <c r="L21" s="39"/>
      <c r="M21" s="39"/>
      <c r="N21" s="210">
        <f t="shared" si="9"/>
        <v>0</v>
      </c>
      <c r="O21" s="178">
        <f t="shared" si="1"/>
        <v>0</v>
      </c>
      <c r="P21" s="388"/>
      <c r="Q21" s="39"/>
      <c r="R21" s="39"/>
      <c r="S21" s="210">
        <f t="shared" si="10"/>
        <v>0</v>
      </c>
      <c r="T21" s="178">
        <f t="shared" si="11"/>
        <v>0</v>
      </c>
      <c r="U21" s="388"/>
      <c r="V21" s="39">
        <v>72239</v>
      </c>
      <c r="W21" s="39"/>
      <c r="X21" s="210">
        <f t="shared" si="12"/>
        <v>72239</v>
      </c>
      <c r="Y21" s="178">
        <f t="shared" si="2"/>
        <v>0.20057257989018432</v>
      </c>
      <c r="Z21" s="388" t="s">
        <v>900</v>
      </c>
      <c r="AA21" s="39"/>
      <c r="AB21" s="39"/>
      <c r="AC21" s="210">
        <f t="shared" si="13"/>
        <v>0</v>
      </c>
      <c r="AD21" s="178">
        <f t="shared" si="14"/>
        <v>0</v>
      </c>
      <c r="AE21" s="388"/>
      <c r="AF21" s="39"/>
      <c r="AG21" s="39"/>
      <c r="AH21" s="210">
        <f t="shared" si="15"/>
        <v>0</v>
      </c>
      <c r="AI21" s="178">
        <f t="shared" si="16"/>
        <v>0</v>
      </c>
      <c r="AJ21" s="388"/>
      <c r="AK21" s="2059"/>
      <c r="AL21" s="2059"/>
      <c r="AM21" s="2061">
        <f>AK21+AL21*1</f>
        <v>0</v>
      </c>
      <c r="AN21" s="2060">
        <f t="shared" si="3"/>
        <v>0</v>
      </c>
      <c r="AO21" s="2062"/>
      <c r="AP21" s="2059">
        <f t="shared" si="4"/>
        <v>72239</v>
      </c>
      <c r="AQ21" s="2059">
        <f t="shared" si="4"/>
        <v>0</v>
      </c>
      <c r="AR21" s="2028">
        <f t="shared" si="5"/>
        <v>72239</v>
      </c>
      <c r="AS21" s="2060">
        <f t="shared" si="18"/>
        <v>3.0906143298911431E-2</v>
      </c>
      <c r="AT21" s="1449"/>
    </row>
    <row r="22" spans="1:46" s="2" customFormat="1" ht="13.8" outlineLevel="2" x14ac:dyDescent="0.25">
      <c r="A22" s="238"/>
      <c r="B22" s="7" t="s">
        <v>621</v>
      </c>
      <c r="C22" s="114"/>
      <c r="D22" s="445"/>
      <c r="E22" s="106">
        <f t="shared" si="6"/>
        <v>0</v>
      </c>
      <c r="F22" s="447"/>
      <c r="G22" s="452"/>
      <c r="H22" s="452"/>
      <c r="I22" s="210">
        <f t="shared" si="7"/>
        <v>0</v>
      </c>
      <c r="J22" s="178">
        <f t="shared" si="8"/>
        <v>0</v>
      </c>
      <c r="K22" s="388"/>
      <c r="L22" s="39"/>
      <c r="M22" s="452"/>
      <c r="N22" s="210">
        <f t="shared" si="9"/>
        <v>0</v>
      </c>
      <c r="O22" s="178">
        <f t="shared" si="1"/>
        <v>0</v>
      </c>
      <c r="P22" s="388"/>
      <c r="Q22" s="39"/>
      <c r="R22" s="452"/>
      <c r="S22" s="210">
        <f t="shared" si="10"/>
        <v>0</v>
      </c>
      <c r="T22" s="178">
        <f t="shared" si="11"/>
        <v>0</v>
      </c>
      <c r="U22" s="388"/>
      <c r="V22" s="39"/>
      <c r="W22" s="452"/>
      <c r="X22" s="210">
        <f t="shared" si="12"/>
        <v>0</v>
      </c>
      <c r="Y22" s="178">
        <f t="shared" si="2"/>
        <v>0</v>
      </c>
      <c r="Z22" s="388"/>
      <c r="AA22" s="39"/>
      <c r="AB22" s="452"/>
      <c r="AC22" s="210">
        <f t="shared" si="13"/>
        <v>0</v>
      </c>
      <c r="AD22" s="178">
        <f t="shared" si="14"/>
        <v>0</v>
      </c>
      <c r="AE22" s="388"/>
      <c r="AF22" s="39"/>
      <c r="AG22" s="452"/>
      <c r="AH22" s="210">
        <f t="shared" si="15"/>
        <v>0</v>
      </c>
      <c r="AI22" s="178">
        <f t="shared" si="16"/>
        <v>0</v>
      </c>
      <c r="AJ22" s="388"/>
      <c r="AK22" s="2059"/>
      <c r="AL22" s="2059"/>
      <c r="AM22" s="2061">
        <f>AK22+AL22*1</f>
        <v>0</v>
      </c>
      <c r="AN22" s="2060">
        <f t="shared" si="3"/>
        <v>0</v>
      </c>
      <c r="AO22" s="2062"/>
      <c r="AP22" s="2059">
        <f t="shared" si="4"/>
        <v>0</v>
      </c>
      <c r="AQ22" s="2059">
        <f t="shared" si="4"/>
        <v>0</v>
      </c>
      <c r="AR22" s="2028">
        <f t="shared" si="5"/>
        <v>0</v>
      </c>
      <c r="AS22" s="2060"/>
      <c r="AT22" s="1449"/>
    </row>
    <row r="23" spans="1:46" s="2" customFormat="1" ht="13.8" outlineLevel="2" x14ac:dyDescent="0.25">
      <c r="A23" s="238"/>
      <c r="B23" s="471" t="s">
        <v>630</v>
      </c>
      <c r="C23" s="114"/>
      <c r="D23" s="445"/>
      <c r="E23" s="106">
        <f t="shared" si="6"/>
        <v>0</v>
      </c>
      <c r="F23" s="447"/>
      <c r="G23" s="452"/>
      <c r="H23" s="452"/>
      <c r="I23" s="453"/>
      <c r="J23" s="178">
        <f t="shared" si="8"/>
        <v>0</v>
      </c>
      <c r="K23" s="388"/>
      <c r="L23" s="452"/>
      <c r="M23" s="452"/>
      <c r="N23" s="453"/>
      <c r="O23" s="178">
        <f t="shared" si="1"/>
        <v>0</v>
      </c>
      <c r="P23" s="388"/>
      <c r="Q23" s="452"/>
      <c r="R23" s="452"/>
      <c r="S23" s="453"/>
      <c r="T23" s="178">
        <f t="shared" si="11"/>
        <v>0</v>
      </c>
      <c r="U23" s="388"/>
      <c r="V23" s="452"/>
      <c r="W23" s="452"/>
      <c r="X23" s="453"/>
      <c r="Y23" s="178">
        <f t="shared" si="2"/>
        <v>0</v>
      </c>
      <c r="Z23" s="388"/>
      <c r="AA23" s="452"/>
      <c r="AB23" s="452"/>
      <c r="AC23" s="453"/>
      <c r="AD23" s="178">
        <f t="shared" si="14"/>
        <v>0</v>
      </c>
      <c r="AE23" s="388"/>
      <c r="AF23" s="452"/>
      <c r="AG23" s="452"/>
      <c r="AH23" s="453"/>
      <c r="AI23" s="178">
        <f t="shared" si="16"/>
        <v>0</v>
      </c>
      <c r="AJ23" s="388"/>
      <c r="AK23" s="2059"/>
      <c r="AL23" s="2059"/>
      <c r="AM23" s="2061"/>
      <c r="AN23" s="2060">
        <f t="shared" si="3"/>
        <v>0</v>
      </c>
      <c r="AO23" s="2062"/>
      <c r="AP23" s="2059">
        <f t="shared" si="4"/>
        <v>0</v>
      </c>
      <c r="AQ23" s="2059">
        <f t="shared" si="4"/>
        <v>0</v>
      </c>
      <c r="AR23" s="2028">
        <f t="shared" si="5"/>
        <v>0</v>
      </c>
      <c r="AS23" s="2060"/>
      <c r="AT23" s="1449"/>
    </row>
    <row r="24" spans="1:46" s="2" customFormat="1" ht="109.95" customHeight="1" outlineLevel="2" x14ac:dyDescent="0.25">
      <c r="A24" s="238"/>
      <c r="B24" s="7" t="s">
        <v>23</v>
      </c>
      <c r="C24" s="114"/>
      <c r="D24" s="113"/>
      <c r="E24" s="106">
        <f t="shared" si="6"/>
        <v>0</v>
      </c>
      <c r="F24" s="177">
        <f t="shared" ref="F24:F33" si="19">E24/$E$89</f>
        <v>0</v>
      </c>
      <c r="G24" s="39"/>
      <c r="H24" s="39"/>
      <c r="I24" s="210">
        <f t="shared" ref="I24:I33" si="20">G24+H24*1</f>
        <v>0</v>
      </c>
      <c r="J24" s="178">
        <f t="shared" si="8"/>
        <v>0</v>
      </c>
      <c r="K24" s="388"/>
      <c r="L24" s="39"/>
      <c r="M24" s="39"/>
      <c r="N24" s="210">
        <f t="shared" ref="N24:N33" si="21">L24+M24*1</f>
        <v>0</v>
      </c>
      <c r="O24" s="178">
        <f t="shared" si="1"/>
        <v>0</v>
      </c>
      <c r="P24" s="388"/>
      <c r="Q24" s="39"/>
      <c r="R24" s="39"/>
      <c r="S24" s="210">
        <f t="shared" ref="S24:S33" si="22">Q24+R24*1</f>
        <v>0</v>
      </c>
      <c r="T24" s="178">
        <f t="shared" si="11"/>
        <v>0</v>
      </c>
      <c r="U24" s="388"/>
      <c r="V24" s="39"/>
      <c r="W24" s="39"/>
      <c r="X24" s="210">
        <f t="shared" ref="X24:X33" si="23">V24+W24*1</f>
        <v>0</v>
      </c>
      <c r="Y24" s="178">
        <f t="shared" si="2"/>
        <v>0</v>
      </c>
      <c r="Z24" s="388"/>
      <c r="AA24" s="39"/>
      <c r="AB24" s="39"/>
      <c r="AC24" s="210">
        <f t="shared" ref="AC24:AC33" si="24">AA24+AB24*1</f>
        <v>0</v>
      </c>
      <c r="AD24" s="178">
        <f t="shared" si="14"/>
        <v>0</v>
      </c>
      <c r="AE24" s="388"/>
      <c r="AF24" s="39">
        <v>39000</v>
      </c>
      <c r="AG24" s="39"/>
      <c r="AH24" s="210">
        <f t="shared" ref="AH24:AH33" si="25">AF24+AG24*1</f>
        <v>39000</v>
      </c>
      <c r="AI24" s="178">
        <f t="shared" si="16"/>
        <v>0.10793157603015707</v>
      </c>
      <c r="AJ24" s="388"/>
      <c r="AK24" s="2059"/>
      <c r="AL24" s="2059"/>
      <c r="AM24" s="2061">
        <f t="shared" ref="AM24:AM33" si="26">AK24+AL24*1</f>
        <v>0</v>
      </c>
      <c r="AN24" s="2060">
        <f t="shared" si="3"/>
        <v>0</v>
      </c>
      <c r="AO24" s="2062"/>
      <c r="AP24" s="2059">
        <f t="shared" si="4"/>
        <v>39000</v>
      </c>
      <c r="AQ24" s="2059">
        <f t="shared" si="4"/>
        <v>0</v>
      </c>
      <c r="AR24" s="2028">
        <f t="shared" si="5"/>
        <v>39000</v>
      </c>
      <c r="AS24" s="2060">
        <f t="shared" ref="AS24:AS33" si="27">AR24/$AR$89</f>
        <v>1.6685441225066041E-2</v>
      </c>
      <c r="AT24" s="1449"/>
    </row>
    <row r="25" spans="1:46" s="2" customFormat="1" ht="39" customHeight="1" outlineLevel="2" x14ac:dyDescent="0.25">
      <c r="A25" s="238"/>
      <c r="B25" s="7" t="s">
        <v>24</v>
      </c>
      <c r="C25" s="114"/>
      <c r="D25" s="113"/>
      <c r="E25" s="106">
        <f t="shared" si="6"/>
        <v>0</v>
      </c>
      <c r="F25" s="177">
        <f t="shared" si="19"/>
        <v>0</v>
      </c>
      <c r="G25" s="39"/>
      <c r="H25" s="39"/>
      <c r="I25" s="210">
        <f t="shared" si="20"/>
        <v>0</v>
      </c>
      <c r="J25" s="178">
        <f t="shared" si="8"/>
        <v>0</v>
      </c>
      <c r="K25" s="388"/>
      <c r="L25" s="39"/>
      <c r="M25" s="39"/>
      <c r="N25" s="210">
        <f t="shared" si="21"/>
        <v>0</v>
      </c>
      <c r="O25" s="178">
        <f t="shared" si="1"/>
        <v>0</v>
      </c>
      <c r="P25" s="388"/>
      <c r="Q25" s="39"/>
      <c r="R25" s="39"/>
      <c r="S25" s="210">
        <f t="shared" si="22"/>
        <v>0</v>
      </c>
      <c r="T25" s="178">
        <f t="shared" si="11"/>
        <v>0</v>
      </c>
      <c r="U25" s="388"/>
      <c r="V25" s="39"/>
      <c r="W25" s="39"/>
      <c r="X25" s="210">
        <f t="shared" si="23"/>
        <v>0</v>
      </c>
      <c r="Y25" s="178">
        <f t="shared" si="2"/>
        <v>0</v>
      </c>
      <c r="Z25" s="388"/>
      <c r="AA25" s="39"/>
      <c r="AB25" s="39"/>
      <c r="AC25" s="210">
        <f t="shared" si="24"/>
        <v>0</v>
      </c>
      <c r="AD25" s="178">
        <f t="shared" si="14"/>
        <v>0</v>
      </c>
      <c r="AE25" s="388"/>
      <c r="AF25" s="39"/>
      <c r="AG25" s="39"/>
      <c r="AH25" s="210">
        <f t="shared" si="25"/>
        <v>0</v>
      </c>
      <c r="AI25" s="178">
        <f t="shared" si="16"/>
        <v>0</v>
      </c>
      <c r="AJ25" s="388"/>
      <c r="AK25" s="1887">
        <f>1083.3*1.2</f>
        <v>1299.9599999999998</v>
      </c>
      <c r="AL25" s="1887"/>
      <c r="AM25" s="1888">
        <f>AK25+AL25*1</f>
        <v>1299.9599999999998</v>
      </c>
      <c r="AN25" s="1923">
        <f t="shared" si="3"/>
        <v>1</v>
      </c>
      <c r="AO25" s="1886"/>
      <c r="AP25" s="2059">
        <f t="shared" si="4"/>
        <v>1299.9599999999998</v>
      </c>
      <c r="AQ25" s="2059">
        <f t="shared" si="4"/>
        <v>0</v>
      </c>
      <c r="AR25" s="2028">
        <f t="shared" si="5"/>
        <v>1299.9599999999998</v>
      </c>
      <c r="AS25" s="2060">
        <f t="shared" si="27"/>
        <v>5.5616426089581661E-4</v>
      </c>
      <c r="AT25" s="1449"/>
    </row>
    <row r="26" spans="1:46" s="226" customFormat="1" ht="51" customHeight="1" outlineLevel="2" x14ac:dyDescent="0.25">
      <c r="A26" s="238"/>
      <c r="B26" s="262" t="s">
        <v>45</v>
      </c>
      <c r="C26" s="114"/>
      <c r="D26" s="113"/>
      <c r="E26" s="106">
        <f t="shared" si="6"/>
        <v>0</v>
      </c>
      <c r="F26" s="177">
        <f t="shared" si="19"/>
        <v>0</v>
      </c>
      <c r="G26" s="39"/>
      <c r="H26" s="39"/>
      <c r="I26" s="210">
        <f t="shared" si="20"/>
        <v>0</v>
      </c>
      <c r="J26" s="178">
        <f t="shared" si="8"/>
        <v>0</v>
      </c>
      <c r="K26" s="388"/>
      <c r="L26" s="39"/>
      <c r="M26" s="39"/>
      <c r="N26" s="210">
        <f t="shared" si="21"/>
        <v>0</v>
      </c>
      <c r="O26" s="178">
        <f t="shared" si="1"/>
        <v>0</v>
      </c>
      <c r="P26" s="388"/>
      <c r="Q26" s="39">
        <f>69002.94*1.2</f>
        <v>82803.528000000006</v>
      </c>
      <c r="R26" s="39"/>
      <c r="S26" s="210">
        <f t="shared" si="22"/>
        <v>82803.528000000006</v>
      </c>
      <c r="T26" s="178">
        <f t="shared" si="11"/>
        <v>0.15374971557514516</v>
      </c>
      <c r="U26" s="388" t="s">
        <v>950</v>
      </c>
      <c r="V26" s="39"/>
      <c r="W26" s="39"/>
      <c r="X26" s="210">
        <f t="shared" si="23"/>
        <v>0</v>
      </c>
      <c r="Y26" s="178">
        <f t="shared" si="2"/>
        <v>0</v>
      </c>
      <c r="Z26" s="388"/>
      <c r="AA26" s="39"/>
      <c r="AB26" s="39"/>
      <c r="AC26" s="210">
        <f t="shared" si="24"/>
        <v>0</v>
      </c>
      <c r="AD26" s="178">
        <f t="shared" si="14"/>
        <v>0</v>
      </c>
      <c r="AE26" s="388"/>
      <c r="AF26" s="39"/>
      <c r="AG26" s="39"/>
      <c r="AH26" s="210">
        <f t="shared" si="25"/>
        <v>0</v>
      </c>
      <c r="AI26" s="178">
        <f t="shared" si="16"/>
        <v>0</v>
      </c>
      <c r="AJ26" s="388"/>
      <c r="AK26" s="2059"/>
      <c r="AL26" s="2059"/>
      <c r="AM26" s="2061">
        <f t="shared" si="26"/>
        <v>0</v>
      </c>
      <c r="AN26" s="2060">
        <f t="shared" si="3"/>
        <v>0</v>
      </c>
      <c r="AO26" s="2062"/>
      <c r="AP26" s="2059">
        <f t="shared" si="4"/>
        <v>82803.528000000006</v>
      </c>
      <c r="AQ26" s="2059">
        <f t="shared" si="4"/>
        <v>0</v>
      </c>
      <c r="AR26" s="2028">
        <f t="shared" si="5"/>
        <v>82803.528000000006</v>
      </c>
      <c r="AS26" s="2060">
        <f t="shared" si="27"/>
        <v>3.5425984606977191E-2</v>
      </c>
      <c r="AT26" s="1449"/>
    </row>
    <row r="27" spans="1:46" s="2" customFormat="1" ht="32.4" customHeight="1" outlineLevel="2" x14ac:dyDescent="0.25">
      <c r="A27" s="238"/>
      <c r="B27" s="7" t="s">
        <v>25</v>
      </c>
      <c r="C27" s="114"/>
      <c r="D27" s="113"/>
      <c r="E27" s="106">
        <f t="shared" si="6"/>
        <v>0</v>
      </c>
      <c r="F27" s="177">
        <f t="shared" si="19"/>
        <v>0</v>
      </c>
      <c r="G27" s="39"/>
      <c r="H27" s="39"/>
      <c r="I27" s="210">
        <f t="shared" si="20"/>
        <v>0</v>
      </c>
      <c r="J27" s="178">
        <f t="shared" si="8"/>
        <v>0</v>
      </c>
      <c r="K27" s="388"/>
      <c r="L27" s="39"/>
      <c r="M27" s="39"/>
      <c r="N27" s="210">
        <f t="shared" si="21"/>
        <v>0</v>
      </c>
      <c r="O27" s="178">
        <f t="shared" si="1"/>
        <v>0</v>
      </c>
      <c r="P27" s="388"/>
      <c r="Q27" s="39"/>
      <c r="R27" s="39"/>
      <c r="S27" s="210">
        <f t="shared" si="22"/>
        <v>0</v>
      </c>
      <c r="T27" s="178">
        <f t="shared" si="11"/>
        <v>0</v>
      </c>
      <c r="U27" s="388"/>
      <c r="V27" s="39"/>
      <c r="W27" s="39"/>
      <c r="X27" s="210">
        <f t="shared" si="23"/>
        <v>0</v>
      </c>
      <c r="Y27" s="178">
        <f t="shared" si="2"/>
        <v>0</v>
      </c>
      <c r="Z27" s="388"/>
      <c r="AA27" s="39"/>
      <c r="AB27" s="39"/>
      <c r="AC27" s="210">
        <f t="shared" si="24"/>
        <v>0</v>
      </c>
      <c r="AD27" s="178">
        <f t="shared" si="14"/>
        <v>0</v>
      </c>
      <c r="AE27" s="388"/>
      <c r="AF27" s="39"/>
      <c r="AG27" s="39"/>
      <c r="AH27" s="210">
        <f t="shared" si="25"/>
        <v>0</v>
      </c>
      <c r="AI27" s="178">
        <f t="shared" si="16"/>
        <v>0</v>
      </c>
      <c r="AJ27" s="388"/>
      <c r="AK27" s="2059"/>
      <c r="AL27" s="2059"/>
      <c r="AM27" s="2061">
        <f t="shared" si="26"/>
        <v>0</v>
      </c>
      <c r="AN27" s="2060">
        <f t="shared" si="3"/>
        <v>0</v>
      </c>
      <c r="AO27" s="2062"/>
      <c r="AP27" s="2059">
        <f t="shared" si="4"/>
        <v>0</v>
      </c>
      <c r="AQ27" s="2059">
        <f t="shared" si="4"/>
        <v>0</v>
      </c>
      <c r="AR27" s="2028">
        <f t="shared" si="5"/>
        <v>0</v>
      </c>
      <c r="AS27" s="2060">
        <f t="shared" si="27"/>
        <v>0</v>
      </c>
      <c r="AT27" s="1449"/>
    </row>
    <row r="28" spans="1:46" s="226" customFormat="1" ht="109.2" customHeight="1" outlineLevel="2" x14ac:dyDescent="0.25">
      <c r="A28" s="238"/>
      <c r="B28" s="262" t="s">
        <v>52</v>
      </c>
      <c r="C28" s="114">
        <f>3250+1400</f>
        <v>4650</v>
      </c>
      <c r="D28" s="113">
        <v>36263</v>
      </c>
      <c r="E28" s="106">
        <f t="shared" si="6"/>
        <v>40913</v>
      </c>
      <c r="F28" s="177">
        <f t="shared" si="19"/>
        <v>1.9089278173983842E-2</v>
      </c>
      <c r="G28" s="39"/>
      <c r="H28" s="39"/>
      <c r="I28" s="210">
        <f t="shared" si="20"/>
        <v>0</v>
      </c>
      <c r="J28" s="178">
        <f t="shared" si="8"/>
        <v>0</v>
      </c>
      <c r="K28" s="388"/>
      <c r="L28" s="39"/>
      <c r="M28" s="39"/>
      <c r="N28" s="210">
        <f t="shared" si="21"/>
        <v>0</v>
      </c>
      <c r="O28" s="178">
        <f t="shared" si="1"/>
        <v>0</v>
      </c>
      <c r="P28" s="388"/>
      <c r="Q28" s="39"/>
      <c r="R28" s="39"/>
      <c r="S28" s="210">
        <f t="shared" si="22"/>
        <v>0</v>
      </c>
      <c r="T28" s="178">
        <f t="shared" si="11"/>
        <v>0</v>
      </c>
      <c r="U28" s="388"/>
      <c r="V28" s="39"/>
      <c r="W28" s="39"/>
      <c r="X28" s="210">
        <f t="shared" si="23"/>
        <v>0</v>
      </c>
      <c r="Y28" s="178">
        <f t="shared" si="2"/>
        <v>0</v>
      </c>
      <c r="Z28" s="388"/>
      <c r="AA28" s="39"/>
      <c r="AB28" s="39"/>
      <c r="AC28" s="210">
        <f t="shared" si="24"/>
        <v>0</v>
      </c>
      <c r="AD28" s="178">
        <f t="shared" si="14"/>
        <v>0</v>
      </c>
      <c r="AE28" s="388"/>
      <c r="AF28" s="39">
        <v>1299.5999999999999</v>
      </c>
      <c r="AG28" s="39"/>
      <c r="AH28" s="210">
        <f t="shared" si="25"/>
        <v>1299.5999999999999</v>
      </c>
      <c r="AI28" s="178">
        <f t="shared" si="16"/>
        <v>3.5966122104818493E-3</v>
      </c>
      <c r="AJ28" s="388"/>
      <c r="AK28" s="2059"/>
      <c r="AL28" s="2059"/>
      <c r="AM28" s="2061">
        <f t="shared" si="26"/>
        <v>0</v>
      </c>
      <c r="AN28" s="2060">
        <f t="shared" si="3"/>
        <v>0</v>
      </c>
      <c r="AO28" s="2062"/>
      <c r="AP28" s="2059">
        <f t="shared" si="4"/>
        <v>1299.5999999999999</v>
      </c>
      <c r="AQ28" s="2059">
        <f t="shared" si="4"/>
        <v>0</v>
      </c>
      <c r="AR28" s="2028">
        <f t="shared" si="5"/>
        <v>1299.5999999999999</v>
      </c>
      <c r="AS28" s="2060">
        <f t="shared" si="27"/>
        <v>5.5601024143835456E-4</v>
      </c>
      <c r="AT28" s="1449"/>
    </row>
    <row r="29" spans="1:46" s="2" customFormat="1" ht="124.95" customHeight="1" outlineLevel="2" x14ac:dyDescent="0.25">
      <c r="A29" s="238"/>
      <c r="B29" s="7" t="s">
        <v>31</v>
      </c>
      <c r="C29" s="114"/>
      <c r="D29" s="113">
        <v>3600</v>
      </c>
      <c r="E29" s="106">
        <f t="shared" si="6"/>
        <v>3600</v>
      </c>
      <c r="F29" s="178">
        <f t="shared" si="19"/>
        <v>1.6796959750285199E-3</v>
      </c>
      <c r="G29" s="39"/>
      <c r="H29" s="39"/>
      <c r="I29" s="210">
        <f t="shared" si="20"/>
        <v>0</v>
      </c>
      <c r="J29" s="178">
        <f t="shared" si="8"/>
        <v>0</v>
      </c>
      <c r="K29" s="388"/>
      <c r="L29" s="39"/>
      <c r="M29" s="39"/>
      <c r="N29" s="210">
        <f t="shared" si="21"/>
        <v>0</v>
      </c>
      <c r="O29" s="178">
        <f t="shared" si="1"/>
        <v>0</v>
      </c>
      <c r="P29" s="388"/>
      <c r="Q29" s="39"/>
      <c r="R29" s="39"/>
      <c r="S29" s="210">
        <f t="shared" si="22"/>
        <v>0</v>
      </c>
      <c r="T29" s="178">
        <f t="shared" si="11"/>
        <v>0</v>
      </c>
      <c r="U29" s="388"/>
      <c r="V29" s="39"/>
      <c r="W29" s="39"/>
      <c r="X29" s="210">
        <f t="shared" si="23"/>
        <v>0</v>
      </c>
      <c r="Y29" s="178">
        <f t="shared" si="2"/>
        <v>0</v>
      </c>
      <c r="Z29" s="388"/>
      <c r="AA29" s="39"/>
      <c r="AB29" s="39"/>
      <c r="AC29" s="210">
        <f t="shared" si="24"/>
        <v>0</v>
      </c>
      <c r="AD29" s="178">
        <f t="shared" si="14"/>
        <v>0</v>
      </c>
      <c r="AE29" s="388"/>
      <c r="AF29" s="39"/>
      <c r="AG29" s="39"/>
      <c r="AH29" s="210">
        <f t="shared" si="25"/>
        <v>0</v>
      </c>
      <c r="AI29" s="178">
        <f t="shared" si="16"/>
        <v>0</v>
      </c>
      <c r="AJ29" s="388"/>
      <c r="AK29" s="2059"/>
      <c r="AL29" s="2059"/>
      <c r="AM29" s="2061">
        <f t="shared" si="26"/>
        <v>0</v>
      </c>
      <c r="AN29" s="2060">
        <f t="shared" si="3"/>
        <v>0</v>
      </c>
      <c r="AO29" s="2062"/>
      <c r="AP29" s="2059">
        <f t="shared" si="4"/>
        <v>0</v>
      </c>
      <c r="AQ29" s="2059">
        <f t="shared" si="4"/>
        <v>0</v>
      </c>
      <c r="AR29" s="2028">
        <f t="shared" si="5"/>
        <v>0</v>
      </c>
      <c r="AS29" s="2060">
        <f t="shared" si="27"/>
        <v>0</v>
      </c>
      <c r="AT29" s="2008"/>
    </row>
    <row r="30" spans="1:46" s="2" customFormat="1" ht="79.95" customHeight="1" outlineLevel="2" x14ac:dyDescent="0.25">
      <c r="A30" s="238"/>
      <c r="B30" s="7" t="s">
        <v>62</v>
      </c>
      <c r="C30" s="114"/>
      <c r="D30" s="113"/>
      <c r="E30" s="106">
        <f t="shared" si="6"/>
        <v>0</v>
      </c>
      <c r="F30" s="178">
        <f t="shared" si="19"/>
        <v>0</v>
      </c>
      <c r="G30" s="39"/>
      <c r="H30" s="39"/>
      <c r="I30" s="210">
        <f t="shared" si="20"/>
        <v>0</v>
      </c>
      <c r="J30" s="178">
        <f t="shared" si="8"/>
        <v>0</v>
      </c>
      <c r="K30" s="388"/>
      <c r="L30" s="39"/>
      <c r="M30" s="39"/>
      <c r="N30" s="210">
        <f t="shared" si="21"/>
        <v>0</v>
      </c>
      <c r="O30" s="178">
        <f t="shared" si="1"/>
        <v>0</v>
      </c>
      <c r="P30" s="388"/>
      <c r="Q30" s="39"/>
      <c r="R30" s="39"/>
      <c r="S30" s="210">
        <f t="shared" si="22"/>
        <v>0</v>
      </c>
      <c r="T30" s="178">
        <f t="shared" si="11"/>
        <v>0</v>
      </c>
      <c r="U30" s="388"/>
      <c r="V30" s="39"/>
      <c r="W30" s="39"/>
      <c r="X30" s="210">
        <f t="shared" si="23"/>
        <v>0</v>
      </c>
      <c r="Y30" s="178">
        <f t="shared" si="2"/>
        <v>0</v>
      </c>
      <c r="Z30" s="388"/>
      <c r="AA30" s="39"/>
      <c r="AB30" s="39">
        <v>3700</v>
      </c>
      <c r="AC30" s="210">
        <f t="shared" si="24"/>
        <v>3700</v>
      </c>
      <c r="AD30" s="178">
        <f t="shared" si="14"/>
        <v>1.0239662341322594E-2</v>
      </c>
      <c r="AE30" s="388"/>
      <c r="AF30" s="39"/>
      <c r="AG30" s="39"/>
      <c r="AH30" s="210">
        <f t="shared" si="25"/>
        <v>0</v>
      </c>
      <c r="AI30" s="178">
        <f t="shared" si="16"/>
        <v>0</v>
      </c>
      <c r="AJ30" s="388"/>
      <c r="AK30" s="2059"/>
      <c r="AL30" s="2059"/>
      <c r="AM30" s="2061">
        <f t="shared" si="26"/>
        <v>0</v>
      </c>
      <c r="AN30" s="2060">
        <f t="shared" si="3"/>
        <v>0</v>
      </c>
      <c r="AO30" s="2062"/>
      <c r="AP30" s="2059">
        <f t="shared" si="4"/>
        <v>0</v>
      </c>
      <c r="AQ30" s="2059">
        <f t="shared" si="4"/>
        <v>3700</v>
      </c>
      <c r="AR30" s="2028">
        <f t="shared" si="5"/>
        <v>3700</v>
      </c>
      <c r="AS30" s="2060">
        <f t="shared" si="27"/>
        <v>1.5829777572498552E-3</v>
      </c>
      <c r="AT30" s="2008"/>
    </row>
    <row r="31" spans="1:46" s="2" customFormat="1" ht="105.6" customHeight="1" outlineLevel="2" x14ac:dyDescent="0.25">
      <c r="A31" s="238"/>
      <c r="B31" s="7" t="s">
        <v>34</v>
      </c>
      <c r="C31" s="114"/>
      <c r="D31" s="113"/>
      <c r="E31" s="106">
        <f t="shared" si="6"/>
        <v>0</v>
      </c>
      <c r="F31" s="178">
        <f t="shared" si="19"/>
        <v>0</v>
      </c>
      <c r="G31" s="39"/>
      <c r="H31" s="39"/>
      <c r="I31" s="210">
        <f t="shared" si="20"/>
        <v>0</v>
      </c>
      <c r="J31" s="178">
        <f t="shared" si="8"/>
        <v>0</v>
      </c>
      <c r="K31" s="388"/>
      <c r="L31" s="39"/>
      <c r="M31" s="39"/>
      <c r="N31" s="210">
        <f t="shared" si="21"/>
        <v>0</v>
      </c>
      <c r="O31" s="178">
        <f t="shared" si="1"/>
        <v>0</v>
      </c>
      <c r="P31" s="388"/>
      <c r="Q31" s="39"/>
      <c r="R31" s="39"/>
      <c r="S31" s="210">
        <f t="shared" si="22"/>
        <v>0</v>
      </c>
      <c r="T31" s="178">
        <f t="shared" si="11"/>
        <v>0</v>
      </c>
      <c r="U31" s="388"/>
      <c r="V31" s="39"/>
      <c r="W31" s="39"/>
      <c r="X31" s="210">
        <f t="shared" si="23"/>
        <v>0</v>
      </c>
      <c r="Y31" s="178">
        <f t="shared" si="2"/>
        <v>0</v>
      </c>
      <c r="Z31" s="388"/>
      <c r="AA31" s="39"/>
      <c r="AB31" s="39"/>
      <c r="AC31" s="210">
        <f t="shared" si="24"/>
        <v>0</v>
      </c>
      <c r="AD31" s="178">
        <f t="shared" si="14"/>
        <v>0</v>
      </c>
      <c r="AE31" s="388"/>
      <c r="AF31" s="39"/>
      <c r="AG31" s="39"/>
      <c r="AH31" s="210">
        <f t="shared" si="25"/>
        <v>0</v>
      </c>
      <c r="AI31" s="178">
        <f t="shared" si="16"/>
        <v>0</v>
      </c>
      <c r="AJ31" s="388"/>
      <c r="AK31" s="2059"/>
      <c r="AL31" s="2059"/>
      <c r="AM31" s="2061">
        <f t="shared" si="26"/>
        <v>0</v>
      </c>
      <c r="AN31" s="2060">
        <f t="shared" si="3"/>
        <v>0</v>
      </c>
      <c r="AO31" s="2062"/>
      <c r="AP31" s="2059">
        <f t="shared" si="4"/>
        <v>0</v>
      </c>
      <c r="AQ31" s="2059">
        <f t="shared" si="4"/>
        <v>0</v>
      </c>
      <c r="AR31" s="2028">
        <f t="shared" si="5"/>
        <v>0</v>
      </c>
      <c r="AS31" s="2060">
        <f t="shared" si="27"/>
        <v>0</v>
      </c>
      <c r="AT31" s="2008"/>
    </row>
    <row r="32" spans="1:46" s="2" customFormat="1" ht="14.4" customHeight="1" outlineLevel="2" x14ac:dyDescent="0.25">
      <c r="A32" s="238"/>
      <c r="B32" s="32" t="s">
        <v>2</v>
      </c>
      <c r="C32" s="115"/>
      <c r="D32" s="116"/>
      <c r="E32" s="106">
        <f t="shared" si="6"/>
        <v>0</v>
      </c>
      <c r="F32" s="178">
        <f t="shared" si="19"/>
        <v>0</v>
      </c>
      <c r="G32" s="39"/>
      <c r="H32" s="39"/>
      <c r="I32" s="210">
        <f t="shared" si="20"/>
        <v>0</v>
      </c>
      <c r="J32" s="178">
        <f t="shared" si="8"/>
        <v>0</v>
      </c>
      <c r="K32" s="421"/>
      <c r="L32" s="39"/>
      <c r="M32" s="39"/>
      <c r="N32" s="210">
        <f t="shared" si="21"/>
        <v>0</v>
      </c>
      <c r="O32" s="178">
        <f t="shared" si="1"/>
        <v>0</v>
      </c>
      <c r="P32" s="421"/>
      <c r="Q32" s="39"/>
      <c r="R32" s="39"/>
      <c r="S32" s="210">
        <f t="shared" si="22"/>
        <v>0</v>
      </c>
      <c r="T32" s="178">
        <f t="shared" si="11"/>
        <v>0</v>
      </c>
      <c r="U32" s="421"/>
      <c r="V32" s="39"/>
      <c r="W32" s="39"/>
      <c r="X32" s="210">
        <f t="shared" si="23"/>
        <v>0</v>
      </c>
      <c r="Y32" s="178">
        <f t="shared" si="2"/>
        <v>0</v>
      </c>
      <c r="Z32" s="421"/>
      <c r="AA32" s="39"/>
      <c r="AB32" s="39"/>
      <c r="AC32" s="210">
        <f t="shared" si="24"/>
        <v>0</v>
      </c>
      <c r="AD32" s="178">
        <f t="shared" si="14"/>
        <v>0</v>
      </c>
      <c r="AE32" s="421"/>
      <c r="AF32" s="39"/>
      <c r="AG32" s="39"/>
      <c r="AH32" s="210">
        <f t="shared" si="25"/>
        <v>0</v>
      </c>
      <c r="AI32" s="178">
        <f t="shared" si="16"/>
        <v>0</v>
      </c>
      <c r="AJ32" s="421"/>
      <c r="AK32" s="2059"/>
      <c r="AL32" s="2059"/>
      <c r="AM32" s="2061">
        <f t="shared" si="26"/>
        <v>0</v>
      </c>
      <c r="AN32" s="2060">
        <f t="shared" si="3"/>
        <v>0</v>
      </c>
      <c r="AO32" s="1993"/>
      <c r="AP32" s="2059">
        <f t="shared" si="4"/>
        <v>0</v>
      </c>
      <c r="AQ32" s="2059">
        <f t="shared" si="4"/>
        <v>0</v>
      </c>
      <c r="AR32" s="2028">
        <f t="shared" si="5"/>
        <v>0</v>
      </c>
      <c r="AS32" s="2060">
        <f t="shared" si="27"/>
        <v>0</v>
      </c>
      <c r="AT32" s="2008"/>
    </row>
    <row r="33" spans="1:46" s="2" customFormat="1" ht="33.6" customHeight="1" outlineLevel="2" thickBot="1" x14ac:dyDescent="0.3">
      <c r="A33" s="238"/>
      <c r="B33" s="32" t="s">
        <v>75</v>
      </c>
      <c r="C33" s="115"/>
      <c r="D33" s="116">
        <v>50000</v>
      </c>
      <c r="E33" s="106">
        <f t="shared" si="6"/>
        <v>50000</v>
      </c>
      <c r="F33" s="178">
        <f t="shared" si="19"/>
        <v>2.3329110764284997E-2</v>
      </c>
      <c r="G33" s="39"/>
      <c r="H33" s="39"/>
      <c r="I33" s="210">
        <f t="shared" si="20"/>
        <v>0</v>
      </c>
      <c r="J33" s="178">
        <f t="shared" si="8"/>
        <v>0</v>
      </c>
      <c r="K33" s="418"/>
      <c r="L33" s="39"/>
      <c r="M33" s="39"/>
      <c r="N33" s="210">
        <f t="shared" si="21"/>
        <v>0</v>
      </c>
      <c r="O33" s="178">
        <f t="shared" si="1"/>
        <v>0</v>
      </c>
      <c r="P33" s="388"/>
      <c r="Q33" s="39"/>
      <c r="R33" s="39"/>
      <c r="S33" s="210">
        <f t="shared" si="22"/>
        <v>0</v>
      </c>
      <c r="T33" s="178">
        <f t="shared" si="11"/>
        <v>0</v>
      </c>
      <c r="U33" s="388"/>
      <c r="V33" s="39"/>
      <c r="W33" s="39"/>
      <c r="X33" s="210">
        <f t="shared" si="23"/>
        <v>0</v>
      </c>
      <c r="Y33" s="178">
        <f t="shared" si="2"/>
        <v>0</v>
      </c>
      <c r="Z33" s="388"/>
      <c r="AA33" s="39"/>
      <c r="AB33" s="39"/>
      <c r="AC33" s="210">
        <f t="shared" si="24"/>
        <v>0</v>
      </c>
      <c r="AD33" s="178">
        <f t="shared" si="14"/>
        <v>0</v>
      </c>
      <c r="AE33" s="388"/>
      <c r="AF33" s="39"/>
      <c r="AG33" s="39">
        <v>30000</v>
      </c>
      <c r="AH33" s="210">
        <f t="shared" si="25"/>
        <v>30000</v>
      </c>
      <c r="AI33" s="178">
        <f t="shared" si="16"/>
        <v>8.3024289253966974E-2</v>
      </c>
      <c r="AJ33" s="388"/>
      <c r="AK33" s="2097"/>
      <c r="AL33" s="2098"/>
      <c r="AM33" s="2100">
        <f t="shared" si="26"/>
        <v>0</v>
      </c>
      <c r="AN33" s="2034">
        <f t="shared" si="3"/>
        <v>0</v>
      </c>
      <c r="AO33" s="2102"/>
      <c r="AP33" s="2098">
        <f t="shared" si="4"/>
        <v>0</v>
      </c>
      <c r="AQ33" s="2098">
        <f t="shared" si="4"/>
        <v>30000</v>
      </c>
      <c r="AR33" s="2028">
        <f t="shared" si="5"/>
        <v>30000</v>
      </c>
      <c r="AS33" s="2060">
        <f t="shared" si="27"/>
        <v>1.283495478851234E-2</v>
      </c>
      <c r="AT33" s="2008"/>
    </row>
    <row r="34" spans="1:46" s="2" customFormat="1" ht="13.8" outlineLevel="2" x14ac:dyDescent="0.25">
      <c r="A34" s="238"/>
      <c r="B34" s="12"/>
      <c r="C34" s="46"/>
      <c r="D34" s="47"/>
      <c r="E34" s="48"/>
      <c r="F34" s="179"/>
      <c r="G34" s="39"/>
      <c r="H34" s="39"/>
      <c r="I34" s="48"/>
      <c r="J34" s="48"/>
      <c r="K34" s="48"/>
      <c r="L34" s="39"/>
      <c r="M34" s="39"/>
      <c r="N34" s="48"/>
      <c r="O34" s="178">
        <f t="shared" si="1"/>
        <v>0</v>
      </c>
      <c r="P34" s="48"/>
      <c r="Q34" s="39"/>
      <c r="R34" s="39"/>
      <c r="S34" s="48"/>
      <c r="T34" s="178">
        <f t="shared" ref="T34:T53" si="28">S34/$N$89</f>
        <v>0</v>
      </c>
      <c r="U34" s="48"/>
      <c r="V34" s="39"/>
      <c r="W34" s="39"/>
      <c r="X34" s="48"/>
      <c r="Y34" s="178">
        <f t="shared" si="2"/>
        <v>0</v>
      </c>
      <c r="Z34" s="48"/>
      <c r="AA34" s="39"/>
      <c r="AB34" s="39"/>
      <c r="AC34" s="48"/>
      <c r="AD34" s="178">
        <f>AC34/$X$89</f>
        <v>0</v>
      </c>
      <c r="AE34" s="48"/>
      <c r="AF34" s="39"/>
      <c r="AG34" s="39"/>
      <c r="AH34" s="48"/>
      <c r="AI34" s="178">
        <f>AH34/$X$89</f>
        <v>0</v>
      </c>
      <c r="AJ34" s="48"/>
      <c r="AK34" s="2059"/>
      <c r="AL34" s="2059"/>
      <c r="AM34" s="2040"/>
      <c r="AN34" s="1992">
        <f t="shared" si="3"/>
        <v>0</v>
      </c>
      <c r="AO34" s="2040"/>
      <c r="AP34" s="2059"/>
      <c r="AQ34" s="2059"/>
      <c r="AR34" s="1451"/>
      <c r="AS34" s="1451"/>
      <c r="AT34" s="1451"/>
    </row>
    <row r="35" spans="1:46" s="88" customFormat="1" ht="13.8" outlineLevel="1" x14ac:dyDescent="0.25">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530">
        <f t="shared" si="1"/>
        <v>0</v>
      </c>
      <c r="P35" s="91"/>
      <c r="Q35" s="90">
        <f>Q36</f>
        <v>0</v>
      </c>
      <c r="R35" s="90">
        <f>R36</f>
        <v>0</v>
      </c>
      <c r="S35" s="91">
        <f>S36</f>
        <v>0</v>
      </c>
      <c r="T35" s="530">
        <f t="shared" si="28"/>
        <v>0</v>
      </c>
      <c r="U35" s="91"/>
      <c r="V35" s="90">
        <f>V36</f>
        <v>0</v>
      </c>
      <c r="W35" s="90">
        <f>W36</f>
        <v>0</v>
      </c>
      <c r="X35" s="91">
        <f>X36</f>
        <v>0</v>
      </c>
      <c r="Y35" s="530">
        <f t="shared" si="2"/>
        <v>0</v>
      </c>
      <c r="Z35" s="91"/>
      <c r="AA35" s="90">
        <f>AA36</f>
        <v>0</v>
      </c>
      <c r="AB35" s="90">
        <f>AB36</f>
        <v>0</v>
      </c>
      <c r="AC35" s="91">
        <f>AC36</f>
        <v>0</v>
      </c>
      <c r="AD35" s="530">
        <f>AC35/$X$89</f>
        <v>0</v>
      </c>
      <c r="AE35" s="91"/>
      <c r="AF35" s="90">
        <f>AF36</f>
        <v>0</v>
      </c>
      <c r="AG35" s="90">
        <f>AG36</f>
        <v>0</v>
      </c>
      <c r="AH35" s="91">
        <f>AH36</f>
        <v>0</v>
      </c>
      <c r="AI35" s="530">
        <f>AH35/$X$89</f>
        <v>0</v>
      </c>
      <c r="AJ35" s="91"/>
      <c r="AK35" s="2025">
        <f>AK36</f>
        <v>0</v>
      </c>
      <c r="AL35" s="2025">
        <f>AL36</f>
        <v>0</v>
      </c>
      <c r="AM35" s="2026">
        <f>AM36</f>
        <v>0</v>
      </c>
      <c r="AN35" s="1941">
        <f t="shared" si="3"/>
        <v>0</v>
      </c>
      <c r="AO35" s="2026"/>
      <c r="AP35" s="2025">
        <f>AP36</f>
        <v>0</v>
      </c>
      <c r="AQ35" s="2025">
        <f>AQ36</f>
        <v>0</v>
      </c>
      <c r="AR35" s="2026">
        <f>AR36</f>
        <v>0</v>
      </c>
      <c r="AS35" s="2026"/>
      <c r="AT35" s="2026"/>
    </row>
    <row r="36" spans="1:46" s="226" customFormat="1" ht="13.8" outlineLevel="3" x14ac:dyDescent="0.25">
      <c r="A36" s="238"/>
      <c r="B36" s="19" t="s">
        <v>81</v>
      </c>
      <c r="C36" s="609"/>
      <c r="D36" s="49"/>
      <c r="E36" s="106">
        <f>C36+D36</f>
        <v>0</v>
      </c>
      <c r="F36" s="178">
        <f>E36/$E$89</f>
        <v>0</v>
      </c>
      <c r="G36" s="39"/>
      <c r="H36" s="39"/>
      <c r="I36" s="106">
        <f>G36+H36*1</f>
        <v>0</v>
      </c>
      <c r="J36" s="178">
        <f>I36/$I$89</f>
        <v>0</v>
      </c>
      <c r="K36" s="388"/>
      <c r="L36" s="39"/>
      <c r="M36" s="39"/>
      <c r="N36" s="106">
        <f>L36+M36*1</f>
        <v>0</v>
      </c>
      <c r="O36" s="178">
        <f t="shared" si="1"/>
        <v>0</v>
      </c>
      <c r="P36" s="388"/>
      <c r="Q36" s="39"/>
      <c r="R36" s="39"/>
      <c r="S36" s="106">
        <f>Q36+R36*1</f>
        <v>0</v>
      </c>
      <c r="T36" s="178">
        <f t="shared" si="28"/>
        <v>0</v>
      </c>
      <c r="U36" s="388"/>
      <c r="V36" s="39"/>
      <c r="W36" s="39"/>
      <c r="X36" s="106">
        <f>V36+W36*1</f>
        <v>0</v>
      </c>
      <c r="Y36" s="178">
        <f t="shared" si="2"/>
        <v>0</v>
      </c>
      <c r="Z36" s="388"/>
      <c r="AA36" s="39"/>
      <c r="AB36" s="39"/>
      <c r="AC36" s="106">
        <f>AA36+AB36*1</f>
        <v>0</v>
      </c>
      <c r="AD36" s="178">
        <f>AC36/$X$89</f>
        <v>0</v>
      </c>
      <c r="AE36" s="388"/>
      <c r="AF36" s="39"/>
      <c r="AG36" s="39"/>
      <c r="AH36" s="106">
        <f>AF36+AG36*1</f>
        <v>0</v>
      </c>
      <c r="AI36" s="178">
        <f>AH36/$X$89</f>
        <v>0</v>
      </c>
      <c r="AJ36" s="388"/>
      <c r="AK36" s="2059"/>
      <c r="AL36" s="2059"/>
      <c r="AM36" s="2028">
        <f>AK36+AL36*1</f>
        <v>0</v>
      </c>
      <c r="AN36" s="2060">
        <f t="shared" si="3"/>
        <v>0</v>
      </c>
      <c r="AO36" s="2062"/>
      <c r="AP36" s="2059">
        <f>G36+L36+Q36+V36+AA36+AF36+AK36</f>
        <v>0</v>
      </c>
      <c r="AQ36" s="2059">
        <f>H36+M36+R36+W36+AB36+AG36+AL36</f>
        <v>0</v>
      </c>
      <c r="AR36" s="2028">
        <f>AP36+AQ36</f>
        <v>0</v>
      </c>
      <c r="AS36" s="2060">
        <f>AR36/$AR$89</f>
        <v>0</v>
      </c>
      <c r="AT36" s="1909"/>
    </row>
    <row r="37" spans="1:46" s="2" customFormat="1" ht="14.4" outlineLevel="1" thickBot="1" x14ac:dyDescent="0.3">
      <c r="A37" s="4"/>
      <c r="B37" s="14"/>
      <c r="C37" s="50"/>
      <c r="D37" s="51"/>
      <c r="E37" s="52"/>
      <c r="F37" s="181"/>
      <c r="G37" s="39"/>
      <c r="H37" s="39"/>
      <c r="I37" s="52"/>
      <c r="J37" s="52"/>
      <c r="K37" s="52"/>
      <c r="L37" s="39"/>
      <c r="M37" s="39"/>
      <c r="N37" s="52"/>
      <c r="O37" s="178">
        <f t="shared" si="1"/>
        <v>0</v>
      </c>
      <c r="P37" s="52"/>
      <c r="Q37" s="39"/>
      <c r="R37" s="39"/>
      <c r="S37" s="52"/>
      <c r="T37" s="178">
        <f t="shared" si="28"/>
        <v>0</v>
      </c>
      <c r="U37" s="52"/>
      <c r="V37" s="39"/>
      <c r="W37" s="39"/>
      <c r="X37" s="52"/>
      <c r="Y37" s="178">
        <f t="shared" si="2"/>
        <v>0</v>
      </c>
      <c r="Z37" s="52"/>
      <c r="AA37" s="39"/>
      <c r="AB37" s="39"/>
      <c r="AC37" s="52"/>
      <c r="AD37" s="178">
        <f>AC37/$X$89</f>
        <v>0</v>
      </c>
      <c r="AE37" s="52"/>
      <c r="AF37" s="39"/>
      <c r="AG37" s="39"/>
      <c r="AH37" s="52"/>
      <c r="AI37" s="178">
        <f>AH37/$X$89</f>
        <v>0</v>
      </c>
      <c r="AJ37" s="52"/>
      <c r="AK37" s="2059"/>
      <c r="AL37" s="2059"/>
      <c r="AM37" s="2017"/>
      <c r="AN37" s="2060">
        <f t="shared" si="3"/>
        <v>0</v>
      </c>
      <c r="AO37" s="2017"/>
      <c r="AP37" s="2059"/>
      <c r="AQ37" s="2059"/>
      <c r="AR37" s="2017"/>
      <c r="AS37" s="2017"/>
      <c r="AT37" s="2017"/>
    </row>
    <row r="38" spans="1:46" ht="14.4" thickBot="1" x14ac:dyDescent="0.3">
      <c r="A38" s="33"/>
      <c r="B38" s="34" t="s">
        <v>46</v>
      </c>
      <c r="C38" s="53">
        <f>(C5)-(C8)</f>
        <v>804393</v>
      </c>
      <c r="D38" s="53">
        <f>(D5)-(D8)</f>
        <v>-89863</v>
      </c>
      <c r="E38" s="53">
        <f>(E5)-(E8)</f>
        <v>714530</v>
      </c>
      <c r="F38" s="166"/>
      <c r="G38" s="53">
        <f>(G5)-(G8)</f>
        <v>-1828.3074000000001</v>
      </c>
      <c r="H38" s="53">
        <f>(H5)-(H8)</f>
        <v>0</v>
      </c>
      <c r="I38" s="53">
        <f>(I5)-(I8)</f>
        <v>-1828.3074000000001</v>
      </c>
      <c r="J38" s="53"/>
      <c r="K38" s="53"/>
      <c r="L38" s="53">
        <f>(L5)-(L8)</f>
        <v>195126.99599999998</v>
      </c>
      <c r="M38" s="53">
        <f>(M5)-(M8)</f>
        <v>0</v>
      </c>
      <c r="N38" s="53">
        <f>(N5)-(N8)</f>
        <v>195126.99599999998</v>
      </c>
      <c r="O38" s="531">
        <f t="shared" si="1"/>
        <v>0.93719137120917217</v>
      </c>
      <c r="P38" s="53"/>
      <c r="Q38" s="53">
        <f>(Q5)-(Q8)</f>
        <v>113675.47199999995</v>
      </c>
      <c r="R38" s="53">
        <f>(R5)-(R8)</f>
        <v>0</v>
      </c>
      <c r="S38" s="53">
        <f>(S5)-(S8)</f>
        <v>113675.47199999995</v>
      </c>
      <c r="T38" s="531">
        <f t="shared" si="28"/>
        <v>0.54598120024627361</v>
      </c>
      <c r="U38" s="53"/>
      <c r="V38" s="53">
        <f>(V5)-(V8)</f>
        <v>146022</v>
      </c>
      <c r="W38" s="53">
        <f>(W5)-(W8)</f>
        <v>0</v>
      </c>
      <c r="X38" s="53">
        <f>(X5)-(X8)</f>
        <v>146022</v>
      </c>
      <c r="Y38" s="531">
        <f t="shared" si="2"/>
        <v>0.40543209707671057</v>
      </c>
      <c r="Z38" s="53"/>
      <c r="AA38" s="53">
        <f>(AA5)-(AA8)</f>
        <v>1439887.79</v>
      </c>
      <c r="AB38" s="53">
        <f>(AB5)-(AB8)</f>
        <v>-112506.04000000001</v>
      </c>
      <c r="AC38" s="53">
        <f>(AC5)-(AC8)</f>
        <v>1327381.75</v>
      </c>
      <c r="AD38" s="531"/>
      <c r="AE38" s="53"/>
      <c r="AF38" s="53">
        <f>(AF5)-(AF8)</f>
        <v>-803539.23</v>
      </c>
      <c r="AG38" s="53">
        <f>(AG5)-(AG8)</f>
        <v>-40000</v>
      </c>
      <c r="AH38" s="53">
        <f>(AH5)-(AH8)</f>
        <v>-843539.23</v>
      </c>
      <c r="AI38" s="531"/>
      <c r="AJ38" s="53"/>
      <c r="AK38" s="2018">
        <f>(AK5)-(AK8)</f>
        <v>-1299.9599999999998</v>
      </c>
      <c r="AL38" s="2018">
        <f>(AL5)-(AL8)</f>
        <v>0</v>
      </c>
      <c r="AM38" s="2018">
        <f>(AM5)-(AM8)</f>
        <v>-1299.9599999999998</v>
      </c>
      <c r="AN38" s="1955">
        <f t="shared" si="3"/>
        <v>-1</v>
      </c>
      <c r="AO38" s="2018"/>
      <c r="AP38" s="2018">
        <f>(AP5)-(AP8)</f>
        <v>1088044.7606000002</v>
      </c>
      <c r="AQ38" s="2018">
        <f>(AQ5)-(AQ8)</f>
        <v>-152506.04</v>
      </c>
      <c r="AR38" s="2018">
        <f>(AR5)-(AR8)</f>
        <v>935538.72060000012</v>
      </c>
      <c r="AS38" s="2018"/>
      <c r="AT38" s="2018"/>
    </row>
    <row r="39" spans="1:46" ht="13.8" x14ac:dyDescent="0.25">
      <c r="A39" s="293"/>
      <c r="B39" s="15" t="s">
        <v>47</v>
      </c>
      <c r="C39" s="157">
        <f>C38/(C5)</f>
        <v>0.30374855563359537</v>
      </c>
      <c r="D39" s="157" t="e">
        <f>D38/(D5)</f>
        <v>#DIV/0!</v>
      </c>
      <c r="E39" s="158">
        <f>E38/(E5)</f>
        <v>0.26981519662263709</v>
      </c>
      <c r="F39" s="167"/>
      <c r="G39" s="54" t="e">
        <f>G38/(G5)</f>
        <v>#DIV/0!</v>
      </c>
      <c r="H39" s="54" t="e">
        <f>H38/(H5)</f>
        <v>#DIV/0!</v>
      </c>
      <c r="I39" s="55" t="e">
        <f>I38/(I5)</f>
        <v>#DIV/0!</v>
      </c>
      <c r="J39" s="55"/>
      <c r="K39" s="55"/>
      <c r="L39" s="54">
        <f>L38/(L5)</f>
        <v>0.48384992065066451</v>
      </c>
      <c r="M39" s="54" t="e">
        <f>M38/(M5)</f>
        <v>#DIV/0!</v>
      </c>
      <c r="N39" s="55">
        <f>N38/(N5)</f>
        <v>0.48384992065066451</v>
      </c>
      <c r="O39" s="532">
        <f t="shared" si="1"/>
        <v>2.3239222654462708E-6</v>
      </c>
      <c r="P39" s="55"/>
      <c r="Q39" s="54">
        <f>Q38/(Q5)</f>
        <v>0.17429809104708743</v>
      </c>
      <c r="R39" s="54" t="e">
        <f>R38/(R5)</f>
        <v>#DIV/0!</v>
      </c>
      <c r="S39" s="55">
        <f>S38/(S5)</f>
        <v>0.17429809104708743</v>
      </c>
      <c r="T39" s="532">
        <f t="shared" si="28"/>
        <v>8.3715052399802757E-7</v>
      </c>
      <c r="U39" s="55"/>
      <c r="V39" s="54">
        <f>V38/(V5)</f>
        <v>0.28982164760615597</v>
      </c>
      <c r="W39" s="54" t="e">
        <f>W38/(W5)</f>
        <v>#DIV/0!</v>
      </c>
      <c r="X39" s="55">
        <f>X38/(X5)</f>
        <v>0.28982164760615597</v>
      </c>
      <c r="Y39" s="532">
        <f t="shared" si="2"/>
        <v>8.0469380207907864E-7</v>
      </c>
      <c r="Z39" s="55"/>
      <c r="AA39" s="54">
        <f>AA38/(AA5)</f>
        <v>0.85278433188015657</v>
      </c>
      <c r="AB39" s="54" t="e">
        <f>AB38/(AB5)</f>
        <v>#DIV/0!</v>
      </c>
      <c r="AC39" s="55">
        <f>AC38/(AC5)</f>
        <v>0.78615178674698183</v>
      </c>
      <c r="AD39" s="532"/>
      <c r="AE39" s="55"/>
      <c r="AF39" s="54" t="e">
        <f>AF38/(AF5)</f>
        <v>#DIV/0!</v>
      </c>
      <c r="AG39" s="54" t="e">
        <f>AG38/(AG5)</f>
        <v>#DIV/0!</v>
      </c>
      <c r="AH39" s="55" t="e">
        <f>AH38/(AH5)</f>
        <v>#DIV/0!</v>
      </c>
      <c r="AI39" s="532"/>
      <c r="AJ39" s="55"/>
      <c r="AK39" s="2019" t="e">
        <f>AK38/(AK5)</f>
        <v>#DIV/0!</v>
      </c>
      <c r="AL39" s="2019" t="e">
        <f>AL38/(AL5)</f>
        <v>#DIV/0!</v>
      </c>
      <c r="AM39" s="2020" t="e">
        <f>AM38/(AM5)</f>
        <v>#DIV/0!</v>
      </c>
      <c r="AN39" s="1956" t="e">
        <f t="shared" si="3"/>
        <v>#DIV/0!</v>
      </c>
      <c r="AO39" s="2020"/>
      <c r="AP39" s="2019">
        <f>AP38/(AP5)</f>
        <v>0.33501402996741642</v>
      </c>
      <c r="AQ39" s="2019" t="e">
        <f>AQ38/(AQ5)</f>
        <v>#DIV/0!</v>
      </c>
      <c r="AR39" s="2020">
        <f>AR38/(AR5)</f>
        <v>0.28805671267231026</v>
      </c>
      <c r="AS39" s="2020"/>
      <c r="AT39" s="2020"/>
    </row>
    <row r="40" spans="1:46" ht="14.4" outlineLevel="1" thickBot="1" x14ac:dyDescent="0.3">
      <c r="A40" s="295"/>
      <c r="B40" s="16"/>
      <c r="C40" s="56"/>
      <c r="D40" s="57"/>
      <c r="E40" s="58"/>
      <c r="F40" s="168"/>
      <c r="G40" s="58"/>
      <c r="H40" s="58"/>
      <c r="I40" s="58"/>
      <c r="J40" s="58"/>
      <c r="K40" s="58"/>
      <c r="L40" s="58"/>
      <c r="M40" s="58"/>
      <c r="N40" s="58"/>
      <c r="O40" s="178">
        <f t="shared" si="1"/>
        <v>0</v>
      </c>
      <c r="P40" s="58"/>
      <c r="Q40" s="58"/>
      <c r="R40" s="58"/>
      <c r="S40" s="58"/>
      <c r="T40" s="178">
        <f t="shared" si="28"/>
        <v>0</v>
      </c>
      <c r="U40" s="58"/>
      <c r="V40" s="58"/>
      <c r="W40" s="58"/>
      <c r="X40" s="58"/>
      <c r="Y40" s="178">
        <f t="shared" si="2"/>
        <v>0</v>
      </c>
      <c r="Z40" s="58"/>
      <c r="AA40" s="58"/>
      <c r="AB40" s="58"/>
      <c r="AC40" s="58"/>
      <c r="AD40" s="178">
        <f>AC40/$X$89</f>
        <v>0</v>
      </c>
      <c r="AE40" s="58"/>
      <c r="AF40" s="58"/>
      <c r="AG40" s="58"/>
      <c r="AH40" s="58"/>
      <c r="AI40" s="178">
        <f>AH40/$X$89</f>
        <v>0</v>
      </c>
      <c r="AJ40" s="58"/>
      <c r="AK40" s="2021"/>
      <c r="AL40" s="2021"/>
      <c r="AM40" s="2021"/>
      <c r="AN40" s="2060">
        <f t="shared" si="3"/>
        <v>0</v>
      </c>
      <c r="AO40" s="2021"/>
      <c r="AP40" s="2021"/>
      <c r="AQ40" s="2021"/>
      <c r="AR40" s="2021"/>
      <c r="AS40" s="2021"/>
      <c r="AT40" s="2021"/>
    </row>
    <row r="41" spans="1:46" ht="13.8" outlineLevel="1" x14ac:dyDescent="0.25">
      <c r="A41" s="11"/>
      <c r="B41" s="22" t="s">
        <v>26</v>
      </c>
      <c r="C41" s="117">
        <f>SUM(C42:C48)</f>
        <v>0</v>
      </c>
      <c r="D41" s="117">
        <f>SUM(D42:D48)</f>
        <v>0</v>
      </c>
      <c r="E41" s="118">
        <f>SUM(E42:E48)</f>
        <v>0</v>
      </c>
      <c r="F41" s="169">
        <f t="shared" ref="F41:F48" si="29">E41/$E$89</f>
        <v>0</v>
      </c>
      <c r="G41" s="117">
        <f>SUM(G42:G48)</f>
        <v>98</v>
      </c>
      <c r="H41" s="117">
        <f>SUM(H42:H48)</f>
        <v>0</v>
      </c>
      <c r="I41" s="118">
        <f>SUM(I42:I48)</f>
        <v>98</v>
      </c>
      <c r="J41" s="169" t="e">
        <f>I41/#REF!</f>
        <v>#REF!</v>
      </c>
      <c r="K41" s="60"/>
      <c r="L41" s="117">
        <f>SUM(L42:L48)</f>
        <v>51</v>
      </c>
      <c r="M41" s="117">
        <f>SUM(M42:M48)</f>
        <v>0</v>
      </c>
      <c r="N41" s="118">
        <f>SUM(N42:N48)</f>
        <v>51</v>
      </c>
      <c r="O41" s="169">
        <f t="shared" si="1"/>
        <v>2.4495206153672238E-4</v>
      </c>
      <c r="P41" s="60"/>
      <c r="Q41" s="117">
        <f>SUM(Q42:Q48)</f>
        <v>46</v>
      </c>
      <c r="R41" s="117">
        <f>SUM(R42:R48)</f>
        <v>0</v>
      </c>
      <c r="S41" s="118">
        <f>SUM(S42:S48)</f>
        <v>46</v>
      </c>
      <c r="T41" s="169">
        <f t="shared" si="28"/>
        <v>2.2093715354292608E-4</v>
      </c>
      <c r="U41" s="60"/>
      <c r="V41" s="117">
        <f>SUM(V42:V48)</f>
        <v>92</v>
      </c>
      <c r="W41" s="117">
        <f>SUM(W42:W48)</f>
        <v>0</v>
      </c>
      <c r="X41" s="118">
        <f>SUM(X42:X48)</f>
        <v>92</v>
      </c>
      <c r="Y41" s="169">
        <f t="shared" si="2"/>
        <v>2.5543926895301648E-4</v>
      </c>
      <c r="Z41" s="60"/>
      <c r="AA41" s="117">
        <f>SUM(AA42:AA48)</f>
        <v>210</v>
      </c>
      <c r="AB41" s="117">
        <f>SUM(AB42:AB48)</f>
        <v>0</v>
      </c>
      <c r="AC41" s="118">
        <f>SUM(AC42:AC48)</f>
        <v>210</v>
      </c>
      <c r="AD41" s="169">
        <f t="shared" ref="AD41:AD48" si="30">AC41/$AC$89</f>
        <v>5.8117002477776881E-4</v>
      </c>
      <c r="AE41" s="60"/>
      <c r="AF41" s="117">
        <f>SUM(AF42:AF48)</f>
        <v>0</v>
      </c>
      <c r="AG41" s="117">
        <f>SUM(AG42:AG48)</f>
        <v>0</v>
      </c>
      <c r="AH41" s="118">
        <f>SUM(AH42:AH48)</f>
        <v>0</v>
      </c>
      <c r="AI41" s="169">
        <f t="shared" ref="AI41:AI48" si="31">AH41/$AC$89</f>
        <v>0</v>
      </c>
      <c r="AJ41" s="60"/>
      <c r="AK41" s="2029">
        <f>SUM(AK42:AK48)</f>
        <v>0</v>
      </c>
      <c r="AL41" s="2029">
        <f>SUM(AL42:AL48)</f>
        <v>0</v>
      </c>
      <c r="AM41" s="2030">
        <f>SUM(AM42:AM48)</f>
        <v>0</v>
      </c>
      <c r="AN41" s="2032">
        <f t="shared" si="3"/>
        <v>0</v>
      </c>
      <c r="AO41" s="2022"/>
      <c r="AP41" s="2029">
        <f>SUM(AP42:AP48)</f>
        <v>497</v>
      </c>
      <c r="AQ41" s="2029">
        <f>SUM(AQ42:AQ48)</f>
        <v>0</v>
      </c>
      <c r="AR41" s="2030">
        <f>SUM(AR42:AR48)</f>
        <v>497</v>
      </c>
      <c r="AS41" s="2032">
        <f t="shared" ref="AS41:AS49" si="32">AR41/$AR$89</f>
        <v>2.1263241766302109E-4</v>
      </c>
      <c r="AT41" s="2022"/>
    </row>
    <row r="42" spans="1:46" ht="43.2" customHeight="1" outlineLevel="2" x14ac:dyDescent="0.25">
      <c r="A42" s="4015"/>
      <c r="B42" s="18" t="s">
        <v>7</v>
      </c>
      <c r="C42" s="113"/>
      <c r="D42" s="119"/>
      <c r="E42" s="120">
        <f t="shared" ref="E42:E49" si="33">C42+D42</f>
        <v>0</v>
      </c>
      <c r="F42" s="178">
        <f t="shared" si="29"/>
        <v>0</v>
      </c>
      <c r="G42" s="39"/>
      <c r="H42" s="39"/>
      <c r="I42" s="106">
        <f t="shared" ref="I42:I48" si="34">G42+H42*1</f>
        <v>0</v>
      </c>
      <c r="J42" s="178">
        <f t="shared" ref="J42:J48" si="35">I42/$I$89</f>
        <v>0</v>
      </c>
      <c r="K42" s="79"/>
      <c r="L42" s="39"/>
      <c r="M42" s="39"/>
      <c r="N42" s="106">
        <f t="shared" ref="N42:N48" si="36">L42+M42*1</f>
        <v>0</v>
      </c>
      <c r="O42" s="178">
        <f t="shared" si="1"/>
        <v>0</v>
      </c>
      <c r="P42" s="79"/>
      <c r="Q42" s="39"/>
      <c r="R42" s="39"/>
      <c r="S42" s="106">
        <f t="shared" ref="S42:S48" si="37">Q42+R42*1</f>
        <v>0</v>
      </c>
      <c r="T42" s="178">
        <f t="shared" ref="T42:T48" si="38">S42/$S$89</f>
        <v>0</v>
      </c>
      <c r="U42" s="79"/>
      <c r="V42" s="39"/>
      <c r="W42" s="39"/>
      <c r="X42" s="106">
        <f t="shared" ref="X42:X48" si="39">V42+W42*1</f>
        <v>0</v>
      </c>
      <c r="Y42" s="178">
        <f t="shared" si="2"/>
        <v>0</v>
      </c>
      <c r="Z42" s="79"/>
      <c r="AA42" s="39"/>
      <c r="AB42" s="39"/>
      <c r="AC42" s="106">
        <f t="shared" ref="AC42:AC48" si="40">AA42+AB42*1</f>
        <v>0</v>
      </c>
      <c r="AD42" s="178">
        <f t="shared" si="30"/>
        <v>0</v>
      </c>
      <c r="AE42" s="79"/>
      <c r="AF42" s="39"/>
      <c r="AG42" s="39"/>
      <c r="AH42" s="106">
        <f t="shared" ref="AH42:AH48" si="41">AF42+AG42*1</f>
        <v>0</v>
      </c>
      <c r="AI42" s="178">
        <f t="shared" si="31"/>
        <v>0</v>
      </c>
      <c r="AJ42" s="79"/>
      <c r="AK42" s="2059"/>
      <c r="AL42" s="2059"/>
      <c r="AM42" s="2028">
        <f t="shared" ref="AM42:AM48" si="42">AK42+AL42*1</f>
        <v>0</v>
      </c>
      <c r="AN42" s="2060">
        <f t="shared" si="3"/>
        <v>0</v>
      </c>
      <c r="AO42" s="2008"/>
      <c r="AP42" s="2059">
        <f t="shared" ref="AP42:AQ49" si="43">G42+L42+Q42+V42+AA42+AF42+AK42</f>
        <v>0</v>
      </c>
      <c r="AQ42" s="2059">
        <f t="shared" si="43"/>
        <v>0</v>
      </c>
      <c r="AR42" s="2028">
        <f t="shared" ref="AR42:AR48" si="44">AP42+AQ42</f>
        <v>0</v>
      </c>
      <c r="AS42" s="2060">
        <f t="shared" si="32"/>
        <v>0</v>
      </c>
      <c r="AT42" s="2008"/>
    </row>
    <row r="43" spans="1:46" ht="13.8" outlineLevel="2" x14ac:dyDescent="0.25">
      <c r="A43" s="4015"/>
      <c r="B43" s="18" t="s">
        <v>27</v>
      </c>
      <c r="C43" s="113"/>
      <c r="D43" s="119"/>
      <c r="E43" s="120">
        <f t="shared" si="33"/>
        <v>0</v>
      </c>
      <c r="F43" s="178">
        <f t="shared" si="29"/>
        <v>0</v>
      </c>
      <c r="G43" s="39"/>
      <c r="H43" s="39"/>
      <c r="I43" s="106">
        <f t="shared" si="34"/>
        <v>0</v>
      </c>
      <c r="J43" s="178">
        <f t="shared" si="35"/>
        <v>0</v>
      </c>
      <c r="K43" s="79"/>
      <c r="L43" s="39"/>
      <c r="M43" s="39"/>
      <c r="N43" s="106">
        <f t="shared" si="36"/>
        <v>0</v>
      </c>
      <c r="O43" s="178">
        <f t="shared" si="1"/>
        <v>0</v>
      </c>
      <c r="P43" s="79"/>
      <c r="Q43" s="39"/>
      <c r="R43" s="39"/>
      <c r="S43" s="106">
        <f t="shared" si="37"/>
        <v>0</v>
      </c>
      <c r="T43" s="178">
        <f t="shared" si="38"/>
        <v>0</v>
      </c>
      <c r="U43" s="79"/>
      <c r="V43" s="39"/>
      <c r="W43" s="39"/>
      <c r="X43" s="106">
        <f t="shared" si="39"/>
        <v>0</v>
      </c>
      <c r="Y43" s="178">
        <f t="shared" si="2"/>
        <v>0</v>
      </c>
      <c r="Z43" s="79"/>
      <c r="AA43" s="39"/>
      <c r="AB43" s="39"/>
      <c r="AC43" s="106">
        <f t="shared" si="40"/>
        <v>0</v>
      </c>
      <c r="AD43" s="178">
        <f t="shared" si="30"/>
        <v>0</v>
      </c>
      <c r="AE43" s="79"/>
      <c r="AF43" s="39"/>
      <c r="AG43" s="39"/>
      <c r="AH43" s="106">
        <f t="shared" si="41"/>
        <v>0</v>
      </c>
      <c r="AI43" s="178">
        <f t="shared" si="31"/>
        <v>0</v>
      </c>
      <c r="AJ43" s="79"/>
      <c r="AK43" s="2059"/>
      <c r="AL43" s="2059"/>
      <c r="AM43" s="2028">
        <f t="shared" si="42"/>
        <v>0</v>
      </c>
      <c r="AN43" s="2060">
        <f t="shared" si="3"/>
        <v>0</v>
      </c>
      <c r="AO43" s="2008"/>
      <c r="AP43" s="2059">
        <f t="shared" si="43"/>
        <v>0</v>
      </c>
      <c r="AQ43" s="2059">
        <f t="shared" si="43"/>
        <v>0</v>
      </c>
      <c r="AR43" s="2028">
        <f t="shared" si="44"/>
        <v>0</v>
      </c>
      <c r="AS43" s="2060">
        <f t="shared" si="32"/>
        <v>0</v>
      </c>
      <c r="AT43" s="2008"/>
    </row>
    <row r="44" spans="1:46" ht="67.2" customHeight="1" outlineLevel="2" x14ac:dyDescent="0.25">
      <c r="A44" s="4015"/>
      <c r="B44" s="19" t="s">
        <v>28</v>
      </c>
      <c r="C44" s="113"/>
      <c r="D44" s="119"/>
      <c r="E44" s="120">
        <f t="shared" si="33"/>
        <v>0</v>
      </c>
      <c r="F44" s="178">
        <f t="shared" si="29"/>
        <v>0</v>
      </c>
      <c r="G44" s="39"/>
      <c r="H44" s="39"/>
      <c r="I44" s="106">
        <f t="shared" si="34"/>
        <v>0</v>
      </c>
      <c r="J44" s="178">
        <f t="shared" si="35"/>
        <v>0</v>
      </c>
      <c r="K44" s="259"/>
      <c r="L44" s="39"/>
      <c r="M44" s="39"/>
      <c r="N44" s="106">
        <f t="shared" si="36"/>
        <v>0</v>
      </c>
      <c r="O44" s="178">
        <f t="shared" si="1"/>
        <v>0</v>
      </c>
      <c r="P44" s="259"/>
      <c r="Q44" s="39"/>
      <c r="R44" s="39"/>
      <c r="S44" s="106">
        <f t="shared" si="37"/>
        <v>0</v>
      </c>
      <c r="T44" s="178">
        <f t="shared" si="38"/>
        <v>0</v>
      </c>
      <c r="U44" s="259"/>
      <c r="V44" s="39"/>
      <c r="W44" s="39"/>
      <c r="X44" s="106">
        <f t="shared" si="39"/>
        <v>0</v>
      </c>
      <c r="Y44" s="178">
        <f t="shared" si="2"/>
        <v>0</v>
      </c>
      <c r="Z44" s="259"/>
      <c r="AA44" s="39"/>
      <c r="AB44" s="39"/>
      <c r="AC44" s="106">
        <f t="shared" si="40"/>
        <v>0</v>
      </c>
      <c r="AD44" s="178">
        <f t="shared" si="30"/>
        <v>0</v>
      </c>
      <c r="AE44" s="259"/>
      <c r="AF44" s="39"/>
      <c r="AG44" s="39"/>
      <c r="AH44" s="106">
        <f t="shared" si="41"/>
        <v>0</v>
      </c>
      <c r="AI44" s="178">
        <f t="shared" si="31"/>
        <v>0</v>
      </c>
      <c r="AJ44" s="259"/>
      <c r="AK44" s="2059"/>
      <c r="AL44" s="2059"/>
      <c r="AM44" s="2028">
        <f t="shared" si="42"/>
        <v>0</v>
      </c>
      <c r="AN44" s="2060">
        <f t="shared" si="3"/>
        <v>0</v>
      </c>
      <c r="AO44" s="2035"/>
      <c r="AP44" s="2059">
        <f t="shared" si="43"/>
        <v>0</v>
      </c>
      <c r="AQ44" s="2059">
        <f t="shared" si="43"/>
        <v>0</v>
      </c>
      <c r="AR44" s="2028">
        <f t="shared" si="44"/>
        <v>0</v>
      </c>
      <c r="AS44" s="2060">
        <f t="shared" si="32"/>
        <v>0</v>
      </c>
      <c r="AT44" s="2008"/>
    </row>
    <row r="45" spans="1:46" ht="13.8" outlineLevel="2" x14ac:dyDescent="0.25">
      <c r="A45" s="4015"/>
      <c r="B45" s="18" t="s">
        <v>8</v>
      </c>
      <c r="C45" s="113"/>
      <c r="D45" s="119"/>
      <c r="E45" s="120">
        <f t="shared" si="33"/>
        <v>0</v>
      </c>
      <c r="F45" s="178">
        <f t="shared" si="29"/>
        <v>0</v>
      </c>
      <c r="G45" s="39"/>
      <c r="H45" s="39"/>
      <c r="I45" s="106">
        <f t="shared" si="34"/>
        <v>0</v>
      </c>
      <c r="J45" s="178">
        <f t="shared" si="35"/>
        <v>0</v>
      </c>
      <c r="K45" s="259"/>
      <c r="L45" s="39"/>
      <c r="M45" s="39"/>
      <c r="N45" s="106">
        <f t="shared" si="36"/>
        <v>0</v>
      </c>
      <c r="O45" s="178">
        <f t="shared" si="1"/>
        <v>0</v>
      </c>
      <c r="P45" s="259"/>
      <c r="Q45" s="39"/>
      <c r="R45" s="39"/>
      <c r="S45" s="106">
        <f t="shared" si="37"/>
        <v>0</v>
      </c>
      <c r="T45" s="178">
        <f t="shared" si="38"/>
        <v>0</v>
      </c>
      <c r="U45" s="259"/>
      <c r="V45" s="39"/>
      <c r="W45" s="39"/>
      <c r="X45" s="106">
        <f t="shared" si="39"/>
        <v>0</v>
      </c>
      <c r="Y45" s="178">
        <f t="shared" si="2"/>
        <v>0</v>
      </c>
      <c r="Z45" s="259"/>
      <c r="AA45" s="39"/>
      <c r="AB45" s="39"/>
      <c r="AC45" s="106">
        <f t="shared" si="40"/>
        <v>0</v>
      </c>
      <c r="AD45" s="178">
        <f t="shared" si="30"/>
        <v>0</v>
      </c>
      <c r="AE45" s="259"/>
      <c r="AF45" s="39"/>
      <c r="AG45" s="39"/>
      <c r="AH45" s="106">
        <f t="shared" si="41"/>
        <v>0</v>
      </c>
      <c r="AI45" s="178">
        <f t="shared" si="31"/>
        <v>0</v>
      </c>
      <c r="AJ45" s="259"/>
      <c r="AK45" s="2059"/>
      <c r="AL45" s="2059"/>
      <c r="AM45" s="2028">
        <f t="shared" si="42"/>
        <v>0</v>
      </c>
      <c r="AN45" s="2060">
        <f t="shared" si="3"/>
        <v>0</v>
      </c>
      <c r="AO45" s="2035"/>
      <c r="AP45" s="2059">
        <f t="shared" si="43"/>
        <v>0</v>
      </c>
      <c r="AQ45" s="2059">
        <f t="shared" si="43"/>
        <v>0</v>
      </c>
      <c r="AR45" s="2028">
        <f t="shared" si="44"/>
        <v>0</v>
      </c>
      <c r="AS45" s="2060">
        <f t="shared" si="32"/>
        <v>0</v>
      </c>
      <c r="AT45" s="2008"/>
    </row>
    <row r="46" spans="1:46" ht="13.8" outlineLevel="2" x14ac:dyDescent="0.25">
      <c r="A46" s="4015"/>
      <c r="B46" s="18" t="s">
        <v>29</v>
      </c>
      <c r="C46" s="113"/>
      <c r="D46" s="119"/>
      <c r="E46" s="120">
        <f t="shared" si="33"/>
        <v>0</v>
      </c>
      <c r="F46" s="178">
        <f t="shared" si="29"/>
        <v>0</v>
      </c>
      <c r="G46" s="39"/>
      <c r="H46" s="39"/>
      <c r="I46" s="106">
        <f t="shared" si="34"/>
        <v>0</v>
      </c>
      <c r="J46" s="178">
        <f t="shared" si="35"/>
        <v>0</v>
      </c>
      <c r="K46" s="259"/>
      <c r="L46" s="39"/>
      <c r="M46" s="39"/>
      <c r="N46" s="106">
        <f t="shared" si="36"/>
        <v>0</v>
      </c>
      <c r="O46" s="178">
        <f t="shared" si="1"/>
        <v>0</v>
      </c>
      <c r="P46" s="259"/>
      <c r="Q46" s="39"/>
      <c r="R46" s="39"/>
      <c r="S46" s="106">
        <f t="shared" si="37"/>
        <v>0</v>
      </c>
      <c r="T46" s="178">
        <f t="shared" si="38"/>
        <v>0</v>
      </c>
      <c r="U46" s="259"/>
      <c r="V46" s="39"/>
      <c r="W46" s="39"/>
      <c r="X46" s="106">
        <f t="shared" si="39"/>
        <v>0</v>
      </c>
      <c r="Y46" s="178">
        <f t="shared" si="2"/>
        <v>0</v>
      </c>
      <c r="Z46" s="259"/>
      <c r="AA46" s="39"/>
      <c r="AB46" s="39"/>
      <c r="AC46" s="106">
        <f t="shared" si="40"/>
        <v>0</v>
      </c>
      <c r="AD46" s="178">
        <f t="shared" si="30"/>
        <v>0</v>
      </c>
      <c r="AE46" s="259"/>
      <c r="AF46" s="39"/>
      <c r="AG46" s="39"/>
      <c r="AH46" s="106">
        <f t="shared" si="41"/>
        <v>0</v>
      </c>
      <c r="AI46" s="178">
        <f t="shared" si="31"/>
        <v>0</v>
      </c>
      <c r="AJ46" s="259"/>
      <c r="AK46" s="2059"/>
      <c r="AL46" s="2059"/>
      <c r="AM46" s="2028">
        <f t="shared" si="42"/>
        <v>0</v>
      </c>
      <c r="AN46" s="2060">
        <f t="shared" si="3"/>
        <v>0</v>
      </c>
      <c r="AO46" s="2035"/>
      <c r="AP46" s="2059">
        <f t="shared" si="43"/>
        <v>0</v>
      </c>
      <c r="AQ46" s="2059">
        <f t="shared" si="43"/>
        <v>0</v>
      </c>
      <c r="AR46" s="2028">
        <f t="shared" si="44"/>
        <v>0</v>
      </c>
      <c r="AS46" s="2060">
        <f t="shared" si="32"/>
        <v>0</v>
      </c>
      <c r="AT46" s="2008"/>
    </row>
    <row r="47" spans="1:46" ht="13.8" outlineLevel="2" x14ac:dyDescent="0.25">
      <c r="A47" s="4015"/>
      <c r="B47" s="18" t="s">
        <v>30</v>
      </c>
      <c r="C47" s="113"/>
      <c r="D47" s="119"/>
      <c r="E47" s="120">
        <f t="shared" si="33"/>
        <v>0</v>
      </c>
      <c r="F47" s="178">
        <f t="shared" si="29"/>
        <v>0</v>
      </c>
      <c r="G47" s="39">
        <v>98</v>
      </c>
      <c r="H47" s="39"/>
      <c r="I47" s="106">
        <f t="shared" si="34"/>
        <v>98</v>
      </c>
      <c r="J47" s="178">
        <f>I47/$I$89</f>
        <v>4.0732572863104582E-3</v>
      </c>
      <c r="K47" s="388"/>
      <c r="L47" s="39">
        <v>51</v>
      </c>
      <c r="M47" s="39"/>
      <c r="N47" s="106">
        <f t="shared" si="36"/>
        <v>51</v>
      </c>
      <c r="O47" s="178">
        <f t="shared" si="1"/>
        <v>2.4495206153672238E-4</v>
      </c>
      <c r="P47" s="388"/>
      <c r="Q47" s="39">
        <v>46</v>
      </c>
      <c r="R47" s="39"/>
      <c r="S47" s="106">
        <f t="shared" si="37"/>
        <v>46</v>
      </c>
      <c r="T47" s="178">
        <f t="shared" si="38"/>
        <v>8.5412869321904692E-5</v>
      </c>
      <c r="U47" s="388"/>
      <c r="V47" s="39">
        <v>92</v>
      </c>
      <c r="W47" s="39"/>
      <c r="X47" s="106">
        <f t="shared" si="39"/>
        <v>92</v>
      </c>
      <c r="Y47" s="178">
        <f t="shared" si="2"/>
        <v>2.5543926895301648E-4</v>
      </c>
      <c r="Z47" s="388"/>
      <c r="AA47" s="39">
        <v>210</v>
      </c>
      <c r="AB47" s="39"/>
      <c r="AC47" s="106">
        <f t="shared" si="40"/>
        <v>210</v>
      </c>
      <c r="AD47" s="178">
        <f t="shared" si="30"/>
        <v>5.8117002477776881E-4</v>
      </c>
      <c r="AE47" s="388"/>
      <c r="AF47" s="39"/>
      <c r="AG47" s="39"/>
      <c r="AH47" s="106">
        <f t="shared" si="41"/>
        <v>0</v>
      </c>
      <c r="AI47" s="178">
        <f t="shared" si="31"/>
        <v>0</v>
      </c>
      <c r="AJ47" s="388"/>
      <c r="AK47" s="2059"/>
      <c r="AL47" s="2059"/>
      <c r="AM47" s="2028">
        <f t="shared" si="42"/>
        <v>0</v>
      </c>
      <c r="AN47" s="2060">
        <f t="shared" si="3"/>
        <v>0</v>
      </c>
      <c r="AO47" s="2062"/>
      <c r="AP47" s="2059">
        <f t="shared" si="43"/>
        <v>497</v>
      </c>
      <c r="AQ47" s="2059">
        <f t="shared" si="43"/>
        <v>0</v>
      </c>
      <c r="AR47" s="2028">
        <f t="shared" si="44"/>
        <v>497</v>
      </c>
      <c r="AS47" s="2060">
        <f t="shared" si="32"/>
        <v>2.1263241766302109E-4</v>
      </c>
      <c r="AT47" s="2008"/>
    </row>
    <row r="48" spans="1:46" ht="13.8" outlineLevel="2" x14ac:dyDescent="0.25">
      <c r="A48" s="4015"/>
      <c r="B48" s="18" t="s">
        <v>15</v>
      </c>
      <c r="C48" s="113"/>
      <c r="D48" s="119"/>
      <c r="E48" s="120">
        <f t="shared" si="33"/>
        <v>0</v>
      </c>
      <c r="F48" s="178">
        <f t="shared" si="29"/>
        <v>0</v>
      </c>
      <c r="G48" s="39"/>
      <c r="H48" s="39"/>
      <c r="I48" s="106">
        <f t="shared" si="34"/>
        <v>0</v>
      </c>
      <c r="J48" s="178">
        <f t="shared" si="35"/>
        <v>0</v>
      </c>
      <c r="K48" s="259"/>
      <c r="L48" s="39"/>
      <c r="M48" s="39"/>
      <c r="N48" s="106">
        <f t="shared" si="36"/>
        <v>0</v>
      </c>
      <c r="O48" s="178">
        <f t="shared" si="1"/>
        <v>0</v>
      </c>
      <c r="P48" s="259"/>
      <c r="Q48" s="39"/>
      <c r="R48" s="39"/>
      <c r="S48" s="106">
        <f t="shared" si="37"/>
        <v>0</v>
      </c>
      <c r="T48" s="178">
        <f t="shared" si="38"/>
        <v>0</v>
      </c>
      <c r="U48" s="259"/>
      <c r="V48" s="39"/>
      <c r="W48" s="39"/>
      <c r="X48" s="106">
        <f t="shared" si="39"/>
        <v>0</v>
      </c>
      <c r="Y48" s="178">
        <f t="shared" si="2"/>
        <v>0</v>
      </c>
      <c r="Z48" s="259"/>
      <c r="AA48" s="39"/>
      <c r="AB48" s="39"/>
      <c r="AC48" s="106">
        <f t="shared" si="40"/>
        <v>0</v>
      </c>
      <c r="AD48" s="178">
        <f t="shared" si="30"/>
        <v>0</v>
      </c>
      <c r="AE48" s="259"/>
      <c r="AF48" s="39"/>
      <c r="AG48" s="39"/>
      <c r="AH48" s="106">
        <f t="shared" si="41"/>
        <v>0</v>
      </c>
      <c r="AI48" s="178">
        <f t="shared" si="31"/>
        <v>0</v>
      </c>
      <c r="AJ48" s="259"/>
      <c r="AK48" s="2059"/>
      <c r="AL48" s="2059"/>
      <c r="AM48" s="2028">
        <f t="shared" si="42"/>
        <v>0</v>
      </c>
      <c r="AN48" s="2060">
        <f t="shared" si="3"/>
        <v>0</v>
      </c>
      <c r="AO48" s="2035"/>
      <c r="AP48" s="2059">
        <f t="shared" si="43"/>
        <v>0</v>
      </c>
      <c r="AQ48" s="2059">
        <f t="shared" si="43"/>
        <v>0</v>
      </c>
      <c r="AR48" s="2028">
        <f t="shared" si="44"/>
        <v>0</v>
      </c>
      <c r="AS48" s="2060">
        <f t="shared" si="32"/>
        <v>0</v>
      </c>
      <c r="AT48" s="2008"/>
    </row>
    <row r="49" spans="1:46" s="2" customFormat="1" ht="14.4" outlineLevel="2" thickBot="1" x14ac:dyDescent="0.3">
      <c r="A49" s="11"/>
      <c r="B49" s="35"/>
      <c r="C49" s="116"/>
      <c r="D49" s="121"/>
      <c r="E49" s="122">
        <f t="shared" si="33"/>
        <v>0</v>
      </c>
      <c r="F49" s="182"/>
      <c r="G49" s="39"/>
      <c r="H49" s="39"/>
      <c r="I49" s="52"/>
      <c r="J49" s="178">
        <f>I49/$I$89</f>
        <v>0</v>
      </c>
      <c r="K49" s="64"/>
      <c r="L49" s="39"/>
      <c r="M49" s="39"/>
      <c r="N49" s="52"/>
      <c r="O49" s="178">
        <f t="shared" si="1"/>
        <v>0</v>
      </c>
      <c r="P49" s="64"/>
      <c r="Q49" s="39"/>
      <c r="R49" s="39"/>
      <c r="S49" s="52"/>
      <c r="T49" s="178">
        <f t="shared" si="28"/>
        <v>0</v>
      </c>
      <c r="U49" s="64"/>
      <c r="V49" s="39"/>
      <c r="W49" s="39"/>
      <c r="X49" s="52"/>
      <c r="Y49" s="178">
        <f t="shared" si="2"/>
        <v>0</v>
      </c>
      <c r="Z49" s="64"/>
      <c r="AA49" s="39"/>
      <c r="AB49" s="39"/>
      <c r="AC49" s="52"/>
      <c r="AD49" s="178">
        <f>AC49/$X$89</f>
        <v>0</v>
      </c>
      <c r="AE49" s="64"/>
      <c r="AF49" s="39"/>
      <c r="AG49" s="39"/>
      <c r="AH49" s="52"/>
      <c r="AI49" s="178">
        <f>AH49/$X$89</f>
        <v>0</v>
      </c>
      <c r="AJ49" s="64"/>
      <c r="AK49" s="2059"/>
      <c r="AL49" s="2059"/>
      <c r="AM49" s="2017"/>
      <c r="AN49" s="2060">
        <f t="shared" si="3"/>
        <v>0</v>
      </c>
      <c r="AO49" s="2024"/>
      <c r="AP49" s="2059">
        <f t="shared" si="43"/>
        <v>0</v>
      </c>
      <c r="AQ49" s="2059">
        <f t="shared" si="43"/>
        <v>0</v>
      </c>
      <c r="AR49" s="2017"/>
      <c r="AS49" s="2060">
        <f t="shared" si="32"/>
        <v>0</v>
      </c>
      <c r="AT49" s="2017"/>
    </row>
    <row r="50" spans="1:46" s="2" customFormat="1" ht="13.8" outlineLevel="1" x14ac:dyDescent="0.25">
      <c r="A50" s="293"/>
      <c r="B50" s="17" t="s">
        <v>59</v>
      </c>
      <c r="C50" s="123">
        <f>SUM(C51:C52)</f>
        <v>0</v>
      </c>
      <c r="D50" s="123">
        <f>SUM(D51:D52)</f>
        <v>0</v>
      </c>
      <c r="E50" s="123">
        <f>SUM(E51:E52)</f>
        <v>0</v>
      </c>
      <c r="F50" s="170">
        <f>E50/$E$89</f>
        <v>0</v>
      </c>
      <c r="G50" s="123">
        <f>G52+G51</f>
        <v>0</v>
      </c>
      <c r="H50" s="123">
        <f>H52+H51</f>
        <v>0</v>
      </c>
      <c r="I50" s="123">
        <f>SUM(I51:I52)</f>
        <v>0</v>
      </c>
      <c r="J50" s="60"/>
      <c r="K50" s="409"/>
      <c r="L50" s="123">
        <f>L52+L51</f>
        <v>0</v>
      </c>
      <c r="M50" s="123">
        <f>M52+M51</f>
        <v>0</v>
      </c>
      <c r="N50" s="123">
        <f>SUM(N51:N52)</f>
        <v>0</v>
      </c>
      <c r="O50" s="169">
        <f t="shared" si="1"/>
        <v>0</v>
      </c>
      <c r="P50" s="409"/>
      <c r="Q50" s="123">
        <f>Q52+Q51</f>
        <v>0</v>
      </c>
      <c r="R50" s="123">
        <f>R52+R51</f>
        <v>0</v>
      </c>
      <c r="S50" s="123">
        <f>SUM(S51:S52)</f>
        <v>0</v>
      </c>
      <c r="T50" s="169">
        <f t="shared" ref="T50:T71" si="45">S50/$S$89</f>
        <v>0</v>
      </c>
      <c r="U50" s="409"/>
      <c r="V50" s="123">
        <f>V52+V51</f>
        <v>0</v>
      </c>
      <c r="W50" s="123">
        <f>W52+W51</f>
        <v>0</v>
      </c>
      <c r="X50" s="123">
        <f>SUM(X51:X52)</f>
        <v>0</v>
      </c>
      <c r="Y50" s="169">
        <f t="shared" si="2"/>
        <v>0</v>
      </c>
      <c r="Z50" s="409"/>
      <c r="AA50" s="123">
        <f>AA52+AA51</f>
        <v>0</v>
      </c>
      <c r="AB50" s="123">
        <f>AB52+AB51</f>
        <v>0</v>
      </c>
      <c r="AC50" s="123">
        <f>SUM(AC51:AC52)</f>
        <v>0</v>
      </c>
      <c r="AD50" s="169">
        <f>AC50/$X$89</f>
        <v>0</v>
      </c>
      <c r="AE50" s="409"/>
      <c r="AF50" s="123">
        <f>AF52+AF51</f>
        <v>0</v>
      </c>
      <c r="AG50" s="123">
        <f>AG52+AG51</f>
        <v>0</v>
      </c>
      <c r="AH50" s="123">
        <f>SUM(AH51:AH52)</f>
        <v>0</v>
      </c>
      <c r="AI50" s="169">
        <f>AH50/$X$89</f>
        <v>0</v>
      </c>
      <c r="AJ50" s="409"/>
      <c r="AK50" s="2031">
        <f>AK52+AK51</f>
        <v>0</v>
      </c>
      <c r="AL50" s="2031">
        <f>AL52+AL51</f>
        <v>0</v>
      </c>
      <c r="AM50" s="2031">
        <f>SUM(AM51:AM52)</f>
        <v>0</v>
      </c>
      <c r="AN50" s="2032">
        <f t="shared" si="3"/>
        <v>0</v>
      </c>
      <c r="AO50" s="2039"/>
      <c r="AP50" s="2031">
        <f>AP52+AP51</f>
        <v>0</v>
      </c>
      <c r="AQ50" s="2031">
        <f>AQ52+AQ51</f>
        <v>0</v>
      </c>
      <c r="AR50" s="2031">
        <f>SUM(AR51:AR52)</f>
        <v>0</v>
      </c>
      <c r="AS50" s="2022"/>
      <c r="AT50" s="2022"/>
    </row>
    <row r="51" spans="1:46" s="226" customFormat="1" ht="13.8" outlineLevel="1" x14ac:dyDescent="0.25">
      <c r="A51" s="234"/>
      <c r="B51" s="18" t="s">
        <v>60</v>
      </c>
      <c r="C51" s="113"/>
      <c r="D51" s="119"/>
      <c r="E51" s="119">
        <f>C51+D51</f>
        <v>0</v>
      </c>
      <c r="F51" s="180">
        <f>E51/$E$89</f>
        <v>0</v>
      </c>
      <c r="G51" s="39"/>
      <c r="H51" s="39"/>
      <c r="I51" s="106">
        <f>G51+H51*1</f>
        <v>0</v>
      </c>
      <c r="J51" s="178">
        <f>I51/$I$89</f>
        <v>0</v>
      </c>
      <c r="K51" s="405"/>
      <c r="L51" s="39"/>
      <c r="M51" s="39"/>
      <c r="N51" s="106">
        <f>L51+M51*1</f>
        <v>0</v>
      </c>
      <c r="O51" s="178">
        <f t="shared" si="1"/>
        <v>0</v>
      </c>
      <c r="P51" s="405"/>
      <c r="Q51" s="39"/>
      <c r="R51" s="39"/>
      <c r="S51" s="106">
        <f>Q51+R51*1</f>
        <v>0</v>
      </c>
      <c r="T51" s="178">
        <f t="shared" si="45"/>
        <v>0</v>
      </c>
      <c r="U51" s="405"/>
      <c r="V51" s="39"/>
      <c r="W51" s="39"/>
      <c r="X51" s="106">
        <f>V51+W51*1</f>
        <v>0</v>
      </c>
      <c r="Y51" s="178">
        <f t="shared" si="2"/>
        <v>0</v>
      </c>
      <c r="Z51" s="405"/>
      <c r="AA51" s="39"/>
      <c r="AB51" s="39"/>
      <c r="AC51" s="106">
        <f>AA51+AB51*1</f>
        <v>0</v>
      </c>
      <c r="AD51" s="178">
        <f>AC51/$X$89</f>
        <v>0</v>
      </c>
      <c r="AE51" s="405"/>
      <c r="AF51" s="39"/>
      <c r="AG51" s="39"/>
      <c r="AH51" s="106">
        <f>AF51+AG51*1</f>
        <v>0</v>
      </c>
      <c r="AI51" s="178">
        <f>AH51/$X$89</f>
        <v>0</v>
      </c>
      <c r="AJ51" s="405"/>
      <c r="AK51" s="2059"/>
      <c r="AL51" s="2059"/>
      <c r="AM51" s="2028">
        <f>AK51+AL51*1</f>
        <v>0</v>
      </c>
      <c r="AN51" s="2060">
        <f t="shared" si="3"/>
        <v>0</v>
      </c>
      <c r="AO51" s="2036"/>
      <c r="AP51" s="2059">
        <f>G51+L51+Q51+V51+AA51+AF51+AK51</f>
        <v>0</v>
      </c>
      <c r="AQ51" s="2059">
        <f>H51+M51+R51+W51+AB51+AG51+AL51</f>
        <v>0</v>
      </c>
      <c r="AR51" s="2028">
        <f>AP51+AQ51</f>
        <v>0</v>
      </c>
      <c r="AS51" s="2060">
        <f>AR51/$AR$89</f>
        <v>0</v>
      </c>
      <c r="AT51" s="1909"/>
    </row>
    <row r="52" spans="1:46" s="235" customFormat="1" ht="13.8" outlineLevel="2" x14ac:dyDescent="0.25">
      <c r="A52" s="234"/>
      <c r="B52" s="18" t="s">
        <v>61</v>
      </c>
      <c r="C52" s="113"/>
      <c r="D52" s="119"/>
      <c r="E52" s="119">
        <f>C52+D52</f>
        <v>0</v>
      </c>
      <c r="F52" s="180">
        <f>E52/$E$89</f>
        <v>0</v>
      </c>
      <c r="G52" s="39"/>
      <c r="H52" s="39"/>
      <c r="I52" s="106">
        <f>G52+H52*1</f>
        <v>0</v>
      </c>
      <c r="J52" s="178">
        <f>I52/$I$89</f>
        <v>0</v>
      </c>
      <c r="K52" s="405"/>
      <c r="L52" s="39"/>
      <c r="M52" s="39"/>
      <c r="N52" s="106">
        <f>L52+M52*1</f>
        <v>0</v>
      </c>
      <c r="O52" s="178">
        <f t="shared" si="1"/>
        <v>0</v>
      </c>
      <c r="P52" s="405"/>
      <c r="Q52" s="39"/>
      <c r="R52" s="39"/>
      <c r="S52" s="106">
        <f>Q52+R52*1</f>
        <v>0</v>
      </c>
      <c r="T52" s="178">
        <f t="shared" si="45"/>
        <v>0</v>
      </c>
      <c r="U52" s="405"/>
      <c r="V52" s="39"/>
      <c r="W52" s="39"/>
      <c r="X52" s="106">
        <f>V52+W52*1</f>
        <v>0</v>
      </c>
      <c r="Y52" s="178">
        <f t="shared" si="2"/>
        <v>0</v>
      </c>
      <c r="Z52" s="405"/>
      <c r="AA52" s="39"/>
      <c r="AB52" s="39"/>
      <c r="AC52" s="106">
        <f>AA52+AB52*1</f>
        <v>0</v>
      </c>
      <c r="AD52" s="178">
        <f>AC52/$X$89</f>
        <v>0</v>
      </c>
      <c r="AE52" s="405"/>
      <c r="AF52" s="39"/>
      <c r="AG52" s="39"/>
      <c r="AH52" s="106">
        <f>AF52+AG52*1</f>
        <v>0</v>
      </c>
      <c r="AI52" s="178">
        <f>AH52/$X$89</f>
        <v>0</v>
      </c>
      <c r="AJ52" s="405"/>
      <c r="AK52" s="2059"/>
      <c r="AL52" s="2059"/>
      <c r="AM52" s="2028">
        <f>AK52+AL52*1</f>
        <v>0</v>
      </c>
      <c r="AN52" s="2060">
        <f t="shared" si="3"/>
        <v>0</v>
      </c>
      <c r="AO52" s="2036"/>
      <c r="AP52" s="2059">
        <f>G52+L52+Q52+V52+AA52+AF52+AK52</f>
        <v>0</v>
      </c>
      <c r="AQ52" s="2059">
        <f>H52+M52+R52+W52+AB52+AG52+AL52</f>
        <v>0</v>
      </c>
      <c r="AR52" s="2028">
        <f>AP52+AQ52</f>
        <v>0</v>
      </c>
      <c r="AS52" s="2060">
        <f>AR52/$AR$89</f>
        <v>0</v>
      </c>
      <c r="AT52" s="1909"/>
    </row>
    <row r="53" spans="1:46" ht="14.4" outlineLevel="1" thickBot="1" x14ac:dyDescent="0.3">
      <c r="A53" s="20"/>
      <c r="B53" s="21"/>
      <c r="C53" s="124"/>
      <c r="D53" s="125"/>
      <c r="E53" s="126"/>
      <c r="F53" s="183"/>
      <c r="G53" s="39"/>
      <c r="H53" s="39"/>
      <c r="I53" s="61"/>
      <c r="J53" s="61"/>
      <c r="K53" s="61"/>
      <c r="L53" s="39"/>
      <c r="M53" s="39"/>
      <c r="N53" s="61"/>
      <c r="O53" s="178">
        <f t="shared" si="1"/>
        <v>0</v>
      </c>
      <c r="P53" s="61"/>
      <c r="Q53" s="39"/>
      <c r="R53" s="39"/>
      <c r="S53" s="61"/>
      <c r="T53" s="178">
        <f t="shared" si="28"/>
        <v>0</v>
      </c>
      <c r="U53" s="61"/>
      <c r="V53" s="39"/>
      <c r="W53" s="39"/>
      <c r="X53" s="61"/>
      <c r="Y53" s="178">
        <f t="shared" si="2"/>
        <v>0</v>
      </c>
      <c r="Z53" s="61"/>
      <c r="AA53" s="39"/>
      <c r="AB53" s="39"/>
      <c r="AC53" s="61"/>
      <c r="AD53" s="178">
        <f>AC53/$X$89</f>
        <v>0</v>
      </c>
      <c r="AE53" s="61"/>
      <c r="AF53" s="39"/>
      <c r="AG53" s="39"/>
      <c r="AH53" s="61"/>
      <c r="AI53" s="178">
        <f>AH53/$X$89</f>
        <v>0</v>
      </c>
      <c r="AJ53" s="61"/>
      <c r="AK53" s="2059"/>
      <c r="AL53" s="2059"/>
      <c r="AM53" s="2023"/>
      <c r="AN53" s="2060">
        <f t="shared" si="3"/>
        <v>0</v>
      </c>
      <c r="AO53" s="2023"/>
      <c r="AP53" s="2059">
        <f>G53</f>
        <v>0</v>
      </c>
      <c r="AQ53" s="2059">
        <f>H53</f>
        <v>0</v>
      </c>
      <c r="AR53" s="2028">
        <f>AP53+AQ53</f>
        <v>0</v>
      </c>
      <c r="AS53" s="2023"/>
      <c r="AT53" s="2023"/>
    </row>
    <row r="54" spans="1:46" ht="13.8" outlineLevel="1" x14ac:dyDescent="0.25">
      <c r="A54" s="236"/>
      <c r="B54" s="17" t="s">
        <v>1</v>
      </c>
      <c r="C54" s="123">
        <f>SUM(C55:C71)</f>
        <v>85008</v>
      </c>
      <c r="D54" s="123">
        <f>SUM(D55:D71)</f>
        <v>27496</v>
      </c>
      <c r="E54" s="127">
        <f>SUM(E55:E71)</f>
        <v>112504</v>
      </c>
      <c r="F54" s="170">
        <f>E54/$E$89</f>
        <v>5.2492365548502389E-2</v>
      </c>
      <c r="G54" s="123">
        <f>SUM(G55:G72)</f>
        <v>5438</v>
      </c>
      <c r="H54" s="123">
        <f>SUM(H55:H72)</f>
        <v>14583</v>
      </c>
      <c r="I54" s="123">
        <f>SUM(I55:I72)</f>
        <v>20021</v>
      </c>
      <c r="J54" s="169">
        <f>I54/$I$89</f>
        <v>0.83214983805328246</v>
      </c>
      <c r="K54" s="409"/>
      <c r="L54" s="123">
        <f>SUM(L55:L72)</f>
        <v>0</v>
      </c>
      <c r="M54" s="123">
        <f>SUM(M55:M72)</f>
        <v>0</v>
      </c>
      <c r="N54" s="123">
        <f>SUM(N55:N72)</f>
        <v>0</v>
      </c>
      <c r="O54" s="169">
        <f t="shared" si="1"/>
        <v>0</v>
      </c>
      <c r="P54" s="409"/>
      <c r="Q54" s="123">
        <f>SUM(Q55:Q72)</f>
        <v>0</v>
      </c>
      <c r="R54" s="123">
        <f>SUM(R55:R72)</f>
        <v>0</v>
      </c>
      <c r="S54" s="123">
        <f>SUM(S55:S72)</f>
        <v>0</v>
      </c>
      <c r="T54" s="169">
        <f t="shared" si="45"/>
        <v>0</v>
      </c>
      <c r="U54" s="409"/>
      <c r="V54" s="123">
        <f>SUM(V55:V72)</f>
        <v>0</v>
      </c>
      <c r="W54" s="123">
        <f>SUM(W55:W72)</f>
        <v>2000</v>
      </c>
      <c r="X54" s="123">
        <f>SUM(X55:X72)</f>
        <v>2000</v>
      </c>
      <c r="Y54" s="169">
        <f t="shared" si="2"/>
        <v>5.553027585935141E-3</v>
      </c>
      <c r="Z54" s="409"/>
      <c r="AA54" s="123">
        <f>SUM(AA55:AA72)</f>
        <v>0</v>
      </c>
      <c r="AB54" s="123">
        <f>SUM(AB55:AB72)</f>
        <v>57</v>
      </c>
      <c r="AC54" s="123">
        <f>SUM(AC55:AC72)</f>
        <v>57</v>
      </c>
      <c r="AD54" s="169">
        <f t="shared" ref="AD54:AD71" si="46">AC54/$AC$89</f>
        <v>1.5774614958253725E-4</v>
      </c>
      <c r="AE54" s="409"/>
      <c r="AF54" s="123">
        <f>SUM(AF55:AF72)</f>
        <v>200</v>
      </c>
      <c r="AG54" s="123">
        <f>SUM(AG55:AG72)</f>
        <v>0</v>
      </c>
      <c r="AH54" s="123">
        <f>SUM(AH55:AH72)</f>
        <v>200</v>
      </c>
      <c r="AI54" s="169">
        <f t="shared" ref="AI54:AI71" si="47">AH54/$AC$89</f>
        <v>5.5349526169311313E-4</v>
      </c>
      <c r="AJ54" s="409"/>
      <c r="AK54" s="2031">
        <f>SUM(AK55:AK72)</f>
        <v>0</v>
      </c>
      <c r="AL54" s="2031">
        <f>SUM(AL55:AL72)</f>
        <v>0</v>
      </c>
      <c r="AM54" s="2031">
        <f>SUM(AM55:AM72)</f>
        <v>0</v>
      </c>
      <c r="AN54" s="2032">
        <f t="shared" si="3"/>
        <v>0</v>
      </c>
      <c r="AO54" s="2039"/>
      <c r="AP54" s="2031">
        <f>SUM(AP55:AP72)</f>
        <v>5638</v>
      </c>
      <c r="AQ54" s="2031">
        <f>SUM(AQ55:AQ72)</f>
        <v>16640</v>
      </c>
      <c r="AR54" s="2031">
        <f>SUM(AR55:AR72)</f>
        <v>22278</v>
      </c>
      <c r="AS54" s="2032">
        <f t="shared" ref="AS54:AS72" si="48">AR54/$AR$89</f>
        <v>9.5312374259492634E-3</v>
      </c>
      <c r="AT54" s="2022"/>
    </row>
    <row r="55" spans="1:46" ht="13.95" customHeight="1" outlineLevel="2" x14ac:dyDescent="0.25">
      <c r="A55" s="237"/>
      <c r="B55" s="19" t="s">
        <v>77</v>
      </c>
      <c r="C55" s="113"/>
      <c r="D55" s="128"/>
      <c r="E55" s="120">
        <f t="shared" ref="E55:E72" si="49">C55+D55</f>
        <v>0</v>
      </c>
      <c r="F55" s="178">
        <f>E55/$E$89</f>
        <v>0</v>
      </c>
      <c r="G55" s="210"/>
      <c r="H55" s="210"/>
      <c r="I55" s="106">
        <f t="shared" ref="I55:I71" si="50">G55+H55*1</f>
        <v>0</v>
      </c>
      <c r="J55" s="178">
        <f t="shared" ref="J55:J72" si="51">I55/$I$89</f>
        <v>0</v>
      </c>
      <c r="K55" s="259"/>
      <c r="L55" s="210"/>
      <c r="M55" s="210"/>
      <c r="N55" s="106">
        <f t="shared" ref="N55:N71" si="52">L55+M55*1</f>
        <v>0</v>
      </c>
      <c r="O55" s="178">
        <f t="shared" si="1"/>
        <v>0</v>
      </c>
      <c r="P55" s="259"/>
      <c r="Q55" s="210"/>
      <c r="R55" s="210"/>
      <c r="S55" s="106">
        <f t="shared" ref="S55:S71" si="53">Q55+R55*1</f>
        <v>0</v>
      </c>
      <c r="T55" s="178">
        <f t="shared" si="45"/>
        <v>0</v>
      </c>
      <c r="U55" s="259"/>
      <c r="V55" s="210"/>
      <c r="W55" s="210"/>
      <c r="X55" s="106">
        <f t="shared" ref="X55:X71" si="54">V55+W55*1</f>
        <v>0</v>
      </c>
      <c r="Y55" s="178">
        <f t="shared" si="2"/>
        <v>0</v>
      </c>
      <c r="Z55" s="259"/>
      <c r="AA55" s="210"/>
      <c r="AB55" s="210"/>
      <c r="AC55" s="106">
        <f t="shared" ref="AC55:AC71" si="55">AA55+AB55*1</f>
        <v>0</v>
      </c>
      <c r="AD55" s="178">
        <f t="shared" si="46"/>
        <v>0</v>
      </c>
      <c r="AE55" s="259"/>
      <c r="AF55" s="210"/>
      <c r="AG55" s="210"/>
      <c r="AH55" s="106">
        <f t="shared" ref="AH55:AH71" si="56">AF55+AG55*1</f>
        <v>0</v>
      </c>
      <c r="AI55" s="178">
        <f t="shared" si="47"/>
        <v>0</v>
      </c>
      <c r="AJ55" s="259"/>
      <c r="AK55" s="2061"/>
      <c r="AL55" s="2061"/>
      <c r="AM55" s="2028">
        <f t="shared" ref="AM55:AM71" si="57">AK55+AL55*1</f>
        <v>0</v>
      </c>
      <c r="AN55" s="2060">
        <f t="shared" si="3"/>
        <v>0</v>
      </c>
      <c r="AO55" s="2035"/>
      <c r="AP55" s="2059">
        <f t="shared" ref="AP55:AQ71" si="58">G55+L55+Q55+V55+AA55+AF55+AK55</f>
        <v>0</v>
      </c>
      <c r="AQ55" s="2059">
        <f t="shared" si="58"/>
        <v>0</v>
      </c>
      <c r="AR55" s="2028">
        <f t="shared" ref="AR55:AR72" si="59">AP55+AQ55</f>
        <v>0</v>
      </c>
      <c r="AS55" s="2060">
        <f t="shared" si="48"/>
        <v>0</v>
      </c>
      <c r="AT55" s="2008"/>
    </row>
    <row r="56" spans="1:46" ht="13.95" customHeight="1" outlineLevel="2" x14ac:dyDescent="0.25">
      <c r="A56" s="237"/>
      <c r="B56" s="19" t="s">
        <v>76</v>
      </c>
      <c r="C56" s="113"/>
      <c r="D56" s="128"/>
      <c r="E56" s="120">
        <f t="shared" si="49"/>
        <v>0</v>
      </c>
      <c r="F56" s="178">
        <f t="shared" ref="F56:F72" si="60">E56/$E$89</f>
        <v>0</v>
      </c>
      <c r="G56" s="210"/>
      <c r="H56" s="210"/>
      <c r="I56" s="106">
        <f t="shared" si="50"/>
        <v>0</v>
      </c>
      <c r="J56" s="178">
        <f t="shared" si="51"/>
        <v>0</v>
      </c>
      <c r="K56" s="421"/>
      <c r="L56" s="210"/>
      <c r="M56" s="210"/>
      <c r="N56" s="106">
        <f t="shared" si="52"/>
        <v>0</v>
      </c>
      <c r="O56" s="178">
        <f t="shared" si="1"/>
        <v>0</v>
      </c>
      <c r="P56" s="421"/>
      <c r="Q56" s="210"/>
      <c r="R56" s="210"/>
      <c r="S56" s="106">
        <f t="shared" si="53"/>
        <v>0</v>
      </c>
      <c r="T56" s="178">
        <f t="shared" si="45"/>
        <v>0</v>
      </c>
      <c r="U56" s="421"/>
      <c r="V56" s="210"/>
      <c r="W56" s="210"/>
      <c r="X56" s="106">
        <f t="shared" si="54"/>
        <v>0</v>
      </c>
      <c r="Y56" s="178">
        <f t="shared" si="2"/>
        <v>0</v>
      </c>
      <c r="Z56" s="421"/>
      <c r="AA56" s="210"/>
      <c r="AB56" s="210"/>
      <c r="AC56" s="106">
        <f t="shared" si="55"/>
        <v>0</v>
      </c>
      <c r="AD56" s="178">
        <f t="shared" si="46"/>
        <v>0</v>
      </c>
      <c r="AE56" s="421"/>
      <c r="AF56" s="210"/>
      <c r="AG56" s="210"/>
      <c r="AH56" s="106">
        <f t="shared" si="56"/>
        <v>0</v>
      </c>
      <c r="AI56" s="178">
        <f t="shared" si="47"/>
        <v>0</v>
      </c>
      <c r="AJ56" s="421"/>
      <c r="AK56" s="2061"/>
      <c r="AL56" s="2061"/>
      <c r="AM56" s="2028">
        <f t="shared" si="57"/>
        <v>0</v>
      </c>
      <c r="AN56" s="2060">
        <f t="shared" si="3"/>
        <v>0</v>
      </c>
      <c r="AO56" s="1993"/>
      <c r="AP56" s="2059">
        <f t="shared" si="58"/>
        <v>0</v>
      </c>
      <c r="AQ56" s="2059">
        <f t="shared" si="58"/>
        <v>0</v>
      </c>
      <c r="AR56" s="2028">
        <f t="shared" si="59"/>
        <v>0</v>
      </c>
      <c r="AS56" s="2060">
        <f t="shared" si="48"/>
        <v>0</v>
      </c>
      <c r="AT56" s="2008"/>
    </row>
    <row r="57" spans="1:46" ht="13.95" customHeight="1" outlineLevel="2" x14ac:dyDescent="0.25">
      <c r="A57" s="237"/>
      <c r="B57" s="19" t="s">
        <v>68</v>
      </c>
      <c r="C57" s="113"/>
      <c r="D57" s="119"/>
      <c r="E57" s="120">
        <f t="shared" si="49"/>
        <v>0</v>
      </c>
      <c r="F57" s="178">
        <f t="shared" si="60"/>
        <v>0</v>
      </c>
      <c r="G57" s="210"/>
      <c r="H57" s="210"/>
      <c r="I57" s="106">
        <f t="shared" si="50"/>
        <v>0</v>
      </c>
      <c r="J57" s="178">
        <f t="shared" si="51"/>
        <v>0</v>
      </c>
      <c r="K57" s="421"/>
      <c r="L57" s="210"/>
      <c r="M57" s="210"/>
      <c r="N57" s="106">
        <f t="shared" si="52"/>
        <v>0</v>
      </c>
      <c r="O57" s="178">
        <f t="shared" si="1"/>
        <v>0</v>
      </c>
      <c r="P57" s="421"/>
      <c r="Q57" s="210"/>
      <c r="R57" s="210"/>
      <c r="S57" s="106">
        <f t="shared" si="53"/>
        <v>0</v>
      </c>
      <c r="T57" s="178">
        <f t="shared" si="45"/>
        <v>0</v>
      </c>
      <c r="U57" s="421"/>
      <c r="V57" s="210"/>
      <c r="W57" s="210"/>
      <c r="X57" s="106">
        <f t="shared" si="54"/>
        <v>0</v>
      </c>
      <c r="Y57" s="178">
        <f t="shared" si="2"/>
        <v>0</v>
      </c>
      <c r="Z57" s="421"/>
      <c r="AA57" s="210"/>
      <c r="AB57" s="210"/>
      <c r="AC57" s="106">
        <f t="shared" si="55"/>
        <v>0</v>
      </c>
      <c r="AD57" s="178">
        <f t="shared" si="46"/>
        <v>0</v>
      </c>
      <c r="AE57" s="421"/>
      <c r="AF57" s="210"/>
      <c r="AG57" s="210"/>
      <c r="AH57" s="106">
        <f t="shared" si="56"/>
        <v>0</v>
      </c>
      <c r="AI57" s="178">
        <f t="shared" si="47"/>
        <v>0</v>
      </c>
      <c r="AJ57" s="421"/>
      <c r="AK57" s="2061"/>
      <c r="AL57" s="2061"/>
      <c r="AM57" s="2028">
        <f t="shared" si="57"/>
        <v>0</v>
      </c>
      <c r="AN57" s="2060">
        <f t="shared" si="3"/>
        <v>0</v>
      </c>
      <c r="AO57" s="1993"/>
      <c r="AP57" s="2059">
        <f t="shared" si="58"/>
        <v>0</v>
      </c>
      <c r="AQ57" s="2059">
        <f t="shared" si="58"/>
        <v>0</v>
      </c>
      <c r="AR57" s="2028">
        <f t="shared" si="59"/>
        <v>0</v>
      </c>
      <c r="AS57" s="2060">
        <f t="shared" si="48"/>
        <v>0</v>
      </c>
      <c r="AT57" s="2008"/>
    </row>
    <row r="58" spans="1:46" ht="14.4" customHeight="1" outlineLevel="2" x14ac:dyDescent="0.25">
      <c r="A58" s="237"/>
      <c r="B58" s="19" t="s">
        <v>67</v>
      </c>
      <c r="C58" s="113">
        <v>42504</v>
      </c>
      <c r="D58" s="119">
        <v>27496</v>
      </c>
      <c r="E58" s="120">
        <f t="shared" si="49"/>
        <v>70000</v>
      </c>
      <c r="F58" s="178">
        <f t="shared" si="60"/>
        <v>3.2660755069998999E-2</v>
      </c>
      <c r="G58" s="210"/>
      <c r="H58" s="210">
        <v>14583</v>
      </c>
      <c r="I58" s="106">
        <f t="shared" si="50"/>
        <v>14583</v>
      </c>
      <c r="J58" s="178">
        <f t="shared" si="51"/>
        <v>0.60612562251291235</v>
      </c>
      <c r="K58" s="430"/>
      <c r="L58" s="210"/>
      <c r="M58" s="210"/>
      <c r="N58" s="106">
        <f t="shared" si="52"/>
        <v>0</v>
      </c>
      <c r="O58" s="178">
        <f t="shared" si="1"/>
        <v>0</v>
      </c>
      <c r="P58" s="430"/>
      <c r="Q58" s="210"/>
      <c r="R58" s="210"/>
      <c r="S58" s="106">
        <f t="shared" si="53"/>
        <v>0</v>
      </c>
      <c r="T58" s="178">
        <f t="shared" si="45"/>
        <v>0</v>
      </c>
      <c r="U58" s="430"/>
      <c r="V58" s="210"/>
      <c r="W58" s="210"/>
      <c r="X58" s="106">
        <f t="shared" si="54"/>
        <v>0</v>
      </c>
      <c r="Y58" s="178">
        <f t="shared" si="2"/>
        <v>0</v>
      </c>
      <c r="Z58" s="430"/>
      <c r="AA58" s="210"/>
      <c r="AB58" s="210"/>
      <c r="AC58" s="106">
        <f t="shared" si="55"/>
        <v>0</v>
      </c>
      <c r="AD58" s="178">
        <f t="shared" si="46"/>
        <v>0</v>
      </c>
      <c r="AE58" s="430"/>
      <c r="AF58" s="210"/>
      <c r="AG58" s="210"/>
      <c r="AH58" s="106">
        <f t="shared" si="56"/>
        <v>0</v>
      </c>
      <c r="AI58" s="178">
        <f t="shared" si="47"/>
        <v>0</v>
      </c>
      <c r="AJ58" s="430"/>
      <c r="AK58" s="2061"/>
      <c r="AL58" s="2061"/>
      <c r="AM58" s="2028">
        <f t="shared" si="57"/>
        <v>0</v>
      </c>
      <c r="AN58" s="2060">
        <f t="shared" si="3"/>
        <v>0</v>
      </c>
      <c r="AO58" s="1994"/>
      <c r="AP58" s="2059">
        <f t="shared" si="58"/>
        <v>0</v>
      </c>
      <c r="AQ58" s="2059">
        <f t="shared" si="58"/>
        <v>14583</v>
      </c>
      <c r="AR58" s="2028">
        <f t="shared" si="59"/>
        <v>14583</v>
      </c>
      <c r="AS58" s="2060">
        <f t="shared" si="48"/>
        <v>6.2390715226958481E-3</v>
      </c>
      <c r="AT58" s="2008"/>
    </row>
    <row r="59" spans="1:46" ht="14.4" customHeight="1" outlineLevel="2" x14ac:dyDescent="0.25">
      <c r="A59" s="237"/>
      <c r="B59" s="19" t="s">
        <v>66</v>
      </c>
      <c r="C59" s="113">
        <v>10296</v>
      </c>
      <c r="D59" s="119"/>
      <c r="E59" s="120">
        <f t="shared" si="49"/>
        <v>10296</v>
      </c>
      <c r="F59" s="178">
        <f t="shared" si="60"/>
        <v>4.8039304885815664E-3</v>
      </c>
      <c r="G59" s="210">
        <v>1287</v>
      </c>
      <c r="H59" s="210"/>
      <c r="I59" s="106">
        <f t="shared" si="50"/>
        <v>1287</v>
      </c>
      <c r="J59" s="178">
        <f t="shared" si="51"/>
        <v>5.3492674770219996E-2</v>
      </c>
      <c r="K59" s="431" t="s">
        <v>779</v>
      </c>
      <c r="L59" s="210"/>
      <c r="M59" s="210"/>
      <c r="N59" s="106">
        <f t="shared" si="52"/>
        <v>0</v>
      </c>
      <c r="O59" s="178">
        <f t="shared" si="1"/>
        <v>0</v>
      </c>
      <c r="P59" s="421"/>
      <c r="Q59" s="210"/>
      <c r="R59" s="210"/>
      <c r="S59" s="106">
        <f t="shared" si="53"/>
        <v>0</v>
      </c>
      <c r="T59" s="178">
        <f t="shared" si="45"/>
        <v>0</v>
      </c>
      <c r="U59" s="421"/>
      <c r="V59" s="210"/>
      <c r="W59" s="210"/>
      <c r="X59" s="106">
        <f t="shared" si="54"/>
        <v>0</v>
      </c>
      <c r="Y59" s="178">
        <f t="shared" si="2"/>
        <v>0</v>
      </c>
      <c r="Z59" s="421"/>
      <c r="AA59" s="210"/>
      <c r="AB59" s="210"/>
      <c r="AC59" s="106">
        <f t="shared" si="55"/>
        <v>0</v>
      </c>
      <c r="AD59" s="178">
        <f t="shared" si="46"/>
        <v>0</v>
      </c>
      <c r="AE59" s="421"/>
      <c r="AF59" s="210"/>
      <c r="AG59" s="210"/>
      <c r="AH59" s="106">
        <f t="shared" si="56"/>
        <v>0</v>
      </c>
      <c r="AI59" s="178">
        <f t="shared" si="47"/>
        <v>0</v>
      </c>
      <c r="AJ59" s="421"/>
      <c r="AK59" s="2061"/>
      <c r="AL59" s="2061"/>
      <c r="AM59" s="2028">
        <f t="shared" si="57"/>
        <v>0</v>
      </c>
      <c r="AN59" s="2060">
        <f t="shared" si="3"/>
        <v>0</v>
      </c>
      <c r="AO59" s="1993"/>
      <c r="AP59" s="2059">
        <f t="shared" si="58"/>
        <v>1287</v>
      </c>
      <c r="AQ59" s="2059">
        <f t="shared" si="58"/>
        <v>0</v>
      </c>
      <c r="AR59" s="2028">
        <f t="shared" si="59"/>
        <v>1287</v>
      </c>
      <c r="AS59" s="2060">
        <f t="shared" si="48"/>
        <v>5.506195604271794E-4</v>
      </c>
      <c r="AT59" s="2008"/>
    </row>
    <row r="60" spans="1:46" ht="14.4" customHeight="1" outlineLevel="2" x14ac:dyDescent="0.25">
      <c r="A60" s="237"/>
      <c r="B60" s="19" t="s">
        <v>65</v>
      </c>
      <c r="C60" s="113">
        <v>11616</v>
      </c>
      <c r="D60" s="119"/>
      <c r="E60" s="120">
        <f t="shared" si="49"/>
        <v>11616</v>
      </c>
      <c r="F60" s="178">
        <f t="shared" si="60"/>
        <v>5.419819012758691E-3</v>
      </c>
      <c r="G60" s="210">
        <v>1452</v>
      </c>
      <c r="H60" s="210"/>
      <c r="I60" s="106">
        <f t="shared" si="50"/>
        <v>1452</v>
      </c>
      <c r="J60" s="178">
        <f t="shared" si="51"/>
        <v>6.0350709997171278E-2</v>
      </c>
      <c r="K60" s="421"/>
      <c r="L60" s="210"/>
      <c r="M60" s="210"/>
      <c r="N60" s="106">
        <f t="shared" si="52"/>
        <v>0</v>
      </c>
      <c r="O60" s="178">
        <f t="shared" si="1"/>
        <v>0</v>
      </c>
      <c r="P60" s="421"/>
      <c r="Q60" s="210"/>
      <c r="R60" s="210"/>
      <c r="S60" s="106">
        <f t="shared" si="53"/>
        <v>0</v>
      </c>
      <c r="T60" s="178">
        <f t="shared" si="45"/>
        <v>0</v>
      </c>
      <c r="U60" s="421"/>
      <c r="V60" s="210"/>
      <c r="W60" s="210"/>
      <c r="X60" s="106">
        <f t="shared" si="54"/>
        <v>0</v>
      </c>
      <c r="Y60" s="178">
        <f t="shared" si="2"/>
        <v>0</v>
      </c>
      <c r="Z60" s="421"/>
      <c r="AA60" s="210"/>
      <c r="AB60" s="210"/>
      <c r="AC60" s="106">
        <f t="shared" si="55"/>
        <v>0</v>
      </c>
      <c r="AD60" s="178">
        <f t="shared" si="46"/>
        <v>0</v>
      </c>
      <c r="AE60" s="421"/>
      <c r="AF60" s="210"/>
      <c r="AG60" s="210"/>
      <c r="AH60" s="106">
        <f t="shared" si="56"/>
        <v>0</v>
      </c>
      <c r="AI60" s="178">
        <f t="shared" si="47"/>
        <v>0</v>
      </c>
      <c r="AJ60" s="421"/>
      <c r="AK60" s="2061"/>
      <c r="AL60" s="2061"/>
      <c r="AM60" s="2028">
        <f t="shared" si="57"/>
        <v>0</v>
      </c>
      <c r="AN60" s="2060">
        <f t="shared" si="3"/>
        <v>0</v>
      </c>
      <c r="AO60" s="1993"/>
      <c r="AP60" s="2059">
        <f t="shared" si="58"/>
        <v>1452</v>
      </c>
      <c r="AQ60" s="2059">
        <f t="shared" si="58"/>
        <v>0</v>
      </c>
      <c r="AR60" s="2028">
        <f t="shared" si="59"/>
        <v>1452</v>
      </c>
      <c r="AS60" s="2060">
        <f t="shared" si="48"/>
        <v>6.2121181176399726E-4</v>
      </c>
      <c r="AT60" s="2008"/>
    </row>
    <row r="61" spans="1:46" ht="13.95" customHeight="1" outlineLevel="2" x14ac:dyDescent="0.25">
      <c r="A61" s="237"/>
      <c r="B61" s="19" t="s">
        <v>32</v>
      </c>
      <c r="C61" s="113"/>
      <c r="D61" s="119"/>
      <c r="E61" s="120">
        <f t="shared" si="49"/>
        <v>0</v>
      </c>
      <c r="F61" s="178">
        <f t="shared" si="60"/>
        <v>0</v>
      </c>
      <c r="G61" s="210"/>
      <c r="H61" s="210"/>
      <c r="I61" s="106">
        <f t="shared" si="50"/>
        <v>0</v>
      </c>
      <c r="J61" s="178">
        <f t="shared" si="51"/>
        <v>0</v>
      </c>
      <c r="K61" s="421"/>
      <c r="L61" s="210"/>
      <c r="M61" s="210"/>
      <c r="N61" s="106">
        <f t="shared" si="52"/>
        <v>0</v>
      </c>
      <c r="O61" s="178">
        <f t="shared" si="1"/>
        <v>0</v>
      </c>
      <c r="P61" s="421"/>
      <c r="Q61" s="210"/>
      <c r="R61" s="210"/>
      <c r="S61" s="106">
        <f t="shared" si="53"/>
        <v>0</v>
      </c>
      <c r="T61" s="178">
        <f t="shared" si="45"/>
        <v>0</v>
      </c>
      <c r="U61" s="421"/>
      <c r="V61" s="210"/>
      <c r="W61" s="210"/>
      <c r="X61" s="106">
        <f t="shared" si="54"/>
        <v>0</v>
      </c>
      <c r="Y61" s="178">
        <f t="shared" si="2"/>
        <v>0</v>
      </c>
      <c r="Z61" s="421"/>
      <c r="AA61" s="210"/>
      <c r="AB61" s="210"/>
      <c r="AC61" s="106">
        <f t="shared" si="55"/>
        <v>0</v>
      </c>
      <c r="AD61" s="178">
        <f t="shared" si="46"/>
        <v>0</v>
      </c>
      <c r="AE61" s="421"/>
      <c r="AF61" s="210"/>
      <c r="AG61" s="210"/>
      <c r="AH61" s="106">
        <f t="shared" si="56"/>
        <v>0</v>
      </c>
      <c r="AI61" s="178">
        <f t="shared" si="47"/>
        <v>0</v>
      </c>
      <c r="AJ61" s="421"/>
      <c r="AK61" s="2061"/>
      <c r="AL61" s="2061"/>
      <c r="AM61" s="2028">
        <f t="shared" si="57"/>
        <v>0</v>
      </c>
      <c r="AN61" s="2060">
        <f t="shared" si="3"/>
        <v>0</v>
      </c>
      <c r="AO61" s="1993"/>
      <c r="AP61" s="2059">
        <f t="shared" si="58"/>
        <v>0</v>
      </c>
      <c r="AQ61" s="2059">
        <f t="shared" si="58"/>
        <v>0</v>
      </c>
      <c r="AR61" s="2028">
        <f t="shared" si="59"/>
        <v>0</v>
      </c>
      <c r="AS61" s="2060">
        <f t="shared" si="48"/>
        <v>0</v>
      </c>
      <c r="AT61" s="2008"/>
    </row>
    <row r="62" spans="1:46" ht="30.6" customHeight="1" outlineLevel="2" x14ac:dyDescent="0.25">
      <c r="A62" s="237"/>
      <c r="B62" s="19" t="s">
        <v>33</v>
      </c>
      <c r="C62" s="113"/>
      <c r="D62" s="119"/>
      <c r="E62" s="120">
        <f t="shared" si="49"/>
        <v>0</v>
      </c>
      <c r="F62" s="178">
        <f t="shared" si="60"/>
        <v>0</v>
      </c>
      <c r="G62" s="210"/>
      <c r="H62" s="210"/>
      <c r="I62" s="106">
        <f t="shared" si="50"/>
        <v>0</v>
      </c>
      <c r="J62" s="178">
        <f t="shared" si="51"/>
        <v>0</v>
      </c>
      <c r="K62" s="421"/>
      <c r="L62" s="210"/>
      <c r="M62" s="210"/>
      <c r="N62" s="106">
        <f t="shared" si="52"/>
        <v>0</v>
      </c>
      <c r="O62" s="178">
        <f t="shared" si="1"/>
        <v>0</v>
      </c>
      <c r="P62" s="421"/>
      <c r="Q62" s="210"/>
      <c r="R62" s="210"/>
      <c r="S62" s="106">
        <f t="shared" si="53"/>
        <v>0</v>
      </c>
      <c r="T62" s="178">
        <f t="shared" si="45"/>
        <v>0</v>
      </c>
      <c r="U62" s="421"/>
      <c r="V62" s="210"/>
      <c r="W62" s="210"/>
      <c r="X62" s="106">
        <f t="shared" si="54"/>
        <v>0</v>
      </c>
      <c r="Y62" s="178">
        <f t="shared" si="2"/>
        <v>0</v>
      </c>
      <c r="Z62" s="421"/>
      <c r="AA62" s="210"/>
      <c r="AB62" s="210"/>
      <c r="AC62" s="106">
        <f t="shared" si="55"/>
        <v>0</v>
      </c>
      <c r="AD62" s="178">
        <f t="shared" si="46"/>
        <v>0</v>
      </c>
      <c r="AE62" s="421"/>
      <c r="AF62" s="210"/>
      <c r="AG62" s="210"/>
      <c r="AH62" s="106">
        <f t="shared" si="56"/>
        <v>0</v>
      </c>
      <c r="AI62" s="178">
        <f t="shared" si="47"/>
        <v>0</v>
      </c>
      <c r="AJ62" s="421"/>
      <c r="AK62" s="2061"/>
      <c r="AL62" s="2061"/>
      <c r="AM62" s="2028">
        <f t="shared" si="57"/>
        <v>0</v>
      </c>
      <c r="AN62" s="2060">
        <f t="shared" si="3"/>
        <v>0</v>
      </c>
      <c r="AO62" s="1993"/>
      <c r="AP62" s="2059">
        <f t="shared" si="58"/>
        <v>0</v>
      </c>
      <c r="AQ62" s="2059">
        <f t="shared" si="58"/>
        <v>0</v>
      </c>
      <c r="AR62" s="2028">
        <f t="shared" si="59"/>
        <v>0</v>
      </c>
      <c r="AS62" s="2060">
        <f t="shared" si="48"/>
        <v>0</v>
      </c>
      <c r="AT62" s="2008"/>
    </row>
    <row r="63" spans="1:46" ht="13.8" outlineLevel="2" x14ac:dyDescent="0.25">
      <c r="A63" s="237"/>
      <c r="B63" s="19" t="s">
        <v>35</v>
      </c>
      <c r="C63" s="113">
        <v>20592</v>
      </c>
      <c r="D63" s="119"/>
      <c r="E63" s="120">
        <f t="shared" si="49"/>
        <v>20592</v>
      </c>
      <c r="F63" s="178">
        <f t="shared" si="60"/>
        <v>9.6078609771631327E-3</v>
      </c>
      <c r="G63" s="210">
        <v>2699</v>
      </c>
      <c r="H63" s="210"/>
      <c r="I63" s="106">
        <f t="shared" si="50"/>
        <v>2699</v>
      </c>
      <c r="J63" s="178">
        <f t="shared" si="51"/>
        <v>0.11218083077297884</v>
      </c>
      <c r="K63" s="431" t="s">
        <v>780</v>
      </c>
      <c r="L63" s="210"/>
      <c r="M63" s="210"/>
      <c r="N63" s="106">
        <f t="shared" si="52"/>
        <v>0</v>
      </c>
      <c r="O63" s="178">
        <f t="shared" si="1"/>
        <v>0</v>
      </c>
      <c r="P63" s="431"/>
      <c r="Q63" s="210"/>
      <c r="R63" s="210"/>
      <c r="S63" s="106">
        <f t="shared" si="53"/>
        <v>0</v>
      </c>
      <c r="T63" s="178">
        <f t="shared" si="45"/>
        <v>0</v>
      </c>
      <c r="U63" s="431"/>
      <c r="V63" s="210"/>
      <c r="W63" s="210"/>
      <c r="X63" s="106">
        <f t="shared" si="54"/>
        <v>0</v>
      </c>
      <c r="Y63" s="178">
        <f t="shared" si="2"/>
        <v>0</v>
      </c>
      <c r="Z63" s="441"/>
      <c r="AA63" s="210"/>
      <c r="AB63" s="210"/>
      <c r="AC63" s="106">
        <f t="shared" si="55"/>
        <v>0</v>
      </c>
      <c r="AD63" s="178">
        <f t="shared" si="46"/>
        <v>0</v>
      </c>
      <c r="AE63" s="441"/>
      <c r="AF63" s="210"/>
      <c r="AG63" s="210"/>
      <c r="AH63" s="106">
        <f t="shared" si="56"/>
        <v>0</v>
      </c>
      <c r="AI63" s="178">
        <f t="shared" si="47"/>
        <v>0</v>
      </c>
      <c r="AJ63" s="441"/>
      <c r="AK63" s="2061"/>
      <c r="AL63" s="2061"/>
      <c r="AM63" s="2028">
        <f t="shared" si="57"/>
        <v>0</v>
      </c>
      <c r="AN63" s="2060">
        <f t="shared" si="3"/>
        <v>0</v>
      </c>
      <c r="AO63" s="1957"/>
      <c r="AP63" s="2059">
        <f t="shared" si="58"/>
        <v>2699</v>
      </c>
      <c r="AQ63" s="2059">
        <f t="shared" si="58"/>
        <v>0</v>
      </c>
      <c r="AR63" s="2028">
        <f t="shared" si="59"/>
        <v>2699</v>
      </c>
      <c r="AS63" s="2060">
        <f t="shared" si="48"/>
        <v>1.1547180991398269E-3</v>
      </c>
      <c r="AT63" s="2008"/>
    </row>
    <row r="64" spans="1:46" ht="31.2" customHeight="1" outlineLevel="2" x14ac:dyDescent="0.25">
      <c r="A64" s="237"/>
      <c r="B64" s="19" t="s">
        <v>63</v>
      </c>
      <c r="C64" s="113"/>
      <c r="D64" s="119"/>
      <c r="E64" s="120">
        <f t="shared" si="49"/>
        <v>0</v>
      </c>
      <c r="F64" s="178">
        <f t="shared" si="60"/>
        <v>0</v>
      </c>
      <c r="G64" s="210"/>
      <c r="H64" s="210"/>
      <c r="I64" s="106">
        <f t="shared" si="50"/>
        <v>0</v>
      </c>
      <c r="J64" s="178">
        <f t="shared" si="51"/>
        <v>0</v>
      </c>
      <c r="K64" s="431"/>
      <c r="L64" s="210"/>
      <c r="M64" s="210"/>
      <c r="N64" s="106">
        <f t="shared" si="52"/>
        <v>0</v>
      </c>
      <c r="O64" s="178">
        <f t="shared" si="1"/>
        <v>0</v>
      </c>
      <c r="P64" s="431"/>
      <c r="Q64" s="210"/>
      <c r="R64" s="210"/>
      <c r="S64" s="106">
        <f t="shared" si="53"/>
        <v>0</v>
      </c>
      <c r="T64" s="178">
        <f t="shared" si="45"/>
        <v>0</v>
      </c>
      <c r="U64" s="431"/>
      <c r="V64" s="210"/>
      <c r="W64" s="210"/>
      <c r="X64" s="106">
        <f t="shared" si="54"/>
        <v>0</v>
      </c>
      <c r="Y64" s="178">
        <f t="shared" si="2"/>
        <v>0</v>
      </c>
      <c r="Z64" s="441"/>
      <c r="AA64" s="210"/>
      <c r="AB64" s="210"/>
      <c r="AC64" s="106">
        <f t="shared" si="55"/>
        <v>0</v>
      </c>
      <c r="AD64" s="178">
        <f t="shared" si="46"/>
        <v>0</v>
      </c>
      <c r="AE64" s="441"/>
      <c r="AF64" s="210"/>
      <c r="AG64" s="210"/>
      <c r="AH64" s="106">
        <f t="shared" si="56"/>
        <v>0</v>
      </c>
      <c r="AI64" s="178">
        <f t="shared" si="47"/>
        <v>0</v>
      </c>
      <c r="AJ64" s="441"/>
      <c r="AK64" s="2061"/>
      <c r="AL64" s="2061"/>
      <c r="AM64" s="2028">
        <f t="shared" si="57"/>
        <v>0</v>
      </c>
      <c r="AN64" s="2060">
        <f t="shared" si="3"/>
        <v>0</v>
      </c>
      <c r="AO64" s="1957"/>
      <c r="AP64" s="2059">
        <f t="shared" si="58"/>
        <v>0</v>
      </c>
      <c r="AQ64" s="2059">
        <f t="shared" si="58"/>
        <v>0</v>
      </c>
      <c r="AR64" s="2028">
        <f t="shared" si="59"/>
        <v>0</v>
      </c>
      <c r="AS64" s="2060">
        <f t="shared" si="48"/>
        <v>0</v>
      </c>
      <c r="AT64" s="2008"/>
    </row>
    <row r="65" spans="1:46" ht="27.6" outlineLevel="2" x14ac:dyDescent="0.25">
      <c r="A65" s="237"/>
      <c r="B65" s="19" t="s">
        <v>36</v>
      </c>
      <c r="C65" s="113"/>
      <c r="D65" s="119"/>
      <c r="E65" s="120">
        <f t="shared" si="49"/>
        <v>0</v>
      </c>
      <c r="F65" s="178">
        <f t="shared" si="60"/>
        <v>0</v>
      </c>
      <c r="G65" s="39"/>
      <c r="H65" s="39"/>
      <c r="I65" s="106">
        <f t="shared" si="50"/>
        <v>0</v>
      </c>
      <c r="J65" s="178">
        <f t="shared" si="51"/>
        <v>0</v>
      </c>
      <c r="K65" s="388"/>
      <c r="L65" s="39"/>
      <c r="M65" s="39"/>
      <c r="N65" s="106">
        <f t="shared" si="52"/>
        <v>0</v>
      </c>
      <c r="O65" s="178">
        <f t="shared" si="1"/>
        <v>0</v>
      </c>
      <c r="P65" s="388"/>
      <c r="Q65" s="39"/>
      <c r="R65" s="39"/>
      <c r="S65" s="106">
        <f t="shared" si="53"/>
        <v>0</v>
      </c>
      <c r="T65" s="178">
        <f t="shared" si="45"/>
        <v>0</v>
      </c>
      <c r="U65" s="388"/>
      <c r="V65" s="39"/>
      <c r="W65" s="39">
        <v>2000</v>
      </c>
      <c r="X65" s="106">
        <f t="shared" si="54"/>
        <v>2000</v>
      </c>
      <c r="Y65" s="178">
        <f t="shared" si="2"/>
        <v>5.553027585935141E-3</v>
      </c>
      <c r="Z65" s="388" t="s">
        <v>849</v>
      </c>
      <c r="AA65" s="39"/>
      <c r="AB65" s="39"/>
      <c r="AC65" s="106">
        <f t="shared" si="55"/>
        <v>0</v>
      </c>
      <c r="AD65" s="178">
        <f t="shared" si="46"/>
        <v>0</v>
      </c>
      <c r="AE65" s="388"/>
      <c r="AF65" s="39">
        <v>200</v>
      </c>
      <c r="AG65" s="39"/>
      <c r="AH65" s="106">
        <f t="shared" si="56"/>
        <v>200</v>
      </c>
      <c r="AI65" s="178">
        <f t="shared" si="47"/>
        <v>5.5349526169311313E-4</v>
      </c>
      <c r="AJ65" s="388"/>
      <c r="AK65" s="2059"/>
      <c r="AL65" s="2059"/>
      <c r="AM65" s="2028">
        <f t="shared" si="57"/>
        <v>0</v>
      </c>
      <c r="AN65" s="2060">
        <f t="shared" si="3"/>
        <v>0</v>
      </c>
      <c r="AO65" s="2062"/>
      <c r="AP65" s="2059">
        <f t="shared" si="58"/>
        <v>200</v>
      </c>
      <c r="AQ65" s="2059">
        <f t="shared" si="58"/>
        <v>2000</v>
      </c>
      <c r="AR65" s="2028">
        <f t="shared" si="59"/>
        <v>2200</v>
      </c>
      <c r="AS65" s="2060">
        <f t="shared" si="48"/>
        <v>9.4123001782423822E-4</v>
      </c>
      <c r="AT65" s="2008"/>
    </row>
    <row r="66" spans="1:46" s="2" customFormat="1" ht="13.95" customHeight="1" outlineLevel="2" x14ac:dyDescent="0.25">
      <c r="A66" s="237"/>
      <c r="B66" s="19" t="s">
        <v>37</v>
      </c>
      <c r="C66" s="113"/>
      <c r="D66" s="119"/>
      <c r="E66" s="120">
        <f t="shared" si="49"/>
        <v>0</v>
      </c>
      <c r="F66" s="178">
        <f t="shared" si="60"/>
        <v>0</v>
      </c>
      <c r="G66" s="39"/>
      <c r="H66" s="39"/>
      <c r="I66" s="106">
        <f t="shared" si="50"/>
        <v>0</v>
      </c>
      <c r="J66" s="178">
        <f t="shared" si="51"/>
        <v>0</v>
      </c>
      <c r="K66" s="79"/>
      <c r="L66" s="39"/>
      <c r="M66" s="39"/>
      <c r="N66" s="106">
        <f t="shared" si="52"/>
        <v>0</v>
      </c>
      <c r="O66" s="178">
        <f t="shared" si="1"/>
        <v>0</v>
      </c>
      <c r="P66" s="79"/>
      <c r="Q66" s="39"/>
      <c r="R66" s="39"/>
      <c r="S66" s="106">
        <f t="shared" si="53"/>
        <v>0</v>
      </c>
      <c r="T66" s="178">
        <f t="shared" si="45"/>
        <v>0</v>
      </c>
      <c r="U66" s="79"/>
      <c r="V66" s="39"/>
      <c r="W66" s="39"/>
      <c r="X66" s="106">
        <f t="shared" si="54"/>
        <v>0</v>
      </c>
      <c r="Y66" s="178">
        <f t="shared" si="2"/>
        <v>0</v>
      </c>
      <c r="Z66" s="389"/>
      <c r="AA66" s="39"/>
      <c r="AB66" s="39"/>
      <c r="AC66" s="106">
        <f t="shared" si="55"/>
        <v>0</v>
      </c>
      <c r="AD66" s="178">
        <f t="shared" si="46"/>
        <v>0</v>
      </c>
      <c r="AE66" s="389"/>
      <c r="AF66" s="39"/>
      <c r="AG66" s="39"/>
      <c r="AH66" s="106">
        <f t="shared" si="56"/>
        <v>0</v>
      </c>
      <c r="AI66" s="178">
        <f t="shared" si="47"/>
        <v>0</v>
      </c>
      <c r="AJ66" s="389"/>
      <c r="AK66" s="2059"/>
      <c r="AL66" s="2059"/>
      <c r="AM66" s="2028">
        <f t="shared" si="57"/>
        <v>0</v>
      </c>
      <c r="AN66" s="2060">
        <f t="shared" si="3"/>
        <v>0</v>
      </c>
      <c r="AO66" s="1958"/>
      <c r="AP66" s="2059">
        <f t="shared" si="58"/>
        <v>0</v>
      </c>
      <c r="AQ66" s="2059">
        <f t="shared" si="58"/>
        <v>0</v>
      </c>
      <c r="AR66" s="2028">
        <f t="shared" si="59"/>
        <v>0</v>
      </c>
      <c r="AS66" s="2060">
        <f t="shared" si="48"/>
        <v>0</v>
      </c>
      <c r="AT66" s="2008"/>
    </row>
    <row r="67" spans="1:46" s="2" customFormat="1" ht="102" customHeight="1" outlineLevel="2" x14ac:dyDescent="0.25">
      <c r="A67" s="237"/>
      <c r="B67" s="19" t="s">
        <v>3</v>
      </c>
      <c r="C67" s="113"/>
      <c r="D67" s="128"/>
      <c r="E67" s="120">
        <f t="shared" si="49"/>
        <v>0</v>
      </c>
      <c r="F67" s="178">
        <f t="shared" si="60"/>
        <v>0</v>
      </c>
      <c r="G67" s="39"/>
      <c r="H67" s="39"/>
      <c r="I67" s="106">
        <f t="shared" si="50"/>
        <v>0</v>
      </c>
      <c r="J67" s="178">
        <f t="shared" si="51"/>
        <v>0</v>
      </c>
      <c r="K67" s="79"/>
      <c r="L67" s="39"/>
      <c r="M67" s="39"/>
      <c r="N67" s="106">
        <f t="shared" si="52"/>
        <v>0</v>
      </c>
      <c r="O67" s="178">
        <f t="shared" si="1"/>
        <v>0</v>
      </c>
      <c r="P67" s="79"/>
      <c r="Q67" s="39"/>
      <c r="R67" s="39"/>
      <c r="S67" s="106">
        <f t="shared" si="53"/>
        <v>0</v>
      </c>
      <c r="T67" s="178">
        <f t="shared" si="45"/>
        <v>0</v>
      </c>
      <c r="U67" s="79"/>
      <c r="V67" s="39"/>
      <c r="W67" s="39"/>
      <c r="X67" s="106">
        <f t="shared" si="54"/>
        <v>0</v>
      </c>
      <c r="Y67" s="178">
        <f t="shared" si="2"/>
        <v>0</v>
      </c>
      <c r="Z67" s="389"/>
      <c r="AA67" s="39"/>
      <c r="AB67" s="39"/>
      <c r="AC67" s="106">
        <f t="shared" si="55"/>
        <v>0</v>
      </c>
      <c r="AD67" s="178">
        <f t="shared" si="46"/>
        <v>0</v>
      </c>
      <c r="AE67" s="389"/>
      <c r="AF67" s="39"/>
      <c r="AG67" s="39"/>
      <c r="AH67" s="106">
        <f t="shared" si="56"/>
        <v>0</v>
      </c>
      <c r="AI67" s="178">
        <f t="shared" si="47"/>
        <v>0</v>
      </c>
      <c r="AJ67" s="389"/>
      <c r="AK67" s="2059"/>
      <c r="AL67" s="2059"/>
      <c r="AM67" s="2028">
        <f t="shared" si="57"/>
        <v>0</v>
      </c>
      <c r="AN67" s="2060">
        <f t="shared" si="3"/>
        <v>0</v>
      </c>
      <c r="AO67" s="1958"/>
      <c r="AP67" s="2059">
        <f t="shared" si="58"/>
        <v>0</v>
      </c>
      <c r="AQ67" s="2059">
        <f t="shared" si="58"/>
        <v>0</v>
      </c>
      <c r="AR67" s="2028">
        <f t="shared" si="59"/>
        <v>0</v>
      </c>
      <c r="AS67" s="2060">
        <f t="shared" si="48"/>
        <v>0</v>
      </c>
      <c r="AT67" s="2008"/>
    </row>
    <row r="68" spans="1:46" s="2" customFormat="1" ht="13.95" customHeight="1" outlineLevel="2" x14ac:dyDescent="0.25">
      <c r="A68" s="237"/>
      <c r="B68" s="19" t="s">
        <v>5</v>
      </c>
      <c r="C68" s="113"/>
      <c r="D68" s="128"/>
      <c r="E68" s="120">
        <f t="shared" si="49"/>
        <v>0</v>
      </c>
      <c r="F68" s="178">
        <f t="shared" si="60"/>
        <v>0</v>
      </c>
      <c r="G68" s="39"/>
      <c r="H68" s="39"/>
      <c r="I68" s="106">
        <f t="shared" si="50"/>
        <v>0</v>
      </c>
      <c r="J68" s="178">
        <f t="shared" si="51"/>
        <v>0</v>
      </c>
      <c r="K68" s="79"/>
      <c r="L68" s="39"/>
      <c r="M68" s="39"/>
      <c r="N68" s="106">
        <f t="shared" si="52"/>
        <v>0</v>
      </c>
      <c r="O68" s="178">
        <f t="shared" si="1"/>
        <v>0</v>
      </c>
      <c r="P68" s="79"/>
      <c r="Q68" s="39"/>
      <c r="R68" s="39"/>
      <c r="S68" s="106">
        <f t="shared" si="53"/>
        <v>0</v>
      </c>
      <c r="T68" s="178">
        <f t="shared" si="45"/>
        <v>0</v>
      </c>
      <c r="U68" s="79"/>
      <c r="V68" s="39"/>
      <c r="W68" s="39"/>
      <c r="X68" s="106">
        <f t="shared" si="54"/>
        <v>0</v>
      </c>
      <c r="Y68" s="178">
        <f t="shared" si="2"/>
        <v>0</v>
      </c>
      <c r="Z68" s="79"/>
      <c r="AA68" s="39"/>
      <c r="AB68" s="39">
        <v>57</v>
      </c>
      <c r="AC68" s="106">
        <f t="shared" si="55"/>
        <v>57</v>
      </c>
      <c r="AD68" s="178">
        <f t="shared" si="46"/>
        <v>1.5774614958253725E-4</v>
      </c>
      <c r="AE68" s="79"/>
      <c r="AF68" s="39"/>
      <c r="AG68" s="39"/>
      <c r="AH68" s="106">
        <f t="shared" si="56"/>
        <v>0</v>
      </c>
      <c r="AI68" s="178">
        <f t="shared" si="47"/>
        <v>0</v>
      </c>
      <c r="AJ68" s="79"/>
      <c r="AK68" s="2059"/>
      <c r="AL68" s="2059"/>
      <c r="AM68" s="2028">
        <f t="shared" si="57"/>
        <v>0</v>
      </c>
      <c r="AN68" s="2060">
        <f t="shared" si="3"/>
        <v>0</v>
      </c>
      <c r="AO68" s="2008"/>
      <c r="AP68" s="2059">
        <f t="shared" si="58"/>
        <v>0</v>
      </c>
      <c r="AQ68" s="2059">
        <f t="shared" si="58"/>
        <v>57</v>
      </c>
      <c r="AR68" s="2028">
        <f t="shared" si="59"/>
        <v>57</v>
      </c>
      <c r="AS68" s="2060">
        <f t="shared" si="48"/>
        <v>2.4386414098173445E-5</v>
      </c>
      <c r="AT68" s="2008"/>
    </row>
    <row r="69" spans="1:46" s="2" customFormat="1" ht="13.8" outlineLevel="2" x14ac:dyDescent="0.25">
      <c r="A69" s="237"/>
      <c r="B69" s="19" t="s">
        <v>42</v>
      </c>
      <c r="C69" s="113"/>
      <c r="D69" s="128"/>
      <c r="E69" s="120">
        <f t="shared" si="49"/>
        <v>0</v>
      </c>
      <c r="F69" s="178">
        <f t="shared" si="60"/>
        <v>0</v>
      </c>
      <c r="G69" s="39"/>
      <c r="H69" s="39"/>
      <c r="I69" s="106">
        <f t="shared" si="50"/>
        <v>0</v>
      </c>
      <c r="J69" s="178">
        <f t="shared" si="51"/>
        <v>0</v>
      </c>
      <c r="K69" s="388"/>
      <c r="L69" s="39"/>
      <c r="M69" s="39"/>
      <c r="N69" s="106">
        <f t="shared" si="52"/>
        <v>0</v>
      </c>
      <c r="O69" s="178">
        <f t="shared" si="1"/>
        <v>0</v>
      </c>
      <c r="P69" s="388"/>
      <c r="Q69" s="39"/>
      <c r="R69" s="39"/>
      <c r="S69" s="106">
        <f t="shared" si="53"/>
        <v>0</v>
      </c>
      <c r="T69" s="178">
        <f t="shared" si="45"/>
        <v>0</v>
      </c>
      <c r="U69" s="388"/>
      <c r="V69" s="39"/>
      <c r="W69" s="39"/>
      <c r="X69" s="106">
        <f t="shared" si="54"/>
        <v>0</v>
      </c>
      <c r="Y69" s="178">
        <f t="shared" si="2"/>
        <v>0</v>
      </c>
      <c r="Z69" s="388"/>
      <c r="AA69" s="39"/>
      <c r="AB69" s="39"/>
      <c r="AC69" s="106">
        <f t="shared" si="55"/>
        <v>0</v>
      </c>
      <c r="AD69" s="178">
        <f t="shared" si="46"/>
        <v>0</v>
      </c>
      <c r="AE69" s="388"/>
      <c r="AF69" s="39"/>
      <c r="AG69" s="39"/>
      <c r="AH69" s="106">
        <f t="shared" si="56"/>
        <v>0</v>
      </c>
      <c r="AI69" s="178">
        <f t="shared" si="47"/>
        <v>0</v>
      </c>
      <c r="AJ69" s="388"/>
      <c r="AK69" s="2059"/>
      <c r="AL69" s="2059"/>
      <c r="AM69" s="2028">
        <f t="shared" si="57"/>
        <v>0</v>
      </c>
      <c r="AN69" s="2060">
        <f t="shared" si="3"/>
        <v>0</v>
      </c>
      <c r="AO69" s="2062"/>
      <c r="AP69" s="2059">
        <f t="shared" si="58"/>
        <v>0</v>
      </c>
      <c r="AQ69" s="2059">
        <f t="shared" si="58"/>
        <v>0</v>
      </c>
      <c r="AR69" s="2028">
        <f t="shared" si="59"/>
        <v>0</v>
      </c>
      <c r="AS69" s="2060">
        <f t="shared" si="48"/>
        <v>0</v>
      </c>
      <c r="AT69" s="2008"/>
    </row>
    <row r="70" spans="1:46" s="2" customFormat="1" ht="22.95" customHeight="1" outlineLevel="2" x14ac:dyDescent="0.25">
      <c r="A70" s="237"/>
      <c r="B70" s="19" t="s">
        <v>6</v>
      </c>
      <c r="C70" s="113"/>
      <c r="D70" s="128"/>
      <c r="E70" s="120">
        <f t="shared" si="49"/>
        <v>0</v>
      </c>
      <c r="F70" s="178">
        <f t="shared" si="60"/>
        <v>0</v>
      </c>
      <c r="G70" s="39"/>
      <c r="H70" s="39"/>
      <c r="I70" s="106">
        <f t="shared" si="50"/>
        <v>0</v>
      </c>
      <c r="J70" s="178">
        <f t="shared" si="51"/>
        <v>0</v>
      </c>
      <c r="K70" s="79"/>
      <c r="L70" s="39"/>
      <c r="M70" s="39"/>
      <c r="N70" s="106">
        <f t="shared" si="52"/>
        <v>0</v>
      </c>
      <c r="O70" s="178">
        <f t="shared" si="1"/>
        <v>0</v>
      </c>
      <c r="P70" s="79"/>
      <c r="Q70" s="39"/>
      <c r="R70" s="39"/>
      <c r="S70" s="106">
        <f t="shared" si="53"/>
        <v>0</v>
      </c>
      <c r="T70" s="178">
        <f t="shared" si="45"/>
        <v>0</v>
      </c>
      <c r="U70" s="79"/>
      <c r="V70" s="39"/>
      <c r="W70" s="39"/>
      <c r="X70" s="106">
        <f t="shared" si="54"/>
        <v>0</v>
      </c>
      <c r="Y70" s="178">
        <f t="shared" si="2"/>
        <v>0</v>
      </c>
      <c r="Z70" s="79"/>
      <c r="AA70" s="39"/>
      <c r="AB70" s="39"/>
      <c r="AC70" s="106">
        <f t="shared" si="55"/>
        <v>0</v>
      </c>
      <c r="AD70" s="178">
        <f t="shared" si="46"/>
        <v>0</v>
      </c>
      <c r="AE70" s="79"/>
      <c r="AF70" s="39"/>
      <c r="AG70" s="39"/>
      <c r="AH70" s="106">
        <f t="shared" si="56"/>
        <v>0</v>
      </c>
      <c r="AI70" s="178">
        <f t="shared" si="47"/>
        <v>0</v>
      </c>
      <c r="AJ70" s="79"/>
      <c r="AK70" s="2059"/>
      <c r="AL70" s="2059"/>
      <c r="AM70" s="2028">
        <f t="shared" si="57"/>
        <v>0</v>
      </c>
      <c r="AN70" s="2060">
        <f t="shared" si="3"/>
        <v>0</v>
      </c>
      <c r="AO70" s="2008"/>
      <c r="AP70" s="2059">
        <f t="shared" si="58"/>
        <v>0</v>
      </c>
      <c r="AQ70" s="2059">
        <f t="shared" si="58"/>
        <v>0</v>
      </c>
      <c r="AR70" s="2028">
        <f t="shared" si="59"/>
        <v>0</v>
      </c>
      <c r="AS70" s="2060">
        <f t="shared" si="48"/>
        <v>0</v>
      </c>
      <c r="AT70" s="2008"/>
    </row>
    <row r="71" spans="1:46" s="2" customFormat="1" ht="22.2" customHeight="1" outlineLevel="2" x14ac:dyDescent="0.25">
      <c r="A71" s="237"/>
      <c r="B71" s="19" t="s">
        <v>78</v>
      </c>
      <c r="C71" s="113"/>
      <c r="D71" s="128"/>
      <c r="E71" s="120">
        <f t="shared" si="49"/>
        <v>0</v>
      </c>
      <c r="F71" s="184">
        <f t="shared" si="60"/>
        <v>0</v>
      </c>
      <c r="G71" s="39"/>
      <c r="H71" s="39"/>
      <c r="I71" s="106">
        <f t="shared" si="50"/>
        <v>0</v>
      </c>
      <c r="J71" s="178">
        <f t="shared" si="51"/>
        <v>0</v>
      </c>
      <c r="K71" s="79"/>
      <c r="L71" s="39"/>
      <c r="M71" s="39"/>
      <c r="N71" s="106">
        <f t="shared" si="52"/>
        <v>0</v>
      </c>
      <c r="O71" s="178">
        <f t="shared" si="1"/>
        <v>0</v>
      </c>
      <c r="P71" s="79"/>
      <c r="Q71" s="39"/>
      <c r="R71" s="39"/>
      <c r="S71" s="106">
        <f t="shared" si="53"/>
        <v>0</v>
      </c>
      <c r="T71" s="178">
        <f t="shared" si="45"/>
        <v>0</v>
      </c>
      <c r="U71" s="79"/>
      <c r="V71" s="39"/>
      <c r="W71" s="39"/>
      <c r="X71" s="106">
        <f t="shared" si="54"/>
        <v>0</v>
      </c>
      <c r="Y71" s="178">
        <f t="shared" si="2"/>
        <v>0</v>
      </c>
      <c r="Z71" s="79"/>
      <c r="AA71" s="39"/>
      <c r="AB71" s="39"/>
      <c r="AC71" s="106">
        <f t="shared" si="55"/>
        <v>0</v>
      </c>
      <c r="AD71" s="178">
        <f t="shared" si="46"/>
        <v>0</v>
      </c>
      <c r="AE71" s="79"/>
      <c r="AF71" s="39"/>
      <c r="AG71" s="39"/>
      <c r="AH71" s="106">
        <f t="shared" si="56"/>
        <v>0</v>
      </c>
      <c r="AI71" s="178">
        <f t="shared" si="47"/>
        <v>0</v>
      </c>
      <c r="AJ71" s="79"/>
      <c r="AK71" s="2059"/>
      <c r="AL71" s="2059"/>
      <c r="AM71" s="2028">
        <f t="shared" si="57"/>
        <v>0</v>
      </c>
      <c r="AN71" s="2060">
        <f t="shared" si="3"/>
        <v>0</v>
      </c>
      <c r="AO71" s="2008"/>
      <c r="AP71" s="2059">
        <f t="shared" si="58"/>
        <v>0</v>
      </c>
      <c r="AQ71" s="2059">
        <f t="shared" si="58"/>
        <v>0</v>
      </c>
      <c r="AR71" s="2028">
        <f t="shared" si="59"/>
        <v>0</v>
      </c>
      <c r="AS71" s="2060">
        <f t="shared" si="48"/>
        <v>0</v>
      </c>
      <c r="AT71" s="2008"/>
    </row>
    <row r="72" spans="1:46" s="2" customFormat="1" ht="14.4" outlineLevel="2" thickBot="1" x14ac:dyDescent="0.3">
      <c r="A72" s="237"/>
      <c r="B72" s="19"/>
      <c r="C72" s="130"/>
      <c r="D72" s="131"/>
      <c r="E72" s="159">
        <f t="shared" si="49"/>
        <v>0</v>
      </c>
      <c r="F72" s="184">
        <f t="shared" si="60"/>
        <v>0</v>
      </c>
      <c r="G72" s="39"/>
      <c r="H72" s="39"/>
      <c r="I72" s="106"/>
      <c r="J72" s="178">
        <f t="shared" si="51"/>
        <v>0</v>
      </c>
      <c r="K72" s="79"/>
      <c r="L72" s="39"/>
      <c r="M72" s="39"/>
      <c r="N72" s="106"/>
      <c r="O72" s="178">
        <f>N72/$N$89</f>
        <v>0</v>
      </c>
      <c r="P72" s="79"/>
      <c r="Q72" s="39"/>
      <c r="R72" s="39"/>
      <c r="S72" s="106"/>
      <c r="T72" s="178">
        <f>S72/$N$89</f>
        <v>0</v>
      </c>
      <c r="U72" s="79"/>
      <c r="V72" s="39"/>
      <c r="W72" s="39"/>
      <c r="X72" s="106"/>
      <c r="Y72" s="178">
        <f t="shared" si="2"/>
        <v>0</v>
      </c>
      <c r="Z72" s="79"/>
      <c r="AA72" s="39"/>
      <c r="AB72" s="39"/>
      <c r="AC72" s="106"/>
      <c r="AD72" s="178">
        <f>AC72/$X$89</f>
        <v>0</v>
      </c>
      <c r="AE72" s="79"/>
      <c r="AF72" s="39"/>
      <c r="AG72" s="39"/>
      <c r="AH72" s="106"/>
      <c r="AI72" s="178">
        <f>AH72/$X$89</f>
        <v>0</v>
      </c>
      <c r="AJ72" s="79"/>
      <c r="AK72" s="2097"/>
      <c r="AL72" s="2098"/>
      <c r="AM72" s="2103"/>
      <c r="AN72" s="2034">
        <f t="shared" si="3"/>
        <v>0</v>
      </c>
      <c r="AO72" s="2101"/>
      <c r="AP72" s="2098">
        <f>G72+L72+Q72+V72</f>
        <v>0</v>
      </c>
      <c r="AQ72" s="2098">
        <f>H72+M72+R72+W72</f>
        <v>0</v>
      </c>
      <c r="AR72" s="2103">
        <f t="shared" si="59"/>
        <v>0</v>
      </c>
      <c r="AS72" s="2060">
        <f t="shared" si="48"/>
        <v>0</v>
      </c>
      <c r="AT72" s="2008"/>
    </row>
    <row r="73" spans="1:46" s="2" customFormat="1" ht="14.4" outlineLevel="1" thickBot="1" x14ac:dyDescent="0.3">
      <c r="A73" s="237"/>
      <c r="B73" s="13" t="s">
        <v>4</v>
      </c>
      <c r="C73" s="132">
        <f>C74</f>
        <v>79447</v>
      </c>
      <c r="D73" s="133">
        <f>D74</f>
        <v>0</v>
      </c>
      <c r="E73" s="132">
        <f>E74</f>
        <v>79447</v>
      </c>
      <c r="F73" s="171">
        <f>E73/$E$89</f>
        <v>3.7068557257803003E-2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599">
        <f>AK74</f>
        <v>0</v>
      </c>
      <c r="AL73" s="1704">
        <f>AL74</f>
        <v>0</v>
      </c>
      <c r="AM73" s="1703">
        <f>AM74</f>
        <v>0</v>
      </c>
      <c r="AN73" s="1704"/>
      <c r="AO73" s="1704"/>
      <c r="AP73" s="1599">
        <f>AP74</f>
        <v>0</v>
      </c>
      <c r="AQ73" s="1704">
        <f>AQ74</f>
        <v>0</v>
      </c>
      <c r="AR73" s="1703">
        <f>AR74</f>
        <v>0</v>
      </c>
      <c r="AS73" s="1959"/>
      <c r="AT73" s="1959"/>
    </row>
    <row r="74" spans="1:46" s="226" customFormat="1" ht="14.4" outlineLevel="1" thickBot="1" x14ac:dyDescent="0.3">
      <c r="A74" s="321"/>
      <c r="B74" s="225" t="s">
        <v>64</v>
      </c>
      <c r="C74" s="113">
        <v>79447</v>
      </c>
      <c r="D74" s="135"/>
      <c r="E74" s="136">
        <f>C74+D74</f>
        <v>79447</v>
      </c>
      <c r="F74" s="185"/>
      <c r="G74" s="39">
        <f>G6*3%</f>
        <v>0</v>
      </c>
      <c r="H74" s="39"/>
      <c r="I74" s="64">
        <f>G74+H74*1</f>
        <v>0</v>
      </c>
      <c r="J74" s="64"/>
      <c r="K74" s="64"/>
      <c r="L74" s="39"/>
      <c r="M74" s="39"/>
      <c r="N74" s="616">
        <f>L74+M74*1</f>
        <v>0</v>
      </c>
      <c r="O74" s="64"/>
      <c r="P74" s="64"/>
      <c r="Q74" s="39"/>
      <c r="R74" s="39"/>
      <c r="S74" s="616">
        <f>Q74+R74*1</f>
        <v>0</v>
      </c>
      <c r="T74" s="64"/>
      <c r="U74" s="64"/>
      <c r="V74" s="39"/>
      <c r="W74" s="39"/>
      <c r="X74" s="616">
        <f>V74+W74*1</f>
        <v>0</v>
      </c>
      <c r="Y74" s="64"/>
      <c r="Z74" s="64"/>
      <c r="AA74" s="39"/>
      <c r="AB74" s="39"/>
      <c r="AC74" s="616">
        <f>AA74+AB74*1</f>
        <v>0</v>
      </c>
      <c r="AD74" s="64"/>
      <c r="AE74" s="64"/>
      <c r="AF74" s="39"/>
      <c r="AG74" s="39"/>
      <c r="AH74" s="616">
        <f>AF74+AG74*1</f>
        <v>0</v>
      </c>
      <c r="AI74" s="64"/>
      <c r="AJ74" s="64"/>
      <c r="AK74" s="2059"/>
      <c r="AL74" s="2059"/>
      <c r="AM74" s="1749">
        <f>AK74+AL74*1</f>
        <v>0</v>
      </c>
      <c r="AN74" s="1663"/>
      <c r="AO74" s="1663"/>
      <c r="AP74" s="2059">
        <f>G74+L74+Q74+V74+AA74+AF74+AK74</f>
        <v>0</v>
      </c>
      <c r="AQ74" s="2059">
        <f>H74+M74+R74+W74+AB74+AG74+AL74</f>
        <v>0</v>
      </c>
      <c r="AR74" s="2028">
        <f>AP74+AQ74</f>
        <v>0</v>
      </c>
      <c r="AS74" s="2024"/>
      <c r="AT74" s="2024"/>
    </row>
    <row r="75" spans="1:46" s="2" customFormat="1" ht="14.4" thickBot="1" x14ac:dyDescent="0.3">
      <c r="A75" s="5"/>
      <c r="B75" s="23" t="s">
        <v>48</v>
      </c>
      <c r="C75" s="137">
        <f>C38-C41-C50-C54</f>
        <v>719385</v>
      </c>
      <c r="D75" s="137">
        <f>D38-D41-D50-D54</f>
        <v>-117359</v>
      </c>
      <c r="E75" s="138">
        <f>E38-E41-E50-E54</f>
        <v>602026</v>
      </c>
      <c r="F75" s="172"/>
      <c r="G75" s="65">
        <f>G38-G41-G50-G54</f>
        <v>-7364.3073999999997</v>
      </c>
      <c r="H75" s="65">
        <f>H38-H41-H50-H54</f>
        <v>-14583</v>
      </c>
      <c r="I75" s="138">
        <f>I38-I41-I50-I54</f>
        <v>-21947.307400000002</v>
      </c>
      <c r="J75" s="66"/>
      <c r="K75" s="66"/>
      <c r="L75" s="65">
        <f>L38-L41-L50-L54</f>
        <v>195075.99599999998</v>
      </c>
      <c r="M75" s="65">
        <f>M38-M41-M50-M54</f>
        <v>0</v>
      </c>
      <c r="N75" s="138">
        <f>N38-N41-N50-N54</f>
        <v>195075.99599999998</v>
      </c>
      <c r="O75" s="66"/>
      <c r="P75" s="66"/>
      <c r="Q75" s="65">
        <f>Q38-Q41-Q50-Q54</f>
        <v>113629.47199999995</v>
      </c>
      <c r="R75" s="65">
        <f>R38-R41-R50-R54</f>
        <v>0</v>
      </c>
      <c r="S75" s="138">
        <f>S38-S41-S50-S54</f>
        <v>113629.47199999995</v>
      </c>
      <c r="T75" s="66"/>
      <c r="U75" s="66"/>
      <c r="V75" s="65">
        <f>V38-V41-V50-V54</f>
        <v>145930</v>
      </c>
      <c r="W75" s="65">
        <f>W38-W41-W50-W54</f>
        <v>-2000</v>
      </c>
      <c r="X75" s="138">
        <f>X38-X41-X50-X54</f>
        <v>143930</v>
      </c>
      <c r="Y75" s="66"/>
      <c r="Z75" s="66"/>
      <c r="AA75" s="65">
        <f>AA38-AA41-AA50-AA54</f>
        <v>1439677.79</v>
      </c>
      <c r="AB75" s="65">
        <f>AB38-AB41-AB50-AB54</f>
        <v>-112563.04000000001</v>
      </c>
      <c r="AC75" s="138">
        <f>AC38-AC41-AC50-AC54</f>
        <v>1327114.75</v>
      </c>
      <c r="AD75" s="66"/>
      <c r="AE75" s="66"/>
      <c r="AF75" s="65">
        <f>AF38-AF41-AF50-AF54</f>
        <v>-803739.23</v>
      </c>
      <c r="AG75" s="65">
        <f>AG38-AG41-AG50-AG54</f>
        <v>-40000</v>
      </c>
      <c r="AH75" s="138">
        <f>AH38-AH41-AH50-AH54</f>
        <v>-843739.23</v>
      </c>
      <c r="AI75" s="66"/>
      <c r="AJ75" s="66"/>
      <c r="AK75" s="1465">
        <f>AK38-AK41-AK50-AK54</f>
        <v>-1299.9599999999998</v>
      </c>
      <c r="AL75" s="1465">
        <f>AL38-AL41-AL50-AL54</f>
        <v>0</v>
      </c>
      <c r="AM75" s="1523">
        <f>AM38-AM41-AM50-AM54</f>
        <v>-1299.9599999999998</v>
      </c>
      <c r="AN75" s="1969"/>
      <c r="AO75" s="1969"/>
      <c r="AP75" s="1465">
        <f>AP38-AP41-AP50-AP54</f>
        <v>1081909.7606000002</v>
      </c>
      <c r="AQ75" s="1465">
        <f>AQ38-AQ41-AQ50-AQ54</f>
        <v>-169146.04</v>
      </c>
      <c r="AR75" s="1523">
        <f>AR38-AR41-AR50-AR54</f>
        <v>912763.72060000012</v>
      </c>
      <c r="AS75" s="1969"/>
      <c r="AT75" s="1969"/>
    </row>
    <row r="76" spans="1:46" s="2" customFormat="1" ht="13.8" x14ac:dyDescent="0.25">
      <c r="A76" s="294"/>
      <c r="B76" s="36" t="s">
        <v>49</v>
      </c>
      <c r="C76" s="157">
        <f>C75/C5</f>
        <v>0.2716485035231212</v>
      </c>
      <c r="D76" s="157" t="e">
        <f>D75/D5</f>
        <v>#DIV/0!</v>
      </c>
      <c r="E76" s="158">
        <f>E75/E5</f>
        <v>0.22733232133281978</v>
      </c>
      <c r="F76" s="167"/>
      <c r="G76" s="54" t="e">
        <f>G75/G5</f>
        <v>#DIV/0!</v>
      </c>
      <c r="H76" s="54" t="e">
        <f>H75/H5</f>
        <v>#DIV/0!</v>
      </c>
      <c r="I76" s="55" t="e">
        <f>I75/I5</f>
        <v>#DIV/0!</v>
      </c>
      <c r="J76" s="55"/>
      <c r="K76" s="55"/>
      <c r="L76" s="54">
        <f>L75/L5</f>
        <v>0.48372345764729219</v>
      </c>
      <c r="M76" s="54" t="e">
        <f>M75/M5</f>
        <v>#DIV/0!</v>
      </c>
      <c r="N76" s="55">
        <f>N75/N5</f>
        <v>0.48372345764729219</v>
      </c>
      <c r="O76" s="55"/>
      <c r="P76" s="55"/>
      <c r="Q76" s="54">
        <f>Q75/Q5</f>
        <v>0.17422755945353341</v>
      </c>
      <c r="R76" s="54" t="e">
        <f>R75/R5</f>
        <v>#DIV/0!</v>
      </c>
      <c r="S76" s="55">
        <f>S75/S5</f>
        <v>0.17422755945353341</v>
      </c>
      <c r="T76" s="55"/>
      <c r="U76" s="55"/>
      <c r="V76" s="54">
        <f>V75/V5</f>
        <v>0.28963904778161059</v>
      </c>
      <c r="W76" s="54" t="e">
        <f>W75/W5</f>
        <v>#DIV/0!</v>
      </c>
      <c r="X76" s="55">
        <f>X75/X5</f>
        <v>0.28566948637845002</v>
      </c>
      <c r="Y76" s="55"/>
      <c r="Z76" s="55"/>
      <c r="AA76" s="54">
        <f>AA75/AA5</f>
        <v>0.85265995780674708</v>
      </c>
      <c r="AB76" s="54" t="e">
        <f>AB75/AB5</f>
        <v>#DIV/0!</v>
      </c>
      <c r="AC76" s="55">
        <f>AC75/AC5</f>
        <v>0.78599365399650412</v>
      </c>
      <c r="AD76" s="55"/>
      <c r="AE76" s="55"/>
      <c r="AF76" s="54" t="e">
        <f>AF75/AF5</f>
        <v>#DIV/0!</v>
      </c>
      <c r="AG76" s="54" t="e">
        <f>AG75/AG5</f>
        <v>#DIV/0!</v>
      </c>
      <c r="AH76" s="55" t="e">
        <f>AH75/AH5</f>
        <v>#DIV/0!</v>
      </c>
      <c r="AI76" s="55"/>
      <c r="AJ76" s="55"/>
      <c r="AK76" s="2019" t="e">
        <f>AK75/AK5</f>
        <v>#DIV/0!</v>
      </c>
      <c r="AL76" s="2019" t="e">
        <f>AL75/AL5</f>
        <v>#DIV/0!</v>
      </c>
      <c r="AM76" s="2020" t="e">
        <f>AM75/AM5</f>
        <v>#DIV/0!</v>
      </c>
      <c r="AN76" s="2020"/>
      <c r="AO76" s="2020"/>
      <c r="AP76" s="2019">
        <f>AP75/AP5</f>
        <v>0.33312503500298435</v>
      </c>
      <c r="AQ76" s="2019" t="e">
        <f>AQ75/AQ5</f>
        <v>#DIV/0!</v>
      </c>
      <c r="AR76" s="2020">
        <f>AR75/AR5</f>
        <v>0.28104418450361585</v>
      </c>
      <c r="AS76" s="2020"/>
      <c r="AT76" s="2020"/>
    </row>
    <row r="77" spans="1:46" s="2" customFormat="1" ht="14.4" outlineLevel="1" thickBot="1" x14ac:dyDescent="0.3">
      <c r="A77" s="294"/>
      <c r="B77" s="27" t="s">
        <v>9</v>
      </c>
      <c r="C77" s="139">
        <f>C78-C79</f>
        <v>-17604</v>
      </c>
      <c r="D77" s="139">
        <f>D78-D79</f>
        <v>0</v>
      </c>
      <c r="E77" s="140">
        <f>E78-E79</f>
        <v>-17604</v>
      </c>
      <c r="F77" s="173"/>
      <c r="G77" s="139">
        <f>G78-G79</f>
        <v>0</v>
      </c>
      <c r="H77" s="139">
        <f>H78-H79</f>
        <v>0</v>
      </c>
      <c r="I77" s="140">
        <f>I78-I79</f>
        <v>-2112.0615795539625</v>
      </c>
      <c r="J77" s="67"/>
      <c r="K77" s="67"/>
      <c r="L77" s="139">
        <f>L78-L79</f>
        <v>0</v>
      </c>
      <c r="M77" s="139">
        <f>M78-M79</f>
        <v>0</v>
      </c>
      <c r="N77" s="140">
        <f>N78-N79</f>
        <v>0</v>
      </c>
      <c r="O77" s="67"/>
      <c r="P77" s="67"/>
      <c r="Q77" s="139">
        <f>Q78-Q79</f>
        <v>0</v>
      </c>
      <c r="R77" s="139">
        <f>R78-R79</f>
        <v>0</v>
      </c>
      <c r="S77" s="140">
        <f>S78-S79</f>
        <v>0</v>
      </c>
      <c r="T77" s="67"/>
      <c r="U77" s="67"/>
      <c r="V77" s="139">
        <f>V78-V79</f>
        <v>0</v>
      </c>
      <c r="W77" s="139">
        <f>W78-W79</f>
        <v>0</v>
      </c>
      <c r="X77" s="140">
        <f>X78-X79</f>
        <v>-259.88700564971754</v>
      </c>
      <c r="Y77" s="67"/>
      <c r="Z77" s="67"/>
      <c r="AA77" s="139">
        <f>AA78-AA79</f>
        <v>0</v>
      </c>
      <c r="AB77" s="139">
        <f>AB78-AB79</f>
        <v>0</v>
      </c>
      <c r="AC77" s="140">
        <f>AC78-AC79</f>
        <v>0</v>
      </c>
      <c r="AD77" s="67"/>
      <c r="AE77" s="67"/>
      <c r="AF77" s="139">
        <f>AF78-AF79</f>
        <v>0</v>
      </c>
      <c r="AG77" s="139">
        <f>AG78-AG79</f>
        <v>-17572</v>
      </c>
      <c r="AH77" s="140">
        <f>AH78-AH79</f>
        <v>0</v>
      </c>
      <c r="AI77" s="67"/>
      <c r="AJ77" s="67"/>
      <c r="AK77" s="1975">
        <f>AK78-AK79</f>
        <v>0</v>
      </c>
      <c r="AL77" s="1975">
        <f>AL78-AL79</f>
        <v>0</v>
      </c>
      <c r="AM77" s="2091">
        <f>AM78-AM79</f>
        <v>0</v>
      </c>
      <c r="AN77" s="2092"/>
      <c r="AO77" s="2092"/>
      <c r="AP77" s="1975">
        <f>AP78-AP79</f>
        <v>0</v>
      </c>
      <c r="AQ77" s="1975">
        <f>AQ78-AQ79</f>
        <v>-17572</v>
      </c>
      <c r="AR77" s="2091">
        <f>AR78-AR79</f>
        <v>-2371.9485852036801</v>
      </c>
      <c r="AS77" s="2092"/>
      <c r="AT77" s="2092"/>
    </row>
    <row r="78" spans="1:46" s="2" customFormat="1" ht="13.8" outlineLevel="2" x14ac:dyDescent="0.25">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178">
        <f>S78/$S$89</f>
        <v>0</v>
      </c>
      <c r="U78" s="68"/>
      <c r="V78" s="39"/>
      <c r="W78" s="39"/>
      <c r="X78" s="68">
        <f>V78+W78*1.15</f>
        <v>0</v>
      </c>
      <c r="Y78" s="178">
        <f>X78/$S$89</f>
        <v>0</v>
      </c>
      <c r="Z78" s="68"/>
      <c r="AA78" s="39"/>
      <c r="AB78" s="39"/>
      <c r="AC78" s="68">
        <f>AA78+AB78*1.15</f>
        <v>0</v>
      </c>
      <c r="AD78" s="178">
        <f>AC78/$S$89</f>
        <v>0</v>
      </c>
      <c r="AE78" s="68"/>
      <c r="AF78" s="39"/>
      <c r="AG78" s="39"/>
      <c r="AH78" s="68">
        <f>AF78+AG78*1.15</f>
        <v>0</v>
      </c>
      <c r="AI78" s="178">
        <f>AH78/$S$89</f>
        <v>0</v>
      </c>
      <c r="AJ78" s="68"/>
      <c r="AK78" s="2059"/>
      <c r="AL78" s="2059"/>
      <c r="AM78" s="1467">
        <f>AK78+AL78*1.15</f>
        <v>0</v>
      </c>
      <c r="AN78" s="2060">
        <f>AM78/$AM$89</f>
        <v>0</v>
      </c>
      <c r="AO78" s="1467"/>
      <c r="AP78" s="2059">
        <f>G78+L78+Q78+V78+AA78+AF78+AK78</f>
        <v>0</v>
      </c>
      <c r="AQ78" s="2059">
        <f>H78+M78+R78+W78+AB78+AG78+AL78</f>
        <v>0</v>
      </c>
      <c r="AR78" s="2028">
        <f>AP78+AQ78</f>
        <v>0</v>
      </c>
      <c r="AS78" s="1467"/>
      <c r="AT78" s="1467"/>
    </row>
    <row r="79" spans="1:46" s="2" customFormat="1" ht="13.8" outlineLevel="2" x14ac:dyDescent="0.25">
      <c r="A79" s="11"/>
      <c r="B79" s="24" t="s">
        <v>79</v>
      </c>
      <c r="C79" s="113">
        <v>17604</v>
      </c>
      <c r="D79" s="119"/>
      <c r="E79" s="119">
        <f>C79+D79*1.15</f>
        <v>17604</v>
      </c>
      <c r="F79" s="180">
        <f>E79/$E$89</f>
        <v>8.2137133178894622E-3</v>
      </c>
      <c r="G79" s="39"/>
      <c r="H79" s="39"/>
      <c r="I79" s="106">
        <f>(H8+H41+H50+H54)/(1-'расчет 2022'!E8)*'расчет 2022'!E8</f>
        <v>2112.0615795539625</v>
      </c>
      <c r="J79" s="45"/>
      <c r="K79" s="45"/>
      <c r="L79" s="39"/>
      <c r="M79" s="39"/>
      <c r="N79" s="106"/>
      <c r="O79" s="45"/>
      <c r="P79" s="45"/>
      <c r="Q79" s="39"/>
      <c r="R79" s="39"/>
      <c r="S79" s="106"/>
      <c r="T79" s="178">
        <f>S79/$S$89</f>
        <v>0</v>
      </c>
      <c r="U79" s="45"/>
      <c r="V79" s="39"/>
      <c r="W79" s="39"/>
      <c r="X79" s="106">
        <f>(W8+W41+W50+W54)/(1-'расчет 2022'!E11)*'расчет 2022'!E11</f>
        <v>259.88700564971754</v>
      </c>
      <c r="Y79" s="178">
        <f>X79/$X$89</f>
        <v>7.215798557994816E-4</v>
      </c>
      <c r="Z79" s="45"/>
      <c r="AA79" s="39"/>
      <c r="AB79" s="39"/>
      <c r="AC79" s="106"/>
      <c r="AD79" s="178">
        <f>AC79/$X$89</f>
        <v>0</v>
      </c>
      <c r="AE79" s="45"/>
      <c r="AF79" s="39"/>
      <c r="AG79" s="39">
        <v>17572</v>
      </c>
      <c r="AH79" s="106"/>
      <c r="AI79" s="178">
        <f>AH79/$X$89</f>
        <v>0</v>
      </c>
      <c r="AJ79" s="45"/>
      <c r="AK79" s="2059"/>
      <c r="AL79" s="2059"/>
      <c r="AM79" s="2028">
        <v>0</v>
      </c>
      <c r="AN79" s="2060">
        <f>AM79/$AM$89</f>
        <v>0</v>
      </c>
      <c r="AO79" s="1909"/>
      <c r="AP79" s="2059">
        <f>G79+L79+Q79+V79+AA79+AF79+AK79</f>
        <v>0</v>
      </c>
      <c r="AQ79" s="2059">
        <f>H79+M79+R79+W79+AB79+AG79+AL79</f>
        <v>17572</v>
      </c>
      <c r="AR79" s="2059">
        <f>I79+N79+S79+X79+AC79+AH79+AM79</f>
        <v>2371.9485852036801</v>
      </c>
      <c r="AS79" s="1909"/>
      <c r="AT79" s="1909"/>
    </row>
    <row r="80" spans="1:46" ht="13.8" outlineLevel="2" x14ac:dyDescent="0.25">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2059"/>
      <c r="AL80" s="2059"/>
      <c r="AM80" s="1910"/>
      <c r="AN80" s="1910"/>
      <c r="AO80" s="1910"/>
      <c r="AP80" s="2059"/>
      <c r="AQ80" s="2059"/>
      <c r="AR80" s="1910"/>
      <c r="AS80" s="1910"/>
      <c r="AT80" s="1910"/>
    </row>
    <row r="81" spans="1:46" s="2" customFormat="1" ht="14.4" outlineLevel="1" thickBot="1" x14ac:dyDescent="0.3">
      <c r="A81" s="26"/>
      <c r="B81" s="27" t="s">
        <v>12</v>
      </c>
      <c r="C81" s="139">
        <f>(C75+C78)-C79</f>
        <v>701781</v>
      </c>
      <c r="D81" s="139">
        <f>(D75+D78)-D79</f>
        <v>-117359</v>
      </c>
      <c r="E81" s="140">
        <f>(E75+E78)-E79</f>
        <v>584422</v>
      </c>
      <c r="F81" s="173"/>
      <c r="G81" s="139">
        <f>(G75+G78)-G79</f>
        <v>-7364.3073999999997</v>
      </c>
      <c r="H81" s="139">
        <f>(H75+H78)-H79</f>
        <v>-14583</v>
      </c>
      <c r="I81" s="140">
        <f>(I75+I78)-I79</f>
        <v>-24059.368979553965</v>
      </c>
      <c r="J81" s="67"/>
      <c r="K81" s="67"/>
      <c r="L81" s="139">
        <f>(L75+L78)-L79</f>
        <v>195075.99599999998</v>
      </c>
      <c r="M81" s="139">
        <f>(M75+M78)-M79</f>
        <v>0</v>
      </c>
      <c r="N81" s="140">
        <f>(N75+N78)-N79</f>
        <v>195075.99599999998</v>
      </c>
      <c r="O81" s="67"/>
      <c r="P81" s="67"/>
      <c r="Q81" s="139">
        <f>(Q75+Q78)-Q79</f>
        <v>113629.47199999995</v>
      </c>
      <c r="R81" s="139">
        <f>(R75+R78)-R79</f>
        <v>0</v>
      </c>
      <c r="S81" s="140">
        <f>(S75+S78)-S79</f>
        <v>113629.47199999995</v>
      </c>
      <c r="T81" s="67"/>
      <c r="U81" s="67"/>
      <c r="V81" s="139">
        <f>(V75+V78)-V79</f>
        <v>145930</v>
      </c>
      <c r="W81" s="139">
        <f>(W75+W78)-W79</f>
        <v>-2000</v>
      </c>
      <c r="X81" s="140">
        <f>(X75+X78)-X79</f>
        <v>143670.11299435029</v>
      </c>
      <c r="Y81" s="67"/>
      <c r="Z81" s="67"/>
      <c r="AA81" s="139">
        <f>(AA75+AA78)-AA79</f>
        <v>1439677.79</v>
      </c>
      <c r="AB81" s="139">
        <f>(AB75+AB78)-AB79</f>
        <v>-112563.04000000001</v>
      </c>
      <c r="AC81" s="140">
        <f>(AC75+AC78)-AC79</f>
        <v>1327114.75</v>
      </c>
      <c r="AD81" s="67"/>
      <c r="AE81" s="67"/>
      <c r="AF81" s="139">
        <f>(AF75+AF78)-AF79</f>
        <v>-803739.23</v>
      </c>
      <c r="AG81" s="139">
        <f>(AG75+AG78)-AG79</f>
        <v>-57572</v>
      </c>
      <c r="AH81" s="140">
        <f>(AH75+AH78)-AH79</f>
        <v>-843739.23</v>
      </c>
      <c r="AI81" s="67"/>
      <c r="AJ81" s="67"/>
      <c r="AK81" s="1975">
        <f>(AK75+AK78)-AK79</f>
        <v>-1299.9599999999998</v>
      </c>
      <c r="AL81" s="1975">
        <f>(AL75+AL78)-AL79</f>
        <v>0</v>
      </c>
      <c r="AM81" s="2091">
        <f>(AM75+AM78)-AM79</f>
        <v>-1299.9599999999998</v>
      </c>
      <c r="AN81" s="2092"/>
      <c r="AO81" s="2092"/>
      <c r="AP81" s="1975">
        <f>(AP75+AP78)-AP79</f>
        <v>1081909.7606000002</v>
      </c>
      <c r="AQ81" s="1975">
        <f>(AQ75+AQ78)-AQ79</f>
        <v>-186718.04</v>
      </c>
      <c r="AR81" s="2091">
        <f>(AR75+AR78)-AR79</f>
        <v>910391.77201479638</v>
      </c>
      <c r="AS81" s="2092"/>
      <c r="AT81" s="2092"/>
    </row>
    <row r="82" spans="1:46" s="2" customFormat="1" ht="13.8" outlineLevel="2" x14ac:dyDescent="0.25">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2059"/>
      <c r="AL82" s="2059"/>
      <c r="AM82" s="1530">
        <f>AK82+AL82</f>
        <v>0</v>
      </c>
      <c r="AN82" s="1491"/>
      <c r="AO82" s="1491"/>
      <c r="AP82" s="2059">
        <f>G82+L82</f>
        <v>0</v>
      </c>
      <c r="AQ82" s="2059">
        <f>H82+M82</f>
        <v>0</v>
      </c>
      <c r="AR82" s="2028">
        <f>AP82+AQ82</f>
        <v>0</v>
      </c>
      <c r="AS82" s="1491"/>
      <c r="AT82" s="1491"/>
    </row>
    <row r="83" spans="1:46" s="2" customFormat="1" ht="13.8" outlineLevel="1" x14ac:dyDescent="0.25">
      <c r="A83" s="11"/>
      <c r="B83" s="28" t="s">
        <v>13</v>
      </c>
      <c r="C83" s="147">
        <f>(C81+C7)-C36</f>
        <v>701781</v>
      </c>
      <c r="D83" s="147">
        <f>(D81+D7)-D36</f>
        <v>-117359</v>
      </c>
      <c r="E83" s="147">
        <f>(E81+E7)-E36</f>
        <v>584422</v>
      </c>
      <c r="F83" s="174"/>
      <c r="G83" s="147">
        <f>(G81)-G36</f>
        <v>-7364.3073999999997</v>
      </c>
      <c r="H83" s="147">
        <f>(H81)-H36</f>
        <v>-14583</v>
      </c>
      <c r="I83" s="148">
        <f>(I81)-I36</f>
        <v>-24059.368979553965</v>
      </c>
      <c r="J83" s="70"/>
      <c r="K83" s="70"/>
      <c r="L83" s="147">
        <f>(L81+L7)-L36</f>
        <v>195075.99599999998</v>
      </c>
      <c r="M83" s="147">
        <f>(M81+M7)-M36</f>
        <v>0</v>
      </c>
      <c r="N83" s="148">
        <f>(N81+N7)-N36</f>
        <v>195075.99599999998</v>
      </c>
      <c r="O83" s="70"/>
      <c r="P83" s="70"/>
      <c r="Q83" s="147">
        <f>(Q81+Q7)-Q36</f>
        <v>113629.47199999995</v>
      </c>
      <c r="R83" s="147">
        <f>(R81+R7)-R36</f>
        <v>0</v>
      </c>
      <c r="S83" s="148">
        <f>(S81+S7)-S36</f>
        <v>113629.47199999995</v>
      </c>
      <c r="T83" s="70"/>
      <c r="U83" s="70"/>
      <c r="V83" s="147">
        <f>(V81+V7)-V36</f>
        <v>145930</v>
      </c>
      <c r="W83" s="147">
        <f>(W81+W7)-W36</f>
        <v>-2000</v>
      </c>
      <c r="X83" s="148">
        <f>(X81+X7)-X36</f>
        <v>143670.11299435029</v>
      </c>
      <c r="Y83" s="70"/>
      <c r="Z83" s="70"/>
      <c r="AA83" s="147">
        <f>(AA81+AA7)-AA36</f>
        <v>1439677.79</v>
      </c>
      <c r="AB83" s="147">
        <f>(AB81+AB7)-AB36</f>
        <v>-112563.04000000001</v>
      </c>
      <c r="AC83" s="148">
        <f>(AC81+AC7)-AC36</f>
        <v>1327114.75</v>
      </c>
      <c r="AD83" s="70"/>
      <c r="AE83" s="70"/>
      <c r="AF83" s="147">
        <f>(AF81+AF7)-AF36</f>
        <v>-803739.23</v>
      </c>
      <c r="AG83" s="147">
        <f>(AG81+AG7)-AG36</f>
        <v>-57572</v>
      </c>
      <c r="AH83" s="148">
        <f>(AH81+AH7)-AH36</f>
        <v>-843739.23</v>
      </c>
      <c r="AI83" s="70"/>
      <c r="AJ83" s="70"/>
      <c r="AK83" s="1912">
        <f>(AK81+AK7)-AK36</f>
        <v>-1299.9599999999998</v>
      </c>
      <c r="AL83" s="1913">
        <f>(AL81+AL7)-AL36</f>
        <v>0</v>
      </c>
      <c r="AM83" s="1913">
        <f>(AM81+AM7)-AM36</f>
        <v>-1299.9599999999998</v>
      </c>
      <c r="AN83" s="1914"/>
      <c r="AO83" s="1914"/>
      <c r="AP83" s="1912">
        <f>(AP81)-AP36</f>
        <v>1081909.7606000002</v>
      </c>
      <c r="AQ83" s="1912">
        <f>(AQ81)-AQ36</f>
        <v>-186718.04</v>
      </c>
      <c r="AR83" s="1913">
        <f>(AR81)-AR36</f>
        <v>910391.77201479638</v>
      </c>
      <c r="AS83" s="1914"/>
      <c r="AT83" s="1914"/>
    </row>
    <row r="84" spans="1:46" s="2" customFormat="1" ht="14.4" outlineLevel="1" thickBot="1" x14ac:dyDescent="0.3">
      <c r="A84" s="11"/>
      <c r="B84" s="211" t="s">
        <v>14</v>
      </c>
      <c r="C84" s="212">
        <f>C83-C73-C82</f>
        <v>622334</v>
      </c>
      <c r="D84" s="212">
        <f>D83-D73-D82</f>
        <v>-117359</v>
      </c>
      <c r="E84" s="212">
        <f>E83-E73-E82</f>
        <v>504975</v>
      </c>
      <c r="F84" s="214"/>
      <c r="G84" s="213">
        <f>G83-G73-G82</f>
        <v>-7364.3073999999997</v>
      </c>
      <c r="H84" s="213">
        <f>H83-H73-H82</f>
        <v>-14583</v>
      </c>
      <c r="I84" s="213">
        <f>I83-I73-I82</f>
        <v>-24059.368979553965</v>
      </c>
      <c r="J84" s="82"/>
      <c r="K84" s="82"/>
      <c r="L84" s="213">
        <f>L83-L73-L82</f>
        <v>195075.99599999998</v>
      </c>
      <c r="M84" s="213">
        <f>M83-M73-M82</f>
        <v>0</v>
      </c>
      <c r="N84" s="213">
        <f>N83-N73-N82</f>
        <v>195075.99599999998</v>
      </c>
      <c r="O84" s="82"/>
      <c r="P84" s="82"/>
      <c r="Q84" s="213">
        <f>Q83-Q73-Q82</f>
        <v>113629.47199999995</v>
      </c>
      <c r="R84" s="213">
        <f>R83-R73-R82</f>
        <v>0</v>
      </c>
      <c r="S84" s="213">
        <f>S83-S73-S82</f>
        <v>113629.47199999995</v>
      </c>
      <c r="T84" s="82"/>
      <c r="U84" s="82"/>
      <c r="V84" s="213">
        <f>V83-V73-V82</f>
        <v>145930</v>
      </c>
      <c r="W84" s="213">
        <f>W83-W73-W82</f>
        <v>-2000</v>
      </c>
      <c r="X84" s="213">
        <f>X83-X73-X82</f>
        <v>143670.11299435029</v>
      </c>
      <c r="Y84" s="82"/>
      <c r="Z84" s="82"/>
      <c r="AA84" s="213">
        <f>AA83-AA73-AA82</f>
        <v>1439677.79</v>
      </c>
      <c r="AB84" s="213">
        <f>AB83-AB73-AB82</f>
        <v>-112563.04000000001</v>
      </c>
      <c r="AC84" s="213">
        <f>AC83-AC73-AC82</f>
        <v>1327114.75</v>
      </c>
      <c r="AD84" s="82"/>
      <c r="AE84" s="82"/>
      <c r="AF84" s="213">
        <f>AF83-AF73-AF82</f>
        <v>-803739.23</v>
      </c>
      <c r="AG84" s="213">
        <f>AG83-AG73-AG82</f>
        <v>-57572</v>
      </c>
      <c r="AH84" s="213">
        <f>AH83-AH73-AH82</f>
        <v>-843739.23</v>
      </c>
      <c r="AI84" s="82"/>
      <c r="AJ84" s="82"/>
      <c r="AK84" s="2093">
        <f>AK83-AK73-AK82</f>
        <v>-1299.9599999999998</v>
      </c>
      <c r="AL84" s="2093">
        <f>AL83-AL73-AL82</f>
        <v>0</v>
      </c>
      <c r="AM84" s="1953">
        <f>AM83-AM73-AM82</f>
        <v>-1299.9599999999998</v>
      </c>
      <c r="AN84" s="1954"/>
      <c r="AO84" s="1954"/>
      <c r="AP84" s="2059">
        <f>AP83-AP73-AP82</f>
        <v>1081909.7606000002</v>
      </c>
      <c r="AQ84" s="2059">
        <f>AQ83-AQ73-AQ82</f>
        <v>-186718.04</v>
      </c>
      <c r="AR84" s="2028">
        <f>AR83-AR73-AR82</f>
        <v>910391.77201479638</v>
      </c>
      <c r="AS84" s="1954"/>
      <c r="AT84" s="1954"/>
    </row>
    <row r="85" spans="1:46" s="2" customFormat="1" ht="13.8" outlineLevel="3" x14ac:dyDescent="0.25">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2059"/>
      <c r="AL85" s="2059"/>
      <c r="AM85" s="1575">
        <f>AK85+AL85*1.15</f>
        <v>0</v>
      </c>
      <c r="AN85" s="1492"/>
      <c r="AO85" s="1492"/>
      <c r="AP85" s="2059">
        <f>G85</f>
        <v>0</v>
      </c>
      <c r="AQ85" s="2059">
        <f>H85</f>
        <v>0</v>
      </c>
      <c r="AR85" s="2028">
        <f>AP85+AQ85</f>
        <v>0</v>
      </c>
      <c r="AS85" s="1492"/>
      <c r="AT85" s="1492"/>
    </row>
    <row r="86" spans="1:46" s="2" customFormat="1" ht="27.6" x14ac:dyDescent="0.25">
      <c r="A86" s="11"/>
      <c r="B86" s="37" t="s">
        <v>50</v>
      </c>
      <c r="C86" s="149">
        <f>C84-C85</f>
        <v>622334</v>
      </c>
      <c r="D86" s="149">
        <f>D84-D85</f>
        <v>-117359</v>
      </c>
      <c r="E86" s="150">
        <f>E84-E85</f>
        <v>504975</v>
      </c>
      <c r="F86" s="175"/>
      <c r="G86" s="150">
        <f>G84-G85</f>
        <v>-7364.3073999999997</v>
      </c>
      <c r="H86" s="150">
        <f>H84-H85</f>
        <v>-14583</v>
      </c>
      <c r="I86" s="150">
        <f>I84-I85</f>
        <v>-24059.368979553965</v>
      </c>
      <c r="J86" s="73"/>
      <c r="K86" s="73"/>
      <c r="L86" s="150">
        <f>L84-L85</f>
        <v>195075.99599999998</v>
      </c>
      <c r="M86" s="150">
        <f>M84-M85</f>
        <v>0</v>
      </c>
      <c r="N86" s="150">
        <f>N84-N85</f>
        <v>195075.99599999998</v>
      </c>
      <c r="O86" s="73"/>
      <c r="P86" s="73"/>
      <c r="Q86" s="150">
        <f>Q84-Q85</f>
        <v>113629.47199999995</v>
      </c>
      <c r="R86" s="150">
        <f>R84-R85</f>
        <v>0</v>
      </c>
      <c r="S86" s="150">
        <f>S84-S85</f>
        <v>113629.47199999995</v>
      </c>
      <c r="T86" s="73"/>
      <c r="U86" s="73"/>
      <c r="V86" s="150">
        <f>V84-V85</f>
        <v>145930</v>
      </c>
      <c r="W86" s="150">
        <f>W84-W85</f>
        <v>-2000</v>
      </c>
      <c r="X86" s="150">
        <f>X84-X85</f>
        <v>143670.11299435029</v>
      </c>
      <c r="Y86" s="73"/>
      <c r="Z86" s="73"/>
      <c r="AA86" s="150">
        <f>AA84-AA85</f>
        <v>1439677.79</v>
      </c>
      <c r="AB86" s="150">
        <f>AB84-AB85</f>
        <v>-112563.04000000001</v>
      </c>
      <c r="AC86" s="150">
        <f>AC84-AC85</f>
        <v>1327114.75</v>
      </c>
      <c r="AD86" s="73"/>
      <c r="AE86" s="73"/>
      <c r="AF86" s="150">
        <f>AF84-AF85</f>
        <v>-803739.23</v>
      </c>
      <c r="AG86" s="150">
        <f>AG84-AG85</f>
        <v>-57572</v>
      </c>
      <c r="AH86" s="150">
        <f>AH84-AH85</f>
        <v>-843739.23</v>
      </c>
      <c r="AI86" s="73"/>
      <c r="AJ86" s="73"/>
      <c r="AK86" s="1919">
        <f>AK84-AK85</f>
        <v>-1299.9599999999998</v>
      </c>
      <c r="AL86" s="1919">
        <f>AL84-AL85</f>
        <v>0</v>
      </c>
      <c r="AM86" s="1919">
        <f>AM84-AM85</f>
        <v>-1299.9599999999998</v>
      </c>
      <c r="AN86" s="1920"/>
      <c r="AO86" s="1920"/>
      <c r="AP86" s="1919">
        <f>AP84-AP85</f>
        <v>1081909.7606000002</v>
      </c>
      <c r="AQ86" s="1919">
        <f>AQ84-AQ85</f>
        <v>-186718.04</v>
      </c>
      <c r="AR86" s="1919">
        <f>AR84-AR85</f>
        <v>910391.77201479638</v>
      </c>
      <c r="AS86" s="1920"/>
      <c r="AT86" s="1920"/>
    </row>
    <row r="87" spans="1:46" s="2" customFormat="1" ht="14.4" thickBot="1" x14ac:dyDescent="0.3">
      <c r="A87" s="295"/>
      <c r="B87" s="29" t="s">
        <v>51</v>
      </c>
      <c r="C87" s="155">
        <f>C86/C5</f>
        <v>0.23500086850790342</v>
      </c>
      <c r="D87" s="151" t="e">
        <f>D86/D5</f>
        <v>#DIV/0!</v>
      </c>
      <c r="E87" s="156">
        <f>E86/E5</f>
        <v>0.19068468631760202</v>
      </c>
      <c r="F87" s="176"/>
      <c r="G87" s="155" t="e">
        <f>G86/G5</f>
        <v>#DIV/0!</v>
      </c>
      <c r="H87" s="151" t="e">
        <f>H86/H5</f>
        <v>#DIV/0!</v>
      </c>
      <c r="I87" s="156" t="e">
        <f>I86/I5</f>
        <v>#DIV/0!</v>
      </c>
      <c r="J87" s="75"/>
      <c r="K87" s="75"/>
      <c r="L87" s="155">
        <f>L86/L5</f>
        <v>0.48372345764729219</v>
      </c>
      <c r="M87" s="151" t="e">
        <f>M86/M5</f>
        <v>#DIV/0!</v>
      </c>
      <c r="N87" s="156">
        <f>N86/N5</f>
        <v>0.48372345764729219</v>
      </c>
      <c r="O87" s="75"/>
      <c r="P87" s="75"/>
      <c r="Q87" s="155">
        <f>Q86/Q5</f>
        <v>0.17422755945353341</v>
      </c>
      <c r="R87" s="151" t="e">
        <f>R86/R5</f>
        <v>#DIV/0!</v>
      </c>
      <c r="S87" s="156">
        <f>S86/S5</f>
        <v>0.17422755945353341</v>
      </c>
      <c r="T87" s="75"/>
      <c r="U87" s="75"/>
      <c r="V87" s="155">
        <f>V86/V5</f>
        <v>0.28963904778161059</v>
      </c>
      <c r="W87" s="151" t="e">
        <f>W86/W5</f>
        <v>#DIV/0!</v>
      </c>
      <c r="X87" s="156">
        <f>X86/X5</f>
        <v>0.28515366766504502</v>
      </c>
      <c r="Y87" s="75"/>
      <c r="Z87" s="75"/>
      <c r="AA87" s="155">
        <f>AA86/AA5</f>
        <v>0.85265995780674708</v>
      </c>
      <c r="AB87" s="151" t="e">
        <f>AB86/AB5</f>
        <v>#DIV/0!</v>
      </c>
      <c r="AC87" s="156">
        <f>AC86/AC5</f>
        <v>0.78599365399650412</v>
      </c>
      <c r="AD87" s="75"/>
      <c r="AE87" s="75"/>
      <c r="AF87" s="155" t="e">
        <f>AF86/AF5</f>
        <v>#DIV/0!</v>
      </c>
      <c r="AG87" s="151" t="e">
        <f>AG86/AG5</f>
        <v>#DIV/0!</v>
      </c>
      <c r="AH87" s="156" t="e">
        <f>AH86/AH5</f>
        <v>#DIV/0!</v>
      </c>
      <c r="AI87" s="75"/>
      <c r="AJ87" s="75"/>
      <c r="AK87" s="1977" t="e">
        <f>AK86/AK5</f>
        <v>#DIV/0!</v>
      </c>
      <c r="AL87" s="1535" t="e">
        <f>AL86/AL5</f>
        <v>#DIV/0!</v>
      </c>
      <c r="AM87" s="2095" t="e">
        <f>AM86/AM5</f>
        <v>#DIV/0!</v>
      </c>
      <c r="AN87" s="2096"/>
      <c r="AO87" s="2096"/>
      <c r="AP87" s="1977">
        <f>AP86/AP5</f>
        <v>0.33312503500298435</v>
      </c>
      <c r="AQ87" s="1535" t="e">
        <f>AQ86/AQ5</f>
        <v>#DIV/0!</v>
      </c>
      <c r="AR87" s="2095">
        <f>AR86/AR5</f>
        <v>0.28031385052915103</v>
      </c>
      <c r="AS87" s="2096"/>
      <c r="AT87" s="2096"/>
    </row>
    <row r="88" spans="1:46" ht="13.8" x14ac:dyDescent="0.25">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1970"/>
      <c r="AL88" s="1970"/>
      <c r="AM88" s="1970"/>
      <c r="AN88" s="1970"/>
      <c r="AO88" s="1970"/>
      <c r="AP88" s="1970"/>
      <c r="AQ88" s="1970"/>
      <c r="AR88" s="1970"/>
      <c r="AS88" s="1970"/>
      <c r="AT88" s="1970"/>
    </row>
    <row r="89" spans="1:46" x14ac:dyDescent="0.25">
      <c r="B89" s="221" t="s">
        <v>56</v>
      </c>
      <c r="C89" s="153"/>
      <c r="D89" s="153"/>
      <c r="E89" s="154">
        <f>E8+E36+E41+E50+E54+E73+E79+E82+E85</f>
        <v>2143245</v>
      </c>
      <c r="F89" s="154"/>
      <c r="G89" s="154"/>
      <c r="H89" s="154"/>
      <c r="I89" s="154">
        <f>I8+I36+I41+I50+I54+I73+I79+I82+I85</f>
        <v>24059.368979553965</v>
      </c>
      <c r="J89" s="154"/>
      <c r="K89" s="154"/>
      <c r="L89" s="154"/>
      <c r="M89" s="154"/>
      <c r="N89" s="154">
        <f>N8+N36+N41+N50+N54+N73+N79+N82+N85</f>
        <v>208204.00400000002</v>
      </c>
      <c r="S89" s="154">
        <f>S8+S36+S41+S50+S54+S73+S79+S82+S85</f>
        <v>538560.52800000005</v>
      </c>
      <c r="X89" s="154">
        <f>X8+X36+X41+X50+X54+X73+X79+X82+X85</f>
        <v>360163.88700564974</v>
      </c>
      <c r="AC89" s="154">
        <f>AC8+AC36+AC41+AC50+AC54+AC73+AC79+AC82+AC85</f>
        <v>361340.04000000004</v>
      </c>
      <c r="AH89" s="154">
        <f>AH8+AH36+AH41+AH50+AH54+AH73+AH79+AH82+AH85</f>
        <v>843739.23</v>
      </c>
      <c r="AM89" s="1976">
        <f>AM8+AM36+AM41+AM50+AM54+AM73+AM79+AM82+AM85</f>
        <v>1299.9599999999998</v>
      </c>
      <c r="AR89" s="1976">
        <f>AR8+AR36+AR41+AR50+AR54+AR73+AR79+AR82+AR85</f>
        <v>2337367.0179852038</v>
      </c>
    </row>
    <row r="90" spans="1:46" x14ac:dyDescent="0.25">
      <c r="C90" s="153"/>
      <c r="D90" s="153"/>
      <c r="E90" s="153"/>
      <c r="AR90" s="1607" t="b">
        <f>(I89+N89+S89+X89+AC89+AH89+AM89)=AR89</f>
        <v>1</v>
      </c>
    </row>
    <row r="91" spans="1:46" s="2" customFormat="1" x14ac:dyDescent="0.25">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1968"/>
      <c r="AL91" s="1968"/>
      <c r="AM91" s="1968"/>
      <c r="AN91" s="1968"/>
      <c r="AO91" s="1968"/>
      <c r="AP91" s="1968"/>
      <c r="AQ91" s="1968"/>
      <c r="AR91" s="1968"/>
      <c r="AS91" s="1968"/>
      <c r="AT91" s="1968"/>
    </row>
    <row r="92" spans="1:46" x14ac:dyDescent="0.25">
      <c r="C92" s="38"/>
      <c r="D92" s="38"/>
    </row>
    <row r="93" spans="1:46" s="2" customFormat="1" x14ac:dyDescent="0.25">
      <c r="A93" s="8"/>
      <c r="B93" s="629"/>
      <c r="C93" s="38"/>
      <c r="D93" s="38"/>
      <c r="E93" s="38"/>
      <c r="F93" s="38"/>
      <c r="G93" s="38"/>
      <c r="H93" s="38"/>
      <c r="I93" s="686">
        <f>I5-I89</f>
        <v>-24059.368979553965</v>
      </c>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1968"/>
      <c r="AL93" s="1968"/>
      <c r="AM93" s="1968"/>
      <c r="AN93" s="1968"/>
      <c r="AO93" s="1968"/>
      <c r="AP93" s="1968"/>
      <c r="AQ93" s="1968"/>
      <c r="AR93" s="1681"/>
      <c r="AS93" s="1968"/>
      <c r="AT93" s="1968"/>
    </row>
    <row r="94" spans="1:46" s="2" customFormat="1" x14ac:dyDescent="0.25">
      <c r="A94" s="8"/>
      <c r="B94" s="629"/>
      <c r="C94" s="38"/>
      <c r="D94" s="38"/>
      <c r="E94" s="38"/>
      <c r="F94" s="38"/>
      <c r="G94" s="38"/>
      <c r="H94" s="38"/>
      <c r="I94" s="38"/>
      <c r="J94" s="38"/>
      <c r="K94" s="38"/>
      <c r="L94" s="626"/>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1968"/>
      <c r="AL94" s="1968"/>
      <c r="AM94" s="1968"/>
      <c r="AN94" s="1968"/>
      <c r="AO94" s="1968"/>
      <c r="AP94" s="1669"/>
      <c r="AQ94" s="1968"/>
      <c r="AR94" s="1968"/>
      <c r="AS94" s="1968"/>
      <c r="AT94" s="1968"/>
    </row>
    <row r="95" spans="1:46" s="2" customFormat="1" x14ac:dyDescent="0.25">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1968"/>
      <c r="AL95" s="1968"/>
      <c r="AM95" s="1968"/>
      <c r="AN95" s="1968"/>
      <c r="AO95" s="1968"/>
      <c r="AP95" s="1968"/>
      <c r="AQ95" s="1968"/>
      <c r="AR95" s="1968"/>
      <c r="AS95" s="1968"/>
      <c r="AT95" s="1968"/>
    </row>
    <row r="96" spans="1:46" s="2" customFormat="1" x14ac:dyDescent="0.25">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1968"/>
      <c r="AL96" s="1968"/>
      <c r="AM96" s="1968"/>
      <c r="AN96" s="1968"/>
      <c r="AO96" s="1968"/>
      <c r="AP96" s="1968"/>
      <c r="AQ96" s="1968"/>
      <c r="AR96" s="1968"/>
      <c r="AS96" s="1968"/>
      <c r="AT96" s="1968"/>
    </row>
    <row r="97" spans="1:46" x14ac:dyDescent="0.25">
      <c r="C97" s="38"/>
      <c r="D97" s="38"/>
    </row>
    <row r="98" spans="1:46"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1968"/>
      <c r="AL98" s="1968"/>
      <c r="AM98" s="1968"/>
      <c r="AN98" s="1968"/>
      <c r="AO98" s="1968"/>
      <c r="AP98" s="1968"/>
      <c r="AQ98" s="1968"/>
      <c r="AR98" s="1968"/>
      <c r="AS98" s="1968"/>
      <c r="AT98" s="1968"/>
    </row>
    <row r="99" spans="1:46" x14ac:dyDescent="0.25">
      <c r="C99" s="38"/>
      <c r="D99" s="38"/>
    </row>
  </sheetData>
  <mergeCells count="11">
    <mergeCell ref="AP2:AS3"/>
    <mergeCell ref="A3:F3"/>
    <mergeCell ref="A42:A48"/>
    <mergeCell ref="A2:F2"/>
    <mergeCell ref="G2:K3"/>
    <mergeCell ref="L2:O3"/>
    <mergeCell ref="Q2:T3"/>
    <mergeCell ref="V2:Z3"/>
    <mergeCell ref="AA2:AE3"/>
    <mergeCell ref="AF2:AJ3"/>
    <mergeCell ref="AK2:AO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79998168889431442"/>
    <pageSetUpPr fitToPage="1"/>
  </sheetPr>
  <dimension ref="A1:BD99"/>
  <sheetViews>
    <sheetView showZeros="0" zoomScale="70" zoomScaleNormal="70" workbookViewId="0">
      <pane xSplit="6" ySplit="5" topLeftCell="AT12"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x14ac:dyDescent="0.25"/>
  <cols>
    <col min="1" max="1" width="5.5546875" style="8" customWidth="1"/>
    <col min="2" max="2" width="55" style="8" customWidth="1"/>
    <col min="3" max="3" width="16.44140625" style="77" hidden="1" customWidth="1"/>
    <col min="4" max="4" width="16.6640625" style="77" hidden="1" customWidth="1"/>
    <col min="5" max="5" width="16.33203125" style="38" hidden="1" customWidth="1"/>
    <col min="6" max="6" width="9.5546875" style="38" hidden="1" customWidth="1"/>
    <col min="7" max="9" width="16.33203125" style="38" hidden="1" customWidth="1" outlineLevel="1"/>
    <col min="10" max="10" width="11.88671875" style="38" hidden="1" customWidth="1" outlineLevel="1"/>
    <col min="11" max="14" width="16.33203125" style="38" hidden="1" customWidth="1" outlineLevel="1"/>
    <col min="15" max="15" width="9" style="38" hidden="1" customWidth="1" outlineLevel="1"/>
    <col min="16" max="16" width="34.5546875" style="38" hidden="1" customWidth="1" outlineLevel="1"/>
    <col min="17" max="17" width="17.109375" style="38" hidden="1" customWidth="1" outlineLevel="1"/>
    <col min="18" max="18" width="16.44140625" style="38" hidden="1" customWidth="1" outlineLevel="1"/>
    <col min="19" max="19" width="13.44140625" style="38" hidden="1" customWidth="1" outlineLevel="1"/>
    <col min="20" max="20" width="15.88671875" style="38" hidden="1" customWidth="1" outlineLevel="1"/>
    <col min="21" max="24" width="20.33203125" style="38" hidden="1" customWidth="1" outlineLevel="1"/>
    <col min="25" max="25" width="10.33203125" style="38" hidden="1" customWidth="1" outlineLevel="1"/>
    <col min="26" max="26" width="33.33203125" style="38" hidden="1" customWidth="1" outlineLevel="1"/>
    <col min="27" max="29" width="20.33203125" style="38" hidden="1" customWidth="1" outlineLevel="1"/>
    <col min="30" max="30" width="10.33203125" style="38" hidden="1" customWidth="1" outlineLevel="1"/>
    <col min="31" max="31" width="33.33203125" style="38" hidden="1" customWidth="1" outlineLevel="1"/>
    <col min="32" max="32" width="21.109375" style="38" hidden="1" customWidth="1" outlineLevel="1"/>
    <col min="33" max="33" width="22.33203125" style="38" hidden="1" customWidth="1" outlineLevel="1"/>
    <col min="34" max="34" width="21.88671875" style="38" hidden="1" customWidth="1" outlineLevel="1"/>
    <col min="35" max="35" width="20.44140625" style="38" hidden="1" customWidth="1" outlineLevel="1"/>
    <col min="36" max="36" width="33.33203125" style="38" hidden="1" customWidth="1" outlineLevel="1"/>
    <col min="37" max="37" width="15.33203125" style="38" hidden="1" customWidth="1" outlineLevel="1"/>
    <col min="38" max="38" width="19.88671875" style="38" hidden="1" customWidth="1" outlineLevel="1"/>
    <col min="39" max="39" width="21.109375" style="38" hidden="1" customWidth="1" outlineLevel="1"/>
    <col min="40" max="40" width="17.44140625" style="38" hidden="1" customWidth="1" outlineLevel="1"/>
    <col min="41" max="41" width="33.33203125" style="38" hidden="1" customWidth="1" outlineLevel="1"/>
    <col min="42" max="42" width="18.5546875" style="38" hidden="1" customWidth="1" outlineLevel="1"/>
    <col min="43" max="43" width="18.33203125" style="38" hidden="1" customWidth="1" outlineLevel="1"/>
    <col min="44" max="44" width="18.6640625" style="38" hidden="1" customWidth="1" outlineLevel="1"/>
    <col min="45" max="45" width="13.6640625" style="38" hidden="1" customWidth="1" outlineLevel="1"/>
    <col min="46" max="46" width="33.33203125" style="38" hidden="1" customWidth="1" outlineLevel="1"/>
    <col min="47" max="47" width="18.5546875" style="1446" hidden="1" customWidth="1" outlineLevel="1"/>
    <col min="48" max="48" width="18.33203125" style="1446" hidden="1" customWidth="1" outlineLevel="1"/>
    <col min="49" max="49" width="18.6640625" style="1446" hidden="1" customWidth="1" outlineLevel="1"/>
    <col min="50" max="50" width="13.6640625" style="1446" hidden="1" customWidth="1" outlineLevel="1"/>
    <col min="51" max="51" width="33.33203125" style="1446" hidden="1" customWidth="1" outlineLevel="1"/>
    <col min="52" max="52" width="16.33203125" style="38" customWidth="1" collapsed="1"/>
    <col min="53" max="54" width="16.33203125" style="38" customWidth="1"/>
    <col min="55" max="55" width="9" style="38" customWidth="1"/>
    <col min="56" max="56" width="16.33203125" style="38" customWidth="1"/>
    <col min="57" max="16384" width="7.44140625" style="1"/>
  </cols>
  <sheetData>
    <row r="1" spans="1:56" ht="13.8" thickBot="1" x14ac:dyDescent="0.3">
      <c r="C1" s="38"/>
      <c r="D1" s="38"/>
    </row>
    <row r="2" spans="1:56" ht="22.2" customHeight="1" x14ac:dyDescent="0.25">
      <c r="A2" s="4016" t="s">
        <v>133</v>
      </c>
      <c r="B2" s="4017"/>
      <c r="C2" s="4017"/>
      <c r="D2" s="4017"/>
      <c r="E2" s="4017"/>
      <c r="F2" s="4018"/>
      <c r="G2" s="4019" t="s">
        <v>464</v>
      </c>
      <c r="H2" s="4020"/>
      <c r="I2" s="4020"/>
      <c r="J2" s="4020"/>
      <c r="K2" s="382"/>
      <c r="L2" s="4019" t="s">
        <v>465</v>
      </c>
      <c r="M2" s="4020"/>
      <c r="N2" s="4020"/>
      <c r="O2" s="4020"/>
      <c r="P2" s="382"/>
      <c r="Q2" s="4019" t="s">
        <v>545</v>
      </c>
      <c r="R2" s="4020"/>
      <c r="S2" s="4020"/>
      <c r="T2" s="4020"/>
      <c r="U2" s="427"/>
      <c r="V2" s="4019" t="s">
        <v>624</v>
      </c>
      <c r="W2" s="4020"/>
      <c r="X2" s="4020"/>
      <c r="Y2" s="4020"/>
      <c r="Z2" s="468"/>
      <c r="AA2" s="4140" t="s">
        <v>714</v>
      </c>
      <c r="AB2" s="4141"/>
      <c r="AC2" s="4141"/>
      <c r="AD2" s="4141"/>
      <c r="AE2" s="533"/>
      <c r="AF2" s="4140" t="s">
        <v>770</v>
      </c>
      <c r="AG2" s="4141"/>
      <c r="AH2" s="4141"/>
      <c r="AI2" s="4141"/>
      <c r="AJ2" s="627"/>
      <c r="AK2" s="4053" t="s">
        <v>820</v>
      </c>
      <c r="AL2" s="4054"/>
      <c r="AM2" s="4054"/>
      <c r="AN2" s="4054"/>
      <c r="AO2" s="4055"/>
      <c r="AP2" s="4185" t="s">
        <v>836</v>
      </c>
      <c r="AQ2" s="4186"/>
      <c r="AR2" s="4186"/>
      <c r="AS2" s="4186"/>
      <c r="AT2" s="4187"/>
      <c r="AU2" s="4216" t="s">
        <v>1470</v>
      </c>
      <c r="AV2" s="4217"/>
      <c r="AW2" s="4217"/>
      <c r="AX2" s="4217"/>
      <c r="AY2" s="4218"/>
      <c r="AZ2" s="4212" t="s">
        <v>469</v>
      </c>
      <c r="BA2" s="4213"/>
      <c r="BB2" s="4213"/>
      <c r="BC2" s="4213"/>
      <c r="BD2" s="384"/>
    </row>
    <row r="3" spans="1:56" ht="14.4" customHeight="1" thickBot="1" x14ac:dyDescent="0.3">
      <c r="A3" s="4035" t="s">
        <v>54</v>
      </c>
      <c r="B3" s="4036"/>
      <c r="C3" s="4036"/>
      <c r="D3" s="4036"/>
      <c r="E3" s="4036"/>
      <c r="F3" s="4037"/>
      <c r="G3" s="4021"/>
      <c r="H3" s="4022"/>
      <c r="I3" s="4022"/>
      <c r="J3" s="4022"/>
      <c r="K3" s="383"/>
      <c r="L3" s="4021"/>
      <c r="M3" s="4022"/>
      <c r="N3" s="4022"/>
      <c r="O3" s="4022"/>
      <c r="P3" s="383"/>
      <c r="Q3" s="4021"/>
      <c r="R3" s="4022"/>
      <c r="S3" s="4022"/>
      <c r="T3" s="4022"/>
      <c r="U3" s="428"/>
      <c r="V3" s="4021"/>
      <c r="W3" s="4022"/>
      <c r="X3" s="4022"/>
      <c r="Y3" s="4022"/>
      <c r="Z3" s="469"/>
      <c r="AA3" s="4143"/>
      <c r="AB3" s="4144"/>
      <c r="AC3" s="4144"/>
      <c r="AD3" s="4144"/>
      <c r="AE3" s="534"/>
      <c r="AF3" s="4143"/>
      <c r="AG3" s="4144"/>
      <c r="AH3" s="4144"/>
      <c r="AI3" s="4144"/>
      <c r="AJ3" s="628"/>
      <c r="AK3" s="4056"/>
      <c r="AL3" s="4057"/>
      <c r="AM3" s="4057"/>
      <c r="AN3" s="4057"/>
      <c r="AO3" s="4058"/>
      <c r="AP3" s="4188"/>
      <c r="AQ3" s="4189"/>
      <c r="AR3" s="4189"/>
      <c r="AS3" s="4189"/>
      <c r="AT3" s="4190"/>
      <c r="AU3" s="4219"/>
      <c r="AV3" s="4220"/>
      <c r="AW3" s="4220"/>
      <c r="AX3" s="4220"/>
      <c r="AY3" s="4221"/>
      <c r="AZ3" s="4214"/>
      <c r="BA3" s="4215"/>
      <c r="BB3" s="4215"/>
      <c r="BC3" s="4215"/>
      <c r="BD3" s="385"/>
    </row>
    <row r="4" spans="1:56" ht="41.4" thickBot="1" x14ac:dyDescent="0.3">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1488" t="s">
        <v>55</v>
      </c>
      <c r="AV4" s="1488" t="s">
        <v>18</v>
      </c>
      <c r="AW4" s="1489" t="s">
        <v>39</v>
      </c>
      <c r="AX4" s="1566" t="s">
        <v>40</v>
      </c>
      <c r="AY4" s="1489" t="s">
        <v>19</v>
      </c>
      <c r="AZ4" s="94" t="s">
        <v>55</v>
      </c>
      <c r="BA4" s="94" t="s">
        <v>18</v>
      </c>
      <c r="BB4" s="95" t="s">
        <v>39</v>
      </c>
      <c r="BC4" s="209" t="s">
        <v>40</v>
      </c>
      <c r="BD4" s="95" t="s">
        <v>19</v>
      </c>
    </row>
    <row r="5" spans="1:56" s="88" customFormat="1" ht="14.4" thickBot="1" x14ac:dyDescent="0.3">
      <c r="A5" s="83"/>
      <c r="B5" s="84" t="s">
        <v>10</v>
      </c>
      <c r="C5" s="85">
        <f>C6</f>
        <v>52779835.800894544</v>
      </c>
      <c r="D5" s="85">
        <f>D6</f>
        <v>0</v>
      </c>
      <c r="E5" s="86">
        <f>E6</f>
        <v>52779835.800894544</v>
      </c>
      <c r="F5" s="87"/>
      <c r="G5" s="87">
        <f>G6</f>
        <v>52249477.170000002</v>
      </c>
      <c r="H5" s="87">
        <f>H6</f>
        <v>0</v>
      </c>
      <c r="I5" s="87">
        <f>I6</f>
        <v>52249477.170000002</v>
      </c>
      <c r="J5" s="87"/>
      <c r="K5" s="87"/>
      <c r="L5" s="87">
        <f>L6</f>
        <v>52001.1</v>
      </c>
      <c r="M5" s="87">
        <f>M6</f>
        <v>0</v>
      </c>
      <c r="N5" s="87">
        <f>N6</f>
        <v>52001.1</v>
      </c>
      <c r="O5" s="87"/>
      <c r="P5" s="87"/>
      <c r="Q5" s="87">
        <f>Q6</f>
        <v>308330.86</v>
      </c>
      <c r="R5" s="87">
        <f>R6</f>
        <v>0</v>
      </c>
      <c r="S5" s="87">
        <f>S6</f>
        <v>308330.86</v>
      </c>
      <c r="T5" s="87"/>
      <c r="U5" s="87"/>
      <c r="V5" s="87">
        <f>V6</f>
        <v>96039.34</v>
      </c>
      <c r="W5" s="87">
        <f>W6</f>
        <v>0</v>
      </c>
      <c r="X5" s="87">
        <f>X6</f>
        <v>96039.34</v>
      </c>
      <c r="Y5" s="87"/>
      <c r="Z5" s="87"/>
      <c r="AA5" s="87">
        <f>AA6</f>
        <v>0</v>
      </c>
      <c r="AB5" s="87">
        <f>AB6</f>
        <v>0</v>
      </c>
      <c r="AC5" s="87">
        <f>AC6</f>
        <v>0</v>
      </c>
      <c r="AD5" s="87"/>
      <c r="AE5" s="87"/>
      <c r="AF5" s="87">
        <f>AF6</f>
        <v>0</v>
      </c>
      <c r="AG5" s="87">
        <f>AG6</f>
        <v>0</v>
      </c>
      <c r="AH5" s="87">
        <f>AH6</f>
        <v>0</v>
      </c>
      <c r="AI5" s="87"/>
      <c r="AJ5" s="87"/>
      <c r="AK5" s="87">
        <f>AK6</f>
        <v>111982.78</v>
      </c>
      <c r="AL5" s="87">
        <f>AL6</f>
        <v>0</v>
      </c>
      <c r="AM5" s="87">
        <f>AM6</f>
        <v>111982.78</v>
      </c>
      <c r="AN5" s="87"/>
      <c r="AO5" s="87"/>
      <c r="AP5" s="87">
        <f>AP6</f>
        <v>0</v>
      </c>
      <c r="AQ5" s="87">
        <f>AQ6</f>
        <v>0</v>
      </c>
      <c r="AR5" s="87">
        <f>AR6</f>
        <v>0</v>
      </c>
      <c r="AS5" s="87"/>
      <c r="AT5" s="87"/>
      <c r="AU5" s="1481">
        <f>AU6</f>
        <v>0</v>
      </c>
      <c r="AV5" s="1481">
        <f>AV6</f>
        <v>0</v>
      </c>
      <c r="AW5" s="1481">
        <f>AW6</f>
        <v>0</v>
      </c>
      <c r="AX5" s="1481"/>
      <c r="AY5" s="1481"/>
      <c r="AZ5" s="87">
        <f>AZ6+AZ7</f>
        <v>52976355.480000004</v>
      </c>
      <c r="BA5" s="87">
        <f>BA6+BA7</f>
        <v>11000</v>
      </c>
      <c r="BB5" s="87">
        <f>BB6+BB7</f>
        <v>52987355.480000004</v>
      </c>
      <c r="BC5" s="87"/>
      <c r="BD5" s="87"/>
    </row>
    <row r="6" spans="1:56" s="2" customFormat="1" ht="13.8" outlineLevel="1" x14ac:dyDescent="0.25">
      <c r="A6" s="238"/>
      <c r="B6" s="9" t="s">
        <v>17</v>
      </c>
      <c r="C6" s="104">
        <v>52779835.800894544</v>
      </c>
      <c r="D6" s="105"/>
      <c r="E6" s="106">
        <f>C6+D6</f>
        <v>52779835.800894544</v>
      </c>
      <c r="F6" s="39"/>
      <c r="G6" s="39">
        <v>52249477.170000002</v>
      </c>
      <c r="H6" s="39">
        <v>0</v>
      </c>
      <c r="I6" s="106">
        <f>G6+H6</f>
        <v>52249477.170000002</v>
      </c>
      <c r="J6" s="39"/>
      <c r="K6" s="39"/>
      <c r="L6" s="39">
        <v>52001.1</v>
      </c>
      <c r="M6" s="39"/>
      <c r="N6" s="106">
        <f>L6+M6</f>
        <v>52001.1</v>
      </c>
      <c r="O6" s="39"/>
      <c r="P6" s="39"/>
      <c r="Q6" s="39">
        <f>76389.36+57981.46+95015.8+78944.24</f>
        <v>308330.86</v>
      </c>
      <c r="R6" s="39"/>
      <c r="S6" s="106">
        <f>Q6+R6</f>
        <v>308330.86</v>
      </c>
      <c r="T6" s="39"/>
      <c r="U6" s="39"/>
      <c r="V6" s="39">
        <v>96039.34</v>
      </c>
      <c r="W6" s="39"/>
      <c r="X6" s="106">
        <f>V6+W6</f>
        <v>96039.34</v>
      </c>
      <c r="Y6" s="39"/>
      <c r="Z6" s="39"/>
      <c r="AA6" s="39"/>
      <c r="AB6" s="39"/>
      <c r="AC6" s="106">
        <f>AA6+AB6</f>
        <v>0</v>
      </c>
      <c r="AD6" s="39"/>
      <c r="AE6" s="39"/>
      <c r="AF6" s="39"/>
      <c r="AG6" s="39"/>
      <c r="AH6" s="106">
        <f>AF6+AG6</f>
        <v>0</v>
      </c>
      <c r="AI6" s="39"/>
      <c r="AJ6" s="39"/>
      <c r="AK6" s="39">
        <v>111982.78</v>
      </c>
      <c r="AL6" s="39"/>
      <c r="AM6" s="106">
        <f>AK6+AL6</f>
        <v>111982.78</v>
      </c>
      <c r="AN6" s="39"/>
      <c r="AO6" s="39"/>
      <c r="AP6" s="39"/>
      <c r="AQ6" s="39"/>
      <c r="AR6" s="106">
        <f>AP6+AQ6</f>
        <v>0</v>
      </c>
      <c r="AS6" s="39"/>
      <c r="AT6" s="39"/>
      <c r="AU6" s="1447"/>
      <c r="AV6" s="1447"/>
      <c r="AW6" s="1495">
        <f>AU6+AV6</f>
        <v>0</v>
      </c>
      <c r="AX6" s="1447"/>
      <c r="AY6" s="1447"/>
      <c r="AZ6" s="39">
        <f>G6+L6+Q6+V6+AA6+AF6+AK6+AP6+AU6</f>
        <v>52817831.250000007</v>
      </c>
      <c r="BA6" s="39">
        <f>H6+M6+R6+W6+AB6+AG6+AL6+AQ6+AV6</f>
        <v>0</v>
      </c>
      <c r="BB6" s="106">
        <f>AZ6+BA6</f>
        <v>52817831.250000007</v>
      </c>
      <c r="BC6" s="39"/>
      <c r="BD6" s="39"/>
    </row>
    <row r="7" spans="1:56" s="2" customFormat="1" ht="33.6" customHeight="1" outlineLevel="1" collapsed="1" thickBot="1" x14ac:dyDescent="0.3">
      <c r="A7" s="238"/>
      <c r="B7" s="10" t="s">
        <v>41</v>
      </c>
      <c r="C7" s="107"/>
      <c r="D7" s="108"/>
      <c r="E7" s="106">
        <f>C7+D7</f>
        <v>0</v>
      </c>
      <c r="F7" s="40"/>
      <c r="G7" s="39">
        <v>158524.23000000001</v>
      </c>
      <c r="H7" s="39">
        <v>11000</v>
      </c>
      <c r="I7" s="106">
        <f>G7+H7</f>
        <v>169524.23</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1447"/>
      <c r="AV7" s="1447"/>
      <c r="AW7" s="1495">
        <f>AU7+AV7</f>
        <v>0</v>
      </c>
      <c r="AX7" s="1921"/>
      <c r="AY7" s="1921"/>
      <c r="AZ7" s="39">
        <f>G7+L7+Q7+V7+AA7+AF7+AK7+AP7+AU7</f>
        <v>158524.23000000001</v>
      </c>
      <c r="BA7" s="39">
        <f>H7+M7+R7+W7+AB7+AG7+AL7+AQ7+AV7</f>
        <v>11000</v>
      </c>
      <c r="BB7" s="106">
        <f>AZ7+BA7</f>
        <v>169524.23</v>
      </c>
      <c r="BC7" s="40"/>
      <c r="BD7" s="40"/>
    </row>
    <row r="8" spans="1:56" s="88" customFormat="1" ht="15" customHeight="1" outlineLevel="1" thickBot="1" x14ac:dyDescent="0.3">
      <c r="A8" s="238"/>
      <c r="B8" s="84" t="s">
        <v>16</v>
      </c>
      <c r="C8" s="109">
        <f>SUM(C9:C33)</f>
        <v>27892457.553900793</v>
      </c>
      <c r="D8" s="109">
        <f>SUM(D9:D33)</f>
        <v>11005297.78441545</v>
      </c>
      <c r="E8" s="110">
        <f>SUM(E9:E33)</f>
        <v>38897755.338316232</v>
      </c>
      <c r="F8" s="164">
        <f t="shared" ref="F8:F21" si="0">E8/$E$89</f>
        <v>0.93842874105007323</v>
      </c>
      <c r="G8" s="109">
        <f>SUM(G9:G33)</f>
        <v>30890448.521300003</v>
      </c>
      <c r="H8" s="109">
        <f>SUM(H9:H33)</f>
        <v>9530330.9900000021</v>
      </c>
      <c r="I8" s="110">
        <f>SUM(I9:I33)</f>
        <v>40420779.511299998</v>
      </c>
      <c r="J8" s="164">
        <f t="shared" ref="J8:J21" si="1">I8/$I$89</f>
        <v>0.94332831583253018</v>
      </c>
      <c r="K8" s="87"/>
      <c r="L8" s="109">
        <f>SUM(L9:L33)</f>
        <v>88552.962</v>
      </c>
      <c r="M8" s="109">
        <f>SUM(M9:M33)</f>
        <v>72515</v>
      </c>
      <c r="N8" s="110">
        <f>SUM(N9:N33)</f>
        <v>161067.96199999997</v>
      </c>
      <c r="O8" s="164">
        <f t="shared" ref="O8:O21" si="2">N8/$N$89</f>
        <v>0.75131744350617935</v>
      </c>
      <c r="P8" s="87"/>
      <c r="Q8" s="109">
        <f>SUM(Q9:Q33)</f>
        <v>121344.11199999999</v>
      </c>
      <c r="R8" s="109">
        <f>SUM(R9:R33)</f>
        <v>104858.5</v>
      </c>
      <c r="S8" s="110">
        <f>SUM(S9:S33)</f>
        <v>226202.61199999999</v>
      </c>
      <c r="T8" s="164">
        <f>S8/$S$89</f>
        <v>0.93297077706893239</v>
      </c>
      <c r="U8" s="87"/>
      <c r="V8" s="109">
        <f>SUM(V9:V33)</f>
        <v>44673.446799999998</v>
      </c>
      <c r="W8" s="109">
        <f>SUM(W9:W33)</f>
        <v>23039.239999999998</v>
      </c>
      <c r="X8" s="110">
        <f>SUM(X9:X33)</f>
        <v>67712.686799999996</v>
      </c>
      <c r="Y8" s="164">
        <f>X8/$X$89</f>
        <v>0.85918540379272357</v>
      </c>
      <c r="Z8" s="87"/>
      <c r="AA8" s="109">
        <f>SUM(AA9:AA33)</f>
        <v>4032.9959999999996</v>
      </c>
      <c r="AB8" s="109">
        <f>SUM(AB9:AB33)</f>
        <v>0</v>
      </c>
      <c r="AC8" s="110">
        <f>SUM(AC9:AC33)</f>
        <v>4032.9959999999996</v>
      </c>
      <c r="AD8" s="164">
        <f>AC8/$AC$89</f>
        <v>1</v>
      </c>
      <c r="AE8" s="87"/>
      <c r="AF8" s="109">
        <f>SUM(AF9:AF33)</f>
        <v>0</v>
      </c>
      <c r="AG8" s="109">
        <f>SUM(AG9:AG33)</f>
        <v>2861</v>
      </c>
      <c r="AH8" s="110">
        <f>SUM(AH9:AH33)</f>
        <v>2861</v>
      </c>
      <c r="AI8" s="164">
        <f>AH8/$AC$89</f>
        <v>0.70939817445888864</v>
      </c>
      <c r="AJ8" s="87"/>
      <c r="AK8" s="109">
        <f>SUM(AK9:AK33)</f>
        <v>0</v>
      </c>
      <c r="AL8" s="109">
        <f>SUM(AL9:AL33)</f>
        <v>0</v>
      </c>
      <c r="AM8" s="110">
        <f>SUM(AM9:AM33)</f>
        <v>0</v>
      </c>
      <c r="AN8" s="164" t="e">
        <f t="shared" ref="AN8:AN33" si="3">AM8/$AM$89</f>
        <v>#DIV/0!</v>
      </c>
      <c r="AO8" s="87"/>
      <c r="AP8" s="109">
        <f>SUM(AP9:AP33)</f>
        <v>0</v>
      </c>
      <c r="AQ8" s="109">
        <f>SUM(AQ9:AQ33)</f>
        <v>0</v>
      </c>
      <c r="AR8" s="110">
        <f>SUM(AR9:AR33)</f>
        <v>0</v>
      </c>
      <c r="AS8" s="164" t="e">
        <f>AR8/$AM$89</f>
        <v>#DIV/0!</v>
      </c>
      <c r="AT8" s="87"/>
      <c r="AU8" s="1498">
        <f>SUM(AU9:AU33)</f>
        <v>1416</v>
      </c>
      <c r="AV8" s="1498">
        <f>SUM(AV9:AV33)</f>
        <v>0</v>
      </c>
      <c r="AW8" s="1499">
        <f>SUM(AW9:AW33)</f>
        <v>1416</v>
      </c>
      <c r="AX8" s="1543" t="e">
        <f>AW8/$AM$89</f>
        <v>#DIV/0!</v>
      </c>
      <c r="AY8" s="1481"/>
      <c r="AZ8" s="109">
        <f>SUM(AZ9:AZ33)</f>
        <v>31150468.038100008</v>
      </c>
      <c r="BA8" s="109">
        <f>SUM(BA9:BA33)</f>
        <v>9733604.7300000004</v>
      </c>
      <c r="BB8" s="110">
        <f>SUM(BB9:BB33)</f>
        <v>40884072.768100001</v>
      </c>
      <c r="BC8" s="164">
        <f t="shared" ref="BC8:BC21" si="4">BB8/$BB$89</f>
        <v>0.94217086268204986</v>
      </c>
      <c r="BD8" s="87"/>
    </row>
    <row r="9" spans="1:56" s="2" customFormat="1" ht="92.4" customHeight="1" outlineLevel="2" x14ac:dyDescent="0.25">
      <c r="A9" s="238"/>
      <c r="B9" s="31" t="s">
        <v>74</v>
      </c>
      <c r="C9" s="111">
        <v>472132.5</v>
      </c>
      <c r="D9" s="112"/>
      <c r="E9" s="106">
        <f t="shared" ref="E9:E33" si="5">C9+D9</f>
        <v>472132.5</v>
      </c>
      <c r="F9" s="177">
        <f t="shared" si="0"/>
        <v>1.1390444094530688E-2</v>
      </c>
      <c r="G9" s="39">
        <v>875371.71000000008</v>
      </c>
      <c r="H9" s="39">
        <v>0</v>
      </c>
      <c r="I9" s="210">
        <f>G9+H9*1</f>
        <v>875371.71000000008</v>
      </c>
      <c r="J9" s="178">
        <f t="shared" si="1"/>
        <v>2.0429168633199973E-2</v>
      </c>
      <c r="K9" s="42"/>
      <c r="L9" s="39"/>
      <c r="M9" s="39"/>
      <c r="N9" s="210">
        <f>L9+M9*1</f>
        <v>0</v>
      </c>
      <c r="O9" s="178">
        <f t="shared" si="2"/>
        <v>0</v>
      </c>
      <c r="P9" s="42"/>
      <c r="Q9" s="39"/>
      <c r="R9" s="39"/>
      <c r="S9" s="210">
        <f>Q9+R9*1</f>
        <v>0</v>
      </c>
      <c r="T9" s="178">
        <f t="shared" ref="T9:T15" si="6">S9/$N$89</f>
        <v>0</v>
      </c>
      <c r="U9" s="42"/>
      <c r="V9" s="39"/>
      <c r="W9" s="39"/>
      <c r="X9" s="210">
        <f>V9+W9*1</f>
        <v>0</v>
      </c>
      <c r="Y9" s="178">
        <f>X9/$X$89</f>
        <v>0</v>
      </c>
      <c r="Z9" s="42"/>
      <c r="AA9" s="39"/>
      <c r="AB9" s="39"/>
      <c r="AC9" s="210">
        <f>AA9+AB9*1</f>
        <v>0</v>
      </c>
      <c r="AD9" s="178">
        <f>AC9/$AC$89</f>
        <v>0</v>
      </c>
      <c r="AE9" s="42"/>
      <c r="AF9" s="39"/>
      <c r="AG9" s="39"/>
      <c r="AH9" s="210">
        <f>AF9+AG9*1</f>
        <v>0</v>
      </c>
      <c r="AI9" s="178">
        <f>AH9/$AC$89</f>
        <v>0</v>
      </c>
      <c r="AJ9" s="42"/>
      <c r="AK9" s="39"/>
      <c r="AL9" s="39"/>
      <c r="AM9" s="210">
        <f>AK9+AL9*1</f>
        <v>0</v>
      </c>
      <c r="AN9" s="178" t="e">
        <f>AM9/$AM$89</f>
        <v>#DIV/0!</v>
      </c>
      <c r="AO9" s="42"/>
      <c r="AP9" s="39"/>
      <c r="AQ9" s="39"/>
      <c r="AR9" s="210">
        <f>AP9+AQ9*1</f>
        <v>0</v>
      </c>
      <c r="AS9" s="178" t="e">
        <f>AR9/$AM$89</f>
        <v>#DIV/0!</v>
      </c>
      <c r="AT9" s="42"/>
      <c r="AU9" s="1447"/>
      <c r="AV9" s="1447"/>
      <c r="AW9" s="1567">
        <f>AU9+AV9*1</f>
        <v>0</v>
      </c>
      <c r="AX9" s="1893" t="e">
        <f>AW9/$AM$89</f>
        <v>#DIV/0!</v>
      </c>
      <c r="AY9" s="1449"/>
      <c r="AZ9" s="39">
        <f t="shared" ref="AZ9:AZ33" si="7">G9+L9+Q9+V9+AA9+AF9+AK9+AP9+AU9</f>
        <v>875371.71000000008</v>
      </c>
      <c r="BA9" s="39">
        <f t="shared" ref="BA9:BA33" si="8">H9+M9+R9+W9+AB9+AG9+AL9+AQ9+AV9</f>
        <v>0</v>
      </c>
      <c r="BB9" s="210">
        <f>AZ9+BA9*1</f>
        <v>875371.71000000008</v>
      </c>
      <c r="BC9" s="178">
        <f t="shared" si="4"/>
        <v>2.0172885511095074E-2</v>
      </c>
      <c r="BD9" s="42"/>
    </row>
    <row r="10" spans="1:56" s="2" customFormat="1" ht="37.200000000000003" customHeight="1" outlineLevel="2" x14ac:dyDescent="0.25">
      <c r="A10" s="238"/>
      <c r="B10" s="31" t="s">
        <v>72</v>
      </c>
      <c r="C10" s="111">
        <v>114367.5</v>
      </c>
      <c r="D10" s="112"/>
      <c r="E10" s="106">
        <f t="shared" si="5"/>
        <v>114367.5</v>
      </c>
      <c r="F10" s="177">
        <f t="shared" si="0"/>
        <v>2.7591758986751356E-3</v>
      </c>
      <c r="G10" s="39">
        <v>217393.26080000002</v>
      </c>
      <c r="H10" s="39">
        <v>0</v>
      </c>
      <c r="I10" s="210">
        <f t="shared" ref="I10:I33" si="9">G10+H10*1</f>
        <v>217393.26080000002</v>
      </c>
      <c r="J10" s="178">
        <f t="shared" si="1"/>
        <v>5.0734602613607665E-3</v>
      </c>
      <c r="K10" s="42"/>
      <c r="L10" s="39"/>
      <c r="M10" s="39"/>
      <c r="N10" s="210">
        <f t="shared" ref="N10:N33" si="10">L10+M10*1</f>
        <v>0</v>
      </c>
      <c r="O10" s="178">
        <f t="shared" si="2"/>
        <v>0</v>
      </c>
      <c r="P10" s="42"/>
      <c r="Q10" s="39"/>
      <c r="R10" s="39"/>
      <c r="S10" s="210">
        <f t="shared" ref="S10:S33" si="11">Q10+R10*1</f>
        <v>0</v>
      </c>
      <c r="T10" s="178">
        <f t="shared" si="6"/>
        <v>0</v>
      </c>
      <c r="U10" s="42"/>
      <c r="V10" s="39"/>
      <c r="W10" s="39"/>
      <c r="X10" s="210">
        <f t="shared" ref="X10:X21" si="12">V10+W10*1</f>
        <v>0</v>
      </c>
      <c r="Y10" s="178">
        <f>X10/$X$89</f>
        <v>0</v>
      </c>
      <c r="Z10" s="42"/>
      <c r="AA10" s="39"/>
      <c r="AB10" s="39"/>
      <c r="AC10" s="210">
        <f t="shared" ref="AC10:AC21" si="13">AA10+AB10*1</f>
        <v>0</v>
      </c>
      <c r="AD10" s="178">
        <f t="shared" ref="AD10:AD33" si="14">AC10/$AC$89</f>
        <v>0</v>
      </c>
      <c r="AE10" s="42"/>
      <c r="AF10" s="39"/>
      <c r="AG10" s="39"/>
      <c r="AH10" s="210">
        <f t="shared" ref="AH10:AH21" si="15">AF10+AG10*1</f>
        <v>0</v>
      </c>
      <c r="AI10" s="178">
        <f t="shared" ref="AI10:AI15" si="16">AH10/$AC$89</f>
        <v>0</v>
      </c>
      <c r="AJ10" s="42"/>
      <c r="AK10" s="39"/>
      <c r="AL10" s="39"/>
      <c r="AM10" s="210">
        <f t="shared" ref="AM10:AM21" si="17">AK10+AL10*1</f>
        <v>0</v>
      </c>
      <c r="AN10" s="178" t="e">
        <f t="shared" si="3"/>
        <v>#DIV/0!</v>
      </c>
      <c r="AO10" s="42"/>
      <c r="AP10" s="39"/>
      <c r="AQ10" s="39"/>
      <c r="AR10" s="210">
        <f t="shared" ref="AR10:AR21" si="18">AP10+AQ10*1</f>
        <v>0</v>
      </c>
      <c r="AS10" s="178" t="e">
        <f t="shared" ref="AS10:AS33" si="19">AR10/$AM$89</f>
        <v>#DIV/0!</v>
      </c>
      <c r="AT10" s="42"/>
      <c r="AU10" s="1447"/>
      <c r="AV10" s="1447"/>
      <c r="AW10" s="1567">
        <f t="shared" ref="AW10:AW21" si="20">AU10+AV10*1</f>
        <v>0</v>
      </c>
      <c r="AX10" s="1893" t="e">
        <f t="shared" ref="AX10:AX33" si="21">AW10/$AM$89</f>
        <v>#DIV/0!</v>
      </c>
      <c r="AY10" s="1449"/>
      <c r="AZ10" s="39">
        <f t="shared" si="7"/>
        <v>217393.26080000002</v>
      </c>
      <c r="BA10" s="39">
        <f t="shared" si="8"/>
        <v>0</v>
      </c>
      <c r="BB10" s="210">
        <f t="shared" ref="BB10:BB33" si="22">AZ10+BA10*1</f>
        <v>217393.26080000002</v>
      </c>
      <c r="BC10" s="178">
        <f t="shared" si="4"/>
        <v>5.0098139006594499E-3</v>
      </c>
      <c r="BD10" s="42"/>
    </row>
    <row r="11" spans="1:56" s="2" customFormat="1" ht="30.6" customHeight="1" outlineLevel="2" x14ac:dyDescent="0.25">
      <c r="A11" s="238"/>
      <c r="B11" s="31" t="s">
        <v>69</v>
      </c>
      <c r="C11" s="111">
        <v>129030</v>
      </c>
      <c r="D11" s="112"/>
      <c r="E11" s="106">
        <f t="shared" si="5"/>
        <v>129030</v>
      </c>
      <c r="F11" s="177">
        <f t="shared" si="0"/>
        <v>3.1129163985052812E-3</v>
      </c>
      <c r="G11" s="39">
        <v>238029.0723</v>
      </c>
      <c r="H11" s="39">
        <v>0</v>
      </c>
      <c r="I11" s="210">
        <f t="shared" si="9"/>
        <v>238029.0723</v>
      </c>
      <c r="J11" s="178">
        <f t="shared" si="1"/>
        <v>5.5550527873705772E-3</v>
      </c>
      <c r="K11" s="42"/>
      <c r="L11" s="39"/>
      <c r="M11" s="39"/>
      <c r="N11" s="210">
        <f t="shared" si="10"/>
        <v>0</v>
      </c>
      <c r="O11" s="178">
        <f t="shared" si="2"/>
        <v>0</v>
      </c>
      <c r="P11" s="42"/>
      <c r="Q11" s="39"/>
      <c r="R11" s="39"/>
      <c r="S11" s="210">
        <f t="shared" si="11"/>
        <v>0</v>
      </c>
      <c r="T11" s="178">
        <f t="shared" si="6"/>
        <v>0</v>
      </c>
      <c r="U11" s="42"/>
      <c r="V11" s="39"/>
      <c r="W11" s="39"/>
      <c r="X11" s="210">
        <f t="shared" si="12"/>
        <v>0</v>
      </c>
      <c r="Y11" s="178">
        <f t="shared" ref="Y11:Y33" si="23">X11/$X$89</f>
        <v>0</v>
      </c>
      <c r="Z11" s="42"/>
      <c r="AA11" s="39"/>
      <c r="AB11" s="39"/>
      <c r="AC11" s="210">
        <f t="shared" si="13"/>
        <v>0</v>
      </c>
      <c r="AD11" s="178">
        <f t="shared" si="14"/>
        <v>0</v>
      </c>
      <c r="AE11" s="42"/>
      <c r="AF11" s="39"/>
      <c r="AG11" s="39"/>
      <c r="AH11" s="210">
        <f t="shared" si="15"/>
        <v>0</v>
      </c>
      <c r="AI11" s="178">
        <f t="shared" si="16"/>
        <v>0</v>
      </c>
      <c r="AJ11" s="42"/>
      <c r="AK11" s="39"/>
      <c r="AL11" s="39"/>
      <c r="AM11" s="210">
        <f t="shared" si="17"/>
        <v>0</v>
      </c>
      <c r="AN11" s="178" t="e">
        <f t="shared" si="3"/>
        <v>#DIV/0!</v>
      </c>
      <c r="AO11" s="42"/>
      <c r="AP11" s="39"/>
      <c r="AQ11" s="39"/>
      <c r="AR11" s="210">
        <f t="shared" si="18"/>
        <v>0</v>
      </c>
      <c r="AS11" s="178" t="e">
        <f t="shared" si="19"/>
        <v>#DIV/0!</v>
      </c>
      <c r="AT11" s="42"/>
      <c r="AU11" s="1447"/>
      <c r="AV11" s="1447"/>
      <c r="AW11" s="1567">
        <f t="shared" si="20"/>
        <v>0</v>
      </c>
      <c r="AX11" s="1893" t="e">
        <f t="shared" si="21"/>
        <v>#DIV/0!</v>
      </c>
      <c r="AY11" s="1449"/>
      <c r="AZ11" s="39">
        <f t="shared" si="7"/>
        <v>238029.0723</v>
      </c>
      <c r="BA11" s="39">
        <f t="shared" si="8"/>
        <v>0</v>
      </c>
      <c r="BB11" s="210">
        <f t="shared" si="22"/>
        <v>238029.0723</v>
      </c>
      <c r="BC11" s="178">
        <f t="shared" si="4"/>
        <v>5.4853648672517318E-3</v>
      </c>
      <c r="BD11" s="42"/>
    </row>
    <row r="12" spans="1:56" s="2" customFormat="1" ht="36" customHeight="1" outlineLevel="2" x14ac:dyDescent="0.25">
      <c r="A12" s="238"/>
      <c r="B12" s="31" t="s">
        <v>73</v>
      </c>
      <c r="C12" s="111">
        <v>231840</v>
      </c>
      <c r="D12" s="112">
        <v>503884</v>
      </c>
      <c r="E12" s="106">
        <f t="shared" si="5"/>
        <v>735724</v>
      </c>
      <c r="F12" s="177">
        <f t="shared" si="0"/>
        <v>1.774972722912423E-2</v>
      </c>
      <c r="G12" s="39">
        <v>201942.44</v>
      </c>
      <c r="H12" s="39">
        <v>448041</v>
      </c>
      <c r="I12" s="210">
        <f t="shared" si="9"/>
        <v>649983.43999999994</v>
      </c>
      <c r="J12" s="178">
        <f t="shared" si="1"/>
        <v>1.5169123188305246E-2</v>
      </c>
      <c r="K12" s="42"/>
      <c r="L12" s="39"/>
      <c r="M12" s="39"/>
      <c r="N12" s="210">
        <f t="shared" si="10"/>
        <v>0</v>
      </c>
      <c r="O12" s="178">
        <f t="shared" si="2"/>
        <v>0</v>
      </c>
      <c r="P12" s="42"/>
      <c r="Q12" s="39"/>
      <c r="R12" s="39"/>
      <c r="S12" s="210">
        <f t="shared" si="11"/>
        <v>0</v>
      </c>
      <c r="T12" s="178">
        <f t="shared" si="6"/>
        <v>0</v>
      </c>
      <c r="U12" s="42"/>
      <c r="V12" s="39"/>
      <c r="W12" s="39"/>
      <c r="X12" s="210">
        <f t="shared" si="12"/>
        <v>0</v>
      </c>
      <c r="Y12" s="178">
        <f t="shared" si="23"/>
        <v>0</v>
      </c>
      <c r="Z12" s="42"/>
      <c r="AA12" s="39"/>
      <c r="AB12" s="39"/>
      <c r="AC12" s="210">
        <f t="shared" si="13"/>
        <v>0</v>
      </c>
      <c r="AD12" s="178">
        <f t="shared" si="14"/>
        <v>0</v>
      </c>
      <c r="AE12" s="42"/>
      <c r="AF12" s="39"/>
      <c r="AG12" s="39"/>
      <c r="AH12" s="210">
        <f t="shared" si="15"/>
        <v>0</v>
      </c>
      <c r="AI12" s="178">
        <f t="shared" si="16"/>
        <v>0</v>
      </c>
      <c r="AJ12" s="42"/>
      <c r="AK12" s="39"/>
      <c r="AL12" s="39"/>
      <c r="AM12" s="210">
        <f t="shared" si="17"/>
        <v>0</v>
      </c>
      <c r="AN12" s="178" t="e">
        <f t="shared" si="3"/>
        <v>#DIV/0!</v>
      </c>
      <c r="AO12" s="42"/>
      <c r="AP12" s="39"/>
      <c r="AQ12" s="39"/>
      <c r="AR12" s="210">
        <f t="shared" si="18"/>
        <v>0</v>
      </c>
      <c r="AS12" s="178" t="e">
        <f t="shared" si="19"/>
        <v>#DIV/0!</v>
      </c>
      <c r="AT12" s="42"/>
      <c r="AU12" s="1447"/>
      <c r="AV12" s="1447"/>
      <c r="AW12" s="1567">
        <f t="shared" si="20"/>
        <v>0</v>
      </c>
      <c r="AX12" s="1893" t="e">
        <f t="shared" si="21"/>
        <v>#DIV/0!</v>
      </c>
      <c r="AY12" s="1449"/>
      <c r="AZ12" s="39">
        <f t="shared" si="7"/>
        <v>201942.44</v>
      </c>
      <c r="BA12" s="39">
        <f t="shared" si="8"/>
        <v>448041</v>
      </c>
      <c r="BB12" s="210">
        <f t="shared" si="22"/>
        <v>649983.43999999994</v>
      </c>
      <c r="BC12" s="178">
        <f t="shared" si="4"/>
        <v>1.4978827130737104E-2</v>
      </c>
      <c r="BD12" s="42"/>
    </row>
    <row r="13" spans="1:56" s="2" customFormat="1" ht="54" customHeight="1" outlineLevel="2" x14ac:dyDescent="0.25">
      <c r="A13" s="238"/>
      <c r="B13" s="31" t="s">
        <v>71</v>
      </c>
      <c r="C13" s="111">
        <v>63360</v>
      </c>
      <c r="D13" s="112"/>
      <c r="E13" s="106">
        <f t="shared" si="5"/>
        <v>63360</v>
      </c>
      <c r="F13" s="177">
        <f t="shared" si="0"/>
        <v>1.5285932187033607E-3</v>
      </c>
      <c r="G13" s="39">
        <v>55543.507599999997</v>
      </c>
      <c r="H13" s="39">
        <v>0</v>
      </c>
      <c r="I13" s="210">
        <f t="shared" si="9"/>
        <v>55543.507599999997</v>
      </c>
      <c r="J13" s="178">
        <f t="shared" si="1"/>
        <v>1.2962581155836349E-3</v>
      </c>
      <c r="K13" s="42"/>
      <c r="L13" s="39"/>
      <c r="M13" s="39"/>
      <c r="N13" s="210">
        <f t="shared" si="10"/>
        <v>0</v>
      </c>
      <c r="O13" s="178">
        <f t="shared" si="2"/>
        <v>0</v>
      </c>
      <c r="P13" s="42"/>
      <c r="Q13" s="39"/>
      <c r="R13" s="39"/>
      <c r="S13" s="210">
        <f t="shared" si="11"/>
        <v>0</v>
      </c>
      <c r="T13" s="178">
        <f t="shared" si="6"/>
        <v>0</v>
      </c>
      <c r="U13" s="42"/>
      <c r="V13" s="39"/>
      <c r="W13" s="39"/>
      <c r="X13" s="210">
        <f t="shared" si="12"/>
        <v>0</v>
      </c>
      <c r="Y13" s="178">
        <f t="shared" si="23"/>
        <v>0</v>
      </c>
      <c r="Z13" s="42"/>
      <c r="AA13" s="39"/>
      <c r="AB13" s="39"/>
      <c r="AC13" s="210">
        <f t="shared" si="13"/>
        <v>0</v>
      </c>
      <c r="AD13" s="178">
        <f t="shared" si="14"/>
        <v>0</v>
      </c>
      <c r="AE13" s="42"/>
      <c r="AF13" s="39"/>
      <c r="AG13" s="39"/>
      <c r="AH13" s="210">
        <f t="shared" si="15"/>
        <v>0</v>
      </c>
      <c r="AI13" s="178">
        <f t="shared" si="16"/>
        <v>0</v>
      </c>
      <c r="AJ13" s="42"/>
      <c r="AK13" s="39"/>
      <c r="AL13" s="39"/>
      <c r="AM13" s="210">
        <f t="shared" si="17"/>
        <v>0</v>
      </c>
      <c r="AN13" s="178" t="e">
        <f t="shared" si="3"/>
        <v>#DIV/0!</v>
      </c>
      <c r="AO13" s="42"/>
      <c r="AP13" s="39"/>
      <c r="AQ13" s="39"/>
      <c r="AR13" s="210">
        <f t="shared" si="18"/>
        <v>0</v>
      </c>
      <c r="AS13" s="178" t="e">
        <f t="shared" si="19"/>
        <v>#DIV/0!</v>
      </c>
      <c r="AT13" s="42"/>
      <c r="AU13" s="1447"/>
      <c r="AV13" s="1447"/>
      <c r="AW13" s="1567">
        <f t="shared" si="20"/>
        <v>0</v>
      </c>
      <c r="AX13" s="1893" t="e">
        <f t="shared" si="21"/>
        <v>#DIV/0!</v>
      </c>
      <c r="AY13" s="1449"/>
      <c r="AZ13" s="39">
        <f t="shared" si="7"/>
        <v>55543.507599999997</v>
      </c>
      <c r="BA13" s="39">
        <f t="shared" si="8"/>
        <v>0</v>
      </c>
      <c r="BB13" s="210">
        <f t="shared" si="22"/>
        <v>55543.507599999997</v>
      </c>
      <c r="BC13" s="178">
        <f t="shared" si="4"/>
        <v>1.2799966081830985E-3</v>
      </c>
      <c r="BD13" s="42"/>
    </row>
    <row r="14" spans="1:56" s="2" customFormat="1" ht="14.4" customHeight="1" outlineLevel="2" x14ac:dyDescent="0.25">
      <c r="A14" s="238"/>
      <c r="B14" s="31" t="s">
        <v>70</v>
      </c>
      <c r="C14" s="111">
        <v>56160</v>
      </c>
      <c r="D14" s="112"/>
      <c r="E14" s="106">
        <f t="shared" si="5"/>
        <v>56160</v>
      </c>
      <c r="F14" s="177">
        <f t="shared" si="0"/>
        <v>1.3548894438507059E-3</v>
      </c>
      <c r="G14" s="39">
        <v>62664.469599999997</v>
      </c>
      <c r="H14" s="39">
        <v>0</v>
      </c>
      <c r="I14" s="210">
        <f t="shared" si="9"/>
        <v>62664.469599999997</v>
      </c>
      <c r="J14" s="178">
        <f t="shared" si="1"/>
        <v>1.4624450415109179E-3</v>
      </c>
      <c r="K14" s="42"/>
      <c r="L14" s="39"/>
      <c r="M14" s="39"/>
      <c r="N14" s="210">
        <f t="shared" si="10"/>
        <v>0</v>
      </c>
      <c r="O14" s="178">
        <f t="shared" si="2"/>
        <v>0</v>
      </c>
      <c r="P14" s="42"/>
      <c r="Q14" s="39"/>
      <c r="R14" s="39"/>
      <c r="S14" s="210">
        <f t="shared" si="11"/>
        <v>0</v>
      </c>
      <c r="T14" s="178">
        <f t="shared" si="6"/>
        <v>0</v>
      </c>
      <c r="U14" s="42"/>
      <c r="V14" s="39"/>
      <c r="W14" s="39"/>
      <c r="X14" s="210">
        <f t="shared" si="12"/>
        <v>0</v>
      </c>
      <c r="Y14" s="178">
        <f t="shared" si="23"/>
        <v>0</v>
      </c>
      <c r="Z14" s="42"/>
      <c r="AA14" s="39"/>
      <c r="AB14" s="39"/>
      <c r="AC14" s="210">
        <f t="shared" si="13"/>
        <v>0</v>
      </c>
      <c r="AD14" s="178">
        <f t="shared" si="14"/>
        <v>0</v>
      </c>
      <c r="AE14" s="42"/>
      <c r="AF14" s="39"/>
      <c r="AG14" s="39"/>
      <c r="AH14" s="210">
        <f t="shared" si="15"/>
        <v>0</v>
      </c>
      <c r="AI14" s="178">
        <f t="shared" si="16"/>
        <v>0</v>
      </c>
      <c r="AJ14" s="42"/>
      <c r="AK14" s="39"/>
      <c r="AL14" s="39"/>
      <c r="AM14" s="210">
        <f t="shared" si="17"/>
        <v>0</v>
      </c>
      <c r="AN14" s="178" t="e">
        <f t="shared" si="3"/>
        <v>#DIV/0!</v>
      </c>
      <c r="AO14" s="42"/>
      <c r="AP14" s="39"/>
      <c r="AQ14" s="39"/>
      <c r="AR14" s="210">
        <f t="shared" si="18"/>
        <v>0</v>
      </c>
      <c r="AS14" s="178" t="e">
        <f t="shared" si="19"/>
        <v>#DIV/0!</v>
      </c>
      <c r="AT14" s="42"/>
      <c r="AU14" s="1447"/>
      <c r="AV14" s="1447"/>
      <c r="AW14" s="1567">
        <f t="shared" si="20"/>
        <v>0</v>
      </c>
      <c r="AX14" s="1893" t="e">
        <f t="shared" si="21"/>
        <v>#DIV/0!</v>
      </c>
      <c r="AY14" s="1449"/>
      <c r="AZ14" s="39">
        <f t="shared" si="7"/>
        <v>62664.469599999997</v>
      </c>
      <c r="BA14" s="39">
        <f t="shared" si="8"/>
        <v>0</v>
      </c>
      <c r="BB14" s="210">
        <f t="shared" si="22"/>
        <v>62664.469599999997</v>
      </c>
      <c r="BC14" s="178">
        <f t="shared" si="4"/>
        <v>1.4440987256194259E-3</v>
      </c>
      <c r="BD14" s="42"/>
    </row>
    <row r="15" spans="1:56" s="2" customFormat="1" ht="14.4" customHeight="1" outlineLevel="2" x14ac:dyDescent="0.25">
      <c r="A15" s="238"/>
      <c r="B15" s="7" t="s">
        <v>20</v>
      </c>
      <c r="C15" s="111"/>
      <c r="D15" s="113">
        <v>100000</v>
      </c>
      <c r="E15" s="106">
        <f t="shared" si="5"/>
        <v>100000</v>
      </c>
      <c r="F15" s="177">
        <f t="shared" si="0"/>
        <v>2.412552428509092E-3</v>
      </c>
      <c r="G15" s="39">
        <v>0</v>
      </c>
      <c r="H15" s="39">
        <v>194336.3</v>
      </c>
      <c r="I15" s="210">
        <f t="shared" si="9"/>
        <v>194336.3</v>
      </c>
      <c r="J15" s="178">
        <f t="shared" si="1"/>
        <v>4.535363661971826E-3</v>
      </c>
      <c r="K15" s="42"/>
      <c r="L15" s="39"/>
      <c r="M15" s="39">
        <v>24400</v>
      </c>
      <c r="N15" s="210">
        <f t="shared" si="10"/>
        <v>24400</v>
      </c>
      <c r="O15" s="178">
        <f t="shared" si="2"/>
        <v>0.11381621393800699</v>
      </c>
      <c r="P15" s="42"/>
      <c r="Q15" s="39"/>
      <c r="R15" s="39"/>
      <c r="S15" s="210">
        <f t="shared" si="11"/>
        <v>0</v>
      </c>
      <c r="T15" s="178">
        <f t="shared" si="6"/>
        <v>0</v>
      </c>
      <c r="U15" s="42"/>
      <c r="V15" s="39"/>
      <c r="W15" s="39"/>
      <c r="X15" s="210">
        <f t="shared" si="12"/>
        <v>0</v>
      </c>
      <c r="Y15" s="178">
        <f t="shared" si="23"/>
        <v>0</v>
      </c>
      <c r="Z15" s="42"/>
      <c r="AA15" s="39"/>
      <c r="AB15" s="39"/>
      <c r="AC15" s="210">
        <f t="shared" si="13"/>
        <v>0</v>
      </c>
      <c r="AD15" s="178">
        <f t="shared" si="14"/>
        <v>0</v>
      </c>
      <c r="AE15" s="42"/>
      <c r="AF15" s="39"/>
      <c r="AG15" s="39"/>
      <c r="AH15" s="210">
        <f t="shared" si="15"/>
        <v>0</v>
      </c>
      <c r="AI15" s="178">
        <f t="shared" si="16"/>
        <v>0</v>
      </c>
      <c r="AJ15" s="42"/>
      <c r="AK15" s="39"/>
      <c r="AL15" s="39"/>
      <c r="AM15" s="210">
        <f t="shared" si="17"/>
        <v>0</v>
      </c>
      <c r="AN15" s="178" t="e">
        <f t="shared" si="3"/>
        <v>#DIV/0!</v>
      </c>
      <c r="AO15" s="42"/>
      <c r="AP15" s="39"/>
      <c r="AQ15" s="39"/>
      <c r="AR15" s="210">
        <f t="shared" si="18"/>
        <v>0</v>
      </c>
      <c r="AS15" s="178" t="e">
        <f t="shared" si="19"/>
        <v>#DIV/0!</v>
      </c>
      <c r="AT15" s="42"/>
      <c r="AU15" s="1447"/>
      <c r="AV15" s="1447"/>
      <c r="AW15" s="1567">
        <f t="shared" si="20"/>
        <v>0</v>
      </c>
      <c r="AX15" s="1893" t="e">
        <f t="shared" si="21"/>
        <v>#DIV/0!</v>
      </c>
      <c r="AY15" s="1449"/>
      <c r="AZ15" s="39">
        <f t="shared" si="7"/>
        <v>0</v>
      </c>
      <c r="BA15" s="39">
        <f t="shared" si="8"/>
        <v>218736.3</v>
      </c>
      <c r="BB15" s="210">
        <f t="shared" si="22"/>
        <v>218736.3</v>
      </c>
      <c r="BC15" s="178">
        <f t="shared" si="4"/>
        <v>5.0407641538022111E-3</v>
      </c>
      <c r="BD15" s="42"/>
    </row>
    <row r="16" spans="1:56" s="2" customFormat="1" ht="103.95" customHeight="1" outlineLevel="2" x14ac:dyDescent="0.25">
      <c r="A16" s="292"/>
      <c r="B16" s="7" t="s">
        <v>21</v>
      </c>
      <c r="C16" s="111"/>
      <c r="D16" s="113">
        <v>8701368.4344154485</v>
      </c>
      <c r="E16" s="106">
        <f t="shared" si="5"/>
        <v>8701368.4344154485</v>
      </c>
      <c r="F16" s="177">
        <f t="shared" si="0"/>
        <v>0.20992507547801345</v>
      </c>
      <c r="G16" s="39">
        <v>0</v>
      </c>
      <c r="H16" s="39">
        <v>7434875.4199999999</v>
      </c>
      <c r="I16" s="210">
        <f t="shared" si="9"/>
        <v>7434875.4199999999</v>
      </c>
      <c r="J16" s="178">
        <f t="shared" si="1"/>
        <v>0.17351294540009005</v>
      </c>
      <c r="K16" s="42"/>
      <c r="L16" s="39"/>
      <c r="M16" s="39"/>
      <c r="N16" s="210">
        <f t="shared" si="10"/>
        <v>0</v>
      </c>
      <c r="O16" s="178">
        <f t="shared" si="2"/>
        <v>0</v>
      </c>
      <c r="P16" s="42"/>
      <c r="Q16" s="39"/>
      <c r="R16" s="39">
        <f>91258.5</f>
        <v>91258.5</v>
      </c>
      <c r="S16" s="210">
        <f t="shared" si="11"/>
        <v>91258.5</v>
      </c>
      <c r="T16" s="178">
        <f t="shared" ref="T16:T22" si="24">S16/$S$89</f>
        <v>0.37639491828301774</v>
      </c>
      <c r="U16" s="472" t="s">
        <v>547</v>
      </c>
      <c r="V16" s="39"/>
      <c r="W16" s="39">
        <v>11275</v>
      </c>
      <c r="X16" s="210">
        <f t="shared" si="12"/>
        <v>11275</v>
      </c>
      <c r="Y16" s="178">
        <f t="shared" si="23"/>
        <v>0.1430649983861364</v>
      </c>
      <c r="Z16" s="472" t="s">
        <v>547</v>
      </c>
      <c r="AA16" s="39"/>
      <c r="AB16" s="39"/>
      <c r="AC16" s="210">
        <f t="shared" si="13"/>
        <v>0</v>
      </c>
      <c r="AD16" s="178">
        <f>AC16/$AC$89</f>
        <v>0</v>
      </c>
      <c r="AE16" s="472"/>
      <c r="AF16" s="39"/>
      <c r="AG16" s="39"/>
      <c r="AH16" s="210">
        <f t="shared" si="15"/>
        <v>0</v>
      </c>
      <c r="AI16" s="178">
        <f>AH16/$AC$89</f>
        <v>0</v>
      </c>
      <c r="AJ16" s="472"/>
      <c r="AK16" s="39"/>
      <c r="AL16" s="39"/>
      <c r="AM16" s="210">
        <f t="shared" si="17"/>
        <v>0</v>
      </c>
      <c r="AN16" s="178" t="e">
        <f t="shared" si="3"/>
        <v>#DIV/0!</v>
      </c>
      <c r="AO16" s="472"/>
      <c r="AP16" s="39"/>
      <c r="AQ16" s="39"/>
      <c r="AR16" s="210">
        <f t="shared" si="18"/>
        <v>0</v>
      </c>
      <c r="AS16" s="178" t="e">
        <f t="shared" si="19"/>
        <v>#DIV/0!</v>
      </c>
      <c r="AT16" s="472"/>
      <c r="AU16" s="1447"/>
      <c r="AV16" s="1447"/>
      <c r="AW16" s="1567">
        <f t="shared" si="20"/>
        <v>0</v>
      </c>
      <c r="AX16" s="1893" t="e">
        <f t="shared" si="21"/>
        <v>#DIV/0!</v>
      </c>
      <c r="AY16" s="1630"/>
      <c r="AZ16" s="39">
        <f t="shared" si="7"/>
        <v>0</v>
      </c>
      <c r="BA16" s="39">
        <f t="shared" si="8"/>
        <v>7537408.9199999999</v>
      </c>
      <c r="BB16" s="210">
        <f t="shared" si="22"/>
        <v>7537408.9199999999</v>
      </c>
      <c r="BC16" s="178">
        <f t="shared" si="4"/>
        <v>0.1736991102824956</v>
      </c>
      <c r="BD16" s="42"/>
    </row>
    <row r="17" spans="1:56" s="2" customFormat="1" ht="58.2" customHeight="1" outlineLevel="2" x14ac:dyDescent="0.25">
      <c r="A17" s="238"/>
      <c r="B17" s="7" t="s">
        <v>22</v>
      </c>
      <c r="C17" s="111"/>
      <c r="D17" s="113">
        <v>3000</v>
      </c>
      <c r="E17" s="106">
        <f t="shared" si="5"/>
        <v>3000</v>
      </c>
      <c r="F17" s="177">
        <f t="shared" si="0"/>
        <v>7.2376572855272753E-5</v>
      </c>
      <c r="G17" s="39">
        <v>0</v>
      </c>
      <c r="H17" s="39">
        <v>92800</v>
      </c>
      <c r="I17" s="210">
        <f t="shared" si="9"/>
        <v>92800</v>
      </c>
      <c r="J17" s="178">
        <f t="shared" si="1"/>
        <v>2.1657392254096916E-3</v>
      </c>
      <c r="K17" s="42"/>
      <c r="L17" s="39"/>
      <c r="M17" s="39"/>
      <c r="N17" s="210">
        <f t="shared" si="10"/>
        <v>0</v>
      </c>
      <c r="O17" s="178">
        <f t="shared" si="2"/>
        <v>0</v>
      </c>
      <c r="P17" s="42"/>
      <c r="Q17" s="39"/>
      <c r="R17" s="39"/>
      <c r="S17" s="210">
        <f t="shared" si="11"/>
        <v>0</v>
      </c>
      <c r="T17" s="178">
        <f t="shared" si="24"/>
        <v>0</v>
      </c>
      <c r="U17" s="42"/>
      <c r="V17" s="39"/>
      <c r="W17" s="39"/>
      <c r="X17" s="210">
        <f t="shared" si="12"/>
        <v>0</v>
      </c>
      <c r="Y17" s="178">
        <f t="shared" si="23"/>
        <v>0</v>
      </c>
      <c r="Z17" s="42"/>
      <c r="AA17" s="39"/>
      <c r="AB17" s="39"/>
      <c r="AC17" s="210">
        <f t="shared" si="13"/>
        <v>0</v>
      </c>
      <c r="AD17" s="178">
        <f t="shared" si="14"/>
        <v>0</v>
      </c>
      <c r="AE17" s="42"/>
      <c r="AF17" s="39"/>
      <c r="AG17" s="39"/>
      <c r="AH17" s="210">
        <f t="shared" si="15"/>
        <v>0</v>
      </c>
      <c r="AI17" s="178">
        <f t="shared" ref="AI17:AI22" si="25">AH17/$AC$89</f>
        <v>0</v>
      </c>
      <c r="AJ17" s="42"/>
      <c r="AK17" s="39"/>
      <c r="AL17" s="39"/>
      <c r="AM17" s="210">
        <f t="shared" si="17"/>
        <v>0</v>
      </c>
      <c r="AN17" s="178" t="e">
        <f t="shared" si="3"/>
        <v>#DIV/0!</v>
      </c>
      <c r="AO17" s="42"/>
      <c r="AP17" s="39"/>
      <c r="AQ17" s="39"/>
      <c r="AR17" s="210">
        <f t="shared" si="18"/>
        <v>0</v>
      </c>
      <c r="AS17" s="178" t="e">
        <f t="shared" si="19"/>
        <v>#DIV/0!</v>
      </c>
      <c r="AT17" s="42"/>
      <c r="AU17" s="1447"/>
      <c r="AV17" s="1447"/>
      <c r="AW17" s="1567">
        <f t="shared" si="20"/>
        <v>0</v>
      </c>
      <c r="AX17" s="1893" t="e">
        <f t="shared" si="21"/>
        <v>#DIV/0!</v>
      </c>
      <c r="AY17" s="1449"/>
      <c r="AZ17" s="39">
        <f t="shared" si="7"/>
        <v>0</v>
      </c>
      <c r="BA17" s="39">
        <f t="shared" si="8"/>
        <v>92800</v>
      </c>
      <c r="BB17" s="210">
        <f t="shared" si="22"/>
        <v>92800</v>
      </c>
      <c r="BC17" s="178">
        <f t="shared" si="4"/>
        <v>2.1385701114668451E-3</v>
      </c>
      <c r="BD17" s="42"/>
    </row>
    <row r="18" spans="1:56" s="2" customFormat="1" ht="58.2" customHeight="1" outlineLevel="2" x14ac:dyDescent="0.25">
      <c r="A18" s="238"/>
      <c r="B18" s="7" t="s">
        <v>0</v>
      </c>
      <c r="C18" s="111">
        <v>9001971.7270342205</v>
      </c>
      <c r="D18" s="113">
        <v>25412</v>
      </c>
      <c r="E18" s="106">
        <f t="shared" si="5"/>
        <v>9027383.7270342205</v>
      </c>
      <c r="F18" s="177">
        <f t="shared" si="0"/>
        <v>0.21779036533739865</v>
      </c>
      <c r="G18" s="39">
        <v>9499426.568</v>
      </c>
      <c r="H18" s="39">
        <v>29278.03</v>
      </c>
      <c r="I18" s="210">
        <f t="shared" si="9"/>
        <v>9528704.5979999993</v>
      </c>
      <c r="J18" s="178">
        <f t="shared" si="1"/>
        <v>0.22237811762101603</v>
      </c>
      <c r="K18" s="42"/>
      <c r="L18" s="39"/>
      <c r="M18" s="39"/>
      <c r="N18" s="210">
        <f t="shared" si="10"/>
        <v>0</v>
      </c>
      <c r="O18" s="178">
        <f t="shared" si="2"/>
        <v>0</v>
      </c>
      <c r="P18" s="42"/>
      <c r="Q18" s="39">
        <f>760.83*1.2</f>
        <v>912.99599999999998</v>
      </c>
      <c r="R18" s="39"/>
      <c r="S18" s="210">
        <f t="shared" si="11"/>
        <v>912.99599999999998</v>
      </c>
      <c r="T18" s="178">
        <f t="shared" si="24"/>
        <v>3.7656443488850032E-3</v>
      </c>
      <c r="U18" s="422" t="s">
        <v>594</v>
      </c>
      <c r="V18" s="39"/>
      <c r="W18" s="39"/>
      <c r="X18" s="210">
        <f t="shared" si="12"/>
        <v>0</v>
      </c>
      <c r="Y18" s="178">
        <f t="shared" si="23"/>
        <v>0</v>
      </c>
      <c r="Z18" s="422"/>
      <c r="AA18" s="39"/>
      <c r="AB18" s="39"/>
      <c r="AC18" s="210">
        <f t="shared" si="13"/>
        <v>0</v>
      </c>
      <c r="AD18" s="178">
        <f t="shared" si="14"/>
        <v>0</v>
      </c>
      <c r="AE18" s="422"/>
      <c r="AF18" s="39"/>
      <c r="AG18" s="39">
        <v>500</v>
      </c>
      <c r="AH18" s="210">
        <f t="shared" si="15"/>
        <v>500</v>
      </c>
      <c r="AI18" s="178">
        <f t="shared" si="25"/>
        <v>0.1239773111602392</v>
      </c>
      <c r="AJ18" s="422" t="s">
        <v>814</v>
      </c>
      <c r="AK18" s="39"/>
      <c r="AL18" s="39"/>
      <c r="AM18" s="210">
        <f t="shared" si="17"/>
        <v>0</v>
      </c>
      <c r="AN18" s="178" t="e">
        <f t="shared" si="3"/>
        <v>#DIV/0!</v>
      </c>
      <c r="AO18" s="422"/>
      <c r="AP18" s="39"/>
      <c r="AQ18" s="39"/>
      <c r="AR18" s="210">
        <f t="shared" si="18"/>
        <v>0</v>
      </c>
      <c r="AS18" s="178" t="e">
        <f t="shared" si="19"/>
        <v>#DIV/0!</v>
      </c>
      <c r="AT18" s="422"/>
      <c r="AU18" s="1447"/>
      <c r="AV18" s="1447"/>
      <c r="AW18" s="1567">
        <f t="shared" si="20"/>
        <v>0</v>
      </c>
      <c r="AX18" s="1893" t="e">
        <f t="shared" si="21"/>
        <v>#DIV/0!</v>
      </c>
      <c r="AY18" s="1619"/>
      <c r="AZ18" s="39">
        <f t="shared" si="7"/>
        <v>9500339.5639999993</v>
      </c>
      <c r="BA18" s="39">
        <f t="shared" si="8"/>
        <v>29778.03</v>
      </c>
      <c r="BB18" s="210">
        <f t="shared" si="22"/>
        <v>9530117.5939999986</v>
      </c>
      <c r="BC18" s="178">
        <f t="shared" si="4"/>
        <v>0.21962095522944738</v>
      </c>
      <c r="BD18" s="42"/>
    </row>
    <row r="19" spans="1:56" s="2" customFormat="1" ht="40.950000000000003" customHeight="1" outlineLevel="2" x14ac:dyDescent="0.25">
      <c r="A19" s="238"/>
      <c r="B19" s="7" t="s">
        <v>53</v>
      </c>
      <c r="C19" s="114">
        <v>74800</v>
      </c>
      <c r="D19" s="113"/>
      <c r="E19" s="106">
        <f t="shared" si="5"/>
        <v>74800</v>
      </c>
      <c r="F19" s="177">
        <f t="shared" si="0"/>
        <v>1.8045892165248008E-3</v>
      </c>
      <c r="G19" s="39">
        <v>37130.004000000001</v>
      </c>
      <c r="H19" s="39">
        <v>0</v>
      </c>
      <c r="I19" s="210">
        <f t="shared" si="9"/>
        <v>37130.004000000001</v>
      </c>
      <c r="J19" s="178">
        <f t="shared" si="1"/>
        <v>8.6652916058640908E-4</v>
      </c>
      <c r="K19" s="42"/>
      <c r="L19" s="39"/>
      <c r="M19" s="39"/>
      <c r="N19" s="210">
        <f t="shared" si="10"/>
        <v>0</v>
      </c>
      <c r="O19" s="178">
        <f t="shared" si="2"/>
        <v>0</v>
      </c>
      <c r="P19" s="42"/>
      <c r="Q19" s="39"/>
      <c r="R19" s="39"/>
      <c r="S19" s="210">
        <f t="shared" si="11"/>
        <v>0</v>
      </c>
      <c r="T19" s="178">
        <f t="shared" si="24"/>
        <v>0</v>
      </c>
      <c r="U19" s="426"/>
      <c r="V19" s="39"/>
      <c r="W19" s="39"/>
      <c r="X19" s="210">
        <f t="shared" si="12"/>
        <v>0</v>
      </c>
      <c r="Y19" s="178">
        <f t="shared" si="23"/>
        <v>0</v>
      </c>
      <c r="Z19" s="426"/>
      <c r="AA19" s="39"/>
      <c r="AB19" s="39"/>
      <c r="AC19" s="210">
        <f t="shared" si="13"/>
        <v>0</v>
      </c>
      <c r="AD19" s="178">
        <f t="shared" si="14"/>
        <v>0</v>
      </c>
      <c r="AE19" s="426"/>
      <c r="AF19" s="39"/>
      <c r="AG19" s="39"/>
      <c r="AH19" s="210">
        <f t="shared" si="15"/>
        <v>0</v>
      </c>
      <c r="AI19" s="178">
        <f t="shared" si="25"/>
        <v>0</v>
      </c>
      <c r="AJ19" s="426"/>
      <c r="AK19" s="39"/>
      <c r="AL19" s="39"/>
      <c r="AM19" s="210">
        <f t="shared" si="17"/>
        <v>0</v>
      </c>
      <c r="AN19" s="178" t="e">
        <f t="shared" si="3"/>
        <v>#DIV/0!</v>
      </c>
      <c r="AO19" s="426"/>
      <c r="AP19" s="39"/>
      <c r="AQ19" s="39"/>
      <c r="AR19" s="210">
        <f t="shared" si="18"/>
        <v>0</v>
      </c>
      <c r="AS19" s="178" t="e">
        <f t="shared" si="19"/>
        <v>#DIV/0!</v>
      </c>
      <c r="AT19" s="426"/>
      <c r="AU19" s="1447"/>
      <c r="AV19" s="1447"/>
      <c r="AW19" s="1567">
        <f t="shared" si="20"/>
        <v>0</v>
      </c>
      <c r="AX19" s="1893" t="e">
        <f t="shared" si="21"/>
        <v>#DIV/0!</v>
      </c>
      <c r="AY19" s="1623"/>
      <c r="AZ19" s="39">
        <f t="shared" si="7"/>
        <v>37130.004000000001</v>
      </c>
      <c r="BA19" s="39">
        <f t="shared" si="8"/>
        <v>0</v>
      </c>
      <c r="BB19" s="210">
        <f t="shared" si="22"/>
        <v>37130.004000000001</v>
      </c>
      <c r="BC19" s="178">
        <f t="shared" si="4"/>
        <v>8.55658586131944E-4</v>
      </c>
      <c r="BD19" s="42"/>
    </row>
    <row r="20" spans="1:56" s="2" customFormat="1" ht="14.4" customHeight="1" outlineLevel="2" x14ac:dyDescent="0.25">
      <c r="A20" s="238"/>
      <c r="B20" s="7" t="s">
        <v>57</v>
      </c>
      <c r="C20" s="114">
        <v>503471</v>
      </c>
      <c r="D20" s="113"/>
      <c r="E20" s="106">
        <f t="shared" si="5"/>
        <v>503471</v>
      </c>
      <c r="F20" s="177">
        <f t="shared" si="0"/>
        <v>1.2146501837339009E-2</v>
      </c>
      <c r="G20" s="39">
        <v>237575.11799999999</v>
      </c>
      <c r="H20" s="39">
        <v>0</v>
      </c>
      <c r="I20" s="210">
        <f t="shared" si="9"/>
        <v>237575.11799999999</v>
      </c>
      <c r="J20" s="178">
        <f t="shared" si="1"/>
        <v>5.5444585348484498E-3</v>
      </c>
      <c r="K20" s="42"/>
      <c r="L20" s="39"/>
      <c r="M20" s="39"/>
      <c r="N20" s="210">
        <f t="shared" si="10"/>
        <v>0</v>
      </c>
      <c r="O20" s="178">
        <f t="shared" si="2"/>
        <v>0</v>
      </c>
      <c r="P20" s="42"/>
      <c r="Q20" s="39"/>
      <c r="R20" s="39"/>
      <c r="S20" s="210">
        <f t="shared" si="11"/>
        <v>0</v>
      </c>
      <c r="T20" s="178">
        <f t="shared" si="24"/>
        <v>0</v>
      </c>
      <c r="U20" s="426"/>
      <c r="V20" s="39"/>
      <c r="W20" s="39"/>
      <c r="X20" s="210">
        <f t="shared" si="12"/>
        <v>0</v>
      </c>
      <c r="Y20" s="178">
        <f t="shared" si="23"/>
        <v>0</v>
      </c>
      <c r="Z20" s="426"/>
      <c r="AA20" s="39"/>
      <c r="AB20" s="39"/>
      <c r="AC20" s="210">
        <f t="shared" si="13"/>
        <v>0</v>
      </c>
      <c r="AD20" s="178">
        <f t="shared" si="14"/>
        <v>0</v>
      </c>
      <c r="AE20" s="426"/>
      <c r="AF20" s="39"/>
      <c r="AG20" s="39"/>
      <c r="AH20" s="210">
        <f t="shared" si="15"/>
        <v>0</v>
      </c>
      <c r="AI20" s="178">
        <f t="shared" si="25"/>
        <v>0</v>
      </c>
      <c r="AJ20" s="426"/>
      <c r="AK20" s="39"/>
      <c r="AL20" s="39"/>
      <c r="AM20" s="210">
        <f t="shared" si="17"/>
        <v>0</v>
      </c>
      <c r="AN20" s="178" t="e">
        <f t="shared" si="3"/>
        <v>#DIV/0!</v>
      </c>
      <c r="AO20" s="426"/>
      <c r="AP20" s="39"/>
      <c r="AQ20" s="39"/>
      <c r="AR20" s="210">
        <f t="shared" si="18"/>
        <v>0</v>
      </c>
      <c r="AS20" s="178" t="e">
        <f t="shared" si="19"/>
        <v>#DIV/0!</v>
      </c>
      <c r="AT20" s="426"/>
      <c r="AU20" s="1447"/>
      <c r="AV20" s="1447"/>
      <c r="AW20" s="1567">
        <f t="shared" si="20"/>
        <v>0</v>
      </c>
      <c r="AX20" s="1893" t="e">
        <f t="shared" si="21"/>
        <v>#DIV/0!</v>
      </c>
      <c r="AY20" s="1623"/>
      <c r="AZ20" s="39">
        <f t="shared" si="7"/>
        <v>237575.11799999999</v>
      </c>
      <c r="BA20" s="39">
        <f t="shared" si="8"/>
        <v>0</v>
      </c>
      <c r="BB20" s="210">
        <f t="shared" si="22"/>
        <v>237575.11799999999</v>
      </c>
      <c r="BC20" s="178">
        <f t="shared" si="4"/>
        <v>5.4749035192134575E-3</v>
      </c>
      <c r="BD20" s="42"/>
    </row>
    <row r="21" spans="1:56" s="2" customFormat="1" ht="27.6" outlineLevel="2" x14ac:dyDescent="0.25">
      <c r="A21" s="238"/>
      <c r="B21" s="7" t="s">
        <v>58</v>
      </c>
      <c r="C21" s="114">
        <v>4176496.88</v>
      </c>
      <c r="D21" s="113"/>
      <c r="E21" s="106">
        <f t="shared" si="5"/>
        <v>4176496.88</v>
      </c>
      <c r="F21" s="177">
        <f t="shared" si="0"/>
        <v>0.10076017690504645</v>
      </c>
      <c r="G21" s="39">
        <v>4940471.023000001</v>
      </c>
      <c r="H21" s="39">
        <v>27566</v>
      </c>
      <c r="I21" s="210">
        <f t="shared" si="9"/>
        <v>4968037.023000001</v>
      </c>
      <c r="J21" s="178">
        <f t="shared" si="1"/>
        <v>0.11594259325429626</v>
      </c>
      <c r="K21" s="42"/>
      <c r="L21" s="39">
        <f>94*409.71</f>
        <v>38512.74</v>
      </c>
      <c r="M21" s="39"/>
      <c r="N21" s="210">
        <f t="shared" si="10"/>
        <v>38512.74</v>
      </c>
      <c r="O21" s="178">
        <f t="shared" si="2"/>
        <v>0.17964648586798521</v>
      </c>
      <c r="P21" s="261" t="s">
        <v>493</v>
      </c>
      <c r="Q21" s="39"/>
      <c r="R21" s="39"/>
      <c r="S21" s="210">
        <f t="shared" si="11"/>
        <v>0</v>
      </c>
      <c r="T21" s="178">
        <f t="shared" si="24"/>
        <v>0</v>
      </c>
      <c r="U21" s="422"/>
      <c r="V21" s="39"/>
      <c r="W21" s="39"/>
      <c r="X21" s="210">
        <f t="shared" si="12"/>
        <v>0</v>
      </c>
      <c r="Y21" s="178">
        <f t="shared" si="23"/>
        <v>0</v>
      </c>
      <c r="Z21" s="422"/>
      <c r="AA21" s="39"/>
      <c r="AB21" s="39"/>
      <c r="AC21" s="210">
        <f t="shared" si="13"/>
        <v>0</v>
      </c>
      <c r="AD21" s="178">
        <f t="shared" si="14"/>
        <v>0</v>
      </c>
      <c r="AE21" s="422"/>
      <c r="AF21" s="39"/>
      <c r="AG21" s="39"/>
      <c r="AH21" s="210">
        <f t="shared" si="15"/>
        <v>0</v>
      </c>
      <c r="AI21" s="178">
        <f t="shared" si="25"/>
        <v>0</v>
      </c>
      <c r="AJ21" s="422"/>
      <c r="AK21" s="39"/>
      <c r="AL21" s="39"/>
      <c r="AM21" s="210">
        <f t="shared" si="17"/>
        <v>0</v>
      </c>
      <c r="AN21" s="178" t="e">
        <f t="shared" si="3"/>
        <v>#DIV/0!</v>
      </c>
      <c r="AO21" s="422"/>
      <c r="AP21" s="39"/>
      <c r="AQ21" s="39"/>
      <c r="AR21" s="210">
        <f t="shared" si="18"/>
        <v>0</v>
      </c>
      <c r="AS21" s="178" t="e">
        <f t="shared" si="19"/>
        <v>#DIV/0!</v>
      </c>
      <c r="AT21" s="422"/>
      <c r="AU21" s="1447"/>
      <c r="AV21" s="1447"/>
      <c r="AW21" s="1567">
        <f t="shared" si="20"/>
        <v>0</v>
      </c>
      <c r="AX21" s="1893" t="e">
        <f t="shared" si="21"/>
        <v>#DIV/0!</v>
      </c>
      <c r="AY21" s="1619"/>
      <c r="AZ21" s="39">
        <f t="shared" si="7"/>
        <v>4978983.7630000012</v>
      </c>
      <c r="BA21" s="39">
        <f t="shared" si="8"/>
        <v>27566</v>
      </c>
      <c r="BB21" s="210">
        <f t="shared" si="22"/>
        <v>5006549.7630000012</v>
      </c>
      <c r="BC21" s="178">
        <f t="shared" si="4"/>
        <v>0.1153756216026209</v>
      </c>
      <c r="BD21" s="42"/>
    </row>
    <row r="22" spans="1:56" s="2" customFormat="1" ht="13.8" outlineLevel="2" x14ac:dyDescent="0.25">
      <c r="A22" s="238"/>
      <c r="B22" s="7" t="s">
        <v>621</v>
      </c>
      <c r="C22" s="114"/>
      <c r="D22" s="445"/>
      <c r="E22" s="446"/>
      <c r="F22" s="447"/>
      <c r="G22" s="452"/>
      <c r="H22" s="452"/>
      <c r="I22" s="453"/>
      <c r="J22" s="450"/>
      <c r="K22" s="456"/>
      <c r="L22" s="452"/>
      <c r="M22" s="452"/>
      <c r="N22" s="453"/>
      <c r="O22" s="450"/>
      <c r="P22" s="454"/>
      <c r="Q22" s="452"/>
      <c r="R22" s="452"/>
      <c r="S22" s="453"/>
      <c r="T22" s="178">
        <f t="shared" si="24"/>
        <v>0</v>
      </c>
      <c r="U22" s="461"/>
      <c r="V22" s="452"/>
      <c r="W22" s="452"/>
      <c r="X22" s="453"/>
      <c r="Y22" s="178">
        <f t="shared" si="23"/>
        <v>0</v>
      </c>
      <c r="Z22" s="461"/>
      <c r="AA22" s="452"/>
      <c r="AB22" s="452"/>
      <c r="AC22" s="453"/>
      <c r="AD22" s="178">
        <f t="shared" si="14"/>
        <v>0</v>
      </c>
      <c r="AE22" s="461"/>
      <c r="AF22" s="452"/>
      <c r="AG22" s="452"/>
      <c r="AH22" s="453"/>
      <c r="AI22" s="178">
        <f t="shared" si="25"/>
        <v>0</v>
      </c>
      <c r="AJ22" s="461"/>
      <c r="AK22" s="452"/>
      <c r="AL22" s="452"/>
      <c r="AM22" s="453"/>
      <c r="AN22" s="178" t="e">
        <f t="shared" si="3"/>
        <v>#DIV/0!</v>
      </c>
      <c r="AO22" s="461"/>
      <c r="AP22" s="452"/>
      <c r="AQ22" s="452"/>
      <c r="AR22" s="453"/>
      <c r="AS22" s="178" t="e">
        <f t="shared" si="19"/>
        <v>#DIV/0!</v>
      </c>
      <c r="AT22" s="461"/>
      <c r="AU22" s="1447"/>
      <c r="AV22" s="1447"/>
      <c r="AW22" s="1567"/>
      <c r="AX22" s="1893" t="e">
        <f t="shared" si="21"/>
        <v>#DIV/0!</v>
      </c>
      <c r="AY22" s="1619"/>
      <c r="AZ22" s="39">
        <f t="shared" si="7"/>
        <v>0</v>
      </c>
      <c r="BA22" s="39">
        <f t="shared" si="8"/>
        <v>0</v>
      </c>
      <c r="BB22" s="453"/>
      <c r="BC22" s="450"/>
      <c r="BD22" s="456"/>
    </row>
    <row r="23" spans="1:56" s="2" customFormat="1" ht="13.8" outlineLevel="2" x14ac:dyDescent="0.25">
      <c r="A23" s="238"/>
      <c r="B23" s="471" t="s">
        <v>630</v>
      </c>
      <c r="C23" s="114"/>
      <c r="D23" s="445"/>
      <c r="E23" s="446"/>
      <c r="F23" s="447"/>
      <c r="G23" s="452"/>
      <c r="H23" s="452"/>
      <c r="I23" s="453"/>
      <c r="J23" s="450"/>
      <c r="K23" s="456"/>
      <c r="L23" s="452"/>
      <c r="M23" s="452"/>
      <c r="N23" s="453"/>
      <c r="O23" s="450"/>
      <c r="P23" s="454"/>
      <c r="Q23" s="452"/>
      <c r="R23" s="452"/>
      <c r="S23" s="453"/>
      <c r="T23" s="450"/>
      <c r="U23" s="461"/>
      <c r="V23" s="452"/>
      <c r="W23" s="452"/>
      <c r="X23" s="453"/>
      <c r="Y23" s="178">
        <f t="shared" si="23"/>
        <v>0</v>
      </c>
      <c r="Z23" s="461"/>
      <c r="AA23" s="452"/>
      <c r="AB23" s="452"/>
      <c r="AC23" s="453"/>
      <c r="AD23" s="178">
        <f>AC23/$AC$89</f>
        <v>0</v>
      </c>
      <c r="AE23" s="461"/>
      <c r="AF23" s="452"/>
      <c r="AG23" s="452"/>
      <c r="AH23" s="453"/>
      <c r="AI23" s="178">
        <f t="shared" ref="AI23:AI33" si="26">AH23/$AC$89</f>
        <v>0</v>
      </c>
      <c r="AJ23" s="461"/>
      <c r="AK23" s="452"/>
      <c r="AL23" s="452"/>
      <c r="AM23" s="453"/>
      <c r="AN23" s="178" t="e">
        <f t="shared" si="3"/>
        <v>#DIV/0!</v>
      </c>
      <c r="AO23" s="461"/>
      <c r="AP23" s="452"/>
      <c r="AQ23" s="452"/>
      <c r="AR23" s="453"/>
      <c r="AS23" s="178" t="e">
        <f t="shared" si="19"/>
        <v>#DIV/0!</v>
      </c>
      <c r="AT23" s="461"/>
      <c r="AU23" s="1447"/>
      <c r="AV23" s="1447"/>
      <c r="AW23" s="1567"/>
      <c r="AX23" s="1893" t="e">
        <f t="shared" si="21"/>
        <v>#DIV/0!</v>
      </c>
      <c r="AY23" s="1619"/>
      <c r="AZ23" s="39">
        <f t="shared" si="7"/>
        <v>0</v>
      </c>
      <c r="BA23" s="39">
        <f t="shared" si="8"/>
        <v>0</v>
      </c>
      <c r="BB23" s="453"/>
      <c r="BC23" s="450"/>
      <c r="BD23" s="456"/>
    </row>
    <row r="24" spans="1:56" s="2" customFormat="1" ht="84" customHeight="1" outlineLevel="2" x14ac:dyDescent="0.25">
      <c r="A24" s="238"/>
      <c r="B24" s="7" t="s">
        <v>23</v>
      </c>
      <c r="C24" s="114">
        <v>528000</v>
      </c>
      <c r="D24" s="113"/>
      <c r="E24" s="106">
        <f t="shared" si="5"/>
        <v>528000</v>
      </c>
      <c r="F24" s="177">
        <f t="shared" ref="F24:F33" si="27">E24/$E$89</f>
        <v>1.2738276822528006E-2</v>
      </c>
      <c r="G24" s="39">
        <v>596404.06799999997</v>
      </c>
      <c r="H24" s="39">
        <v>6700</v>
      </c>
      <c r="I24" s="210">
        <f t="shared" si="9"/>
        <v>603104.06799999997</v>
      </c>
      <c r="J24" s="178">
        <f t="shared" ref="J24:J33" si="28">I24/$I$89</f>
        <v>1.4075066132238729E-2</v>
      </c>
      <c r="K24" s="42"/>
      <c r="L24" s="39">
        <v>4200</v>
      </c>
      <c r="M24" s="39"/>
      <c r="N24" s="210">
        <f t="shared" si="10"/>
        <v>4200</v>
      </c>
      <c r="O24" s="178">
        <f t="shared" ref="O24:O33" si="29">N24/$N$89</f>
        <v>1.9591315513919235E-2</v>
      </c>
      <c r="P24" s="42" t="s">
        <v>534</v>
      </c>
      <c r="Q24" s="39">
        <f>(19383.33+15.83)*1.2</f>
        <v>23278.992000000002</v>
      </c>
      <c r="R24" s="39"/>
      <c r="S24" s="210">
        <f t="shared" si="11"/>
        <v>23278.992000000002</v>
      </c>
      <c r="T24" s="178">
        <f t="shared" ref="T24:T29" si="30">S24/$S$89</f>
        <v>9.6014007369735699E-2</v>
      </c>
      <c r="U24" s="432" t="s">
        <v>552</v>
      </c>
      <c r="V24" s="39"/>
      <c r="W24" s="39"/>
      <c r="X24" s="210">
        <f t="shared" ref="X24:X33" si="31">V24+W24*1</f>
        <v>0</v>
      </c>
      <c r="Y24" s="178">
        <f t="shared" si="23"/>
        <v>0</v>
      </c>
      <c r="Z24" s="418"/>
      <c r="AA24" s="39"/>
      <c r="AB24" s="39"/>
      <c r="AC24" s="210">
        <f t="shared" ref="AC24:AC33" si="32">AA24+AB24*1</f>
        <v>0</v>
      </c>
      <c r="AD24" s="178">
        <f t="shared" si="14"/>
        <v>0</v>
      </c>
      <c r="AE24" s="418"/>
      <c r="AF24" s="39"/>
      <c r="AG24" s="39"/>
      <c r="AH24" s="210">
        <f t="shared" ref="AH24:AH33" si="33">AF24+AG24*1</f>
        <v>0</v>
      </c>
      <c r="AI24" s="178">
        <f t="shared" si="26"/>
        <v>0</v>
      </c>
      <c r="AJ24" s="418"/>
      <c r="AK24" s="39"/>
      <c r="AL24" s="39"/>
      <c r="AM24" s="210">
        <f t="shared" ref="AM24:AM33" si="34">AK24+AL24*1</f>
        <v>0</v>
      </c>
      <c r="AN24" s="178" t="e">
        <f t="shared" si="3"/>
        <v>#DIV/0!</v>
      </c>
      <c r="AO24" s="418"/>
      <c r="AP24" s="39"/>
      <c r="AQ24" s="39"/>
      <c r="AR24" s="210">
        <f t="shared" ref="AR24:AR33" si="35">AP24+AQ24*1</f>
        <v>0</v>
      </c>
      <c r="AS24" s="178" t="e">
        <f t="shared" si="19"/>
        <v>#DIV/0!</v>
      </c>
      <c r="AT24" s="418"/>
      <c r="AU24" s="1447"/>
      <c r="AV24" s="1447"/>
      <c r="AW24" s="1567">
        <f t="shared" ref="AW24:AW33" si="36">AU24+AV24*1</f>
        <v>0</v>
      </c>
      <c r="AX24" s="1893" t="e">
        <f t="shared" si="21"/>
        <v>#DIV/0!</v>
      </c>
      <c r="AY24" s="1960"/>
      <c r="AZ24" s="39">
        <f t="shared" si="7"/>
        <v>623883.05999999994</v>
      </c>
      <c r="BA24" s="39">
        <f t="shared" si="8"/>
        <v>6700</v>
      </c>
      <c r="BB24" s="210">
        <f t="shared" si="22"/>
        <v>630583.05999999994</v>
      </c>
      <c r="BC24" s="178">
        <f t="shared" ref="BC24:BC33" si="37">BB24/$BB$89</f>
        <v>1.4531746604669224E-2</v>
      </c>
      <c r="BD24" s="42"/>
    </row>
    <row r="25" spans="1:56" s="2" customFormat="1" ht="39" customHeight="1" outlineLevel="2" x14ac:dyDescent="0.25">
      <c r="A25" s="238"/>
      <c r="B25" s="7" t="s">
        <v>24</v>
      </c>
      <c r="C25" s="114">
        <v>641059.26819890004</v>
      </c>
      <c r="D25" s="113"/>
      <c r="E25" s="106">
        <f t="shared" si="5"/>
        <v>641059.26819890004</v>
      </c>
      <c r="F25" s="177">
        <f t="shared" si="27"/>
        <v>1.5465890943115176E-2</v>
      </c>
      <c r="G25" s="39">
        <v>316027.908</v>
      </c>
      <c r="H25" s="39">
        <v>41009.040000000001</v>
      </c>
      <c r="I25" s="210">
        <f t="shared" si="9"/>
        <v>357036.94799999997</v>
      </c>
      <c r="J25" s="178">
        <f t="shared" si="28"/>
        <v>8.3324237414241411E-3</v>
      </c>
      <c r="K25" s="42"/>
      <c r="L25" s="39"/>
      <c r="M25" s="39">
        <v>2580</v>
      </c>
      <c r="N25" s="210">
        <f t="shared" si="10"/>
        <v>2580</v>
      </c>
      <c r="O25" s="178">
        <f t="shared" si="29"/>
        <v>1.2034665244264673E-2</v>
      </c>
      <c r="P25" s="261" t="s">
        <v>491</v>
      </c>
      <c r="Q25" s="39"/>
      <c r="R25" s="39"/>
      <c r="S25" s="210">
        <f t="shared" si="11"/>
        <v>0</v>
      </c>
      <c r="T25" s="178">
        <f t="shared" si="30"/>
        <v>0</v>
      </c>
      <c r="U25" s="401"/>
      <c r="V25" s="39">
        <f>5528.76*1.23</f>
        <v>6800.3748000000005</v>
      </c>
      <c r="W25" s="39">
        <v>834.24</v>
      </c>
      <c r="X25" s="210">
        <f t="shared" si="31"/>
        <v>7634.6148000000003</v>
      </c>
      <c r="Y25" s="178">
        <f t="shared" si="23"/>
        <v>9.6873273085656145E-2</v>
      </c>
      <c r="Z25" s="418" t="s">
        <v>701</v>
      </c>
      <c r="AA25" s="39">
        <f>27.5*1.2</f>
        <v>33</v>
      </c>
      <c r="AB25" s="39"/>
      <c r="AC25" s="210">
        <f t="shared" si="32"/>
        <v>33</v>
      </c>
      <c r="AD25" s="178">
        <f t="shared" si="14"/>
        <v>8.1825025365757868E-3</v>
      </c>
      <c r="AE25" s="418" t="s">
        <v>757</v>
      </c>
      <c r="AF25" s="39"/>
      <c r="AG25" s="39">
        <v>1561</v>
      </c>
      <c r="AH25" s="210">
        <f t="shared" si="33"/>
        <v>1561</v>
      </c>
      <c r="AI25" s="178">
        <f t="shared" si="26"/>
        <v>0.38705716544226676</v>
      </c>
      <c r="AJ25" s="418"/>
      <c r="AK25" s="39"/>
      <c r="AL25" s="39"/>
      <c r="AM25" s="210">
        <f t="shared" si="34"/>
        <v>0</v>
      </c>
      <c r="AN25" s="178" t="e">
        <f t="shared" si="3"/>
        <v>#DIV/0!</v>
      </c>
      <c r="AO25" s="418"/>
      <c r="AP25" s="39"/>
      <c r="AQ25" s="39"/>
      <c r="AR25" s="210">
        <f t="shared" si="35"/>
        <v>0</v>
      </c>
      <c r="AS25" s="178" t="e">
        <f t="shared" si="19"/>
        <v>#DIV/0!</v>
      </c>
      <c r="AT25" s="418"/>
      <c r="AU25" s="1887">
        <f>1180*1.2</f>
        <v>1416</v>
      </c>
      <c r="AV25" s="1887"/>
      <c r="AW25" s="1888">
        <f t="shared" si="36"/>
        <v>1416</v>
      </c>
      <c r="AX25" s="1923" t="e">
        <f t="shared" si="21"/>
        <v>#DIV/0!</v>
      </c>
      <c r="AY25" s="1961"/>
      <c r="AZ25" s="39">
        <f t="shared" si="7"/>
        <v>324277.28279999999</v>
      </c>
      <c r="BA25" s="39">
        <f t="shared" si="8"/>
        <v>45984.28</v>
      </c>
      <c r="BB25" s="210">
        <f t="shared" si="22"/>
        <v>370261.56279999996</v>
      </c>
      <c r="BC25" s="178">
        <f t="shared" si="37"/>
        <v>8.5326542201409929E-3</v>
      </c>
      <c r="BD25" s="42"/>
    </row>
    <row r="26" spans="1:56" s="226" customFormat="1" ht="51" customHeight="1" outlineLevel="2" x14ac:dyDescent="0.25">
      <c r="A26" s="238"/>
      <c r="B26" s="262" t="s">
        <v>45</v>
      </c>
      <c r="C26" s="114">
        <v>10987454.678667672</v>
      </c>
      <c r="D26" s="113"/>
      <c r="E26" s="106">
        <f t="shared" si="5"/>
        <v>10987454.678667672</v>
      </c>
      <c r="F26" s="177">
        <f t="shared" si="27"/>
        <v>0.26507810468153276</v>
      </c>
      <c r="G26" s="39">
        <v>12954116.616</v>
      </c>
      <c r="H26" s="39">
        <v>3142</v>
      </c>
      <c r="I26" s="210">
        <f t="shared" si="9"/>
        <v>12957258.616</v>
      </c>
      <c r="J26" s="178">
        <f t="shared" si="28"/>
        <v>0.30239270731087176</v>
      </c>
      <c r="K26" s="42"/>
      <c r="L26" s="39">
        <f>35386.36*1.2</f>
        <v>42463.631999999998</v>
      </c>
      <c r="M26" s="39"/>
      <c r="N26" s="210">
        <f t="shared" si="10"/>
        <v>42463.631999999998</v>
      </c>
      <c r="O26" s="178">
        <f t="shared" si="29"/>
        <v>0.19807581247118028</v>
      </c>
      <c r="P26" s="42"/>
      <c r="Q26" s="39">
        <f>74661.77*1.2</f>
        <v>89594.123999999996</v>
      </c>
      <c r="R26" s="39"/>
      <c r="S26" s="210">
        <f t="shared" si="11"/>
        <v>89594.123999999996</v>
      </c>
      <c r="T26" s="178">
        <f t="shared" si="30"/>
        <v>0.36953021342251474</v>
      </c>
      <c r="U26" s="402"/>
      <c r="V26" s="39">
        <f>28452.56*1.2</f>
        <v>34143.072</v>
      </c>
      <c r="W26" s="39">
        <v>7230</v>
      </c>
      <c r="X26" s="210">
        <f t="shared" si="31"/>
        <v>41373.072</v>
      </c>
      <c r="Y26" s="178">
        <f t="shared" si="23"/>
        <v>0.52497015334008912</v>
      </c>
      <c r="Z26" s="418" t="s">
        <v>702</v>
      </c>
      <c r="AA26" s="39"/>
      <c r="AB26" s="39"/>
      <c r="AC26" s="210">
        <f t="shared" si="32"/>
        <v>0</v>
      </c>
      <c r="AD26" s="178">
        <f t="shared" si="14"/>
        <v>0</v>
      </c>
      <c r="AE26" s="418"/>
      <c r="AF26" s="39"/>
      <c r="AG26" s="39"/>
      <c r="AH26" s="210">
        <f t="shared" si="33"/>
        <v>0</v>
      </c>
      <c r="AI26" s="178">
        <f t="shared" si="26"/>
        <v>0</v>
      </c>
      <c r="AJ26" s="418"/>
      <c r="AK26" s="39"/>
      <c r="AL26" s="39"/>
      <c r="AM26" s="210">
        <f t="shared" si="34"/>
        <v>0</v>
      </c>
      <c r="AN26" s="178" t="e">
        <f t="shared" si="3"/>
        <v>#DIV/0!</v>
      </c>
      <c r="AO26" s="418"/>
      <c r="AP26" s="39"/>
      <c r="AQ26" s="39"/>
      <c r="AR26" s="210">
        <f t="shared" si="35"/>
        <v>0</v>
      </c>
      <c r="AS26" s="178" t="e">
        <f t="shared" si="19"/>
        <v>#DIV/0!</v>
      </c>
      <c r="AT26" s="418"/>
      <c r="AU26" s="1447"/>
      <c r="AV26" s="1447"/>
      <c r="AW26" s="1567">
        <f t="shared" si="36"/>
        <v>0</v>
      </c>
      <c r="AX26" s="1893" t="e">
        <f t="shared" si="21"/>
        <v>#DIV/0!</v>
      </c>
      <c r="AY26" s="1960"/>
      <c r="AZ26" s="39">
        <f t="shared" si="7"/>
        <v>13120317.444</v>
      </c>
      <c r="BA26" s="39">
        <f t="shared" si="8"/>
        <v>10372</v>
      </c>
      <c r="BB26" s="210">
        <f t="shared" si="22"/>
        <v>13130689.444</v>
      </c>
      <c r="BC26" s="178">
        <f t="shared" si="37"/>
        <v>0.3025959050419354</v>
      </c>
      <c r="BD26" s="42"/>
    </row>
    <row r="27" spans="1:56" s="2" customFormat="1" ht="32.4" customHeight="1" outlineLevel="2" x14ac:dyDescent="0.25">
      <c r="A27" s="238"/>
      <c r="B27" s="7" t="s">
        <v>25</v>
      </c>
      <c r="C27" s="114">
        <v>24000</v>
      </c>
      <c r="D27" s="113"/>
      <c r="E27" s="106">
        <f t="shared" si="5"/>
        <v>24000</v>
      </c>
      <c r="F27" s="177">
        <f t="shared" si="27"/>
        <v>5.7901258284218202E-4</v>
      </c>
      <c r="G27" s="39">
        <v>36616.644</v>
      </c>
      <c r="H27" s="39">
        <v>1460</v>
      </c>
      <c r="I27" s="210">
        <f t="shared" si="9"/>
        <v>38076.644</v>
      </c>
      <c r="J27" s="178">
        <f t="shared" si="28"/>
        <v>8.8862156770216157E-4</v>
      </c>
      <c r="K27" s="42"/>
      <c r="L27" s="39"/>
      <c r="M27" s="39"/>
      <c r="N27" s="210">
        <f t="shared" si="10"/>
        <v>0</v>
      </c>
      <c r="O27" s="178">
        <f t="shared" si="29"/>
        <v>0</v>
      </c>
      <c r="P27" s="42"/>
      <c r="Q27" s="39"/>
      <c r="R27" s="39"/>
      <c r="S27" s="210">
        <f t="shared" si="11"/>
        <v>0</v>
      </c>
      <c r="T27" s="178">
        <f t="shared" si="30"/>
        <v>0</v>
      </c>
      <c r="U27" s="426"/>
      <c r="V27" s="39"/>
      <c r="W27" s="39"/>
      <c r="X27" s="210">
        <f t="shared" si="31"/>
        <v>0</v>
      </c>
      <c r="Y27" s="178">
        <f t="shared" si="23"/>
        <v>0</v>
      </c>
      <c r="Z27" s="418"/>
      <c r="AA27" s="39"/>
      <c r="AB27" s="39"/>
      <c r="AC27" s="210">
        <f t="shared" si="32"/>
        <v>0</v>
      </c>
      <c r="AD27" s="178">
        <f t="shared" si="14"/>
        <v>0</v>
      </c>
      <c r="AE27" s="418"/>
      <c r="AF27" s="39"/>
      <c r="AG27" s="39"/>
      <c r="AH27" s="210">
        <f t="shared" si="33"/>
        <v>0</v>
      </c>
      <c r="AI27" s="178">
        <f t="shared" si="26"/>
        <v>0</v>
      </c>
      <c r="AJ27" s="418"/>
      <c r="AK27" s="39"/>
      <c r="AL27" s="39"/>
      <c r="AM27" s="210">
        <f t="shared" si="34"/>
        <v>0</v>
      </c>
      <c r="AN27" s="178" t="e">
        <f t="shared" si="3"/>
        <v>#DIV/0!</v>
      </c>
      <c r="AO27" s="418"/>
      <c r="AP27" s="39"/>
      <c r="AQ27" s="39"/>
      <c r="AR27" s="210">
        <f t="shared" si="35"/>
        <v>0</v>
      </c>
      <c r="AS27" s="178" t="e">
        <f t="shared" si="19"/>
        <v>#DIV/0!</v>
      </c>
      <c r="AT27" s="418"/>
      <c r="AU27" s="1447"/>
      <c r="AV27" s="1447"/>
      <c r="AW27" s="1567">
        <f t="shared" si="36"/>
        <v>0</v>
      </c>
      <c r="AX27" s="1893" t="e">
        <f t="shared" si="21"/>
        <v>#DIV/0!</v>
      </c>
      <c r="AY27" s="1960"/>
      <c r="AZ27" s="39">
        <f t="shared" si="7"/>
        <v>36616.644</v>
      </c>
      <c r="BA27" s="39">
        <f t="shared" si="8"/>
        <v>1460</v>
      </c>
      <c r="BB27" s="210">
        <f t="shared" si="22"/>
        <v>38076.644</v>
      </c>
      <c r="BC27" s="178">
        <f t="shared" si="37"/>
        <v>8.7747384486382943E-4</v>
      </c>
      <c r="BD27" s="42"/>
    </row>
    <row r="28" spans="1:56" s="226" customFormat="1" ht="109.2" customHeight="1" outlineLevel="2" x14ac:dyDescent="0.25">
      <c r="A28" s="238"/>
      <c r="B28" s="262" t="s">
        <v>52</v>
      </c>
      <c r="C28" s="114">
        <f>66193+535641</f>
        <v>601834</v>
      </c>
      <c r="D28" s="113"/>
      <c r="E28" s="106">
        <f t="shared" si="5"/>
        <v>601834</v>
      </c>
      <c r="F28" s="177">
        <f t="shared" si="27"/>
        <v>1.4519560782593408E-2</v>
      </c>
      <c r="G28" s="39">
        <v>11713.621999999999</v>
      </c>
      <c r="H28" s="39">
        <v>69022.399999999994</v>
      </c>
      <c r="I28" s="210">
        <f t="shared" si="9"/>
        <v>80736.021999999997</v>
      </c>
      <c r="J28" s="178">
        <f t="shared" si="28"/>
        <v>1.8841936395359896E-3</v>
      </c>
      <c r="K28" s="42"/>
      <c r="L28" s="39"/>
      <c r="M28" s="39">
        <v>31905</v>
      </c>
      <c r="N28" s="210">
        <f t="shared" si="10"/>
        <v>31905</v>
      </c>
      <c r="O28" s="178">
        <f t="shared" si="29"/>
        <v>0.1488240289218079</v>
      </c>
      <c r="P28" s="261" t="s">
        <v>492</v>
      </c>
      <c r="Q28" s="39"/>
      <c r="R28" s="39"/>
      <c r="S28" s="210">
        <f t="shared" si="11"/>
        <v>0</v>
      </c>
      <c r="T28" s="178">
        <f t="shared" si="30"/>
        <v>0</v>
      </c>
      <c r="U28" s="429"/>
      <c r="V28" s="39"/>
      <c r="W28" s="39"/>
      <c r="X28" s="210">
        <f t="shared" si="31"/>
        <v>0</v>
      </c>
      <c r="Y28" s="178">
        <f t="shared" si="23"/>
        <v>0</v>
      </c>
      <c r="Z28" s="429"/>
      <c r="AA28" s="39"/>
      <c r="AB28" s="39"/>
      <c r="AC28" s="210">
        <f t="shared" si="32"/>
        <v>0</v>
      </c>
      <c r="AD28" s="178">
        <f t="shared" si="14"/>
        <v>0</v>
      </c>
      <c r="AE28" s="429"/>
      <c r="AF28" s="39"/>
      <c r="AG28" s="39"/>
      <c r="AH28" s="210">
        <f t="shared" si="33"/>
        <v>0</v>
      </c>
      <c r="AI28" s="178">
        <f t="shared" si="26"/>
        <v>0</v>
      </c>
      <c r="AJ28" s="429"/>
      <c r="AK28" s="39"/>
      <c r="AL28" s="39"/>
      <c r="AM28" s="210">
        <f t="shared" si="34"/>
        <v>0</v>
      </c>
      <c r="AN28" s="178" t="e">
        <f t="shared" si="3"/>
        <v>#DIV/0!</v>
      </c>
      <c r="AO28" s="429"/>
      <c r="AP28" s="39"/>
      <c r="AQ28" s="39"/>
      <c r="AR28" s="210">
        <f t="shared" si="35"/>
        <v>0</v>
      </c>
      <c r="AS28" s="178" t="e">
        <f t="shared" si="19"/>
        <v>#DIV/0!</v>
      </c>
      <c r="AT28" s="429"/>
      <c r="AU28" s="1447"/>
      <c r="AV28" s="1447"/>
      <c r="AW28" s="1567">
        <f t="shared" si="36"/>
        <v>0</v>
      </c>
      <c r="AX28" s="1893" t="e">
        <f t="shared" si="21"/>
        <v>#DIV/0!</v>
      </c>
      <c r="AY28" s="1065"/>
      <c r="AZ28" s="39">
        <f t="shared" si="7"/>
        <v>11713.621999999999</v>
      </c>
      <c r="BA28" s="39">
        <f t="shared" si="8"/>
        <v>100927.4</v>
      </c>
      <c r="BB28" s="210">
        <f t="shared" si="22"/>
        <v>112641.022</v>
      </c>
      <c r="BC28" s="178">
        <f t="shared" si="37"/>
        <v>2.5958052044642169E-3</v>
      </c>
      <c r="BD28" s="42"/>
    </row>
    <row r="29" spans="1:56" s="2" customFormat="1" ht="124.95" customHeight="1" outlineLevel="2" x14ac:dyDescent="0.25">
      <c r="A29" s="238"/>
      <c r="B29" s="7" t="s">
        <v>31</v>
      </c>
      <c r="C29" s="114">
        <v>253200</v>
      </c>
      <c r="D29" s="113">
        <v>639031.29999999993</v>
      </c>
      <c r="E29" s="106">
        <f t="shared" si="5"/>
        <v>892231.29999999993</v>
      </c>
      <c r="F29" s="178">
        <f t="shared" si="27"/>
        <v>2.1525547896068239E-2</v>
      </c>
      <c r="G29" s="39">
        <v>392370</v>
      </c>
      <c r="H29" s="39">
        <v>420760</v>
      </c>
      <c r="I29" s="210">
        <f t="shared" si="9"/>
        <v>813130</v>
      </c>
      <c r="J29" s="178">
        <f t="shared" si="28"/>
        <v>1.8976589831437313E-2</v>
      </c>
      <c r="K29" s="79"/>
      <c r="L29" s="39">
        <v>1200</v>
      </c>
      <c r="M29" s="39">
        <v>11000</v>
      </c>
      <c r="N29" s="210">
        <f t="shared" si="10"/>
        <v>12200</v>
      </c>
      <c r="O29" s="178">
        <f t="shared" si="29"/>
        <v>5.6908106969003495E-2</v>
      </c>
      <c r="P29" s="261" t="s">
        <v>489</v>
      </c>
      <c r="Q29" s="39"/>
      <c r="R29" s="39">
        <v>9600</v>
      </c>
      <c r="S29" s="210">
        <f t="shared" si="11"/>
        <v>9600</v>
      </c>
      <c r="T29" s="178">
        <f t="shared" si="30"/>
        <v>3.9595119528777818E-2</v>
      </c>
      <c r="U29" s="422" t="s">
        <v>550</v>
      </c>
      <c r="V29" s="39">
        <v>3730</v>
      </c>
      <c r="W29" s="39">
        <v>1400</v>
      </c>
      <c r="X29" s="210">
        <f t="shared" si="31"/>
        <v>5130</v>
      </c>
      <c r="Y29" s="178">
        <f t="shared" si="23"/>
        <v>6.509298817923545E-2</v>
      </c>
      <c r="Z29" s="422" t="s">
        <v>700</v>
      </c>
      <c r="AA29" s="39"/>
      <c r="AB29" s="39"/>
      <c r="AC29" s="210">
        <f t="shared" si="32"/>
        <v>0</v>
      </c>
      <c r="AD29" s="178">
        <f>AC29/$AC$89</f>
        <v>0</v>
      </c>
      <c r="AE29" s="422"/>
      <c r="AF29" s="39"/>
      <c r="AG29" s="39"/>
      <c r="AH29" s="210">
        <f t="shared" si="33"/>
        <v>0</v>
      </c>
      <c r="AI29" s="178">
        <f t="shared" si="26"/>
        <v>0</v>
      </c>
      <c r="AJ29" s="422"/>
      <c r="AK29" s="39"/>
      <c r="AL29" s="39"/>
      <c r="AM29" s="210">
        <f t="shared" si="34"/>
        <v>0</v>
      </c>
      <c r="AN29" s="178" t="e">
        <f t="shared" si="3"/>
        <v>#DIV/0!</v>
      </c>
      <c r="AO29" s="422"/>
      <c r="AP29" s="39"/>
      <c r="AQ29" s="39"/>
      <c r="AR29" s="210">
        <f t="shared" si="35"/>
        <v>0</v>
      </c>
      <c r="AS29" s="178" t="e">
        <f t="shared" si="19"/>
        <v>#DIV/0!</v>
      </c>
      <c r="AT29" s="422"/>
      <c r="AU29" s="1447"/>
      <c r="AV29" s="1447"/>
      <c r="AW29" s="1567">
        <f t="shared" si="36"/>
        <v>0</v>
      </c>
      <c r="AX29" s="1893" t="e">
        <f t="shared" si="21"/>
        <v>#DIV/0!</v>
      </c>
      <c r="AY29" s="1619"/>
      <c r="AZ29" s="39">
        <f t="shared" si="7"/>
        <v>397300</v>
      </c>
      <c r="BA29" s="39">
        <f t="shared" si="8"/>
        <v>442760</v>
      </c>
      <c r="BB29" s="210">
        <f t="shared" si="22"/>
        <v>840060</v>
      </c>
      <c r="BC29" s="178">
        <f t="shared" si="37"/>
        <v>1.9359129394815062E-2</v>
      </c>
      <c r="BD29" s="79"/>
    </row>
    <row r="30" spans="1:56" s="2" customFormat="1" ht="79.95" customHeight="1" outlineLevel="2" x14ac:dyDescent="0.25">
      <c r="A30" s="238"/>
      <c r="B30" s="7" t="s">
        <v>62</v>
      </c>
      <c r="C30" s="114"/>
      <c r="D30" s="113">
        <v>655431.4</v>
      </c>
      <c r="E30" s="106">
        <f t="shared" si="5"/>
        <v>655431.4</v>
      </c>
      <c r="F30" s="178">
        <f t="shared" si="27"/>
        <v>1.5812626157911142E-2</v>
      </c>
      <c r="G30" s="39">
        <v>177240</v>
      </c>
      <c r="H30" s="39">
        <v>596704</v>
      </c>
      <c r="I30" s="210">
        <f t="shared" si="9"/>
        <v>773944</v>
      </c>
      <c r="J30" s="178">
        <f t="shared" si="28"/>
        <v>1.8062078438259466E-2</v>
      </c>
      <c r="K30" s="79"/>
      <c r="L30" s="39"/>
      <c r="M30" s="39"/>
      <c r="N30" s="210">
        <f t="shared" si="10"/>
        <v>0</v>
      </c>
      <c r="O30" s="178">
        <f t="shared" si="29"/>
        <v>0</v>
      </c>
      <c r="P30" s="79"/>
      <c r="Q30" s="39"/>
      <c r="R30" s="39">
        <v>4000</v>
      </c>
      <c r="S30" s="210">
        <f t="shared" si="11"/>
        <v>4000</v>
      </c>
      <c r="T30" s="178">
        <f>S30/$S$89</f>
        <v>1.6497966470324091E-2</v>
      </c>
      <c r="U30" s="418" t="s">
        <v>548</v>
      </c>
      <c r="V30" s="39"/>
      <c r="W30" s="39">
        <v>2300</v>
      </c>
      <c r="X30" s="210">
        <f t="shared" si="31"/>
        <v>2300</v>
      </c>
      <c r="Y30" s="178">
        <f t="shared" si="23"/>
        <v>2.9183990801606538E-2</v>
      </c>
      <c r="Z30" s="418" t="s">
        <v>699</v>
      </c>
      <c r="AA30" s="39"/>
      <c r="AB30" s="39"/>
      <c r="AC30" s="210">
        <f t="shared" si="32"/>
        <v>0</v>
      </c>
      <c r="AD30" s="178">
        <f t="shared" si="14"/>
        <v>0</v>
      </c>
      <c r="AE30" s="418"/>
      <c r="AF30" s="39"/>
      <c r="AG30" s="39">
        <v>800</v>
      </c>
      <c r="AH30" s="210">
        <f t="shared" si="33"/>
        <v>800</v>
      </c>
      <c r="AI30" s="178">
        <f t="shared" si="26"/>
        <v>0.19836369785638272</v>
      </c>
      <c r="AJ30" s="418"/>
      <c r="AK30" s="39"/>
      <c r="AL30" s="39"/>
      <c r="AM30" s="210">
        <f t="shared" si="34"/>
        <v>0</v>
      </c>
      <c r="AN30" s="178" t="e">
        <f t="shared" si="3"/>
        <v>#DIV/0!</v>
      </c>
      <c r="AO30" s="418"/>
      <c r="AP30" s="39"/>
      <c r="AQ30" s="39"/>
      <c r="AR30" s="210">
        <f t="shared" si="35"/>
        <v>0</v>
      </c>
      <c r="AS30" s="178" t="e">
        <f t="shared" si="19"/>
        <v>#DIV/0!</v>
      </c>
      <c r="AT30" s="418"/>
      <c r="AU30" s="1447"/>
      <c r="AV30" s="1447"/>
      <c r="AW30" s="1567">
        <f t="shared" si="36"/>
        <v>0</v>
      </c>
      <c r="AX30" s="1893" t="e">
        <f t="shared" si="21"/>
        <v>#DIV/0!</v>
      </c>
      <c r="AY30" s="1960"/>
      <c r="AZ30" s="39">
        <f t="shared" si="7"/>
        <v>177240</v>
      </c>
      <c r="BA30" s="39">
        <f t="shared" si="8"/>
        <v>603804</v>
      </c>
      <c r="BB30" s="210">
        <f t="shared" si="22"/>
        <v>781044</v>
      </c>
      <c r="BC30" s="178">
        <f t="shared" si="37"/>
        <v>1.7999109419617569E-2</v>
      </c>
      <c r="BD30" s="79"/>
    </row>
    <row r="31" spans="1:56" s="2" customFormat="1" ht="74.400000000000006" customHeight="1" outlineLevel="2" x14ac:dyDescent="0.25">
      <c r="A31" s="238"/>
      <c r="B31" s="7" t="s">
        <v>34</v>
      </c>
      <c r="C31" s="114">
        <f>70880-C63</f>
        <v>33280</v>
      </c>
      <c r="D31" s="113">
        <f>224653.65+2517</f>
        <v>227170.65</v>
      </c>
      <c r="E31" s="106">
        <f t="shared" si="5"/>
        <v>260450.65</v>
      </c>
      <c r="F31" s="178">
        <f t="shared" si="27"/>
        <v>6.2835084816427154E-3</v>
      </c>
      <c r="G31" s="39">
        <v>40412.49</v>
      </c>
      <c r="H31" s="39">
        <v>113316.8</v>
      </c>
      <c r="I31" s="210">
        <f t="shared" si="9"/>
        <v>153729.29</v>
      </c>
      <c r="J31" s="178">
        <f t="shared" si="28"/>
        <v>3.5876891535278222E-3</v>
      </c>
      <c r="K31" s="79"/>
      <c r="L31" s="39">
        <v>2176.59</v>
      </c>
      <c r="M31" s="39">
        <v>2630</v>
      </c>
      <c r="N31" s="210">
        <f t="shared" si="10"/>
        <v>4806.59</v>
      </c>
      <c r="O31" s="178">
        <f t="shared" si="29"/>
        <v>2.2420814580011682E-2</v>
      </c>
      <c r="P31" s="261" t="s">
        <v>490</v>
      </c>
      <c r="Q31" s="39"/>
      <c r="R31" s="39"/>
      <c r="S31" s="210">
        <f t="shared" si="11"/>
        <v>0</v>
      </c>
      <c r="T31" s="178">
        <f>S31/$S$89</f>
        <v>0</v>
      </c>
      <c r="U31" s="422"/>
      <c r="V31" s="39"/>
      <c r="W31" s="39"/>
      <c r="X31" s="210">
        <f t="shared" si="31"/>
        <v>0</v>
      </c>
      <c r="Y31" s="178">
        <f t="shared" si="23"/>
        <v>0</v>
      </c>
      <c r="Z31" s="422"/>
      <c r="AA31" s="39">
        <f>3333.33*1.2</f>
        <v>3999.9959999999996</v>
      </c>
      <c r="AB31" s="39"/>
      <c r="AC31" s="210">
        <f t="shared" si="32"/>
        <v>3999.9959999999996</v>
      </c>
      <c r="AD31" s="178">
        <f>AC31/$AC$89</f>
        <v>0.99181749746342418</v>
      </c>
      <c r="AE31" s="422" t="s">
        <v>744</v>
      </c>
      <c r="AF31" s="39"/>
      <c r="AG31" s="39"/>
      <c r="AH31" s="210">
        <f t="shared" si="33"/>
        <v>0</v>
      </c>
      <c r="AI31" s="178">
        <f t="shared" si="26"/>
        <v>0</v>
      </c>
      <c r="AJ31" s="422"/>
      <c r="AK31" s="39"/>
      <c r="AL31" s="39"/>
      <c r="AM31" s="210">
        <f t="shared" si="34"/>
        <v>0</v>
      </c>
      <c r="AN31" s="178" t="e">
        <f t="shared" si="3"/>
        <v>#DIV/0!</v>
      </c>
      <c r="AO31" s="422"/>
      <c r="AP31" s="39"/>
      <c r="AQ31" s="39"/>
      <c r="AR31" s="210">
        <f t="shared" si="35"/>
        <v>0</v>
      </c>
      <c r="AS31" s="178" t="e">
        <f t="shared" si="19"/>
        <v>#DIV/0!</v>
      </c>
      <c r="AT31" s="422"/>
      <c r="AU31" s="1447"/>
      <c r="AV31" s="1447"/>
      <c r="AW31" s="1567">
        <f t="shared" si="36"/>
        <v>0</v>
      </c>
      <c r="AX31" s="1893" t="e">
        <f t="shared" si="21"/>
        <v>#DIV/0!</v>
      </c>
      <c r="AY31" s="1619"/>
      <c r="AZ31" s="39">
        <f t="shared" si="7"/>
        <v>46589.076000000001</v>
      </c>
      <c r="BA31" s="39">
        <f t="shared" si="8"/>
        <v>115946.8</v>
      </c>
      <c r="BB31" s="210">
        <f t="shared" si="22"/>
        <v>162535.87599999999</v>
      </c>
      <c r="BC31" s="178">
        <f t="shared" si="37"/>
        <v>3.7456289488650998E-3</v>
      </c>
      <c r="BD31" s="79"/>
    </row>
    <row r="32" spans="1:56" s="2" customFormat="1" ht="14.4" customHeight="1" outlineLevel="2" x14ac:dyDescent="0.25">
      <c r="A32" s="238"/>
      <c r="B32" s="32" t="s">
        <v>2</v>
      </c>
      <c r="C32" s="115"/>
      <c r="D32" s="116"/>
      <c r="E32" s="106">
        <f t="shared" si="5"/>
        <v>0</v>
      </c>
      <c r="F32" s="178">
        <f t="shared" si="27"/>
        <v>0</v>
      </c>
      <c r="G32" s="39">
        <v>0</v>
      </c>
      <c r="H32" s="39">
        <v>0</v>
      </c>
      <c r="I32" s="210">
        <f t="shared" si="9"/>
        <v>0</v>
      </c>
      <c r="J32" s="178">
        <f t="shared" si="28"/>
        <v>0</v>
      </c>
      <c r="K32" s="79"/>
      <c r="L32" s="39"/>
      <c r="M32" s="39"/>
      <c r="N32" s="210">
        <f t="shared" si="10"/>
        <v>0</v>
      </c>
      <c r="O32" s="178">
        <f t="shared" si="29"/>
        <v>0</v>
      </c>
      <c r="P32" s="79"/>
      <c r="Q32" s="39"/>
      <c r="R32" s="39"/>
      <c r="S32" s="210">
        <f t="shared" si="11"/>
        <v>0</v>
      </c>
      <c r="T32" s="178">
        <f>S32/$S$89</f>
        <v>0</v>
      </c>
      <c r="U32" s="421"/>
      <c r="V32" s="39"/>
      <c r="W32" s="39"/>
      <c r="X32" s="210">
        <f t="shared" si="31"/>
        <v>0</v>
      </c>
      <c r="Y32" s="178">
        <f t="shared" si="23"/>
        <v>0</v>
      </c>
      <c r="Z32" s="421"/>
      <c r="AA32" s="39"/>
      <c r="AB32" s="39"/>
      <c r="AC32" s="210">
        <f t="shared" si="32"/>
        <v>0</v>
      </c>
      <c r="AD32" s="178">
        <f t="shared" si="14"/>
        <v>0</v>
      </c>
      <c r="AE32" s="421"/>
      <c r="AF32" s="39"/>
      <c r="AG32" s="39"/>
      <c r="AH32" s="210">
        <f t="shared" si="33"/>
        <v>0</v>
      </c>
      <c r="AI32" s="178">
        <f t="shared" si="26"/>
        <v>0</v>
      </c>
      <c r="AJ32" s="421"/>
      <c r="AK32" s="39"/>
      <c r="AL32" s="39"/>
      <c r="AM32" s="210">
        <f t="shared" si="34"/>
        <v>0</v>
      </c>
      <c r="AN32" s="178" t="e">
        <f t="shared" si="3"/>
        <v>#DIV/0!</v>
      </c>
      <c r="AO32" s="421"/>
      <c r="AP32" s="39"/>
      <c r="AQ32" s="39"/>
      <c r="AR32" s="210">
        <f t="shared" si="35"/>
        <v>0</v>
      </c>
      <c r="AS32" s="178" t="e">
        <f t="shared" si="19"/>
        <v>#DIV/0!</v>
      </c>
      <c r="AT32" s="421"/>
      <c r="AU32" s="1447"/>
      <c r="AV32" s="1447"/>
      <c r="AW32" s="1567">
        <f t="shared" si="36"/>
        <v>0</v>
      </c>
      <c r="AX32" s="1893" t="e">
        <f t="shared" si="21"/>
        <v>#DIV/0!</v>
      </c>
      <c r="AY32" s="1928"/>
      <c r="AZ32" s="39">
        <f t="shared" si="7"/>
        <v>0</v>
      </c>
      <c r="BA32" s="39">
        <f t="shared" si="8"/>
        <v>0</v>
      </c>
      <c r="BB32" s="210">
        <f t="shared" si="22"/>
        <v>0</v>
      </c>
      <c r="BC32" s="178">
        <f t="shared" si="37"/>
        <v>0</v>
      </c>
      <c r="BD32" s="79"/>
    </row>
    <row r="33" spans="1:56" s="2" customFormat="1" ht="33.6" customHeight="1" outlineLevel="2" thickBot="1" x14ac:dyDescent="0.3">
      <c r="A33" s="238"/>
      <c r="B33" s="32" t="s">
        <v>75</v>
      </c>
      <c r="C33" s="115"/>
      <c r="D33" s="116">
        <v>150000</v>
      </c>
      <c r="E33" s="106">
        <f t="shared" si="5"/>
        <v>150000</v>
      </c>
      <c r="F33" s="178">
        <f t="shared" si="27"/>
        <v>3.618828642763638E-3</v>
      </c>
      <c r="G33" s="39">
        <v>0</v>
      </c>
      <c r="H33" s="39">
        <v>51320</v>
      </c>
      <c r="I33" s="210">
        <f t="shared" si="9"/>
        <v>51320</v>
      </c>
      <c r="J33" s="178">
        <f t="shared" si="28"/>
        <v>1.1976911319830322E-3</v>
      </c>
      <c r="K33" s="79"/>
      <c r="L33" s="39"/>
      <c r="M33" s="39"/>
      <c r="N33" s="210">
        <f t="shared" si="10"/>
        <v>0</v>
      </c>
      <c r="O33" s="178">
        <f t="shared" si="29"/>
        <v>0</v>
      </c>
      <c r="P33" s="79"/>
      <c r="Q33" s="39">
        <v>7558</v>
      </c>
      <c r="R33" s="39"/>
      <c r="S33" s="210">
        <f t="shared" si="11"/>
        <v>7558</v>
      </c>
      <c r="T33" s="178">
        <f>S33/$S$89</f>
        <v>3.1172907645677369E-2</v>
      </c>
      <c r="U33" s="418" t="s">
        <v>551</v>
      </c>
      <c r="V33" s="39"/>
      <c r="W33" s="39"/>
      <c r="X33" s="210">
        <f t="shared" si="31"/>
        <v>0</v>
      </c>
      <c r="Y33" s="178">
        <f t="shared" si="23"/>
        <v>0</v>
      </c>
      <c r="Z33" s="418" t="s">
        <v>551</v>
      </c>
      <c r="AA33" s="39"/>
      <c r="AB33" s="39"/>
      <c r="AC33" s="210">
        <f t="shared" si="32"/>
        <v>0</v>
      </c>
      <c r="AD33" s="178">
        <f t="shared" si="14"/>
        <v>0</v>
      </c>
      <c r="AE33" s="418"/>
      <c r="AF33" s="39"/>
      <c r="AG33" s="39"/>
      <c r="AH33" s="210">
        <f t="shared" si="33"/>
        <v>0</v>
      </c>
      <c r="AI33" s="178">
        <f t="shared" si="26"/>
        <v>0</v>
      </c>
      <c r="AJ33" s="418"/>
      <c r="AK33" s="39"/>
      <c r="AL33" s="39"/>
      <c r="AM33" s="210">
        <f t="shared" si="34"/>
        <v>0</v>
      </c>
      <c r="AN33" s="178" t="e">
        <f t="shared" si="3"/>
        <v>#DIV/0!</v>
      </c>
      <c r="AO33" s="418"/>
      <c r="AP33" s="39"/>
      <c r="AQ33" s="39"/>
      <c r="AR33" s="210">
        <f t="shared" si="35"/>
        <v>0</v>
      </c>
      <c r="AS33" s="178" t="e">
        <f t="shared" si="19"/>
        <v>#DIV/0!</v>
      </c>
      <c r="AT33" s="418"/>
      <c r="AU33" s="1447"/>
      <c r="AV33" s="1447"/>
      <c r="AW33" s="1567">
        <f t="shared" si="36"/>
        <v>0</v>
      </c>
      <c r="AX33" s="1893" t="e">
        <f t="shared" si="21"/>
        <v>#DIV/0!</v>
      </c>
      <c r="AY33" s="1960"/>
      <c r="AZ33" s="39">
        <f t="shared" si="7"/>
        <v>7558</v>
      </c>
      <c r="BA33" s="39">
        <f t="shared" si="8"/>
        <v>51320</v>
      </c>
      <c r="BB33" s="210">
        <f t="shared" si="22"/>
        <v>58878</v>
      </c>
      <c r="BC33" s="178">
        <f t="shared" si="37"/>
        <v>1.3568397739541476E-3</v>
      </c>
      <c r="BD33" s="79"/>
    </row>
    <row r="34" spans="1:56" s="2" customFormat="1" ht="13.8" outlineLevel="2" x14ac:dyDescent="0.25">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39"/>
      <c r="AG34" s="39"/>
      <c r="AH34" s="48"/>
      <c r="AI34" s="48"/>
      <c r="AJ34" s="48"/>
      <c r="AK34" s="39"/>
      <c r="AL34" s="39"/>
      <c r="AM34" s="48"/>
      <c r="AN34" s="48"/>
      <c r="AO34" s="48"/>
      <c r="AP34" s="39"/>
      <c r="AQ34" s="39"/>
      <c r="AR34" s="48"/>
      <c r="AS34" s="48"/>
      <c r="AT34" s="48"/>
      <c r="AU34" s="1447"/>
      <c r="AV34" s="1447"/>
      <c r="AW34" s="1451"/>
      <c r="AX34" s="1451"/>
      <c r="AY34" s="1451"/>
      <c r="AZ34" s="39"/>
      <c r="BA34" s="39"/>
      <c r="BB34" s="48"/>
      <c r="BC34" s="48"/>
      <c r="BD34" s="48"/>
    </row>
    <row r="35" spans="1:56" s="88" customFormat="1" ht="13.8" outlineLevel="1" x14ac:dyDescent="0.25">
      <c r="A35" s="238"/>
      <c r="B35" s="89" t="s">
        <v>80</v>
      </c>
      <c r="C35" s="90">
        <f>C36</f>
        <v>483248</v>
      </c>
      <c r="D35" s="90">
        <f>D36</f>
        <v>0</v>
      </c>
      <c r="E35" s="91">
        <f>E36</f>
        <v>483248</v>
      </c>
      <c r="F35" s="165">
        <f>E35/$E$89</f>
        <v>1.1658611359721616E-2</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c r="AF35" s="90">
        <f>AF36</f>
        <v>0</v>
      </c>
      <c r="AG35" s="90">
        <f>AG36</f>
        <v>0</v>
      </c>
      <c r="AH35" s="91">
        <f>AH36</f>
        <v>0</v>
      </c>
      <c r="AI35" s="91"/>
      <c r="AJ35" s="91"/>
      <c r="AK35" s="90">
        <f>AK36</f>
        <v>0</v>
      </c>
      <c r="AL35" s="90">
        <f>AL36</f>
        <v>0</v>
      </c>
      <c r="AM35" s="91">
        <f>AM36</f>
        <v>0</v>
      </c>
      <c r="AN35" s="91"/>
      <c r="AO35" s="91"/>
      <c r="AP35" s="90">
        <f>AP36</f>
        <v>0</v>
      </c>
      <c r="AQ35" s="90">
        <f>AQ36</f>
        <v>0</v>
      </c>
      <c r="AR35" s="91">
        <f>AR36</f>
        <v>0</v>
      </c>
      <c r="AS35" s="91"/>
      <c r="AT35" s="91"/>
      <c r="AU35" s="1898">
        <f>AU36</f>
        <v>0</v>
      </c>
      <c r="AV35" s="1898">
        <f>AV36</f>
        <v>0</v>
      </c>
      <c r="AW35" s="1899">
        <f>AW36</f>
        <v>0</v>
      </c>
      <c r="AX35" s="1899"/>
      <c r="AY35" s="1899"/>
      <c r="AZ35" s="90">
        <f>AZ36</f>
        <v>0</v>
      </c>
      <c r="BA35" s="90">
        <f>BA36</f>
        <v>0</v>
      </c>
      <c r="BB35" s="91">
        <f>BB36</f>
        <v>0</v>
      </c>
      <c r="BC35" s="91"/>
      <c r="BD35" s="91"/>
    </row>
    <row r="36" spans="1:56" s="226" customFormat="1" ht="13.8" outlineLevel="3" x14ac:dyDescent="0.25">
      <c r="A36" s="238"/>
      <c r="B36" s="19" t="s">
        <v>81</v>
      </c>
      <c r="C36" s="43">
        <v>483248</v>
      </c>
      <c r="D36" s="49"/>
      <c r="E36" s="106">
        <f>C36+D36</f>
        <v>483248</v>
      </c>
      <c r="F36" s="178">
        <f>E36/$E$89</f>
        <v>1.1658611359721616E-2</v>
      </c>
      <c r="G36" s="39"/>
      <c r="H36" s="39"/>
      <c r="I36" s="106">
        <f>G36+H36*1</f>
        <v>0</v>
      </c>
      <c r="J36" s="178">
        <f>I36/$I$89</f>
        <v>0</v>
      </c>
      <c r="K36" s="45"/>
      <c r="L36" s="39"/>
      <c r="M36" s="39"/>
      <c r="N36" s="106">
        <f>L36+M36*1</f>
        <v>0</v>
      </c>
      <c r="O36" s="178">
        <f>N36/$N$89</f>
        <v>0</v>
      </c>
      <c r="P36" s="45"/>
      <c r="Q36" s="39"/>
      <c r="R36" s="39"/>
      <c r="S36" s="106">
        <f>Q36+R36*1</f>
        <v>0</v>
      </c>
      <c r="T36" s="178">
        <f>S36/$N$89</f>
        <v>0</v>
      </c>
      <c r="U36" s="45"/>
      <c r="V36" s="39"/>
      <c r="W36" s="39"/>
      <c r="X36" s="106">
        <f>V36+W36*1</f>
        <v>0</v>
      </c>
      <c r="Y36" s="178">
        <f>X36/$N$89</f>
        <v>0</v>
      </c>
      <c r="Z36" s="45"/>
      <c r="AA36" s="39"/>
      <c r="AB36" s="39"/>
      <c r="AC36" s="106">
        <f>AA36+AB36*1</f>
        <v>0</v>
      </c>
      <c r="AD36" s="178">
        <f>AC36/$AC$89</f>
        <v>0</v>
      </c>
      <c r="AE36" s="45"/>
      <c r="AF36" s="39"/>
      <c r="AG36" s="39"/>
      <c r="AH36" s="106">
        <f>AF36+AG36*1</f>
        <v>0</v>
      </c>
      <c r="AI36" s="178">
        <f>AH36/$AC$89</f>
        <v>0</v>
      </c>
      <c r="AJ36" s="45"/>
      <c r="AK36" s="39"/>
      <c r="AL36" s="39"/>
      <c r="AM36" s="106">
        <f>AK36+AL36*1</f>
        <v>0</v>
      </c>
      <c r="AN36" s="178">
        <f>AM36/$AC$89</f>
        <v>0</v>
      </c>
      <c r="AO36" s="45"/>
      <c r="AP36" s="39"/>
      <c r="AQ36" s="39"/>
      <c r="AR36" s="106">
        <f>AP36+AQ36*1</f>
        <v>0</v>
      </c>
      <c r="AS36" s="178">
        <f>AR36/$AC$89</f>
        <v>0</v>
      </c>
      <c r="AT36" s="45"/>
      <c r="AU36" s="1447"/>
      <c r="AV36" s="1447"/>
      <c r="AW36" s="1495">
        <f>AU36+AV36*1</f>
        <v>0</v>
      </c>
      <c r="AX36" s="1893">
        <f>AW36/$AC$89</f>
        <v>0</v>
      </c>
      <c r="AY36" s="1909"/>
      <c r="AZ36" s="39">
        <f>G36+L36+Q36+V36+AA36+AF36+AK36+AP36+AU36</f>
        <v>0</v>
      </c>
      <c r="BA36" s="39">
        <f>H36+M36+R36+W36+AB36+AG36+AL36+AQ36+AV36</f>
        <v>0</v>
      </c>
      <c r="BB36" s="106">
        <f>AZ36+BA36*1</f>
        <v>0</v>
      </c>
      <c r="BC36" s="178">
        <f>BB36/$BB$89</f>
        <v>0</v>
      </c>
      <c r="BD36" s="45"/>
    </row>
    <row r="37" spans="1:56" s="2" customFormat="1" ht="14.4" outlineLevel="1" thickBot="1" x14ac:dyDescent="0.3">
      <c r="A37" s="4"/>
      <c r="B37" s="14"/>
      <c r="C37" s="50"/>
      <c r="D37" s="51"/>
      <c r="E37" s="52"/>
      <c r="F37" s="181"/>
      <c r="G37" s="39"/>
      <c r="H37" s="39"/>
      <c r="I37" s="52"/>
      <c r="J37" s="52"/>
      <c r="K37" s="52"/>
      <c r="L37" s="39"/>
      <c r="M37" s="39"/>
      <c r="N37" s="52"/>
      <c r="O37" s="52"/>
      <c r="P37" s="52"/>
      <c r="Q37" s="39"/>
      <c r="R37" s="39"/>
      <c r="S37" s="52"/>
      <c r="T37" s="52"/>
      <c r="U37" s="52"/>
      <c r="V37" s="39"/>
      <c r="W37" s="39"/>
      <c r="X37" s="52"/>
      <c r="Y37" s="52"/>
      <c r="Z37" s="52"/>
      <c r="AA37" s="39"/>
      <c r="AB37" s="39"/>
      <c r="AC37" s="52"/>
      <c r="AD37" s="52"/>
      <c r="AE37" s="52"/>
      <c r="AF37" s="39"/>
      <c r="AG37" s="39"/>
      <c r="AH37" s="52"/>
      <c r="AI37" s="52"/>
      <c r="AJ37" s="52"/>
      <c r="AK37" s="39"/>
      <c r="AL37" s="39"/>
      <c r="AM37" s="52"/>
      <c r="AN37" s="52"/>
      <c r="AO37" s="52"/>
      <c r="AP37" s="39"/>
      <c r="AQ37" s="39"/>
      <c r="AR37" s="52"/>
      <c r="AS37" s="52"/>
      <c r="AT37" s="52"/>
      <c r="AU37" s="1447"/>
      <c r="AV37" s="1447"/>
      <c r="AW37" s="1454"/>
      <c r="AX37" s="1454"/>
      <c r="AY37" s="1454"/>
      <c r="AZ37" s="39"/>
      <c r="BA37" s="39"/>
      <c r="BB37" s="52"/>
      <c r="BC37" s="52"/>
      <c r="BD37" s="52"/>
    </row>
    <row r="38" spans="1:56" ht="14.4" thickBot="1" x14ac:dyDescent="0.3">
      <c r="A38" s="33"/>
      <c r="B38" s="34" t="s">
        <v>46</v>
      </c>
      <c r="C38" s="53">
        <f>(C5)-(C8)</f>
        <v>24887378.24699375</v>
      </c>
      <c r="D38" s="53">
        <f>(D5)-(D8)</f>
        <v>-11005297.78441545</v>
      </c>
      <c r="E38" s="53">
        <f>(E5)-(E8)</f>
        <v>13882080.462578312</v>
      </c>
      <c r="F38" s="166"/>
      <c r="G38" s="53">
        <f>(G5)-(G8)</f>
        <v>21359028.648699999</v>
      </c>
      <c r="H38" s="53">
        <f>(H5)-(H8)</f>
        <v>-9530330.9900000021</v>
      </c>
      <c r="I38" s="53">
        <f>(I5)-(I8)</f>
        <v>11828697.658700004</v>
      </c>
      <c r="J38" s="53"/>
      <c r="K38" s="53"/>
      <c r="L38" s="53">
        <f>(L5)-(L8)</f>
        <v>-36551.862000000001</v>
      </c>
      <c r="M38" s="53">
        <f>(M5)-(M8)</f>
        <v>-72515</v>
      </c>
      <c r="N38" s="53">
        <f>(N5)-(N8)</f>
        <v>-109066.86199999996</v>
      </c>
      <c r="O38" s="53"/>
      <c r="P38" s="53"/>
      <c r="Q38" s="53">
        <f>(Q5)-(Q8)</f>
        <v>186986.74799999999</v>
      </c>
      <c r="R38" s="53">
        <f>(R5)-(R8)</f>
        <v>-104858.5</v>
      </c>
      <c r="S38" s="53">
        <f>(S5)-(S8)</f>
        <v>82128.247999999992</v>
      </c>
      <c r="T38" s="53"/>
      <c r="U38" s="53"/>
      <c r="V38" s="53">
        <f>(V5)-(V8)</f>
        <v>51365.893199999999</v>
      </c>
      <c r="W38" s="53">
        <f>(W5)-(W8)</f>
        <v>-23039.239999999998</v>
      </c>
      <c r="X38" s="53">
        <f>(X5)-(X8)</f>
        <v>28326.653200000001</v>
      </c>
      <c r="Y38" s="53"/>
      <c r="Z38" s="53"/>
      <c r="AA38" s="53">
        <f>(AA5)-(AA8)</f>
        <v>-4032.9959999999996</v>
      </c>
      <c r="AB38" s="53">
        <f>(AB5)-(AB8)</f>
        <v>0</v>
      </c>
      <c r="AC38" s="53">
        <f>(AC5)-(AC8)</f>
        <v>-4032.9959999999996</v>
      </c>
      <c r="AD38" s="53"/>
      <c r="AE38" s="53"/>
      <c r="AF38" s="53">
        <f>(AF5)-(AF8)</f>
        <v>0</v>
      </c>
      <c r="AG38" s="53">
        <f>(AG5)-(AG8)</f>
        <v>-2861</v>
      </c>
      <c r="AH38" s="53">
        <f>(AH5)-(AH8)</f>
        <v>-2861</v>
      </c>
      <c r="AI38" s="53"/>
      <c r="AJ38" s="53"/>
      <c r="AK38" s="53">
        <f>(AK5)-(AK8)</f>
        <v>111982.78</v>
      </c>
      <c r="AL38" s="53">
        <f>(AL5)-(AL8)</f>
        <v>0</v>
      </c>
      <c r="AM38" s="53">
        <f>(AM5)-(AM8)</f>
        <v>111982.78</v>
      </c>
      <c r="AN38" s="53"/>
      <c r="AO38" s="53"/>
      <c r="AP38" s="53">
        <f>(AP5)-(AP8)</f>
        <v>0</v>
      </c>
      <c r="AQ38" s="53">
        <f>(AQ5)-(AQ8)</f>
        <v>0</v>
      </c>
      <c r="AR38" s="53">
        <f>(AR5)-(AR8)</f>
        <v>0</v>
      </c>
      <c r="AS38" s="53"/>
      <c r="AT38" s="53"/>
      <c r="AU38" s="1455">
        <f>(AU5)-(AU8)</f>
        <v>-1416</v>
      </c>
      <c r="AV38" s="1455">
        <f>(AV5)-(AV8)</f>
        <v>0</v>
      </c>
      <c r="AW38" s="1455">
        <f>(AW5)-(AW8)</f>
        <v>-1416</v>
      </c>
      <c r="AX38" s="1455"/>
      <c r="AY38" s="1455"/>
      <c r="AZ38" s="53">
        <f>(AZ5)-(AZ8)</f>
        <v>21825887.441899996</v>
      </c>
      <c r="BA38" s="53">
        <f>(BA5)-(BA8)</f>
        <v>-9722604.7300000004</v>
      </c>
      <c r="BB38" s="53">
        <f>(BB5)-(BB8)</f>
        <v>12103282.711900003</v>
      </c>
      <c r="BC38" s="53"/>
      <c r="BD38" s="53"/>
    </row>
    <row r="39" spans="1:56" ht="13.8" x14ac:dyDescent="0.25">
      <c r="A39" s="293"/>
      <c r="B39" s="15" t="s">
        <v>47</v>
      </c>
      <c r="C39" s="157">
        <f>C38/(C5)</f>
        <v>0.47153193770587565</v>
      </c>
      <c r="D39" s="157" t="e">
        <f>D38/(D5)</f>
        <v>#DIV/0!</v>
      </c>
      <c r="E39" s="158">
        <f>E38/(E5)</f>
        <v>0.26301863679430071</v>
      </c>
      <c r="F39" s="167"/>
      <c r="G39" s="54">
        <f>G38/(G5)</f>
        <v>0.40878932777079879</v>
      </c>
      <c r="H39" s="54" t="e">
        <f>H38/(H5)</f>
        <v>#DIV/0!</v>
      </c>
      <c r="I39" s="55">
        <f>I38/(I5)</f>
        <v>0.22638882337930202</v>
      </c>
      <c r="J39" s="55"/>
      <c r="K39" s="55"/>
      <c r="L39" s="54">
        <f>L38/(L5)</f>
        <v>-0.70290555392097476</v>
      </c>
      <c r="M39" s="54" t="e">
        <f>M38/(M5)</f>
        <v>#DIV/0!</v>
      </c>
      <c r="N39" s="55">
        <f>N38/(N5)</f>
        <v>-2.0973952858689522</v>
      </c>
      <c r="O39" s="55"/>
      <c r="P39" s="55"/>
      <c r="Q39" s="54">
        <f>Q38/(Q5)</f>
        <v>0.60644837172639809</v>
      </c>
      <c r="R39" s="54" t="e">
        <f>R38/(R5)</f>
        <v>#DIV/0!</v>
      </c>
      <c r="S39" s="55">
        <f>S38/(S5)</f>
        <v>0.2663640220768041</v>
      </c>
      <c r="T39" s="55"/>
      <c r="U39" s="55"/>
      <c r="V39" s="54">
        <f>V38/(V5)</f>
        <v>0.53484221361787787</v>
      </c>
      <c r="W39" s="54" t="e">
        <f>W38/(W5)</f>
        <v>#DIV/0!</v>
      </c>
      <c r="X39" s="55">
        <f>X38/(X5)</f>
        <v>0.29494843675518806</v>
      </c>
      <c r="Y39" s="55"/>
      <c r="Z39" s="55"/>
      <c r="AA39" s="54" t="e">
        <f>AA38/(AA5)</f>
        <v>#DIV/0!</v>
      </c>
      <c r="AB39" s="54" t="e">
        <f>AB38/(AB5)</f>
        <v>#DIV/0!</v>
      </c>
      <c r="AC39" s="55" t="e">
        <f>AC38/(AC5)</f>
        <v>#DIV/0!</v>
      </c>
      <c r="AD39" s="55"/>
      <c r="AE39" s="55"/>
      <c r="AF39" s="54" t="e">
        <f>AF38/(AF5)</f>
        <v>#DIV/0!</v>
      </c>
      <c r="AG39" s="54" t="e">
        <f>AG38/(AG5)</f>
        <v>#DIV/0!</v>
      </c>
      <c r="AH39" s="55" t="e">
        <f>AH38/(AH5)</f>
        <v>#DIV/0!</v>
      </c>
      <c r="AI39" s="55"/>
      <c r="AJ39" s="55"/>
      <c r="AK39" s="54">
        <f>AK38/(AK5)</f>
        <v>1</v>
      </c>
      <c r="AL39" s="54" t="e">
        <f>AL38/(AL5)</f>
        <v>#DIV/0!</v>
      </c>
      <c r="AM39" s="55">
        <f>AM38/(AM5)</f>
        <v>1</v>
      </c>
      <c r="AN39" s="55"/>
      <c r="AO39" s="55"/>
      <c r="AP39" s="54" t="e">
        <f>AP38/(AP5)</f>
        <v>#DIV/0!</v>
      </c>
      <c r="AQ39" s="54" t="e">
        <f>AQ38/(AQ5)</f>
        <v>#DIV/0!</v>
      </c>
      <c r="AR39" s="55" t="e">
        <f>AR38/(AR5)</f>
        <v>#DIV/0!</v>
      </c>
      <c r="AS39" s="55"/>
      <c r="AT39" s="55"/>
      <c r="AU39" s="1456" t="e">
        <f>AU38/(AU5)</f>
        <v>#DIV/0!</v>
      </c>
      <c r="AV39" s="1456" t="e">
        <f>AV38/(AV5)</f>
        <v>#DIV/0!</v>
      </c>
      <c r="AW39" s="1457" t="e">
        <f>AW38/(AW5)</f>
        <v>#DIV/0!</v>
      </c>
      <c r="AX39" s="1457"/>
      <c r="AY39" s="1457"/>
      <c r="AZ39" s="54">
        <f>AZ38/(AZ5)</f>
        <v>0.41199299657636612</v>
      </c>
      <c r="BA39" s="54">
        <f>BA38/(BA5)</f>
        <v>-883.87315727272733</v>
      </c>
      <c r="BB39" s="55">
        <f>BB38/(BB5)</f>
        <v>0.22841831984742791</v>
      </c>
      <c r="BC39" s="55"/>
      <c r="BD39" s="55"/>
    </row>
    <row r="40" spans="1:56" ht="14.4" outlineLevel="1" thickBot="1" x14ac:dyDescent="0.3">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1459"/>
      <c r="AV40" s="1459"/>
      <c r="AW40" s="1459"/>
      <c r="AX40" s="1459"/>
      <c r="AY40" s="1459"/>
      <c r="AZ40" s="58"/>
      <c r="BA40" s="58"/>
      <c r="BB40" s="58"/>
      <c r="BC40" s="58"/>
      <c r="BD40" s="58"/>
    </row>
    <row r="41" spans="1:56" ht="13.8" outlineLevel="1" x14ac:dyDescent="0.25">
      <c r="A41" s="11"/>
      <c r="B41" s="22" t="s">
        <v>26</v>
      </c>
      <c r="C41" s="117">
        <f>SUM(C42:C48)</f>
        <v>40000</v>
      </c>
      <c r="D41" s="117">
        <f>SUM(D42:D48)</f>
        <v>11200</v>
      </c>
      <c r="E41" s="118">
        <f>SUM(E42:E48)</f>
        <v>51200</v>
      </c>
      <c r="F41" s="169">
        <f t="shared" ref="F41:F48" si="38">E41/$E$89</f>
        <v>1.2352268433966551E-3</v>
      </c>
      <c r="G41" s="117">
        <f>SUM(G42:G48)</f>
        <v>56394.13</v>
      </c>
      <c r="H41" s="117">
        <f>SUM(H42:H48)</f>
        <v>12831.95</v>
      </c>
      <c r="I41" s="118">
        <f>SUM(I42:I48)</f>
        <v>69226.080000000002</v>
      </c>
      <c r="J41" s="169">
        <f t="shared" ref="J41:J49" si="39">I41/$I$89</f>
        <v>1.6155779835921268E-3</v>
      </c>
      <c r="K41" s="60"/>
      <c r="L41" s="117">
        <f>SUM(L42:L48)</f>
        <v>66.5</v>
      </c>
      <c r="M41" s="117">
        <f>SUM(M42:M48)</f>
        <v>0</v>
      </c>
      <c r="N41" s="118">
        <f>SUM(N42:N48)</f>
        <v>66.5</v>
      </c>
      <c r="O41" s="169">
        <f t="shared" ref="O41:O49" si="40">N41/$N$89</f>
        <v>3.1019582897038787E-4</v>
      </c>
      <c r="P41" s="60"/>
      <c r="Q41" s="117">
        <f>SUM(Q42:Q48)</f>
        <v>383</v>
      </c>
      <c r="R41" s="117">
        <f>SUM(R42:R48)</f>
        <v>0</v>
      </c>
      <c r="S41" s="118">
        <f>SUM(S42:S48)</f>
        <v>383</v>
      </c>
      <c r="T41" s="169">
        <f t="shared" ref="T41:T49" si="41">S41/$N$89</f>
        <v>1.7865413909121588E-3</v>
      </c>
      <c r="U41" s="60"/>
      <c r="V41" s="117">
        <f>SUM(V42:V48)</f>
        <v>0</v>
      </c>
      <c r="W41" s="117">
        <f>SUM(W42:W48)</f>
        <v>0</v>
      </c>
      <c r="X41" s="118">
        <f>SUM(X42:X48)</f>
        <v>0</v>
      </c>
      <c r="Y41" s="169">
        <f>X41/$X$89</f>
        <v>0</v>
      </c>
      <c r="Z41" s="60"/>
      <c r="AA41" s="117">
        <f>SUM(AA42:AA48)</f>
        <v>0</v>
      </c>
      <c r="AB41" s="117">
        <f>SUM(AB42:AB48)</f>
        <v>0</v>
      </c>
      <c r="AC41" s="118">
        <f>SUM(AC42:AC48)</f>
        <v>0</v>
      </c>
      <c r="AD41" s="169">
        <f t="shared" ref="AD41:AD48" si="42">AC41/$AC$89</f>
        <v>0</v>
      </c>
      <c r="AE41" s="60"/>
      <c r="AF41" s="117">
        <f>SUM(AF42:AF48)</f>
        <v>0</v>
      </c>
      <c r="AG41" s="117">
        <f>SUM(AG42:AG48)</f>
        <v>0</v>
      </c>
      <c r="AH41" s="118">
        <f>SUM(AH42:AH48)</f>
        <v>0</v>
      </c>
      <c r="AI41" s="169">
        <f t="shared" ref="AI41:AI48" si="43">AH41/$AC$89</f>
        <v>0</v>
      </c>
      <c r="AJ41" s="60"/>
      <c r="AK41" s="117">
        <f>SUM(AK42:AK48)</f>
        <v>0</v>
      </c>
      <c r="AL41" s="117">
        <f>SUM(AL42:AL48)</f>
        <v>0</v>
      </c>
      <c r="AM41" s="118">
        <f>SUM(AM42:AM48)</f>
        <v>0</v>
      </c>
      <c r="AN41" s="169" t="e">
        <f t="shared" ref="AN41:AN48" si="44">AM41/$AM$89</f>
        <v>#DIV/0!</v>
      </c>
      <c r="AO41" s="60"/>
      <c r="AP41" s="117">
        <f>SUM(AP42:AP48)</f>
        <v>0</v>
      </c>
      <c r="AQ41" s="117">
        <f>SUM(AQ42:AQ48)</f>
        <v>0</v>
      </c>
      <c r="AR41" s="118">
        <f>SUM(AR42:AR48)</f>
        <v>0</v>
      </c>
      <c r="AS41" s="169" t="e">
        <f t="shared" ref="AS41:AS48" si="45">AR41/$AM$89</f>
        <v>#DIV/0!</v>
      </c>
      <c r="AT41" s="60"/>
      <c r="AU41" s="1506">
        <f>SUM(AU42:AU48)</f>
        <v>0</v>
      </c>
      <c r="AV41" s="1506">
        <f>SUM(AV42:AV48)</f>
        <v>0</v>
      </c>
      <c r="AW41" s="1507">
        <f>SUM(AW42:AW48)</f>
        <v>0</v>
      </c>
      <c r="AX41" s="1904" t="e">
        <f t="shared" ref="AX41:AX48" si="46">AW41/$AM$89</f>
        <v>#DIV/0!</v>
      </c>
      <c r="AY41" s="1461"/>
      <c r="AZ41" s="117">
        <f>SUM(AZ42:AZ48)</f>
        <v>56843.63</v>
      </c>
      <c r="BA41" s="117">
        <f>SUM(BA42:BA48)</f>
        <v>12831.95</v>
      </c>
      <c r="BB41" s="118">
        <f>SUM(BB42:BB48)</f>
        <v>69675.58</v>
      </c>
      <c r="BC41" s="169">
        <f t="shared" ref="BC41:BC49" si="47">BB41/$BB$89</f>
        <v>1.605669319904279E-3</v>
      </c>
      <c r="BD41" s="60"/>
    </row>
    <row r="42" spans="1:56" ht="43.2" customHeight="1" outlineLevel="2" x14ac:dyDescent="0.25">
      <c r="A42" s="4015"/>
      <c r="B42" s="18" t="s">
        <v>7</v>
      </c>
      <c r="C42" s="113"/>
      <c r="D42" s="119"/>
      <c r="E42" s="120">
        <f t="shared" ref="E42:E49" si="48">C42+D42</f>
        <v>0</v>
      </c>
      <c r="F42" s="178">
        <f t="shared" si="38"/>
        <v>0</v>
      </c>
      <c r="G42" s="39"/>
      <c r="H42" s="39"/>
      <c r="I42" s="106">
        <f t="shared" ref="I42:I48" si="49">G42+H42*1</f>
        <v>0</v>
      </c>
      <c r="J42" s="178">
        <f t="shared" si="39"/>
        <v>0</v>
      </c>
      <c r="K42" s="79"/>
      <c r="L42" s="39"/>
      <c r="M42" s="39"/>
      <c r="N42" s="106">
        <f t="shared" ref="N42:N48" si="50">L42+M42*1</f>
        <v>0</v>
      </c>
      <c r="O42" s="178">
        <f t="shared" si="40"/>
        <v>0</v>
      </c>
      <c r="P42" s="79"/>
      <c r="Q42" s="39"/>
      <c r="R42" s="39"/>
      <c r="S42" s="106">
        <f t="shared" ref="S42:S48" si="51">Q42+R42*1</f>
        <v>0</v>
      </c>
      <c r="T42" s="178">
        <f t="shared" si="41"/>
        <v>0</v>
      </c>
      <c r="U42" s="79"/>
      <c r="V42" s="39"/>
      <c r="W42" s="39"/>
      <c r="X42" s="106">
        <f t="shared" ref="X42:X48" si="52">V42+W42*1</f>
        <v>0</v>
      </c>
      <c r="Y42" s="178">
        <f t="shared" ref="Y42:Y49" si="53">X42/$X$89</f>
        <v>0</v>
      </c>
      <c r="Z42" s="79"/>
      <c r="AA42" s="39"/>
      <c r="AB42" s="39"/>
      <c r="AC42" s="106">
        <f t="shared" ref="AC42:AC48" si="54">AA42+AB42*1</f>
        <v>0</v>
      </c>
      <c r="AD42" s="178">
        <f t="shared" si="42"/>
        <v>0</v>
      </c>
      <c r="AE42" s="79"/>
      <c r="AF42" s="39"/>
      <c r="AG42" s="39"/>
      <c r="AH42" s="106">
        <f t="shared" ref="AH42:AH48" si="55">AF42+AG42*1</f>
        <v>0</v>
      </c>
      <c r="AI42" s="178">
        <f t="shared" si="43"/>
        <v>0</v>
      </c>
      <c r="AJ42" s="79"/>
      <c r="AK42" s="39"/>
      <c r="AL42" s="39"/>
      <c r="AM42" s="106">
        <f t="shared" ref="AM42:AM48" si="56">AK42+AL42*1</f>
        <v>0</v>
      </c>
      <c r="AN42" s="178" t="e">
        <f t="shared" si="44"/>
        <v>#DIV/0!</v>
      </c>
      <c r="AO42" s="79"/>
      <c r="AP42" s="39"/>
      <c r="AQ42" s="39"/>
      <c r="AR42" s="106">
        <f t="shared" ref="AR42:AR48" si="57">AP42+AQ42*1</f>
        <v>0</v>
      </c>
      <c r="AS42" s="178" t="e">
        <f t="shared" si="45"/>
        <v>#DIV/0!</v>
      </c>
      <c r="AT42" s="79"/>
      <c r="AU42" s="1447"/>
      <c r="AV42" s="1447"/>
      <c r="AW42" s="1495">
        <f t="shared" ref="AW42:AW48" si="58">AU42+AV42*1</f>
        <v>0</v>
      </c>
      <c r="AX42" s="1893" t="e">
        <f t="shared" si="46"/>
        <v>#DIV/0!</v>
      </c>
      <c r="AY42" s="1943"/>
      <c r="AZ42" s="39">
        <f t="shared" ref="AZ42:AZ48" si="59">G42+L42+Q42+V42+AA42+AF42+AK42+AP42+AU42</f>
        <v>0</v>
      </c>
      <c r="BA42" s="39">
        <f t="shared" ref="BA42:BA48" si="60">H42+M42+R42+W42+AB42+AG42+AL42+AQ42+AV42</f>
        <v>0</v>
      </c>
      <c r="BB42" s="106">
        <f t="shared" ref="BB42:BB48" si="61">AZ42+BA42*1</f>
        <v>0</v>
      </c>
      <c r="BC42" s="178">
        <f t="shared" si="47"/>
        <v>0</v>
      </c>
      <c r="BD42" s="79"/>
    </row>
    <row r="43" spans="1:56" ht="13.8" outlineLevel="2" x14ac:dyDescent="0.25">
      <c r="A43" s="4015"/>
      <c r="B43" s="18" t="s">
        <v>27</v>
      </c>
      <c r="C43" s="113"/>
      <c r="D43" s="119">
        <v>9600</v>
      </c>
      <c r="E43" s="120">
        <f t="shared" si="48"/>
        <v>9600</v>
      </c>
      <c r="F43" s="178">
        <f t="shared" si="38"/>
        <v>2.3160503313687282E-4</v>
      </c>
      <c r="G43" s="39">
        <v>2450.1999999999998</v>
      </c>
      <c r="H43" s="39">
        <v>8178.95</v>
      </c>
      <c r="I43" s="106">
        <f t="shared" si="49"/>
        <v>10629.15</v>
      </c>
      <c r="J43" s="178">
        <f t="shared" si="39"/>
        <v>2.4805999016986452E-4</v>
      </c>
      <c r="K43" s="79"/>
      <c r="L43" s="39"/>
      <c r="M43" s="39"/>
      <c r="N43" s="106">
        <f t="shared" si="50"/>
        <v>0</v>
      </c>
      <c r="O43" s="178">
        <f t="shared" si="40"/>
        <v>0</v>
      </c>
      <c r="P43" s="79"/>
      <c r="Q43" s="39"/>
      <c r="R43" s="39"/>
      <c r="S43" s="106">
        <f t="shared" si="51"/>
        <v>0</v>
      </c>
      <c r="T43" s="178">
        <f t="shared" si="41"/>
        <v>0</v>
      </c>
      <c r="U43" s="79"/>
      <c r="V43" s="39"/>
      <c r="W43" s="39"/>
      <c r="X43" s="106">
        <f t="shared" si="52"/>
        <v>0</v>
      </c>
      <c r="Y43" s="178">
        <f t="shared" si="53"/>
        <v>0</v>
      </c>
      <c r="Z43" s="79"/>
      <c r="AA43" s="39"/>
      <c r="AB43" s="39"/>
      <c r="AC43" s="106">
        <f t="shared" si="54"/>
        <v>0</v>
      </c>
      <c r="AD43" s="178">
        <f t="shared" si="42"/>
        <v>0</v>
      </c>
      <c r="AE43" s="79"/>
      <c r="AF43" s="39"/>
      <c r="AG43" s="39"/>
      <c r="AH43" s="106">
        <f t="shared" si="55"/>
        <v>0</v>
      </c>
      <c r="AI43" s="178">
        <f t="shared" si="43"/>
        <v>0</v>
      </c>
      <c r="AJ43" s="79"/>
      <c r="AK43" s="39"/>
      <c r="AL43" s="39"/>
      <c r="AM43" s="106">
        <f t="shared" si="56"/>
        <v>0</v>
      </c>
      <c r="AN43" s="178" t="e">
        <f t="shared" si="44"/>
        <v>#DIV/0!</v>
      </c>
      <c r="AO43" s="79"/>
      <c r="AP43" s="39"/>
      <c r="AQ43" s="39"/>
      <c r="AR43" s="106">
        <f t="shared" si="57"/>
        <v>0</v>
      </c>
      <c r="AS43" s="178" t="e">
        <f t="shared" si="45"/>
        <v>#DIV/0!</v>
      </c>
      <c r="AT43" s="79"/>
      <c r="AU43" s="1447"/>
      <c r="AV43" s="1447"/>
      <c r="AW43" s="1495">
        <f t="shared" si="58"/>
        <v>0</v>
      </c>
      <c r="AX43" s="1893" t="e">
        <f t="shared" si="46"/>
        <v>#DIV/0!</v>
      </c>
      <c r="AY43" s="1943"/>
      <c r="AZ43" s="39">
        <f t="shared" si="59"/>
        <v>2450.1999999999998</v>
      </c>
      <c r="BA43" s="39">
        <f t="shared" si="60"/>
        <v>8178.95</v>
      </c>
      <c r="BB43" s="106">
        <f t="shared" si="61"/>
        <v>10629.15</v>
      </c>
      <c r="BC43" s="178">
        <f t="shared" si="47"/>
        <v>2.4494808728769198E-4</v>
      </c>
      <c r="BD43" s="79"/>
    </row>
    <row r="44" spans="1:56" ht="67.2" customHeight="1" outlineLevel="2" x14ac:dyDescent="0.25">
      <c r="A44" s="4015"/>
      <c r="B44" s="19" t="s">
        <v>28</v>
      </c>
      <c r="C44" s="113">
        <v>4000</v>
      </c>
      <c r="D44" s="119"/>
      <c r="E44" s="120">
        <f t="shared" si="48"/>
        <v>4000</v>
      </c>
      <c r="F44" s="178">
        <f t="shared" si="38"/>
        <v>9.6502097140363684E-5</v>
      </c>
      <c r="G44" s="39">
        <v>1720</v>
      </c>
      <c r="H44" s="39">
        <v>350</v>
      </c>
      <c r="I44" s="106">
        <f t="shared" si="49"/>
        <v>2070</v>
      </c>
      <c r="J44" s="178">
        <f t="shared" si="39"/>
        <v>4.830905384265153E-5</v>
      </c>
      <c r="K44" s="79"/>
      <c r="L44" s="39"/>
      <c r="M44" s="39"/>
      <c r="N44" s="106">
        <f t="shared" si="50"/>
        <v>0</v>
      </c>
      <c r="O44" s="178">
        <f t="shared" si="40"/>
        <v>0</v>
      </c>
      <c r="P44" s="79"/>
      <c r="Q44" s="39"/>
      <c r="R44" s="39"/>
      <c r="S44" s="106">
        <f t="shared" si="51"/>
        <v>0</v>
      </c>
      <c r="T44" s="178">
        <f t="shared" si="41"/>
        <v>0</v>
      </c>
      <c r="U44" s="259"/>
      <c r="V44" s="39"/>
      <c r="W44" s="39"/>
      <c r="X44" s="106">
        <f t="shared" si="52"/>
        <v>0</v>
      </c>
      <c r="Y44" s="178">
        <f t="shared" si="53"/>
        <v>0</v>
      </c>
      <c r="Z44" s="259"/>
      <c r="AA44" s="39"/>
      <c r="AB44" s="39"/>
      <c r="AC44" s="106">
        <f t="shared" si="54"/>
        <v>0</v>
      </c>
      <c r="AD44" s="178">
        <f t="shared" si="42"/>
        <v>0</v>
      </c>
      <c r="AE44" s="259"/>
      <c r="AF44" s="39"/>
      <c r="AG44" s="39"/>
      <c r="AH44" s="106">
        <f t="shared" si="55"/>
        <v>0</v>
      </c>
      <c r="AI44" s="178">
        <f t="shared" si="43"/>
        <v>0</v>
      </c>
      <c r="AJ44" s="259"/>
      <c r="AK44" s="39"/>
      <c r="AL44" s="39"/>
      <c r="AM44" s="106">
        <f t="shared" si="56"/>
        <v>0</v>
      </c>
      <c r="AN44" s="178" t="e">
        <f t="shared" si="44"/>
        <v>#DIV/0!</v>
      </c>
      <c r="AO44" s="259"/>
      <c r="AP44" s="39"/>
      <c r="AQ44" s="39"/>
      <c r="AR44" s="106">
        <f t="shared" si="57"/>
        <v>0</v>
      </c>
      <c r="AS44" s="178" t="e">
        <f t="shared" si="45"/>
        <v>#DIV/0!</v>
      </c>
      <c r="AT44" s="259"/>
      <c r="AU44" s="1447"/>
      <c r="AV44" s="1447"/>
      <c r="AW44" s="1495">
        <f t="shared" si="58"/>
        <v>0</v>
      </c>
      <c r="AX44" s="1893" t="e">
        <f t="shared" si="46"/>
        <v>#DIV/0!</v>
      </c>
      <c r="AY44" s="1896"/>
      <c r="AZ44" s="39">
        <f t="shared" si="59"/>
        <v>1720</v>
      </c>
      <c r="BA44" s="39">
        <f t="shared" si="60"/>
        <v>350</v>
      </c>
      <c r="BB44" s="106">
        <f t="shared" si="61"/>
        <v>2070</v>
      </c>
      <c r="BC44" s="178">
        <f t="shared" si="47"/>
        <v>4.7703018650176395E-5</v>
      </c>
      <c r="BD44" s="79"/>
    </row>
    <row r="45" spans="1:56" ht="13.8" outlineLevel="2" x14ac:dyDescent="0.25">
      <c r="A45" s="4015"/>
      <c r="B45" s="18" t="s">
        <v>8</v>
      </c>
      <c r="C45" s="113">
        <v>32000</v>
      </c>
      <c r="D45" s="119"/>
      <c r="E45" s="120">
        <f t="shared" si="48"/>
        <v>32000</v>
      </c>
      <c r="F45" s="178">
        <f t="shared" si="38"/>
        <v>7.7201677712290947E-4</v>
      </c>
      <c r="G45" s="39">
        <v>26009</v>
      </c>
      <c r="H45" s="39">
        <v>0</v>
      </c>
      <c r="I45" s="106">
        <f t="shared" si="49"/>
        <v>26009</v>
      </c>
      <c r="J45" s="178">
        <f t="shared" si="39"/>
        <v>6.0699042579397274E-4</v>
      </c>
      <c r="K45" s="79"/>
      <c r="L45" s="39"/>
      <c r="M45" s="39"/>
      <c r="N45" s="106">
        <f t="shared" si="50"/>
        <v>0</v>
      </c>
      <c r="O45" s="178">
        <f t="shared" si="40"/>
        <v>0</v>
      </c>
      <c r="P45" s="79"/>
      <c r="Q45" s="39"/>
      <c r="R45" s="39"/>
      <c r="S45" s="106">
        <f t="shared" si="51"/>
        <v>0</v>
      </c>
      <c r="T45" s="178">
        <f t="shared" si="41"/>
        <v>0</v>
      </c>
      <c r="U45" s="259"/>
      <c r="V45" s="39"/>
      <c r="W45" s="39"/>
      <c r="X45" s="106">
        <f t="shared" si="52"/>
        <v>0</v>
      </c>
      <c r="Y45" s="178">
        <f t="shared" si="53"/>
        <v>0</v>
      </c>
      <c r="Z45" s="259"/>
      <c r="AA45" s="39"/>
      <c r="AB45" s="39"/>
      <c r="AC45" s="106">
        <f t="shared" si="54"/>
        <v>0</v>
      </c>
      <c r="AD45" s="178">
        <f t="shared" si="42"/>
        <v>0</v>
      </c>
      <c r="AE45" s="259"/>
      <c r="AF45" s="39"/>
      <c r="AG45" s="39"/>
      <c r="AH45" s="106">
        <f t="shared" si="55"/>
        <v>0</v>
      </c>
      <c r="AI45" s="178">
        <f t="shared" si="43"/>
        <v>0</v>
      </c>
      <c r="AJ45" s="259"/>
      <c r="AK45" s="39"/>
      <c r="AL45" s="39"/>
      <c r="AM45" s="106">
        <f t="shared" si="56"/>
        <v>0</v>
      </c>
      <c r="AN45" s="178" t="e">
        <f t="shared" si="44"/>
        <v>#DIV/0!</v>
      </c>
      <c r="AO45" s="259"/>
      <c r="AP45" s="39"/>
      <c r="AQ45" s="39"/>
      <c r="AR45" s="106">
        <f t="shared" si="57"/>
        <v>0</v>
      </c>
      <c r="AS45" s="178" t="e">
        <f t="shared" si="45"/>
        <v>#DIV/0!</v>
      </c>
      <c r="AT45" s="259"/>
      <c r="AU45" s="1447"/>
      <c r="AV45" s="1447"/>
      <c r="AW45" s="1495">
        <f t="shared" si="58"/>
        <v>0</v>
      </c>
      <c r="AX45" s="1893" t="e">
        <f t="shared" si="46"/>
        <v>#DIV/0!</v>
      </c>
      <c r="AY45" s="1896"/>
      <c r="AZ45" s="39">
        <f t="shared" si="59"/>
        <v>26009</v>
      </c>
      <c r="BA45" s="39">
        <f t="shared" si="60"/>
        <v>0</v>
      </c>
      <c r="BB45" s="106">
        <f t="shared" si="61"/>
        <v>26009</v>
      </c>
      <c r="BC45" s="178">
        <f t="shared" si="47"/>
        <v>5.9937575462436611E-4</v>
      </c>
      <c r="BD45" s="79"/>
    </row>
    <row r="46" spans="1:56" ht="13.8" outlineLevel="2" x14ac:dyDescent="0.25">
      <c r="A46" s="4015"/>
      <c r="B46" s="18" t="s">
        <v>29</v>
      </c>
      <c r="C46" s="113"/>
      <c r="D46" s="119"/>
      <c r="E46" s="120">
        <f t="shared" si="48"/>
        <v>0</v>
      </c>
      <c r="F46" s="178">
        <f t="shared" si="38"/>
        <v>0</v>
      </c>
      <c r="G46" s="39">
        <v>0</v>
      </c>
      <c r="H46" s="39">
        <v>0</v>
      </c>
      <c r="I46" s="106">
        <f t="shared" si="49"/>
        <v>0</v>
      </c>
      <c r="J46" s="178">
        <f t="shared" si="39"/>
        <v>0</v>
      </c>
      <c r="K46" s="79"/>
      <c r="L46" s="39"/>
      <c r="M46" s="39"/>
      <c r="N46" s="106">
        <f t="shared" si="50"/>
        <v>0</v>
      </c>
      <c r="O46" s="178">
        <f t="shared" si="40"/>
        <v>0</v>
      </c>
      <c r="P46" s="79"/>
      <c r="Q46" s="39"/>
      <c r="R46" s="39"/>
      <c r="S46" s="106">
        <f t="shared" si="51"/>
        <v>0</v>
      </c>
      <c r="T46" s="178">
        <f t="shared" si="41"/>
        <v>0</v>
      </c>
      <c r="U46" s="259"/>
      <c r="V46" s="39"/>
      <c r="W46" s="39"/>
      <c r="X46" s="106">
        <f t="shared" si="52"/>
        <v>0</v>
      </c>
      <c r="Y46" s="178">
        <f t="shared" si="53"/>
        <v>0</v>
      </c>
      <c r="Z46" s="259"/>
      <c r="AA46" s="39"/>
      <c r="AB46" s="39"/>
      <c r="AC46" s="106">
        <f t="shared" si="54"/>
        <v>0</v>
      </c>
      <c r="AD46" s="178">
        <f t="shared" si="42"/>
        <v>0</v>
      </c>
      <c r="AE46" s="259"/>
      <c r="AF46" s="39"/>
      <c r="AG46" s="39"/>
      <c r="AH46" s="106">
        <f t="shared" si="55"/>
        <v>0</v>
      </c>
      <c r="AI46" s="178">
        <f t="shared" si="43"/>
        <v>0</v>
      </c>
      <c r="AJ46" s="259"/>
      <c r="AK46" s="39"/>
      <c r="AL46" s="39"/>
      <c r="AM46" s="106">
        <f t="shared" si="56"/>
        <v>0</v>
      </c>
      <c r="AN46" s="178" t="e">
        <f t="shared" si="44"/>
        <v>#DIV/0!</v>
      </c>
      <c r="AO46" s="259"/>
      <c r="AP46" s="39"/>
      <c r="AQ46" s="39"/>
      <c r="AR46" s="106">
        <f t="shared" si="57"/>
        <v>0</v>
      </c>
      <c r="AS46" s="178" t="e">
        <f t="shared" si="45"/>
        <v>#DIV/0!</v>
      </c>
      <c r="AT46" s="259"/>
      <c r="AU46" s="1447"/>
      <c r="AV46" s="1447"/>
      <c r="AW46" s="1495">
        <f t="shared" si="58"/>
        <v>0</v>
      </c>
      <c r="AX46" s="1893" t="e">
        <f t="shared" si="46"/>
        <v>#DIV/0!</v>
      </c>
      <c r="AY46" s="1896"/>
      <c r="AZ46" s="39">
        <f t="shared" si="59"/>
        <v>0</v>
      </c>
      <c r="BA46" s="39">
        <f t="shared" si="60"/>
        <v>0</v>
      </c>
      <c r="BB46" s="106">
        <f t="shared" si="61"/>
        <v>0</v>
      </c>
      <c r="BC46" s="178">
        <f t="shared" si="47"/>
        <v>0</v>
      </c>
      <c r="BD46" s="79"/>
    </row>
    <row r="47" spans="1:56" ht="13.8" outlineLevel="2" x14ac:dyDescent="0.25">
      <c r="A47" s="4015"/>
      <c r="B47" s="18" t="s">
        <v>30</v>
      </c>
      <c r="C47" s="113"/>
      <c r="D47" s="119">
        <v>1600</v>
      </c>
      <c r="E47" s="120">
        <f t="shared" si="48"/>
        <v>1600</v>
      </c>
      <c r="F47" s="178">
        <f t="shared" si="38"/>
        <v>3.8600838856145472E-5</v>
      </c>
      <c r="G47" s="39">
        <v>24202.469999999998</v>
      </c>
      <c r="H47" s="39">
        <v>520</v>
      </c>
      <c r="I47" s="106">
        <f t="shared" si="49"/>
        <v>24722.469999999998</v>
      </c>
      <c r="J47" s="178">
        <f t="shared" si="39"/>
        <v>5.7696576538808551E-4</v>
      </c>
      <c r="K47" s="79"/>
      <c r="L47" s="39">
        <v>66.5</v>
      </c>
      <c r="M47" s="39"/>
      <c r="N47" s="106">
        <f t="shared" si="50"/>
        <v>66.5</v>
      </c>
      <c r="O47" s="178">
        <f t="shared" si="40"/>
        <v>3.1019582897038787E-4</v>
      </c>
      <c r="P47" s="79" t="s">
        <v>486</v>
      </c>
      <c r="Q47" s="39">
        <v>383</v>
      </c>
      <c r="R47" s="39"/>
      <c r="S47" s="106">
        <f t="shared" si="51"/>
        <v>383</v>
      </c>
      <c r="T47" s="178">
        <f>S47/$S$89</f>
        <v>1.5796802895335317E-3</v>
      </c>
      <c r="U47" s="415" t="s">
        <v>486</v>
      </c>
      <c r="V47" s="39"/>
      <c r="W47" s="39"/>
      <c r="X47" s="106">
        <f t="shared" si="52"/>
        <v>0</v>
      </c>
      <c r="Y47" s="178">
        <f t="shared" si="53"/>
        <v>0</v>
      </c>
      <c r="Z47" s="415" t="s">
        <v>486</v>
      </c>
      <c r="AA47" s="39"/>
      <c r="AB47" s="39"/>
      <c r="AC47" s="106">
        <f t="shared" si="54"/>
        <v>0</v>
      </c>
      <c r="AD47" s="178">
        <f t="shared" si="42"/>
        <v>0</v>
      </c>
      <c r="AE47" s="415"/>
      <c r="AF47" s="39"/>
      <c r="AG47" s="39"/>
      <c r="AH47" s="106">
        <f t="shared" si="55"/>
        <v>0</v>
      </c>
      <c r="AI47" s="178">
        <f t="shared" si="43"/>
        <v>0</v>
      </c>
      <c r="AJ47" s="415"/>
      <c r="AK47" s="39"/>
      <c r="AL47" s="39"/>
      <c r="AM47" s="106">
        <f t="shared" si="56"/>
        <v>0</v>
      </c>
      <c r="AN47" s="178" t="e">
        <f t="shared" si="44"/>
        <v>#DIV/0!</v>
      </c>
      <c r="AO47" s="415"/>
      <c r="AP47" s="39"/>
      <c r="AQ47" s="39"/>
      <c r="AR47" s="106">
        <f t="shared" si="57"/>
        <v>0</v>
      </c>
      <c r="AS47" s="178" t="e">
        <f t="shared" si="45"/>
        <v>#DIV/0!</v>
      </c>
      <c r="AT47" s="415"/>
      <c r="AU47" s="1447"/>
      <c r="AV47" s="1447"/>
      <c r="AW47" s="1495">
        <f t="shared" si="58"/>
        <v>0</v>
      </c>
      <c r="AX47" s="1893" t="e">
        <f t="shared" si="46"/>
        <v>#DIV/0!</v>
      </c>
      <c r="AY47" s="1897"/>
      <c r="AZ47" s="39">
        <f t="shared" si="59"/>
        <v>24651.969999999998</v>
      </c>
      <c r="BA47" s="39">
        <f t="shared" si="60"/>
        <v>520</v>
      </c>
      <c r="BB47" s="106">
        <f t="shared" si="61"/>
        <v>25171.969999999998</v>
      </c>
      <c r="BC47" s="178">
        <f t="shared" si="47"/>
        <v>5.8008645138728525E-4</v>
      </c>
      <c r="BD47" s="79"/>
    </row>
    <row r="48" spans="1:56" ht="13.8" outlineLevel="2" x14ac:dyDescent="0.25">
      <c r="A48" s="4015"/>
      <c r="B48" s="18" t="s">
        <v>15</v>
      </c>
      <c r="C48" s="113">
        <v>4000</v>
      </c>
      <c r="D48" s="119"/>
      <c r="E48" s="120">
        <f t="shared" si="48"/>
        <v>4000</v>
      </c>
      <c r="F48" s="178">
        <f t="shared" si="38"/>
        <v>9.6502097140363684E-5</v>
      </c>
      <c r="G48" s="39">
        <v>2012.4599999999998</v>
      </c>
      <c r="H48" s="39">
        <v>3783</v>
      </c>
      <c r="I48" s="106">
        <f t="shared" si="49"/>
        <v>5795.46</v>
      </c>
      <c r="J48" s="178">
        <f t="shared" si="39"/>
        <v>1.352527483975523E-4</v>
      </c>
      <c r="K48" s="79"/>
      <c r="L48" s="39"/>
      <c r="M48" s="39"/>
      <c r="N48" s="106">
        <f t="shared" si="50"/>
        <v>0</v>
      </c>
      <c r="O48" s="178">
        <f t="shared" si="40"/>
        <v>0</v>
      </c>
      <c r="P48" s="79"/>
      <c r="Q48" s="39"/>
      <c r="R48" s="39"/>
      <c r="S48" s="106">
        <f t="shared" si="51"/>
        <v>0</v>
      </c>
      <c r="T48" s="178">
        <f t="shared" si="41"/>
        <v>0</v>
      </c>
      <c r="U48" s="259"/>
      <c r="V48" s="39"/>
      <c r="W48" s="39"/>
      <c r="X48" s="106">
        <f t="shared" si="52"/>
        <v>0</v>
      </c>
      <c r="Y48" s="178">
        <f t="shared" si="53"/>
        <v>0</v>
      </c>
      <c r="Z48" s="259"/>
      <c r="AA48" s="39"/>
      <c r="AB48" s="39"/>
      <c r="AC48" s="106">
        <f t="shared" si="54"/>
        <v>0</v>
      </c>
      <c r="AD48" s="178">
        <f t="shared" si="42"/>
        <v>0</v>
      </c>
      <c r="AE48" s="259"/>
      <c r="AF48" s="39"/>
      <c r="AG48" s="39"/>
      <c r="AH48" s="106">
        <f t="shared" si="55"/>
        <v>0</v>
      </c>
      <c r="AI48" s="178">
        <f t="shared" si="43"/>
        <v>0</v>
      </c>
      <c r="AJ48" s="259"/>
      <c r="AK48" s="39"/>
      <c r="AL48" s="39"/>
      <c r="AM48" s="106">
        <f t="shared" si="56"/>
        <v>0</v>
      </c>
      <c r="AN48" s="178" t="e">
        <f t="shared" si="44"/>
        <v>#DIV/0!</v>
      </c>
      <c r="AO48" s="259"/>
      <c r="AP48" s="39"/>
      <c r="AQ48" s="39"/>
      <c r="AR48" s="106">
        <f t="shared" si="57"/>
        <v>0</v>
      </c>
      <c r="AS48" s="178" t="e">
        <f t="shared" si="45"/>
        <v>#DIV/0!</v>
      </c>
      <c r="AT48" s="259"/>
      <c r="AU48" s="1447"/>
      <c r="AV48" s="1447"/>
      <c r="AW48" s="1495">
        <f t="shared" si="58"/>
        <v>0</v>
      </c>
      <c r="AX48" s="1893" t="e">
        <f t="shared" si="46"/>
        <v>#DIV/0!</v>
      </c>
      <c r="AY48" s="1896"/>
      <c r="AZ48" s="39">
        <f t="shared" si="59"/>
        <v>2012.4599999999998</v>
      </c>
      <c r="BA48" s="39">
        <f t="shared" si="60"/>
        <v>3783</v>
      </c>
      <c r="BB48" s="106">
        <f t="shared" si="61"/>
        <v>5795.46</v>
      </c>
      <c r="BC48" s="178">
        <f t="shared" si="47"/>
        <v>1.3355600795475906E-4</v>
      </c>
      <c r="BD48" s="79"/>
    </row>
    <row r="49" spans="1:56" s="2" customFormat="1" ht="14.4" outlineLevel="2" thickBot="1" x14ac:dyDescent="0.3">
      <c r="A49" s="11"/>
      <c r="B49" s="35"/>
      <c r="C49" s="116"/>
      <c r="D49" s="121"/>
      <c r="E49" s="122">
        <f t="shared" si="48"/>
        <v>0</v>
      </c>
      <c r="F49" s="182"/>
      <c r="G49" s="39">
        <v>0</v>
      </c>
      <c r="H49" s="39">
        <v>0</v>
      </c>
      <c r="I49" s="52"/>
      <c r="J49" s="178">
        <f t="shared" si="39"/>
        <v>0</v>
      </c>
      <c r="K49" s="52"/>
      <c r="L49" s="39"/>
      <c r="M49" s="39"/>
      <c r="N49" s="52"/>
      <c r="O49" s="178">
        <f t="shared" si="40"/>
        <v>0</v>
      </c>
      <c r="P49" s="52"/>
      <c r="Q49" s="39"/>
      <c r="R49" s="39"/>
      <c r="S49" s="52"/>
      <c r="T49" s="178">
        <f t="shared" si="41"/>
        <v>0</v>
      </c>
      <c r="U49" s="64"/>
      <c r="V49" s="39"/>
      <c r="W49" s="39"/>
      <c r="X49" s="52"/>
      <c r="Y49" s="178">
        <f t="shared" si="53"/>
        <v>0</v>
      </c>
      <c r="Z49" s="64"/>
      <c r="AA49" s="39"/>
      <c r="AB49" s="39"/>
      <c r="AC49" s="52"/>
      <c r="AD49" s="178">
        <f>AC49/$X$89</f>
        <v>0</v>
      </c>
      <c r="AE49" s="64"/>
      <c r="AF49" s="39"/>
      <c r="AG49" s="39"/>
      <c r="AH49" s="52"/>
      <c r="AI49" s="178">
        <f>AH49/$X$89</f>
        <v>0</v>
      </c>
      <c r="AJ49" s="64"/>
      <c r="AK49" s="39"/>
      <c r="AL49" s="39"/>
      <c r="AM49" s="52"/>
      <c r="AN49" s="178">
        <f>AM49/$X$89</f>
        <v>0</v>
      </c>
      <c r="AO49" s="64"/>
      <c r="AP49" s="39"/>
      <c r="AQ49" s="39"/>
      <c r="AR49" s="52"/>
      <c r="AS49" s="178">
        <f>AR49/$X$89</f>
        <v>0</v>
      </c>
      <c r="AT49" s="64"/>
      <c r="AU49" s="1447"/>
      <c r="AV49" s="1447"/>
      <c r="AW49" s="1454"/>
      <c r="AX49" s="1893">
        <f>AW49/$X$89</f>
        <v>0</v>
      </c>
      <c r="AY49" s="1464"/>
      <c r="AZ49" s="39"/>
      <c r="BA49" s="39"/>
      <c r="BB49" s="52"/>
      <c r="BC49" s="178">
        <f t="shared" si="47"/>
        <v>0</v>
      </c>
      <c r="BD49" s="52"/>
    </row>
    <row r="50" spans="1:56" s="2" customFormat="1" ht="13.8" outlineLevel="1" x14ac:dyDescent="0.25">
      <c r="A50" s="293"/>
      <c r="B50" s="17" t="s">
        <v>59</v>
      </c>
      <c r="C50" s="123">
        <f>SUM(C51:C52)</f>
        <v>0</v>
      </c>
      <c r="D50" s="123">
        <f>SUM(D51:D52)</f>
        <v>0</v>
      </c>
      <c r="E50" s="123">
        <f>SUM(E51:E52)</f>
        <v>0</v>
      </c>
      <c r="F50" s="170">
        <f>E50/$E$89</f>
        <v>0</v>
      </c>
      <c r="G50" s="123">
        <f>G52+G51</f>
        <v>15277.8</v>
      </c>
      <c r="H50" s="123">
        <f>H52+H51</f>
        <v>3560</v>
      </c>
      <c r="I50" s="123">
        <f>SUM(I51:I52)</f>
        <v>18837.8</v>
      </c>
      <c r="J50" s="60"/>
      <c r="K50" s="60"/>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c r="AJ50" s="409"/>
      <c r="AK50" s="123">
        <f>AK52+AK51</f>
        <v>0</v>
      </c>
      <c r="AL50" s="123">
        <f>AL52+AL51</f>
        <v>0</v>
      </c>
      <c r="AM50" s="123">
        <f>SUM(AM51:AM52)</f>
        <v>0</v>
      </c>
      <c r="AN50" s="60"/>
      <c r="AO50" s="409"/>
      <c r="AP50" s="123">
        <f>AP52+AP51</f>
        <v>0</v>
      </c>
      <c r="AQ50" s="123">
        <f>AQ52+AQ51</f>
        <v>0</v>
      </c>
      <c r="AR50" s="123">
        <f>SUM(AR51:AR52)</f>
        <v>0</v>
      </c>
      <c r="AS50" s="60"/>
      <c r="AT50" s="409"/>
      <c r="AU50" s="1512">
        <f>AU52+AU51</f>
        <v>0</v>
      </c>
      <c r="AV50" s="1512">
        <f>AV52+AV51</f>
        <v>0</v>
      </c>
      <c r="AW50" s="1512">
        <f>SUM(AW51:AW52)</f>
        <v>0</v>
      </c>
      <c r="AX50" s="1461"/>
      <c r="AY50" s="1613"/>
      <c r="AZ50" s="123">
        <f>AZ52+AZ51</f>
        <v>15277.8</v>
      </c>
      <c r="BA50" s="123">
        <f>BA52+BA51</f>
        <v>3560</v>
      </c>
      <c r="BB50" s="123">
        <f>SUM(BB51:BB52)</f>
        <v>18837.8</v>
      </c>
      <c r="BC50" s="60"/>
      <c r="BD50" s="60"/>
    </row>
    <row r="51" spans="1:56" s="226" customFormat="1" ht="13.8" outlineLevel="1" x14ac:dyDescent="0.25">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05"/>
      <c r="V51" s="39"/>
      <c r="W51" s="39"/>
      <c r="X51" s="106">
        <f>V51+W51*1</f>
        <v>0</v>
      </c>
      <c r="Y51" s="178">
        <f>X51/$N$89</f>
        <v>0</v>
      </c>
      <c r="Z51" s="405"/>
      <c r="AA51" s="39"/>
      <c r="AB51" s="39"/>
      <c r="AC51" s="106">
        <f>AA51+AB51*1</f>
        <v>0</v>
      </c>
      <c r="AD51" s="178">
        <f>AC51/$AC$89</f>
        <v>0</v>
      </c>
      <c r="AE51" s="405"/>
      <c r="AF51" s="39"/>
      <c r="AG51" s="39"/>
      <c r="AH51" s="106">
        <f>AF51+AG51*1</f>
        <v>0</v>
      </c>
      <c r="AI51" s="178">
        <f>AH51/$AC$89</f>
        <v>0</v>
      </c>
      <c r="AJ51" s="405"/>
      <c r="AK51" s="39"/>
      <c r="AL51" s="39"/>
      <c r="AM51" s="106">
        <f>AK51+AL51*1</f>
        <v>0</v>
      </c>
      <c r="AN51" s="178">
        <f>AM51/$AC$89</f>
        <v>0</v>
      </c>
      <c r="AO51" s="405"/>
      <c r="AP51" s="39"/>
      <c r="AQ51" s="39"/>
      <c r="AR51" s="106">
        <f>AP51+AQ51*1</f>
        <v>0</v>
      </c>
      <c r="AS51" s="178">
        <f>AR51/$AC$89</f>
        <v>0</v>
      </c>
      <c r="AT51" s="405"/>
      <c r="AU51" s="1447"/>
      <c r="AV51" s="1447"/>
      <c r="AW51" s="1495">
        <f>AU51+AV51*1</f>
        <v>0</v>
      </c>
      <c r="AX51" s="1893">
        <f>AW51/$AC$89</f>
        <v>0</v>
      </c>
      <c r="AY51" s="1903"/>
      <c r="AZ51" s="39">
        <f>G51+L51+Q51+V51+AA51+AF51+AK51+AP51+AU51</f>
        <v>0</v>
      </c>
      <c r="BA51" s="39">
        <f>H51+M51+R51+W51+AB51+AG51+AL51+AQ51+AV51</f>
        <v>0</v>
      </c>
      <c r="BB51" s="106">
        <f>AZ51+BA51*1</f>
        <v>0</v>
      </c>
      <c r="BC51" s="178">
        <f>BB51/$BB$89</f>
        <v>0</v>
      </c>
      <c r="BD51" s="45"/>
    </row>
    <row r="52" spans="1:56" s="235" customFormat="1" ht="13.8" outlineLevel="2" x14ac:dyDescent="0.25">
      <c r="A52" s="234"/>
      <c r="B52" s="18" t="s">
        <v>61</v>
      </c>
      <c r="C52" s="113"/>
      <c r="D52" s="119"/>
      <c r="E52" s="119">
        <f>C52+D52</f>
        <v>0</v>
      </c>
      <c r="F52" s="180">
        <f>E52/$E$89</f>
        <v>0</v>
      </c>
      <c r="G52" s="39">
        <v>15277.8</v>
      </c>
      <c r="H52" s="39">
        <v>3560</v>
      </c>
      <c r="I52" s="106">
        <f>G52+H52*1</f>
        <v>18837.8</v>
      </c>
      <c r="J52" s="178">
        <f>I52/$I$89</f>
        <v>4.3963106013386523E-4</v>
      </c>
      <c r="K52" s="45"/>
      <c r="L52" s="39"/>
      <c r="M52" s="39"/>
      <c r="N52" s="106">
        <f>L52+M52*1</f>
        <v>0</v>
      </c>
      <c r="O52" s="178">
        <f>N52/$N$89</f>
        <v>0</v>
      </c>
      <c r="P52" s="45"/>
      <c r="Q52" s="39"/>
      <c r="R52" s="39"/>
      <c r="S52" s="106">
        <f>Q52+R52*1</f>
        <v>0</v>
      </c>
      <c r="T52" s="178">
        <f>S52/$N$89</f>
        <v>0</v>
      </c>
      <c r="U52" s="405"/>
      <c r="V52" s="39"/>
      <c r="W52" s="39"/>
      <c r="X52" s="106">
        <f>V52+W52*1</f>
        <v>0</v>
      </c>
      <c r="Y52" s="178">
        <f>X52/$N$89</f>
        <v>0</v>
      </c>
      <c r="Z52" s="405"/>
      <c r="AA52" s="39"/>
      <c r="AB52" s="39"/>
      <c r="AC52" s="106">
        <f>AA52+AB52*1</f>
        <v>0</v>
      </c>
      <c r="AD52" s="178">
        <f>AC52/$AC$89</f>
        <v>0</v>
      </c>
      <c r="AE52" s="405"/>
      <c r="AF52" s="39"/>
      <c r="AG52" s="39"/>
      <c r="AH52" s="106">
        <f>AF52+AG52*1</f>
        <v>0</v>
      </c>
      <c r="AI52" s="178">
        <f>AH52/$AC$89</f>
        <v>0</v>
      </c>
      <c r="AJ52" s="405"/>
      <c r="AK52" s="39"/>
      <c r="AL52" s="39"/>
      <c r="AM52" s="106">
        <f>AK52+AL52*1</f>
        <v>0</v>
      </c>
      <c r="AN52" s="178">
        <f>AM52/$AC$89</f>
        <v>0</v>
      </c>
      <c r="AO52" s="405"/>
      <c r="AP52" s="39"/>
      <c r="AQ52" s="39"/>
      <c r="AR52" s="106">
        <f>AP52+AQ52*1</f>
        <v>0</v>
      </c>
      <c r="AS52" s="178">
        <f>AR52/$AC$89</f>
        <v>0</v>
      </c>
      <c r="AT52" s="405"/>
      <c r="AU52" s="1447"/>
      <c r="AV52" s="1447"/>
      <c r="AW52" s="1495">
        <f>AU52+AV52*1</f>
        <v>0</v>
      </c>
      <c r="AX52" s="1893">
        <f>AW52/$AC$89</f>
        <v>0</v>
      </c>
      <c r="AY52" s="1903"/>
      <c r="AZ52" s="39">
        <f>G52+L52+Q52+V52+AA52+AF52+AK52+AP52+AU52</f>
        <v>15277.8</v>
      </c>
      <c r="BA52" s="39">
        <f>H52+M52+R52+W52+AB52+AG52+AL52+AQ52+AV52</f>
        <v>3560</v>
      </c>
      <c r="BB52" s="106">
        <f>AZ52+BA52*1</f>
        <v>18837.8</v>
      </c>
      <c r="BC52" s="178">
        <f>BB52/$BB$89</f>
        <v>4.3411590566584191E-4</v>
      </c>
      <c r="BD52" s="45"/>
    </row>
    <row r="53" spans="1:56" ht="14.4" outlineLevel="1" thickBot="1" x14ac:dyDescent="0.3">
      <c r="A53" s="20"/>
      <c r="B53" s="21"/>
      <c r="C53" s="124"/>
      <c r="D53" s="125"/>
      <c r="E53" s="126"/>
      <c r="F53" s="183"/>
      <c r="G53" s="39">
        <v>0</v>
      </c>
      <c r="H53" s="39">
        <v>0</v>
      </c>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1447"/>
      <c r="AV53" s="1447"/>
      <c r="AW53" s="1462"/>
      <c r="AX53" s="1462"/>
      <c r="AY53" s="1462"/>
      <c r="AZ53" s="39">
        <f>G53+L53+Q53</f>
        <v>0</v>
      </c>
      <c r="BA53" s="39">
        <f>H53+M53+R53</f>
        <v>0</v>
      </c>
      <c r="BB53" s="61"/>
      <c r="BC53" s="61"/>
      <c r="BD53" s="61"/>
    </row>
    <row r="54" spans="1:56" ht="13.8" outlineLevel="1" x14ac:dyDescent="0.25">
      <c r="A54" s="236"/>
      <c r="B54" s="17" t="s">
        <v>1</v>
      </c>
      <c r="C54" s="123">
        <f>SUM(C55:C71)</f>
        <v>199360</v>
      </c>
      <c r="D54" s="123">
        <f>SUM(D55:D71)</f>
        <v>234918</v>
      </c>
      <c r="E54" s="127">
        <f>SUM(E55:E71)</f>
        <v>434278</v>
      </c>
      <c r="F54" s="170">
        <f>E54/$E$89</f>
        <v>1.0477184435480714E-2</v>
      </c>
      <c r="G54" s="123">
        <f>SUM(G55:G71)</f>
        <v>425605.86732919252</v>
      </c>
      <c r="H54" s="123">
        <f>SUM(H55:H71)</f>
        <v>539295.39</v>
      </c>
      <c r="I54" s="127">
        <f>SUM(I55:I71)</f>
        <v>964901.25732919248</v>
      </c>
      <c r="J54" s="169">
        <f t="shared" ref="J54:J72" si="62">I54/$I$89</f>
        <v>2.2518582991863826E-2</v>
      </c>
      <c r="K54" s="60"/>
      <c r="L54" s="123">
        <f>SUM(L55:L72)</f>
        <v>18544</v>
      </c>
      <c r="M54" s="123">
        <f>SUM(M55:M72)</f>
        <v>20764</v>
      </c>
      <c r="N54" s="123">
        <f>SUM(N55:N72)</f>
        <v>39308</v>
      </c>
      <c r="O54" s="169">
        <f t="shared" ref="O54:O72" si="63">N54/$N$89</f>
        <v>0.1833560548145565</v>
      </c>
      <c r="P54" s="60"/>
      <c r="Q54" s="123">
        <f>SUM(Q55:Q72)</f>
        <v>200</v>
      </c>
      <c r="R54" s="123">
        <f>SUM(R55:R72)</f>
        <v>0</v>
      </c>
      <c r="S54" s="123">
        <f>SUM(S55:S72)</f>
        <v>200</v>
      </c>
      <c r="T54" s="169">
        <f>S54/$S$89</f>
        <v>8.2489832351620451E-4</v>
      </c>
      <c r="U54" s="409"/>
      <c r="V54" s="123">
        <f>SUM(V55:V72)</f>
        <v>7655</v>
      </c>
      <c r="W54" s="123">
        <f>SUM(W55:W72)</f>
        <v>0</v>
      </c>
      <c r="X54" s="123">
        <f>SUM(X55:X72)</f>
        <v>7655</v>
      </c>
      <c r="Y54" s="169">
        <f>X54/$X$89</f>
        <v>9.7131934602738279E-2</v>
      </c>
      <c r="Z54" s="409"/>
      <c r="AA54" s="123">
        <f>SUM(AA55:AA72)</f>
        <v>0</v>
      </c>
      <c r="AB54" s="123">
        <f>SUM(AB55:AB72)</f>
        <v>0</v>
      </c>
      <c r="AC54" s="123">
        <f>SUM(AC55:AC72)</f>
        <v>0</v>
      </c>
      <c r="AD54" s="169">
        <f>AC54/$AC$89</f>
        <v>0</v>
      </c>
      <c r="AE54" s="409"/>
      <c r="AF54" s="123">
        <f>SUM(AF55:AF72)</f>
        <v>0</v>
      </c>
      <c r="AG54" s="123">
        <f>SUM(AG55:AG72)</f>
        <v>0</v>
      </c>
      <c r="AH54" s="123">
        <f>SUM(AH55:AH72)</f>
        <v>0</v>
      </c>
      <c r="AI54" s="169">
        <f>AH54/$AC$89</f>
        <v>0</v>
      </c>
      <c r="AJ54" s="409"/>
      <c r="AK54" s="123">
        <f>SUM(AK55:AK72)</f>
        <v>0</v>
      </c>
      <c r="AL54" s="123">
        <f>SUM(AL55:AL72)</f>
        <v>0</v>
      </c>
      <c r="AM54" s="123">
        <f>SUM(AM55:AM72)</f>
        <v>0</v>
      </c>
      <c r="AN54" s="169" t="e">
        <f t="shared" ref="AN54:AN71" si="64">AM54/$AM$89</f>
        <v>#DIV/0!</v>
      </c>
      <c r="AO54" s="409"/>
      <c r="AP54" s="123">
        <f>SUM(AP55:AP72)</f>
        <v>0</v>
      </c>
      <c r="AQ54" s="123">
        <f>SUM(AQ55:AQ72)</f>
        <v>0</v>
      </c>
      <c r="AR54" s="123">
        <f>SUM(AR55:AR72)</f>
        <v>0</v>
      </c>
      <c r="AS54" s="169" t="e">
        <f t="shared" ref="AS54:AS71" si="65">AR54/$AM$89</f>
        <v>#DIV/0!</v>
      </c>
      <c r="AT54" s="409"/>
      <c r="AU54" s="1512">
        <f>SUM(AU55:AU72)</f>
        <v>0</v>
      </c>
      <c r="AV54" s="1512">
        <f>SUM(AV55:AV72)</f>
        <v>0</v>
      </c>
      <c r="AW54" s="1512">
        <f>SUM(AW55:AW72)</f>
        <v>0</v>
      </c>
      <c r="AX54" s="1904" t="e">
        <f t="shared" ref="AX54:AX71" si="66">AW54/$AM$89</f>
        <v>#DIV/0!</v>
      </c>
      <c r="AY54" s="1613"/>
      <c r="AZ54" s="123">
        <f>SUM(AZ55:AZ72)</f>
        <v>452004.86732919258</v>
      </c>
      <c r="BA54" s="123">
        <f>SUM(BA55:BA72)</f>
        <v>560059.39</v>
      </c>
      <c r="BB54" s="123">
        <f>SUM(BB55:BB72)</f>
        <v>1012064.2573291925</v>
      </c>
      <c r="BC54" s="169">
        <f t="shared" ref="BC54:BC72" si="67">BB54/$BB$89</f>
        <v>2.3322956590604536E-2</v>
      </c>
      <c r="BD54" s="60"/>
    </row>
    <row r="55" spans="1:56" ht="13.95" customHeight="1" outlineLevel="2" x14ac:dyDescent="0.25">
      <c r="A55" s="237"/>
      <c r="B55" s="19" t="s">
        <v>77</v>
      </c>
      <c r="C55" s="113"/>
      <c r="D55" s="128"/>
      <c r="E55" s="120">
        <f t="shared" ref="E55:E72" si="68">C55+D55</f>
        <v>0</v>
      </c>
      <c r="F55" s="178">
        <f>E55/$E$89</f>
        <v>0</v>
      </c>
      <c r="G55" s="39">
        <v>57960</v>
      </c>
      <c r="H55" s="39">
        <v>121880</v>
      </c>
      <c r="I55" s="106">
        <f t="shared" ref="I55:I71" si="69">G55+H55*1</f>
        <v>179840</v>
      </c>
      <c r="J55" s="178">
        <f t="shared" si="62"/>
        <v>4.1970532575180929E-3</v>
      </c>
      <c r="K55" s="79"/>
      <c r="L55" s="210"/>
      <c r="M55" s="210"/>
      <c r="N55" s="106">
        <f t="shared" ref="N55:N71" si="70">L55+M55*1</f>
        <v>0</v>
      </c>
      <c r="O55" s="178">
        <f t="shared" si="63"/>
        <v>0</v>
      </c>
      <c r="P55" s="79"/>
      <c r="Q55" s="210"/>
      <c r="R55" s="210"/>
      <c r="S55" s="106">
        <f t="shared" ref="S55:S71" si="71">Q55+R55*1</f>
        <v>0</v>
      </c>
      <c r="T55" s="178">
        <f t="shared" ref="T55:T64" si="72">S55/$N$89</f>
        <v>0</v>
      </c>
      <c r="U55" s="259"/>
      <c r="V55" s="210"/>
      <c r="W55" s="210"/>
      <c r="X55" s="106">
        <f t="shared" ref="X55:X71" si="73">V55+W55*1</f>
        <v>0</v>
      </c>
      <c r="Y55" s="178">
        <f t="shared" ref="Y55:Y71" si="74">X55/$X$89</f>
        <v>0</v>
      </c>
      <c r="Z55" s="259"/>
      <c r="AA55" s="210"/>
      <c r="AB55" s="210"/>
      <c r="AC55" s="106">
        <f t="shared" ref="AC55:AC71" si="75">AA55+AB55*1</f>
        <v>0</v>
      </c>
      <c r="AD55" s="178">
        <f>AC55/$AC$89</f>
        <v>0</v>
      </c>
      <c r="AE55" s="259"/>
      <c r="AF55" s="210"/>
      <c r="AG55" s="210"/>
      <c r="AH55" s="106">
        <f t="shared" ref="AH55:AH71" si="76">AF55+AG55*1</f>
        <v>0</v>
      </c>
      <c r="AI55" s="178">
        <f>AH55/$AC$89</f>
        <v>0</v>
      </c>
      <c r="AJ55" s="259"/>
      <c r="AK55" s="210"/>
      <c r="AL55" s="210"/>
      <c r="AM55" s="106">
        <f t="shared" ref="AM55:AM71" si="77">AK55+AL55*1</f>
        <v>0</v>
      </c>
      <c r="AN55" s="178" t="e">
        <f t="shared" si="64"/>
        <v>#DIV/0!</v>
      </c>
      <c r="AO55" s="259"/>
      <c r="AP55" s="210"/>
      <c r="AQ55" s="210"/>
      <c r="AR55" s="106">
        <f t="shared" ref="AR55:AR71" si="78">AP55+AQ55*1</f>
        <v>0</v>
      </c>
      <c r="AS55" s="178" t="e">
        <f t="shared" si="65"/>
        <v>#DIV/0!</v>
      </c>
      <c r="AT55" s="259"/>
      <c r="AU55" s="1567"/>
      <c r="AV55" s="1567"/>
      <c r="AW55" s="1495">
        <f t="shared" ref="AW55:AW71" si="79">AU55+AV55*1</f>
        <v>0</v>
      </c>
      <c r="AX55" s="1893" t="e">
        <f t="shared" si="66"/>
        <v>#DIV/0!</v>
      </c>
      <c r="AY55" s="1896"/>
      <c r="AZ55" s="39">
        <f t="shared" ref="AZ55:AZ71" si="80">G55+L55+Q55+V55+AA55+AF55+AK55+AP55+AU55</f>
        <v>57960</v>
      </c>
      <c r="BA55" s="39">
        <f t="shared" ref="BA55:BA71" si="81">H55+M55+R55+W55+AB55+AG55+AL55+AQ55+AV55</f>
        <v>121880</v>
      </c>
      <c r="BB55" s="106">
        <f t="shared" ref="BB55:BB71" si="82">AZ55+BA55*1</f>
        <v>179840</v>
      </c>
      <c r="BC55" s="178">
        <f t="shared" si="67"/>
        <v>4.1444013884288514E-3</v>
      </c>
      <c r="BD55" s="79"/>
    </row>
    <row r="56" spans="1:56" ht="13.95" customHeight="1" outlineLevel="2" x14ac:dyDescent="0.25">
      <c r="A56" s="237"/>
      <c r="B56" s="19" t="s">
        <v>76</v>
      </c>
      <c r="C56" s="113"/>
      <c r="D56" s="128"/>
      <c r="E56" s="120">
        <f t="shared" si="68"/>
        <v>0</v>
      </c>
      <c r="F56" s="178">
        <f t="shared" ref="F56:F72" si="83">E56/$E$89</f>
        <v>0</v>
      </c>
      <c r="G56" s="39">
        <v>15540</v>
      </c>
      <c r="H56" s="39">
        <v>0</v>
      </c>
      <c r="I56" s="106">
        <f t="shared" si="69"/>
        <v>15540</v>
      </c>
      <c r="J56" s="178">
        <f t="shared" si="62"/>
        <v>3.6266796942744192E-4</v>
      </c>
      <c r="K56" s="79"/>
      <c r="L56" s="210"/>
      <c r="M56" s="210"/>
      <c r="N56" s="106">
        <f t="shared" si="70"/>
        <v>0</v>
      </c>
      <c r="O56" s="178">
        <f t="shared" si="63"/>
        <v>0</v>
      </c>
      <c r="P56" s="79"/>
      <c r="Q56" s="210"/>
      <c r="R56" s="210"/>
      <c r="S56" s="106">
        <f t="shared" si="71"/>
        <v>0</v>
      </c>
      <c r="T56" s="178">
        <f t="shared" si="72"/>
        <v>0</v>
      </c>
      <c r="U56" s="421"/>
      <c r="V56" s="210"/>
      <c r="W56" s="210"/>
      <c r="X56" s="106">
        <f t="shared" si="73"/>
        <v>0</v>
      </c>
      <c r="Y56" s="178">
        <f t="shared" si="74"/>
        <v>0</v>
      </c>
      <c r="Z56" s="421"/>
      <c r="AA56" s="210"/>
      <c r="AB56" s="210"/>
      <c r="AC56" s="106">
        <f t="shared" si="75"/>
        <v>0</v>
      </c>
      <c r="AD56" s="178">
        <f t="shared" ref="AD56:AD71" si="84">AC56/$AC$89</f>
        <v>0</v>
      </c>
      <c r="AE56" s="421"/>
      <c r="AF56" s="210"/>
      <c r="AG56" s="210"/>
      <c r="AH56" s="106">
        <f t="shared" si="76"/>
        <v>0</v>
      </c>
      <c r="AI56" s="178">
        <f t="shared" ref="AI56:AI71" si="85">AH56/$AC$89</f>
        <v>0</v>
      </c>
      <c r="AJ56" s="421"/>
      <c r="AK56" s="210"/>
      <c r="AL56" s="210"/>
      <c r="AM56" s="106">
        <f t="shared" si="77"/>
        <v>0</v>
      </c>
      <c r="AN56" s="178" t="e">
        <f t="shared" si="64"/>
        <v>#DIV/0!</v>
      </c>
      <c r="AO56" s="421"/>
      <c r="AP56" s="210"/>
      <c r="AQ56" s="210"/>
      <c r="AR56" s="106">
        <f t="shared" si="78"/>
        <v>0</v>
      </c>
      <c r="AS56" s="178" t="e">
        <f t="shared" si="65"/>
        <v>#DIV/0!</v>
      </c>
      <c r="AT56" s="421"/>
      <c r="AU56" s="1567"/>
      <c r="AV56" s="1567"/>
      <c r="AW56" s="1495">
        <f t="shared" si="79"/>
        <v>0</v>
      </c>
      <c r="AX56" s="1893" t="e">
        <f t="shared" si="66"/>
        <v>#DIV/0!</v>
      </c>
      <c r="AY56" s="1928"/>
      <c r="AZ56" s="39">
        <f t="shared" si="80"/>
        <v>15540</v>
      </c>
      <c r="BA56" s="39">
        <f t="shared" si="81"/>
        <v>0</v>
      </c>
      <c r="BB56" s="106">
        <f t="shared" si="82"/>
        <v>15540</v>
      </c>
      <c r="BC56" s="178">
        <f t="shared" si="67"/>
        <v>3.5811831392451262E-4</v>
      </c>
      <c r="BD56" s="79"/>
    </row>
    <row r="57" spans="1:56" ht="13.95" customHeight="1" outlineLevel="2" x14ac:dyDescent="0.25">
      <c r="A57" s="237"/>
      <c r="B57" s="19" t="s">
        <v>68</v>
      </c>
      <c r="C57" s="113"/>
      <c r="D57" s="128"/>
      <c r="E57" s="120">
        <f t="shared" si="68"/>
        <v>0</v>
      </c>
      <c r="F57" s="178">
        <f t="shared" si="83"/>
        <v>0</v>
      </c>
      <c r="G57" s="39">
        <v>14340</v>
      </c>
      <c r="H57" s="39">
        <v>0</v>
      </c>
      <c r="I57" s="106">
        <f t="shared" si="69"/>
        <v>14340</v>
      </c>
      <c r="J57" s="178">
        <f t="shared" si="62"/>
        <v>3.3466272082300627E-4</v>
      </c>
      <c r="K57" s="79"/>
      <c r="L57" s="210"/>
      <c r="M57" s="210"/>
      <c r="N57" s="106">
        <f t="shared" si="70"/>
        <v>0</v>
      </c>
      <c r="O57" s="178">
        <f t="shared" si="63"/>
        <v>0</v>
      </c>
      <c r="P57" s="79"/>
      <c r="Q57" s="210"/>
      <c r="R57" s="210"/>
      <c r="S57" s="106">
        <f t="shared" si="71"/>
        <v>0</v>
      </c>
      <c r="T57" s="178">
        <f t="shared" si="72"/>
        <v>0</v>
      </c>
      <c r="U57" s="421"/>
      <c r="V57" s="210"/>
      <c r="W57" s="210"/>
      <c r="X57" s="106">
        <f t="shared" si="73"/>
        <v>0</v>
      </c>
      <c r="Y57" s="178">
        <f t="shared" si="74"/>
        <v>0</v>
      </c>
      <c r="Z57" s="421"/>
      <c r="AA57" s="210"/>
      <c r="AB57" s="210"/>
      <c r="AC57" s="106">
        <f t="shared" si="75"/>
        <v>0</v>
      </c>
      <c r="AD57" s="178">
        <f t="shared" si="84"/>
        <v>0</v>
      </c>
      <c r="AE57" s="421"/>
      <c r="AF57" s="210"/>
      <c r="AG57" s="210"/>
      <c r="AH57" s="106">
        <f t="shared" si="76"/>
        <v>0</v>
      </c>
      <c r="AI57" s="178">
        <f t="shared" si="85"/>
        <v>0</v>
      </c>
      <c r="AJ57" s="421"/>
      <c r="AK57" s="210"/>
      <c r="AL57" s="210"/>
      <c r="AM57" s="106">
        <f t="shared" si="77"/>
        <v>0</v>
      </c>
      <c r="AN57" s="178" t="e">
        <f t="shared" si="64"/>
        <v>#DIV/0!</v>
      </c>
      <c r="AO57" s="421"/>
      <c r="AP57" s="210"/>
      <c r="AQ57" s="210"/>
      <c r="AR57" s="106">
        <f t="shared" si="78"/>
        <v>0</v>
      </c>
      <c r="AS57" s="178" t="e">
        <f t="shared" si="65"/>
        <v>#DIV/0!</v>
      </c>
      <c r="AT57" s="421"/>
      <c r="AU57" s="1567"/>
      <c r="AV57" s="1567"/>
      <c r="AW57" s="1495">
        <f t="shared" si="79"/>
        <v>0</v>
      </c>
      <c r="AX57" s="1893" t="e">
        <f t="shared" si="66"/>
        <v>#DIV/0!</v>
      </c>
      <c r="AY57" s="1928"/>
      <c r="AZ57" s="39">
        <f t="shared" si="80"/>
        <v>14340</v>
      </c>
      <c r="BA57" s="39">
        <f t="shared" si="81"/>
        <v>0</v>
      </c>
      <c r="BB57" s="106">
        <f t="shared" si="82"/>
        <v>14340</v>
      </c>
      <c r="BC57" s="178">
        <f t="shared" si="67"/>
        <v>3.3046439006933793E-4</v>
      </c>
      <c r="BD57" s="79"/>
    </row>
    <row r="58" spans="1:56" ht="14.4" customHeight="1" outlineLevel="2" x14ac:dyDescent="0.25">
      <c r="A58" s="237"/>
      <c r="B58" s="19" t="s">
        <v>67</v>
      </c>
      <c r="C58" s="113">
        <v>83720</v>
      </c>
      <c r="D58" s="128">
        <v>225722</v>
      </c>
      <c r="E58" s="120">
        <f t="shared" si="68"/>
        <v>309442</v>
      </c>
      <c r="F58" s="178">
        <f t="shared" si="83"/>
        <v>7.4654504858271045E-3</v>
      </c>
      <c r="G58" s="39">
        <v>132960.39000000001</v>
      </c>
      <c r="H58" s="39">
        <v>251885.61</v>
      </c>
      <c r="I58" s="106">
        <f t="shared" si="69"/>
        <v>384846</v>
      </c>
      <c r="J58" s="178">
        <f t="shared" si="62"/>
        <v>8.9814232536855419E-3</v>
      </c>
      <c r="K58" s="79"/>
      <c r="L58" s="210">
        <v>12236</v>
      </c>
      <c r="M58" s="210">
        <v>20764</v>
      </c>
      <c r="N58" s="106">
        <f t="shared" si="70"/>
        <v>33000</v>
      </c>
      <c r="O58" s="178">
        <f t="shared" si="63"/>
        <v>0.15393176475222256</v>
      </c>
      <c r="P58" s="79" t="s">
        <v>470</v>
      </c>
      <c r="Q58" s="210"/>
      <c r="R58" s="210"/>
      <c r="S58" s="106">
        <f t="shared" si="71"/>
        <v>0</v>
      </c>
      <c r="T58" s="178">
        <f t="shared" si="72"/>
        <v>0</v>
      </c>
      <c r="U58" s="430"/>
      <c r="V58" s="210"/>
      <c r="W58" s="210"/>
      <c r="X58" s="106">
        <f t="shared" si="73"/>
        <v>0</v>
      </c>
      <c r="Y58" s="178">
        <f t="shared" si="74"/>
        <v>0</v>
      </c>
      <c r="Z58" s="430"/>
      <c r="AA58" s="210"/>
      <c r="AB58" s="210"/>
      <c r="AC58" s="106">
        <f t="shared" si="75"/>
        <v>0</v>
      </c>
      <c r="AD58" s="178">
        <f t="shared" si="84"/>
        <v>0</v>
      </c>
      <c r="AE58" s="430"/>
      <c r="AF58" s="210"/>
      <c r="AG58" s="210"/>
      <c r="AH58" s="106">
        <f t="shared" si="76"/>
        <v>0</v>
      </c>
      <c r="AI58" s="178">
        <f t="shared" si="85"/>
        <v>0</v>
      </c>
      <c r="AJ58" s="430"/>
      <c r="AK58" s="210"/>
      <c r="AL58" s="210"/>
      <c r="AM58" s="106">
        <f t="shared" si="77"/>
        <v>0</v>
      </c>
      <c r="AN58" s="178" t="e">
        <f t="shared" si="64"/>
        <v>#DIV/0!</v>
      </c>
      <c r="AO58" s="430"/>
      <c r="AP58" s="210"/>
      <c r="AQ58" s="210"/>
      <c r="AR58" s="106">
        <f t="shared" si="78"/>
        <v>0</v>
      </c>
      <c r="AS58" s="178" t="e">
        <f t="shared" si="65"/>
        <v>#DIV/0!</v>
      </c>
      <c r="AT58" s="430"/>
      <c r="AU58" s="1567"/>
      <c r="AV58" s="1567"/>
      <c r="AW58" s="1495">
        <f t="shared" si="79"/>
        <v>0</v>
      </c>
      <c r="AX58" s="1893" t="e">
        <f t="shared" si="66"/>
        <v>#DIV/0!</v>
      </c>
      <c r="AY58" s="1929"/>
      <c r="AZ58" s="39">
        <f t="shared" si="80"/>
        <v>145196.39000000001</v>
      </c>
      <c r="BA58" s="39">
        <f t="shared" si="81"/>
        <v>272649.61</v>
      </c>
      <c r="BB58" s="106">
        <f t="shared" si="82"/>
        <v>417846</v>
      </c>
      <c r="BC58" s="178">
        <f t="shared" si="67"/>
        <v>9.6292345559911129E-3</v>
      </c>
      <c r="BD58" s="79"/>
    </row>
    <row r="59" spans="1:56" ht="14.4" customHeight="1" outlineLevel="2" x14ac:dyDescent="0.25">
      <c r="A59" s="237"/>
      <c r="B59" s="19" t="s">
        <v>66</v>
      </c>
      <c r="C59" s="113">
        <v>20280</v>
      </c>
      <c r="D59" s="128"/>
      <c r="E59" s="120">
        <f t="shared" si="68"/>
        <v>20280</v>
      </c>
      <c r="F59" s="178">
        <f t="shared" si="83"/>
        <v>4.8926563250164385E-4</v>
      </c>
      <c r="G59" s="39">
        <v>33657.796335403727</v>
      </c>
      <c r="H59" s="39">
        <v>0</v>
      </c>
      <c r="I59" s="106">
        <f t="shared" si="69"/>
        <v>33657.796335403727</v>
      </c>
      <c r="J59" s="178">
        <f t="shared" si="62"/>
        <v>7.8549579487537102E-4</v>
      </c>
      <c r="K59" s="79"/>
      <c r="L59" s="210">
        <v>2963.9999999999995</v>
      </c>
      <c r="M59" s="210"/>
      <c r="N59" s="106">
        <f t="shared" si="70"/>
        <v>2963.9999999999995</v>
      </c>
      <c r="O59" s="178">
        <f t="shared" si="63"/>
        <v>1.3825871234108715E-2</v>
      </c>
      <c r="P59" s="79"/>
      <c r="Q59" s="210"/>
      <c r="R59" s="210"/>
      <c r="S59" s="106">
        <f t="shared" si="71"/>
        <v>0</v>
      </c>
      <c r="T59" s="178">
        <f t="shared" si="72"/>
        <v>0</v>
      </c>
      <c r="U59" s="421"/>
      <c r="V59" s="210"/>
      <c r="W59" s="210"/>
      <c r="X59" s="106">
        <f t="shared" si="73"/>
        <v>0</v>
      </c>
      <c r="Y59" s="178">
        <f t="shared" si="74"/>
        <v>0</v>
      </c>
      <c r="Z59" s="421"/>
      <c r="AA59" s="210"/>
      <c r="AB59" s="210"/>
      <c r="AC59" s="106">
        <f t="shared" si="75"/>
        <v>0</v>
      </c>
      <c r="AD59" s="178">
        <f t="shared" si="84"/>
        <v>0</v>
      </c>
      <c r="AE59" s="421"/>
      <c r="AF59" s="210"/>
      <c r="AG59" s="210"/>
      <c r="AH59" s="106">
        <f t="shared" si="76"/>
        <v>0</v>
      </c>
      <c r="AI59" s="178">
        <f t="shared" si="85"/>
        <v>0</v>
      </c>
      <c r="AJ59" s="421"/>
      <c r="AK59" s="210"/>
      <c r="AL59" s="210"/>
      <c r="AM59" s="106">
        <f t="shared" si="77"/>
        <v>0</v>
      </c>
      <c r="AN59" s="178" t="e">
        <f t="shared" si="64"/>
        <v>#DIV/0!</v>
      </c>
      <c r="AO59" s="421"/>
      <c r="AP59" s="210"/>
      <c r="AQ59" s="210"/>
      <c r="AR59" s="106">
        <f t="shared" si="78"/>
        <v>0</v>
      </c>
      <c r="AS59" s="178" t="e">
        <f t="shared" si="65"/>
        <v>#DIV/0!</v>
      </c>
      <c r="AT59" s="421"/>
      <c r="AU59" s="1567"/>
      <c r="AV59" s="1567"/>
      <c r="AW59" s="1495">
        <f t="shared" si="79"/>
        <v>0</v>
      </c>
      <c r="AX59" s="1893" t="e">
        <f t="shared" si="66"/>
        <v>#DIV/0!</v>
      </c>
      <c r="AY59" s="1928"/>
      <c r="AZ59" s="39">
        <f t="shared" si="80"/>
        <v>36621.796335403727</v>
      </c>
      <c r="BA59" s="39">
        <f t="shared" si="81"/>
        <v>0</v>
      </c>
      <c r="BB59" s="106">
        <f t="shared" si="82"/>
        <v>36621.796335403727</v>
      </c>
      <c r="BC59" s="178">
        <f t="shared" si="67"/>
        <v>8.4394697274914278E-4</v>
      </c>
      <c r="BD59" s="79"/>
    </row>
    <row r="60" spans="1:56" ht="14.4" customHeight="1" outlineLevel="2" x14ac:dyDescent="0.25">
      <c r="A60" s="237"/>
      <c r="B60" s="19" t="s">
        <v>65</v>
      </c>
      <c r="C60" s="113">
        <v>22880</v>
      </c>
      <c r="D60" s="128"/>
      <c r="E60" s="120">
        <f t="shared" si="68"/>
        <v>22880</v>
      </c>
      <c r="F60" s="178">
        <f t="shared" si="83"/>
        <v>5.5199199564288026E-4</v>
      </c>
      <c r="G60" s="39">
        <v>34887.000993788824</v>
      </c>
      <c r="H60" s="39">
        <v>0</v>
      </c>
      <c r="I60" s="106">
        <f t="shared" si="69"/>
        <v>34887.000993788824</v>
      </c>
      <c r="J60" s="178">
        <f t="shared" si="62"/>
        <v>8.1418261324520862E-4</v>
      </c>
      <c r="K60" s="79"/>
      <c r="L60" s="210">
        <v>3343.9999999999995</v>
      </c>
      <c r="M60" s="210"/>
      <c r="N60" s="106">
        <f t="shared" si="70"/>
        <v>3343.9999999999995</v>
      </c>
      <c r="O60" s="178">
        <f t="shared" si="63"/>
        <v>1.5598418828225217E-2</v>
      </c>
      <c r="P60" s="79"/>
      <c r="Q60" s="210"/>
      <c r="R60" s="210"/>
      <c r="S60" s="106">
        <f t="shared" si="71"/>
        <v>0</v>
      </c>
      <c r="T60" s="178">
        <f t="shared" si="72"/>
        <v>0</v>
      </c>
      <c r="U60" s="421"/>
      <c r="V60" s="210"/>
      <c r="W60" s="210"/>
      <c r="X60" s="106">
        <f t="shared" si="73"/>
        <v>0</v>
      </c>
      <c r="Y60" s="178">
        <f t="shared" si="74"/>
        <v>0</v>
      </c>
      <c r="Z60" s="421"/>
      <c r="AA60" s="210"/>
      <c r="AB60" s="210"/>
      <c r="AC60" s="106">
        <f t="shared" si="75"/>
        <v>0</v>
      </c>
      <c r="AD60" s="178">
        <f t="shared" si="84"/>
        <v>0</v>
      </c>
      <c r="AE60" s="421"/>
      <c r="AF60" s="210"/>
      <c r="AG60" s="210"/>
      <c r="AH60" s="106">
        <f t="shared" si="76"/>
        <v>0</v>
      </c>
      <c r="AI60" s="178">
        <f t="shared" si="85"/>
        <v>0</v>
      </c>
      <c r="AJ60" s="421"/>
      <c r="AK60" s="210"/>
      <c r="AL60" s="210"/>
      <c r="AM60" s="106">
        <f t="shared" si="77"/>
        <v>0</v>
      </c>
      <c r="AN60" s="178" t="e">
        <f t="shared" si="64"/>
        <v>#DIV/0!</v>
      </c>
      <c r="AO60" s="421"/>
      <c r="AP60" s="210"/>
      <c r="AQ60" s="210"/>
      <c r="AR60" s="106">
        <f t="shared" si="78"/>
        <v>0</v>
      </c>
      <c r="AS60" s="178" t="e">
        <f t="shared" si="65"/>
        <v>#DIV/0!</v>
      </c>
      <c r="AT60" s="421"/>
      <c r="AU60" s="1567"/>
      <c r="AV60" s="1567"/>
      <c r="AW60" s="1495">
        <f t="shared" si="79"/>
        <v>0</v>
      </c>
      <c r="AX60" s="1893" t="e">
        <f t="shared" si="66"/>
        <v>#DIV/0!</v>
      </c>
      <c r="AY60" s="1928"/>
      <c r="AZ60" s="39">
        <f t="shared" si="80"/>
        <v>38231.000993788824</v>
      </c>
      <c r="BA60" s="39">
        <f t="shared" si="81"/>
        <v>0</v>
      </c>
      <c r="BB60" s="106">
        <f t="shared" si="82"/>
        <v>38231.000993788824</v>
      </c>
      <c r="BC60" s="178">
        <f t="shared" si="67"/>
        <v>8.8103099199112096E-4</v>
      </c>
      <c r="BD60" s="79"/>
    </row>
    <row r="61" spans="1:56" ht="13.95" customHeight="1" outlineLevel="2" x14ac:dyDescent="0.25">
      <c r="A61" s="237"/>
      <c r="B61" s="19" t="s">
        <v>32</v>
      </c>
      <c r="C61" s="113"/>
      <c r="D61" s="128"/>
      <c r="E61" s="120">
        <f t="shared" si="68"/>
        <v>0</v>
      </c>
      <c r="F61" s="178">
        <f t="shared" si="83"/>
        <v>0</v>
      </c>
      <c r="G61" s="39">
        <v>0</v>
      </c>
      <c r="H61" s="39">
        <v>0</v>
      </c>
      <c r="I61" s="106">
        <f t="shared" si="69"/>
        <v>0</v>
      </c>
      <c r="J61" s="178">
        <f t="shared" si="62"/>
        <v>0</v>
      </c>
      <c r="K61" s="79"/>
      <c r="L61" s="210"/>
      <c r="M61" s="210"/>
      <c r="N61" s="106">
        <f t="shared" si="70"/>
        <v>0</v>
      </c>
      <c r="O61" s="178">
        <f t="shared" si="63"/>
        <v>0</v>
      </c>
      <c r="P61" s="79"/>
      <c r="Q61" s="210"/>
      <c r="R61" s="210"/>
      <c r="S61" s="106">
        <f t="shared" si="71"/>
        <v>0</v>
      </c>
      <c r="T61" s="178">
        <f t="shared" si="72"/>
        <v>0</v>
      </c>
      <c r="U61" s="421"/>
      <c r="V61" s="210"/>
      <c r="W61" s="210"/>
      <c r="X61" s="106">
        <f t="shared" si="73"/>
        <v>0</v>
      </c>
      <c r="Y61" s="178">
        <f t="shared" si="74"/>
        <v>0</v>
      </c>
      <c r="Z61" s="421"/>
      <c r="AA61" s="210"/>
      <c r="AB61" s="210"/>
      <c r="AC61" s="106">
        <f t="shared" si="75"/>
        <v>0</v>
      </c>
      <c r="AD61" s="178">
        <f t="shared" si="84"/>
        <v>0</v>
      </c>
      <c r="AE61" s="421"/>
      <c r="AF61" s="210"/>
      <c r="AG61" s="210"/>
      <c r="AH61" s="106">
        <f t="shared" si="76"/>
        <v>0</v>
      </c>
      <c r="AI61" s="178">
        <f t="shared" si="85"/>
        <v>0</v>
      </c>
      <c r="AJ61" s="421"/>
      <c r="AK61" s="210"/>
      <c r="AL61" s="210"/>
      <c r="AM61" s="106">
        <f t="shared" si="77"/>
        <v>0</v>
      </c>
      <c r="AN61" s="178" t="e">
        <f t="shared" si="64"/>
        <v>#DIV/0!</v>
      </c>
      <c r="AO61" s="421"/>
      <c r="AP61" s="210"/>
      <c r="AQ61" s="210"/>
      <c r="AR61" s="106">
        <f t="shared" si="78"/>
        <v>0</v>
      </c>
      <c r="AS61" s="178" t="e">
        <f t="shared" si="65"/>
        <v>#DIV/0!</v>
      </c>
      <c r="AT61" s="421"/>
      <c r="AU61" s="1567"/>
      <c r="AV61" s="1567"/>
      <c r="AW61" s="1495">
        <f t="shared" si="79"/>
        <v>0</v>
      </c>
      <c r="AX61" s="1893" t="e">
        <f t="shared" si="66"/>
        <v>#DIV/0!</v>
      </c>
      <c r="AY61" s="1928"/>
      <c r="AZ61" s="39">
        <f t="shared" si="80"/>
        <v>0</v>
      </c>
      <c r="BA61" s="39">
        <f t="shared" si="81"/>
        <v>0</v>
      </c>
      <c r="BB61" s="106">
        <f t="shared" si="82"/>
        <v>0</v>
      </c>
      <c r="BC61" s="178">
        <f t="shared" si="67"/>
        <v>0</v>
      </c>
      <c r="BD61" s="79"/>
    </row>
    <row r="62" spans="1:56" ht="30.6" customHeight="1" outlineLevel="2" x14ac:dyDescent="0.25">
      <c r="A62" s="237"/>
      <c r="B62" s="19" t="s">
        <v>33</v>
      </c>
      <c r="C62" s="129"/>
      <c r="D62" s="128">
        <v>1196</v>
      </c>
      <c r="E62" s="120">
        <f t="shared" si="68"/>
        <v>1196</v>
      </c>
      <c r="F62" s="178">
        <f t="shared" si="83"/>
        <v>2.8854127044968738E-5</v>
      </c>
      <c r="G62" s="39">
        <v>0</v>
      </c>
      <c r="H62" s="39">
        <v>0</v>
      </c>
      <c r="I62" s="106">
        <f t="shared" si="69"/>
        <v>0</v>
      </c>
      <c r="J62" s="178">
        <f t="shared" si="62"/>
        <v>0</v>
      </c>
      <c r="K62" s="79"/>
      <c r="L62" s="210"/>
      <c r="M62" s="210"/>
      <c r="N62" s="106">
        <f t="shared" si="70"/>
        <v>0</v>
      </c>
      <c r="O62" s="178">
        <f t="shared" si="63"/>
        <v>0</v>
      </c>
      <c r="P62" s="79"/>
      <c r="Q62" s="210"/>
      <c r="R62" s="210"/>
      <c r="S62" s="106">
        <f t="shared" si="71"/>
        <v>0</v>
      </c>
      <c r="T62" s="178">
        <f t="shared" si="72"/>
        <v>0</v>
      </c>
      <c r="U62" s="421"/>
      <c r="V62" s="210"/>
      <c r="W62" s="210"/>
      <c r="X62" s="106">
        <f t="shared" si="73"/>
        <v>0</v>
      </c>
      <c r="Y62" s="178">
        <f t="shared" si="74"/>
        <v>0</v>
      </c>
      <c r="Z62" s="421"/>
      <c r="AA62" s="210"/>
      <c r="AB62" s="210"/>
      <c r="AC62" s="106">
        <f t="shared" si="75"/>
        <v>0</v>
      </c>
      <c r="AD62" s="178">
        <f t="shared" si="84"/>
        <v>0</v>
      </c>
      <c r="AE62" s="421"/>
      <c r="AF62" s="210"/>
      <c r="AG62" s="210"/>
      <c r="AH62" s="106">
        <f t="shared" si="76"/>
        <v>0</v>
      </c>
      <c r="AI62" s="178">
        <f t="shared" si="85"/>
        <v>0</v>
      </c>
      <c r="AJ62" s="421"/>
      <c r="AK62" s="210"/>
      <c r="AL62" s="210"/>
      <c r="AM62" s="106">
        <f t="shared" si="77"/>
        <v>0</v>
      </c>
      <c r="AN62" s="178" t="e">
        <f t="shared" si="64"/>
        <v>#DIV/0!</v>
      </c>
      <c r="AO62" s="421"/>
      <c r="AP62" s="210"/>
      <c r="AQ62" s="210"/>
      <c r="AR62" s="106">
        <f t="shared" si="78"/>
        <v>0</v>
      </c>
      <c r="AS62" s="178" t="e">
        <f t="shared" si="65"/>
        <v>#DIV/0!</v>
      </c>
      <c r="AT62" s="421"/>
      <c r="AU62" s="1567"/>
      <c r="AV62" s="1567"/>
      <c r="AW62" s="1495">
        <f t="shared" si="79"/>
        <v>0</v>
      </c>
      <c r="AX62" s="1893" t="e">
        <f t="shared" si="66"/>
        <v>#DIV/0!</v>
      </c>
      <c r="AY62" s="1928"/>
      <c r="AZ62" s="39">
        <f t="shared" si="80"/>
        <v>0</v>
      </c>
      <c r="BA62" s="39">
        <f t="shared" si="81"/>
        <v>0</v>
      </c>
      <c r="BB62" s="106">
        <f t="shared" si="82"/>
        <v>0</v>
      </c>
      <c r="BC62" s="178">
        <f t="shared" si="67"/>
        <v>0</v>
      </c>
      <c r="BD62" s="79"/>
    </row>
    <row r="63" spans="1:56" ht="13.8" outlineLevel="2" x14ac:dyDescent="0.25">
      <c r="A63" s="237"/>
      <c r="B63" s="19" t="s">
        <v>35</v>
      </c>
      <c r="C63" s="129">
        <v>37600</v>
      </c>
      <c r="D63" s="128"/>
      <c r="E63" s="120">
        <f t="shared" si="68"/>
        <v>37600</v>
      </c>
      <c r="F63" s="178">
        <f t="shared" si="83"/>
        <v>9.0711971311941862E-4</v>
      </c>
      <c r="G63" s="39">
        <v>42580.679999999993</v>
      </c>
      <c r="H63" s="39">
        <v>2041</v>
      </c>
      <c r="I63" s="106">
        <f t="shared" si="69"/>
        <v>44621.679999999993</v>
      </c>
      <c r="J63" s="178">
        <f t="shared" si="62"/>
        <v>1.0413677012896458E-3</v>
      </c>
      <c r="K63" s="79"/>
      <c r="L63" s="210"/>
      <c r="M63" s="210"/>
      <c r="N63" s="106">
        <f t="shared" si="70"/>
        <v>0</v>
      </c>
      <c r="O63" s="178">
        <f t="shared" si="63"/>
        <v>0</v>
      </c>
      <c r="P63" s="79"/>
      <c r="Q63" s="210"/>
      <c r="R63" s="210"/>
      <c r="S63" s="106">
        <f t="shared" si="71"/>
        <v>0</v>
      </c>
      <c r="T63" s="178">
        <f t="shared" si="72"/>
        <v>0</v>
      </c>
      <c r="U63" s="431"/>
      <c r="V63" s="210">
        <v>6855</v>
      </c>
      <c r="W63" s="210"/>
      <c r="X63" s="106">
        <f t="shared" si="73"/>
        <v>6855</v>
      </c>
      <c r="Y63" s="178">
        <f t="shared" si="74"/>
        <v>8.698098128044035E-2</v>
      </c>
      <c r="Z63" s="431" t="s">
        <v>634</v>
      </c>
      <c r="AA63" s="210"/>
      <c r="AB63" s="210"/>
      <c r="AC63" s="106">
        <f t="shared" si="75"/>
        <v>0</v>
      </c>
      <c r="AD63" s="178">
        <f t="shared" si="84"/>
        <v>0</v>
      </c>
      <c r="AE63" s="431"/>
      <c r="AF63" s="210"/>
      <c r="AG63" s="210"/>
      <c r="AH63" s="106">
        <f t="shared" si="76"/>
        <v>0</v>
      </c>
      <c r="AI63" s="178">
        <f t="shared" si="85"/>
        <v>0</v>
      </c>
      <c r="AJ63" s="431"/>
      <c r="AK63" s="210"/>
      <c r="AL63" s="210"/>
      <c r="AM63" s="106">
        <f t="shared" si="77"/>
        <v>0</v>
      </c>
      <c r="AN63" s="178" t="e">
        <f t="shared" si="64"/>
        <v>#DIV/0!</v>
      </c>
      <c r="AO63" s="431"/>
      <c r="AP63" s="210"/>
      <c r="AQ63" s="210"/>
      <c r="AR63" s="106">
        <f t="shared" si="78"/>
        <v>0</v>
      </c>
      <c r="AS63" s="178" t="e">
        <f t="shared" si="65"/>
        <v>#DIV/0!</v>
      </c>
      <c r="AT63" s="431"/>
      <c r="AU63" s="1567"/>
      <c r="AV63" s="1567"/>
      <c r="AW63" s="1495">
        <f t="shared" si="79"/>
        <v>0</v>
      </c>
      <c r="AX63" s="1893" t="e">
        <f t="shared" si="66"/>
        <v>#DIV/0!</v>
      </c>
      <c r="AY63" s="1962"/>
      <c r="AZ63" s="39">
        <f t="shared" si="80"/>
        <v>49435.679999999993</v>
      </c>
      <c r="BA63" s="39">
        <f t="shared" si="81"/>
        <v>2041</v>
      </c>
      <c r="BB63" s="106">
        <f t="shared" si="82"/>
        <v>51476.679999999993</v>
      </c>
      <c r="BC63" s="178">
        <f t="shared" si="67"/>
        <v>1.1862768241976626E-3</v>
      </c>
      <c r="BD63" s="79"/>
    </row>
    <row r="64" spans="1:56" ht="31.2" customHeight="1" outlineLevel="2" x14ac:dyDescent="0.25">
      <c r="A64" s="237"/>
      <c r="B64" s="19" t="s">
        <v>63</v>
      </c>
      <c r="C64" s="129"/>
      <c r="D64" s="128"/>
      <c r="E64" s="120">
        <f t="shared" si="68"/>
        <v>0</v>
      </c>
      <c r="F64" s="178">
        <f t="shared" si="83"/>
        <v>0</v>
      </c>
      <c r="G64" s="39">
        <v>0</v>
      </c>
      <c r="H64" s="39">
        <v>0</v>
      </c>
      <c r="I64" s="106">
        <f t="shared" si="69"/>
        <v>0</v>
      </c>
      <c r="J64" s="178">
        <f t="shared" si="62"/>
        <v>0</v>
      </c>
      <c r="K64" s="79"/>
      <c r="L64" s="210"/>
      <c r="M64" s="210"/>
      <c r="N64" s="106">
        <f t="shared" si="70"/>
        <v>0</v>
      </c>
      <c r="O64" s="178">
        <f t="shared" si="63"/>
        <v>0</v>
      </c>
      <c r="P64" s="79"/>
      <c r="Q64" s="210"/>
      <c r="R64" s="210"/>
      <c r="S64" s="106">
        <f t="shared" si="71"/>
        <v>0</v>
      </c>
      <c r="T64" s="178">
        <f t="shared" si="72"/>
        <v>0</v>
      </c>
      <c r="U64" s="431"/>
      <c r="V64" s="210"/>
      <c r="W64" s="210"/>
      <c r="X64" s="106">
        <f t="shared" si="73"/>
        <v>0</v>
      </c>
      <c r="Y64" s="178">
        <f t="shared" si="74"/>
        <v>0</v>
      </c>
      <c r="Z64" s="431"/>
      <c r="AA64" s="210"/>
      <c r="AB64" s="210"/>
      <c r="AC64" s="106">
        <f t="shared" si="75"/>
        <v>0</v>
      </c>
      <c r="AD64" s="178">
        <f t="shared" si="84"/>
        <v>0</v>
      </c>
      <c r="AE64" s="431"/>
      <c r="AF64" s="210"/>
      <c r="AG64" s="210"/>
      <c r="AH64" s="106">
        <f t="shared" si="76"/>
        <v>0</v>
      </c>
      <c r="AI64" s="178">
        <f t="shared" si="85"/>
        <v>0</v>
      </c>
      <c r="AJ64" s="431"/>
      <c r="AK64" s="210"/>
      <c r="AL64" s="210"/>
      <c r="AM64" s="106">
        <f t="shared" si="77"/>
        <v>0</v>
      </c>
      <c r="AN64" s="178" t="e">
        <f t="shared" si="64"/>
        <v>#DIV/0!</v>
      </c>
      <c r="AO64" s="431"/>
      <c r="AP64" s="210"/>
      <c r="AQ64" s="210"/>
      <c r="AR64" s="106">
        <f t="shared" si="78"/>
        <v>0</v>
      </c>
      <c r="AS64" s="178" t="e">
        <f t="shared" si="65"/>
        <v>#DIV/0!</v>
      </c>
      <c r="AT64" s="431"/>
      <c r="AU64" s="1567"/>
      <c r="AV64" s="1567"/>
      <c r="AW64" s="1495">
        <f t="shared" si="79"/>
        <v>0</v>
      </c>
      <c r="AX64" s="1893" t="e">
        <f t="shared" si="66"/>
        <v>#DIV/0!</v>
      </c>
      <c r="AY64" s="1962"/>
      <c r="AZ64" s="39">
        <f t="shared" si="80"/>
        <v>0</v>
      </c>
      <c r="BA64" s="39">
        <f t="shared" si="81"/>
        <v>0</v>
      </c>
      <c r="BB64" s="106">
        <f t="shared" si="82"/>
        <v>0</v>
      </c>
      <c r="BC64" s="178">
        <f t="shared" si="67"/>
        <v>0</v>
      </c>
      <c r="BD64" s="79"/>
    </row>
    <row r="65" spans="1:56" ht="24" outlineLevel="2" x14ac:dyDescent="0.25">
      <c r="A65" s="237"/>
      <c r="B65" s="19" t="s">
        <v>36</v>
      </c>
      <c r="C65" s="129"/>
      <c r="D65" s="128"/>
      <c r="E65" s="120">
        <f t="shared" si="68"/>
        <v>0</v>
      </c>
      <c r="F65" s="178">
        <f t="shared" si="83"/>
        <v>0</v>
      </c>
      <c r="G65" s="39">
        <v>5000</v>
      </c>
      <c r="H65" s="39">
        <v>450</v>
      </c>
      <c r="I65" s="106">
        <f t="shared" si="69"/>
        <v>5450</v>
      </c>
      <c r="J65" s="178">
        <f t="shared" si="62"/>
        <v>1.2719050407847867E-4</v>
      </c>
      <c r="K65" s="79"/>
      <c r="L65" s="39"/>
      <c r="M65" s="39"/>
      <c r="N65" s="106">
        <f t="shared" si="70"/>
        <v>0</v>
      </c>
      <c r="O65" s="178">
        <f>N65/$N$89</f>
        <v>0</v>
      </c>
      <c r="P65" s="79"/>
      <c r="Q65" s="39">
        <v>200</v>
      </c>
      <c r="R65" s="39"/>
      <c r="S65" s="106">
        <f t="shared" si="71"/>
        <v>200</v>
      </c>
      <c r="T65" s="178">
        <f>S65/$S$89</f>
        <v>8.2489832351620451E-4</v>
      </c>
      <c r="U65" s="431" t="s">
        <v>549</v>
      </c>
      <c r="V65" s="39">
        <v>800</v>
      </c>
      <c r="W65" s="39"/>
      <c r="X65" s="106">
        <f t="shared" si="73"/>
        <v>800</v>
      </c>
      <c r="Y65" s="178">
        <f t="shared" si="74"/>
        <v>1.0150953322297927E-2</v>
      </c>
      <c r="Z65" s="441" t="s">
        <v>667</v>
      </c>
      <c r="AA65" s="39"/>
      <c r="AB65" s="39"/>
      <c r="AC65" s="106">
        <f t="shared" si="75"/>
        <v>0</v>
      </c>
      <c r="AD65" s="178">
        <f t="shared" si="84"/>
        <v>0</v>
      </c>
      <c r="AE65" s="441"/>
      <c r="AF65" s="39"/>
      <c r="AG65" s="39"/>
      <c r="AH65" s="106">
        <f t="shared" si="76"/>
        <v>0</v>
      </c>
      <c r="AI65" s="178">
        <f t="shared" si="85"/>
        <v>0</v>
      </c>
      <c r="AJ65" s="441"/>
      <c r="AK65" s="39"/>
      <c r="AL65" s="39"/>
      <c r="AM65" s="106">
        <f t="shared" si="77"/>
        <v>0</v>
      </c>
      <c r="AN65" s="178" t="e">
        <f t="shared" si="64"/>
        <v>#DIV/0!</v>
      </c>
      <c r="AO65" s="441"/>
      <c r="AP65" s="39"/>
      <c r="AQ65" s="39"/>
      <c r="AR65" s="106">
        <f t="shared" si="78"/>
        <v>0</v>
      </c>
      <c r="AS65" s="178" t="e">
        <f t="shared" si="65"/>
        <v>#DIV/0!</v>
      </c>
      <c r="AT65" s="441"/>
      <c r="AU65" s="1447"/>
      <c r="AV65" s="1447"/>
      <c r="AW65" s="1495">
        <f t="shared" si="79"/>
        <v>0</v>
      </c>
      <c r="AX65" s="1893" t="e">
        <f t="shared" si="66"/>
        <v>#DIV/0!</v>
      </c>
      <c r="AY65" s="1957"/>
      <c r="AZ65" s="39">
        <f t="shared" si="80"/>
        <v>6000</v>
      </c>
      <c r="BA65" s="39">
        <f t="shared" si="81"/>
        <v>450</v>
      </c>
      <c r="BB65" s="106">
        <f t="shared" si="82"/>
        <v>6450</v>
      </c>
      <c r="BC65" s="178">
        <f t="shared" si="67"/>
        <v>1.4863984072156411E-4</v>
      </c>
      <c r="BD65" s="79"/>
    </row>
    <row r="66" spans="1:56" s="2" customFormat="1" ht="13.95" customHeight="1" outlineLevel="2" x14ac:dyDescent="0.25">
      <c r="A66" s="237"/>
      <c r="B66" s="19" t="s">
        <v>37</v>
      </c>
      <c r="C66" s="129"/>
      <c r="D66" s="128"/>
      <c r="E66" s="120">
        <f t="shared" si="68"/>
        <v>0</v>
      </c>
      <c r="F66" s="178">
        <f t="shared" si="83"/>
        <v>0</v>
      </c>
      <c r="G66" s="39">
        <v>0</v>
      </c>
      <c r="H66" s="39">
        <v>600</v>
      </c>
      <c r="I66" s="106">
        <f t="shared" si="69"/>
        <v>600</v>
      </c>
      <c r="J66" s="178">
        <f t="shared" si="62"/>
        <v>1.4002624302217835E-5</v>
      </c>
      <c r="K66" s="79"/>
      <c r="L66" s="39"/>
      <c r="M66" s="39"/>
      <c r="N66" s="106">
        <f t="shared" si="70"/>
        <v>0</v>
      </c>
      <c r="O66" s="178">
        <f t="shared" si="63"/>
        <v>0</v>
      </c>
      <c r="P66" s="79"/>
      <c r="Q66" s="39"/>
      <c r="R66" s="39"/>
      <c r="S66" s="106">
        <f t="shared" si="71"/>
        <v>0</v>
      </c>
      <c r="T66" s="178">
        <f t="shared" ref="T66:T72" si="86">S66/$N$89</f>
        <v>0</v>
      </c>
      <c r="U66" s="79"/>
      <c r="V66" s="39"/>
      <c r="W66" s="39"/>
      <c r="X66" s="106">
        <f t="shared" si="73"/>
        <v>0</v>
      </c>
      <c r="Y66" s="178">
        <f t="shared" si="74"/>
        <v>0</v>
      </c>
      <c r="Z66" s="79"/>
      <c r="AA66" s="39"/>
      <c r="AB66" s="39"/>
      <c r="AC66" s="106">
        <f t="shared" si="75"/>
        <v>0</v>
      </c>
      <c r="AD66" s="178">
        <f t="shared" si="84"/>
        <v>0</v>
      </c>
      <c r="AE66" s="79"/>
      <c r="AF66" s="39"/>
      <c r="AG66" s="39"/>
      <c r="AH66" s="106">
        <f t="shared" si="76"/>
        <v>0</v>
      </c>
      <c r="AI66" s="178">
        <f t="shared" si="85"/>
        <v>0</v>
      </c>
      <c r="AJ66" s="79"/>
      <c r="AK66" s="39"/>
      <c r="AL66" s="39"/>
      <c r="AM66" s="106">
        <f t="shared" si="77"/>
        <v>0</v>
      </c>
      <c r="AN66" s="178" t="e">
        <f t="shared" si="64"/>
        <v>#DIV/0!</v>
      </c>
      <c r="AO66" s="79"/>
      <c r="AP66" s="39"/>
      <c r="AQ66" s="39"/>
      <c r="AR66" s="106">
        <f t="shared" si="78"/>
        <v>0</v>
      </c>
      <c r="AS66" s="178" t="e">
        <f t="shared" si="65"/>
        <v>#DIV/0!</v>
      </c>
      <c r="AT66" s="79"/>
      <c r="AU66" s="1447"/>
      <c r="AV66" s="1447"/>
      <c r="AW66" s="1495">
        <f t="shared" si="79"/>
        <v>0</v>
      </c>
      <c r="AX66" s="1893" t="e">
        <f t="shared" si="66"/>
        <v>#DIV/0!</v>
      </c>
      <c r="AY66" s="1943"/>
      <c r="AZ66" s="39">
        <f t="shared" si="80"/>
        <v>0</v>
      </c>
      <c r="BA66" s="39">
        <f t="shared" si="81"/>
        <v>600</v>
      </c>
      <c r="BB66" s="106">
        <f t="shared" si="82"/>
        <v>600</v>
      </c>
      <c r="BC66" s="178">
        <f t="shared" si="67"/>
        <v>1.3826961927587359E-5</v>
      </c>
      <c r="BD66" s="79"/>
    </row>
    <row r="67" spans="1:56" s="2" customFormat="1" ht="102" customHeight="1" outlineLevel="2" x14ac:dyDescent="0.25">
      <c r="A67" s="237"/>
      <c r="B67" s="19" t="s">
        <v>3</v>
      </c>
      <c r="C67" s="129"/>
      <c r="D67" s="128"/>
      <c r="E67" s="120">
        <f t="shared" si="68"/>
        <v>0</v>
      </c>
      <c r="F67" s="178">
        <f t="shared" si="83"/>
        <v>0</v>
      </c>
      <c r="G67" s="39">
        <v>0</v>
      </c>
      <c r="H67" s="39">
        <v>0</v>
      </c>
      <c r="I67" s="106">
        <f t="shared" si="69"/>
        <v>0</v>
      </c>
      <c r="J67" s="178">
        <f t="shared" si="62"/>
        <v>0</v>
      </c>
      <c r="K67" s="79"/>
      <c r="L67" s="39"/>
      <c r="M67" s="39"/>
      <c r="N67" s="106">
        <f t="shared" si="70"/>
        <v>0</v>
      </c>
      <c r="O67" s="178">
        <f t="shared" si="63"/>
        <v>0</v>
      </c>
      <c r="P67" s="79"/>
      <c r="Q67" s="39"/>
      <c r="R67" s="39"/>
      <c r="S67" s="106">
        <f t="shared" si="71"/>
        <v>0</v>
      </c>
      <c r="T67" s="178">
        <f t="shared" si="86"/>
        <v>0</v>
      </c>
      <c r="U67" s="79"/>
      <c r="V67" s="39"/>
      <c r="W67" s="39"/>
      <c r="X67" s="106">
        <f t="shared" si="73"/>
        <v>0</v>
      </c>
      <c r="Y67" s="178">
        <f t="shared" si="74"/>
        <v>0</v>
      </c>
      <c r="Z67" s="79"/>
      <c r="AA67" s="39"/>
      <c r="AB67" s="39"/>
      <c r="AC67" s="106">
        <f t="shared" si="75"/>
        <v>0</v>
      </c>
      <c r="AD67" s="178">
        <f t="shared" si="84"/>
        <v>0</v>
      </c>
      <c r="AE67" s="79"/>
      <c r="AF67" s="39"/>
      <c r="AG67" s="39"/>
      <c r="AH67" s="106">
        <f t="shared" si="76"/>
        <v>0</v>
      </c>
      <c r="AI67" s="178">
        <f t="shared" si="85"/>
        <v>0</v>
      </c>
      <c r="AJ67" s="79"/>
      <c r="AK67" s="39"/>
      <c r="AL67" s="39"/>
      <c r="AM67" s="106">
        <f t="shared" si="77"/>
        <v>0</v>
      </c>
      <c r="AN67" s="178" t="e">
        <f t="shared" si="64"/>
        <v>#DIV/0!</v>
      </c>
      <c r="AO67" s="79"/>
      <c r="AP67" s="39"/>
      <c r="AQ67" s="39"/>
      <c r="AR67" s="106">
        <f t="shared" si="78"/>
        <v>0</v>
      </c>
      <c r="AS67" s="178" t="e">
        <f t="shared" si="65"/>
        <v>#DIV/0!</v>
      </c>
      <c r="AT67" s="79"/>
      <c r="AU67" s="1447"/>
      <c r="AV67" s="1447"/>
      <c r="AW67" s="1495">
        <f t="shared" si="79"/>
        <v>0</v>
      </c>
      <c r="AX67" s="1893" t="e">
        <f t="shared" si="66"/>
        <v>#DIV/0!</v>
      </c>
      <c r="AY67" s="1943"/>
      <c r="AZ67" s="39">
        <f t="shared" si="80"/>
        <v>0</v>
      </c>
      <c r="BA67" s="39">
        <f t="shared" si="81"/>
        <v>0</v>
      </c>
      <c r="BB67" s="106">
        <f t="shared" si="82"/>
        <v>0</v>
      </c>
      <c r="BC67" s="178">
        <f t="shared" si="67"/>
        <v>0</v>
      </c>
      <c r="BD67" s="79"/>
    </row>
    <row r="68" spans="1:56" s="2" customFormat="1" ht="13.95" customHeight="1" outlineLevel="2" x14ac:dyDescent="0.25">
      <c r="A68" s="237"/>
      <c r="B68" s="19" t="s">
        <v>5</v>
      </c>
      <c r="C68" s="129"/>
      <c r="D68" s="128">
        <v>8000</v>
      </c>
      <c r="E68" s="120">
        <f t="shared" si="68"/>
        <v>8000</v>
      </c>
      <c r="F68" s="178">
        <f t="shared" si="83"/>
        <v>1.9300419428072737E-4</v>
      </c>
      <c r="G68" s="39">
        <v>20</v>
      </c>
      <c r="H68" s="39">
        <v>1988.78</v>
      </c>
      <c r="I68" s="106">
        <f t="shared" si="69"/>
        <v>2008.78</v>
      </c>
      <c r="J68" s="178">
        <f t="shared" si="62"/>
        <v>4.6880319409681902E-5</v>
      </c>
      <c r="K68" s="79"/>
      <c r="L68" s="39"/>
      <c r="M68" s="39"/>
      <c r="N68" s="106">
        <f t="shared" si="70"/>
        <v>0</v>
      </c>
      <c r="O68" s="178">
        <f t="shared" si="63"/>
        <v>0</v>
      </c>
      <c r="P68" s="79"/>
      <c r="Q68" s="39"/>
      <c r="R68" s="39"/>
      <c r="S68" s="106">
        <f t="shared" si="71"/>
        <v>0</v>
      </c>
      <c r="T68" s="178">
        <f t="shared" si="86"/>
        <v>0</v>
      </c>
      <c r="U68" s="79"/>
      <c r="V68" s="39"/>
      <c r="W68" s="39"/>
      <c r="X68" s="106">
        <f t="shared" si="73"/>
        <v>0</v>
      </c>
      <c r="Y68" s="178">
        <f t="shared" si="74"/>
        <v>0</v>
      </c>
      <c r="Z68" s="79"/>
      <c r="AA68" s="39"/>
      <c r="AB68" s="39"/>
      <c r="AC68" s="106">
        <f t="shared" si="75"/>
        <v>0</v>
      </c>
      <c r="AD68" s="178">
        <f t="shared" si="84"/>
        <v>0</v>
      </c>
      <c r="AE68" s="79"/>
      <c r="AF68" s="39"/>
      <c r="AG68" s="39"/>
      <c r="AH68" s="106">
        <f t="shared" si="76"/>
        <v>0</v>
      </c>
      <c r="AI68" s="178">
        <f t="shared" si="85"/>
        <v>0</v>
      </c>
      <c r="AJ68" s="79"/>
      <c r="AK68" s="39"/>
      <c r="AL68" s="39"/>
      <c r="AM68" s="106">
        <f t="shared" si="77"/>
        <v>0</v>
      </c>
      <c r="AN68" s="178" t="e">
        <f t="shared" si="64"/>
        <v>#DIV/0!</v>
      </c>
      <c r="AO68" s="79"/>
      <c r="AP68" s="39"/>
      <c r="AQ68" s="39"/>
      <c r="AR68" s="106">
        <f t="shared" si="78"/>
        <v>0</v>
      </c>
      <c r="AS68" s="178" t="e">
        <f t="shared" si="65"/>
        <v>#DIV/0!</v>
      </c>
      <c r="AT68" s="79"/>
      <c r="AU68" s="1447"/>
      <c r="AV68" s="1447"/>
      <c r="AW68" s="1495">
        <f t="shared" si="79"/>
        <v>0</v>
      </c>
      <c r="AX68" s="1893" t="e">
        <f t="shared" si="66"/>
        <v>#DIV/0!</v>
      </c>
      <c r="AY68" s="1943"/>
      <c r="AZ68" s="39">
        <f t="shared" si="80"/>
        <v>20</v>
      </c>
      <c r="BA68" s="39">
        <f t="shared" si="81"/>
        <v>1988.78</v>
      </c>
      <c r="BB68" s="106">
        <f t="shared" si="82"/>
        <v>2008.78</v>
      </c>
      <c r="BC68" s="178">
        <f t="shared" si="67"/>
        <v>4.6292207634831559E-5</v>
      </c>
      <c r="BD68" s="79"/>
    </row>
    <row r="69" spans="1:56" s="2" customFormat="1" ht="13.8" outlineLevel="2" x14ac:dyDescent="0.25">
      <c r="A69" s="237"/>
      <c r="B69" s="19" t="s">
        <v>42</v>
      </c>
      <c r="C69" s="129">
        <v>34880</v>
      </c>
      <c r="D69" s="128"/>
      <c r="E69" s="120">
        <f t="shared" si="68"/>
        <v>34880</v>
      </c>
      <c r="F69" s="178">
        <f t="shared" si="83"/>
        <v>8.4149828706397121E-4</v>
      </c>
      <c r="G69" s="39">
        <v>48660</v>
      </c>
      <c r="H69" s="39">
        <v>500</v>
      </c>
      <c r="I69" s="106">
        <f t="shared" si="69"/>
        <v>49160</v>
      </c>
      <c r="J69" s="178">
        <f t="shared" si="62"/>
        <v>1.1472816844950479E-3</v>
      </c>
      <c r="K69" s="79"/>
      <c r="L69" s="39"/>
      <c r="M69" s="39"/>
      <c r="N69" s="106">
        <f t="shared" si="70"/>
        <v>0</v>
      </c>
      <c r="O69" s="178">
        <f t="shared" si="63"/>
        <v>0</v>
      </c>
      <c r="P69" s="79"/>
      <c r="Q69" s="39"/>
      <c r="R69" s="39"/>
      <c r="S69" s="106">
        <f t="shared" si="71"/>
        <v>0</v>
      </c>
      <c r="T69" s="178">
        <f t="shared" si="86"/>
        <v>0</v>
      </c>
      <c r="U69" s="79"/>
      <c r="V69" s="39"/>
      <c r="W69" s="39"/>
      <c r="X69" s="106">
        <f t="shared" si="73"/>
        <v>0</v>
      </c>
      <c r="Y69" s="178">
        <f t="shared" si="74"/>
        <v>0</v>
      </c>
      <c r="Z69" s="79"/>
      <c r="AA69" s="39"/>
      <c r="AB69" s="39"/>
      <c r="AC69" s="106">
        <f t="shared" si="75"/>
        <v>0</v>
      </c>
      <c r="AD69" s="178">
        <f t="shared" si="84"/>
        <v>0</v>
      </c>
      <c r="AE69" s="79"/>
      <c r="AF69" s="39"/>
      <c r="AG69" s="39"/>
      <c r="AH69" s="106">
        <f t="shared" si="76"/>
        <v>0</v>
      </c>
      <c r="AI69" s="178">
        <f t="shared" si="85"/>
        <v>0</v>
      </c>
      <c r="AJ69" s="79"/>
      <c r="AK69" s="39"/>
      <c r="AL69" s="39"/>
      <c r="AM69" s="106">
        <f t="shared" si="77"/>
        <v>0</v>
      </c>
      <c r="AN69" s="178" t="e">
        <f t="shared" si="64"/>
        <v>#DIV/0!</v>
      </c>
      <c r="AO69" s="79"/>
      <c r="AP69" s="39"/>
      <c r="AQ69" s="39"/>
      <c r="AR69" s="106">
        <f t="shared" si="78"/>
        <v>0</v>
      </c>
      <c r="AS69" s="178" t="e">
        <f t="shared" si="65"/>
        <v>#DIV/0!</v>
      </c>
      <c r="AT69" s="79"/>
      <c r="AU69" s="1447"/>
      <c r="AV69" s="1447"/>
      <c r="AW69" s="1495">
        <f t="shared" si="79"/>
        <v>0</v>
      </c>
      <c r="AX69" s="1893" t="e">
        <f t="shared" si="66"/>
        <v>#DIV/0!</v>
      </c>
      <c r="AY69" s="1943"/>
      <c r="AZ69" s="39">
        <f t="shared" si="80"/>
        <v>48660</v>
      </c>
      <c r="BA69" s="39">
        <f t="shared" si="81"/>
        <v>500</v>
      </c>
      <c r="BB69" s="106">
        <f t="shared" si="82"/>
        <v>49160</v>
      </c>
      <c r="BC69" s="178">
        <f t="shared" si="67"/>
        <v>1.1328890806003244E-3</v>
      </c>
      <c r="BD69" s="79"/>
    </row>
    <row r="70" spans="1:56" s="2" customFormat="1" ht="22.95" customHeight="1" outlineLevel="2" x14ac:dyDescent="0.25">
      <c r="A70" s="237"/>
      <c r="B70" s="19" t="s">
        <v>6</v>
      </c>
      <c r="C70" s="129"/>
      <c r="D70" s="128"/>
      <c r="E70" s="120">
        <f t="shared" si="68"/>
        <v>0</v>
      </c>
      <c r="F70" s="178">
        <f t="shared" si="83"/>
        <v>0</v>
      </c>
      <c r="G70" s="39">
        <v>0</v>
      </c>
      <c r="H70" s="39">
        <v>18300</v>
      </c>
      <c r="I70" s="106">
        <f t="shared" si="69"/>
        <v>18300</v>
      </c>
      <c r="J70" s="178">
        <f t="shared" si="62"/>
        <v>4.2708004121764397E-4</v>
      </c>
      <c r="K70" s="79"/>
      <c r="L70" s="39"/>
      <c r="M70" s="39"/>
      <c r="N70" s="106">
        <f t="shared" si="70"/>
        <v>0</v>
      </c>
      <c r="O70" s="178">
        <f t="shared" si="63"/>
        <v>0</v>
      </c>
      <c r="P70" s="79"/>
      <c r="Q70" s="39"/>
      <c r="R70" s="39"/>
      <c r="S70" s="106">
        <f t="shared" si="71"/>
        <v>0</v>
      </c>
      <c r="T70" s="178">
        <f t="shared" si="86"/>
        <v>0</v>
      </c>
      <c r="U70" s="79"/>
      <c r="V70" s="39"/>
      <c r="W70" s="39"/>
      <c r="X70" s="106">
        <f t="shared" si="73"/>
        <v>0</v>
      </c>
      <c r="Y70" s="178">
        <f t="shared" si="74"/>
        <v>0</v>
      </c>
      <c r="Z70" s="79"/>
      <c r="AA70" s="39"/>
      <c r="AB70" s="39"/>
      <c r="AC70" s="106">
        <f t="shared" si="75"/>
        <v>0</v>
      </c>
      <c r="AD70" s="178">
        <f t="shared" si="84"/>
        <v>0</v>
      </c>
      <c r="AE70" s="79"/>
      <c r="AF70" s="39"/>
      <c r="AG70" s="39"/>
      <c r="AH70" s="106">
        <f t="shared" si="76"/>
        <v>0</v>
      </c>
      <c r="AI70" s="178">
        <f t="shared" si="85"/>
        <v>0</v>
      </c>
      <c r="AJ70" s="79"/>
      <c r="AK70" s="39"/>
      <c r="AL70" s="39"/>
      <c r="AM70" s="106">
        <f t="shared" si="77"/>
        <v>0</v>
      </c>
      <c r="AN70" s="178" t="e">
        <f t="shared" si="64"/>
        <v>#DIV/0!</v>
      </c>
      <c r="AO70" s="79"/>
      <c r="AP70" s="39"/>
      <c r="AQ70" s="39"/>
      <c r="AR70" s="106">
        <f t="shared" si="78"/>
        <v>0</v>
      </c>
      <c r="AS70" s="178" t="e">
        <f t="shared" si="65"/>
        <v>#DIV/0!</v>
      </c>
      <c r="AT70" s="79"/>
      <c r="AU70" s="1447"/>
      <c r="AV70" s="1447"/>
      <c r="AW70" s="1495">
        <f t="shared" si="79"/>
        <v>0</v>
      </c>
      <c r="AX70" s="1893" t="e">
        <f t="shared" si="66"/>
        <v>#DIV/0!</v>
      </c>
      <c r="AY70" s="1943"/>
      <c r="AZ70" s="39">
        <f t="shared" si="80"/>
        <v>0</v>
      </c>
      <c r="BA70" s="39">
        <f t="shared" si="81"/>
        <v>18300</v>
      </c>
      <c r="BB70" s="106">
        <f t="shared" si="82"/>
        <v>18300</v>
      </c>
      <c r="BC70" s="178">
        <f t="shared" si="67"/>
        <v>4.2172233879141449E-4</v>
      </c>
      <c r="BD70" s="79"/>
    </row>
    <row r="71" spans="1:56" s="2" customFormat="1" ht="22.2" customHeight="1" outlineLevel="2" x14ac:dyDescent="0.25">
      <c r="A71" s="237"/>
      <c r="B71" s="19" t="s">
        <v>78</v>
      </c>
      <c r="C71" s="129"/>
      <c r="D71" s="128"/>
      <c r="E71" s="120">
        <f t="shared" si="68"/>
        <v>0</v>
      </c>
      <c r="F71" s="184">
        <f t="shared" si="83"/>
        <v>0</v>
      </c>
      <c r="G71" s="39">
        <v>40000</v>
      </c>
      <c r="H71" s="39">
        <v>141650</v>
      </c>
      <c r="I71" s="106">
        <f t="shared" si="69"/>
        <v>181650</v>
      </c>
      <c r="J71" s="178">
        <f t="shared" si="62"/>
        <v>4.2392945074964496E-3</v>
      </c>
      <c r="K71" s="79"/>
      <c r="L71" s="39"/>
      <c r="M71" s="39"/>
      <c r="N71" s="106">
        <f t="shared" si="70"/>
        <v>0</v>
      </c>
      <c r="O71" s="178">
        <f t="shared" si="63"/>
        <v>0</v>
      </c>
      <c r="P71" s="79"/>
      <c r="Q71" s="39"/>
      <c r="R71" s="39"/>
      <c r="S71" s="106">
        <f t="shared" si="71"/>
        <v>0</v>
      </c>
      <c r="T71" s="178">
        <f t="shared" si="86"/>
        <v>0</v>
      </c>
      <c r="U71" s="79"/>
      <c r="V71" s="39"/>
      <c r="W71" s="39"/>
      <c r="X71" s="106">
        <f t="shared" si="73"/>
        <v>0</v>
      </c>
      <c r="Y71" s="178">
        <f t="shared" si="74"/>
        <v>0</v>
      </c>
      <c r="Z71" s="79"/>
      <c r="AA71" s="39"/>
      <c r="AB71" s="39"/>
      <c r="AC71" s="106">
        <f t="shared" si="75"/>
        <v>0</v>
      </c>
      <c r="AD71" s="178">
        <f t="shared" si="84"/>
        <v>0</v>
      </c>
      <c r="AE71" s="79"/>
      <c r="AF71" s="39"/>
      <c r="AG71" s="39"/>
      <c r="AH71" s="106">
        <f t="shared" si="76"/>
        <v>0</v>
      </c>
      <c r="AI71" s="178">
        <f t="shared" si="85"/>
        <v>0</v>
      </c>
      <c r="AJ71" s="79"/>
      <c r="AK71" s="39"/>
      <c r="AL71" s="39"/>
      <c r="AM71" s="106">
        <f t="shared" si="77"/>
        <v>0</v>
      </c>
      <c r="AN71" s="178" t="e">
        <f t="shared" si="64"/>
        <v>#DIV/0!</v>
      </c>
      <c r="AO71" s="79"/>
      <c r="AP71" s="39"/>
      <c r="AQ71" s="39"/>
      <c r="AR71" s="106">
        <f t="shared" si="78"/>
        <v>0</v>
      </c>
      <c r="AS71" s="178" t="e">
        <f t="shared" si="65"/>
        <v>#DIV/0!</v>
      </c>
      <c r="AT71" s="79"/>
      <c r="AU71" s="1447"/>
      <c r="AV71" s="1447"/>
      <c r="AW71" s="1495">
        <f t="shared" si="79"/>
        <v>0</v>
      </c>
      <c r="AX71" s="1893" t="e">
        <f t="shared" si="66"/>
        <v>#DIV/0!</v>
      </c>
      <c r="AY71" s="1943"/>
      <c r="AZ71" s="39">
        <f t="shared" si="80"/>
        <v>40000</v>
      </c>
      <c r="BA71" s="39">
        <f t="shared" si="81"/>
        <v>141650</v>
      </c>
      <c r="BB71" s="106">
        <f t="shared" si="82"/>
        <v>181650</v>
      </c>
      <c r="BC71" s="178">
        <f t="shared" si="67"/>
        <v>4.1861127235770729E-3</v>
      </c>
      <c r="BD71" s="79"/>
    </row>
    <row r="72" spans="1:56" s="2" customFormat="1" ht="14.4" outlineLevel="2" thickBot="1" x14ac:dyDescent="0.3">
      <c r="A72" s="237"/>
      <c r="B72" s="19"/>
      <c r="C72" s="130"/>
      <c r="D72" s="131"/>
      <c r="E72" s="159">
        <f t="shared" si="68"/>
        <v>0</v>
      </c>
      <c r="F72" s="184">
        <f t="shared" si="83"/>
        <v>0</v>
      </c>
      <c r="G72" s="210">
        <v>0</v>
      </c>
      <c r="H72" s="210">
        <v>0</v>
      </c>
      <c r="I72" s="106"/>
      <c r="J72" s="178">
        <f t="shared" si="62"/>
        <v>0</v>
      </c>
      <c r="K72" s="79"/>
      <c r="L72" s="39"/>
      <c r="M72" s="39"/>
      <c r="N72" s="106"/>
      <c r="O72" s="178">
        <f t="shared" si="63"/>
        <v>0</v>
      </c>
      <c r="P72" s="79"/>
      <c r="Q72" s="39"/>
      <c r="R72" s="39"/>
      <c r="S72" s="106"/>
      <c r="T72" s="178">
        <f t="shared" si="86"/>
        <v>0</v>
      </c>
      <c r="U72" s="79"/>
      <c r="V72" s="39"/>
      <c r="W72" s="39"/>
      <c r="X72" s="106"/>
      <c r="Y72" s="178">
        <f>X72/$N$89</f>
        <v>0</v>
      </c>
      <c r="Z72" s="79"/>
      <c r="AA72" s="39"/>
      <c r="AB72" s="39"/>
      <c r="AC72" s="106"/>
      <c r="AD72" s="178">
        <f>AC72/$N$89</f>
        <v>0</v>
      </c>
      <c r="AE72" s="79"/>
      <c r="AF72" s="39"/>
      <c r="AG72" s="39"/>
      <c r="AH72" s="106"/>
      <c r="AI72" s="178">
        <f>AH72/$N$89</f>
        <v>0</v>
      </c>
      <c r="AJ72" s="79"/>
      <c r="AK72" s="39"/>
      <c r="AL72" s="39"/>
      <c r="AM72" s="106"/>
      <c r="AN72" s="178">
        <f>AM72/$N$89</f>
        <v>0</v>
      </c>
      <c r="AO72" s="79"/>
      <c r="AP72" s="39"/>
      <c r="AQ72" s="39"/>
      <c r="AR72" s="106"/>
      <c r="AS72" s="178">
        <f>AR72/$N$89</f>
        <v>0</v>
      </c>
      <c r="AT72" s="79"/>
      <c r="AU72" s="1447"/>
      <c r="AV72" s="1447"/>
      <c r="AW72" s="1495"/>
      <c r="AX72" s="1893">
        <f>AW72/$N$89</f>
        <v>0</v>
      </c>
      <c r="AY72" s="1943"/>
      <c r="AZ72" s="39">
        <f>G72+L72</f>
        <v>0</v>
      </c>
      <c r="BA72" s="39">
        <f>H72+M72+R72</f>
        <v>0</v>
      </c>
      <c r="BB72" s="106"/>
      <c r="BC72" s="178">
        <f t="shared" si="67"/>
        <v>0</v>
      </c>
      <c r="BD72" s="79"/>
    </row>
    <row r="73" spans="1:56" s="2" customFormat="1" ht="14.4" outlineLevel="1" thickBot="1" x14ac:dyDescent="0.3">
      <c r="A73" s="237"/>
      <c r="B73" s="13" t="s">
        <v>4</v>
      </c>
      <c r="C73" s="132">
        <f>C74</f>
        <v>1583395.0740268363</v>
      </c>
      <c r="D73" s="133">
        <f>D74</f>
        <v>0</v>
      </c>
      <c r="E73" s="132">
        <f>E74</f>
        <v>1583395.0740268363</v>
      </c>
      <c r="F73" s="171">
        <f>E73/$E$89</f>
        <v>3.8200236311327775E-2</v>
      </c>
      <c r="G73" s="139">
        <f>G74</f>
        <v>0</v>
      </c>
      <c r="H73" s="63"/>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63"/>
      <c r="AP73" s="139">
        <f>AP74</f>
        <v>0</v>
      </c>
      <c r="AQ73" s="63">
        <f>AQ74</f>
        <v>0</v>
      </c>
      <c r="AR73" s="60">
        <f>AR74</f>
        <v>0</v>
      </c>
      <c r="AS73" s="63"/>
      <c r="AT73" s="63"/>
      <c r="AU73" s="1180">
        <f>AU74</f>
        <v>0</v>
      </c>
      <c r="AV73" s="1959">
        <f>AV74</f>
        <v>0</v>
      </c>
      <c r="AW73" s="1461">
        <f>AW74</f>
        <v>0</v>
      </c>
      <c r="AX73" s="1959"/>
      <c r="AY73" s="1959"/>
      <c r="AZ73" s="139">
        <f>AZ74</f>
        <v>0</v>
      </c>
      <c r="BA73" s="63">
        <f>BA74</f>
        <v>0</v>
      </c>
      <c r="BB73" s="60">
        <f>BB74</f>
        <v>0</v>
      </c>
      <c r="BC73" s="63"/>
      <c r="BD73" s="63"/>
    </row>
    <row r="74" spans="1:56" s="226" customFormat="1" ht="14.4" outlineLevel="1" thickBot="1" x14ac:dyDescent="0.3">
      <c r="A74" s="321"/>
      <c r="B74" s="225" t="s">
        <v>64</v>
      </c>
      <c r="C74" s="113">
        <v>1583395.0740268363</v>
      </c>
      <c r="D74" s="135"/>
      <c r="E74" s="136">
        <f>C74+D74</f>
        <v>1583395.0740268363</v>
      </c>
      <c r="F74" s="185"/>
      <c r="G74" s="39"/>
      <c r="H74" s="39"/>
      <c r="I74" s="106">
        <f>G74+H74*1</f>
        <v>0</v>
      </c>
      <c r="J74" s="64"/>
      <c r="K74" s="64"/>
      <c r="L74" s="39"/>
      <c r="M74" s="39"/>
      <c r="N74" s="523">
        <f>L74+M74*1</f>
        <v>0</v>
      </c>
      <c r="O74" s="64"/>
      <c r="P74" s="64"/>
      <c r="Q74" s="39"/>
      <c r="R74" s="39"/>
      <c r="S74" s="527">
        <f>Q74+R74*1</f>
        <v>0</v>
      </c>
      <c r="T74" s="64"/>
      <c r="U74" s="64"/>
      <c r="V74" s="39"/>
      <c r="W74" s="39"/>
      <c r="X74" s="527">
        <f>V74+W74*1</f>
        <v>0</v>
      </c>
      <c r="Y74" s="64"/>
      <c r="Z74" s="64"/>
      <c r="AA74" s="39"/>
      <c r="AB74" s="39"/>
      <c r="AC74" s="527">
        <f>AA74+AB74*1</f>
        <v>0</v>
      </c>
      <c r="AD74" s="64"/>
      <c r="AE74" s="64"/>
      <c r="AF74" s="39"/>
      <c r="AG74" s="39"/>
      <c r="AH74" s="527">
        <f>AF74+AG74*1</f>
        <v>0</v>
      </c>
      <c r="AI74" s="64"/>
      <c r="AJ74" s="64"/>
      <c r="AK74" s="39"/>
      <c r="AL74" s="39"/>
      <c r="AM74" s="527">
        <f>AK74+AL74*1</f>
        <v>0</v>
      </c>
      <c r="AN74" s="64"/>
      <c r="AO74" s="64"/>
      <c r="AP74" s="39"/>
      <c r="AQ74" s="39"/>
      <c r="AR74" s="527">
        <f>AP74+AQ74*1</f>
        <v>0</v>
      </c>
      <c r="AS74" s="64"/>
      <c r="AT74" s="64"/>
      <c r="AU74" s="1447"/>
      <c r="AV74" s="1447"/>
      <c r="AW74" s="1963">
        <f>AU74+AV74*1</f>
        <v>0</v>
      </c>
      <c r="AX74" s="1464"/>
      <c r="AY74" s="1464"/>
      <c r="AZ74" s="39">
        <f>G74+L74+Q74+V74+AA74+AF74+AK74+AP74+AU74</f>
        <v>0</v>
      </c>
      <c r="BA74" s="39">
        <f>H74+M74+R74+W74+AB74+AG74+AL74+AQ74+AV74</f>
        <v>0</v>
      </c>
      <c r="BB74" s="527">
        <f>AZ74+BA74*1</f>
        <v>0</v>
      </c>
      <c r="BC74" s="64"/>
      <c r="BD74" s="64"/>
    </row>
    <row r="75" spans="1:56" s="2" customFormat="1" ht="14.4" thickBot="1" x14ac:dyDescent="0.3">
      <c r="A75" s="5"/>
      <c r="B75" s="23" t="s">
        <v>48</v>
      </c>
      <c r="C75" s="137">
        <f>C38-C41-C50-C54</f>
        <v>24648018.24699375</v>
      </c>
      <c r="D75" s="137">
        <f>D38-D41-D50-D54</f>
        <v>-11251415.78441545</v>
      </c>
      <c r="E75" s="138">
        <f>E38-E41-E50-E54</f>
        <v>13396602.462578312</v>
      </c>
      <c r="F75" s="172"/>
      <c r="G75" s="65">
        <f>G38-G41-G50-G54</f>
        <v>20861750.851370808</v>
      </c>
      <c r="H75" s="65">
        <f>H38-H41-H50-H54</f>
        <v>-10086018.330000002</v>
      </c>
      <c r="I75" s="66">
        <f>I38-I41-I50-I54</f>
        <v>10775732.521370811</v>
      </c>
      <c r="J75" s="66"/>
      <c r="K75" s="66"/>
      <c r="L75" s="65">
        <f>L38-L41-L50-L54</f>
        <v>-55162.362000000001</v>
      </c>
      <c r="M75" s="65">
        <f>M38-M41-M50-M54</f>
        <v>-93279</v>
      </c>
      <c r="N75" s="138">
        <f>N38-N41-N50-N54</f>
        <v>-148441.36199999996</v>
      </c>
      <c r="O75" s="66"/>
      <c r="P75" s="66"/>
      <c r="Q75" s="65">
        <f>Q38-Q41-Q50-Q54</f>
        <v>186403.74799999999</v>
      </c>
      <c r="R75" s="65">
        <f>R38-R41-R50-R54</f>
        <v>-104858.5</v>
      </c>
      <c r="S75" s="138">
        <f>S38-S41-S50-S54</f>
        <v>81545.247999999992</v>
      </c>
      <c r="T75" s="66"/>
      <c r="U75" s="66"/>
      <c r="V75" s="65">
        <f>V38-V41-V50-V54</f>
        <v>43710.893199999999</v>
      </c>
      <c r="W75" s="65">
        <f>W38-W41-W50-W54</f>
        <v>-23039.239999999998</v>
      </c>
      <c r="X75" s="138">
        <f>X38-X41-X50-X54</f>
        <v>20671.653200000001</v>
      </c>
      <c r="Y75" s="66"/>
      <c r="Z75" s="66"/>
      <c r="AA75" s="65">
        <f>AA38-AA41-AA50-AA54</f>
        <v>-4032.9959999999996</v>
      </c>
      <c r="AB75" s="65">
        <f>AB38-AB41-AB50-AB54</f>
        <v>0</v>
      </c>
      <c r="AC75" s="138">
        <f>AC38-AC41-AC50-AC54</f>
        <v>-4032.9959999999996</v>
      </c>
      <c r="AD75" s="66"/>
      <c r="AE75" s="66"/>
      <c r="AF75" s="65">
        <f>AF38-AF41-AF50-AF54</f>
        <v>0</v>
      </c>
      <c r="AG75" s="65">
        <f>AG38-AG41-AG50-AG54</f>
        <v>-2861</v>
      </c>
      <c r="AH75" s="138">
        <f>AH38-AH41-AH50-AH54</f>
        <v>-2861</v>
      </c>
      <c r="AI75" s="66"/>
      <c r="AJ75" s="66"/>
      <c r="AK75" s="65">
        <f>AK38-AK41-AK50-AK54</f>
        <v>111982.78</v>
      </c>
      <c r="AL75" s="65">
        <f>AL38-AL41-AL50-AL54</f>
        <v>0</v>
      </c>
      <c r="AM75" s="138">
        <f>AM38-AM41-AM50-AM54</f>
        <v>111982.78</v>
      </c>
      <c r="AN75" s="66"/>
      <c r="AO75" s="66"/>
      <c r="AP75" s="65">
        <f>AP38-AP41-AP50-AP54</f>
        <v>0</v>
      </c>
      <c r="AQ75" s="65">
        <f>AQ38-AQ41-AQ50-AQ54</f>
        <v>0</v>
      </c>
      <c r="AR75" s="138">
        <f>AR38-AR41-AR50-AR54</f>
        <v>0</v>
      </c>
      <c r="AS75" s="66"/>
      <c r="AT75" s="66"/>
      <c r="AU75" s="1465">
        <f>AU38-AU41-AU50-AU54</f>
        <v>-1416</v>
      </c>
      <c r="AV75" s="1465">
        <f>AV38-AV41-AV50-AV54</f>
        <v>0</v>
      </c>
      <c r="AW75" s="1523">
        <f>AW38-AW41-AW50-AW54</f>
        <v>-1416</v>
      </c>
      <c r="AX75" s="1466"/>
      <c r="AY75" s="1466"/>
      <c r="AZ75" s="65">
        <f>AZ38-AZ41-AZ50-AZ54</f>
        <v>21301761.144570805</v>
      </c>
      <c r="BA75" s="65">
        <f>BA38-BA41-BA50-BA54</f>
        <v>-10299056.07</v>
      </c>
      <c r="BB75" s="138">
        <f>BB38-BB41-BB50-BB54</f>
        <v>11002705.07457081</v>
      </c>
      <c r="BC75" s="66"/>
      <c r="BD75" s="66"/>
    </row>
    <row r="76" spans="1:56" s="2" customFormat="1" ht="13.8" x14ac:dyDescent="0.25">
      <c r="A76" s="294"/>
      <c r="B76" s="36" t="s">
        <v>49</v>
      </c>
      <c r="C76" s="157">
        <f>C75/C5</f>
        <v>0.46699687244150162</v>
      </c>
      <c r="D76" s="157" t="e">
        <f>D75/D5</f>
        <v>#DIV/0!</v>
      </c>
      <c r="E76" s="158">
        <f>E75/E5</f>
        <v>0.25382046494262223</v>
      </c>
      <c r="F76" s="167"/>
      <c r="G76" s="54">
        <f>G75/G5</f>
        <v>0.39927195411916899</v>
      </c>
      <c r="H76" s="54" t="e">
        <f>H75/H5</f>
        <v>#DIV/0!</v>
      </c>
      <c r="I76" s="55">
        <f>I75/I5</f>
        <v>0.20623617890587997</v>
      </c>
      <c r="J76" s="55"/>
      <c r="K76" s="55"/>
      <c r="L76" s="54">
        <f>L75/L5</f>
        <v>-1.0607922140108574</v>
      </c>
      <c r="M76" s="54" t="e">
        <f>M75/M5</f>
        <v>#DIV/0!</v>
      </c>
      <c r="N76" s="55">
        <f>N75/N5</f>
        <v>-2.8545811915517167</v>
      </c>
      <c r="O76" s="55"/>
      <c r="P76" s="55"/>
      <c r="Q76" s="54">
        <f>Q75/Q5</f>
        <v>0.60455754574809673</v>
      </c>
      <c r="R76" s="54" t="e">
        <f>R75/R5</f>
        <v>#DIV/0!</v>
      </c>
      <c r="S76" s="55">
        <f>S75/S5</f>
        <v>0.26447319609850273</v>
      </c>
      <c r="T76" s="55"/>
      <c r="U76" s="55"/>
      <c r="V76" s="54">
        <f>V75/V5</f>
        <v>0.45513529351617787</v>
      </c>
      <c r="W76" s="54" t="e">
        <f>W75/W5</f>
        <v>#DIV/0!</v>
      </c>
      <c r="X76" s="55">
        <f>X75/X5</f>
        <v>0.21524151665348806</v>
      </c>
      <c r="Y76" s="55"/>
      <c r="Z76" s="55"/>
      <c r="AA76" s="54" t="e">
        <f>AA75/AA5</f>
        <v>#DIV/0!</v>
      </c>
      <c r="AB76" s="54" t="e">
        <f>AB75/AB5</f>
        <v>#DIV/0!</v>
      </c>
      <c r="AC76" s="55" t="e">
        <f>AC75/AC5</f>
        <v>#DIV/0!</v>
      </c>
      <c r="AD76" s="55"/>
      <c r="AE76" s="55"/>
      <c r="AF76" s="54" t="e">
        <f>AF75/AF5</f>
        <v>#DIV/0!</v>
      </c>
      <c r="AG76" s="54" t="e">
        <f>AG75/AG5</f>
        <v>#DIV/0!</v>
      </c>
      <c r="AH76" s="55" t="e">
        <f>AH75/AH5</f>
        <v>#DIV/0!</v>
      </c>
      <c r="AI76" s="55"/>
      <c r="AJ76" s="55"/>
      <c r="AK76" s="54">
        <f>AK75/AK5</f>
        <v>1</v>
      </c>
      <c r="AL76" s="54" t="e">
        <f>AL75/AL5</f>
        <v>#DIV/0!</v>
      </c>
      <c r="AM76" s="55">
        <f>AM75/AM5</f>
        <v>1</v>
      </c>
      <c r="AN76" s="55"/>
      <c r="AO76" s="55"/>
      <c r="AP76" s="54" t="e">
        <f>AP75/AP5</f>
        <v>#DIV/0!</v>
      </c>
      <c r="AQ76" s="54" t="e">
        <f>AQ75/AQ5</f>
        <v>#DIV/0!</v>
      </c>
      <c r="AR76" s="55" t="e">
        <f>AR75/AR5</f>
        <v>#DIV/0!</v>
      </c>
      <c r="AS76" s="55"/>
      <c r="AT76" s="55"/>
      <c r="AU76" s="1456" t="e">
        <f>AU75/AU5</f>
        <v>#DIV/0!</v>
      </c>
      <c r="AV76" s="1456" t="e">
        <f>AV75/AV5</f>
        <v>#DIV/0!</v>
      </c>
      <c r="AW76" s="1457" t="e">
        <f>AW75/AW5</f>
        <v>#DIV/0!</v>
      </c>
      <c r="AX76" s="1457"/>
      <c r="AY76" s="1457"/>
      <c r="AZ76" s="54">
        <f>AZ75/AZ5</f>
        <v>0.40209940739718858</v>
      </c>
      <c r="BA76" s="54">
        <f>BA75/BA5</f>
        <v>-936.27782454545456</v>
      </c>
      <c r="BB76" s="55">
        <f>BB75/BB5</f>
        <v>0.20764774869211514</v>
      </c>
      <c r="BC76" s="55"/>
      <c r="BD76" s="55"/>
    </row>
    <row r="77" spans="1:56" s="2" customFormat="1" ht="14.4" outlineLevel="1" thickBot="1" x14ac:dyDescent="0.3">
      <c r="A77" s="294"/>
      <c r="B77" s="27" t="s">
        <v>9</v>
      </c>
      <c r="C77" s="139">
        <f>C78-C79</f>
        <v>0</v>
      </c>
      <c r="D77" s="139">
        <f>D78-D79</f>
        <v>0</v>
      </c>
      <c r="E77" s="140">
        <f>E78-E79</f>
        <v>0</v>
      </c>
      <c r="F77" s="173"/>
      <c r="G77" s="139">
        <f>G78-G79</f>
        <v>0</v>
      </c>
      <c r="H77" s="139">
        <f>H78-H79</f>
        <v>0</v>
      </c>
      <c r="I77" s="140">
        <f>I78-I79</f>
        <v>-1375366.1359090912</v>
      </c>
      <c r="J77" s="67"/>
      <c r="K77" s="67"/>
      <c r="L77" s="139">
        <f>L78-L79</f>
        <v>0</v>
      </c>
      <c r="M77" s="139">
        <f>M78-M79</f>
        <v>0</v>
      </c>
      <c r="N77" s="140">
        <f>N78-N79</f>
        <v>-13938.241379310346</v>
      </c>
      <c r="O77" s="67"/>
      <c r="P77" s="67"/>
      <c r="Q77" s="139">
        <f>Q78-Q79</f>
        <v>0</v>
      </c>
      <c r="R77" s="139">
        <f>R78-R79</f>
        <v>0</v>
      </c>
      <c r="S77" s="140">
        <f>S78-S79</f>
        <v>-15668.511494252874</v>
      </c>
      <c r="T77" s="67"/>
      <c r="U77" s="67"/>
      <c r="V77" s="139">
        <f>V78-V79</f>
        <v>0</v>
      </c>
      <c r="W77" s="139">
        <f>W78-W79</f>
        <v>0</v>
      </c>
      <c r="X77" s="140">
        <f>X78-X79</f>
        <v>-3442.6450574712644</v>
      </c>
      <c r="Y77" s="67"/>
      <c r="Z77" s="67"/>
      <c r="AA77" s="139">
        <f>AA78-AA79</f>
        <v>0</v>
      </c>
      <c r="AB77" s="139">
        <f>AB78-AB79</f>
        <v>0</v>
      </c>
      <c r="AC77" s="140">
        <f>AC78-AC79</f>
        <v>0</v>
      </c>
      <c r="AD77" s="67"/>
      <c r="AE77" s="67"/>
      <c r="AF77" s="139">
        <f>AF78-AF79</f>
        <v>0</v>
      </c>
      <c r="AG77" s="139">
        <f>AG78-AG79</f>
        <v>0</v>
      </c>
      <c r="AH77" s="140">
        <f>AH78-AH79</f>
        <v>-414.35974621846577</v>
      </c>
      <c r="AI77" s="67"/>
      <c r="AJ77" s="67"/>
      <c r="AK77" s="139">
        <f>AK78-AK79</f>
        <v>0</v>
      </c>
      <c r="AL77" s="139">
        <f>AL78-AL79</f>
        <v>0</v>
      </c>
      <c r="AM77" s="140">
        <f>AM78-AM79</f>
        <v>0</v>
      </c>
      <c r="AN77" s="67" t="e">
        <f>AM77/$AM$89</f>
        <v>#DIV/0!</v>
      </c>
      <c r="AO77" s="67"/>
      <c r="AP77" s="139">
        <f>AP78-AP79</f>
        <v>0</v>
      </c>
      <c r="AQ77" s="139">
        <f>AQ78-AQ79</f>
        <v>0</v>
      </c>
      <c r="AR77" s="140">
        <f>AR78-AR79</f>
        <v>0</v>
      </c>
      <c r="AS77" s="67" t="e">
        <f>AR77/$AM$89</f>
        <v>#DIV/0!</v>
      </c>
      <c r="AT77" s="67"/>
      <c r="AU77" s="1180">
        <f>AU78-AU79</f>
        <v>0</v>
      </c>
      <c r="AV77" s="1180">
        <f>AV78-AV79</f>
        <v>0</v>
      </c>
      <c r="AW77" s="1384">
        <f>AW78-AW79</f>
        <v>0</v>
      </c>
      <c r="AX77" s="1379" t="e">
        <f>AW77/$AM$89</f>
        <v>#DIV/0!</v>
      </c>
      <c r="AY77" s="1379"/>
      <c r="AZ77" s="139">
        <f>AZ78-AZ79</f>
        <v>0</v>
      </c>
      <c r="BA77" s="139">
        <f>BA78-BA79</f>
        <v>0</v>
      </c>
      <c r="BB77" s="140">
        <f>BB78-BB79</f>
        <v>-1408829.8935863441</v>
      </c>
      <c r="BC77" s="67"/>
      <c r="BD77" s="67"/>
    </row>
    <row r="78" spans="1:56" s="2" customFormat="1" ht="13.8" outlineLevel="2" x14ac:dyDescent="0.25">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39"/>
      <c r="AG78" s="39"/>
      <c r="AH78" s="68">
        <f>AF78+AG78*1.15</f>
        <v>0</v>
      </c>
      <c r="AI78" s="68"/>
      <c r="AJ78" s="68"/>
      <c r="AK78" s="39"/>
      <c r="AL78" s="39"/>
      <c r="AM78" s="68">
        <f>AK78+AL78*1.15</f>
        <v>0</v>
      </c>
      <c r="AN78" s="68" t="e">
        <f>AM78/$AM$89</f>
        <v>#DIV/0!</v>
      </c>
      <c r="AO78" s="68"/>
      <c r="AP78" s="39"/>
      <c r="AQ78" s="39"/>
      <c r="AR78" s="68">
        <f>AP78+AQ78*1.15</f>
        <v>0</v>
      </c>
      <c r="AS78" s="68" t="e">
        <f>AR78/$AM$89</f>
        <v>#DIV/0!</v>
      </c>
      <c r="AT78" s="68"/>
      <c r="AU78" s="1447"/>
      <c r="AV78" s="1447"/>
      <c r="AW78" s="1467">
        <f>AU78+AV78*1.15</f>
        <v>0</v>
      </c>
      <c r="AX78" s="1467" t="e">
        <f>AW78/$AM$89</f>
        <v>#DIV/0!</v>
      </c>
      <c r="AY78" s="1467"/>
      <c r="AZ78" s="39">
        <f>G78+L78+Q78+V78+AA78+AF78+AK78+AP78+AU78</f>
        <v>0</v>
      </c>
      <c r="BA78" s="39">
        <f>H78+M78+R78+W78+AB78+AG78+AL78+AQ78+AV78</f>
        <v>0</v>
      </c>
      <c r="BB78" s="68">
        <f>AZ78+BA78*1.15</f>
        <v>0</v>
      </c>
      <c r="BC78" s="68"/>
      <c r="BD78" s="68"/>
    </row>
    <row r="79" spans="1:56" s="2" customFormat="1" ht="13.8" outlineLevel="2" x14ac:dyDescent="0.25">
      <c r="A79" s="11"/>
      <c r="B79" s="24" t="s">
        <v>79</v>
      </c>
      <c r="C79" s="113"/>
      <c r="D79" s="119"/>
      <c r="E79" s="119">
        <f>C79+D79*1.15</f>
        <v>0</v>
      </c>
      <c r="F79" s="180">
        <f>E79/$E$89</f>
        <v>0</v>
      </c>
      <c r="G79" s="39"/>
      <c r="H79" s="39"/>
      <c r="I79" s="106">
        <f>(H8+H41+H50+H54)/0.88*0.12</f>
        <v>1375366.1359090912</v>
      </c>
      <c r="J79" s="45"/>
      <c r="K79" s="45"/>
      <c r="L79" s="39"/>
      <c r="M79" s="39"/>
      <c r="N79" s="106">
        <f>(M8+M41+M50+M54)/(1-'расчет 2022'!E4)*'расчет 2022'!E4</f>
        <v>13938.241379310346</v>
      </c>
      <c r="O79" s="45"/>
      <c r="P79" s="45"/>
      <c r="Q79" s="39"/>
      <c r="R79" s="39"/>
      <c r="S79" s="106">
        <f>(R8+R41+R50+R54)/(1-'расчет 2022'!E5)*'расчет 2022'!E5</f>
        <v>15668.511494252874</v>
      </c>
      <c r="T79" s="45"/>
      <c r="U79" s="45"/>
      <c r="V79" s="39"/>
      <c r="W79" s="39"/>
      <c r="X79" s="106">
        <f>(W8+W41+W50+W54)/(1-'расчет 2022'!E6)*'расчет 2022'!E6</f>
        <v>3442.6450574712644</v>
      </c>
      <c r="Y79" s="45"/>
      <c r="Z79" s="45"/>
      <c r="AA79" s="39"/>
      <c r="AB79" s="39"/>
      <c r="AC79" s="106">
        <f>(AB8+AB41+AB50+AB54)/(1-'расчет 2022'!E7)*'расчет 2022'!E7</f>
        <v>0</v>
      </c>
      <c r="AD79" s="45"/>
      <c r="AE79" s="45"/>
      <c r="AF79" s="39"/>
      <c r="AG79" s="39"/>
      <c r="AH79" s="106">
        <f>(AG8+AG41+AG50+AG54)/(1-'расчет 2022'!E8)*'расчет 2022'!E8</f>
        <v>414.35974621846577</v>
      </c>
      <c r="AI79" s="45"/>
      <c r="AJ79" s="45"/>
      <c r="AK79" s="39"/>
      <c r="AL79" s="39"/>
      <c r="AM79" s="106">
        <f>(AL8+AL41+AL50+AL54)/(1-'расчет 2022'!J8)*'расчет 2022'!J8</f>
        <v>0</v>
      </c>
      <c r="AN79" s="45" t="e">
        <f>AM79/$AM$89</f>
        <v>#DIV/0!</v>
      </c>
      <c r="AO79" s="45"/>
      <c r="AP79" s="39"/>
      <c r="AQ79" s="39"/>
      <c r="AR79" s="106">
        <f>(AQ8+AQ41+AQ50+AQ54)/(1-'расчет 2022'!O8)*'расчет 2022'!O8</f>
        <v>0</v>
      </c>
      <c r="AS79" s="45" t="e">
        <f>AR79/$AM$89</f>
        <v>#DIV/0!</v>
      </c>
      <c r="AT79" s="45"/>
      <c r="AU79" s="1447"/>
      <c r="AV79" s="1447"/>
      <c r="AW79" s="1495">
        <v>0</v>
      </c>
      <c r="AX79" s="1909" t="e">
        <f>AW79/$AM$89</f>
        <v>#DIV/0!</v>
      </c>
      <c r="AY79" s="1909"/>
      <c r="AZ79" s="39">
        <f>G79+L79+Q79+V79+AA79+AF79+AK79+AP79+AU79</f>
        <v>0</v>
      </c>
      <c r="BA79" s="39">
        <f>H79+M79+R79+W79+AB79+AG79+AL79+AQ79+AV79</f>
        <v>0</v>
      </c>
      <c r="BB79" s="106">
        <f>I79+N79+S79+X79+AH79</f>
        <v>1408829.8935863441</v>
      </c>
      <c r="BC79" s="45"/>
      <c r="BD79" s="45"/>
    </row>
    <row r="80" spans="1:56" ht="13.8" outlineLevel="2" x14ac:dyDescent="0.25">
      <c r="A80" s="3"/>
      <c r="B80" s="25"/>
      <c r="C80" s="143"/>
      <c r="D80" s="144"/>
      <c r="E80" s="145"/>
      <c r="F80" s="187"/>
      <c r="G80" s="69"/>
      <c r="H80" s="69"/>
      <c r="I80" s="69"/>
      <c r="J80" s="69"/>
      <c r="K80" s="69"/>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1447"/>
      <c r="AV80" s="1447"/>
      <c r="AW80" s="1910"/>
      <c r="AX80" s="1910"/>
      <c r="AY80" s="1910"/>
      <c r="AZ80" s="39">
        <f>G80+L80+Q80+V80</f>
        <v>0</v>
      </c>
      <c r="BA80" s="39">
        <f>H80+M80+R80+W80</f>
        <v>0</v>
      </c>
      <c r="BB80" s="69"/>
      <c r="BC80" s="69"/>
      <c r="BD80" s="69"/>
    </row>
    <row r="81" spans="1:56" s="2" customFormat="1" ht="14.4" outlineLevel="1" thickBot="1" x14ac:dyDescent="0.3">
      <c r="A81" s="26"/>
      <c r="B81" s="27" t="s">
        <v>12</v>
      </c>
      <c r="C81" s="139">
        <f>(C75+C78)-C79</f>
        <v>24648018.24699375</v>
      </c>
      <c r="D81" s="139">
        <f>(D75+D78)-D79</f>
        <v>-11251415.78441545</v>
      </c>
      <c r="E81" s="140">
        <f>(E75+E78)-E79</f>
        <v>13396602.462578312</v>
      </c>
      <c r="F81" s="173"/>
      <c r="G81" s="139">
        <f>(G75+G78)-G79</f>
        <v>20861750.851370808</v>
      </c>
      <c r="H81" s="139">
        <f>(H75+H78)-H79</f>
        <v>-10086018.330000002</v>
      </c>
      <c r="I81" s="139">
        <f>(I75+I78)-I79</f>
        <v>9400366.3854617197</v>
      </c>
      <c r="J81" s="67"/>
      <c r="K81" s="67"/>
      <c r="L81" s="139">
        <f>(L75+L78)-L79</f>
        <v>-55162.362000000001</v>
      </c>
      <c r="M81" s="139">
        <f>(M75+M78)-M79</f>
        <v>-93279</v>
      </c>
      <c r="N81" s="140">
        <f>(N75+N78)-N79</f>
        <v>-162379.60337931031</v>
      </c>
      <c r="O81" s="67"/>
      <c r="P81" s="67"/>
      <c r="Q81" s="139">
        <f>(Q75+Q78)-Q79</f>
        <v>186403.74799999999</v>
      </c>
      <c r="R81" s="139">
        <f>(R75+R78)-R79</f>
        <v>-104858.5</v>
      </c>
      <c r="S81" s="140">
        <f>(S75+S78)-S79</f>
        <v>65876.736505747118</v>
      </c>
      <c r="T81" s="67"/>
      <c r="U81" s="67"/>
      <c r="V81" s="139">
        <f>(V75+V78)-V79</f>
        <v>43710.893199999999</v>
      </c>
      <c r="W81" s="139">
        <f>(W75+W78)-W79</f>
        <v>-23039.239999999998</v>
      </c>
      <c r="X81" s="140">
        <f>(X75+X78)-X79</f>
        <v>17229.008142528735</v>
      </c>
      <c r="Y81" s="67"/>
      <c r="Z81" s="67"/>
      <c r="AA81" s="139">
        <f>(AA75+AA78)-AA79</f>
        <v>-4032.9959999999996</v>
      </c>
      <c r="AB81" s="139">
        <f>(AB75+AB78)-AB79</f>
        <v>0</v>
      </c>
      <c r="AC81" s="140">
        <f>(AC75+AC78)-AC79</f>
        <v>-4032.9959999999996</v>
      </c>
      <c r="AD81" s="67"/>
      <c r="AE81" s="67"/>
      <c r="AF81" s="139">
        <f>(AF75+AF78)-AF79</f>
        <v>0</v>
      </c>
      <c r="AG81" s="139">
        <f>(AG75+AG78)-AG79</f>
        <v>-2861</v>
      </c>
      <c r="AH81" s="140">
        <f>(AH75+AH78)-AH79</f>
        <v>-3275.3597462184657</v>
      </c>
      <c r="AI81" s="67"/>
      <c r="AJ81" s="67"/>
      <c r="AK81" s="139">
        <f>(AK75+AK78)-AK79</f>
        <v>111982.78</v>
      </c>
      <c r="AL81" s="139">
        <f>(AL75+AL78)-AL79</f>
        <v>0</v>
      </c>
      <c r="AM81" s="140">
        <f>(AM75+AM78)-AM79</f>
        <v>111982.78</v>
      </c>
      <c r="AN81" s="67"/>
      <c r="AO81" s="67"/>
      <c r="AP81" s="139">
        <f>(AP75+AP78)-AP79</f>
        <v>0</v>
      </c>
      <c r="AQ81" s="139">
        <f>(AQ75+AQ78)-AQ79</f>
        <v>0</v>
      </c>
      <c r="AR81" s="140">
        <f>(AR75+AR78)-AR79</f>
        <v>0</v>
      </c>
      <c r="AS81" s="67"/>
      <c r="AT81" s="67"/>
      <c r="AU81" s="1180">
        <f>(AU75+AU78)-AU79</f>
        <v>-1416</v>
      </c>
      <c r="AV81" s="1180">
        <f>(AV75+AV78)-AV79</f>
        <v>0</v>
      </c>
      <c r="AW81" s="1384">
        <f>(AW75+AW78)-AW79</f>
        <v>-1416</v>
      </c>
      <c r="AX81" s="1379"/>
      <c r="AY81" s="1379"/>
      <c r="AZ81" s="139">
        <f>(AZ75+AZ78)-AZ79</f>
        <v>21301761.144570805</v>
      </c>
      <c r="BA81" s="139">
        <f>(BA75+BA78)-BA79</f>
        <v>-10299056.07</v>
      </c>
      <c r="BB81" s="140">
        <f>(BB75+BB78)-BB79</f>
        <v>9593875.1809844673</v>
      </c>
      <c r="BC81" s="67"/>
      <c r="BD81" s="67"/>
    </row>
    <row r="82" spans="1:56" s="2" customFormat="1" ht="13.8" outlineLevel="2" x14ac:dyDescent="0.25">
      <c r="A82" s="293"/>
      <c r="B82" s="6" t="s">
        <v>38</v>
      </c>
      <c r="C82" s="141"/>
      <c r="D82" s="142"/>
      <c r="E82" s="146">
        <f>C82+D82</f>
        <v>0</v>
      </c>
      <c r="F82" s="180">
        <f>E82/$E$89</f>
        <v>0</v>
      </c>
      <c r="G82" s="141"/>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1447"/>
      <c r="AV82" s="1447"/>
      <c r="AW82" s="1530">
        <f>AU82+AV82</f>
        <v>0</v>
      </c>
      <c r="AX82" s="1491"/>
      <c r="AY82" s="1491"/>
      <c r="AZ82" s="39">
        <f>G82+L82</f>
        <v>0</v>
      </c>
      <c r="BA82" s="39">
        <f>H82+M82</f>
        <v>0</v>
      </c>
      <c r="BB82" s="146">
        <f>AZ82+BA82</f>
        <v>0</v>
      </c>
      <c r="BC82" s="101"/>
      <c r="BD82" s="101"/>
    </row>
    <row r="83" spans="1:56" s="2" customFormat="1" ht="13.8" outlineLevel="1" x14ac:dyDescent="0.25">
      <c r="A83" s="11"/>
      <c r="B83" s="28" t="s">
        <v>13</v>
      </c>
      <c r="C83" s="147">
        <f>(C81+C7)-C36</f>
        <v>24164770.24699375</v>
      </c>
      <c r="D83" s="147">
        <f>(D81+D7)-D36</f>
        <v>-11251415.78441545</v>
      </c>
      <c r="E83" s="147">
        <f>(E81+E7)-E36</f>
        <v>12913354.462578312</v>
      </c>
      <c r="F83" s="174"/>
      <c r="G83" s="147">
        <f>(G81+G7)-G36</f>
        <v>21020275.081370808</v>
      </c>
      <c r="H83" s="147">
        <f>(H81+H7)-H36</f>
        <v>-10075018.330000002</v>
      </c>
      <c r="I83" s="147">
        <f>(I81+I7)-I36</f>
        <v>9569890.6154617202</v>
      </c>
      <c r="J83" s="70"/>
      <c r="K83" s="70"/>
      <c r="L83" s="147">
        <f>(L81+L7)-L36</f>
        <v>-55162.362000000001</v>
      </c>
      <c r="M83" s="147">
        <f>(M81+M7)-M36</f>
        <v>-93279</v>
      </c>
      <c r="N83" s="148">
        <f>(N81+N7)-N36</f>
        <v>-162379.60337931031</v>
      </c>
      <c r="O83" s="70"/>
      <c r="P83" s="70"/>
      <c r="Q83" s="147">
        <f>(Q81+Q7)-Q36</f>
        <v>186403.74799999999</v>
      </c>
      <c r="R83" s="147">
        <f>(R81+R7)-R36</f>
        <v>-104858.5</v>
      </c>
      <c r="S83" s="148">
        <f>(S81+S7)-S36</f>
        <v>65876.736505747118</v>
      </c>
      <c r="T83" s="70"/>
      <c r="U83" s="70"/>
      <c r="V83" s="147">
        <f>(V81+V7)-V36</f>
        <v>43710.893199999999</v>
      </c>
      <c r="W83" s="147">
        <f>(W81+W7)-W36</f>
        <v>-23039.239999999998</v>
      </c>
      <c r="X83" s="148">
        <f>(X81+X7)-X36</f>
        <v>17229.008142528735</v>
      </c>
      <c r="Y83" s="70"/>
      <c r="Z83" s="70"/>
      <c r="AA83" s="147">
        <f>(AA81+AA7)-AA36</f>
        <v>-4032.9959999999996</v>
      </c>
      <c r="AB83" s="147">
        <f>(AB81+AB7)-AB36</f>
        <v>0</v>
      </c>
      <c r="AC83" s="148">
        <f>(AC81+AC7)-AC36</f>
        <v>-4032.9959999999996</v>
      </c>
      <c r="AD83" s="70"/>
      <c r="AE83" s="70"/>
      <c r="AF83" s="147">
        <f>(AF81)-AF36</f>
        <v>0</v>
      </c>
      <c r="AG83" s="147">
        <f>(AG81)-AG36</f>
        <v>-2861</v>
      </c>
      <c r="AH83" s="148">
        <f>(AH81)-AH36</f>
        <v>-3275.3597462184657</v>
      </c>
      <c r="AI83" s="70"/>
      <c r="AJ83" s="70"/>
      <c r="AK83" s="147">
        <f>(AK81)-AK36</f>
        <v>111982.78</v>
      </c>
      <c r="AL83" s="147">
        <f>(AL81)-AL36</f>
        <v>0</v>
      </c>
      <c r="AM83" s="148">
        <f>(AM81)-AM36</f>
        <v>111982.78</v>
      </c>
      <c r="AN83" s="70"/>
      <c r="AO83" s="70"/>
      <c r="AP83" s="147">
        <f>(AP81)-AP36</f>
        <v>0</v>
      </c>
      <c r="AQ83" s="147">
        <f>(AQ81)-AQ36</f>
        <v>0</v>
      </c>
      <c r="AR83" s="148">
        <f>(AR81)-AR36</f>
        <v>0</v>
      </c>
      <c r="AS83" s="70"/>
      <c r="AT83" s="70"/>
      <c r="AU83" s="1912">
        <f>(AU81)-AU36</f>
        <v>-1416</v>
      </c>
      <c r="AV83" s="1912">
        <f>(AV81)-AV36</f>
        <v>0</v>
      </c>
      <c r="AW83" s="1913">
        <f>(AW81)-AW36</f>
        <v>-1416</v>
      </c>
      <c r="AX83" s="1914"/>
      <c r="AY83" s="1914"/>
      <c r="AZ83" s="147">
        <f>(AZ81)-AZ36</f>
        <v>21301761.144570805</v>
      </c>
      <c r="BA83" s="147">
        <f>(BA81)-BA36</f>
        <v>-10299056.07</v>
      </c>
      <c r="BB83" s="148">
        <f>(BB81)-BB36</f>
        <v>9593875.1809844673</v>
      </c>
      <c r="BC83" s="70"/>
      <c r="BD83" s="70"/>
    </row>
    <row r="84" spans="1:56" s="2" customFormat="1" ht="14.4" outlineLevel="1" thickBot="1" x14ac:dyDescent="0.3">
      <c r="A84" s="11"/>
      <c r="B84" s="211" t="s">
        <v>14</v>
      </c>
      <c r="C84" s="212">
        <f>C83-C73-C82</f>
        <v>22581375.172966912</v>
      </c>
      <c r="D84" s="212">
        <f>D83-D73-D82</f>
        <v>-11251415.78441545</v>
      </c>
      <c r="E84" s="212">
        <f>E83-E73-E82</f>
        <v>11329959.388551475</v>
      </c>
      <c r="F84" s="214"/>
      <c r="G84" s="212">
        <f>G83-G73-G82</f>
        <v>21020275.081370808</v>
      </c>
      <c r="H84" s="212">
        <f>H83-H73-H82</f>
        <v>-10075018.330000002</v>
      </c>
      <c r="I84" s="212">
        <f>I83-I73-I82</f>
        <v>9569890.6154617202</v>
      </c>
      <c r="J84" s="82"/>
      <c r="K84" s="82"/>
      <c r="L84" s="213">
        <f>L83-L73-L82</f>
        <v>-55162.362000000001</v>
      </c>
      <c r="M84" s="213">
        <f>M83-M73-M82</f>
        <v>-93279</v>
      </c>
      <c r="N84" s="213">
        <f>N83-N73-N82</f>
        <v>-162379.60337931031</v>
      </c>
      <c r="O84" s="82"/>
      <c r="P84" s="82"/>
      <c r="Q84" s="213">
        <f>Q83-Q73-Q82</f>
        <v>186403.74799999999</v>
      </c>
      <c r="R84" s="213">
        <f>R83-R73-R82</f>
        <v>-104858.5</v>
      </c>
      <c r="S84" s="213">
        <f>S83-S73-S82</f>
        <v>65876.736505747118</v>
      </c>
      <c r="T84" s="82"/>
      <c r="U84" s="82"/>
      <c r="V84" s="213">
        <f>V83-V73-V82</f>
        <v>43710.893199999999</v>
      </c>
      <c r="W84" s="213">
        <f>W83-W73-W82</f>
        <v>-23039.239999999998</v>
      </c>
      <c r="X84" s="213">
        <f>X83-X73-X82</f>
        <v>17229.008142528735</v>
      </c>
      <c r="Y84" s="82"/>
      <c r="Z84" s="82"/>
      <c r="AA84" s="213">
        <f>AA83-AA73-AA82</f>
        <v>-4032.9959999999996</v>
      </c>
      <c r="AB84" s="213">
        <f>AB83-AB73-AB82</f>
        <v>0</v>
      </c>
      <c r="AC84" s="213">
        <f>AC83-AC73-AC82</f>
        <v>-4032.9959999999996</v>
      </c>
      <c r="AD84" s="82"/>
      <c r="AE84" s="82"/>
      <c r="AF84" s="213">
        <f>AF83-AF73-AF82</f>
        <v>0</v>
      </c>
      <c r="AG84" s="213">
        <f>AG83-AG73-AG82</f>
        <v>-2861</v>
      </c>
      <c r="AH84" s="213">
        <f>AH83-AH73-AH82</f>
        <v>-3275.3597462184657</v>
      </c>
      <c r="AI84" s="82"/>
      <c r="AJ84" s="82"/>
      <c r="AK84" s="213">
        <f>AK83-AK73-AK82</f>
        <v>111982.78</v>
      </c>
      <c r="AL84" s="213">
        <f>AL83-AL73-AL82</f>
        <v>0</v>
      </c>
      <c r="AM84" s="213">
        <f>AM83-AM73-AM82</f>
        <v>111982.78</v>
      </c>
      <c r="AN84" s="82"/>
      <c r="AO84" s="82"/>
      <c r="AP84" s="213">
        <f>AP83-AP73-AP82</f>
        <v>0</v>
      </c>
      <c r="AQ84" s="213">
        <f>AQ83-AQ73-AQ82</f>
        <v>0</v>
      </c>
      <c r="AR84" s="213">
        <f>AR83-AR73-AR82</f>
        <v>0</v>
      </c>
      <c r="AS84" s="82"/>
      <c r="AT84" s="82"/>
      <c r="AU84" s="2105">
        <f>AU83-AU73-AU82</f>
        <v>-1416</v>
      </c>
      <c r="AV84" s="2105">
        <f>AV83-AV73-AV82</f>
        <v>0</v>
      </c>
      <c r="AW84" s="1953">
        <f>AW83-AW73-AW82</f>
        <v>-1416</v>
      </c>
      <c r="AX84" s="1954"/>
      <c r="AY84" s="1954"/>
      <c r="AZ84" s="2105">
        <f>AZ83-AZ73-AZ82</f>
        <v>21301761.144570805</v>
      </c>
      <c r="BA84" s="2105">
        <f>BA83-BA73-BA82</f>
        <v>-10299056.07</v>
      </c>
      <c r="BB84" s="213">
        <f>BB83-BB73-BB82</f>
        <v>9593875.1809844673</v>
      </c>
      <c r="BC84" s="82"/>
      <c r="BD84" s="82"/>
    </row>
    <row r="85" spans="1:56" s="2" customFormat="1" ht="13.8" outlineLevel="3" x14ac:dyDescent="0.25">
      <c r="A85" s="293"/>
      <c r="B85" s="216" t="s">
        <v>44</v>
      </c>
      <c r="C85" s="141"/>
      <c r="D85" s="142"/>
      <c r="E85" s="146">
        <f>C85+D85</f>
        <v>0</v>
      </c>
      <c r="F85" s="217">
        <f>E85/$E$89</f>
        <v>0</v>
      </c>
      <c r="G85" s="102"/>
      <c r="H85" s="102"/>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1447"/>
      <c r="AV85" s="1447"/>
      <c r="AW85" s="1575">
        <f>AU85+AV85*1.15</f>
        <v>0</v>
      </c>
      <c r="AX85" s="1492"/>
      <c r="AY85" s="1492"/>
      <c r="AZ85" s="39">
        <f>G85+L85+Q85+V85+AA85+AF85+AK85+AP85+AU85</f>
        <v>0</v>
      </c>
      <c r="BA85" s="39">
        <f>H85+M85+R85+W85+AB85+AG85+AL85+AQ85+AV85</f>
        <v>0</v>
      </c>
      <c r="BB85" s="219">
        <f>AZ85+BA85*1.15</f>
        <v>0</v>
      </c>
      <c r="BC85" s="102"/>
      <c r="BD85" s="102"/>
    </row>
    <row r="86" spans="1:56" s="2" customFormat="1" ht="27.6" x14ac:dyDescent="0.25">
      <c r="A86" s="11"/>
      <c r="B86" s="37" t="s">
        <v>50</v>
      </c>
      <c r="C86" s="149">
        <f>C84-C85</f>
        <v>22581375.172966912</v>
      </c>
      <c r="D86" s="149">
        <f>D84-D85</f>
        <v>-11251415.78441545</v>
      </c>
      <c r="E86" s="150">
        <f>E84-E85</f>
        <v>11329959.388551475</v>
      </c>
      <c r="F86" s="175"/>
      <c r="G86" s="149">
        <f>G84-G85</f>
        <v>21020275.081370808</v>
      </c>
      <c r="H86" s="149">
        <f>H84-H85</f>
        <v>-10075018.330000002</v>
      </c>
      <c r="I86" s="150">
        <f>I84-I85</f>
        <v>9569890.6154617202</v>
      </c>
      <c r="J86" s="73"/>
      <c r="K86" s="73"/>
      <c r="L86" s="150">
        <f>L84-L85</f>
        <v>-55162.362000000001</v>
      </c>
      <c r="M86" s="150">
        <f>M84-M85</f>
        <v>-93279</v>
      </c>
      <c r="N86" s="150">
        <f>N84-N85</f>
        <v>-162379.60337931031</v>
      </c>
      <c r="O86" s="73"/>
      <c r="P86" s="73"/>
      <c r="Q86" s="150">
        <f>Q84-Q85</f>
        <v>186403.74799999999</v>
      </c>
      <c r="R86" s="150">
        <f>R84-R85</f>
        <v>-104858.5</v>
      </c>
      <c r="S86" s="150">
        <f>S84-S85</f>
        <v>65876.736505747118</v>
      </c>
      <c r="T86" s="73"/>
      <c r="U86" s="73"/>
      <c r="V86" s="150">
        <f>V84-V85</f>
        <v>43710.893199999999</v>
      </c>
      <c r="W86" s="150">
        <f>W84-W85</f>
        <v>-23039.239999999998</v>
      </c>
      <c r="X86" s="150">
        <f>X84-X85</f>
        <v>17229.008142528735</v>
      </c>
      <c r="Y86" s="73"/>
      <c r="Z86" s="73"/>
      <c r="AA86" s="150">
        <f>AA84-AA85</f>
        <v>-4032.9959999999996</v>
      </c>
      <c r="AB86" s="150">
        <f>AB84-AB85</f>
        <v>0</v>
      </c>
      <c r="AC86" s="150">
        <f>AC84-AC85</f>
        <v>-4032.9959999999996</v>
      </c>
      <c r="AD86" s="73"/>
      <c r="AE86" s="73"/>
      <c r="AF86" s="150">
        <f>AF84-AF85</f>
        <v>0</v>
      </c>
      <c r="AG86" s="150">
        <f>AG84-AG85</f>
        <v>-2861</v>
      </c>
      <c r="AH86" s="150">
        <f>AH84-AH85</f>
        <v>-3275.3597462184657</v>
      </c>
      <c r="AI86" s="73"/>
      <c r="AJ86" s="73"/>
      <c r="AK86" s="150">
        <f>AK84-AK85</f>
        <v>111982.78</v>
      </c>
      <c r="AL86" s="150">
        <f>AL84-AL85</f>
        <v>0</v>
      </c>
      <c r="AM86" s="150">
        <f>AM84-AM85</f>
        <v>111982.78</v>
      </c>
      <c r="AN86" s="73"/>
      <c r="AO86" s="73"/>
      <c r="AP86" s="150">
        <f>AP84-AP85</f>
        <v>0</v>
      </c>
      <c r="AQ86" s="150">
        <f>AQ84-AQ85</f>
        <v>0</v>
      </c>
      <c r="AR86" s="150">
        <f>AR84-AR85</f>
        <v>0</v>
      </c>
      <c r="AS86" s="73"/>
      <c r="AT86" s="73"/>
      <c r="AU86" s="1919">
        <f>AU84-AU85</f>
        <v>-1416</v>
      </c>
      <c r="AV86" s="1919">
        <f>AV84-AV85</f>
        <v>0</v>
      </c>
      <c r="AW86" s="1919">
        <f>AW84-AW85</f>
        <v>-1416</v>
      </c>
      <c r="AX86" s="1920"/>
      <c r="AY86" s="1920"/>
      <c r="AZ86" s="150">
        <f>AZ84-AZ85</f>
        <v>21301761.144570805</v>
      </c>
      <c r="BA86" s="150">
        <f>BA84-BA85</f>
        <v>-10299056.07</v>
      </c>
      <c r="BB86" s="150">
        <f>BB84-BB85</f>
        <v>9593875.1809844673</v>
      </c>
      <c r="BC86" s="73"/>
      <c r="BD86" s="73"/>
    </row>
    <row r="87" spans="1:56" s="2" customFormat="1" ht="14.4" thickBot="1" x14ac:dyDescent="0.3">
      <c r="A87" s="295"/>
      <c r="B87" s="29" t="s">
        <v>51</v>
      </c>
      <c r="C87" s="155">
        <f>C86/C5</f>
        <v>0.42784095157386204</v>
      </c>
      <c r="D87" s="151" t="e">
        <f>D86/D5</f>
        <v>#DIV/0!</v>
      </c>
      <c r="E87" s="156">
        <f>E86/E5</f>
        <v>0.21466454407498267</v>
      </c>
      <c r="F87" s="176"/>
      <c r="G87" s="155">
        <f>G86/G5</f>
        <v>0.40230594103322409</v>
      </c>
      <c r="H87" s="151" t="e">
        <f>H86/H5</f>
        <v>#DIV/0!</v>
      </c>
      <c r="I87" s="156">
        <f>I86/I5</f>
        <v>0.18315763398598081</v>
      </c>
      <c r="J87" s="75"/>
      <c r="K87" s="75"/>
      <c r="L87" s="155">
        <f>L86/L5</f>
        <v>-1.0607922140108574</v>
      </c>
      <c r="M87" s="151" t="e">
        <f>M86/M5</f>
        <v>#DIV/0!</v>
      </c>
      <c r="N87" s="156">
        <f>N86/N5</f>
        <v>-3.1226186249773624</v>
      </c>
      <c r="O87" s="75"/>
      <c r="P87" s="75"/>
      <c r="Q87" s="155">
        <f>Q86/Q5</f>
        <v>0.60455754574809673</v>
      </c>
      <c r="R87" s="151" t="e">
        <f>R86/R5</f>
        <v>#DIV/0!</v>
      </c>
      <c r="S87" s="156">
        <f>S86/S5</f>
        <v>0.21365599442672434</v>
      </c>
      <c r="T87" s="75"/>
      <c r="U87" s="75"/>
      <c r="V87" s="155">
        <f>V86/V5</f>
        <v>0.45513529351617787</v>
      </c>
      <c r="W87" s="151" t="e">
        <f>W86/W5</f>
        <v>#DIV/0!</v>
      </c>
      <c r="X87" s="156">
        <f>X86/X5</f>
        <v>0.17939532011078727</v>
      </c>
      <c r="Y87" s="75"/>
      <c r="Z87" s="75"/>
      <c r="AA87" s="155" t="e">
        <f>AA86/AA5</f>
        <v>#DIV/0!</v>
      </c>
      <c r="AB87" s="151" t="e">
        <f>AB86/AB5</f>
        <v>#DIV/0!</v>
      </c>
      <c r="AC87" s="156" t="e">
        <f>AC86/AC5</f>
        <v>#DIV/0!</v>
      </c>
      <c r="AD87" s="75"/>
      <c r="AE87" s="75"/>
      <c r="AF87" s="155" t="e">
        <f>AF86/AF5</f>
        <v>#DIV/0!</v>
      </c>
      <c r="AG87" s="151" t="e">
        <f>AG86/AG5</f>
        <v>#DIV/0!</v>
      </c>
      <c r="AH87" s="156" t="e">
        <f>AH86/AH5</f>
        <v>#DIV/0!</v>
      </c>
      <c r="AI87" s="75"/>
      <c r="AJ87" s="75"/>
      <c r="AK87" s="155">
        <f>AK86/AK5</f>
        <v>1</v>
      </c>
      <c r="AL87" s="151" t="e">
        <f>AL86/AL5</f>
        <v>#DIV/0!</v>
      </c>
      <c r="AM87" s="156">
        <f>AM86/AM5</f>
        <v>1</v>
      </c>
      <c r="AN87" s="75"/>
      <c r="AO87" s="75"/>
      <c r="AP87" s="155" t="e">
        <f>AP86/AP5</f>
        <v>#DIV/0!</v>
      </c>
      <c r="AQ87" s="151" t="e">
        <f>AQ86/AQ5</f>
        <v>#DIV/0!</v>
      </c>
      <c r="AR87" s="156" t="e">
        <f>AR86/AR5</f>
        <v>#DIV/0!</v>
      </c>
      <c r="AS87" s="75"/>
      <c r="AT87" s="75"/>
      <c r="AU87" s="1182" t="e">
        <f>AU86/AU5</f>
        <v>#DIV/0!</v>
      </c>
      <c r="AV87" s="1183" t="e">
        <f>AV86/AV5</f>
        <v>#DIV/0!</v>
      </c>
      <c r="AW87" s="1385" t="e">
        <f>AW86/AW5</f>
        <v>#DIV/0!</v>
      </c>
      <c r="AX87" s="1380"/>
      <c r="AY87" s="1380"/>
      <c r="AZ87" s="155">
        <f>AZ86/AZ5</f>
        <v>0.40209940739718858</v>
      </c>
      <c r="BA87" s="151">
        <f>BA86/BA5</f>
        <v>-936.27782454545456</v>
      </c>
      <c r="BB87" s="156">
        <f>BB86/BB5</f>
        <v>0.18105970932264512</v>
      </c>
      <c r="BC87" s="75"/>
      <c r="BD87" s="75"/>
    </row>
    <row r="88" spans="1:56" ht="13.8" x14ac:dyDescent="0.25">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1473"/>
      <c r="AV88" s="1473"/>
      <c r="AW88" s="1473"/>
      <c r="AX88" s="1473"/>
      <c r="AY88" s="1473"/>
      <c r="AZ88" s="76"/>
      <c r="BA88" s="76"/>
      <c r="BB88" s="76"/>
      <c r="BC88" s="76"/>
      <c r="BD88" s="76"/>
    </row>
    <row r="89" spans="1:56" x14ac:dyDescent="0.25">
      <c r="B89" s="221" t="s">
        <v>56</v>
      </c>
      <c r="C89" s="153"/>
      <c r="D89" s="153"/>
      <c r="E89" s="154">
        <f>E8+E36+E41+E50+E54+E73+E79+E82+E85</f>
        <v>41449876.41234307</v>
      </c>
      <c r="F89" s="189"/>
      <c r="I89" s="154">
        <f>I8+I36+I41+I50+I54+I73+I79+I82+I85</f>
        <v>42849110.784538276</v>
      </c>
      <c r="N89" s="154">
        <f>N8+N36+N41+N50+N54+N73+N79+N82+N85</f>
        <v>214380.70337931032</v>
      </c>
      <c r="S89" s="154">
        <f>S8+S36+S41+S50+S54+S73+S79+S82+S85</f>
        <v>242454.12349425285</v>
      </c>
      <c r="X89" s="154">
        <f>X8+X36+X41+X50+X54+X73+X79+X82+X85</f>
        <v>78810.331857471261</v>
      </c>
      <c r="AC89" s="154">
        <f>AC8+AC36+AC41+AC50+AC54+AC73+AC79+AC82+AC85</f>
        <v>4032.9959999999996</v>
      </c>
      <c r="AH89" s="154">
        <f>AH8+AH36+AH41+AH50+AH54+AH73+AH79+AH82+AH85</f>
        <v>3275.3597462184657</v>
      </c>
      <c r="AM89" s="154">
        <f>AM8+AM36+AM41+AM50+AM54+AM73+AM79+AM82+AM85</f>
        <v>0</v>
      </c>
      <c r="AR89" s="154">
        <f>AR8+AR36+AR41+AR50+AR54+AR73+AR79+AR82+AR85</f>
        <v>0</v>
      </c>
      <c r="AW89" s="1538">
        <f>AW8+AW36+AW41+AW50+AW54+AW73+AW79+AW82+AW85</f>
        <v>1416</v>
      </c>
      <c r="BB89" s="154">
        <f>BB8+BB36+BB41+BB50+BB54+BB73+BB79+BB82+BB85</f>
        <v>43393480.299015537</v>
      </c>
    </row>
    <row r="90" spans="1:56" x14ac:dyDescent="0.25">
      <c r="C90" s="153"/>
      <c r="D90" s="153"/>
      <c r="E90" s="153"/>
      <c r="BB90" s="395" t="b">
        <f>BB89=(S89+N89+I89+X89+AC89+AH89+AM89+AR89+AW89)</f>
        <v>1</v>
      </c>
    </row>
    <row r="91" spans="1:56" s="2" customFormat="1" x14ac:dyDescent="0.25">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1446"/>
      <c r="AV91" s="1446"/>
      <c r="AW91" s="1446"/>
      <c r="AX91" s="1446"/>
      <c r="AY91" s="1446"/>
      <c r="AZ91" s="38"/>
      <c r="BA91" s="38"/>
      <c r="BB91" s="38"/>
      <c r="BC91" s="38"/>
      <c r="BD91" s="38"/>
    </row>
    <row r="92" spans="1:56" x14ac:dyDescent="0.25">
      <c r="C92" s="38"/>
      <c r="D92" s="38"/>
    </row>
    <row r="93" spans="1:56" s="2" customFormat="1" x14ac:dyDescent="0.25">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6">
        <f>AH5-AH89</f>
        <v>-3275.3597462184657</v>
      </c>
      <c r="AI93" s="38"/>
      <c r="AJ93" s="38"/>
      <c r="AK93" s="38"/>
      <c r="AL93" s="38"/>
      <c r="AM93" s="686">
        <f>AM5-AM89</f>
        <v>111982.78</v>
      </c>
      <c r="AN93" s="38"/>
      <c r="AO93" s="38"/>
      <c r="AP93" s="38"/>
      <c r="AQ93" s="38"/>
      <c r="AR93" s="686">
        <f>AR5-AR89</f>
        <v>0</v>
      </c>
      <c r="AS93" s="38"/>
      <c r="AT93" s="38"/>
      <c r="AU93" s="1446"/>
      <c r="AV93" s="1446"/>
      <c r="AW93" s="1681">
        <f>AW5-AW89</f>
        <v>-1416</v>
      </c>
      <c r="AX93" s="1446"/>
      <c r="AY93" s="1446"/>
      <c r="AZ93" s="38"/>
      <c r="BA93" s="38"/>
      <c r="BB93" s="686">
        <f>BB5-BB89</f>
        <v>9593875.1809844673</v>
      </c>
      <c r="BC93" s="38"/>
      <c r="BD93" s="38"/>
    </row>
    <row r="94" spans="1:56" s="2" customFormat="1" x14ac:dyDescent="0.25">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626"/>
      <c r="AG94" s="38"/>
      <c r="AH94" s="38"/>
      <c r="AI94" s="38"/>
      <c r="AJ94" s="38"/>
      <c r="AK94" s="626"/>
      <c r="AL94" s="38"/>
      <c r="AM94" s="38"/>
      <c r="AN94" s="38"/>
      <c r="AO94" s="38"/>
      <c r="AP94" s="626"/>
      <c r="AQ94" s="38"/>
      <c r="AR94" s="38"/>
      <c r="AS94" s="38"/>
      <c r="AT94" s="38"/>
      <c r="AU94" s="1669"/>
      <c r="AV94" s="1446"/>
      <c r="AW94" s="1446"/>
      <c r="AX94" s="1446"/>
      <c r="AY94" s="1446"/>
      <c r="AZ94" s="626"/>
      <c r="BA94" s="38"/>
      <c r="BB94" s="38"/>
      <c r="BC94" s="38"/>
      <c r="BD94" s="38"/>
    </row>
    <row r="95" spans="1:56" s="2" customFormat="1" x14ac:dyDescent="0.25">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1446"/>
      <c r="AV95" s="1446"/>
      <c r="AW95" s="1446"/>
      <c r="AX95" s="1446"/>
      <c r="AY95" s="1446"/>
      <c r="AZ95" s="38"/>
      <c r="BA95" s="38"/>
      <c r="BB95" s="38"/>
      <c r="BC95" s="38"/>
      <c r="BD95" s="38"/>
    </row>
    <row r="96" spans="1:56" s="2" customFormat="1" x14ac:dyDescent="0.25">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1446"/>
      <c r="AV96" s="1446"/>
      <c r="AW96" s="1446"/>
      <c r="AX96" s="1446"/>
      <c r="AY96" s="1446"/>
      <c r="AZ96" s="38"/>
      <c r="BA96" s="38"/>
      <c r="BB96" s="38"/>
      <c r="BC96" s="38"/>
      <c r="BD96" s="38"/>
    </row>
    <row r="97" spans="1:56" x14ac:dyDescent="0.25">
      <c r="C97" s="38"/>
      <c r="D97" s="38"/>
    </row>
    <row r="98" spans="1:56"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1446"/>
      <c r="AV98" s="1446"/>
      <c r="AW98" s="1446"/>
      <c r="AX98" s="1446"/>
      <c r="AY98" s="1446"/>
      <c r="AZ98" s="38"/>
      <c r="BA98" s="38"/>
      <c r="BB98" s="38"/>
      <c r="BC98" s="38"/>
      <c r="BD98" s="38"/>
    </row>
    <row r="99" spans="1:56" x14ac:dyDescent="0.25">
      <c r="C99" s="38"/>
      <c r="D99" s="38"/>
    </row>
  </sheetData>
  <mergeCells count="13">
    <mergeCell ref="AZ2:BC3"/>
    <mergeCell ref="A42:A48"/>
    <mergeCell ref="A2:F2"/>
    <mergeCell ref="A3:F3"/>
    <mergeCell ref="L2:O3"/>
    <mergeCell ref="G2:J3"/>
    <mergeCell ref="Q2:T3"/>
    <mergeCell ref="V2:Y3"/>
    <mergeCell ref="AA2:AD3"/>
    <mergeCell ref="AF2:AI3"/>
    <mergeCell ref="AK2:AO3"/>
    <mergeCell ref="AP2:AT3"/>
    <mergeCell ref="AU2:AY3"/>
  </mergeCells>
  <pageMargins left="0.39370078740157483" right="0.19685039370078741" top="0.19685039370078741" bottom="0.19685039370078741" header="0.11811023622047245" footer="0.11811023622047245"/>
  <pageSetup paperSize="9" scale="32" orientation="portrait" horizontalDpi="4294967295" verticalDpi="4294967295"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pageSetUpPr fitToPage="1"/>
  </sheetPr>
  <dimension ref="A1:AE99"/>
  <sheetViews>
    <sheetView showZeros="0" zoomScale="70" zoomScaleNormal="70" workbookViewId="0">
      <pane xSplit="6" ySplit="5" topLeftCell="G69" activePane="bottomRight" state="frozen"/>
      <selection activeCell="AF19" sqref="AF19"/>
      <selection pane="topRight" activeCell="AF19" sqref="AF19"/>
      <selection pane="bottomLeft" activeCell="AF19" sqref="AF19"/>
      <selection pane="bottomRight" activeCell="Y98" sqref="Y98"/>
    </sheetView>
  </sheetViews>
  <sheetFormatPr defaultColWidth="7.44140625" defaultRowHeight="13.2" outlineLevelRow="3" x14ac:dyDescent="0.25"/>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hidden="1" customWidth="1"/>
    <col min="10" max="10" width="9" style="38" hidden="1" customWidth="1"/>
    <col min="11" max="14" width="16.33203125" style="38" hidden="1" customWidth="1"/>
    <col min="15" max="15" width="9" style="38" hidden="1" customWidth="1"/>
    <col min="16" max="21" width="16.33203125" style="38" hidden="1" customWidth="1"/>
    <col min="22" max="29" width="16.33203125" style="38" customWidth="1"/>
    <col min="30" max="30" width="9" style="38" customWidth="1"/>
    <col min="31" max="31" width="16.33203125" style="38" customWidth="1"/>
    <col min="32" max="16384" width="7.44140625" style="1"/>
  </cols>
  <sheetData>
    <row r="1" spans="1:31" ht="13.95" customHeight="1" thickBot="1" x14ac:dyDescent="0.3">
      <c r="C1" s="38"/>
      <c r="D1" s="38"/>
    </row>
    <row r="2" spans="1:31" ht="22.2" customHeight="1" x14ac:dyDescent="0.25">
      <c r="A2" s="4016" t="s">
        <v>190</v>
      </c>
      <c r="B2" s="4017"/>
      <c r="C2" s="4017"/>
      <c r="D2" s="4017"/>
      <c r="E2" s="4017"/>
      <c r="F2" s="4018"/>
      <c r="G2" s="4019" t="s">
        <v>464</v>
      </c>
      <c r="H2" s="4020"/>
      <c r="I2" s="4020"/>
      <c r="J2" s="4020"/>
      <c r="K2" s="4222"/>
      <c r="L2" s="4019" t="s">
        <v>465</v>
      </c>
      <c r="M2" s="4020"/>
      <c r="N2" s="4020"/>
      <c r="O2" s="4020"/>
      <c r="P2" s="378"/>
      <c r="Q2" s="4043" t="s">
        <v>953</v>
      </c>
      <c r="R2" s="4044"/>
      <c r="S2" s="4044"/>
      <c r="T2" s="4044"/>
      <c r="U2" s="4146"/>
      <c r="V2" s="4071" t="s">
        <v>1079</v>
      </c>
      <c r="W2" s="4072"/>
      <c r="X2" s="4072"/>
      <c r="Y2" s="4072"/>
      <c r="Z2" s="4073"/>
      <c r="AA2" s="4212" t="s">
        <v>469</v>
      </c>
      <c r="AB2" s="4213"/>
      <c r="AC2" s="4213"/>
      <c r="AD2" s="4213"/>
      <c r="AE2" s="384"/>
    </row>
    <row r="3" spans="1:31" ht="14.4" customHeight="1" thickBot="1" x14ac:dyDescent="0.3">
      <c r="A3" s="4035" t="s">
        <v>54</v>
      </c>
      <c r="B3" s="4036"/>
      <c r="C3" s="4036"/>
      <c r="D3" s="4036"/>
      <c r="E3" s="4036"/>
      <c r="F3" s="4037"/>
      <c r="G3" s="4021"/>
      <c r="H3" s="4022"/>
      <c r="I3" s="4022"/>
      <c r="J3" s="4022"/>
      <c r="K3" s="4223"/>
      <c r="L3" s="4021"/>
      <c r="M3" s="4022"/>
      <c r="N3" s="4022"/>
      <c r="O3" s="4022"/>
      <c r="P3" s="379"/>
      <c r="Q3" s="4045"/>
      <c r="R3" s="4046"/>
      <c r="S3" s="4046"/>
      <c r="T3" s="4046"/>
      <c r="U3" s="4147"/>
      <c r="V3" s="4074"/>
      <c r="W3" s="4075"/>
      <c r="X3" s="4075"/>
      <c r="Y3" s="4075"/>
      <c r="Z3" s="4076"/>
      <c r="AA3" s="4214"/>
      <c r="AB3" s="4215"/>
      <c r="AC3" s="4215"/>
      <c r="AD3" s="4215"/>
      <c r="AE3" s="385"/>
    </row>
    <row r="4" spans="1:31" ht="41.4" thickBot="1" x14ac:dyDescent="0.3">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row>
    <row r="5" spans="1:31" s="88" customFormat="1" ht="14.4" thickBot="1" x14ac:dyDescent="0.3">
      <c r="A5" s="83"/>
      <c r="B5" s="84" t="s">
        <v>10</v>
      </c>
      <c r="C5" s="85">
        <f>C6</f>
        <v>2372705</v>
      </c>
      <c r="D5" s="85">
        <f>D6</f>
        <v>565000</v>
      </c>
      <c r="E5" s="86">
        <f>E6</f>
        <v>2937705</v>
      </c>
      <c r="F5" s="87"/>
      <c r="G5" s="87">
        <f>G6</f>
        <v>2577144.7399999998</v>
      </c>
      <c r="H5" s="87">
        <f>H6</f>
        <v>0</v>
      </c>
      <c r="I5" s="87">
        <f>I6</f>
        <v>2577144.7399999998</v>
      </c>
      <c r="J5" s="87"/>
      <c r="K5" s="87"/>
      <c r="L5" s="87">
        <f>L6</f>
        <v>0</v>
      </c>
      <c r="M5" s="87">
        <f>M6</f>
        <v>0</v>
      </c>
      <c r="N5" s="87">
        <f>N6</f>
        <v>0</v>
      </c>
      <c r="O5" s="87"/>
      <c r="P5" s="87"/>
      <c r="Q5" s="87">
        <f>Q6</f>
        <v>0</v>
      </c>
      <c r="R5" s="87">
        <f>R6</f>
        <v>0</v>
      </c>
      <c r="S5" s="87">
        <f>S6</f>
        <v>0</v>
      </c>
      <c r="T5" s="87"/>
      <c r="U5" s="87"/>
      <c r="V5" s="87">
        <f>V6</f>
        <v>0</v>
      </c>
      <c r="W5" s="87">
        <f>W6</f>
        <v>0</v>
      </c>
      <c r="X5" s="87">
        <f>X6</f>
        <v>0</v>
      </c>
      <c r="Y5" s="87"/>
      <c r="Z5" s="87"/>
      <c r="AA5" s="87">
        <f>AA6</f>
        <v>2577144.7399999998</v>
      </c>
      <c r="AB5" s="87">
        <f>AB6</f>
        <v>0</v>
      </c>
      <c r="AC5" s="87">
        <f>AC6</f>
        <v>2577144.7399999998</v>
      </c>
      <c r="AD5" s="87"/>
      <c r="AE5" s="87"/>
    </row>
    <row r="6" spans="1:31" s="2" customFormat="1" ht="13.8" outlineLevel="1" x14ac:dyDescent="0.25">
      <c r="A6" s="331"/>
      <c r="B6" s="9" t="s">
        <v>17</v>
      </c>
      <c r="C6" s="104">
        <v>2372705</v>
      </c>
      <c r="D6" s="105">
        <v>565000</v>
      </c>
      <c r="E6" s="106">
        <f>C6+D6</f>
        <v>2937705</v>
      </c>
      <c r="F6" s="39"/>
      <c r="G6" s="39">
        <v>2577144.7399999998</v>
      </c>
      <c r="H6" s="39">
        <v>0</v>
      </c>
      <c r="I6" s="106">
        <f>G6+H6</f>
        <v>2577144.7399999998</v>
      </c>
      <c r="J6" s="39"/>
      <c r="K6" s="39"/>
      <c r="L6" s="39"/>
      <c r="M6" s="39"/>
      <c r="N6" s="106">
        <f>L6+M6</f>
        <v>0</v>
      </c>
      <c r="O6" s="39"/>
      <c r="P6" s="39"/>
      <c r="Q6" s="39"/>
      <c r="R6" s="39"/>
      <c r="S6" s="106">
        <f>Q6+R6</f>
        <v>0</v>
      </c>
      <c r="T6" s="39"/>
      <c r="U6" s="39"/>
      <c r="V6" s="39"/>
      <c r="W6" s="39"/>
      <c r="X6" s="106">
        <f>V6+W6</f>
        <v>0</v>
      </c>
      <c r="Y6" s="39"/>
      <c r="Z6" s="39"/>
      <c r="AA6" s="39">
        <f>G6+L6+Q6+V6</f>
        <v>2577144.7399999998</v>
      </c>
      <c r="AB6" s="39">
        <f>H6+M6+R6+W6</f>
        <v>0</v>
      </c>
      <c r="AC6" s="106">
        <f>AA6+AB6</f>
        <v>2577144.7399999998</v>
      </c>
      <c r="AD6" s="39"/>
      <c r="AE6" s="39"/>
    </row>
    <row r="7" spans="1:31" s="2" customFormat="1" ht="15" customHeight="1" outlineLevel="1" collapsed="1" thickBot="1" x14ac:dyDescent="0.3">
      <c r="A7" s="238"/>
      <c r="B7" s="10" t="s">
        <v>41</v>
      </c>
      <c r="C7" s="107"/>
      <c r="D7" s="108">
        <v>30000</v>
      </c>
      <c r="E7" s="106">
        <f>C7+D7</f>
        <v>30000</v>
      </c>
      <c r="F7" s="40"/>
      <c r="G7" s="39">
        <v>0</v>
      </c>
      <c r="H7" s="39">
        <v>0</v>
      </c>
      <c r="I7" s="106">
        <f>G7+H7</f>
        <v>0</v>
      </c>
      <c r="J7" s="40"/>
      <c r="K7" s="40"/>
      <c r="L7" s="39"/>
      <c r="M7" s="39"/>
      <c r="N7" s="106">
        <f>L7+M7</f>
        <v>0</v>
      </c>
      <c r="O7" s="40"/>
      <c r="P7" s="40"/>
      <c r="Q7" s="39"/>
      <c r="R7" s="39"/>
      <c r="S7" s="106">
        <f>Q7+R7</f>
        <v>0</v>
      </c>
      <c r="T7" s="40"/>
      <c r="U7" s="40"/>
      <c r="V7" s="39"/>
      <c r="W7" s="39"/>
      <c r="X7" s="106">
        <f>V7+W7</f>
        <v>0</v>
      </c>
      <c r="Y7" s="40"/>
      <c r="Z7" s="40"/>
      <c r="AA7" s="39">
        <f>G7+L7+Q7+V7</f>
        <v>0</v>
      </c>
      <c r="AB7" s="39">
        <f>H7+M7+R7+W7</f>
        <v>0</v>
      </c>
      <c r="AC7" s="106">
        <f>AA7+AB7</f>
        <v>0</v>
      </c>
      <c r="AD7" s="40"/>
      <c r="AE7" s="40"/>
    </row>
    <row r="8" spans="1:31" s="88" customFormat="1" ht="15" customHeight="1" outlineLevel="1" thickBot="1" x14ac:dyDescent="0.3">
      <c r="A8" s="238"/>
      <c r="B8" s="84" t="s">
        <v>16</v>
      </c>
      <c r="C8" s="109">
        <f>SUM(C9:C33)</f>
        <v>1467513</v>
      </c>
      <c r="D8" s="109">
        <f>SUM(D9:D33)</f>
        <v>1049395</v>
      </c>
      <c r="E8" s="110">
        <f>SUM(E9:E33)</f>
        <v>2516908</v>
      </c>
      <c r="F8" s="164">
        <f t="shared" ref="F8:F21" si="0">E8/$E$89</f>
        <v>0.9741913084405518</v>
      </c>
      <c r="G8" s="109">
        <f>SUM(G16:G33)</f>
        <v>891583.53399999987</v>
      </c>
      <c r="H8" s="109">
        <f>SUM(H16:H33)</f>
        <v>31035.5</v>
      </c>
      <c r="I8" s="109">
        <f>SUM(I16:I33)</f>
        <v>922619.03399999987</v>
      </c>
      <c r="J8" s="164">
        <f t="shared" ref="J8:J21" si="1">I8/$I$89</f>
        <v>0.96310659140592447</v>
      </c>
      <c r="K8" s="87"/>
      <c r="L8" s="109">
        <f>SUM(L9:L33)</f>
        <v>0</v>
      </c>
      <c r="M8" s="109">
        <f>SUM(M9:M33)</f>
        <v>0</v>
      </c>
      <c r="N8" s="110">
        <f>SUM(N9:N33)</f>
        <v>0</v>
      </c>
      <c r="O8" s="164" t="e">
        <f t="shared" ref="O8:O21" si="2">N8/$N$89</f>
        <v>#DIV/0!</v>
      </c>
      <c r="P8" s="87"/>
      <c r="Q8" s="109">
        <f>SUM(Q9:Q33)</f>
        <v>0</v>
      </c>
      <c r="R8" s="109">
        <f>SUM(R9:R33)</f>
        <v>40800</v>
      </c>
      <c r="S8" s="110">
        <f>SUM(S9:S33)</f>
        <v>40800</v>
      </c>
      <c r="T8" s="164">
        <f t="shared" ref="T8:T33" si="3">S8/$S$89</f>
        <v>0.89099959701055098</v>
      </c>
      <c r="U8" s="87"/>
      <c r="V8" s="109">
        <f>SUM(V9:V33)</f>
        <v>0</v>
      </c>
      <c r="W8" s="109">
        <f>SUM(W9:W33)</f>
        <v>0</v>
      </c>
      <c r="X8" s="110">
        <f>SUM(X9:X33)</f>
        <v>0</v>
      </c>
      <c r="Y8" s="164">
        <f t="shared" ref="Y8:Y33" si="4">X8/$S$89</f>
        <v>0</v>
      </c>
      <c r="Z8" s="87"/>
      <c r="AA8" s="109">
        <f>SUM(AA9:AA33)</f>
        <v>891583.53399999987</v>
      </c>
      <c r="AB8" s="109">
        <f>SUM(AB9:AB33)</f>
        <v>71835.5</v>
      </c>
      <c r="AC8" s="110">
        <f>SUM(AC9:AC33)</f>
        <v>963419.03399999987</v>
      </c>
      <c r="AD8" s="164">
        <f t="shared" ref="AD8:AD21" si="5">AC8/$AC$89</f>
        <v>0.95981706562775715</v>
      </c>
      <c r="AE8" s="87"/>
    </row>
    <row r="9" spans="1:31" s="2" customFormat="1" ht="30" customHeight="1" outlineLevel="2" x14ac:dyDescent="0.25">
      <c r="A9" s="238"/>
      <c r="B9" s="31" t="s">
        <v>74</v>
      </c>
      <c r="C9" s="111">
        <v>5555</v>
      </c>
      <c r="D9" s="112"/>
      <c r="E9" s="106">
        <f t="shared" ref="E9:E33" si="6">C9+D9</f>
        <v>5555</v>
      </c>
      <c r="F9" s="177">
        <f t="shared" si="0"/>
        <v>2.1501114535721075E-3</v>
      </c>
      <c r="G9" s="210"/>
      <c r="H9" s="210"/>
      <c r="I9" s="210"/>
      <c r="J9" s="178">
        <f t="shared" si="1"/>
        <v>0</v>
      </c>
      <c r="K9" s="42"/>
      <c r="L9" s="39"/>
      <c r="M9" s="39"/>
      <c r="N9" s="210">
        <f>L9+M9*1</f>
        <v>0</v>
      </c>
      <c r="O9" s="178" t="e">
        <f t="shared" si="2"/>
        <v>#DIV/0!</v>
      </c>
      <c r="P9" s="42"/>
      <c r="Q9" s="39"/>
      <c r="R9" s="39"/>
      <c r="S9" s="210">
        <f>Q9+R9*1</f>
        <v>0</v>
      </c>
      <c r="T9" s="178">
        <f t="shared" si="3"/>
        <v>0</v>
      </c>
      <c r="U9" s="42"/>
      <c r="V9" s="39"/>
      <c r="W9" s="39"/>
      <c r="X9" s="210">
        <f>V9+W9*1</f>
        <v>0</v>
      </c>
      <c r="Y9" s="178">
        <f t="shared" si="4"/>
        <v>0</v>
      </c>
      <c r="Z9" s="42"/>
      <c r="AA9" s="39">
        <f t="shared" ref="AA9:AA33" si="7">G9+L9+Q9+V9</f>
        <v>0</v>
      </c>
      <c r="AB9" s="39">
        <f t="shared" ref="AB9:AB33" si="8">H9+M9+R9+W9</f>
        <v>0</v>
      </c>
      <c r="AC9" s="210">
        <f>AA9+AB9*1</f>
        <v>0</v>
      </c>
      <c r="AD9" s="178">
        <f t="shared" si="5"/>
        <v>0</v>
      </c>
      <c r="AE9" s="42"/>
    </row>
    <row r="10" spans="1:31" s="2" customFormat="1" ht="14.4" customHeight="1" outlineLevel="2" x14ac:dyDescent="0.25">
      <c r="A10" s="238"/>
      <c r="B10" s="31" t="s">
        <v>72</v>
      </c>
      <c r="C10" s="111">
        <v>1346</v>
      </c>
      <c r="D10" s="112"/>
      <c r="E10" s="106">
        <f t="shared" si="6"/>
        <v>1346</v>
      </c>
      <c r="F10" s="177">
        <f t="shared" si="0"/>
        <v>5.2098110108155828E-4</v>
      </c>
      <c r="G10" s="210"/>
      <c r="H10" s="210"/>
      <c r="I10" s="210"/>
      <c r="J10" s="178">
        <f t="shared" si="1"/>
        <v>0</v>
      </c>
      <c r="K10" s="42"/>
      <c r="L10" s="39"/>
      <c r="M10" s="39"/>
      <c r="N10" s="210">
        <f t="shared" ref="N10:N33" si="9">L10+M10*1</f>
        <v>0</v>
      </c>
      <c r="O10" s="178" t="e">
        <f t="shared" si="2"/>
        <v>#DIV/0!</v>
      </c>
      <c r="P10" s="42"/>
      <c r="Q10" s="39"/>
      <c r="R10" s="39"/>
      <c r="S10" s="210">
        <f t="shared" ref="S10:S21" si="10">Q10+R10*1</f>
        <v>0</v>
      </c>
      <c r="T10" s="178">
        <f t="shared" si="3"/>
        <v>0</v>
      </c>
      <c r="U10" s="42"/>
      <c r="V10" s="39"/>
      <c r="W10" s="39"/>
      <c r="X10" s="210">
        <f t="shared" ref="X10:X21" si="11">V10+W10*1</f>
        <v>0</v>
      </c>
      <c r="Y10" s="178">
        <f t="shared" si="4"/>
        <v>0</v>
      </c>
      <c r="Z10" s="42"/>
      <c r="AA10" s="39">
        <f t="shared" si="7"/>
        <v>0</v>
      </c>
      <c r="AB10" s="39">
        <f t="shared" si="8"/>
        <v>0</v>
      </c>
      <c r="AC10" s="210">
        <f t="shared" ref="AC10:AC33" si="12">AA10+AB10*1</f>
        <v>0</v>
      </c>
      <c r="AD10" s="178">
        <f t="shared" si="5"/>
        <v>0</v>
      </c>
      <c r="AE10" s="42"/>
    </row>
    <row r="11" spans="1:31" s="2" customFormat="1" ht="14.4" customHeight="1" outlineLevel="2" x14ac:dyDescent="0.25">
      <c r="A11" s="238"/>
      <c r="B11" s="31" t="s">
        <v>69</v>
      </c>
      <c r="C11" s="111">
        <v>1518</v>
      </c>
      <c r="D11" s="112"/>
      <c r="E11" s="106">
        <f t="shared" si="6"/>
        <v>1518</v>
      </c>
      <c r="F11" s="177">
        <f t="shared" si="0"/>
        <v>5.8755520909495209E-4</v>
      </c>
      <c r="G11" s="210"/>
      <c r="H11" s="210"/>
      <c r="I11" s="210"/>
      <c r="J11" s="178">
        <f t="shared" si="1"/>
        <v>0</v>
      </c>
      <c r="K11" s="42"/>
      <c r="L11" s="39"/>
      <c r="M11" s="39"/>
      <c r="N11" s="210">
        <f t="shared" si="9"/>
        <v>0</v>
      </c>
      <c r="O11" s="178" t="e">
        <f t="shared" si="2"/>
        <v>#DIV/0!</v>
      </c>
      <c r="P11" s="42"/>
      <c r="Q11" s="39"/>
      <c r="R11" s="39"/>
      <c r="S11" s="210">
        <f t="shared" si="10"/>
        <v>0</v>
      </c>
      <c r="T11" s="178">
        <f t="shared" si="3"/>
        <v>0</v>
      </c>
      <c r="U11" s="42"/>
      <c r="V11" s="39"/>
      <c r="W11" s="39"/>
      <c r="X11" s="210">
        <f t="shared" si="11"/>
        <v>0</v>
      </c>
      <c r="Y11" s="178">
        <f t="shared" si="4"/>
        <v>0</v>
      </c>
      <c r="Z11" s="42"/>
      <c r="AA11" s="39">
        <f t="shared" si="7"/>
        <v>0</v>
      </c>
      <c r="AB11" s="39">
        <f t="shared" si="8"/>
        <v>0</v>
      </c>
      <c r="AC11" s="210">
        <f t="shared" si="12"/>
        <v>0</v>
      </c>
      <c r="AD11" s="178">
        <f t="shared" si="5"/>
        <v>0</v>
      </c>
      <c r="AE11" s="42"/>
    </row>
    <row r="12" spans="1:31" s="2" customFormat="1" ht="52.2" customHeight="1" outlineLevel="2" x14ac:dyDescent="0.25">
      <c r="A12" s="238"/>
      <c r="B12" s="31" t="s">
        <v>73</v>
      </c>
      <c r="C12" s="111">
        <v>1852</v>
      </c>
      <c r="D12" s="112">
        <v>10649</v>
      </c>
      <c r="E12" s="106">
        <f t="shared" si="6"/>
        <v>12501</v>
      </c>
      <c r="F12" s="177">
        <f t="shared" si="0"/>
        <v>4.8386216527641608E-3</v>
      </c>
      <c r="G12" s="210"/>
      <c r="H12" s="210"/>
      <c r="I12" s="210"/>
      <c r="J12" s="178">
        <f t="shared" si="1"/>
        <v>0</v>
      </c>
      <c r="K12" s="42"/>
      <c r="L12" s="39"/>
      <c r="M12" s="39"/>
      <c r="N12" s="210">
        <f t="shared" si="9"/>
        <v>0</v>
      </c>
      <c r="O12" s="178" t="e">
        <f t="shared" si="2"/>
        <v>#DIV/0!</v>
      </c>
      <c r="P12" s="42"/>
      <c r="Q12" s="39"/>
      <c r="R12" s="39"/>
      <c r="S12" s="210">
        <f t="shared" si="10"/>
        <v>0</v>
      </c>
      <c r="T12" s="178">
        <f t="shared" si="3"/>
        <v>0</v>
      </c>
      <c r="U12" s="42"/>
      <c r="V12" s="39"/>
      <c r="W12" s="39"/>
      <c r="X12" s="210">
        <f t="shared" si="11"/>
        <v>0</v>
      </c>
      <c r="Y12" s="178">
        <f t="shared" si="4"/>
        <v>0</v>
      </c>
      <c r="Z12" s="42"/>
      <c r="AA12" s="39">
        <f t="shared" si="7"/>
        <v>0</v>
      </c>
      <c r="AB12" s="39">
        <f t="shared" si="8"/>
        <v>0</v>
      </c>
      <c r="AC12" s="210">
        <f t="shared" si="12"/>
        <v>0</v>
      </c>
      <c r="AD12" s="178">
        <f t="shared" si="5"/>
        <v>0</v>
      </c>
      <c r="AE12" s="42"/>
    </row>
    <row r="13" spans="1:31" s="2" customFormat="1" ht="14.4" customHeight="1" outlineLevel="2" x14ac:dyDescent="0.25">
      <c r="A13" s="238"/>
      <c r="B13" s="31" t="s">
        <v>71</v>
      </c>
      <c r="C13" s="111">
        <v>449</v>
      </c>
      <c r="D13" s="112"/>
      <c r="E13" s="106">
        <f t="shared" si="6"/>
        <v>449</v>
      </c>
      <c r="F13" s="177">
        <f t="shared" si="0"/>
        <v>1.7378938661635936E-4</v>
      </c>
      <c r="G13" s="210"/>
      <c r="H13" s="210"/>
      <c r="I13" s="210"/>
      <c r="J13" s="178">
        <f t="shared" si="1"/>
        <v>0</v>
      </c>
      <c r="K13" s="42"/>
      <c r="L13" s="39"/>
      <c r="M13" s="39"/>
      <c r="N13" s="210">
        <f t="shared" si="9"/>
        <v>0</v>
      </c>
      <c r="O13" s="178" t="e">
        <f t="shared" si="2"/>
        <v>#DIV/0!</v>
      </c>
      <c r="P13" s="42"/>
      <c r="Q13" s="39"/>
      <c r="R13" s="39"/>
      <c r="S13" s="210">
        <f t="shared" si="10"/>
        <v>0</v>
      </c>
      <c r="T13" s="178">
        <f t="shared" si="3"/>
        <v>0</v>
      </c>
      <c r="U13" s="42"/>
      <c r="V13" s="39"/>
      <c r="W13" s="39"/>
      <c r="X13" s="210">
        <f t="shared" si="11"/>
        <v>0</v>
      </c>
      <c r="Y13" s="178">
        <f t="shared" si="4"/>
        <v>0</v>
      </c>
      <c r="Z13" s="42"/>
      <c r="AA13" s="39">
        <f t="shared" si="7"/>
        <v>0</v>
      </c>
      <c r="AB13" s="39">
        <f t="shared" si="8"/>
        <v>0</v>
      </c>
      <c r="AC13" s="210">
        <f t="shared" si="12"/>
        <v>0</v>
      </c>
      <c r="AD13" s="178">
        <f t="shared" si="5"/>
        <v>0</v>
      </c>
      <c r="AE13" s="42"/>
    </row>
    <row r="14" spans="1:31" s="2" customFormat="1" ht="14.4" customHeight="1" outlineLevel="2" x14ac:dyDescent="0.25">
      <c r="A14" s="238"/>
      <c r="B14" s="31" t="s">
        <v>70</v>
      </c>
      <c r="C14" s="111">
        <v>506</v>
      </c>
      <c r="D14" s="112"/>
      <c r="E14" s="106">
        <f t="shared" si="6"/>
        <v>506</v>
      </c>
      <c r="F14" s="177">
        <f t="shared" si="0"/>
        <v>1.9585173636498402E-4</v>
      </c>
      <c r="G14" s="210"/>
      <c r="H14" s="210"/>
      <c r="I14" s="210"/>
      <c r="J14" s="178">
        <f t="shared" si="1"/>
        <v>0</v>
      </c>
      <c r="K14" s="42"/>
      <c r="L14" s="39"/>
      <c r="M14" s="39"/>
      <c r="N14" s="210">
        <f t="shared" si="9"/>
        <v>0</v>
      </c>
      <c r="O14" s="178" t="e">
        <f t="shared" si="2"/>
        <v>#DIV/0!</v>
      </c>
      <c r="P14" s="42"/>
      <c r="Q14" s="39"/>
      <c r="R14" s="39"/>
      <c r="S14" s="210">
        <f t="shared" si="10"/>
        <v>0</v>
      </c>
      <c r="T14" s="178">
        <f t="shared" si="3"/>
        <v>0</v>
      </c>
      <c r="U14" s="42"/>
      <c r="V14" s="39"/>
      <c r="W14" s="39"/>
      <c r="X14" s="210">
        <f t="shared" si="11"/>
        <v>0</v>
      </c>
      <c r="Y14" s="178">
        <f t="shared" si="4"/>
        <v>0</v>
      </c>
      <c r="Z14" s="42"/>
      <c r="AA14" s="39">
        <f t="shared" si="7"/>
        <v>0</v>
      </c>
      <c r="AB14" s="39">
        <f t="shared" si="8"/>
        <v>0</v>
      </c>
      <c r="AC14" s="210">
        <f t="shared" si="12"/>
        <v>0</v>
      </c>
      <c r="AD14" s="178">
        <f t="shared" si="5"/>
        <v>0</v>
      </c>
      <c r="AE14" s="42"/>
    </row>
    <row r="15" spans="1:31" s="2" customFormat="1" ht="14.4" customHeight="1" outlineLevel="2" x14ac:dyDescent="0.25">
      <c r="A15" s="238"/>
      <c r="B15" s="7" t="s">
        <v>20</v>
      </c>
      <c r="C15" s="111"/>
      <c r="D15" s="113"/>
      <c r="E15" s="106">
        <f t="shared" si="6"/>
        <v>0</v>
      </c>
      <c r="F15" s="177">
        <f t="shared" si="0"/>
        <v>0</v>
      </c>
      <c r="G15" s="210"/>
      <c r="H15" s="210"/>
      <c r="I15" s="210"/>
      <c r="J15" s="178">
        <f t="shared" si="1"/>
        <v>0</v>
      </c>
      <c r="K15" s="42"/>
      <c r="L15" s="39"/>
      <c r="M15" s="39"/>
      <c r="N15" s="210">
        <f t="shared" si="9"/>
        <v>0</v>
      </c>
      <c r="O15" s="178" t="e">
        <f t="shared" si="2"/>
        <v>#DIV/0!</v>
      </c>
      <c r="P15" s="42"/>
      <c r="Q15" s="39"/>
      <c r="R15" s="39"/>
      <c r="S15" s="210">
        <f t="shared" si="10"/>
        <v>0</v>
      </c>
      <c r="T15" s="178">
        <f t="shared" si="3"/>
        <v>0</v>
      </c>
      <c r="U15" s="42"/>
      <c r="V15" s="39"/>
      <c r="W15" s="39"/>
      <c r="X15" s="210">
        <f t="shared" si="11"/>
        <v>0</v>
      </c>
      <c r="Y15" s="178">
        <f t="shared" si="4"/>
        <v>0</v>
      </c>
      <c r="Z15" s="42"/>
      <c r="AA15" s="39">
        <f t="shared" si="7"/>
        <v>0</v>
      </c>
      <c r="AB15" s="39">
        <f t="shared" si="8"/>
        <v>0</v>
      </c>
      <c r="AC15" s="210">
        <f t="shared" si="12"/>
        <v>0</v>
      </c>
      <c r="AD15" s="178">
        <f t="shared" si="5"/>
        <v>0</v>
      </c>
      <c r="AE15" s="42"/>
    </row>
    <row r="16" spans="1:31" s="2" customFormat="1" ht="31.95" customHeight="1" outlineLevel="2" x14ac:dyDescent="0.25">
      <c r="A16" s="292"/>
      <c r="B16" s="7" t="s">
        <v>21</v>
      </c>
      <c r="C16" s="111"/>
      <c r="D16" s="113">
        <v>433946</v>
      </c>
      <c r="E16" s="106">
        <f t="shared" si="6"/>
        <v>433946</v>
      </c>
      <c r="F16" s="177">
        <f t="shared" si="0"/>
        <v>0.1679626039301173</v>
      </c>
      <c r="G16" s="39">
        <v>0</v>
      </c>
      <c r="H16" s="39">
        <v>10000</v>
      </c>
      <c r="I16" s="210">
        <f>G16+H16*1</f>
        <v>10000</v>
      </c>
      <c r="J16" s="178">
        <f t="shared" si="1"/>
        <v>1.0438832886748406E-2</v>
      </c>
      <c r="K16" s="42"/>
      <c r="L16" s="39"/>
      <c r="M16" s="39"/>
      <c r="N16" s="210">
        <f t="shared" si="9"/>
        <v>0</v>
      </c>
      <c r="O16" s="178" t="e">
        <f t="shared" si="2"/>
        <v>#DIV/0!</v>
      </c>
      <c r="P16" s="42"/>
      <c r="Q16" s="39"/>
      <c r="R16" s="39"/>
      <c r="S16" s="210">
        <f t="shared" si="10"/>
        <v>0</v>
      </c>
      <c r="T16" s="178">
        <f t="shared" si="3"/>
        <v>0</v>
      </c>
      <c r="U16" s="42"/>
      <c r="V16" s="39"/>
      <c r="W16" s="39"/>
      <c r="X16" s="210">
        <f t="shared" si="11"/>
        <v>0</v>
      </c>
      <c r="Y16" s="178">
        <f t="shared" si="4"/>
        <v>0</v>
      </c>
      <c r="Z16" s="42"/>
      <c r="AA16" s="39">
        <f t="shared" si="7"/>
        <v>0</v>
      </c>
      <c r="AB16" s="39">
        <f t="shared" si="8"/>
        <v>10000</v>
      </c>
      <c r="AC16" s="210">
        <f t="shared" si="12"/>
        <v>10000</v>
      </c>
      <c r="AD16" s="178">
        <f t="shared" si="5"/>
        <v>9.962612650932505E-3</v>
      </c>
      <c r="AE16" s="42"/>
    </row>
    <row r="17" spans="1:31" s="2" customFormat="1" ht="14.4" customHeight="1" outlineLevel="2" x14ac:dyDescent="0.25">
      <c r="A17" s="238"/>
      <c r="B17" s="7" t="s">
        <v>22</v>
      </c>
      <c r="C17" s="111"/>
      <c r="D17" s="113"/>
      <c r="E17" s="106">
        <f t="shared" si="6"/>
        <v>0</v>
      </c>
      <c r="F17" s="177">
        <f t="shared" si="0"/>
        <v>0</v>
      </c>
      <c r="G17" s="39">
        <v>0</v>
      </c>
      <c r="H17" s="39">
        <v>0</v>
      </c>
      <c r="I17" s="210">
        <f t="shared" ref="I17:I33" si="13">G17+H17*1</f>
        <v>0</v>
      </c>
      <c r="J17" s="178">
        <f t="shared" si="1"/>
        <v>0</v>
      </c>
      <c r="K17" s="42"/>
      <c r="L17" s="39"/>
      <c r="M17" s="39"/>
      <c r="N17" s="210">
        <f t="shared" si="9"/>
        <v>0</v>
      </c>
      <c r="O17" s="178" t="e">
        <f t="shared" si="2"/>
        <v>#DIV/0!</v>
      </c>
      <c r="P17" s="42"/>
      <c r="Q17" s="39"/>
      <c r="R17" s="39"/>
      <c r="S17" s="210">
        <f t="shared" si="10"/>
        <v>0</v>
      </c>
      <c r="T17" s="178">
        <f t="shared" si="3"/>
        <v>0</v>
      </c>
      <c r="U17" s="42"/>
      <c r="V17" s="39"/>
      <c r="W17" s="39"/>
      <c r="X17" s="210">
        <f t="shared" si="11"/>
        <v>0</v>
      </c>
      <c r="Y17" s="178">
        <f t="shared" si="4"/>
        <v>0</v>
      </c>
      <c r="Z17" s="42"/>
      <c r="AA17" s="39">
        <f t="shared" si="7"/>
        <v>0</v>
      </c>
      <c r="AB17" s="39">
        <f t="shared" si="8"/>
        <v>0</v>
      </c>
      <c r="AC17" s="210">
        <f t="shared" si="12"/>
        <v>0</v>
      </c>
      <c r="AD17" s="178">
        <f t="shared" si="5"/>
        <v>0</v>
      </c>
      <c r="AE17" s="42"/>
    </row>
    <row r="18" spans="1:31" s="2" customFormat="1" ht="13.8" outlineLevel="2" x14ac:dyDescent="0.25">
      <c r="A18" s="238"/>
      <c r="B18" s="7" t="s">
        <v>0</v>
      </c>
      <c r="C18" s="111">
        <v>744640</v>
      </c>
      <c r="D18" s="113">
        <v>216400</v>
      </c>
      <c r="E18" s="106">
        <f t="shared" si="6"/>
        <v>961040</v>
      </c>
      <c r="F18" s="177">
        <f t="shared" si="0"/>
        <v>0.37197895793716257</v>
      </c>
      <c r="G18" s="39">
        <v>530888.93999999994</v>
      </c>
      <c r="H18" s="39">
        <v>3323.5</v>
      </c>
      <c r="I18" s="210">
        <f t="shared" si="13"/>
        <v>534212.43999999994</v>
      </c>
      <c r="J18" s="178">
        <f t="shared" si="1"/>
        <v>0.55765543871821088</v>
      </c>
      <c r="K18" s="42"/>
      <c r="L18" s="39"/>
      <c r="M18" s="39"/>
      <c r="N18" s="210">
        <f t="shared" si="9"/>
        <v>0</v>
      </c>
      <c r="O18" s="178" t="e">
        <f t="shared" si="2"/>
        <v>#DIV/0!</v>
      </c>
      <c r="P18" s="42"/>
      <c r="Q18" s="39"/>
      <c r="R18" s="39"/>
      <c r="S18" s="210">
        <f t="shared" si="10"/>
        <v>0</v>
      </c>
      <c r="T18" s="178">
        <f t="shared" si="3"/>
        <v>0</v>
      </c>
      <c r="U18" s="42"/>
      <c r="V18" s="39"/>
      <c r="W18" s="39"/>
      <c r="X18" s="210">
        <f t="shared" si="11"/>
        <v>0</v>
      </c>
      <c r="Y18" s="178">
        <f t="shared" si="4"/>
        <v>0</v>
      </c>
      <c r="Z18" s="42"/>
      <c r="AA18" s="39">
        <f t="shared" si="7"/>
        <v>530888.93999999994</v>
      </c>
      <c r="AB18" s="39">
        <f t="shared" si="8"/>
        <v>3323.5</v>
      </c>
      <c r="AC18" s="210">
        <f t="shared" si="12"/>
        <v>534212.43999999994</v>
      </c>
      <c r="AD18" s="178">
        <f t="shared" si="5"/>
        <v>0.5322151613029521</v>
      </c>
      <c r="AE18" s="42"/>
    </row>
    <row r="19" spans="1:31" s="2" customFormat="1" ht="16.2" customHeight="1" outlineLevel="2" x14ac:dyDescent="0.25">
      <c r="A19" s="238"/>
      <c r="B19" s="7" t="s">
        <v>53</v>
      </c>
      <c r="C19" s="114"/>
      <c r="D19" s="113"/>
      <c r="E19" s="106">
        <f t="shared" si="6"/>
        <v>0</v>
      </c>
      <c r="F19" s="177">
        <f t="shared" si="0"/>
        <v>0</v>
      </c>
      <c r="G19" s="39">
        <v>0</v>
      </c>
      <c r="H19" s="39">
        <v>0</v>
      </c>
      <c r="I19" s="210">
        <f t="shared" si="13"/>
        <v>0</v>
      </c>
      <c r="J19" s="178">
        <f t="shared" si="1"/>
        <v>0</v>
      </c>
      <c r="K19" s="42"/>
      <c r="L19" s="39"/>
      <c r="M19" s="39"/>
      <c r="N19" s="210">
        <f t="shared" si="9"/>
        <v>0</v>
      </c>
      <c r="O19" s="178" t="e">
        <f t="shared" si="2"/>
        <v>#DIV/0!</v>
      </c>
      <c r="P19" s="42"/>
      <c r="Q19" s="39"/>
      <c r="R19" s="39"/>
      <c r="S19" s="210">
        <f t="shared" si="10"/>
        <v>0</v>
      </c>
      <c r="T19" s="178">
        <f t="shared" si="3"/>
        <v>0</v>
      </c>
      <c r="U19" s="42"/>
      <c r="V19" s="39"/>
      <c r="W19" s="39"/>
      <c r="X19" s="210">
        <f t="shared" si="11"/>
        <v>0</v>
      </c>
      <c r="Y19" s="178">
        <f t="shared" si="4"/>
        <v>0</v>
      </c>
      <c r="Z19" s="42"/>
      <c r="AA19" s="39">
        <f t="shared" si="7"/>
        <v>0</v>
      </c>
      <c r="AB19" s="39">
        <f t="shared" si="8"/>
        <v>0</v>
      </c>
      <c r="AC19" s="210">
        <f t="shared" si="12"/>
        <v>0</v>
      </c>
      <c r="AD19" s="178">
        <f t="shared" si="5"/>
        <v>0</v>
      </c>
      <c r="AE19" s="42"/>
    </row>
    <row r="20" spans="1:31" s="2" customFormat="1" ht="14.4" customHeight="1" outlineLevel="2" x14ac:dyDescent="0.25">
      <c r="A20" s="238"/>
      <c r="B20" s="7" t="s">
        <v>57</v>
      </c>
      <c r="C20" s="114"/>
      <c r="D20" s="113"/>
      <c r="E20" s="106">
        <f t="shared" si="6"/>
        <v>0</v>
      </c>
      <c r="F20" s="177">
        <f t="shared" si="0"/>
        <v>0</v>
      </c>
      <c r="G20" s="39">
        <v>0</v>
      </c>
      <c r="H20" s="39">
        <v>0</v>
      </c>
      <c r="I20" s="210">
        <f t="shared" si="13"/>
        <v>0</v>
      </c>
      <c r="J20" s="178">
        <f t="shared" si="1"/>
        <v>0</v>
      </c>
      <c r="K20" s="42"/>
      <c r="L20" s="39"/>
      <c r="M20" s="39"/>
      <c r="N20" s="210">
        <f t="shared" si="9"/>
        <v>0</v>
      </c>
      <c r="O20" s="178" t="e">
        <f t="shared" si="2"/>
        <v>#DIV/0!</v>
      </c>
      <c r="P20" s="42"/>
      <c r="Q20" s="39"/>
      <c r="R20" s="39"/>
      <c r="S20" s="210">
        <f t="shared" si="10"/>
        <v>0</v>
      </c>
      <c r="T20" s="178">
        <f t="shared" si="3"/>
        <v>0</v>
      </c>
      <c r="U20" s="42"/>
      <c r="V20" s="39"/>
      <c r="W20" s="39"/>
      <c r="X20" s="210">
        <f t="shared" si="11"/>
        <v>0</v>
      </c>
      <c r="Y20" s="178">
        <f t="shared" si="4"/>
        <v>0</v>
      </c>
      <c r="Z20" s="42"/>
      <c r="AA20" s="39">
        <f t="shared" si="7"/>
        <v>0</v>
      </c>
      <c r="AB20" s="39">
        <f t="shared" si="8"/>
        <v>0</v>
      </c>
      <c r="AC20" s="210">
        <f t="shared" si="12"/>
        <v>0</v>
      </c>
      <c r="AD20" s="178">
        <f t="shared" si="5"/>
        <v>0</v>
      </c>
      <c r="AE20" s="42"/>
    </row>
    <row r="21" spans="1:31" s="2" customFormat="1" ht="33" customHeight="1" outlineLevel="2" x14ac:dyDescent="0.25">
      <c r="A21" s="238"/>
      <c r="B21" s="7" t="s">
        <v>622</v>
      </c>
      <c r="C21" s="114">
        <v>48712</v>
      </c>
      <c r="D21" s="113"/>
      <c r="E21" s="106">
        <f t="shared" si="6"/>
        <v>48712</v>
      </c>
      <c r="F21" s="177">
        <f t="shared" si="0"/>
        <v>1.885440668342115E-2</v>
      </c>
      <c r="G21" s="39">
        <v>0</v>
      </c>
      <c r="H21" s="39">
        <v>0</v>
      </c>
      <c r="I21" s="210">
        <f t="shared" si="13"/>
        <v>0</v>
      </c>
      <c r="J21" s="178">
        <f t="shared" si="1"/>
        <v>0</v>
      </c>
      <c r="K21" s="42"/>
      <c r="L21" s="39"/>
      <c r="M21" s="39"/>
      <c r="N21" s="210">
        <f t="shared" si="9"/>
        <v>0</v>
      </c>
      <c r="O21" s="178" t="e">
        <f t="shared" si="2"/>
        <v>#DIV/0!</v>
      </c>
      <c r="P21" s="42"/>
      <c r="Q21" s="39"/>
      <c r="R21" s="39"/>
      <c r="S21" s="210">
        <f t="shared" si="10"/>
        <v>0</v>
      </c>
      <c r="T21" s="178">
        <f t="shared" si="3"/>
        <v>0</v>
      </c>
      <c r="U21" s="42"/>
      <c r="V21" s="39"/>
      <c r="W21" s="39"/>
      <c r="X21" s="210">
        <f t="shared" si="11"/>
        <v>0</v>
      </c>
      <c r="Y21" s="178">
        <f t="shared" si="4"/>
        <v>0</v>
      </c>
      <c r="Z21" s="42"/>
      <c r="AA21" s="39">
        <f t="shared" si="7"/>
        <v>0</v>
      </c>
      <c r="AB21" s="39">
        <f t="shared" si="8"/>
        <v>0</v>
      </c>
      <c r="AC21" s="210">
        <f t="shared" si="12"/>
        <v>0</v>
      </c>
      <c r="AD21" s="178">
        <f t="shared" si="5"/>
        <v>0</v>
      </c>
      <c r="AE21" s="42"/>
    </row>
    <row r="22" spans="1:31" s="2" customFormat="1" ht="33" customHeight="1" outlineLevel="2" x14ac:dyDescent="0.25">
      <c r="A22" s="238"/>
      <c r="B22" s="7" t="s">
        <v>621</v>
      </c>
      <c r="C22" s="114"/>
      <c r="D22" s="445"/>
      <c r="E22" s="446"/>
      <c r="F22" s="447"/>
      <c r="G22" s="452"/>
      <c r="H22" s="452"/>
      <c r="I22" s="453"/>
      <c r="J22" s="450"/>
      <c r="K22" s="456"/>
      <c r="L22" s="452"/>
      <c r="M22" s="452"/>
      <c r="N22" s="453"/>
      <c r="O22" s="450"/>
      <c r="P22" s="456"/>
      <c r="Q22" s="452"/>
      <c r="R22" s="452"/>
      <c r="S22" s="453"/>
      <c r="T22" s="450">
        <f t="shared" si="3"/>
        <v>0</v>
      </c>
      <c r="U22" s="456"/>
      <c r="V22" s="452"/>
      <c r="W22" s="452"/>
      <c r="X22" s="453"/>
      <c r="Y22" s="450">
        <f t="shared" si="4"/>
        <v>0</v>
      </c>
      <c r="Z22" s="456"/>
      <c r="AA22" s="452">
        <f t="shared" si="7"/>
        <v>0</v>
      </c>
      <c r="AB22" s="452">
        <f t="shared" si="8"/>
        <v>0</v>
      </c>
      <c r="AC22" s="453"/>
      <c r="AD22" s="450"/>
      <c r="AE22" s="456"/>
    </row>
    <row r="23" spans="1:31" s="2" customFormat="1" ht="33" customHeight="1" outlineLevel="2" x14ac:dyDescent="0.25">
      <c r="A23" s="238"/>
      <c r="B23" s="471" t="s">
        <v>630</v>
      </c>
      <c r="C23" s="114"/>
      <c r="D23" s="445"/>
      <c r="E23" s="446"/>
      <c r="F23" s="447"/>
      <c r="G23" s="452"/>
      <c r="H23" s="452"/>
      <c r="I23" s="453"/>
      <c r="J23" s="450"/>
      <c r="K23" s="456"/>
      <c r="L23" s="452"/>
      <c r="M23" s="452"/>
      <c r="N23" s="453"/>
      <c r="O23" s="450"/>
      <c r="P23" s="456"/>
      <c r="Q23" s="452"/>
      <c r="R23" s="452"/>
      <c r="S23" s="453"/>
      <c r="T23" s="450">
        <f t="shared" si="3"/>
        <v>0</v>
      </c>
      <c r="U23" s="456"/>
      <c r="V23" s="452"/>
      <c r="W23" s="452"/>
      <c r="X23" s="453"/>
      <c r="Y23" s="450">
        <f t="shared" si="4"/>
        <v>0</v>
      </c>
      <c r="Z23" s="456"/>
      <c r="AA23" s="452">
        <f t="shared" si="7"/>
        <v>0</v>
      </c>
      <c r="AB23" s="452">
        <f t="shared" si="8"/>
        <v>0</v>
      </c>
      <c r="AC23" s="453"/>
      <c r="AD23" s="450"/>
      <c r="AE23" s="456"/>
    </row>
    <row r="24" spans="1:31" s="2" customFormat="1" ht="21.6" customHeight="1" outlineLevel="2" x14ac:dyDescent="0.25">
      <c r="A24" s="238"/>
      <c r="B24" s="7" t="s">
        <v>23</v>
      </c>
      <c r="C24" s="114"/>
      <c r="D24" s="113"/>
      <c r="E24" s="106">
        <f t="shared" si="6"/>
        <v>0</v>
      </c>
      <c r="F24" s="177">
        <f t="shared" ref="F24:F33" si="14">E24/$E$89</f>
        <v>0</v>
      </c>
      <c r="G24" s="39">
        <v>0</v>
      </c>
      <c r="H24" s="39">
        <v>0</v>
      </c>
      <c r="I24" s="210">
        <f t="shared" si="13"/>
        <v>0</v>
      </c>
      <c r="J24" s="178">
        <f t="shared" ref="J24:J33" si="15">I24/$I$89</f>
        <v>0</v>
      </c>
      <c r="K24" s="42"/>
      <c r="L24" s="39"/>
      <c r="M24" s="39"/>
      <c r="N24" s="210">
        <f t="shared" si="9"/>
        <v>0</v>
      </c>
      <c r="O24" s="178" t="e">
        <f t="shared" ref="O24:O33" si="16">N24/$N$89</f>
        <v>#DIV/0!</v>
      </c>
      <c r="P24" s="42"/>
      <c r="Q24" s="39"/>
      <c r="R24" s="39"/>
      <c r="S24" s="210">
        <f t="shared" ref="S24:S33" si="17">Q24+R24*1</f>
        <v>0</v>
      </c>
      <c r="T24" s="178">
        <f t="shared" si="3"/>
        <v>0</v>
      </c>
      <c r="U24" s="42"/>
      <c r="V24" s="39"/>
      <c r="W24" s="39"/>
      <c r="X24" s="210">
        <f t="shared" ref="X24:X33" si="18">V24+W24*1</f>
        <v>0</v>
      </c>
      <c r="Y24" s="178">
        <f t="shared" si="4"/>
        <v>0</v>
      </c>
      <c r="Z24" s="42"/>
      <c r="AA24" s="39">
        <f t="shared" si="7"/>
        <v>0</v>
      </c>
      <c r="AB24" s="39">
        <f t="shared" si="8"/>
        <v>0</v>
      </c>
      <c r="AC24" s="210">
        <f t="shared" si="12"/>
        <v>0</v>
      </c>
      <c r="AD24" s="178">
        <f t="shared" ref="AD24:AD33" si="19">AC24/$AC$89</f>
        <v>0</v>
      </c>
      <c r="AE24" s="42"/>
    </row>
    <row r="25" spans="1:31" s="2" customFormat="1" ht="39" customHeight="1" outlineLevel="2" x14ac:dyDescent="0.25">
      <c r="A25" s="238"/>
      <c r="B25" s="7" t="s">
        <v>24</v>
      </c>
      <c r="C25" s="114">
        <v>1000</v>
      </c>
      <c r="D25" s="113"/>
      <c r="E25" s="106">
        <f t="shared" si="6"/>
        <v>1000</v>
      </c>
      <c r="F25" s="177">
        <f t="shared" si="14"/>
        <v>3.8705876751973128E-4</v>
      </c>
      <c r="G25" s="39">
        <v>0</v>
      </c>
      <c r="H25" s="39">
        <v>1962</v>
      </c>
      <c r="I25" s="210">
        <f t="shared" si="13"/>
        <v>1962</v>
      </c>
      <c r="J25" s="178">
        <f t="shared" si="15"/>
        <v>2.0480990123800374E-3</v>
      </c>
      <c r="K25" s="42"/>
      <c r="L25" s="39"/>
      <c r="M25" s="39"/>
      <c r="N25" s="210">
        <f t="shared" si="9"/>
        <v>0</v>
      </c>
      <c r="O25" s="178" t="e">
        <f t="shared" si="16"/>
        <v>#DIV/0!</v>
      </c>
      <c r="P25" s="42"/>
      <c r="Q25" s="39"/>
      <c r="R25" s="39"/>
      <c r="S25" s="210">
        <f t="shared" si="17"/>
        <v>0</v>
      </c>
      <c r="T25" s="178">
        <f t="shared" si="3"/>
        <v>0</v>
      </c>
      <c r="U25" s="42"/>
      <c r="V25" s="39"/>
      <c r="W25" s="39"/>
      <c r="X25" s="210">
        <f t="shared" si="18"/>
        <v>0</v>
      </c>
      <c r="Y25" s="178">
        <f t="shared" si="4"/>
        <v>0</v>
      </c>
      <c r="Z25" s="42"/>
      <c r="AA25" s="39">
        <f t="shared" si="7"/>
        <v>0</v>
      </c>
      <c r="AB25" s="39">
        <f t="shared" si="8"/>
        <v>1962</v>
      </c>
      <c r="AC25" s="210">
        <f t="shared" si="12"/>
        <v>1962</v>
      </c>
      <c r="AD25" s="178">
        <f t="shared" si="19"/>
        <v>1.9546646021129572E-3</v>
      </c>
      <c r="AE25" s="42"/>
    </row>
    <row r="26" spans="1:31" s="2" customFormat="1" ht="39.6" customHeight="1" outlineLevel="2" x14ac:dyDescent="0.25">
      <c r="A26" s="238"/>
      <c r="B26" s="7" t="s">
        <v>45</v>
      </c>
      <c r="C26" s="114">
        <v>548974</v>
      </c>
      <c r="D26" s="113"/>
      <c r="E26" s="106">
        <f t="shared" si="6"/>
        <v>548974</v>
      </c>
      <c r="F26" s="177">
        <f t="shared" si="14"/>
        <v>0.21248519984037698</v>
      </c>
      <c r="G26" s="39">
        <v>353786.36399999994</v>
      </c>
      <c r="H26" s="39">
        <v>7750</v>
      </c>
      <c r="I26" s="210">
        <f t="shared" si="13"/>
        <v>361536.36399999994</v>
      </c>
      <c r="J26" s="178">
        <f t="shared" si="15"/>
        <v>0.37740176862786418</v>
      </c>
      <c r="K26" s="42"/>
      <c r="L26" s="39"/>
      <c r="M26" s="39"/>
      <c r="N26" s="210">
        <f t="shared" si="9"/>
        <v>0</v>
      </c>
      <c r="O26" s="178" t="e">
        <f t="shared" si="16"/>
        <v>#DIV/0!</v>
      </c>
      <c r="P26" s="42"/>
      <c r="Q26" s="39"/>
      <c r="R26" s="39"/>
      <c r="S26" s="210">
        <f t="shared" si="17"/>
        <v>0</v>
      </c>
      <c r="T26" s="178">
        <f t="shared" si="3"/>
        <v>0</v>
      </c>
      <c r="U26" s="42"/>
      <c r="V26" s="39"/>
      <c r="W26" s="39"/>
      <c r="X26" s="210">
        <f t="shared" si="18"/>
        <v>0</v>
      </c>
      <c r="Y26" s="178">
        <f t="shared" si="4"/>
        <v>0</v>
      </c>
      <c r="Z26" s="42"/>
      <c r="AA26" s="39">
        <f t="shared" si="7"/>
        <v>353786.36399999994</v>
      </c>
      <c r="AB26" s="39">
        <f t="shared" si="8"/>
        <v>7750</v>
      </c>
      <c r="AC26" s="210">
        <f t="shared" si="12"/>
        <v>361536.36399999994</v>
      </c>
      <c r="AD26" s="178">
        <f t="shared" si="19"/>
        <v>0.3601846753758538</v>
      </c>
      <c r="AE26" s="42"/>
    </row>
    <row r="27" spans="1:31" s="2" customFormat="1" ht="32.4" customHeight="1" outlineLevel="2" x14ac:dyDescent="0.25">
      <c r="A27" s="238"/>
      <c r="B27" s="7" t="s">
        <v>25</v>
      </c>
      <c r="C27" s="114"/>
      <c r="D27" s="113"/>
      <c r="E27" s="106">
        <f t="shared" si="6"/>
        <v>0</v>
      </c>
      <c r="F27" s="177">
        <f t="shared" si="14"/>
        <v>0</v>
      </c>
      <c r="G27" s="39">
        <v>0</v>
      </c>
      <c r="H27" s="39">
        <v>0</v>
      </c>
      <c r="I27" s="210">
        <f t="shared" si="13"/>
        <v>0</v>
      </c>
      <c r="J27" s="178">
        <f t="shared" si="15"/>
        <v>0</v>
      </c>
      <c r="K27" s="42"/>
      <c r="L27" s="39"/>
      <c r="M27" s="39"/>
      <c r="N27" s="210">
        <f t="shared" si="9"/>
        <v>0</v>
      </c>
      <c r="O27" s="178" t="e">
        <f t="shared" si="16"/>
        <v>#DIV/0!</v>
      </c>
      <c r="P27" s="42"/>
      <c r="Q27" s="39"/>
      <c r="R27" s="39"/>
      <c r="S27" s="210">
        <f t="shared" si="17"/>
        <v>0</v>
      </c>
      <c r="T27" s="178">
        <f t="shared" si="3"/>
        <v>0</v>
      </c>
      <c r="U27" s="42"/>
      <c r="V27" s="39"/>
      <c r="W27" s="39"/>
      <c r="X27" s="210">
        <f t="shared" si="18"/>
        <v>0</v>
      </c>
      <c r="Y27" s="178">
        <f t="shared" si="4"/>
        <v>0</v>
      </c>
      <c r="Z27" s="42"/>
      <c r="AA27" s="39">
        <f t="shared" si="7"/>
        <v>0</v>
      </c>
      <c r="AB27" s="39">
        <f t="shared" si="8"/>
        <v>0</v>
      </c>
      <c r="AC27" s="210">
        <f t="shared" si="12"/>
        <v>0</v>
      </c>
      <c r="AD27" s="178">
        <f t="shared" si="19"/>
        <v>0</v>
      </c>
      <c r="AE27" s="42"/>
    </row>
    <row r="28" spans="1:31" s="226" customFormat="1" ht="51" customHeight="1" outlineLevel="2" x14ac:dyDescent="0.25">
      <c r="A28" s="238"/>
      <c r="B28" s="262" t="s">
        <v>52</v>
      </c>
      <c r="C28" s="114">
        <v>20000</v>
      </c>
      <c r="D28" s="113">
        <f>3000+60000</f>
        <v>63000</v>
      </c>
      <c r="E28" s="106">
        <f t="shared" si="6"/>
        <v>83000</v>
      </c>
      <c r="F28" s="177">
        <f t="shared" si="14"/>
        <v>3.2125877704137697E-2</v>
      </c>
      <c r="G28" s="39">
        <v>0</v>
      </c>
      <c r="H28" s="39">
        <v>0</v>
      </c>
      <c r="I28" s="210">
        <f t="shared" si="13"/>
        <v>0</v>
      </c>
      <c r="J28" s="178">
        <f t="shared" si="15"/>
        <v>0</v>
      </c>
      <c r="K28" s="42"/>
      <c r="L28" s="39"/>
      <c r="M28" s="39"/>
      <c r="N28" s="210">
        <f t="shared" si="9"/>
        <v>0</v>
      </c>
      <c r="O28" s="178" t="e">
        <f t="shared" si="16"/>
        <v>#DIV/0!</v>
      </c>
      <c r="P28" s="42"/>
      <c r="Q28" s="39"/>
      <c r="R28" s="39"/>
      <c r="S28" s="210">
        <f t="shared" si="17"/>
        <v>0</v>
      </c>
      <c r="T28" s="178">
        <f t="shared" si="3"/>
        <v>0</v>
      </c>
      <c r="U28" s="42"/>
      <c r="V28" s="39"/>
      <c r="W28" s="39"/>
      <c r="X28" s="210">
        <f t="shared" si="18"/>
        <v>0</v>
      </c>
      <c r="Y28" s="178">
        <f t="shared" si="4"/>
        <v>0</v>
      </c>
      <c r="Z28" s="42"/>
      <c r="AA28" s="39">
        <f t="shared" si="7"/>
        <v>0</v>
      </c>
      <c r="AB28" s="39">
        <f t="shared" si="8"/>
        <v>0</v>
      </c>
      <c r="AC28" s="210">
        <f t="shared" si="12"/>
        <v>0</v>
      </c>
      <c r="AD28" s="178">
        <f t="shared" si="19"/>
        <v>0</v>
      </c>
      <c r="AE28" s="42"/>
    </row>
    <row r="29" spans="1:31" s="2" customFormat="1" ht="61.2" customHeight="1" outlineLevel="2" x14ac:dyDescent="0.25">
      <c r="A29" s="238"/>
      <c r="B29" s="7" t="s">
        <v>31</v>
      </c>
      <c r="C29" s="114"/>
      <c r="D29" s="113">
        <v>20400</v>
      </c>
      <c r="E29" s="106">
        <f t="shared" si="6"/>
        <v>20400</v>
      </c>
      <c r="F29" s="178">
        <f t="shared" si="14"/>
        <v>7.8959988574025183E-3</v>
      </c>
      <c r="G29" s="39">
        <v>0</v>
      </c>
      <c r="H29" s="39">
        <v>0</v>
      </c>
      <c r="I29" s="210">
        <f t="shared" si="13"/>
        <v>0</v>
      </c>
      <c r="J29" s="178">
        <f t="shared" si="15"/>
        <v>0</v>
      </c>
      <c r="K29" s="79"/>
      <c r="L29" s="39"/>
      <c r="M29" s="39"/>
      <c r="N29" s="210">
        <f t="shared" si="9"/>
        <v>0</v>
      </c>
      <c r="O29" s="178" t="e">
        <f t="shared" si="16"/>
        <v>#DIV/0!</v>
      </c>
      <c r="P29" s="79"/>
      <c r="Q29" s="39"/>
      <c r="R29" s="39"/>
      <c r="S29" s="210">
        <f t="shared" si="17"/>
        <v>0</v>
      </c>
      <c r="T29" s="178">
        <f t="shared" si="3"/>
        <v>0</v>
      </c>
      <c r="U29" s="79"/>
      <c r="V29" s="39"/>
      <c r="W29" s="39"/>
      <c r="X29" s="210">
        <f t="shared" si="18"/>
        <v>0</v>
      </c>
      <c r="Y29" s="178">
        <f t="shared" si="4"/>
        <v>0</v>
      </c>
      <c r="Z29" s="79"/>
      <c r="AA29" s="39">
        <f t="shared" si="7"/>
        <v>0</v>
      </c>
      <c r="AB29" s="39">
        <f t="shared" si="8"/>
        <v>0</v>
      </c>
      <c r="AC29" s="210">
        <f t="shared" si="12"/>
        <v>0</v>
      </c>
      <c r="AD29" s="178">
        <f t="shared" si="19"/>
        <v>0</v>
      </c>
      <c r="AE29" s="79"/>
    </row>
    <row r="30" spans="1:31" s="2" customFormat="1" ht="79.95" customHeight="1" outlineLevel="2" x14ac:dyDescent="0.25">
      <c r="A30" s="238"/>
      <c r="B30" s="7" t="s">
        <v>62</v>
      </c>
      <c r="C30" s="114">
        <f>3000+24140</f>
        <v>27140</v>
      </c>
      <c r="D30" s="113">
        <v>3500</v>
      </c>
      <c r="E30" s="106">
        <f t="shared" si="6"/>
        <v>30640</v>
      </c>
      <c r="F30" s="178">
        <f t="shared" si="14"/>
        <v>1.1859480636804566E-2</v>
      </c>
      <c r="G30" s="39">
        <v>0</v>
      </c>
      <c r="H30" s="39">
        <v>8000</v>
      </c>
      <c r="I30" s="210">
        <f t="shared" si="13"/>
        <v>8000</v>
      </c>
      <c r="J30" s="178">
        <f t="shared" si="15"/>
        <v>8.3510663093987244E-3</v>
      </c>
      <c r="K30" s="79"/>
      <c r="L30" s="39"/>
      <c r="M30" s="39"/>
      <c r="N30" s="210">
        <f t="shared" si="9"/>
        <v>0</v>
      </c>
      <c r="O30" s="178" t="e">
        <f t="shared" si="16"/>
        <v>#DIV/0!</v>
      </c>
      <c r="P30" s="79"/>
      <c r="Q30" s="39"/>
      <c r="R30" s="39"/>
      <c r="S30" s="210">
        <f t="shared" si="17"/>
        <v>0</v>
      </c>
      <c r="T30" s="178">
        <f t="shared" si="3"/>
        <v>0</v>
      </c>
      <c r="U30" s="79"/>
      <c r="V30" s="39"/>
      <c r="W30" s="39"/>
      <c r="X30" s="210">
        <f t="shared" si="18"/>
        <v>0</v>
      </c>
      <c r="Y30" s="178">
        <f t="shared" si="4"/>
        <v>0</v>
      </c>
      <c r="Z30" s="79"/>
      <c r="AA30" s="39">
        <f t="shared" si="7"/>
        <v>0</v>
      </c>
      <c r="AB30" s="39">
        <f t="shared" si="8"/>
        <v>8000</v>
      </c>
      <c r="AC30" s="210">
        <f t="shared" si="12"/>
        <v>8000</v>
      </c>
      <c r="AD30" s="178">
        <f t="shared" si="19"/>
        <v>7.9700901207460043E-3</v>
      </c>
      <c r="AE30" s="79"/>
    </row>
    <row r="31" spans="1:31" s="2" customFormat="1" ht="45.6" customHeight="1" outlineLevel="2" x14ac:dyDescent="0.25">
      <c r="A31" s="238"/>
      <c r="B31" s="7" t="s">
        <v>34</v>
      </c>
      <c r="C31" s="114">
        <f>42821+5000</f>
        <v>47821</v>
      </c>
      <c r="D31" s="113">
        <v>10000</v>
      </c>
      <c r="E31" s="106">
        <f t="shared" si="6"/>
        <v>57821</v>
      </c>
      <c r="F31" s="178">
        <f t="shared" si="14"/>
        <v>2.2380124996758382E-2</v>
      </c>
      <c r="G31" s="39">
        <v>6908.23</v>
      </c>
      <c r="H31" s="39">
        <v>0</v>
      </c>
      <c r="I31" s="210">
        <f t="shared" si="13"/>
        <v>6908.23</v>
      </c>
      <c r="J31" s="178">
        <f t="shared" si="15"/>
        <v>7.211385851322194E-3</v>
      </c>
      <c r="K31" s="79"/>
      <c r="L31" s="39"/>
      <c r="M31" s="39"/>
      <c r="N31" s="210">
        <f t="shared" si="9"/>
        <v>0</v>
      </c>
      <c r="O31" s="178" t="e">
        <f t="shared" si="16"/>
        <v>#DIV/0!</v>
      </c>
      <c r="P31" s="79"/>
      <c r="Q31" s="39"/>
      <c r="R31" s="39"/>
      <c r="S31" s="210">
        <f t="shared" si="17"/>
        <v>0</v>
      </c>
      <c r="T31" s="178">
        <f t="shared" si="3"/>
        <v>0</v>
      </c>
      <c r="U31" s="79"/>
      <c r="V31" s="39"/>
      <c r="W31" s="39"/>
      <c r="X31" s="210">
        <f t="shared" si="18"/>
        <v>0</v>
      </c>
      <c r="Y31" s="178">
        <f t="shared" si="4"/>
        <v>0</v>
      </c>
      <c r="Z31" s="79"/>
      <c r="AA31" s="39">
        <f t="shared" si="7"/>
        <v>6908.23</v>
      </c>
      <c r="AB31" s="39">
        <f t="shared" si="8"/>
        <v>0</v>
      </c>
      <c r="AC31" s="210">
        <f t="shared" si="12"/>
        <v>6908.23</v>
      </c>
      <c r="AD31" s="178">
        <f t="shared" si="19"/>
        <v>6.8824019593551455E-3</v>
      </c>
      <c r="AE31" s="79"/>
    </row>
    <row r="32" spans="1:31" s="2" customFormat="1" ht="14.4" customHeight="1" outlineLevel="2" x14ac:dyDescent="0.25">
      <c r="A32" s="238"/>
      <c r="B32" s="32" t="s">
        <v>2</v>
      </c>
      <c r="C32" s="115">
        <v>18000</v>
      </c>
      <c r="D32" s="116">
        <v>291500</v>
      </c>
      <c r="E32" s="106">
        <f t="shared" si="6"/>
        <v>309500</v>
      </c>
      <c r="F32" s="178">
        <f t="shared" si="14"/>
        <v>0.11979468854735684</v>
      </c>
      <c r="G32" s="39">
        <v>0</v>
      </c>
      <c r="H32" s="39">
        <v>0</v>
      </c>
      <c r="I32" s="210">
        <f t="shared" si="13"/>
        <v>0</v>
      </c>
      <c r="J32" s="178">
        <f t="shared" si="15"/>
        <v>0</v>
      </c>
      <c r="K32" s="79"/>
      <c r="L32" s="39"/>
      <c r="M32" s="39"/>
      <c r="N32" s="210">
        <f t="shared" si="9"/>
        <v>0</v>
      </c>
      <c r="O32" s="178" t="e">
        <f t="shared" si="16"/>
        <v>#DIV/0!</v>
      </c>
      <c r="P32" s="79"/>
      <c r="Q32" s="39"/>
      <c r="R32" s="39">
        <v>40800</v>
      </c>
      <c r="S32" s="210">
        <f t="shared" si="17"/>
        <v>40800</v>
      </c>
      <c r="T32" s="178">
        <f t="shared" si="3"/>
        <v>0.89099959701055098</v>
      </c>
      <c r="U32" s="79"/>
      <c r="V32" s="39"/>
      <c r="W32" s="39"/>
      <c r="X32" s="210">
        <f t="shared" si="18"/>
        <v>0</v>
      </c>
      <c r="Y32" s="178">
        <f t="shared" si="4"/>
        <v>0</v>
      </c>
      <c r="Z32" s="79"/>
      <c r="AA32" s="39">
        <f t="shared" si="7"/>
        <v>0</v>
      </c>
      <c r="AB32" s="39">
        <f t="shared" si="8"/>
        <v>40800</v>
      </c>
      <c r="AC32" s="210">
        <f t="shared" si="12"/>
        <v>40800</v>
      </c>
      <c r="AD32" s="178">
        <f t="shared" si="19"/>
        <v>4.0647459615804619E-2</v>
      </c>
      <c r="AE32" s="79"/>
    </row>
    <row r="33" spans="1:31" s="2" customFormat="1" ht="31.95" customHeight="1" outlineLevel="2" thickBot="1" x14ac:dyDescent="0.3">
      <c r="A33" s="238"/>
      <c r="B33" s="32" t="s">
        <v>75</v>
      </c>
      <c r="C33" s="115"/>
      <c r="D33" s="116"/>
      <c r="E33" s="106">
        <f t="shared" si="6"/>
        <v>0</v>
      </c>
      <c r="F33" s="178">
        <f t="shared" si="14"/>
        <v>0</v>
      </c>
      <c r="G33" s="39">
        <v>0</v>
      </c>
      <c r="H33" s="39">
        <v>0</v>
      </c>
      <c r="I33" s="210">
        <f t="shared" si="13"/>
        <v>0</v>
      </c>
      <c r="J33" s="178">
        <f t="shared" si="15"/>
        <v>0</v>
      </c>
      <c r="K33" s="79"/>
      <c r="L33" s="39"/>
      <c r="M33" s="39"/>
      <c r="N33" s="210">
        <f t="shared" si="9"/>
        <v>0</v>
      </c>
      <c r="O33" s="178" t="e">
        <f t="shared" si="16"/>
        <v>#DIV/0!</v>
      </c>
      <c r="P33" s="79"/>
      <c r="Q33" s="39"/>
      <c r="R33" s="39"/>
      <c r="S33" s="210">
        <f t="shared" si="17"/>
        <v>0</v>
      </c>
      <c r="T33" s="178">
        <f t="shared" si="3"/>
        <v>0</v>
      </c>
      <c r="U33" s="79"/>
      <c r="V33" s="39"/>
      <c r="W33" s="39"/>
      <c r="X33" s="210">
        <f t="shared" si="18"/>
        <v>0</v>
      </c>
      <c r="Y33" s="178">
        <f t="shared" si="4"/>
        <v>0</v>
      </c>
      <c r="Z33" s="79"/>
      <c r="AA33" s="39">
        <f t="shared" si="7"/>
        <v>0</v>
      </c>
      <c r="AB33" s="39">
        <f t="shared" si="8"/>
        <v>0</v>
      </c>
      <c r="AC33" s="210">
        <f t="shared" si="12"/>
        <v>0</v>
      </c>
      <c r="AD33" s="178">
        <f t="shared" si="19"/>
        <v>0</v>
      </c>
      <c r="AE33" s="79"/>
    </row>
    <row r="34" spans="1:31" s="2" customFormat="1" ht="13.8" outlineLevel="2" x14ac:dyDescent="0.25">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row>
    <row r="35" spans="1:31" s="88" customFormat="1" ht="13.8" outlineLevel="1" x14ac:dyDescent="0.25">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row>
    <row r="36" spans="1:31" s="226" customFormat="1" ht="13.8" outlineLevel="3" x14ac:dyDescent="0.25">
      <c r="A36" s="238"/>
      <c r="B36" s="19" t="s">
        <v>81</v>
      </c>
      <c r="C36" s="43"/>
      <c r="D36" s="49"/>
      <c r="E36" s="106">
        <f>C36+D36</f>
        <v>0</v>
      </c>
      <c r="F36" s="178">
        <f>E36/$E$89</f>
        <v>0</v>
      </c>
      <c r="G36" s="39"/>
      <c r="H36" s="39"/>
      <c r="I36" s="106">
        <f>G36+H36*1</f>
        <v>0</v>
      </c>
      <c r="J36" s="178">
        <f>I36/$I$89</f>
        <v>0</v>
      </c>
      <c r="K36" s="45"/>
      <c r="L36" s="39"/>
      <c r="M36" s="39"/>
      <c r="N36" s="106">
        <f>L36+M36*1</f>
        <v>0</v>
      </c>
      <c r="O36" s="178" t="e">
        <f>N36/$N$89</f>
        <v>#DIV/0!</v>
      </c>
      <c r="P36" s="45"/>
      <c r="Q36" s="39"/>
      <c r="R36" s="39"/>
      <c r="S36" s="106">
        <f>Q36+R36*1</f>
        <v>0</v>
      </c>
      <c r="T36" s="178" t="e">
        <f>S36/$N$89</f>
        <v>#DIV/0!</v>
      </c>
      <c r="U36" s="45"/>
      <c r="V36" s="39"/>
      <c r="W36" s="39"/>
      <c r="X36" s="106">
        <f>V36+W36*1</f>
        <v>0</v>
      </c>
      <c r="Y36" s="178" t="e">
        <f>X36/$N$89</f>
        <v>#DIV/0!</v>
      </c>
      <c r="Z36" s="45"/>
      <c r="AA36" s="39">
        <f>G36+L36</f>
        <v>0</v>
      </c>
      <c r="AB36" s="39">
        <f>H36+M36</f>
        <v>0</v>
      </c>
      <c r="AC36" s="106">
        <f>AA36+AB36*1</f>
        <v>0</v>
      </c>
      <c r="AD36" s="178">
        <f>AC36/$AC$89</f>
        <v>0</v>
      </c>
      <c r="AE36" s="45"/>
    </row>
    <row r="37" spans="1:31" s="2" customFormat="1" ht="14.4" outlineLevel="1" thickBot="1" x14ac:dyDescent="0.3">
      <c r="A37" s="4"/>
      <c r="B37" s="14"/>
      <c r="C37" s="50"/>
      <c r="D37" s="51"/>
      <c r="E37" s="52"/>
      <c r="F37" s="181"/>
      <c r="G37" s="52"/>
      <c r="H37" s="52"/>
      <c r="I37" s="52"/>
      <c r="J37" s="52"/>
      <c r="K37" s="52"/>
      <c r="L37" s="39"/>
      <c r="M37" s="39"/>
      <c r="N37" s="52"/>
      <c r="O37" s="52"/>
      <c r="P37" s="52"/>
      <c r="Q37" s="39"/>
      <c r="R37" s="39"/>
      <c r="S37" s="52"/>
      <c r="T37" s="52"/>
      <c r="U37" s="52"/>
      <c r="V37" s="39"/>
      <c r="W37" s="39"/>
      <c r="X37" s="52"/>
      <c r="Y37" s="52"/>
      <c r="Z37" s="52"/>
      <c r="AA37" s="39"/>
      <c r="AB37" s="39"/>
      <c r="AC37" s="52"/>
      <c r="AD37" s="52"/>
      <c r="AE37" s="52"/>
    </row>
    <row r="38" spans="1:31" ht="14.4" thickBot="1" x14ac:dyDescent="0.3">
      <c r="A38" s="33"/>
      <c r="B38" s="34" t="s">
        <v>46</v>
      </c>
      <c r="C38" s="53">
        <f>(C5)-(C8)</f>
        <v>905192</v>
      </c>
      <c r="D38" s="53">
        <f>(D5)-(D8)</f>
        <v>-484395</v>
      </c>
      <c r="E38" s="53">
        <f>(E5)-(E8)</f>
        <v>420797</v>
      </c>
      <c r="F38" s="166"/>
      <c r="G38" s="53">
        <f>(G5)-(G8)</f>
        <v>1685561.2059999998</v>
      </c>
      <c r="H38" s="53">
        <f>(H5)-(H8)</f>
        <v>-31035.5</v>
      </c>
      <c r="I38" s="53">
        <f>(I5)-(I8)</f>
        <v>1654525.7059999998</v>
      </c>
      <c r="J38" s="53"/>
      <c r="K38" s="53"/>
      <c r="L38" s="53">
        <f>(L5)-(L8)</f>
        <v>0</v>
      </c>
      <c r="M38" s="53">
        <f>(M5)-(M8)</f>
        <v>0</v>
      </c>
      <c r="N38" s="53">
        <f>(N5)-(N8)</f>
        <v>0</v>
      </c>
      <c r="O38" s="53"/>
      <c r="P38" s="53"/>
      <c r="Q38" s="53">
        <f>(Q5)-(Q8)</f>
        <v>0</v>
      </c>
      <c r="R38" s="53">
        <f>(R5)-(R8)</f>
        <v>-40800</v>
      </c>
      <c r="S38" s="53">
        <f>(S5)-(S8)</f>
        <v>-40800</v>
      </c>
      <c r="T38" s="53"/>
      <c r="U38" s="53"/>
      <c r="V38" s="53">
        <f>(V5)-(V8)</f>
        <v>0</v>
      </c>
      <c r="W38" s="53">
        <f>(W5)-(W8)</f>
        <v>0</v>
      </c>
      <c r="X38" s="53">
        <f>(X5)-(X8)</f>
        <v>0</v>
      </c>
      <c r="Y38" s="53"/>
      <c r="Z38" s="53"/>
      <c r="AA38" s="53">
        <f>(AA5)-(AA8)</f>
        <v>1685561.2059999998</v>
      </c>
      <c r="AB38" s="53">
        <f>(AB5)-(AB8)</f>
        <v>-71835.5</v>
      </c>
      <c r="AC38" s="53">
        <f>(AC5)-(AC8)</f>
        <v>1613725.7059999998</v>
      </c>
      <c r="AD38" s="53"/>
      <c r="AE38" s="53"/>
    </row>
    <row r="39" spans="1:31" ht="13.8" x14ac:dyDescent="0.25">
      <c r="A39" s="293"/>
      <c r="B39" s="15" t="s">
        <v>47</v>
      </c>
      <c r="C39" s="157">
        <f>C38/(C5)</f>
        <v>0.38150212521152016</v>
      </c>
      <c r="D39" s="157">
        <f>D38/(D5)</f>
        <v>-0.85733628318584065</v>
      </c>
      <c r="E39" s="158">
        <f>E38/(E5)</f>
        <v>0.14324004622656122</v>
      </c>
      <c r="F39" s="167"/>
      <c r="G39" s="54">
        <f>G38/(G5)</f>
        <v>0.65404211872089102</v>
      </c>
      <c r="H39" s="54" t="e">
        <f>H38/(H5)</f>
        <v>#DIV/0!</v>
      </c>
      <c r="I39" s="55">
        <f>I38/(I5)</f>
        <v>0.64199952774092151</v>
      </c>
      <c r="J39" s="55"/>
      <c r="K39" s="55"/>
      <c r="L39" s="54" t="e">
        <f>L38/(L5)</f>
        <v>#DIV/0!</v>
      </c>
      <c r="M39" s="54" t="e">
        <f>M38/(M5)</f>
        <v>#DIV/0!</v>
      </c>
      <c r="N39" s="55" t="e">
        <f>N38/(N5)</f>
        <v>#DIV/0!</v>
      </c>
      <c r="O39" s="55"/>
      <c r="P39" s="55"/>
      <c r="Q39" s="54" t="e">
        <f>Q38/(Q5)</f>
        <v>#DIV/0!</v>
      </c>
      <c r="R39" s="54" t="e">
        <f>R38/(R5)</f>
        <v>#DIV/0!</v>
      </c>
      <c r="S39" s="55" t="e">
        <f>S38/(S5)</f>
        <v>#DIV/0!</v>
      </c>
      <c r="T39" s="55"/>
      <c r="U39" s="55"/>
      <c r="V39" s="54" t="e">
        <f>V38/(V5)</f>
        <v>#DIV/0!</v>
      </c>
      <c r="W39" s="54" t="e">
        <f>W38/(W5)</f>
        <v>#DIV/0!</v>
      </c>
      <c r="X39" s="55" t="e">
        <f>X38/(X5)</f>
        <v>#DIV/0!</v>
      </c>
      <c r="Y39" s="55"/>
      <c r="Z39" s="55"/>
      <c r="AA39" s="54">
        <f>AA38/(AA5)</f>
        <v>0.65404211872089102</v>
      </c>
      <c r="AB39" s="54" t="e">
        <f>AB38/(AB5)</f>
        <v>#DIV/0!</v>
      </c>
      <c r="AC39" s="55">
        <f>AC38/(AC5)</f>
        <v>0.62616805371979223</v>
      </c>
      <c r="AD39" s="55"/>
      <c r="AE39" s="55"/>
    </row>
    <row r="40" spans="1:31" ht="14.4" outlineLevel="1" thickBot="1" x14ac:dyDescent="0.3">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row>
    <row r="41" spans="1:31" ht="13.8" outlineLevel="1" x14ac:dyDescent="0.25">
      <c r="A41" s="11"/>
      <c r="B41" s="22" t="s">
        <v>26</v>
      </c>
      <c r="C41" s="117">
        <f>SUM(C42:C48)</f>
        <v>1105</v>
      </c>
      <c r="D41" s="117">
        <f>SUM(D42:D48)</f>
        <v>0</v>
      </c>
      <c r="E41" s="118">
        <f>SUM(E42:E48)</f>
        <v>1105</v>
      </c>
      <c r="F41" s="169">
        <f t="shared" ref="F41:F48" si="20">E41/$E$89</f>
        <v>4.2769993810930305E-4</v>
      </c>
      <c r="G41" s="117">
        <f>SUM(G42:G48)</f>
        <v>63</v>
      </c>
      <c r="H41" s="117">
        <f>SUM(H42:H48)</f>
        <v>0</v>
      </c>
      <c r="I41" s="118">
        <f>SUM(I42:I48)</f>
        <v>63</v>
      </c>
      <c r="J41" s="169">
        <f t="shared" ref="J41:J49" si="21">I41/$I$89</f>
        <v>6.5764647186514953E-5</v>
      </c>
      <c r="K41" s="60"/>
      <c r="L41" s="117">
        <f>SUM(L42:L48)</f>
        <v>0</v>
      </c>
      <c r="M41" s="117">
        <f>SUM(M42:M48)</f>
        <v>0</v>
      </c>
      <c r="N41" s="118">
        <f>SUM(N42:N48)</f>
        <v>0</v>
      </c>
      <c r="O41" s="169" t="e">
        <f t="shared" ref="O41:O49" si="22">N41/$N$89</f>
        <v>#DIV/0!</v>
      </c>
      <c r="P41" s="60"/>
      <c r="Q41" s="117">
        <f>SUM(Q42:Q48)</f>
        <v>0</v>
      </c>
      <c r="R41" s="117">
        <f>SUM(R42:R48)</f>
        <v>0</v>
      </c>
      <c r="S41" s="118">
        <f>SUM(S42:S48)</f>
        <v>0</v>
      </c>
      <c r="T41" s="169">
        <f t="shared" ref="T41:T52" si="23">S41/$S$89</f>
        <v>0</v>
      </c>
      <c r="U41" s="60"/>
      <c r="V41" s="117">
        <f>SUM(V42:V48)</f>
        <v>0</v>
      </c>
      <c r="W41" s="117">
        <f>SUM(W42:W48)</f>
        <v>0</v>
      </c>
      <c r="X41" s="118">
        <f>SUM(X42:X48)</f>
        <v>0</v>
      </c>
      <c r="Y41" s="169">
        <f t="shared" ref="Y41:Y52" si="24">X41/$S$89</f>
        <v>0</v>
      </c>
      <c r="Z41" s="60"/>
      <c r="AA41" s="117">
        <f>SUM(AA42:AA48)</f>
        <v>63</v>
      </c>
      <c r="AB41" s="117">
        <f>SUM(AB42:AB48)</f>
        <v>0</v>
      </c>
      <c r="AC41" s="118">
        <f>SUM(AC42:AC48)</f>
        <v>63</v>
      </c>
      <c r="AD41" s="169">
        <f>AC41/$AC$89</f>
        <v>6.2764459700874776E-5</v>
      </c>
      <c r="AE41" s="60"/>
    </row>
    <row r="42" spans="1:31" ht="43.2" customHeight="1" outlineLevel="2" x14ac:dyDescent="0.25">
      <c r="A42" s="4015"/>
      <c r="B42" s="18" t="s">
        <v>7</v>
      </c>
      <c r="C42" s="113"/>
      <c r="D42" s="119"/>
      <c r="E42" s="120">
        <f t="shared" ref="E42:E48" si="25">C42+D42</f>
        <v>0</v>
      </c>
      <c r="F42" s="178">
        <f t="shared" si="20"/>
        <v>0</v>
      </c>
      <c r="G42" s="39"/>
      <c r="H42" s="39"/>
      <c r="I42" s="106">
        <f t="shared" ref="I42:I48" si="26">G42+H42*1</f>
        <v>0</v>
      </c>
      <c r="J42" s="178">
        <f t="shared" si="21"/>
        <v>0</v>
      </c>
      <c r="K42" s="79"/>
      <c r="L42" s="39"/>
      <c r="M42" s="39"/>
      <c r="N42" s="106">
        <f t="shared" ref="N42:N48" si="27">L42+M42*1</f>
        <v>0</v>
      </c>
      <c r="O42" s="178" t="e">
        <f t="shared" si="22"/>
        <v>#DIV/0!</v>
      </c>
      <c r="P42" s="79"/>
      <c r="Q42" s="39"/>
      <c r="R42" s="39"/>
      <c r="S42" s="106">
        <f t="shared" ref="S42:S48" si="28">Q42+R42*1</f>
        <v>0</v>
      </c>
      <c r="T42" s="178">
        <f t="shared" si="23"/>
        <v>0</v>
      </c>
      <c r="U42" s="79"/>
      <c r="V42" s="39"/>
      <c r="W42" s="39"/>
      <c r="X42" s="106">
        <f t="shared" ref="X42:X48" si="29">V42+W42*1</f>
        <v>0</v>
      </c>
      <c r="Y42" s="178">
        <f t="shared" si="24"/>
        <v>0</v>
      </c>
      <c r="Z42" s="79"/>
      <c r="AA42" s="39">
        <f t="shared" ref="AA42:AA48" si="30">G42+L42+Q42+V42</f>
        <v>0</v>
      </c>
      <c r="AB42" s="39">
        <f t="shared" ref="AB42:AB48" si="31">H42+M42+R42+W42</f>
        <v>0</v>
      </c>
      <c r="AC42" s="106">
        <f t="shared" ref="AC42:AC48" si="32">AA42+AB42*1</f>
        <v>0</v>
      </c>
      <c r="AD42" s="178">
        <f t="shared" ref="AD42:AD49" si="33">AC42/$AC$89</f>
        <v>0</v>
      </c>
      <c r="AE42" s="79"/>
    </row>
    <row r="43" spans="1:31" ht="13.8" outlineLevel="2" x14ac:dyDescent="0.25">
      <c r="A43" s="4015"/>
      <c r="B43" s="18" t="s">
        <v>27</v>
      </c>
      <c r="C43" s="113"/>
      <c r="D43" s="119"/>
      <c r="E43" s="120">
        <f t="shared" si="25"/>
        <v>0</v>
      </c>
      <c r="F43" s="178">
        <f t="shared" si="20"/>
        <v>0</v>
      </c>
      <c r="G43" s="39"/>
      <c r="H43" s="39"/>
      <c r="I43" s="106">
        <f t="shared" si="26"/>
        <v>0</v>
      </c>
      <c r="J43" s="178">
        <f t="shared" si="21"/>
        <v>0</v>
      </c>
      <c r="K43" s="79"/>
      <c r="L43" s="39"/>
      <c r="M43" s="39"/>
      <c r="N43" s="106">
        <f t="shared" si="27"/>
        <v>0</v>
      </c>
      <c r="O43" s="178" t="e">
        <f t="shared" si="22"/>
        <v>#DIV/0!</v>
      </c>
      <c r="P43" s="79"/>
      <c r="Q43" s="39"/>
      <c r="R43" s="39"/>
      <c r="S43" s="106">
        <f t="shared" si="28"/>
        <v>0</v>
      </c>
      <c r="T43" s="178">
        <f t="shared" si="23"/>
        <v>0</v>
      </c>
      <c r="U43" s="79"/>
      <c r="V43" s="39"/>
      <c r="W43" s="39"/>
      <c r="X43" s="106">
        <f t="shared" si="29"/>
        <v>0</v>
      </c>
      <c r="Y43" s="178">
        <f t="shared" si="24"/>
        <v>0</v>
      </c>
      <c r="Z43" s="79"/>
      <c r="AA43" s="39">
        <f t="shared" si="30"/>
        <v>0</v>
      </c>
      <c r="AB43" s="39">
        <f t="shared" si="31"/>
        <v>0</v>
      </c>
      <c r="AC43" s="106">
        <f t="shared" si="32"/>
        <v>0</v>
      </c>
      <c r="AD43" s="178">
        <f t="shared" si="33"/>
        <v>0</v>
      </c>
      <c r="AE43" s="79"/>
    </row>
    <row r="44" spans="1:31" ht="67.2" customHeight="1" outlineLevel="2" x14ac:dyDescent="0.25">
      <c r="A44" s="4015"/>
      <c r="B44" s="19" t="s">
        <v>28</v>
      </c>
      <c r="C44" s="113">
        <v>575</v>
      </c>
      <c r="D44" s="119"/>
      <c r="E44" s="120">
        <f t="shared" si="25"/>
        <v>575</v>
      </c>
      <c r="F44" s="178">
        <f t="shared" si="20"/>
        <v>2.2255879132384549E-4</v>
      </c>
      <c r="G44" s="39"/>
      <c r="H44" s="39"/>
      <c r="I44" s="106">
        <f t="shared" si="26"/>
        <v>0</v>
      </c>
      <c r="J44" s="178">
        <f t="shared" si="21"/>
        <v>0</v>
      </c>
      <c r="K44" s="79"/>
      <c r="L44" s="39"/>
      <c r="M44" s="39"/>
      <c r="N44" s="106">
        <f t="shared" si="27"/>
        <v>0</v>
      </c>
      <c r="O44" s="178" t="e">
        <f t="shared" si="22"/>
        <v>#DIV/0!</v>
      </c>
      <c r="P44" s="79"/>
      <c r="Q44" s="39"/>
      <c r="R44" s="39"/>
      <c r="S44" s="106">
        <f t="shared" si="28"/>
        <v>0</v>
      </c>
      <c r="T44" s="178">
        <f t="shared" si="23"/>
        <v>0</v>
      </c>
      <c r="U44" s="79"/>
      <c r="V44" s="39"/>
      <c r="W44" s="39"/>
      <c r="X44" s="106">
        <f t="shared" si="29"/>
        <v>0</v>
      </c>
      <c r="Y44" s="178">
        <f t="shared" si="24"/>
        <v>0</v>
      </c>
      <c r="Z44" s="79"/>
      <c r="AA44" s="39">
        <f t="shared" si="30"/>
        <v>0</v>
      </c>
      <c r="AB44" s="39">
        <f t="shared" si="31"/>
        <v>0</v>
      </c>
      <c r="AC44" s="106">
        <f t="shared" si="32"/>
        <v>0</v>
      </c>
      <c r="AD44" s="178">
        <f t="shared" si="33"/>
        <v>0</v>
      </c>
      <c r="AE44" s="79"/>
    </row>
    <row r="45" spans="1:31" ht="13.8" outlineLevel="2" x14ac:dyDescent="0.25">
      <c r="A45" s="4015"/>
      <c r="B45" s="18" t="s">
        <v>8</v>
      </c>
      <c r="C45" s="113"/>
      <c r="D45" s="119"/>
      <c r="E45" s="120">
        <f t="shared" si="25"/>
        <v>0</v>
      </c>
      <c r="F45" s="178">
        <f t="shared" si="20"/>
        <v>0</v>
      </c>
      <c r="G45" s="39"/>
      <c r="H45" s="39"/>
      <c r="I45" s="106">
        <f t="shared" si="26"/>
        <v>0</v>
      </c>
      <c r="J45" s="178">
        <f t="shared" si="21"/>
        <v>0</v>
      </c>
      <c r="K45" s="79"/>
      <c r="L45" s="39"/>
      <c r="M45" s="39"/>
      <c r="N45" s="106">
        <f t="shared" si="27"/>
        <v>0</v>
      </c>
      <c r="O45" s="178" t="e">
        <f t="shared" si="22"/>
        <v>#DIV/0!</v>
      </c>
      <c r="P45" s="79"/>
      <c r="Q45" s="39"/>
      <c r="R45" s="39"/>
      <c r="S45" s="106">
        <f t="shared" si="28"/>
        <v>0</v>
      </c>
      <c r="T45" s="178">
        <f t="shared" si="23"/>
        <v>0</v>
      </c>
      <c r="U45" s="79"/>
      <c r="V45" s="39"/>
      <c r="W45" s="39"/>
      <c r="X45" s="106">
        <f t="shared" si="29"/>
        <v>0</v>
      </c>
      <c r="Y45" s="178">
        <f t="shared" si="24"/>
        <v>0</v>
      </c>
      <c r="Z45" s="79"/>
      <c r="AA45" s="39">
        <f t="shared" si="30"/>
        <v>0</v>
      </c>
      <c r="AB45" s="39">
        <f t="shared" si="31"/>
        <v>0</v>
      </c>
      <c r="AC45" s="106">
        <f t="shared" si="32"/>
        <v>0</v>
      </c>
      <c r="AD45" s="178">
        <f t="shared" si="33"/>
        <v>0</v>
      </c>
      <c r="AE45" s="79"/>
    </row>
    <row r="46" spans="1:31" ht="13.8" outlineLevel="2" x14ac:dyDescent="0.25">
      <c r="A46" s="4015"/>
      <c r="B46" s="18" t="s">
        <v>29</v>
      </c>
      <c r="C46" s="113"/>
      <c r="D46" s="119"/>
      <c r="E46" s="120">
        <f t="shared" si="25"/>
        <v>0</v>
      </c>
      <c r="F46" s="178">
        <f t="shared" si="20"/>
        <v>0</v>
      </c>
      <c r="G46" s="39"/>
      <c r="H46" s="39"/>
      <c r="I46" s="106">
        <f t="shared" si="26"/>
        <v>0</v>
      </c>
      <c r="J46" s="178">
        <f t="shared" si="21"/>
        <v>0</v>
      </c>
      <c r="K46" s="79"/>
      <c r="L46" s="39"/>
      <c r="M46" s="39"/>
      <c r="N46" s="106">
        <f t="shared" si="27"/>
        <v>0</v>
      </c>
      <c r="O46" s="178" t="e">
        <f t="shared" si="22"/>
        <v>#DIV/0!</v>
      </c>
      <c r="P46" s="79"/>
      <c r="Q46" s="39"/>
      <c r="R46" s="39"/>
      <c r="S46" s="106">
        <f t="shared" si="28"/>
        <v>0</v>
      </c>
      <c r="T46" s="178">
        <f t="shared" si="23"/>
        <v>0</v>
      </c>
      <c r="U46" s="79"/>
      <c r="V46" s="39"/>
      <c r="W46" s="39"/>
      <c r="X46" s="106">
        <f t="shared" si="29"/>
        <v>0</v>
      </c>
      <c r="Y46" s="178">
        <f t="shared" si="24"/>
        <v>0</v>
      </c>
      <c r="Z46" s="79"/>
      <c r="AA46" s="39">
        <f t="shared" si="30"/>
        <v>0</v>
      </c>
      <c r="AB46" s="39">
        <f t="shared" si="31"/>
        <v>0</v>
      </c>
      <c r="AC46" s="106">
        <f t="shared" si="32"/>
        <v>0</v>
      </c>
      <c r="AD46" s="178">
        <f t="shared" si="33"/>
        <v>0</v>
      </c>
      <c r="AE46" s="79"/>
    </row>
    <row r="47" spans="1:31" ht="13.8" outlineLevel="2" x14ac:dyDescent="0.25">
      <c r="A47" s="4015"/>
      <c r="B47" s="18" t="s">
        <v>30</v>
      </c>
      <c r="C47" s="113"/>
      <c r="D47" s="119"/>
      <c r="E47" s="120">
        <f t="shared" si="25"/>
        <v>0</v>
      </c>
      <c r="F47" s="178">
        <f t="shared" si="20"/>
        <v>0</v>
      </c>
      <c r="G47" s="39">
        <v>63</v>
      </c>
      <c r="H47" s="39"/>
      <c r="I47" s="106">
        <f t="shared" si="26"/>
        <v>63</v>
      </c>
      <c r="J47" s="178">
        <f t="shared" si="21"/>
        <v>6.5764647186514953E-5</v>
      </c>
      <c r="K47" s="79"/>
      <c r="L47" s="39"/>
      <c r="M47" s="39"/>
      <c r="N47" s="106">
        <f t="shared" si="27"/>
        <v>0</v>
      </c>
      <c r="O47" s="178" t="e">
        <f t="shared" si="22"/>
        <v>#DIV/0!</v>
      </c>
      <c r="P47" s="79"/>
      <c r="Q47" s="39"/>
      <c r="R47" s="39"/>
      <c r="S47" s="106">
        <f t="shared" si="28"/>
        <v>0</v>
      </c>
      <c r="T47" s="178">
        <f t="shared" si="23"/>
        <v>0</v>
      </c>
      <c r="U47" s="79"/>
      <c r="V47" s="39"/>
      <c r="W47" s="39"/>
      <c r="X47" s="106">
        <f t="shared" si="29"/>
        <v>0</v>
      </c>
      <c r="Y47" s="178">
        <f t="shared" si="24"/>
        <v>0</v>
      </c>
      <c r="Z47" s="79"/>
      <c r="AA47" s="39">
        <f t="shared" si="30"/>
        <v>63</v>
      </c>
      <c r="AB47" s="39">
        <f t="shared" si="31"/>
        <v>0</v>
      </c>
      <c r="AC47" s="106">
        <f t="shared" si="32"/>
        <v>63</v>
      </c>
      <c r="AD47" s="178">
        <f t="shared" si="33"/>
        <v>6.2764459700874776E-5</v>
      </c>
      <c r="AE47" s="79"/>
    </row>
    <row r="48" spans="1:31" ht="13.8" outlineLevel="2" x14ac:dyDescent="0.25">
      <c r="A48" s="4015"/>
      <c r="B48" s="18" t="s">
        <v>15</v>
      </c>
      <c r="C48" s="113">
        <v>530</v>
      </c>
      <c r="D48" s="119"/>
      <c r="E48" s="120">
        <f t="shared" si="25"/>
        <v>530</v>
      </c>
      <c r="F48" s="178">
        <f t="shared" si="20"/>
        <v>2.0514114678545759E-4</v>
      </c>
      <c r="G48" s="39"/>
      <c r="H48" s="39"/>
      <c r="I48" s="106">
        <f t="shared" si="26"/>
        <v>0</v>
      </c>
      <c r="J48" s="178">
        <f t="shared" si="21"/>
        <v>0</v>
      </c>
      <c r="K48" s="79"/>
      <c r="L48" s="39"/>
      <c r="M48" s="39"/>
      <c r="N48" s="106">
        <f t="shared" si="27"/>
        <v>0</v>
      </c>
      <c r="O48" s="178" t="e">
        <f t="shared" si="22"/>
        <v>#DIV/0!</v>
      </c>
      <c r="P48" s="79"/>
      <c r="Q48" s="39"/>
      <c r="R48" s="39"/>
      <c r="S48" s="106">
        <f t="shared" si="28"/>
        <v>0</v>
      </c>
      <c r="T48" s="178">
        <f t="shared" si="23"/>
        <v>0</v>
      </c>
      <c r="U48" s="79"/>
      <c r="V48" s="39"/>
      <c r="W48" s="39"/>
      <c r="X48" s="106">
        <f t="shared" si="29"/>
        <v>0</v>
      </c>
      <c r="Y48" s="178">
        <f t="shared" si="24"/>
        <v>0</v>
      </c>
      <c r="Z48" s="79"/>
      <c r="AA48" s="39">
        <f t="shared" si="30"/>
        <v>0</v>
      </c>
      <c r="AB48" s="39">
        <f t="shared" si="31"/>
        <v>0</v>
      </c>
      <c r="AC48" s="106">
        <f t="shared" si="32"/>
        <v>0</v>
      </c>
      <c r="AD48" s="178">
        <f t="shared" si="33"/>
        <v>0</v>
      </c>
      <c r="AE48" s="79"/>
    </row>
    <row r="49" spans="1:31" s="2" customFormat="1" ht="14.4" outlineLevel="2" thickBot="1" x14ac:dyDescent="0.3">
      <c r="A49" s="11"/>
      <c r="B49" s="35"/>
      <c r="C49" s="116"/>
      <c r="D49" s="121"/>
      <c r="E49" s="122"/>
      <c r="F49" s="182"/>
      <c r="G49" s="210"/>
      <c r="H49" s="210"/>
      <c r="I49" s="52"/>
      <c r="J49" s="178">
        <f t="shared" si="21"/>
        <v>0</v>
      </c>
      <c r="K49" s="52"/>
      <c r="L49" s="39"/>
      <c r="M49" s="39"/>
      <c r="N49" s="52"/>
      <c r="O49" s="178" t="e">
        <f t="shared" si="22"/>
        <v>#DIV/0!</v>
      </c>
      <c r="P49" s="52"/>
      <c r="Q49" s="39"/>
      <c r="R49" s="39"/>
      <c r="S49" s="52"/>
      <c r="T49" s="178">
        <f t="shared" si="23"/>
        <v>0</v>
      </c>
      <c r="U49" s="52"/>
      <c r="V49" s="39"/>
      <c r="W49" s="39"/>
      <c r="X49" s="52"/>
      <c r="Y49" s="178">
        <f t="shared" si="24"/>
        <v>0</v>
      </c>
      <c r="Z49" s="52"/>
      <c r="AA49" s="39">
        <f>G49+L49+Q49</f>
        <v>0</v>
      </c>
      <c r="AB49" s="39">
        <f>H49+M49+R49</f>
        <v>0</v>
      </c>
      <c r="AC49" s="52"/>
      <c r="AD49" s="178">
        <f t="shared" si="33"/>
        <v>0</v>
      </c>
      <c r="AE49" s="52"/>
    </row>
    <row r="50" spans="1:31" s="2" customFormat="1" ht="13.8" outlineLevel="1" x14ac:dyDescent="0.25">
      <c r="A50" s="293"/>
      <c r="B50" s="17" t="s">
        <v>59</v>
      </c>
      <c r="C50" s="123"/>
      <c r="D50" s="123"/>
      <c r="E50" s="123">
        <f>SUM(E51:E52)</f>
        <v>0</v>
      </c>
      <c r="F50" s="170">
        <f>E50/$E$89</f>
        <v>0</v>
      </c>
      <c r="G50" s="123">
        <f>G52+G51</f>
        <v>0</v>
      </c>
      <c r="H50" s="123">
        <f>H52+H51</f>
        <v>0</v>
      </c>
      <c r="I50" s="123">
        <f>SUM(I51:I52)</f>
        <v>0</v>
      </c>
      <c r="J50" s="60"/>
      <c r="K50" s="60"/>
      <c r="L50" s="123">
        <f>L52+L51</f>
        <v>0</v>
      </c>
      <c r="M50" s="123">
        <f>M52+M51</f>
        <v>0</v>
      </c>
      <c r="N50" s="123">
        <f>SUM(N51:N52)</f>
        <v>0</v>
      </c>
      <c r="O50" s="60"/>
      <c r="P50" s="60"/>
      <c r="Q50" s="123">
        <f>Q52+Q51</f>
        <v>0</v>
      </c>
      <c r="R50" s="123">
        <f>R52+R51</f>
        <v>0</v>
      </c>
      <c r="S50" s="123">
        <f>SUM(S51:S52)</f>
        <v>0</v>
      </c>
      <c r="T50" s="60">
        <f t="shared" si="23"/>
        <v>0</v>
      </c>
      <c r="U50" s="60"/>
      <c r="V50" s="123">
        <f>V52+V51</f>
        <v>0</v>
      </c>
      <c r="W50" s="123">
        <f>W52+W51</f>
        <v>0</v>
      </c>
      <c r="X50" s="123">
        <f>SUM(X51:X52)</f>
        <v>0</v>
      </c>
      <c r="Y50" s="60">
        <f t="shared" si="24"/>
        <v>0</v>
      </c>
      <c r="Z50" s="60"/>
      <c r="AA50" s="123">
        <f>AA52+AA51</f>
        <v>0</v>
      </c>
      <c r="AB50" s="123">
        <f>AB52+AB51</f>
        <v>0</v>
      </c>
      <c r="AC50" s="123">
        <f>SUM(AC51:AC52)</f>
        <v>0</v>
      </c>
      <c r="AD50" s="60"/>
      <c r="AE50" s="60"/>
    </row>
    <row r="51" spans="1:31" s="226" customFormat="1" ht="13.8" outlineLevel="1" x14ac:dyDescent="0.25">
      <c r="A51" s="234"/>
      <c r="B51" s="18" t="s">
        <v>60</v>
      </c>
      <c r="C51" s="113"/>
      <c r="D51" s="119"/>
      <c r="E51" s="119">
        <f>C51+D51</f>
        <v>0</v>
      </c>
      <c r="F51" s="180">
        <f>E51/$E$89</f>
        <v>0</v>
      </c>
      <c r="G51" s="39"/>
      <c r="H51" s="39"/>
      <c r="I51" s="106">
        <f>G51+H51*1</f>
        <v>0</v>
      </c>
      <c r="J51" s="178">
        <f>I51/$I$89</f>
        <v>0</v>
      </c>
      <c r="K51" s="45"/>
      <c r="L51" s="39"/>
      <c r="M51" s="39"/>
      <c r="N51" s="106">
        <f>L51+M51*1</f>
        <v>0</v>
      </c>
      <c r="O51" s="178" t="e">
        <f>N51/$N$89</f>
        <v>#DIV/0!</v>
      </c>
      <c r="P51" s="45"/>
      <c r="Q51" s="39"/>
      <c r="R51" s="39"/>
      <c r="S51" s="106">
        <f>Q51+R51*1</f>
        <v>0</v>
      </c>
      <c r="T51" s="178">
        <f t="shared" si="23"/>
        <v>0</v>
      </c>
      <c r="U51" s="45"/>
      <c r="V51" s="39"/>
      <c r="W51" s="39"/>
      <c r="X51" s="106">
        <f>V51+W51*1</f>
        <v>0</v>
      </c>
      <c r="Y51" s="178">
        <f t="shared" si="24"/>
        <v>0</v>
      </c>
      <c r="Z51" s="45"/>
      <c r="AA51" s="39">
        <f>G51+L51+Q51+V51</f>
        <v>0</v>
      </c>
      <c r="AB51" s="39">
        <f>H51+M51+R51+W51</f>
        <v>0</v>
      </c>
      <c r="AC51" s="106">
        <f>AA51+AB51*1</f>
        <v>0</v>
      </c>
      <c r="AD51" s="178">
        <f>AC51/$AC$89</f>
        <v>0</v>
      </c>
      <c r="AE51" s="45"/>
    </row>
    <row r="52" spans="1:31" s="235" customFormat="1" ht="13.8" outlineLevel="2" x14ac:dyDescent="0.25">
      <c r="A52" s="234"/>
      <c r="B52" s="18" t="s">
        <v>61</v>
      </c>
      <c r="C52" s="113"/>
      <c r="D52" s="119"/>
      <c r="E52" s="119">
        <f>C52+D52</f>
        <v>0</v>
      </c>
      <c r="F52" s="180">
        <f>E52/$E$89</f>
        <v>0</v>
      </c>
      <c r="G52" s="39"/>
      <c r="H52" s="39"/>
      <c r="I52" s="106">
        <f>G52+H52*1</f>
        <v>0</v>
      </c>
      <c r="J52" s="178">
        <f>I52/$I$89</f>
        <v>0</v>
      </c>
      <c r="K52" s="45"/>
      <c r="L52" s="39"/>
      <c r="M52" s="39"/>
      <c r="N52" s="106">
        <f>L52+M52*1</f>
        <v>0</v>
      </c>
      <c r="O52" s="178" t="e">
        <f>N52/$N$89</f>
        <v>#DIV/0!</v>
      </c>
      <c r="P52" s="45"/>
      <c r="Q52" s="39"/>
      <c r="R52" s="39"/>
      <c r="S52" s="106">
        <f>Q52+R52*1</f>
        <v>0</v>
      </c>
      <c r="T52" s="178">
        <f t="shared" si="23"/>
        <v>0</v>
      </c>
      <c r="U52" s="45"/>
      <c r="V52" s="39"/>
      <c r="W52" s="39"/>
      <c r="X52" s="106">
        <f>V52+W52*1</f>
        <v>0</v>
      </c>
      <c r="Y52" s="178">
        <f t="shared" si="24"/>
        <v>0</v>
      </c>
      <c r="Z52" s="45"/>
      <c r="AA52" s="39">
        <f>G52+L52+Q52+V52</f>
        <v>0</v>
      </c>
      <c r="AB52" s="39">
        <f>H52+M52+R52+W52</f>
        <v>0</v>
      </c>
      <c r="AC52" s="106">
        <f>AA52+AB52*1</f>
        <v>0</v>
      </c>
      <c r="AD52" s="178">
        <f>AC52/$AC$89</f>
        <v>0</v>
      </c>
      <c r="AE52" s="45"/>
    </row>
    <row r="53" spans="1:31" ht="14.4" outlineLevel="1" thickBot="1" x14ac:dyDescent="0.3">
      <c r="A53" s="20"/>
      <c r="B53" s="21"/>
      <c r="C53" s="124"/>
      <c r="D53" s="125"/>
      <c r="E53" s="126"/>
      <c r="F53" s="183"/>
      <c r="G53" s="210"/>
      <c r="H53" s="210"/>
      <c r="I53" s="61"/>
      <c r="J53" s="61"/>
      <c r="K53" s="61"/>
      <c r="L53" s="39"/>
      <c r="M53" s="39"/>
      <c r="N53" s="61"/>
      <c r="O53" s="61"/>
      <c r="P53" s="61"/>
      <c r="Q53" s="39"/>
      <c r="R53" s="39"/>
      <c r="S53" s="61"/>
      <c r="T53" s="61"/>
      <c r="U53" s="61"/>
      <c r="V53" s="39"/>
      <c r="W53" s="39"/>
      <c r="X53" s="61"/>
      <c r="Y53" s="61"/>
      <c r="Z53" s="61"/>
      <c r="AA53" s="39"/>
      <c r="AB53" s="39"/>
      <c r="AC53" s="61"/>
      <c r="AD53" s="61"/>
      <c r="AE53" s="61"/>
    </row>
    <row r="54" spans="1:31" ht="13.8" outlineLevel="1" x14ac:dyDescent="0.25">
      <c r="A54" s="236"/>
      <c r="B54" s="17" t="s">
        <v>1</v>
      </c>
      <c r="C54" s="123">
        <f>SUM(C55:C71)</f>
        <v>21550</v>
      </c>
      <c r="D54" s="123">
        <f>SUM(D55:D71)</f>
        <v>44024</v>
      </c>
      <c r="E54" s="127">
        <f>SUM(E55:E71)</f>
        <v>65574</v>
      </c>
      <c r="F54" s="170">
        <f>E54/$E$89</f>
        <v>2.5380991621338861E-2</v>
      </c>
      <c r="G54" s="123">
        <f>SUM(G55:G71)</f>
        <v>10539.59</v>
      </c>
      <c r="H54" s="123">
        <f>SUM(H55:H71)</f>
        <v>18046.830000000002</v>
      </c>
      <c r="I54" s="127">
        <f>SUM(I55:I71)</f>
        <v>28586.42</v>
      </c>
      <c r="J54" s="169">
        <f t="shared" ref="J54:J72" si="34">I54/$I$89</f>
        <v>2.9840886121040237E-2</v>
      </c>
      <c r="K54" s="60"/>
      <c r="L54" s="123">
        <f>SUM(L55:L72)</f>
        <v>0</v>
      </c>
      <c r="M54" s="123">
        <f>SUM(M55:M72)</f>
        <v>0</v>
      </c>
      <c r="N54" s="123">
        <f>SUM(N55:N72)</f>
        <v>0</v>
      </c>
      <c r="O54" s="169" t="e">
        <f t="shared" ref="O54:O72" si="35">N54/$N$89</f>
        <v>#DIV/0!</v>
      </c>
      <c r="P54" s="60"/>
      <c r="Q54" s="123">
        <f>SUM(Q55:Q72)</f>
        <v>0</v>
      </c>
      <c r="R54" s="123">
        <f>SUM(R55:R72)</f>
        <v>0</v>
      </c>
      <c r="S54" s="123">
        <f>SUM(S55:S72)</f>
        <v>0</v>
      </c>
      <c r="T54" s="169">
        <f t="shared" ref="T54:T66" si="36">S54/$S$89</f>
        <v>0</v>
      </c>
      <c r="U54" s="60"/>
      <c r="V54" s="123">
        <f>SUM(V55:V72)</f>
        <v>0</v>
      </c>
      <c r="W54" s="123">
        <f>SUM(W55:W72)</f>
        <v>0</v>
      </c>
      <c r="X54" s="123">
        <f>SUM(X55:X72)</f>
        <v>0</v>
      </c>
      <c r="Y54" s="169">
        <f t="shared" ref="Y54:Y66" si="37">X54/$S$89</f>
        <v>0</v>
      </c>
      <c r="Z54" s="60"/>
      <c r="AA54" s="123">
        <f>SUM(AA55:AA72)</f>
        <v>10539.59</v>
      </c>
      <c r="AB54" s="123">
        <f>SUM(AB55:AB72)</f>
        <v>18046.830000000002</v>
      </c>
      <c r="AC54" s="123">
        <f>SUM(AC55:AC72)</f>
        <v>28586.42</v>
      </c>
      <c r="AD54" s="169">
        <f>AC54/$AC$89</f>
        <v>2.8479542953686994E-2</v>
      </c>
      <c r="AE54" s="60"/>
    </row>
    <row r="55" spans="1:31" ht="13.95" customHeight="1" outlineLevel="2" x14ac:dyDescent="0.25">
      <c r="A55" s="237"/>
      <c r="B55" s="19" t="s">
        <v>77</v>
      </c>
      <c r="C55" s="113"/>
      <c r="D55" s="128"/>
      <c r="E55" s="120">
        <f t="shared" ref="E55:E71" si="38">C55+D55</f>
        <v>0</v>
      </c>
      <c r="F55" s="178">
        <f>E55/$E$89</f>
        <v>0</v>
      </c>
      <c r="G55" s="39">
        <v>0</v>
      </c>
      <c r="H55" s="39">
        <v>0</v>
      </c>
      <c r="I55" s="106">
        <f t="shared" ref="I55:I71" si="39">G55+H55*1</f>
        <v>0</v>
      </c>
      <c r="J55" s="178">
        <f t="shared" si="34"/>
        <v>0</v>
      </c>
      <c r="K55" s="79"/>
      <c r="L55" s="210"/>
      <c r="M55" s="210"/>
      <c r="N55" s="106">
        <f t="shared" ref="N55:N71" si="40">L55+M55*1</f>
        <v>0</v>
      </c>
      <c r="O55" s="178" t="e">
        <f t="shared" si="35"/>
        <v>#DIV/0!</v>
      </c>
      <c r="P55" s="79"/>
      <c r="Q55" s="210"/>
      <c r="R55" s="210"/>
      <c r="S55" s="106">
        <f t="shared" ref="S55:S71" si="41">Q55+R55*1</f>
        <v>0</v>
      </c>
      <c r="T55" s="178">
        <f t="shared" si="36"/>
        <v>0</v>
      </c>
      <c r="U55" s="79"/>
      <c r="V55" s="210"/>
      <c r="W55" s="210"/>
      <c r="X55" s="106">
        <f t="shared" ref="X55:X71" si="42">V55+W55*1</f>
        <v>0</v>
      </c>
      <c r="Y55" s="178">
        <f t="shared" si="37"/>
        <v>0</v>
      </c>
      <c r="Z55" s="79"/>
      <c r="AA55" s="39">
        <f t="shared" ref="AA55:AA71" si="43">G55+L55+Q55+V55</f>
        <v>0</v>
      </c>
      <c r="AB55" s="39">
        <f t="shared" ref="AB55:AB71" si="44">H55+M55+R55+W55</f>
        <v>0</v>
      </c>
      <c r="AC55" s="106">
        <f t="shared" ref="AC55:AC71" si="45">AA55+AB55*1</f>
        <v>0</v>
      </c>
      <c r="AD55" s="178">
        <f t="shared" ref="AD55:AD72" si="46">AC55/$AC$89</f>
        <v>0</v>
      </c>
      <c r="AE55" s="79"/>
    </row>
    <row r="56" spans="1:31" ht="13.95" customHeight="1" outlineLevel="2" x14ac:dyDescent="0.25">
      <c r="A56" s="237"/>
      <c r="B56" s="19" t="s">
        <v>76</v>
      </c>
      <c r="C56" s="113"/>
      <c r="D56" s="128"/>
      <c r="E56" s="120">
        <f t="shared" si="38"/>
        <v>0</v>
      </c>
      <c r="F56" s="178">
        <f t="shared" ref="F56:F72" si="47">E56/$E$89</f>
        <v>0</v>
      </c>
      <c r="G56" s="39">
        <v>0</v>
      </c>
      <c r="H56" s="39">
        <v>0</v>
      </c>
      <c r="I56" s="106">
        <f t="shared" si="39"/>
        <v>0</v>
      </c>
      <c r="J56" s="178">
        <f t="shared" si="34"/>
        <v>0</v>
      </c>
      <c r="K56" s="79"/>
      <c r="L56" s="210"/>
      <c r="M56" s="210"/>
      <c r="N56" s="106">
        <f t="shared" si="40"/>
        <v>0</v>
      </c>
      <c r="O56" s="178" t="e">
        <f t="shared" si="35"/>
        <v>#DIV/0!</v>
      </c>
      <c r="P56" s="79"/>
      <c r="Q56" s="210"/>
      <c r="R56" s="210"/>
      <c r="S56" s="106">
        <f t="shared" si="41"/>
        <v>0</v>
      </c>
      <c r="T56" s="178">
        <f t="shared" si="36"/>
        <v>0</v>
      </c>
      <c r="U56" s="79"/>
      <c r="V56" s="210"/>
      <c r="W56" s="210"/>
      <c r="X56" s="106">
        <f t="shared" si="42"/>
        <v>0</v>
      </c>
      <c r="Y56" s="178">
        <f t="shared" si="37"/>
        <v>0</v>
      </c>
      <c r="Z56" s="79"/>
      <c r="AA56" s="39">
        <f t="shared" si="43"/>
        <v>0</v>
      </c>
      <c r="AB56" s="39">
        <f t="shared" si="44"/>
        <v>0</v>
      </c>
      <c r="AC56" s="106">
        <f t="shared" si="45"/>
        <v>0</v>
      </c>
      <c r="AD56" s="178">
        <f t="shared" si="46"/>
        <v>0</v>
      </c>
      <c r="AE56" s="79"/>
    </row>
    <row r="57" spans="1:31" ht="13.95" customHeight="1" outlineLevel="2" x14ac:dyDescent="0.25">
      <c r="A57" s="237"/>
      <c r="B57" s="19" t="s">
        <v>68</v>
      </c>
      <c r="C57" s="113"/>
      <c r="D57" s="128"/>
      <c r="E57" s="120">
        <f t="shared" si="38"/>
        <v>0</v>
      </c>
      <c r="F57" s="178">
        <f t="shared" si="47"/>
        <v>0</v>
      </c>
      <c r="G57" s="39">
        <v>0</v>
      </c>
      <c r="H57" s="39">
        <v>0</v>
      </c>
      <c r="I57" s="106">
        <f t="shared" si="39"/>
        <v>0</v>
      </c>
      <c r="J57" s="178">
        <f t="shared" si="34"/>
        <v>0</v>
      </c>
      <c r="K57" s="79"/>
      <c r="L57" s="210"/>
      <c r="M57" s="210"/>
      <c r="N57" s="106">
        <f t="shared" si="40"/>
        <v>0</v>
      </c>
      <c r="O57" s="178" t="e">
        <f t="shared" si="35"/>
        <v>#DIV/0!</v>
      </c>
      <c r="P57" s="79"/>
      <c r="Q57" s="210"/>
      <c r="R57" s="210"/>
      <c r="S57" s="106">
        <f t="shared" si="41"/>
        <v>0</v>
      </c>
      <c r="T57" s="178">
        <f t="shared" si="36"/>
        <v>0</v>
      </c>
      <c r="U57" s="79"/>
      <c r="V57" s="210"/>
      <c r="W57" s="210"/>
      <c r="X57" s="106">
        <f t="shared" si="42"/>
        <v>0</v>
      </c>
      <c r="Y57" s="178">
        <f t="shared" si="37"/>
        <v>0</v>
      </c>
      <c r="Z57" s="79"/>
      <c r="AA57" s="39">
        <f t="shared" si="43"/>
        <v>0</v>
      </c>
      <c r="AB57" s="39">
        <f t="shared" si="44"/>
        <v>0</v>
      </c>
      <c r="AC57" s="106">
        <f t="shared" si="45"/>
        <v>0</v>
      </c>
      <c r="AD57" s="178">
        <f t="shared" si="46"/>
        <v>0</v>
      </c>
      <c r="AE57" s="79"/>
    </row>
    <row r="58" spans="1:31" ht="14.4" customHeight="1" outlineLevel="2" x14ac:dyDescent="0.25">
      <c r="A58" s="237"/>
      <c r="B58" s="19" t="s">
        <v>67</v>
      </c>
      <c r="C58" s="113">
        <v>12502</v>
      </c>
      <c r="D58" s="128">
        <v>30924</v>
      </c>
      <c r="E58" s="120">
        <f t="shared" si="38"/>
        <v>43426</v>
      </c>
      <c r="F58" s="178">
        <f t="shared" si="47"/>
        <v>1.6808414038311851E-2</v>
      </c>
      <c r="G58" s="39">
        <v>5232.5</v>
      </c>
      <c r="H58" s="39">
        <v>8517.5</v>
      </c>
      <c r="I58" s="106">
        <f t="shared" si="39"/>
        <v>13750</v>
      </c>
      <c r="J58" s="178">
        <f t="shared" si="34"/>
        <v>1.4353395219279058E-2</v>
      </c>
      <c r="K58" s="79"/>
      <c r="L58" s="210"/>
      <c r="M58" s="210"/>
      <c r="N58" s="106">
        <f t="shared" si="40"/>
        <v>0</v>
      </c>
      <c r="O58" s="178" t="e">
        <f t="shared" si="35"/>
        <v>#DIV/0!</v>
      </c>
      <c r="P58" s="79"/>
      <c r="Q58" s="210"/>
      <c r="R58" s="210"/>
      <c r="S58" s="106">
        <f t="shared" si="41"/>
        <v>0</v>
      </c>
      <c r="T58" s="178">
        <f t="shared" si="36"/>
        <v>0</v>
      </c>
      <c r="U58" s="79"/>
      <c r="V58" s="210"/>
      <c r="W58" s="210"/>
      <c r="X58" s="106">
        <f t="shared" si="42"/>
        <v>0</v>
      </c>
      <c r="Y58" s="178">
        <f t="shared" si="37"/>
        <v>0</v>
      </c>
      <c r="Z58" s="79"/>
      <c r="AA58" s="39">
        <f t="shared" si="43"/>
        <v>5232.5</v>
      </c>
      <c r="AB58" s="39">
        <f t="shared" si="44"/>
        <v>8517.5</v>
      </c>
      <c r="AC58" s="106">
        <f t="shared" si="45"/>
        <v>13750</v>
      </c>
      <c r="AD58" s="178">
        <f t="shared" si="46"/>
        <v>1.3698592395032193E-2</v>
      </c>
      <c r="AE58" s="79"/>
    </row>
    <row r="59" spans="1:31" ht="14.4" customHeight="1" outlineLevel="2" x14ac:dyDescent="0.25">
      <c r="A59" s="237"/>
      <c r="B59" s="19" t="s">
        <v>66</v>
      </c>
      <c r="C59" s="113">
        <v>4739</v>
      </c>
      <c r="D59" s="128"/>
      <c r="E59" s="120">
        <f t="shared" si="38"/>
        <v>4739</v>
      </c>
      <c r="F59" s="178">
        <f t="shared" si="47"/>
        <v>1.8342714992760066E-3</v>
      </c>
      <c r="G59" s="39">
        <v>1267.5</v>
      </c>
      <c r="H59" s="39">
        <v>0</v>
      </c>
      <c r="I59" s="106">
        <f t="shared" si="39"/>
        <v>1267.5</v>
      </c>
      <c r="J59" s="178">
        <f t="shared" si="34"/>
        <v>1.3231220683953605E-3</v>
      </c>
      <c r="K59" s="79"/>
      <c r="L59" s="210"/>
      <c r="M59" s="210"/>
      <c r="N59" s="106">
        <f t="shared" si="40"/>
        <v>0</v>
      </c>
      <c r="O59" s="178" t="e">
        <f t="shared" si="35"/>
        <v>#DIV/0!</v>
      </c>
      <c r="P59" s="79"/>
      <c r="Q59" s="210"/>
      <c r="R59" s="210"/>
      <c r="S59" s="106">
        <f t="shared" si="41"/>
        <v>0</v>
      </c>
      <c r="T59" s="178">
        <f t="shared" si="36"/>
        <v>0</v>
      </c>
      <c r="U59" s="79"/>
      <c r="V59" s="210"/>
      <c r="W59" s="210"/>
      <c r="X59" s="106">
        <f t="shared" si="42"/>
        <v>0</v>
      </c>
      <c r="Y59" s="178">
        <f t="shared" si="37"/>
        <v>0</v>
      </c>
      <c r="Z59" s="79"/>
      <c r="AA59" s="39">
        <f t="shared" si="43"/>
        <v>1267.5</v>
      </c>
      <c r="AB59" s="39">
        <f t="shared" si="44"/>
        <v>0</v>
      </c>
      <c r="AC59" s="106">
        <f t="shared" si="45"/>
        <v>1267.5</v>
      </c>
      <c r="AD59" s="178">
        <f t="shared" si="46"/>
        <v>1.262761153505695E-3</v>
      </c>
      <c r="AE59" s="79"/>
    </row>
    <row r="60" spans="1:31" ht="14.4" customHeight="1" outlineLevel="2" x14ac:dyDescent="0.25">
      <c r="A60" s="237"/>
      <c r="B60" s="19" t="s">
        <v>65</v>
      </c>
      <c r="C60" s="113">
        <v>4309</v>
      </c>
      <c r="D60" s="128"/>
      <c r="E60" s="120">
        <f t="shared" si="38"/>
        <v>4309</v>
      </c>
      <c r="F60" s="178">
        <f t="shared" si="47"/>
        <v>1.6678362292425221E-3</v>
      </c>
      <c r="G60" s="39">
        <v>1430</v>
      </c>
      <c r="H60" s="39">
        <v>0</v>
      </c>
      <c r="I60" s="106">
        <f t="shared" si="39"/>
        <v>1430</v>
      </c>
      <c r="J60" s="178">
        <f t="shared" si="34"/>
        <v>1.4927531028050222E-3</v>
      </c>
      <c r="K60" s="79"/>
      <c r="L60" s="210"/>
      <c r="M60" s="210"/>
      <c r="N60" s="106">
        <f t="shared" si="40"/>
        <v>0</v>
      </c>
      <c r="O60" s="178" t="e">
        <f t="shared" si="35"/>
        <v>#DIV/0!</v>
      </c>
      <c r="P60" s="79"/>
      <c r="Q60" s="210"/>
      <c r="R60" s="210"/>
      <c r="S60" s="106">
        <f t="shared" si="41"/>
        <v>0</v>
      </c>
      <c r="T60" s="178">
        <f t="shared" si="36"/>
        <v>0</v>
      </c>
      <c r="U60" s="79"/>
      <c r="V60" s="210"/>
      <c r="W60" s="210"/>
      <c r="X60" s="106">
        <f t="shared" si="42"/>
        <v>0</v>
      </c>
      <c r="Y60" s="178">
        <f t="shared" si="37"/>
        <v>0</v>
      </c>
      <c r="Z60" s="79"/>
      <c r="AA60" s="39">
        <f t="shared" si="43"/>
        <v>1430</v>
      </c>
      <c r="AB60" s="39">
        <f t="shared" si="44"/>
        <v>0</v>
      </c>
      <c r="AC60" s="106">
        <f t="shared" si="45"/>
        <v>1430</v>
      </c>
      <c r="AD60" s="178">
        <f t="shared" si="46"/>
        <v>1.4246536090833481E-3</v>
      </c>
      <c r="AE60" s="79"/>
    </row>
    <row r="61" spans="1:31" ht="13.95" customHeight="1" outlineLevel="2" x14ac:dyDescent="0.25">
      <c r="A61" s="237"/>
      <c r="B61" s="19" t="s">
        <v>32</v>
      </c>
      <c r="C61" s="113"/>
      <c r="D61" s="128"/>
      <c r="E61" s="120">
        <f t="shared" si="38"/>
        <v>0</v>
      </c>
      <c r="F61" s="178">
        <f t="shared" si="47"/>
        <v>0</v>
      </c>
      <c r="G61" s="39">
        <v>0</v>
      </c>
      <c r="H61" s="39">
        <v>0</v>
      </c>
      <c r="I61" s="106">
        <f t="shared" si="39"/>
        <v>0</v>
      </c>
      <c r="J61" s="178">
        <f t="shared" si="34"/>
        <v>0</v>
      </c>
      <c r="K61" s="79"/>
      <c r="L61" s="210"/>
      <c r="M61" s="210"/>
      <c r="N61" s="106">
        <f t="shared" si="40"/>
        <v>0</v>
      </c>
      <c r="O61" s="178" t="e">
        <f t="shared" si="35"/>
        <v>#DIV/0!</v>
      </c>
      <c r="P61" s="79"/>
      <c r="Q61" s="210"/>
      <c r="R61" s="210"/>
      <c r="S61" s="106">
        <f t="shared" si="41"/>
        <v>0</v>
      </c>
      <c r="T61" s="178">
        <f t="shared" si="36"/>
        <v>0</v>
      </c>
      <c r="U61" s="79"/>
      <c r="V61" s="210"/>
      <c r="W61" s="210"/>
      <c r="X61" s="106">
        <f t="shared" si="42"/>
        <v>0</v>
      </c>
      <c r="Y61" s="178">
        <f t="shared" si="37"/>
        <v>0</v>
      </c>
      <c r="Z61" s="79"/>
      <c r="AA61" s="39">
        <f t="shared" si="43"/>
        <v>0</v>
      </c>
      <c r="AB61" s="39">
        <f t="shared" si="44"/>
        <v>0</v>
      </c>
      <c r="AC61" s="106">
        <f t="shared" si="45"/>
        <v>0</v>
      </c>
      <c r="AD61" s="178">
        <f t="shared" si="46"/>
        <v>0</v>
      </c>
      <c r="AE61" s="79"/>
    </row>
    <row r="62" spans="1:31" ht="30.6" customHeight="1" outlineLevel="2" x14ac:dyDescent="0.25">
      <c r="A62" s="237"/>
      <c r="B62" s="19" t="s">
        <v>33</v>
      </c>
      <c r="C62" s="129"/>
      <c r="D62" s="128"/>
      <c r="E62" s="120">
        <f t="shared" si="38"/>
        <v>0</v>
      </c>
      <c r="F62" s="178">
        <f t="shared" si="47"/>
        <v>0</v>
      </c>
      <c r="G62" s="39">
        <v>0</v>
      </c>
      <c r="H62" s="39">
        <v>0</v>
      </c>
      <c r="I62" s="106">
        <f t="shared" si="39"/>
        <v>0</v>
      </c>
      <c r="J62" s="178">
        <f t="shared" si="34"/>
        <v>0</v>
      </c>
      <c r="K62" s="79"/>
      <c r="L62" s="210"/>
      <c r="M62" s="210"/>
      <c r="N62" s="106">
        <f t="shared" si="40"/>
        <v>0</v>
      </c>
      <c r="O62" s="178" t="e">
        <f t="shared" si="35"/>
        <v>#DIV/0!</v>
      </c>
      <c r="P62" s="79"/>
      <c r="Q62" s="210"/>
      <c r="R62" s="210"/>
      <c r="S62" s="106">
        <f t="shared" si="41"/>
        <v>0</v>
      </c>
      <c r="T62" s="178">
        <f t="shared" si="36"/>
        <v>0</v>
      </c>
      <c r="U62" s="79"/>
      <c r="V62" s="210"/>
      <c r="W62" s="210"/>
      <c r="X62" s="106">
        <f t="shared" si="42"/>
        <v>0</v>
      </c>
      <c r="Y62" s="178">
        <f t="shared" si="37"/>
        <v>0</v>
      </c>
      <c r="Z62" s="79"/>
      <c r="AA62" s="39">
        <f t="shared" si="43"/>
        <v>0</v>
      </c>
      <c r="AB62" s="39">
        <f t="shared" si="44"/>
        <v>0</v>
      </c>
      <c r="AC62" s="106">
        <f t="shared" si="45"/>
        <v>0</v>
      </c>
      <c r="AD62" s="178">
        <f t="shared" si="46"/>
        <v>0</v>
      </c>
      <c r="AE62" s="79"/>
    </row>
    <row r="63" spans="1:31" ht="31.95" customHeight="1" outlineLevel="2" x14ac:dyDescent="0.25">
      <c r="A63" s="237"/>
      <c r="B63" s="19" t="s">
        <v>35</v>
      </c>
      <c r="C63" s="129"/>
      <c r="D63" s="128"/>
      <c r="E63" s="120">
        <f t="shared" si="38"/>
        <v>0</v>
      </c>
      <c r="F63" s="178">
        <f t="shared" si="47"/>
        <v>0</v>
      </c>
      <c r="G63" s="39">
        <v>0</v>
      </c>
      <c r="H63" s="39">
        <v>0</v>
      </c>
      <c r="I63" s="106">
        <f t="shared" si="39"/>
        <v>0</v>
      </c>
      <c r="J63" s="178">
        <f t="shared" si="34"/>
        <v>0</v>
      </c>
      <c r="K63" s="79"/>
      <c r="L63" s="210"/>
      <c r="M63" s="210"/>
      <c r="N63" s="106">
        <f t="shared" si="40"/>
        <v>0</v>
      </c>
      <c r="O63" s="178" t="e">
        <f t="shared" si="35"/>
        <v>#DIV/0!</v>
      </c>
      <c r="P63" s="79"/>
      <c r="Q63" s="210"/>
      <c r="R63" s="210"/>
      <c r="S63" s="106">
        <f t="shared" si="41"/>
        <v>0</v>
      </c>
      <c r="T63" s="178">
        <f t="shared" si="36"/>
        <v>0</v>
      </c>
      <c r="U63" s="79"/>
      <c r="V63" s="210"/>
      <c r="W63" s="210"/>
      <c r="X63" s="106">
        <f t="shared" si="42"/>
        <v>0</v>
      </c>
      <c r="Y63" s="178">
        <f t="shared" si="37"/>
        <v>0</v>
      </c>
      <c r="Z63" s="79"/>
      <c r="AA63" s="39">
        <f t="shared" si="43"/>
        <v>0</v>
      </c>
      <c r="AB63" s="39">
        <f t="shared" si="44"/>
        <v>0</v>
      </c>
      <c r="AC63" s="106">
        <f t="shared" si="45"/>
        <v>0</v>
      </c>
      <c r="AD63" s="178">
        <f t="shared" si="46"/>
        <v>0</v>
      </c>
      <c r="AE63" s="79"/>
    </row>
    <row r="64" spans="1:31" ht="31.2" customHeight="1" outlineLevel="2" x14ac:dyDescent="0.25">
      <c r="A64" s="237"/>
      <c r="B64" s="19" t="s">
        <v>63</v>
      </c>
      <c r="C64" s="129"/>
      <c r="D64" s="128"/>
      <c r="E64" s="120">
        <f t="shared" si="38"/>
        <v>0</v>
      </c>
      <c r="F64" s="178">
        <f t="shared" si="47"/>
        <v>0</v>
      </c>
      <c r="G64" s="39">
        <v>0</v>
      </c>
      <c r="H64" s="39">
        <v>0</v>
      </c>
      <c r="I64" s="106">
        <f t="shared" si="39"/>
        <v>0</v>
      </c>
      <c r="J64" s="178">
        <f t="shared" si="34"/>
        <v>0</v>
      </c>
      <c r="K64" s="79"/>
      <c r="L64" s="210"/>
      <c r="M64" s="210"/>
      <c r="N64" s="106">
        <f t="shared" si="40"/>
        <v>0</v>
      </c>
      <c r="O64" s="178" t="e">
        <f t="shared" si="35"/>
        <v>#DIV/0!</v>
      </c>
      <c r="P64" s="79"/>
      <c r="Q64" s="210"/>
      <c r="R64" s="210"/>
      <c r="S64" s="106">
        <f t="shared" si="41"/>
        <v>0</v>
      </c>
      <c r="T64" s="178">
        <f t="shared" si="36"/>
        <v>0</v>
      </c>
      <c r="U64" s="79"/>
      <c r="V64" s="210"/>
      <c r="W64" s="210"/>
      <c r="X64" s="106">
        <f t="shared" si="42"/>
        <v>0</v>
      </c>
      <c r="Y64" s="178">
        <f t="shared" si="37"/>
        <v>0</v>
      </c>
      <c r="Z64" s="79"/>
      <c r="AA64" s="39">
        <f t="shared" si="43"/>
        <v>0</v>
      </c>
      <c r="AB64" s="39">
        <f t="shared" si="44"/>
        <v>0</v>
      </c>
      <c r="AC64" s="106">
        <f t="shared" si="45"/>
        <v>0</v>
      </c>
      <c r="AD64" s="178">
        <f t="shared" si="46"/>
        <v>0</v>
      </c>
      <c r="AE64" s="79"/>
    </row>
    <row r="65" spans="1:31" ht="93" customHeight="1" outlineLevel="2" x14ac:dyDescent="0.25">
      <c r="A65" s="237"/>
      <c r="B65" s="19" t="s">
        <v>36</v>
      </c>
      <c r="C65" s="129"/>
      <c r="D65" s="128"/>
      <c r="E65" s="120">
        <f t="shared" si="38"/>
        <v>0</v>
      </c>
      <c r="F65" s="178">
        <f t="shared" si="47"/>
        <v>0</v>
      </c>
      <c r="G65" s="39">
        <v>2609.59</v>
      </c>
      <c r="H65" s="39">
        <v>0</v>
      </c>
      <c r="I65" s="106">
        <f t="shared" si="39"/>
        <v>2609.59</v>
      </c>
      <c r="J65" s="178">
        <f t="shared" si="34"/>
        <v>2.7241073912929775E-3</v>
      </c>
      <c r="K65" s="79"/>
      <c r="L65" s="39"/>
      <c r="M65" s="39"/>
      <c r="N65" s="106">
        <f t="shared" si="40"/>
        <v>0</v>
      </c>
      <c r="O65" s="178" t="e">
        <f>N65/$N$89</f>
        <v>#DIV/0!</v>
      </c>
      <c r="P65" s="79"/>
      <c r="Q65" s="39"/>
      <c r="R65" s="39"/>
      <c r="S65" s="106">
        <f t="shared" si="41"/>
        <v>0</v>
      </c>
      <c r="T65" s="178">
        <f t="shared" si="36"/>
        <v>0</v>
      </c>
      <c r="U65" s="79"/>
      <c r="V65" s="39"/>
      <c r="W65" s="39"/>
      <c r="X65" s="106">
        <f t="shared" si="42"/>
        <v>0</v>
      </c>
      <c r="Y65" s="178">
        <f t="shared" si="37"/>
        <v>0</v>
      </c>
      <c r="Z65" s="79"/>
      <c r="AA65" s="39">
        <f t="shared" si="43"/>
        <v>2609.59</v>
      </c>
      <c r="AB65" s="39">
        <f t="shared" si="44"/>
        <v>0</v>
      </c>
      <c r="AC65" s="106">
        <f t="shared" si="45"/>
        <v>2609.59</v>
      </c>
      <c r="AD65" s="178">
        <f t="shared" si="46"/>
        <v>2.5998334347746956E-3</v>
      </c>
      <c r="AE65" s="79"/>
    </row>
    <row r="66" spans="1:31" s="2" customFormat="1" ht="13.95" customHeight="1" outlineLevel="2" x14ac:dyDescent="0.25">
      <c r="A66" s="237"/>
      <c r="B66" s="19" t="s">
        <v>37</v>
      </c>
      <c r="C66" s="129"/>
      <c r="D66" s="128"/>
      <c r="E66" s="120">
        <f t="shared" si="38"/>
        <v>0</v>
      </c>
      <c r="F66" s="178">
        <f t="shared" si="47"/>
        <v>0</v>
      </c>
      <c r="G66" s="39">
        <v>0</v>
      </c>
      <c r="H66" s="39">
        <v>0</v>
      </c>
      <c r="I66" s="106">
        <f t="shared" si="39"/>
        <v>0</v>
      </c>
      <c r="J66" s="178">
        <f t="shared" si="34"/>
        <v>0</v>
      </c>
      <c r="K66" s="79"/>
      <c r="L66" s="39"/>
      <c r="M66" s="39"/>
      <c r="N66" s="106">
        <f t="shared" si="40"/>
        <v>0</v>
      </c>
      <c r="O66" s="178" t="e">
        <f t="shared" si="35"/>
        <v>#DIV/0!</v>
      </c>
      <c r="P66" s="79"/>
      <c r="Q66" s="39"/>
      <c r="R66" s="39"/>
      <c r="S66" s="106">
        <f t="shared" si="41"/>
        <v>0</v>
      </c>
      <c r="T66" s="178">
        <f t="shared" si="36"/>
        <v>0</v>
      </c>
      <c r="U66" s="79"/>
      <c r="V66" s="39"/>
      <c r="W66" s="39"/>
      <c r="X66" s="106">
        <f t="shared" si="42"/>
        <v>0</v>
      </c>
      <c r="Y66" s="178">
        <f t="shared" si="37"/>
        <v>0</v>
      </c>
      <c r="Z66" s="79"/>
      <c r="AA66" s="39">
        <f t="shared" si="43"/>
        <v>0</v>
      </c>
      <c r="AB66" s="39">
        <f t="shared" si="44"/>
        <v>0</v>
      </c>
      <c r="AC66" s="106">
        <f t="shared" si="45"/>
        <v>0</v>
      </c>
      <c r="AD66" s="178">
        <f t="shared" si="46"/>
        <v>0</v>
      </c>
      <c r="AE66" s="79"/>
    </row>
    <row r="67" spans="1:31" s="2" customFormat="1" ht="102" customHeight="1" outlineLevel="2" x14ac:dyDescent="0.25">
      <c r="A67" s="237"/>
      <c r="B67" s="19" t="s">
        <v>3</v>
      </c>
      <c r="C67" s="129"/>
      <c r="D67" s="128"/>
      <c r="E67" s="120">
        <f t="shared" si="38"/>
        <v>0</v>
      </c>
      <c r="F67" s="178">
        <f t="shared" si="47"/>
        <v>0</v>
      </c>
      <c r="G67" s="39">
        <v>0</v>
      </c>
      <c r="H67" s="39">
        <v>0</v>
      </c>
      <c r="I67" s="106">
        <f t="shared" si="39"/>
        <v>0</v>
      </c>
      <c r="J67" s="178">
        <f t="shared" si="34"/>
        <v>0</v>
      </c>
      <c r="K67" s="79"/>
      <c r="L67" s="39"/>
      <c r="M67" s="39"/>
      <c r="N67" s="106">
        <f t="shared" si="40"/>
        <v>0</v>
      </c>
      <c r="O67" s="178" t="e">
        <f t="shared" si="35"/>
        <v>#DIV/0!</v>
      </c>
      <c r="P67" s="79"/>
      <c r="Q67" s="39"/>
      <c r="R67" s="39"/>
      <c r="S67" s="106">
        <f t="shared" si="41"/>
        <v>0</v>
      </c>
      <c r="T67" s="178">
        <f t="shared" ref="T67:T72" si="48">S67/$S$89</f>
        <v>0</v>
      </c>
      <c r="U67" s="79"/>
      <c r="V67" s="39"/>
      <c r="W67" s="39"/>
      <c r="X67" s="106">
        <f t="shared" si="42"/>
        <v>0</v>
      </c>
      <c r="Y67" s="178">
        <f t="shared" ref="Y67:Y72" si="49">X67/$S$89</f>
        <v>0</v>
      </c>
      <c r="Z67" s="79"/>
      <c r="AA67" s="39">
        <f t="shared" si="43"/>
        <v>0</v>
      </c>
      <c r="AB67" s="39">
        <f t="shared" si="44"/>
        <v>0</v>
      </c>
      <c r="AC67" s="106">
        <f t="shared" si="45"/>
        <v>0</v>
      </c>
      <c r="AD67" s="178">
        <f t="shared" si="46"/>
        <v>0</v>
      </c>
      <c r="AE67" s="79"/>
    </row>
    <row r="68" spans="1:31" s="2" customFormat="1" ht="79.95" customHeight="1" outlineLevel="2" x14ac:dyDescent="0.25">
      <c r="A68" s="237"/>
      <c r="B68" s="19" t="s">
        <v>5</v>
      </c>
      <c r="C68" s="129"/>
      <c r="D68" s="128">
        <v>13100</v>
      </c>
      <c r="E68" s="120">
        <f t="shared" si="38"/>
        <v>13100</v>
      </c>
      <c r="F68" s="178">
        <f t="shared" si="47"/>
        <v>5.0704698545084798E-3</v>
      </c>
      <c r="G68" s="39">
        <v>0</v>
      </c>
      <c r="H68" s="39">
        <v>9529.33</v>
      </c>
      <c r="I68" s="106">
        <f t="shared" si="39"/>
        <v>9529.33</v>
      </c>
      <c r="J68" s="178">
        <f t="shared" si="34"/>
        <v>9.9475083392678194E-3</v>
      </c>
      <c r="K68" s="79"/>
      <c r="L68" s="39"/>
      <c r="M68" s="39"/>
      <c r="N68" s="106">
        <f t="shared" si="40"/>
        <v>0</v>
      </c>
      <c r="O68" s="178" t="e">
        <f t="shared" si="35"/>
        <v>#DIV/0!</v>
      </c>
      <c r="P68" s="79"/>
      <c r="Q68" s="39"/>
      <c r="R68" s="39"/>
      <c r="S68" s="106">
        <f t="shared" si="41"/>
        <v>0</v>
      </c>
      <c r="T68" s="178">
        <f t="shared" si="48"/>
        <v>0</v>
      </c>
      <c r="U68" s="79"/>
      <c r="V68" s="39"/>
      <c r="W68" s="39"/>
      <c r="X68" s="106">
        <f t="shared" si="42"/>
        <v>0</v>
      </c>
      <c r="Y68" s="178">
        <f t="shared" si="49"/>
        <v>0</v>
      </c>
      <c r="Z68" s="79"/>
      <c r="AA68" s="39">
        <f t="shared" si="43"/>
        <v>0</v>
      </c>
      <c r="AB68" s="39">
        <f t="shared" si="44"/>
        <v>9529.33</v>
      </c>
      <c r="AC68" s="106">
        <f t="shared" si="45"/>
        <v>9529.33</v>
      </c>
      <c r="AD68" s="178">
        <f t="shared" si="46"/>
        <v>9.4937023612910645E-3</v>
      </c>
      <c r="AE68" s="79"/>
    </row>
    <row r="69" spans="1:31" s="2" customFormat="1" ht="13.8" outlineLevel="2" x14ac:dyDescent="0.25">
      <c r="A69" s="237"/>
      <c r="B69" s="19" t="s">
        <v>42</v>
      </c>
      <c r="C69" s="129"/>
      <c r="D69" s="128"/>
      <c r="E69" s="120">
        <f t="shared" si="38"/>
        <v>0</v>
      </c>
      <c r="F69" s="178">
        <f t="shared" si="47"/>
        <v>0</v>
      </c>
      <c r="G69" s="39">
        <v>0</v>
      </c>
      <c r="H69" s="39">
        <v>0</v>
      </c>
      <c r="I69" s="106">
        <f t="shared" si="39"/>
        <v>0</v>
      </c>
      <c r="J69" s="178">
        <f t="shared" si="34"/>
        <v>0</v>
      </c>
      <c r="K69" s="79"/>
      <c r="L69" s="39"/>
      <c r="M69" s="39"/>
      <c r="N69" s="106">
        <f t="shared" si="40"/>
        <v>0</v>
      </c>
      <c r="O69" s="178" t="e">
        <f t="shared" si="35"/>
        <v>#DIV/0!</v>
      </c>
      <c r="P69" s="79"/>
      <c r="Q69" s="39"/>
      <c r="R69" s="39"/>
      <c r="S69" s="106">
        <f t="shared" si="41"/>
        <v>0</v>
      </c>
      <c r="T69" s="178">
        <f t="shared" si="48"/>
        <v>0</v>
      </c>
      <c r="U69" s="79"/>
      <c r="V69" s="39"/>
      <c r="W69" s="39"/>
      <c r="X69" s="106">
        <f t="shared" si="42"/>
        <v>0</v>
      </c>
      <c r="Y69" s="178">
        <f t="shared" si="49"/>
        <v>0</v>
      </c>
      <c r="Z69" s="79"/>
      <c r="AA69" s="39">
        <f t="shared" si="43"/>
        <v>0</v>
      </c>
      <c r="AB69" s="39">
        <f t="shared" si="44"/>
        <v>0</v>
      </c>
      <c r="AC69" s="106">
        <f t="shared" si="45"/>
        <v>0</v>
      </c>
      <c r="AD69" s="178">
        <f t="shared" si="46"/>
        <v>0</v>
      </c>
      <c r="AE69" s="79"/>
    </row>
    <row r="70" spans="1:31" s="2" customFormat="1" ht="22.95" customHeight="1" outlineLevel="2" x14ac:dyDescent="0.25">
      <c r="A70" s="237"/>
      <c r="B70" s="19" t="s">
        <v>6</v>
      </c>
      <c r="C70" s="129"/>
      <c r="D70" s="128"/>
      <c r="E70" s="120">
        <f t="shared" si="38"/>
        <v>0</v>
      </c>
      <c r="F70" s="178">
        <f t="shared" si="47"/>
        <v>0</v>
      </c>
      <c r="G70" s="39">
        <v>0</v>
      </c>
      <c r="H70" s="39">
        <v>0</v>
      </c>
      <c r="I70" s="106">
        <f t="shared" si="39"/>
        <v>0</v>
      </c>
      <c r="J70" s="178">
        <f t="shared" si="34"/>
        <v>0</v>
      </c>
      <c r="K70" s="79"/>
      <c r="L70" s="39"/>
      <c r="M70" s="39"/>
      <c r="N70" s="106">
        <f t="shared" si="40"/>
        <v>0</v>
      </c>
      <c r="O70" s="178" t="e">
        <f t="shared" si="35"/>
        <v>#DIV/0!</v>
      </c>
      <c r="P70" s="79"/>
      <c r="Q70" s="39"/>
      <c r="R70" s="39"/>
      <c r="S70" s="106">
        <f t="shared" si="41"/>
        <v>0</v>
      </c>
      <c r="T70" s="178">
        <f t="shared" si="48"/>
        <v>0</v>
      </c>
      <c r="U70" s="79"/>
      <c r="V70" s="39"/>
      <c r="W70" s="39"/>
      <c r="X70" s="106">
        <f t="shared" si="42"/>
        <v>0</v>
      </c>
      <c r="Y70" s="178">
        <f t="shared" si="49"/>
        <v>0</v>
      </c>
      <c r="Z70" s="79"/>
      <c r="AA70" s="39">
        <f t="shared" si="43"/>
        <v>0</v>
      </c>
      <c r="AB70" s="39">
        <f t="shared" si="44"/>
        <v>0</v>
      </c>
      <c r="AC70" s="106">
        <f t="shared" si="45"/>
        <v>0</v>
      </c>
      <c r="AD70" s="178">
        <f t="shared" si="46"/>
        <v>0</v>
      </c>
      <c r="AE70" s="79"/>
    </row>
    <row r="71" spans="1:31" s="2" customFormat="1" ht="13.95" customHeight="1" outlineLevel="2" x14ac:dyDescent="0.25">
      <c r="A71" s="237"/>
      <c r="B71" s="19" t="s">
        <v>78</v>
      </c>
      <c r="C71" s="129"/>
      <c r="D71" s="128"/>
      <c r="E71" s="120">
        <f t="shared" si="38"/>
        <v>0</v>
      </c>
      <c r="F71" s="184">
        <f t="shared" si="47"/>
        <v>0</v>
      </c>
      <c r="G71" s="39">
        <v>0</v>
      </c>
      <c r="H71" s="39">
        <v>0</v>
      </c>
      <c r="I71" s="106">
        <f t="shared" si="39"/>
        <v>0</v>
      </c>
      <c r="J71" s="178">
        <f t="shared" si="34"/>
        <v>0</v>
      </c>
      <c r="K71" s="79"/>
      <c r="L71" s="39"/>
      <c r="M71" s="39"/>
      <c r="N71" s="106">
        <f t="shared" si="40"/>
        <v>0</v>
      </c>
      <c r="O71" s="178" t="e">
        <f t="shared" si="35"/>
        <v>#DIV/0!</v>
      </c>
      <c r="P71" s="79"/>
      <c r="Q71" s="39"/>
      <c r="R71" s="39"/>
      <c r="S71" s="106">
        <f t="shared" si="41"/>
        <v>0</v>
      </c>
      <c r="T71" s="178">
        <f t="shared" si="48"/>
        <v>0</v>
      </c>
      <c r="U71" s="79"/>
      <c r="V71" s="39"/>
      <c r="W71" s="39"/>
      <c r="X71" s="106">
        <f t="shared" si="42"/>
        <v>0</v>
      </c>
      <c r="Y71" s="178">
        <f t="shared" si="49"/>
        <v>0</v>
      </c>
      <c r="Z71" s="79"/>
      <c r="AA71" s="39">
        <f t="shared" si="43"/>
        <v>0</v>
      </c>
      <c r="AB71" s="39">
        <f t="shared" si="44"/>
        <v>0</v>
      </c>
      <c r="AC71" s="106">
        <f t="shared" si="45"/>
        <v>0</v>
      </c>
      <c r="AD71" s="178">
        <f t="shared" si="46"/>
        <v>0</v>
      </c>
      <c r="AE71" s="79"/>
    </row>
    <row r="72" spans="1:31" s="2" customFormat="1" ht="14.4" outlineLevel="2" thickBot="1" x14ac:dyDescent="0.3">
      <c r="A72" s="237"/>
      <c r="B72" s="19"/>
      <c r="C72" s="130"/>
      <c r="D72" s="131"/>
      <c r="E72" s="159"/>
      <c r="F72" s="184">
        <f t="shared" si="47"/>
        <v>0</v>
      </c>
      <c r="G72" s="39">
        <v>0</v>
      </c>
      <c r="H72" s="39">
        <v>0</v>
      </c>
      <c r="I72" s="106"/>
      <c r="J72" s="178">
        <f t="shared" si="34"/>
        <v>0</v>
      </c>
      <c r="K72" s="79"/>
      <c r="L72" s="39"/>
      <c r="M72" s="39"/>
      <c r="N72" s="106"/>
      <c r="O72" s="178" t="e">
        <f t="shared" si="35"/>
        <v>#DIV/0!</v>
      </c>
      <c r="P72" s="79"/>
      <c r="Q72" s="39"/>
      <c r="R72" s="39"/>
      <c r="S72" s="106"/>
      <c r="T72" s="178">
        <f t="shared" si="48"/>
        <v>0</v>
      </c>
      <c r="U72" s="79"/>
      <c r="V72" s="39"/>
      <c r="W72" s="39"/>
      <c r="X72" s="106"/>
      <c r="Y72" s="178">
        <f t="shared" si="49"/>
        <v>0</v>
      </c>
      <c r="Z72" s="79"/>
      <c r="AA72" s="39"/>
      <c r="AB72" s="39"/>
      <c r="AC72" s="106"/>
      <c r="AD72" s="178">
        <f t="shared" si="46"/>
        <v>0</v>
      </c>
      <c r="AE72" s="79"/>
    </row>
    <row r="73" spans="1:31" s="2" customFormat="1" ht="14.4" outlineLevel="1" thickBot="1" x14ac:dyDescent="0.3">
      <c r="A73" s="237"/>
      <c r="B73" s="13" t="s">
        <v>4</v>
      </c>
      <c r="C73" s="132">
        <f>C74</f>
        <v>0</v>
      </c>
      <c r="D73" s="133">
        <f>D74</f>
        <v>0</v>
      </c>
      <c r="E73" s="132">
        <f>E74</f>
        <v>0</v>
      </c>
      <c r="F73" s="171">
        <f>E73/$E$89</f>
        <v>0</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row>
    <row r="74" spans="1:31" s="2" customFormat="1" ht="14.4" outlineLevel="1" thickBot="1" x14ac:dyDescent="0.3">
      <c r="A74" s="20"/>
      <c r="B74" s="225" t="s">
        <v>64</v>
      </c>
      <c r="C74" s="129">
        <f>C6*3%*0</f>
        <v>0</v>
      </c>
      <c r="D74" s="135"/>
      <c r="E74" s="136">
        <f>C74+D74</f>
        <v>0</v>
      </c>
      <c r="F74" s="185"/>
      <c r="G74" s="39"/>
      <c r="H74" s="39"/>
      <c r="I74" s="64">
        <f>G74+H74*1</f>
        <v>0</v>
      </c>
      <c r="J74" s="64"/>
      <c r="K74" s="64"/>
      <c r="L74" s="39"/>
      <c r="M74" s="39"/>
      <c r="N74" s="64">
        <f>L74+M74*1</f>
        <v>0</v>
      </c>
      <c r="O74" s="64"/>
      <c r="P74" s="64"/>
      <c r="Q74" s="39"/>
      <c r="R74" s="39"/>
      <c r="S74" s="64">
        <f>Q74+R74*1</f>
        <v>0</v>
      </c>
      <c r="T74" s="64"/>
      <c r="U74" s="64"/>
      <c r="V74" s="39"/>
      <c r="W74" s="39"/>
      <c r="X74" s="64">
        <f>V74+W74*1</f>
        <v>0</v>
      </c>
      <c r="Y74" s="64"/>
      <c r="Z74" s="64"/>
      <c r="AA74" s="39">
        <f>G74+L74</f>
        <v>0</v>
      </c>
      <c r="AB74" s="39">
        <f>H74+M74</f>
        <v>0</v>
      </c>
      <c r="AC74" s="64">
        <f>AA74+AB74*1</f>
        <v>0</v>
      </c>
      <c r="AD74" s="64"/>
      <c r="AE74" s="64"/>
    </row>
    <row r="75" spans="1:31" s="2" customFormat="1" ht="14.4" thickBot="1" x14ac:dyDescent="0.3">
      <c r="A75" s="5"/>
      <c r="B75" s="23" t="s">
        <v>48</v>
      </c>
      <c r="C75" s="137">
        <f>C38-C41-C50-C54</f>
        <v>882537</v>
      </c>
      <c r="D75" s="137">
        <f>D38-D41-D50-D54</f>
        <v>-528419</v>
      </c>
      <c r="E75" s="138">
        <f>E38-E41-E50-E54</f>
        <v>354118</v>
      </c>
      <c r="F75" s="172"/>
      <c r="G75" s="65">
        <f>G38-G41-G50-G54</f>
        <v>1674958.6159999997</v>
      </c>
      <c r="H75" s="65">
        <f>H38-H41-H50-H54</f>
        <v>-49082.33</v>
      </c>
      <c r="I75" s="66">
        <f>I38-I41-I50-I54</f>
        <v>1625876.2859999998</v>
      </c>
      <c r="J75" s="66"/>
      <c r="K75" s="66"/>
      <c r="L75" s="65">
        <f>L38-L41-L50-L54</f>
        <v>0</v>
      </c>
      <c r="M75" s="65">
        <f>M38-M41-M50-M54</f>
        <v>0</v>
      </c>
      <c r="N75" s="138">
        <f>N38-N41-N50-N54</f>
        <v>0</v>
      </c>
      <c r="O75" s="66"/>
      <c r="P75" s="66"/>
      <c r="Q75" s="65">
        <f>Q38-Q41-Q50-Q54</f>
        <v>0</v>
      </c>
      <c r="R75" s="65">
        <f>R38-R41-R50-R54</f>
        <v>-40800</v>
      </c>
      <c r="S75" s="138">
        <f>S38-S41-S50-S54</f>
        <v>-40800</v>
      </c>
      <c r="T75" s="66"/>
      <c r="U75" s="66"/>
      <c r="V75" s="65">
        <f>V38-V41-V50-V54</f>
        <v>0</v>
      </c>
      <c r="W75" s="65">
        <f>W38-W41-W50-W54</f>
        <v>0</v>
      </c>
      <c r="X75" s="138">
        <f>X38-X41-X50-X54</f>
        <v>0</v>
      </c>
      <c r="Y75" s="66"/>
      <c r="Z75" s="66"/>
      <c r="AA75" s="65">
        <f>AA38-AA41-AA50-AA54</f>
        <v>1674958.6159999997</v>
      </c>
      <c r="AB75" s="65">
        <f>AB38-AB41-AB50-AB54</f>
        <v>-89882.33</v>
      </c>
      <c r="AC75" s="138">
        <f>AC38-AC41-AC50-AC54</f>
        <v>1585076.2859999998</v>
      </c>
      <c r="AD75" s="66"/>
      <c r="AE75" s="66"/>
    </row>
    <row r="76" spans="1:31" s="2" customFormat="1" ht="13.8" x14ac:dyDescent="0.25">
      <c r="A76" s="294"/>
      <c r="B76" s="36" t="s">
        <v>49</v>
      </c>
      <c r="C76" s="157">
        <f>C75/C5</f>
        <v>0.37195395129187997</v>
      </c>
      <c r="D76" s="157">
        <f>D75/D5</f>
        <v>-0.9352548672566372</v>
      </c>
      <c r="E76" s="158">
        <f>E75/E5</f>
        <v>0.12054239619022332</v>
      </c>
      <c r="F76" s="167"/>
      <c r="G76" s="54">
        <f>G75/G5</f>
        <v>0.64992803469781046</v>
      </c>
      <c r="H76" s="54" t="e">
        <f>H75/H5</f>
        <v>#DIV/0!</v>
      </c>
      <c r="I76" s="55">
        <f>I75/I5</f>
        <v>0.63088279861223473</v>
      </c>
      <c r="J76" s="55"/>
      <c r="K76" s="55"/>
      <c r="L76" s="54" t="e">
        <f>L75/L5</f>
        <v>#DIV/0!</v>
      </c>
      <c r="M76" s="54" t="e">
        <f>M75/M5</f>
        <v>#DIV/0!</v>
      </c>
      <c r="N76" s="55" t="e">
        <f>N75/N5</f>
        <v>#DIV/0!</v>
      </c>
      <c r="O76" s="55"/>
      <c r="P76" s="55"/>
      <c r="Q76" s="54" t="e">
        <f>Q75/Q5</f>
        <v>#DIV/0!</v>
      </c>
      <c r="R76" s="54" t="e">
        <f>R75/R5</f>
        <v>#DIV/0!</v>
      </c>
      <c r="S76" s="55" t="e">
        <f>S75/S5</f>
        <v>#DIV/0!</v>
      </c>
      <c r="T76" s="55"/>
      <c r="U76" s="55"/>
      <c r="V76" s="54" t="e">
        <f>V75/V5</f>
        <v>#DIV/0!</v>
      </c>
      <c r="W76" s="54" t="e">
        <f>W75/W5</f>
        <v>#DIV/0!</v>
      </c>
      <c r="X76" s="55" t="e">
        <f>X75/X5</f>
        <v>#DIV/0!</v>
      </c>
      <c r="Y76" s="55"/>
      <c r="Z76" s="55"/>
      <c r="AA76" s="54">
        <f>AA75/AA5</f>
        <v>0.64992803469781046</v>
      </c>
      <c r="AB76" s="54" t="e">
        <f>AB75/AB5</f>
        <v>#DIV/0!</v>
      </c>
      <c r="AC76" s="55">
        <f>AC75/AC5</f>
        <v>0.61505132459110545</v>
      </c>
      <c r="AD76" s="55"/>
      <c r="AE76" s="55"/>
    </row>
    <row r="77" spans="1:31" s="2" customFormat="1" ht="14.4" outlineLevel="1" thickBot="1" x14ac:dyDescent="0.3">
      <c r="A77" s="294"/>
      <c r="B77" s="27" t="s">
        <v>9</v>
      </c>
      <c r="C77" s="139">
        <f>C78-C79</f>
        <v>0</v>
      </c>
      <c r="D77" s="139">
        <f>D78-D79</f>
        <v>0</v>
      </c>
      <c r="E77" s="140">
        <f>E78-E79</f>
        <v>0</v>
      </c>
      <c r="F77" s="173"/>
      <c r="G77" s="139">
        <f>G78-G79</f>
        <v>0</v>
      </c>
      <c r="H77" s="139">
        <f>H78-H79</f>
        <v>0</v>
      </c>
      <c r="I77" s="140">
        <f>I78-I79</f>
        <v>-6693.0450000000001</v>
      </c>
      <c r="J77" s="67"/>
      <c r="K77" s="67"/>
      <c r="L77" s="139">
        <f>L78-L79</f>
        <v>0</v>
      </c>
      <c r="M77" s="139">
        <f>M78-M79</f>
        <v>0</v>
      </c>
      <c r="N77" s="140">
        <f>N78-N79</f>
        <v>0</v>
      </c>
      <c r="O77" s="67"/>
      <c r="P77" s="67"/>
      <c r="Q77" s="139">
        <f>Q78-Q79</f>
        <v>0</v>
      </c>
      <c r="R77" s="139">
        <f>R78-R79</f>
        <v>0</v>
      </c>
      <c r="S77" s="140">
        <f>S78-S79</f>
        <v>-4991.2665021293569</v>
      </c>
      <c r="T77" s="67"/>
      <c r="U77" s="67"/>
      <c r="V77" s="139">
        <f>V78-V79</f>
        <v>0</v>
      </c>
      <c r="W77" s="139">
        <f>W78-W79</f>
        <v>0</v>
      </c>
      <c r="X77" s="140">
        <f>X78-X79</f>
        <v>0</v>
      </c>
      <c r="Y77" s="67"/>
      <c r="Z77" s="67"/>
      <c r="AA77" s="139">
        <f>AA78-AA79</f>
        <v>0</v>
      </c>
      <c r="AB77" s="139">
        <f>AB78-AB79</f>
        <v>0</v>
      </c>
      <c r="AC77" s="140">
        <f>AC78-AC79</f>
        <v>-11684.311502129356</v>
      </c>
      <c r="AD77" s="67"/>
      <c r="AE77" s="67"/>
    </row>
    <row r="78" spans="1:31" s="2" customFormat="1" ht="13.8" outlineLevel="2" x14ac:dyDescent="0.25">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f>G78+L78+Q78+V78</f>
        <v>0</v>
      </c>
      <c r="AB78" s="39">
        <f>H78+M78+R78+W78</f>
        <v>0</v>
      </c>
      <c r="AC78" s="68">
        <f>AA78+AB78*1.15</f>
        <v>0</v>
      </c>
      <c r="AD78" s="68"/>
      <c r="AE78" s="68"/>
    </row>
    <row r="79" spans="1:31" s="2" customFormat="1" ht="13.8" outlineLevel="2" x14ac:dyDescent="0.25">
      <c r="A79" s="11"/>
      <c r="B79" s="24" t="s">
        <v>79</v>
      </c>
      <c r="C79" s="113"/>
      <c r="D79" s="119"/>
      <c r="E79" s="119">
        <f>C79+D79*1.15</f>
        <v>0</v>
      </c>
      <c r="F79" s="180">
        <f>E79/$E$89</f>
        <v>0</v>
      </c>
      <c r="G79" s="39"/>
      <c r="H79" s="39"/>
      <c r="I79" s="106">
        <f>(H8+H41+H50+H54)/0.88*0.12</f>
        <v>6693.0450000000001</v>
      </c>
      <c r="J79" s="45"/>
      <c r="K79" s="45"/>
      <c r="L79" s="39"/>
      <c r="M79" s="39"/>
      <c r="N79" s="106">
        <f>(M8+M41+M50+M54)/(1-'расчет 2022'!E4)*'расчет 2022'!E4</f>
        <v>0</v>
      </c>
      <c r="O79" s="45"/>
      <c r="P79" s="45"/>
      <c r="Q79" s="39"/>
      <c r="R79" s="39"/>
      <c r="S79" s="106">
        <f>(R8+R41+R50+R54)/(1-'расчет 2022'!E18)*'расчет 2022'!E18</f>
        <v>4991.2665021293569</v>
      </c>
      <c r="T79" s="45"/>
      <c r="U79" s="45"/>
      <c r="V79" s="39"/>
      <c r="W79" s="39"/>
      <c r="X79" s="106">
        <f>(W8+W41+W50+W54)/(1-'расчет 2022'!E7)*'расчет 2022'!E7</f>
        <v>0</v>
      </c>
      <c r="Y79" s="45"/>
      <c r="Z79" s="45"/>
      <c r="AA79" s="39">
        <f>G79+L79+Q79+V79</f>
        <v>0</v>
      </c>
      <c r="AB79" s="39">
        <f>H79+M79+R79+W79</f>
        <v>0</v>
      </c>
      <c r="AC79" s="106">
        <f>I79+N79+S79</f>
        <v>11684.311502129356</v>
      </c>
      <c r="AD79" s="45"/>
      <c r="AE79" s="45"/>
    </row>
    <row r="80" spans="1:31" ht="13.8" outlineLevel="2" x14ac:dyDescent="0.25">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row>
    <row r="81" spans="1:31" s="2" customFormat="1" ht="14.4" outlineLevel="1" thickBot="1" x14ac:dyDescent="0.3">
      <c r="A81" s="26"/>
      <c r="B81" s="27" t="s">
        <v>12</v>
      </c>
      <c r="C81" s="139">
        <f>(C75+C78)-C79</f>
        <v>882537</v>
      </c>
      <c r="D81" s="139">
        <f>(D75+D78)-D79</f>
        <v>-528419</v>
      </c>
      <c r="E81" s="140">
        <f>(E75+E78)-E79</f>
        <v>354118</v>
      </c>
      <c r="F81" s="173"/>
      <c r="G81" s="139">
        <f>(G75+G78)-G79</f>
        <v>1674958.6159999997</v>
      </c>
      <c r="H81" s="139">
        <f>(H75+H78)-H79</f>
        <v>-49082.33</v>
      </c>
      <c r="I81" s="140">
        <f>(I75+I78)-I79</f>
        <v>1619183.2409999999</v>
      </c>
      <c r="J81" s="67"/>
      <c r="K81" s="67"/>
      <c r="L81" s="139">
        <f>(L75+L78)-L79</f>
        <v>0</v>
      </c>
      <c r="M81" s="139">
        <f>(M75+M78)-M79</f>
        <v>0</v>
      </c>
      <c r="N81" s="140">
        <f>(N75+N78)-N79</f>
        <v>0</v>
      </c>
      <c r="O81" s="67"/>
      <c r="P81" s="67"/>
      <c r="Q81" s="139">
        <f>(Q75+Q78)-Q79</f>
        <v>0</v>
      </c>
      <c r="R81" s="139">
        <f>(R75+R78)-R79</f>
        <v>-40800</v>
      </c>
      <c r="S81" s="140">
        <f>(S75+S78)-S79</f>
        <v>-45791.266502129358</v>
      </c>
      <c r="T81" s="67"/>
      <c r="U81" s="67"/>
      <c r="V81" s="139">
        <f>(V75+V78)-V79</f>
        <v>0</v>
      </c>
      <c r="W81" s="139">
        <f>(W75+W78)-W79</f>
        <v>0</v>
      </c>
      <c r="X81" s="140">
        <f>(X75+X78)-X79</f>
        <v>0</v>
      </c>
      <c r="Y81" s="67"/>
      <c r="Z81" s="67"/>
      <c r="AA81" s="139">
        <f>(AA75+AA78)-AA79</f>
        <v>1674958.6159999997</v>
      </c>
      <c r="AB81" s="139">
        <f>(AB75+AB78)-AB79</f>
        <v>-89882.33</v>
      </c>
      <c r="AC81" s="140">
        <f>(AC75+AC78)-AC79</f>
        <v>1573391.9744978705</v>
      </c>
      <c r="AD81" s="67"/>
      <c r="AE81" s="67"/>
    </row>
    <row r="82" spans="1:31" s="2" customFormat="1" ht="13.8" outlineLevel="2" x14ac:dyDescent="0.25">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f>G82+L82</f>
        <v>0</v>
      </c>
      <c r="AB82" s="39">
        <f>H82+M82</f>
        <v>0</v>
      </c>
      <c r="AC82" s="146">
        <f>AA82+AB82</f>
        <v>0</v>
      </c>
      <c r="AD82" s="101"/>
      <c r="AE82" s="101"/>
    </row>
    <row r="83" spans="1:31" s="2" customFormat="1" ht="13.8" outlineLevel="1" x14ac:dyDescent="0.25">
      <c r="A83" s="11"/>
      <c r="B83" s="28" t="s">
        <v>13</v>
      </c>
      <c r="C83" s="147">
        <f>(C81+C7)-C36</f>
        <v>882537</v>
      </c>
      <c r="D83" s="147">
        <f>(D81+D7)-D36</f>
        <v>-498419</v>
      </c>
      <c r="E83" s="147">
        <f>(E81+E7)-E36</f>
        <v>384118</v>
      </c>
      <c r="F83" s="174"/>
      <c r="G83" s="147">
        <f>(G81+G7)-G36</f>
        <v>1674958.6159999997</v>
      </c>
      <c r="H83" s="147">
        <f>(H81+H7)-H36</f>
        <v>-49082.33</v>
      </c>
      <c r="I83" s="148">
        <f>(I81+I7)-I36</f>
        <v>1619183.2409999999</v>
      </c>
      <c r="J83" s="70"/>
      <c r="K83" s="70"/>
      <c r="L83" s="147">
        <f>(L81+L7)-L36</f>
        <v>0</v>
      </c>
      <c r="M83" s="147">
        <f>(M81+M7)-M36</f>
        <v>0</v>
      </c>
      <c r="N83" s="148">
        <f>(N81+N7)-N36</f>
        <v>0</v>
      </c>
      <c r="O83" s="70"/>
      <c r="P83" s="70"/>
      <c r="Q83" s="147">
        <f>(Q81+Q7)-Q36</f>
        <v>0</v>
      </c>
      <c r="R83" s="147">
        <f>(R81+R7)-R36</f>
        <v>-40800</v>
      </c>
      <c r="S83" s="148">
        <f>(S81+S7)-S36</f>
        <v>-45791.266502129358</v>
      </c>
      <c r="T83" s="70"/>
      <c r="U83" s="70"/>
      <c r="V83" s="147">
        <f>(V81+V7)-V36</f>
        <v>0</v>
      </c>
      <c r="W83" s="147">
        <f>(W81+W7)-W36</f>
        <v>0</v>
      </c>
      <c r="X83" s="148">
        <f>(X81+X7)-X36</f>
        <v>0</v>
      </c>
      <c r="Y83" s="70"/>
      <c r="Z83" s="70"/>
      <c r="AA83" s="147">
        <f>(AA81+AA7)-AA36</f>
        <v>1674958.6159999997</v>
      </c>
      <c r="AB83" s="147">
        <f>(AB81+AB7)-AB36</f>
        <v>-89882.33</v>
      </c>
      <c r="AC83" s="148">
        <f>(AC81+AC7)-AC36</f>
        <v>1573391.9744978705</v>
      </c>
      <c r="AD83" s="70"/>
      <c r="AE83" s="70"/>
    </row>
    <row r="84" spans="1:31" s="2" customFormat="1" ht="14.4" outlineLevel="1" thickBot="1" x14ac:dyDescent="0.3">
      <c r="A84" s="11"/>
      <c r="B84" s="211" t="s">
        <v>14</v>
      </c>
      <c r="C84" s="212">
        <f>C83-C73-C82</f>
        <v>882537</v>
      </c>
      <c r="D84" s="212">
        <f>D83-D73-D82</f>
        <v>-498419</v>
      </c>
      <c r="E84" s="212">
        <f>E83-E73-E82</f>
        <v>384118</v>
      </c>
      <c r="F84" s="214"/>
      <c r="G84" s="213">
        <f>G83-G73-G82</f>
        <v>1674958.6159999997</v>
      </c>
      <c r="H84" s="213">
        <f>H83-H73-H82</f>
        <v>-49082.33</v>
      </c>
      <c r="I84" s="213">
        <f>I83-I73-I82</f>
        <v>1619183.2409999999</v>
      </c>
      <c r="J84" s="82"/>
      <c r="K84" s="82"/>
      <c r="L84" s="213">
        <f>L83-L73-L82</f>
        <v>0</v>
      </c>
      <c r="M84" s="213">
        <f>M83-M73-M82</f>
        <v>0</v>
      </c>
      <c r="N84" s="213">
        <f>N83-N73-N82</f>
        <v>0</v>
      </c>
      <c r="O84" s="82"/>
      <c r="P84" s="82"/>
      <c r="Q84" s="213">
        <f>Q83-Q73-Q82</f>
        <v>0</v>
      </c>
      <c r="R84" s="213">
        <f>R83-R73-R82</f>
        <v>-40800</v>
      </c>
      <c r="S84" s="213">
        <f>S83-S73-S82</f>
        <v>-45791.266502129358</v>
      </c>
      <c r="T84" s="82"/>
      <c r="U84" s="82"/>
      <c r="V84" s="213">
        <f>V83-V73-V82</f>
        <v>0</v>
      </c>
      <c r="W84" s="213">
        <f>W83-W73-W82</f>
        <v>0</v>
      </c>
      <c r="X84" s="213">
        <f>X83-X73-X82</f>
        <v>0</v>
      </c>
      <c r="Y84" s="82"/>
      <c r="Z84" s="82"/>
      <c r="AA84" s="213">
        <f>AA83-AA73-AA82</f>
        <v>1674958.6159999997</v>
      </c>
      <c r="AB84" s="213">
        <f>AB83-AB73-AB82</f>
        <v>-89882.33</v>
      </c>
      <c r="AC84" s="213">
        <f>AC83-AC73-AC82</f>
        <v>1573391.9744978705</v>
      </c>
      <c r="AD84" s="82"/>
      <c r="AE84" s="82"/>
    </row>
    <row r="85" spans="1:31" s="2" customFormat="1" ht="13.8" outlineLevel="3" x14ac:dyDescent="0.25">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f>G85+L85</f>
        <v>0</v>
      </c>
      <c r="AB85" s="39">
        <f>H85+M85</f>
        <v>0</v>
      </c>
      <c r="AC85" s="219">
        <f>AA85+AB85*1.15</f>
        <v>0</v>
      </c>
      <c r="AD85" s="102"/>
      <c r="AE85" s="102"/>
    </row>
    <row r="86" spans="1:31" s="2" customFormat="1" ht="27.6" x14ac:dyDescent="0.25">
      <c r="A86" s="11"/>
      <c r="B86" s="37" t="s">
        <v>50</v>
      </c>
      <c r="C86" s="149">
        <f>C84-C85</f>
        <v>882537</v>
      </c>
      <c r="D86" s="149">
        <f>D84-D85</f>
        <v>-498419</v>
      </c>
      <c r="E86" s="150">
        <f>E84-E85</f>
        <v>384118</v>
      </c>
      <c r="F86" s="175"/>
      <c r="G86" s="149">
        <f>G84-G85</f>
        <v>1674958.6159999997</v>
      </c>
      <c r="H86" s="149">
        <f>H84-H85</f>
        <v>-49082.33</v>
      </c>
      <c r="I86" s="150">
        <f>I84-I85</f>
        <v>1619183.2409999999</v>
      </c>
      <c r="J86" s="73"/>
      <c r="K86" s="73"/>
      <c r="L86" s="150">
        <f>L84-L85</f>
        <v>0</v>
      </c>
      <c r="M86" s="150">
        <f>M84-M85</f>
        <v>0</v>
      </c>
      <c r="N86" s="150">
        <f>N84-N85</f>
        <v>0</v>
      </c>
      <c r="O86" s="73"/>
      <c r="P86" s="73"/>
      <c r="Q86" s="150">
        <f>Q84-Q85</f>
        <v>0</v>
      </c>
      <c r="R86" s="150">
        <f>R84-R85</f>
        <v>-40800</v>
      </c>
      <c r="S86" s="150">
        <f>S84-S85</f>
        <v>-45791.266502129358</v>
      </c>
      <c r="T86" s="73"/>
      <c r="U86" s="73"/>
      <c r="V86" s="150">
        <f>V84-V85</f>
        <v>0</v>
      </c>
      <c r="W86" s="150">
        <f>W84-W85</f>
        <v>0</v>
      </c>
      <c r="X86" s="150">
        <f>X84-X85</f>
        <v>0</v>
      </c>
      <c r="Y86" s="73"/>
      <c r="Z86" s="73"/>
      <c r="AA86" s="150">
        <f>AA84-AA85</f>
        <v>1674958.6159999997</v>
      </c>
      <c r="AB86" s="150">
        <f>AB84-AB85</f>
        <v>-89882.33</v>
      </c>
      <c r="AC86" s="150">
        <f>AC84-AC85</f>
        <v>1573391.9744978705</v>
      </c>
      <c r="AD86" s="73"/>
      <c r="AE86" s="73"/>
    </row>
    <row r="87" spans="1:31" s="2" customFormat="1" ht="14.4" thickBot="1" x14ac:dyDescent="0.3">
      <c r="A87" s="295"/>
      <c r="B87" s="29" t="s">
        <v>51</v>
      </c>
      <c r="C87" s="155">
        <f>C86/C5</f>
        <v>0.37195395129187997</v>
      </c>
      <c r="D87" s="151">
        <f>D86/D5</f>
        <v>-0.88215752212389376</v>
      </c>
      <c r="E87" s="156">
        <f>E86/E5</f>
        <v>0.13075444947671738</v>
      </c>
      <c r="F87" s="176"/>
      <c r="G87" s="155">
        <f>G86/G5</f>
        <v>0.64992803469781046</v>
      </c>
      <c r="H87" s="151" t="e">
        <f>H86/H5</f>
        <v>#DIV/0!</v>
      </c>
      <c r="I87" s="156">
        <f>I86/I5</f>
        <v>0.62828572096420165</v>
      </c>
      <c r="J87" s="75"/>
      <c r="K87" s="75"/>
      <c r="L87" s="155" t="e">
        <f>L86/L5</f>
        <v>#DIV/0!</v>
      </c>
      <c r="M87" s="151" t="e">
        <f>M86/M5</f>
        <v>#DIV/0!</v>
      </c>
      <c r="N87" s="156" t="e">
        <f>N86/N5</f>
        <v>#DIV/0!</v>
      </c>
      <c r="O87" s="75"/>
      <c r="P87" s="75"/>
      <c r="Q87" s="155" t="e">
        <f>Q86/Q5</f>
        <v>#DIV/0!</v>
      </c>
      <c r="R87" s="151" t="e">
        <f>R86/R5</f>
        <v>#DIV/0!</v>
      </c>
      <c r="S87" s="156" t="e">
        <f>S86/S5</f>
        <v>#DIV/0!</v>
      </c>
      <c r="T87" s="75"/>
      <c r="U87" s="75"/>
      <c r="V87" s="155" t="e">
        <f>V86/V5</f>
        <v>#DIV/0!</v>
      </c>
      <c r="W87" s="151" t="e">
        <f>W86/W5</f>
        <v>#DIV/0!</v>
      </c>
      <c r="X87" s="156" t="e">
        <f>X86/X5</f>
        <v>#DIV/0!</v>
      </c>
      <c r="Y87" s="75"/>
      <c r="Z87" s="75"/>
      <c r="AA87" s="155">
        <f>AA86/AA5</f>
        <v>0.64992803469781046</v>
      </c>
      <c r="AB87" s="151" t="e">
        <f>AB86/AB5</f>
        <v>#DIV/0!</v>
      </c>
      <c r="AC87" s="156">
        <f>AC86/AC5</f>
        <v>0.61051750414991079</v>
      </c>
      <c r="AD87" s="75"/>
      <c r="AE87" s="75"/>
    </row>
    <row r="88" spans="1:31" ht="13.8" x14ac:dyDescent="0.25">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row>
    <row r="89" spans="1:31" x14ac:dyDescent="0.25">
      <c r="B89" s="221" t="s">
        <v>56</v>
      </c>
      <c r="C89" s="153"/>
      <c r="D89" s="153"/>
      <c r="E89" s="154">
        <f>E8+E36+E41+E50+E54+E73+E79+E82+E85</f>
        <v>2583587</v>
      </c>
      <c r="F89" s="189"/>
      <c r="I89" s="154">
        <f>I8+I36+I41+I50+I54+I73+I79+I82+I85</f>
        <v>957961.49899999995</v>
      </c>
      <c r="N89" s="154">
        <f>N8+N36+N41+N50+N54+N73+N79+N82+N85</f>
        <v>0</v>
      </c>
      <c r="S89" s="154">
        <f>S8+S36+S41+S50+S54+S73+S79+S82+S85</f>
        <v>45791.266502129358</v>
      </c>
      <c r="X89" s="154">
        <f>X8+X36+X41+X50+X54+X73+X79+X82+X85</f>
        <v>0</v>
      </c>
      <c r="AC89" s="154">
        <f>AC8+AC36+AC41+AC50+AC54+AC73+AC79+AC82+AC85</f>
        <v>1003752.7655021292</v>
      </c>
    </row>
    <row r="90" spans="1:31" x14ac:dyDescent="0.25">
      <c r="C90" s="153"/>
      <c r="D90" s="153"/>
      <c r="E90" s="153"/>
    </row>
    <row r="91" spans="1:31" s="2" customFormat="1" x14ac:dyDescent="0.25">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row>
    <row r="92" spans="1:31" x14ac:dyDescent="0.25">
      <c r="C92" s="38"/>
      <c r="D92" s="38"/>
    </row>
    <row r="93" spans="1:31" s="2" customFormat="1" x14ac:dyDescent="0.25">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row>
    <row r="94" spans="1:31" s="2" customFormat="1" x14ac:dyDescent="0.25">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row>
    <row r="95" spans="1:31" s="2" customFormat="1" x14ac:dyDescent="0.25">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row>
    <row r="96" spans="1:31" s="2" customFormat="1" x14ac:dyDescent="0.25">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row>
    <row r="97" spans="1:31" x14ac:dyDescent="0.25">
      <c r="C97" s="38"/>
      <c r="D97" s="38"/>
    </row>
    <row r="98" spans="1:31"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row>
    <row r="99" spans="1:31" x14ac:dyDescent="0.25">
      <c r="C99" s="38"/>
      <c r="D99" s="38"/>
    </row>
  </sheetData>
  <mergeCells count="8">
    <mergeCell ref="AA2:AD3"/>
    <mergeCell ref="A42:A48"/>
    <mergeCell ref="A2:F2"/>
    <mergeCell ref="G2:K3"/>
    <mergeCell ref="A3:F3"/>
    <mergeCell ref="L2:O3"/>
    <mergeCell ref="Q2:U3"/>
    <mergeCell ref="V2:Z3"/>
  </mergeCells>
  <pageMargins left="0.39370078740157483" right="0.19685039370078741" top="0.19685039370078741" bottom="0.19685039370078741" header="0.11811023622047245" footer="0.11811023622047245"/>
  <pageSetup paperSize="9" scale="38" orientation="portrait" horizontalDpi="4294967295" verticalDpi="4294967295"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92D050"/>
  </sheetPr>
  <dimension ref="A1:BN99"/>
  <sheetViews>
    <sheetView zoomScale="70" zoomScaleNormal="70" workbookViewId="0">
      <pane xSplit="2" ySplit="5" topLeftCell="AY68"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Col="1" x14ac:dyDescent="0.25"/>
  <cols>
    <col min="1" max="1" width="5.5546875" style="8" customWidth="1"/>
    <col min="2" max="2" width="47.44140625" style="8" customWidth="1"/>
    <col min="3" max="3" width="14.664062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9" style="38" hidden="1" customWidth="1" outlineLevel="1"/>
    <col min="11" max="11" width="29.6640625" style="38" hidden="1" customWidth="1" outlineLevel="1"/>
    <col min="12" max="12" width="17.6640625" style="38" hidden="1" customWidth="1" outlineLevel="1"/>
    <col min="13" max="13" width="20.44140625" style="38" hidden="1" customWidth="1" outlineLevel="1"/>
    <col min="14" max="14" width="18.6640625" style="38" hidden="1" customWidth="1" outlineLevel="1"/>
    <col min="15" max="15" width="15.6640625" style="38" hidden="1" customWidth="1" outlineLevel="1"/>
    <col min="16" max="16" width="29.6640625" style="38" hidden="1" customWidth="1" outlineLevel="1"/>
    <col min="17" max="17" width="18.33203125" style="38" hidden="1" customWidth="1" outlineLevel="1"/>
    <col min="18" max="18" width="18.6640625" style="38" hidden="1" customWidth="1" outlineLevel="1"/>
    <col min="19" max="19" width="19.6640625" style="38" hidden="1" customWidth="1" outlineLevel="1"/>
    <col min="20" max="20" width="9.6640625" style="38" hidden="1" customWidth="1" outlineLevel="1"/>
    <col min="21" max="21" width="29.6640625" style="38" hidden="1" customWidth="1" outlineLevel="1"/>
    <col min="22" max="22" width="18.6640625" style="38" hidden="1" customWidth="1" outlineLevel="1"/>
    <col min="23" max="23" width="18.33203125" style="38" hidden="1" customWidth="1" outlineLevel="1"/>
    <col min="24" max="24" width="23.88671875" style="38" hidden="1" customWidth="1" outlineLevel="1"/>
    <col min="25" max="25" width="12.6640625" style="38" hidden="1" customWidth="1" outlineLevel="1"/>
    <col min="26" max="26" width="29.6640625" style="38" hidden="1" customWidth="1" outlineLevel="1"/>
    <col min="27" max="28" width="16.44140625" style="38" hidden="1" customWidth="1" outlineLevel="1"/>
    <col min="29" max="29" width="10.5546875" style="38" hidden="1" customWidth="1" outlineLevel="1"/>
    <col min="30" max="30" width="11.109375" style="38" hidden="1" customWidth="1" outlineLevel="1"/>
    <col min="31" max="40" width="16.44140625" style="38" hidden="1" customWidth="1" outlineLevel="1"/>
    <col min="41" max="44" width="19" style="38" hidden="1" customWidth="1" outlineLevel="1"/>
    <col min="45" max="45" width="11.109375" style="38" hidden="1" customWidth="1" outlineLevel="1"/>
    <col min="46" max="51" width="19" style="38" hidden="1" customWidth="1" outlineLevel="1"/>
    <col min="52" max="52" width="19" style="38" hidden="1" customWidth="1" outlineLevel="1" collapsed="1"/>
    <col min="53" max="56" width="19" style="38" hidden="1" customWidth="1" outlineLevel="1"/>
    <col min="57" max="61" width="19" style="1446" hidden="1" customWidth="1" outlineLevel="1"/>
    <col min="62" max="62" width="16.33203125" style="38" customWidth="1" collapsed="1"/>
    <col min="63" max="64" width="16.33203125" style="38" customWidth="1"/>
    <col min="65" max="65" width="9" style="38" customWidth="1"/>
    <col min="66" max="66" width="16.33203125" style="38" customWidth="1"/>
    <col min="67" max="16384" width="7.44140625" style="1"/>
  </cols>
  <sheetData>
    <row r="1" spans="1:66" ht="13.8" thickBot="1" x14ac:dyDescent="0.3">
      <c r="C1" s="38"/>
      <c r="D1" s="38"/>
    </row>
    <row r="2" spans="1:66" ht="14.4" customHeight="1" x14ac:dyDescent="0.25">
      <c r="A2" s="4016" t="s">
        <v>467</v>
      </c>
      <c r="B2" s="4017"/>
      <c r="C2" s="4017"/>
      <c r="D2" s="4017"/>
      <c r="E2" s="4017"/>
      <c r="F2" s="4018"/>
      <c r="G2" s="4019" t="s">
        <v>465</v>
      </c>
      <c r="H2" s="4020"/>
      <c r="I2" s="4020"/>
      <c r="J2" s="4020"/>
      <c r="K2" s="380"/>
      <c r="L2" s="4019" t="s">
        <v>545</v>
      </c>
      <c r="M2" s="4020"/>
      <c r="N2" s="4020"/>
      <c r="O2" s="4020"/>
      <c r="P2" s="399"/>
      <c r="Q2" s="4019" t="s">
        <v>624</v>
      </c>
      <c r="R2" s="4020"/>
      <c r="S2" s="4020"/>
      <c r="T2" s="4020"/>
      <c r="U2" s="468"/>
      <c r="V2" s="4019" t="s">
        <v>714</v>
      </c>
      <c r="W2" s="4020"/>
      <c r="X2" s="4020"/>
      <c r="Y2" s="4020"/>
      <c r="Z2" s="613"/>
      <c r="AA2" s="4019" t="s">
        <v>770</v>
      </c>
      <c r="AB2" s="4020"/>
      <c r="AC2" s="4020"/>
      <c r="AD2" s="4020"/>
      <c r="AE2" s="4020"/>
      <c r="AF2" s="4053" t="s">
        <v>820</v>
      </c>
      <c r="AG2" s="4054"/>
      <c r="AH2" s="4054"/>
      <c r="AI2" s="4054"/>
      <c r="AJ2" s="4055"/>
      <c r="AK2" s="4185" t="s">
        <v>836</v>
      </c>
      <c r="AL2" s="4186"/>
      <c r="AM2" s="4186"/>
      <c r="AN2" s="4186"/>
      <c r="AO2" s="4187"/>
      <c r="AP2" s="4172" t="s">
        <v>883</v>
      </c>
      <c r="AQ2" s="4173"/>
      <c r="AR2" s="4173"/>
      <c r="AS2" s="4173"/>
      <c r="AT2" s="4174"/>
      <c r="AU2" s="4071" t="s">
        <v>909</v>
      </c>
      <c r="AV2" s="4072"/>
      <c r="AW2" s="4072"/>
      <c r="AX2" s="4072"/>
      <c r="AY2" s="4073"/>
      <c r="AZ2" s="4071" t="s">
        <v>1079</v>
      </c>
      <c r="BA2" s="4072"/>
      <c r="BB2" s="4072"/>
      <c r="BC2" s="4072"/>
      <c r="BD2" s="4073"/>
      <c r="BE2" s="4023" t="s">
        <v>1470</v>
      </c>
      <c r="BF2" s="4024"/>
      <c r="BG2" s="4024"/>
      <c r="BH2" s="4024"/>
      <c r="BI2" s="4025"/>
      <c r="BJ2" s="4212" t="s">
        <v>469</v>
      </c>
      <c r="BK2" s="4213"/>
      <c r="BL2" s="4213"/>
      <c r="BM2" s="4213"/>
      <c r="BN2" s="384"/>
    </row>
    <row r="3" spans="1:66" ht="15" customHeight="1" thickBot="1" x14ac:dyDescent="0.3">
      <c r="A3" s="4035" t="s">
        <v>54</v>
      </c>
      <c r="B3" s="4036"/>
      <c r="C3" s="4036"/>
      <c r="D3" s="4036"/>
      <c r="E3" s="4036"/>
      <c r="F3" s="4037"/>
      <c r="G3" s="4021"/>
      <c r="H3" s="4022"/>
      <c r="I3" s="4022"/>
      <c r="J3" s="4022"/>
      <c r="K3" s="381"/>
      <c r="L3" s="4021"/>
      <c r="M3" s="4022"/>
      <c r="N3" s="4022"/>
      <c r="O3" s="4022"/>
      <c r="P3" s="400"/>
      <c r="Q3" s="4021"/>
      <c r="R3" s="4022"/>
      <c r="S3" s="4022"/>
      <c r="T3" s="4022"/>
      <c r="U3" s="469"/>
      <c r="V3" s="4021"/>
      <c r="W3" s="4022"/>
      <c r="X3" s="4022"/>
      <c r="Y3" s="4022"/>
      <c r="Z3" s="614"/>
      <c r="AA3" s="4021"/>
      <c r="AB3" s="4022"/>
      <c r="AC3" s="4022"/>
      <c r="AD3" s="4022"/>
      <c r="AE3" s="4022"/>
      <c r="AF3" s="4056"/>
      <c r="AG3" s="4057"/>
      <c r="AH3" s="4057"/>
      <c r="AI3" s="4057"/>
      <c r="AJ3" s="4058"/>
      <c r="AK3" s="4188"/>
      <c r="AL3" s="4189"/>
      <c r="AM3" s="4189"/>
      <c r="AN3" s="4189"/>
      <c r="AO3" s="4190"/>
      <c r="AP3" s="4175"/>
      <c r="AQ3" s="4176"/>
      <c r="AR3" s="4176"/>
      <c r="AS3" s="4176"/>
      <c r="AT3" s="4177"/>
      <c r="AU3" s="4074"/>
      <c r="AV3" s="4075"/>
      <c r="AW3" s="4075"/>
      <c r="AX3" s="4075"/>
      <c r="AY3" s="4076"/>
      <c r="AZ3" s="4074"/>
      <c r="BA3" s="4075"/>
      <c r="BB3" s="4075"/>
      <c r="BC3" s="4075"/>
      <c r="BD3" s="4076"/>
      <c r="BE3" s="4026"/>
      <c r="BF3" s="4027"/>
      <c r="BG3" s="4027"/>
      <c r="BH3" s="4027"/>
      <c r="BI3" s="4028"/>
      <c r="BJ3" s="4214"/>
      <c r="BK3" s="4215"/>
      <c r="BL3" s="4215"/>
      <c r="BM3" s="4215"/>
      <c r="BN3" s="385"/>
    </row>
    <row r="4" spans="1:66" ht="41.4" thickBot="1" x14ac:dyDescent="0.3">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632" t="s">
        <v>19</v>
      </c>
      <c r="AF4" s="632" t="s">
        <v>55</v>
      </c>
      <c r="AG4" s="632" t="s">
        <v>18</v>
      </c>
      <c r="AH4" s="653" t="s">
        <v>39</v>
      </c>
      <c r="AI4" s="654" t="s">
        <v>40</v>
      </c>
      <c r="AJ4" s="653" t="s">
        <v>19</v>
      </c>
      <c r="AK4" s="632" t="s">
        <v>55</v>
      </c>
      <c r="AL4" s="632" t="s">
        <v>18</v>
      </c>
      <c r="AM4" s="653" t="s">
        <v>39</v>
      </c>
      <c r="AN4" s="654" t="s">
        <v>40</v>
      </c>
      <c r="AO4" s="653" t="s">
        <v>19</v>
      </c>
      <c r="AP4" s="632" t="s">
        <v>55</v>
      </c>
      <c r="AQ4" s="632" t="s">
        <v>18</v>
      </c>
      <c r="AR4" s="653" t="s">
        <v>39</v>
      </c>
      <c r="AS4" s="654" t="s">
        <v>40</v>
      </c>
      <c r="AT4" s="653" t="s">
        <v>19</v>
      </c>
      <c r="AU4" s="632" t="s">
        <v>55</v>
      </c>
      <c r="AV4" s="632" t="s">
        <v>18</v>
      </c>
      <c r="AW4" s="653" t="s">
        <v>39</v>
      </c>
      <c r="AX4" s="654" t="s">
        <v>40</v>
      </c>
      <c r="AY4" s="653" t="s">
        <v>19</v>
      </c>
      <c r="AZ4" s="632" t="s">
        <v>55</v>
      </c>
      <c r="BA4" s="632" t="s">
        <v>18</v>
      </c>
      <c r="BB4" s="653" t="s">
        <v>39</v>
      </c>
      <c r="BC4" s="654" t="s">
        <v>40</v>
      </c>
      <c r="BD4" s="653" t="s">
        <v>19</v>
      </c>
      <c r="BE4" s="1488" t="s">
        <v>55</v>
      </c>
      <c r="BF4" s="1488" t="s">
        <v>18</v>
      </c>
      <c r="BG4" s="1489" t="s">
        <v>39</v>
      </c>
      <c r="BH4" s="1566" t="s">
        <v>40</v>
      </c>
      <c r="BI4" s="1489" t="s">
        <v>19</v>
      </c>
      <c r="BJ4" s="94" t="s">
        <v>55</v>
      </c>
      <c r="BK4" s="94" t="s">
        <v>18</v>
      </c>
      <c r="BL4" s="95" t="s">
        <v>39</v>
      </c>
      <c r="BM4" s="209" t="s">
        <v>40</v>
      </c>
      <c r="BN4" s="95" t="s">
        <v>19</v>
      </c>
    </row>
    <row r="5" spans="1:66" s="88" customFormat="1" ht="14.4" thickBot="1" x14ac:dyDescent="0.3">
      <c r="A5" s="83"/>
      <c r="B5" s="84" t="s">
        <v>10</v>
      </c>
      <c r="C5" s="85">
        <f>C6</f>
        <v>0</v>
      </c>
      <c r="D5" s="85">
        <f>D6</f>
        <v>0</v>
      </c>
      <c r="E5" s="86">
        <f>E6</f>
        <v>0</v>
      </c>
      <c r="F5" s="87"/>
      <c r="G5" s="87">
        <f>G6</f>
        <v>0</v>
      </c>
      <c r="H5" s="87">
        <f>H6</f>
        <v>0</v>
      </c>
      <c r="I5" s="87">
        <f>I6</f>
        <v>0</v>
      </c>
      <c r="J5" s="87"/>
      <c r="K5" s="87"/>
      <c r="L5" s="87">
        <f>L6</f>
        <v>119662</v>
      </c>
      <c r="M5" s="87">
        <f>M6</f>
        <v>0</v>
      </c>
      <c r="N5" s="87">
        <f>N6</f>
        <v>119662</v>
      </c>
      <c r="O5" s="87"/>
      <c r="P5" s="87"/>
      <c r="Q5" s="87">
        <f>Q6</f>
        <v>312499.53999999998</v>
      </c>
      <c r="R5" s="87">
        <f>R6</f>
        <v>0</v>
      </c>
      <c r="S5" s="87">
        <f>S6</f>
        <v>312499.53999999998</v>
      </c>
      <c r="T5" s="87"/>
      <c r="U5" s="87"/>
      <c r="V5" s="87">
        <f>V6</f>
        <v>0</v>
      </c>
      <c r="W5" s="87">
        <f>W6</f>
        <v>0</v>
      </c>
      <c r="X5" s="87">
        <f>X6</f>
        <v>0</v>
      </c>
      <c r="Y5" s="87"/>
      <c r="Z5" s="87"/>
      <c r="AA5" s="87">
        <f>AA6</f>
        <v>0</v>
      </c>
      <c r="AB5" s="87">
        <f>AB6</f>
        <v>0</v>
      </c>
      <c r="AC5" s="87">
        <f>AC6</f>
        <v>0</v>
      </c>
      <c r="AD5" s="87"/>
      <c r="AE5" s="633"/>
      <c r="AF5" s="655">
        <f>AF6</f>
        <v>0</v>
      </c>
      <c r="AG5" s="620">
        <f>AG6</f>
        <v>0</v>
      </c>
      <c r="AH5" s="620">
        <f>AH6</f>
        <v>0</v>
      </c>
      <c r="AI5" s="620"/>
      <c r="AJ5" s="620"/>
      <c r="AK5" s="655">
        <f>AK6</f>
        <v>765796.95</v>
      </c>
      <c r="AL5" s="620">
        <f>AL6</f>
        <v>0</v>
      </c>
      <c r="AM5" s="620">
        <f>AM6</f>
        <v>765796.95</v>
      </c>
      <c r="AN5" s="620"/>
      <c r="AO5" s="620"/>
      <c r="AP5" s="655">
        <f>AP6</f>
        <v>681443.25</v>
      </c>
      <c r="AQ5" s="620">
        <f>AQ6</f>
        <v>0</v>
      </c>
      <c r="AR5" s="620">
        <f>AR6</f>
        <v>681443.25</v>
      </c>
      <c r="AS5" s="620"/>
      <c r="AT5" s="620"/>
      <c r="AU5" s="655">
        <f>AU6</f>
        <v>340721.62</v>
      </c>
      <c r="AV5" s="620">
        <f>AV6</f>
        <v>0</v>
      </c>
      <c r="AW5" s="620">
        <f>AW6</f>
        <v>340721.62</v>
      </c>
      <c r="AX5" s="620"/>
      <c r="AY5" s="620"/>
      <c r="AZ5" s="655">
        <f>AZ6</f>
        <v>0</v>
      </c>
      <c r="BA5" s="620">
        <f>BA6</f>
        <v>0</v>
      </c>
      <c r="BB5" s="620">
        <f>BB6</f>
        <v>0</v>
      </c>
      <c r="BC5" s="620"/>
      <c r="BD5" s="620"/>
      <c r="BE5" s="1480">
        <f>BE6</f>
        <v>0</v>
      </c>
      <c r="BF5" s="1481">
        <f>BF6</f>
        <v>0</v>
      </c>
      <c r="BG5" s="1481">
        <f>BG6</f>
        <v>0</v>
      </c>
      <c r="BH5" s="1481"/>
      <c r="BI5" s="1481"/>
      <c r="BJ5" s="87">
        <f>BJ6</f>
        <v>2220123.36</v>
      </c>
      <c r="BK5" s="87">
        <f>BK6</f>
        <v>0</v>
      </c>
      <c r="BL5" s="87">
        <f>BL6</f>
        <v>2220123.36</v>
      </c>
      <c r="BM5" s="87"/>
      <c r="BN5" s="87"/>
    </row>
    <row r="6" spans="1:66" s="2" customFormat="1" ht="13.8" x14ac:dyDescent="0.25">
      <c r="A6" s="331">
        <f>'PL_Сватово очередь 2'!I6</f>
        <v>0</v>
      </c>
      <c r="B6" s="9" t="s">
        <v>17</v>
      </c>
      <c r="C6" s="104"/>
      <c r="D6" s="105"/>
      <c r="E6" s="106">
        <f>C6+D6</f>
        <v>0</v>
      </c>
      <c r="F6" s="39"/>
      <c r="G6" s="39"/>
      <c r="H6" s="39"/>
      <c r="I6" s="106">
        <f>G6+H6</f>
        <v>0</v>
      </c>
      <c r="J6" s="39"/>
      <c r="K6" s="39"/>
      <c r="L6" s="39">
        <v>119662</v>
      </c>
      <c r="M6" s="39"/>
      <c r="N6" s="106">
        <f>L6+M6</f>
        <v>119662</v>
      </c>
      <c r="O6" s="39"/>
      <c r="P6" s="39"/>
      <c r="Q6" s="39">
        <f>195291.09+117208.45</f>
        <v>312499.53999999998</v>
      </c>
      <c r="R6" s="39"/>
      <c r="S6" s="106">
        <f>Q6+R6</f>
        <v>312499.53999999998</v>
      </c>
      <c r="T6" s="39"/>
      <c r="U6" s="39" t="s">
        <v>669</v>
      </c>
      <c r="V6" s="39"/>
      <c r="W6" s="39"/>
      <c r="X6" s="106">
        <f>V6+W6</f>
        <v>0</v>
      </c>
      <c r="Y6" s="39"/>
      <c r="Z6" s="39" t="s">
        <v>669</v>
      </c>
      <c r="AA6" s="39"/>
      <c r="AB6" s="39"/>
      <c r="AC6" s="106">
        <f>AA6+AB6</f>
        <v>0</v>
      </c>
      <c r="AD6" s="39"/>
      <c r="AE6" s="540"/>
      <c r="AF6" s="560"/>
      <c r="AG6" s="452"/>
      <c r="AH6" s="446">
        <f>AF6+AG6</f>
        <v>0</v>
      </c>
      <c r="AI6" s="452"/>
      <c r="AJ6" s="452"/>
      <c r="AK6" s="560">
        <v>765796.95</v>
      </c>
      <c r="AL6" s="452"/>
      <c r="AM6" s="446">
        <f>AK6+AL6</f>
        <v>765796.95</v>
      </c>
      <c r="AN6" s="452"/>
      <c r="AO6" s="452"/>
      <c r="AP6" s="560">
        <v>681443.25</v>
      </c>
      <c r="AQ6" s="452"/>
      <c r="AR6" s="446">
        <f>AP6+AQ6</f>
        <v>681443.25</v>
      </c>
      <c r="AS6" s="452"/>
      <c r="AT6" s="452"/>
      <c r="AU6" s="560">
        <v>340721.62</v>
      </c>
      <c r="AV6" s="452"/>
      <c r="AW6" s="446">
        <f>AU6+AV6</f>
        <v>340721.62</v>
      </c>
      <c r="AX6" s="452"/>
      <c r="AY6" s="452"/>
      <c r="AZ6" s="560"/>
      <c r="BA6" s="452"/>
      <c r="BB6" s="446">
        <f>AZ6+BA6</f>
        <v>0</v>
      </c>
      <c r="BC6" s="452"/>
      <c r="BD6" s="452"/>
      <c r="BE6" s="1659"/>
      <c r="BF6" s="1447"/>
      <c r="BG6" s="1495">
        <f>BE6+BF6</f>
        <v>0</v>
      </c>
      <c r="BH6" s="1447"/>
      <c r="BI6" s="1447"/>
      <c r="BJ6" s="39">
        <f>G6+L6+Q6+V6+AA6+AF6+AK6+AP6+AU6+AZ6+BE6</f>
        <v>2220123.36</v>
      </c>
      <c r="BK6" s="39">
        <f>H6+M6+R6+W6+AB6+AG6+AL6+AQ6+AV6+BA6+BF6</f>
        <v>0</v>
      </c>
      <c r="BL6" s="106">
        <f>BJ6+BK6</f>
        <v>2220123.36</v>
      </c>
      <c r="BM6" s="39"/>
      <c r="BN6" s="39"/>
    </row>
    <row r="7" spans="1:66" s="2" customFormat="1" ht="14.4" thickBot="1" x14ac:dyDescent="0.3">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729"/>
      <c r="AF7" s="560"/>
      <c r="AG7" s="452"/>
      <c r="AH7" s="446">
        <f>AF7+AG7</f>
        <v>0</v>
      </c>
      <c r="AI7" s="612"/>
      <c r="AJ7" s="612"/>
      <c r="AK7" s="560"/>
      <c r="AL7" s="452"/>
      <c r="AM7" s="446">
        <f>AK7+AL7</f>
        <v>0</v>
      </c>
      <c r="AN7" s="612"/>
      <c r="AO7" s="612"/>
      <c r="AP7" s="560"/>
      <c r="AQ7" s="452"/>
      <c r="AR7" s="446">
        <f>AP7+AQ7</f>
        <v>0</v>
      </c>
      <c r="AS7" s="612"/>
      <c r="AT7" s="612"/>
      <c r="AU7" s="560"/>
      <c r="AV7" s="452"/>
      <c r="AW7" s="446">
        <f>AU7+AV7</f>
        <v>0</v>
      </c>
      <c r="AX7" s="612"/>
      <c r="AY7" s="612"/>
      <c r="AZ7" s="560"/>
      <c r="BA7" s="452"/>
      <c r="BB7" s="446">
        <f>AZ7+BA7</f>
        <v>0</v>
      </c>
      <c r="BC7" s="612"/>
      <c r="BD7" s="612"/>
      <c r="BE7" s="1659"/>
      <c r="BF7" s="1447"/>
      <c r="BG7" s="1495">
        <f>BE7+BF7</f>
        <v>0</v>
      </c>
      <c r="BH7" s="1921"/>
      <c r="BI7" s="1921"/>
      <c r="BJ7" s="39">
        <f>G7+L7+Q7+V7+AA7+AF7+AK7+AP7+AU7+AZ7+BE7</f>
        <v>0</v>
      </c>
      <c r="BK7" s="39">
        <f>H7+M7+R7+W7+AB7+AG7+AL7+AQ7+AV7+BA7+BF7</f>
        <v>0</v>
      </c>
      <c r="BL7" s="106">
        <f>BJ7+BK7</f>
        <v>0</v>
      </c>
      <c r="BM7" s="40"/>
      <c r="BN7" s="40"/>
    </row>
    <row r="8" spans="1:66" s="88" customFormat="1" ht="14.4" thickBot="1" x14ac:dyDescent="0.3">
      <c r="A8" s="238"/>
      <c r="B8" s="84" t="s">
        <v>16</v>
      </c>
      <c r="C8" s="109">
        <f>SUM(C9:C33)</f>
        <v>0</v>
      </c>
      <c r="D8" s="109">
        <f>SUM(D9:D33)</f>
        <v>0</v>
      </c>
      <c r="E8" s="110">
        <f>SUM(E9:E33)</f>
        <v>0</v>
      </c>
      <c r="F8" s="164" t="e">
        <f t="shared" ref="F8:F21" si="0">E8/$E$89</f>
        <v>#DIV/0!</v>
      </c>
      <c r="G8" s="109">
        <f>SUM(G9:G33)</f>
        <v>40950.04</v>
      </c>
      <c r="H8" s="109">
        <f>SUM(H9:H33)</f>
        <v>3900</v>
      </c>
      <c r="I8" s="110">
        <f>SUM(I9:I33)</f>
        <v>44850.04</v>
      </c>
      <c r="J8" s="164">
        <f t="shared" ref="J8:J21" si="1">I8/$I$89</f>
        <v>0.97168338418636613</v>
      </c>
      <c r="K8" s="87"/>
      <c r="L8" s="109">
        <f>SUM(L9:L33)</f>
        <v>56773.802600000003</v>
      </c>
      <c r="M8" s="109">
        <f>SUM(M9:M33)</f>
        <v>54281.74</v>
      </c>
      <c r="N8" s="110">
        <f>SUM(N9:N33)</f>
        <v>111055.5426</v>
      </c>
      <c r="O8" s="164">
        <f t="shared" ref="O8:O22" si="2">N8/$N$89</f>
        <v>0.73891913931965503</v>
      </c>
      <c r="P8" s="87"/>
      <c r="Q8" s="109">
        <f>SUM(Q9:Q33)</f>
        <v>67627.497999999992</v>
      </c>
      <c r="R8" s="109">
        <f>SUM(R9:R33)</f>
        <v>79305.58</v>
      </c>
      <c r="S8" s="110">
        <f>SUM(S9:S33)</f>
        <v>146933.07800000001</v>
      </c>
      <c r="T8" s="164">
        <f>S8/$S$89</f>
        <v>0.81395077615569611</v>
      </c>
      <c r="U8" s="87"/>
      <c r="V8" s="109">
        <f>SUM(V9:V33)</f>
        <v>971.64</v>
      </c>
      <c r="W8" s="109">
        <f>SUM(W9:W33)</f>
        <v>0</v>
      </c>
      <c r="X8" s="110">
        <f>SUM(X9:X33)</f>
        <v>971.64</v>
      </c>
      <c r="Y8" s="164">
        <f>X8/$X$89</f>
        <v>1</v>
      </c>
      <c r="Z8" s="87"/>
      <c r="AA8" s="109">
        <f>SUM(AA9:AA33)</f>
        <v>125</v>
      </c>
      <c r="AB8" s="109">
        <f>SUM(AB9:AB33)</f>
        <v>0</v>
      </c>
      <c r="AC8" s="110">
        <f>SUM(AC9:AC33)</f>
        <v>125</v>
      </c>
      <c r="AD8" s="164">
        <f>AC8/$AC$89</f>
        <v>0.22279654219766512</v>
      </c>
      <c r="AE8" s="633"/>
      <c r="AF8" s="618">
        <f>SUM(AF9:AF33)</f>
        <v>971.64</v>
      </c>
      <c r="AG8" s="618">
        <f>SUM(AG9:AG33)</f>
        <v>0</v>
      </c>
      <c r="AH8" s="619">
        <f>SUM(AH9:AH33)</f>
        <v>971.64</v>
      </c>
      <c r="AI8" s="577">
        <f>AH8/$AC$89</f>
        <v>1.7318242580875145</v>
      </c>
      <c r="AJ8" s="620"/>
      <c r="AK8" s="618">
        <f>SUM(AK9:AK33)</f>
        <v>81.095999999999989</v>
      </c>
      <c r="AL8" s="618">
        <f>SUM(AL9:AL33)</f>
        <v>4500</v>
      </c>
      <c r="AM8" s="619">
        <f>SUM(AM9:AM33)</f>
        <v>4581.0959999999995</v>
      </c>
      <c r="AN8" s="577">
        <f>AM8/$AC$89</f>
        <v>8.1652187862044379</v>
      </c>
      <c r="AO8" s="620"/>
      <c r="AP8" s="618">
        <f>SUM(AP9:AP33)</f>
        <v>81.095999999999989</v>
      </c>
      <c r="AQ8" s="618">
        <f>SUM(AQ9:AQ33)</f>
        <v>0</v>
      </c>
      <c r="AR8" s="619">
        <f>SUM(AR9:AR33)</f>
        <v>81.095999999999989</v>
      </c>
      <c r="AS8" s="577">
        <f>AR8/$AR$89</f>
        <v>1</v>
      </c>
      <c r="AT8" s="620"/>
      <c r="AU8" s="618">
        <f>SUM(AU9:AU33)</f>
        <v>78.48</v>
      </c>
      <c r="AV8" s="618">
        <f>SUM(AV9:AV33)</f>
        <v>0</v>
      </c>
      <c r="AW8" s="619">
        <f>SUM(AW9:AW33)</f>
        <v>78.48</v>
      </c>
      <c r="AX8" s="577">
        <f>AW8/$AR$89</f>
        <v>0.96774193548387111</v>
      </c>
      <c r="AY8" s="620"/>
      <c r="AZ8" s="618">
        <f>SUM(AZ9:AZ33)</f>
        <v>27406.331999999999</v>
      </c>
      <c r="BA8" s="618">
        <f>SUM(BA9:BA33)</f>
        <v>0</v>
      </c>
      <c r="BB8" s="619">
        <f>SUM(BB9:BB33)</f>
        <v>27406.331999999999</v>
      </c>
      <c r="BC8" s="577">
        <f>BB8/$AR$89</f>
        <v>337.94924533885768</v>
      </c>
      <c r="BD8" s="620"/>
      <c r="BE8" s="1498">
        <f>SUM(BE9:BE33)</f>
        <v>48714.983999999997</v>
      </c>
      <c r="BF8" s="1498">
        <f>SUM(BF9:BF33)</f>
        <v>0</v>
      </c>
      <c r="BG8" s="1499">
        <f>SUM(BG9:BG33)</f>
        <v>48714.983999999997</v>
      </c>
      <c r="BH8" s="1543">
        <f>IF(BG89=0,0,BG8/$BG$89)</f>
        <v>1</v>
      </c>
      <c r="BI8" s="1481"/>
      <c r="BJ8" s="109">
        <f>SUM(BJ9:BJ33)</f>
        <v>243781.60859999998</v>
      </c>
      <c r="BK8" s="109">
        <f>SUM(BK9:BK33)</f>
        <v>141987.32</v>
      </c>
      <c r="BL8" s="110">
        <f>SUM(BL9:BL33)</f>
        <v>385768.92859999998</v>
      </c>
      <c r="BM8" s="164">
        <f t="shared" ref="BM8:BM25" si="3">BL8/$BL$89</f>
        <v>0.83801538201136372</v>
      </c>
      <c r="BN8" s="87"/>
    </row>
    <row r="9" spans="1:66" s="2" customFormat="1" ht="41.4" x14ac:dyDescent="0.25">
      <c r="A9" s="238"/>
      <c r="B9" s="31" t="s">
        <v>74</v>
      </c>
      <c r="C9" s="111"/>
      <c r="D9" s="112"/>
      <c r="E9" s="106">
        <f t="shared" ref="E9:E33" si="4">C9+D9</f>
        <v>0</v>
      </c>
      <c r="F9" s="177" t="e">
        <f t="shared" si="0"/>
        <v>#DIV/0!</v>
      </c>
      <c r="G9" s="39">
        <f>14567.28</f>
        <v>14567.28</v>
      </c>
      <c r="H9" s="39"/>
      <c r="I9" s="210">
        <f>G9+H9*1</f>
        <v>14567.28</v>
      </c>
      <c r="J9" s="178">
        <f t="shared" si="1"/>
        <v>0.31560248170994648</v>
      </c>
      <c r="K9" s="261" t="s">
        <v>541</v>
      </c>
      <c r="L9" s="39">
        <f>7283.64*2</f>
        <v>14567.28</v>
      </c>
      <c r="M9" s="39"/>
      <c r="N9" s="210">
        <f>L9+M9*1</f>
        <v>14567.28</v>
      </c>
      <c r="O9" s="178">
        <f t="shared" si="2"/>
        <v>9.692485172575642E-2</v>
      </c>
      <c r="P9" s="417" t="s">
        <v>558</v>
      </c>
      <c r="Q9" s="39"/>
      <c r="R9" s="39"/>
      <c r="S9" s="210">
        <f>Q9+R9*1</f>
        <v>0</v>
      </c>
      <c r="T9" s="178">
        <f>S9/$S$89</f>
        <v>0</v>
      </c>
      <c r="U9" s="388"/>
      <c r="V9" s="39"/>
      <c r="W9" s="39"/>
      <c r="X9" s="210">
        <f>V9+W9*1</f>
        <v>0</v>
      </c>
      <c r="Y9" s="178">
        <f>X9/$X$89</f>
        <v>0</v>
      </c>
      <c r="Z9" s="388"/>
      <c r="AA9" s="39"/>
      <c r="AB9" s="39"/>
      <c r="AC9" s="210">
        <f>AA9+AB9*1</f>
        <v>0</v>
      </c>
      <c r="AD9" s="178">
        <f>AC9/$AC$89</f>
        <v>0</v>
      </c>
      <c r="AE9" s="730"/>
      <c r="AF9" s="560"/>
      <c r="AG9" s="452"/>
      <c r="AH9" s="453">
        <f>AF9+AG9*1</f>
        <v>0</v>
      </c>
      <c r="AI9" s="450">
        <f>AH9/$AH$89</f>
        <v>0</v>
      </c>
      <c r="AJ9" s="458"/>
      <c r="AK9" s="560"/>
      <c r="AL9" s="452"/>
      <c r="AM9" s="453">
        <f>AK9+AL9*1</f>
        <v>0</v>
      </c>
      <c r="AN9" s="450">
        <f>AM9/$AH$89</f>
        <v>0</v>
      </c>
      <c r="AO9" s="458"/>
      <c r="AP9" s="560"/>
      <c r="AQ9" s="452"/>
      <c r="AR9" s="453">
        <f>AP9+AQ9*1</f>
        <v>0</v>
      </c>
      <c r="AS9" s="450">
        <f t="shared" ref="AS9:AS71" si="5">AR9/$AR$89</f>
        <v>0</v>
      </c>
      <c r="AT9" s="458"/>
      <c r="AU9" s="560"/>
      <c r="AV9" s="452"/>
      <c r="AW9" s="453">
        <f>AU9+AV9*1</f>
        <v>0</v>
      </c>
      <c r="AX9" s="450">
        <f t="shared" ref="AX9:AX52" si="6">AW9/$AR$89</f>
        <v>0</v>
      </c>
      <c r="AY9" s="458"/>
      <c r="AZ9" s="560"/>
      <c r="BA9" s="452"/>
      <c r="BB9" s="453">
        <f>AZ9+BA9*1</f>
        <v>0</v>
      </c>
      <c r="BC9" s="450">
        <f t="shared" ref="BC9:BC52" si="7">BB9/$AR$89</f>
        <v>0</v>
      </c>
      <c r="BD9" s="458"/>
      <c r="BE9" s="1659"/>
      <c r="BF9" s="1447"/>
      <c r="BG9" s="1567">
        <f>BE9+BF9*1</f>
        <v>0</v>
      </c>
      <c r="BH9" s="1893">
        <f t="shared" ref="BH9:BH71" si="8">IF(BG90=0,0,BG9/$BG$89)</f>
        <v>0</v>
      </c>
      <c r="BI9" s="1605"/>
      <c r="BJ9" s="39">
        <f t="shared" ref="BJ9:BJ33" si="9">G9+L9+Q9+V9+AA9+AF9+AK9+AP9+AU9+AZ9+BE9</f>
        <v>29134.560000000001</v>
      </c>
      <c r="BK9" s="39">
        <f t="shared" ref="BK9:BK33" si="10">H9+M9+R9+W9+AB9+AG9+AL9+AQ9+AV9+BA9+BF9</f>
        <v>0</v>
      </c>
      <c r="BL9" s="210">
        <f>BJ9+BK9*1</f>
        <v>29134.560000000001</v>
      </c>
      <c r="BM9" s="178">
        <f t="shared" si="3"/>
        <v>6.3289725060902691E-2</v>
      </c>
      <c r="BN9" s="42"/>
    </row>
    <row r="10" spans="1:66" s="2" customFormat="1" ht="13.8" x14ac:dyDescent="0.25">
      <c r="A10" s="238"/>
      <c r="B10" s="31" t="s">
        <v>72</v>
      </c>
      <c r="C10" s="111"/>
      <c r="D10" s="112"/>
      <c r="E10" s="106">
        <f t="shared" si="4"/>
        <v>0</v>
      </c>
      <c r="F10" s="177" t="e">
        <f t="shared" si="0"/>
        <v>#DIV/0!</v>
      </c>
      <c r="G10" s="39">
        <v>5293.08</v>
      </c>
      <c r="H10" s="39"/>
      <c r="I10" s="210">
        <f t="shared" ref="I10:I33" si="11">G10+H10*1</f>
        <v>5293.08</v>
      </c>
      <c r="J10" s="178">
        <f t="shared" si="1"/>
        <v>0.11467543590081905</v>
      </c>
      <c r="K10" s="42"/>
      <c r="L10" s="39">
        <f>1764.36*2</f>
        <v>3528.72</v>
      </c>
      <c r="M10" s="39"/>
      <c r="N10" s="210">
        <f t="shared" ref="N10:N33" si="12">L10+M10*1</f>
        <v>3528.72</v>
      </c>
      <c r="O10" s="178">
        <f t="shared" si="2"/>
        <v>2.3478690790711181E-2</v>
      </c>
      <c r="P10" s="402"/>
      <c r="Q10" s="39"/>
      <c r="R10" s="39"/>
      <c r="S10" s="210">
        <f t="shared" ref="S10:S25" si="13">Q10+R10*1</f>
        <v>0</v>
      </c>
      <c r="T10" s="178">
        <f>S10/$S$89</f>
        <v>0</v>
      </c>
      <c r="U10" s="388"/>
      <c r="V10" s="39"/>
      <c r="W10" s="39"/>
      <c r="X10" s="210">
        <f t="shared" ref="X10:X33" si="14">V10+W10*1</f>
        <v>0</v>
      </c>
      <c r="Y10" s="178">
        <f t="shared" ref="Y10:Y33" si="15">X10/$X$89</f>
        <v>0</v>
      </c>
      <c r="Z10" s="388"/>
      <c r="AA10" s="39"/>
      <c r="AB10" s="39"/>
      <c r="AC10" s="210">
        <f t="shared" ref="AC10:AC33" si="16">AA10+AB10*1</f>
        <v>0</v>
      </c>
      <c r="AD10" s="178">
        <f t="shared" ref="AD10:AD33" si="17">AC10/$AC$89</f>
        <v>0</v>
      </c>
      <c r="AE10" s="730"/>
      <c r="AF10" s="560"/>
      <c r="AG10" s="452"/>
      <c r="AH10" s="453">
        <f t="shared" ref="AH10:AH33" si="18">AF10+AG10*1</f>
        <v>0</v>
      </c>
      <c r="AI10" s="450">
        <f t="shared" ref="AI10:AI33" si="19">AH10/$AH$89</f>
        <v>0</v>
      </c>
      <c r="AJ10" s="458"/>
      <c r="AK10" s="560"/>
      <c r="AL10" s="452"/>
      <c r="AM10" s="453">
        <f t="shared" ref="AM10:AM33" si="20">AK10+AL10*1</f>
        <v>0</v>
      </c>
      <c r="AN10" s="450">
        <f t="shared" ref="AN10:AN33" si="21">AM10/$AH$89</f>
        <v>0</v>
      </c>
      <c r="AO10" s="458"/>
      <c r="AP10" s="560"/>
      <c r="AQ10" s="452"/>
      <c r="AR10" s="453">
        <f t="shared" ref="AR10:AR33" si="22">AP10+AQ10*1</f>
        <v>0</v>
      </c>
      <c r="AS10" s="450">
        <f t="shared" si="5"/>
        <v>0</v>
      </c>
      <c r="AT10" s="458"/>
      <c r="AU10" s="560"/>
      <c r="AV10" s="452"/>
      <c r="AW10" s="453">
        <f t="shared" ref="AW10:AW33" si="23">AU10+AV10*1</f>
        <v>0</v>
      </c>
      <c r="AX10" s="450">
        <f t="shared" si="6"/>
        <v>0</v>
      </c>
      <c r="AY10" s="458"/>
      <c r="AZ10" s="560"/>
      <c r="BA10" s="452"/>
      <c r="BB10" s="453">
        <f t="shared" ref="BB10:BB33" si="24">AZ10+BA10*1</f>
        <v>0</v>
      </c>
      <c r="BC10" s="450">
        <f t="shared" si="7"/>
        <v>0</v>
      </c>
      <c r="BD10" s="458"/>
      <c r="BE10" s="1659"/>
      <c r="BF10" s="1447"/>
      <c r="BG10" s="1567">
        <f t="shared" ref="BG10:BG33" si="25">BE10+BF10*1</f>
        <v>0</v>
      </c>
      <c r="BH10" s="1893">
        <f t="shared" si="8"/>
        <v>0</v>
      </c>
      <c r="BI10" s="1605"/>
      <c r="BJ10" s="39">
        <f t="shared" si="9"/>
        <v>8821.7999999999993</v>
      </c>
      <c r="BK10" s="39">
        <f t="shared" si="10"/>
        <v>0</v>
      </c>
      <c r="BL10" s="210">
        <f t="shared" ref="BL10:BL33" si="26">BJ10+BK10*1</f>
        <v>8821.7999999999993</v>
      </c>
      <c r="BM10" s="178">
        <f t="shared" si="3"/>
        <v>1.9163814265335439E-2</v>
      </c>
      <c r="BN10" s="42"/>
    </row>
    <row r="11" spans="1:66" s="2" customFormat="1" ht="13.8" x14ac:dyDescent="0.25">
      <c r="A11" s="238"/>
      <c r="B11" s="31" t="s">
        <v>69</v>
      </c>
      <c r="C11" s="111"/>
      <c r="D11" s="112"/>
      <c r="E11" s="106">
        <f t="shared" si="4"/>
        <v>0</v>
      </c>
      <c r="F11" s="177" t="e">
        <f t="shared" si="0"/>
        <v>#DIV/0!</v>
      </c>
      <c r="G11" s="39">
        <v>5971.68</v>
      </c>
      <c r="H11" s="39"/>
      <c r="I11" s="210">
        <f t="shared" si="11"/>
        <v>5971.68</v>
      </c>
      <c r="J11" s="178">
        <f t="shared" si="1"/>
        <v>0.12937741486246254</v>
      </c>
      <c r="K11" s="42"/>
      <c r="L11" s="39">
        <f>760.9368*2</f>
        <v>1521.8735999999999</v>
      </c>
      <c r="M11" s="39"/>
      <c r="N11" s="210">
        <f t="shared" si="12"/>
        <v>1521.8735999999999</v>
      </c>
      <c r="O11" s="178">
        <f t="shared" si="2"/>
        <v>1.0125937925634924E-2</v>
      </c>
      <c r="P11" s="402"/>
      <c r="Q11" s="39"/>
      <c r="R11" s="39"/>
      <c r="S11" s="210">
        <f t="shared" si="13"/>
        <v>0</v>
      </c>
      <c r="T11" s="178">
        <f t="shared" ref="T11:T33" si="27">S11/$S$89</f>
        <v>0</v>
      </c>
      <c r="U11" s="388"/>
      <c r="V11" s="39"/>
      <c r="W11" s="39"/>
      <c r="X11" s="210">
        <f t="shared" si="14"/>
        <v>0</v>
      </c>
      <c r="Y11" s="178">
        <f t="shared" si="15"/>
        <v>0</v>
      </c>
      <c r="Z11" s="388"/>
      <c r="AA11" s="39"/>
      <c r="AB11" s="39"/>
      <c r="AC11" s="210">
        <f t="shared" si="16"/>
        <v>0</v>
      </c>
      <c r="AD11" s="178">
        <f t="shared" si="17"/>
        <v>0</v>
      </c>
      <c r="AE11" s="730"/>
      <c r="AF11" s="560"/>
      <c r="AG11" s="452"/>
      <c r="AH11" s="453">
        <f t="shared" si="18"/>
        <v>0</v>
      </c>
      <c r="AI11" s="450">
        <f t="shared" si="19"/>
        <v>0</v>
      </c>
      <c r="AJ11" s="458"/>
      <c r="AK11" s="560"/>
      <c r="AL11" s="452"/>
      <c r="AM11" s="453">
        <f t="shared" si="20"/>
        <v>0</v>
      </c>
      <c r="AN11" s="450">
        <f t="shared" si="21"/>
        <v>0</v>
      </c>
      <c r="AO11" s="458"/>
      <c r="AP11" s="560"/>
      <c r="AQ11" s="452"/>
      <c r="AR11" s="453">
        <f t="shared" si="22"/>
        <v>0</v>
      </c>
      <c r="AS11" s="450">
        <f t="shared" si="5"/>
        <v>0</v>
      </c>
      <c r="AT11" s="458"/>
      <c r="AU11" s="560"/>
      <c r="AV11" s="452"/>
      <c r="AW11" s="453">
        <f t="shared" si="23"/>
        <v>0</v>
      </c>
      <c r="AX11" s="450">
        <f t="shared" si="6"/>
        <v>0</v>
      </c>
      <c r="AY11" s="458"/>
      <c r="AZ11" s="560"/>
      <c r="BA11" s="452"/>
      <c r="BB11" s="453">
        <f t="shared" si="24"/>
        <v>0</v>
      </c>
      <c r="BC11" s="450">
        <f t="shared" si="7"/>
        <v>0</v>
      </c>
      <c r="BD11" s="458"/>
      <c r="BE11" s="1659"/>
      <c r="BF11" s="1447"/>
      <c r="BG11" s="1567">
        <f t="shared" si="25"/>
        <v>0</v>
      </c>
      <c r="BH11" s="1893">
        <f t="shared" si="8"/>
        <v>0</v>
      </c>
      <c r="BI11" s="1605"/>
      <c r="BJ11" s="39">
        <f t="shared" si="9"/>
        <v>7493.5536000000002</v>
      </c>
      <c r="BK11" s="39">
        <f t="shared" si="10"/>
        <v>0</v>
      </c>
      <c r="BL11" s="210">
        <f t="shared" si="26"/>
        <v>7493.5536000000002</v>
      </c>
      <c r="BM11" s="178">
        <f t="shared" si="3"/>
        <v>1.6278431768770064E-2</v>
      </c>
      <c r="BN11" s="42"/>
    </row>
    <row r="12" spans="1:66" s="2" customFormat="1" ht="13.8" x14ac:dyDescent="0.25">
      <c r="A12" s="238"/>
      <c r="B12" s="31" t="s">
        <v>73</v>
      </c>
      <c r="C12" s="111"/>
      <c r="D12" s="112"/>
      <c r="E12" s="106">
        <f t="shared" si="4"/>
        <v>0</v>
      </c>
      <c r="F12" s="177" t="e">
        <f t="shared" si="0"/>
        <v>#DIV/0!</v>
      </c>
      <c r="G12" s="39"/>
      <c r="H12" s="39"/>
      <c r="I12" s="210">
        <f t="shared" si="11"/>
        <v>0</v>
      </c>
      <c r="J12" s="178">
        <f t="shared" si="1"/>
        <v>0</v>
      </c>
      <c r="K12" s="42"/>
      <c r="L12" s="39">
        <v>8347.85</v>
      </c>
      <c r="M12" s="39">
        <v>12902.15</v>
      </c>
      <c r="N12" s="210">
        <f t="shared" si="12"/>
        <v>21250</v>
      </c>
      <c r="O12" s="178">
        <f t="shared" si="2"/>
        <v>0.14138899637903052</v>
      </c>
      <c r="P12" s="416" t="s">
        <v>555</v>
      </c>
      <c r="Q12" s="39"/>
      <c r="R12" s="39"/>
      <c r="S12" s="210">
        <f t="shared" si="13"/>
        <v>0</v>
      </c>
      <c r="T12" s="178">
        <f t="shared" si="27"/>
        <v>0</v>
      </c>
      <c r="U12" s="388"/>
      <c r="V12" s="39"/>
      <c r="W12" s="39"/>
      <c r="X12" s="210">
        <f t="shared" si="14"/>
        <v>0</v>
      </c>
      <c r="Y12" s="178">
        <f t="shared" si="15"/>
        <v>0</v>
      </c>
      <c r="Z12" s="388"/>
      <c r="AA12" s="39"/>
      <c r="AB12" s="39"/>
      <c r="AC12" s="210">
        <f t="shared" si="16"/>
        <v>0</v>
      </c>
      <c r="AD12" s="178">
        <f t="shared" si="17"/>
        <v>0</v>
      </c>
      <c r="AE12" s="730"/>
      <c r="AF12" s="560"/>
      <c r="AG12" s="452"/>
      <c r="AH12" s="453">
        <f t="shared" si="18"/>
        <v>0</v>
      </c>
      <c r="AI12" s="450">
        <f t="shared" si="19"/>
        <v>0</v>
      </c>
      <c r="AJ12" s="458"/>
      <c r="AK12" s="560"/>
      <c r="AL12" s="452"/>
      <c r="AM12" s="453">
        <f t="shared" si="20"/>
        <v>0</v>
      </c>
      <c r="AN12" s="450">
        <f t="shared" si="21"/>
        <v>0</v>
      </c>
      <c r="AO12" s="458"/>
      <c r="AP12" s="560"/>
      <c r="AQ12" s="452"/>
      <c r="AR12" s="453">
        <f t="shared" si="22"/>
        <v>0</v>
      </c>
      <c r="AS12" s="450">
        <f t="shared" si="5"/>
        <v>0</v>
      </c>
      <c r="AT12" s="458"/>
      <c r="AU12" s="560"/>
      <c r="AV12" s="452"/>
      <c r="AW12" s="453">
        <f t="shared" si="23"/>
        <v>0</v>
      </c>
      <c r="AX12" s="450">
        <f t="shared" si="6"/>
        <v>0</v>
      </c>
      <c r="AY12" s="458"/>
      <c r="AZ12" s="560"/>
      <c r="BA12" s="452"/>
      <c r="BB12" s="453">
        <f t="shared" si="24"/>
        <v>0</v>
      </c>
      <c r="BC12" s="450">
        <f t="shared" si="7"/>
        <v>0</v>
      </c>
      <c r="BD12" s="458"/>
      <c r="BE12" s="1659"/>
      <c r="BF12" s="1447"/>
      <c r="BG12" s="1567">
        <f t="shared" si="25"/>
        <v>0</v>
      </c>
      <c r="BH12" s="1893">
        <f t="shared" si="8"/>
        <v>0</v>
      </c>
      <c r="BI12" s="1605"/>
      <c r="BJ12" s="39">
        <f t="shared" si="9"/>
        <v>8347.85</v>
      </c>
      <c r="BK12" s="39">
        <f t="shared" si="10"/>
        <v>12902.15</v>
      </c>
      <c r="BL12" s="210">
        <f t="shared" si="26"/>
        <v>21250</v>
      </c>
      <c r="BM12" s="178">
        <f t="shared" si="3"/>
        <v>4.61619004214988E-2</v>
      </c>
      <c r="BN12" s="42"/>
    </row>
    <row r="13" spans="1:66" s="2" customFormat="1" ht="13.8" x14ac:dyDescent="0.25">
      <c r="A13" s="238"/>
      <c r="B13" s="31" t="s">
        <v>71</v>
      </c>
      <c r="C13" s="111"/>
      <c r="D13" s="112"/>
      <c r="E13" s="106">
        <f t="shared" si="4"/>
        <v>0</v>
      </c>
      <c r="F13" s="177" t="e">
        <f t="shared" si="0"/>
        <v>#DIV/0!</v>
      </c>
      <c r="G13" s="39"/>
      <c r="H13" s="39"/>
      <c r="I13" s="210">
        <f t="shared" si="11"/>
        <v>0</v>
      </c>
      <c r="J13" s="178">
        <f t="shared" si="1"/>
        <v>0</v>
      </c>
      <c r="K13" s="42"/>
      <c r="L13" s="39">
        <v>2022.15</v>
      </c>
      <c r="M13" s="39"/>
      <c r="N13" s="210">
        <f t="shared" si="12"/>
        <v>2022.15</v>
      </c>
      <c r="O13" s="178">
        <f t="shared" si="2"/>
        <v>1.3454576895428545E-2</v>
      </c>
      <c r="P13" s="402"/>
      <c r="Q13" s="39"/>
      <c r="R13" s="39"/>
      <c r="S13" s="210">
        <f t="shared" si="13"/>
        <v>0</v>
      </c>
      <c r="T13" s="178">
        <f t="shared" si="27"/>
        <v>0</v>
      </c>
      <c r="U13" s="388"/>
      <c r="V13" s="39"/>
      <c r="W13" s="39"/>
      <c r="X13" s="210">
        <f t="shared" si="14"/>
        <v>0</v>
      </c>
      <c r="Y13" s="178">
        <f t="shared" si="15"/>
        <v>0</v>
      </c>
      <c r="Z13" s="388"/>
      <c r="AA13" s="39"/>
      <c r="AB13" s="39"/>
      <c r="AC13" s="210">
        <f t="shared" si="16"/>
        <v>0</v>
      </c>
      <c r="AD13" s="178">
        <f t="shared" si="17"/>
        <v>0</v>
      </c>
      <c r="AE13" s="730"/>
      <c r="AF13" s="560"/>
      <c r="AG13" s="452"/>
      <c r="AH13" s="453">
        <f t="shared" si="18"/>
        <v>0</v>
      </c>
      <c r="AI13" s="450">
        <f t="shared" si="19"/>
        <v>0</v>
      </c>
      <c r="AJ13" s="458"/>
      <c r="AK13" s="560"/>
      <c r="AL13" s="452"/>
      <c r="AM13" s="453">
        <f t="shared" si="20"/>
        <v>0</v>
      </c>
      <c r="AN13" s="450">
        <f t="shared" si="21"/>
        <v>0</v>
      </c>
      <c r="AO13" s="458"/>
      <c r="AP13" s="560"/>
      <c r="AQ13" s="452"/>
      <c r="AR13" s="453">
        <f t="shared" si="22"/>
        <v>0</v>
      </c>
      <c r="AS13" s="450">
        <f t="shared" si="5"/>
        <v>0</v>
      </c>
      <c r="AT13" s="458"/>
      <c r="AU13" s="560"/>
      <c r="AV13" s="452"/>
      <c r="AW13" s="453">
        <f t="shared" si="23"/>
        <v>0</v>
      </c>
      <c r="AX13" s="450">
        <f t="shared" si="6"/>
        <v>0</v>
      </c>
      <c r="AY13" s="458"/>
      <c r="AZ13" s="560"/>
      <c r="BA13" s="452"/>
      <c r="BB13" s="453">
        <f t="shared" si="24"/>
        <v>0</v>
      </c>
      <c r="BC13" s="450">
        <f t="shared" si="7"/>
        <v>0</v>
      </c>
      <c r="BD13" s="458"/>
      <c r="BE13" s="1659"/>
      <c r="BF13" s="1447"/>
      <c r="BG13" s="1567">
        <f t="shared" si="25"/>
        <v>0</v>
      </c>
      <c r="BH13" s="1893">
        <f t="shared" si="8"/>
        <v>0</v>
      </c>
      <c r="BI13" s="1605"/>
      <c r="BJ13" s="39">
        <f t="shared" si="9"/>
        <v>2022.15</v>
      </c>
      <c r="BK13" s="39">
        <f t="shared" si="10"/>
        <v>0</v>
      </c>
      <c r="BL13" s="210">
        <f t="shared" si="26"/>
        <v>2022.15</v>
      </c>
      <c r="BM13" s="178">
        <f t="shared" si="3"/>
        <v>4.3927664441098264E-3</v>
      </c>
      <c r="BN13" s="42"/>
    </row>
    <row r="14" spans="1:66" s="2" customFormat="1" ht="13.8" x14ac:dyDescent="0.25">
      <c r="A14" s="238"/>
      <c r="B14" s="31" t="s">
        <v>70</v>
      </c>
      <c r="C14" s="111"/>
      <c r="D14" s="112"/>
      <c r="E14" s="106">
        <f t="shared" si="4"/>
        <v>0</v>
      </c>
      <c r="F14" s="177" t="e">
        <f t="shared" si="0"/>
        <v>#DIV/0!</v>
      </c>
      <c r="G14" s="39"/>
      <c r="H14" s="39"/>
      <c r="I14" s="210">
        <f t="shared" si="11"/>
        <v>0</v>
      </c>
      <c r="J14" s="178">
        <f t="shared" si="1"/>
        <v>0</v>
      </c>
      <c r="K14" s="42"/>
      <c r="L14" s="39">
        <v>872.11699999999996</v>
      </c>
      <c r="M14" s="39"/>
      <c r="N14" s="210">
        <f t="shared" si="12"/>
        <v>872.11699999999996</v>
      </c>
      <c r="O14" s="178">
        <f t="shared" si="2"/>
        <v>5.8027175225925159E-3</v>
      </c>
      <c r="P14" s="402"/>
      <c r="Q14" s="39"/>
      <c r="R14" s="39"/>
      <c r="S14" s="210">
        <f t="shared" si="13"/>
        <v>0</v>
      </c>
      <c r="T14" s="178">
        <f t="shared" si="27"/>
        <v>0</v>
      </c>
      <c r="U14" s="388"/>
      <c r="V14" s="39"/>
      <c r="W14" s="39"/>
      <c r="X14" s="210">
        <f t="shared" si="14"/>
        <v>0</v>
      </c>
      <c r="Y14" s="178">
        <f t="shared" si="15"/>
        <v>0</v>
      </c>
      <c r="Z14" s="388"/>
      <c r="AA14" s="39"/>
      <c r="AB14" s="39"/>
      <c r="AC14" s="210">
        <f t="shared" si="16"/>
        <v>0</v>
      </c>
      <c r="AD14" s="178">
        <f t="shared" si="17"/>
        <v>0</v>
      </c>
      <c r="AE14" s="730"/>
      <c r="AF14" s="560"/>
      <c r="AG14" s="452"/>
      <c r="AH14" s="453">
        <f t="shared" si="18"/>
        <v>0</v>
      </c>
      <c r="AI14" s="450">
        <f t="shared" si="19"/>
        <v>0</v>
      </c>
      <c r="AJ14" s="458"/>
      <c r="AK14" s="560"/>
      <c r="AL14" s="452"/>
      <c r="AM14" s="453">
        <f t="shared" si="20"/>
        <v>0</v>
      </c>
      <c r="AN14" s="450">
        <f t="shared" si="21"/>
        <v>0</v>
      </c>
      <c r="AO14" s="458"/>
      <c r="AP14" s="560"/>
      <c r="AQ14" s="452"/>
      <c r="AR14" s="453">
        <f t="shared" si="22"/>
        <v>0</v>
      </c>
      <c r="AS14" s="450">
        <f t="shared" si="5"/>
        <v>0</v>
      </c>
      <c r="AT14" s="458"/>
      <c r="AU14" s="560"/>
      <c r="AV14" s="452"/>
      <c r="AW14" s="453">
        <f t="shared" si="23"/>
        <v>0</v>
      </c>
      <c r="AX14" s="450">
        <f t="shared" si="6"/>
        <v>0</v>
      </c>
      <c r="AY14" s="458"/>
      <c r="AZ14" s="560"/>
      <c r="BA14" s="452"/>
      <c r="BB14" s="453">
        <f t="shared" si="24"/>
        <v>0</v>
      </c>
      <c r="BC14" s="450">
        <f t="shared" si="7"/>
        <v>0</v>
      </c>
      <c r="BD14" s="458"/>
      <c r="BE14" s="1659"/>
      <c r="BF14" s="1447"/>
      <c r="BG14" s="1567">
        <f t="shared" si="25"/>
        <v>0</v>
      </c>
      <c r="BH14" s="1893">
        <f t="shared" si="8"/>
        <v>0</v>
      </c>
      <c r="BI14" s="1605"/>
      <c r="BJ14" s="39">
        <f t="shared" si="9"/>
        <v>872.11699999999996</v>
      </c>
      <c r="BK14" s="39">
        <f t="shared" si="10"/>
        <v>0</v>
      </c>
      <c r="BL14" s="210">
        <f t="shared" si="26"/>
        <v>872.11699999999996</v>
      </c>
      <c r="BM14" s="178">
        <f t="shared" si="3"/>
        <v>1.8945213228186478E-3</v>
      </c>
      <c r="BN14" s="42"/>
    </row>
    <row r="15" spans="1:66" s="2" customFormat="1" ht="13.8" x14ac:dyDescent="0.25">
      <c r="A15" s="238"/>
      <c r="B15" s="7" t="s">
        <v>20</v>
      </c>
      <c r="C15" s="111"/>
      <c r="D15" s="113"/>
      <c r="E15" s="106">
        <f t="shared" si="4"/>
        <v>0</v>
      </c>
      <c r="F15" s="177" t="e">
        <f t="shared" si="0"/>
        <v>#DIV/0!</v>
      </c>
      <c r="G15" s="39"/>
      <c r="H15" s="39"/>
      <c r="I15" s="210">
        <f t="shared" si="11"/>
        <v>0</v>
      </c>
      <c r="J15" s="178">
        <f t="shared" si="1"/>
        <v>0</v>
      </c>
      <c r="K15" s="42"/>
      <c r="L15" s="39"/>
      <c r="M15" s="39"/>
      <c r="N15" s="210">
        <f t="shared" si="12"/>
        <v>0</v>
      </c>
      <c r="O15" s="178">
        <f t="shared" si="2"/>
        <v>0</v>
      </c>
      <c r="P15" s="402"/>
      <c r="Q15" s="39"/>
      <c r="R15" s="39"/>
      <c r="S15" s="210">
        <f t="shared" si="13"/>
        <v>0</v>
      </c>
      <c r="T15" s="178">
        <f t="shared" si="27"/>
        <v>0</v>
      </c>
      <c r="U15" s="388"/>
      <c r="V15" s="39"/>
      <c r="W15" s="39"/>
      <c r="X15" s="210">
        <f t="shared" si="14"/>
        <v>0</v>
      </c>
      <c r="Y15" s="178">
        <f t="shared" si="15"/>
        <v>0</v>
      </c>
      <c r="Z15" s="388"/>
      <c r="AA15" s="39"/>
      <c r="AB15" s="39"/>
      <c r="AC15" s="210">
        <f t="shared" si="16"/>
        <v>0</v>
      </c>
      <c r="AD15" s="178">
        <f t="shared" si="17"/>
        <v>0</v>
      </c>
      <c r="AE15" s="730"/>
      <c r="AF15" s="560"/>
      <c r="AG15" s="452"/>
      <c r="AH15" s="453">
        <f t="shared" si="18"/>
        <v>0</v>
      </c>
      <c r="AI15" s="450">
        <f t="shared" si="19"/>
        <v>0</v>
      </c>
      <c r="AJ15" s="458"/>
      <c r="AK15" s="560"/>
      <c r="AL15" s="452"/>
      <c r="AM15" s="453">
        <f t="shared" si="20"/>
        <v>0</v>
      </c>
      <c r="AN15" s="450">
        <f t="shared" si="21"/>
        <v>0</v>
      </c>
      <c r="AO15" s="458"/>
      <c r="AP15" s="560"/>
      <c r="AQ15" s="452"/>
      <c r="AR15" s="453">
        <f t="shared" si="22"/>
        <v>0</v>
      </c>
      <c r="AS15" s="450">
        <f t="shared" si="5"/>
        <v>0</v>
      </c>
      <c r="AT15" s="458"/>
      <c r="AU15" s="560"/>
      <c r="AV15" s="452"/>
      <c r="AW15" s="453">
        <f t="shared" si="23"/>
        <v>0</v>
      </c>
      <c r="AX15" s="450">
        <f t="shared" si="6"/>
        <v>0</v>
      </c>
      <c r="AY15" s="458"/>
      <c r="AZ15" s="560"/>
      <c r="BA15" s="452"/>
      <c r="BB15" s="453">
        <f t="shared" si="24"/>
        <v>0</v>
      </c>
      <c r="BC15" s="450">
        <f t="shared" si="7"/>
        <v>0</v>
      </c>
      <c r="BD15" s="458"/>
      <c r="BE15" s="1659"/>
      <c r="BF15" s="1447"/>
      <c r="BG15" s="1567">
        <f t="shared" si="25"/>
        <v>0</v>
      </c>
      <c r="BH15" s="1893">
        <f t="shared" si="8"/>
        <v>0</v>
      </c>
      <c r="BI15" s="1605"/>
      <c r="BJ15" s="39">
        <f t="shared" si="9"/>
        <v>0</v>
      </c>
      <c r="BK15" s="39">
        <f t="shared" si="10"/>
        <v>0</v>
      </c>
      <c r="BL15" s="210">
        <f t="shared" si="26"/>
        <v>0</v>
      </c>
      <c r="BM15" s="178">
        <f t="shared" si="3"/>
        <v>0</v>
      </c>
      <c r="BN15" s="42"/>
    </row>
    <row r="16" spans="1:66" s="2" customFormat="1" ht="13.8" x14ac:dyDescent="0.25">
      <c r="A16" s="292"/>
      <c r="B16" s="7" t="s">
        <v>21</v>
      </c>
      <c r="C16" s="111"/>
      <c r="D16" s="113"/>
      <c r="E16" s="106">
        <f t="shared" si="4"/>
        <v>0</v>
      </c>
      <c r="F16" s="177" t="e">
        <f t="shared" si="0"/>
        <v>#DIV/0!</v>
      </c>
      <c r="G16" s="39"/>
      <c r="H16" s="39"/>
      <c r="I16" s="210">
        <f t="shared" si="11"/>
        <v>0</v>
      </c>
      <c r="J16" s="178">
        <f t="shared" si="1"/>
        <v>0</v>
      </c>
      <c r="K16" s="42"/>
      <c r="L16" s="39"/>
      <c r="M16" s="39">
        <v>38144.589999999997</v>
      </c>
      <c r="N16" s="210">
        <f t="shared" si="12"/>
        <v>38144.589999999997</v>
      </c>
      <c r="O16" s="178">
        <f t="shared" si="2"/>
        <v>0.25379883752421661</v>
      </c>
      <c r="P16" s="416" t="s">
        <v>553</v>
      </c>
      <c r="Q16" s="39"/>
      <c r="R16" s="39">
        <v>57905.58</v>
      </c>
      <c r="S16" s="210">
        <f t="shared" si="13"/>
        <v>57905.58</v>
      </c>
      <c r="T16" s="178">
        <f t="shared" si="27"/>
        <v>0.32077386811937442</v>
      </c>
      <c r="U16" s="388" t="s">
        <v>651</v>
      </c>
      <c r="V16" s="39"/>
      <c r="W16" s="39"/>
      <c r="X16" s="210">
        <f t="shared" si="14"/>
        <v>0</v>
      </c>
      <c r="Y16" s="178">
        <f t="shared" si="15"/>
        <v>0</v>
      </c>
      <c r="Z16" s="388"/>
      <c r="AA16" s="39"/>
      <c r="AB16" s="39"/>
      <c r="AC16" s="210">
        <f t="shared" si="16"/>
        <v>0</v>
      </c>
      <c r="AD16" s="178">
        <f t="shared" si="17"/>
        <v>0</v>
      </c>
      <c r="AE16" s="730"/>
      <c r="AF16" s="560"/>
      <c r="AG16" s="452"/>
      <c r="AH16" s="453">
        <f t="shared" si="18"/>
        <v>0</v>
      </c>
      <c r="AI16" s="450">
        <f t="shared" si="19"/>
        <v>0</v>
      </c>
      <c r="AJ16" s="458"/>
      <c r="AK16" s="560"/>
      <c r="AL16" s="452"/>
      <c r="AM16" s="453">
        <f t="shared" si="20"/>
        <v>0</v>
      </c>
      <c r="AN16" s="450">
        <f t="shared" si="21"/>
        <v>0</v>
      </c>
      <c r="AO16" s="458"/>
      <c r="AP16" s="560"/>
      <c r="AQ16" s="452"/>
      <c r="AR16" s="453">
        <f t="shared" si="22"/>
        <v>0</v>
      </c>
      <c r="AS16" s="450">
        <f t="shared" si="5"/>
        <v>0</v>
      </c>
      <c r="AT16" s="458"/>
      <c r="AU16" s="560"/>
      <c r="AV16" s="452"/>
      <c r="AW16" s="453">
        <f t="shared" si="23"/>
        <v>0</v>
      </c>
      <c r="AX16" s="450">
        <f t="shared" si="6"/>
        <v>0</v>
      </c>
      <c r="AY16" s="458"/>
      <c r="AZ16" s="560"/>
      <c r="BA16" s="452"/>
      <c r="BB16" s="453">
        <f t="shared" si="24"/>
        <v>0</v>
      </c>
      <c r="BC16" s="450">
        <f t="shared" si="7"/>
        <v>0</v>
      </c>
      <c r="BD16" s="458"/>
      <c r="BE16" s="1659"/>
      <c r="BF16" s="1447"/>
      <c r="BG16" s="1567">
        <f t="shared" si="25"/>
        <v>0</v>
      </c>
      <c r="BH16" s="1893">
        <f t="shared" si="8"/>
        <v>0</v>
      </c>
      <c r="BI16" s="1605"/>
      <c r="BJ16" s="39">
        <f t="shared" si="9"/>
        <v>0</v>
      </c>
      <c r="BK16" s="39">
        <f t="shared" si="10"/>
        <v>96050.17</v>
      </c>
      <c r="BL16" s="210">
        <f t="shared" si="26"/>
        <v>96050.17</v>
      </c>
      <c r="BM16" s="178">
        <f t="shared" si="3"/>
        <v>0.20865215920037794</v>
      </c>
      <c r="BN16" s="42"/>
    </row>
    <row r="17" spans="1:66" s="2" customFormat="1" ht="13.8" x14ac:dyDescent="0.25">
      <c r="A17" s="238"/>
      <c r="B17" s="7" t="s">
        <v>22</v>
      </c>
      <c r="C17" s="111"/>
      <c r="D17" s="113"/>
      <c r="E17" s="106">
        <f t="shared" si="4"/>
        <v>0</v>
      </c>
      <c r="F17" s="177" t="e">
        <f t="shared" si="0"/>
        <v>#DIV/0!</v>
      </c>
      <c r="G17" s="39"/>
      <c r="H17" s="39"/>
      <c r="I17" s="210">
        <f t="shared" si="11"/>
        <v>0</v>
      </c>
      <c r="J17" s="178">
        <f t="shared" si="1"/>
        <v>0</v>
      </c>
      <c r="K17" s="42"/>
      <c r="L17" s="39"/>
      <c r="M17" s="39"/>
      <c r="N17" s="210">
        <f t="shared" si="12"/>
        <v>0</v>
      </c>
      <c r="O17" s="178">
        <f t="shared" si="2"/>
        <v>0</v>
      </c>
      <c r="P17" s="402"/>
      <c r="Q17" s="39"/>
      <c r="R17" s="39"/>
      <c r="S17" s="210">
        <f t="shared" si="13"/>
        <v>0</v>
      </c>
      <c r="T17" s="178">
        <f t="shared" si="27"/>
        <v>0</v>
      </c>
      <c r="U17" s="388"/>
      <c r="V17" s="39"/>
      <c r="W17" s="39"/>
      <c r="X17" s="210">
        <f t="shared" si="14"/>
        <v>0</v>
      </c>
      <c r="Y17" s="178">
        <f t="shared" si="15"/>
        <v>0</v>
      </c>
      <c r="Z17" s="388"/>
      <c r="AA17" s="39"/>
      <c r="AB17" s="39"/>
      <c r="AC17" s="210">
        <f t="shared" si="16"/>
        <v>0</v>
      </c>
      <c r="AD17" s="178">
        <f t="shared" si="17"/>
        <v>0</v>
      </c>
      <c r="AE17" s="730"/>
      <c r="AF17" s="560"/>
      <c r="AG17" s="452"/>
      <c r="AH17" s="453">
        <f t="shared" si="18"/>
        <v>0</v>
      </c>
      <c r="AI17" s="450">
        <f t="shared" si="19"/>
        <v>0</v>
      </c>
      <c r="AJ17" s="458"/>
      <c r="AK17" s="560"/>
      <c r="AL17" s="452"/>
      <c r="AM17" s="453">
        <f t="shared" si="20"/>
        <v>0</v>
      </c>
      <c r="AN17" s="450">
        <f t="shared" si="21"/>
        <v>0</v>
      </c>
      <c r="AO17" s="458"/>
      <c r="AP17" s="560"/>
      <c r="AQ17" s="452"/>
      <c r="AR17" s="453">
        <f t="shared" si="22"/>
        <v>0</v>
      </c>
      <c r="AS17" s="450">
        <f t="shared" si="5"/>
        <v>0</v>
      </c>
      <c r="AT17" s="458"/>
      <c r="AU17" s="560"/>
      <c r="AV17" s="452"/>
      <c r="AW17" s="453">
        <f t="shared" si="23"/>
        <v>0</v>
      </c>
      <c r="AX17" s="450">
        <f t="shared" si="6"/>
        <v>0</v>
      </c>
      <c r="AY17" s="458"/>
      <c r="AZ17" s="560"/>
      <c r="BA17" s="452"/>
      <c r="BB17" s="453">
        <f t="shared" si="24"/>
        <v>0</v>
      </c>
      <c r="BC17" s="450">
        <f t="shared" si="7"/>
        <v>0</v>
      </c>
      <c r="BD17" s="458"/>
      <c r="BE17" s="1659"/>
      <c r="BF17" s="1447"/>
      <c r="BG17" s="1567">
        <f t="shared" si="25"/>
        <v>0</v>
      </c>
      <c r="BH17" s="1893">
        <f t="shared" si="8"/>
        <v>0</v>
      </c>
      <c r="BI17" s="1605"/>
      <c r="BJ17" s="39">
        <f t="shared" si="9"/>
        <v>0</v>
      </c>
      <c r="BK17" s="39">
        <f t="shared" si="10"/>
        <v>0</v>
      </c>
      <c r="BL17" s="210">
        <f t="shared" si="26"/>
        <v>0</v>
      </c>
      <c r="BM17" s="178">
        <f t="shared" si="3"/>
        <v>0</v>
      </c>
      <c r="BN17" s="42"/>
    </row>
    <row r="18" spans="1:66" s="2" customFormat="1" ht="13.8" x14ac:dyDescent="0.25">
      <c r="A18" s="238"/>
      <c r="B18" s="7" t="s">
        <v>0</v>
      </c>
      <c r="C18" s="111"/>
      <c r="D18" s="113"/>
      <c r="E18" s="106">
        <f t="shared" si="4"/>
        <v>0</v>
      </c>
      <c r="F18" s="177" t="e">
        <f t="shared" si="0"/>
        <v>#DIV/0!</v>
      </c>
      <c r="G18" s="39"/>
      <c r="H18" s="39"/>
      <c r="I18" s="210">
        <f t="shared" si="11"/>
        <v>0</v>
      </c>
      <c r="J18" s="178">
        <f t="shared" si="1"/>
        <v>0</v>
      </c>
      <c r="K18" s="42"/>
      <c r="L18" s="39">
        <f>933</f>
        <v>933</v>
      </c>
      <c r="M18" s="39"/>
      <c r="N18" s="210">
        <f t="shared" si="12"/>
        <v>933</v>
      </c>
      <c r="O18" s="178">
        <f t="shared" si="2"/>
        <v>6.20780864101814E-3</v>
      </c>
      <c r="P18" s="416" t="s">
        <v>593</v>
      </c>
      <c r="Q18" s="39"/>
      <c r="R18" s="39"/>
      <c r="S18" s="210">
        <f t="shared" si="13"/>
        <v>0</v>
      </c>
      <c r="T18" s="178">
        <f t="shared" si="27"/>
        <v>0</v>
      </c>
      <c r="U18" s="388"/>
      <c r="V18" s="39"/>
      <c r="W18" s="39"/>
      <c r="X18" s="210">
        <f t="shared" si="14"/>
        <v>0</v>
      </c>
      <c r="Y18" s="178">
        <f t="shared" si="15"/>
        <v>0</v>
      </c>
      <c r="Z18" s="388"/>
      <c r="AA18" s="39"/>
      <c r="AB18" s="39"/>
      <c r="AC18" s="210">
        <f t="shared" si="16"/>
        <v>0</v>
      </c>
      <c r="AD18" s="178">
        <f t="shared" si="17"/>
        <v>0</v>
      </c>
      <c r="AE18" s="730"/>
      <c r="AF18" s="560"/>
      <c r="AG18" s="452"/>
      <c r="AH18" s="453">
        <f t="shared" si="18"/>
        <v>0</v>
      </c>
      <c r="AI18" s="450">
        <f t="shared" si="19"/>
        <v>0</v>
      </c>
      <c r="AJ18" s="458"/>
      <c r="AK18" s="560"/>
      <c r="AL18" s="452"/>
      <c r="AM18" s="453">
        <f t="shared" si="20"/>
        <v>0</v>
      </c>
      <c r="AN18" s="450">
        <f t="shared" si="21"/>
        <v>0</v>
      </c>
      <c r="AO18" s="458"/>
      <c r="AP18" s="560"/>
      <c r="AQ18" s="452"/>
      <c r="AR18" s="453">
        <f t="shared" si="22"/>
        <v>0</v>
      </c>
      <c r="AS18" s="450">
        <f t="shared" si="5"/>
        <v>0</v>
      </c>
      <c r="AT18" s="458"/>
      <c r="AU18" s="560"/>
      <c r="AV18" s="452"/>
      <c r="AW18" s="453">
        <f t="shared" si="23"/>
        <v>0</v>
      </c>
      <c r="AX18" s="450">
        <f t="shared" si="6"/>
        <v>0</v>
      </c>
      <c r="AY18" s="458"/>
      <c r="AZ18" s="560"/>
      <c r="BA18" s="452"/>
      <c r="BB18" s="453">
        <f t="shared" si="24"/>
        <v>0</v>
      </c>
      <c r="BC18" s="450">
        <f t="shared" si="7"/>
        <v>0</v>
      </c>
      <c r="BD18" s="458"/>
      <c r="BE18" s="1659"/>
      <c r="BF18" s="1447"/>
      <c r="BG18" s="1567">
        <f t="shared" si="25"/>
        <v>0</v>
      </c>
      <c r="BH18" s="1893">
        <f t="shared" si="8"/>
        <v>0</v>
      </c>
      <c r="BI18" s="1605"/>
      <c r="BJ18" s="39">
        <f t="shared" si="9"/>
        <v>933</v>
      </c>
      <c r="BK18" s="39">
        <f t="shared" si="10"/>
        <v>0</v>
      </c>
      <c r="BL18" s="210">
        <f t="shared" si="26"/>
        <v>933</v>
      </c>
      <c r="BM18" s="178">
        <f t="shared" si="3"/>
        <v>2.026778969094512E-3</v>
      </c>
      <c r="BN18" s="42"/>
    </row>
    <row r="19" spans="1:66" s="2" customFormat="1" ht="13.8" x14ac:dyDescent="0.25">
      <c r="A19" s="238"/>
      <c r="B19" s="7" t="s">
        <v>53</v>
      </c>
      <c r="C19" s="114"/>
      <c r="D19" s="113"/>
      <c r="E19" s="106">
        <f t="shared" si="4"/>
        <v>0</v>
      </c>
      <c r="F19" s="177" t="e">
        <f t="shared" si="0"/>
        <v>#DIV/0!</v>
      </c>
      <c r="G19" s="39"/>
      <c r="H19" s="39"/>
      <c r="I19" s="210">
        <f t="shared" si="11"/>
        <v>0</v>
      </c>
      <c r="J19" s="178">
        <f t="shared" si="1"/>
        <v>0</v>
      </c>
      <c r="K19" s="42"/>
      <c r="L19" s="39"/>
      <c r="M19" s="39"/>
      <c r="N19" s="210">
        <f t="shared" si="12"/>
        <v>0</v>
      </c>
      <c r="O19" s="178">
        <f t="shared" si="2"/>
        <v>0</v>
      </c>
      <c r="P19" s="426"/>
      <c r="Q19" s="39"/>
      <c r="R19" s="39"/>
      <c r="S19" s="210">
        <f t="shared" si="13"/>
        <v>0</v>
      </c>
      <c r="T19" s="178">
        <f t="shared" si="27"/>
        <v>0</v>
      </c>
      <c r="U19" s="388"/>
      <c r="V19" s="39"/>
      <c r="W19" s="39"/>
      <c r="X19" s="210">
        <f t="shared" si="14"/>
        <v>0</v>
      </c>
      <c r="Y19" s="178">
        <f t="shared" si="15"/>
        <v>0</v>
      </c>
      <c r="Z19" s="388"/>
      <c r="AA19" s="39"/>
      <c r="AB19" s="39"/>
      <c r="AC19" s="210">
        <f t="shared" si="16"/>
        <v>0</v>
      </c>
      <c r="AD19" s="178">
        <f t="shared" si="17"/>
        <v>0</v>
      </c>
      <c r="AE19" s="730"/>
      <c r="AF19" s="560"/>
      <c r="AG19" s="452"/>
      <c r="AH19" s="453">
        <f t="shared" si="18"/>
        <v>0</v>
      </c>
      <c r="AI19" s="450">
        <f t="shared" si="19"/>
        <v>0</v>
      </c>
      <c r="AJ19" s="458"/>
      <c r="AK19" s="560"/>
      <c r="AL19" s="452"/>
      <c r="AM19" s="453">
        <f t="shared" si="20"/>
        <v>0</v>
      </c>
      <c r="AN19" s="450">
        <f t="shared" si="21"/>
        <v>0</v>
      </c>
      <c r="AO19" s="458"/>
      <c r="AP19" s="560"/>
      <c r="AQ19" s="452"/>
      <c r="AR19" s="453">
        <f t="shared" si="22"/>
        <v>0</v>
      </c>
      <c r="AS19" s="450">
        <f t="shared" si="5"/>
        <v>0</v>
      </c>
      <c r="AT19" s="458"/>
      <c r="AU19" s="560"/>
      <c r="AV19" s="452"/>
      <c r="AW19" s="453">
        <f t="shared" si="23"/>
        <v>0</v>
      </c>
      <c r="AX19" s="450">
        <f t="shared" si="6"/>
        <v>0</v>
      </c>
      <c r="AY19" s="458"/>
      <c r="AZ19" s="560"/>
      <c r="BA19" s="452"/>
      <c r="BB19" s="453">
        <f t="shared" si="24"/>
        <v>0</v>
      </c>
      <c r="BC19" s="450">
        <f t="shared" si="7"/>
        <v>0</v>
      </c>
      <c r="BD19" s="458"/>
      <c r="BE19" s="1659"/>
      <c r="BF19" s="1447"/>
      <c r="BG19" s="1567">
        <f t="shared" si="25"/>
        <v>0</v>
      </c>
      <c r="BH19" s="1893">
        <f t="shared" si="8"/>
        <v>0</v>
      </c>
      <c r="BI19" s="1605"/>
      <c r="BJ19" s="39">
        <f t="shared" si="9"/>
        <v>0</v>
      </c>
      <c r="BK19" s="39">
        <f t="shared" si="10"/>
        <v>0</v>
      </c>
      <c r="BL19" s="210">
        <f t="shared" si="26"/>
        <v>0</v>
      </c>
      <c r="BM19" s="178">
        <f t="shared" si="3"/>
        <v>0</v>
      </c>
      <c r="BN19" s="42"/>
    </row>
    <row r="20" spans="1:66" s="2" customFormat="1" ht="13.8" x14ac:dyDescent="0.25">
      <c r="A20" s="238"/>
      <c r="B20" s="7" t="s">
        <v>57</v>
      </c>
      <c r="C20" s="114"/>
      <c r="D20" s="113"/>
      <c r="E20" s="106">
        <f t="shared" si="4"/>
        <v>0</v>
      </c>
      <c r="F20" s="177" t="e">
        <f t="shared" si="0"/>
        <v>#DIV/0!</v>
      </c>
      <c r="G20" s="39"/>
      <c r="H20" s="39"/>
      <c r="I20" s="210">
        <f t="shared" si="11"/>
        <v>0</v>
      </c>
      <c r="J20" s="178">
        <f t="shared" si="1"/>
        <v>0</v>
      </c>
      <c r="K20" s="42"/>
      <c r="L20" s="39"/>
      <c r="M20" s="39"/>
      <c r="N20" s="210">
        <f t="shared" si="12"/>
        <v>0</v>
      </c>
      <c r="O20" s="178">
        <f t="shared" si="2"/>
        <v>0</v>
      </c>
      <c r="P20" s="426"/>
      <c r="Q20" s="39">
        <v>1004.03</v>
      </c>
      <c r="R20" s="39"/>
      <c r="S20" s="210">
        <f t="shared" si="13"/>
        <v>1004.03</v>
      </c>
      <c r="T20" s="178">
        <f t="shared" si="27"/>
        <v>5.5619266192980963E-3</v>
      </c>
      <c r="U20" s="388" t="s">
        <v>711</v>
      </c>
      <c r="V20" s="39">
        <f>809.7*1.2</f>
        <v>971.64</v>
      </c>
      <c r="W20" s="39"/>
      <c r="X20" s="210">
        <f t="shared" si="14"/>
        <v>971.64</v>
      </c>
      <c r="Y20" s="178">
        <f t="shared" si="15"/>
        <v>1</v>
      </c>
      <c r="Z20" s="388" t="s">
        <v>759</v>
      </c>
      <c r="AA20" s="39"/>
      <c r="AB20" s="39"/>
      <c r="AC20" s="210">
        <f t="shared" si="16"/>
        <v>0</v>
      </c>
      <c r="AD20" s="178">
        <f t="shared" si="17"/>
        <v>0</v>
      </c>
      <c r="AE20" s="730"/>
      <c r="AF20" s="560">
        <f>809.7*1.2</f>
        <v>971.64</v>
      </c>
      <c r="AG20" s="452"/>
      <c r="AH20" s="453">
        <f t="shared" si="18"/>
        <v>971.64</v>
      </c>
      <c r="AI20" s="450">
        <f t="shared" si="19"/>
        <v>1</v>
      </c>
      <c r="AJ20" s="458" t="s">
        <v>759</v>
      </c>
      <c r="AK20" s="560">
        <f>67.58*1.2</f>
        <v>81.095999999999989</v>
      </c>
      <c r="AL20" s="452"/>
      <c r="AM20" s="453">
        <f t="shared" si="20"/>
        <v>81.095999999999989</v>
      </c>
      <c r="AN20" s="450">
        <f t="shared" si="21"/>
        <v>8.3463010991725317E-2</v>
      </c>
      <c r="AO20" s="458"/>
      <c r="AP20" s="560">
        <f>67.58*1.2</f>
        <v>81.095999999999989</v>
      </c>
      <c r="AQ20" s="452"/>
      <c r="AR20" s="453">
        <f t="shared" si="22"/>
        <v>81.095999999999989</v>
      </c>
      <c r="AS20" s="450">
        <f t="shared" si="5"/>
        <v>1</v>
      </c>
      <c r="AT20" s="458" t="s">
        <v>759</v>
      </c>
      <c r="AU20" s="560">
        <f>65.4*1.2</f>
        <v>78.48</v>
      </c>
      <c r="AV20" s="452"/>
      <c r="AW20" s="453">
        <f t="shared" si="23"/>
        <v>78.48</v>
      </c>
      <c r="AX20" s="450">
        <f t="shared" si="6"/>
        <v>0.96774193548387111</v>
      </c>
      <c r="AY20" s="458"/>
      <c r="AZ20" s="560"/>
      <c r="BA20" s="452"/>
      <c r="BB20" s="453">
        <f t="shared" si="24"/>
        <v>0</v>
      </c>
      <c r="BC20" s="450">
        <f t="shared" si="7"/>
        <v>0</v>
      </c>
      <c r="BD20" s="458"/>
      <c r="BE20" s="1659"/>
      <c r="BF20" s="1447"/>
      <c r="BG20" s="1567">
        <f t="shared" si="25"/>
        <v>0</v>
      </c>
      <c r="BH20" s="1893">
        <f t="shared" si="8"/>
        <v>0</v>
      </c>
      <c r="BI20" s="1605"/>
      <c r="BJ20" s="39">
        <f t="shared" si="9"/>
        <v>3187.982</v>
      </c>
      <c r="BK20" s="39">
        <f t="shared" si="10"/>
        <v>0</v>
      </c>
      <c r="BL20" s="210">
        <f t="shared" si="26"/>
        <v>3187.982</v>
      </c>
      <c r="BM20" s="178">
        <f t="shared" si="3"/>
        <v>6.9253321237426162E-3</v>
      </c>
      <c r="BN20" s="42"/>
    </row>
    <row r="21" spans="1:66" s="2" customFormat="1" ht="24" x14ac:dyDescent="0.25">
      <c r="A21" s="238"/>
      <c r="B21" s="7" t="s">
        <v>58</v>
      </c>
      <c r="C21" s="114"/>
      <c r="D21" s="113"/>
      <c r="E21" s="106">
        <f t="shared" si="4"/>
        <v>0</v>
      </c>
      <c r="F21" s="177" t="e">
        <f t="shared" si="0"/>
        <v>#DIV/0!</v>
      </c>
      <c r="G21" s="39"/>
      <c r="H21" s="39"/>
      <c r="I21" s="210">
        <f t="shared" si="11"/>
        <v>0</v>
      </c>
      <c r="J21" s="178">
        <f t="shared" si="1"/>
        <v>0</v>
      </c>
      <c r="K21" s="42"/>
      <c r="L21" s="39">
        <f>9316.67*1.2</f>
        <v>11180.003999999999</v>
      </c>
      <c r="M21" s="39"/>
      <c r="N21" s="210">
        <f t="shared" si="12"/>
        <v>11180.003999999999</v>
      </c>
      <c r="O21" s="178">
        <f t="shared" si="2"/>
        <v>7.4387272709343366E-2</v>
      </c>
      <c r="P21" s="422" t="s">
        <v>556</v>
      </c>
      <c r="Q21" s="39"/>
      <c r="R21" s="39"/>
      <c r="S21" s="210">
        <f t="shared" si="13"/>
        <v>0</v>
      </c>
      <c r="T21" s="178">
        <f t="shared" si="27"/>
        <v>0</v>
      </c>
      <c r="U21" s="388"/>
      <c r="V21" s="39"/>
      <c r="W21" s="39"/>
      <c r="X21" s="210">
        <f t="shared" si="14"/>
        <v>0</v>
      </c>
      <c r="Y21" s="178">
        <f t="shared" si="15"/>
        <v>0</v>
      </c>
      <c r="Z21" s="388"/>
      <c r="AA21" s="39"/>
      <c r="AB21" s="39"/>
      <c r="AC21" s="210">
        <f t="shared" si="16"/>
        <v>0</v>
      </c>
      <c r="AD21" s="178">
        <f t="shared" si="17"/>
        <v>0</v>
      </c>
      <c r="AE21" s="730"/>
      <c r="AF21" s="560"/>
      <c r="AG21" s="452"/>
      <c r="AH21" s="453">
        <f t="shared" si="18"/>
        <v>0</v>
      </c>
      <c r="AI21" s="450">
        <f t="shared" si="19"/>
        <v>0</v>
      </c>
      <c r="AJ21" s="458"/>
      <c r="AK21" s="560"/>
      <c r="AL21" s="452"/>
      <c r="AM21" s="453">
        <f t="shared" si="20"/>
        <v>0</v>
      </c>
      <c r="AN21" s="450">
        <f t="shared" si="21"/>
        <v>0</v>
      </c>
      <c r="AO21" s="458"/>
      <c r="AP21" s="560"/>
      <c r="AQ21" s="452"/>
      <c r="AR21" s="453">
        <f t="shared" si="22"/>
        <v>0</v>
      </c>
      <c r="AS21" s="450">
        <f t="shared" si="5"/>
        <v>0</v>
      </c>
      <c r="AT21" s="458"/>
      <c r="AU21" s="560"/>
      <c r="AV21" s="452"/>
      <c r="AW21" s="453">
        <f t="shared" si="23"/>
        <v>0</v>
      </c>
      <c r="AX21" s="450">
        <f t="shared" si="6"/>
        <v>0</v>
      </c>
      <c r="AY21" s="458"/>
      <c r="AZ21" s="560"/>
      <c r="BA21" s="452"/>
      <c r="BB21" s="453">
        <f t="shared" si="24"/>
        <v>0</v>
      </c>
      <c r="BC21" s="450">
        <f t="shared" si="7"/>
        <v>0</v>
      </c>
      <c r="BD21" s="458"/>
      <c r="BE21" s="1659"/>
      <c r="BF21" s="1447"/>
      <c r="BG21" s="1567">
        <f t="shared" si="25"/>
        <v>0</v>
      </c>
      <c r="BH21" s="1893">
        <f t="shared" si="8"/>
        <v>0</v>
      </c>
      <c r="BI21" s="1605"/>
      <c r="BJ21" s="39">
        <f t="shared" si="9"/>
        <v>11180.003999999999</v>
      </c>
      <c r="BK21" s="39">
        <f t="shared" si="10"/>
        <v>0</v>
      </c>
      <c r="BL21" s="210">
        <f t="shared" si="26"/>
        <v>11180.003999999999</v>
      </c>
      <c r="BM21" s="178">
        <f t="shared" si="3"/>
        <v>2.4286599122821564E-2</v>
      </c>
      <c r="BN21" s="42"/>
    </row>
    <row r="22" spans="1:66" s="2" customFormat="1" ht="31.2" customHeight="1" x14ac:dyDescent="0.25">
      <c r="A22" s="238"/>
      <c r="B22" s="7" t="s">
        <v>621</v>
      </c>
      <c r="C22" s="114"/>
      <c r="D22" s="445"/>
      <c r="E22" s="446"/>
      <c r="F22" s="447"/>
      <c r="G22" s="452"/>
      <c r="H22" s="452"/>
      <c r="I22" s="453"/>
      <c r="J22" s="450"/>
      <c r="K22" s="456"/>
      <c r="L22" s="452"/>
      <c r="M22" s="452"/>
      <c r="N22" s="453"/>
      <c r="O22" s="178">
        <f t="shared" si="2"/>
        <v>0</v>
      </c>
      <c r="P22" s="461"/>
      <c r="Q22" s="452">
        <f>4366.67*1.2</f>
        <v>5240.0039999999999</v>
      </c>
      <c r="R22" s="452"/>
      <c r="S22" s="210">
        <f t="shared" si="13"/>
        <v>5240.0039999999999</v>
      </c>
      <c r="T22" s="178">
        <f t="shared" si="27"/>
        <v>2.9027536759686962E-2</v>
      </c>
      <c r="U22" s="388" t="s">
        <v>682</v>
      </c>
      <c r="V22" s="452"/>
      <c r="W22" s="452"/>
      <c r="X22" s="210">
        <f t="shared" si="14"/>
        <v>0</v>
      </c>
      <c r="Y22" s="178">
        <f t="shared" si="15"/>
        <v>0</v>
      </c>
      <c r="Z22" s="388"/>
      <c r="AA22" s="452"/>
      <c r="AB22" s="452"/>
      <c r="AC22" s="210">
        <f t="shared" si="16"/>
        <v>0</v>
      </c>
      <c r="AD22" s="178">
        <f t="shared" si="17"/>
        <v>0</v>
      </c>
      <c r="AE22" s="730"/>
      <c r="AF22" s="560"/>
      <c r="AG22" s="452"/>
      <c r="AH22" s="453">
        <f t="shared" si="18"/>
        <v>0</v>
      </c>
      <c r="AI22" s="450">
        <f t="shared" si="19"/>
        <v>0</v>
      </c>
      <c r="AJ22" s="458"/>
      <c r="AK22" s="560"/>
      <c r="AL22" s="452"/>
      <c r="AM22" s="453">
        <f t="shared" si="20"/>
        <v>0</v>
      </c>
      <c r="AN22" s="450">
        <f t="shared" si="21"/>
        <v>0</v>
      </c>
      <c r="AO22" s="458"/>
      <c r="AP22" s="560"/>
      <c r="AQ22" s="452"/>
      <c r="AR22" s="453">
        <f t="shared" si="22"/>
        <v>0</v>
      </c>
      <c r="AS22" s="450">
        <f t="shared" si="5"/>
        <v>0</v>
      </c>
      <c r="AT22" s="458"/>
      <c r="AU22" s="560"/>
      <c r="AV22" s="452"/>
      <c r="AW22" s="453">
        <f t="shared" si="23"/>
        <v>0</v>
      </c>
      <c r="AX22" s="450">
        <f t="shared" si="6"/>
        <v>0</v>
      </c>
      <c r="AY22" s="458"/>
      <c r="AZ22" s="560"/>
      <c r="BA22" s="452"/>
      <c r="BB22" s="453">
        <f t="shared" si="24"/>
        <v>0</v>
      </c>
      <c r="BC22" s="450">
        <f t="shared" si="7"/>
        <v>0</v>
      </c>
      <c r="BD22" s="458"/>
      <c r="BE22" s="1659"/>
      <c r="BF22" s="1447"/>
      <c r="BG22" s="1567">
        <f t="shared" si="25"/>
        <v>0</v>
      </c>
      <c r="BH22" s="1893">
        <f t="shared" si="8"/>
        <v>0</v>
      </c>
      <c r="BI22" s="1605"/>
      <c r="BJ22" s="39">
        <f t="shared" si="9"/>
        <v>5240.0039999999999</v>
      </c>
      <c r="BK22" s="39">
        <f t="shared" si="10"/>
        <v>0</v>
      </c>
      <c r="BL22" s="210">
        <f t="shared" si="26"/>
        <v>5240.0039999999999</v>
      </c>
      <c r="BM22" s="178">
        <f t="shared" si="3"/>
        <v>1.1382990252059078E-2</v>
      </c>
      <c r="BN22" s="456"/>
    </row>
    <row r="23" spans="1:66" s="2" customFormat="1" ht="13.8" x14ac:dyDescent="0.25">
      <c r="A23" s="238"/>
      <c r="B23" s="471" t="s">
        <v>630</v>
      </c>
      <c r="C23" s="114"/>
      <c r="D23" s="445"/>
      <c r="E23" s="446"/>
      <c r="F23" s="447"/>
      <c r="G23" s="452"/>
      <c r="H23" s="452"/>
      <c r="I23" s="453"/>
      <c r="J23" s="450"/>
      <c r="K23" s="456"/>
      <c r="L23" s="452"/>
      <c r="M23" s="452"/>
      <c r="N23" s="453"/>
      <c r="O23" s="450"/>
      <c r="P23" s="461"/>
      <c r="Q23" s="452"/>
      <c r="R23" s="452"/>
      <c r="S23" s="210">
        <f t="shared" si="13"/>
        <v>0</v>
      </c>
      <c r="T23" s="178">
        <f t="shared" si="27"/>
        <v>0</v>
      </c>
      <c r="U23" s="388"/>
      <c r="V23" s="452"/>
      <c r="W23" s="452"/>
      <c r="X23" s="210">
        <f t="shared" si="14"/>
        <v>0</v>
      </c>
      <c r="Y23" s="178">
        <f t="shared" si="15"/>
        <v>0</v>
      </c>
      <c r="Z23" s="388"/>
      <c r="AA23" s="452"/>
      <c r="AB23" s="452"/>
      <c r="AC23" s="210">
        <f t="shared" si="16"/>
        <v>0</v>
      </c>
      <c r="AD23" s="178">
        <f t="shared" si="17"/>
        <v>0</v>
      </c>
      <c r="AE23" s="730"/>
      <c r="AF23" s="560"/>
      <c r="AG23" s="452"/>
      <c r="AH23" s="453">
        <f t="shared" si="18"/>
        <v>0</v>
      </c>
      <c r="AI23" s="450">
        <f t="shared" si="19"/>
        <v>0</v>
      </c>
      <c r="AJ23" s="458"/>
      <c r="AK23" s="560"/>
      <c r="AL23" s="452"/>
      <c r="AM23" s="453">
        <f t="shared" si="20"/>
        <v>0</v>
      </c>
      <c r="AN23" s="450">
        <f t="shared" si="21"/>
        <v>0</v>
      </c>
      <c r="AO23" s="458"/>
      <c r="AP23" s="560"/>
      <c r="AQ23" s="452"/>
      <c r="AR23" s="453">
        <f t="shared" si="22"/>
        <v>0</v>
      </c>
      <c r="AS23" s="450">
        <f t="shared" si="5"/>
        <v>0</v>
      </c>
      <c r="AT23" s="458"/>
      <c r="AU23" s="560"/>
      <c r="AV23" s="452"/>
      <c r="AW23" s="453">
        <f t="shared" si="23"/>
        <v>0</v>
      </c>
      <c r="AX23" s="450">
        <f t="shared" si="6"/>
        <v>0</v>
      </c>
      <c r="AY23" s="458"/>
      <c r="AZ23" s="560"/>
      <c r="BA23" s="452"/>
      <c r="BB23" s="453">
        <f t="shared" si="24"/>
        <v>0</v>
      </c>
      <c r="BC23" s="450">
        <f t="shared" si="7"/>
        <v>0</v>
      </c>
      <c r="BD23" s="458"/>
      <c r="BE23" s="1659"/>
      <c r="BF23" s="1447"/>
      <c r="BG23" s="1567">
        <f t="shared" si="25"/>
        <v>0</v>
      </c>
      <c r="BH23" s="1893">
        <f t="shared" si="8"/>
        <v>0</v>
      </c>
      <c r="BI23" s="1605"/>
      <c r="BJ23" s="39">
        <f t="shared" si="9"/>
        <v>0</v>
      </c>
      <c r="BK23" s="39">
        <f t="shared" si="10"/>
        <v>0</v>
      </c>
      <c r="BL23" s="210">
        <f t="shared" si="26"/>
        <v>0</v>
      </c>
      <c r="BM23" s="178">
        <f t="shared" si="3"/>
        <v>0</v>
      </c>
      <c r="BN23" s="456"/>
    </row>
    <row r="24" spans="1:66" s="2" customFormat="1" ht="13.8" x14ac:dyDescent="0.25">
      <c r="A24" s="238"/>
      <c r="B24" s="7" t="s">
        <v>23</v>
      </c>
      <c r="C24" s="114"/>
      <c r="D24" s="113"/>
      <c r="E24" s="106">
        <f t="shared" si="4"/>
        <v>0</v>
      </c>
      <c r="F24" s="177" t="e">
        <f t="shared" ref="F24:F33" si="28">E24/$E$89</f>
        <v>#DIV/0!</v>
      </c>
      <c r="G24" s="39"/>
      <c r="H24" s="39"/>
      <c r="I24" s="210">
        <f t="shared" si="11"/>
        <v>0</v>
      </c>
      <c r="J24" s="178">
        <f t="shared" ref="J24:J33" si="29">I24/$I$89</f>
        <v>0</v>
      </c>
      <c r="K24" s="42"/>
      <c r="L24" s="39">
        <f>1858.34*1.2</f>
        <v>2230.0079999999998</v>
      </c>
      <c r="M24" s="39"/>
      <c r="N24" s="210">
        <f t="shared" si="12"/>
        <v>2230.0079999999998</v>
      </c>
      <c r="O24" s="178">
        <f t="shared" ref="O24:O33" si="30">N24/$N$89</f>
        <v>1.4837580848809838E-2</v>
      </c>
      <c r="P24" s="432" t="s">
        <v>557</v>
      </c>
      <c r="Q24" s="39">
        <f>550+2000</f>
        <v>2550</v>
      </c>
      <c r="R24" s="39"/>
      <c r="S24" s="210">
        <f t="shared" si="13"/>
        <v>2550</v>
      </c>
      <c r="T24" s="178">
        <f t="shared" si="27"/>
        <v>1.4125985159019298E-2</v>
      </c>
      <c r="U24" s="388" t="s">
        <v>684</v>
      </c>
      <c r="V24" s="39"/>
      <c r="W24" s="39"/>
      <c r="X24" s="210">
        <f t="shared" si="14"/>
        <v>0</v>
      </c>
      <c r="Y24" s="178">
        <f t="shared" si="15"/>
        <v>0</v>
      </c>
      <c r="Z24" s="388"/>
      <c r="AA24" s="39"/>
      <c r="AB24" s="39"/>
      <c r="AC24" s="210">
        <f t="shared" si="16"/>
        <v>0</v>
      </c>
      <c r="AD24" s="178">
        <f t="shared" si="17"/>
        <v>0</v>
      </c>
      <c r="AE24" s="730"/>
      <c r="AF24" s="560"/>
      <c r="AG24" s="452"/>
      <c r="AH24" s="453">
        <f t="shared" si="18"/>
        <v>0</v>
      </c>
      <c r="AI24" s="450">
        <f t="shared" si="19"/>
        <v>0</v>
      </c>
      <c r="AJ24" s="458"/>
      <c r="AK24" s="560"/>
      <c r="AL24" s="452">
        <v>4500</v>
      </c>
      <c r="AM24" s="453">
        <f t="shared" si="20"/>
        <v>4500</v>
      </c>
      <c r="AN24" s="450">
        <f t="shared" si="21"/>
        <v>4.6313449425713227</v>
      </c>
      <c r="AO24" s="452" t="s">
        <v>890</v>
      </c>
      <c r="AP24" s="560"/>
      <c r="AQ24" s="452"/>
      <c r="AR24" s="453">
        <f t="shared" si="22"/>
        <v>0</v>
      </c>
      <c r="AS24" s="450">
        <f t="shared" si="5"/>
        <v>0</v>
      </c>
      <c r="AT24" s="452"/>
      <c r="AU24" s="560"/>
      <c r="AV24" s="452"/>
      <c r="AW24" s="453">
        <f t="shared" si="23"/>
        <v>0</v>
      </c>
      <c r="AX24" s="450">
        <f t="shared" si="6"/>
        <v>0</v>
      </c>
      <c r="AY24" s="452"/>
      <c r="AZ24" s="560"/>
      <c r="BA24" s="452"/>
      <c r="BB24" s="453">
        <f t="shared" si="24"/>
        <v>0</v>
      </c>
      <c r="BC24" s="450">
        <f t="shared" si="7"/>
        <v>0</v>
      </c>
      <c r="BD24" s="452"/>
      <c r="BE24" s="1659"/>
      <c r="BF24" s="1447"/>
      <c r="BG24" s="1567">
        <f t="shared" si="25"/>
        <v>0</v>
      </c>
      <c r="BH24" s="1893">
        <f t="shared" si="8"/>
        <v>0</v>
      </c>
      <c r="BI24" s="1447"/>
      <c r="BJ24" s="39">
        <f t="shared" si="9"/>
        <v>4780.0079999999998</v>
      </c>
      <c r="BK24" s="39">
        <f t="shared" si="10"/>
        <v>4500</v>
      </c>
      <c r="BL24" s="210">
        <f t="shared" si="26"/>
        <v>9280.0079999999998</v>
      </c>
      <c r="BM24" s="178">
        <f t="shared" si="3"/>
        <v>2.0159190833257047E-2</v>
      </c>
      <c r="BN24" s="42"/>
    </row>
    <row r="25" spans="1:66" s="2" customFormat="1" ht="27.6" x14ac:dyDescent="0.25">
      <c r="A25" s="238"/>
      <c r="B25" s="7" t="s">
        <v>24</v>
      </c>
      <c r="C25" s="114"/>
      <c r="D25" s="113"/>
      <c r="E25" s="106">
        <f t="shared" si="4"/>
        <v>0</v>
      </c>
      <c r="F25" s="177" t="e">
        <f t="shared" si="28"/>
        <v>#DIV/0!</v>
      </c>
      <c r="G25" s="39"/>
      <c r="H25" s="39"/>
      <c r="I25" s="210">
        <f t="shared" si="11"/>
        <v>0</v>
      </c>
      <c r="J25" s="178">
        <f t="shared" si="29"/>
        <v>0</v>
      </c>
      <c r="K25" s="42"/>
      <c r="L25" s="39">
        <f>820*1.2</f>
        <v>984</v>
      </c>
      <c r="M25" s="39"/>
      <c r="N25" s="210">
        <f t="shared" si="12"/>
        <v>984</v>
      </c>
      <c r="O25" s="178">
        <f t="shared" si="30"/>
        <v>6.547142232327813E-3</v>
      </c>
      <c r="P25" s="426"/>
      <c r="Q25" s="39">
        <f>1760.86*1.2</f>
        <v>2113.0319999999997</v>
      </c>
      <c r="R25" s="39"/>
      <c r="S25" s="210">
        <f t="shared" si="13"/>
        <v>2113.0319999999997</v>
      </c>
      <c r="T25" s="178">
        <f t="shared" si="27"/>
        <v>1.1705356342169749E-2</v>
      </c>
      <c r="U25" s="388" t="s">
        <v>648</v>
      </c>
      <c r="V25" s="39"/>
      <c r="W25" s="39"/>
      <c r="X25" s="210">
        <f t="shared" si="14"/>
        <v>0</v>
      </c>
      <c r="Y25" s="178">
        <f t="shared" si="15"/>
        <v>0</v>
      </c>
      <c r="Z25" s="388"/>
      <c r="AA25" s="39"/>
      <c r="AB25" s="39"/>
      <c r="AC25" s="210">
        <f t="shared" si="16"/>
        <v>0</v>
      </c>
      <c r="AD25" s="178">
        <f t="shared" si="17"/>
        <v>0</v>
      </c>
      <c r="AE25" s="730"/>
      <c r="AF25" s="560"/>
      <c r="AG25" s="452"/>
      <c r="AH25" s="453">
        <f t="shared" si="18"/>
        <v>0</v>
      </c>
      <c r="AI25" s="450">
        <f t="shared" si="19"/>
        <v>0</v>
      </c>
      <c r="AJ25" s="458"/>
      <c r="AK25" s="560"/>
      <c r="AL25" s="452"/>
      <c r="AM25" s="453">
        <f t="shared" si="20"/>
        <v>0</v>
      </c>
      <c r="AN25" s="450">
        <f t="shared" si="21"/>
        <v>0</v>
      </c>
      <c r="AO25" s="458"/>
      <c r="AP25" s="560"/>
      <c r="AQ25" s="452"/>
      <c r="AR25" s="453">
        <f t="shared" si="22"/>
        <v>0</v>
      </c>
      <c r="AS25" s="450">
        <f t="shared" si="5"/>
        <v>0</v>
      </c>
      <c r="AT25" s="458"/>
      <c r="AU25" s="560"/>
      <c r="AV25" s="452"/>
      <c r="AW25" s="453">
        <f t="shared" si="23"/>
        <v>0</v>
      </c>
      <c r="AX25" s="450">
        <f t="shared" si="6"/>
        <v>0</v>
      </c>
      <c r="AY25" s="458"/>
      <c r="AZ25" s="560"/>
      <c r="BA25" s="452"/>
      <c r="BB25" s="453">
        <f t="shared" si="24"/>
        <v>0</v>
      </c>
      <c r="BC25" s="450">
        <f t="shared" si="7"/>
        <v>0</v>
      </c>
      <c r="BD25" s="458"/>
      <c r="BE25" s="1884">
        <f>40595.82*1.2</f>
        <v>48714.983999999997</v>
      </c>
      <c r="BF25" s="1887"/>
      <c r="BG25" s="1888">
        <f t="shared" si="25"/>
        <v>48714.983999999997</v>
      </c>
      <c r="BH25" s="1923">
        <f t="shared" si="8"/>
        <v>0</v>
      </c>
      <c r="BI25" s="1886" t="s">
        <v>1552</v>
      </c>
      <c r="BJ25" s="39">
        <f t="shared" si="9"/>
        <v>51812.015999999996</v>
      </c>
      <c r="BK25" s="39">
        <f t="shared" si="10"/>
        <v>0</v>
      </c>
      <c r="BL25" s="210">
        <f t="shared" si="26"/>
        <v>51812.015999999996</v>
      </c>
      <c r="BM25" s="178">
        <f t="shared" si="3"/>
        <v>0.1125525234460754</v>
      </c>
      <c r="BN25" s="42"/>
    </row>
    <row r="26" spans="1:66" s="2" customFormat="1" ht="13.8" x14ac:dyDescent="0.25">
      <c r="A26" s="238"/>
      <c r="B26" s="7" t="s">
        <v>45</v>
      </c>
      <c r="C26" s="114"/>
      <c r="D26" s="113"/>
      <c r="E26" s="106">
        <f t="shared" si="4"/>
        <v>0</v>
      </c>
      <c r="F26" s="177" t="e">
        <f t="shared" si="28"/>
        <v>#DIV/0!</v>
      </c>
      <c r="G26" s="39"/>
      <c r="H26" s="39"/>
      <c r="I26" s="210">
        <f t="shared" si="11"/>
        <v>0</v>
      </c>
      <c r="J26" s="178">
        <f t="shared" si="29"/>
        <v>0</v>
      </c>
      <c r="K26" s="42"/>
      <c r="L26" s="39">
        <f>5239*1.2</f>
        <v>6286.8</v>
      </c>
      <c r="M26" s="39"/>
      <c r="N26" s="210">
        <f t="shared" si="12"/>
        <v>6286.8</v>
      </c>
      <c r="O26" s="178">
        <f t="shared" si="30"/>
        <v>4.1829851408738308E-2</v>
      </c>
      <c r="P26" s="426"/>
      <c r="Q26" s="39">
        <f>23392*1.2</f>
        <v>28070.399999999998</v>
      </c>
      <c r="R26" s="39"/>
      <c r="S26" s="210">
        <f t="shared" ref="S26:S33" si="31">Q26+R26*1</f>
        <v>28070.399999999998</v>
      </c>
      <c r="T26" s="178">
        <f t="shared" si="27"/>
        <v>0.15549884463048441</v>
      </c>
      <c r="U26" s="388"/>
      <c r="V26" s="39"/>
      <c r="W26" s="39"/>
      <c r="X26" s="210">
        <f t="shared" si="14"/>
        <v>0</v>
      </c>
      <c r="Y26" s="178">
        <f t="shared" si="15"/>
        <v>0</v>
      </c>
      <c r="Z26" s="388"/>
      <c r="AA26" s="39"/>
      <c r="AB26" s="39"/>
      <c r="AC26" s="210">
        <f t="shared" si="16"/>
        <v>0</v>
      </c>
      <c r="AD26" s="178">
        <f t="shared" si="17"/>
        <v>0</v>
      </c>
      <c r="AE26" s="730"/>
      <c r="AF26" s="560"/>
      <c r="AG26" s="452"/>
      <c r="AH26" s="453">
        <f t="shared" si="18"/>
        <v>0</v>
      </c>
      <c r="AI26" s="450">
        <f t="shared" si="19"/>
        <v>0</v>
      </c>
      <c r="AJ26" s="458"/>
      <c r="AK26" s="560"/>
      <c r="AL26" s="452"/>
      <c r="AM26" s="453">
        <f t="shared" si="20"/>
        <v>0</v>
      </c>
      <c r="AN26" s="450">
        <f t="shared" si="21"/>
        <v>0</v>
      </c>
      <c r="AO26" s="458"/>
      <c r="AP26" s="560"/>
      <c r="AQ26" s="452"/>
      <c r="AR26" s="453">
        <f t="shared" si="22"/>
        <v>0</v>
      </c>
      <c r="AS26" s="450">
        <f t="shared" si="5"/>
        <v>0</v>
      </c>
      <c r="AT26" s="458"/>
      <c r="AU26" s="560"/>
      <c r="AV26" s="452"/>
      <c r="AW26" s="453">
        <f t="shared" si="23"/>
        <v>0</v>
      </c>
      <c r="AX26" s="450">
        <f t="shared" si="6"/>
        <v>0</v>
      </c>
      <c r="AY26" s="458"/>
      <c r="AZ26" s="560">
        <f>22838.61*1.2</f>
        <v>27406.331999999999</v>
      </c>
      <c r="BA26" s="452"/>
      <c r="BB26" s="453">
        <f t="shared" si="24"/>
        <v>27406.331999999999</v>
      </c>
      <c r="BC26" s="450">
        <f t="shared" si="7"/>
        <v>337.94924533885768</v>
      </c>
      <c r="BD26" s="458" t="s">
        <v>1154</v>
      </c>
      <c r="BE26" s="1659"/>
      <c r="BF26" s="1447"/>
      <c r="BG26" s="1567">
        <f t="shared" si="25"/>
        <v>0</v>
      </c>
      <c r="BH26" s="1893">
        <f t="shared" si="8"/>
        <v>0</v>
      </c>
      <c r="BI26" s="1605"/>
      <c r="BJ26" s="39">
        <f t="shared" si="9"/>
        <v>61763.531999999992</v>
      </c>
      <c r="BK26" s="39">
        <f t="shared" si="10"/>
        <v>0</v>
      </c>
      <c r="BL26" s="210">
        <f t="shared" si="26"/>
        <v>61763.531999999992</v>
      </c>
      <c r="BM26" s="178">
        <f t="shared" ref="BM26:BM33" si="32">BL26/$BL$89</f>
        <v>0.13417044771124961</v>
      </c>
      <c r="BN26" s="42"/>
    </row>
    <row r="27" spans="1:66" s="2" customFormat="1" ht="13.8" x14ac:dyDescent="0.25">
      <c r="A27" s="238"/>
      <c r="B27" s="7" t="s">
        <v>25</v>
      </c>
      <c r="C27" s="114"/>
      <c r="D27" s="113"/>
      <c r="E27" s="106">
        <f t="shared" si="4"/>
        <v>0</v>
      </c>
      <c r="F27" s="177" t="e">
        <f t="shared" si="28"/>
        <v>#DIV/0!</v>
      </c>
      <c r="G27" s="39"/>
      <c r="H27" s="39"/>
      <c r="I27" s="210">
        <f t="shared" si="11"/>
        <v>0</v>
      </c>
      <c r="J27" s="178">
        <f t="shared" si="29"/>
        <v>0</v>
      </c>
      <c r="K27" s="42"/>
      <c r="L27" s="39"/>
      <c r="M27" s="39"/>
      <c r="N27" s="210">
        <f t="shared" si="12"/>
        <v>0</v>
      </c>
      <c r="O27" s="178">
        <f t="shared" si="30"/>
        <v>0</v>
      </c>
      <c r="P27" s="426"/>
      <c r="Q27" s="39"/>
      <c r="R27" s="39"/>
      <c r="S27" s="210">
        <f t="shared" si="31"/>
        <v>0</v>
      </c>
      <c r="T27" s="178">
        <f t="shared" si="27"/>
        <v>0</v>
      </c>
      <c r="U27" s="388"/>
      <c r="V27" s="39"/>
      <c r="W27" s="39"/>
      <c r="X27" s="210">
        <f t="shared" si="14"/>
        <v>0</v>
      </c>
      <c r="Y27" s="178">
        <f t="shared" si="15"/>
        <v>0</v>
      </c>
      <c r="Z27" s="388"/>
      <c r="AA27" s="39"/>
      <c r="AB27" s="39"/>
      <c r="AC27" s="210">
        <f t="shared" si="16"/>
        <v>0</v>
      </c>
      <c r="AD27" s="178">
        <f t="shared" si="17"/>
        <v>0</v>
      </c>
      <c r="AE27" s="730"/>
      <c r="AF27" s="560"/>
      <c r="AG27" s="452"/>
      <c r="AH27" s="453">
        <f t="shared" si="18"/>
        <v>0</v>
      </c>
      <c r="AI27" s="450">
        <f t="shared" si="19"/>
        <v>0</v>
      </c>
      <c r="AJ27" s="458"/>
      <c r="AK27" s="560"/>
      <c r="AL27" s="452"/>
      <c r="AM27" s="453">
        <f t="shared" si="20"/>
        <v>0</v>
      </c>
      <c r="AN27" s="450">
        <f t="shared" si="21"/>
        <v>0</v>
      </c>
      <c r="AO27" s="458"/>
      <c r="AP27" s="560"/>
      <c r="AQ27" s="452"/>
      <c r="AR27" s="453">
        <f t="shared" si="22"/>
        <v>0</v>
      </c>
      <c r="AS27" s="450">
        <f t="shared" si="5"/>
        <v>0</v>
      </c>
      <c r="AT27" s="458"/>
      <c r="AU27" s="560"/>
      <c r="AV27" s="452"/>
      <c r="AW27" s="453">
        <f t="shared" si="23"/>
        <v>0</v>
      </c>
      <c r="AX27" s="450">
        <f t="shared" si="6"/>
        <v>0</v>
      </c>
      <c r="AY27" s="458"/>
      <c r="AZ27" s="560"/>
      <c r="BA27" s="452"/>
      <c r="BB27" s="453">
        <f t="shared" si="24"/>
        <v>0</v>
      </c>
      <c r="BC27" s="450">
        <f t="shared" si="7"/>
        <v>0</v>
      </c>
      <c r="BD27" s="458"/>
      <c r="BE27" s="1659"/>
      <c r="BF27" s="1447"/>
      <c r="BG27" s="1567">
        <f t="shared" si="25"/>
        <v>0</v>
      </c>
      <c r="BH27" s="1893">
        <f t="shared" si="8"/>
        <v>0</v>
      </c>
      <c r="BI27" s="1605"/>
      <c r="BJ27" s="39">
        <f t="shared" si="9"/>
        <v>0</v>
      </c>
      <c r="BK27" s="39">
        <f t="shared" si="10"/>
        <v>0</v>
      </c>
      <c r="BL27" s="210">
        <f t="shared" si="26"/>
        <v>0</v>
      </c>
      <c r="BM27" s="178">
        <f t="shared" si="32"/>
        <v>0</v>
      </c>
      <c r="BN27" s="42"/>
    </row>
    <row r="28" spans="1:66" s="226" customFormat="1" ht="13.8" x14ac:dyDescent="0.25">
      <c r="A28" s="238"/>
      <c r="B28" s="262" t="s">
        <v>52</v>
      </c>
      <c r="C28" s="114"/>
      <c r="D28" s="113"/>
      <c r="E28" s="106">
        <f t="shared" si="4"/>
        <v>0</v>
      </c>
      <c r="F28" s="177" t="e">
        <f t="shared" si="28"/>
        <v>#DIV/0!</v>
      </c>
      <c r="G28" s="39"/>
      <c r="H28" s="39"/>
      <c r="I28" s="210">
        <f t="shared" si="11"/>
        <v>0</v>
      </c>
      <c r="J28" s="178">
        <f t="shared" si="29"/>
        <v>0</v>
      </c>
      <c r="K28" s="42"/>
      <c r="L28" s="39"/>
      <c r="M28" s="39"/>
      <c r="N28" s="210">
        <f t="shared" si="12"/>
        <v>0</v>
      </c>
      <c r="O28" s="178">
        <f t="shared" si="30"/>
        <v>0</v>
      </c>
      <c r="P28" s="426"/>
      <c r="Q28" s="39">
        <f>7350+16333.36*1.2</f>
        <v>26950.031999999999</v>
      </c>
      <c r="R28" s="39"/>
      <c r="S28" s="210">
        <f t="shared" si="31"/>
        <v>26950.031999999999</v>
      </c>
      <c r="T28" s="178">
        <f t="shared" si="27"/>
        <v>0.14929245179101772</v>
      </c>
      <c r="U28" s="388" t="s">
        <v>683</v>
      </c>
      <c r="V28" s="39"/>
      <c r="W28" s="39"/>
      <c r="X28" s="210">
        <f t="shared" si="14"/>
        <v>0</v>
      </c>
      <c r="Y28" s="178">
        <f t="shared" si="15"/>
        <v>0</v>
      </c>
      <c r="Z28" s="388"/>
      <c r="AA28" s="39">
        <v>125</v>
      </c>
      <c r="AB28" s="39"/>
      <c r="AC28" s="210">
        <f t="shared" si="16"/>
        <v>125</v>
      </c>
      <c r="AD28" s="178">
        <f t="shared" si="17"/>
        <v>0.22279654219766512</v>
      </c>
      <c r="AE28" s="730" t="s">
        <v>795</v>
      </c>
      <c r="AF28" s="560"/>
      <c r="AG28" s="452"/>
      <c r="AH28" s="453">
        <f t="shared" si="18"/>
        <v>0</v>
      </c>
      <c r="AI28" s="450">
        <f t="shared" si="19"/>
        <v>0</v>
      </c>
      <c r="AJ28" s="458"/>
      <c r="AK28" s="560"/>
      <c r="AL28" s="452"/>
      <c r="AM28" s="453">
        <f t="shared" si="20"/>
        <v>0</v>
      </c>
      <c r="AN28" s="450">
        <f t="shared" si="21"/>
        <v>0</v>
      </c>
      <c r="AO28" s="458"/>
      <c r="AP28" s="560"/>
      <c r="AQ28" s="452"/>
      <c r="AR28" s="453">
        <f t="shared" si="22"/>
        <v>0</v>
      </c>
      <c r="AS28" s="450">
        <f t="shared" si="5"/>
        <v>0</v>
      </c>
      <c r="AT28" s="458"/>
      <c r="AU28" s="560"/>
      <c r="AV28" s="452"/>
      <c r="AW28" s="453">
        <f t="shared" si="23"/>
        <v>0</v>
      </c>
      <c r="AX28" s="450">
        <f t="shared" si="6"/>
        <v>0</v>
      </c>
      <c r="AY28" s="458"/>
      <c r="AZ28" s="560"/>
      <c r="BA28" s="452"/>
      <c r="BB28" s="453">
        <f t="shared" si="24"/>
        <v>0</v>
      </c>
      <c r="BC28" s="450">
        <f t="shared" si="7"/>
        <v>0</v>
      </c>
      <c r="BD28" s="458"/>
      <c r="BE28" s="1659"/>
      <c r="BF28" s="1447"/>
      <c r="BG28" s="1567">
        <f t="shared" si="25"/>
        <v>0</v>
      </c>
      <c r="BH28" s="1893">
        <f t="shared" si="8"/>
        <v>0</v>
      </c>
      <c r="BI28" s="1605"/>
      <c r="BJ28" s="39">
        <f t="shared" si="9"/>
        <v>27075.031999999999</v>
      </c>
      <c r="BK28" s="39">
        <f t="shared" si="10"/>
        <v>0</v>
      </c>
      <c r="BL28" s="210">
        <f t="shared" si="26"/>
        <v>27075.031999999999</v>
      </c>
      <c r="BM28" s="178">
        <f t="shared" si="32"/>
        <v>5.8815761463194983E-2</v>
      </c>
      <c r="BN28" s="42"/>
    </row>
    <row r="29" spans="1:66" s="2" customFormat="1" ht="96.6" x14ac:dyDescent="0.25">
      <c r="A29" s="238"/>
      <c r="B29" s="7" t="s">
        <v>31</v>
      </c>
      <c r="C29" s="114"/>
      <c r="D29" s="113"/>
      <c r="E29" s="106">
        <f t="shared" si="4"/>
        <v>0</v>
      </c>
      <c r="F29" s="178" t="e">
        <f t="shared" si="28"/>
        <v>#DIV/0!</v>
      </c>
      <c r="G29" s="39">
        <f>3200+11918</f>
        <v>15118</v>
      </c>
      <c r="H29" s="39">
        <v>3900</v>
      </c>
      <c r="I29" s="210">
        <f t="shared" si="11"/>
        <v>19018</v>
      </c>
      <c r="J29" s="178">
        <f t="shared" si="29"/>
        <v>0.41202805171313805</v>
      </c>
      <c r="K29" s="261" t="s">
        <v>542</v>
      </c>
      <c r="L29" s="39">
        <v>4300</v>
      </c>
      <c r="M29" s="39">
        <f>2800</f>
        <v>2800</v>
      </c>
      <c r="N29" s="210">
        <f t="shared" si="12"/>
        <v>7100</v>
      </c>
      <c r="O29" s="178">
        <f t="shared" si="30"/>
        <v>4.7240558790170195E-2</v>
      </c>
      <c r="P29" s="417" t="s">
        <v>587</v>
      </c>
      <c r="Q29" s="39">
        <v>1700</v>
      </c>
      <c r="R29" s="39">
        <v>1300</v>
      </c>
      <c r="S29" s="210">
        <f t="shared" si="31"/>
        <v>3000</v>
      </c>
      <c r="T29" s="178">
        <f t="shared" si="27"/>
        <v>1.6618806069434468E-2</v>
      </c>
      <c r="U29" s="388" t="s">
        <v>703</v>
      </c>
      <c r="V29" s="39"/>
      <c r="W29" s="39"/>
      <c r="X29" s="210">
        <f t="shared" si="14"/>
        <v>0</v>
      </c>
      <c r="Y29" s="178">
        <f t="shared" si="15"/>
        <v>0</v>
      </c>
      <c r="Z29" s="388"/>
      <c r="AA29" s="39"/>
      <c r="AB29" s="39"/>
      <c r="AC29" s="210">
        <f t="shared" si="16"/>
        <v>0</v>
      </c>
      <c r="AD29" s="178">
        <f t="shared" si="17"/>
        <v>0</v>
      </c>
      <c r="AE29" s="730"/>
      <c r="AF29" s="560"/>
      <c r="AG29" s="452"/>
      <c r="AH29" s="453">
        <f t="shared" si="18"/>
        <v>0</v>
      </c>
      <c r="AI29" s="450">
        <f t="shared" si="19"/>
        <v>0</v>
      </c>
      <c r="AJ29" s="458"/>
      <c r="AK29" s="560"/>
      <c r="AL29" s="452"/>
      <c r="AM29" s="453">
        <f t="shared" si="20"/>
        <v>0</v>
      </c>
      <c r="AN29" s="450">
        <f t="shared" si="21"/>
        <v>0</v>
      </c>
      <c r="AO29" s="458"/>
      <c r="AP29" s="560"/>
      <c r="AQ29" s="452"/>
      <c r="AR29" s="453">
        <f t="shared" si="22"/>
        <v>0</v>
      </c>
      <c r="AS29" s="450">
        <f t="shared" si="5"/>
        <v>0</v>
      </c>
      <c r="AT29" s="458"/>
      <c r="AU29" s="560"/>
      <c r="AV29" s="452"/>
      <c r="AW29" s="453">
        <f t="shared" si="23"/>
        <v>0</v>
      </c>
      <c r="AX29" s="450">
        <f t="shared" si="6"/>
        <v>0</v>
      </c>
      <c r="AY29" s="458"/>
      <c r="AZ29" s="560"/>
      <c r="BA29" s="452"/>
      <c r="BB29" s="453">
        <f t="shared" si="24"/>
        <v>0</v>
      </c>
      <c r="BC29" s="450">
        <f t="shared" si="7"/>
        <v>0</v>
      </c>
      <c r="BD29" s="458"/>
      <c r="BE29" s="1659"/>
      <c r="BF29" s="1447"/>
      <c r="BG29" s="1567">
        <f t="shared" si="25"/>
        <v>0</v>
      </c>
      <c r="BH29" s="1893">
        <f t="shared" si="8"/>
        <v>0</v>
      </c>
      <c r="BI29" s="1605"/>
      <c r="BJ29" s="39">
        <f t="shared" si="9"/>
        <v>21118</v>
      </c>
      <c r="BK29" s="39">
        <f t="shared" si="10"/>
        <v>8000</v>
      </c>
      <c r="BL29" s="210">
        <f t="shared" si="26"/>
        <v>29118</v>
      </c>
      <c r="BM29" s="178">
        <f t="shared" si="32"/>
        <v>6.3253751363444799E-2</v>
      </c>
      <c r="BN29" s="79"/>
    </row>
    <row r="30" spans="1:66" s="2" customFormat="1" ht="55.2" x14ac:dyDescent="0.25">
      <c r="A30" s="238"/>
      <c r="B30" s="7" t="s">
        <v>62</v>
      </c>
      <c r="C30" s="114"/>
      <c r="D30" s="113"/>
      <c r="E30" s="106">
        <f t="shared" si="4"/>
        <v>0</v>
      </c>
      <c r="F30" s="178" t="e">
        <f t="shared" si="28"/>
        <v>#DIV/0!</v>
      </c>
      <c r="G30" s="39"/>
      <c r="H30" s="39"/>
      <c r="I30" s="210">
        <f t="shared" si="11"/>
        <v>0</v>
      </c>
      <c r="J30" s="178">
        <f t="shared" si="29"/>
        <v>0</v>
      </c>
      <c r="K30" s="79"/>
      <c r="L30" s="39"/>
      <c r="M30" s="39"/>
      <c r="N30" s="210">
        <f t="shared" si="12"/>
        <v>0</v>
      </c>
      <c r="O30" s="178">
        <f t="shared" si="30"/>
        <v>0</v>
      </c>
      <c r="P30" s="259"/>
      <c r="Q30" s="39"/>
      <c r="R30" s="39">
        <f>17500+1600</f>
        <v>19100</v>
      </c>
      <c r="S30" s="210">
        <f t="shared" si="31"/>
        <v>19100</v>
      </c>
      <c r="T30" s="178">
        <f t="shared" si="27"/>
        <v>0.10580639864206612</v>
      </c>
      <c r="U30" s="388" t="s">
        <v>704</v>
      </c>
      <c r="V30" s="39"/>
      <c r="W30" s="39"/>
      <c r="X30" s="210">
        <f t="shared" si="14"/>
        <v>0</v>
      </c>
      <c r="Y30" s="178">
        <f t="shared" si="15"/>
        <v>0</v>
      </c>
      <c r="Z30" s="388"/>
      <c r="AA30" s="39"/>
      <c r="AB30" s="39"/>
      <c r="AC30" s="210">
        <f t="shared" si="16"/>
        <v>0</v>
      </c>
      <c r="AD30" s="178">
        <f t="shared" si="17"/>
        <v>0</v>
      </c>
      <c r="AE30" s="730"/>
      <c r="AF30" s="560"/>
      <c r="AG30" s="452"/>
      <c r="AH30" s="453">
        <f t="shared" si="18"/>
        <v>0</v>
      </c>
      <c r="AI30" s="450">
        <f t="shared" si="19"/>
        <v>0</v>
      </c>
      <c r="AJ30" s="458"/>
      <c r="AK30" s="560"/>
      <c r="AL30" s="452"/>
      <c r="AM30" s="453">
        <f t="shared" si="20"/>
        <v>0</v>
      </c>
      <c r="AN30" s="450">
        <f t="shared" si="21"/>
        <v>0</v>
      </c>
      <c r="AO30" s="458"/>
      <c r="AP30" s="560"/>
      <c r="AQ30" s="452"/>
      <c r="AR30" s="453">
        <f t="shared" si="22"/>
        <v>0</v>
      </c>
      <c r="AS30" s="450">
        <f t="shared" si="5"/>
        <v>0</v>
      </c>
      <c r="AT30" s="458"/>
      <c r="AU30" s="560"/>
      <c r="AV30" s="452"/>
      <c r="AW30" s="453">
        <f t="shared" si="23"/>
        <v>0</v>
      </c>
      <c r="AX30" s="450">
        <f t="shared" si="6"/>
        <v>0</v>
      </c>
      <c r="AY30" s="458"/>
      <c r="AZ30" s="560"/>
      <c r="BA30" s="452"/>
      <c r="BB30" s="453">
        <f t="shared" si="24"/>
        <v>0</v>
      </c>
      <c r="BC30" s="450">
        <f t="shared" si="7"/>
        <v>0</v>
      </c>
      <c r="BD30" s="458"/>
      <c r="BE30" s="1659"/>
      <c r="BF30" s="1447"/>
      <c r="BG30" s="1567">
        <f t="shared" si="25"/>
        <v>0</v>
      </c>
      <c r="BH30" s="1893">
        <f t="shared" si="8"/>
        <v>0</v>
      </c>
      <c r="BI30" s="1605"/>
      <c r="BJ30" s="39">
        <f t="shared" si="9"/>
        <v>0</v>
      </c>
      <c r="BK30" s="39">
        <f t="shared" si="10"/>
        <v>19100</v>
      </c>
      <c r="BL30" s="210">
        <f t="shared" si="26"/>
        <v>19100</v>
      </c>
      <c r="BM30" s="178">
        <f t="shared" si="32"/>
        <v>4.1491402261205977E-2</v>
      </c>
      <c r="BN30" s="79"/>
    </row>
    <row r="31" spans="1:66" s="2" customFormat="1" ht="27.6" x14ac:dyDescent="0.25">
      <c r="A31" s="238"/>
      <c r="B31" s="7" t="s">
        <v>34</v>
      </c>
      <c r="C31" s="114"/>
      <c r="D31" s="128"/>
      <c r="E31" s="106">
        <f t="shared" si="4"/>
        <v>0</v>
      </c>
      <c r="F31" s="178" t="e">
        <f t="shared" si="28"/>
        <v>#DIV/0!</v>
      </c>
      <c r="G31" s="39"/>
      <c r="H31" s="39"/>
      <c r="I31" s="210">
        <f t="shared" si="11"/>
        <v>0</v>
      </c>
      <c r="J31" s="178">
        <f t="shared" si="29"/>
        <v>0</v>
      </c>
      <c r="K31" s="79"/>
      <c r="L31" s="39"/>
      <c r="M31" s="39">
        <v>435</v>
      </c>
      <c r="N31" s="210">
        <f t="shared" si="12"/>
        <v>435</v>
      </c>
      <c r="O31" s="178">
        <f t="shared" si="30"/>
        <v>2.8943159258766247E-3</v>
      </c>
      <c r="P31" s="439" t="s">
        <v>588</v>
      </c>
      <c r="Q31" s="39"/>
      <c r="R31" s="39">
        <v>1000</v>
      </c>
      <c r="S31" s="210">
        <f t="shared" si="31"/>
        <v>1000</v>
      </c>
      <c r="T31" s="178">
        <f t="shared" si="27"/>
        <v>5.5396020231448231E-3</v>
      </c>
      <c r="U31" s="388" t="s">
        <v>705</v>
      </c>
      <c r="V31" s="39"/>
      <c r="W31" s="39"/>
      <c r="X31" s="210">
        <f t="shared" si="14"/>
        <v>0</v>
      </c>
      <c r="Y31" s="178">
        <f t="shared" si="15"/>
        <v>0</v>
      </c>
      <c r="Z31" s="388"/>
      <c r="AA31" s="39"/>
      <c r="AB31" s="39"/>
      <c r="AC31" s="210">
        <f t="shared" si="16"/>
        <v>0</v>
      </c>
      <c r="AD31" s="178">
        <f t="shared" si="17"/>
        <v>0</v>
      </c>
      <c r="AE31" s="730"/>
      <c r="AF31" s="560"/>
      <c r="AG31" s="452"/>
      <c r="AH31" s="453">
        <f t="shared" si="18"/>
        <v>0</v>
      </c>
      <c r="AI31" s="450">
        <f t="shared" si="19"/>
        <v>0</v>
      </c>
      <c r="AJ31" s="458"/>
      <c r="AK31" s="560"/>
      <c r="AL31" s="452"/>
      <c r="AM31" s="453">
        <f t="shared" si="20"/>
        <v>0</v>
      </c>
      <c r="AN31" s="450">
        <f t="shared" si="21"/>
        <v>0</v>
      </c>
      <c r="AO31" s="458"/>
      <c r="AP31" s="560"/>
      <c r="AQ31" s="452"/>
      <c r="AR31" s="453">
        <f t="shared" si="22"/>
        <v>0</v>
      </c>
      <c r="AS31" s="450">
        <f t="shared" si="5"/>
        <v>0</v>
      </c>
      <c r="AT31" s="458"/>
      <c r="AU31" s="560"/>
      <c r="AV31" s="452"/>
      <c r="AW31" s="453">
        <f t="shared" si="23"/>
        <v>0</v>
      </c>
      <c r="AX31" s="450">
        <f t="shared" si="6"/>
        <v>0</v>
      </c>
      <c r="AY31" s="458"/>
      <c r="AZ31" s="560"/>
      <c r="BA31" s="452"/>
      <c r="BB31" s="453">
        <f t="shared" si="24"/>
        <v>0</v>
      </c>
      <c r="BC31" s="450">
        <f t="shared" si="7"/>
        <v>0</v>
      </c>
      <c r="BD31" s="458"/>
      <c r="BE31" s="1659"/>
      <c r="BF31" s="1447"/>
      <c r="BG31" s="1567">
        <f t="shared" si="25"/>
        <v>0</v>
      </c>
      <c r="BH31" s="1893">
        <f t="shared" si="8"/>
        <v>0</v>
      </c>
      <c r="BI31" s="1605"/>
      <c r="BJ31" s="39">
        <f t="shared" si="9"/>
        <v>0</v>
      </c>
      <c r="BK31" s="39">
        <f t="shared" si="10"/>
        <v>1435</v>
      </c>
      <c r="BL31" s="210">
        <f t="shared" si="26"/>
        <v>1435</v>
      </c>
      <c r="BM31" s="178">
        <f t="shared" si="32"/>
        <v>3.1172859814047427E-3</v>
      </c>
      <c r="BN31" s="79"/>
    </row>
    <row r="32" spans="1:66" s="2" customFormat="1" ht="13.8" x14ac:dyDescent="0.25">
      <c r="A32" s="238"/>
      <c r="B32" s="32" t="s">
        <v>2</v>
      </c>
      <c r="C32" s="115"/>
      <c r="D32" s="116"/>
      <c r="E32" s="106">
        <f t="shared" si="4"/>
        <v>0</v>
      </c>
      <c r="F32" s="178" t="e">
        <f t="shared" si="28"/>
        <v>#DIV/0!</v>
      </c>
      <c r="G32" s="39"/>
      <c r="H32" s="39"/>
      <c r="I32" s="210">
        <f t="shared" si="11"/>
        <v>0</v>
      </c>
      <c r="J32" s="178">
        <f t="shared" si="29"/>
        <v>0</v>
      </c>
      <c r="K32" s="79"/>
      <c r="L32" s="39"/>
      <c r="M32" s="39"/>
      <c r="N32" s="210">
        <f t="shared" si="12"/>
        <v>0</v>
      </c>
      <c r="O32" s="178">
        <f t="shared" si="30"/>
        <v>0</v>
      </c>
      <c r="P32" s="259"/>
      <c r="Q32" s="39"/>
      <c r="R32" s="39"/>
      <c r="S32" s="210">
        <f t="shared" si="31"/>
        <v>0</v>
      </c>
      <c r="T32" s="178">
        <f t="shared" si="27"/>
        <v>0</v>
      </c>
      <c r="U32" s="259"/>
      <c r="V32" s="39"/>
      <c r="W32" s="39"/>
      <c r="X32" s="210">
        <f t="shared" si="14"/>
        <v>0</v>
      </c>
      <c r="Y32" s="178">
        <f t="shared" si="15"/>
        <v>0</v>
      </c>
      <c r="Z32" s="259"/>
      <c r="AA32" s="39"/>
      <c r="AB32" s="39"/>
      <c r="AC32" s="210">
        <f t="shared" si="16"/>
        <v>0</v>
      </c>
      <c r="AD32" s="178">
        <f t="shared" si="17"/>
        <v>0</v>
      </c>
      <c r="AE32" s="731"/>
      <c r="AF32" s="560"/>
      <c r="AG32" s="452"/>
      <c r="AH32" s="453">
        <f t="shared" si="18"/>
        <v>0</v>
      </c>
      <c r="AI32" s="450">
        <f t="shared" si="19"/>
        <v>0</v>
      </c>
      <c r="AJ32" s="503"/>
      <c r="AK32" s="560"/>
      <c r="AL32" s="452"/>
      <c r="AM32" s="453">
        <f t="shared" si="20"/>
        <v>0</v>
      </c>
      <c r="AN32" s="450">
        <f t="shared" si="21"/>
        <v>0</v>
      </c>
      <c r="AO32" s="503"/>
      <c r="AP32" s="560"/>
      <c r="AQ32" s="452"/>
      <c r="AR32" s="453">
        <f t="shared" si="22"/>
        <v>0</v>
      </c>
      <c r="AS32" s="450">
        <f t="shared" si="5"/>
        <v>0</v>
      </c>
      <c r="AT32" s="503"/>
      <c r="AU32" s="560"/>
      <c r="AV32" s="452"/>
      <c r="AW32" s="453">
        <f t="shared" si="23"/>
        <v>0</v>
      </c>
      <c r="AX32" s="450">
        <f t="shared" si="6"/>
        <v>0</v>
      </c>
      <c r="AY32" s="503"/>
      <c r="AZ32" s="560"/>
      <c r="BA32" s="452"/>
      <c r="BB32" s="453">
        <f t="shared" si="24"/>
        <v>0</v>
      </c>
      <c r="BC32" s="450">
        <f t="shared" si="7"/>
        <v>0</v>
      </c>
      <c r="BD32" s="503"/>
      <c r="BE32" s="1659"/>
      <c r="BF32" s="1447"/>
      <c r="BG32" s="1567">
        <f t="shared" si="25"/>
        <v>0</v>
      </c>
      <c r="BH32" s="1893">
        <f t="shared" si="8"/>
        <v>0</v>
      </c>
      <c r="BI32" s="1896"/>
      <c r="BJ32" s="39">
        <f t="shared" si="9"/>
        <v>0</v>
      </c>
      <c r="BK32" s="39">
        <f t="shared" si="10"/>
        <v>0</v>
      </c>
      <c r="BL32" s="210">
        <f t="shared" si="26"/>
        <v>0</v>
      </c>
      <c r="BM32" s="178">
        <f t="shared" si="32"/>
        <v>0</v>
      </c>
      <c r="BN32" s="79"/>
    </row>
    <row r="33" spans="1:66" s="2" customFormat="1" ht="14.4" thickBot="1" x14ac:dyDescent="0.3">
      <c r="A33" s="238"/>
      <c r="B33" s="32" t="s">
        <v>75</v>
      </c>
      <c r="C33" s="115"/>
      <c r="D33" s="116"/>
      <c r="E33" s="106">
        <f t="shared" si="4"/>
        <v>0</v>
      </c>
      <c r="F33" s="178" t="e">
        <f t="shared" si="28"/>
        <v>#DIV/0!</v>
      </c>
      <c r="G33" s="39"/>
      <c r="H33" s="39"/>
      <c r="I33" s="210">
        <f t="shared" si="11"/>
        <v>0</v>
      </c>
      <c r="J33" s="178">
        <f t="shared" si="29"/>
        <v>0</v>
      </c>
      <c r="K33" s="79"/>
      <c r="L33" s="39"/>
      <c r="M33" s="39"/>
      <c r="N33" s="210">
        <f t="shared" si="12"/>
        <v>0</v>
      </c>
      <c r="O33" s="178">
        <f t="shared" si="30"/>
        <v>0</v>
      </c>
      <c r="P33" s="259"/>
      <c r="Q33" s="39"/>
      <c r="R33" s="39"/>
      <c r="S33" s="210">
        <f t="shared" si="31"/>
        <v>0</v>
      </c>
      <c r="T33" s="178">
        <f t="shared" si="27"/>
        <v>0</v>
      </c>
      <c r="U33" s="259"/>
      <c r="V33" s="39"/>
      <c r="W33" s="39"/>
      <c r="X33" s="210">
        <f t="shared" si="14"/>
        <v>0</v>
      </c>
      <c r="Y33" s="178">
        <f t="shared" si="15"/>
        <v>0</v>
      </c>
      <c r="Z33" s="259"/>
      <c r="AA33" s="39"/>
      <c r="AB33" s="39"/>
      <c r="AC33" s="210">
        <f t="shared" si="16"/>
        <v>0</v>
      </c>
      <c r="AD33" s="178">
        <f t="shared" si="17"/>
        <v>0</v>
      </c>
      <c r="AE33" s="731"/>
      <c r="AF33" s="560"/>
      <c r="AG33" s="452"/>
      <c r="AH33" s="453">
        <f t="shared" si="18"/>
        <v>0</v>
      </c>
      <c r="AI33" s="450">
        <f t="shared" si="19"/>
        <v>0</v>
      </c>
      <c r="AJ33" s="503"/>
      <c r="AK33" s="560"/>
      <c r="AL33" s="452"/>
      <c r="AM33" s="453">
        <f t="shared" si="20"/>
        <v>0</v>
      </c>
      <c r="AN33" s="450">
        <f t="shared" si="21"/>
        <v>0</v>
      </c>
      <c r="AO33" s="503"/>
      <c r="AP33" s="560"/>
      <c r="AQ33" s="452"/>
      <c r="AR33" s="453">
        <f t="shared" si="22"/>
        <v>0</v>
      </c>
      <c r="AS33" s="450">
        <f t="shared" si="5"/>
        <v>0</v>
      </c>
      <c r="AT33" s="503"/>
      <c r="AU33" s="560"/>
      <c r="AV33" s="452"/>
      <c r="AW33" s="453">
        <f t="shared" si="23"/>
        <v>0</v>
      </c>
      <c r="AX33" s="450">
        <f t="shared" si="6"/>
        <v>0</v>
      </c>
      <c r="AY33" s="503"/>
      <c r="AZ33" s="560"/>
      <c r="BA33" s="452"/>
      <c r="BB33" s="453">
        <f t="shared" si="24"/>
        <v>0</v>
      </c>
      <c r="BC33" s="450">
        <f t="shared" si="7"/>
        <v>0</v>
      </c>
      <c r="BD33" s="503"/>
      <c r="BE33" s="1659"/>
      <c r="BF33" s="1447"/>
      <c r="BG33" s="1567">
        <f t="shared" si="25"/>
        <v>0</v>
      </c>
      <c r="BH33" s="1893">
        <f t="shared" si="8"/>
        <v>0</v>
      </c>
      <c r="BI33" s="1896"/>
      <c r="BJ33" s="39">
        <f t="shared" si="9"/>
        <v>0</v>
      </c>
      <c r="BK33" s="39">
        <f t="shared" si="10"/>
        <v>0</v>
      </c>
      <c r="BL33" s="210">
        <f t="shared" si="26"/>
        <v>0</v>
      </c>
      <c r="BM33" s="178">
        <f t="shared" si="32"/>
        <v>0</v>
      </c>
      <c r="BN33" s="79"/>
    </row>
    <row r="34" spans="1:66" s="2" customFormat="1" ht="13.8" x14ac:dyDescent="0.25">
      <c r="A34" s="238"/>
      <c r="B34" s="12"/>
      <c r="C34" s="46"/>
      <c r="D34" s="47"/>
      <c r="E34" s="48"/>
      <c r="F34" s="179"/>
      <c r="G34" s="39"/>
      <c r="H34" s="39"/>
      <c r="I34" s="48"/>
      <c r="J34" s="48"/>
      <c r="K34" s="48"/>
      <c r="L34" s="39"/>
      <c r="M34" s="39"/>
      <c r="N34" s="48"/>
      <c r="O34" s="48"/>
      <c r="P34" s="48"/>
      <c r="Q34" s="39"/>
      <c r="R34" s="39"/>
      <c r="S34" s="48"/>
      <c r="T34" s="48"/>
      <c r="U34" s="48"/>
      <c r="V34" s="39"/>
      <c r="W34" s="39"/>
      <c r="X34" s="48"/>
      <c r="Y34" s="48"/>
      <c r="Z34" s="48"/>
      <c r="AA34" s="39"/>
      <c r="AB34" s="39"/>
      <c r="AC34" s="48"/>
      <c r="AD34" s="48"/>
      <c r="AE34" s="543"/>
      <c r="AF34" s="560"/>
      <c r="AG34" s="452"/>
      <c r="AH34" s="657"/>
      <c r="AI34" s="657"/>
      <c r="AJ34" s="657"/>
      <c r="AK34" s="560"/>
      <c r="AL34" s="452"/>
      <c r="AM34" s="657"/>
      <c r="AN34" s="657"/>
      <c r="AO34" s="657"/>
      <c r="AP34" s="560"/>
      <c r="AQ34" s="452"/>
      <c r="AR34" s="657"/>
      <c r="AS34" s="657">
        <f t="shared" si="5"/>
        <v>0</v>
      </c>
      <c r="AT34" s="657"/>
      <c r="AU34" s="560"/>
      <c r="AV34" s="452"/>
      <c r="AW34" s="657"/>
      <c r="AX34" s="657">
        <f t="shared" si="6"/>
        <v>0</v>
      </c>
      <c r="AY34" s="657"/>
      <c r="AZ34" s="560"/>
      <c r="BA34" s="452"/>
      <c r="BB34" s="657"/>
      <c r="BC34" s="657">
        <f t="shared" si="7"/>
        <v>0</v>
      </c>
      <c r="BD34" s="657"/>
      <c r="BE34" s="1659"/>
      <c r="BF34" s="1447"/>
      <c r="BG34" s="1451"/>
      <c r="BH34" s="1451">
        <f t="shared" si="8"/>
        <v>0</v>
      </c>
      <c r="BI34" s="1451"/>
      <c r="BJ34" s="39"/>
      <c r="BK34" s="39"/>
      <c r="BL34" s="48"/>
      <c r="BM34" s="48"/>
      <c r="BN34" s="48"/>
    </row>
    <row r="35" spans="1:66" s="88" customFormat="1" ht="13.8" x14ac:dyDescent="0.25">
      <c r="A35" s="238"/>
      <c r="B35" s="89" t="s">
        <v>80</v>
      </c>
      <c r="C35" s="90">
        <f>C36</f>
        <v>0</v>
      </c>
      <c r="D35" s="90">
        <f>D36</f>
        <v>0</v>
      </c>
      <c r="E35" s="91">
        <f>E36</f>
        <v>0</v>
      </c>
      <c r="F35" s="165" t="e">
        <f>E35/$E$89</f>
        <v>#DIV/0!</v>
      </c>
      <c r="G35" s="90">
        <f>G36</f>
        <v>0</v>
      </c>
      <c r="H35" s="90">
        <f>H36</f>
        <v>0</v>
      </c>
      <c r="I35" s="91">
        <f>I36</f>
        <v>0</v>
      </c>
      <c r="J35" s="91"/>
      <c r="K35" s="91"/>
      <c r="L35" s="90">
        <f>L36</f>
        <v>0</v>
      </c>
      <c r="M35" s="90">
        <f>M36</f>
        <v>0</v>
      </c>
      <c r="N35" s="91">
        <f>N36</f>
        <v>0</v>
      </c>
      <c r="O35" s="91"/>
      <c r="P35" s="404"/>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634"/>
      <c r="AF35" s="536">
        <f>AF36</f>
        <v>0</v>
      </c>
      <c r="AG35" s="536">
        <f>AG36</f>
        <v>0</v>
      </c>
      <c r="AH35" s="658">
        <f>AH36</f>
        <v>0</v>
      </c>
      <c r="AI35" s="658"/>
      <c r="AJ35" s="659"/>
      <c r="AK35" s="536">
        <f>AK36</f>
        <v>0</v>
      </c>
      <c r="AL35" s="536">
        <f>AL36</f>
        <v>0</v>
      </c>
      <c r="AM35" s="658">
        <f>AM36</f>
        <v>0</v>
      </c>
      <c r="AN35" s="658"/>
      <c r="AO35" s="659"/>
      <c r="AP35" s="536">
        <f>AP36</f>
        <v>0</v>
      </c>
      <c r="AQ35" s="536">
        <f>AQ36</f>
        <v>0</v>
      </c>
      <c r="AR35" s="658">
        <f>AR36</f>
        <v>0</v>
      </c>
      <c r="AS35" s="658">
        <f t="shared" si="5"/>
        <v>0</v>
      </c>
      <c r="AT35" s="659"/>
      <c r="AU35" s="536">
        <f>AU36</f>
        <v>0</v>
      </c>
      <c r="AV35" s="536">
        <f>AV36</f>
        <v>0</v>
      </c>
      <c r="AW35" s="658">
        <f>AW36</f>
        <v>0</v>
      </c>
      <c r="AX35" s="658">
        <f t="shared" si="6"/>
        <v>0</v>
      </c>
      <c r="AY35" s="659"/>
      <c r="AZ35" s="536">
        <f>AZ36</f>
        <v>0</v>
      </c>
      <c r="BA35" s="536">
        <f>BA36</f>
        <v>0</v>
      </c>
      <c r="BB35" s="658">
        <f>BB36</f>
        <v>0</v>
      </c>
      <c r="BC35" s="658">
        <f t="shared" si="7"/>
        <v>0</v>
      </c>
      <c r="BD35" s="659"/>
      <c r="BE35" s="1898">
        <f>BE36</f>
        <v>0</v>
      </c>
      <c r="BF35" s="1898">
        <f>BF36</f>
        <v>0</v>
      </c>
      <c r="BG35" s="1899">
        <f>BG36</f>
        <v>0</v>
      </c>
      <c r="BH35" s="1899">
        <f t="shared" si="8"/>
        <v>0</v>
      </c>
      <c r="BI35" s="1900"/>
      <c r="BJ35" s="90">
        <f>BJ36</f>
        <v>0</v>
      </c>
      <c r="BK35" s="90">
        <f>BK36</f>
        <v>0</v>
      </c>
      <c r="BL35" s="91">
        <f>BL36</f>
        <v>0</v>
      </c>
      <c r="BM35" s="91"/>
      <c r="BN35" s="91"/>
    </row>
    <row r="36" spans="1:66" s="226" customFormat="1" ht="13.8" x14ac:dyDescent="0.25">
      <c r="A36" s="238"/>
      <c r="B36" s="19" t="s">
        <v>81</v>
      </c>
      <c r="C36" s="43"/>
      <c r="D36" s="49"/>
      <c r="E36" s="106">
        <f>C36+D36</f>
        <v>0</v>
      </c>
      <c r="F36" s="178" t="e">
        <f>E36/$E$89</f>
        <v>#DIV/0!</v>
      </c>
      <c r="G36" s="39"/>
      <c r="H36" s="39"/>
      <c r="I36" s="106">
        <f>G36+H36*1</f>
        <v>0</v>
      </c>
      <c r="J36" s="178">
        <f>I36/$I$89</f>
        <v>0</v>
      </c>
      <c r="K36" s="45"/>
      <c r="L36" s="39"/>
      <c r="M36" s="39"/>
      <c r="N36" s="106">
        <f>L36+M36*1</f>
        <v>0</v>
      </c>
      <c r="O36" s="178">
        <f>N36/$N$89</f>
        <v>0</v>
      </c>
      <c r="P36" s="405"/>
      <c r="Q36" s="39"/>
      <c r="R36" s="39"/>
      <c r="S36" s="106">
        <f>Q36+R36*1</f>
        <v>0</v>
      </c>
      <c r="T36" s="178">
        <f>S36/$S$89</f>
        <v>0</v>
      </c>
      <c r="U36" s="405"/>
      <c r="V36" s="39"/>
      <c r="W36" s="39"/>
      <c r="X36" s="106">
        <f>V36+W36*1</f>
        <v>0</v>
      </c>
      <c r="Y36" s="178">
        <f>X36/$S$89</f>
        <v>0</v>
      </c>
      <c r="Z36" s="405"/>
      <c r="AA36" s="39"/>
      <c r="AB36" s="39"/>
      <c r="AC36" s="106">
        <f>AA36+AB36*1</f>
        <v>0</v>
      </c>
      <c r="AD36" s="178">
        <f>AC36/$S$89</f>
        <v>0</v>
      </c>
      <c r="AE36" s="732"/>
      <c r="AF36" s="560"/>
      <c r="AG36" s="452"/>
      <c r="AH36" s="446">
        <f>AF36+AG36*1</f>
        <v>0</v>
      </c>
      <c r="AI36" s="450">
        <f>AH36/$AH$89</f>
        <v>0</v>
      </c>
      <c r="AJ36" s="745"/>
      <c r="AK36" s="560"/>
      <c r="AL36" s="452"/>
      <c r="AM36" s="446">
        <f>AK36+AL36*1</f>
        <v>0</v>
      </c>
      <c r="AN36" s="450">
        <f>AM36/$AH$89</f>
        <v>0</v>
      </c>
      <c r="AO36" s="745"/>
      <c r="AP36" s="560"/>
      <c r="AQ36" s="452"/>
      <c r="AR36" s="446">
        <f>AP36+AQ36*1</f>
        <v>0</v>
      </c>
      <c r="AS36" s="450">
        <f t="shared" si="5"/>
        <v>0</v>
      </c>
      <c r="AT36" s="745"/>
      <c r="AU36" s="560"/>
      <c r="AV36" s="452"/>
      <c r="AW36" s="446">
        <f>AU36+AV36*1</f>
        <v>0</v>
      </c>
      <c r="AX36" s="450">
        <f t="shared" si="6"/>
        <v>0</v>
      </c>
      <c r="AY36" s="745"/>
      <c r="AZ36" s="560"/>
      <c r="BA36" s="452"/>
      <c r="BB36" s="446">
        <f>AZ36+BA36*1</f>
        <v>0</v>
      </c>
      <c r="BC36" s="450">
        <f t="shared" si="7"/>
        <v>0</v>
      </c>
      <c r="BD36" s="745"/>
      <c r="BE36" s="1659"/>
      <c r="BF36" s="1447"/>
      <c r="BG36" s="1495">
        <f>BE36+BF36*1</f>
        <v>0</v>
      </c>
      <c r="BH36" s="1893">
        <f t="shared" si="8"/>
        <v>0</v>
      </c>
      <c r="BI36" s="1903"/>
      <c r="BJ36" s="39">
        <f>G36+L36+Q36+V36+AA36+AF36+AK36+AP36+AU36+AZ36+BE36</f>
        <v>0</v>
      </c>
      <c r="BK36" s="39">
        <f>H36+M36+R36+W36+AB36+AG36+AL36+AQ36+AV36+BA36+BF36</f>
        <v>0</v>
      </c>
      <c r="BL36" s="106">
        <f>BJ36+BK36*1</f>
        <v>0</v>
      </c>
      <c r="BM36" s="178">
        <f>BL36/$BL$89</f>
        <v>0</v>
      </c>
      <c r="BN36" s="45"/>
    </row>
    <row r="37" spans="1:66" s="2" customFormat="1" ht="14.4" thickBot="1" x14ac:dyDescent="0.3">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03"/>
      <c r="AF37" s="560"/>
      <c r="AG37" s="452"/>
      <c r="AH37" s="606"/>
      <c r="AI37" s="606"/>
      <c r="AJ37" s="588"/>
      <c r="AK37" s="560"/>
      <c r="AL37" s="452"/>
      <c r="AM37" s="606"/>
      <c r="AN37" s="606"/>
      <c r="AO37" s="588"/>
      <c r="AP37" s="560"/>
      <c r="AQ37" s="452"/>
      <c r="AR37" s="606"/>
      <c r="AS37" s="606">
        <f t="shared" si="5"/>
        <v>0</v>
      </c>
      <c r="AT37" s="588"/>
      <c r="AU37" s="560"/>
      <c r="AV37" s="452"/>
      <c r="AW37" s="606"/>
      <c r="AX37" s="606">
        <f t="shared" si="6"/>
        <v>0</v>
      </c>
      <c r="AY37" s="588"/>
      <c r="AZ37" s="560"/>
      <c r="BA37" s="452"/>
      <c r="BB37" s="606"/>
      <c r="BC37" s="606">
        <f t="shared" si="7"/>
        <v>0</v>
      </c>
      <c r="BD37" s="588"/>
      <c r="BE37" s="1659"/>
      <c r="BF37" s="1447"/>
      <c r="BG37" s="1454"/>
      <c r="BH37" s="1454">
        <f t="shared" si="8"/>
        <v>0</v>
      </c>
      <c r="BI37" s="1464"/>
      <c r="BJ37" s="39">
        <f>G37+L37+Q37+V37+AA37+AF37+AK37+AP37+AU37+AZ37</f>
        <v>0</v>
      </c>
      <c r="BK37" s="39">
        <f>H37+M37+R37+W37+AB37+AG37+AL37+AQ37+AV37+BA37</f>
        <v>0</v>
      </c>
      <c r="BL37" s="52"/>
      <c r="BM37" s="52"/>
      <c r="BN37" s="52"/>
    </row>
    <row r="38" spans="1:66" ht="14.4" thickBot="1" x14ac:dyDescent="0.3">
      <c r="A38" s="33"/>
      <c r="B38" s="34" t="s">
        <v>46</v>
      </c>
      <c r="C38" s="53">
        <f>(C5)-(C8)</f>
        <v>0</v>
      </c>
      <c r="D38" s="53">
        <f>(D5)-(D8)</f>
        <v>0</v>
      </c>
      <c r="E38" s="53">
        <f>(E5)-(E8)</f>
        <v>0</v>
      </c>
      <c r="F38" s="166"/>
      <c r="G38" s="53">
        <f>(G5)-(G8)</f>
        <v>-40950.04</v>
      </c>
      <c r="H38" s="53">
        <f>(H5)-(H8)</f>
        <v>-3900</v>
      </c>
      <c r="I38" s="53">
        <f>(I5)-(I8)</f>
        <v>-44850.04</v>
      </c>
      <c r="J38" s="53"/>
      <c r="K38" s="53"/>
      <c r="L38" s="53">
        <f>(L5)-(L8)</f>
        <v>62888.197399999997</v>
      </c>
      <c r="M38" s="53">
        <f>(M5)-(M8)</f>
        <v>-54281.74</v>
      </c>
      <c r="N38" s="53">
        <f>(N5)-(N8)</f>
        <v>8606.4573999999993</v>
      </c>
      <c r="O38" s="53"/>
      <c r="P38" s="406"/>
      <c r="Q38" s="53">
        <f>(Q5)-(Q8)</f>
        <v>244872.04199999999</v>
      </c>
      <c r="R38" s="53">
        <f>(R5)-(R8)</f>
        <v>-79305.58</v>
      </c>
      <c r="S38" s="53">
        <f>(S5)-(S8)</f>
        <v>165566.46199999997</v>
      </c>
      <c r="T38" s="53"/>
      <c r="U38" s="406"/>
      <c r="V38" s="53">
        <f>(V5)-(V8)</f>
        <v>-971.64</v>
      </c>
      <c r="W38" s="53">
        <f>(W5)-(W8)</f>
        <v>0</v>
      </c>
      <c r="X38" s="53">
        <f>(X5)-(X8)</f>
        <v>-971.64</v>
      </c>
      <c r="Y38" s="53"/>
      <c r="Z38" s="406"/>
      <c r="AA38" s="53">
        <f>(AA5)-(AA8)</f>
        <v>-125</v>
      </c>
      <c r="AB38" s="53">
        <f>(AB5)-(AB8)</f>
        <v>0</v>
      </c>
      <c r="AC38" s="53">
        <f>(AC5)-(AC8)</f>
        <v>-125</v>
      </c>
      <c r="AD38" s="53"/>
      <c r="AE38" s="733"/>
      <c r="AF38" s="648">
        <f>(AF5)-(AF8)</f>
        <v>-971.64</v>
      </c>
      <c r="AG38" s="648">
        <f>(AG5)-(AG8)</f>
        <v>0</v>
      </c>
      <c r="AH38" s="648">
        <f>(AH5)-(AH8)</f>
        <v>-971.64</v>
      </c>
      <c r="AI38" s="648"/>
      <c r="AJ38" s="636"/>
      <c r="AK38" s="648">
        <f>(AK5)-(AK8)</f>
        <v>765715.85399999993</v>
      </c>
      <c r="AL38" s="648">
        <f>(AL5)-(AL8)</f>
        <v>-4500</v>
      </c>
      <c r="AM38" s="648">
        <f>(AM5)-(AM8)</f>
        <v>761215.85399999993</v>
      </c>
      <c r="AN38" s="648"/>
      <c r="AO38" s="636"/>
      <c r="AP38" s="648">
        <f>(AP5)-(AP8)</f>
        <v>681362.15399999998</v>
      </c>
      <c r="AQ38" s="648">
        <f>(AQ5)-(AQ8)</f>
        <v>0</v>
      </c>
      <c r="AR38" s="648">
        <f>(AR5)-(AR8)</f>
        <v>681362.15399999998</v>
      </c>
      <c r="AS38" s="648">
        <f t="shared" si="5"/>
        <v>8401.9206126072804</v>
      </c>
      <c r="AT38" s="636"/>
      <c r="AU38" s="648">
        <f>(AU5)-(AU8)</f>
        <v>340643.14</v>
      </c>
      <c r="AV38" s="648">
        <f>(AV5)-(AV8)</f>
        <v>0</v>
      </c>
      <c r="AW38" s="648">
        <f>(AW5)-(AW8)</f>
        <v>340643.14</v>
      </c>
      <c r="AX38" s="648">
        <f t="shared" si="6"/>
        <v>4200.4925027128347</v>
      </c>
      <c r="AY38" s="636"/>
      <c r="AZ38" s="648">
        <f>(AZ5)-(AZ8)</f>
        <v>-27406.331999999999</v>
      </c>
      <c r="BA38" s="648">
        <f>(BA5)-(BA8)</f>
        <v>0</v>
      </c>
      <c r="BB38" s="648">
        <f>(BB5)-(BB8)</f>
        <v>-27406.331999999999</v>
      </c>
      <c r="BC38" s="648">
        <f t="shared" si="7"/>
        <v>-337.94924533885768</v>
      </c>
      <c r="BD38" s="636"/>
      <c r="BE38" s="1455">
        <f>(BE5)-(BE8)</f>
        <v>-48714.983999999997</v>
      </c>
      <c r="BF38" s="1455">
        <f>(BF5)-(BF8)</f>
        <v>0</v>
      </c>
      <c r="BG38" s="1455">
        <f>(BG5)-(BG8)</f>
        <v>-48714.983999999997</v>
      </c>
      <c r="BH38" s="1455">
        <f t="shared" si="8"/>
        <v>0</v>
      </c>
      <c r="BI38" s="1610"/>
      <c r="BJ38" s="53">
        <f>(BJ5)-(BJ8)</f>
        <v>1976341.7514</v>
      </c>
      <c r="BK38" s="53">
        <f>(BK5)-(BK8)</f>
        <v>-141987.32</v>
      </c>
      <c r="BL38" s="53">
        <f>(BL5)-(BL8)</f>
        <v>1834354.4313999999</v>
      </c>
      <c r="BM38" s="53"/>
      <c r="BN38" s="53"/>
    </row>
    <row r="39" spans="1:66" ht="13.8" x14ac:dyDescent="0.25">
      <c r="A39" s="293"/>
      <c r="B39" s="15" t="s">
        <v>47</v>
      </c>
      <c r="C39" s="157" t="e">
        <f>C38/(C5)</f>
        <v>#DIV/0!</v>
      </c>
      <c r="D39" s="157" t="e">
        <f>D38/(D5)</f>
        <v>#DIV/0!</v>
      </c>
      <c r="E39" s="158" t="e">
        <f>E38/(E5)</f>
        <v>#DIV/0!</v>
      </c>
      <c r="F39" s="167"/>
      <c r="G39" s="54" t="e">
        <f>G38/(G5)</f>
        <v>#DIV/0!</v>
      </c>
      <c r="H39" s="54" t="e">
        <f>H38/(H5)</f>
        <v>#DIV/0!</v>
      </c>
      <c r="I39" s="55" t="e">
        <f>I38/(I5)</f>
        <v>#DIV/0!</v>
      </c>
      <c r="J39" s="55"/>
      <c r="K39" s="55"/>
      <c r="L39" s="54">
        <f>L38/(L5)</f>
        <v>0.52554860690946159</v>
      </c>
      <c r="M39" s="54" t="e">
        <f>M38/(M5)</f>
        <v>#DIV/0!</v>
      </c>
      <c r="N39" s="55">
        <f>N38/(N5)</f>
        <v>7.1923061623573065E-2</v>
      </c>
      <c r="O39" s="55"/>
      <c r="P39" s="407"/>
      <c r="Q39" s="54">
        <f>Q38/(Q5)</f>
        <v>0.78359168784696454</v>
      </c>
      <c r="R39" s="54" t="e">
        <f>R38/(R5)</f>
        <v>#DIV/0!</v>
      </c>
      <c r="S39" s="55">
        <f>S38/(S5)</f>
        <v>0.52981345828541049</v>
      </c>
      <c r="T39" s="55"/>
      <c r="U39" s="407"/>
      <c r="V39" s="54" t="e">
        <f>V38/(V5)</f>
        <v>#DIV/0!</v>
      </c>
      <c r="W39" s="54" t="e">
        <f>W38/(W5)</f>
        <v>#DIV/0!</v>
      </c>
      <c r="X39" s="55" t="e">
        <f>X38/(X5)</f>
        <v>#DIV/0!</v>
      </c>
      <c r="Y39" s="55"/>
      <c r="Z39" s="407"/>
      <c r="AA39" s="54" t="e">
        <f>AA38/(AA5)</f>
        <v>#DIV/0!</v>
      </c>
      <c r="AB39" s="54" t="e">
        <f>AB38/(AB5)</f>
        <v>#DIV/0!</v>
      </c>
      <c r="AC39" s="55" t="e">
        <f>AC38/(AC5)</f>
        <v>#DIV/0!</v>
      </c>
      <c r="AD39" s="55"/>
      <c r="AE39" s="716"/>
      <c r="AF39" s="639" t="e">
        <f>AF38/(AF5)</f>
        <v>#DIV/0!</v>
      </c>
      <c r="AG39" s="639" t="e">
        <f>AG38/(AG5)</f>
        <v>#DIV/0!</v>
      </c>
      <c r="AH39" s="660" t="e">
        <f>AH38/(AH5)</f>
        <v>#DIV/0!</v>
      </c>
      <c r="AI39" s="660"/>
      <c r="AJ39" s="661"/>
      <c r="AK39" s="639">
        <f>AK38/(AK5)</f>
        <v>0.99989410247716448</v>
      </c>
      <c r="AL39" s="639" t="e">
        <f>AL38/(AL5)</f>
        <v>#DIV/0!</v>
      </c>
      <c r="AM39" s="660">
        <f>AM38/(AM5)</f>
        <v>0.99401787118635032</v>
      </c>
      <c r="AN39" s="660"/>
      <c r="AO39" s="661"/>
      <c r="AP39" s="639">
        <f>AP38/(AP5)</f>
        <v>0.99988099375846773</v>
      </c>
      <c r="AQ39" s="639" t="e">
        <f>AQ38/(AQ5)</f>
        <v>#DIV/0!</v>
      </c>
      <c r="AR39" s="660">
        <f>AR38/(AR5)</f>
        <v>0.99988099375846773</v>
      </c>
      <c r="AS39" s="660">
        <f t="shared" si="5"/>
        <v>1.2329596943850102E-2</v>
      </c>
      <c r="AT39" s="661"/>
      <c r="AU39" s="639">
        <f>AU38/(AU5)</f>
        <v>0.99976966533558986</v>
      </c>
      <c r="AV39" s="639" t="e">
        <f>AV38/(AV5)</f>
        <v>#DIV/0!</v>
      </c>
      <c r="AW39" s="660">
        <f>AW38/(AW5)</f>
        <v>0.99976966533558986</v>
      </c>
      <c r="AX39" s="660">
        <f t="shared" si="6"/>
        <v>1.2328224145896098E-2</v>
      </c>
      <c r="AY39" s="661"/>
      <c r="AZ39" s="639" t="e">
        <f>AZ38/(AZ5)</f>
        <v>#DIV/0!</v>
      </c>
      <c r="BA39" s="639" t="e">
        <f>BA38/(BA5)</f>
        <v>#DIV/0!</v>
      </c>
      <c r="BB39" s="660" t="e">
        <f>BB38/(BB5)</f>
        <v>#DIV/0!</v>
      </c>
      <c r="BC39" s="660" t="e">
        <f t="shared" si="7"/>
        <v>#DIV/0!</v>
      </c>
      <c r="BD39" s="661"/>
      <c r="BE39" s="1456" t="e">
        <f>BE38/(BE5)</f>
        <v>#DIV/0!</v>
      </c>
      <c r="BF39" s="1456" t="e">
        <f>BF38/(BF5)</f>
        <v>#DIV/0!</v>
      </c>
      <c r="BG39" s="1457" t="e">
        <f>BG38/(BG5)</f>
        <v>#DIV/0!</v>
      </c>
      <c r="BH39" s="1457">
        <f t="shared" si="8"/>
        <v>0</v>
      </c>
      <c r="BI39" s="1611"/>
      <c r="BJ39" s="54">
        <f>BJ38/(BJ5)</f>
        <v>0.89019456621545578</v>
      </c>
      <c r="BK39" s="54" t="e">
        <f>BK38/(BK5)</f>
        <v>#DIV/0!</v>
      </c>
      <c r="BL39" s="55">
        <f>BL38/(BL5)</f>
        <v>0.82623986777023062</v>
      </c>
      <c r="BM39" s="55"/>
      <c r="BN39" s="55"/>
    </row>
    <row r="40" spans="1:66" ht="14.4" thickBot="1" x14ac:dyDescent="0.3">
      <c r="A40" s="295"/>
      <c r="B40" s="16"/>
      <c r="C40" s="56"/>
      <c r="D40" s="57"/>
      <c r="E40" s="58"/>
      <c r="F40" s="168"/>
      <c r="G40" s="58"/>
      <c r="H40" s="58"/>
      <c r="I40" s="58"/>
      <c r="J40" s="58"/>
      <c r="K40" s="58"/>
      <c r="L40" s="58"/>
      <c r="M40" s="58"/>
      <c r="N40" s="58"/>
      <c r="O40" s="58"/>
      <c r="P40" s="408"/>
      <c r="Q40" s="58"/>
      <c r="R40" s="58"/>
      <c r="S40" s="58"/>
      <c r="T40" s="58"/>
      <c r="U40" s="408"/>
      <c r="V40" s="58"/>
      <c r="W40" s="58"/>
      <c r="X40" s="58"/>
      <c r="Y40" s="58"/>
      <c r="Z40" s="408"/>
      <c r="AA40" s="58"/>
      <c r="AB40" s="58"/>
      <c r="AC40" s="58"/>
      <c r="AD40" s="58"/>
      <c r="AE40" s="734"/>
      <c r="AF40" s="662"/>
      <c r="AG40" s="649"/>
      <c r="AH40" s="649"/>
      <c r="AI40" s="649"/>
      <c r="AJ40" s="637"/>
      <c r="AK40" s="662"/>
      <c r="AL40" s="649"/>
      <c r="AM40" s="649"/>
      <c r="AN40" s="649"/>
      <c r="AO40" s="637"/>
      <c r="AP40" s="662"/>
      <c r="AQ40" s="649"/>
      <c r="AR40" s="649"/>
      <c r="AS40" s="649">
        <f t="shared" si="5"/>
        <v>0</v>
      </c>
      <c r="AT40" s="637"/>
      <c r="AU40" s="662"/>
      <c r="AV40" s="649"/>
      <c r="AW40" s="649"/>
      <c r="AX40" s="649">
        <f t="shared" si="6"/>
        <v>0</v>
      </c>
      <c r="AY40" s="637"/>
      <c r="AZ40" s="662"/>
      <c r="BA40" s="649"/>
      <c r="BB40" s="649"/>
      <c r="BC40" s="649">
        <f t="shared" si="7"/>
        <v>0</v>
      </c>
      <c r="BD40" s="637"/>
      <c r="BE40" s="1378"/>
      <c r="BF40" s="1459"/>
      <c r="BG40" s="1459"/>
      <c r="BH40" s="1459">
        <f t="shared" si="8"/>
        <v>0</v>
      </c>
      <c r="BI40" s="1612"/>
      <c r="BJ40" s="58"/>
      <c r="BK40" s="58"/>
      <c r="BL40" s="58"/>
      <c r="BM40" s="58"/>
      <c r="BN40" s="58"/>
    </row>
    <row r="41" spans="1:66" ht="13.8" x14ac:dyDescent="0.25">
      <c r="A41" s="11"/>
      <c r="B41" s="22" t="s">
        <v>26</v>
      </c>
      <c r="C41" s="117">
        <f>SUM(C42:C48)</f>
        <v>0</v>
      </c>
      <c r="D41" s="117">
        <f>SUM(D42:D48)</f>
        <v>0</v>
      </c>
      <c r="E41" s="118">
        <f>SUM(E42:E48)</f>
        <v>0</v>
      </c>
      <c r="F41" s="169" t="e">
        <f t="shared" ref="F41:F48" si="33">E41/$E$89</f>
        <v>#DIV/0!</v>
      </c>
      <c r="G41" s="117">
        <f>SUM(G42:G48)</f>
        <v>0</v>
      </c>
      <c r="H41" s="117">
        <f>SUM(H42:H48)</f>
        <v>0</v>
      </c>
      <c r="I41" s="118">
        <f>SUM(I42:I48)</f>
        <v>0</v>
      </c>
      <c r="J41" s="169">
        <f t="shared" ref="J41:J49" si="34">I41/$I$89</f>
        <v>0</v>
      </c>
      <c r="K41" s="60"/>
      <c r="L41" s="117">
        <f>SUM(L42:L48)</f>
        <v>523.26</v>
      </c>
      <c r="M41" s="117">
        <f>SUM(M42:M48)</f>
        <v>965</v>
      </c>
      <c r="N41" s="118">
        <f>SUM(N42:N48)</f>
        <v>1488.26</v>
      </c>
      <c r="O41" s="169">
        <f>N41/$N$89</f>
        <v>9.9022864824026332E-3</v>
      </c>
      <c r="P41" s="409"/>
      <c r="Q41" s="117">
        <f>SUM(Q42:Q48)</f>
        <v>0</v>
      </c>
      <c r="R41" s="117">
        <f>SUM(R42:R48)</f>
        <v>0</v>
      </c>
      <c r="S41" s="118">
        <f>SUM(S42:S48)</f>
        <v>0</v>
      </c>
      <c r="T41" s="169">
        <f>S41/$S$89</f>
        <v>0</v>
      </c>
      <c r="U41" s="409"/>
      <c r="V41" s="117">
        <f>SUM(V42:V48)</f>
        <v>0</v>
      </c>
      <c r="W41" s="117">
        <f>SUM(W42:W48)</f>
        <v>0</v>
      </c>
      <c r="X41" s="118">
        <f>SUM(X42:X48)</f>
        <v>0</v>
      </c>
      <c r="Y41" s="169">
        <f>X41/$S$89</f>
        <v>0</v>
      </c>
      <c r="Z41" s="409"/>
      <c r="AA41" s="117">
        <f>SUM(AA42:AA48)</f>
        <v>436.05</v>
      </c>
      <c r="AB41" s="117">
        <f>SUM(AB42:AB48)</f>
        <v>0</v>
      </c>
      <c r="AC41" s="118">
        <f>SUM(AC42:AC48)</f>
        <v>436.05</v>
      </c>
      <c r="AD41" s="169">
        <f>AC41/$AC$89</f>
        <v>0.77720345780233502</v>
      </c>
      <c r="AE41" s="591"/>
      <c r="AF41" s="547">
        <f>SUM(AF42:AF48)</f>
        <v>0</v>
      </c>
      <c r="AG41" s="547">
        <f>SUM(AG42:AG48)</f>
        <v>0</v>
      </c>
      <c r="AH41" s="663">
        <f>SUM(AH42:AH48)</f>
        <v>0</v>
      </c>
      <c r="AI41" s="664">
        <f t="shared" ref="AI41:AI52" si="35">AH41/$AH$89</f>
        <v>0</v>
      </c>
      <c r="AJ41" s="665"/>
      <c r="AK41" s="547">
        <f>SUM(AK42:AK48)</f>
        <v>0</v>
      </c>
      <c r="AL41" s="547">
        <f>SUM(AL42:AL48)</f>
        <v>0</v>
      </c>
      <c r="AM41" s="663">
        <f>SUM(AM42:AM48)</f>
        <v>0</v>
      </c>
      <c r="AN41" s="664">
        <f t="shared" ref="AN41:AN52" si="36">AM41/$AH$89</f>
        <v>0</v>
      </c>
      <c r="AO41" s="665"/>
      <c r="AP41" s="547">
        <f>SUM(AP42:AP48)</f>
        <v>0</v>
      </c>
      <c r="AQ41" s="547">
        <f>SUM(AQ42:AQ48)</f>
        <v>0</v>
      </c>
      <c r="AR41" s="663">
        <f>SUM(AR42:AR48)</f>
        <v>0</v>
      </c>
      <c r="AS41" s="664">
        <f t="shared" si="5"/>
        <v>0</v>
      </c>
      <c r="AT41" s="665"/>
      <c r="AU41" s="547">
        <f>SUM(AU42:AU48)</f>
        <v>0</v>
      </c>
      <c r="AV41" s="547">
        <f>SUM(AV42:AV48)</f>
        <v>0</v>
      </c>
      <c r="AW41" s="663">
        <f>SUM(AW42:AW48)</f>
        <v>0</v>
      </c>
      <c r="AX41" s="664">
        <f t="shared" si="6"/>
        <v>0</v>
      </c>
      <c r="AY41" s="665"/>
      <c r="AZ41" s="547">
        <f>SUM(AZ42:AZ48)</f>
        <v>0</v>
      </c>
      <c r="BA41" s="547">
        <f>SUM(BA42:BA48)</f>
        <v>0</v>
      </c>
      <c r="BB41" s="663">
        <f>SUM(BB42:BB48)</f>
        <v>0</v>
      </c>
      <c r="BC41" s="664">
        <f t="shared" si="7"/>
        <v>0</v>
      </c>
      <c r="BD41" s="665"/>
      <c r="BE41" s="1506">
        <f>SUM(BE42:BE48)</f>
        <v>0</v>
      </c>
      <c r="BF41" s="1506">
        <f>SUM(BF42:BF48)</f>
        <v>0</v>
      </c>
      <c r="BG41" s="1507">
        <f>SUM(BG42:BG48)</f>
        <v>0</v>
      </c>
      <c r="BH41" s="1904">
        <f t="shared" si="8"/>
        <v>0</v>
      </c>
      <c r="BI41" s="1613"/>
      <c r="BJ41" s="117">
        <f>SUM(BJ42:BJ48)</f>
        <v>959.31</v>
      </c>
      <c r="BK41" s="117">
        <f>SUM(BK42:BK48)</f>
        <v>965</v>
      </c>
      <c r="BL41" s="118">
        <f>SUM(BL42:BL48)</f>
        <v>1924.31</v>
      </c>
      <c r="BM41" s="169">
        <f>BL41/$BL$89</f>
        <v>4.1802261929456165E-3</v>
      </c>
      <c r="BN41" s="60"/>
    </row>
    <row r="42" spans="1:66" ht="13.8" x14ac:dyDescent="0.25">
      <c r="A42" s="4015"/>
      <c r="B42" s="18" t="s">
        <v>7</v>
      </c>
      <c r="C42" s="113"/>
      <c r="D42" s="119"/>
      <c r="E42" s="120">
        <f t="shared" ref="E42:E48" si="37">C42+D42</f>
        <v>0</v>
      </c>
      <c r="F42" s="178" t="e">
        <f t="shared" si="33"/>
        <v>#DIV/0!</v>
      </c>
      <c r="G42" s="39"/>
      <c r="H42" s="39"/>
      <c r="I42" s="106">
        <f t="shared" ref="I42:I48" si="38">G42+H42*1</f>
        <v>0</v>
      </c>
      <c r="J42" s="178">
        <f t="shared" si="34"/>
        <v>0</v>
      </c>
      <c r="K42" s="79"/>
      <c r="L42" s="39"/>
      <c r="M42" s="39"/>
      <c r="N42" s="106">
        <f t="shared" ref="N42:N48" si="39">L42+M42*1</f>
        <v>0</v>
      </c>
      <c r="O42" s="178">
        <f t="shared" ref="O42:O52" si="40">N42/$N$89</f>
        <v>0</v>
      </c>
      <c r="P42" s="259"/>
      <c r="Q42" s="39"/>
      <c r="R42" s="39"/>
      <c r="S42" s="106">
        <f t="shared" ref="S42:S48" si="41">Q42+R42*1</f>
        <v>0</v>
      </c>
      <c r="T42" s="178">
        <f t="shared" ref="T42:T52" si="42">S42/$S$89</f>
        <v>0</v>
      </c>
      <c r="U42" s="259"/>
      <c r="V42" s="39"/>
      <c r="W42" s="39"/>
      <c r="X42" s="106">
        <f t="shared" ref="X42:X48" si="43">V42+W42*1</f>
        <v>0</v>
      </c>
      <c r="Y42" s="178">
        <f t="shared" ref="Y42:Y49" si="44">X42/$S$89</f>
        <v>0</v>
      </c>
      <c r="Z42" s="259"/>
      <c r="AA42" s="39"/>
      <c r="AB42" s="39"/>
      <c r="AC42" s="106">
        <f t="shared" ref="AC42:AC48" si="45">AA42+AB42*1</f>
        <v>0</v>
      </c>
      <c r="AD42" s="178">
        <f t="shared" ref="AD42:AD52" si="46">AC42/$AC$89</f>
        <v>0</v>
      </c>
      <c r="AE42" s="731"/>
      <c r="AF42" s="560"/>
      <c r="AG42" s="452"/>
      <c r="AH42" s="446">
        <f t="shared" ref="AH42:AH48" si="47">AF42+AG42*1</f>
        <v>0</v>
      </c>
      <c r="AI42" s="450">
        <f t="shared" si="35"/>
        <v>0</v>
      </c>
      <c r="AJ42" s="503"/>
      <c r="AK42" s="560"/>
      <c r="AL42" s="452"/>
      <c r="AM42" s="446">
        <f t="shared" ref="AM42:AM48" si="48">AK42+AL42*1</f>
        <v>0</v>
      </c>
      <c r="AN42" s="450">
        <f t="shared" si="36"/>
        <v>0</v>
      </c>
      <c r="AO42" s="503"/>
      <c r="AP42" s="560"/>
      <c r="AQ42" s="452"/>
      <c r="AR42" s="446">
        <f t="shared" ref="AR42:AR48" si="49">AP42+AQ42*1</f>
        <v>0</v>
      </c>
      <c r="AS42" s="450">
        <f t="shared" si="5"/>
        <v>0</v>
      </c>
      <c r="AT42" s="503"/>
      <c r="AU42" s="560"/>
      <c r="AV42" s="452"/>
      <c r="AW42" s="446">
        <f t="shared" ref="AW42:AW48" si="50">AU42+AV42*1</f>
        <v>0</v>
      </c>
      <c r="AX42" s="450">
        <f t="shared" si="6"/>
        <v>0</v>
      </c>
      <c r="AY42" s="503"/>
      <c r="AZ42" s="560"/>
      <c r="BA42" s="452"/>
      <c r="BB42" s="446">
        <f t="shared" ref="BB42:BB48" si="51">AZ42+BA42*1</f>
        <v>0</v>
      </c>
      <c r="BC42" s="450">
        <f t="shared" si="7"/>
        <v>0</v>
      </c>
      <c r="BD42" s="503"/>
      <c r="BE42" s="1659"/>
      <c r="BF42" s="1447"/>
      <c r="BG42" s="1495">
        <f t="shared" ref="BG42:BG48" si="52">BE42+BF42*1</f>
        <v>0</v>
      </c>
      <c r="BH42" s="1893">
        <f t="shared" si="8"/>
        <v>0</v>
      </c>
      <c r="BI42" s="1896"/>
      <c r="BJ42" s="39">
        <f t="shared" ref="BJ42:BJ48" si="53">G42+L42+Q42+V42+AA42+AF42+AK42+AP42+AU42+AZ42+BE42</f>
        <v>0</v>
      </c>
      <c r="BK42" s="39">
        <f t="shared" ref="BK42:BK48" si="54">H42+M42+R42+W42+AB42+AG42+AL42+AQ42+AV42+BA42+BF42</f>
        <v>0</v>
      </c>
      <c r="BL42" s="106">
        <f t="shared" ref="BL42:BL48" si="55">BJ42+BK42*1</f>
        <v>0</v>
      </c>
      <c r="BM42" s="178">
        <f t="shared" ref="BM42:BM72" si="56">BL42/$BL$89</f>
        <v>0</v>
      </c>
      <c r="BN42" s="79"/>
    </row>
    <row r="43" spans="1:66" ht="13.8" x14ac:dyDescent="0.25">
      <c r="A43" s="4015"/>
      <c r="B43" s="18" t="s">
        <v>27</v>
      </c>
      <c r="C43" s="113"/>
      <c r="D43" s="119"/>
      <c r="E43" s="120">
        <f t="shared" si="37"/>
        <v>0</v>
      </c>
      <c r="F43" s="178" t="e">
        <f t="shared" si="33"/>
        <v>#DIV/0!</v>
      </c>
      <c r="G43" s="39"/>
      <c r="H43" s="39"/>
      <c r="I43" s="106">
        <f t="shared" si="38"/>
        <v>0</v>
      </c>
      <c r="J43" s="178">
        <f t="shared" si="34"/>
        <v>0</v>
      </c>
      <c r="K43" s="79"/>
      <c r="L43" s="39"/>
      <c r="M43" s="39">
        <v>965</v>
      </c>
      <c r="N43" s="106">
        <f t="shared" si="39"/>
        <v>965</v>
      </c>
      <c r="O43" s="178">
        <f t="shared" si="40"/>
        <v>6.4207238355653857E-3</v>
      </c>
      <c r="P43" s="259"/>
      <c r="Q43" s="39"/>
      <c r="R43" s="39"/>
      <c r="S43" s="106">
        <f t="shared" si="41"/>
        <v>0</v>
      </c>
      <c r="T43" s="178">
        <f t="shared" si="42"/>
        <v>0</v>
      </c>
      <c r="U43" s="259"/>
      <c r="V43" s="39"/>
      <c r="W43" s="39"/>
      <c r="X43" s="106">
        <f t="shared" si="43"/>
        <v>0</v>
      </c>
      <c r="Y43" s="178">
        <f t="shared" si="44"/>
        <v>0</v>
      </c>
      <c r="Z43" s="259"/>
      <c r="AA43" s="39"/>
      <c r="AB43" s="39"/>
      <c r="AC43" s="106">
        <f t="shared" si="45"/>
        <v>0</v>
      </c>
      <c r="AD43" s="178">
        <f t="shared" si="46"/>
        <v>0</v>
      </c>
      <c r="AE43" s="731"/>
      <c r="AF43" s="560"/>
      <c r="AG43" s="452"/>
      <c r="AH43" s="446">
        <f t="shared" si="47"/>
        <v>0</v>
      </c>
      <c r="AI43" s="450">
        <f t="shared" si="35"/>
        <v>0</v>
      </c>
      <c r="AJ43" s="503"/>
      <c r="AK43" s="560"/>
      <c r="AL43" s="452"/>
      <c r="AM43" s="446">
        <f t="shared" si="48"/>
        <v>0</v>
      </c>
      <c r="AN43" s="450">
        <f t="shared" si="36"/>
        <v>0</v>
      </c>
      <c r="AO43" s="503"/>
      <c r="AP43" s="560"/>
      <c r="AQ43" s="452"/>
      <c r="AR43" s="446">
        <f t="shared" si="49"/>
        <v>0</v>
      </c>
      <c r="AS43" s="450">
        <f t="shared" si="5"/>
        <v>0</v>
      </c>
      <c r="AT43" s="503"/>
      <c r="AU43" s="560"/>
      <c r="AV43" s="452"/>
      <c r="AW43" s="446">
        <f t="shared" si="50"/>
        <v>0</v>
      </c>
      <c r="AX43" s="450">
        <f t="shared" si="6"/>
        <v>0</v>
      </c>
      <c r="AY43" s="503"/>
      <c r="AZ43" s="560"/>
      <c r="BA43" s="452"/>
      <c r="BB43" s="446">
        <f t="shared" si="51"/>
        <v>0</v>
      </c>
      <c r="BC43" s="450">
        <f t="shared" si="7"/>
        <v>0</v>
      </c>
      <c r="BD43" s="503"/>
      <c r="BE43" s="1659"/>
      <c r="BF43" s="1447"/>
      <c r="BG43" s="1495">
        <f t="shared" si="52"/>
        <v>0</v>
      </c>
      <c r="BH43" s="1893">
        <f t="shared" si="8"/>
        <v>0</v>
      </c>
      <c r="BI43" s="1896"/>
      <c r="BJ43" s="39">
        <f t="shared" si="53"/>
        <v>0</v>
      </c>
      <c r="BK43" s="39">
        <f t="shared" si="54"/>
        <v>965</v>
      </c>
      <c r="BL43" s="106">
        <f t="shared" si="55"/>
        <v>965</v>
      </c>
      <c r="BM43" s="178">
        <f t="shared" si="56"/>
        <v>2.096293360317475E-3</v>
      </c>
      <c r="BN43" s="79"/>
    </row>
    <row r="44" spans="1:66" ht="13.8" x14ac:dyDescent="0.25">
      <c r="A44" s="4015"/>
      <c r="B44" s="19" t="s">
        <v>28</v>
      </c>
      <c r="C44" s="113"/>
      <c r="D44" s="119"/>
      <c r="E44" s="120">
        <f t="shared" si="37"/>
        <v>0</v>
      </c>
      <c r="F44" s="178" t="e">
        <f t="shared" si="33"/>
        <v>#DIV/0!</v>
      </c>
      <c r="G44" s="39"/>
      <c r="H44" s="39"/>
      <c r="I44" s="106">
        <f t="shared" si="38"/>
        <v>0</v>
      </c>
      <c r="J44" s="178">
        <f t="shared" si="34"/>
        <v>0</v>
      </c>
      <c r="K44" s="79"/>
      <c r="L44" s="39"/>
      <c r="M44" s="39"/>
      <c r="N44" s="106">
        <f t="shared" si="39"/>
        <v>0</v>
      </c>
      <c r="O44" s="178">
        <f t="shared" si="40"/>
        <v>0</v>
      </c>
      <c r="P44" s="259"/>
      <c r="Q44" s="39"/>
      <c r="R44" s="39"/>
      <c r="S44" s="106">
        <f t="shared" si="41"/>
        <v>0</v>
      </c>
      <c r="T44" s="178">
        <f t="shared" si="42"/>
        <v>0</v>
      </c>
      <c r="U44" s="259"/>
      <c r="V44" s="39"/>
      <c r="W44" s="39"/>
      <c r="X44" s="106">
        <f t="shared" si="43"/>
        <v>0</v>
      </c>
      <c r="Y44" s="178">
        <f t="shared" si="44"/>
        <v>0</v>
      </c>
      <c r="Z44" s="259"/>
      <c r="AA44" s="39"/>
      <c r="AB44" s="39"/>
      <c r="AC44" s="106">
        <f t="shared" si="45"/>
        <v>0</v>
      </c>
      <c r="AD44" s="178">
        <f t="shared" si="46"/>
        <v>0</v>
      </c>
      <c r="AE44" s="731"/>
      <c r="AF44" s="560"/>
      <c r="AG44" s="452"/>
      <c r="AH44" s="446">
        <f t="shared" si="47"/>
        <v>0</v>
      </c>
      <c r="AI44" s="450">
        <f t="shared" si="35"/>
        <v>0</v>
      </c>
      <c r="AJ44" s="503"/>
      <c r="AK44" s="560"/>
      <c r="AL44" s="452"/>
      <c r="AM44" s="446">
        <f t="shared" si="48"/>
        <v>0</v>
      </c>
      <c r="AN44" s="450">
        <f t="shared" si="36"/>
        <v>0</v>
      </c>
      <c r="AO44" s="503"/>
      <c r="AP44" s="560"/>
      <c r="AQ44" s="452"/>
      <c r="AR44" s="446">
        <f t="shared" si="49"/>
        <v>0</v>
      </c>
      <c r="AS44" s="450">
        <f t="shared" si="5"/>
        <v>0</v>
      </c>
      <c r="AT44" s="503"/>
      <c r="AU44" s="560"/>
      <c r="AV44" s="452"/>
      <c r="AW44" s="446">
        <f t="shared" si="50"/>
        <v>0</v>
      </c>
      <c r="AX44" s="450">
        <f t="shared" si="6"/>
        <v>0</v>
      </c>
      <c r="AY44" s="503"/>
      <c r="AZ44" s="560"/>
      <c r="BA44" s="452"/>
      <c r="BB44" s="446">
        <f t="shared" si="51"/>
        <v>0</v>
      </c>
      <c r="BC44" s="450">
        <f t="shared" si="7"/>
        <v>0</v>
      </c>
      <c r="BD44" s="503"/>
      <c r="BE44" s="1659"/>
      <c r="BF44" s="1447"/>
      <c r="BG44" s="1495">
        <f t="shared" si="52"/>
        <v>0</v>
      </c>
      <c r="BH44" s="1893">
        <f t="shared" si="8"/>
        <v>0</v>
      </c>
      <c r="BI44" s="1896"/>
      <c r="BJ44" s="39">
        <f t="shared" si="53"/>
        <v>0</v>
      </c>
      <c r="BK44" s="39">
        <f t="shared" si="54"/>
        <v>0</v>
      </c>
      <c r="BL44" s="106">
        <f t="shared" si="55"/>
        <v>0</v>
      </c>
      <c r="BM44" s="178">
        <f t="shared" si="56"/>
        <v>0</v>
      </c>
      <c r="BN44" s="79"/>
    </row>
    <row r="45" spans="1:66" ht="13.8" x14ac:dyDescent="0.25">
      <c r="A45" s="4015"/>
      <c r="B45" s="18" t="s">
        <v>8</v>
      </c>
      <c r="C45" s="113"/>
      <c r="D45" s="119"/>
      <c r="E45" s="120">
        <f t="shared" si="37"/>
        <v>0</v>
      </c>
      <c r="F45" s="178" t="e">
        <f t="shared" si="33"/>
        <v>#DIV/0!</v>
      </c>
      <c r="G45" s="39"/>
      <c r="H45" s="39"/>
      <c r="I45" s="106">
        <f t="shared" si="38"/>
        <v>0</v>
      </c>
      <c r="J45" s="178">
        <f t="shared" si="34"/>
        <v>0</v>
      </c>
      <c r="K45" s="79"/>
      <c r="L45" s="39"/>
      <c r="M45" s="39"/>
      <c r="N45" s="106">
        <f t="shared" si="39"/>
        <v>0</v>
      </c>
      <c r="O45" s="178">
        <f t="shared" si="40"/>
        <v>0</v>
      </c>
      <c r="P45" s="259"/>
      <c r="Q45" s="39"/>
      <c r="R45" s="39"/>
      <c r="S45" s="106">
        <f t="shared" si="41"/>
        <v>0</v>
      </c>
      <c r="T45" s="178">
        <f t="shared" si="42"/>
        <v>0</v>
      </c>
      <c r="U45" s="259"/>
      <c r="V45" s="39"/>
      <c r="W45" s="39"/>
      <c r="X45" s="106">
        <f t="shared" si="43"/>
        <v>0</v>
      </c>
      <c r="Y45" s="178">
        <f t="shared" si="44"/>
        <v>0</v>
      </c>
      <c r="Z45" s="259"/>
      <c r="AA45" s="39"/>
      <c r="AB45" s="39"/>
      <c r="AC45" s="106">
        <f t="shared" si="45"/>
        <v>0</v>
      </c>
      <c r="AD45" s="178">
        <f t="shared" si="46"/>
        <v>0</v>
      </c>
      <c r="AE45" s="731"/>
      <c r="AF45" s="560"/>
      <c r="AG45" s="452"/>
      <c r="AH45" s="446">
        <f t="shared" si="47"/>
        <v>0</v>
      </c>
      <c r="AI45" s="450">
        <f t="shared" si="35"/>
        <v>0</v>
      </c>
      <c r="AJ45" s="503"/>
      <c r="AK45" s="560"/>
      <c r="AL45" s="452"/>
      <c r="AM45" s="446">
        <f t="shared" si="48"/>
        <v>0</v>
      </c>
      <c r="AN45" s="450">
        <f t="shared" si="36"/>
        <v>0</v>
      </c>
      <c r="AO45" s="503"/>
      <c r="AP45" s="560"/>
      <c r="AQ45" s="452"/>
      <c r="AR45" s="446">
        <f t="shared" si="49"/>
        <v>0</v>
      </c>
      <c r="AS45" s="450">
        <f t="shared" si="5"/>
        <v>0</v>
      </c>
      <c r="AT45" s="503"/>
      <c r="AU45" s="560"/>
      <c r="AV45" s="452"/>
      <c r="AW45" s="446">
        <f t="shared" si="50"/>
        <v>0</v>
      </c>
      <c r="AX45" s="450">
        <f t="shared" si="6"/>
        <v>0</v>
      </c>
      <c r="AY45" s="503"/>
      <c r="AZ45" s="560"/>
      <c r="BA45" s="452"/>
      <c r="BB45" s="446">
        <f t="shared" si="51"/>
        <v>0</v>
      </c>
      <c r="BC45" s="450">
        <f t="shared" si="7"/>
        <v>0</v>
      </c>
      <c r="BD45" s="503"/>
      <c r="BE45" s="1659"/>
      <c r="BF45" s="1447"/>
      <c r="BG45" s="1495">
        <f t="shared" si="52"/>
        <v>0</v>
      </c>
      <c r="BH45" s="1893">
        <f t="shared" si="8"/>
        <v>0</v>
      </c>
      <c r="BI45" s="1896"/>
      <c r="BJ45" s="39">
        <f t="shared" si="53"/>
        <v>0</v>
      </c>
      <c r="BK45" s="39">
        <f t="shared" si="54"/>
        <v>0</v>
      </c>
      <c r="BL45" s="106">
        <f t="shared" si="55"/>
        <v>0</v>
      </c>
      <c r="BM45" s="178">
        <f t="shared" si="56"/>
        <v>0</v>
      </c>
      <c r="BN45" s="79"/>
    </row>
    <row r="46" spans="1:66" ht="13.8" x14ac:dyDescent="0.25">
      <c r="A46" s="4015"/>
      <c r="B46" s="18" t="s">
        <v>29</v>
      </c>
      <c r="C46" s="113"/>
      <c r="D46" s="119"/>
      <c r="E46" s="120">
        <f t="shared" si="37"/>
        <v>0</v>
      </c>
      <c r="F46" s="178" t="e">
        <f t="shared" si="33"/>
        <v>#DIV/0!</v>
      </c>
      <c r="G46" s="39"/>
      <c r="H46" s="39"/>
      <c r="I46" s="106">
        <f t="shared" si="38"/>
        <v>0</v>
      </c>
      <c r="J46" s="178">
        <f t="shared" si="34"/>
        <v>0</v>
      </c>
      <c r="K46" s="79"/>
      <c r="L46" s="39"/>
      <c r="M46" s="39"/>
      <c r="N46" s="106">
        <f t="shared" si="39"/>
        <v>0</v>
      </c>
      <c r="O46" s="178">
        <f t="shared" si="40"/>
        <v>0</v>
      </c>
      <c r="P46" s="259"/>
      <c r="Q46" s="39"/>
      <c r="R46" s="39"/>
      <c r="S46" s="106">
        <f t="shared" si="41"/>
        <v>0</v>
      </c>
      <c r="T46" s="178">
        <f t="shared" si="42"/>
        <v>0</v>
      </c>
      <c r="U46" s="259"/>
      <c r="V46" s="39"/>
      <c r="W46" s="39"/>
      <c r="X46" s="106">
        <f t="shared" si="43"/>
        <v>0</v>
      </c>
      <c r="Y46" s="178">
        <f t="shared" si="44"/>
        <v>0</v>
      </c>
      <c r="Z46" s="259"/>
      <c r="AA46" s="39"/>
      <c r="AB46" s="39"/>
      <c r="AC46" s="106">
        <f t="shared" si="45"/>
        <v>0</v>
      </c>
      <c r="AD46" s="178">
        <f t="shared" si="46"/>
        <v>0</v>
      </c>
      <c r="AE46" s="731"/>
      <c r="AF46" s="560"/>
      <c r="AG46" s="452"/>
      <c r="AH46" s="446">
        <f t="shared" si="47"/>
        <v>0</v>
      </c>
      <c r="AI46" s="450">
        <f t="shared" si="35"/>
        <v>0</v>
      </c>
      <c r="AJ46" s="503"/>
      <c r="AK46" s="560"/>
      <c r="AL46" s="452"/>
      <c r="AM46" s="446">
        <f t="shared" si="48"/>
        <v>0</v>
      </c>
      <c r="AN46" s="450">
        <f t="shared" si="36"/>
        <v>0</v>
      </c>
      <c r="AO46" s="503"/>
      <c r="AP46" s="560"/>
      <c r="AQ46" s="452"/>
      <c r="AR46" s="446">
        <f t="shared" si="49"/>
        <v>0</v>
      </c>
      <c r="AS46" s="450">
        <f t="shared" si="5"/>
        <v>0</v>
      </c>
      <c r="AT46" s="503"/>
      <c r="AU46" s="560"/>
      <c r="AV46" s="452"/>
      <c r="AW46" s="446">
        <f t="shared" si="50"/>
        <v>0</v>
      </c>
      <c r="AX46" s="450">
        <f t="shared" si="6"/>
        <v>0</v>
      </c>
      <c r="AY46" s="503"/>
      <c r="AZ46" s="560"/>
      <c r="BA46" s="452"/>
      <c r="BB46" s="446">
        <f t="shared" si="51"/>
        <v>0</v>
      </c>
      <c r="BC46" s="450">
        <f t="shared" si="7"/>
        <v>0</v>
      </c>
      <c r="BD46" s="503"/>
      <c r="BE46" s="1659"/>
      <c r="BF46" s="1447"/>
      <c r="BG46" s="1495">
        <f t="shared" si="52"/>
        <v>0</v>
      </c>
      <c r="BH46" s="1893">
        <f t="shared" si="8"/>
        <v>0</v>
      </c>
      <c r="BI46" s="1896"/>
      <c r="BJ46" s="39">
        <f t="shared" si="53"/>
        <v>0</v>
      </c>
      <c r="BK46" s="39">
        <f t="shared" si="54"/>
        <v>0</v>
      </c>
      <c r="BL46" s="106">
        <f t="shared" si="55"/>
        <v>0</v>
      </c>
      <c r="BM46" s="178">
        <f t="shared" si="56"/>
        <v>0</v>
      </c>
      <c r="BN46" s="79"/>
    </row>
    <row r="47" spans="1:66" ht="13.8" x14ac:dyDescent="0.25">
      <c r="A47" s="4015"/>
      <c r="B47" s="18" t="s">
        <v>30</v>
      </c>
      <c r="C47" s="113"/>
      <c r="D47" s="119"/>
      <c r="E47" s="120">
        <f t="shared" si="37"/>
        <v>0</v>
      </c>
      <c r="F47" s="178" t="e">
        <f t="shared" si="33"/>
        <v>#DIV/0!</v>
      </c>
      <c r="G47" s="39"/>
      <c r="H47" s="39"/>
      <c r="I47" s="106">
        <f t="shared" si="38"/>
        <v>0</v>
      </c>
      <c r="J47" s="178">
        <f t="shared" si="34"/>
        <v>0</v>
      </c>
      <c r="K47" s="79"/>
      <c r="L47" s="39"/>
      <c r="M47" s="39"/>
      <c r="N47" s="106">
        <f t="shared" si="39"/>
        <v>0</v>
      </c>
      <c r="O47" s="178">
        <f t="shared" si="40"/>
        <v>0</v>
      </c>
      <c r="P47" s="259"/>
      <c r="Q47" s="39"/>
      <c r="R47" s="39"/>
      <c r="S47" s="106">
        <f t="shared" si="41"/>
        <v>0</v>
      </c>
      <c r="T47" s="178">
        <f t="shared" si="42"/>
        <v>0</v>
      </c>
      <c r="U47" s="259"/>
      <c r="V47" s="39"/>
      <c r="W47" s="39"/>
      <c r="X47" s="106">
        <f t="shared" si="43"/>
        <v>0</v>
      </c>
      <c r="Y47" s="178">
        <f t="shared" si="44"/>
        <v>0</v>
      </c>
      <c r="Z47" s="259"/>
      <c r="AA47" s="39"/>
      <c r="AB47" s="39"/>
      <c r="AC47" s="106">
        <f t="shared" si="45"/>
        <v>0</v>
      </c>
      <c r="AD47" s="178">
        <f t="shared" si="46"/>
        <v>0</v>
      </c>
      <c r="AE47" s="731"/>
      <c r="AF47" s="560"/>
      <c r="AG47" s="452"/>
      <c r="AH47" s="446">
        <f t="shared" si="47"/>
        <v>0</v>
      </c>
      <c r="AI47" s="450">
        <f t="shared" si="35"/>
        <v>0</v>
      </c>
      <c r="AJ47" s="503"/>
      <c r="AK47" s="560"/>
      <c r="AL47" s="452"/>
      <c r="AM47" s="446">
        <f t="shared" si="48"/>
        <v>0</v>
      </c>
      <c r="AN47" s="450">
        <f t="shared" si="36"/>
        <v>0</v>
      </c>
      <c r="AO47" s="503"/>
      <c r="AP47" s="560"/>
      <c r="AQ47" s="452"/>
      <c r="AR47" s="446">
        <f t="shared" si="49"/>
        <v>0</v>
      </c>
      <c r="AS47" s="450">
        <f t="shared" si="5"/>
        <v>0</v>
      </c>
      <c r="AT47" s="503"/>
      <c r="AU47" s="560"/>
      <c r="AV47" s="452"/>
      <c r="AW47" s="446">
        <f t="shared" si="50"/>
        <v>0</v>
      </c>
      <c r="AX47" s="450">
        <f t="shared" si="6"/>
        <v>0</v>
      </c>
      <c r="AY47" s="503"/>
      <c r="AZ47" s="560"/>
      <c r="BA47" s="452"/>
      <c r="BB47" s="446">
        <f t="shared" si="51"/>
        <v>0</v>
      </c>
      <c r="BC47" s="450">
        <f t="shared" si="7"/>
        <v>0</v>
      </c>
      <c r="BD47" s="503"/>
      <c r="BE47" s="1659"/>
      <c r="BF47" s="1447"/>
      <c r="BG47" s="1495">
        <f t="shared" si="52"/>
        <v>0</v>
      </c>
      <c r="BH47" s="1893">
        <f t="shared" si="8"/>
        <v>0</v>
      </c>
      <c r="BI47" s="1896"/>
      <c r="BJ47" s="39">
        <f t="shared" si="53"/>
        <v>0</v>
      </c>
      <c r="BK47" s="39">
        <f t="shared" si="54"/>
        <v>0</v>
      </c>
      <c r="BL47" s="106">
        <f t="shared" si="55"/>
        <v>0</v>
      </c>
      <c r="BM47" s="178">
        <f t="shared" si="56"/>
        <v>0</v>
      </c>
      <c r="BN47" s="79"/>
    </row>
    <row r="48" spans="1:66" ht="13.8" x14ac:dyDescent="0.25">
      <c r="A48" s="4015"/>
      <c r="B48" s="18" t="s">
        <v>15</v>
      </c>
      <c r="C48" s="113"/>
      <c r="D48" s="119"/>
      <c r="E48" s="120">
        <f t="shared" si="37"/>
        <v>0</v>
      </c>
      <c r="F48" s="178" t="e">
        <f t="shared" si="33"/>
        <v>#DIV/0!</v>
      </c>
      <c r="G48" s="39"/>
      <c r="H48" s="39"/>
      <c r="I48" s="106">
        <f t="shared" si="38"/>
        <v>0</v>
      </c>
      <c r="J48" s="178">
        <f t="shared" si="34"/>
        <v>0</v>
      </c>
      <c r="K48" s="79"/>
      <c r="L48" s="39">
        <v>523.26</v>
      </c>
      <c r="M48" s="39"/>
      <c r="N48" s="106">
        <f t="shared" si="39"/>
        <v>523.26</v>
      </c>
      <c r="O48" s="178">
        <f t="shared" si="40"/>
        <v>3.4815626468372475E-3</v>
      </c>
      <c r="P48" s="259"/>
      <c r="Q48" s="39"/>
      <c r="R48" s="39"/>
      <c r="S48" s="106">
        <f t="shared" si="41"/>
        <v>0</v>
      </c>
      <c r="T48" s="178">
        <f t="shared" si="42"/>
        <v>0</v>
      </c>
      <c r="U48" s="259"/>
      <c r="V48" s="39"/>
      <c r="W48" s="39"/>
      <c r="X48" s="106">
        <f t="shared" si="43"/>
        <v>0</v>
      </c>
      <c r="Y48" s="178">
        <f t="shared" si="44"/>
        <v>0</v>
      </c>
      <c r="Z48" s="259"/>
      <c r="AA48" s="39">
        <v>436.05</v>
      </c>
      <c r="AB48" s="39"/>
      <c r="AC48" s="106">
        <f t="shared" si="45"/>
        <v>436.05</v>
      </c>
      <c r="AD48" s="178">
        <f t="shared" si="46"/>
        <v>0.77720345780233502</v>
      </c>
      <c r="AE48" s="731"/>
      <c r="AF48" s="560"/>
      <c r="AG48" s="452"/>
      <c r="AH48" s="446">
        <f t="shared" si="47"/>
        <v>0</v>
      </c>
      <c r="AI48" s="450">
        <f t="shared" si="35"/>
        <v>0</v>
      </c>
      <c r="AJ48" s="503"/>
      <c r="AK48" s="560"/>
      <c r="AL48" s="452"/>
      <c r="AM48" s="446">
        <f t="shared" si="48"/>
        <v>0</v>
      </c>
      <c r="AN48" s="450">
        <f t="shared" si="36"/>
        <v>0</v>
      </c>
      <c r="AO48" s="503"/>
      <c r="AP48" s="560"/>
      <c r="AQ48" s="452"/>
      <c r="AR48" s="446">
        <f t="shared" si="49"/>
        <v>0</v>
      </c>
      <c r="AS48" s="450">
        <f t="shared" si="5"/>
        <v>0</v>
      </c>
      <c r="AT48" s="503"/>
      <c r="AU48" s="560"/>
      <c r="AV48" s="452"/>
      <c r="AW48" s="446">
        <f t="shared" si="50"/>
        <v>0</v>
      </c>
      <c r="AX48" s="450">
        <f t="shared" si="6"/>
        <v>0</v>
      </c>
      <c r="AY48" s="503"/>
      <c r="AZ48" s="560"/>
      <c r="BA48" s="452"/>
      <c r="BB48" s="446">
        <f t="shared" si="51"/>
        <v>0</v>
      </c>
      <c r="BC48" s="450">
        <f t="shared" si="7"/>
        <v>0</v>
      </c>
      <c r="BD48" s="503"/>
      <c r="BE48" s="1659"/>
      <c r="BF48" s="1447"/>
      <c r="BG48" s="1495">
        <f t="shared" si="52"/>
        <v>0</v>
      </c>
      <c r="BH48" s="1893">
        <f t="shared" si="8"/>
        <v>0</v>
      </c>
      <c r="BI48" s="1896"/>
      <c r="BJ48" s="39">
        <f t="shared" si="53"/>
        <v>959.31</v>
      </c>
      <c r="BK48" s="39">
        <f t="shared" si="54"/>
        <v>0</v>
      </c>
      <c r="BL48" s="106">
        <f t="shared" si="55"/>
        <v>959.31</v>
      </c>
      <c r="BM48" s="178">
        <f t="shared" si="56"/>
        <v>2.0839328326281415E-3</v>
      </c>
      <c r="BN48" s="79"/>
    </row>
    <row r="49" spans="1:66" s="2" customFormat="1" ht="14.4" thickBot="1" x14ac:dyDescent="0.3">
      <c r="A49" s="11"/>
      <c r="B49" s="35"/>
      <c r="C49" s="116"/>
      <c r="D49" s="121"/>
      <c r="E49" s="122"/>
      <c r="F49" s="182"/>
      <c r="G49" s="39"/>
      <c r="H49" s="39"/>
      <c r="I49" s="52"/>
      <c r="J49" s="178">
        <f t="shared" si="34"/>
        <v>0</v>
      </c>
      <c r="K49" s="52"/>
      <c r="L49" s="39"/>
      <c r="M49" s="39"/>
      <c r="N49" s="52"/>
      <c r="O49" s="178">
        <f t="shared" si="40"/>
        <v>0</v>
      </c>
      <c r="P49" s="64"/>
      <c r="Q49" s="39"/>
      <c r="R49" s="39"/>
      <c r="S49" s="52"/>
      <c r="T49" s="178">
        <f t="shared" si="42"/>
        <v>0</v>
      </c>
      <c r="U49" s="64"/>
      <c r="V49" s="39"/>
      <c r="W49" s="39"/>
      <c r="X49" s="52"/>
      <c r="Y49" s="178">
        <f t="shared" si="44"/>
        <v>0</v>
      </c>
      <c r="Z49" s="64"/>
      <c r="AA49" s="39"/>
      <c r="AB49" s="39"/>
      <c r="AC49" s="52"/>
      <c r="AD49" s="178">
        <f t="shared" si="46"/>
        <v>0</v>
      </c>
      <c r="AE49" s="603"/>
      <c r="AF49" s="560"/>
      <c r="AG49" s="452"/>
      <c r="AH49" s="606"/>
      <c r="AI49" s="450">
        <f t="shared" si="35"/>
        <v>0</v>
      </c>
      <c r="AJ49" s="588"/>
      <c r="AK49" s="560"/>
      <c r="AL49" s="452"/>
      <c r="AM49" s="606"/>
      <c r="AN49" s="450">
        <f t="shared" si="36"/>
        <v>0</v>
      </c>
      <c r="AO49" s="588"/>
      <c r="AP49" s="560"/>
      <c r="AQ49" s="452"/>
      <c r="AR49" s="606"/>
      <c r="AS49" s="450">
        <f t="shared" si="5"/>
        <v>0</v>
      </c>
      <c r="AT49" s="588"/>
      <c r="AU49" s="560"/>
      <c r="AV49" s="452"/>
      <c r="AW49" s="606"/>
      <c r="AX49" s="450">
        <f t="shared" si="6"/>
        <v>0</v>
      </c>
      <c r="AY49" s="588"/>
      <c r="AZ49" s="560"/>
      <c r="BA49" s="452"/>
      <c r="BB49" s="606"/>
      <c r="BC49" s="450">
        <f t="shared" si="7"/>
        <v>0</v>
      </c>
      <c r="BD49" s="588"/>
      <c r="BE49" s="1659"/>
      <c r="BF49" s="1447"/>
      <c r="BG49" s="1454"/>
      <c r="BH49" s="1893">
        <f t="shared" si="8"/>
        <v>0</v>
      </c>
      <c r="BI49" s="1464"/>
      <c r="BJ49" s="39"/>
      <c r="BK49" s="39"/>
      <c r="BL49" s="52"/>
      <c r="BM49" s="178">
        <f t="shared" si="56"/>
        <v>0</v>
      </c>
      <c r="BN49" s="52"/>
    </row>
    <row r="50" spans="1:66" s="2" customFormat="1" ht="13.8" x14ac:dyDescent="0.25">
      <c r="A50" s="293"/>
      <c r="B50" s="17" t="s">
        <v>59</v>
      </c>
      <c r="C50" s="123"/>
      <c r="D50" s="123"/>
      <c r="E50" s="123">
        <f>SUM(E51:E52)</f>
        <v>0</v>
      </c>
      <c r="F50" s="170" t="e">
        <f>E50/$E$89</f>
        <v>#DIV/0!</v>
      </c>
      <c r="G50" s="123">
        <f>G52+G51</f>
        <v>0</v>
      </c>
      <c r="H50" s="123">
        <f>H52+H51</f>
        <v>0</v>
      </c>
      <c r="I50" s="123">
        <f>SUM(I51:I52)</f>
        <v>0</v>
      </c>
      <c r="J50" s="60"/>
      <c r="K50" s="60"/>
      <c r="L50" s="123">
        <f>L52+L51</f>
        <v>0</v>
      </c>
      <c r="M50" s="123">
        <f>M52+M51</f>
        <v>0</v>
      </c>
      <c r="N50" s="123">
        <f>SUM(N51:N52)</f>
        <v>0</v>
      </c>
      <c r="O50" s="60"/>
      <c r="P50" s="409"/>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t="e">
        <v>#DIV/0!</v>
      </c>
      <c r="AE50" s="591"/>
      <c r="AF50" s="578">
        <f>AF52+AF51</f>
        <v>0</v>
      </c>
      <c r="AG50" s="578">
        <f>AG52+AG51</f>
        <v>0</v>
      </c>
      <c r="AH50" s="578">
        <f>SUM(AH51:AH52)</f>
        <v>0</v>
      </c>
      <c r="AI50" s="581">
        <f t="shared" si="35"/>
        <v>0</v>
      </c>
      <c r="AJ50" s="665"/>
      <c r="AK50" s="578">
        <f>AK52+AK51</f>
        <v>0</v>
      </c>
      <c r="AL50" s="578">
        <f>AL52+AL51</f>
        <v>0</v>
      </c>
      <c r="AM50" s="578">
        <f>SUM(AM51:AM52)</f>
        <v>0</v>
      </c>
      <c r="AN50" s="581">
        <f t="shared" si="36"/>
        <v>0</v>
      </c>
      <c r="AO50" s="665"/>
      <c r="AP50" s="578">
        <f>AP52+AP51</f>
        <v>0</v>
      </c>
      <c r="AQ50" s="578">
        <f>AQ52+AQ51</f>
        <v>0</v>
      </c>
      <c r="AR50" s="578">
        <f>SUM(AR51:AR52)</f>
        <v>0</v>
      </c>
      <c r="AS50" s="581">
        <f t="shared" si="5"/>
        <v>0</v>
      </c>
      <c r="AT50" s="665"/>
      <c r="AU50" s="578">
        <f>AU52+AU51</f>
        <v>0</v>
      </c>
      <c r="AV50" s="578">
        <f>AV52+AV51</f>
        <v>0</v>
      </c>
      <c r="AW50" s="578">
        <f>SUM(AW51:AW52)</f>
        <v>0</v>
      </c>
      <c r="AX50" s="581">
        <f t="shared" si="6"/>
        <v>0</v>
      </c>
      <c r="AY50" s="665"/>
      <c r="AZ50" s="578">
        <f>AZ52+AZ51</f>
        <v>0</v>
      </c>
      <c r="BA50" s="578">
        <f>BA52+BA51</f>
        <v>0</v>
      </c>
      <c r="BB50" s="578">
        <f>SUM(BB51:BB52)</f>
        <v>0</v>
      </c>
      <c r="BC50" s="581">
        <f t="shared" si="7"/>
        <v>0</v>
      </c>
      <c r="BD50" s="665"/>
      <c r="BE50" s="1512">
        <f>BE52+BE51</f>
        <v>0</v>
      </c>
      <c r="BF50" s="1512">
        <f>BF52+BF51</f>
        <v>0</v>
      </c>
      <c r="BG50" s="1512">
        <f>SUM(BG51:BG52)</f>
        <v>0</v>
      </c>
      <c r="BH50" s="1461">
        <f t="shared" si="8"/>
        <v>0</v>
      </c>
      <c r="BI50" s="1613"/>
      <c r="BJ50" s="123">
        <f>BJ52+BJ51</f>
        <v>0</v>
      </c>
      <c r="BK50" s="123">
        <f>BK52+BK51</f>
        <v>0</v>
      </c>
      <c r="BL50" s="123">
        <f>SUM(BL51:BL52)</f>
        <v>0</v>
      </c>
      <c r="BM50" s="60"/>
      <c r="BN50" s="60"/>
    </row>
    <row r="51" spans="1:66" s="226" customFormat="1" ht="13.8" x14ac:dyDescent="0.25">
      <c r="A51" s="234"/>
      <c r="B51" s="18" t="s">
        <v>60</v>
      </c>
      <c r="C51" s="113"/>
      <c r="D51" s="119"/>
      <c r="E51" s="119">
        <f>C51+D51</f>
        <v>0</v>
      </c>
      <c r="F51" s="180" t="e">
        <f>E51/$E$89</f>
        <v>#DIV/0!</v>
      </c>
      <c r="G51" s="39"/>
      <c r="H51" s="39"/>
      <c r="I51" s="106">
        <f>G51+H51*1</f>
        <v>0</v>
      </c>
      <c r="J51" s="178">
        <f>I51/$I$89</f>
        <v>0</v>
      </c>
      <c r="K51" s="45"/>
      <c r="L51" s="39"/>
      <c r="M51" s="39"/>
      <c r="N51" s="106">
        <f>L51+M51*1</f>
        <v>0</v>
      </c>
      <c r="O51" s="178">
        <f t="shared" si="40"/>
        <v>0</v>
      </c>
      <c r="P51" s="405"/>
      <c r="Q51" s="39"/>
      <c r="R51" s="39"/>
      <c r="S51" s="106">
        <f>Q51+R51*1</f>
        <v>0</v>
      </c>
      <c r="T51" s="178">
        <f t="shared" si="42"/>
        <v>0</v>
      </c>
      <c r="U51" s="405"/>
      <c r="V51" s="39"/>
      <c r="W51" s="39"/>
      <c r="X51" s="106">
        <f>V51+W51*1</f>
        <v>0</v>
      </c>
      <c r="Y51" s="178">
        <f>X51/$S$89</f>
        <v>0</v>
      </c>
      <c r="Z51" s="405"/>
      <c r="AA51" s="39"/>
      <c r="AB51" s="39"/>
      <c r="AC51" s="106">
        <f>AA51+AB51*1</f>
        <v>0</v>
      </c>
      <c r="AD51" s="178">
        <f t="shared" si="46"/>
        <v>0</v>
      </c>
      <c r="AE51" s="732"/>
      <c r="AF51" s="560"/>
      <c r="AG51" s="452"/>
      <c r="AH51" s="446">
        <f>AF51+AG51*1</f>
        <v>0</v>
      </c>
      <c r="AI51" s="450">
        <f t="shared" si="35"/>
        <v>0</v>
      </c>
      <c r="AJ51" s="745"/>
      <c r="AK51" s="560"/>
      <c r="AL51" s="452"/>
      <c r="AM51" s="446">
        <f>AK51+AL51*1</f>
        <v>0</v>
      </c>
      <c r="AN51" s="450">
        <f t="shared" si="36"/>
        <v>0</v>
      </c>
      <c r="AO51" s="745"/>
      <c r="AP51" s="560"/>
      <c r="AQ51" s="452"/>
      <c r="AR51" s="446">
        <f>AP51+AQ51*1</f>
        <v>0</v>
      </c>
      <c r="AS51" s="450">
        <f t="shared" si="5"/>
        <v>0</v>
      </c>
      <c r="AT51" s="745"/>
      <c r="AU51" s="560"/>
      <c r="AV51" s="452"/>
      <c r="AW51" s="446">
        <f>AU51+AV51*1</f>
        <v>0</v>
      </c>
      <c r="AX51" s="450">
        <f t="shared" si="6"/>
        <v>0</v>
      </c>
      <c r="AY51" s="745"/>
      <c r="AZ51" s="560"/>
      <c r="BA51" s="452"/>
      <c r="BB51" s="446">
        <f>AZ51+BA51*1</f>
        <v>0</v>
      </c>
      <c r="BC51" s="450">
        <f t="shared" si="7"/>
        <v>0</v>
      </c>
      <c r="BD51" s="745"/>
      <c r="BE51" s="1659"/>
      <c r="BF51" s="1447"/>
      <c r="BG51" s="1495">
        <f>BE51+BF51*1</f>
        <v>0</v>
      </c>
      <c r="BH51" s="1893">
        <f t="shared" si="8"/>
        <v>0</v>
      </c>
      <c r="BI51" s="1903"/>
      <c r="BJ51" s="39">
        <f>G51+L51+Q51+V51+AA51+AF51+AK51+AP51+AU51+AZ51+BE51</f>
        <v>0</v>
      </c>
      <c r="BK51" s="39">
        <f>H51+M51+R51+W51+AB51+AG51+AL51+AQ51+AV51+BA51+BF51</f>
        <v>0</v>
      </c>
      <c r="BL51" s="106">
        <f>BJ51+BK51*1</f>
        <v>0</v>
      </c>
      <c r="BM51" s="178">
        <f t="shared" si="56"/>
        <v>0</v>
      </c>
      <c r="BN51" s="45"/>
    </row>
    <row r="52" spans="1:66" s="235" customFormat="1" ht="13.8" x14ac:dyDescent="0.25">
      <c r="A52" s="234"/>
      <c r="B52" s="18" t="s">
        <v>61</v>
      </c>
      <c r="C52" s="113"/>
      <c r="D52" s="119"/>
      <c r="E52" s="119">
        <f>C52+D52</f>
        <v>0</v>
      </c>
      <c r="F52" s="180" t="e">
        <f>E52/$E$89</f>
        <v>#DIV/0!</v>
      </c>
      <c r="G52" s="39"/>
      <c r="H52" s="39"/>
      <c r="I52" s="106">
        <f>G52+H52*1</f>
        <v>0</v>
      </c>
      <c r="J52" s="178">
        <f>I52/$I$89</f>
        <v>0</v>
      </c>
      <c r="K52" s="45"/>
      <c r="L52" s="39"/>
      <c r="M52" s="39"/>
      <c r="N52" s="106">
        <f>L52+M52*1</f>
        <v>0</v>
      </c>
      <c r="O52" s="178">
        <f t="shared" si="40"/>
        <v>0</v>
      </c>
      <c r="P52" s="405"/>
      <c r="Q52" s="39"/>
      <c r="R52" s="39"/>
      <c r="S52" s="106">
        <f>Q52+R52*1</f>
        <v>0</v>
      </c>
      <c r="T52" s="178">
        <f t="shared" si="42"/>
        <v>0</v>
      </c>
      <c r="U52" s="405"/>
      <c r="V52" s="39"/>
      <c r="W52" s="39"/>
      <c r="X52" s="106">
        <f>V52+W52*1</f>
        <v>0</v>
      </c>
      <c r="Y52" s="178">
        <f>X52/$S$89</f>
        <v>0</v>
      </c>
      <c r="Z52" s="405"/>
      <c r="AA52" s="39"/>
      <c r="AB52" s="39"/>
      <c r="AC52" s="106">
        <f>AA52+AB52*1</f>
        <v>0</v>
      </c>
      <c r="AD52" s="178">
        <f t="shared" si="46"/>
        <v>0</v>
      </c>
      <c r="AE52" s="732"/>
      <c r="AF52" s="560"/>
      <c r="AG52" s="452"/>
      <c r="AH52" s="446">
        <f>AF52+AG52*1</f>
        <v>0</v>
      </c>
      <c r="AI52" s="450">
        <f t="shared" si="35"/>
        <v>0</v>
      </c>
      <c r="AJ52" s="745"/>
      <c r="AK52" s="560"/>
      <c r="AL52" s="452"/>
      <c r="AM52" s="446">
        <f>AK52+AL52*1</f>
        <v>0</v>
      </c>
      <c r="AN52" s="450">
        <f t="shared" si="36"/>
        <v>0</v>
      </c>
      <c r="AO52" s="745"/>
      <c r="AP52" s="560"/>
      <c r="AQ52" s="452"/>
      <c r="AR52" s="446">
        <f>AP52+AQ52*1</f>
        <v>0</v>
      </c>
      <c r="AS52" s="450">
        <f t="shared" si="5"/>
        <v>0</v>
      </c>
      <c r="AT52" s="745"/>
      <c r="AU52" s="560"/>
      <c r="AV52" s="452"/>
      <c r="AW52" s="446">
        <f>AU52+AV52*1</f>
        <v>0</v>
      </c>
      <c r="AX52" s="450">
        <f t="shared" si="6"/>
        <v>0</v>
      </c>
      <c r="AY52" s="745"/>
      <c r="AZ52" s="560"/>
      <c r="BA52" s="452"/>
      <c r="BB52" s="446">
        <f>AZ52+BA52*1</f>
        <v>0</v>
      </c>
      <c r="BC52" s="450">
        <f t="shared" si="7"/>
        <v>0</v>
      </c>
      <c r="BD52" s="745"/>
      <c r="BE52" s="1659"/>
      <c r="BF52" s="1447"/>
      <c r="BG52" s="1495">
        <f>BE52+BF52*1</f>
        <v>0</v>
      </c>
      <c r="BH52" s="1893">
        <f t="shared" si="8"/>
        <v>0</v>
      </c>
      <c r="BI52" s="1903"/>
      <c r="BJ52" s="39">
        <f>G52+L52+Q52+V52+AA52+AF52+AK52+AP52+AU52+AZ52+BE52</f>
        <v>0</v>
      </c>
      <c r="BK52" s="39">
        <f>H52+M52+R52+W52+AB52+AG52+AL52+AQ52+AV52+BA52+BF52</f>
        <v>0</v>
      </c>
      <c r="BL52" s="106">
        <f>BJ52+BK52*1</f>
        <v>0</v>
      </c>
      <c r="BM52" s="178">
        <f t="shared" si="56"/>
        <v>0</v>
      </c>
      <c r="BN52" s="45"/>
    </row>
    <row r="53" spans="1:66" ht="14.4" thickBot="1" x14ac:dyDescent="0.3">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735"/>
      <c r="AF53" s="560"/>
      <c r="AG53" s="452"/>
      <c r="AH53" s="668"/>
      <c r="AI53" s="668"/>
      <c r="AJ53" s="668"/>
      <c r="AK53" s="560"/>
      <c r="AL53" s="452"/>
      <c r="AM53" s="668"/>
      <c r="AN53" s="668"/>
      <c r="AO53" s="668"/>
      <c r="AP53" s="560"/>
      <c r="AQ53" s="452"/>
      <c r="AR53" s="668"/>
      <c r="AS53" s="668"/>
      <c r="AT53" s="668"/>
      <c r="AU53" s="560"/>
      <c r="AV53" s="452"/>
      <c r="AW53" s="668"/>
      <c r="AX53" s="668"/>
      <c r="AY53" s="668"/>
      <c r="AZ53" s="560"/>
      <c r="BA53" s="452"/>
      <c r="BB53" s="668"/>
      <c r="BC53" s="668"/>
      <c r="BD53" s="668"/>
      <c r="BE53" s="1659"/>
      <c r="BF53" s="1447"/>
      <c r="BG53" s="1462"/>
      <c r="BH53" s="1462">
        <f t="shared" si="8"/>
        <v>0</v>
      </c>
      <c r="BI53" s="1462"/>
      <c r="BJ53" s="39"/>
      <c r="BK53" s="39"/>
      <c r="BL53" s="61"/>
      <c r="BM53" s="61"/>
      <c r="BN53" s="61"/>
    </row>
    <row r="54" spans="1:66" ht="13.8" x14ac:dyDescent="0.25">
      <c r="A54" s="236"/>
      <c r="B54" s="17" t="s">
        <v>1</v>
      </c>
      <c r="C54" s="123">
        <f>SUM(C55:C71)</f>
        <v>0</v>
      </c>
      <c r="D54" s="123">
        <f>SUM(D55:D71)</f>
        <v>0</v>
      </c>
      <c r="E54" s="127">
        <f>SUM(E55:E71)</f>
        <v>0</v>
      </c>
      <c r="F54" s="170" t="e">
        <f>E54/$E$89</f>
        <v>#DIV/0!</v>
      </c>
      <c r="G54" s="123">
        <f>SUM(G55:G72)</f>
        <v>700</v>
      </c>
      <c r="H54" s="123">
        <f>SUM(H55:H72)</f>
        <v>21.1</v>
      </c>
      <c r="I54" s="123">
        <f>SUM(I55:I72)</f>
        <v>721.1</v>
      </c>
      <c r="J54" s="169">
        <f t="shared" ref="J54:J72" si="57">I54/$I$89</f>
        <v>1.5622748348424854E-2</v>
      </c>
      <c r="K54" s="60"/>
      <c r="L54" s="123">
        <f>SUM(L55:L72)</f>
        <v>16412.760000000002</v>
      </c>
      <c r="M54" s="123">
        <f>SUM(M55:M72)</f>
        <v>11382</v>
      </c>
      <c r="N54" s="123">
        <f>SUM(N55:N72)</f>
        <v>27794.760000000002</v>
      </c>
      <c r="O54" s="169">
        <f>N54/$N$89</f>
        <v>0.18493521039981284</v>
      </c>
      <c r="P54" s="409"/>
      <c r="Q54" s="123">
        <f>SUM(Q55:Q72)</f>
        <v>9272</v>
      </c>
      <c r="R54" s="123">
        <f>SUM(R55:R72)</f>
        <v>10842.85</v>
      </c>
      <c r="S54" s="123">
        <f>SUM(S55:S72)</f>
        <v>20114.849999999999</v>
      </c>
      <c r="T54" s="169">
        <f>S54/$S$89</f>
        <v>0.11142826375525464</v>
      </c>
      <c r="U54" s="409"/>
      <c r="V54" s="123">
        <f>SUM(V55:V72)</f>
        <v>0</v>
      </c>
      <c r="W54" s="123">
        <f>SUM(W55:W72)</f>
        <v>0</v>
      </c>
      <c r="X54" s="123">
        <f>SUM(X55:X72)</f>
        <v>0</v>
      </c>
      <c r="Y54" s="169">
        <f>X54/$S$89</f>
        <v>0</v>
      </c>
      <c r="Z54" s="409"/>
      <c r="AA54" s="123">
        <f>SUM(AA55:AA72)</f>
        <v>0</v>
      </c>
      <c r="AB54" s="123">
        <f>SUM(AB55:AB72)</f>
        <v>0</v>
      </c>
      <c r="AC54" s="123">
        <f>SUM(AC55:AC72)</f>
        <v>0</v>
      </c>
      <c r="AD54" s="169">
        <f t="shared" ref="AD54:AD71" si="58">AC54/$AC$89</f>
        <v>0</v>
      </c>
      <c r="AE54" s="591"/>
      <c r="AF54" s="578">
        <f>SUM(AF55:AF72)</f>
        <v>0</v>
      </c>
      <c r="AG54" s="578">
        <f>SUM(AG55:AG72)</f>
        <v>0</v>
      </c>
      <c r="AH54" s="578">
        <f>SUM(AH55:AH72)</f>
        <v>0</v>
      </c>
      <c r="AI54" s="664">
        <f t="shared" ref="AI54:AI71" si="59">AH54/$AH$89</f>
        <v>0</v>
      </c>
      <c r="AJ54" s="665"/>
      <c r="AK54" s="578">
        <f>SUM(AK55:AK72)</f>
        <v>0</v>
      </c>
      <c r="AL54" s="578">
        <f>SUM(AL55:AL72)</f>
        <v>0</v>
      </c>
      <c r="AM54" s="578">
        <f>SUM(AM55:AM72)</f>
        <v>0</v>
      </c>
      <c r="AN54" s="664">
        <f t="shared" ref="AN54:AN71" si="60">AM54/$AH$89</f>
        <v>0</v>
      </c>
      <c r="AO54" s="665"/>
      <c r="AP54" s="578">
        <f>SUM(AP55:AP72)</f>
        <v>0</v>
      </c>
      <c r="AQ54" s="578">
        <f>SUM(AQ55:AQ72)</f>
        <v>0</v>
      </c>
      <c r="AR54" s="578">
        <f>SUM(AR55:AR72)</f>
        <v>0</v>
      </c>
      <c r="AS54" s="664">
        <f t="shared" si="5"/>
        <v>0</v>
      </c>
      <c r="AT54" s="665"/>
      <c r="AU54" s="578">
        <f>SUM(AU55:AU72)</f>
        <v>0</v>
      </c>
      <c r="AV54" s="578">
        <f>SUM(AV55:AV72)</f>
        <v>0</v>
      </c>
      <c r="AW54" s="578">
        <f>SUM(AW55:AW72)</f>
        <v>0</v>
      </c>
      <c r="AX54" s="664">
        <f t="shared" ref="AX54:AX71" si="61">AW54/$AR$89</f>
        <v>0</v>
      </c>
      <c r="AY54" s="665"/>
      <c r="AZ54" s="578">
        <f>SUM(AZ55:AZ72)</f>
        <v>0</v>
      </c>
      <c r="BA54" s="578">
        <f>SUM(BA55:BA72)</f>
        <v>0</v>
      </c>
      <c r="BB54" s="578">
        <f>SUM(BB55:BB72)</f>
        <v>0</v>
      </c>
      <c r="BC54" s="664">
        <f t="shared" ref="BC54:BC71" si="62">BB54/$AR$89</f>
        <v>0</v>
      </c>
      <c r="BD54" s="665"/>
      <c r="BE54" s="1512">
        <f>SUM(BE55:BE72)</f>
        <v>0</v>
      </c>
      <c r="BF54" s="1512">
        <f>SUM(BF55:BF72)</f>
        <v>0</v>
      </c>
      <c r="BG54" s="1512">
        <f>SUM(BG55:BG72)</f>
        <v>0</v>
      </c>
      <c r="BH54" s="1904">
        <f t="shared" si="8"/>
        <v>0</v>
      </c>
      <c r="BI54" s="1613"/>
      <c r="BJ54" s="123">
        <f>SUM(BJ55:BJ72)</f>
        <v>26384.760000000002</v>
      </c>
      <c r="BK54" s="123">
        <f>SUM(BK55:BK72)</f>
        <v>22245.95</v>
      </c>
      <c r="BL54" s="123">
        <f>SUM(BL55:BL72)</f>
        <v>48630.71</v>
      </c>
      <c r="BM54" s="169">
        <f t="shared" si="56"/>
        <v>0.10564169376220169</v>
      </c>
      <c r="BN54" s="60"/>
    </row>
    <row r="55" spans="1:66" ht="13.8" x14ac:dyDescent="0.25">
      <c r="A55" s="237"/>
      <c r="B55" s="19" t="s">
        <v>77</v>
      </c>
      <c r="C55" s="113"/>
      <c r="D55" s="128"/>
      <c r="E55" s="120">
        <f t="shared" ref="E55:E71" si="63">C55+D55</f>
        <v>0</v>
      </c>
      <c r="F55" s="178" t="e">
        <f>E55/$E$89</f>
        <v>#DIV/0!</v>
      </c>
      <c r="G55" s="210"/>
      <c r="H55" s="210"/>
      <c r="I55" s="106">
        <f t="shared" ref="I55:I71" si="64">G55+H55*1</f>
        <v>0</v>
      </c>
      <c r="J55" s="178">
        <f t="shared" si="57"/>
        <v>0</v>
      </c>
      <c r="K55" s="79"/>
      <c r="L55" s="210"/>
      <c r="M55" s="210"/>
      <c r="N55" s="106">
        <f t="shared" ref="N55:N71" si="65">L55+M55*1</f>
        <v>0</v>
      </c>
      <c r="O55" s="178">
        <f t="shared" ref="O55:O72" si="66">N55/$N$89</f>
        <v>0</v>
      </c>
      <c r="P55" s="259"/>
      <c r="Q55" s="210"/>
      <c r="R55" s="210"/>
      <c r="S55" s="106">
        <f t="shared" ref="S55:S71" si="67">Q55+R55*1</f>
        <v>0</v>
      </c>
      <c r="T55" s="178">
        <f t="shared" ref="T55:T72" si="68">S55/$S$89</f>
        <v>0</v>
      </c>
      <c r="U55" s="259"/>
      <c r="V55" s="210"/>
      <c r="W55" s="210"/>
      <c r="X55" s="106">
        <f t="shared" ref="X55:X71" si="69">V55+W55*1</f>
        <v>0</v>
      </c>
      <c r="Y55" s="178">
        <f t="shared" ref="Y55:Y72" si="70">X55/$S$89</f>
        <v>0</v>
      </c>
      <c r="Z55" s="259"/>
      <c r="AA55" s="210"/>
      <c r="AB55" s="210"/>
      <c r="AC55" s="106">
        <f t="shared" ref="AC55:AC71" si="71">AA55+AB55*1</f>
        <v>0</v>
      </c>
      <c r="AD55" s="178">
        <f t="shared" si="58"/>
        <v>0</v>
      </c>
      <c r="AE55" s="731"/>
      <c r="AF55" s="669"/>
      <c r="AG55" s="453"/>
      <c r="AH55" s="446">
        <f t="shared" ref="AH55:AH71" si="72">AF55+AG55*1</f>
        <v>0</v>
      </c>
      <c r="AI55" s="450">
        <f t="shared" si="59"/>
        <v>0</v>
      </c>
      <c r="AJ55" s="503"/>
      <c r="AK55" s="669"/>
      <c r="AL55" s="453"/>
      <c r="AM55" s="446">
        <f t="shared" ref="AM55:AM71" si="73">AK55+AL55*1</f>
        <v>0</v>
      </c>
      <c r="AN55" s="450">
        <f t="shared" si="60"/>
        <v>0</v>
      </c>
      <c r="AO55" s="503"/>
      <c r="AP55" s="669"/>
      <c r="AQ55" s="453"/>
      <c r="AR55" s="446">
        <f t="shared" ref="AR55:AR71" si="74">AP55+AQ55*1</f>
        <v>0</v>
      </c>
      <c r="AS55" s="450">
        <f t="shared" si="5"/>
        <v>0</v>
      </c>
      <c r="AT55" s="503"/>
      <c r="AU55" s="669"/>
      <c r="AV55" s="453"/>
      <c r="AW55" s="446">
        <f t="shared" ref="AW55:AW71" si="75">AU55+AV55*1</f>
        <v>0</v>
      </c>
      <c r="AX55" s="450">
        <f t="shared" si="61"/>
        <v>0</v>
      </c>
      <c r="AY55" s="503"/>
      <c r="AZ55" s="669"/>
      <c r="BA55" s="453"/>
      <c r="BB55" s="446">
        <f t="shared" ref="BB55:BB71" si="76">AZ55+BA55*1</f>
        <v>0</v>
      </c>
      <c r="BC55" s="450">
        <f t="shared" si="62"/>
        <v>0</v>
      </c>
      <c r="BD55" s="503"/>
      <c r="BE55" s="1494"/>
      <c r="BF55" s="1567"/>
      <c r="BG55" s="1495">
        <f t="shared" ref="BG55:BG71" si="77">BE55+BF55*1</f>
        <v>0</v>
      </c>
      <c r="BH55" s="1893">
        <f t="shared" si="8"/>
        <v>0</v>
      </c>
      <c r="BI55" s="1896"/>
      <c r="BJ55" s="39">
        <f t="shared" ref="BJ55:BJ71" si="78">G55+L55+Q55+V55+AA55+AF55+AK55+AP55+AU55+AZ55+BE55</f>
        <v>0</v>
      </c>
      <c r="BK55" s="39">
        <f t="shared" ref="BK55:BK71" si="79">H55+M55+R55+W55+AB55+AG55+AL55+AQ55+AV55+BA55+BF55</f>
        <v>0</v>
      </c>
      <c r="BL55" s="106">
        <f t="shared" ref="BL55:BL71" si="80">BJ55+BK55*1</f>
        <v>0</v>
      </c>
      <c r="BM55" s="178">
        <f t="shared" si="56"/>
        <v>0</v>
      </c>
      <c r="BN55" s="79"/>
    </row>
    <row r="56" spans="1:66" ht="13.8" x14ac:dyDescent="0.25">
      <c r="A56" s="237"/>
      <c r="B56" s="19" t="s">
        <v>76</v>
      </c>
      <c r="C56" s="113"/>
      <c r="D56" s="128"/>
      <c r="E56" s="120">
        <f t="shared" si="63"/>
        <v>0</v>
      </c>
      <c r="F56" s="178" t="e">
        <f t="shared" ref="F56:F72" si="81">E56/$E$89</f>
        <v>#DIV/0!</v>
      </c>
      <c r="G56" s="210"/>
      <c r="H56" s="210"/>
      <c r="I56" s="106">
        <f t="shared" si="64"/>
        <v>0</v>
      </c>
      <c r="J56" s="178">
        <f t="shared" si="57"/>
        <v>0</v>
      </c>
      <c r="K56" s="79"/>
      <c r="L56" s="210"/>
      <c r="M56" s="210"/>
      <c r="N56" s="106">
        <f t="shared" si="65"/>
        <v>0</v>
      </c>
      <c r="O56" s="178">
        <f t="shared" si="66"/>
        <v>0</v>
      </c>
      <c r="P56" s="259"/>
      <c r="Q56" s="210"/>
      <c r="R56" s="210"/>
      <c r="S56" s="106">
        <f t="shared" si="67"/>
        <v>0</v>
      </c>
      <c r="T56" s="178">
        <f t="shared" si="68"/>
        <v>0</v>
      </c>
      <c r="U56" s="259"/>
      <c r="V56" s="210"/>
      <c r="W56" s="210"/>
      <c r="X56" s="106">
        <f t="shared" si="69"/>
        <v>0</v>
      </c>
      <c r="Y56" s="178">
        <f t="shared" si="70"/>
        <v>0</v>
      </c>
      <c r="Z56" s="259"/>
      <c r="AA56" s="210"/>
      <c r="AB56" s="210"/>
      <c r="AC56" s="106">
        <f t="shared" si="71"/>
        <v>0</v>
      </c>
      <c r="AD56" s="178">
        <f t="shared" si="58"/>
        <v>0</v>
      </c>
      <c r="AE56" s="731"/>
      <c r="AF56" s="669"/>
      <c r="AG56" s="453"/>
      <c r="AH56" s="446">
        <f t="shared" si="72"/>
        <v>0</v>
      </c>
      <c r="AI56" s="450">
        <f t="shared" si="59"/>
        <v>0</v>
      </c>
      <c r="AJ56" s="503"/>
      <c r="AK56" s="669"/>
      <c r="AL56" s="453"/>
      <c r="AM56" s="446">
        <f t="shared" si="73"/>
        <v>0</v>
      </c>
      <c r="AN56" s="450">
        <f t="shared" si="60"/>
        <v>0</v>
      </c>
      <c r="AO56" s="503"/>
      <c r="AP56" s="669"/>
      <c r="AQ56" s="453"/>
      <c r="AR56" s="446">
        <f t="shared" si="74"/>
        <v>0</v>
      </c>
      <c r="AS56" s="450">
        <f t="shared" si="5"/>
        <v>0</v>
      </c>
      <c r="AT56" s="503"/>
      <c r="AU56" s="669"/>
      <c r="AV56" s="453"/>
      <c r="AW56" s="446">
        <f t="shared" si="75"/>
        <v>0</v>
      </c>
      <c r="AX56" s="450">
        <f t="shared" si="61"/>
        <v>0</v>
      </c>
      <c r="AY56" s="503"/>
      <c r="AZ56" s="669"/>
      <c r="BA56" s="453"/>
      <c r="BB56" s="446">
        <f t="shared" si="76"/>
        <v>0</v>
      </c>
      <c r="BC56" s="450">
        <f t="shared" si="62"/>
        <v>0</v>
      </c>
      <c r="BD56" s="503"/>
      <c r="BE56" s="1494"/>
      <c r="BF56" s="1567"/>
      <c r="BG56" s="1495">
        <f t="shared" si="77"/>
        <v>0</v>
      </c>
      <c r="BH56" s="1893">
        <f t="shared" si="8"/>
        <v>0</v>
      </c>
      <c r="BI56" s="1896"/>
      <c r="BJ56" s="39">
        <f t="shared" si="78"/>
        <v>0</v>
      </c>
      <c r="BK56" s="39">
        <f t="shared" si="79"/>
        <v>0</v>
      </c>
      <c r="BL56" s="106">
        <f t="shared" si="80"/>
        <v>0</v>
      </c>
      <c r="BM56" s="178">
        <f t="shared" si="56"/>
        <v>0</v>
      </c>
      <c r="BN56" s="79"/>
    </row>
    <row r="57" spans="1:66" ht="13.8" x14ac:dyDescent="0.25">
      <c r="A57" s="237"/>
      <c r="B57" s="615" t="s">
        <v>68</v>
      </c>
      <c r="C57" s="113"/>
      <c r="D57" s="128"/>
      <c r="E57" s="120">
        <f t="shared" si="63"/>
        <v>0</v>
      </c>
      <c r="F57" s="178" t="e">
        <f t="shared" si="81"/>
        <v>#DIV/0!</v>
      </c>
      <c r="G57" s="210"/>
      <c r="H57" s="210"/>
      <c r="I57" s="106">
        <f t="shared" si="64"/>
        <v>0</v>
      </c>
      <c r="J57" s="178">
        <f t="shared" si="57"/>
        <v>0</v>
      </c>
      <c r="K57" s="79"/>
      <c r="L57" s="210"/>
      <c r="M57" s="210"/>
      <c r="N57" s="106">
        <f t="shared" si="65"/>
        <v>0</v>
      </c>
      <c r="O57" s="178">
        <f t="shared" si="66"/>
        <v>0</v>
      </c>
      <c r="P57" s="259"/>
      <c r="Q57" s="210"/>
      <c r="R57" s="210"/>
      <c r="S57" s="106">
        <f t="shared" si="67"/>
        <v>0</v>
      </c>
      <c r="T57" s="178">
        <f t="shared" si="68"/>
        <v>0</v>
      </c>
      <c r="U57" s="259"/>
      <c r="V57" s="210"/>
      <c r="W57" s="210"/>
      <c r="X57" s="106">
        <f t="shared" si="69"/>
        <v>0</v>
      </c>
      <c r="Y57" s="178">
        <f t="shared" si="70"/>
        <v>0</v>
      </c>
      <c r="Z57" s="259"/>
      <c r="AA57" s="210"/>
      <c r="AB57" s="210"/>
      <c r="AC57" s="106">
        <f t="shared" si="71"/>
        <v>0</v>
      </c>
      <c r="AD57" s="178">
        <f t="shared" si="58"/>
        <v>0</v>
      </c>
      <c r="AE57" s="731"/>
      <c r="AF57" s="669"/>
      <c r="AG57" s="453"/>
      <c r="AH57" s="446">
        <f t="shared" si="72"/>
        <v>0</v>
      </c>
      <c r="AI57" s="450">
        <f t="shared" si="59"/>
        <v>0</v>
      </c>
      <c r="AJ57" s="503"/>
      <c r="AK57" s="669"/>
      <c r="AL57" s="453"/>
      <c r="AM57" s="446">
        <f t="shared" si="73"/>
        <v>0</v>
      </c>
      <c r="AN57" s="450">
        <f t="shared" si="60"/>
        <v>0</v>
      </c>
      <c r="AO57" s="503"/>
      <c r="AP57" s="669"/>
      <c r="AQ57" s="453"/>
      <c r="AR57" s="446">
        <f t="shared" si="74"/>
        <v>0</v>
      </c>
      <c r="AS57" s="450">
        <f t="shared" si="5"/>
        <v>0</v>
      </c>
      <c r="AT57" s="503"/>
      <c r="AU57" s="669"/>
      <c r="AV57" s="453"/>
      <c r="AW57" s="446">
        <f t="shared" si="75"/>
        <v>0</v>
      </c>
      <c r="AX57" s="450">
        <f t="shared" si="61"/>
        <v>0</v>
      </c>
      <c r="AY57" s="503"/>
      <c r="AZ57" s="669"/>
      <c r="BA57" s="453"/>
      <c r="BB57" s="446">
        <f t="shared" si="76"/>
        <v>0</v>
      </c>
      <c r="BC57" s="450">
        <f t="shared" si="62"/>
        <v>0</v>
      </c>
      <c r="BD57" s="503"/>
      <c r="BE57" s="1494"/>
      <c r="BF57" s="1567"/>
      <c r="BG57" s="1495">
        <f t="shared" si="77"/>
        <v>0</v>
      </c>
      <c r="BH57" s="1893">
        <f t="shared" si="8"/>
        <v>0</v>
      </c>
      <c r="BI57" s="1896"/>
      <c r="BJ57" s="39">
        <f t="shared" si="78"/>
        <v>0</v>
      </c>
      <c r="BK57" s="39">
        <f t="shared" si="79"/>
        <v>0</v>
      </c>
      <c r="BL57" s="106">
        <f t="shared" si="80"/>
        <v>0</v>
      </c>
      <c r="BM57" s="178">
        <f t="shared" si="56"/>
        <v>0</v>
      </c>
      <c r="BN57" s="79"/>
    </row>
    <row r="58" spans="1:66" ht="13.8" x14ac:dyDescent="0.25">
      <c r="A58" s="237"/>
      <c r="B58" s="615" t="s">
        <v>67</v>
      </c>
      <c r="C58" s="113"/>
      <c r="D58" s="128"/>
      <c r="E58" s="120">
        <f t="shared" si="63"/>
        <v>0</v>
      </c>
      <c r="F58" s="178" t="e">
        <f t="shared" si="81"/>
        <v>#DIV/0!</v>
      </c>
      <c r="G58" s="210"/>
      <c r="H58" s="210"/>
      <c r="I58" s="106">
        <f t="shared" si="64"/>
        <v>0</v>
      </c>
      <c r="J58" s="178">
        <f t="shared" si="57"/>
        <v>0</v>
      </c>
      <c r="K58" s="79"/>
      <c r="L58" s="210">
        <f>12236/2</f>
        <v>6118</v>
      </c>
      <c r="M58" s="210">
        <f>22764/2</f>
        <v>11382</v>
      </c>
      <c r="N58" s="106">
        <f t="shared" si="65"/>
        <v>17500</v>
      </c>
      <c r="O58" s="178">
        <f t="shared" si="66"/>
        <v>0.11643799701802514</v>
      </c>
      <c r="P58" s="415" t="s">
        <v>576</v>
      </c>
      <c r="Q58" s="210">
        <v>6118</v>
      </c>
      <c r="R58" s="210">
        <v>10586.5</v>
      </c>
      <c r="S58" s="106">
        <f t="shared" si="67"/>
        <v>16704.5</v>
      </c>
      <c r="T58" s="178">
        <f t="shared" si="68"/>
        <v>9.2536281995622693E-2</v>
      </c>
      <c r="U58" s="415" t="s">
        <v>636</v>
      </c>
      <c r="V58" s="210"/>
      <c r="W58" s="210"/>
      <c r="X58" s="106">
        <f t="shared" si="69"/>
        <v>0</v>
      </c>
      <c r="Y58" s="178">
        <f t="shared" si="70"/>
        <v>0</v>
      </c>
      <c r="Z58" s="415"/>
      <c r="AA58" s="210"/>
      <c r="AB58" s="210"/>
      <c r="AC58" s="106">
        <f t="shared" si="71"/>
        <v>0</v>
      </c>
      <c r="AD58" s="178">
        <f t="shared" si="58"/>
        <v>0</v>
      </c>
      <c r="AE58" s="736"/>
      <c r="AF58" s="669"/>
      <c r="AG58" s="453"/>
      <c r="AH58" s="446">
        <f t="shared" si="72"/>
        <v>0</v>
      </c>
      <c r="AI58" s="450">
        <f t="shared" si="59"/>
        <v>0</v>
      </c>
      <c r="AJ58" s="518"/>
      <c r="AK58" s="669"/>
      <c r="AL58" s="453"/>
      <c r="AM58" s="446">
        <f t="shared" si="73"/>
        <v>0</v>
      </c>
      <c r="AN58" s="450">
        <f t="shared" si="60"/>
        <v>0</v>
      </c>
      <c r="AO58" s="518"/>
      <c r="AP58" s="669"/>
      <c r="AQ58" s="453"/>
      <c r="AR58" s="446">
        <f t="shared" si="74"/>
        <v>0</v>
      </c>
      <c r="AS58" s="450">
        <f t="shared" si="5"/>
        <v>0</v>
      </c>
      <c r="AT58" s="518"/>
      <c r="AU58" s="669"/>
      <c r="AV58" s="453"/>
      <c r="AW58" s="446">
        <f t="shared" si="75"/>
        <v>0</v>
      </c>
      <c r="AX58" s="450">
        <f t="shared" si="61"/>
        <v>0</v>
      </c>
      <c r="AY58" s="518"/>
      <c r="AZ58" s="669"/>
      <c r="BA58" s="453"/>
      <c r="BB58" s="446">
        <f t="shared" si="76"/>
        <v>0</v>
      </c>
      <c r="BC58" s="450">
        <f t="shared" si="62"/>
        <v>0</v>
      </c>
      <c r="BD58" s="518"/>
      <c r="BE58" s="1494"/>
      <c r="BF58" s="1567"/>
      <c r="BG58" s="1495">
        <f t="shared" si="77"/>
        <v>0</v>
      </c>
      <c r="BH58" s="1893">
        <f t="shared" si="8"/>
        <v>0</v>
      </c>
      <c r="BI58" s="1897"/>
      <c r="BJ58" s="39">
        <f t="shared" si="78"/>
        <v>12236</v>
      </c>
      <c r="BK58" s="39">
        <f t="shared" si="79"/>
        <v>21968.5</v>
      </c>
      <c r="BL58" s="106">
        <f t="shared" si="80"/>
        <v>34204.5</v>
      </c>
      <c r="BM58" s="178">
        <f t="shared" si="56"/>
        <v>7.4303281080807332E-2</v>
      </c>
      <c r="BN58" s="79"/>
    </row>
    <row r="59" spans="1:66" ht="13.8" x14ac:dyDescent="0.25">
      <c r="A59" s="237"/>
      <c r="B59" s="615" t="s">
        <v>66</v>
      </c>
      <c r="C59" s="113"/>
      <c r="D59" s="128"/>
      <c r="E59" s="120">
        <f t="shared" si="63"/>
        <v>0</v>
      </c>
      <c r="F59" s="178" t="e">
        <f t="shared" si="81"/>
        <v>#DIV/0!</v>
      </c>
      <c r="G59" s="210"/>
      <c r="H59" s="210"/>
      <c r="I59" s="106">
        <f t="shared" si="64"/>
        <v>0</v>
      </c>
      <c r="J59" s="178">
        <f t="shared" si="57"/>
        <v>0</v>
      </c>
      <c r="K59" s="79"/>
      <c r="L59" s="210">
        <f>3344/2</f>
        <v>1672</v>
      </c>
      <c r="M59" s="210"/>
      <c r="N59" s="106">
        <f t="shared" si="65"/>
        <v>1672</v>
      </c>
      <c r="O59" s="178">
        <f t="shared" si="66"/>
        <v>1.1124818915093601E-2</v>
      </c>
      <c r="P59" s="259"/>
      <c r="Q59" s="210">
        <v>1482</v>
      </c>
      <c r="R59" s="210"/>
      <c r="S59" s="106">
        <f t="shared" si="67"/>
        <v>1482</v>
      </c>
      <c r="T59" s="178">
        <f t="shared" si="68"/>
        <v>8.209690198300628E-3</v>
      </c>
      <c r="U59" s="259"/>
      <c r="V59" s="210"/>
      <c r="W59" s="210"/>
      <c r="X59" s="106">
        <f t="shared" si="69"/>
        <v>0</v>
      </c>
      <c r="Y59" s="178">
        <f t="shared" si="70"/>
        <v>0</v>
      </c>
      <c r="Z59" s="259"/>
      <c r="AA59" s="210"/>
      <c r="AB59" s="210"/>
      <c r="AC59" s="106">
        <f t="shared" si="71"/>
        <v>0</v>
      </c>
      <c r="AD59" s="178">
        <f t="shared" si="58"/>
        <v>0</v>
      </c>
      <c r="AE59" s="731"/>
      <c r="AF59" s="669"/>
      <c r="AG59" s="453"/>
      <c r="AH59" s="446">
        <f t="shared" si="72"/>
        <v>0</v>
      </c>
      <c r="AI59" s="450">
        <f t="shared" si="59"/>
        <v>0</v>
      </c>
      <c r="AJ59" s="503"/>
      <c r="AK59" s="669"/>
      <c r="AL59" s="453"/>
      <c r="AM59" s="446">
        <f t="shared" si="73"/>
        <v>0</v>
      </c>
      <c r="AN59" s="450">
        <f t="shared" si="60"/>
        <v>0</v>
      </c>
      <c r="AO59" s="503"/>
      <c r="AP59" s="669"/>
      <c r="AQ59" s="453"/>
      <c r="AR59" s="446">
        <f t="shared" si="74"/>
        <v>0</v>
      </c>
      <c r="AS59" s="450">
        <f t="shared" si="5"/>
        <v>0</v>
      </c>
      <c r="AT59" s="503"/>
      <c r="AU59" s="669"/>
      <c r="AV59" s="453"/>
      <c r="AW59" s="446">
        <f t="shared" si="75"/>
        <v>0</v>
      </c>
      <c r="AX59" s="450">
        <f t="shared" si="61"/>
        <v>0</v>
      </c>
      <c r="AY59" s="503"/>
      <c r="AZ59" s="669"/>
      <c r="BA59" s="453"/>
      <c r="BB59" s="446">
        <f t="shared" si="76"/>
        <v>0</v>
      </c>
      <c r="BC59" s="450">
        <f t="shared" si="62"/>
        <v>0</v>
      </c>
      <c r="BD59" s="503"/>
      <c r="BE59" s="1494"/>
      <c r="BF59" s="1567"/>
      <c r="BG59" s="1495">
        <f t="shared" si="77"/>
        <v>0</v>
      </c>
      <c r="BH59" s="1893">
        <f t="shared" si="8"/>
        <v>0</v>
      </c>
      <c r="BI59" s="1896"/>
      <c r="BJ59" s="39">
        <f t="shared" si="78"/>
        <v>3154</v>
      </c>
      <c r="BK59" s="39">
        <f t="shared" si="79"/>
        <v>0</v>
      </c>
      <c r="BL59" s="106">
        <f t="shared" si="80"/>
        <v>3154</v>
      </c>
      <c r="BM59" s="178">
        <f t="shared" si="56"/>
        <v>6.8515121849132806E-3</v>
      </c>
      <c r="BN59" s="79"/>
    </row>
    <row r="60" spans="1:66" ht="13.8" x14ac:dyDescent="0.25">
      <c r="A60" s="237"/>
      <c r="B60" s="615" t="s">
        <v>65</v>
      </c>
      <c r="C60" s="113"/>
      <c r="D60" s="128"/>
      <c r="E60" s="120">
        <f t="shared" si="63"/>
        <v>0</v>
      </c>
      <c r="F60" s="178" t="e">
        <f t="shared" si="81"/>
        <v>#DIV/0!</v>
      </c>
      <c r="G60" s="210"/>
      <c r="H60" s="210"/>
      <c r="I60" s="106">
        <f t="shared" si="64"/>
        <v>0</v>
      </c>
      <c r="J60" s="178">
        <f t="shared" si="57"/>
        <v>0</v>
      </c>
      <c r="K60" s="79"/>
      <c r="L60" s="210">
        <f>2964/2</f>
        <v>1482</v>
      </c>
      <c r="M60" s="210"/>
      <c r="N60" s="106">
        <f t="shared" si="65"/>
        <v>1482</v>
      </c>
      <c r="O60" s="178">
        <f t="shared" si="66"/>
        <v>9.8606349474693288E-3</v>
      </c>
      <c r="P60" s="259"/>
      <c r="Q60" s="210">
        <v>1672</v>
      </c>
      <c r="R60" s="210"/>
      <c r="S60" s="106">
        <f t="shared" si="67"/>
        <v>1672</v>
      </c>
      <c r="T60" s="178">
        <f t="shared" si="68"/>
        <v>9.2622145826981445E-3</v>
      </c>
      <c r="U60" s="259"/>
      <c r="V60" s="210"/>
      <c r="W60" s="210"/>
      <c r="X60" s="106">
        <f t="shared" si="69"/>
        <v>0</v>
      </c>
      <c r="Y60" s="178">
        <f t="shared" si="70"/>
        <v>0</v>
      </c>
      <c r="Z60" s="259"/>
      <c r="AA60" s="210"/>
      <c r="AB60" s="210"/>
      <c r="AC60" s="106">
        <f t="shared" si="71"/>
        <v>0</v>
      </c>
      <c r="AD60" s="178">
        <f t="shared" si="58"/>
        <v>0</v>
      </c>
      <c r="AE60" s="731"/>
      <c r="AF60" s="669"/>
      <c r="AG60" s="453"/>
      <c r="AH60" s="446">
        <f t="shared" si="72"/>
        <v>0</v>
      </c>
      <c r="AI60" s="450">
        <f t="shared" si="59"/>
        <v>0</v>
      </c>
      <c r="AJ60" s="503"/>
      <c r="AK60" s="669"/>
      <c r="AL60" s="453"/>
      <c r="AM60" s="446">
        <f t="shared" si="73"/>
        <v>0</v>
      </c>
      <c r="AN60" s="450">
        <f t="shared" si="60"/>
        <v>0</v>
      </c>
      <c r="AO60" s="503"/>
      <c r="AP60" s="669"/>
      <c r="AQ60" s="453"/>
      <c r="AR60" s="446">
        <f t="shared" si="74"/>
        <v>0</v>
      </c>
      <c r="AS60" s="450">
        <f t="shared" si="5"/>
        <v>0</v>
      </c>
      <c r="AT60" s="503"/>
      <c r="AU60" s="669"/>
      <c r="AV60" s="453"/>
      <c r="AW60" s="446">
        <f t="shared" si="75"/>
        <v>0</v>
      </c>
      <c r="AX60" s="450">
        <f t="shared" si="61"/>
        <v>0</v>
      </c>
      <c r="AY60" s="503"/>
      <c r="AZ60" s="669"/>
      <c r="BA60" s="453"/>
      <c r="BB60" s="446">
        <f t="shared" si="76"/>
        <v>0</v>
      </c>
      <c r="BC60" s="450">
        <f t="shared" si="62"/>
        <v>0</v>
      </c>
      <c r="BD60" s="503"/>
      <c r="BE60" s="1494"/>
      <c r="BF60" s="1567"/>
      <c r="BG60" s="1495">
        <f t="shared" si="77"/>
        <v>0</v>
      </c>
      <c r="BH60" s="1893">
        <f t="shared" si="8"/>
        <v>0</v>
      </c>
      <c r="BI60" s="1896"/>
      <c r="BJ60" s="39">
        <f t="shared" si="78"/>
        <v>3154</v>
      </c>
      <c r="BK60" s="39">
        <f t="shared" si="79"/>
        <v>0</v>
      </c>
      <c r="BL60" s="106">
        <f t="shared" si="80"/>
        <v>3154</v>
      </c>
      <c r="BM60" s="178">
        <f t="shared" si="56"/>
        <v>6.8515121849132806E-3</v>
      </c>
      <c r="BN60" s="79"/>
    </row>
    <row r="61" spans="1:66" ht="13.8" x14ac:dyDescent="0.25">
      <c r="A61" s="237"/>
      <c r="B61" s="615" t="s">
        <v>32</v>
      </c>
      <c r="C61" s="113"/>
      <c r="D61" s="128"/>
      <c r="E61" s="120">
        <f t="shared" si="63"/>
        <v>0</v>
      </c>
      <c r="F61" s="178" t="e">
        <f t="shared" si="81"/>
        <v>#DIV/0!</v>
      </c>
      <c r="G61" s="210"/>
      <c r="H61" s="210"/>
      <c r="I61" s="106">
        <f t="shared" si="64"/>
        <v>0</v>
      </c>
      <c r="J61" s="178">
        <f t="shared" si="57"/>
        <v>0</v>
      </c>
      <c r="K61" s="79"/>
      <c r="L61" s="210"/>
      <c r="M61" s="210"/>
      <c r="N61" s="106">
        <f t="shared" si="65"/>
        <v>0</v>
      </c>
      <c r="O61" s="178">
        <f t="shared" si="66"/>
        <v>0</v>
      </c>
      <c r="P61" s="259"/>
      <c r="Q61" s="210"/>
      <c r="R61" s="210"/>
      <c r="S61" s="106">
        <f t="shared" si="67"/>
        <v>0</v>
      </c>
      <c r="T61" s="178">
        <f t="shared" si="68"/>
        <v>0</v>
      </c>
      <c r="U61" s="259"/>
      <c r="V61" s="210"/>
      <c r="W61" s="210"/>
      <c r="X61" s="106">
        <f t="shared" si="69"/>
        <v>0</v>
      </c>
      <c r="Y61" s="178">
        <f t="shared" si="70"/>
        <v>0</v>
      </c>
      <c r="Z61" s="259"/>
      <c r="AA61" s="210"/>
      <c r="AB61" s="210"/>
      <c r="AC61" s="106">
        <f t="shared" si="71"/>
        <v>0</v>
      </c>
      <c r="AD61" s="178">
        <f t="shared" si="58"/>
        <v>0</v>
      </c>
      <c r="AE61" s="731"/>
      <c r="AF61" s="669"/>
      <c r="AG61" s="453"/>
      <c r="AH61" s="446">
        <f t="shared" si="72"/>
        <v>0</v>
      </c>
      <c r="AI61" s="450">
        <f t="shared" si="59"/>
        <v>0</v>
      </c>
      <c r="AJ61" s="503"/>
      <c r="AK61" s="669"/>
      <c r="AL61" s="453"/>
      <c r="AM61" s="446">
        <f t="shared" si="73"/>
        <v>0</v>
      </c>
      <c r="AN61" s="450">
        <f t="shared" si="60"/>
        <v>0</v>
      </c>
      <c r="AO61" s="503"/>
      <c r="AP61" s="669"/>
      <c r="AQ61" s="453"/>
      <c r="AR61" s="446">
        <f t="shared" si="74"/>
        <v>0</v>
      </c>
      <c r="AS61" s="450">
        <f t="shared" si="5"/>
        <v>0</v>
      </c>
      <c r="AT61" s="503"/>
      <c r="AU61" s="669"/>
      <c r="AV61" s="453"/>
      <c r="AW61" s="446">
        <f t="shared" si="75"/>
        <v>0</v>
      </c>
      <c r="AX61" s="450">
        <f t="shared" si="61"/>
        <v>0</v>
      </c>
      <c r="AY61" s="503"/>
      <c r="AZ61" s="669"/>
      <c r="BA61" s="453"/>
      <c r="BB61" s="446">
        <f t="shared" si="76"/>
        <v>0</v>
      </c>
      <c r="BC61" s="450">
        <f t="shared" si="62"/>
        <v>0</v>
      </c>
      <c r="BD61" s="503"/>
      <c r="BE61" s="1494"/>
      <c r="BF61" s="1567"/>
      <c r="BG61" s="1495">
        <f t="shared" si="77"/>
        <v>0</v>
      </c>
      <c r="BH61" s="1893">
        <f t="shared" si="8"/>
        <v>0</v>
      </c>
      <c r="BI61" s="1896"/>
      <c r="BJ61" s="39">
        <f t="shared" si="78"/>
        <v>0</v>
      </c>
      <c r="BK61" s="39">
        <f t="shared" si="79"/>
        <v>0</v>
      </c>
      <c r="BL61" s="106">
        <f t="shared" si="80"/>
        <v>0</v>
      </c>
      <c r="BM61" s="178">
        <f t="shared" si="56"/>
        <v>0</v>
      </c>
      <c r="BN61" s="79"/>
    </row>
    <row r="62" spans="1:66" ht="13.8" x14ac:dyDescent="0.25">
      <c r="A62" s="237"/>
      <c r="B62" s="615" t="s">
        <v>33</v>
      </c>
      <c r="C62" s="129"/>
      <c r="D62" s="128"/>
      <c r="E62" s="120">
        <f t="shared" si="63"/>
        <v>0</v>
      </c>
      <c r="F62" s="178" t="e">
        <f t="shared" si="81"/>
        <v>#DIV/0!</v>
      </c>
      <c r="G62" s="210"/>
      <c r="H62" s="210"/>
      <c r="I62" s="106">
        <f t="shared" si="64"/>
        <v>0</v>
      </c>
      <c r="J62" s="178">
        <f t="shared" si="57"/>
        <v>0</v>
      </c>
      <c r="K62" s="79"/>
      <c r="L62" s="210"/>
      <c r="M62" s="210"/>
      <c r="N62" s="106">
        <f t="shared" si="65"/>
        <v>0</v>
      </c>
      <c r="O62" s="178">
        <f t="shared" si="66"/>
        <v>0</v>
      </c>
      <c r="P62" s="259"/>
      <c r="Q62" s="210"/>
      <c r="R62" s="210"/>
      <c r="S62" s="106">
        <f t="shared" si="67"/>
        <v>0</v>
      </c>
      <c r="T62" s="178">
        <f t="shared" si="68"/>
        <v>0</v>
      </c>
      <c r="U62" s="259"/>
      <c r="V62" s="210"/>
      <c r="W62" s="210"/>
      <c r="X62" s="106">
        <f t="shared" si="69"/>
        <v>0</v>
      </c>
      <c r="Y62" s="178">
        <f t="shared" si="70"/>
        <v>0</v>
      </c>
      <c r="Z62" s="259"/>
      <c r="AA62" s="210"/>
      <c r="AB62" s="210"/>
      <c r="AC62" s="106">
        <f t="shared" si="71"/>
        <v>0</v>
      </c>
      <c r="AD62" s="178">
        <f t="shared" si="58"/>
        <v>0</v>
      </c>
      <c r="AE62" s="731"/>
      <c r="AF62" s="669"/>
      <c r="AG62" s="453"/>
      <c r="AH62" s="446">
        <f t="shared" si="72"/>
        <v>0</v>
      </c>
      <c r="AI62" s="450">
        <f t="shared" si="59"/>
        <v>0</v>
      </c>
      <c r="AJ62" s="503"/>
      <c r="AK62" s="669"/>
      <c r="AL62" s="453"/>
      <c r="AM62" s="446">
        <f t="shared" si="73"/>
        <v>0</v>
      </c>
      <c r="AN62" s="450">
        <f t="shared" si="60"/>
        <v>0</v>
      </c>
      <c r="AO62" s="503"/>
      <c r="AP62" s="669"/>
      <c r="AQ62" s="453"/>
      <c r="AR62" s="446">
        <f t="shared" si="74"/>
        <v>0</v>
      </c>
      <c r="AS62" s="450">
        <f t="shared" si="5"/>
        <v>0</v>
      </c>
      <c r="AT62" s="503"/>
      <c r="AU62" s="669"/>
      <c r="AV62" s="453"/>
      <c r="AW62" s="446">
        <f t="shared" si="75"/>
        <v>0</v>
      </c>
      <c r="AX62" s="450">
        <f t="shared" si="61"/>
        <v>0</v>
      </c>
      <c r="AY62" s="503"/>
      <c r="AZ62" s="669"/>
      <c r="BA62" s="453"/>
      <c r="BB62" s="446">
        <f t="shared" si="76"/>
        <v>0</v>
      </c>
      <c r="BC62" s="450">
        <f t="shared" si="62"/>
        <v>0</v>
      </c>
      <c r="BD62" s="503"/>
      <c r="BE62" s="1494"/>
      <c r="BF62" s="1567"/>
      <c r="BG62" s="1495">
        <f t="shared" si="77"/>
        <v>0</v>
      </c>
      <c r="BH62" s="1893">
        <f t="shared" si="8"/>
        <v>0</v>
      </c>
      <c r="BI62" s="1896"/>
      <c r="BJ62" s="39">
        <f t="shared" si="78"/>
        <v>0</v>
      </c>
      <c r="BK62" s="39">
        <f t="shared" si="79"/>
        <v>0</v>
      </c>
      <c r="BL62" s="106">
        <f t="shared" si="80"/>
        <v>0</v>
      </c>
      <c r="BM62" s="178">
        <f t="shared" si="56"/>
        <v>0</v>
      </c>
      <c r="BN62" s="79"/>
    </row>
    <row r="63" spans="1:66" ht="13.8" x14ac:dyDescent="0.25">
      <c r="A63" s="237"/>
      <c r="B63" s="615" t="s">
        <v>35</v>
      </c>
      <c r="C63" s="129"/>
      <c r="D63" s="128"/>
      <c r="E63" s="120">
        <f t="shared" si="63"/>
        <v>0</v>
      </c>
      <c r="F63" s="178" t="e">
        <f t="shared" si="81"/>
        <v>#DIV/0!</v>
      </c>
      <c r="G63" s="210"/>
      <c r="H63" s="210"/>
      <c r="I63" s="106">
        <f t="shared" si="64"/>
        <v>0</v>
      </c>
      <c r="J63" s="178">
        <f t="shared" si="57"/>
        <v>0</v>
      </c>
      <c r="K63" s="79"/>
      <c r="L63" s="39">
        <f>4281.52/2</f>
        <v>2140.7600000000002</v>
      </c>
      <c r="M63" s="210"/>
      <c r="N63" s="106">
        <f t="shared" si="65"/>
        <v>2140.7600000000002</v>
      </c>
      <c r="O63" s="178">
        <f t="shared" si="66"/>
        <v>1.4243760371217572E-2</v>
      </c>
      <c r="P63" s="415" t="s">
        <v>576</v>
      </c>
      <c r="Q63" s="39"/>
      <c r="R63" s="210"/>
      <c r="S63" s="106">
        <f t="shared" si="67"/>
        <v>0</v>
      </c>
      <c r="T63" s="178">
        <f t="shared" si="68"/>
        <v>0</v>
      </c>
      <c r="U63" s="415"/>
      <c r="V63" s="39"/>
      <c r="W63" s="210"/>
      <c r="X63" s="106">
        <f t="shared" si="69"/>
        <v>0</v>
      </c>
      <c r="Y63" s="178">
        <f t="shared" si="70"/>
        <v>0</v>
      </c>
      <c r="Z63" s="415"/>
      <c r="AA63" s="39"/>
      <c r="AB63" s="210"/>
      <c r="AC63" s="106">
        <f t="shared" si="71"/>
        <v>0</v>
      </c>
      <c r="AD63" s="178">
        <f t="shared" si="58"/>
        <v>0</v>
      </c>
      <c r="AE63" s="736"/>
      <c r="AF63" s="560"/>
      <c r="AG63" s="453"/>
      <c r="AH63" s="446">
        <f t="shared" si="72"/>
        <v>0</v>
      </c>
      <c r="AI63" s="450">
        <f t="shared" si="59"/>
        <v>0</v>
      </c>
      <c r="AJ63" s="518"/>
      <c r="AK63" s="560"/>
      <c r="AL63" s="453"/>
      <c r="AM63" s="446">
        <f t="shared" si="73"/>
        <v>0</v>
      </c>
      <c r="AN63" s="450">
        <f t="shared" si="60"/>
        <v>0</v>
      </c>
      <c r="AO63" s="518"/>
      <c r="AP63" s="560"/>
      <c r="AQ63" s="453"/>
      <c r="AR63" s="446">
        <f t="shared" si="74"/>
        <v>0</v>
      </c>
      <c r="AS63" s="450">
        <f t="shared" si="5"/>
        <v>0</v>
      </c>
      <c r="AT63" s="518"/>
      <c r="AU63" s="560"/>
      <c r="AV63" s="453"/>
      <c r="AW63" s="446">
        <f t="shared" si="75"/>
        <v>0</v>
      </c>
      <c r="AX63" s="450">
        <f t="shared" si="61"/>
        <v>0</v>
      </c>
      <c r="AY63" s="518"/>
      <c r="AZ63" s="560"/>
      <c r="BA63" s="453"/>
      <c r="BB63" s="446">
        <f t="shared" si="76"/>
        <v>0</v>
      </c>
      <c r="BC63" s="450">
        <f t="shared" si="62"/>
        <v>0</v>
      </c>
      <c r="BD63" s="518"/>
      <c r="BE63" s="1659"/>
      <c r="BF63" s="1567"/>
      <c r="BG63" s="1495">
        <f t="shared" si="77"/>
        <v>0</v>
      </c>
      <c r="BH63" s="1893">
        <f t="shared" si="8"/>
        <v>0</v>
      </c>
      <c r="BI63" s="1897"/>
      <c r="BJ63" s="39">
        <f t="shared" si="78"/>
        <v>2140.7600000000002</v>
      </c>
      <c r="BK63" s="39">
        <f t="shared" si="79"/>
        <v>0</v>
      </c>
      <c r="BL63" s="106">
        <f t="shared" si="80"/>
        <v>2140.7600000000002</v>
      </c>
      <c r="BM63" s="178">
        <f t="shared" si="56"/>
        <v>4.65042587982719E-3</v>
      </c>
      <c r="BN63" s="79"/>
    </row>
    <row r="64" spans="1:66" ht="13.8" x14ac:dyDescent="0.25">
      <c r="A64" s="237"/>
      <c r="B64" s="615" t="s">
        <v>63</v>
      </c>
      <c r="C64" s="129"/>
      <c r="D64" s="128"/>
      <c r="E64" s="120">
        <f t="shared" si="63"/>
        <v>0</v>
      </c>
      <c r="F64" s="178" t="e">
        <f t="shared" si="81"/>
        <v>#DIV/0!</v>
      </c>
      <c r="G64" s="210"/>
      <c r="H64" s="210"/>
      <c r="I64" s="106">
        <f t="shared" si="64"/>
        <v>0</v>
      </c>
      <c r="J64" s="178">
        <f t="shared" si="57"/>
        <v>0</v>
      </c>
      <c r="K64" s="79"/>
      <c r="L64" s="210"/>
      <c r="M64" s="210"/>
      <c r="N64" s="106">
        <f t="shared" si="65"/>
        <v>0</v>
      </c>
      <c r="O64" s="178">
        <f t="shared" si="66"/>
        <v>0</v>
      </c>
      <c r="P64" s="259"/>
      <c r="Q64" s="210"/>
      <c r="R64" s="210"/>
      <c r="S64" s="106">
        <f t="shared" si="67"/>
        <v>0</v>
      </c>
      <c r="T64" s="178">
        <f t="shared" si="68"/>
        <v>0</v>
      </c>
      <c r="U64" s="259"/>
      <c r="V64" s="210"/>
      <c r="W64" s="210"/>
      <c r="X64" s="106">
        <f t="shared" si="69"/>
        <v>0</v>
      </c>
      <c r="Y64" s="178">
        <f t="shared" si="70"/>
        <v>0</v>
      </c>
      <c r="Z64" s="259"/>
      <c r="AA64" s="210"/>
      <c r="AB64" s="210"/>
      <c r="AC64" s="106">
        <f t="shared" si="71"/>
        <v>0</v>
      </c>
      <c r="AD64" s="178">
        <f t="shared" si="58"/>
        <v>0</v>
      </c>
      <c r="AE64" s="731"/>
      <c r="AF64" s="669"/>
      <c r="AG64" s="453"/>
      <c r="AH64" s="446">
        <f t="shared" si="72"/>
        <v>0</v>
      </c>
      <c r="AI64" s="450">
        <f t="shared" si="59"/>
        <v>0</v>
      </c>
      <c r="AJ64" s="503"/>
      <c r="AK64" s="669"/>
      <c r="AL64" s="453"/>
      <c r="AM64" s="446">
        <f t="shared" si="73"/>
        <v>0</v>
      </c>
      <c r="AN64" s="450">
        <f t="shared" si="60"/>
        <v>0</v>
      </c>
      <c r="AO64" s="503"/>
      <c r="AP64" s="669"/>
      <c r="AQ64" s="453"/>
      <c r="AR64" s="446">
        <f t="shared" si="74"/>
        <v>0</v>
      </c>
      <c r="AS64" s="450">
        <f t="shared" si="5"/>
        <v>0</v>
      </c>
      <c r="AT64" s="503"/>
      <c r="AU64" s="669"/>
      <c r="AV64" s="453"/>
      <c r="AW64" s="446">
        <f t="shared" si="75"/>
        <v>0</v>
      </c>
      <c r="AX64" s="450">
        <f t="shared" si="61"/>
        <v>0</v>
      </c>
      <c r="AY64" s="503"/>
      <c r="AZ64" s="669"/>
      <c r="BA64" s="453"/>
      <c r="BB64" s="446">
        <f t="shared" si="76"/>
        <v>0</v>
      </c>
      <c r="BC64" s="450">
        <f t="shared" si="62"/>
        <v>0</v>
      </c>
      <c r="BD64" s="503"/>
      <c r="BE64" s="1494"/>
      <c r="BF64" s="1567"/>
      <c r="BG64" s="1495">
        <f t="shared" si="77"/>
        <v>0</v>
      </c>
      <c r="BH64" s="1893">
        <f t="shared" si="8"/>
        <v>0</v>
      </c>
      <c r="BI64" s="1896"/>
      <c r="BJ64" s="39">
        <f t="shared" si="78"/>
        <v>0</v>
      </c>
      <c r="BK64" s="39">
        <f t="shared" si="79"/>
        <v>0</v>
      </c>
      <c r="BL64" s="106">
        <f t="shared" si="80"/>
        <v>0</v>
      </c>
      <c r="BM64" s="178">
        <f t="shared" si="56"/>
        <v>0</v>
      </c>
      <c r="BN64" s="79"/>
    </row>
    <row r="65" spans="1:66" ht="27.6" x14ac:dyDescent="0.25">
      <c r="A65" s="237"/>
      <c r="B65" s="615" t="s">
        <v>36</v>
      </c>
      <c r="C65" s="129"/>
      <c r="D65" s="128"/>
      <c r="E65" s="120">
        <f t="shared" si="63"/>
        <v>0</v>
      </c>
      <c r="F65" s="178" t="e">
        <f t="shared" si="81"/>
        <v>#DIV/0!</v>
      </c>
      <c r="G65" s="39"/>
      <c r="H65" s="39"/>
      <c r="I65" s="106">
        <f t="shared" si="64"/>
        <v>0</v>
      </c>
      <c r="J65" s="178">
        <f>I65/$I$89</f>
        <v>0</v>
      </c>
      <c r="K65" s="79"/>
      <c r="L65" s="39"/>
      <c r="M65" s="39"/>
      <c r="N65" s="106">
        <f t="shared" si="65"/>
        <v>0</v>
      </c>
      <c r="O65" s="178">
        <f t="shared" si="66"/>
        <v>0</v>
      </c>
      <c r="P65" s="259"/>
      <c r="Q65" s="39"/>
      <c r="R65" s="39"/>
      <c r="S65" s="106">
        <f t="shared" si="67"/>
        <v>0</v>
      </c>
      <c r="T65" s="178">
        <f t="shared" si="68"/>
        <v>0</v>
      </c>
      <c r="U65" s="259"/>
      <c r="V65" s="39"/>
      <c r="W65" s="39"/>
      <c r="X65" s="106">
        <f t="shared" si="69"/>
        <v>0</v>
      </c>
      <c r="Y65" s="178">
        <f t="shared" si="70"/>
        <v>0</v>
      </c>
      <c r="Z65" s="259"/>
      <c r="AA65" s="39"/>
      <c r="AB65" s="39"/>
      <c r="AC65" s="106">
        <f t="shared" si="71"/>
        <v>0</v>
      </c>
      <c r="AD65" s="178">
        <f t="shared" si="58"/>
        <v>0</v>
      </c>
      <c r="AE65" s="731"/>
      <c r="AF65" s="560"/>
      <c r="AG65" s="452"/>
      <c r="AH65" s="446">
        <f t="shared" si="72"/>
        <v>0</v>
      </c>
      <c r="AI65" s="450">
        <f t="shared" si="59"/>
        <v>0</v>
      </c>
      <c r="AJ65" s="503"/>
      <c r="AK65" s="560"/>
      <c r="AL65" s="452"/>
      <c r="AM65" s="446">
        <f t="shared" si="73"/>
        <v>0</v>
      </c>
      <c r="AN65" s="450">
        <f t="shared" si="60"/>
        <v>0</v>
      </c>
      <c r="AO65" s="503"/>
      <c r="AP65" s="560"/>
      <c r="AQ65" s="452"/>
      <c r="AR65" s="446">
        <f t="shared" si="74"/>
        <v>0</v>
      </c>
      <c r="AS65" s="450">
        <f t="shared" si="5"/>
        <v>0</v>
      </c>
      <c r="AT65" s="503"/>
      <c r="AU65" s="560"/>
      <c r="AV65" s="452"/>
      <c r="AW65" s="446">
        <f t="shared" si="75"/>
        <v>0</v>
      </c>
      <c r="AX65" s="450">
        <f t="shared" si="61"/>
        <v>0</v>
      </c>
      <c r="AY65" s="503"/>
      <c r="AZ65" s="560"/>
      <c r="BA65" s="452"/>
      <c r="BB65" s="446">
        <f t="shared" si="76"/>
        <v>0</v>
      </c>
      <c r="BC65" s="450">
        <f t="shared" si="62"/>
        <v>0</v>
      </c>
      <c r="BD65" s="503"/>
      <c r="BE65" s="1659"/>
      <c r="BF65" s="1447"/>
      <c r="BG65" s="1495">
        <f t="shared" si="77"/>
        <v>0</v>
      </c>
      <c r="BH65" s="1893">
        <f t="shared" si="8"/>
        <v>0</v>
      </c>
      <c r="BI65" s="1896"/>
      <c r="BJ65" s="39">
        <f t="shared" si="78"/>
        <v>0</v>
      </c>
      <c r="BK65" s="39">
        <f t="shared" si="79"/>
        <v>0</v>
      </c>
      <c r="BL65" s="106">
        <f t="shared" si="80"/>
        <v>0</v>
      </c>
      <c r="BM65" s="178">
        <f t="shared" si="56"/>
        <v>0</v>
      </c>
      <c r="BN65" s="79"/>
    </row>
    <row r="66" spans="1:66" s="2" customFormat="1" ht="13.8" x14ac:dyDescent="0.25">
      <c r="A66" s="237"/>
      <c r="B66" s="615" t="s">
        <v>37</v>
      </c>
      <c r="C66" s="129"/>
      <c r="D66" s="128"/>
      <c r="E66" s="120">
        <f t="shared" si="63"/>
        <v>0</v>
      </c>
      <c r="F66" s="178" t="e">
        <f t="shared" si="81"/>
        <v>#DIV/0!</v>
      </c>
      <c r="G66" s="39"/>
      <c r="H66" s="39"/>
      <c r="I66" s="106">
        <f t="shared" si="64"/>
        <v>0</v>
      </c>
      <c r="J66" s="178">
        <f t="shared" si="57"/>
        <v>0</v>
      </c>
      <c r="K66" s="79"/>
      <c r="L66" s="39"/>
      <c r="M66" s="39"/>
      <c r="N66" s="106">
        <f t="shared" si="65"/>
        <v>0</v>
      </c>
      <c r="O66" s="178">
        <f t="shared" si="66"/>
        <v>0</v>
      </c>
      <c r="P66" s="259"/>
      <c r="Q66" s="39"/>
      <c r="R66" s="39"/>
      <c r="S66" s="106">
        <f t="shared" si="67"/>
        <v>0</v>
      </c>
      <c r="T66" s="178">
        <f t="shared" si="68"/>
        <v>0</v>
      </c>
      <c r="U66" s="259"/>
      <c r="V66" s="39"/>
      <c r="W66" s="39"/>
      <c r="X66" s="106">
        <f t="shared" si="69"/>
        <v>0</v>
      </c>
      <c r="Y66" s="178">
        <f t="shared" si="70"/>
        <v>0</v>
      </c>
      <c r="Z66" s="259"/>
      <c r="AA66" s="39"/>
      <c r="AB66" s="39"/>
      <c r="AC66" s="106">
        <f t="shared" si="71"/>
        <v>0</v>
      </c>
      <c r="AD66" s="178">
        <f t="shared" si="58"/>
        <v>0</v>
      </c>
      <c r="AE66" s="731"/>
      <c r="AF66" s="560"/>
      <c r="AG66" s="452"/>
      <c r="AH66" s="446">
        <f t="shared" si="72"/>
        <v>0</v>
      </c>
      <c r="AI66" s="450">
        <f t="shared" si="59"/>
        <v>0</v>
      </c>
      <c r="AJ66" s="503"/>
      <c r="AK66" s="560"/>
      <c r="AL66" s="452"/>
      <c r="AM66" s="446">
        <f t="shared" si="73"/>
        <v>0</v>
      </c>
      <c r="AN66" s="450">
        <f t="shared" si="60"/>
        <v>0</v>
      </c>
      <c r="AO66" s="503"/>
      <c r="AP66" s="560"/>
      <c r="AQ66" s="452"/>
      <c r="AR66" s="446">
        <f t="shared" si="74"/>
        <v>0</v>
      </c>
      <c r="AS66" s="450">
        <f t="shared" si="5"/>
        <v>0</v>
      </c>
      <c r="AT66" s="503"/>
      <c r="AU66" s="560"/>
      <c r="AV66" s="452"/>
      <c r="AW66" s="446">
        <f t="shared" si="75"/>
        <v>0</v>
      </c>
      <c r="AX66" s="450">
        <f t="shared" si="61"/>
        <v>0</v>
      </c>
      <c r="AY66" s="503"/>
      <c r="AZ66" s="560"/>
      <c r="BA66" s="452"/>
      <c r="BB66" s="446">
        <f t="shared" si="76"/>
        <v>0</v>
      </c>
      <c r="BC66" s="450">
        <f t="shared" si="62"/>
        <v>0</v>
      </c>
      <c r="BD66" s="503"/>
      <c r="BE66" s="1659"/>
      <c r="BF66" s="1447"/>
      <c r="BG66" s="1495">
        <f t="shared" si="77"/>
        <v>0</v>
      </c>
      <c r="BH66" s="1893">
        <f t="shared" si="8"/>
        <v>0</v>
      </c>
      <c r="BI66" s="1896"/>
      <c r="BJ66" s="39">
        <f t="shared" si="78"/>
        <v>0</v>
      </c>
      <c r="BK66" s="39">
        <f t="shared" si="79"/>
        <v>0</v>
      </c>
      <c r="BL66" s="106">
        <f t="shared" si="80"/>
        <v>0</v>
      </c>
      <c r="BM66" s="178">
        <f t="shared" si="56"/>
        <v>0</v>
      </c>
      <c r="BN66" s="79"/>
    </row>
    <row r="67" spans="1:66" s="2" customFormat="1" ht="13.8" x14ac:dyDescent="0.25">
      <c r="A67" s="237"/>
      <c r="B67" s="615" t="s">
        <v>3</v>
      </c>
      <c r="C67" s="129"/>
      <c r="D67" s="128"/>
      <c r="E67" s="120">
        <f t="shared" si="63"/>
        <v>0</v>
      </c>
      <c r="F67" s="178" t="e">
        <f t="shared" si="81"/>
        <v>#DIV/0!</v>
      </c>
      <c r="G67" s="39">
        <v>700</v>
      </c>
      <c r="H67" s="39"/>
      <c r="I67" s="106">
        <f t="shared" si="64"/>
        <v>700</v>
      </c>
      <c r="J67" s="178">
        <f t="shared" si="57"/>
        <v>1.5165613429340448E-2</v>
      </c>
      <c r="K67" s="79" t="s">
        <v>535</v>
      </c>
      <c r="L67" s="39"/>
      <c r="M67" s="39"/>
      <c r="N67" s="106">
        <f t="shared" si="65"/>
        <v>0</v>
      </c>
      <c r="O67" s="178">
        <f t="shared" si="66"/>
        <v>0</v>
      </c>
      <c r="P67" s="259"/>
      <c r="Q67" s="39"/>
      <c r="R67" s="39"/>
      <c r="S67" s="106">
        <f t="shared" si="67"/>
        <v>0</v>
      </c>
      <c r="T67" s="178">
        <f t="shared" si="68"/>
        <v>0</v>
      </c>
      <c r="U67" s="259"/>
      <c r="V67" s="39"/>
      <c r="W67" s="39"/>
      <c r="X67" s="106">
        <f t="shared" si="69"/>
        <v>0</v>
      </c>
      <c r="Y67" s="178">
        <f t="shared" si="70"/>
        <v>0</v>
      </c>
      <c r="Z67" s="259"/>
      <c r="AA67" s="39"/>
      <c r="AB67" s="39"/>
      <c r="AC67" s="106">
        <f t="shared" si="71"/>
        <v>0</v>
      </c>
      <c r="AD67" s="178">
        <f t="shared" si="58"/>
        <v>0</v>
      </c>
      <c r="AE67" s="731"/>
      <c r="AF67" s="560"/>
      <c r="AG67" s="452"/>
      <c r="AH67" s="446">
        <f t="shared" si="72"/>
        <v>0</v>
      </c>
      <c r="AI67" s="450">
        <f t="shared" si="59"/>
        <v>0</v>
      </c>
      <c r="AJ67" s="503"/>
      <c r="AK67" s="560"/>
      <c r="AL67" s="452"/>
      <c r="AM67" s="446">
        <f t="shared" si="73"/>
        <v>0</v>
      </c>
      <c r="AN67" s="450">
        <f t="shared" si="60"/>
        <v>0</v>
      </c>
      <c r="AO67" s="503"/>
      <c r="AP67" s="560"/>
      <c r="AQ67" s="452"/>
      <c r="AR67" s="446">
        <f t="shared" si="74"/>
        <v>0</v>
      </c>
      <c r="AS67" s="450">
        <f t="shared" si="5"/>
        <v>0</v>
      </c>
      <c r="AT67" s="503"/>
      <c r="AU67" s="560"/>
      <c r="AV67" s="452"/>
      <c r="AW67" s="446">
        <f t="shared" si="75"/>
        <v>0</v>
      </c>
      <c r="AX67" s="450">
        <f t="shared" si="61"/>
        <v>0</v>
      </c>
      <c r="AY67" s="503"/>
      <c r="AZ67" s="560"/>
      <c r="BA67" s="452"/>
      <c r="BB67" s="446">
        <f t="shared" si="76"/>
        <v>0</v>
      </c>
      <c r="BC67" s="450">
        <f t="shared" si="62"/>
        <v>0</v>
      </c>
      <c r="BD67" s="503"/>
      <c r="BE67" s="1659"/>
      <c r="BF67" s="1447"/>
      <c r="BG67" s="1495">
        <f t="shared" si="77"/>
        <v>0</v>
      </c>
      <c r="BH67" s="1893">
        <f t="shared" si="8"/>
        <v>0</v>
      </c>
      <c r="BI67" s="1896"/>
      <c r="BJ67" s="39">
        <f t="shared" si="78"/>
        <v>700</v>
      </c>
      <c r="BK67" s="39">
        <f t="shared" si="79"/>
        <v>0</v>
      </c>
      <c r="BL67" s="106">
        <f t="shared" si="80"/>
        <v>700</v>
      </c>
      <c r="BM67" s="178">
        <f t="shared" si="56"/>
        <v>1.5206273080023134E-3</v>
      </c>
      <c r="BN67" s="79"/>
    </row>
    <row r="68" spans="1:66" s="2" customFormat="1" ht="13.8" x14ac:dyDescent="0.25">
      <c r="A68" s="237"/>
      <c r="B68" s="615" t="s">
        <v>5</v>
      </c>
      <c r="C68" s="129"/>
      <c r="D68" s="128"/>
      <c r="E68" s="120">
        <f t="shared" si="63"/>
        <v>0</v>
      </c>
      <c r="F68" s="178" t="e">
        <f t="shared" si="81"/>
        <v>#DIV/0!</v>
      </c>
      <c r="G68" s="39"/>
      <c r="H68" s="39">
        <v>21.1</v>
      </c>
      <c r="I68" s="106">
        <f t="shared" si="64"/>
        <v>21.1</v>
      </c>
      <c r="J68" s="178">
        <f t="shared" si="57"/>
        <v>4.5713491908440498E-4</v>
      </c>
      <c r="K68" s="79"/>
      <c r="L68" s="39"/>
      <c r="M68" s="39"/>
      <c r="N68" s="106">
        <f t="shared" si="65"/>
        <v>0</v>
      </c>
      <c r="O68" s="178">
        <f t="shared" si="66"/>
        <v>0</v>
      </c>
      <c r="P68" s="259"/>
      <c r="Q68" s="39"/>
      <c r="R68" s="39">
        <v>256.35000000000002</v>
      </c>
      <c r="S68" s="106">
        <f t="shared" si="67"/>
        <v>256.35000000000002</v>
      </c>
      <c r="T68" s="178">
        <f t="shared" si="68"/>
        <v>1.4200769786331755E-3</v>
      </c>
      <c r="U68" s="259"/>
      <c r="V68" s="39"/>
      <c r="W68" s="39"/>
      <c r="X68" s="106">
        <f t="shared" si="69"/>
        <v>0</v>
      </c>
      <c r="Y68" s="178">
        <f t="shared" si="70"/>
        <v>0</v>
      </c>
      <c r="Z68" s="259"/>
      <c r="AA68" s="39"/>
      <c r="AB68" s="39"/>
      <c r="AC68" s="106">
        <f t="shared" si="71"/>
        <v>0</v>
      </c>
      <c r="AD68" s="178">
        <f t="shared" si="58"/>
        <v>0</v>
      </c>
      <c r="AE68" s="731"/>
      <c r="AF68" s="560"/>
      <c r="AG68" s="452"/>
      <c r="AH68" s="446">
        <f t="shared" si="72"/>
        <v>0</v>
      </c>
      <c r="AI68" s="450">
        <f t="shared" si="59"/>
        <v>0</v>
      </c>
      <c r="AJ68" s="503"/>
      <c r="AK68" s="560"/>
      <c r="AL68" s="452"/>
      <c r="AM68" s="446">
        <f t="shared" si="73"/>
        <v>0</v>
      </c>
      <c r="AN68" s="450">
        <f t="shared" si="60"/>
        <v>0</v>
      </c>
      <c r="AO68" s="503"/>
      <c r="AP68" s="560"/>
      <c r="AQ68" s="452"/>
      <c r="AR68" s="446">
        <f t="shared" si="74"/>
        <v>0</v>
      </c>
      <c r="AS68" s="450">
        <f t="shared" si="5"/>
        <v>0</v>
      </c>
      <c r="AT68" s="503"/>
      <c r="AU68" s="560"/>
      <c r="AV68" s="452"/>
      <c r="AW68" s="446">
        <f t="shared" si="75"/>
        <v>0</v>
      </c>
      <c r="AX68" s="450">
        <f t="shared" si="61"/>
        <v>0</v>
      </c>
      <c r="AY68" s="503"/>
      <c r="AZ68" s="560"/>
      <c r="BA68" s="452"/>
      <c r="BB68" s="446">
        <f t="shared" si="76"/>
        <v>0</v>
      </c>
      <c r="BC68" s="450">
        <f t="shared" si="62"/>
        <v>0</v>
      </c>
      <c r="BD68" s="503"/>
      <c r="BE68" s="1659"/>
      <c r="BF68" s="1447"/>
      <c r="BG68" s="1495">
        <f t="shared" si="77"/>
        <v>0</v>
      </c>
      <c r="BH68" s="1893">
        <f t="shared" si="8"/>
        <v>0</v>
      </c>
      <c r="BI68" s="1896"/>
      <c r="BJ68" s="39">
        <f t="shared" si="78"/>
        <v>0</v>
      </c>
      <c r="BK68" s="39">
        <f t="shared" si="79"/>
        <v>277.45000000000005</v>
      </c>
      <c r="BL68" s="106">
        <f t="shared" si="80"/>
        <v>277.45000000000005</v>
      </c>
      <c r="BM68" s="178">
        <f t="shared" si="56"/>
        <v>6.0271149515034555E-4</v>
      </c>
      <c r="BN68" s="79"/>
    </row>
    <row r="69" spans="1:66" s="2" customFormat="1" ht="13.8" x14ac:dyDescent="0.25">
      <c r="A69" s="237"/>
      <c r="B69" s="615" t="s">
        <v>42</v>
      </c>
      <c r="C69" s="129"/>
      <c r="D69" s="128"/>
      <c r="E69" s="120">
        <f t="shared" si="63"/>
        <v>0</v>
      </c>
      <c r="F69" s="178" t="e">
        <f t="shared" si="81"/>
        <v>#DIV/0!</v>
      </c>
      <c r="G69" s="39"/>
      <c r="H69" s="39"/>
      <c r="I69" s="106">
        <f t="shared" si="64"/>
        <v>0</v>
      </c>
      <c r="J69" s="178">
        <f t="shared" si="57"/>
        <v>0</v>
      </c>
      <c r="K69" s="79"/>
      <c r="L69" s="39">
        <v>5000</v>
      </c>
      <c r="M69" s="39"/>
      <c r="N69" s="106">
        <f t="shared" si="65"/>
        <v>5000</v>
      </c>
      <c r="O69" s="178">
        <f t="shared" si="66"/>
        <v>3.3267999148007182E-2</v>
      </c>
      <c r="P69" s="415" t="s">
        <v>554</v>
      </c>
      <c r="Q69" s="39"/>
      <c r="R69" s="39"/>
      <c r="S69" s="106">
        <f t="shared" si="67"/>
        <v>0</v>
      </c>
      <c r="T69" s="178">
        <f t="shared" si="68"/>
        <v>0</v>
      </c>
      <c r="U69" s="415"/>
      <c r="V69" s="39"/>
      <c r="W69" s="39"/>
      <c r="X69" s="106">
        <f t="shared" si="69"/>
        <v>0</v>
      </c>
      <c r="Y69" s="178">
        <f t="shared" si="70"/>
        <v>0</v>
      </c>
      <c r="Z69" s="415"/>
      <c r="AA69" s="39"/>
      <c r="AB69" s="39"/>
      <c r="AC69" s="106">
        <f t="shared" si="71"/>
        <v>0</v>
      </c>
      <c r="AD69" s="178">
        <f t="shared" si="58"/>
        <v>0</v>
      </c>
      <c r="AE69" s="736"/>
      <c r="AF69" s="560"/>
      <c r="AG69" s="452"/>
      <c r="AH69" s="446">
        <f t="shared" si="72"/>
        <v>0</v>
      </c>
      <c r="AI69" s="450">
        <f t="shared" si="59"/>
        <v>0</v>
      </c>
      <c r="AJ69" s="518"/>
      <c r="AK69" s="560"/>
      <c r="AL69" s="452"/>
      <c r="AM69" s="446">
        <f t="shared" si="73"/>
        <v>0</v>
      </c>
      <c r="AN69" s="450">
        <f t="shared" si="60"/>
        <v>0</v>
      </c>
      <c r="AO69" s="518"/>
      <c r="AP69" s="560"/>
      <c r="AQ69" s="452"/>
      <c r="AR69" s="446">
        <f t="shared" si="74"/>
        <v>0</v>
      </c>
      <c r="AS69" s="450">
        <f t="shared" si="5"/>
        <v>0</v>
      </c>
      <c r="AT69" s="518"/>
      <c r="AU69" s="560"/>
      <c r="AV69" s="452"/>
      <c r="AW69" s="446">
        <f t="shared" si="75"/>
        <v>0</v>
      </c>
      <c r="AX69" s="450">
        <f t="shared" si="61"/>
        <v>0</v>
      </c>
      <c r="AY69" s="518"/>
      <c r="AZ69" s="560"/>
      <c r="BA69" s="452"/>
      <c r="BB69" s="446">
        <f t="shared" si="76"/>
        <v>0</v>
      </c>
      <c r="BC69" s="450">
        <f t="shared" si="62"/>
        <v>0</v>
      </c>
      <c r="BD69" s="518"/>
      <c r="BE69" s="1659"/>
      <c r="BF69" s="1447"/>
      <c r="BG69" s="1495">
        <f t="shared" si="77"/>
        <v>0</v>
      </c>
      <c r="BH69" s="1893">
        <f t="shared" si="8"/>
        <v>0</v>
      </c>
      <c r="BI69" s="1897"/>
      <c r="BJ69" s="39">
        <f t="shared" si="78"/>
        <v>5000</v>
      </c>
      <c r="BK69" s="39">
        <f t="shared" si="79"/>
        <v>0</v>
      </c>
      <c r="BL69" s="106">
        <f t="shared" si="80"/>
        <v>5000</v>
      </c>
      <c r="BM69" s="178">
        <f t="shared" si="56"/>
        <v>1.0861623628587953E-2</v>
      </c>
      <c r="BN69" s="79"/>
    </row>
    <row r="70" spans="1:66" s="2" customFormat="1" ht="13.8" x14ac:dyDescent="0.25">
      <c r="A70" s="237"/>
      <c r="B70" s="615" t="s">
        <v>6</v>
      </c>
      <c r="C70" s="129"/>
      <c r="D70" s="128"/>
      <c r="E70" s="120">
        <f t="shared" si="63"/>
        <v>0</v>
      </c>
      <c r="F70" s="178" t="e">
        <f t="shared" si="81"/>
        <v>#DIV/0!</v>
      </c>
      <c r="G70" s="39"/>
      <c r="H70" s="39"/>
      <c r="I70" s="106">
        <f t="shared" si="64"/>
        <v>0</v>
      </c>
      <c r="J70" s="178">
        <f t="shared" si="57"/>
        <v>0</v>
      </c>
      <c r="K70" s="79"/>
      <c r="L70" s="39"/>
      <c r="M70" s="39"/>
      <c r="N70" s="106">
        <f t="shared" si="65"/>
        <v>0</v>
      </c>
      <c r="O70" s="178">
        <f t="shared" si="66"/>
        <v>0</v>
      </c>
      <c r="P70" s="259"/>
      <c r="Q70" s="39"/>
      <c r="R70" s="39"/>
      <c r="S70" s="106">
        <f t="shared" si="67"/>
        <v>0</v>
      </c>
      <c r="T70" s="178">
        <f t="shared" si="68"/>
        <v>0</v>
      </c>
      <c r="U70" s="259"/>
      <c r="V70" s="39"/>
      <c r="W70" s="39"/>
      <c r="X70" s="106">
        <f t="shared" si="69"/>
        <v>0</v>
      </c>
      <c r="Y70" s="178">
        <f t="shared" si="70"/>
        <v>0</v>
      </c>
      <c r="Z70" s="259"/>
      <c r="AA70" s="39"/>
      <c r="AB70" s="39"/>
      <c r="AC70" s="106">
        <f t="shared" si="71"/>
        <v>0</v>
      </c>
      <c r="AD70" s="178">
        <f t="shared" si="58"/>
        <v>0</v>
      </c>
      <c r="AE70" s="731"/>
      <c r="AF70" s="560"/>
      <c r="AG70" s="452"/>
      <c r="AH70" s="446">
        <f t="shared" si="72"/>
        <v>0</v>
      </c>
      <c r="AI70" s="450">
        <f t="shared" si="59"/>
        <v>0</v>
      </c>
      <c r="AJ70" s="503"/>
      <c r="AK70" s="560"/>
      <c r="AL70" s="452"/>
      <c r="AM70" s="446">
        <f t="shared" si="73"/>
        <v>0</v>
      </c>
      <c r="AN70" s="450">
        <f t="shared" si="60"/>
        <v>0</v>
      </c>
      <c r="AO70" s="503"/>
      <c r="AP70" s="560"/>
      <c r="AQ70" s="452"/>
      <c r="AR70" s="446">
        <f t="shared" si="74"/>
        <v>0</v>
      </c>
      <c r="AS70" s="450">
        <f t="shared" si="5"/>
        <v>0</v>
      </c>
      <c r="AT70" s="503"/>
      <c r="AU70" s="560"/>
      <c r="AV70" s="452"/>
      <c r="AW70" s="446">
        <f t="shared" si="75"/>
        <v>0</v>
      </c>
      <c r="AX70" s="450">
        <f t="shared" si="61"/>
        <v>0</v>
      </c>
      <c r="AY70" s="503"/>
      <c r="AZ70" s="560"/>
      <c r="BA70" s="452"/>
      <c r="BB70" s="446">
        <f t="shared" si="76"/>
        <v>0</v>
      </c>
      <c r="BC70" s="450">
        <f t="shared" si="62"/>
        <v>0</v>
      </c>
      <c r="BD70" s="503"/>
      <c r="BE70" s="1659"/>
      <c r="BF70" s="1447"/>
      <c r="BG70" s="1495">
        <f t="shared" si="77"/>
        <v>0</v>
      </c>
      <c r="BH70" s="1893">
        <f t="shared" si="8"/>
        <v>0</v>
      </c>
      <c r="BI70" s="1896"/>
      <c r="BJ70" s="39">
        <f t="shared" si="78"/>
        <v>0</v>
      </c>
      <c r="BK70" s="39">
        <f t="shared" si="79"/>
        <v>0</v>
      </c>
      <c r="BL70" s="106">
        <f t="shared" si="80"/>
        <v>0</v>
      </c>
      <c r="BM70" s="178">
        <f t="shared" si="56"/>
        <v>0</v>
      </c>
      <c r="BN70" s="79"/>
    </row>
    <row r="71" spans="1:66" s="2" customFormat="1" ht="13.8" x14ac:dyDescent="0.25">
      <c r="A71" s="237"/>
      <c r="B71" s="615" t="s">
        <v>78</v>
      </c>
      <c r="C71" s="129"/>
      <c r="D71" s="128"/>
      <c r="E71" s="120">
        <f t="shared" si="63"/>
        <v>0</v>
      </c>
      <c r="F71" s="184" t="e">
        <f t="shared" si="81"/>
        <v>#DIV/0!</v>
      </c>
      <c r="G71" s="39"/>
      <c r="H71" s="39"/>
      <c r="I71" s="106">
        <f t="shared" si="64"/>
        <v>0</v>
      </c>
      <c r="J71" s="178">
        <f t="shared" si="57"/>
        <v>0</v>
      </c>
      <c r="K71" s="79"/>
      <c r="L71" s="39"/>
      <c r="M71" s="39"/>
      <c r="N71" s="106">
        <f t="shared" si="65"/>
        <v>0</v>
      </c>
      <c r="O71" s="178">
        <f t="shared" si="66"/>
        <v>0</v>
      </c>
      <c r="P71" s="259"/>
      <c r="Q71" s="39"/>
      <c r="R71" s="39"/>
      <c r="S71" s="106">
        <f t="shared" si="67"/>
        <v>0</v>
      </c>
      <c r="T71" s="178">
        <f t="shared" si="68"/>
        <v>0</v>
      </c>
      <c r="U71" s="259"/>
      <c r="V71" s="39"/>
      <c r="W71" s="39"/>
      <c r="X71" s="106">
        <f t="shared" si="69"/>
        <v>0</v>
      </c>
      <c r="Y71" s="178">
        <f t="shared" si="70"/>
        <v>0</v>
      </c>
      <c r="Z71" s="259"/>
      <c r="AA71" s="39"/>
      <c r="AB71" s="39"/>
      <c r="AC71" s="106">
        <f t="shared" si="71"/>
        <v>0</v>
      </c>
      <c r="AD71" s="178">
        <f t="shared" si="58"/>
        <v>0</v>
      </c>
      <c r="AE71" s="731"/>
      <c r="AF71" s="560"/>
      <c r="AG71" s="452"/>
      <c r="AH71" s="446">
        <f t="shared" si="72"/>
        <v>0</v>
      </c>
      <c r="AI71" s="450">
        <f t="shared" si="59"/>
        <v>0</v>
      </c>
      <c r="AJ71" s="503"/>
      <c r="AK71" s="560"/>
      <c r="AL71" s="452"/>
      <c r="AM71" s="446">
        <f t="shared" si="73"/>
        <v>0</v>
      </c>
      <c r="AN71" s="450">
        <f t="shared" si="60"/>
        <v>0</v>
      </c>
      <c r="AO71" s="503"/>
      <c r="AP71" s="560"/>
      <c r="AQ71" s="452"/>
      <c r="AR71" s="446">
        <f t="shared" si="74"/>
        <v>0</v>
      </c>
      <c r="AS71" s="450">
        <f t="shared" si="5"/>
        <v>0</v>
      </c>
      <c r="AT71" s="503"/>
      <c r="AU71" s="560"/>
      <c r="AV71" s="452"/>
      <c r="AW71" s="446">
        <f t="shared" si="75"/>
        <v>0</v>
      </c>
      <c r="AX71" s="450">
        <f t="shared" si="61"/>
        <v>0</v>
      </c>
      <c r="AY71" s="503"/>
      <c r="AZ71" s="560"/>
      <c r="BA71" s="452"/>
      <c r="BB71" s="446">
        <f t="shared" si="76"/>
        <v>0</v>
      </c>
      <c r="BC71" s="450">
        <f t="shared" si="62"/>
        <v>0</v>
      </c>
      <c r="BD71" s="503"/>
      <c r="BE71" s="1659"/>
      <c r="BF71" s="1447"/>
      <c r="BG71" s="1495">
        <f t="shared" si="77"/>
        <v>0</v>
      </c>
      <c r="BH71" s="1893">
        <f t="shared" si="8"/>
        <v>0</v>
      </c>
      <c r="BI71" s="1896"/>
      <c r="BJ71" s="39">
        <f t="shared" si="78"/>
        <v>0</v>
      </c>
      <c r="BK71" s="39">
        <f t="shared" si="79"/>
        <v>0</v>
      </c>
      <c r="BL71" s="106">
        <f t="shared" si="80"/>
        <v>0</v>
      </c>
      <c r="BM71" s="178">
        <f t="shared" si="56"/>
        <v>0</v>
      </c>
      <c r="BN71" s="79"/>
    </row>
    <row r="72" spans="1:66" s="2" customFormat="1" ht="14.4" thickBot="1" x14ac:dyDescent="0.3">
      <c r="A72" s="237"/>
      <c r="B72" s="19"/>
      <c r="C72" s="130"/>
      <c r="D72" s="131"/>
      <c r="E72" s="159"/>
      <c r="F72" s="184" t="e">
        <f t="shared" si="81"/>
        <v>#DIV/0!</v>
      </c>
      <c r="G72" s="39"/>
      <c r="H72" s="39"/>
      <c r="I72" s="106"/>
      <c r="J72" s="178">
        <f t="shared" si="57"/>
        <v>0</v>
      </c>
      <c r="K72" s="79"/>
      <c r="L72" s="39"/>
      <c r="M72" s="39"/>
      <c r="N72" s="106"/>
      <c r="O72" s="178">
        <f t="shared" si="66"/>
        <v>0</v>
      </c>
      <c r="P72" s="259"/>
      <c r="Q72" s="39"/>
      <c r="R72" s="39"/>
      <c r="S72" s="106"/>
      <c r="T72" s="178">
        <f t="shared" si="68"/>
        <v>0</v>
      </c>
      <c r="U72" s="259"/>
      <c r="V72" s="39"/>
      <c r="W72" s="39"/>
      <c r="X72" s="106"/>
      <c r="Y72" s="178">
        <f t="shared" si="70"/>
        <v>0</v>
      </c>
      <c r="Z72" s="259"/>
      <c r="AA72" s="39"/>
      <c r="AB72" s="39"/>
      <c r="AC72" s="106"/>
      <c r="AD72" s="178"/>
      <c r="AE72" s="731"/>
      <c r="AF72" s="560"/>
      <c r="AG72" s="452"/>
      <c r="AH72" s="446"/>
      <c r="AI72" s="450"/>
      <c r="AJ72" s="503"/>
      <c r="AK72" s="560"/>
      <c r="AL72" s="452"/>
      <c r="AM72" s="446"/>
      <c r="AN72" s="450"/>
      <c r="AO72" s="503"/>
      <c r="AP72" s="560"/>
      <c r="AQ72" s="452"/>
      <c r="AR72" s="446"/>
      <c r="AS72" s="450"/>
      <c r="AT72" s="503"/>
      <c r="AU72" s="560"/>
      <c r="AV72" s="452"/>
      <c r="AW72" s="446"/>
      <c r="AX72" s="450"/>
      <c r="AY72" s="503"/>
      <c r="AZ72" s="560"/>
      <c r="BA72" s="452"/>
      <c r="BB72" s="446"/>
      <c r="BC72" s="450"/>
      <c r="BD72" s="503"/>
      <c r="BE72" s="2045"/>
      <c r="BF72" s="2043"/>
      <c r="BG72" s="2046"/>
      <c r="BH72" s="2033"/>
      <c r="BI72" s="2047"/>
      <c r="BJ72" s="2043"/>
      <c r="BK72" s="2043"/>
      <c r="BL72" s="2046"/>
      <c r="BM72" s="178">
        <f t="shared" si="56"/>
        <v>0</v>
      </c>
      <c r="BN72" s="79"/>
    </row>
    <row r="73" spans="1:66" s="2" customFormat="1" ht="14.4" thickBot="1" x14ac:dyDescent="0.3">
      <c r="A73" s="237"/>
      <c r="B73" s="13" t="s">
        <v>4</v>
      </c>
      <c r="C73" s="132">
        <f>C74</f>
        <v>0</v>
      </c>
      <c r="D73" s="133">
        <f>D74</f>
        <v>0</v>
      </c>
      <c r="E73" s="132">
        <f>E74</f>
        <v>0</v>
      </c>
      <c r="F73" s="171" t="e">
        <f>E73/$E$89</f>
        <v>#DIV/0!</v>
      </c>
      <c r="G73" s="139">
        <f>G74</f>
        <v>0</v>
      </c>
      <c r="H73" s="63">
        <f>H74</f>
        <v>0</v>
      </c>
      <c r="I73" s="60">
        <f>I74</f>
        <v>0</v>
      </c>
      <c r="J73" s="63"/>
      <c r="K73" s="63"/>
      <c r="L73" s="139">
        <f>L74</f>
        <v>0</v>
      </c>
      <c r="M73" s="63">
        <f>M74</f>
        <v>0</v>
      </c>
      <c r="N73" s="60">
        <f>N74</f>
        <v>0</v>
      </c>
      <c r="O73" s="63"/>
      <c r="P73" s="410"/>
      <c r="Q73" s="139">
        <f>Q74</f>
        <v>0</v>
      </c>
      <c r="R73" s="63">
        <f>R74</f>
        <v>0</v>
      </c>
      <c r="S73" s="60">
        <f>S74</f>
        <v>0</v>
      </c>
      <c r="T73" s="63"/>
      <c r="U73" s="410"/>
      <c r="V73" s="139">
        <f>V74</f>
        <v>0</v>
      </c>
      <c r="W73" s="63">
        <f>W74</f>
        <v>0</v>
      </c>
      <c r="X73" s="60">
        <f>X74</f>
        <v>0</v>
      </c>
      <c r="Y73" s="63"/>
      <c r="Z73" s="410"/>
      <c r="AA73" s="139">
        <f>AA74</f>
        <v>0</v>
      </c>
      <c r="AB73" s="63">
        <f>AB74</f>
        <v>0</v>
      </c>
      <c r="AC73" s="60">
        <f>AC74</f>
        <v>0</v>
      </c>
      <c r="AD73" s="63"/>
      <c r="AE73" s="737"/>
      <c r="AF73" s="587">
        <f>AF74</f>
        <v>0</v>
      </c>
      <c r="AG73" s="586">
        <f>AG74</f>
        <v>0</v>
      </c>
      <c r="AH73" s="581">
        <f>AH74</f>
        <v>0</v>
      </c>
      <c r="AI73" s="586"/>
      <c r="AJ73" s="746"/>
      <c r="AK73" s="587">
        <f>AK74</f>
        <v>0</v>
      </c>
      <c r="AL73" s="586">
        <f>AL74</f>
        <v>0</v>
      </c>
      <c r="AM73" s="581">
        <f>AM74</f>
        <v>0</v>
      </c>
      <c r="AN73" s="586"/>
      <c r="AO73" s="746"/>
      <c r="AP73" s="587">
        <f>AP74</f>
        <v>0</v>
      </c>
      <c r="AQ73" s="586">
        <f>AQ74</f>
        <v>0</v>
      </c>
      <c r="AR73" s="581">
        <f>AR74</f>
        <v>0</v>
      </c>
      <c r="AS73" s="586"/>
      <c r="AT73" s="746"/>
      <c r="AU73" s="587">
        <f>AU74</f>
        <v>0</v>
      </c>
      <c r="AV73" s="586">
        <f>AV74</f>
        <v>0</v>
      </c>
      <c r="AW73" s="581">
        <f>AW74</f>
        <v>0</v>
      </c>
      <c r="AX73" s="586"/>
      <c r="AY73" s="746"/>
      <c r="AZ73" s="587">
        <f>AZ74</f>
        <v>0</v>
      </c>
      <c r="BA73" s="586">
        <f>BA74</f>
        <v>0</v>
      </c>
      <c r="BB73" s="581">
        <f>BB74</f>
        <v>0</v>
      </c>
      <c r="BC73" s="586"/>
      <c r="BD73" s="746"/>
      <c r="BE73" s="1599">
        <f>BE74</f>
        <v>0</v>
      </c>
      <c r="BF73" s="1704">
        <f>BF74</f>
        <v>0</v>
      </c>
      <c r="BG73" s="1703">
        <f>BG74</f>
        <v>0</v>
      </c>
      <c r="BH73" s="1704"/>
      <c r="BI73" s="1712"/>
      <c r="BJ73" s="1599">
        <f>BJ74</f>
        <v>0</v>
      </c>
      <c r="BK73" s="1704">
        <f>BK74</f>
        <v>0</v>
      </c>
      <c r="BL73" s="1703">
        <f>BL74</f>
        <v>0</v>
      </c>
      <c r="BM73" s="63"/>
      <c r="BN73" s="63"/>
    </row>
    <row r="74" spans="1:66" s="2" customFormat="1" ht="14.4" thickBot="1" x14ac:dyDescent="0.3">
      <c r="A74" s="20"/>
      <c r="B74" s="225" t="s">
        <v>64</v>
      </c>
      <c r="C74" s="129">
        <f>C6*3%</f>
        <v>0</v>
      </c>
      <c r="D74" s="135"/>
      <c r="E74" s="136">
        <f>C74+D74</f>
        <v>0</v>
      </c>
      <c r="F74" s="185"/>
      <c r="G74" s="39"/>
      <c r="H74" s="39"/>
      <c r="I74" s="64">
        <f>G74+H74*1</f>
        <v>0</v>
      </c>
      <c r="J74" s="64"/>
      <c r="K74" s="64"/>
      <c r="L74" s="39"/>
      <c r="M74" s="39"/>
      <c r="N74" s="527">
        <f>L74+M74*1</f>
        <v>0</v>
      </c>
      <c r="O74" s="64"/>
      <c r="P74" s="64"/>
      <c r="Q74" s="39"/>
      <c r="R74" s="39"/>
      <c r="S74" s="527">
        <f>Q74+R74*1</f>
        <v>0</v>
      </c>
      <c r="T74" s="64"/>
      <c r="U74" s="64"/>
      <c r="V74" s="39"/>
      <c r="W74" s="39"/>
      <c r="X74" s="527">
        <f>V74+W74*1</f>
        <v>0</v>
      </c>
      <c r="Y74" s="64"/>
      <c r="Z74" s="64"/>
      <c r="AA74" s="39"/>
      <c r="AB74" s="39"/>
      <c r="AC74" s="527">
        <f>AA74+AB74*1</f>
        <v>0</v>
      </c>
      <c r="AD74" s="64"/>
      <c r="AE74" s="603"/>
      <c r="AF74" s="560"/>
      <c r="AG74" s="452"/>
      <c r="AH74" s="747">
        <f>AF74+AG74*1</f>
        <v>0</v>
      </c>
      <c r="AI74" s="588"/>
      <c r="AJ74" s="588"/>
      <c r="AK74" s="560"/>
      <c r="AL74" s="452"/>
      <c r="AM74" s="747">
        <f>AK74+AL74*1</f>
        <v>0</v>
      </c>
      <c r="AN74" s="588"/>
      <c r="AO74" s="588"/>
      <c r="AP74" s="560"/>
      <c r="AQ74" s="452"/>
      <c r="AR74" s="747">
        <f>AP74+AQ74*1</f>
        <v>0</v>
      </c>
      <c r="AS74" s="588"/>
      <c r="AT74" s="588"/>
      <c r="AU74" s="560"/>
      <c r="AV74" s="452"/>
      <c r="AW74" s="747">
        <f>AU74+AV74*1</f>
        <v>0</v>
      </c>
      <c r="AX74" s="588"/>
      <c r="AY74" s="588"/>
      <c r="AZ74" s="560"/>
      <c r="BA74" s="452"/>
      <c r="BB74" s="747">
        <f>AZ74+BA74*1</f>
        <v>0</v>
      </c>
      <c r="BC74" s="588"/>
      <c r="BD74" s="588"/>
      <c r="BE74" s="1659"/>
      <c r="BF74" s="1447"/>
      <c r="BG74" s="841">
        <f>BE74+BF74*1</f>
        <v>0</v>
      </c>
      <c r="BH74" s="1663"/>
      <c r="BI74" s="1663"/>
      <c r="BJ74" s="2059">
        <f>G74+L74+Q74+V74+AA74+AF74+AK74+AP74+AU74+AZ74+BE74</f>
        <v>0</v>
      </c>
      <c r="BK74" s="2059">
        <f>H74+M74+R74+W74+AB74+AG74+AL74+AQ74+AV74+BA74+BF74</f>
        <v>0</v>
      </c>
      <c r="BL74" s="841">
        <f>BJ74+BK74*1</f>
        <v>0</v>
      </c>
      <c r="BM74" s="64"/>
      <c r="BN74" s="64"/>
    </row>
    <row r="75" spans="1:66" s="2" customFormat="1" ht="14.4" thickBot="1" x14ac:dyDescent="0.3">
      <c r="A75" s="5"/>
      <c r="B75" s="23" t="s">
        <v>48</v>
      </c>
      <c r="C75" s="137">
        <f>C38-C41-C50-C54</f>
        <v>0</v>
      </c>
      <c r="D75" s="137">
        <f>D38-D41-D50-D54</f>
        <v>0</v>
      </c>
      <c r="E75" s="138">
        <f>E38-E41-E50-E54</f>
        <v>0</v>
      </c>
      <c r="F75" s="172"/>
      <c r="G75" s="65">
        <f>G38-G41-G50-G54</f>
        <v>-41650.04</v>
      </c>
      <c r="H75" s="65">
        <f>H38-H41-H50-H54</f>
        <v>-3921.1</v>
      </c>
      <c r="I75" s="138">
        <f>I38-I41-I50-I54</f>
        <v>-45571.14</v>
      </c>
      <c r="J75" s="66"/>
      <c r="K75" s="66"/>
      <c r="L75" s="65">
        <f>L38-L41-L50-L54</f>
        <v>45952.177399999993</v>
      </c>
      <c r="M75" s="65">
        <f>M38-M41-M50-M54</f>
        <v>-66628.739999999991</v>
      </c>
      <c r="N75" s="138">
        <f>N38-N41-N50-N54</f>
        <v>-20676.562600000005</v>
      </c>
      <c r="O75" s="66"/>
      <c r="P75" s="411"/>
      <c r="Q75" s="65">
        <f>Q38-Q41-Q50-Q54</f>
        <v>235600.04199999999</v>
      </c>
      <c r="R75" s="65">
        <f>R38-R41-R50-R54</f>
        <v>-90148.430000000008</v>
      </c>
      <c r="S75" s="138">
        <f>S38-S41-S50-S54</f>
        <v>145451.61199999996</v>
      </c>
      <c r="T75" s="66"/>
      <c r="U75" s="411"/>
      <c r="V75" s="65">
        <f>V38-V41-V50-V54</f>
        <v>-971.64</v>
      </c>
      <c r="W75" s="65">
        <f>W38-W41-W50-W54</f>
        <v>0</v>
      </c>
      <c r="X75" s="138">
        <f>X38-X41-X50-X54</f>
        <v>-971.64</v>
      </c>
      <c r="Y75" s="66"/>
      <c r="Z75" s="411"/>
      <c r="AA75" s="65">
        <f>AA38-AA41-AA50-AA54</f>
        <v>-561.04999999999995</v>
      </c>
      <c r="AB75" s="65">
        <f>AB38-AB41-AB50-AB54</f>
        <v>0</v>
      </c>
      <c r="AC75" s="138">
        <f>AC38-AC41-AC50-AC54</f>
        <v>-561.04999999999995</v>
      </c>
      <c r="AD75" s="66"/>
      <c r="AE75" s="738"/>
      <c r="AF75" s="646">
        <f>AF38-AF41-AF50-AF54</f>
        <v>-971.64</v>
      </c>
      <c r="AG75" s="646">
        <f>AG38-AG41-AG50-AG54</f>
        <v>0</v>
      </c>
      <c r="AH75" s="670">
        <f>AH38-AH41-AH50-AH54</f>
        <v>-971.64</v>
      </c>
      <c r="AI75" s="671"/>
      <c r="AJ75" s="748"/>
      <c r="AK75" s="646">
        <f>AK38-AK41-AK50-AK54</f>
        <v>765715.85399999993</v>
      </c>
      <c r="AL75" s="646">
        <f>AL38-AL41-AL50-AL54</f>
        <v>-4500</v>
      </c>
      <c r="AM75" s="670">
        <f>AM38-AM41-AM50-AM54</f>
        <v>761215.85399999993</v>
      </c>
      <c r="AN75" s="671"/>
      <c r="AO75" s="748"/>
      <c r="AP75" s="646">
        <f>AP38-AP41-AP50-AP54</f>
        <v>681362.15399999998</v>
      </c>
      <c r="AQ75" s="646">
        <f>AQ38-AQ41-AQ50-AQ54</f>
        <v>0</v>
      </c>
      <c r="AR75" s="670">
        <f>AR38-AR41-AR50-AR54</f>
        <v>681362.15399999998</v>
      </c>
      <c r="AS75" s="671"/>
      <c r="AT75" s="748"/>
      <c r="AU75" s="646">
        <f>AU38-AU41-AU50-AU54</f>
        <v>340643.14</v>
      </c>
      <c r="AV75" s="646">
        <f>AV38-AV41-AV50-AV54</f>
        <v>0</v>
      </c>
      <c r="AW75" s="670">
        <f>AW38-AW41-AW50-AW54</f>
        <v>340643.14</v>
      </c>
      <c r="AX75" s="671"/>
      <c r="AY75" s="748"/>
      <c r="AZ75" s="646">
        <f>AZ38-AZ41-AZ50-AZ54</f>
        <v>-27406.331999999999</v>
      </c>
      <c r="BA75" s="646">
        <f>BA38-BA41-BA50-BA54</f>
        <v>0</v>
      </c>
      <c r="BB75" s="670">
        <f>BB38-BB41-BB50-BB54</f>
        <v>-27406.331999999999</v>
      </c>
      <c r="BC75" s="671"/>
      <c r="BD75" s="748"/>
      <c r="BE75" s="1465">
        <f>BE38-BE41-BE50-BE54</f>
        <v>-48714.983999999997</v>
      </c>
      <c r="BF75" s="1465">
        <f>BF38-BF41-BF50-BF54</f>
        <v>0</v>
      </c>
      <c r="BG75" s="1523">
        <f>BG38-BG41-BG50-BG54</f>
        <v>-48714.983999999997</v>
      </c>
      <c r="BH75" s="1466"/>
      <c r="BI75" s="1614"/>
      <c r="BJ75" s="65">
        <f>BJ38-BJ41-BJ50-BJ54</f>
        <v>1948997.6813999999</v>
      </c>
      <c r="BK75" s="65">
        <f>BK38-BK41-BK50-BK54</f>
        <v>-165198.27000000002</v>
      </c>
      <c r="BL75" s="138">
        <f>BL38-BL41-BL50-BL54</f>
        <v>1783799.4113999999</v>
      </c>
      <c r="BM75" s="66"/>
      <c r="BN75" s="66"/>
    </row>
    <row r="76" spans="1:66" s="2" customFormat="1" ht="13.8" x14ac:dyDescent="0.25">
      <c r="A76" s="294"/>
      <c r="B76" s="36" t="s">
        <v>49</v>
      </c>
      <c r="C76" s="157" t="e">
        <f>C75/C5</f>
        <v>#DIV/0!</v>
      </c>
      <c r="D76" s="157" t="e">
        <f>D75/D5</f>
        <v>#DIV/0!</v>
      </c>
      <c r="E76" s="158" t="e">
        <f>E75/E5</f>
        <v>#DIV/0!</v>
      </c>
      <c r="F76" s="167"/>
      <c r="G76" s="54" t="e">
        <f>G75/G5</f>
        <v>#DIV/0!</v>
      </c>
      <c r="H76" s="54" t="e">
        <f>H75/H5</f>
        <v>#DIV/0!</v>
      </c>
      <c r="I76" s="55" t="e">
        <f>I75/I5</f>
        <v>#DIV/0!</v>
      </c>
      <c r="J76" s="55"/>
      <c r="K76" s="55"/>
      <c r="L76" s="54">
        <f>L75/L5</f>
        <v>0.38401645802343259</v>
      </c>
      <c r="M76" s="54" t="e">
        <f>M75/M5</f>
        <v>#DIV/0!</v>
      </c>
      <c r="N76" s="55">
        <f>N75/N5</f>
        <v>-0.17279138406511679</v>
      </c>
      <c r="O76" s="55"/>
      <c r="P76" s="407"/>
      <c r="Q76" s="54">
        <f>Q75/Q5</f>
        <v>0.7539212441720714</v>
      </c>
      <c r="R76" s="54" t="e">
        <f>R75/R5</f>
        <v>#DIV/0!</v>
      </c>
      <c r="S76" s="55">
        <f>S75/S5</f>
        <v>0.4654458435362816</v>
      </c>
      <c r="T76" s="55"/>
      <c r="U76" s="407"/>
      <c r="V76" s="54" t="e">
        <f>V75/V5</f>
        <v>#DIV/0!</v>
      </c>
      <c r="W76" s="54" t="e">
        <f>W75/W5</f>
        <v>#DIV/0!</v>
      </c>
      <c r="X76" s="55" t="e">
        <f>X75/X5</f>
        <v>#DIV/0!</v>
      </c>
      <c r="Y76" s="55"/>
      <c r="Z76" s="407"/>
      <c r="AA76" s="54" t="e">
        <f>AA75/AA5</f>
        <v>#DIV/0!</v>
      </c>
      <c r="AB76" s="54" t="e">
        <f>AB75/AB5</f>
        <v>#DIV/0!</v>
      </c>
      <c r="AC76" s="55" t="e">
        <f>AC75/AC5</f>
        <v>#DIV/0!</v>
      </c>
      <c r="AD76" s="55"/>
      <c r="AE76" s="716"/>
      <c r="AF76" s="639" t="e">
        <f>AF75/AF5</f>
        <v>#DIV/0!</v>
      </c>
      <c r="AG76" s="639" t="e">
        <f>AG75/AG5</f>
        <v>#DIV/0!</v>
      </c>
      <c r="AH76" s="660" t="e">
        <f>AH75/AH5</f>
        <v>#DIV/0!</v>
      </c>
      <c r="AI76" s="660"/>
      <c r="AJ76" s="661"/>
      <c r="AK76" s="639">
        <f>AK75/AK5</f>
        <v>0.99989410247716448</v>
      </c>
      <c r="AL76" s="639" t="e">
        <f>AL75/AL5</f>
        <v>#DIV/0!</v>
      </c>
      <c r="AM76" s="660">
        <f>AM75/AM5</f>
        <v>0.99401787118635032</v>
      </c>
      <c r="AN76" s="660"/>
      <c r="AO76" s="661"/>
      <c r="AP76" s="639">
        <f>AP75/AP5</f>
        <v>0.99988099375846773</v>
      </c>
      <c r="AQ76" s="639" t="e">
        <f>AQ75/AQ5</f>
        <v>#DIV/0!</v>
      </c>
      <c r="AR76" s="660">
        <f>AR75/AR5</f>
        <v>0.99988099375846773</v>
      </c>
      <c r="AS76" s="660"/>
      <c r="AT76" s="661"/>
      <c r="AU76" s="639">
        <f>AU75/AU5</f>
        <v>0.99976966533558986</v>
      </c>
      <c r="AV76" s="639" t="e">
        <f>AV75/AV5</f>
        <v>#DIV/0!</v>
      </c>
      <c r="AW76" s="660">
        <f>AW75/AW5</f>
        <v>0.99976966533558986</v>
      </c>
      <c r="AX76" s="660"/>
      <c r="AY76" s="661"/>
      <c r="AZ76" s="639" t="e">
        <f>AZ75/AZ5</f>
        <v>#DIV/0!</v>
      </c>
      <c r="BA76" s="639" t="e">
        <f>BA75/BA5</f>
        <v>#DIV/0!</v>
      </c>
      <c r="BB76" s="660" t="e">
        <f>BB75/BB5</f>
        <v>#DIV/0!</v>
      </c>
      <c r="BC76" s="660"/>
      <c r="BD76" s="661"/>
      <c r="BE76" s="1456" t="e">
        <f>BE75/BE5</f>
        <v>#DIV/0!</v>
      </c>
      <c r="BF76" s="1456" t="e">
        <f>BF75/BF5</f>
        <v>#DIV/0!</v>
      </c>
      <c r="BG76" s="1457" t="e">
        <f>BG75/BG5</f>
        <v>#DIV/0!</v>
      </c>
      <c r="BH76" s="1457"/>
      <c r="BI76" s="1611"/>
      <c r="BJ76" s="54">
        <f>BJ75/BJ5</f>
        <v>0.87787810196276661</v>
      </c>
      <c r="BK76" s="54" t="e">
        <f>BK75/BK5</f>
        <v>#DIV/0!</v>
      </c>
      <c r="BL76" s="55">
        <f>BL75/BL5</f>
        <v>0.8034686015825715</v>
      </c>
      <c r="BM76" s="55"/>
      <c r="BN76" s="55"/>
    </row>
    <row r="77" spans="1:66" s="2" customFormat="1" ht="14.4" thickBot="1" x14ac:dyDescent="0.3">
      <c r="A77" s="294"/>
      <c r="B77" s="27" t="s">
        <v>9</v>
      </c>
      <c r="C77" s="139">
        <f>C78-C79</f>
        <v>0</v>
      </c>
      <c r="D77" s="139">
        <f>D78-D79</f>
        <v>0</v>
      </c>
      <c r="E77" s="140">
        <f>E78-E79</f>
        <v>0</v>
      </c>
      <c r="F77" s="173"/>
      <c r="G77" s="139">
        <f>G78-G79</f>
        <v>0</v>
      </c>
      <c r="H77" s="139">
        <f>H78-H79</f>
        <v>0</v>
      </c>
      <c r="I77" s="140">
        <f>I78-I79</f>
        <v>-585.91149425287358</v>
      </c>
      <c r="J77" s="67"/>
      <c r="K77" s="67"/>
      <c r="L77" s="139">
        <f>L78-L79</f>
        <v>0</v>
      </c>
      <c r="M77" s="139">
        <f>M78-M79</f>
        <v>0</v>
      </c>
      <c r="N77" s="140">
        <f>N78-N79</f>
        <v>-9956.0186206896524</v>
      </c>
      <c r="O77" s="67"/>
      <c r="P77" s="414"/>
      <c r="Q77" s="139">
        <f>Q78-Q79</f>
        <v>0</v>
      </c>
      <c r="R77" s="139">
        <f>R78-R79</f>
        <v>0</v>
      </c>
      <c r="S77" s="140">
        <f>S78-S79</f>
        <v>-13470.455057471265</v>
      </c>
      <c r="T77" s="67"/>
      <c r="U77" s="414"/>
      <c r="V77" s="139">
        <f>V78-V79</f>
        <v>0</v>
      </c>
      <c r="W77" s="139">
        <f>W78-W79</f>
        <v>0</v>
      </c>
      <c r="X77" s="140">
        <f>X78-X79</f>
        <v>0</v>
      </c>
      <c r="Y77" s="67"/>
      <c r="Z77" s="414"/>
      <c r="AA77" s="139">
        <f>AA78-AA79</f>
        <v>0</v>
      </c>
      <c r="AB77" s="139">
        <f>AB78-AB79</f>
        <v>0</v>
      </c>
      <c r="AC77" s="140">
        <f>AC78-AC79</f>
        <v>0</v>
      </c>
      <c r="AD77" s="67"/>
      <c r="AE77" s="739"/>
      <c r="AF77" s="587">
        <f>AF78-AF79</f>
        <v>0</v>
      </c>
      <c r="AG77" s="587">
        <f>AG78-AG79</f>
        <v>0</v>
      </c>
      <c r="AH77" s="674">
        <f>AH78-AH79</f>
        <v>0</v>
      </c>
      <c r="AI77" s="675"/>
      <c r="AJ77" s="749"/>
      <c r="AK77" s="587">
        <f>AK78-AK79</f>
        <v>0</v>
      </c>
      <c r="AL77" s="587">
        <f>AL78-AL79</f>
        <v>0</v>
      </c>
      <c r="AM77" s="674">
        <f>AM78-AM79</f>
        <v>0</v>
      </c>
      <c r="AN77" s="675"/>
      <c r="AO77" s="749"/>
      <c r="AP77" s="587">
        <f>AP78-AP79</f>
        <v>0</v>
      </c>
      <c r="AQ77" s="587">
        <f>AQ78-AQ79</f>
        <v>0</v>
      </c>
      <c r="AR77" s="674">
        <f>AR78-AR79</f>
        <v>0</v>
      </c>
      <c r="AS77" s="675"/>
      <c r="AT77" s="749"/>
      <c r="AU77" s="587">
        <f>AU78-AU79</f>
        <v>0</v>
      </c>
      <c r="AV77" s="587">
        <f>AV78-AV79</f>
        <v>0</v>
      </c>
      <c r="AW77" s="674">
        <f>AW78-AW79</f>
        <v>0</v>
      </c>
      <c r="AX77" s="675"/>
      <c r="AY77" s="749"/>
      <c r="AZ77" s="587">
        <f>AZ78-AZ79</f>
        <v>0</v>
      </c>
      <c r="BA77" s="587">
        <f>BA78-BA79</f>
        <v>0</v>
      </c>
      <c r="BB77" s="674">
        <f>BB78-BB79</f>
        <v>0</v>
      </c>
      <c r="BC77" s="675"/>
      <c r="BD77" s="749"/>
      <c r="BE77" s="1180">
        <f>BE78-BE79</f>
        <v>0</v>
      </c>
      <c r="BF77" s="1180">
        <f>BF78-BF79</f>
        <v>0</v>
      </c>
      <c r="BG77" s="1384">
        <f>BG78-BG79</f>
        <v>0</v>
      </c>
      <c r="BH77" s="1379"/>
      <c r="BI77" s="1388"/>
      <c r="BJ77" s="139">
        <f>BJ78-BJ79</f>
        <v>0</v>
      </c>
      <c r="BK77" s="139">
        <f>BK78-BK79</f>
        <v>0</v>
      </c>
      <c r="BL77" s="140">
        <f>BL78-BL79</f>
        <v>-24012.385172413793</v>
      </c>
      <c r="BM77" s="67"/>
      <c r="BN77" s="67"/>
    </row>
    <row r="78" spans="1:66" s="2" customFormat="1" ht="13.8" x14ac:dyDescent="0.25">
      <c r="A78" s="11"/>
      <c r="B78" s="6" t="s">
        <v>43</v>
      </c>
      <c r="C78" s="141"/>
      <c r="D78" s="142"/>
      <c r="E78" s="119">
        <f>C78+D78*1.15</f>
        <v>0</v>
      </c>
      <c r="F78" s="186"/>
      <c r="G78" s="39"/>
      <c r="H78" s="39"/>
      <c r="I78" s="68">
        <f>G78+H78*1.15</f>
        <v>0</v>
      </c>
      <c r="J78" s="68"/>
      <c r="K78" s="68"/>
      <c r="L78" s="39"/>
      <c r="M78" s="39"/>
      <c r="N78" s="68">
        <f>L78+M78*1.15</f>
        <v>0</v>
      </c>
      <c r="O78" s="68"/>
      <c r="P78" s="48"/>
      <c r="Q78" s="39"/>
      <c r="R78" s="39"/>
      <c r="S78" s="68">
        <f>Q78+R78*1.15</f>
        <v>0</v>
      </c>
      <c r="T78" s="68"/>
      <c r="U78" s="48"/>
      <c r="V78" s="39"/>
      <c r="W78" s="39"/>
      <c r="X78" s="68">
        <f>V78+W78*1.15</f>
        <v>0</v>
      </c>
      <c r="Y78" s="68"/>
      <c r="Z78" s="48"/>
      <c r="AA78" s="39"/>
      <c r="AB78" s="39"/>
      <c r="AC78" s="68">
        <f>AA78+AB78*1.15</f>
        <v>0</v>
      </c>
      <c r="AD78" s="68"/>
      <c r="AE78" s="543"/>
      <c r="AF78" s="560"/>
      <c r="AG78" s="452"/>
      <c r="AH78" s="676">
        <f>AF78+AG78*1.15</f>
        <v>0</v>
      </c>
      <c r="AI78" s="676"/>
      <c r="AJ78" s="657"/>
      <c r="AK78" s="560"/>
      <c r="AL78" s="452"/>
      <c r="AM78" s="676">
        <f>AK78+AL78*1.15</f>
        <v>0</v>
      </c>
      <c r="AN78" s="676"/>
      <c r="AO78" s="657"/>
      <c r="AP78" s="560"/>
      <c r="AQ78" s="452"/>
      <c r="AR78" s="676">
        <f>AP78+AQ78*1.15</f>
        <v>0</v>
      </c>
      <c r="AS78" s="676"/>
      <c r="AT78" s="657"/>
      <c r="AU78" s="560"/>
      <c r="AV78" s="452"/>
      <c r="AW78" s="676">
        <f>AU78+AV78*1.15</f>
        <v>0</v>
      </c>
      <c r="AX78" s="676"/>
      <c r="AY78" s="657"/>
      <c r="AZ78" s="560"/>
      <c r="BA78" s="452"/>
      <c r="BB78" s="676">
        <f>AZ78+BA78*1.15</f>
        <v>0</v>
      </c>
      <c r="BC78" s="676"/>
      <c r="BD78" s="657"/>
      <c r="BE78" s="1659"/>
      <c r="BF78" s="1447"/>
      <c r="BG78" s="1467">
        <f>BE78+BF78*1.15</f>
        <v>0</v>
      </c>
      <c r="BH78" s="1467"/>
      <c r="BI78" s="1451"/>
      <c r="BJ78" s="39">
        <f>G78+L78+Q78+V78+AA78+AF78+AK78+AP78+AU78+AZ78+BE78</f>
        <v>0</v>
      </c>
      <c r="BK78" s="39">
        <f>H78+M78+R78+W78+AB78+AG78+AL78+AQ78+AV78+BA78+BF78</f>
        <v>0</v>
      </c>
      <c r="BL78" s="68">
        <f>BJ78+BK78*1.15</f>
        <v>0</v>
      </c>
      <c r="BM78" s="68"/>
      <c r="BN78" s="68"/>
    </row>
    <row r="79" spans="1:66" s="2" customFormat="1" ht="13.8" x14ac:dyDescent="0.25">
      <c r="A79" s="11"/>
      <c r="B79" s="24" t="s">
        <v>79</v>
      </c>
      <c r="C79" s="113"/>
      <c r="D79" s="119"/>
      <c r="E79" s="119">
        <f>C79+D79*1.15</f>
        <v>0</v>
      </c>
      <c r="F79" s="180" t="e">
        <f>E79/$E$89</f>
        <v>#DIV/0!</v>
      </c>
      <c r="G79" s="39"/>
      <c r="H79" s="39"/>
      <c r="I79" s="106">
        <f>(H8+H41+H50+H54)/(1-'расчет 2022'!E4)*'расчет 2022'!E4</f>
        <v>585.91149425287358</v>
      </c>
      <c r="J79" s="45"/>
      <c r="K79" s="45"/>
      <c r="L79" s="39"/>
      <c r="M79" s="39"/>
      <c r="N79" s="106">
        <f>(M8+M41+M50+M54)/(1-'расчет 2022'!E5)*'расчет 2022'!E5</f>
        <v>9956.0186206896524</v>
      </c>
      <c r="O79" s="45"/>
      <c r="P79" s="405"/>
      <c r="Q79" s="39"/>
      <c r="R79" s="39"/>
      <c r="S79" s="106">
        <f>(R8+R41+R50+R54)/(1-'расчет 2022'!E6)*'расчет 2022'!E6</f>
        <v>13470.455057471265</v>
      </c>
      <c r="T79" s="45"/>
      <c r="U79" s="405"/>
      <c r="V79" s="39"/>
      <c r="W79" s="39"/>
      <c r="X79" s="106">
        <f>(W8+W41+W50+W54)/(1-'расчет 2022'!E7)*'расчет 2022'!E7</f>
        <v>0</v>
      </c>
      <c r="Y79" s="45"/>
      <c r="Z79" s="405"/>
      <c r="AA79" s="39"/>
      <c r="AB79" s="39"/>
      <c r="AC79" s="106">
        <f>(AB8+AB41+AB50+AB54)/(1-'расчет 2022'!J7)*'расчет 2022'!J7</f>
        <v>0</v>
      </c>
      <c r="AD79" s="45"/>
      <c r="AE79" s="732"/>
      <c r="AF79" s="560"/>
      <c r="AG79" s="452"/>
      <c r="AH79" s="446">
        <f>(AG8+AG41+AG50+AG54)/(1-'расчет 2022'!O7)*'расчет 2022'!O7</f>
        <v>0</v>
      </c>
      <c r="AI79" s="693"/>
      <c r="AJ79" s="745"/>
      <c r="AK79" s="560"/>
      <c r="AL79" s="452"/>
      <c r="AM79" s="446"/>
      <c r="AN79" s="693"/>
      <c r="AO79" s="745"/>
      <c r="AP79" s="560"/>
      <c r="AQ79" s="452"/>
      <c r="AR79" s="446"/>
      <c r="AS79" s="693">
        <f>AR79/$AR$89</f>
        <v>0</v>
      </c>
      <c r="AT79" s="745"/>
      <c r="AU79" s="560"/>
      <c r="AV79" s="452"/>
      <c r="AW79" s="446">
        <f>(AV8+AV41+AV50+AV54)/(1-'расчет 2022'!J11)*'расчет 2022'!J11</f>
        <v>0</v>
      </c>
      <c r="AX79" s="693">
        <f>AW79/$AR$89</f>
        <v>0</v>
      </c>
      <c r="AY79" s="745"/>
      <c r="AZ79" s="560"/>
      <c r="BA79" s="452"/>
      <c r="BB79" s="446">
        <f>(BA8+BA41+BA50+BA54)/(1-'расчет 2022'!E7)*'расчет 2022'!E7</f>
        <v>0</v>
      </c>
      <c r="BC79" s="693">
        <f>BB79/$AR$89</f>
        <v>0</v>
      </c>
      <c r="BD79" s="745"/>
      <c r="BE79" s="1659"/>
      <c r="BF79" s="1447"/>
      <c r="BG79" s="1495">
        <v>0</v>
      </c>
      <c r="BH79" s="1909">
        <f>BG79/$AR$89</f>
        <v>0</v>
      </c>
      <c r="BI79" s="1903"/>
      <c r="BJ79" s="39">
        <f>G79+L79+Q79+V79+AA79+AF79+AK79+AP79+AU79+AZ79+BE79</f>
        <v>0</v>
      </c>
      <c r="BK79" s="39">
        <f>H79+M79+R79+W79+AB79+AG79+AL79+AQ79+AV79+BA79+BF79</f>
        <v>0</v>
      </c>
      <c r="BL79" s="106">
        <f>I79+N79+S79+AM79+AR79+BB79</f>
        <v>24012.385172413793</v>
      </c>
      <c r="BM79" s="45"/>
      <c r="BN79" s="45"/>
    </row>
    <row r="80" spans="1:66" ht="13.8" x14ac:dyDescent="0.25">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552"/>
      <c r="AF80" s="560"/>
      <c r="AG80" s="452"/>
      <c r="AH80" s="678"/>
      <c r="AI80" s="678"/>
      <c r="AJ80" s="678"/>
      <c r="AK80" s="560"/>
      <c r="AL80" s="452"/>
      <c r="AM80" s="678"/>
      <c r="AN80" s="678"/>
      <c r="AO80" s="678"/>
      <c r="AP80" s="560"/>
      <c r="AQ80" s="452"/>
      <c r="AR80" s="678"/>
      <c r="AS80" s="678"/>
      <c r="AT80" s="678"/>
      <c r="AU80" s="560"/>
      <c r="AV80" s="452"/>
      <c r="AW80" s="678"/>
      <c r="AX80" s="678"/>
      <c r="AY80" s="678"/>
      <c r="AZ80" s="560"/>
      <c r="BA80" s="452"/>
      <c r="BB80" s="678"/>
      <c r="BC80" s="678"/>
      <c r="BD80" s="678"/>
      <c r="BE80" s="1659"/>
      <c r="BF80" s="1447"/>
      <c r="BG80" s="1910"/>
      <c r="BH80" s="1910"/>
      <c r="BI80" s="1910"/>
      <c r="BJ80" s="39">
        <f>G80+L80+Q80+V80+AA80+AF80+AK80+AP80+AU80+AZ80</f>
        <v>0</v>
      </c>
      <c r="BK80" s="39">
        <f>H80+M80+R80+W80+AB80+AG80+AL80+AQ80+AV80+BA80</f>
        <v>0</v>
      </c>
      <c r="BL80" s="69"/>
      <c r="BM80" s="69"/>
      <c r="BN80" s="69"/>
    </row>
    <row r="81" spans="1:66" s="2" customFormat="1" ht="14.4" thickBot="1" x14ac:dyDescent="0.3">
      <c r="A81" s="26"/>
      <c r="B81" s="27" t="s">
        <v>12</v>
      </c>
      <c r="C81" s="139">
        <f>(C75+C78)-C79</f>
        <v>0</v>
      </c>
      <c r="D81" s="139">
        <f>(D75+D78)-D79</f>
        <v>0</v>
      </c>
      <c r="E81" s="140">
        <f>(E75+E78)-E79</f>
        <v>0</v>
      </c>
      <c r="F81" s="173"/>
      <c r="G81" s="139">
        <f>(G75+G78)-G79</f>
        <v>-41650.04</v>
      </c>
      <c r="H81" s="139">
        <f>(H75+H78)-H79</f>
        <v>-3921.1</v>
      </c>
      <c r="I81" s="140">
        <f>(I75+I78)-I79</f>
        <v>-46157.051494252875</v>
      </c>
      <c r="J81" s="67"/>
      <c r="K81" s="67"/>
      <c r="L81" s="139">
        <f>(L75+L78)-L79</f>
        <v>45952.177399999993</v>
      </c>
      <c r="M81" s="139">
        <f>(M75+M78)-M79</f>
        <v>-66628.739999999991</v>
      </c>
      <c r="N81" s="140">
        <f>(N75+N78)-N79</f>
        <v>-30632.581220689659</v>
      </c>
      <c r="O81" s="67"/>
      <c r="P81" s="414"/>
      <c r="Q81" s="139">
        <f>(Q75+Q78)-Q79</f>
        <v>235600.04199999999</v>
      </c>
      <c r="R81" s="139">
        <f>(R75+R78)-R79</f>
        <v>-90148.430000000008</v>
      </c>
      <c r="S81" s="140">
        <f>(S75+S78)-S79</f>
        <v>131981.1569425287</v>
      </c>
      <c r="T81" s="67"/>
      <c r="U81" s="414"/>
      <c r="V81" s="139">
        <f>(V75+V78)-V79</f>
        <v>-971.64</v>
      </c>
      <c r="W81" s="139">
        <f>(W75+W78)-W79</f>
        <v>0</v>
      </c>
      <c r="X81" s="140">
        <f>(X75+X78)-X79</f>
        <v>-971.64</v>
      </c>
      <c r="Y81" s="67"/>
      <c r="Z81" s="414"/>
      <c r="AA81" s="139">
        <f>(AA75+AA78)-AA79</f>
        <v>-561.04999999999995</v>
      </c>
      <c r="AB81" s="139">
        <f>(AB75+AB78)-AB79</f>
        <v>0</v>
      </c>
      <c r="AC81" s="140">
        <f>(AC75+AC78)-AC79</f>
        <v>-561.04999999999995</v>
      </c>
      <c r="AD81" s="67"/>
      <c r="AE81" s="739"/>
      <c r="AF81" s="587">
        <f>(AF75+AF78)-AF79</f>
        <v>-971.64</v>
      </c>
      <c r="AG81" s="587">
        <f>(AG75+AG78)-AG79</f>
        <v>0</v>
      </c>
      <c r="AH81" s="674">
        <f>(AH75+AH78)-AH79</f>
        <v>-971.64</v>
      </c>
      <c r="AI81" s="675"/>
      <c r="AJ81" s="749"/>
      <c r="AK81" s="587">
        <f>(AK75+AK78)-AK79</f>
        <v>765715.85399999993</v>
      </c>
      <c r="AL81" s="587">
        <f>(AL75+AL78)-AL79</f>
        <v>-4500</v>
      </c>
      <c r="AM81" s="674">
        <f>(AM75+AM78)-AM79</f>
        <v>761215.85399999993</v>
      </c>
      <c r="AN81" s="675"/>
      <c r="AO81" s="749"/>
      <c r="AP81" s="587">
        <f>(AP75+AP78)-AP79</f>
        <v>681362.15399999998</v>
      </c>
      <c r="AQ81" s="587">
        <f>(AQ75+AQ78)-AQ79</f>
        <v>0</v>
      </c>
      <c r="AR81" s="674">
        <f>(AR75+AR78)-AR79</f>
        <v>681362.15399999998</v>
      </c>
      <c r="AS81" s="675"/>
      <c r="AT81" s="749"/>
      <c r="AU81" s="587">
        <f>(AU75+AU78)-AU79</f>
        <v>340643.14</v>
      </c>
      <c r="AV81" s="587">
        <f>(AV75+AV78)-AV79</f>
        <v>0</v>
      </c>
      <c r="AW81" s="674">
        <f>(AW75+AW78)-AW79</f>
        <v>340643.14</v>
      </c>
      <c r="AX81" s="675"/>
      <c r="AY81" s="749"/>
      <c r="AZ81" s="587">
        <f>(AZ75+AZ78)-AZ79</f>
        <v>-27406.331999999999</v>
      </c>
      <c r="BA81" s="587">
        <f>(BA75+BA78)-BA79</f>
        <v>0</v>
      </c>
      <c r="BB81" s="674">
        <f>(BB75+BB78)-BB79</f>
        <v>-27406.331999999999</v>
      </c>
      <c r="BC81" s="675"/>
      <c r="BD81" s="749"/>
      <c r="BE81" s="1180">
        <f>(BE75+BE78)-BE79</f>
        <v>-48714.983999999997</v>
      </c>
      <c r="BF81" s="1180">
        <f>(BF75+BF78)-BF79</f>
        <v>0</v>
      </c>
      <c r="BG81" s="1384">
        <f>(BG75+BG78)-BG79</f>
        <v>-48714.983999999997</v>
      </c>
      <c r="BH81" s="1379"/>
      <c r="BI81" s="1388"/>
      <c r="BJ81" s="139">
        <f>(BJ75+BJ78)-BJ79</f>
        <v>1948997.6813999999</v>
      </c>
      <c r="BK81" s="139">
        <f>(BK75+BK78)-BK79</f>
        <v>-165198.27000000002</v>
      </c>
      <c r="BL81" s="140">
        <f>(BL75+BL78)-BL79</f>
        <v>1759787.026227586</v>
      </c>
      <c r="BM81" s="67"/>
      <c r="BN81" s="67"/>
    </row>
    <row r="82" spans="1:66" s="2" customFormat="1" ht="13.8" x14ac:dyDescent="0.25">
      <c r="A82" s="293"/>
      <c r="B82" s="6" t="s">
        <v>38</v>
      </c>
      <c r="C82" s="141"/>
      <c r="D82" s="142"/>
      <c r="E82" s="146">
        <f>C82+D82</f>
        <v>0</v>
      </c>
      <c r="F82" s="180" t="e">
        <f>E82/$E$89</f>
        <v>#DIV/0!</v>
      </c>
      <c r="G82" s="39"/>
      <c r="H82" s="39"/>
      <c r="I82" s="146">
        <f>G82+H82</f>
        <v>0</v>
      </c>
      <c r="J82" s="101"/>
      <c r="K82" s="101"/>
      <c r="L82" s="39"/>
      <c r="M82" s="39"/>
      <c r="N82" s="146">
        <f>L82+M82</f>
        <v>0</v>
      </c>
      <c r="O82" s="101"/>
      <c r="P82" s="433"/>
      <c r="Q82" s="39"/>
      <c r="R82" s="39"/>
      <c r="S82" s="146">
        <f>Q82+R82</f>
        <v>0</v>
      </c>
      <c r="T82" s="101"/>
      <c r="U82" s="433"/>
      <c r="V82" s="39"/>
      <c r="W82" s="39"/>
      <c r="X82" s="146">
        <f>V82+W82</f>
        <v>0</v>
      </c>
      <c r="Y82" s="101"/>
      <c r="Z82" s="433"/>
      <c r="AA82" s="39"/>
      <c r="AB82" s="39"/>
      <c r="AC82" s="146">
        <f>AA82+AB82</f>
        <v>0</v>
      </c>
      <c r="AD82" s="101"/>
      <c r="AE82" s="740"/>
      <c r="AF82" s="560"/>
      <c r="AG82" s="452"/>
      <c r="AH82" s="565">
        <f>AF82+AG82</f>
        <v>0</v>
      </c>
      <c r="AI82" s="642"/>
      <c r="AJ82" s="719"/>
      <c r="AK82" s="560"/>
      <c r="AL82" s="452"/>
      <c r="AM82" s="565">
        <f>AK82+AL82</f>
        <v>0</v>
      </c>
      <c r="AN82" s="642"/>
      <c r="AO82" s="719"/>
      <c r="AP82" s="560"/>
      <c r="AQ82" s="452"/>
      <c r="AR82" s="565">
        <f>AP82+AQ82</f>
        <v>0</v>
      </c>
      <c r="AS82" s="642"/>
      <c r="AT82" s="719"/>
      <c r="AU82" s="560"/>
      <c r="AV82" s="452"/>
      <c r="AW82" s="565">
        <f>AU82+AV82</f>
        <v>0</v>
      </c>
      <c r="AX82" s="642"/>
      <c r="AY82" s="719"/>
      <c r="AZ82" s="560"/>
      <c r="BA82" s="452"/>
      <c r="BB82" s="565">
        <f>AZ82+BA82</f>
        <v>0</v>
      </c>
      <c r="BC82" s="642"/>
      <c r="BD82" s="719"/>
      <c r="BE82" s="1659"/>
      <c r="BF82" s="1447"/>
      <c r="BG82" s="1530">
        <f>BE82+BF82</f>
        <v>0</v>
      </c>
      <c r="BH82" s="1491"/>
      <c r="BI82" s="1627"/>
      <c r="BJ82" s="39">
        <f>G82+L82+Q82+V82+AA82+AF82+AK82+AP82+AU82+AZ82+BE82</f>
        <v>0</v>
      </c>
      <c r="BK82" s="39">
        <f>H82+M82+R82+W82+AB82+AG82+AL82+AQ82+AV82+BA82+BF82</f>
        <v>0</v>
      </c>
      <c r="BL82" s="146">
        <f>BJ82+BK82</f>
        <v>0</v>
      </c>
      <c r="BM82" s="101"/>
      <c r="BN82" s="101"/>
    </row>
    <row r="83" spans="1:66" s="2" customFormat="1" ht="13.8" x14ac:dyDescent="0.25">
      <c r="A83" s="11"/>
      <c r="B83" s="28" t="s">
        <v>13</v>
      </c>
      <c r="C83" s="147">
        <f>(C81+C7)-C36</f>
        <v>0</v>
      </c>
      <c r="D83" s="147">
        <f>(D81+D7)-D36</f>
        <v>0</v>
      </c>
      <c r="E83" s="147">
        <f>(E81+E7)-E36</f>
        <v>0</v>
      </c>
      <c r="F83" s="174"/>
      <c r="G83" s="147">
        <f>(G81+G7)-G36</f>
        <v>-41650.04</v>
      </c>
      <c r="H83" s="147">
        <f>(H81+H7)-H36</f>
        <v>-3921.1</v>
      </c>
      <c r="I83" s="148">
        <f>(I81+I7)-I36</f>
        <v>-46157.051494252875</v>
      </c>
      <c r="J83" s="70"/>
      <c r="K83" s="70"/>
      <c r="L83" s="147">
        <f>(L81+L7)-L36</f>
        <v>45952.177399999993</v>
      </c>
      <c r="M83" s="147">
        <f>(M81+M7)-M36</f>
        <v>-66628.739999999991</v>
      </c>
      <c r="N83" s="148">
        <f>(N81+N7)-N36</f>
        <v>-30632.581220689659</v>
      </c>
      <c r="O83" s="70"/>
      <c r="P83" s="434"/>
      <c r="Q83" s="147">
        <f>(Q81+Q7)-Q36</f>
        <v>235600.04199999999</v>
      </c>
      <c r="R83" s="147">
        <f>(R81+R7)-R36</f>
        <v>-90148.430000000008</v>
      </c>
      <c r="S83" s="148">
        <f>(S81+S7)-S36</f>
        <v>131981.1569425287</v>
      </c>
      <c r="T83" s="70"/>
      <c r="U83" s="434"/>
      <c r="V83" s="147">
        <f>(V81+V7)-V36</f>
        <v>-971.64</v>
      </c>
      <c r="W83" s="147">
        <f>(W81+W7)-W36</f>
        <v>0</v>
      </c>
      <c r="X83" s="148">
        <f>(X81+X7)-X36</f>
        <v>-971.64</v>
      </c>
      <c r="Y83" s="70"/>
      <c r="Z83" s="434"/>
      <c r="AA83" s="147">
        <f>(AA81+AA7)-AA36</f>
        <v>-561.04999999999995</v>
      </c>
      <c r="AB83" s="147">
        <f>(AB81+AB7)-AB36</f>
        <v>0</v>
      </c>
      <c r="AC83" s="148">
        <f>(AC81+AC7)-AC36</f>
        <v>-561.04999999999995</v>
      </c>
      <c r="AD83" s="70"/>
      <c r="AE83" s="741"/>
      <c r="AF83" s="679">
        <f>(AF81+AF7)-AF36</f>
        <v>-971.64</v>
      </c>
      <c r="AG83" s="679">
        <f>(AG81+AG7)-AG36</f>
        <v>0</v>
      </c>
      <c r="AH83" s="680">
        <f>(AH81+AH7)-AH36</f>
        <v>-971.64</v>
      </c>
      <c r="AI83" s="681"/>
      <c r="AJ83" s="750"/>
      <c r="AK83" s="679">
        <f>(AK81+AK7)-AK36</f>
        <v>765715.85399999993</v>
      </c>
      <c r="AL83" s="679">
        <f>(AL81+AL7)-AL36</f>
        <v>-4500</v>
      </c>
      <c r="AM83" s="680">
        <f>(AM81+AM7)-AM36</f>
        <v>761215.85399999993</v>
      </c>
      <c r="AN83" s="681"/>
      <c r="AO83" s="750"/>
      <c r="AP83" s="679">
        <f>(AP81+AP7)-AP36</f>
        <v>681362.15399999998</v>
      </c>
      <c r="AQ83" s="679">
        <f>(AQ81+AQ7)-AQ36</f>
        <v>0</v>
      </c>
      <c r="AR83" s="680">
        <f>(AR81+AR7)-AR36</f>
        <v>681362.15399999998</v>
      </c>
      <c r="AS83" s="681"/>
      <c r="AT83" s="750"/>
      <c r="AU83" s="679">
        <f>(AU81+AU7)-AU36</f>
        <v>340643.14</v>
      </c>
      <c r="AV83" s="679">
        <f>(AV81+AV7)-AV36</f>
        <v>0</v>
      </c>
      <c r="AW83" s="680">
        <f>(AW81+AW7)-AW36</f>
        <v>340643.14</v>
      </c>
      <c r="AX83" s="681"/>
      <c r="AY83" s="750"/>
      <c r="AZ83" s="679">
        <f>(AZ81+AZ7)-AZ36</f>
        <v>-27406.331999999999</v>
      </c>
      <c r="BA83" s="679">
        <f>(BA81+BA7)-BA36</f>
        <v>0</v>
      </c>
      <c r="BB83" s="680">
        <f>(BB81+BB7)-BB36</f>
        <v>-27406.331999999999</v>
      </c>
      <c r="BC83" s="681"/>
      <c r="BD83" s="750"/>
      <c r="BE83" s="1912">
        <f>(BE81+BE7)-BE36</f>
        <v>-48714.983999999997</v>
      </c>
      <c r="BF83" s="1912">
        <f>(BF81+BF7)-BF36</f>
        <v>0</v>
      </c>
      <c r="BG83" s="1913">
        <f>(BG81+BG7)-BG36</f>
        <v>-48714.983999999997</v>
      </c>
      <c r="BH83" s="1914"/>
      <c r="BI83" s="1915"/>
      <c r="BJ83" s="147">
        <f>(BJ81+BJ7)-BJ36</f>
        <v>1948997.6813999999</v>
      </c>
      <c r="BK83" s="147">
        <f>(BK81+BK7)-BK36</f>
        <v>-165198.27000000002</v>
      </c>
      <c r="BL83" s="148">
        <f>(BL81+BL7)-BL36</f>
        <v>1759787.026227586</v>
      </c>
      <c r="BM83" s="70"/>
      <c r="BN83" s="70"/>
    </row>
    <row r="84" spans="1:66" s="2" customFormat="1" ht="14.4" thickBot="1" x14ac:dyDescent="0.3">
      <c r="A84" s="11"/>
      <c r="B84" s="211" t="s">
        <v>14</v>
      </c>
      <c r="C84" s="212">
        <f>C83-C73-C82</f>
        <v>0</v>
      </c>
      <c r="D84" s="212">
        <f>D83-D73-D82</f>
        <v>0</v>
      </c>
      <c r="E84" s="212">
        <f>E83-E73-E82</f>
        <v>0</v>
      </c>
      <c r="F84" s="214"/>
      <c r="G84" s="213">
        <f>G83-G73-G82</f>
        <v>-41650.04</v>
      </c>
      <c r="H84" s="213">
        <f>H83-H73-H82</f>
        <v>-3921.1</v>
      </c>
      <c r="I84" s="213">
        <f>I83-I73-I82</f>
        <v>-46157.051494252875</v>
      </c>
      <c r="J84" s="82"/>
      <c r="K84" s="82"/>
      <c r="L84" s="213">
        <f>L83-L73-L82</f>
        <v>45952.177399999993</v>
      </c>
      <c r="M84" s="213">
        <f>M83-M73-M82</f>
        <v>-66628.739999999991</v>
      </c>
      <c r="N84" s="213">
        <f>N83-N73-N82</f>
        <v>-30632.581220689659</v>
      </c>
      <c r="O84" s="82"/>
      <c r="P84" s="435"/>
      <c r="Q84" s="213">
        <f>Q83-Q73-Q82</f>
        <v>235600.04199999999</v>
      </c>
      <c r="R84" s="213">
        <f>R83-R73-R82</f>
        <v>-90148.430000000008</v>
      </c>
      <c r="S84" s="213">
        <f>S83-S73-S82</f>
        <v>131981.1569425287</v>
      </c>
      <c r="T84" s="82"/>
      <c r="U84" s="435"/>
      <c r="V84" s="213">
        <f>V83-V73-V82</f>
        <v>-971.64</v>
      </c>
      <c r="W84" s="213">
        <f>W83-W73-W82</f>
        <v>0</v>
      </c>
      <c r="X84" s="213">
        <f>X83-X73-X82</f>
        <v>-971.64</v>
      </c>
      <c r="Y84" s="82"/>
      <c r="Z84" s="435"/>
      <c r="AA84" s="213">
        <f>AA83-AA73-AA82</f>
        <v>-561.04999999999995</v>
      </c>
      <c r="AB84" s="213">
        <f>AB83-AB73-AB82</f>
        <v>0</v>
      </c>
      <c r="AC84" s="213">
        <f>AC83-AC73-AC82</f>
        <v>-561.04999999999995</v>
      </c>
      <c r="AD84" s="82"/>
      <c r="AE84" s="742"/>
      <c r="AF84" s="562">
        <f>AF83-AF73-AF82</f>
        <v>-971.64</v>
      </c>
      <c r="AG84" s="562">
        <f>AG83-AG73-AG82</f>
        <v>0</v>
      </c>
      <c r="AH84" s="562">
        <f>AH83-AH73-AH82</f>
        <v>-971.64</v>
      </c>
      <c r="AI84" s="537"/>
      <c r="AJ84" s="751"/>
      <c r="AK84" s="562">
        <f>AK83-AK73-AK82</f>
        <v>765715.85399999993</v>
      </c>
      <c r="AL84" s="562">
        <f>AL83-AL73-AL82</f>
        <v>-4500</v>
      </c>
      <c r="AM84" s="562">
        <f>AM83-AM73-AM82</f>
        <v>761215.85399999993</v>
      </c>
      <c r="AN84" s="537"/>
      <c r="AO84" s="751"/>
      <c r="AP84" s="562">
        <f>AP83-AP73-AP82</f>
        <v>681362.15399999998</v>
      </c>
      <c r="AQ84" s="562">
        <f>AQ83-AQ73-AQ82</f>
        <v>0</v>
      </c>
      <c r="AR84" s="562">
        <f>AR83-AR73-AR82</f>
        <v>681362.15399999998</v>
      </c>
      <c r="AS84" s="537"/>
      <c r="AT84" s="751"/>
      <c r="AU84" s="562">
        <f>AU83-AU73-AU82</f>
        <v>340643.14</v>
      </c>
      <c r="AV84" s="562">
        <f>AV83-AV73-AV82</f>
        <v>0</v>
      </c>
      <c r="AW84" s="562">
        <f>AW83-AW73-AW82</f>
        <v>340643.14</v>
      </c>
      <c r="AX84" s="537"/>
      <c r="AY84" s="751"/>
      <c r="AZ84" s="562">
        <f>AZ83-AZ73-AZ82</f>
        <v>-27406.331999999999</v>
      </c>
      <c r="BA84" s="562">
        <f>BA83-BA73-BA82</f>
        <v>0</v>
      </c>
      <c r="BB84" s="562">
        <f>BB83-BB73-BB82</f>
        <v>-27406.331999999999</v>
      </c>
      <c r="BC84" s="537"/>
      <c r="BD84" s="751"/>
      <c r="BE84" s="2105">
        <f>BE83-BE73-BE82</f>
        <v>-48714.983999999997</v>
      </c>
      <c r="BF84" s="2105">
        <f>BF83-BF73-BF82</f>
        <v>0</v>
      </c>
      <c r="BG84" s="1953">
        <f>BG83-BG73-BG82</f>
        <v>-48714.983999999997</v>
      </c>
      <c r="BH84" s="1954"/>
      <c r="BI84" s="1964"/>
      <c r="BJ84" s="2105">
        <f>BJ83-BJ73-BJ82</f>
        <v>1948997.6813999999</v>
      </c>
      <c r="BK84" s="2105">
        <f>BK83-BK73-BK82</f>
        <v>-165198.27000000002</v>
      </c>
      <c r="BL84" s="213">
        <f>BL83-BL73-BL82</f>
        <v>1759787.026227586</v>
      </c>
      <c r="BM84" s="82"/>
      <c r="BN84" s="82"/>
    </row>
    <row r="85" spans="1:66" s="2" customFormat="1" ht="13.8" x14ac:dyDescent="0.25">
      <c r="A85" s="293"/>
      <c r="B85" s="216" t="s">
        <v>44</v>
      </c>
      <c r="C85" s="141"/>
      <c r="D85" s="142"/>
      <c r="E85" s="146">
        <f>C85+D85</f>
        <v>0</v>
      </c>
      <c r="F85" s="217" t="e">
        <f>E85/$E$89</f>
        <v>#DIV/0!</v>
      </c>
      <c r="G85" s="39"/>
      <c r="H85" s="39"/>
      <c r="I85" s="219">
        <f>G85+H85*1.15</f>
        <v>0</v>
      </c>
      <c r="J85" s="102"/>
      <c r="K85" s="102"/>
      <c r="L85" s="39"/>
      <c r="M85" s="39"/>
      <c r="N85" s="219">
        <f>L85+M85*1.15</f>
        <v>0</v>
      </c>
      <c r="O85" s="102"/>
      <c r="P85" s="436"/>
      <c r="Q85" s="39"/>
      <c r="R85" s="39"/>
      <c r="S85" s="219">
        <f>Q85+R85*1.15</f>
        <v>0</v>
      </c>
      <c r="T85" s="102"/>
      <c r="U85" s="436"/>
      <c r="V85" s="39"/>
      <c r="W85" s="39"/>
      <c r="X85" s="219">
        <f>V85+W85*1.15</f>
        <v>0</v>
      </c>
      <c r="Y85" s="102"/>
      <c r="Z85" s="436"/>
      <c r="AA85" s="39"/>
      <c r="AB85" s="39"/>
      <c r="AC85" s="219">
        <f>AA85+AB85*1.15</f>
        <v>0</v>
      </c>
      <c r="AD85" s="102"/>
      <c r="AE85" s="743"/>
      <c r="AF85" s="560"/>
      <c r="AG85" s="452"/>
      <c r="AH85" s="484">
        <f>AF85+AG85*1.15</f>
        <v>0</v>
      </c>
      <c r="AI85" s="566"/>
      <c r="AJ85" s="752"/>
      <c r="AK85" s="560"/>
      <c r="AL85" s="452"/>
      <c r="AM85" s="484">
        <f>AK85+AL85*1.15</f>
        <v>0</v>
      </c>
      <c r="AN85" s="566"/>
      <c r="AO85" s="752"/>
      <c r="AP85" s="560"/>
      <c r="AQ85" s="452"/>
      <c r="AR85" s="484">
        <f>AP85+AQ85*1.15</f>
        <v>0</v>
      </c>
      <c r="AS85" s="566"/>
      <c r="AT85" s="752"/>
      <c r="AU85" s="560"/>
      <c r="AV85" s="452"/>
      <c r="AW85" s="484">
        <f>AU85+AV85*1.15</f>
        <v>0</v>
      </c>
      <c r="AX85" s="566"/>
      <c r="AY85" s="752"/>
      <c r="AZ85" s="560"/>
      <c r="BA85" s="452"/>
      <c r="BB85" s="484">
        <f>AZ85+BA85*1.15</f>
        <v>0</v>
      </c>
      <c r="BC85" s="566"/>
      <c r="BD85" s="752"/>
      <c r="BE85" s="1659"/>
      <c r="BF85" s="1447"/>
      <c r="BG85" s="1575">
        <f>BE85+BF85*1.15</f>
        <v>0</v>
      </c>
      <c r="BH85" s="1492"/>
      <c r="BI85" s="752"/>
      <c r="BJ85" s="39">
        <f>G85+L85+Q85+V85+AA85+AF85+AK85+AP85+AU85+AZ85+BE85</f>
        <v>0</v>
      </c>
      <c r="BK85" s="39">
        <f>H85+M85+R85+W85+AB85+AG85+AL85+AQ85+AV85+BA85+BF85</f>
        <v>0</v>
      </c>
      <c r="BL85" s="219">
        <f>BJ85+BK85*1.15</f>
        <v>0</v>
      </c>
      <c r="BM85" s="102"/>
      <c r="BN85" s="102"/>
    </row>
    <row r="86" spans="1:66" s="2" customFormat="1" ht="27.6" x14ac:dyDescent="0.25">
      <c r="A86" s="11"/>
      <c r="B86" s="37" t="s">
        <v>50</v>
      </c>
      <c r="C86" s="149">
        <f>C84-C85</f>
        <v>0</v>
      </c>
      <c r="D86" s="149">
        <f>D84-D85</f>
        <v>0</v>
      </c>
      <c r="E86" s="150">
        <f>E84-E85</f>
        <v>0</v>
      </c>
      <c r="F86" s="175"/>
      <c r="G86" s="150">
        <f>G84-G85</f>
        <v>-41650.04</v>
      </c>
      <c r="H86" s="150">
        <f>H84-H85</f>
        <v>-3921.1</v>
      </c>
      <c r="I86" s="150">
        <f>I84-I85</f>
        <v>-46157.051494252875</v>
      </c>
      <c r="J86" s="73"/>
      <c r="K86" s="73"/>
      <c r="L86" s="150">
        <f>L84-L85</f>
        <v>45952.177399999993</v>
      </c>
      <c r="M86" s="150">
        <f>M84-M85</f>
        <v>-66628.739999999991</v>
      </c>
      <c r="N86" s="150">
        <f>N84-N85</f>
        <v>-30632.581220689659</v>
      </c>
      <c r="O86" s="73"/>
      <c r="P86" s="434"/>
      <c r="Q86" s="150">
        <f>Q84-Q85</f>
        <v>235600.04199999999</v>
      </c>
      <c r="R86" s="150">
        <f>R84-R85</f>
        <v>-90148.430000000008</v>
      </c>
      <c r="S86" s="150">
        <f>S84-S85</f>
        <v>131981.1569425287</v>
      </c>
      <c r="T86" s="73"/>
      <c r="U86" s="434"/>
      <c r="V86" s="150">
        <f>V84-V85</f>
        <v>-971.64</v>
      </c>
      <c r="W86" s="150">
        <f>W84-W85</f>
        <v>0</v>
      </c>
      <c r="X86" s="150">
        <f>X84-X85</f>
        <v>-971.64</v>
      </c>
      <c r="Y86" s="73"/>
      <c r="Z86" s="434"/>
      <c r="AA86" s="150">
        <f>AA84-AA85</f>
        <v>-561.04999999999995</v>
      </c>
      <c r="AB86" s="150">
        <f>AB84-AB85</f>
        <v>0</v>
      </c>
      <c r="AC86" s="150">
        <f>AC84-AC85</f>
        <v>-561.04999999999995</v>
      </c>
      <c r="AD86" s="73"/>
      <c r="AE86" s="741"/>
      <c r="AF86" s="569">
        <f>AF84-AF85</f>
        <v>-971.64</v>
      </c>
      <c r="AG86" s="569">
        <f>AG84-AG85</f>
        <v>0</v>
      </c>
      <c r="AH86" s="569">
        <f>AH84-AH85</f>
        <v>-971.64</v>
      </c>
      <c r="AI86" s="538"/>
      <c r="AJ86" s="750"/>
      <c r="AK86" s="569">
        <f>AK84-AK85</f>
        <v>765715.85399999993</v>
      </c>
      <c r="AL86" s="569">
        <f>AL84-AL85</f>
        <v>-4500</v>
      </c>
      <c r="AM86" s="569">
        <f>AM84-AM85</f>
        <v>761215.85399999993</v>
      </c>
      <c r="AN86" s="538"/>
      <c r="AO86" s="750"/>
      <c r="AP86" s="569">
        <f>AP84-AP85</f>
        <v>681362.15399999998</v>
      </c>
      <c r="AQ86" s="569">
        <f>AQ84-AQ85</f>
        <v>0</v>
      </c>
      <c r="AR86" s="569">
        <f>AR84-AR85</f>
        <v>681362.15399999998</v>
      </c>
      <c r="AS86" s="538"/>
      <c r="AT86" s="750"/>
      <c r="AU86" s="569">
        <f>AU84-AU85</f>
        <v>340643.14</v>
      </c>
      <c r="AV86" s="569">
        <f>AV84-AV85</f>
        <v>0</v>
      </c>
      <c r="AW86" s="569">
        <f>AW84-AW85</f>
        <v>340643.14</v>
      </c>
      <c r="AX86" s="538"/>
      <c r="AY86" s="750"/>
      <c r="AZ86" s="569">
        <f>AZ84-AZ85</f>
        <v>-27406.331999999999</v>
      </c>
      <c r="BA86" s="569">
        <f>BA84-BA85</f>
        <v>0</v>
      </c>
      <c r="BB86" s="569">
        <f>BB84-BB85</f>
        <v>-27406.331999999999</v>
      </c>
      <c r="BC86" s="538"/>
      <c r="BD86" s="750"/>
      <c r="BE86" s="1919">
        <f>BE84-BE85</f>
        <v>-48714.983999999997</v>
      </c>
      <c r="BF86" s="1919">
        <f>BF84-BF85</f>
        <v>0</v>
      </c>
      <c r="BG86" s="1919">
        <f>BG84-BG85</f>
        <v>-48714.983999999997</v>
      </c>
      <c r="BH86" s="1920"/>
      <c r="BI86" s="1915"/>
      <c r="BJ86" s="150">
        <f>BJ84-BJ85</f>
        <v>1948997.6813999999</v>
      </c>
      <c r="BK86" s="150">
        <f>BK84-BK85</f>
        <v>-165198.27000000002</v>
      </c>
      <c r="BL86" s="150">
        <f>BL84-BL85</f>
        <v>1759787.026227586</v>
      </c>
      <c r="BM86" s="73"/>
      <c r="BN86" s="73"/>
    </row>
    <row r="87" spans="1:66" s="2" customFormat="1" ht="14.4" thickBot="1" x14ac:dyDescent="0.3">
      <c r="A87" s="295"/>
      <c r="B87" s="29" t="s">
        <v>51</v>
      </c>
      <c r="C87" s="155" t="e">
        <f>C86/C5</f>
        <v>#DIV/0!</v>
      </c>
      <c r="D87" s="151" t="e">
        <f>D86/D5</f>
        <v>#DIV/0!</v>
      </c>
      <c r="E87" s="156" t="e">
        <f>E86/E5</f>
        <v>#DIV/0!</v>
      </c>
      <c r="F87" s="176"/>
      <c r="G87" s="155" t="e">
        <f>G86/G5</f>
        <v>#DIV/0!</v>
      </c>
      <c r="H87" s="151" t="e">
        <f>H86/H5</f>
        <v>#DIV/0!</v>
      </c>
      <c r="I87" s="156" t="e">
        <f>I86/I5</f>
        <v>#DIV/0!</v>
      </c>
      <c r="J87" s="75"/>
      <c r="K87" s="75"/>
      <c r="L87" s="155">
        <f>L86/L5</f>
        <v>0.38401645802343259</v>
      </c>
      <c r="M87" s="151" t="e">
        <f>M86/M5</f>
        <v>#DIV/0!</v>
      </c>
      <c r="N87" s="156">
        <f>N86/N5</f>
        <v>-0.25599255587145175</v>
      </c>
      <c r="O87" s="75"/>
      <c r="P87" s="437"/>
      <c r="Q87" s="155">
        <f>Q86/Q5</f>
        <v>0.7539212441720714</v>
      </c>
      <c r="R87" s="151" t="e">
        <f>R86/R5</f>
        <v>#DIV/0!</v>
      </c>
      <c r="S87" s="156">
        <f>S86/S5</f>
        <v>0.42234032390104864</v>
      </c>
      <c r="T87" s="75"/>
      <c r="U87" s="437"/>
      <c r="V87" s="155" t="e">
        <f>V86/V5</f>
        <v>#DIV/0!</v>
      </c>
      <c r="W87" s="151" t="e">
        <f>W86/W5</f>
        <v>#DIV/0!</v>
      </c>
      <c r="X87" s="156" t="e">
        <f>X86/X5</f>
        <v>#DIV/0!</v>
      </c>
      <c r="Y87" s="75"/>
      <c r="Z87" s="437"/>
      <c r="AA87" s="155" t="e">
        <f>AA86/AA5</f>
        <v>#DIV/0!</v>
      </c>
      <c r="AB87" s="151" t="e">
        <f>AB86/AB5</f>
        <v>#DIV/0!</v>
      </c>
      <c r="AC87" s="156" t="e">
        <f>AC86/AC5</f>
        <v>#DIV/0!</v>
      </c>
      <c r="AD87" s="75"/>
      <c r="AE87" s="744"/>
      <c r="AF87" s="573" t="e">
        <f>AF86/AF5</f>
        <v>#DIV/0!</v>
      </c>
      <c r="AG87" s="574" t="e">
        <f>AG86/AG5</f>
        <v>#DIV/0!</v>
      </c>
      <c r="AH87" s="575" t="e">
        <f>AH86/AH5</f>
        <v>#DIV/0!</v>
      </c>
      <c r="AI87" s="576"/>
      <c r="AJ87" s="753"/>
      <c r="AK87" s="573">
        <f>AK86/AK5</f>
        <v>0.99989410247716448</v>
      </c>
      <c r="AL87" s="574" t="e">
        <f>AL86/AL5</f>
        <v>#DIV/0!</v>
      </c>
      <c r="AM87" s="575">
        <f>AM86/AM5</f>
        <v>0.99401787118635032</v>
      </c>
      <c r="AN87" s="576"/>
      <c r="AO87" s="753"/>
      <c r="AP87" s="573">
        <f>AP86/AP5</f>
        <v>0.99988099375846773</v>
      </c>
      <c r="AQ87" s="574" t="e">
        <f>AQ86/AQ5</f>
        <v>#DIV/0!</v>
      </c>
      <c r="AR87" s="575">
        <f>AR86/AR5</f>
        <v>0.99988099375846773</v>
      </c>
      <c r="AS87" s="576"/>
      <c r="AT87" s="753"/>
      <c r="AU87" s="573">
        <f>AU86/AU5</f>
        <v>0.99976966533558986</v>
      </c>
      <c r="AV87" s="574" t="e">
        <f>AV86/AV5</f>
        <v>#DIV/0!</v>
      </c>
      <c r="AW87" s="575">
        <f>AW86/AW5</f>
        <v>0.99976966533558986</v>
      </c>
      <c r="AX87" s="576"/>
      <c r="AY87" s="753"/>
      <c r="AZ87" s="573" t="e">
        <f>AZ86/AZ5</f>
        <v>#DIV/0!</v>
      </c>
      <c r="BA87" s="574" t="e">
        <f>BA86/BA5</f>
        <v>#DIV/0!</v>
      </c>
      <c r="BB87" s="575" t="e">
        <f>BB86/BB5</f>
        <v>#DIV/0!</v>
      </c>
      <c r="BC87" s="576"/>
      <c r="BD87" s="753"/>
      <c r="BE87" s="1182" t="e">
        <f>BE86/BE5</f>
        <v>#DIV/0!</v>
      </c>
      <c r="BF87" s="1183" t="e">
        <f>BF86/BF5</f>
        <v>#DIV/0!</v>
      </c>
      <c r="BG87" s="1385" t="e">
        <f>BG86/BG5</f>
        <v>#DIV/0!</v>
      </c>
      <c r="BH87" s="1380"/>
      <c r="BI87" s="1389"/>
      <c r="BJ87" s="155">
        <f>BJ86/BJ5</f>
        <v>0.87787810196276661</v>
      </c>
      <c r="BK87" s="151" t="e">
        <f>BK86/BK5</f>
        <v>#DIV/0!</v>
      </c>
      <c r="BL87" s="156">
        <f>BL86/BL5</f>
        <v>0.79265281287233791</v>
      </c>
      <c r="BM87" s="75"/>
      <c r="BN87" s="75"/>
    </row>
    <row r="88" spans="1:66" ht="13.8" x14ac:dyDescent="0.25">
      <c r="A88" s="30"/>
      <c r="B88" s="30"/>
      <c r="C88" s="152"/>
      <c r="D88" s="152"/>
      <c r="E88" s="152"/>
      <c r="F88" s="188"/>
      <c r="G88" s="76"/>
      <c r="H88" s="76"/>
      <c r="I88" s="76"/>
      <c r="J88" s="76"/>
      <c r="K88" s="76"/>
      <c r="L88" s="76"/>
      <c r="M88" s="76"/>
      <c r="N88" s="76"/>
      <c r="O88" s="76"/>
      <c r="P88" s="438"/>
      <c r="Q88" s="76"/>
      <c r="R88" s="76"/>
      <c r="S88" s="76"/>
      <c r="T88" s="76"/>
      <c r="U88" s="438"/>
      <c r="V88" s="76"/>
      <c r="W88" s="76"/>
      <c r="X88" s="76"/>
      <c r="Y88" s="76"/>
      <c r="Z88" s="438"/>
      <c r="AA88" s="76"/>
      <c r="AB88" s="76"/>
      <c r="AC88" s="76"/>
      <c r="AD88" s="76"/>
      <c r="AE88" s="438"/>
      <c r="AF88" s="76"/>
      <c r="AG88" s="76"/>
      <c r="AH88" s="76"/>
      <c r="AI88" s="76"/>
      <c r="AJ88" s="438"/>
      <c r="AK88" s="76"/>
      <c r="AL88" s="76"/>
      <c r="AM88" s="76"/>
      <c r="AN88" s="76"/>
      <c r="AO88" s="438"/>
      <c r="AP88" s="76"/>
      <c r="AQ88" s="76"/>
      <c r="AR88" s="76"/>
      <c r="AS88" s="76"/>
      <c r="AT88" s="438"/>
      <c r="AU88" s="76"/>
      <c r="AV88" s="76"/>
      <c r="AW88" s="76"/>
      <c r="AX88" s="76"/>
      <c r="AY88" s="438"/>
      <c r="AZ88" s="76"/>
      <c r="BA88" s="76"/>
      <c r="BB88" s="76"/>
      <c r="BC88" s="76"/>
      <c r="BD88" s="438"/>
      <c r="BE88" s="1473"/>
      <c r="BF88" s="1473"/>
      <c r="BG88" s="1473"/>
      <c r="BH88" s="1473"/>
      <c r="BI88" s="1628"/>
      <c r="BJ88" s="76"/>
      <c r="BK88" s="76"/>
      <c r="BL88" s="76"/>
      <c r="BM88" s="76"/>
      <c r="BN88" s="76"/>
    </row>
    <row r="89" spans="1:66" x14ac:dyDescent="0.25">
      <c r="B89" s="221" t="s">
        <v>56</v>
      </c>
      <c r="C89" s="153"/>
      <c r="D89" s="153"/>
      <c r="E89" s="154">
        <f>E8+E36+E41+E50+E54+E73+E79+E82+E85</f>
        <v>0</v>
      </c>
      <c r="F89" s="189"/>
      <c r="I89" s="154">
        <f>I8+I36+I41+I50+I54+I73+I79+I82+I85</f>
        <v>46157.051494252875</v>
      </c>
      <c r="N89" s="154">
        <f>N8+N36+N41+N50+N54+N73+N79+N82+N85</f>
        <v>150294.58122068967</v>
      </c>
      <c r="P89" s="395"/>
      <c r="S89" s="154">
        <f>S8+S36+S41+S50+S54+S73+S79+S82+S85</f>
        <v>180518.38305747128</v>
      </c>
      <c r="U89" s="395"/>
      <c r="X89" s="154">
        <f>X8+X36+X41+X50+X54+X73+X79+X82+X85</f>
        <v>971.64</v>
      </c>
      <c r="Z89" s="395"/>
      <c r="AC89" s="154">
        <f>AC8+AC36+AC41+AC50+AC54+AC73+AC79+AC82+AC85</f>
        <v>561.04999999999995</v>
      </c>
      <c r="AE89" s="395"/>
      <c r="AH89" s="154">
        <f>AH8+AH36+AH41+AH50+AH54+AH73+AH79+AH82+AH85</f>
        <v>971.64</v>
      </c>
      <c r="AJ89" s="395"/>
      <c r="AM89" s="154">
        <f>AM8+AM36+AM41+AM50+AM54+AM73+AM79+AM82+AM85</f>
        <v>4581.0959999999995</v>
      </c>
      <c r="AO89" s="395"/>
      <c r="AR89" s="154">
        <f>AR8+AR36+AR41+AR50+AR54+AR73+AR79+AR82+AR85</f>
        <v>81.095999999999989</v>
      </c>
      <c r="AT89" s="395"/>
      <c r="AW89" s="154">
        <f>AW8+AW36+AW41+AW50+AW54+AW73+AW79+AW82+AW85</f>
        <v>78.48</v>
      </c>
      <c r="AY89" s="395"/>
      <c r="BB89" s="154">
        <f>BB8+BB36+BB41+BB50+BB54+BB73+BB79+BB82+BB85</f>
        <v>27406.331999999999</v>
      </c>
      <c r="BD89" s="395"/>
      <c r="BG89" s="1538">
        <f>BG8+BG36+BG41+BG50+BG54+BG73+BG79+BG82+BG85</f>
        <v>48714.983999999997</v>
      </c>
      <c r="BI89" s="1607"/>
      <c r="BL89" s="154">
        <f>BL8+BL36+BL41+BL50+BL54+BL73+BL79+BL82+BL85</f>
        <v>460336.33377241378</v>
      </c>
    </row>
    <row r="90" spans="1:66" x14ac:dyDescent="0.25">
      <c r="C90" s="153"/>
      <c r="D90" s="153"/>
      <c r="E90" s="153"/>
      <c r="P90" s="395"/>
      <c r="U90" s="395"/>
      <c r="Z90" s="395"/>
      <c r="AA90" s="395"/>
      <c r="AB90" s="395"/>
      <c r="AC90" s="395"/>
      <c r="AD90" s="395"/>
      <c r="AE90" s="395"/>
      <c r="AF90" s="395"/>
      <c r="AG90" s="395"/>
      <c r="AH90" s="395"/>
      <c r="AI90" s="395"/>
      <c r="AJ90" s="395"/>
      <c r="AK90" s="395"/>
      <c r="AL90" s="395"/>
      <c r="AM90" s="395"/>
      <c r="AN90" s="395"/>
      <c r="AO90" s="395"/>
      <c r="AP90" s="395"/>
      <c r="AQ90" s="395"/>
      <c r="AR90" s="395"/>
      <c r="AS90" s="395"/>
      <c r="AT90" s="395"/>
      <c r="AU90" s="395"/>
      <c r="AV90" s="395"/>
      <c r="AW90" s="395"/>
      <c r="AX90" s="395"/>
      <c r="AY90" s="395"/>
      <c r="AZ90" s="395"/>
      <c r="BA90" s="395"/>
      <c r="BB90" s="395"/>
      <c r="BC90" s="395"/>
      <c r="BD90" s="395"/>
      <c r="BE90" s="1607"/>
      <c r="BF90" s="1607"/>
      <c r="BG90" s="1607"/>
      <c r="BH90" s="1607"/>
      <c r="BI90" s="1607"/>
      <c r="BL90" s="424" t="b">
        <f>(N89+I89+S89+X89+AC89+AH89+AM89+AR89+AW89+BB79+BB89+BG89)=BL89</f>
        <v>1</v>
      </c>
    </row>
    <row r="91" spans="1:66" s="2" customFormat="1" x14ac:dyDescent="0.25">
      <c r="A91" s="8"/>
      <c r="B91" s="8"/>
      <c r="C91" s="153"/>
      <c r="D91" s="153"/>
      <c r="E91" s="153"/>
      <c r="F91" s="38"/>
      <c r="G91" s="38"/>
      <c r="H91" s="38"/>
      <c r="I91" s="38"/>
      <c r="J91" s="38"/>
      <c r="K91" s="38"/>
      <c r="L91" s="38"/>
      <c r="M91" s="38"/>
      <c r="N91" s="38"/>
      <c r="O91" s="38"/>
      <c r="P91" s="395"/>
      <c r="Q91" s="38"/>
      <c r="R91" s="38"/>
      <c r="S91" s="38"/>
      <c r="T91" s="38"/>
      <c r="U91" s="395"/>
      <c r="V91" s="395"/>
      <c r="W91" s="395"/>
      <c r="X91" s="395"/>
      <c r="Y91" s="395"/>
      <c r="Z91" s="395"/>
      <c r="AA91" s="395"/>
      <c r="AB91" s="395"/>
      <c r="AC91" s="395"/>
      <c r="AD91" s="395"/>
      <c r="AE91" s="395"/>
      <c r="AF91" s="395"/>
      <c r="AG91" s="395"/>
      <c r="AH91" s="395"/>
      <c r="AI91" s="395"/>
      <c r="AJ91" s="395"/>
      <c r="AK91" s="395"/>
      <c r="AL91" s="395"/>
      <c r="AM91" s="395"/>
      <c r="AN91" s="395"/>
      <c r="AO91" s="395"/>
      <c r="AP91" s="395"/>
      <c r="AQ91" s="395"/>
      <c r="AR91" s="395"/>
      <c r="AS91" s="395"/>
      <c r="AT91" s="395"/>
      <c r="AU91" s="395"/>
      <c r="AV91" s="395"/>
      <c r="AW91" s="395"/>
      <c r="AX91" s="395"/>
      <c r="AY91" s="395"/>
      <c r="AZ91" s="395"/>
      <c r="BA91" s="395"/>
      <c r="BB91" s="395"/>
      <c r="BC91" s="395"/>
      <c r="BD91" s="395"/>
      <c r="BE91" s="1607"/>
      <c r="BF91" s="1607"/>
      <c r="BG91" s="1607"/>
      <c r="BH91" s="1607"/>
      <c r="BI91" s="1607"/>
      <c r="BJ91" s="38"/>
      <c r="BK91" s="38"/>
      <c r="BL91" s="38"/>
      <c r="BM91" s="38"/>
      <c r="BN91" s="38"/>
    </row>
    <row r="92" spans="1:66" x14ac:dyDescent="0.25">
      <c r="C92" s="38"/>
      <c r="D92" s="38"/>
      <c r="P92" s="395"/>
      <c r="U92" s="395"/>
      <c r="W92" s="395"/>
      <c r="X92" s="395"/>
      <c r="Y92" s="395"/>
      <c r="Z92" s="395"/>
      <c r="AA92" s="395"/>
      <c r="AB92" s="395"/>
      <c r="AC92" s="395"/>
      <c r="AD92" s="395"/>
      <c r="AE92" s="395"/>
      <c r="AF92" s="395"/>
      <c r="AG92" s="395"/>
      <c r="AH92" s="395"/>
      <c r="AI92" s="395"/>
      <c r="AJ92" s="395"/>
      <c r="AK92" s="395"/>
      <c r="AL92" s="395"/>
      <c r="AM92" s="395"/>
      <c r="AN92" s="395"/>
      <c r="AO92" s="395"/>
      <c r="AP92" s="395"/>
      <c r="AQ92" s="395"/>
      <c r="AR92" s="395"/>
      <c r="AS92" s="395"/>
      <c r="AT92" s="395"/>
      <c r="AU92" s="395"/>
      <c r="AV92" s="395"/>
      <c r="AW92" s="395"/>
      <c r="AX92" s="395"/>
      <c r="AY92" s="395"/>
      <c r="AZ92" s="395"/>
      <c r="BA92" s="395"/>
      <c r="BB92" s="395"/>
      <c r="BC92" s="395"/>
      <c r="BD92" s="395"/>
      <c r="BE92" s="1607"/>
      <c r="BF92" s="1607"/>
      <c r="BG92" s="1607"/>
      <c r="BH92" s="1607"/>
      <c r="BI92" s="1607"/>
    </row>
    <row r="93" spans="1:66" s="2" customFormat="1" x14ac:dyDescent="0.25">
      <c r="A93" s="8"/>
      <c r="B93" s="629"/>
      <c r="C93" s="38"/>
      <c r="D93" s="38"/>
      <c r="E93" s="38"/>
      <c r="F93" s="38"/>
      <c r="G93" s="38"/>
      <c r="H93" s="38"/>
      <c r="I93" s="38"/>
      <c r="J93" s="38"/>
      <c r="K93" s="38"/>
      <c r="L93" s="38"/>
      <c r="M93" s="38"/>
      <c r="N93" s="38"/>
      <c r="O93" s="38"/>
      <c r="P93" s="395"/>
      <c r="Q93" s="38"/>
      <c r="R93" s="38"/>
      <c r="S93" s="38"/>
      <c r="T93" s="38"/>
      <c r="U93" s="395"/>
      <c r="V93" s="38"/>
      <c r="W93" s="395"/>
      <c r="X93" s="395"/>
      <c r="Y93" s="395"/>
      <c r="Z93" s="395"/>
      <c r="AA93" s="395"/>
      <c r="AB93" s="395"/>
      <c r="AC93" s="687">
        <f>AC5-AC89</f>
        <v>-561.04999999999995</v>
      </c>
      <c r="AD93" s="395"/>
      <c r="AE93" s="395"/>
      <c r="AF93" s="395"/>
      <c r="AG93" s="395"/>
      <c r="AH93" s="687">
        <f>AH5-AH89</f>
        <v>-971.64</v>
      </c>
      <c r="AI93" s="395"/>
      <c r="AJ93" s="395"/>
      <c r="AK93" s="395"/>
      <c r="AL93" s="395"/>
      <c r="AM93" s="687">
        <f>AM5-AM89</f>
        <v>761215.85399999993</v>
      </c>
      <c r="AN93" s="395"/>
      <c r="AO93" s="395"/>
      <c r="AP93" s="395"/>
      <c r="AQ93" s="395"/>
      <c r="AR93" s="687">
        <f>AR5-AR89</f>
        <v>681362.15399999998</v>
      </c>
      <c r="AS93" s="395"/>
      <c r="AT93" s="395"/>
      <c r="AU93" s="395"/>
      <c r="AV93" s="395"/>
      <c r="AW93" s="687">
        <f>AW5-AW89</f>
        <v>340643.14</v>
      </c>
      <c r="AX93" s="395"/>
      <c r="AY93" s="395"/>
      <c r="AZ93" s="395"/>
      <c r="BA93" s="395"/>
      <c r="BB93" s="687">
        <f>BB5-BB89</f>
        <v>-27406.331999999999</v>
      </c>
      <c r="BC93" s="395"/>
      <c r="BD93" s="395"/>
      <c r="BE93" s="1607"/>
      <c r="BF93" s="1607"/>
      <c r="BG93" s="1607"/>
      <c r="BH93" s="1607"/>
      <c r="BI93" s="1607"/>
      <c r="BJ93" s="38"/>
      <c r="BK93" s="38"/>
      <c r="BL93" s="687">
        <f>BL5-BL89</f>
        <v>1759787.026227586</v>
      </c>
      <c r="BM93" s="38"/>
      <c r="BN93" s="38"/>
    </row>
    <row r="94" spans="1:66" s="2" customFormat="1" x14ac:dyDescent="0.25">
      <c r="A94" s="8"/>
      <c r="B94" s="629"/>
      <c r="C94" s="38"/>
      <c r="D94" s="38"/>
      <c r="E94" s="38"/>
      <c r="F94" s="38"/>
      <c r="G94" s="38"/>
      <c r="H94" s="38"/>
      <c r="I94" s="38"/>
      <c r="J94" s="38"/>
      <c r="K94" s="38"/>
      <c r="L94" s="38"/>
      <c r="M94" s="38"/>
      <c r="N94" s="38"/>
      <c r="O94" s="38"/>
      <c r="P94" s="395"/>
      <c r="Q94" s="38"/>
      <c r="R94" s="38"/>
      <c r="S94" s="38"/>
      <c r="T94" s="38"/>
      <c r="U94" s="395"/>
      <c r="V94" s="626"/>
      <c r="W94" s="395"/>
      <c r="X94" s="395"/>
      <c r="Y94" s="395"/>
      <c r="Z94" s="395"/>
      <c r="AA94" s="395"/>
      <c r="AB94" s="395"/>
      <c r="AC94" s="395"/>
      <c r="AD94" s="395"/>
      <c r="AE94" s="395"/>
      <c r="AF94" s="395"/>
      <c r="AG94" s="395"/>
      <c r="AH94" s="395"/>
      <c r="AI94" s="395"/>
      <c r="AJ94" s="395"/>
      <c r="AK94" s="395"/>
      <c r="AL94" s="395"/>
      <c r="AM94" s="395"/>
      <c r="AN94" s="395"/>
      <c r="AO94" s="395"/>
      <c r="AP94" s="395"/>
      <c r="AQ94" s="395"/>
      <c r="AR94" s="395"/>
      <c r="AS94" s="395"/>
      <c r="AT94" s="395"/>
      <c r="AU94" s="395"/>
      <c r="AV94" s="395"/>
      <c r="AW94" s="395"/>
      <c r="AX94" s="395"/>
      <c r="AY94" s="395"/>
      <c r="AZ94" s="395"/>
      <c r="BA94" s="395"/>
      <c r="BB94" s="395"/>
      <c r="BC94" s="395"/>
      <c r="BD94" s="395"/>
      <c r="BE94" s="1607"/>
      <c r="BF94" s="1607"/>
      <c r="BG94" s="1607"/>
      <c r="BH94" s="1607"/>
      <c r="BI94" s="1607"/>
      <c r="BJ94" s="626"/>
      <c r="BK94" s="38"/>
      <c r="BL94" s="38"/>
      <c r="BM94" s="38"/>
      <c r="BN94" s="38"/>
    </row>
    <row r="95" spans="1:66" s="2" customFormat="1" x14ac:dyDescent="0.25">
      <c r="A95" s="8"/>
      <c r="B95" s="629"/>
      <c r="C95" s="38"/>
      <c r="D95" s="38"/>
      <c r="E95" s="38"/>
      <c r="F95" s="38"/>
      <c r="G95" s="38"/>
      <c r="H95" s="38"/>
      <c r="I95" s="38"/>
      <c r="J95" s="38"/>
      <c r="K95" s="38"/>
      <c r="L95" s="38"/>
      <c r="M95" s="38"/>
      <c r="N95" s="38"/>
      <c r="O95" s="38"/>
      <c r="P95" s="395"/>
      <c r="Q95" s="38"/>
      <c r="R95" s="38"/>
      <c r="S95" s="38"/>
      <c r="T95" s="38"/>
      <c r="U95" s="395"/>
      <c r="V95" s="38"/>
      <c r="W95" s="395"/>
      <c r="X95" s="395"/>
      <c r="Y95" s="395"/>
      <c r="Z95" s="395"/>
      <c r="AA95" s="395"/>
      <c r="AB95" s="395"/>
      <c r="AC95" s="395"/>
      <c r="AD95" s="395"/>
      <c r="AE95" s="395"/>
      <c r="AF95" s="395"/>
      <c r="AG95" s="395"/>
      <c r="AH95" s="395"/>
      <c r="AI95" s="395"/>
      <c r="AJ95" s="395"/>
      <c r="AK95" s="395"/>
      <c r="AL95" s="395"/>
      <c r="AM95" s="395"/>
      <c r="AN95" s="395"/>
      <c r="AO95" s="395"/>
      <c r="AP95" s="395"/>
      <c r="AQ95" s="395"/>
      <c r="AR95" s="395"/>
      <c r="AS95" s="395"/>
      <c r="AT95" s="395"/>
      <c r="AU95" s="395"/>
      <c r="AV95" s="395"/>
      <c r="AW95" s="395"/>
      <c r="AX95" s="395"/>
      <c r="AY95" s="395"/>
      <c r="AZ95" s="395"/>
      <c r="BA95" s="395"/>
      <c r="BB95" s="395"/>
      <c r="BC95" s="395"/>
      <c r="BD95" s="395"/>
      <c r="BE95" s="1607"/>
      <c r="BF95" s="1607"/>
      <c r="BG95" s="1607"/>
      <c r="BH95" s="1607"/>
      <c r="BI95" s="1607"/>
      <c r="BJ95" s="38"/>
      <c r="BK95" s="38"/>
      <c r="BL95" s="38"/>
      <c r="BM95" s="38"/>
      <c r="BN95" s="38"/>
    </row>
    <row r="96" spans="1:66" s="2" customFormat="1" x14ac:dyDescent="0.25">
      <c r="A96" s="8"/>
      <c r="B96" s="629"/>
      <c r="C96" s="38"/>
      <c r="D96" s="38"/>
      <c r="E96" s="38"/>
      <c r="F96" s="38"/>
      <c r="G96" s="38"/>
      <c r="H96" s="38"/>
      <c r="I96" s="38"/>
      <c r="J96" s="38"/>
      <c r="K96" s="38"/>
      <c r="L96" s="38"/>
      <c r="M96" s="38"/>
      <c r="N96" s="38"/>
      <c r="O96" s="38"/>
      <c r="P96" s="395"/>
      <c r="Q96" s="38"/>
      <c r="R96" s="38"/>
      <c r="S96" s="38"/>
      <c r="T96" s="38"/>
      <c r="U96" s="395"/>
      <c r="V96" s="38"/>
      <c r="W96" s="395"/>
      <c r="X96" s="395"/>
      <c r="Y96" s="395"/>
      <c r="Z96" s="395"/>
      <c r="AA96" s="395"/>
      <c r="AB96" s="395"/>
      <c r="AC96" s="395"/>
      <c r="AD96" s="395"/>
      <c r="AE96" s="395"/>
      <c r="AF96" s="395"/>
      <c r="AG96" s="395"/>
      <c r="AH96" s="395"/>
      <c r="AI96" s="395"/>
      <c r="AJ96" s="395"/>
      <c r="AK96" s="395"/>
      <c r="AL96" s="395"/>
      <c r="AM96" s="395"/>
      <c r="AN96" s="395"/>
      <c r="AO96" s="395"/>
      <c r="AP96" s="395"/>
      <c r="AQ96" s="395"/>
      <c r="AR96" s="395"/>
      <c r="AS96" s="395"/>
      <c r="AT96" s="395"/>
      <c r="AU96" s="395"/>
      <c r="AV96" s="395"/>
      <c r="AW96" s="395"/>
      <c r="AX96" s="395"/>
      <c r="AY96" s="395"/>
      <c r="AZ96" s="395"/>
      <c r="BA96" s="395"/>
      <c r="BB96" s="395"/>
      <c r="BC96" s="395"/>
      <c r="BD96" s="395"/>
      <c r="BE96" s="1607"/>
      <c r="BF96" s="1607"/>
      <c r="BG96" s="1607"/>
      <c r="BH96" s="1607"/>
      <c r="BI96" s="1607"/>
      <c r="BJ96" s="38"/>
      <c r="BK96" s="38"/>
      <c r="BL96" s="38"/>
      <c r="BM96" s="38"/>
      <c r="BN96" s="38"/>
    </row>
    <row r="97" spans="1:66" x14ac:dyDescent="0.25">
      <c r="C97" s="38"/>
      <c r="D97" s="38"/>
      <c r="P97" s="395"/>
      <c r="U97" s="395"/>
      <c r="W97" s="395"/>
      <c r="X97" s="395"/>
      <c r="Y97" s="395"/>
      <c r="Z97" s="395"/>
      <c r="AA97" s="395"/>
      <c r="AB97" s="395"/>
      <c r="AC97" s="395"/>
      <c r="AD97" s="395"/>
      <c r="AE97" s="395"/>
      <c r="AF97" s="395"/>
      <c r="AG97" s="395"/>
      <c r="AH97" s="395"/>
      <c r="AI97" s="395"/>
      <c r="AJ97" s="395"/>
      <c r="AK97" s="395"/>
      <c r="AL97" s="395"/>
      <c r="AM97" s="395"/>
      <c r="AN97" s="395"/>
      <c r="AO97" s="395"/>
      <c r="AP97" s="395"/>
      <c r="AQ97" s="395"/>
      <c r="AR97" s="395"/>
      <c r="AS97" s="395"/>
      <c r="AT97" s="395"/>
      <c r="AU97" s="395"/>
      <c r="AV97" s="395"/>
      <c r="AW97" s="395"/>
      <c r="AX97" s="395"/>
      <c r="AY97" s="395"/>
      <c r="AZ97" s="395"/>
      <c r="BA97" s="395"/>
      <c r="BB97" s="395"/>
      <c r="BC97" s="395"/>
      <c r="BD97" s="395"/>
      <c r="BE97" s="1607"/>
      <c r="BF97" s="1607"/>
      <c r="BG97" s="1607"/>
      <c r="BH97" s="1607"/>
      <c r="BI97" s="1607"/>
    </row>
    <row r="98" spans="1:66" s="2" customFormat="1" x14ac:dyDescent="0.25">
      <c r="A98" s="8"/>
      <c r="B98" s="8"/>
      <c r="C98" s="38"/>
      <c r="D98" s="38"/>
      <c r="E98" s="38"/>
      <c r="F98" s="38"/>
      <c r="G98" s="38"/>
      <c r="H98" s="38"/>
      <c r="I98" s="38"/>
      <c r="J98" s="38"/>
      <c r="K98" s="38"/>
      <c r="L98" s="38"/>
      <c r="M98" s="38"/>
      <c r="N98" s="38"/>
      <c r="O98" s="38"/>
      <c r="P98" s="395"/>
      <c r="Q98" s="38"/>
      <c r="R98" s="38"/>
      <c r="S98" s="38"/>
      <c r="T98" s="38"/>
      <c r="U98" s="395"/>
      <c r="V98" s="38"/>
      <c r="W98" s="395"/>
      <c r="X98" s="395"/>
      <c r="Y98" s="395"/>
      <c r="Z98" s="395"/>
      <c r="AA98" s="395"/>
      <c r="AB98" s="395"/>
      <c r="AC98" s="395"/>
      <c r="AD98" s="395"/>
      <c r="AE98" s="395"/>
      <c r="AF98" s="395"/>
      <c r="AG98" s="395"/>
      <c r="AH98" s="395"/>
      <c r="AI98" s="395"/>
      <c r="AJ98" s="395"/>
      <c r="AK98" s="395"/>
      <c r="AL98" s="395"/>
      <c r="AM98" s="395"/>
      <c r="AN98" s="395"/>
      <c r="AO98" s="395"/>
      <c r="AP98" s="395"/>
      <c r="AQ98" s="395"/>
      <c r="AR98" s="395"/>
      <c r="AS98" s="395"/>
      <c r="AT98" s="395"/>
      <c r="AU98" s="395"/>
      <c r="AV98" s="395"/>
      <c r="AW98" s="395"/>
      <c r="AX98" s="395"/>
      <c r="AY98" s="395"/>
      <c r="AZ98" s="395"/>
      <c r="BA98" s="395"/>
      <c r="BB98" s="395"/>
      <c r="BC98" s="395"/>
      <c r="BD98" s="395"/>
      <c r="BE98" s="1607"/>
      <c r="BF98" s="1607"/>
      <c r="BG98" s="1607"/>
      <c r="BH98" s="1607"/>
      <c r="BI98" s="1607"/>
      <c r="BJ98" s="38"/>
      <c r="BK98" s="38"/>
      <c r="BL98" s="38"/>
      <c r="BM98" s="38"/>
      <c r="BN98" s="38"/>
    </row>
    <row r="99" spans="1:66" x14ac:dyDescent="0.25">
      <c r="C99" s="38"/>
      <c r="D99" s="38"/>
    </row>
  </sheetData>
  <mergeCells count="15">
    <mergeCell ref="A2:F2"/>
    <mergeCell ref="G2:J3"/>
    <mergeCell ref="A3:F3"/>
    <mergeCell ref="A42:A48"/>
    <mergeCell ref="BJ2:BM3"/>
    <mergeCell ref="L2:O3"/>
    <mergeCell ref="Q2:T3"/>
    <mergeCell ref="V2:Y3"/>
    <mergeCell ref="AA2:AE3"/>
    <mergeCell ref="AF2:AJ3"/>
    <mergeCell ref="AK2:AO3"/>
    <mergeCell ref="AP2:AT3"/>
    <mergeCell ref="AU2:AY3"/>
    <mergeCell ref="AZ2:BD3"/>
    <mergeCell ref="BE2:BI3"/>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pageSetUpPr fitToPage="1"/>
  </sheetPr>
  <dimension ref="A1:BW99"/>
  <sheetViews>
    <sheetView showZeros="0" zoomScale="70" zoomScaleNormal="70" workbookViewId="0">
      <pane xSplit="6" ySplit="5" topLeftCell="BJ6" activePane="bottomRight" state="frozen"/>
      <selection activeCell="AF19" sqref="AF19"/>
      <selection pane="topRight" activeCell="AF19" sqref="AF19"/>
      <selection pane="bottomLeft" activeCell="AF19" sqref="AF19"/>
      <selection pane="bottomRight" activeCell="BN1" sqref="BJ1:BN1048576"/>
    </sheetView>
  </sheetViews>
  <sheetFormatPr defaultColWidth="7.44140625" defaultRowHeight="13.2" outlineLevelRow="3" outlineLevelCol="1" x14ac:dyDescent="0.25"/>
  <cols>
    <col min="1" max="1" width="14.6640625" style="8" customWidth="1"/>
    <col min="2" max="2" width="55" style="8" customWidth="1"/>
    <col min="3" max="3" width="17.5546875" style="77" hidden="1" customWidth="1"/>
    <col min="4" max="4" width="15.5546875" style="77" hidden="1" customWidth="1"/>
    <col min="5" max="5" width="16.33203125" style="38" hidden="1" customWidth="1"/>
    <col min="6" max="6" width="9.5546875" style="38" hidden="1" customWidth="1"/>
    <col min="7" max="9" width="16.33203125" style="38" hidden="1" customWidth="1" outlineLevel="1"/>
    <col min="10" max="10" width="9" style="38" hidden="1" customWidth="1" outlineLevel="1"/>
    <col min="11" max="14" width="16.33203125" style="38" hidden="1" customWidth="1" outlineLevel="1"/>
    <col min="15" max="15" width="11.6640625" style="38" hidden="1" customWidth="1" outlineLevel="1"/>
    <col min="16" max="16" width="46.44140625" style="38" hidden="1" customWidth="1" outlineLevel="1"/>
    <col min="17" max="18" width="16.33203125" style="38" hidden="1" customWidth="1" outlineLevel="1"/>
    <col min="19" max="19" width="16.109375" style="38" hidden="1" customWidth="1" outlineLevel="1"/>
    <col min="20" max="20" width="25.6640625" style="38" hidden="1" customWidth="1" outlineLevel="1"/>
    <col min="21" max="21" width="39.109375" style="38" hidden="1" customWidth="1" outlineLevel="1"/>
    <col min="22" max="22" width="22" style="38" hidden="1" customWidth="1" outlineLevel="1"/>
    <col min="23" max="23" width="17.33203125" style="38" hidden="1" customWidth="1" outlineLevel="1"/>
    <col min="24" max="24" width="20.33203125" style="38" hidden="1" customWidth="1" outlineLevel="1"/>
    <col min="25" max="25" width="21.33203125" style="38" hidden="1" customWidth="1" outlineLevel="1"/>
    <col min="26" max="26" width="41" style="38" hidden="1" customWidth="1" outlineLevel="1"/>
    <col min="27" max="27" width="22" style="38" hidden="1" customWidth="1" outlineLevel="1"/>
    <col min="28" max="28" width="17.33203125" style="38" hidden="1" customWidth="1" outlineLevel="1"/>
    <col min="29" max="29" width="20.33203125" style="38" hidden="1" customWidth="1" outlineLevel="1"/>
    <col min="30" max="30" width="13.33203125" style="38" hidden="1" customWidth="1" outlineLevel="1"/>
    <col min="31" max="31" width="41" style="38" hidden="1" customWidth="1" outlineLevel="1"/>
    <col min="32" max="32" width="23.33203125" style="38" hidden="1" customWidth="1" outlineLevel="1"/>
    <col min="33" max="33" width="18.6640625" style="38" hidden="1" customWidth="1" outlineLevel="1"/>
    <col min="34" max="34" width="17.33203125" style="38" hidden="1" customWidth="1" outlineLevel="1"/>
    <col min="35" max="35" width="17.6640625" style="38" hidden="1" customWidth="1" outlineLevel="1"/>
    <col min="36" max="36" width="30" style="38" hidden="1" customWidth="1" outlineLevel="1"/>
    <col min="37" max="37" width="18.33203125" style="38" hidden="1" customWidth="1" outlineLevel="1"/>
    <col min="38" max="38" width="19.5546875" style="38" hidden="1" customWidth="1" outlineLevel="1"/>
    <col min="39" max="39" width="21.109375" style="38" hidden="1" customWidth="1" outlineLevel="1"/>
    <col min="40" max="40" width="16.5546875" style="38" hidden="1" customWidth="1" outlineLevel="1"/>
    <col min="41" max="41" width="30" style="38" hidden="1" customWidth="1" outlineLevel="1"/>
    <col min="42" max="42" width="23.33203125" style="38" hidden="1" customWidth="1" outlineLevel="1"/>
    <col min="43" max="43" width="23.6640625" style="38" hidden="1" customWidth="1" outlineLevel="1"/>
    <col min="44" max="44" width="24.109375" style="38" hidden="1" customWidth="1" outlineLevel="1"/>
    <col min="45" max="45" width="23.33203125" style="38" hidden="1" customWidth="1" outlineLevel="1"/>
    <col min="46" max="46" width="34.88671875" style="38" hidden="1" customWidth="1" outlineLevel="1"/>
    <col min="47" max="47" width="18.6640625" style="38" hidden="1" customWidth="1" outlineLevel="1"/>
    <col min="48" max="48" width="19.6640625" style="38" hidden="1" customWidth="1" outlineLevel="1"/>
    <col min="49" max="49" width="22.6640625" style="38" hidden="1" customWidth="1" outlineLevel="1"/>
    <col min="50" max="50" width="9.88671875" style="38" hidden="1" customWidth="1" outlineLevel="1"/>
    <col min="51" max="51" width="49.6640625" style="38" hidden="1" customWidth="1" outlineLevel="1"/>
    <col min="52" max="53" width="16.44140625" style="38" hidden="1" customWidth="1" outlineLevel="1"/>
    <col min="54" max="54" width="16.109375" style="38" hidden="1" customWidth="1" outlineLevel="1"/>
    <col min="55" max="55" width="24.33203125" style="38" hidden="1" customWidth="1" outlineLevel="1"/>
    <col min="56" max="56" width="20.5546875" style="38" hidden="1" customWidth="1" outlineLevel="1"/>
    <col min="57" max="60" width="17.6640625" style="38" hidden="1" customWidth="1" outlineLevel="1"/>
    <col min="61" max="61" width="27" style="38" hidden="1" customWidth="1" outlineLevel="1"/>
    <col min="62" max="62" width="20" style="38" hidden="1" customWidth="1" outlineLevel="1" collapsed="1"/>
    <col min="63" max="63" width="18.44140625" style="38" hidden="1" customWidth="1" outlineLevel="1"/>
    <col min="64" max="64" width="21.109375" style="38" hidden="1" customWidth="1" outlineLevel="1"/>
    <col min="65" max="66" width="27" style="38" hidden="1" customWidth="1" outlineLevel="1"/>
    <col min="67" max="67" width="16.33203125" style="38" customWidth="1" collapsed="1"/>
    <col min="68" max="69" width="16.33203125" style="38" customWidth="1"/>
    <col min="70" max="70" width="12.44140625" style="38" bestFit="1" customWidth="1"/>
    <col min="71" max="71" width="16.33203125" style="38" customWidth="1"/>
    <col min="72" max="72" width="15.6640625" style="1" bestFit="1" customWidth="1"/>
    <col min="73" max="73" width="16.6640625" style="1" bestFit="1" customWidth="1"/>
    <col min="74" max="75" width="13.33203125" style="1" bestFit="1" customWidth="1"/>
    <col min="76" max="16384" width="7.44140625" style="1"/>
  </cols>
  <sheetData>
    <row r="1" spans="1:75" ht="15" customHeight="1" thickBot="1" x14ac:dyDescent="0.3">
      <c r="C1" s="38"/>
      <c r="D1" s="38"/>
    </row>
    <row r="2" spans="1:75" ht="22.2" customHeight="1" x14ac:dyDescent="0.25">
      <c r="A2" s="4016" t="s">
        <v>202</v>
      </c>
      <c r="B2" s="4017"/>
      <c r="C2" s="4017"/>
      <c r="D2" s="4017"/>
      <c r="E2" s="4017"/>
      <c r="F2" s="4018"/>
      <c r="G2" s="4019" t="s">
        <v>464</v>
      </c>
      <c r="H2" s="4020"/>
      <c r="I2" s="4020"/>
      <c r="J2" s="4020"/>
      <c r="K2" s="4222"/>
      <c r="L2" s="4019" t="s">
        <v>465</v>
      </c>
      <c r="M2" s="4020"/>
      <c r="N2" s="4020"/>
      <c r="O2" s="4020"/>
      <c r="P2" s="378"/>
      <c r="Q2" s="4019" t="s">
        <v>545</v>
      </c>
      <c r="R2" s="4020"/>
      <c r="S2" s="4020"/>
      <c r="T2" s="4020"/>
      <c r="U2" s="399"/>
      <c r="V2" s="4019" t="s">
        <v>624</v>
      </c>
      <c r="W2" s="4020"/>
      <c r="X2" s="4020"/>
      <c r="Y2" s="4020"/>
      <c r="Z2" s="468"/>
      <c r="AA2" s="4140" t="s">
        <v>714</v>
      </c>
      <c r="AB2" s="4141"/>
      <c r="AC2" s="4141"/>
      <c r="AD2" s="4141"/>
      <c r="AE2" s="533"/>
      <c r="AF2" s="4140" t="s">
        <v>770</v>
      </c>
      <c r="AG2" s="4141"/>
      <c r="AH2" s="4141"/>
      <c r="AI2" s="4141"/>
      <c r="AJ2" s="627"/>
      <c r="AK2" s="4053" t="s">
        <v>820</v>
      </c>
      <c r="AL2" s="4054"/>
      <c r="AM2" s="4054"/>
      <c r="AN2" s="4054"/>
      <c r="AO2" s="691"/>
      <c r="AP2" s="4185" t="s">
        <v>836</v>
      </c>
      <c r="AQ2" s="4186"/>
      <c r="AR2" s="4186"/>
      <c r="AS2" s="4186"/>
      <c r="AT2" s="801"/>
      <c r="AU2" s="4172" t="s">
        <v>883</v>
      </c>
      <c r="AV2" s="4173"/>
      <c r="AW2" s="4173"/>
      <c r="AX2" s="4173"/>
      <c r="AY2" s="4174"/>
      <c r="AZ2" s="4071" t="s">
        <v>909</v>
      </c>
      <c r="BA2" s="4072"/>
      <c r="BB2" s="4072"/>
      <c r="BC2" s="4072"/>
      <c r="BD2" s="4072"/>
      <c r="BE2" s="4071" t="s">
        <v>964</v>
      </c>
      <c r="BF2" s="4072"/>
      <c r="BG2" s="4072"/>
      <c r="BH2" s="4072"/>
      <c r="BI2" s="4073"/>
      <c r="BJ2" s="4071" t="s">
        <v>1079</v>
      </c>
      <c r="BK2" s="4072"/>
      <c r="BL2" s="4072"/>
      <c r="BM2" s="4072"/>
      <c r="BN2" s="4073"/>
      <c r="BO2" s="4212" t="s">
        <v>469</v>
      </c>
      <c r="BP2" s="4213"/>
      <c r="BQ2" s="4213"/>
      <c r="BR2" s="4213"/>
      <c r="BS2" s="858"/>
    </row>
    <row r="3" spans="1:75" ht="14.4" customHeight="1" thickBot="1" x14ac:dyDescent="0.3">
      <c r="A3" s="4035" t="s">
        <v>54</v>
      </c>
      <c r="B3" s="4036"/>
      <c r="C3" s="4036"/>
      <c r="D3" s="4036"/>
      <c r="E3" s="4036"/>
      <c r="F3" s="4037"/>
      <c r="G3" s="4021"/>
      <c r="H3" s="4022"/>
      <c r="I3" s="4022"/>
      <c r="J3" s="4022"/>
      <c r="K3" s="4223"/>
      <c r="L3" s="4021"/>
      <c r="M3" s="4022"/>
      <c r="N3" s="4022"/>
      <c r="O3" s="4022"/>
      <c r="P3" s="379"/>
      <c r="Q3" s="4021"/>
      <c r="R3" s="4022"/>
      <c r="S3" s="4022"/>
      <c r="T3" s="4022"/>
      <c r="U3" s="400"/>
      <c r="V3" s="4021"/>
      <c r="W3" s="4022"/>
      <c r="X3" s="4022"/>
      <c r="Y3" s="4022"/>
      <c r="Z3" s="469"/>
      <c r="AA3" s="4143"/>
      <c r="AB3" s="4144"/>
      <c r="AC3" s="4144"/>
      <c r="AD3" s="4144"/>
      <c r="AE3" s="534"/>
      <c r="AF3" s="4143"/>
      <c r="AG3" s="4144"/>
      <c r="AH3" s="4144"/>
      <c r="AI3" s="4144"/>
      <c r="AJ3" s="628"/>
      <c r="AK3" s="4056"/>
      <c r="AL3" s="4057"/>
      <c r="AM3" s="4057"/>
      <c r="AN3" s="4057"/>
      <c r="AO3" s="692"/>
      <c r="AP3" s="4188"/>
      <c r="AQ3" s="4189"/>
      <c r="AR3" s="4189"/>
      <c r="AS3" s="4189"/>
      <c r="AT3" s="802"/>
      <c r="AU3" s="4175"/>
      <c r="AV3" s="4176"/>
      <c r="AW3" s="4176"/>
      <c r="AX3" s="4176"/>
      <c r="AY3" s="4177"/>
      <c r="AZ3" s="4074"/>
      <c r="BA3" s="4075"/>
      <c r="BB3" s="4075"/>
      <c r="BC3" s="4075"/>
      <c r="BD3" s="4075"/>
      <c r="BE3" s="4074"/>
      <c r="BF3" s="4075"/>
      <c r="BG3" s="4075"/>
      <c r="BH3" s="4075"/>
      <c r="BI3" s="4076"/>
      <c r="BJ3" s="4074"/>
      <c r="BK3" s="4075"/>
      <c r="BL3" s="4075"/>
      <c r="BM3" s="4075"/>
      <c r="BN3" s="4076"/>
      <c r="BO3" s="4214"/>
      <c r="BP3" s="4215"/>
      <c r="BQ3" s="4215"/>
      <c r="BR3" s="4215"/>
      <c r="BS3" s="859"/>
    </row>
    <row r="4" spans="1:75" ht="41.4" thickBot="1" x14ac:dyDescent="0.3">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632" t="s">
        <v>19</v>
      </c>
      <c r="AP4" s="632" t="s">
        <v>55</v>
      </c>
      <c r="AQ4" s="632" t="s">
        <v>18</v>
      </c>
      <c r="AR4" s="632" t="s">
        <v>39</v>
      </c>
      <c r="AS4" s="654" t="s">
        <v>40</v>
      </c>
      <c r="AT4" s="774" t="s">
        <v>19</v>
      </c>
      <c r="AU4" s="93" t="s">
        <v>55</v>
      </c>
      <c r="AV4" s="94" t="s">
        <v>18</v>
      </c>
      <c r="AW4" s="632" t="s">
        <v>39</v>
      </c>
      <c r="AX4" s="654" t="s">
        <v>40</v>
      </c>
      <c r="AY4" s="774" t="s">
        <v>19</v>
      </c>
      <c r="AZ4" s="93" t="s">
        <v>55</v>
      </c>
      <c r="BA4" s="94" t="s">
        <v>18</v>
      </c>
      <c r="BB4" s="632" t="s">
        <v>39</v>
      </c>
      <c r="BC4" s="654" t="s">
        <v>40</v>
      </c>
      <c r="BD4" s="93" t="s">
        <v>19</v>
      </c>
      <c r="BE4" s="632" t="s">
        <v>55</v>
      </c>
      <c r="BF4" s="632" t="s">
        <v>18</v>
      </c>
      <c r="BG4" s="632" t="s">
        <v>39</v>
      </c>
      <c r="BH4" s="654" t="s">
        <v>40</v>
      </c>
      <c r="BI4" s="774" t="s">
        <v>19</v>
      </c>
      <c r="BJ4" s="632" t="s">
        <v>55</v>
      </c>
      <c r="BK4" s="632" t="s">
        <v>18</v>
      </c>
      <c r="BL4" s="632" t="s">
        <v>39</v>
      </c>
      <c r="BM4" s="654" t="s">
        <v>40</v>
      </c>
      <c r="BN4" s="774" t="s">
        <v>19</v>
      </c>
      <c r="BO4" s="632" t="s">
        <v>55</v>
      </c>
      <c r="BP4" s="632" t="s">
        <v>18</v>
      </c>
      <c r="BQ4" s="653" t="s">
        <v>39</v>
      </c>
      <c r="BR4" s="654" t="s">
        <v>40</v>
      </c>
      <c r="BS4" s="653" t="s">
        <v>19</v>
      </c>
    </row>
    <row r="5" spans="1:75" s="88" customFormat="1" ht="13.95" customHeight="1" thickBot="1" x14ac:dyDescent="0.3">
      <c r="A5" s="83"/>
      <c r="B5" s="617" t="s">
        <v>10</v>
      </c>
      <c r="C5" s="684">
        <f>C6</f>
        <v>41145505</v>
      </c>
      <c r="D5" s="684">
        <f>D6</f>
        <v>0</v>
      </c>
      <c r="E5" s="655">
        <f>E6</f>
        <v>41145505</v>
      </c>
      <c r="F5" s="620"/>
      <c r="G5" s="620">
        <f>G6</f>
        <v>13716698.399999999</v>
      </c>
      <c r="H5" s="620">
        <f>H6</f>
        <v>0</v>
      </c>
      <c r="I5" s="620">
        <f>I6</f>
        <v>13716698.399999999</v>
      </c>
      <c r="J5" s="620"/>
      <c r="K5" s="620"/>
      <c r="L5" s="620">
        <f>L6</f>
        <v>9962533.1999999993</v>
      </c>
      <c r="M5" s="620">
        <f>M6</f>
        <v>0</v>
      </c>
      <c r="N5" s="620">
        <f>N6</f>
        <v>9962533.1999999993</v>
      </c>
      <c r="O5" s="620"/>
      <c r="P5" s="620"/>
      <c r="Q5" s="620">
        <f>Q6</f>
        <v>0</v>
      </c>
      <c r="R5" s="620">
        <f>R6</f>
        <v>0</v>
      </c>
      <c r="S5" s="620">
        <f>S6</f>
        <v>0</v>
      </c>
      <c r="T5" s="620"/>
      <c r="U5" s="620"/>
      <c r="V5" s="620">
        <f>V6</f>
        <v>4750527.5999999996</v>
      </c>
      <c r="W5" s="620">
        <f>W6</f>
        <v>0</v>
      </c>
      <c r="X5" s="620">
        <f>X6</f>
        <v>4750527.5999999996</v>
      </c>
      <c r="Y5" s="620"/>
      <c r="Z5" s="620"/>
      <c r="AA5" s="620">
        <f>AA6</f>
        <v>0</v>
      </c>
      <c r="AB5" s="620">
        <f>AB6</f>
        <v>0</v>
      </c>
      <c r="AC5" s="620">
        <f>AC6</f>
        <v>0</v>
      </c>
      <c r="AD5" s="620"/>
      <c r="AE5" s="620"/>
      <c r="AF5" s="620">
        <f>AF6</f>
        <v>4837282.8</v>
      </c>
      <c r="AG5" s="620">
        <f>AG6</f>
        <v>0</v>
      </c>
      <c r="AH5" s="620">
        <f>AH6</f>
        <v>4837282.8</v>
      </c>
      <c r="AI5" s="620"/>
      <c r="AJ5" s="620"/>
      <c r="AK5" s="620">
        <f>AK6</f>
        <v>2993725.2</v>
      </c>
      <c r="AL5" s="620">
        <f>AL6</f>
        <v>0</v>
      </c>
      <c r="AM5" s="620">
        <f>AM6</f>
        <v>2993725.2</v>
      </c>
      <c r="AN5" s="620"/>
      <c r="AO5" s="633"/>
      <c r="AP5" s="655">
        <f>AP6+AP7</f>
        <v>0</v>
      </c>
      <c r="AQ5" s="620">
        <f>AQ6+AQ7</f>
        <v>0</v>
      </c>
      <c r="AR5" s="633">
        <f>AR6+AR7</f>
        <v>0</v>
      </c>
      <c r="AS5" s="655"/>
      <c r="AT5" s="620"/>
      <c r="AU5" s="620">
        <f>AU6+AU7</f>
        <v>2098408.7999999998</v>
      </c>
      <c r="AV5" s="620">
        <f>AV6+AV7</f>
        <v>0</v>
      </c>
      <c r="AW5" s="633">
        <f>AW6+AW7</f>
        <v>2098408.7999999998</v>
      </c>
      <c r="AX5" s="655"/>
      <c r="AY5" s="620"/>
      <c r="AZ5" s="620">
        <f>AZ6+AZ7</f>
        <v>46000</v>
      </c>
      <c r="BA5" s="620">
        <f>BA6+BA7</f>
        <v>0</v>
      </c>
      <c r="BB5" s="633">
        <f>BB6+BB7</f>
        <v>46000</v>
      </c>
      <c r="BC5" s="655"/>
      <c r="BD5" s="633"/>
      <c r="BE5" s="655">
        <f>BE6+BE7</f>
        <v>0</v>
      </c>
      <c r="BF5" s="620">
        <f>BF6+BF7</f>
        <v>0</v>
      </c>
      <c r="BG5" s="633">
        <f>BG6+BG7</f>
        <v>0</v>
      </c>
      <c r="BH5" s="655"/>
      <c r="BI5" s="620"/>
      <c r="BJ5" s="655">
        <f>BJ6+BJ7</f>
        <v>0</v>
      </c>
      <c r="BK5" s="620">
        <f>BK6+BK7</f>
        <v>0</v>
      </c>
      <c r="BL5" s="633">
        <f>BL6+BL7</f>
        <v>0</v>
      </c>
      <c r="BM5" s="655"/>
      <c r="BN5" s="620"/>
      <c r="BO5" s="655">
        <f>BO6</f>
        <v>38405175.999999993</v>
      </c>
      <c r="BP5" s="620">
        <f>BP6</f>
        <v>0</v>
      </c>
      <c r="BQ5" s="620">
        <f>BQ6</f>
        <v>38405175.999999993</v>
      </c>
      <c r="BR5" s="620"/>
      <c r="BS5" s="620"/>
      <c r="BT5" s="929">
        <v>38405176</v>
      </c>
      <c r="BU5" s="88">
        <v>0</v>
      </c>
    </row>
    <row r="6" spans="1:75" s="2" customFormat="1" ht="13.95" customHeight="1" outlineLevel="1" x14ac:dyDescent="0.25">
      <c r="A6" s="331"/>
      <c r="B6" s="611" t="s">
        <v>17</v>
      </c>
      <c r="C6" s="727">
        <v>41145505</v>
      </c>
      <c r="D6" s="669"/>
      <c r="E6" s="446">
        <f>C6+D6</f>
        <v>41145505</v>
      </c>
      <c r="F6" s="452"/>
      <c r="G6" s="452">
        <v>13716698.399999999</v>
      </c>
      <c r="H6" s="452">
        <v>0</v>
      </c>
      <c r="I6" s="446">
        <f>G6+H6</f>
        <v>13716698.399999999</v>
      </c>
      <c r="J6" s="452"/>
      <c r="K6" s="452"/>
      <c r="L6" s="452">
        <f>9962533.2</f>
        <v>9962533.1999999993</v>
      </c>
      <c r="M6" s="452"/>
      <c r="N6" s="446">
        <f>L6+M6</f>
        <v>9962533.1999999993</v>
      </c>
      <c r="O6" s="452"/>
      <c r="P6" s="452"/>
      <c r="Q6" s="452"/>
      <c r="R6" s="452"/>
      <c r="S6" s="446">
        <f>Q6+R6</f>
        <v>0</v>
      </c>
      <c r="T6" s="452"/>
      <c r="U6" s="452"/>
      <c r="V6" s="452">
        <f>4750527.6</f>
        <v>4750527.5999999996</v>
      </c>
      <c r="W6" s="452"/>
      <c r="X6" s="446">
        <f>V6+W6</f>
        <v>4750527.5999999996</v>
      </c>
      <c r="Y6" s="452"/>
      <c r="Z6" s="458" t="s">
        <v>706</v>
      </c>
      <c r="AA6" s="452">
        <v>0</v>
      </c>
      <c r="AB6" s="452"/>
      <c r="AC6" s="446">
        <f>AA6+AB6</f>
        <v>0</v>
      </c>
      <c r="AD6" s="452"/>
      <c r="AE6" s="458"/>
      <c r="AF6" s="452">
        <v>4837282.8</v>
      </c>
      <c r="AG6" s="452"/>
      <c r="AH6" s="446">
        <f>AF6+AG6</f>
        <v>4837282.8</v>
      </c>
      <c r="AI6" s="452"/>
      <c r="AJ6" s="458"/>
      <c r="AK6" s="452">
        <v>2993725.2</v>
      </c>
      <c r="AL6" s="452"/>
      <c r="AM6" s="446">
        <f>AK6+AL6</f>
        <v>2993725.2</v>
      </c>
      <c r="AN6" s="452"/>
      <c r="AO6" s="730"/>
      <c r="AP6" s="784"/>
      <c r="AQ6" s="458"/>
      <c r="AR6" s="730">
        <f>AP6+AQ6</f>
        <v>0</v>
      </c>
      <c r="AS6" s="784"/>
      <c r="AT6" s="458"/>
      <c r="AU6" s="458">
        <f>2173370.4-74961.6</f>
        <v>2098408.7999999998</v>
      </c>
      <c r="AV6" s="458"/>
      <c r="AW6" s="730">
        <f>AU6+AV6</f>
        <v>2098408.7999999998</v>
      </c>
      <c r="AX6" s="784"/>
      <c r="AY6" s="458"/>
      <c r="AZ6" s="458">
        <v>46000</v>
      </c>
      <c r="BA6" s="458"/>
      <c r="BB6" s="730">
        <f>AZ6+BA6</f>
        <v>46000</v>
      </c>
      <c r="BC6" s="784"/>
      <c r="BD6" s="730"/>
      <c r="BE6" s="784"/>
      <c r="BF6" s="458"/>
      <c r="BG6" s="730">
        <f>BE6+BF6</f>
        <v>0</v>
      </c>
      <c r="BH6" s="784"/>
      <c r="BI6" s="458"/>
      <c r="BJ6" s="784"/>
      <c r="BK6" s="458"/>
      <c r="BL6" s="730">
        <f>BJ6+BK6</f>
        <v>0</v>
      </c>
      <c r="BM6" s="784"/>
      <c r="BN6" s="458"/>
      <c r="BO6" s="560">
        <f>G6+L6+Q6+V6+AA6+AF6+AK6+AP6+AU6+AZ6+BE6+BJ6</f>
        <v>38405175.999999993</v>
      </c>
      <c r="BP6" s="452">
        <f>H6+M6+R6+W6+AB6+AG6+AL6+AQ6+AV6+BA6+BF6+BK6</f>
        <v>0</v>
      </c>
      <c r="BQ6" s="446">
        <f>BO6+BP6</f>
        <v>38405175.999999993</v>
      </c>
      <c r="BR6" s="452"/>
      <c r="BS6" s="452"/>
      <c r="BT6" s="842">
        <v>38405176</v>
      </c>
      <c r="BU6" s="842"/>
    </row>
    <row r="7" spans="1:75" s="2" customFormat="1" ht="13.95" customHeight="1" outlineLevel="1" collapsed="1" thickBot="1" x14ac:dyDescent="0.3">
      <c r="A7" s="238"/>
      <c r="B7" s="847" t="s">
        <v>41</v>
      </c>
      <c r="C7" s="107"/>
      <c r="D7" s="621"/>
      <c r="E7" s="446">
        <f>C7+D7</f>
        <v>0</v>
      </c>
      <c r="F7" s="612"/>
      <c r="G7" s="452">
        <v>0</v>
      </c>
      <c r="H7" s="452">
        <v>0</v>
      </c>
      <c r="I7" s="446">
        <f>G7+H7</f>
        <v>0</v>
      </c>
      <c r="J7" s="612"/>
      <c r="K7" s="612"/>
      <c r="L7" s="452"/>
      <c r="M7" s="452"/>
      <c r="N7" s="446">
        <f>L7+M7</f>
        <v>0</v>
      </c>
      <c r="O7" s="612"/>
      <c r="P7" s="612"/>
      <c r="Q7" s="452"/>
      <c r="R7" s="452"/>
      <c r="S7" s="446">
        <f>Q7+R7</f>
        <v>0</v>
      </c>
      <c r="T7" s="612"/>
      <c r="U7" s="612"/>
      <c r="V7" s="452"/>
      <c r="W7" s="452"/>
      <c r="X7" s="446">
        <f>V7+W7</f>
        <v>0</v>
      </c>
      <c r="Y7" s="612"/>
      <c r="Z7" s="612"/>
      <c r="AA7" s="452"/>
      <c r="AB7" s="452"/>
      <c r="AC7" s="446">
        <f>AA7+AB7</f>
        <v>0</v>
      </c>
      <c r="AD7" s="612"/>
      <c r="AE7" s="612"/>
      <c r="AF7" s="452"/>
      <c r="AG7" s="452"/>
      <c r="AH7" s="446">
        <f>AF7+AG7</f>
        <v>0</v>
      </c>
      <c r="AI7" s="612"/>
      <c r="AJ7" s="612"/>
      <c r="AK7" s="452"/>
      <c r="AL7" s="452"/>
      <c r="AM7" s="446">
        <f>AK7+AL7</f>
        <v>0</v>
      </c>
      <c r="AN7" s="612"/>
      <c r="AO7" s="729"/>
      <c r="AP7" s="604"/>
      <c r="AQ7" s="535"/>
      <c r="AR7" s="544"/>
      <c r="AS7" s="604"/>
      <c r="AT7" s="535"/>
      <c r="AU7" s="535"/>
      <c r="AV7" s="535"/>
      <c r="AW7" s="544"/>
      <c r="AX7" s="604"/>
      <c r="AY7" s="535"/>
      <c r="AZ7" s="535"/>
      <c r="BA7" s="535"/>
      <c r="BB7" s="544"/>
      <c r="BC7" s="604"/>
      <c r="BD7" s="544"/>
      <c r="BE7" s="604"/>
      <c r="BF7" s="535"/>
      <c r="BG7" s="544"/>
      <c r="BH7" s="604"/>
      <c r="BI7" s="535"/>
      <c r="BJ7" s="604"/>
      <c r="BK7" s="535"/>
      <c r="BL7" s="544"/>
      <c r="BM7" s="604"/>
      <c r="BN7" s="535"/>
      <c r="BO7" s="560">
        <f>G7+L7+Q7+V7+AA7+AF7+AK7+AP7+AU7+AZ7+BE7+BJ7</f>
        <v>0</v>
      </c>
      <c r="BP7" s="452">
        <f>H7+M7+R7+W7+AB7+AG7+AL7+AQ7+AV7+BA7+BF7+BK7</f>
        <v>0</v>
      </c>
      <c r="BQ7" s="446">
        <f>BO7+BP7</f>
        <v>0</v>
      </c>
      <c r="BR7" s="612"/>
      <c r="BS7" s="612"/>
      <c r="BT7" s="842"/>
      <c r="BU7" s="842"/>
    </row>
    <row r="8" spans="1:75" s="88" customFormat="1" ht="13.95" customHeight="1" outlineLevel="1" thickBot="1" x14ac:dyDescent="0.3">
      <c r="A8" s="238"/>
      <c r="B8" s="617" t="s">
        <v>16</v>
      </c>
      <c r="C8" s="618">
        <f>SUM(C9:C33)</f>
        <v>27212405</v>
      </c>
      <c r="D8" s="618">
        <f>SUM(D9:D33)</f>
        <v>3083417</v>
      </c>
      <c r="E8" s="619">
        <f>SUM(E9:E33)</f>
        <v>30295822</v>
      </c>
      <c r="F8" s="577">
        <f t="shared" ref="F8:F22" si="0">E8/$E$89</f>
        <v>0.95274110463926376</v>
      </c>
      <c r="G8" s="618">
        <f>SUM(G9:G33)</f>
        <v>7773727.1266000001</v>
      </c>
      <c r="H8" s="618">
        <f>SUM(H9:H33)</f>
        <v>1435151.0399999998</v>
      </c>
      <c r="I8" s="619">
        <f>SUM(I9:I33)</f>
        <v>9208878.166600002</v>
      </c>
      <c r="J8" s="577">
        <f t="shared" ref="J8:J21" si="1">I8/$I$89</f>
        <v>0.93826876247605151</v>
      </c>
      <c r="K8" s="620"/>
      <c r="L8" s="618">
        <f>SUM(L9:L33)</f>
        <v>7009490.5639999993</v>
      </c>
      <c r="M8" s="618">
        <f>SUM(M9:M33)</f>
        <v>700355.81</v>
      </c>
      <c r="N8" s="619">
        <f>SUM(N9:N33)</f>
        <v>7709846.3739999998</v>
      </c>
      <c r="O8" s="577">
        <f t="shared" ref="O8:O21" si="2">N8/$N$89</f>
        <v>0.97884592813283544</v>
      </c>
      <c r="P8" s="620"/>
      <c r="Q8" s="618">
        <f>SUM(Q9:Q33)</f>
        <v>1172270.7620000001</v>
      </c>
      <c r="R8" s="618">
        <f>SUM(R9:R33)</f>
        <v>145681.75</v>
      </c>
      <c r="S8" s="619">
        <f>SUM(S9:S33)</f>
        <v>1317952.5120000001</v>
      </c>
      <c r="T8" s="577">
        <f t="shared" ref="T8:T22" si="3">S8/$S$89</f>
        <v>0.95759301888774695</v>
      </c>
      <c r="U8" s="620"/>
      <c r="V8" s="618">
        <f>SUM(V9:V33)</f>
        <v>2437677.588</v>
      </c>
      <c r="W8" s="618">
        <f>SUM(W9:W33)</f>
        <v>542654.19000000006</v>
      </c>
      <c r="X8" s="619">
        <f>SUM(X9:X33)</f>
        <v>2980331.7779999999</v>
      </c>
      <c r="Y8" s="577">
        <f>X8/$X$89</f>
        <v>0.97134738076399807</v>
      </c>
      <c r="Z8" s="620"/>
      <c r="AA8" s="618">
        <f>SUM(AA9:AA33)</f>
        <v>142616.076</v>
      </c>
      <c r="AB8" s="618">
        <f>SUM(AB9:AB33)</f>
        <v>127626.4</v>
      </c>
      <c r="AC8" s="619">
        <f>SUM(AC9:AC33)</f>
        <v>270242.47600000002</v>
      </c>
      <c r="AD8" s="577">
        <f>AC8/$AC$89</f>
        <v>0.84568210764809593</v>
      </c>
      <c r="AE8" s="620"/>
      <c r="AF8" s="618">
        <f>SUM(AF9:AF33)</f>
        <v>3237201.5879999995</v>
      </c>
      <c r="AG8" s="618">
        <f>SUM(AG9:AG33)</f>
        <v>181922.11</v>
      </c>
      <c r="AH8" s="619">
        <f>SUM(AH9:AH33)</f>
        <v>3419123.6979999994</v>
      </c>
      <c r="AI8" s="577">
        <f>AH8/$AH$89</f>
        <v>0.98970066295248749</v>
      </c>
      <c r="AJ8" s="620"/>
      <c r="AK8" s="618">
        <f>SUM(AK9:AK33)</f>
        <v>1841558.7960000003</v>
      </c>
      <c r="AL8" s="618">
        <f>SUM(AL9:AL33)</f>
        <v>271786.98</v>
      </c>
      <c r="AM8" s="619">
        <f>SUM(AM9:AM33)</f>
        <v>2113345.7760000001</v>
      </c>
      <c r="AN8" s="577">
        <f>AM8/$AH$89</f>
        <v>0.6117297589375017</v>
      </c>
      <c r="AO8" s="633"/>
      <c r="AP8" s="684">
        <f>SUM(AP9:AP33)</f>
        <v>0</v>
      </c>
      <c r="AQ8" s="633">
        <f>SUM(AQ9:AQ33)</f>
        <v>28359</v>
      </c>
      <c r="AR8" s="618">
        <f>SUM(AR9:AR33)</f>
        <v>28359</v>
      </c>
      <c r="AS8" s="908">
        <f>AR8/$AR$89</f>
        <v>0.84857246500225081</v>
      </c>
      <c r="AT8" s="620"/>
      <c r="AU8" s="633">
        <f>SUM(AU9:AU33)</f>
        <v>1770041.3760000002</v>
      </c>
      <c r="AV8" s="633">
        <f>SUM(AV9:AV33)</f>
        <v>81680</v>
      </c>
      <c r="AW8" s="618">
        <f>SUM(AW9:AW33)</f>
        <v>1851721.3760000002</v>
      </c>
      <c r="AX8" s="908">
        <f>AW8/$AW$89</f>
        <v>0.99343134336623862</v>
      </c>
      <c r="AY8" s="633"/>
      <c r="AZ8" s="633">
        <f>SUM(AZ9:AZ33)</f>
        <v>637726.1309527941</v>
      </c>
      <c r="BA8" s="633">
        <f>SUM(BA9:BA33)</f>
        <v>228209.64</v>
      </c>
      <c r="BB8" s="618">
        <f>SUM(BB9:BB33)</f>
        <v>865935.77095279424</v>
      </c>
      <c r="BC8" s="908">
        <f>BB8/$AW$89</f>
        <v>0.46456650949549433</v>
      </c>
      <c r="BD8" s="633"/>
      <c r="BE8" s="684">
        <f>SUM(BE9:BE33)</f>
        <v>0</v>
      </c>
      <c r="BF8" s="633">
        <f>SUM(BF9:BF33)</f>
        <v>0</v>
      </c>
      <c r="BG8" s="618">
        <f>SUM(BG9:BG33)</f>
        <v>0</v>
      </c>
      <c r="BH8" s="908">
        <f>BG8/$AW$89</f>
        <v>0</v>
      </c>
      <c r="BI8" s="620"/>
      <c r="BJ8" s="684">
        <f>SUM(BJ9:BJ33)</f>
        <v>201820.36800000002</v>
      </c>
      <c r="BK8" s="633">
        <f>SUM(BK9:BK33)</f>
        <v>0</v>
      </c>
      <c r="BL8" s="618">
        <f>SUM(BL9:BL33)</f>
        <v>201820.36800000002</v>
      </c>
      <c r="BM8" s="908">
        <f>BL8/$AW$89</f>
        <v>0.10827475553261023</v>
      </c>
      <c r="BN8" s="620"/>
      <c r="BO8" s="618">
        <f>SUM(BO9:BO33)</f>
        <v>26224130.375552792</v>
      </c>
      <c r="BP8" s="618">
        <f>SUM(BP9:BP33)</f>
        <v>3743426.9200000004</v>
      </c>
      <c r="BQ8" s="619">
        <f>SUM(BQ9:BQ33)</f>
        <v>29967557.29555279</v>
      </c>
      <c r="BR8" s="577">
        <f t="shared" ref="BR8:BR21" si="4">BQ8/$BQ$89</f>
        <v>0.96064662174511739</v>
      </c>
      <c r="BS8" s="620"/>
      <c r="BT8" s="929"/>
      <c r="BU8" s="842"/>
    </row>
    <row r="9" spans="1:75" s="2" customFormat="1" ht="13.95" customHeight="1" outlineLevel="2" x14ac:dyDescent="0.25">
      <c r="A9" s="238"/>
      <c r="B9" s="492" t="s">
        <v>74</v>
      </c>
      <c r="C9" s="111">
        <v>547400</v>
      </c>
      <c r="D9" s="493"/>
      <c r="E9" s="446">
        <f t="shared" ref="E9:E33" si="5">C9+D9</f>
        <v>547400</v>
      </c>
      <c r="F9" s="447">
        <f t="shared" si="0"/>
        <v>1.7214600768367762E-2</v>
      </c>
      <c r="G9" s="452">
        <v>383117.05</v>
      </c>
      <c r="H9" s="452">
        <v>0</v>
      </c>
      <c r="I9" s="453">
        <f>G9+H9*1</f>
        <v>383117.05</v>
      </c>
      <c r="J9" s="447">
        <f t="shared" si="1"/>
        <v>3.9034804661738053E-2</v>
      </c>
      <c r="K9" s="456"/>
      <c r="L9" s="452">
        <v>73763.759999999995</v>
      </c>
      <c r="M9" s="452"/>
      <c r="N9" s="453">
        <f>L9+M9*1</f>
        <v>73763.759999999995</v>
      </c>
      <c r="O9" s="447">
        <f t="shared" si="2"/>
        <v>9.365083636849094E-3</v>
      </c>
      <c r="P9" s="454" t="s">
        <v>543</v>
      </c>
      <c r="Q9" s="452">
        <v>64096.03</v>
      </c>
      <c r="R9" s="452"/>
      <c r="S9" s="453">
        <f>Q9+R9*1</f>
        <v>64096.03</v>
      </c>
      <c r="T9" s="447">
        <f t="shared" si="3"/>
        <v>4.657065433509306E-2</v>
      </c>
      <c r="U9" s="455" t="s">
        <v>543</v>
      </c>
      <c r="V9" s="452">
        <v>29134.560000000001</v>
      </c>
      <c r="W9" s="452"/>
      <c r="X9" s="453">
        <f>V9+W9*1</f>
        <v>29134.560000000001</v>
      </c>
      <c r="Y9" s="447">
        <f>X9/$X$89</f>
        <v>9.4955127998207559E-3</v>
      </c>
      <c r="Z9" s="714" t="s">
        <v>642</v>
      </c>
      <c r="AA9" s="452">
        <v>14567.28</v>
      </c>
      <c r="AB9" s="452"/>
      <c r="AC9" s="592">
        <f>AA9+AB9*1</f>
        <v>14567.28</v>
      </c>
      <c r="AD9" s="906">
        <f>AC9/$AC$89</f>
        <v>4.5586053811540544E-2</v>
      </c>
      <c r="AE9" s="714" t="s">
        <v>724</v>
      </c>
      <c r="AF9" s="452">
        <v>7284</v>
      </c>
      <c r="AG9" s="452"/>
      <c r="AH9" s="592">
        <f>AF9+AG9*1</f>
        <v>7284</v>
      </c>
      <c r="AI9" s="906">
        <f>AH9/$AH$89</f>
        <v>2.1084290203255232E-3</v>
      </c>
      <c r="AJ9" s="714" t="s">
        <v>786</v>
      </c>
      <c r="AK9" s="452">
        <v>7451.08</v>
      </c>
      <c r="AL9" s="452"/>
      <c r="AM9" s="592">
        <f>AK9+AL9*1</f>
        <v>7451.08</v>
      </c>
      <c r="AN9" s="624">
        <f>AM9/$AM$89</f>
        <v>3.4616197288506287E-3</v>
      </c>
      <c r="AO9" s="601" t="s">
        <v>830</v>
      </c>
      <c r="AP9" s="785"/>
      <c r="AQ9" s="714"/>
      <c r="AR9" s="592">
        <f>AP9+AQ9*1</f>
        <v>0</v>
      </c>
      <c r="AS9" s="907">
        <f t="shared" ref="AS9:AS33" si="6">AR9/$AR$89</f>
        <v>0</v>
      </c>
      <c r="AT9" s="714"/>
      <c r="AU9" s="714"/>
      <c r="AV9" s="714"/>
      <c r="AW9" s="592">
        <f>AU9+AV9*1</f>
        <v>0</v>
      </c>
      <c r="AX9" s="907">
        <f t="shared" ref="AX9:AX72" si="7">AW9/$AW$89</f>
        <v>0</v>
      </c>
      <c r="AY9" s="714"/>
      <c r="AZ9" s="714"/>
      <c r="BA9" s="714"/>
      <c r="BB9" s="592">
        <f>AZ9+BA9*1</f>
        <v>0</v>
      </c>
      <c r="BC9" s="907">
        <f t="shared" ref="BC9:BC72" si="8">BB9/$AW$89</f>
        <v>0</v>
      </c>
      <c r="BD9" s="601"/>
      <c r="BE9" s="785"/>
      <c r="BF9" s="714"/>
      <c r="BG9" s="592">
        <f>BE9+BF9*1</f>
        <v>0</v>
      </c>
      <c r="BH9" s="785">
        <f t="shared" ref="BH9:BH72" si="9">BG9/$AW$89</f>
        <v>0</v>
      </c>
      <c r="BI9" s="714"/>
      <c r="BJ9" s="785"/>
      <c r="BK9" s="714"/>
      <c r="BL9" s="592">
        <f>BJ9+BK9*1</f>
        <v>0</v>
      </c>
      <c r="BM9" s="785">
        <f t="shared" ref="BM9:BM32" si="10">BL9/$AW$89</f>
        <v>0</v>
      </c>
      <c r="BN9" s="714"/>
      <c r="BO9" s="560">
        <f t="shared" ref="BO9:BO33" si="11">G9+L9+Q9+V9+AA9+AF9+AK9+AP9+AU9+AZ9+BE9+BJ9</f>
        <v>579413.76000000001</v>
      </c>
      <c r="BP9" s="452">
        <f t="shared" ref="BP9:BP33" si="12">H9+M9+R9+W9+AB9+AG9+AL9+AQ9+AV9+BA9+BF9+BK9</f>
        <v>0</v>
      </c>
      <c r="BQ9" s="453">
        <f>BO9+BP9*1</f>
        <v>579413.76000000001</v>
      </c>
      <c r="BR9" s="447">
        <f t="shared" si="4"/>
        <v>1.8573815197785171E-2</v>
      </c>
      <c r="BS9" s="456"/>
      <c r="BT9" s="842"/>
      <c r="BU9" s="842"/>
      <c r="BW9" s="933"/>
    </row>
    <row r="10" spans="1:75" s="2" customFormat="1" ht="13.95" customHeight="1" outlineLevel="2" x14ac:dyDescent="0.25">
      <c r="A10" s="238"/>
      <c r="B10" s="492" t="s">
        <v>72</v>
      </c>
      <c r="C10" s="111">
        <v>132600</v>
      </c>
      <c r="D10" s="493"/>
      <c r="E10" s="446">
        <f t="shared" si="5"/>
        <v>132600</v>
      </c>
      <c r="F10" s="447">
        <f t="shared" si="0"/>
        <v>4.1699964594182782E-3</v>
      </c>
      <c r="G10" s="452">
        <v>119565.18</v>
      </c>
      <c r="H10" s="452">
        <v>0</v>
      </c>
      <c r="I10" s="453">
        <f t="shared" ref="I10:I33" si="13">G10+H10*1</f>
        <v>119565.18</v>
      </c>
      <c r="J10" s="450">
        <f t="shared" si="1"/>
        <v>1.2182186738088397E-2</v>
      </c>
      <c r="K10" s="456"/>
      <c r="L10" s="452">
        <v>17868.240000000002</v>
      </c>
      <c r="M10" s="452"/>
      <c r="N10" s="453">
        <f t="shared" ref="N10:N33" si="14">L10+M10*1</f>
        <v>17868.240000000002</v>
      </c>
      <c r="O10" s="450">
        <f t="shared" si="2"/>
        <v>2.2685606325286629E-3</v>
      </c>
      <c r="P10" s="456"/>
      <c r="Q10" s="452">
        <v>15879.24</v>
      </c>
      <c r="R10" s="452"/>
      <c r="S10" s="453">
        <f t="shared" ref="S10:S33" si="15">Q10+R10*1</f>
        <v>15879.24</v>
      </c>
      <c r="T10" s="450">
        <f t="shared" si="3"/>
        <v>1.1537478953750849E-2</v>
      </c>
      <c r="U10" s="465"/>
      <c r="V10" s="452">
        <v>7057.44</v>
      </c>
      <c r="W10" s="452"/>
      <c r="X10" s="453">
        <f t="shared" ref="X10:X33" si="16">V10+W10*1</f>
        <v>7057.44</v>
      </c>
      <c r="Y10" s="450">
        <f>X10/$X$89</f>
        <v>2.3001552744907417E-3</v>
      </c>
      <c r="Z10" s="714"/>
      <c r="AA10" s="452">
        <v>3528.72</v>
      </c>
      <c r="AB10" s="452"/>
      <c r="AC10" s="592">
        <f t="shared" ref="AC10:AC33" si="17">AA10+AB10*1</f>
        <v>3528.72</v>
      </c>
      <c r="AD10" s="595">
        <f t="shared" ref="AD10:AD33" si="18">AC10/$AC$89</f>
        <v>1.10425844636651E-2</v>
      </c>
      <c r="AE10" s="714"/>
      <c r="AF10" s="452">
        <v>1764</v>
      </c>
      <c r="AG10" s="452"/>
      <c r="AH10" s="592">
        <f t="shared" ref="AH10:AH33" si="19">AF10+AG10*1</f>
        <v>1764</v>
      </c>
      <c r="AI10" s="541">
        <f>AH10/$AH$89</f>
        <v>5.1060801645445126E-4</v>
      </c>
      <c r="AJ10" s="714"/>
      <c r="AK10" s="452">
        <v>1804.92</v>
      </c>
      <c r="AL10" s="452"/>
      <c r="AM10" s="592">
        <f t="shared" ref="AM10:AM33" si="20">AK10+AL10*1</f>
        <v>1804.92</v>
      </c>
      <c r="AN10" s="541">
        <f t="shared" ref="AN10:AN33" si="21">AM10/$AM$89</f>
        <v>8.3852900264083565E-4</v>
      </c>
      <c r="AO10" s="601"/>
      <c r="AP10" s="785"/>
      <c r="AQ10" s="714"/>
      <c r="AR10" s="592">
        <f t="shared" ref="AR10:AR33" si="22">AP10+AQ10*1</f>
        <v>0</v>
      </c>
      <c r="AS10" s="595">
        <f t="shared" si="6"/>
        <v>0</v>
      </c>
      <c r="AT10" s="714"/>
      <c r="AU10" s="714"/>
      <c r="AV10" s="714"/>
      <c r="AW10" s="592">
        <f t="shared" ref="AW10:AW33" si="23">AU10+AV10*1</f>
        <v>0</v>
      </c>
      <c r="AX10" s="595">
        <f t="shared" si="7"/>
        <v>0</v>
      </c>
      <c r="AY10" s="714"/>
      <c r="AZ10" s="714"/>
      <c r="BA10" s="714"/>
      <c r="BB10" s="592">
        <f t="shared" ref="BB10:BB29" si="24">AZ10+BA10*1</f>
        <v>0</v>
      </c>
      <c r="BC10" s="595">
        <f t="shared" si="8"/>
        <v>0</v>
      </c>
      <c r="BD10" s="601"/>
      <c r="BE10" s="785"/>
      <c r="BF10" s="714"/>
      <c r="BG10" s="592">
        <f t="shared" ref="BG10:BG29" si="25">BE10+BF10*1</f>
        <v>0</v>
      </c>
      <c r="BH10" s="785">
        <f t="shared" si="9"/>
        <v>0</v>
      </c>
      <c r="BI10" s="714"/>
      <c r="BJ10" s="785"/>
      <c r="BK10" s="714"/>
      <c r="BL10" s="592">
        <f t="shared" ref="BL10:BL29" si="26">BJ10+BK10*1</f>
        <v>0</v>
      </c>
      <c r="BM10" s="785">
        <f t="shared" si="10"/>
        <v>0</v>
      </c>
      <c r="BN10" s="714"/>
      <c r="BO10" s="560">
        <f t="shared" si="11"/>
        <v>167467.74</v>
      </c>
      <c r="BP10" s="452">
        <f t="shared" si="12"/>
        <v>0</v>
      </c>
      <c r="BQ10" s="453">
        <f t="shared" ref="BQ10:BQ33" si="27">BO10+BP10*1</f>
        <v>167467.74</v>
      </c>
      <c r="BR10" s="450">
        <f t="shared" si="4"/>
        <v>5.3683827846110095E-3</v>
      </c>
      <c r="BS10" s="456"/>
      <c r="BT10" s="842"/>
      <c r="BU10" s="842"/>
      <c r="BW10" s="933"/>
    </row>
    <row r="11" spans="1:75" s="2" customFormat="1" ht="13.95" customHeight="1" outlineLevel="2" x14ac:dyDescent="0.25">
      <c r="A11" s="238"/>
      <c r="B11" s="492" t="s">
        <v>69</v>
      </c>
      <c r="C11" s="111">
        <v>149600</v>
      </c>
      <c r="D11" s="493"/>
      <c r="E11" s="446">
        <f t="shared" si="5"/>
        <v>149600</v>
      </c>
      <c r="F11" s="447">
        <f t="shared" si="0"/>
        <v>4.704611390112929E-3</v>
      </c>
      <c r="G11" s="452">
        <v>134894.04999999999</v>
      </c>
      <c r="H11" s="452">
        <v>0</v>
      </c>
      <c r="I11" s="453">
        <f t="shared" si="13"/>
        <v>134894.04999999999</v>
      </c>
      <c r="J11" s="450">
        <f t="shared" si="1"/>
        <v>1.3744005629038766E-2</v>
      </c>
      <c r="K11" s="456"/>
      <c r="L11" s="452">
        <v>20159.04</v>
      </c>
      <c r="M11" s="452"/>
      <c r="N11" s="453">
        <f t="shared" si="14"/>
        <v>20159.04</v>
      </c>
      <c r="O11" s="450">
        <f t="shared" si="2"/>
        <v>2.5594017392631067E-3</v>
      </c>
      <c r="P11" s="456"/>
      <c r="Q11" s="452">
        <v>17915.04</v>
      </c>
      <c r="R11" s="452"/>
      <c r="S11" s="453">
        <f t="shared" si="15"/>
        <v>17915.04</v>
      </c>
      <c r="T11" s="450">
        <f t="shared" si="3"/>
        <v>1.3016642922180447E-2</v>
      </c>
      <c r="U11" s="465"/>
      <c r="V11" s="452">
        <v>7962.24</v>
      </c>
      <c r="W11" s="452"/>
      <c r="X11" s="453">
        <f t="shared" si="16"/>
        <v>7962.24</v>
      </c>
      <c r="Y11" s="450">
        <f t="shared" ref="Y11:Y33" si="28">X11/$X$89</f>
        <v>2.5950469763485291E-3</v>
      </c>
      <c r="Z11" s="714"/>
      <c r="AA11" s="452">
        <v>3981.12</v>
      </c>
      <c r="AB11" s="452"/>
      <c r="AC11" s="592">
        <f t="shared" si="17"/>
        <v>3981.12</v>
      </c>
      <c r="AD11" s="595">
        <f t="shared" si="18"/>
        <v>1.2458300420545241E-2</v>
      </c>
      <c r="AE11" s="714"/>
      <c r="AF11" s="452">
        <v>1991</v>
      </c>
      <c r="AG11" s="452"/>
      <c r="AH11" s="592">
        <f t="shared" si="19"/>
        <v>1991</v>
      </c>
      <c r="AI11" s="541">
        <f t="shared" ref="AI11:AI33" si="29">AH11/$AH$89</f>
        <v>5.7631551063538119E-4</v>
      </c>
      <c r="AJ11" s="714"/>
      <c r="AK11" s="452">
        <v>2036.32</v>
      </c>
      <c r="AL11" s="452"/>
      <c r="AM11" s="592">
        <f t="shared" si="20"/>
        <v>2036.32</v>
      </c>
      <c r="AN11" s="541">
        <f t="shared" si="21"/>
        <v>9.4603272092812218E-4</v>
      </c>
      <c r="AO11" s="601"/>
      <c r="AP11" s="785"/>
      <c r="AQ11" s="714"/>
      <c r="AR11" s="592">
        <f t="shared" si="22"/>
        <v>0</v>
      </c>
      <c r="AS11" s="595">
        <f t="shared" si="6"/>
        <v>0</v>
      </c>
      <c r="AT11" s="714"/>
      <c r="AU11" s="714"/>
      <c r="AV11" s="714"/>
      <c r="AW11" s="592">
        <f t="shared" si="23"/>
        <v>0</v>
      </c>
      <c r="AX11" s="595">
        <f t="shared" si="7"/>
        <v>0</v>
      </c>
      <c r="AY11" s="714"/>
      <c r="AZ11" s="714"/>
      <c r="BA11" s="714"/>
      <c r="BB11" s="592">
        <f t="shared" si="24"/>
        <v>0</v>
      </c>
      <c r="BC11" s="595">
        <f t="shared" si="8"/>
        <v>0</v>
      </c>
      <c r="BD11" s="601"/>
      <c r="BE11" s="785"/>
      <c r="BF11" s="714"/>
      <c r="BG11" s="592">
        <f t="shared" si="25"/>
        <v>0</v>
      </c>
      <c r="BH11" s="785">
        <f t="shared" si="9"/>
        <v>0</v>
      </c>
      <c r="BI11" s="714"/>
      <c r="BJ11" s="785"/>
      <c r="BK11" s="714"/>
      <c r="BL11" s="592">
        <f t="shared" si="26"/>
        <v>0</v>
      </c>
      <c r="BM11" s="785">
        <f t="shared" si="10"/>
        <v>0</v>
      </c>
      <c r="BN11" s="714"/>
      <c r="BO11" s="560">
        <f t="shared" si="11"/>
        <v>188938.81</v>
      </c>
      <c r="BP11" s="452">
        <f t="shared" si="12"/>
        <v>0</v>
      </c>
      <c r="BQ11" s="453">
        <f t="shared" si="27"/>
        <v>188938.81</v>
      </c>
      <c r="BR11" s="450">
        <f t="shared" si="4"/>
        <v>6.0566641369190896E-3</v>
      </c>
      <c r="BS11" s="456"/>
      <c r="BT11" s="842"/>
      <c r="BU11" s="842"/>
      <c r="BW11" s="933"/>
    </row>
    <row r="12" spans="1:75" s="2" customFormat="1" ht="13.95" customHeight="1" outlineLevel="2" x14ac:dyDescent="0.25">
      <c r="A12" s="238"/>
      <c r="B12" s="492" t="s">
        <v>73</v>
      </c>
      <c r="C12" s="111">
        <v>77280</v>
      </c>
      <c r="D12" s="493">
        <v>241178</v>
      </c>
      <c r="E12" s="446">
        <f t="shared" si="5"/>
        <v>318458</v>
      </c>
      <c r="F12" s="447">
        <f t="shared" si="0"/>
        <v>1.0014847152891599E-2</v>
      </c>
      <c r="G12" s="452">
        <v>70541.31</v>
      </c>
      <c r="H12" s="452">
        <v>132765.5</v>
      </c>
      <c r="I12" s="453">
        <f t="shared" si="13"/>
        <v>203306.81</v>
      </c>
      <c r="J12" s="450">
        <f t="shared" si="1"/>
        <v>2.071440468324522E-2</v>
      </c>
      <c r="K12" s="456"/>
      <c r="L12" s="452">
        <f>2311.31+1197.5</f>
        <v>3508.81</v>
      </c>
      <c r="M12" s="452">
        <f>11312.19+15177</f>
        <v>26489.190000000002</v>
      </c>
      <c r="N12" s="453">
        <f t="shared" si="14"/>
        <v>29998.000000000004</v>
      </c>
      <c r="O12" s="450">
        <f t="shared" si="2"/>
        <v>3.8085609917146192E-3</v>
      </c>
      <c r="P12" s="454" t="s">
        <v>475</v>
      </c>
      <c r="Q12" s="452">
        <f>2455.25+9821+8211</f>
        <v>20487.25</v>
      </c>
      <c r="R12" s="452">
        <f>25544.75+15179</f>
        <v>40723.75</v>
      </c>
      <c r="S12" s="453">
        <f t="shared" si="15"/>
        <v>61211</v>
      </c>
      <c r="T12" s="450">
        <f t="shared" si="3"/>
        <v>4.4474460001740844E-2</v>
      </c>
      <c r="U12" s="455" t="s">
        <v>614</v>
      </c>
      <c r="V12" s="452">
        <v>9821</v>
      </c>
      <c r="W12" s="452">
        <v>18179</v>
      </c>
      <c r="X12" s="453">
        <f t="shared" si="16"/>
        <v>28000</v>
      </c>
      <c r="Y12" s="450">
        <f>X12/$X$89</f>
        <v>9.1257379001083647E-3</v>
      </c>
      <c r="Z12" s="714" t="s">
        <v>649</v>
      </c>
      <c r="AA12" s="452">
        <v>18032</v>
      </c>
      <c r="AB12" s="452">
        <f>15024+3000</f>
        <v>18024</v>
      </c>
      <c r="AC12" s="592">
        <f t="shared" si="17"/>
        <v>36056</v>
      </c>
      <c r="AD12" s="595">
        <f t="shared" si="18"/>
        <v>0.11283168554657465</v>
      </c>
      <c r="AE12" s="714" t="s">
        <v>720</v>
      </c>
      <c r="AF12" s="452">
        <v>18032</v>
      </c>
      <c r="AG12" s="452">
        <f>15179+3000</f>
        <v>18179</v>
      </c>
      <c r="AH12" s="592">
        <f t="shared" si="19"/>
        <v>36211</v>
      </c>
      <c r="AI12" s="541">
        <f t="shared" si="29"/>
        <v>1.0481647893328875E-2</v>
      </c>
      <c r="AJ12" s="714" t="s">
        <v>720</v>
      </c>
      <c r="AK12" s="452">
        <v>7024.37</v>
      </c>
      <c r="AL12" s="452">
        <f>6831*70%</f>
        <v>4781.7</v>
      </c>
      <c r="AM12" s="592">
        <f t="shared" si="20"/>
        <v>11806.07</v>
      </c>
      <c r="AN12" s="541">
        <f t="shared" si="21"/>
        <v>5.4848592193603536E-3</v>
      </c>
      <c r="AO12" s="601" t="s">
        <v>847</v>
      </c>
      <c r="AP12" s="785"/>
      <c r="AQ12" s="714"/>
      <c r="AR12" s="592">
        <f t="shared" si="22"/>
        <v>0</v>
      </c>
      <c r="AS12" s="595">
        <f t="shared" si="6"/>
        <v>0</v>
      </c>
      <c r="AT12" s="714"/>
      <c r="AU12" s="714"/>
      <c r="AV12" s="714"/>
      <c r="AW12" s="592">
        <f t="shared" si="23"/>
        <v>0</v>
      </c>
      <c r="AX12" s="595">
        <f t="shared" si="7"/>
        <v>0</v>
      </c>
      <c r="AY12" s="714"/>
      <c r="AZ12" s="714">
        <v>10418.69</v>
      </c>
      <c r="BA12" s="714">
        <v>19565.759999999998</v>
      </c>
      <c r="BB12" s="592">
        <f t="shared" si="24"/>
        <v>29984.449999999997</v>
      </c>
      <c r="BC12" s="595">
        <f t="shared" si="8"/>
        <v>1.6086379316926892E-2</v>
      </c>
      <c r="BD12" s="601"/>
      <c r="BE12" s="785"/>
      <c r="BF12" s="714"/>
      <c r="BG12" s="592">
        <f t="shared" si="25"/>
        <v>0</v>
      </c>
      <c r="BH12" s="785">
        <f t="shared" si="9"/>
        <v>0</v>
      </c>
      <c r="BI12" s="714"/>
      <c r="BJ12" s="785"/>
      <c r="BK12" s="714"/>
      <c r="BL12" s="592">
        <f t="shared" si="26"/>
        <v>0</v>
      </c>
      <c r="BM12" s="785">
        <f t="shared" si="10"/>
        <v>0</v>
      </c>
      <c r="BN12" s="714"/>
      <c r="BO12" s="560">
        <f t="shared" si="11"/>
        <v>157865.43</v>
      </c>
      <c r="BP12" s="452">
        <f t="shared" si="12"/>
        <v>278707.90000000002</v>
      </c>
      <c r="BQ12" s="453">
        <f t="shared" si="27"/>
        <v>436573.33</v>
      </c>
      <c r="BR12" s="450">
        <f t="shared" si="4"/>
        <v>1.3994890890581681E-2</v>
      </c>
      <c r="BS12" s="456"/>
      <c r="BT12" s="842"/>
      <c r="BU12" s="842"/>
      <c r="BV12" s="842"/>
      <c r="BW12" s="933"/>
    </row>
    <row r="13" spans="1:75" s="2" customFormat="1" ht="13.95" customHeight="1" outlineLevel="2" x14ac:dyDescent="0.25">
      <c r="A13" s="238"/>
      <c r="B13" s="492" t="s">
        <v>71</v>
      </c>
      <c r="C13" s="111">
        <v>26940</v>
      </c>
      <c r="D13" s="493"/>
      <c r="E13" s="446">
        <f t="shared" si="5"/>
        <v>26940</v>
      </c>
      <c r="F13" s="447">
        <f t="shared" si="0"/>
        <v>8.4720742546552338E-4</v>
      </c>
      <c r="G13" s="452">
        <v>16947.27</v>
      </c>
      <c r="H13" s="452">
        <v>0</v>
      </c>
      <c r="I13" s="453">
        <f t="shared" si="13"/>
        <v>16947.27</v>
      </c>
      <c r="J13" s="450">
        <f t="shared" si="1"/>
        <v>1.7267134782952978E-3</v>
      </c>
      <c r="K13" s="456"/>
      <c r="L13" s="452">
        <v>6421</v>
      </c>
      <c r="M13" s="452"/>
      <c r="N13" s="453">
        <f t="shared" si="14"/>
        <v>6421</v>
      </c>
      <c r="O13" s="450">
        <f t="shared" si="2"/>
        <v>8.1521335181677338E-4</v>
      </c>
      <c r="P13" s="456"/>
      <c r="Q13" s="452">
        <f>594.75+2379+1989</f>
        <v>4962.75</v>
      </c>
      <c r="R13" s="452"/>
      <c r="S13" s="453">
        <f t="shared" si="15"/>
        <v>4962.75</v>
      </c>
      <c r="T13" s="450">
        <f t="shared" si="3"/>
        <v>3.605816378978278E-3</v>
      </c>
      <c r="U13" s="465"/>
      <c r="V13" s="452">
        <v>2379</v>
      </c>
      <c r="W13" s="452"/>
      <c r="X13" s="453">
        <f t="shared" si="16"/>
        <v>2379</v>
      </c>
      <c r="Y13" s="450">
        <f t="shared" si="28"/>
        <v>7.7536180229849274E-4</v>
      </c>
      <c r="Z13" s="714"/>
      <c r="AA13" s="452">
        <v>4368</v>
      </c>
      <c r="AB13" s="452"/>
      <c r="AC13" s="592">
        <f t="shared" si="17"/>
        <v>4368</v>
      </c>
      <c r="AD13" s="595">
        <f t="shared" si="18"/>
        <v>1.3668981652635845E-2</v>
      </c>
      <c r="AE13" s="714"/>
      <c r="AF13" s="452">
        <v>4368</v>
      </c>
      <c r="AG13" s="452"/>
      <c r="AH13" s="592">
        <f>AF13+AG13*1</f>
        <v>4368</v>
      </c>
      <c r="AI13" s="541">
        <f>AH13/$AH$89</f>
        <v>1.2643627074110221E-3</v>
      </c>
      <c r="AJ13" s="714"/>
      <c r="AK13" s="452">
        <v>1701.56</v>
      </c>
      <c r="AL13" s="452"/>
      <c r="AM13" s="592">
        <f t="shared" si="20"/>
        <v>1701.56</v>
      </c>
      <c r="AN13" s="541">
        <f t="shared" si="21"/>
        <v>7.905100556997209E-4</v>
      </c>
      <c r="AO13" s="601"/>
      <c r="AP13" s="785"/>
      <c r="AQ13" s="714"/>
      <c r="AR13" s="592">
        <f t="shared" si="22"/>
        <v>0</v>
      </c>
      <c r="AS13" s="785">
        <f t="shared" si="6"/>
        <v>0</v>
      </c>
      <c r="AT13" s="714"/>
      <c r="AU13" s="714"/>
      <c r="AV13" s="714"/>
      <c r="AW13" s="592">
        <f t="shared" si="23"/>
        <v>0</v>
      </c>
      <c r="AX13" s="785">
        <f t="shared" si="7"/>
        <v>0</v>
      </c>
      <c r="AY13" s="714"/>
      <c r="AZ13" s="714">
        <v>-2906.8857763975202</v>
      </c>
      <c r="BA13" s="714"/>
      <c r="BB13" s="592">
        <f t="shared" si="24"/>
        <v>-2906.8857763975202</v>
      </c>
      <c r="BC13" s="785">
        <f t="shared" si="8"/>
        <v>-1.5595172574487792E-3</v>
      </c>
      <c r="BD13" s="601"/>
      <c r="BE13" s="785"/>
      <c r="BF13" s="714"/>
      <c r="BG13" s="592">
        <f t="shared" si="25"/>
        <v>0</v>
      </c>
      <c r="BH13" s="785">
        <f t="shared" si="9"/>
        <v>0</v>
      </c>
      <c r="BI13" s="714"/>
      <c r="BJ13" s="785"/>
      <c r="BK13" s="714"/>
      <c r="BL13" s="592">
        <f t="shared" si="26"/>
        <v>0</v>
      </c>
      <c r="BM13" s="785">
        <f t="shared" si="10"/>
        <v>0</v>
      </c>
      <c r="BN13" s="714"/>
      <c r="BO13" s="560">
        <f t="shared" si="11"/>
        <v>38240.694223602484</v>
      </c>
      <c r="BP13" s="452">
        <f t="shared" si="12"/>
        <v>0</v>
      </c>
      <c r="BQ13" s="453">
        <f t="shared" si="27"/>
        <v>38240.694223602484</v>
      </c>
      <c r="BR13" s="450">
        <f t="shared" si="4"/>
        <v>1.2258521225733462E-3</v>
      </c>
      <c r="BS13" s="456"/>
      <c r="BT13" s="842"/>
      <c r="BU13" s="842"/>
      <c r="BV13" s="842"/>
      <c r="BW13" s="933"/>
    </row>
    <row r="14" spans="1:75" s="2" customFormat="1" ht="13.95" customHeight="1" outlineLevel="2" x14ac:dyDescent="0.25">
      <c r="A14" s="238"/>
      <c r="B14" s="492" t="s">
        <v>70</v>
      </c>
      <c r="C14" s="111">
        <v>27840</v>
      </c>
      <c r="D14" s="493"/>
      <c r="E14" s="446">
        <f t="shared" si="5"/>
        <v>27840</v>
      </c>
      <c r="F14" s="447">
        <f t="shared" si="0"/>
        <v>8.7551056885524028E-4</v>
      </c>
      <c r="G14" s="452">
        <v>19120</v>
      </c>
      <c r="H14" s="452">
        <v>0</v>
      </c>
      <c r="I14" s="453">
        <f t="shared" si="13"/>
        <v>19120</v>
      </c>
      <c r="J14" s="450">
        <f t="shared" si="1"/>
        <v>1.948087314653398E-3</v>
      </c>
      <c r="K14" s="456"/>
      <c r="L14" s="452">
        <v>7244.64</v>
      </c>
      <c r="M14" s="452"/>
      <c r="N14" s="453">
        <f t="shared" si="14"/>
        <v>7244.64</v>
      </c>
      <c r="O14" s="450">
        <f t="shared" si="2"/>
        <v>9.197830956402226E-4</v>
      </c>
      <c r="P14" s="456"/>
      <c r="Q14" s="452">
        <f>671+2684+2244</f>
        <v>5599</v>
      </c>
      <c r="R14" s="452"/>
      <c r="S14" s="453">
        <f t="shared" si="15"/>
        <v>5599</v>
      </c>
      <c r="T14" s="450">
        <f t="shared" si="3"/>
        <v>4.0681005301293396E-3</v>
      </c>
      <c r="U14" s="465"/>
      <c r="V14" s="452">
        <v>2684</v>
      </c>
      <c r="W14" s="452"/>
      <c r="X14" s="453">
        <f t="shared" si="16"/>
        <v>2684</v>
      </c>
      <c r="Y14" s="450">
        <f t="shared" si="28"/>
        <v>8.7476716156753033E-4</v>
      </c>
      <c r="Z14" s="465"/>
      <c r="AA14" s="452">
        <v>4928</v>
      </c>
      <c r="AB14" s="452"/>
      <c r="AC14" s="592">
        <f t="shared" si="17"/>
        <v>4928</v>
      </c>
      <c r="AD14" s="595">
        <f t="shared" si="18"/>
        <v>1.5421415197845569E-2</v>
      </c>
      <c r="AE14" s="465"/>
      <c r="AF14" s="452">
        <v>4928</v>
      </c>
      <c r="AG14" s="452"/>
      <c r="AH14" s="592">
        <f>AF14+AG14*1</f>
        <v>4928</v>
      </c>
      <c r="AI14" s="541">
        <f>AH14/$AH$89</f>
        <v>1.4264604904124353E-3</v>
      </c>
      <c r="AJ14" s="465"/>
      <c r="AK14" s="452">
        <v>1919.7</v>
      </c>
      <c r="AL14" s="452"/>
      <c r="AM14" s="592">
        <f t="shared" si="20"/>
        <v>1919.7</v>
      </c>
      <c r="AN14" s="541">
        <f t="shared" si="21"/>
        <v>8.918534485570619E-4</v>
      </c>
      <c r="AO14" s="770"/>
      <c r="AP14" s="786"/>
      <c r="AQ14" s="714"/>
      <c r="AR14" s="592">
        <f t="shared" si="22"/>
        <v>0</v>
      </c>
      <c r="AS14" s="786">
        <f t="shared" si="6"/>
        <v>0</v>
      </c>
      <c r="AT14" s="465"/>
      <c r="AU14" s="465"/>
      <c r="AV14" s="465"/>
      <c r="AW14" s="592">
        <f t="shared" si="23"/>
        <v>0</v>
      </c>
      <c r="AX14" s="786">
        <f t="shared" si="7"/>
        <v>0</v>
      </c>
      <c r="AY14" s="465"/>
      <c r="AZ14" s="714">
        <v>-3279.9926708074599</v>
      </c>
      <c r="BA14" s="465"/>
      <c r="BB14" s="592">
        <f t="shared" si="24"/>
        <v>-3279.9926708074599</v>
      </c>
      <c r="BC14" s="786">
        <f t="shared" si="8"/>
        <v>-1.7596856457046547E-3</v>
      </c>
      <c r="BD14" s="770"/>
      <c r="BE14" s="785"/>
      <c r="BF14" s="465"/>
      <c r="BG14" s="592">
        <f t="shared" si="25"/>
        <v>0</v>
      </c>
      <c r="BH14" s="785">
        <f t="shared" si="9"/>
        <v>0</v>
      </c>
      <c r="BI14" s="465"/>
      <c r="BJ14" s="785"/>
      <c r="BK14" s="465"/>
      <c r="BL14" s="592">
        <f t="shared" si="26"/>
        <v>0</v>
      </c>
      <c r="BM14" s="785">
        <f t="shared" si="10"/>
        <v>0</v>
      </c>
      <c r="BN14" s="465"/>
      <c r="BO14" s="560">
        <f t="shared" si="11"/>
        <v>43143.347329192533</v>
      </c>
      <c r="BP14" s="452">
        <f t="shared" si="12"/>
        <v>0</v>
      </c>
      <c r="BQ14" s="453">
        <f t="shared" si="27"/>
        <v>43143.347329192533</v>
      </c>
      <c r="BR14" s="450">
        <f t="shared" si="4"/>
        <v>1.3830126511083902E-3</v>
      </c>
      <c r="BS14" s="456"/>
      <c r="BT14" s="842"/>
      <c r="BU14" s="842"/>
      <c r="BV14" s="842"/>
      <c r="BW14" s="933"/>
    </row>
    <row r="15" spans="1:75" s="2" customFormat="1" ht="13.95" customHeight="1" outlineLevel="2" x14ac:dyDescent="0.25">
      <c r="A15" s="238"/>
      <c r="B15" s="471" t="s">
        <v>20</v>
      </c>
      <c r="C15" s="111"/>
      <c r="D15" s="445">
        <v>73600</v>
      </c>
      <c r="E15" s="446">
        <f t="shared" si="5"/>
        <v>73600</v>
      </c>
      <c r="F15" s="447">
        <f t="shared" si="0"/>
        <v>2.3145681705368419E-3</v>
      </c>
      <c r="G15" s="452">
        <v>0</v>
      </c>
      <c r="H15" s="452">
        <v>52900</v>
      </c>
      <c r="I15" s="453">
        <f t="shared" si="13"/>
        <v>52900</v>
      </c>
      <c r="J15" s="450">
        <f t="shared" si="1"/>
        <v>5.389844087090207E-3</v>
      </c>
      <c r="K15" s="456"/>
      <c r="L15" s="452"/>
      <c r="M15" s="452">
        <v>32500</v>
      </c>
      <c r="N15" s="453">
        <f t="shared" si="14"/>
        <v>32500</v>
      </c>
      <c r="O15" s="450">
        <f t="shared" si="2"/>
        <v>4.1262161554345327E-3</v>
      </c>
      <c r="P15" s="456"/>
      <c r="Q15" s="452"/>
      <c r="R15" s="452">
        <v>52700</v>
      </c>
      <c r="S15" s="453">
        <f t="shared" si="15"/>
        <v>52700</v>
      </c>
      <c r="T15" s="450">
        <f t="shared" si="3"/>
        <v>3.8290569376284368E-2</v>
      </c>
      <c r="U15" s="465"/>
      <c r="V15" s="452"/>
      <c r="W15" s="452">
        <v>37500</v>
      </c>
      <c r="X15" s="453">
        <f t="shared" si="16"/>
        <v>37500</v>
      </c>
      <c r="Y15" s="450">
        <f t="shared" si="28"/>
        <v>1.2221970401930845E-2</v>
      </c>
      <c r="Z15" s="465"/>
      <c r="AA15" s="452"/>
      <c r="AB15" s="452">
        <v>35000</v>
      </c>
      <c r="AC15" s="592">
        <f t="shared" si="17"/>
        <v>35000</v>
      </c>
      <c r="AD15" s="595">
        <f t="shared" si="18"/>
        <v>0.10952709657560773</v>
      </c>
      <c r="AE15" s="465"/>
      <c r="AF15" s="452"/>
      <c r="AG15" s="452">
        <v>40500</v>
      </c>
      <c r="AH15" s="592">
        <f>AF15+AG15*1</f>
        <v>40500</v>
      </c>
      <c r="AI15" s="541">
        <f>AH15/$AH$89</f>
        <v>1.1723143234923626E-2</v>
      </c>
      <c r="AJ15" s="465"/>
      <c r="AK15" s="452"/>
      <c r="AL15" s="452">
        <v>20400</v>
      </c>
      <c r="AM15" s="592">
        <f t="shared" si="20"/>
        <v>20400</v>
      </c>
      <c r="AN15" s="541">
        <f t="shared" si="21"/>
        <v>9.4774237383779044E-3</v>
      </c>
      <c r="AO15" s="770"/>
      <c r="AP15" s="786"/>
      <c r="AQ15" s="720">
        <v>13950</v>
      </c>
      <c r="AR15" s="592">
        <f t="shared" si="22"/>
        <v>13950</v>
      </c>
      <c r="AS15" s="786">
        <f t="shared" si="6"/>
        <v>0.41741901642446483</v>
      </c>
      <c r="AT15" s="465"/>
      <c r="AU15" s="465"/>
      <c r="AV15" s="714">
        <v>720</v>
      </c>
      <c r="AW15" s="592">
        <f t="shared" si="23"/>
        <v>720</v>
      </c>
      <c r="AX15" s="785">
        <f t="shared" si="7"/>
        <v>3.8627332194478688E-4</v>
      </c>
      <c r="AY15" s="465"/>
      <c r="AZ15" s="465"/>
      <c r="BA15" s="714"/>
      <c r="BB15" s="592">
        <f t="shared" si="24"/>
        <v>0</v>
      </c>
      <c r="BC15" s="785">
        <f t="shared" si="8"/>
        <v>0</v>
      </c>
      <c r="BD15" s="770"/>
      <c r="BE15" s="786"/>
      <c r="BF15" s="714"/>
      <c r="BG15" s="592">
        <f t="shared" si="25"/>
        <v>0</v>
      </c>
      <c r="BH15" s="785">
        <f t="shared" si="9"/>
        <v>0</v>
      </c>
      <c r="BI15" s="465"/>
      <c r="BJ15" s="786"/>
      <c r="BK15" s="714"/>
      <c r="BL15" s="592">
        <f t="shared" si="26"/>
        <v>0</v>
      </c>
      <c r="BM15" s="785">
        <f t="shared" si="10"/>
        <v>0</v>
      </c>
      <c r="BN15" s="465"/>
      <c r="BO15" s="560">
        <f t="shared" si="11"/>
        <v>0</v>
      </c>
      <c r="BP15" s="452">
        <f t="shared" si="12"/>
        <v>286170</v>
      </c>
      <c r="BQ15" s="453">
        <f t="shared" si="27"/>
        <v>286170</v>
      </c>
      <c r="BR15" s="450">
        <f t="shared" si="4"/>
        <v>9.173528594057177E-3</v>
      </c>
      <c r="BS15" s="456"/>
      <c r="BT15" s="842"/>
      <c r="BU15" s="842"/>
      <c r="BW15" s="933"/>
    </row>
    <row r="16" spans="1:75" s="2" customFormat="1" ht="13.95" customHeight="1" outlineLevel="2" x14ac:dyDescent="0.25">
      <c r="A16" s="292"/>
      <c r="B16" s="471" t="s">
        <v>21</v>
      </c>
      <c r="C16" s="111">
        <v>50587</v>
      </c>
      <c r="D16" s="445">
        <v>1986374</v>
      </c>
      <c r="E16" s="446">
        <f t="shared" si="5"/>
        <v>2036961</v>
      </c>
      <c r="F16" s="447">
        <f t="shared" si="0"/>
        <v>6.4058221402512175E-2</v>
      </c>
      <c r="G16" s="452">
        <v>0</v>
      </c>
      <c r="H16" s="452">
        <v>829102.44</v>
      </c>
      <c r="I16" s="453">
        <f t="shared" si="13"/>
        <v>829102.44</v>
      </c>
      <c r="J16" s="450">
        <f t="shared" si="1"/>
        <v>8.4475101773649586E-2</v>
      </c>
      <c r="K16" s="456"/>
      <c r="L16" s="452"/>
      <c r="M16" s="452">
        <f>14930+28800+75798+79200+68238.53+162087+77900+70577.04</f>
        <v>577530.57000000007</v>
      </c>
      <c r="N16" s="453">
        <f t="shared" si="14"/>
        <v>577530.57000000007</v>
      </c>
      <c r="O16" s="450">
        <f t="shared" si="2"/>
        <v>7.332356825204045E-2</v>
      </c>
      <c r="P16" s="454" t="s">
        <v>517</v>
      </c>
      <c r="Q16" s="452"/>
      <c r="R16" s="452"/>
      <c r="S16" s="453">
        <f t="shared" si="15"/>
        <v>0</v>
      </c>
      <c r="T16" s="450">
        <f t="shared" si="3"/>
        <v>0</v>
      </c>
      <c r="U16" s="462"/>
      <c r="V16" s="452"/>
      <c r="W16" s="452">
        <f>20193+17975+29782+16500+9000+9000+9000+12500+9200+38153.14+86786.77+53692.91+22200+93370</f>
        <v>427352.82000000007</v>
      </c>
      <c r="X16" s="453">
        <f t="shared" si="16"/>
        <v>427352.82000000007</v>
      </c>
      <c r="Y16" s="450">
        <f t="shared" si="28"/>
        <v>0.13928249379257815</v>
      </c>
      <c r="Z16" s="714" t="s">
        <v>650</v>
      </c>
      <c r="AA16" s="452"/>
      <c r="AB16" s="452">
        <v>0</v>
      </c>
      <c r="AC16" s="592">
        <f t="shared" si="17"/>
        <v>0</v>
      </c>
      <c r="AD16" s="595">
        <f t="shared" si="18"/>
        <v>0</v>
      </c>
      <c r="AE16" s="714"/>
      <c r="AF16" s="452"/>
      <c r="AG16" s="452">
        <v>85918.11</v>
      </c>
      <c r="AH16" s="592">
        <f>AF16+AG16*1</f>
        <v>85918.11</v>
      </c>
      <c r="AI16" s="541">
        <f>AH16/$AH$89</f>
        <v>2.4869884197627749E-2</v>
      </c>
      <c r="AJ16" s="714" t="s">
        <v>789</v>
      </c>
      <c r="AK16" s="452"/>
      <c r="AL16" s="452">
        <f>123000+44916.36+2120+59091</f>
        <v>229127.36</v>
      </c>
      <c r="AM16" s="592">
        <f t="shared" si="20"/>
        <v>229127.36</v>
      </c>
      <c r="AN16" s="541">
        <f t="shared" si="21"/>
        <v>0.1064478961164637</v>
      </c>
      <c r="AO16" s="601" t="s">
        <v>856</v>
      </c>
      <c r="AP16" s="785"/>
      <c r="AQ16" s="714"/>
      <c r="AR16" s="592">
        <f t="shared" si="22"/>
        <v>0</v>
      </c>
      <c r="AS16" s="785">
        <f t="shared" si="6"/>
        <v>0</v>
      </c>
      <c r="AT16" s="714"/>
      <c r="AU16" s="714"/>
      <c r="AV16" s="714">
        <f>28960</f>
        <v>28960</v>
      </c>
      <c r="AW16" s="592">
        <f t="shared" si="23"/>
        <v>28960</v>
      </c>
      <c r="AX16" s="785">
        <f t="shared" si="7"/>
        <v>1.5536771393779205E-2</v>
      </c>
      <c r="AY16" s="714" t="s">
        <v>907</v>
      </c>
      <c r="AZ16" s="714"/>
      <c r="BA16" s="714"/>
      <c r="BB16" s="592">
        <f t="shared" si="24"/>
        <v>0</v>
      </c>
      <c r="BC16" s="785">
        <f t="shared" si="8"/>
        <v>0</v>
      </c>
      <c r="BD16" s="601"/>
      <c r="BE16" s="785"/>
      <c r="BF16" s="714"/>
      <c r="BG16" s="592">
        <f t="shared" si="25"/>
        <v>0</v>
      </c>
      <c r="BH16" s="785">
        <f t="shared" si="9"/>
        <v>0</v>
      </c>
      <c r="BI16" s="714"/>
      <c r="BJ16" s="785"/>
      <c r="BK16" s="714"/>
      <c r="BL16" s="592">
        <f t="shared" si="26"/>
        <v>0</v>
      </c>
      <c r="BM16" s="785">
        <f t="shared" si="10"/>
        <v>0</v>
      </c>
      <c r="BN16" s="714"/>
      <c r="BO16" s="560">
        <f t="shared" si="11"/>
        <v>0</v>
      </c>
      <c r="BP16" s="452">
        <f t="shared" si="12"/>
        <v>2177991.3000000003</v>
      </c>
      <c r="BQ16" s="453">
        <f t="shared" si="27"/>
        <v>2177991.3000000003</v>
      </c>
      <c r="BR16" s="450">
        <f t="shared" si="4"/>
        <v>6.9818169158743976E-2</v>
      </c>
      <c r="BS16" s="456"/>
      <c r="BT16" s="842"/>
      <c r="BU16" s="842"/>
      <c r="BW16" s="933"/>
    </row>
    <row r="17" spans="1:75" s="2" customFormat="1" ht="13.95" customHeight="1" outlineLevel="2" x14ac:dyDescent="0.25">
      <c r="A17" s="238"/>
      <c r="B17" s="471" t="s">
        <v>22</v>
      </c>
      <c r="C17" s="111"/>
      <c r="D17" s="445"/>
      <c r="E17" s="446">
        <f t="shared" si="5"/>
        <v>0</v>
      </c>
      <c r="F17" s="447">
        <f t="shared" si="0"/>
        <v>0</v>
      </c>
      <c r="G17" s="452">
        <v>0</v>
      </c>
      <c r="H17" s="452">
        <v>6600</v>
      </c>
      <c r="I17" s="453">
        <f t="shared" si="13"/>
        <v>6600</v>
      </c>
      <c r="J17" s="450">
        <f t="shared" si="1"/>
        <v>6.7245691823809763E-4</v>
      </c>
      <c r="K17" s="456"/>
      <c r="L17" s="452"/>
      <c r="M17" s="452">
        <f>6000+500</f>
        <v>6500</v>
      </c>
      <c r="N17" s="453">
        <f t="shared" si="14"/>
        <v>6500</v>
      </c>
      <c r="O17" s="450">
        <f t="shared" si="2"/>
        <v>8.2524323108690647E-4</v>
      </c>
      <c r="P17" s="454" t="s">
        <v>501</v>
      </c>
      <c r="Q17" s="452"/>
      <c r="R17" s="452"/>
      <c r="S17" s="453">
        <f t="shared" si="15"/>
        <v>0</v>
      </c>
      <c r="T17" s="450">
        <f t="shared" si="3"/>
        <v>0</v>
      </c>
      <c r="U17" s="462"/>
      <c r="V17" s="452"/>
      <c r="W17" s="452"/>
      <c r="X17" s="453">
        <f t="shared" si="16"/>
        <v>0</v>
      </c>
      <c r="Y17" s="450">
        <f t="shared" si="28"/>
        <v>0</v>
      </c>
      <c r="Z17" s="714"/>
      <c r="AA17" s="452"/>
      <c r="AB17" s="452"/>
      <c r="AC17" s="592">
        <f t="shared" si="17"/>
        <v>0</v>
      </c>
      <c r="AD17" s="595">
        <f t="shared" si="18"/>
        <v>0</v>
      </c>
      <c r="AE17" s="714"/>
      <c r="AF17" s="452"/>
      <c r="AG17" s="452"/>
      <c r="AH17" s="592">
        <f t="shared" si="19"/>
        <v>0</v>
      </c>
      <c r="AI17" s="541">
        <f t="shared" si="29"/>
        <v>0</v>
      </c>
      <c r="AJ17" s="714"/>
      <c r="AK17" s="452"/>
      <c r="AL17" s="452"/>
      <c r="AM17" s="592">
        <f t="shared" si="20"/>
        <v>0</v>
      </c>
      <c r="AN17" s="541">
        <f t="shared" si="21"/>
        <v>0</v>
      </c>
      <c r="AO17" s="601"/>
      <c r="AP17" s="785"/>
      <c r="AQ17" s="714"/>
      <c r="AR17" s="592">
        <f t="shared" si="22"/>
        <v>0</v>
      </c>
      <c r="AS17" s="785">
        <f t="shared" si="6"/>
        <v>0</v>
      </c>
      <c r="AT17" s="714"/>
      <c r="AU17" s="714"/>
      <c r="AV17" s="714"/>
      <c r="AW17" s="592">
        <f t="shared" si="23"/>
        <v>0</v>
      </c>
      <c r="AX17" s="785">
        <f t="shared" si="7"/>
        <v>0</v>
      </c>
      <c r="AY17" s="714"/>
      <c r="AZ17" s="714"/>
      <c r="BA17" s="714"/>
      <c r="BB17" s="592">
        <f t="shared" si="24"/>
        <v>0</v>
      </c>
      <c r="BC17" s="785">
        <f t="shared" si="8"/>
        <v>0</v>
      </c>
      <c r="BD17" s="601"/>
      <c r="BE17" s="785"/>
      <c r="BF17" s="714"/>
      <c r="BG17" s="592">
        <f t="shared" si="25"/>
        <v>0</v>
      </c>
      <c r="BH17" s="785">
        <f t="shared" si="9"/>
        <v>0</v>
      </c>
      <c r="BI17" s="714"/>
      <c r="BJ17" s="785"/>
      <c r="BK17" s="714"/>
      <c r="BL17" s="592">
        <f t="shared" si="26"/>
        <v>0</v>
      </c>
      <c r="BM17" s="785">
        <f t="shared" si="10"/>
        <v>0</v>
      </c>
      <c r="BN17" s="714"/>
      <c r="BO17" s="560">
        <f t="shared" si="11"/>
        <v>0</v>
      </c>
      <c r="BP17" s="452">
        <f t="shared" si="12"/>
        <v>13100</v>
      </c>
      <c r="BQ17" s="453">
        <f t="shared" si="27"/>
        <v>13100</v>
      </c>
      <c r="BR17" s="450">
        <f t="shared" si="4"/>
        <v>4.1993648734021391E-4</v>
      </c>
      <c r="BS17" s="456"/>
      <c r="BT17" s="842"/>
      <c r="BU17" s="842"/>
      <c r="BW17" s="933"/>
    </row>
    <row r="18" spans="1:75" s="2" customFormat="1" ht="13.95" customHeight="1" outlineLevel="2" x14ac:dyDescent="0.25">
      <c r="A18" s="238"/>
      <c r="B18" s="471" t="s">
        <v>0</v>
      </c>
      <c r="C18" s="111">
        <v>4314903</v>
      </c>
      <c r="D18" s="445"/>
      <c r="E18" s="446">
        <f t="shared" si="5"/>
        <v>4314903</v>
      </c>
      <c r="F18" s="447">
        <f t="shared" si="0"/>
        <v>0.13569479813524363</v>
      </c>
      <c r="G18" s="452">
        <v>1276882.3599999999</v>
      </c>
      <c r="H18" s="452">
        <v>8100</v>
      </c>
      <c r="I18" s="453">
        <f t="shared" si="13"/>
        <v>1284982.3599999999</v>
      </c>
      <c r="J18" s="450">
        <f t="shared" si="1"/>
        <v>0.1309235269387754</v>
      </c>
      <c r="K18" s="456"/>
      <c r="L18" s="452">
        <f>1558.2*786.09+437157.6</f>
        <v>1662043.0380000002</v>
      </c>
      <c r="M18" s="452">
        <v>2000</v>
      </c>
      <c r="N18" s="453">
        <f t="shared" si="14"/>
        <v>1664043.0380000002</v>
      </c>
      <c r="O18" s="450">
        <f t="shared" si="2"/>
        <v>0.21126773128412185</v>
      </c>
      <c r="P18" s="454" t="s">
        <v>537</v>
      </c>
      <c r="Q18" s="452">
        <f>165000+14500+3400.07</f>
        <v>182900.07</v>
      </c>
      <c r="R18" s="452">
        <v>10200</v>
      </c>
      <c r="S18" s="453">
        <f t="shared" si="15"/>
        <v>193100.07</v>
      </c>
      <c r="T18" s="450">
        <f t="shared" si="3"/>
        <v>0.14030192840418157</v>
      </c>
      <c r="U18" s="455" t="s">
        <v>616</v>
      </c>
      <c r="V18" s="452">
        <f>142305*1.2+32060*1.2+14400*1.2+40090*1.2</f>
        <v>274626</v>
      </c>
      <c r="W18" s="452">
        <v>3300</v>
      </c>
      <c r="X18" s="453">
        <f t="shared" si="16"/>
        <v>277926</v>
      </c>
      <c r="Y18" s="450">
        <f t="shared" si="28"/>
        <v>9.0581422558054181E-2</v>
      </c>
      <c r="Z18" s="714" t="s">
        <v>680</v>
      </c>
      <c r="AA18" s="452">
        <f>32062.5*1.2+10000*1.2+10000*1.2</f>
        <v>62475</v>
      </c>
      <c r="AB18" s="452">
        <v>30000</v>
      </c>
      <c r="AC18" s="592">
        <f t="shared" si="17"/>
        <v>92475</v>
      </c>
      <c r="AD18" s="595">
        <f t="shared" si="18"/>
        <v>0.28938623588083789</v>
      </c>
      <c r="AE18" s="714" t="s">
        <v>755</v>
      </c>
      <c r="AF18" s="452">
        <f>20000*1.2</f>
        <v>24000</v>
      </c>
      <c r="AG18" s="452"/>
      <c r="AH18" s="592">
        <f t="shared" si="19"/>
        <v>24000</v>
      </c>
      <c r="AI18" s="541">
        <f t="shared" si="29"/>
        <v>6.947047842917704E-3</v>
      </c>
      <c r="AJ18" s="714" t="s">
        <v>808</v>
      </c>
      <c r="AK18" s="452"/>
      <c r="AL18" s="452">
        <v>1000</v>
      </c>
      <c r="AM18" s="592">
        <f t="shared" si="20"/>
        <v>1000</v>
      </c>
      <c r="AN18" s="541">
        <f t="shared" si="21"/>
        <v>4.645795950185247E-4</v>
      </c>
      <c r="AO18" s="601" t="s">
        <v>833</v>
      </c>
      <c r="AP18" s="785"/>
      <c r="AQ18" s="714"/>
      <c r="AR18" s="592">
        <f t="shared" si="22"/>
        <v>0</v>
      </c>
      <c r="AS18" s="785">
        <f t="shared" si="6"/>
        <v>0</v>
      </c>
      <c r="AT18" s="714"/>
      <c r="AU18" s="714">
        <f>232166.4+319973*1.2+9439*1.2+22014*1.2</f>
        <v>653877.60000000009</v>
      </c>
      <c r="AV18" s="714">
        <v>50150</v>
      </c>
      <c r="AW18" s="592">
        <f t="shared" si="23"/>
        <v>704027.60000000009</v>
      </c>
      <c r="AX18" s="785">
        <f t="shared" si="7"/>
        <v>0.37770427749002178</v>
      </c>
      <c r="AY18" s="714" t="s">
        <v>905</v>
      </c>
      <c r="AZ18" s="714">
        <v>818499.21199999901</v>
      </c>
      <c r="BA18" s="714">
        <v>152210</v>
      </c>
      <c r="BB18" s="592">
        <f t="shared" si="24"/>
        <v>970709.21199999901</v>
      </c>
      <c r="BC18" s="785">
        <f t="shared" si="8"/>
        <v>0.52077648883561944</v>
      </c>
      <c r="BD18" s="601"/>
      <c r="BE18" s="785"/>
      <c r="BF18" s="714"/>
      <c r="BG18" s="592">
        <f t="shared" si="25"/>
        <v>0</v>
      </c>
      <c r="BH18" s="785">
        <f t="shared" si="9"/>
        <v>0</v>
      </c>
      <c r="BI18" s="714"/>
      <c r="BJ18" s="785"/>
      <c r="BK18" s="714"/>
      <c r="BL18" s="592">
        <f t="shared" si="26"/>
        <v>0</v>
      </c>
      <c r="BM18" s="785">
        <f t="shared" si="10"/>
        <v>0</v>
      </c>
      <c r="BN18" s="714"/>
      <c r="BO18" s="560">
        <f t="shared" si="11"/>
        <v>4955303.2799999993</v>
      </c>
      <c r="BP18" s="452">
        <f t="shared" si="12"/>
        <v>256960</v>
      </c>
      <c r="BQ18" s="453">
        <f t="shared" si="27"/>
        <v>5212263.2799999993</v>
      </c>
      <c r="BR18" s="450">
        <f t="shared" si="4"/>
        <v>0.16708546052638026</v>
      </c>
      <c r="BS18" s="456"/>
      <c r="BT18" s="842"/>
      <c r="BU18" s="842"/>
      <c r="BV18" s="842"/>
      <c r="BW18" s="933"/>
    </row>
    <row r="19" spans="1:75" s="2" customFormat="1" ht="13.95" customHeight="1" outlineLevel="2" x14ac:dyDescent="0.25">
      <c r="A19" s="238"/>
      <c r="B19" s="471" t="s">
        <v>53</v>
      </c>
      <c r="C19" s="114">
        <v>12000</v>
      </c>
      <c r="D19" s="445"/>
      <c r="E19" s="446">
        <f t="shared" si="5"/>
        <v>12000</v>
      </c>
      <c r="F19" s="447">
        <f t="shared" si="0"/>
        <v>3.7737524519622422E-4</v>
      </c>
      <c r="G19" s="452">
        <v>33350</v>
      </c>
      <c r="H19" s="452">
        <v>0</v>
      </c>
      <c r="I19" s="453">
        <f t="shared" si="13"/>
        <v>33350</v>
      </c>
      <c r="J19" s="450">
        <f t="shared" si="1"/>
        <v>3.3979451853394784E-3</v>
      </c>
      <c r="K19" s="456"/>
      <c r="L19" s="452">
        <f>5184+1500</f>
        <v>6684</v>
      </c>
      <c r="M19" s="452">
        <v>600</v>
      </c>
      <c r="N19" s="453">
        <f t="shared" si="14"/>
        <v>7284</v>
      </c>
      <c r="O19" s="450">
        <f t="shared" si="2"/>
        <v>9.2478026080569642E-4</v>
      </c>
      <c r="P19" s="454" t="s">
        <v>519</v>
      </c>
      <c r="Q19" s="452"/>
      <c r="R19" s="452"/>
      <c r="S19" s="453">
        <f t="shared" si="15"/>
        <v>0</v>
      </c>
      <c r="T19" s="450">
        <f t="shared" si="3"/>
        <v>0</v>
      </c>
      <c r="U19" s="462"/>
      <c r="V19" s="452"/>
      <c r="W19" s="452"/>
      <c r="X19" s="453">
        <f t="shared" si="16"/>
        <v>0</v>
      </c>
      <c r="Y19" s="450">
        <f t="shared" si="28"/>
        <v>0</v>
      </c>
      <c r="Z19" s="714"/>
      <c r="AA19" s="452">
        <f>1160*1.2</f>
        <v>1392</v>
      </c>
      <c r="AB19" s="452"/>
      <c r="AC19" s="592">
        <f t="shared" si="17"/>
        <v>1392</v>
      </c>
      <c r="AD19" s="595">
        <f t="shared" si="18"/>
        <v>4.3560490980927421E-3</v>
      </c>
      <c r="AE19" s="714" t="s">
        <v>749</v>
      </c>
      <c r="AF19" s="452"/>
      <c r="AG19" s="452"/>
      <c r="AH19" s="592">
        <f t="shared" si="19"/>
        <v>0</v>
      </c>
      <c r="AI19" s="541">
        <f t="shared" si="29"/>
        <v>0</v>
      </c>
      <c r="AJ19" s="714"/>
      <c r="AK19" s="452"/>
      <c r="AL19" s="452"/>
      <c r="AM19" s="592">
        <f t="shared" si="20"/>
        <v>0</v>
      </c>
      <c r="AN19" s="541">
        <f t="shared" si="21"/>
        <v>0</v>
      </c>
      <c r="AO19" s="601"/>
      <c r="AP19" s="785"/>
      <c r="AQ19" s="714"/>
      <c r="AR19" s="592">
        <f t="shared" si="22"/>
        <v>0</v>
      </c>
      <c r="AS19" s="785">
        <f t="shared" si="6"/>
        <v>0</v>
      </c>
      <c r="AT19" s="714"/>
      <c r="AU19" s="714">
        <f>2520*1.2</f>
        <v>3024</v>
      </c>
      <c r="AV19" s="714"/>
      <c r="AW19" s="592">
        <f t="shared" si="23"/>
        <v>3024</v>
      </c>
      <c r="AX19" s="785">
        <f t="shared" si="7"/>
        <v>1.6223479521681049E-3</v>
      </c>
      <c r="AY19" s="714" t="s">
        <v>882</v>
      </c>
      <c r="AZ19" s="714">
        <f>1680*1.2-19512</f>
        <v>-17496</v>
      </c>
      <c r="BA19" s="714"/>
      <c r="BB19" s="592">
        <f t="shared" si="24"/>
        <v>-17496</v>
      </c>
      <c r="BC19" s="785">
        <f t="shared" si="8"/>
        <v>-9.3864417232583201E-3</v>
      </c>
      <c r="BD19" s="601" t="s">
        <v>882</v>
      </c>
      <c r="BE19" s="785"/>
      <c r="BF19" s="714"/>
      <c r="BG19" s="592">
        <f t="shared" si="25"/>
        <v>0</v>
      </c>
      <c r="BH19" s="785">
        <f t="shared" si="9"/>
        <v>0</v>
      </c>
      <c r="BI19" s="714"/>
      <c r="BJ19" s="785"/>
      <c r="BK19" s="714"/>
      <c r="BL19" s="592">
        <f t="shared" si="26"/>
        <v>0</v>
      </c>
      <c r="BM19" s="785">
        <f t="shared" si="10"/>
        <v>0</v>
      </c>
      <c r="BN19" s="714"/>
      <c r="BO19" s="560">
        <f t="shared" si="11"/>
        <v>26954</v>
      </c>
      <c r="BP19" s="932">
        <f t="shared" si="12"/>
        <v>600</v>
      </c>
      <c r="BQ19" s="453">
        <f t="shared" si="27"/>
        <v>27554</v>
      </c>
      <c r="BR19" s="450">
        <f t="shared" si="4"/>
        <v>8.8327709711238575E-4</v>
      </c>
      <c r="BS19" s="456"/>
      <c r="BT19" s="842"/>
      <c r="BU19" s="842"/>
      <c r="BV19" s="842"/>
      <c r="BW19" s="933"/>
    </row>
    <row r="20" spans="1:75" s="2" customFormat="1" ht="13.95" customHeight="1" outlineLevel="2" x14ac:dyDescent="0.25">
      <c r="A20" s="238"/>
      <c r="B20" s="471" t="s">
        <v>57</v>
      </c>
      <c r="C20" s="114">
        <v>57600</v>
      </c>
      <c r="D20" s="445"/>
      <c r="E20" s="446">
        <f t="shared" si="5"/>
        <v>57600</v>
      </c>
      <c r="F20" s="447">
        <f t="shared" si="0"/>
        <v>1.8114011769418763E-3</v>
      </c>
      <c r="G20" s="452">
        <v>52142.5</v>
      </c>
      <c r="H20" s="452">
        <v>0</v>
      </c>
      <c r="I20" s="453">
        <f t="shared" si="13"/>
        <v>52142.5</v>
      </c>
      <c r="J20" s="450">
        <f t="shared" si="1"/>
        <v>5.3126643726106072E-3</v>
      </c>
      <c r="K20" s="456"/>
      <c r="L20" s="452"/>
      <c r="M20" s="452"/>
      <c r="N20" s="453">
        <f t="shared" si="14"/>
        <v>0</v>
      </c>
      <c r="O20" s="450">
        <f t="shared" si="2"/>
        <v>0</v>
      </c>
      <c r="P20" s="456"/>
      <c r="Q20" s="452"/>
      <c r="R20" s="452"/>
      <c r="S20" s="453">
        <f t="shared" si="15"/>
        <v>0</v>
      </c>
      <c r="T20" s="450">
        <f t="shared" si="3"/>
        <v>0</v>
      </c>
      <c r="U20" s="465"/>
      <c r="V20" s="452"/>
      <c r="W20" s="452"/>
      <c r="X20" s="453">
        <f t="shared" si="16"/>
        <v>0</v>
      </c>
      <c r="Y20" s="450">
        <f t="shared" si="28"/>
        <v>0</v>
      </c>
      <c r="Z20" s="714"/>
      <c r="AA20" s="452"/>
      <c r="AB20" s="452"/>
      <c r="AC20" s="592">
        <f t="shared" si="17"/>
        <v>0</v>
      </c>
      <c r="AD20" s="595">
        <f t="shared" si="18"/>
        <v>0</v>
      </c>
      <c r="AE20" s="714"/>
      <c r="AF20" s="452"/>
      <c r="AG20" s="452"/>
      <c r="AH20" s="592">
        <f t="shared" si="19"/>
        <v>0</v>
      </c>
      <c r="AI20" s="541">
        <f t="shared" si="29"/>
        <v>0</v>
      </c>
      <c r="AJ20" s="714"/>
      <c r="AK20" s="452"/>
      <c r="AL20" s="452"/>
      <c r="AM20" s="592">
        <f t="shared" si="20"/>
        <v>0</v>
      </c>
      <c r="AN20" s="541">
        <f t="shared" si="21"/>
        <v>0</v>
      </c>
      <c r="AO20" s="601"/>
      <c r="AP20" s="785"/>
      <c r="AQ20" s="714"/>
      <c r="AR20" s="592">
        <f t="shared" si="22"/>
        <v>0</v>
      </c>
      <c r="AS20" s="785">
        <f t="shared" si="6"/>
        <v>0</v>
      </c>
      <c r="AT20" s="714"/>
      <c r="AU20" s="714"/>
      <c r="AV20" s="714"/>
      <c r="AW20" s="592">
        <f t="shared" si="23"/>
        <v>0</v>
      </c>
      <c r="AX20" s="785">
        <f t="shared" si="7"/>
        <v>0</v>
      </c>
      <c r="AY20" s="714"/>
      <c r="AZ20" s="714"/>
      <c r="BA20" s="714"/>
      <c r="BB20" s="592">
        <f t="shared" si="24"/>
        <v>0</v>
      </c>
      <c r="BC20" s="785">
        <f t="shared" si="8"/>
        <v>0</v>
      </c>
      <c r="BD20" s="601"/>
      <c r="BE20" s="785"/>
      <c r="BF20" s="714"/>
      <c r="BG20" s="592">
        <f t="shared" si="25"/>
        <v>0</v>
      </c>
      <c r="BH20" s="785">
        <f t="shared" si="9"/>
        <v>0</v>
      </c>
      <c r="BI20" s="714"/>
      <c r="BJ20" s="785"/>
      <c r="BK20" s="714"/>
      <c r="BL20" s="592">
        <f t="shared" si="26"/>
        <v>0</v>
      </c>
      <c r="BM20" s="785">
        <f t="shared" si="10"/>
        <v>0</v>
      </c>
      <c r="BN20" s="714"/>
      <c r="BO20" s="560">
        <f t="shared" si="11"/>
        <v>52142.5</v>
      </c>
      <c r="BP20" s="452">
        <f t="shared" si="12"/>
        <v>0</v>
      </c>
      <c r="BQ20" s="453">
        <f t="shared" si="27"/>
        <v>52142.5</v>
      </c>
      <c r="BR20" s="450">
        <f t="shared" si="4"/>
        <v>1.6714914726058856E-3</v>
      </c>
      <c r="BS20" s="456"/>
      <c r="BT20" s="842"/>
      <c r="BU20" s="842"/>
      <c r="BW20" s="933"/>
    </row>
    <row r="21" spans="1:75" s="2" customFormat="1" ht="13.95" customHeight="1" outlineLevel="2" x14ac:dyDescent="0.25">
      <c r="A21" s="238"/>
      <c r="B21" s="471" t="s">
        <v>58</v>
      </c>
      <c r="C21" s="114">
        <v>1066632</v>
      </c>
      <c r="D21" s="445"/>
      <c r="E21" s="446">
        <f t="shared" si="5"/>
        <v>1066632</v>
      </c>
      <c r="F21" s="447">
        <f t="shared" si="0"/>
        <v>3.3543376044511589E-2</v>
      </c>
      <c r="G21" s="452">
        <v>803459.67999999993</v>
      </c>
      <c r="H21" s="452">
        <v>40550</v>
      </c>
      <c r="I21" s="453">
        <f t="shared" si="13"/>
        <v>844009.67999999993</v>
      </c>
      <c r="J21" s="450">
        <f t="shared" si="1"/>
        <v>8.5993961875139843E-2</v>
      </c>
      <c r="K21" s="456"/>
      <c r="L21" s="452">
        <f>(179*393.7+154*409.71+44*243.17+65*405.2)</f>
        <v>170605.12000000002</v>
      </c>
      <c r="M21" s="452">
        <v>950</v>
      </c>
      <c r="N21" s="453">
        <f t="shared" si="14"/>
        <v>171555.12000000002</v>
      </c>
      <c r="O21" s="450">
        <f t="shared" si="2"/>
        <v>2.1780723313584924E-2</v>
      </c>
      <c r="P21" s="454" t="s">
        <v>503</v>
      </c>
      <c r="Q21" s="452">
        <f>71063+40520</f>
        <v>111583</v>
      </c>
      <c r="R21" s="452">
        <v>1200</v>
      </c>
      <c r="S21" s="453">
        <f t="shared" si="15"/>
        <v>112783</v>
      </c>
      <c r="T21" s="450">
        <f t="shared" si="3"/>
        <v>8.1945451346593548E-2</v>
      </c>
      <c r="U21" s="455" t="s">
        <v>595</v>
      </c>
      <c r="V21" s="452">
        <v>34646</v>
      </c>
      <c r="W21" s="452"/>
      <c r="X21" s="453">
        <f t="shared" si="16"/>
        <v>34646</v>
      </c>
      <c r="Y21" s="450">
        <f t="shared" si="28"/>
        <v>1.1291796974541227E-2</v>
      </c>
      <c r="Z21" s="714" t="s">
        <v>677</v>
      </c>
      <c r="AA21" s="452"/>
      <c r="AB21" s="452"/>
      <c r="AC21" s="592">
        <f t="shared" si="17"/>
        <v>0</v>
      </c>
      <c r="AD21" s="595">
        <f t="shared" si="18"/>
        <v>0</v>
      </c>
      <c r="AE21" s="714"/>
      <c r="AF21" s="452"/>
      <c r="AG21" s="452"/>
      <c r="AH21" s="592">
        <f t="shared" si="19"/>
        <v>0</v>
      </c>
      <c r="AI21" s="541">
        <f t="shared" si="29"/>
        <v>0</v>
      </c>
      <c r="AJ21" s="714"/>
      <c r="AK21" s="452"/>
      <c r="AL21" s="452"/>
      <c r="AM21" s="592">
        <f t="shared" si="20"/>
        <v>0</v>
      </c>
      <c r="AN21" s="541">
        <f t="shared" si="21"/>
        <v>0</v>
      </c>
      <c r="AO21" s="601"/>
      <c r="AP21" s="785"/>
      <c r="AQ21" s="714"/>
      <c r="AR21" s="592">
        <f t="shared" si="22"/>
        <v>0</v>
      </c>
      <c r="AS21" s="785">
        <f t="shared" si="6"/>
        <v>0</v>
      </c>
      <c r="AT21" s="714"/>
      <c r="AU21" s="714"/>
      <c r="AV21" s="714"/>
      <c r="AW21" s="592">
        <f t="shared" si="23"/>
        <v>0</v>
      </c>
      <c r="AX21" s="785">
        <f t="shared" si="7"/>
        <v>0</v>
      </c>
      <c r="AY21" s="714"/>
      <c r="AZ21" s="714">
        <v>37715.540000000197</v>
      </c>
      <c r="BA21" s="714"/>
      <c r="BB21" s="592">
        <f t="shared" si="24"/>
        <v>37715.540000000197</v>
      </c>
      <c r="BC21" s="785">
        <f t="shared" si="8"/>
        <v>2.0234037395474393E-2</v>
      </c>
      <c r="BD21" s="601"/>
      <c r="BE21" s="785"/>
      <c r="BF21" s="714"/>
      <c r="BG21" s="592">
        <f t="shared" si="25"/>
        <v>0</v>
      </c>
      <c r="BH21" s="785">
        <f t="shared" si="9"/>
        <v>0</v>
      </c>
      <c r="BI21" s="714"/>
      <c r="BJ21" s="785"/>
      <c r="BK21" s="714"/>
      <c r="BL21" s="592">
        <f t="shared" si="26"/>
        <v>0</v>
      </c>
      <c r="BM21" s="785">
        <f t="shared" si="10"/>
        <v>0</v>
      </c>
      <c r="BN21" s="714"/>
      <c r="BO21" s="560">
        <f t="shared" si="11"/>
        <v>1158009.3400000001</v>
      </c>
      <c r="BP21" s="452">
        <f t="shared" si="12"/>
        <v>42700</v>
      </c>
      <c r="BQ21" s="453">
        <f t="shared" si="27"/>
        <v>1200709.3400000001</v>
      </c>
      <c r="BR21" s="450">
        <f t="shared" si="4"/>
        <v>3.8490203248563865E-2</v>
      </c>
      <c r="BS21" s="456"/>
      <c r="BT21" s="842"/>
      <c r="BU21" s="842"/>
      <c r="BV21" s="842"/>
      <c r="BW21" s="933"/>
    </row>
    <row r="22" spans="1:75" s="2" customFormat="1" ht="13.95" customHeight="1" outlineLevel="2" x14ac:dyDescent="0.25">
      <c r="A22" s="238"/>
      <c r="B22" s="471" t="s">
        <v>621</v>
      </c>
      <c r="C22" s="114"/>
      <c r="D22" s="445"/>
      <c r="E22" s="446">
        <f>C22+D22</f>
        <v>0</v>
      </c>
      <c r="F22" s="447">
        <f t="shared" si="0"/>
        <v>0</v>
      </c>
      <c r="G22" s="452"/>
      <c r="H22" s="452"/>
      <c r="I22" s="453"/>
      <c r="J22" s="450"/>
      <c r="K22" s="456"/>
      <c r="L22" s="452"/>
      <c r="M22" s="452"/>
      <c r="N22" s="453"/>
      <c r="O22" s="450"/>
      <c r="P22" s="454"/>
      <c r="Q22" s="452"/>
      <c r="R22" s="452"/>
      <c r="S22" s="453"/>
      <c r="T22" s="450">
        <f t="shared" si="3"/>
        <v>0</v>
      </c>
      <c r="U22" s="455"/>
      <c r="V22" s="452"/>
      <c r="W22" s="452"/>
      <c r="X22" s="453">
        <f t="shared" si="16"/>
        <v>0</v>
      </c>
      <c r="Y22" s="450">
        <f t="shared" si="28"/>
        <v>0</v>
      </c>
      <c r="Z22" s="714"/>
      <c r="AA22" s="452"/>
      <c r="AB22" s="452">
        <v>7200</v>
      </c>
      <c r="AC22" s="592">
        <f t="shared" si="17"/>
        <v>7200</v>
      </c>
      <c r="AD22" s="595">
        <f t="shared" si="18"/>
        <v>2.2531288438410735E-2</v>
      </c>
      <c r="AE22" s="714" t="s">
        <v>756</v>
      </c>
      <c r="AF22" s="452">
        <v>182625</v>
      </c>
      <c r="AG22" s="452"/>
      <c r="AH22" s="592">
        <f>AF22+AG22*1</f>
        <v>182625</v>
      </c>
      <c r="AI22" s="541">
        <f>AH22/$AH$89</f>
        <v>5.2862692179701902E-2</v>
      </c>
      <c r="AJ22" s="714" t="s">
        <v>819</v>
      </c>
      <c r="AK22" s="452"/>
      <c r="AL22" s="452">
        <v>2000</v>
      </c>
      <c r="AM22" s="592">
        <f t="shared" si="20"/>
        <v>2000</v>
      </c>
      <c r="AN22" s="541">
        <f t="shared" si="21"/>
        <v>9.291591900370494E-4</v>
      </c>
      <c r="AO22" s="601" t="s">
        <v>831</v>
      </c>
      <c r="AP22" s="785"/>
      <c r="AQ22" s="714"/>
      <c r="AR22" s="592">
        <f t="shared" si="22"/>
        <v>0</v>
      </c>
      <c r="AS22" s="785">
        <f t="shared" si="6"/>
        <v>0</v>
      </c>
      <c r="AT22" s="714"/>
      <c r="AU22" s="714"/>
      <c r="AV22" s="714"/>
      <c r="AW22" s="592">
        <f t="shared" si="23"/>
        <v>0</v>
      </c>
      <c r="AX22" s="785">
        <f t="shared" si="7"/>
        <v>0</v>
      </c>
      <c r="AY22" s="714"/>
      <c r="AZ22" s="714">
        <v>88435.28</v>
      </c>
      <c r="BA22" s="714">
        <f>50000+700</f>
        <v>50700</v>
      </c>
      <c r="BB22" s="592">
        <f t="shared" si="24"/>
        <v>139135.28</v>
      </c>
      <c r="BC22" s="785">
        <f t="shared" si="8"/>
        <v>7.464478722960842E-2</v>
      </c>
      <c r="BD22" s="601"/>
      <c r="BE22" s="785"/>
      <c r="BF22" s="714"/>
      <c r="BG22" s="592">
        <f t="shared" si="25"/>
        <v>0</v>
      </c>
      <c r="BH22" s="785">
        <f t="shared" si="9"/>
        <v>0</v>
      </c>
      <c r="BI22" s="714"/>
      <c r="BJ22" s="785"/>
      <c r="BK22" s="714"/>
      <c r="BL22" s="592">
        <f t="shared" si="26"/>
        <v>0</v>
      </c>
      <c r="BM22" s="785">
        <f t="shared" si="10"/>
        <v>0</v>
      </c>
      <c r="BN22" s="714"/>
      <c r="BO22" s="560">
        <f t="shared" si="11"/>
        <v>271060.28000000003</v>
      </c>
      <c r="BP22" s="452">
        <f t="shared" si="12"/>
        <v>59900</v>
      </c>
      <c r="BQ22" s="453">
        <f t="shared" si="27"/>
        <v>330960.28000000003</v>
      </c>
      <c r="BR22" s="450">
        <f>BQ22/$BQ$89</f>
        <v>1.0609335681857531E-2</v>
      </c>
      <c r="BS22" s="456"/>
      <c r="BT22" s="842"/>
      <c r="BU22" s="842"/>
      <c r="BV22" s="842"/>
      <c r="BW22" s="933"/>
    </row>
    <row r="23" spans="1:75" s="2" customFormat="1" ht="13.95" customHeight="1" outlineLevel="2" x14ac:dyDescent="0.25">
      <c r="A23" s="238"/>
      <c r="B23" s="471" t="s">
        <v>630</v>
      </c>
      <c r="C23" s="114"/>
      <c r="D23" s="445"/>
      <c r="E23" s="446"/>
      <c r="F23" s="447"/>
      <c r="G23" s="452"/>
      <c r="H23" s="452"/>
      <c r="I23" s="453"/>
      <c r="J23" s="450"/>
      <c r="K23" s="456"/>
      <c r="L23" s="452"/>
      <c r="M23" s="452"/>
      <c r="N23" s="453"/>
      <c r="O23" s="450"/>
      <c r="P23" s="454"/>
      <c r="Q23" s="452"/>
      <c r="R23" s="452"/>
      <c r="S23" s="453"/>
      <c r="T23" s="450"/>
      <c r="U23" s="455"/>
      <c r="V23" s="452"/>
      <c r="W23" s="452"/>
      <c r="X23" s="453">
        <f t="shared" si="16"/>
        <v>0</v>
      </c>
      <c r="Y23" s="450">
        <f t="shared" si="28"/>
        <v>0</v>
      </c>
      <c r="Z23" s="714"/>
      <c r="AA23" s="452"/>
      <c r="AB23" s="452"/>
      <c r="AC23" s="592">
        <f t="shared" si="17"/>
        <v>0</v>
      </c>
      <c r="AD23" s="595">
        <f t="shared" si="18"/>
        <v>0</v>
      </c>
      <c r="AE23" s="714"/>
      <c r="AF23" s="452"/>
      <c r="AG23" s="452"/>
      <c r="AH23" s="592">
        <f>AF23+AG23*1</f>
        <v>0</v>
      </c>
      <c r="AI23" s="541">
        <f>AH23/$AH$89</f>
        <v>0</v>
      </c>
      <c r="AJ23" s="714"/>
      <c r="AK23" s="452"/>
      <c r="AL23" s="452"/>
      <c r="AM23" s="592">
        <f t="shared" si="20"/>
        <v>0</v>
      </c>
      <c r="AN23" s="541">
        <f t="shared" si="21"/>
        <v>0</v>
      </c>
      <c r="AO23" s="601"/>
      <c r="AP23" s="785"/>
      <c r="AQ23" s="714"/>
      <c r="AR23" s="592">
        <f t="shared" si="22"/>
        <v>0</v>
      </c>
      <c r="AS23" s="785">
        <f t="shared" si="6"/>
        <v>0</v>
      </c>
      <c r="AT23" s="714"/>
      <c r="AU23" s="714"/>
      <c r="AV23" s="714"/>
      <c r="AW23" s="592">
        <f t="shared" si="23"/>
        <v>0</v>
      </c>
      <c r="AX23" s="785">
        <f t="shared" si="7"/>
        <v>0</v>
      </c>
      <c r="AY23" s="714"/>
      <c r="AZ23" s="714"/>
      <c r="BA23" s="714"/>
      <c r="BB23" s="592">
        <f t="shared" si="24"/>
        <v>0</v>
      </c>
      <c r="BC23" s="785">
        <f t="shared" si="8"/>
        <v>0</v>
      </c>
      <c r="BD23" s="601"/>
      <c r="BE23" s="785"/>
      <c r="BF23" s="714"/>
      <c r="BG23" s="592">
        <f t="shared" si="25"/>
        <v>0</v>
      </c>
      <c r="BH23" s="785">
        <f t="shared" si="9"/>
        <v>0</v>
      </c>
      <c r="BI23" s="714"/>
      <c r="BJ23" s="785"/>
      <c r="BK23" s="714"/>
      <c r="BL23" s="592">
        <f t="shared" si="26"/>
        <v>0</v>
      </c>
      <c r="BM23" s="785">
        <f t="shared" si="10"/>
        <v>0</v>
      </c>
      <c r="BN23" s="714"/>
      <c r="BO23" s="560">
        <f t="shared" si="11"/>
        <v>0</v>
      </c>
      <c r="BP23" s="452">
        <f t="shared" si="12"/>
        <v>0</v>
      </c>
      <c r="BQ23" s="453">
        <f t="shared" si="27"/>
        <v>0</v>
      </c>
      <c r="BR23" s="450">
        <f>BQ23/$BQ$89</f>
        <v>0</v>
      </c>
      <c r="BS23" s="456"/>
      <c r="BT23" s="842"/>
      <c r="BU23" s="842"/>
      <c r="BW23" s="933"/>
    </row>
    <row r="24" spans="1:75" s="2" customFormat="1" ht="13.95" customHeight="1" outlineLevel="2" x14ac:dyDescent="0.25">
      <c r="A24" s="238"/>
      <c r="B24" s="471" t="s">
        <v>23</v>
      </c>
      <c r="C24" s="114">
        <v>200700</v>
      </c>
      <c r="D24" s="445"/>
      <c r="E24" s="446">
        <f t="shared" si="5"/>
        <v>200700</v>
      </c>
      <c r="F24" s="447">
        <f t="shared" ref="F24:F33" si="30">E24/$E$89</f>
        <v>6.3116009759068507E-3</v>
      </c>
      <c r="G24" s="452">
        <v>225816.67059999998</v>
      </c>
      <c r="H24" s="452">
        <v>4500</v>
      </c>
      <c r="I24" s="453">
        <f t="shared" si="13"/>
        <v>230316.67059999998</v>
      </c>
      <c r="J24" s="450">
        <f t="shared" ref="J24:J33" si="31">I24/$I$89</f>
        <v>2.3466369474323494E-2</v>
      </c>
      <c r="K24" s="456"/>
      <c r="L24" s="452">
        <f>6100+1500+350.4+3000+2190</f>
        <v>13140.4</v>
      </c>
      <c r="M24" s="452"/>
      <c r="N24" s="453">
        <f t="shared" si="14"/>
        <v>13140.4</v>
      </c>
      <c r="O24" s="450">
        <f t="shared" ref="O24:O33" si="32">N24/$N$89</f>
        <v>1.6683117159652901E-3</v>
      </c>
      <c r="P24" s="454" t="s">
        <v>518</v>
      </c>
      <c r="Q24" s="452">
        <f>2500+5500</f>
        <v>8000</v>
      </c>
      <c r="R24" s="452"/>
      <c r="S24" s="453">
        <f t="shared" si="15"/>
        <v>8000</v>
      </c>
      <c r="T24" s="450">
        <f t="shared" ref="T24:T33" si="33">S24/$S$89</f>
        <v>5.8126101519976273E-3</v>
      </c>
      <c r="U24" s="455" t="s">
        <v>596</v>
      </c>
      <c r="V24" s="452">
        <f>2583.34*1.2</f>
        <v>3100.0080000000003</v>
      </c>
      <c r="W24" s="452">
        <v>1000</v>
      </c>
      <c r="X24" s="453">
        <f t="shared" si="16"/>
        <v>4100.0079999999998</v>
      </c>
      <c r="Y24" s="450">
        <f t="shared" si="28"/>
        <v>1.3362713712981246E-3</v>
      </c>
      <c r="Z24" s="714" t="s">
        <v>678</v>
      </c>
      <c r="AA24" s="452">
        <f>8502.49*1.2</f>
        <v>10202.987999999999</v>
      </c>
      <c r="AB24" s="452">
        <v>600</v>
      </c>
      <c r="AC24" s="592">
        <f t="shared" si="17"/>
        <v>10802.987999999999</v>
      </c>
      <c r="AD24" s="595">
        <f t="shared" si="18"/>
        <v>3.3806283142318039E-2</v>
      </c>
      <c r="AE24" s="714" t="s">
        <v>753</v>
      </c>
      <c r="AF24" s="452">
        <f>23937.5*1.2</f>
        <v>28725</v>
      </c>
      <c r="AG24" s="452"/>
      <c r="AH24" s="592">
        <f t="shared" si="19"/>
        <v>28725</v>
      </c>
      <c r="AI24" s="541">
        <f t="shared" si="29"/>
        <v>8.3147478869921264E-3</v>
      </c>
      <c r="AJ24" s="714"/>
      <c r="AK24" s="452"/>
      <c r="AL24" s="452"/>
      <c r="AM24" s="592">
        <f t="shared" si="20"/>
        <v>0</v>
      </c>
      <c r="AN24" s="541">
        <f t="shared" si="21"/>
        <v>0</v>
      </c>
      <c r="AO24" s="601"/>
      <c r="AP24" s="785"/>
      <c r="AQ24" s="714"/>
      <c r="AR24" s="592">
        <f t="shared" si="22"/>
        <v>0</v>
      </c>
      <c r="AS24" s="785">
        <f t="shared" si="6"/>
        <v>0</v>
      </c>
      <c r="AT24" s="714"/>
      <c r="AU24" s="714">
        <f>8073.34*1.2+14500*1.2</f>
        <v>27088.008000000002</v>
      </c>
      <c r="AV24" s="714"/>
      <c r="AW24" s="592">
        <f t="shared" si="23"/>
        <v>27088.008000000002</v>
      </c>
      <c r="AX24" s="785">
        <f t="shared" si="7"/>
        <v>1.4532465048648559E-2</v>
      </c>
      <c r="AY24" s="714"/>
      <c r="AZ24" s="714">
        <v>86630.625399999961</v>
      </c>
      <c r="BA24" s="714">
        <v>820</v>
      </c>
      <c r="BB24" s="592">
        <f t="shared" si="24"/>
        <v>87450.625399999961</v>
      </c>
      <c r="BC24" s="785">
        <f t="shared" si="8"/>
        <v>4.6916449415843248E-2</v>
      </c>
      <c r="BD24" s="601"/>
      <c r="BE24" s="785"/>
      <c r="BF24" s="714"/>
      <c r="BG24" s="592">
        <f t="shared" si="25"/>
        <v>0</v>
      </c>
      <c r="BH24" s="785">
        <f t="shared" si="9"/>
        <v>0</v>
      </c>
      <c r="BI24" s="714"/>
      <c r="BJ24" s="785"/>
      <c r="BK24" s="714"/>
      <c r="BL24" s="592">
        <f t="shared" si="26"/>
        <v>0</v>
      </c>
      <c r="BM24" s="785">
        <f t="shared" si="10"/>
        <v>0</v>
      </c>
      <c r="BN24" s="714"/>
      <c r="BO24" s="560">
        <f t="shared" si="11"/>
        <v>402703.7</v>
      </c>
      <c r="BP24" s="452">
        <f t="shared" si="12"/>
        <v>6920</v>
      </c>
      <c r="BQ24" s="453">
        <f t="shared" si="27"/>
        <v>409623.7</v>
      </c>
      <c r="BR24" s="450">
        <f t="shared" ref="BR24:BR33" si="34">BQ24/$BQ$89</f>
        <v>1.3130987611397067E-2</v>
      </c>
      <c r="BS24" s="456"/>
      <c r="BT24" s="842"/>
      <c r="BU24" s="842"/>
      <c r="BV24" s="842"/>
      <c r="BW24" s="933"/>
    </row>
    <row r="25" spans="1:75" s="2" customFormat="1" ht="13.95" customHeight="1" outlineLevel="2" x14ac:dyDescent="0.25">
      <c r="A25" s="238"/>
      <c r="B25" s="471" t="s">
        <v>24</v>
      </c>
      <c r="C25" s="114">
        <v>479789</v>
      </c>
      <c r="D25" s="445"/>
      <c r="E25" s="446">
        <f t="shared" si="5"/>
        <v>479789</v>
      </c>
      <c r="F25" s="447">
        <f t="shared" si="30"/>
        <v>1.5088374293120935E-2</v>
      </c>
      <c r="G25" s="452">
        <v>73473.179999999993</v>
      </c>
      <c r="H25" s="452">
        <v>15052.22</v>
      </c>
      <c r="I25" s="453">
        <f t="shared" si="13"/>
        <v>88525.4</v>
      </c>
      <c r="J25" s="450">
        <f t="shared" si="31"/>
        <v>9.0196238893628621E-3</v>
      </c>
      <c r="K25" s="456"/>
      <c r="L25" s="452">
        <f>1193.77*1.2+9351.78*1.2</f>
        <v>12654.66</v>
      </c>
      <c r="M25" s="452">
        <v>3453.05</v>
      </c>
      <c r="N25" s="453">
        <f t="shared" si="14"/>
        <v>16107.71</v>
      </c>
      <c r="O25" s="450">
        <f t="shared" si="32"/>
        <v>2.0450428685862884E-3</v>
      </c>
      <c r="P25" s="454" t="s">
        <v>499</v>
      </c>
      <c r="Q25" s="452">
        <f>910.64*1.2</f>
        <v>1092.768</v>
      </c>
      <c r="R25" s="452">
        <v>1794</v>
      </c>
      <c r="S25" s="453">
        <f t="shared" si="15"/>
        <v>2886.768</v>
      </c>
      <c r="T25" s="450">
        <f t="shared" si="33"/>
        <v>2.0974571229077357E-3</v>
      </c>
      <c r="U25" s="455"/>
      <c r="V25" s="452">
        <f>7959.04*1.2</f>
        <v>9550.848</v>
      </c>
      <c r="W25" s="452">
        <v>5377.37</v>
      </c>
      <c r="X25" s="453">
        <f t="shared" si="16"/>
        <v>14928.218000000001</v>
      </c>
      <c r="Y25" s="450">
        <f t="shared" si="28"/>
        <v>4.8653930279885672E-3</v>
      </c>
      <c r="Z25" s="714" t="s">
        <v>675</v>
      </c>
      <c r="AA25" s="452">
        <f>5246.64*1.2</f>
        <v>6295.9679999999998</v>
      </c>
      <c r="AB25" s="452">
        <v>2890</v>
      </c>
      <c r="AC25" s="592">
        <f t="shared" si="17"/>
        <v>9185.9680000000008</v>
      </c>
      <c r="AD25" s="595">
        <f t="shared" si="18"/>
        <v>2.8746068693612639E-2</v>
      </c>
      <c r="AE25" s="714" t="s">
        <v>752</v>
      </c>
      <c r="AF25" s="452"/>
      <c r="AG25" s="452">
        <v>1166</v>
      </c>
      <c r="AH25" s="592">
        <f t="shared" si="19"/>
        <v>1166</v>
      </c>
      <c r="AI25" s="541">
        <f t="shared" si="29"/>
        <v>3.3751074103508514E-4</v>
      </c>
      <c r="AJ25" s="714"/>
      <c r="AK25" s="452">
        <f>2150.84*1.2</f>
        <v>2581.0080000000003</v>
      </c>
      <c r="AL25" s="452">
        <v>1777</v>
      </c>
      <c r="AM25" s="592">
        <f t="shared" si="20"/>
        <v>4358.0079999999998</v>
      </c>
      <c r="AN25" s="541">
        <f t="shared" si="21"/>
        <v>2.0246415917274906E-3</v>
      </c>
      <c r="AO25" s="601"/>
      <c r="AP25" s="785"/>
      <c r="AQ25" s="714">
        <v>1482</v>
      </c>
      <c r="AR25" s="592">
        <f t="shared" si="22"/>
        <v>1482</v>
      </c>
      <c r="AS25" s="785">
        <f t="shared" si="6"/>
        <v>4.4345160024448521E-2</v>
      </c>
      <c r="AT25" s="714"/>
      <c r="AU25" s="714"/>
      <c r="AV25" s="714"/>
      <c r="AW25" s="592">
        <f t="shared" si="23"/>
        <v>0</v>
      </c>
      <c r="AX25" s="785">
        <f t="shared" si="7"/>
        <v>0</v>
      </c>
      <c r="AY25" s="714"/>
      <c r="AZ25" s="714">
        <v>-37665.119999999981</v>
      </c>
      <c r="BA25" s="714"/>
      <c r="BB25" s="592">
        <f t="shared" si="24"/>
        <v>-37665.119999999981</v>
      </c>
      <c r="BC25" s="785">
        <f t="shared" si="8"/>
        <v>-2.0206987533123642E-2</v>
      </c>
      <c r="BD25" s="601"/>
      <c r="BE25" s="785"/>
      <c r="BF25" s="714"/>
      <c r="BG25" s="592">
        <f t="shared" si="25"/>
        <v>0</v>
      </c>
      <c r="BH25" s="785">
        <f t="shared" si="9"/>
        <v>0</v>
      </c>
      <c r="BI25" s="714"/>
      <c r="BJ25" s="785"/>
      <c r="BK25" s="714"/>
      <c r="BL25" s="592">
        <f t="shared" si="26"/>
        <v>0</v>
      </c>
      <c r="BM25" s="785">
        <f t="shared" si="10"/>
        <v>0</v>
      </c>
      <c r="BN25" s="714"/>
      <c r="BO25" s="560">
        <f t="shared" si="11"/>
        <v>67983.312000000005</v>
      </c>
      <c r="BP25" s="452">
        <f t="shared" si="12"/>
        <v>32991.64</v>
      </c>
      <c r="BQ25" s="453">
        <f t="shared" si="27"/>
        <v>100974.952</v>
      </c>
      <c r="BR25" s="450">
        <f t="shared" si="34"/>
        <v>3.2368753169638707E-3</v>
      </c>
      <c r="BS25" s="456"/>
      <c r="BT25" s="842"/>
      <c r="BU25" s="842"/>
      <c r="BW25" s="933"/>
    </row>
    <row r="26" spans="1:75" s="2" customFormat="1" ht="31.95" customHeight="1" outlineLevel="2" x14ac:dyDescent="0.25">
      <c r="A26" s="238"/>
      <c r="B26" s="471" t="s">
        <v>45</v>
      </c>
      <c r="C26" s="114">
        <v>19659021</v>
      </c>
      <c r="D26" s="445"/>
      <c r="E26" s="446">
        <f t="shared" si="5"/>
        <v>19659021</v>
      </c>
      <c r="F26" s="447">
        <f t="shared" si="30"/>
        <v>0.61823565584939344</v>
      </c>
      <c r="G26" s="452">
        <v>4346217.0600000005</v>
      </c>
      <c r="H26" s="452">
        <v>1135</v>
      </c>
      <c r="I26" s="453">
        <f t="shared" si="13"/>
        <v>4347352.0600000005</v>
      </c>
      <c r="J26" s="450">
        <f t="shared" si="31"/>
        <v>0.44294044981267361</v>
      </c>
      <c r="K26" s="456"/>
      <c r="L26" s="452">
        <f>4139435.08*1.2</f>
        <v>4967322.0959999999</v>
      </c>
      <c r="M26" s="452">
        <v>260</v>
      </c>
      <c r="N26" s="453">
        <f t="shared" si="14"/>
        <v>4967582.0959999999</v>
      </c>
      <c r="O26" s="450">
        <f t="shared" si="32"/>
        <v>0.63068669224500118</v>
      </c>
      <c r="P26" s="456" t="s">
        <v>500</v>
      </c>
      <c r="Q26" s="452">
        <f>573506.87*1.2</f>
        <v>688208.24399999995</v>
      </c>
      <c r="R26" s="452"/>
      <c r="S26" s="453">
        <f t="shared" si="15"/>
        <v>688208.24399999995</v>
      </c>
      <c r="T26" s="450">
        <f t="shared" si="33"/>
        <v>0.5000357782203575</v>
      </c>
      <c r="U26" s="455" t="s">
        <v>613</v>
      </c>
      <c r="V26" s="452">
        <f>(1880826.52-185134.96)*1.2</f>
        <v>2034829.872</v>
      </c>
      <c r="W26" s="452">
        <v>86</v>
      </c>
      <c r="X26" s="453">
        <f t="shared" si="16"/>
        <v>2034915.872</v>
      </c>
      <c r="Y26" s="450">
        <f t="shared" si="28"/>
        <v>0.66321817488008783</v>
      </c>
      <c r="Z26" s="714" t="s">
        <v>676</v>
      </c>
      <c r="AA26" s="452"/>
      <c r="AB26" s="452"/>
      <c r="AC26" s="592">
        <f t="shared" si="17"/>
        <v>0</v>
      </c>
      <c r="AD26" s="595">
        <f t="shared" si="18"/>
        <v>0</v>
      </c>
      <c r="AE26" s="714"/>
      <c r="AF26" s="452">
        <f>(49592.05+2415278.44)*1.2</f>
        <v>2957844.5879999995</v>
      </c>
      <c r="AG26" s="452"/>
      <c r="AH26" s="592">
        <f t="shared" si="19"/>
        <v>2957844.5879999995</v>
      </c>
      <c r="AI26" s="541">
        <f t="shared" si="29"/>
        <v>0.85617866103130003</v>
      </c>
      <c r="AJ26" s="714"/>
      <c r="AK26" s="452">
        <f>1511855.84*1.2</f>
        <v>1814227.0080000001</v>
      </c>
      <c r="AL26" s="452"/>
      <c r="AM26" s="592">
        <f t="shared" si="20"/>
        <v>1814227.0080000001</v>
      </c>
      <c r="AN26" s="541">
        <f t="shared" si="21"/>
        <v>0.84285284864830978</v>
      </c>
      <c r="AO26" s="601"/>
      <c r="AP26" s="785"/>
      <c r="AQ26" s="714">
        <v>1658</v>
      </c>
      <c r="AR26" s="592">
        <f t="shared" si="22"/>
        <v>1658</v>
      </c>
      <c r="AS26" s="785">
        <f t="shared" si="6"/>
        <v>4.9611521808728513E-2</v>
      </c>
      <c r="AT26" s="714"/>
      <c r="AU26" s="714">
        <f>(907059.14-2016)*1.2</f>
        <v>1086051.7679999999</v>
      </c>
      <c r="AV26" s="714"/>
      <c r="AW26" s="592">
        <f t="shared" si="23"/>
        <v>1086051.7679999999</v>
      </c>
      <c r="AX26" s="785">
        <f t="shared" si="7"/>
        <v>0.58265670031856798</v>
      </c>
      <c r="AY26" s="714"/>
      <c r="AZ26" s="714">
        <f>85538.64*1.2-473748.28</f>
        <v>-371101.91200000001</v>
      </c>
      <c r="BA26" s="714">
        <v>893</v>
      </c>
      <c r="BB26" s="592">
        <f t="shared" si="24"/>
        <v>-370208.91200000001</v>
      </c>
      <c r="BC26" s="785">
        <f t="shared" si="8"/>
        <v>-0.19861364757195177</v>
      </c>
      <c r="BD26" s="601"/>
      <c r="BE26" s="785"/>
      <c r="BF26" s="714"/>
      <c r="BG26" s="592">
        <f t="shared" si="25"/>
        <v>0</v>
      </c>
      <c r="BH26" s="785">
        <f t="shared" si="9"/>
        <v>0</v>
      </c>
      <c r="BI26" s="714"/>
      <c r="BJ26" s="785">
        <f>168183.64*1.2</f>
        <v>201820.36800000002</v>
      </c>
      <c r="BK26" s="714"/>
      <c r="BL26" s="592">
        <f t="shared" si="26"/>
        <v>201820.36800000002</v>
      </c>
      <c r="BM26" s="785">
        <f t="shared" si="10"/>
        <v>0.10827475553261023</v>
      </c>
      <c r="BN26" s="714" t="s">
        <v>1153</v>
      </c>
      <c r="BO26" s="560">
        <f t="shared" si="11"/>
        <v>17725419.091999996</v>
      </c>
      <c r="BP26" s="452">
        <f t="shared" si="12"/>
        <v>4032</v>
      </c>
      <c r="BQ26" s="453">
        <f t="shared" si="27"/>
        <v>17729451.091999996</v>
      </c>
      <c r="BR26" s="450">
        <f t="shared" si="34"/>
        <v>0.56833919191180138</v>
      </c>
      <c r="BS26" s="456"/>
      <c r="BT26" s="842"/>
      <c r="BU26" s="842"/>
      <c r="BV26" s="842"/>
      <c r="BW26" s="933"/>
    </row>
    <row r="27" spans="1:75" s="2" customFormat="1" ht="13.95" customHeight="1" outlineLevel="2" x14ac:dyDescent="0.25">
      <c r="A27" s="238"/>
      <c r="B27" s="471" t="s">
        <v>25</v>
      </c>
      <c r="C27" s="114"/>
      <c r="D27" s="445"/>
      <c r="E27" s="446">
        <f t="shared" si="5"/>
        <v>0</v>
      </c>
      <c r="F27" s="447">
        <f t="shared" si="30"/>
        <v>0</v>
      </c>
      <c r="G27" s="452">
        <v>0</v>
      </c>
      <c r="H27" s="452">
        <v>1235</v>
      </c>
      <c r="I27" s="453">
        <f t="shared" si="13"/>
        <v>1235</v>
      </c>
      <c r="J27" s="450">
        <f t="shared" si="31"/>
        <v>1.2583095364000768E-4</v>
      </c>
      <c r="K27" s="456"/>
      <c r="L27" s="452">
        <f>1494</f>
        <v>1494</v>
      </c>
      <c r="M27" s="452"/>
      <c r="N27" s="453">
        <f t="shared" si="14"/>
        <v>1494</v>
      </c>
      <c r="O27" s="450">
        <f t="shared" si="32"/>
        <v>1.8967898265289822E-4</v>
      </c>
      <c r="P27" s="456" t="s">
        <v>520</v>
      </c>
      <c r="Q27" s="452"/>
      <c r="R27" s="452"/>
      <c r="S27" s="453">
        <f t="shared" si="15"/>
        <v>0</v>
      </c>
      <c r="T27" s="450">
        <f t="shared" si="33"/>
        <v>0</v>
      </c>
      <c r="U27" s="465"/>
      <c r="V27" s="452"/>
      <c r="W27" s="452"/>
      <c r="X27" s="453">
        <f t="shared" si="16"/>
        <v>0</v>
      </c>
      <c r="Y27" s="450">
        <f t="shared" si="28"/>
        <v>0</v>
      </c>
      <c r="Z27" s="714"/>
      <c r="AA27" s="452"/>
      <c r="AB27" s="452">
        <v>250</v>
      </c>
      <c r="AC27" s="592">
        <f t="shared" si="17"/>
        <v>250</v>
      </c>
      <c r="AD27" s="595">
        <f t="shared" si="18"/>
        <v>7.8233640411148387E-4</v>
      </c>
      <c r="AE27" s="714" t="s">
        <v>754</v>
      </c>
      <c r="AF27" s="452"/>
      <c r="AG27" s="452"/>
      <c r="AH27" s="592">
        <f t="shared" si="19"/>
        <v>0</v>
      </c>
      <c r="AI27" s="541">
        <f t="shared" si="29"/>
        <v>0</v>
      </c>
      <c r="AJ27" s="714"/>
      <c r="AK27" s="452"/>
      <c r="AL27" s="452"/>
      <c r="AM27" s="592">
        <f t="shared" si="20"/>
        <v>0</v>
      </c>
      <c r="AN27" s="541">
        <f t="shared" si="21"/>
        <v>0</v>
      </c>
      <c r="AO27" s="601"/>
      <c r="AP27" s="785"/>
      <c r="AQ27" s="714"/>
      <c r="AR27" s="592">
        <f t="shared" si="22"/>
        <v>0</v>
      </c>
      <c r="AS27" s="785">
        <f t="shared" si="6"/>
        <v>0</v>
      </c>
      <c r="AT27" s="714"/>
      <c r="AU27" s="714"/>
      <c r="AV27" s="714"/>
      <c r="AW27" s="592">
        <f t="shared" si="23"/>
        <v>0</v>
      </c>
      <c r="AX27" s="785">
        <f t="shared" si="7"/>
        <v>0</v>
      </c>
      <c r="AY27" s="714"/>
      <c r="AZ27" s="714">
        <v>36605.160000000003</v>
      </c>
      <c r="BA27" s="714"/>
      <c r="BB27" s="592">
        <f t="shared" si="24"/>
        <v>36605.160000000003</v>
      </c>
      <c r="BC27" s="785">
        <f t="shared" si="8"/>
        <v>1.9638328824333938E-2</v>
      </c>
      <c r="BD27" s="601"/>
      <c r="BE27" s="785"/>
      <c r="BF27" s="714"/>
      <c r="BG27" s="592">
        <f t="shared" si="25"/>
        <v>0</v>
      </c>
      <c r="BH27" s="785">
        <f t="shared" si="9"/>
        <v>0</v>
      </c>
      <c r="BI27" s="714"/>
      <c r="BJ27" s="785"/>
      <c r="BK27" s="714"/>
      <c r="BL27" s="592">
        <f t="shared" si="26"/>
        <v>0</v>
      </c>
      <c r="BM27" s="785">
        <f t="shared" si="10"/>
        <v>0</v>
      </c>
      <c r="BN27" s="714"/>
      <c r="BO27" s="560">
        <f t="shared" si="11"/>
        <v>38099.160000000003</v>
      </c>
      <c r="BP27" s="452">
        <f t="shared" si="12"/>
        <v>1485</v>
      </c>
      <c r="BQ27" s="453">
        <f t="shared" si="27"/>
        <v>39584.160000000003</v>
      </c>
      <c r="BR27" s="450">
        <f t="shared" si="34"/>
        <v>1.2689185576116797E-3</v>
      </c>
      <c r="BS27" s="456"/>
      <c r="BT27" s="842"/>
      <c r="BU27" s="842"/>
      <c r="BV27" s="842"/>
      <c r="BW27" s="933"/>
    </row>
    <row r="28" spans="1:75" s="226" customFormat="1" ht="13.95" customHeight="1" outlineLevel="2" x14ac:dyDescent="0.25">
      <c r="A28" s="238"/>
      <c r="B28" s="496" t="s">
        <v>52</v>
      </c>
      <c r="C28" s="114">
        <v>261713</v>
      </c>
      <c r="D28" s="445"/>
      <c r="E28" s="446">
        <f t="shared" si="5"/>
        <v>261713</v>
      </c>
      <c r="F28" s="447">
        <f t="shared" si="30"/>
        <v>8.2303339621699525E-3</v>
      </c>
      <c r="G28" s="452">
        <v>4009.9560000000001</v>
      </c>
      <c r="H28" s="452">
        <v>7534.2</v>
      </c>
      <c r="I28" s="453">
        <f t="shared" si="13"/>
        <v>11544.155999999999</v>
      </c>
      <c r="J28" s="450">
        <f t="shared" si="31"/>
        <v>1.1762041768817945E-3</v>
      </c>
      <c r="K28" s="456"/>
      <c r="L28" s="452"/>
      <c r="M28" s="452"/>
      <c r="N28" s="453">
        <f t="shared" si="14"/>
        <v>0</v>
      </c>
      <c r="O28" s="450">
        <f t="shared" si="32"/>
        <v>0</v>
      </c>
      <c r="P28" s="456"/>
      <c r="Q28" s="452">
        <v>750</v>
      </c>
      <c r="R28" s="452">
        <v>7858</v>
      </c>
      <c r="S28" s="453">
        <f t="shared" si="15"/>
        <v>8608</v>
      </c>
      <c r="T28" s="450">
        <f t="shared" si="33"/>
        <v>6.2543685235494466E-3</v>
      </c>
      <c r="U28" s="462" t="s">
        <v>617</v>
      </c>
      <c r="V28" s="452">
        <f>625*1.2</f>
        <v>750</v>
      </c>
      <c r="W28" s="452">
        <v>1301</v>
      </c>
      <c r="X28" s="453">
        <f t="shared" si="16"/>
        <v>2051</v>
      </c>
      <c r="Y28" s="450">
        <f t="shared" si="28"/>
        <v>6.684603011829377E-4</v>
      </c>
      <c r="Z28" s="714" t="s">
        <v>679</v>
      </c>
      <c r="AA28" s="452">
        <f>312.5*1.2</f>
        <v>375</v>
      </c>
      <c r="AB28" s="452">
        <v>1978.4</v>
      </c>
      <c r="AC28" s="592">
        <f t="shared" si="17"/>
        <v>2353.4</v>
      </c>
      <c r="AD28" s="595">
        <f t="shared" si="18"/>
        <v>7.3646019737438643E-3</v>
      </c>
      <c r="AE28" s="714" t="s">
        <v>748</v>
      </c>
      <c r="AF28" s="452"/>
      <c r="AG28" s="452"/>
      <c r="AH28" s="592">
        <f t="shared" si="19"/>
        <v>0</v>
      </c>
      <c r="AI28" s="541">
        <f t="shared" si="29"/>
        <v>0</v>
      </c>
      <c r="AJ28" s="714"/>
      <c r="AK28" s="452">
        <f>32.83</f>
        <v>32.83</v>
      </c>
      <c r="AL28" s="452"/>
      <c r="AM28" s="592">
        <f t="shared" si="20"/>
        <v>32.83</v>
      </c>
      <c r="AN28" s="541">
        <f t="shared" si="21"/>
        <v>1.5252148104458165E-5</v>
      </c>
      <c r="AO28" s="601" t="s">
        <v>835</v>
      </c>
      <c r="AP28" s="785"/>
      <c r="AQ28" s="714"/>
      <c r="AR28" s="592">
        <f t="shared" si="22"/>
        <v>0</v>
      </c>
      <c r="AS28" s="785">
        <f t="shared" si="6"/>
        <v>0</v>
      </c>
      <c r="AT28" s="714"/>
      <c r="AU28" s="714"/>
      <c r="AV28" s="714"/>
      <c r="AW28" s="592">
        <f t="shared" si="23"/>
        <v>0</v>
      </c>
      <c r="AX28" s="785">
        <f t="shared" si="7"/>
        <v>0</v>
      </c>
      <c r="AY28" s="714"/>
      <c r="AZ28" s="714">
        <v>30561.533999999992</v>
      </c>
      <c r="BA28" s="714">
        <v>4192.9999999999964</v>
      </c>
      <c r="BB28" s="592">
        <f t="shared" si="24"/>
        <v>34754.533999999985</v>
      </c>
      <c r="BC28" s="785">
        <f t="shared" si="8"/>
        <v>1.8645485140031993E-2</v>
      </c>
      <c r="BD28" s="601"/>
      <c r="BE28" s="785"/>
      <c r="BF28" s="714"/>
      <c r="BG28" s="592">
        <f t="shared" si="25"/>
        <v>0</v>
      </c>
      <c r="BH28" s="785">
        <f t="shared" si="9"/>
        <v>0</v>
      </c>
      <c r="BI28" s="714"/>
      <c r="BJ28" s="785"/>
      <c r="BK28" s="714"/>
      <c r="BL28" s="592">
        <f t="shared" si="26"/>
        <v>0</v>
      </c>
      <c r="BM28" s="785">
        <f t="shared" si="10"/>
        <v>0</v>
      </c>
      <c r="BN28" s="714"/>
      <c r="BO28" s="560">
        <f t="shared" si="11"/>
        <v>36479.319999999992</v>
      </c>
      <c r="BP28" s="452">
        <f t="shared" si="12"/>
        <v>22864.6</v>
      </c>
      <c r="BQ28" s="453">
        <f t="shared" si="27"/>
        <v>59343.919999999991</v>
      </c>
      <c r="BR28" s="450">
        <f t="shared" si="34"/>
        <v>1.9023417793739437E-3</v>
      </c>
      <c r="BS28" s="456"/>
      <c r="BT28" s="916"/>
      <c r="BU28" s="842"/>
      <c r="BV28" s="916"/>
      <c r="BW28" s="933"/>
    </row>
    <row r="29" spans="1:75" s="2" customFormat="1" ht="13.95" customHeight="1" outlineLevel="2" x14ac:dyDescent="0.25">
      <c r="A29" s="238"/>
      <c r="B29" s="471" t="s">
        <v>31</v>
      </c>
      <c r="C29" s="114">
        <v>115800</v>
      </c>
      <c r="D29" s="445">
        <v>181700</v>
      </c>
      <c r="E29" s="446">
        <f t="shared" si="5"/>
        <v>297500</v>
      </c>
      <c r="F29" s="450">
        <f t="shared" si="30"/>
        <v>9.355761287156393E-3</v>
      </c>
      <c r="G29" s="452">
        <v>178200</v>
      </c>
      <c r="H29" s="452">
        <v>53765</v>
      </c>
      <c r="I29" s="453">
        <f t="shared" si="13"/>
        <v>231965</v>
      </c>
      <c r="J29" s="450">
        <f t="shared" si="31"/>
        <v>2.3634313490772777E-2</v>
      </c>
      <c r="K29" s="498"/>
      <c r="L29" s="452">
        <v>40520</v>
      </c>
      <c r="M29" s="452">
        <v>2400</v>
      </c>
      <c r="N29" s="453">
        <f t="shared" si="14"/>
        <v>42920</v>
      </c>
      <c r="O29" s="450">
        <f t="shared" si="32"/>
        <v>5.449144535115389E-3</v>
      </c>
      <c r="P29" s="498"/>
      <c r="Q29" s="452">
        <v>49120</v>
      </c>
      <c r="R29" s="452">
        <v>2800</v>
      </c>
      <c r="S29" s="453">
        <f t="shared" si="15"/>
        <v>51920</v>
      </c>
      <c r="T29" s="450">
        <f t="shared" si="33"/>
        <v>3.7723839886464598E-2</v>
      </c>
      <c r="U29" s="518" t="s">
        <v>610</v>
      </c>
      <c r="V29" s="452">
        <v>15030</v>
      </c>
      <c r="W29" s="452">
        <v>7000</v>
      </c>
      <c r="X29" s="453">
        <f t="shared" si="16"/>
        <v>22030</v>
      </c>
      <c r="Y29" s="450">
        <f t="shared" si="28"/>
        <v>7.1800002121209733E-3</v>
      </c>
      <c r="Z29" s="714"/>
      <c r="AA29" s="452">
        <v>12470</v>
      </c>
      <c r="AB29" s="452">
        <v>7300</v>
      </c>
      <c r="AC29" s="592">
        <f t="shared" si="17"/>
        <v>19770</v>
      </c>
      <c r="AD29" s="595">
        <f t="shared" si="18"/>
        <v>6.1867162837136142E-2</v>
      </c>
      <c r="AE29" s="714"/>
      <c r="AF29" s="452">
        <v>5640</v>
      </c>
      <c r="AG29" s="452">
        <v>15400</v>
      </c>
      <c r="AH29" s="592">
        <f t="shared" si="19"/>
        <v>21040</v>
      </c>
      <c r="AI29" s="541">
        <f t="shared" si="29"/>
        <v>6.0902452756245208E-3</v>
      </c>
      <c r="AJ29" s="714"/>
      <c r="AK29" s="452">
        <v>2780</v>
      </c>
      <c r="AL29" s="452">
        <v>3700</v>
      </c>
      <c r="AM29" s="592">
        <f t="shared" si="20"/>
        <v>6480</v>
      </c>
      <c r="AN29" s="541">
        <f t="shared" si="21"/>
        <v>3.0104757757200402E-3</v>
      </c>
      <c r="AO29" s="601"/>
      <c r="AP29" s="785"/>
      <c r="AQ29" s="714"/>
      <c r="AR29" s="592">
        <f t="shared" si="22"/>
        <v>0</v>
      </c>
      <c r="AS29" s="785">
        <f t="shared" si="6"/>
        <v>0</v>
      </c>
      <c r="AT29" s="714"/>
      <c r="AU29" s="714"/>
      <c r="AV29" s="714"/>
      <c r="AW29" s="592">
        <f t="shared" si="23"/>
        <v>0</v>
      </c>
      <c r="AX29" s="785">
        <f t="shared" si="7"/>
        <v>0</v>
      </c>
      <c r="AY29" s="714"/>
      <c r="AZ29" s="714">
        <v>-38690</v>
      </c>
      <c r="BA29" s="714">
        <v>-1965</v>
      </c>
      <c r="BB29" s="592">
        <f t="shared" si="24"/>
        <v>-40655</v>
      </c>
      <c r="BC29" s="785">
        <f t="shared" si="8"/>
        <v>-2.1811030421757374E-2</v>
      </c>
      <c r="BD29" s="601"/>
      <c r="BE29" s="785"/>
      <c r="BF29" s="714"/>
      <c r="BG29" s="592">
        <f t="shared" si="25"/>
        <v>0</v>
      </c>
      <c r="BH29" s="785">
        <f t="shared" si="9"/>
        <v>0</v>
      </c>
      <c r="BI29" s="714"/>
      <c r="BJ29" s="785"/>
      <c r="BK29" s="714"/>
      <c r="BL29" s="592">
        <f t="shared" si="26"/>
        <v>0</v>
      </c>
      <c r="BM29" s="785">
        <f t="shared" si="10"/>
        <v>0</v>
      </c>
      <c r="BN29" s="714"/>
      <c r="BO29" s="560">
        <f t="shared" si="11"/>
        <v>265070</v>
      </c>
      <c r="BP29" s="452">
        <f t="shared" si="12"/>
        <v>90400</v>
      </c>
      <c r="BQ29" s="453">
        <f t="shared" si="27"/>
        <v>355470</v>
      </c>
      <c r="BR29" s="450">
        <f t="shared" si="34"/>
        <v>1.1395024668307316E-2</v>
      </c>
      <c r="BS29" s="498"/>
      <c r="BT29" s="842"/>
      <c r="BU29" s="842"/>
      <c r="BW29" s="933"/>
    </row>
    <row r="30" spans="1:75" s="2" customFormat="1" ht="13.95" customHeight="1" outlineLevel="2" x14ac:dyDescent="0.25">
      <c r="A30" s="238"/>
      <c r="B30" s="471" t="s">
        <v>62</v>
      </c>
      <c r="C30" s="114">
        <v>32000</v>
      </c>
      <c r="D30" s="445">
        <v>216465</v>
      </c>
      <c r="E30" s="446">
        <f t="shared" si="5"/>
        <v>248465</v>
      </c>
      <c r="F30" s="450">
        <f t="shared" si="30"/>
        <v>7.8137116914733205E-3</v>
      </c>
      <c r="G30" s="452">
        <v>0</v>
      </c>
      <c r="H30" s="452">
        <v>187788.38</v>
      </c>
      <c r="I30" s="453">
        <f t="shared" si="13"/>
        <v>187788.38</v>
      </c>
      <c r="J30" s="450">
        <f t="shared" si="31"/>
        <v>1.9133272014503759E-2</v>
      </c>
      <c r="K30" s="498"/>
      <c r="L30" s="452"/>
      <c r="M30" s="452">
        <v>29073</v>
      </c>
      <c r="N30" s="453">
        <f t="shared" si="14"/>
        <v>29073</v>
      </c>
      <c r="O30" s="450">
        <f t="shared" si="32"/>
        <v>3.6911225319060975E-3</v>
      </c>
      <c r="P30" s="519" t="s">
        <v>494</v>
      </c>
      <c r="Q30" s="452"/>
      <c r="R30" s="452">
        <v>25456</v>
      </c>
      <c r="S30" s="453">
        <f t="shared" si="15"/>
        <v>25456</v>
      </c>
      <c r="T30" s="450">
        <f t="shared" si="33"/>
        <v>1.8495725503656451E-2</v>
      </c>
      <c r="U30" s="520" t="s">
        <v>609</v>
      </c>
      <c r="V30" s="452"/>
      <c r="W30" s="452">
        <v>35508</v>
      </c>
      <c r="X30" s="453">
        <f t="shared" si="16"/>
        <v>35508</v>
      </c>
      <c r="Y30" s="450">
        <f t="shared" si="28"/>
        <v>1.1572739334180277E-2</v>
      </c>
      <c r="Z30" s="714" t="s">
        <v>670</v>
      </c>
      <c r="AA30" s="452"/>
      <c r="AB30" s="452">
        <v>20688</v>
      </c>
      <c r="AC30" s="592">
        <f t="shared" si="17"/>
        <v>20688</v>
      </c>
      <c r="AD30" s="595">
        <f t="shared" si="18"/>
        <v>6.4739902113033515E-2</v>
      </c>
      <c r="AE30" s="714"/>
      <c r="AF30" s="452"/>
      <c r="AG30" s="452">
        <v>19659</v>
      </c>
      <c r="AH30" s="592">
        <f t="shared" si="19"/>
        <v>19659</v>
      </c>
      <c r="AI30" s="541">
        <f t="shared" si="29"/>
        <v>5.6905005643299641E-3</v>
      </c>
      <c r="AJ30" s="714"/>
      <c r="AK30" s="452"/>
      <c r="AL30" s="452">
        <v>8013</v>
      </c>
      <c r="AM30" s="592">
        <f t="shared" si="20"/>
        <v>8013</v>
      </c>
      <c r="AN30" s="541">
        <f t="shared" si="21"/>
        <v>3.7226762948834383E-3</v>
      </c>
      <c r="AO30" s="601"/>
      <c r="AP30" s="785"/>
      <c r="AQ30" s="714">
        <f>4499</f>
        <v>4499</v>
      </c>
      <c r="AR30" s="592">
        <f t="shared" si="22"/>
        <v>4499</v>
      </c>
      <c r="AS30" s="785">
        <f t="shared" si="6"/>
        <v>0.13462137311065717</v>
      </c>
      <c r="AT30" s="714"/>
      <c r="AU30" s="714"/>
      <c r="AV30" s="714"/>
      <c r="AW30" s="592">
        <f>AU30+AV30*1</f>
        <v>0</v>
      </c>
      <c r="AX30" s="785">
        <f t="shared" si="7"/>
        <v>0</v>
      </c>
      <c r="AY30" s="714"/>
      <c r="AZ30" s="714"/>
      <c r="BA30" s="714">
        <v>8159.6199999999953</v>
      </c>
      <c r="BB30" s="592">
        <f>AZ30+BA30*1</f>
        <v>8159.6199999999953</v>
      </c>
      <c r="BC30" s="785">
        <f t="shared" si="8"/>
        <v>4.3775604488987775E-3</v>
      </c>
      <c r="BD30" s="601"/>
      <c r="BE30" s="785"/>
      <c r="BF30" s="714"/>
      <c r="BG30" s="592">
        <f>BE30+BF30*1</f>
        <v>0</v>
      </c>
      <c r="BH30" s="785">
        <f t="shared" si="9"/>
        <v>0</v>
      </c>
      <c r="BI30" s="714"/>
      <c r="BJ30" s="785"/>
      <c r="BK30" s="714"/>
      <c r="BL30" s="592">
        <f>BJ30+BK30*1</f>
        <v>0</v>
      </c>
      <c r="BM30" s="785">
        <f t="shared" si="10"/>
        <v>0</v>
      </c>
      <c r="BN30" s="714"/>
      <c r="BO30" s="560">
        <f t="shared" si="11"/>
        <v>0</v>
      </c>
      <c r="BP30" s="452">
        <f t="shared" si="12"/>
        <v>338844</v>
      </c>
      <c r="BQ30" s="453">
        <f t="shared" si="27"/>
        <v>338844</v>
      </c>
      <c r="BR30" s="450">
        <f t="shared" si="34"/>
        <v>1.0862057947809728E-2</v>
      </c>
      <c r="BS30" s="498"/>
      <c r="BT30" s="842">
        <v>0</v>
      </c>
      <c r="BU30" s="842"/>
      <c r="BW30" s="933"/>
    </row>
    <row r="31" spans="1:75" s="2" customFormat="1" ht="13.95" customHeight="1" outlineLevel="2" x14ac:dyDescent="0.25">
      <c r="A31" s="238"/>
      <c r="B31" s="471" t="s">
        <v>34</v>
      </c>
      <c r="C31" s="114"/>
      <c r="D31" s="445">
        <v>39100</v>
      </c>
      <c r="E31" s="446">
        <f t="shared" si="5"/>
        <v>39100</v>
      </c>
      <c r="F31" s="450">
        <f t="shared" si="30"/>
        <v>1.2296143405976974E-3</v>
      </c>
      <c r="G31" s="452">
        <v>35990.86</v>
      </c>
      <c r="H31" s="452">
        <v>40523.300000000003</v>
      </c>
      <c r="I31" s="453">
        <f t="shared" si="13"/>
        <v>76514.16</v>
      </c>
      <c r="J31" s="450">
        <f t="shared" si="31"/>
        <v>7.795829732602534E-3</v>
      </c>
      <c r="K31" s="498"/>
      <c r="L31" s="452">
        <v>6061.76</v>
      </c>
      <c r="M31" s="452">
        <v>3600</v>
      </c>
      <c r="N31" s="453">
        <f t="shared" si="14"/>
        <v>9661.76</v>
      </c>
      <c r="O31" s="450">
        <f t="shared" si="32"/>
        <v>1.2266618523671124E-3</v>
      </c>
      <c r="P31" s="519" t="s">
        <v>502</v>
      </c>
      <c r="Q31" s="453">
        <f>1677.37</f>
        <v>1677.37</v>
      </c>
      <c r="R31" s="452">
        <v>2950</v>
      </c>
      <c r="S31" s="453">
        <f t="shared" si="15"/>
        <v>4627.37</v>
      </c>
      <c r="T31" s="450">
        <f t="shared" si="33"/>
        <v>3.3621372298811574E-3</v>
      </c>
      <c r="U31" s="521" t="s">
        <v>612</v>
      </c>
      <c r="V31" s="453">
        <v>6106.62</v>
      </c>
      <c r="W31" s="452">
        <f>6050</f>
        <v>6050</v>
      </c>
      <c r="X31" s="453">
        <f t="shared" si="16"/>
        <v>12156.619999999999</v>
      </c>
      <c r="Y31" s="450">
        <f t="shared" si="28"/>
        <v>3.9620759954005474E-3</v>
      </c>
      <c r="Z31" s="714" t="s">
        <v>671</v>
      </c>
      <c r="AA31" s="597"/>
      <c r="AB31" s="558">
        <v>3696</v>
      </c>
      <c r="AC31" s="598">
        <f t="shared" si="17"/>
        <v>3696</v>
      </c>
      <c r="AD31" s="595">
        <f t="shared" si="18"/>
        <v>1.1566061398384177E-2</v>
      </c>
      <c r="AE31" s="599"/>
      <c r="AF31" s="597"/>
      <c r="AG31" s="558">
        <v>1100</v>
      </c>
      <c r="AH31" s="598">
        <f t="shared" si="19"/>
        <v>1100</v>
      </c>
      <c r="AI31" s="541">
        <f t="shared" si="29"/>
        <v>3.1840635946706145E-4</v>
      </c>
      <c r="AJ31" s="599"/>
      <c r="AK31" s="452"/>
      <c r="AL31" s="558">
        <v>987.92</v>
      </c>
      <c r="AM31" s="598">
        <f t="shared" si="20"/>
        <v>987.92</v>
      </c>
      <c r="AN31" s="541">
        <f t="shared" si="21"/>
        <v>4.5896747351070088E-4</v>
      </c>
      <c r="AO31" s="803"/>
      <c r="AP31" s="785"/>
      <c r="AQ31" s="714">
        <v>3270</v>
      </c>
      <c r="AR31" s="592">
        <f t="shared" si="22"/>
        <v>3270</v>
      </c>
      <c r="AS31" s="785">
        <f t="shared" si="6"/>
        <v>9.7846608151111111E-2</v>
      </c>
      <c r="AT31" s="714"/>
      <c r="AU31" s="714"/>
      <c r="AV31" s="714">
        <v>1850</v>
      </c>
      <c r="AW31" s="592">
        <f>AU31+AV31*1</f>
        <v>1850</v>
      </c>
      <c r="AX31" s="785">
        <f t="shared" si="7"/>
        <v>9.9250784110813291E-4</v>
      </c>
      <c r="AY31" s="714" t="s">
        <v>899</v>
      </c>
      <c r="AZ31" s="714"/>
      <c r="BA31" s="714">
        <v>-6366.739999999998</v>
      </c>
      <c r="BB31" s="592">
        <f>AZ31+BA31*1</f>
        <v>-6366.739999999998</v>
      </c>
      <c r="BC31" s="785">
        <f t="shared" si="8"/>
        <v>-3.415696957998266E-3</v>
      </c>
      <c r="BD31" s="601"/>
      <c r="BE31" s="785"/>
      <c r="BF31" s="714"/>
      <c r="BG31" s="592">
        <f>BE31+BF31*1</f>
        <v>0</v>
      </c>
      <c r="BH31" s="785">
        <f t="shared" si="9"/>
        <v>0</v>
      </c>
      <c r="BI31" s="714"/>
      <c r="BJ31" s="785"/>
      <c r="BK31" s="714"/>
      <c r="BL31" s="592">
        <f>BJ31+BK31*1</f>
        <v>0</v>
      </c>
      <c r="BM31" s="785">
        <f t="shared" si="10"/>
        <v>0</v>
      </c>
      <c r="BN31" s="714"/>
      <c r="BO31" s="560">
        <f t="shared" si="11"/>
        <v>49836.610000000008</v>
      </c>
      <c r="BP31" s="452">
        <f t="shared" si="12"/>
        <v>57660.480000000003</v>
      </c>
      <c r="BQ31" s="453">
        <f t="shared" si="27"/>
        <v>107497.09000000001</v>
      </c>
      <c r="BR31" s="450">
        <f t="shared" si="34"/>
        <v>3.4459504102209802E-3</v>
      </c>
      <c r="BS31" s="498"/>
      <c r="BT31" s="842">
        <v>0</v>
      </c>
      <c r="BU31" s="842"/>
      <c r="BW31" s="933"/>
    </row>
    <row r="32" spans="1:75" s="2" customFormat="1" ht="13.95" customHeight="1" outlineLevel="2" x14ac:dyDescent="0.25">
      <c r="A32" s="238"/>
      <c r="B32" s="501" t="s">
        <v>2</v>
      </c>
      <c r="C32" s="115"/>
      <c r="D32" s="116"/>
      <c r="E32" s="446">
        <f t="shared" si="5"/>
        <v>0</v>
      </c>
      <c r="F32" s="450">
        <f t="shared" si="30"/>
        <v>0</v>
      </c>
      <c r="G32" s="452">
        <v>0</v>
      </c>
      <c r="H32" s="452">
        <v>0</v>
      </c>
      <c r="I32" s="453">
        <f t="shared" si="13"/>
        <v>0</v>
      </c>
      <c r="J32" s="450">
        <f t="shared" si="31"/>
        <v>0</v>
      </c>
      <c r="K32" s="498"/>
      <c r="L32" s="452"/>
      <c r="M32" s="452"/>
      <c r="N32" s="453">
        <f t="shared" si="14"/>
        <v>0</v>
      </c>
      <c r="O32" s="450">
        <f t="shared" si="32"/>
        <v>0</v>
      </c>
      <c r="P32" s="498"/>
      <c r="Q32" s="452"/>
      <c r="R32" s="452"/>
      <c r="S32" s="453">
        <f t="shared" si="15"/>
        <v>0</v>
      </c>
      <c r="T32" s="450">
        <f t="shared" si="33"/>
        <v>0</v>
      </c>
      <c r="U32" s="503"/>
      <c r="V32" s="452"/>
      <c r="W32" s="452"/>
      <c r="X32" s="453">
        <f t="shared" si="16"/>
        <v>0</v>
      </c>
      <c r="Y32" s="450">
        <f t="shared" si="28"/>
        <v>0</v>
      </c>
      <c r="Z32" s="503"/>
      <c r="AA32" s="560"/>
      <c r="AB32" s="452"/>
      <c r="AC32" s="592">
        <f t="shared" si="17"/>
        <v>0</v>
      </c>
      <c r="AD32" s="595">
        <f t="shared" si="18"/>
        <v>0</v>
      </c>
      <c r="AE32" s="503"/>
      <c r="AF32" s="560"/>
      <c r="AG32" s="452"/>
      <c r="AH32" s="592">
        <f t="shared" si="19"/>
        <v>0</v>
      </c>
      <c r="AI32" s="541">
        <f t="shared" si="29"/>
        <v>0</v>
      </c>
      <c r="AJ32" s="503"/>
      <c r="AK32" s="560"/>
      <c r="AL32" s="452"/>
      <c r="AM32" s="592">
        <f t="shared" si="20"/>
        <v>0</v>
      </c>
      <c r="AN32" s="541">
        <f t="shared" si="21"/>
        <v>0</v>
      </c>
      <c r="AO32" s="731"/>
      <c r="AP32" s="786"/>
      <c r="AQ32" s="465"/>
      <c r="AR32" s="592">
        <f t="shared" si="22"/>
        <v>0</v>
      </c>
      <c r="AS32" s="786">
        <f t="shared" si="6"/>
        <v>0</v>
      </c>
      <c r="AT32" s="465"/>
      <c r="AU32" s="465"/>
      <c r="AV32" s="465"/>
      <c r="AW32" s="592">
        <f>AU32+AV32*1</f>
        <v>0</v>
      </c>
      <c r="AX32" s="786">
        <f t="shared" si="7"/>
        <v>0</v>
      </c>
      <c r="AY32" s="465"/>
      <c r="AZ32" s="465"/>
      <c r="BA32" s="465"/>
      <c r="BB32" s="592">
        <f>AZ32+BA32*1</f>
        <v>0</v>
      </c>
      <c r="BC32" s="786">
        <f t="shared" si="8"/>
        <v>0</v>
      </c>
      <c r="BD32" s="770"/>
      <c r="BE32" s="786"/>
      <c r="BF32" s="465"/>
      <c r="BG32" s="592">
        <f>BE32+BF32*1</f>
        <v>0</v>
      </c>
      <c r="BH32" s="1021">
        <f t="shared" si="9"/>
        <v>0</v>
      </c>
      <c r="BI32" s="503"/>
      <c r="BJ32" s="786"/>
      <c r="BK32" s="465"/>
      <c r="BL32" s="592">
        <f>BJ32+BK32*1</f>
        <v>0</v>
      </c>
      <c r="BM32" s="1021">
        <f t="shared" si="10"/>
        <v>0</v>
      </c>
      <c r="BN32" s="503"/>
      <c r="BO32" s="557">
        <f t="shared" si="11"/>
        <v>0</v>
      </c>
      <c r="BP32" s="558">
        <f t="shared" si="12"/>
        <v>0</v>
      </c>
      <c r="BQ32" s="1022">
        <f t="shared" si="27"/>
        <v>0</v>
      </c>
      <c r="BR32" s="450">
        <f t="shared" si="34"/>
        <v>0</v>
      </c>
      <c r="BS32" s="498"/>
      <c r="BT32" s="842">
        <v>0</v>
      </c>
      <c r="BU32" s="842">
        <v>0</v>
      </c>
      <c r="BW32" s="933"/>
    </row>
    <row r="33" spans="1:75" s="2" customFormat="1" ht="13.95" customHeight="1" outlineLevel="2" thickBot="1" x14ac:dyDescent="0.3">
      <c r="A33" s="238"/>
      <c r="B33" s="504" t="s">
        <v>75</v>
      </c>
      <c r="C33" s="505"/>
      <c r="D33" s="506">
        <v>345000</v>
      </c>
      <c r="E33" s="507">
        <f t="shared" si="5"/>
        <v>345000</v>
      </c>
      <c r="F33" s="508">
        <f t="shared" si="30"/>
        <v>1.0849538299391446E-2</v>
      </c>
      <c r="G33" s="512">
        <v>0</v>
      </c>
      <c r="H33" s="512">
        <v>53600</v>
      </c>
      <c r="I33" s="513">
        <f t="shared" si="13"/>
        <v>53600</v>
      </c>
      <c r="J33" s="508">
        <f t="shared" si="31"/>
        <v>5.4611652753881867E-3</v>
      </c>
      <c r="K33" s="514"/>
      <c r="L33" s="512"/>
      <c r="M33" s="512">
        <v>15000</v>
      </c>
      <c r="N33" s="513">
        <f t="shared" si="14"/>
        <v>15000</v>
      </c>
      <c r="O33" s="508">
        <f t="shared" si="32"/>
        <v>1.9044074563543997E-3</v>
      </c>
      <c r="P33" s="514" t="s">
        <v>495</v>
      </c>
      <c r="Q33" s="512"/>
      <c r="R33" s="512"/>
      <c r="S33" s="513">
        <f t="shared" si="15"/>
        <v>0</v>
      </c>
      <c r="T33" s="508">
        <f t="shared" si="33"/>
        <v>0</v>
      </c>
      <c r="U33" s="515"/>
      <c r="V33" s="512"/>
      <c r="W33" s="512"/>
      <c r="X33" s="513">
        <f t="shared" si="16"/>
        <v>0</v>
      </c>
      <c r="Y33" s="508">
        <f t="shared" si="28"/>
        <v>0</v>
      </c>
      <c r="Z33" s="515"/>
      <c r="AA33" s="600"/>
      <c r="AB33" s="512"/>
      <c r="AC33" s="594">
        <f t="shared" si="17"/>
        <v>0</v>
      </c>
      <c r="AD33" s="596">
        <f t="shared" si="18"/>
        <v>0</v>
      </c>
      <c r="AE33" s="515"/>
      <c r="AF33" s="600"/>
      <c r="AG33" s="512"/>
      <c r="AH33" s="594">
        <f t="shared" si="19"/>
        <v>0</v>
      </c>
      <c r="AI33" s="542">
        <f t="shared" si="29"/>
        <v>0</v>
      </c>
      <c r="AJ33" s="515"/>
      <c r="AK33" s="600"/>
      <c r="AL33" s="512"/>
      <c r="AM33" s="594">
        <f t="shared" si="20"/>
        <v>0</v>
      </c>
      <c r="AN33" s="542">
        <f t="shared" si="21"/>
        <v>0</v>
      </c>
      <c r="AO33" s="804"/>
      <c r="AP33" s="848"/>
      <c r="AQ33" s="849">
        <v>3500</v>
      </c>
      <c r="AR33" s="594">
        <f t="shared" si="22"/>
        <v>3500</v>
      </c>
      <c r="AS33" s="848">
        <f t="shared" si="6"/>
        <v>0.10472878548284065</v>
      </c>
      <c r="AT33" s="850"/>
      <c r="AU33" s="850"/>
      <c r="AV33" s="849"/>
      <c r="AW33" s="594">
        <f t="shared" si="23"/>
        <v>0</v>
      </c>
      <c r="AX33" s="848">
        <f t="shared" si="7"/>
        <v>0</v>
      </c>
      <c r="AY33" s="850"/>
      <c r="AZ33" s="850"/>
      <c r="BA33" s="849"/>
      <c r="BB33" s="594">
        <f>AZ33+BA33*1</f>
        <v>0</v>
      </c>
      <c r="BC33" s="848">
        <f t="shared" si="8"/>
        <v>0</v>
      </c>
      <c r="BD33" s="909"/>
      <c r="BE33" s="848"/>
      <c r="BF33" s="849"/>
      <c r="BG33" s="594">
        <f>BE33+BF33*1</f>
        <v>0</v>
      </c>
      <c r="BH33" s="848">
        <f>BG33/$S$89</f>
        <v>0</v>
      </c>
      <c r="BI33" s="849"/>
      <c r="BJ33" s="848"/>
      <c r="BK33" s="849"/>
      <c r="BL33" s="594">
        <f>BJ33+BK33*1</f>
        <v>0</v>
      </c>
      <c r="BM33" s="848">
        <f>BL33/$S$89</f>
        <v>0</v>
      </c>
      <c r="BN33" s="849"/>
      <c r="BO33" s="600">
        <f t="shared" si="11"/>
        <v>0</v>
      </c>
      <c r="BP33" s="512">
        <f t="shared" si="12"/>
        <v>72100</v>
      </c>
      <c r="BQ33" s="513">
        <f t="shared" si="27"/>
        <v>72100</v>
      </c>
      <c r="BR33" s="508">
        <f t="shared" si="34"/>
        <v>2.311253491391559E-3</v>
      </c>
      <c r="BS33" s="514"/>
      <c r="BT33" s="842">
        <v>0</v>
      </c>
      <c r="BU33" s="842"/>
      <c r="BW33" s="933"/>
    </row>
    <row r="34" spans="1:75" s="2" customFormat="1" ht="13.95" customHeight="1" outlineLevel="2" x14ac:dyDescent="0.25">
      <c r="A34" s="238"/>
      <c r="B34" s="473"/>
      <c r="C34" s="474"/>
      <c r="D34" s="475"/>
      <c r="E34" s="476"/>
      <c r="F34" s="477"/>
      <c r="G34" s="476">
        <v>0</v>
      </c>
      <c r="H34" s="476">
        <v>0</v>
      </c>
      <c r="I34" s="476"/>
      <c r="J34" s="476"/>
      <c r="K34" s="476"/>
      <c r="L34" s="452"/>
      <c r="M34" s="452"/>
      <c r="N34" s="476"/>
      <c r="O34" s="476"/>
      <c r="P34" s="476"/>
      <c r="Q34" s="452"/>
      <c r="R34" s="452"/>
      <c r="S34" s="476"/>
      <c r="T34" s="476"/>
      <c r="U34" s="476"/>
      <c r="V34" s="452"/>
      <c r="W34" s="452"/>
      <c r="X34" s="476"/>
      <c r="Y34" s="476"/>
      <c r="Z34" s="476"/>
      <c r="AA34" s="452"/>
      <c r="AB34" s="452"/>
      <c r="AC34" s="476"/>
      <c r="AD34" s="476"/>
      <c r="AE34" s="476"/>
      <c r="AF34" s="452"/>
      <c r="AG34" s="452"/>
      <c r="AH34" s="476"/>
      <c r="AI34" s="476"/>
      <c r="AJ34" s="476"/>
      <c r="AK34" s="452"/>
      <c r="AL34" s="452"/>
      <c r="AM34" s="476"/>
      <c r="AN34" s="476"/>
      <c r="AO34" s="764"/>
      <c r="AP34" s="478"/>
      <c r="AQ34" s="476"/>
      <c r="AR34" s="764"/>
      <c r="AS34" s="478"/>
      <c r="AT34" s="476"/>
      <c r="AU34" s="476"/>
      <c r="AV34" s="476"/>
      <c r="AW34" s="764"/>
      <c r="AX34" s="478">
        <f t="shared" si="7"/>
        <v>0</v>
      </c>
      <c r="AY34" s="476"/>
      <c r="AZ34" s="476"/>
      <c r="BA34" s="476"/>
      <c r="BB34" s="764"/>
      <c r="BC34" s="478">
        <f t="shared" si="8"/>
        <v>0</v>
      </c>
      <c r="BD34" s="764"/>
      <c r="BE34" s="478"/>
      <c r="BF34" s="476"/>
      <c r="BG34" s="764"/>
      <c r="BH34" s="478">
        <f t="shared" si="9"/>
        <v>0</v>
      </c>
      <c r="BI34" s="476"/>
      <c r="BJ34" s="478"/>
      <c r="BK34" s="476"/>
      <c r="BL34" s="764"/>
      <c r="BM34" s="478">
        <f t="shared" ref="BM34:BM79" si="35">BL34/$AW$89</f>
        <v>0</v>
      </c>
      <c r="BN34" s="476"/>
      <c r="BO34" s="560"/>
      <c r="BP34" s="452"/>
      <c r="BQ34" s="476"/>
      <c r="BR34" s="476"/>
      <c r="BS34" s="476"/>
      <c r="BT34" s="842"/>
    </row>
    <row r="35" spans="1:75" s="88" customFormat="1" ht="13.95" customHeight="1" outlineLevel="1" x14ac:dyDescent="0.25">
      <c r="A35" s="238"/>
      <c r="B35" s="89" t="s">
        <v>80</v>
      </c>
      <c r="C35" s="90">
        <f>C36</f>
        <v>7000</v>
      </c>
      <c r="D35" s="90">
        <f>D36</f>
        <v>0</v>
      </c>
      <c r="E35" s="91">
        <f>E36</f>
        <v>7000</v>
      </c>
      <c r="F35" s="165">
        <f>E35/$E$89</f>
        <v>2.2013555969779749E-4</v>
      </c>
      <c r="G35" s="90">
        <f>G36</f>
        <v>0</v>
      </c>
      <c r="H35" s="90">
        <f>H36</f>
        <v>0</v>
      </c>
      <c r="I35" s="91">
        <f>I36</f>
        <v>0</v>
      </c>
      <c r="J35" s="91"/>
      <c r="K35" s="91"/>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f>AH35/$AH$89</f>
        <v>0</v>
      </c>
      <c r="AJ35" s="404"/>
      <c r="AK35" s="90">
        <f>AK36</f>
        <v>0</v>
      </c>
      <c r="AL35" s="90">
        <f>AL36</f>
        <v>0</v>
      </c>
      <c r="AM35" s="91">
        <f>AM36</f>
        <v>0</v>
      </c>
      <c r="AN35" s="91">
        <f>AM35/$AH$89</f>
        <v>0</v>
      </c>
      <c r="AO35" s="634"/>
      <c r="AP35" s="634"/>
      <c r="AQ35" s="634"/>
      <c r="AR35" s="634"/>
      <c r="AS35" s="659"/>
      <c r="AT35" s="812"/>
      <c r="AU35" s="775"/>
      <c r="AV35" s="634"/>
      <c r="AW35" s="634"/>
      <c r="AX35" s="659">
        <f t="shared" si="7"/>
        <v>0</v>
      </c>
      <c r="AY35" s="775"/>
      <c r="AZ35" s="775"/>
      <c r="BA35" s="634"/>
      <c r="BB35" s="634"/>
      <c r="BC35" s="659">
        <f t="shared" si="8"/>
        <v>0</v>
      </c>
      <c r="BD35" s="775"/>
      <c r="BE35" s="634"/>
      <c r="BF35" s="634"/>
      <c r="BG35" s="634"/>
      <c r="BH35" s="659">
        <f t="shared" si="9"/>
        <v>0</v>
      </c>
      <c r="BI35" s="812"/>
      <c r="BJ35" s="634"/>
      <c r="BK35" s="634"/>
      <c r="BL35" s="634"/>
      <c r="BM35" s="659">
        <f t="shared" si="35"/>
        <v>0</v>
      </c>
      <c r="BN35" s="812"/>
      <c r="BO35" s="536">
        <f>BO36</f>
        <v>0</v>
      </c>
      <c r="BP35" s="536">
        <f>BP36</f>
        <v>0</v>
      </c>
      <c r="BQ35" s="658">
        <f>BQ36</f>
        <v>0</v>
      </c>
      <c r="BR35" s="658"/>
      <c r="BS35" s="658"/>
      <c r="BT35" s="929">
        <v>0</v>
      </c>
      <c r="BU35" s="88">
        <v>0</v>
      </c>
    </row>
    <row r="36" spans="1:75" s="226" customFormat="1" ht="13.95" customHeight="1" outlineLevel="3" thickBot="1" x14ac:dyDescent="0.3">
      <c r="A36" s="238"/>
      <c r="B36" s="19" t="s">
        <v>81</v>
      </c>
      <c r="C36" s="43">
        <v>7000</v>
      </c>
      <c r="D36" s="49"/>
      <c r="E36" s="106">
        <f>C36+D36</f>
        <v>7000</v>
      </c>
      <c r="F36" s="178">
        <f>E36/$E$89</f>
        <v>2.2013555969779749E-4</v>
      </c>
      <c r="G36" s="39">
        <v>0</v>
      </c>
      <c r="H36" s="39">
        <v>0</v>
      </c>
      <c r="I36" s="106">
        <f>G36+H36*1</f>
        <v>0</v>
      </c>
      <c r="J36" s="178">
        <f>I36/$I$89</f>
        <v>0</v>
      </c>
      <c r="K36" s="45"/>
      <c r="L36" s="39"/>
      <c r="M36" s="39"/>
      <c r="N36" s="106">
        <f>L36+M36*1</f>
        <v>0</v>
      </c>
      <c r="O36" s="178">
        <f>N36/$N$89</f>
        <v>0</v>
      </c>
      <c r="P36" s="45"/>
      <c r="Q36" s="39"/>
      <c r="R36" s="39"/>
      <c r="S36" s="106">
        <f>Q36+R36*1</f>
        <v>0</v>
      </c>
      <c r="T36" s="178">
        <f>S36/$N$89</f>
        <v>0</v>
      </c>
      <c r="U36" s="405"/>
      <c r="V36" s="39"/>
      <c r="W36" s="39"/>
      <c r="X36" s="210"/>
      <c r="Y36" s="450">
        <f>X36/$X$89</f>
        <v>0</v>
      </c>
      <c r="Z36" s="443"/>
      <c r="AA36" s="39"/>
      <c r="AB36" s="39"/>
      <c r="AC36" s="210"/>
      <c r="AD36" s="450">
        <f>AC36/$AC$89</f>
        <v>0</v>
      </c>
      <c r="AE36" s="443"/>
      <c r="AF36" s="39"/>
      <c r="AG36" s="39"/>
      <c r="AH36" s="210"/>
      <c r="AI36" s="541">
        <f>AH36/$AH$89</f>
        <v>0</v>
      </c>
      <c r="AJ36" s="443"/>
      <c r="AK36" s="39"/>
      <c r="AL36" s="39"/>
      <c r="AM36" s="210"/>
      <c r="AN36" s="541">
        <f>AM36/$AM$89</f>
        <v>0</v>
      </c>
      <c r="AO36" s="601"/>
      <c r="AP36" s="787"/>
      <c r="AQ36" s="715"/>
      <c r="AR36" s="717"/>
      <c r="AS36" s="787"/>
      <c r="AT36" s="715"/>
      <c r="AU36" s="715"/>
      <c r="AV36" s="715"/>
      <c r="AW36" s="717"/>
      <c r="AX36" s="787">
        <f t="shared" si="7"/>
        <v>0</v>
      </c>
      <c r="AY36" s="715"/>
      <c r="AZ36" s="715"/>
      <c r="BA36" s="715"/>
      <c r="BB36" s="717"/>
      <c r="BC36" s="787">
        <f t="shared" si="8"/>
        <v>0</v>
      </c>
      <c r="BD36" s="717"/>
      <c r="BE36" s="787"/>
      <c r="BF36" s="715"/>
      <c r="BG36" s="717"/>
      <c r="BH36" s="787">
        <f t="shared" si="9"/>
        <v>0</v>
      </c>
      <c r="BI36" s="715"/>
      <c r="BJ36" s="787"/>
      <c r="BK36" s="715"/>
      <c r="BL36" s="717"/>
      <c r="BM36" s="787">
        <f t="shared" si="35"/>
        <v>0</v>
      </c>
      <c r="BN36" s="715"/>
      <c r="BO36" s="600">
        <f>G36+L36+Q36+V36+AA36</f>
        <v>0</v>
      </c>
      <c r="BP36" s="512">
        <f>H36+M36+R36+W36+AB36</f>
        <v>0</v>
      </c>
      <c r="BQ36" s="453">
        <f>BO36+BP36*1</f>
        <v>0</v>
      </c>
      <c r="BR36" s="450">
        <f>BQ36/$BQ$89</f>
        <v>0</v>
      </c>
      <c r="BS36" s="693"/>
      <c r="BT36" s="916"/>
    </row>
    <row r="37" spans="1:75" s="2" customFormat="1" ht="13.95" customHeight="1" outlineLevel="1" thickBot="1" x14ac:dyDescent="0.3">
      <c r="A37" s="4"/>
      <c r="B37" s="14"/>
      <c r="C37" s="50"/>
      <c r="D37" s="51"/>
      <c r="E37" s="52"/>
      <c r="F37" s="181"/>
      <c r="G37" s="39">
        <v>0</v>
      </c>
      <c r="H37" s="39">
        <v>0</v>
      </c>
      <c r="I37" s="52"/>
      <c r="J37" s="52"/>
      <c r="K37" s="52"/>
      <c r="L37" s="39"/>
      <c r="M37" s="39"/>
      <c r="N37" s="52"/>
      <c r="O37" s="52"/>
      <c r="P37" s="52"/>
      <c r="Q37" s="39"/>
      <c r="R37" s="39"/>
      <c r="S37" s="52"/>
      <c r="T37" s="52"/>
      <c r="U37" s="64"/>
      <c r="V37" s="39"/>
      <c r="W37" s="39"/>
      <c r="X37" s="210">
        <f>V37+W37*1</f>
        <v>0</v>
      </c>
      <c r="Y37" s="52"/>
      <c r="Z37" s="64"/>
      <c r="AA37" s="39"/>
      <c r="AB37" s="39"/>
      <c r="AC37" s="210">
        <f>AA37+AB37*1</f>
        <v>0</v>
      </c>
      <c r="AD37" s="52"/>
      <c r="AE37" s="64"/>
      <c r="AF37" s="39"/>
      <c r="AG37" s="39"/>
      <c r="AH37" s="210">
        <f>AF37+AG37*1</f>
        <v>0</v>
      </c>
      <c r="AI37" s="52"/>
      <c r="AJ37" s="64"/>
      <c r="AK37" s="39"/>
      <c r="AL37" s="39"/>
      <c r="AM37" s="210">
        <f>AK37+AL37*1</f>
        <v>0</v>
      </c>
      <c r="AN37" s="52"/>
      <c r="AO37" s="603"/>
      <c r="AP37" s="788"/>
      <c r="AQ37" s="635"/>
      <c r="AR37" s="765"/>
      <c r="AS37" s="788"/>
      <c r="AT37" s="635"/>
      <c r="AU37" s="635"/>
      <c r="AV37" s="635"/>
      <c r="AW37" s="765"/>
      <c r="AX37" s="788">
        <f t="shared" si="7"/>
        <v>0</v>
      </c>
      <c r="AY37" s="635"/>
      <c r="AZ37" s="635"/>
      <c r="BA37" s="635"/>
      <c r="BB37" s="765"/>
      <c r="BC37" s="788">
        <f t="shared" si="8"/>
        <v>0</v>
      </c>
      <c r="BD37" s="765"/>
      <c r="BE37" s="788"/>
      <c r="BF37" s="635"/>
      <c r="BG37" s="765"/>
      <c r="BH37" s="788">
        <f t="shared" si="9"/>
        <v>0</v>
      </c>
      <c r="BI37" s="635"/>
      <c r="BJ37" s="788"/>
      <c r="BK37" s="635"/>
      <c r="BL37" s="765"/>
      <c r="BM37" s="788">
        <f t="shared" si="35"/>
        <v>0</v>
      </c>
      <c r="BN37" s="635"/>
      <c r="BO37" s="560"/>
      <c r="BP37" s="452"/>
      <c r="BQ37" s="606"/>
      <c r="BR37" s="606"/>
      <c r="BS37" s="606"/>
      <c r="BT37" s="842"/>
    </row>
    <row r="38" spans="1:75" ht="13.95" customHeight="1" thickBot="1" x14ac:dyDescent="0.3">
      <c r="A38" s="33"/>
      <c r="B38" s="34" t="s">
        <v>46</v>
      </c>
      <c r="C38" s="53">
        <f>(C5)-(C8)</f>
        <v>13933100</v>
      </c>
      <c r="D38" s="53">
        <f>(D5)-(D8)</f>
        <v>-3083417</v>
      </c>
      <c r="E38" s="53">
        <f>(E5)-(E8)</f>
        <v>10849683</v>
      </c>
      <c r="F38" s="166"/>
      <c r="G38" s="53">
        <f>(G5)-(G8)</f>
        <v>5942971.2733999984</v>
      </c>
      <c r="H38" s="53">
        <f>(H5)-(H8)</f>
        <v>-1435151.0399999998</v>
      </c>
      <c r="I38" s="53">
        <f>(I5)-(I8)</f>
        <v>4507820.2333999965</v>
      </c>
      <c r="J38" s="53"/>
      <c r="K38" s="53"/>
      <c r="L38" s="53">
        <f>(L5)-(L8)</f>
        <v>2953042.6359999999</v>
      </c>
      <c r="M38" s="53">
        <f>(M5)-(M8)</f>
        <v>-700355.81</v>
      </c>
      <c r="N38" s="53">
        <f>(N5)-(N8)</f>
        <v>2252686.8259999994</v>
      </c>
      <c r="O38" s="53"/>
      <c r="P38" s="53"/>
      <c r="Q38" s="53">
        <f>(Q5)-(Q8)</f>
        <v>-1172270.7620000001</v>
      </c>
      <c r="R38" s="53">
        <f>(R5)-(R8)</f>
        <v>-145681.75</v>
      </c>
      <c r="S38" s="53">
        <f>(S5)-(S8)</f>
        <v>-1317952.5120000001</v>
      </c>
      <c r="T38" s="53"/>
      <c r="U38" s="406"/>
      <c r="V38" s="53">
        <f>(V5)-(V8)</f>
        <v>2312850.0119999996</v>
      </c>
      <c r="W38" s="53">
        <f>(W5)-(W8)</f>
        <v>-542654.19000000006</v>
      </c>
      <c r="X38" s="53">
        <f>(X5)-(X8)</f>
        <v>1770195.8219999997</v>
      </c>
      <c r="Y38" s="53"/>
      <c r="Z38" s="406"/>
      <c r="AA38" s="53">
        <f>(AA5)-(AA8)</f>
        <v>-142616.076</v>
      </c>
      <c r="AB38" s="53">
        <f>(AB5)-(AB8)</f>
        <v>-127626.4</v>
      </c>
      <c r="AC38" s="53">
        <f>(AC5)-(AC8)</f>
        <v>-270242.47600000002</v>
      </c>
      <c r="AD38" s="53"/>
      <c r="AE38" s="406"/>
      <c r="AF38" s="53">
        <f>(AF5)-(AF8)</f>
        <v>1600081.2120000003</v>
      </c>
      <c r="AG38" s="53">
        <f>(AG5)-(AG8)</f>
        <v>-181922.11</v>
      </c>
      <c r="AH38" s="53">
        <f>(AH5)-(AH8)</f>
        <v>1418159.1020000004</v>
      </c>
      <c r="AI38" s="53"/>
      <c r="AJ38" s="406"/>
      <c r="AK38" s="53">
        <f>(AK5)-(AK8)</f>
        <v>1152166.4039999999</v>
      </c>
      <c r="AL38" s="53">
        <f>(AL5)-(AL8)</f>
        <v>-271786.98</v>
      </c>
      <c r="AM38" s="53">
        <f>(AM5)-(AM8)</f>
        <v>880379.42400000012</v>
      </c>
      <c r="AN38" s="53"/>
      <c r="AO38" s="733"/>
      <c r="AP38" s="760">
        <f>(AP5)-(AP8)</f>
        <v>0</v>
      </c>
      <c r="AQ38" s="760">
        <f>(AQ5)-(AQ8)</f>
        <v>-28359</v>
      </c>
      <c r="AR38" s="766">
        <f>(AR5)-(AR8)</f>
        <v>-28359</v>
      </c>
      <c r="AS38" s="760"/>
      <c r="AT38" s="776"/>
      <c r="AU38" s="808">
        <f>(AU5)-(AU8)</f>
        <v>328367.42399999965</v>
      </c>
      <c r="AV38" s="760">
        <f>(AV5)-(AV8)</f>
        <v>-81680</v>
      </c>
      <c r="AW38" s="766">
        <f>(AW5)-(AW8)</f>
        <v>246687.42399999965</v>
      </c>
      <c r="AX38" s="760">
        <f t="shared" si="7"/>
        <v>0.13234551493122501</v>
      </c>
      <c r="AY38" s="776"/>
      <c r="AZ38" s="808">
        <f>(AZ5)-(AZ8)</f>
        <v>-591726.1309527941</v>
      </c>
      <c r="BA38" s="760">
        <f>(BA5)-(BA8)</f>
        <v>-228209.64</v>
      </c>
      <c r="BB38" s="766">
        <f>(BB5)-(BB8)</f>
        <v>-819935.77095279424</v>
      </c>
      <c r="BC38" s="760">
        <f t="shared" si="8"/>
        <v>-0.43988793614902183</v>
      </c>
      <c r="BD38" s="910"/>
      <c r="BE38" s="760">
        <f>(BE5)-(BE8)</f>
        <v>0</v>
      </c>
      <c r="BF38" s="760">
        <f>(BF5)-(BF8)</f>
        <v>0</v>
      </c>
      <c r="BG38" s="766">
        <f>(BG5)-(BG8)</f>
        <v>0</v>
      </c>
      <c r="BH38" s="760">
        <f t="shared" si="9"/>
        <v>0</v>
      </c>
      <c r="BI38" s="776"/>
      <c r="BJ38" s="760">
        <f>(BJ5)-(BJ8)</f>
        <v>-201820.36800000002</v>
      </c>
      <c r="BK38" s="760">
        <f>(BK5)-(BK8)</f>
        <v>0</v>
      </c>
      <c r="BL38" s="766">
        <f>(BL5)-(BL8)</f>
        <v>-201820.36800000002</v>
      </c>
      <c r="BM38" s="760">
        <f t="shared" si="35"/>
        <v>-0.10827475553261023</v>
      </c>
      <c r="BN38" s="776"/>
      <c r="BO38" s="648">
        <f>(BO5)-(BO8)</f>
        <v>12181045.6244472</v>
      </c>
      <c r="BP38" s="648">
        <f>(BP5)-(BP8)</f>
        <v>-3743426.9200000004</v>
      </c>
      <c r="BQ38" s="648">
        <f>(BQ5)-(BQ8)</f>
        <v>8437618.7044472024</v>
      </c>
      <c r="BR38" s="648"/>
      <c r="BS38" s="648"/>
      <c r="BT38" s="928"/>
    </row>
    <row r="39" spans="1:75" ht="13.95" customHeight="1" x14ac:dyDescent="0.25">
      <c r="A39" s="293"/>
      <c r="B39" s="15" t="s">
        <v>47</v>
      </c>
      <c r="C39" s="157">
        <f>C38/(C5)</f>
        <v>0.33862994268754265</v>
      </c>
      <c r="D39" s="157" t="e">
        <f>D38/(D5)</f>
        <v>#DIV/0!</v>
      </c>
      <c r="E39" s="158">
        <f>E38/(E5)</f>
        <v>0.26369060241209824</v>
      </c>
      <c r="F39" s="167"/>
      <c r="G39" s="54">
        <f>G38/(G5)</f>
        <v>0.43326543313075971</v>
      </c>
      <c r="H39" s="54" t="e">
        <f>H38/(H5)</f>
        <v>#DIV/0!</v>
      </c>
      <c r="I39" s="55">
        <f>I38/(I5)</f>
        <v>0.32863740981576128</v>
      </c>
      <c r="J39" s="55"/>
      <c r="K39" s="55"/>
      <c r="L39" s="54">
        <f>L38/(L5)</f>
        <v>0.29641483513450173</v>
      </c>
      <c r="M39" s="54" t="e">
        <f>M38/(M5)</f>
        <v>#DIV/0!</v>
      </c>
      <c r="N39" s="55">
        <f>N38/(N5)</f>
        <v>0.22611586639430217</v>
      </c>
      <c r="O39" s="55"/>
      <c r="P39" s="55"/>
      <c r="Q39" s="54" t="e">
        <f>Q38/(Q5)</f>
        <v>#DIV/0!</v>
      </c>
      <c r="R39" s="54" t="e">
        <f>R38/(R5)</f>
        <v>#DIV/0!</v>
      </c>
      <c r="S39" s="55" t="e">
        <f>S38/(S5)</f>
        <v>#DIV/0!</v>
      </c>
      <c r="T39" s="55"/>
      <c r="U39" s="407"/>
      <c r="V39" s="54">
        <f>V38/(V5)</f>
        <v>0.48686171447567211</v>
      </c>
      <c r="W39" s="54" t="e">
        <f>W38/(W5)</f>
        <v>#DIV/0!</v>
      </c>
      <c r="X39" s="55">
        <f>X38/(X5)</f>
        <v>0.37263141508745257</v>
      </c>
      <c r="Y39" s="55"/>
      <c r="Z39" s="407"/>
      <c r="AA39" s="54" t="e">
        <f>AA38/(AA5)</f>
        <v>#DIV/0!</v>
      </c>
      <c r="AB39" s="54" t="e">
        <f>AB38/(AB5)</f>
        <v>#DIV/0!</v>
      </c>
      <c r="AC39" s="55" t="e">
        <f>AC38/(AC5)</f>
        <v>#DIV/0!</v>
      </c>
      <c r="AD39" s="55"/>
      <c r="AE39" s="407"/>
      <c r="AF39" s="54">
        <f>AF38/(AF5)</f>
        <v>0.33078099382570736</v>
      </c>
      <c r="AG39" s="54" t="e">
        <f>AG38/(AG5)</f>
        <v>#DIV/0!</v>
      </c>
      <c r="AH39" s="55">
        <f>AH38/(AH5)</f>
        <v>0.29317266751491156</v>
      </c>
      <c r="AI39" s="55"/>
      <c r="AJ39" s="407"/>
      <c r="AK39" s="54">
        <f>AK38/(AK5)</f>
        <v>0.38486044210069775</v>
      </c>
      <c r="AL39" s="54" t="e">
        <f>AL38/(AL5)</f>
        <v>#DIV/0!</v>
      </c>
      <c r="AM39" s="55">
        <f>AM38/(AM5)</f>
        <v>0.29407489505048762</v>
      </c>
      <c r="AN39" s="55"/>
      <c r="AO39" s="716"/>
      <c r="AP39" s="761" t="e">
        <f>AP38/(AP5)</f>
        <v>#DIV/0!</v>
      </c>
      <c r="AQ39" s="761" t="e">
        <f>AQ38/(AQ5)</f>
        <v>#DIV/0!</v>
      </c>
      <c r="AR39" s="761" t="e">
        <f>AR38/(AR5)</f>
        <v>#DIV/0!</v>
      </c>
      <c r="AS39" s="789"/>
      <c r="AT39" s="813"/>
      <c r="AU39" s="809">
        <f>AU38/(AU5)</f>
        <v>0.1564840101699915</v>
      </c>
      <c r="AV39" s="761" t="e">
        <f>AV38/(AV5)</f>
        <v>#DIV/0!</v>
      </c>
      <c r="AW39" s="761">
        <f>AW38/(AW5)</f>
        <v>0.11755927824930951</v>
      </c>
      <c r="AX39" s="789">
        <f t="shared" si="7"/>
        <v>6.3069462409433759E-8</v>
      </c>
      <c r="AY39" s="777"/>
      <c r="AZ39" s="809">
        <f>AZ38/(AZ5)</f>
        <v>-12.863611542452047</v>
      </c>
      <c r="BA39" s="761" t="e">
        <f>BA38/(BA5)</f>
        <v>#DIV/0!</v>
      </c>
      <c r="BB39" s="761">
        <f>BB38/(BB5)</f>
        <v>-17.824690672886831</v>
      </c>
      <c r="BC39" s="789">
        <f t="shared" si="8"/>
        <v>-9.5627812206309093E-6</v>
      </c>
      <c r="BD39" s="777"/>
      <c r="BE39" s="761" t="e">
        <f>BE38/(BE5)</f>
        <v>#DIV/0!</v>
      </c>
      <c r="BF39" s="761" t="e">
        <f>BF38/(BF5)</f>
        <v>#DIV/0!</v>
      </c>
      <c r="BG39" s="761" t="e">
        <f>BG38/(BG5)</f>
        <v>#DIV/0!</v>
      </c>
      <c r="BH39" s="789" t="e">
        <f t="shared" si="9"/>
        <v>#DIV/0!</v>
      </c>
      <c r="BI39" s="813"/>
      <c r="BJ39" s="761" t="e">
        <f>BJ38/(BJ5)</f>
        <v>#DIV/0!</v>
      </c>
      <c r="BK39" s="761" t="e">
        <f>BK38/(BK5)</f>
        <v>#DIV/0!</v>
      </c>
      <c r="BL39" s="761" t="e">
        <f>BL38/(BL5)</f>
        <v>#DIV/0!</v>
      </c>
      <c r="BM39" s="789" t="e">
        <f t="shared" si="35"/>
        <v>#DIV/0!</v>
      </c>
      <c r="BN39" s="813"/>
      <c r="BO39" s="639">
        <f>BO38/(BO5)</f>
        <v>0.31717197766382332</v>
      </c>
      <c r="BP39" s="639" t="e">
        <f>BP38/(BP5)</f>
        <v>#DIV/0!</v>
      </c>
      <c r="BQ39" s="660">
        <f>BQ38/(BQ5)</f>
        <v>0.21970004002708396</v>
      </c>
      <c r="BR39" s="660"/>
      <c r="BS39" s="660"/>
      <c r="BT39" s="928"/>
    </row>
    <row r="40" spans="1:75" ht="13.95" customHeight="1" outlineLevel="1" thickBot="1" x14ac:dyDescent="0.3">
      <c r="A40" s="295"/>
      <c r="B40" s="299"/>
      <c r="C40" s="300"/>
      <c r="D40" s="301"/>
      <c r="E40" s="80"/>
      <c r="F40" s="302"/>
      <c r="G40" s="80"/>
      <c r="H40" s="80"/>
      <c r="I40" s="58"/>
      <c r="J40" s="58"/>
      <c r="K40" s="58"/>
      <c r="L40" s="58"/>
      <c r="M40" s="58"/>
      <c r="N40" s="58"/>
      <c r="O40" s="58"/>
      <c r="P40" s="58"/>
      <c r="Q40" s="58"/>
      <c r="R40" s="58"/>
      <c r="S40" s="58"/>
      <c r="T40" s="58"/>
      <c r="U40" s="408"/>
      <c r="V40" s="58"/>
      <c r="W40" s="58"/>
      <c r="X40" s="58"/>
      <c r="Y40" s="58"/>
      <c r="Z40" s="408"/>
      <c r="AA40" s="58"/>
      <c r="AB40" s="58"/>
      <c r="AC40" s="58"/>
      <c r="AD40" s="58"/>
      <c r="AE40" s="408"/>
      <c r="AF40" s="58"/>
      <c r="AG40" s="58"/>
      <c r="AH40" s="58"/>
      <c r="AI40" s="58"/>
      <c r="AJ40" s="408"/>
      <c r="AK40" s="58"/>
      <c r="AL40" s="58"/>
      <c r="AM40" s="58"/>
      <c r="AN40" s="58"/>
      <c r="AO40" s="734"/>
      <c r="AP40" s="790"/>
      <c r="AQ40" s="762"/>
      <c r="AR40" s="767"/>
      <c r="AS40" s="790"/>
      <c r="AT40" s="637"/>
      <c r="AU40" s="762"/>
      <c r="AV40" s="762"/>
      <c r="AW40" s="767"/>
      <c r="AX40" s="790">
        <f t="shared" si="7"/>
        <v>0</v>
      </c>
      <c r="AY40" s="637"/>
      <c r="AZ40" s="762"/>
      <c r="BA40" s="762"/>
      <c r="BB40" s="767"/>
      <c r="BC40" s="790">
        <f t="shared" si="8"/>
        <v>0</v>
      </c>
      <c r="BD40" s="734"/>
      <c r="BE40" s="790"/>
      <c r="BF40" s="762"/>
      <c r="BG40" s="767"/>
      <c r="BH40" s="790">
        <f t="shared" si="9"/>
        <v>0</v>
      </c>
      <c r="BI40" s="637"/>
      <c r="BJ40" s="790"/>
      <c r="BK40" s="762"/>
      <c r="BL40" s="767"/>
      <c r="BM40" s="790">
        <f t="shared" si="35"/>
        <v>0</v>
      </c>
      <c r="BN40" s="637"/>
      <c r="BO40" s="662"/>
      <c r="BP40" s="649"/>
      <c r="BQ40" s="649"/>
      <c r="BR40" s="649"/>
      <c r="BS40" s="649"/>
      <c r="BT40" s="928"/>
    </row>
    <row r="41" spans="1:75" ht="13.95" customHeight="1" outlineLevel="1" thickBot="1" x14ac:dyDescent="0.3">
      <c r="A41" s="11"/>
      <c r="B41" s="312" t="s">
        <v>26</v>
      </c>
      <c r="C41" s="313">
        <f>SUM(C42:C48)</f>
        <v>3000</v>
      </c>
      <c r="D41" s="313">
        <f>SUM(D42:D48)</f>
        <v>6000</v>
      </c>
      <c r="E41" s="314">
        <f>SUM(E42:E48)</f>
        <v>9000</v>
      </c>
      <c r="F41" s="315">
        <f t="shared" ref="F41:F48" si="36">E41/$E$89</f>
        <v>2.8303143389716819E-4</v>
      </c>
      <c r="G41" s="313">
        <f>SUM(G42:G48)</f>
        <v>30983.09</v>
      </c>
      <c r="H41" s="314">
        <f>SUM(H42:H48)</f>
        <v>3586</v>
      </c>
      <c r="I41" s="118">
        <f>SUM(I42:I48)</f>
        <v>34569.090000000004</v>
      </c>
      <c r="J41" s="169">
        <f t="shared" ref="J41:J49" si="37">I41/$I$89</f>
        <v>3.5221551102568851E-3</v>
      </c>
      <c r="K41" s="60"/>
      <c r="L41" s="117">
        <f>SUM(L42:L48)</f>
        <v>4590.8900000000003</v>
      </c>
      <c r="M41" s="117">
        <f>SUM(M42:M48)</f>
        <v>1256</v>
      </c>
      <c r="N41" s="118">
        <f>SUM(N42:N48)</f>
        <v>5846.89</v>
      </c>
      <c r="O41" s="169">
        <f t="shared" ref="O41:O49" si="38">N41/$N$89</f>
        <v>7.4232406083226505E-4</v>
      </c>
      <c r="P41" s="60"/>
      <c r="Q41" s="117">
        <f>SUM(Q42:Q48)</f>
        <v>4503.5</v>
      </c>
      <c r="R41" s="117">
        <f>SUM(R42:R48)</f>
        <v>1130</v>
      </c>
      <c r="S41" s="118">
        <f>SUM(S42:S48)</f>
        <v>5633.5</v>
      </c>
      <c r="T41" s="169">
        <f t="shared" ref="T41:T49" si="39">S41/$N$89</f>
        <v>7.1523196035816732E-4</v>
      </c>
      <c r="U41" s="409"/>
      <c r="V41" s="117">
        <f>SUM(V42:V48)</f>
        <v>858.5</v>
      </c>
      <c r="W41" s="117">
        <f>SUM(W42:W48)</f>
        <v>709</v>
      </c>
      <c r="X41" s="118">
        <f>SUM(X42:X48)</f>
        <v>1567.5</v>
      </c>
      <c r="Y41" s="169">
        <f>X41/$X$89</f>
        <v>5.1087836280070927E-4</v>
      </c>
      <c r="Z41" s="409"/>
      <c r="AA41" s="117">
        <f>SUM(AA42:AA48)</f>
        <v>1839.49</v>
      </c>
      <c r="AB41" s="117">
        <f>SUM(AB42:AB48)</f>
        <v>1014</v>
      </c>
      <c r="AC41" s="118">
        <f>SUM(AC42:AC48)</f>
        <v>2853.49</v>
      </c>
      <c r="AD41" s="169">
        <f>AC41/$AC$89</f>
        <v>8.9295564230723115E-3</v>
      </c>
      <c r="AE41" s="591"/>
      <c r="AF41" s="117">
        <f>SUM(AF42:AF48)</f>
        <v>2456</v>
      </c>
      <c r="AG41" s="117">
        <f>SUM(AG42:AG48)</f>
        <v>398</v>
      </c>
      <c r="AH41" s="118">
        <f>SUM(AH42:AH48)</f>
        <v>2854</v>
      </c>
      <c r="AI41" s="169">
        <f>AH41/$AH$89</f>
        <v>8.2611977265363025E-4</v>
      </c>
      <c r="AJ41" s="591"/>
      <c r="AK41" s="117">
        <f>SUM(AK42:AK48)</f>
        <v>309</v>
      </c>
      <c r="AL41" s="117">
        <f>SUM(AL42:AL48)</f>
        <v>914</v>
      </c>
      <c r="AM41" s="118">
        <f>SUM(AM42:AM48)</f>
        <v>1223</v>
      </c>
      <c r="AN41" s="169">
        <f>AM41/$AH$89</f>
        <v>3.5400997966201467E-4</v>
      </c>
      <c r="AO41" s="591"/>
      <c r="AP41" s="763">
        <f>SUM(AP42:AP48)</f>
        <v>437.5</v>
      </c>
      <c r="AQ41" s="763">
        <f>SUM(AQ42:AQ48)</f>
        <v>0</v>
      </c>
      <c r="AR41" s="763">
        <f>SUM(AR42:AR48)</f>
        <v>437.5</v>
      </c>
      <c r="AS41" s="791">
        <f>AR41/$AH$89</f>
        <v>1.2663889296985397E-4</v>
      </c>
      <c r="AT41" s="814"/>
      <c r="AU41" s="810">
        <f>SUM(AU42:AU48)</f>
        <v>720</v>
      </c>
      <c r="AV41" s="763">
        <f>SUM(AV42:AV48)</f>
        <v>0</v>
      </c>
      <c r="AW41" s="763">
        <f>SUM(AW42:AW48)</f>
        <v>720</v>
      </c>
      <c r="AX41" s="791">
        <f t="shared" si="7"/>
        <v>3.8627332194478688E-4</v>
      </c>
      <c r="AY41" s="778"/>
      <c r="AZ41" s="810">
        <f>SUM(AZ42:AZ48)</f>
        <v>1271.6600000000003</v>
      </c>
      <c r="BA41" s="763">
        <f>SUM(BA42:BA48)</f>
        <v>-820</v>
      </c>
      <c r="BB41" s="763">
        <f>SUM(BB42:BB48)</f>
        <v>451.66000000000031</v>
      </c>
      <c r="BC41" s="791">
        <f t="shared" si="8"/>
        <v>2.4231140081886466E-4</v>
      </c>
      <c r="BD41" s="778"/>
      <c r="BE41" s="763">
        <f>SUM(BE42:BE48)</f>
        <v>0</v>
      </c>
      <c r="BF41" s="763">
        <f>SUM(BF42:BF48)</f>
        <v>0</v>
      </c>
      <c r="BG41" s="763">
        <f>SUM(BG42:BG48)</f>
        <v>0</v>
      </c>
      <c r="BH41" s="791">
        <f t="shared" si="9"/>
        <v>0</v>
      </c>
      <c r="BI41" s="814"/>
      <c r="BJ41" s="763">
        <f>SUM(BJ42:BJ48)</f>
        <v>0</v>
      </c>
      <c r="BK41" s="763">
        <f>SUM(BK42:BK48)</f>
        <v>0</v>
      </c>
      <c r="BL41" s="763">
        <f>SUM(BL42:BL48)</f>
        <v>0</v>
      </c>
      <c r="BM41" s="791">
        <f t="shared" si="35"/>
        <v>0</v>
      </c>
      <c r="BN41" s="814"/>
      <c r="BO41" s="579">
        <f>SUM(BO42:BO48)</f>
        <v>47969.630000000005</v>
      </c>
      <c r="BP41" s="579">
        <f>SUM(BP42:BP48)</f>
        <v>8187</v>
      </c>
      <c r="BQ41" s="605">
        <f>SUM(BQ42:BQ48)</f>
        <v>56156.630000000005</v>
      </c>
      <c r="BR41" s="664">
        <f>BQ41/$BQ$89</f>
        <v>1.8001693086308456E-3</v>
      </c>
      <c r="BS41" s="581"/>
      <c r="BT41" s="928"/>
    </row>
    <row r="42" spans="1:75" ht="13.95" customHeight="1" outlineLevel="2" x14ac:dyDescent="0.25">
      <c r="A42" s="4015"/>
      <c r="B42" s="311" t="s">
        <v>7</v>
      </c>
      <c r="C42" s="112"/>
      <c r="D42" s="310"/>
      <c r="E42" s="106">
        <f t="shared" ref="E42:E48" si="40">C42+D42</f>
        <v>0</v>
      </c>
      <c r="F42" s="177">
        <f t="shared" si="36"/>
        <v>0</v>
      </c>
      <c r="G42" s="39">
        <v>0</v>
      </c>
      <c r="H42" s="39">
        <v>0</v>
      </c>
      <c r="I42" s="106">
        <f t="shared" ref="I42:I48" si="41">G42+H42*1</f>
        <v>0</v>
      </c>
      <c r="J42" s="178">
        <f t="shared" si="37"/>
        <v>0</v>
      </c>
      <c r="K42" s="79"/>
      <c r="L42" s="39"/>
      <c r="M42" s="39"/>
      <c r="N42" s="106">
        <f t="shared" ref="N42:N48" si="42">L42+M42*1</f>
        <v>0</v>
      </c>
      <c r="O42" s="178">
        <f t="shared" si="38"/>
        <v>0</v>
      </c>
      <c r="P42" s="79"/>
      <c r="Q42" s="39"/>
      <c r="R42" s="39"/>
      <c r="S42" s="106">
        <f t="shared" ref="S42:S48" si="43">Q42+R42*1</f>
        <v>0</v>
      </c>
      <c r="T42" s="178">
        <f t="shared" si="39"/>
        <v>0</v>
      </c>
      <c r="U42" s="259"/>
      <c r="V42" s="39"/>
      <c r="W42" s="39"/>
      <c r="X42" s="210">
        <f t="shared" ref="X42:X49" si="44">V42+W42*1</f>
        <v>0</v>
      </c>
      <c r="Y42" s="450">
        <f t="shared" ref="Y42:Y48" si="45">X42/$X$89</f>
        <v>0</v>
      </c>
      <c r="Z42" s="443"/>
      <c r="AA42" s="39"/>
      <c r="AB42" s="39"/>
      <c r="AC42" s="210">
        <f t="shared" ref="AC42:AC49" si="46">AA42+AB42*1</f>
        <v>0</v>
      </c>
      <c r="AD42" s="595">
        <f t="shared" ref="AD42:AD48" si="47">AC42/$AC$89</f>
        <v>0</v>
      </c>
      <c r="AE42" s="601"/>
      <c r="AF42" s="39"/>
      <c r="AG42" s="39"/>
      <c r="AH42" s="210">
        <f t="shared" ref="AH42:AH49" si="48">AF42+AG42*1</f>
        <v>0</v>
      </c>
      <c r="AI42" s="541">
        <f t="shared" ref="AI42:AI48" si="49">AH42/$AH$89</f>
        <v>0</v>
      </c>
      <c r="AJ42" s="601"/>
      <c r="AK42" s="39"/>
      <c r="AL42" s="39"/>
      <c r="AM42" s="210">
        <f t="shared" ref="AM42:AM49" si="50">AK42+AL42*1</f>
        <v>0</v>
      </c>
      <c r="AN42" s="541">
        <f t="shared" ref="AN42:AN48" si="51">AM42/$AM$89</f>
        <v>0</v>
      </c>
      <c r="AO42" s="601"/>
      <c r="AP42" s="815"/>
      <c r="AQ42" s="717"/>
      <c r="AR42" s="717">
        <f t="shared" ref="AR42:AR48" si="52">AP42+AQ42*1</f>
        <v>0</v>
      </c>
      <c r="AS42" s="787">
        <f t="shared" ref="AS42:AS48" si="53">AR42/$AR$89</f>
        <v>0</v>
      </c>
      <c r="AT42" s="715"/>
      <c r="AU42" s="717"/>
      <c r="AV42" s="717"/>
      <c r="AW42" s="717">
        <f t="shared" ref="AW42:AW48" si="54">AU42+AV42*1</f>
        <v>0</v>
      </c>
      <c r="AX42" s="787">
        <f t="shared" si="7"/>
        <v>0</v>
      </c>
      <c r="AY42" s="717"/>
      <c r="AZ42" s="717"/>
      <c r="BA42" s="717"/>
      <c r="BB42" s="717">
        <f t="shared" ref="BB42:BB48" si="55">AZ42+BA42*1</f>
        <v>0</v>
      </c>
      <c r="BC42" s="787">
        <f t="shared" si="8"/>
        <v>0</v>
      </c>
      <c r="BD42" s="717"/>
      <c r="BE42" s="815"/>
      <c r="BF42" s="717"/>
      <c r="BG42" s="717">
        <f t="shared" ref="BG42:BG48" si="56">BE42+BF42*1</f>
        <v>0</v>
      </c>
      <c r="BH42" s="787">
        <f t="shared" si="9"/>
        <v>0</v>
      </c>
      <c r="BI42" s="715"/>
      <c r="BJ42" s="815"/>
      <c r="BK42" s="717"/>
      <c r="BL42" s="717">
        <f t="shared" ref="BL42:BL48" si="57">BJ42+BK42*1</f>
        <v>0</v>
      </c>
      <c r="BM42" s="787">
        <f t="shared" si="35"/>
        <v>0</v>
      </c>
      <c r="BN42" s="715"/>
      <c r="BO42" s="560">
        <f t="shared" ref="BO42:BO48" si="58">G42+L42+Q42+V42+AA42+AF42+AK42+AP42+AU42+AZ42+BE42+BJ42</f>
        <v>0</v>
      </c>
      <c r="BP42" s="452">
        <f t="shared" ref="BP42:BP48" si="59">H42+M42+R42+W42+AB42+AG42+AL42+AQ42+AV42+BA42+BF42+BK42</f>
        <v>0</v>
      </c>
      <c r="BQ42" s="602">
        <f t="shared" ref="BQ42:BQ48" si="60">BO42+BP42*1</f>
        <v>0</v>
      </c>
      <c r="BR42" s="450">
        <f t="shared" ref="BR42:BR72" si="61">BQ42/$BQ$89</f>
        <v>0</v>
      </c>
      <c r="BS42" s="498"/>
      <c r="BT42" s="928"/>
    </row>
    <row r="43" spans="1:75" ht="13.95" customHeight="1" outlineLevel="2" x14ac:dyDescent="0.25">
      <c r="A43" s="4015"/>
      <c r="B43" s="18" t="s">
        <v>27</v>
      </c>
      <c r="C43" s="113"/>
      <c r="D43" s="119">
        <v>4000</v>
      </c>
      <c r="E43" s="120">
        <f t="shared" si="40"/>
        <v>4000</v>
      </c>
      <c r="F43" s="178">
        <f t="shared" si="36"/>
        <v>1.2579174839874141E-4</v>
      </c>
      <c r="G43" s="39">
        <v>0</v>
      </c>
      <c r="H43" s="39">
        <v>2291</v>
      </c>
      <c r="I43" s="106">
        <f t="shared" si="41"/>
        <v>2291</v>
      </c>
      <c r="J43" s="178">
        <f t="shared" si="37"/>
        <v>2.334240605581033E-4</v>
      </c>
      <c r="K43" s="79"/>
      <c r="L43" s="39"/>
      <c r="M43" s="39">
        <v>490</v>
      </c>
      <c r="N43" s="106">
        <f t="shared" si="42"/>
        <v>490</v>
      </c>
      <c r="O43" s="178">
        <f t="shared" si="38"/>
        <v>6.2210643574243718E-5</v>
      </c>
      <c r="P43" s="79" t="s">
        <v>480</v>
      </c>
      <c r="Q43" s="39"/>
      <c r="R43" s="39">
        <v>150</v>
      </c>
      <c r="S43" s="106">
        <f t="shared" si="43"/>
        <v>150</v>
      </c>
      <c r="T43" s="178">
        <f t="shared" si="39"/>
        <v>1.9044074563543998E-5</v>
      </c>
      <c r="U43" s="415" t="s">
        <v>480</v>
      </c>
      <c r="V43" s="39"/>
      <c r="W43" s="39">
        <v>262</v>
      </c>
      <c r="X43" s="210">
        <f t="shared" si="44"/>
        <v>262</v>
      </c>
      <c r="Y43" s="450">
        <f t="shared" si="45"/>
        <v>8.5390833208156828E-5</v>
      </c>
      <c r="Z43" s="443" t="s">
        <v>480</v>
      </c>
      <c r="AA43" s="39"/>
      <c r="AB43" s="39">
        <f>133+150</f>
        <v>283</v>
      </c>
      <c r="AC43" s="210">
        <f t="shared" si="46"/>
        <v>283</v>
      </c>
      <c r="AD43" s="595">
        <f t="shared" si="47"/>
        <v>8.8560480945419965E-4</v>
      </c>
      <c r="AE43" s="601" t="s">
        <v>751</v>
      </c>
      <c r="AF43" s="39"/>
      <c r="AG43" s="39">
        <v>278</v>
      </c>
      <c r="AH43" s="210">
        <f t="shared" si="48"/>
        <v>278</v>
      </c>
      <c r="AI43" s="541">
        <f t="shared" si="49"/>
        <v>8.046997084713007E-5</v>
      </c>
      <c r="AJ43" s="601"/>
      <c r="AK43" s="39"/>
      <c r="AL43" s="39">
        <v>127</v>
      </c>
      <c r="AM43" s="210">
        <f t="shared" si="50"/>
        <v>127</v>
      </c>
      <c r="AN43" s="541">
        <f t="shared" si="51"/>
        <v>5.9001608567352632E-5</v>
      </c>
      <c r="AO43" s="601"/>
      <c r="AP43" s="816"/>
      <c r="AQ43" s="759"/>
      <c r="AR43" s="768">
        <f t="shared" si="52"/>
        <v>0</v>
      </c>
      <c r="AS43" s="785">
        <f t="shared" si="53"/>
        <v>0</v>
      </c>
      <c r="AT43" s="714"/>
      <c r="AU43" s="811"/>
      <c r="AV43" s="759"/>
      <c r="AW43" s="768">
        <f t="shared" si="54"/>
        <v>0</v>
      </c>
      <c r="AX43" s="785">
        <f t="shared" si="7"/>
        <v>0</v>
      </c>
      <c r="AY43" s="601"/>
      <c r="AZ43" s="811"/>
      <c r="BA43" s="759"/>
      <c r="BB43" s="768">
        <f t="shared" si="55"/>
        <v>0</v>
      </c>
      <c r="BC43" s="785">
        <f t="shared" si="8"/>
        <v>0</v>
      </c>
      <c r="BD43" s="601"/>
      <c r="BE43" s="816"/>
      <c r="BF43" s="759"/>
      <c r="BG43" s="768">
        <f t="shared" si="56"/>
        <v>0</v>
      </c>
      <c r="BH43" s="785">
        <f t="shared" si="9"/>
        <v>0</v>
      </c>
      <c r="BI43" s="714"/>
      <c r="BJ43" s="816"/>
      <c r="BK43" s="759"/>
      <c r="BL43" s="768">
        <f t="shared" si="57"/>
        <v>0</v>
      </c>
      <c r="BM43" s="785">
        <f t="shared" si="35"/>
        <v>0</v>
      </c>
      <c r="BN43" s="714"/>
      <c r="BO43" s="560">
        <f t="shared" si="58"/>
        <v>0</v>
      </c>
      <c r="BP43" s="452">
        <f t="shared" si="59"/>
        <v>3881</v>
      </c>
      <c r="BQ43" s="453">
        <f t="shared" si="60"/>
        <v>3881</v>
      </c>
      <c r="BR43" s="450">
        <f t="shared" si="61"/>
        <v>1.2441019140208931E-4</v>
      </c>
      <c r="BS43" s="498"/>
      <c r="BT43" s="928"/>
      <c r="BU43" s="688"/>
      <c r="BV43" s="928"/>
    </row>
    <row r="44" spans="1:75" ht="13.95" customHeight="1" outlineLevel="2" x14ac:dyDescent="0.25">
      <c r="A44" s="4015"/>
      <c r="B44" s="19" t="s">
        <v>28</v>
      </c>
      <c r="C44" s="113">
        <v>1000</v>
      </c>
      <c r="D44" s="119"/>
      <c r="E44" s="120">
        <f t="shared" si="40"/>
        <v>1000</v>
      </c>
      <c r="F44" s="178">
        <f t="shared" si="36"/>
        <v>3.1447937099685351E-5</v>
      </c>
      <c r="G44" s="39">
        <v>0</v>
      </c>
      <c r="H44" s="39">
        <v>400</v>
      </c>
      <c r="I44" s="106">
        <f t="shared" si="41"/>
        <v>400</v>
      </c>
      <c r="J44" s="178">
        <f t="shared" si="37"/>
        <v>4.0754964741702889E-5</v>
      </c>
      <c r="K44" s="79"/>
      <c r="L44" s="39"/>
      <c r="M44" s="39">
        <v>250</v>
      </c>
      <c r="N44" s="106">
        <f t="shared" si="42"/>
        <v>250</v>
      </c>
      <c r="O44" s="178">
        <f t="shared" si="38"/>
        <v>3.1740124272573329E-5</v>
      </c>
      <c r="P44" s="79" t="s">
        <v>497</v>
      </c>
      <c r="Q44" s="39"/>
      <c r="R44" s="39">
        <v>250</v>
      </c>
      <c r="S44" s="106">
        <f t="shared" si="43"/>
        <v>250</v>
      </c>
      <c r="T44" s="178">
        <f t="shared" si="39"/>
        <v>3.1740124272573329E-5</v>
      </c>
      <c r="U44" s="415" t="s">
        <v>497</v>
      </c>
      <c r="V44" s="39"/>
      <c r="W44" s="39">
        <v>250</v>
      </c>
      <c r="X44" s="210">
        <f t="shared" si="44"/>
        <v>250</v>
      </c>
      <c r="Y44" s="450">
        <f t="shared" si="45"/>
        <v>8.1479802679538962E-5</v>
      </c>
      <c r="Z44" s="443" t="s">
        <v>673</v>
      </c>
      <c r="AA44" s="39"/>
      <c r="AB44" s="39">
        <v>250</v>
      </c>
      <c r="AC44" s="210">
        <f t="shared" si="46"/>
        <v>250</v>
      </c>
      <c r="AD44" s="595">
        <f t="shared" si="47"/>
        <v>7.8233640411148387E-4</v>
      </c>
      <c r="AE44" s="601" t="s">
        <v>750</v>
      </c>
      <c r="AF44" s="39"/>
      <c r="AG44" s="39"/>
      <c r="AH44" s="210">
        <f t="shared" si="48"/>
        <v>0</v>
      </c>
      <c r="AI44" s="541">
        <f t="shared" si="49"/>
        <v>0</v>
      </c>
      <c r="AJ44" s="601"/>
      <c r="AK44" s="39"/>
      <c r="AL44" s="39"/>
      <c r="AM44" s="210">
        <f t="shared" si="50"/>
        <v>0</v>
      </c>
      <c r="AN44" s="541">
        <f t="shared" si="51"/>
        <v>0</v>
      </c>
      <c r="AO44" s="601"/>
      <c r="AP44" s="816"/>
      <c r="AQ44" s="759"/>
      <c r="AR44" s="768">
        <f t="shared" si="52"/>
        <v>0</v>
      </c>
      <c r="AS44" s="785">
        <f t="shared" si="53"/>
        <v>0</v>
      </c>
      <c r="AT44" s="714"/>
      <c r="AU44" s="811"/>
      <c r="AV44" s="759"/>
      <c r="AW44" s="768">
        <f t="shared" si="54"/>
        <v>0</v>
      </c>
      <c r="AX44" s="785">
        <f t="shared" si="7"/>
        <v>0</v>
      </c>
      <c r="AY44" s="601"/>
      <c r="AZ44" s="811"/>
      <c r="BA44" s="759"/>
      <c r="BB44" s="768">
        <f t="shared" si="55"/>
        <v>0</v>
      </c>
      <c r="BC44" s="785">
        <f t="shared" si="8"/>
        <v>0</v>
      </c>
      <c r="BD44" s="601"/>
      <c r="BE44" s="816"/>
      <c r="BF44" s="759"/>
      <c r="BG44" s="768">
        <f t="shared" si="56"/>
        <v>0</v>
      </c>
      <c r="BH44" s="785">
        <f t="shared" si="9"/>
        <v>0</v>
      </c>
      <c r="BI44" s="714"/>
      <c r="BJ44" s="816"/>
      <c r="BK44" s="759"/>
      <c r="BL44" s="768">
        <f t="shared" si="57"/>
        <v>0</v>
      </c>
      <c r="BM44" s="785">
        <f t="shared" si="35"/>
        <v>0</v>
      </c>
      <c r="BN44" s="714"/>
      <c r="BO44" s="560">
        <f t="shared" si="58"/>
        <v>0</v>
      </c>
      <c r="BP44" s="452">
        <f t="shared" si="59"/>
        <v>1400</v>
      </c>
      <c r="BQ44" s="453">
        <f t="shared" si="60"/>
        <v>1400</v>
      </c>
      <c r="BR44" s="450">
        <f t="shared" si="61"/>
        <v>4.4878708570709878E-5</v>
      </c>
      <c r="BS44" s="498"/>
      <c r="BT44" s="928"/>
      <c r="BU44" s="688"/>
      <c r="BV44" s="928"/>
    </row>
    <row r="45" spans="1:75" ht="13.95" customHeight="1" outlineLevel="2" x14ac:dyDescent="0.25">
      <c r="A45" s="4015"/>
      <c r="B45" s="18" t="s">
        <v>8</v>
      </c>
      <c r="C45" s="113"/>
      <c r="D45" s="119"/>
      <c r="E45" s="120">
        <f t="shared" si="40"/>
        <v>0</v>
      </c>
      <c r="F45" s="178">
        <f t="shared" si="36"/>
        <v>0</v>
      </c>
      <c r="G45" s="39">
        <v>0</v>
      </c>
      <c r="H45" s="39">
        <v>0</v>
      </c>
      <c r="I45" s="106">
        <f t="shared" si="41"/>
        <v>0</v>
      </c>
      <c r="J45" s="178">
        <f t="shared" si="37"/>
        <v>0</v>
      </c>
      <c r="K45" s="79"/>
      <c r="L45" s="39"/>
      <c r="M45" s="39"/>
      <c r="N45" s="106">
        <f t="shared" si="42"/>
        <v>0</v>
      </c>
      <c r="O45" s="178">
        <f t="shared" si="38"/>
        <v>0</v>
      </c>
      <c r="P45" s="79"/>
      <c r="Q45" s="39"/>
      <c r="R45" s="39"/>
      <c r="S45" s="106">
        <f t="shared" si="43"/>
        <v>0</v>
      </c>
      <c r="T45" s="178">
        <f t="shared" si="39"/>
        <v>0</v>
      </c>
      <c r="U45" s="259"/>
      <c r="V45" s="39"/>
      <c r="W45" s="39"/>
      <c r="X45" s="210">
        <f t="shared" si="44"/>
        <v>0</v>
      </c>
      <c r="Y45" s="450">
        <f t="shared" si="45"/>
        <v>0</v>
      </c>
      <c r="Z45" s="443"/>
      <c r="AA45" s="39"/>
      <c r="AB45" s="39"/>
      <c r="AC45" s="210">
        <f t="shared" si="46"/>
        <v>0</v>
      </c>
      <c r="AD45" s="595">
        <f t="shared" si="47"/>
        <v>0</v>
      </c>
      <c r="AE45" s="601"/>
      <c r="AF45" s="39"/>
      <c r="AG45" s="39"/>
      <c r="AH45" s="210">
        <f t="shared" si="48"/>
        <v>0</v>
      </c>
      <c r="AI45" s="541">
        <f t="shared" si="49"/>
        <v>0</v>
      </c>
      <c r="AJ45" s="601"/>
      <c r="AK45" s="39"/>
      <c r="AL45" s="39"/>
      <c r="AM45" s="210">
        <f t="shared" si="50"/>
        <v>0</v>
      </c>
      <c r="AN45" s="541">
        <f t="shared" si="51"/>
        <v>0</v>
      </c>
      <c r="AO45" s="601"/>
      <c r="AP45" s="816"/>
      <c r="AQ45" s="759"/>
      <c r="AR45" s="768">
        <f t="shared" si="52"/>
        <v>0</v>
      </c>
      <c r="AS45" s="785">
        <f t="shared" si="53"/>
        <v>0</v>
      </c>
      <c r="AT45" s="714"/>
      <c r="AU45" s="811"/>
      <c r="AV45" s="759"/>
      <c r="AW45" s="768">
        <f t="shared" si="54"/>
        <v>0</v>
      </c>
      <c r="AX45" s="785">
        <f t="shared" si="7"/>
        <v>0</v>
      </c>
      <c r="AY45" s="601"/>
      <c r="AZ45" s="811">
        <v>700</v>
      </c>
      <c r="BA45" s="759"/>
      <c r="BB45" s="768">
        <f t="shared" si="55"/>
        <v>700</v>
      </c>
      <c r="BC45" s="785">
        <f t="shared" si="8"/>
        <v>3.7554350744632058E-4</v>
      </c>
      <c r="BD45" s="601"/>
      <c r="BE45" s="816"/>
      <c r="BF45" s="759"/>
      <c r="BG45" s="768">
        <f t="shared" si="56"/>
        <v>0</v>
      </c>
      <c r="BH45" s="785">
        <f t="shared" si="9"/>
        <v>0</v>
      </c>
      <c r="BI45" s="714"/>
      <c r="BJ45" s="816"/>
      <c r="BK45" s="759"/>
      <c r="BL45" s="768">
        <f t="shared" si="57"/>
        <v>0</v>
      </c>
      <c r="BM45" s="785">
        <f t="shared" si="35"/>
        <v>0</v>
      </c>
      <c r="BN45" s="714"/>
      <c r="BO45" s="560">
        <f t="shared" si="58"/>
        <v>700</v>
      </c>
      <c r="BP45" s="452">
        <f t="shared" si="59"/>
        <v>0</v>
      </c>
      <c r="BQ45" s="453">
        <f t="shared" si="60"/>
        <v>700</v>
      </c>
      <c r="BR45" s="450">
        <f t="shared" si="61"/>
        <v>2.2439354285354939E-5</v>
      </c>
      <c r="BS45" s="498"/>
      <c r="BT45" s="928"/>
      <c r="BU45" s="688"/>
    </row>
    <row r="46" spans="1:75" ht="13.95" customHeight="1" outlineLevel="2" x14ac:dyDescent="0.25">
      <c r="A46" s="4015"/>
      <c r="B46" s="18" t="s">
        <v>29</v>
      </c>
      <c r="C46" s="113"/>
      <c r="D46" s="119"/>
      <c r="E46" s="120">
        <f t="shared" si="40"/>
        <v>0</v>
      </c>
      <c r="F46" s="178">
        <f t="shared" si="36"/>
        <v>0</v>
      </c>
      <c r="G46" s="39">
        <v>0</v>
      </c>
      <c r="H46" s="39">
        <v>0</v>
      </c>
      <c r="I46" s="106">
        <f t="shared" si="41"/>
        <v>0</v>
      </c>
      <c r="J46" s="178">
        <f t="shared" si="37"/>
        <v>0</v>
      </c>
      <c r="K46" s="79"/>
      <c r="L46" s="39"/>
      <c r="M46" s="39"/>
      <c r="N46" s="106">
        <f t="shared" si="42"/>
        <v>0</v>
      </c>
      <c r="O46" s="178">
        <f t="shared" si="38"/>
        <v>0</v>
      </c>
      <c r="P46" s="79"/>
      <c r="Q46" s="39"/>
      <c r="R46" s="39"/>
      <c r="S46" s="106">
        <f t="shared" si="43"/>
        <v>0</v>
      </c>
      <c r="T46" s="178">
        <f t="shared" si="39"/>
        <v>0</v>
      </c>
      <c r="U46" s="259"/>
      <c r="V46" s="39"/>
      <c r="W46" s="39"/>
      <c r="X46" s="210">
        <f t="shared" si="44"/>
        <v>0</v>
      </c>
      <c r="Y46" s="450">
        <f t="shared" si="45"/>
        <v>0</v>
      </c>
      <c r="Z46" s="443"/>
      <c r="AA46" s="39"/>
      <c r="AB46" s="39"/>
      <c r="AC46" s="210">
        <f t="shared" si="46"/>
        <v>0</v>
      </c>
      <c r="AD46" s="595">
        <f t="shared" si="47"/>
        <v>0</v>
      </c>
      <c r="AE46" s="601"/>
      <c r="AF46" s="39"/>
      <c r="AG46" s="39"/>
      <c r="AH46" s="210">
        <f t="shared" si="48"/>
        <v>0</v>
      </c>
      <c r="AI46" s="541">
        <f t="shared" si="49"/>
        <v>0</v>
      </c>
      <c r="AJ46" s="601"/>
      <c r="AK46" s="39"/>
      <c r="AL46" s="39"/>
      <c r="AM46" s="210">
        <f t="shared" si="50"/>
        <v>0</v>
      </c>
      <c r="AN46" s="541">
        <f t="shared" si="51"/>
        <v>0</v>
      </c>
      <c r="AO46" s="601"/>
      <c r="AP46" s="816"/>
      <c r="AQ46" s="759"/>
      <c r="AR46" s="768">
        <f t="shared" si="52"/>
        <v>0</v>
      </c>
      <c r="AS46" s="785">
        <f t="shared" si="53"/>
        <v>0</v>
      </c>
      <c r="AT46" s="714"/>
      <c r="AU46" s="811"/>
      <c r="AV46" s="759"/>
      <c r="AW46" s="768">
        <f t="shared" si="54"/>
        <v>0</v>
      </c>
      <c r="AX46" s="785">
        <f t="shared" si="7"/>
        <v>0</v>
      </c>
      <c r="AY46" s="601"/>
      <c r="AZ46" s="811"/>
      <c r="BA46" s="759"/>
      <c r="BB46" s="768">
        <f t="shared" si="55"/>
        <v>0</v>
      </c>
      <c r="BC46" s="785">
        <f t="shared" si="8"/>
        <v>0</v>
      </c>
      <c r="BD46" s="601"/>
      <c r="BE46" s="816"/>
      <c r="BF46" s="759"/>
      <c r="BG46" s="768">
        <f t="shared" si="56"/>
        <v>0</v>
      </c>
      <c r="BH46" s="785">
        <f t="shared" si="9"/>
        <v>0</v>
      </c>
      <c r="BI46" s="714"/>
      <c r="BJ46" s="816"/>
      <c r="BK46" s="759"/>
      <c r="BL46" s="768">
        <f t="shared" si="57"/>
        <v>0</v>
      </c>
      <c r="BM46" s="785">
        <f t="shared" si="35"/>
        <v>0</v>
      </c>
      <c r="BN46" s="714"/>
      <c r="BO46" s="560">
        <f t="shared" si="58"/>
        <v>0</v>
      </c>
      <c r="BP46" s="452">
        <f t="shared" si="59"/>
        <v>0</v>
      </c>
      <c r="BQ46" s="453">
        <f t="shared" si="60"/>
        <v>0</v>
      </c>
      <c r="BR46" s="450">
        <f t="shared" si="61"/>
        <v>0</v>
      </c>
      <c r="BS46" s="498"/>
      <c r="BT46" s="928"/>
      <c r="BU46" s="688"/>
    </row>
    <row r="47" spans="1:75" ht="13.95" customHeight="1" outlineLevel="2" x14ac:dyDescent="0.25">
      <c r="A47" s="4015"/>
      <c r="B47" s="18" t="s">
        <v>30</v>
      </c>
      <c r="C47" s="113"/>
      <c r="D47" s="119">
        <v>2000</v>
      </c>
      <c r="E47" s="120">
        <f t="shared" si="40"/>
        <v>2000</v>
      </c>
      <c r="F47" s="178">
        <f t="shared" si="36"/>
        <v>6.2895874199370703E-5</v>
      </c>
      <c r="G47" s="39">
        <v>29420.45</v>
      </c>
      <c r="H47" s="39">
        <v>41</v>
      </c>
      <c r="I47" s="106">
        <f t="shared" si="41"/>
        <v>29461.45</v>
      </c>
      <c r="J47" s="178">
        <f t="shared" si="37"/>
        <v>3.0017508899736066E-3</v>
      </c>
      <c r="K47" s="79"/>
      <c r="L47" s="39">
        <v>4590.8900000000003</v>
      </c>
      <c r="M47" s="39"/>
      <c r="N47" s="106">
        <f t="shared" si="42"/>
        <v>4590.8900000000003</v>
      </c>
      <c r="O47" s="178">
        <f t="shared" si="38"/>
        <v>5.8286167648685671E-4</v>
      </c>
      <c r="P47" s="79" t="s">
        <v>486</v>
      </c>
      <c r="Q47" s="39">
        <v>4503.5</v>
      </c>
      <c r="R47" s="39">
        <v>730</v>
      </c>
      <c r="S47" s="106">
        <f t="shared" si="43"/>
        <v>5233.5</v>
      </c>
      <c r="T47" s="178">
        <f t="shared" si="39"/>
        <v>6.6444776152205004E-4</v>
      </c>
      <c r="U47" s="415" t="s">
        <v>486</v>
      </c>
      <c r="V47" s="39">
        <v>858.5</v>
      </c>
      <c r="W47" s="39"/>
      <c r="X47" s="210">
        <f t="shared" si="44"/>
        <v>858.5</v>
      </c>
      <c r="Y47" s="450">
        <f t="shared" si="45"/>
        <v>2.7980164240153679E-4</v>
      </c>
      <c r="Z47" s="443" t="s">
        <v>486</v>
      </c>
      <c r="AA47" s="39">
        <v>1839.49</v>
      </c>
      <c r="AB47" s="39">
        <v>481</v>
      </c>
      <c r="AC47" s="210">
        <f t="shared" si="46"/>
        <v>2320.4899999999998</v>
      </c>
      <c r="AD47" s="595">
        <f t="shared" si="47"/>
        <v>7.2616152095066281E-3</v>
      </c>
      <c r="AE47" s="601"/>
      <c r="AF47" s="39">
        <v>2456</v>
      </c>
      <c r="AG47" s="39">
        <v>120</v>
      </c>
      <c r="AH47" s="210">
        <f t="shared" si="48"/>
        <v>2576</v>
      </c>
      <c r="AI47" s="541">
        <f t="shared" si="49"/>
        <v>7.4564980180650024E-4</v>
      </c>
      <c r="AJ47" s="601" t="s">
        <v>807</v>
      </c>
      <c r="AK47" s="39">
        <v>309</v>
      </c>
      <c r="AL47" s="39">
        <v>700</v>
      </c>
      <c r="AM47" s="210">
        <f t="shared" si="50"/>
        <v>1009</v>
      </c>
      <c r="AN47" s="541">
        <f t="shared" si="51"/>
        <v>4.6876081137369141E-4</v>
      </c>
      <c r="AO47" s="601" t="s">
        <v>832</v>
      </c>
      <c r="AP47" s="816">
        <v>437.5</v>
      </c>
      <c r="AQ47" s="759"/>
      <c r="AR47" s="768">
        <f t="shared" si="52"/>
        <v>437.5</v>
      </c>
      <c r="AS47" s="785">
        <f t="shared" si="53"/>
        <v>1.3091098185355081E-2</v>
      </c>
      <c r="AT47" s="714"/>
      <c r="AU47" s="811">
        <v>720</v>
      </c>
      <c r="AV47" s="759"/>
      <c r="AW47" s="768">
        <f t="shared" si="54"/>
        <v>720</v>
      </c>
      <c r="AX47" s="785">
        <f t="shared" si="7"/>
        <v>3.8627332194478688E-4</v>
      </c>
      <c r="AY47" s="601"/>
      <c r="AZ47" s="811">
        <f>1153.41-1019.75</f>
        <v>133.66000000000008</v>
      </c>
      <c r="BA47" s="759">
        <v>-820</v>
      </c>
      <c r="BB47" s="768">
        <f t="shared" si="55"/>
        <v>-686.33999999999992</v>
      </c>
      <c r="BC47" s="785">
        <f t="shared" si="8"/>
        <v>-3.6821504414386806E-4</v>
      </c>
      <c r="BD47" s="601"/>
      <c r="BE47" s="816"/>
      <c r="BF47" s="759"/>
      <c r="BG47" s="768">
        <f t="shared" si="56"/>
        <v>0</v>
      </c>
      <c r="BH47" s="785">
        <f t="shared" si="9"/>
        <v>0</v>
      </c>
      <c r="BI47" s="714"/>
      <c r="BJ47" s="816"/>
      <c r="BK47" s="759"/>
      <c r="BL47" s="768">
        <f t="shared" si="57"/>
        <v>0</v>
      </c>
      <c r="BM47" s="785">
        <f t="shared" si="35"/>
        <v>0</v>
      </c>
      <c r="BN47" s="714"/>
      <c r="BO47" s="560">
        <f t="shared" si="58"/>
        <v>45268.990000000005</v>
      </c>
      <c r="BP47" s="452">
        <f t="shared" si="59"/>
        <v>1252</v>
      </c>
      <c r="BQ47" s="453">
        <f t="shared" si="60"/>
        <v>46520.990000000005</v>
      </c>
      <c r="BR47" s="450">
        <f>BQ47/$BQ$89</f>
        <v>1.4912871090220778E-3</v>
      </c>
      <c r="BS47" s="498"/>
      <c r="BT47" s="928"/>
      <c r="BU47" s="688"/>
      <c r="BV47" s="928"/>
    </row>
    <row r="48" spans="1:75" ht="13.95" customHeight="1" outlineLevel="2" x14ac:dyDescent="0.25">
      <c r="A48" s="4015"/>
      <c r="B48" s="18" t="s">
        <v>15</v>
      </c>
      <c r="C48" s="113">
        <v>2000</v>
      </c>
      <c r="D48" s="119"/>
      <c r="E48" s="120">
        <f t="shared" si="40"/>
        <v>2000</v>
      </c>
      <c r="F48" s="178">
        <f t="shared" si="36"/>
        <v>6.2895874199370703E-5</v>
      </c>
      <c r="G48" s="39">
        <v>1562.6399999999999</v>
      </c>
      <c r="H48" s="39">
        <v>854</v>
      </c>
      <c r="I48" s="106">
        <f t="shared" si="41"/>
        <v>2416.64</v>
      </c>
      <c r="J48" s="178">
        <f t="shared" si="37"/>
        <v>2.4622519498347217E-4</v>
      </c>
      <c r="K48" s="79"/>
      <c r="L48" s="39"/>
      <c r="M48" s="39">
        <v>516</v>
      </c>
      <c r="N48" s="106">
        <f t="shared" si="42"/>
        <v>516</v>
      </c>
      <c r="O48" s="178">
        <f t="shared" si="38"/>
        <v>6.5511616498591343E-5</v>
      </c>
      <c r="P48" s="389" t="s">
        <v>498</v>
      </c>
      <c r="Q48" s="39"/>
      <c r="R48" s="39"/>
      <c r="S48" s="106">
        <f t="shared" si="43"/>
        <v>0</v>
      </c>
      <c r="T48" s="178">
        <f t="shared" si="39"/>
        <v>0</v>
      </c>
      <c r="U48" s="403"/>
      <c r="V48" s="39"/>
      <c r="W48" s="39">
        <v>197</v>
      </c>
      <c r="X48" s="210">
        <f t="shared" si="44"/>
        <v>197</v>
      </c>
      <c r="Y48" s="450">
        <f t="shared" si="45"/>
        <v>6.4206084511476703E-5</v>
      </c>
      <c r="Z48" s="443" t="s">
        <v>674</v>
      </c>
      <c r="AA48" s="39"/>
      <c r="AB48" s="39"/>
      <c r="AC48" s="210">
        <f t="shared" si="46"/>
        <v>0</v>
      </c>
      <c r="AD48" s="595">
        <f t="shared" si="47"/>
        <v>0</v>
      </c>
      <c r="AE48" s="601"/>
      <c r="AF48" s="39"/>
      <c r="AG48" s="39"/>
      <c r="AH48" s="210">
        <f t="shared" si="48"/>
        <v>0</v>
      </c>
      <c r="AI48" s="541">
        <f t="shared" si="49"/>
        <v>0</v>
      </c>
      <c r="AJ48" s="601"/>
      <c r="AK48" s="39"/>
      <c r="AL48" s="39">
        <v>87</v>
      </c>
      <c r="AM48" s="210">
        <f t="shared" si="50"/>
        <v>87</v>
      </c>
      <c r="AN48" s="541">
        <f t="shared" si="51"/>
        <v>4.0418424766611646E-5</v>
      </c>
      <c r="AO48" s="601"/>
      <c r="AP48" s="816"/>
      <c r="AQ48" s="759"/>
      <c r="AR48" s="768">
        <f t="shared" si="52"/>
        <v>0</v>
      </c>
      <c r="AS48" s="785">
        <f t="shared" si="53"/>
        <v>0</v>
      </c>
      <c r="AT48" s="714"/>
      <c r="AU48" s="811"/>
      <c r="AV48" s="759"/>
      <c r="AW48" s="768">
        <f t="shared" si="54"/>
        <v>0</v>
      </c>
      <c r="AX48" s="785">
        <f t="shared" si="7"/>
        <v>0</v>
      </c>
      <c r="AY48" s="601"/>
      <c r="AZ48" s="811">
        <v>438.00000000000023</v>
      </c>
      <c r="BA48" s="759"/>
      <c r="BB48" s="768">
        <f t="shared" si="55"/>
        <v>438.00000000000023</v>
      </c>
      <c r="BC48" s="785">
        <f t="shared" si="8"/>
        <v>2.3498293751641214E-4</v>
      </c>
      <c r="BD48" s="601"/>
      <c r="BE48" s="816"/>
      <c r="BF48" s="759"/>
      <c r="BG48" s="768">
        <f t="shared" si="56"/>
        <v>0</v>
      </c>
      <c r="BH48" s="785">
        <f t="shared" si="9"/>
        <v>0</v>
      </c>
      <c r="BI48" s="714"/>
      <c r="BJ48" s="816"/>
      <c r="BK48" s="759"/>
      <c r="BL48" s="768">
        <f t="shared" si="57"/>
        <v>0</v>
      </c>
      <c r="BM48" s="785">
        <f t="shared" si="35"/>
        <v>0</v>
      </c>
      <c r="BN48" s="714"/>
      <c r="BO48" s="560">
        <f t="shared" si="58"/>
        <v>2000.64</v>
      </c>
      <c r="BP48" s="452">
        <f t="shared" si="59"/>
        <v>1654</v>
      </c>
      <c r="BQ48" s="453">
        <f t="shared" si="60"/>
        <v>3654.6400000000003</v>
      </c>
      <c r="BR48" s="450">
        <f t="shared" si="61"/>
        <v>1.1715394535061369E-4</v>
      </c>
      <c r="BS48" s="498"/>
      <c r="BT48" s="928"/>
      <c r="BU48" s="688"/>
      <c r="BV48" s="928"/>
    </row>
    <row r="49" spans="1:75" s="2" customFormat="1" ht="13.95" customHeight="1" outlineLevel="2" thickBot="1" x14ac:dyDescent="0.3">
      <c r="A49" s="11"/>
      <c r="B49" s="35"/>
      <c r="C49" s="116"/>
      <c r="D49" s="121"/>
      <c r="E49" s="122"/>
      <c r="F49" s="182"/>
      <c r="G49" s="210">
        <v>0</v>
      </c>
      <c r="H49" s="210">
        <v>0</v>
      </c>
      <c r="I49" s="52"/>
      <c r="J49" s="178">
        <f t="shared" si="37"/>
        <v>0</v>
      </c>
      <c r="K49" s="52"/>
      <c r="L49" s="39"/>
      <c r="M49" s="39"/>
      <c r="N49" s="52"/>
      <c r="O49" s="178">
        <f t="shared" si="38"/>
        <v>0</v>
      </c>
      <c r="P49" s="52"/>
      <c r="Q49" s="39"/>
      <c r="R49" s="39"/>
      <c r="S49" s="52"/>
      <c r="T49" s="178">
        <f t="shared" si="39"/>
        <v>0</v>
      </c>
      <c r="U49" s="64"/>
      <c r="V49" s="39"/>
      <c r="W49" s="39"/>
      <c r="X49" s="210">
        <f t="shared" si="44"/>
        <v>0</v>
      </c>
      <c r="Y49" s="178">
        <f>X49/$N$89</f>
        <v>0</v>
      </c>
      <c r="Z49" s="64"/>
      <c r="AA49" s="39"/>
      <c r="AB49" s="39"/>
      <c r="AC49" s="210">
        <f t="shared" si="46"/>
        <v>0</v>
      </c>
      <c r="AD49" s="178">
        <f>AC49/$N$89</f>
        <v>0</v>
      </c>
      <c r="AE49" s="603"/>
      <c r="AF49" s="39"/>
      <c r="AG49" s="39"/>
      <c r="AH49" s="210">
        <f t="shared" si="48"/>
        <v>0</v>
      </c>
      <c r="AI49" s="178">
        <f>AH49/$N$89</f>
        <v>0</v>
      </c>
      <c r="AJ49" s="603"/>
      <c r="AK49" s="39"/>
      <c r="AL49" s="39"/>
      <c r="AM49" s="210">
        <f t="shared" si="50"/>
        <v>0</v>
      </c>
      <c r="AN49" s="178">
        <f>AM49/$N$89</f>
        <v>0</v>
      </c>
      <c r="AO49" s="603"/>
      <c r="AP49" s="817"/>
      <c r="AQ49" s="718"/>
      <c r="AR49" s="718"/>
      <c r="AS49" s="792"/>
      <c r="AT49" s="608"/>
      <c r="AU49" s="718"/>
      <c r="AV49" s="718"/>
      <c r="AW49" s="718"/>
      <c r="AX49" s="792">
        <f t="shared" si="7"/>
        <v>0</v>
      </c>
      <c r="AY49" s="718"/>
      <c r="AZ49" s="718"/>
      <c r="BA49" s="718"/>
      <c r="BB49" s="718"/>
      <c r="BC49" s="792">
        <f t="shared" si="8"/>
        <v>0</v>
      </c>
      <c r="BD49" s="718"/>
      <c r="BE49" s="817"/>
      <c r="BF49" s="718"/>
      <c r="BG49" s="718"/>
      <c r="BH49" s="792">
        <f t="shared" si="9"/>
        <v>0</v>
      </c>
      <c r="BI49" s="608"/>
      <c r="BJ49" s="817"/>
      <c r="BK49" s="718"/>
      <c r="BL49" s="718"/>
      <c r="BM49" s="792">
        <f t="shared" si="35"/>
        <v>0</v>
      </c>
      <c r="BN49" s="608"/>
      <c r="BO49" s="600"/>
      <c r="BP49" s="600"/>
      <c r="BQ49" s="606"/>
      <c r="BR49" s="450">
        <f t="shared" si="61"/>
        <v>0</v>
      </c>
      <c r="BS49" s="606"/>
      <c r="BT49" s="842"/>
      <c r="BU49" s="688"/>
    </row>
    <row r="50" spans="1:75" s="2" customFormat="1" ht="13.95" customHeight="1" outlineLevel="1" x14ac:dyDescent="0.25">
      <c r="A50" s="293"/>
      <c r="B50" s="17" t="s">
        <v>59</v>
      </c>
      <c r="C50" s="123"/>
      <c r="D50" s="123"/>
      <c r="E50" s="123">
        <f>SUM(E51:E52)</f>
        <v>0</v>
      </c>
      <c r="F50" s="170">
        <f>E50/$E$89</f>
        <v>0</v>
      </c>
      <c r="G50" s="123">
        <f>G52+G51</f>
        <v>9992.7999999999993</v>
      </c>
      <c r="H50" s="123">
        <f>H52+H51</f>
        <v>0</v>
      </c>
      <c r="I50" s="123">
        <f>SUM(I51:I52)</f>
        <v>9992.7999999999993</v>
      </c>
      <c r="J50" s="60"/>
      <c r="K50" s="60"/>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f>AH50/$AH$89</f>
        <v>0</v>
      </c>
      <c r="AJ50" s="409"/>
      <c r="AK50" s="123">
        <f>AK52+AK51</f>
        <v>0</v>
      </c>
      <c r="AL50" s="123">
        <f>AL52+AL51</f>
        <v>0</v>
      </c>
      <c r="AM50" s="123">
        <f>SUM(AM51:AM52)</f>
        <v>0</v>
      </c>
      <c r="AN50" s="60">
        <f>AM50/$AH$89</f>
        <v>0</v>
      </c>
      <c r="AO50" s="591"/>
      <c r="AP50" s="591">
        <f>AP52+AP51</f>
        <v>0</v>
      </c>
      <c r="AQ50" s="591">
        <f>AQ52+AQ51</f>
        <v>0</v>
      </c>
      <c r="AR50" s="591">
        <f>SUM(AR51:AR52)</f>
        <v>0</v>
      </c>
      <c r="AS50" s="665">
        <f>AR50/$AH$89</f>
        <v>0</v>
      </c>
      <c r="AT50" s="814"/>
      <c r="AU50" s="778">
        <f>AU52+AU51</f>
        <v>0</v>
      </c>
      <c r="AV50" s="591">
        <f>AV52+AV51</f>
        <v>0</v>
      </c>
      <c r="AW50" s="591">
        <f>SUM(AW51:AW52)</f>
        <v>0</v>
      </c>
      <c r="AX50" s="665">
        <f t="shared" si="7"/>
        <v>0</v>
      </c>
      <c r="AY50" s="778"/>
      <c r="AZ50" s="778">
        <f>AZ52+AZ51</f>
        <v>0</v>
      </c>
      <c r="BA50" s="591">
        <f>BA52+BA51</f>
        <v>0</v>
      </c>
      <c r="BB50" s="591">
        <f>SUM(BB51:BB52)</f>
        <v>0</v>
      </c>
      <c r="BC50" s="665">
        <f t="shared" si="8"/>
        <v>0</v>
      </c>
      <c r="BD50" s="778"/>
      <c r="BE50" s="591">
        <f>BE52+BE51</f>
        <v>0</v>
      </c>
      <c r="BF50" s="591">
        <f>BF52+BF51</f>
        <v>0</v>
      </c>
      <c r="BG50" s="591">
        <f>SUM(BG51:BG52)</f>
        <v>0</v>
      </c>
      <c r="BH50" s="665">
        <f t="shared" si="9"/>
        <v>0</v>
      </c>
      <c r="BI50" s="814"/>
      <c r="BJ50" s="591">
        <f>BJ52+BJ51</f>
        <v>0</v>
      </c>
      <c r="BK50" s="591">
        <f>BK52+BK51</f>
        <v>0</v>
      </c>
      <c r="BL50" s="591">
        <f>SUM(BL51:BL52)</f>
        <v>0</v>
      </c>
      <c r="BM50" s="665">
        <f t="shared" si="35"/>
        <v>0</v>
      </c>
      <c r="BN50" s="814"/>
      <c r="BO50" s="578">
        <f>BO52+BO51</f>
        <v>9992.7999999999993</v>
      </c>
      <c r="BP50" s="578">
        <f>BP52+BP51</f>
        <v>0</v>
      </c>
      <c r="BQ50" s="578">
        <f>SUM(BQ51:BQ52)</f>
        <v>9992.7999999999993</v>
      </c>
      <c r="BR50" s="581"/>
      <c r="BS50" s="581"/>
      <c r="BT50" s="842"/>
      <c r="BU50" s="688"/>
    </row>
    <row r="51" spans="1:75" s="226" customFormat="1" ht="13.95" customHeight="1" outlineLevel="1" x14ac:dyDescent="0.25">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05"/>
      <c r="V51" s="39"/>
      <c r="W51" s="39"/>
      <c r="X51" s="210">
        <f>V51+W51*1</f>
        <v>0</v>
      </c>
      <c r="Y51" s="178">
        <f>X51/$N$89</f>
        <v>0</v>
      </c>
      <c r="Z51" s="405"/>
      <c r="AA51" s="39"/>
      <c r="AB51" s="39"/>
      <c r="AC51" s="210">
        <f>AA51+AB51*1</f>
        <v>0</v>
      </c>
      <c r="AD51" s="595">
        <f>AC51/$AC$89</f>
        <v>0</v>
      </c>
      <c r="AE51" s="405"/>
      <c r="AF51" s="39"/>
      <c r="AG51" s="39"/>
      <c r="AH51" s="210">
        <f>AF51+AG51*1</f>
        <v>0</v>
      </c>
      <c r="AI51" s="541">
        <f>AH51/$AH$89</f>
        <v>0</v>
      </c>
      <c r="AJ51" s="405"/>
      <c r="AK51" s="39"/>
      <c r="AL51" s="39"/>
      <c r="AM51" s="210">
        <f>AK51+AL51*1</f>
        <v>0</v>
      </c>
      <c r="AN51" s="541">
        <f>AM51/$AM$89</f>
        <v>0</v>
      </c>
      <c r="AO51" s="732"/>
      <c r="AP51" s="793"/>
      <c r="AQ51" s="719"/>
      <c r="AR51" s="740">
        <f>AP51+AQ51*1</f>
        <v>0</v>
      </c>
      <c r="AS51" s="793">
        <f>AR51/$AM$89</f>
        <v>0</v>
      </c>
      <c r="AT51" s="719"/>
      <c r="AU51" s="719"/>
      <c r="AV51" s="719"/>
      <c r="AW51" s="740">
        <f>AU51+AV51*1</f>
        <v>0</v>
      </c>
      <c r="AX51" s="793">
        <f t="shared" si="7"/>
        <v>0</v>
      </c>
      <c r="AY51" s="719"/>
      <c r="AZ51" s="719"/>
      <c r="BA51" s="719"/>
      <c r="BB51" s="740">
        <f>AZ51+BA51*1</f>
        <v>0</v>
      </c>
      <c r="BC51" s="793">
        <f t="shared" si="8"/>
        <v>0</v>
      </c>
      <c r="BD51" s="740"/>
      <c r="BE51" s="793"/>
      <c r="BF51" s="719"/>
      <c r="BG51" s="740">
        <f>BE51+BF51*1</f>
        <v>0</v>
      </c>
      <c r="BH51" s="785">
        <f t="shared" si="9"/>
        <v>0</v>
      </c>
      <c r="BI51" s="719"/>
      <c r="BJ51" s="793"/>
      <c r="BK51" s="719"/>
      <c r="BL51" s="740">
        <f>BJ51+BK51*1</f>
        <v>0</v>
      </c>
      <c r="BM51" s="785">
        <f t="shared" si="35"/>
        <v>0</v>
      </c>
      <c r="BN51" s="719"/>
      <c r="BO51" s="560">
        <f>G51+L51+Q51+V51+AA51+AF51+AK51+AP51+AU51+AZ51+BE51+BJ51</f>
        <v>0</v>
      </c>
      <c r="BP51" s="452">
        <f>H51+M51+R51+W51+AB51+AG51+AL51+AQ51+AV51+BA51+BF51+BK51</f>
        <v>0</v>
      </c>
      <c r="BQ51" s="446">
        <f>BO51+BP51*1</f>
        <v>0</v>
      </c>
      <c r="BR51" s="450">
        <f t="shared" si="61"/>
        <v>0</v>
      </c>
      <c r="BS51" s="693"/>
      <c r="BT51" s="916"/>
    </row>
    <row r="52" spans="1:75" s="235" customFormat="1" ht="13.95" customHeight="1" outlineLevel="2" x14ac:dyDescent="0.25">
      <c r="A52" s="234"/>
      <c r="B52" s="18" t="s">
        <v>61</v>
      </c>
      <c r="C52" s="113"/>
      <c r="D52" s="119"/>
      <c r="E52" s="119">
        <f>C52+D52</f>
        <v>0</v>
      </c>
      <c r="F52" s="180">
        <f>E52/$E$89</f>
        <v>0</v>
      </c>
      <c r="G52" s="39">
        <v>9992.7999999999993</v>
      </c>
      <c r="H52" s="39">
        <v>0</v>
      </c>
      <c r="I52" s="106">
        <f>G52+H52*1</f>
        <v>9992.7999999999993</v>
      </c>
      <c r="J52" s="178">
        <f>I52/$I$89</f>
        <v>1.0181405291772214E-3</v>
      </c>
      <c r="K52" s="45"/>
      <c r="L52" s="39"/>
      <c r="M52" s="39"/>
      <c r="N52" s="106">
        <f>L52+M52*1</f>
        <v>0</v>
      </c>
      <c r="O52" s="178">
        <f>N52/$N$89</f>
        <v>0</v>
      </c>
      <c r="P52" s="45"/>
      <c r="Q52" s="39"/>
      <c r="R52" s="39"/>
      <c r="S52" s="106">
        <f>Q52+R52*1</f>
        <v>0</v>
      </c>
      <c r="T52" s="178">
        <f>S52/$N$89</f>
        <v>0</v>
      </c>
      <c r="U52" s="405"/>
      <c r="V52" s="39"/>
      <c r="W52" s="39"/>
      <c r="X52" s="210">
        <f>V52+W52*1</f>
        <v>0</v>
      </c>
      <c r="Y52" s="178">
        <f>X52/$N$89</f>
        <v>0</v>
      </c>
      <c r="Z52" s="405"/>
      <c r="AA52" s="39"/>
      <c r="AB52" s="39"/>
      <c r="AC52" s="210">
        <f>AA52+AB52*1</f>
        <v>0</v>
      </c>
      <c r="AD52" s="595">
        <f>AC52/$AC$89</f>
        <v>0</v>
      </c>
      <c r="AE52" s="405"/>
      <c r="AF52" s="39"/>
      <c r="AG52" s="39"/>
      <c r="AH52" s="210">
        <f>AF52+AG52*1</f>
        <v>0</v>
      </c>
      <c r="AI52" s="541">
        <f>AH52/$AH$89</f>
        <v>0</v>
      </c>
      <c r="AJ52" s="405"/>
      <c r="AK52" s="39"/>
      <c r="AL52" s="39"/>
      <c r="AM52" s="210">
        <f>AK52+AL52*1</f>
        <v>0</v>
      </c>
      <c r="AN52" s="541">
        <f>AM52/$AM$89</f>
        <v>0</v>
      </c>
      <c r="AO52" s="732"/>
      <c r="AP52" s="793"/>
      <c r="AQ52" s="719"/>
      <c r="AR52" s="740">
        <f>AP52+AQ52*1</f>
        <v>0</v>
      </c>
      <c r="AS52" s="793">
        <f>AR52/$AM$89</f>
        <v>0</v>
      </c>
      <c r="AT52" s="719"/>
      <c r="AU52" s="719"/>
      <c r="AV52" s="719"/>
      <c r="AW52" s="740">
        <f>AU52+AV52*1</f>
        <v>0</v>
      </c>
      <c r="AX52" s="793">
        <f t="shared" si="7"/>
        <v>0</v>
      </c>
      <c r="AY52" s="719"/>
      <c r="AZ52" s="719"/>
      <c r="BA52" s="719"/>
      <c r="BB52" s="740">
        <f>AZ52+BA52*1</f>
        <v>0</v>
      </c>
      <c r="BC52" s="793">
        <f t="shared" si="8"/>
        <v>0</v>
      </c>
      <c r="BD52" s="740"/>
      <c r="BE52" s="793"/>
      <c r="BF52" s="719"/>
      <c r="BG52" s="740">
        <f>BE52+BF52*1</f>
        <v>0</v>
      </c>
      <c r="BH52" s="785">
        <f t="shared" si="9"/>
        <v>0</v>
      </c>
      <c r="BI52" s="719"/>
      <c r="BJ52" s="793"/>
      <c r="BK52" s="719"/>
      <c r="BL52" s="740">
        <f>BJ52+BK52*1</f>
        <v>0</v>
      </c>
      <c r="BM52" s="785">
        <f t="shared" si="35"/>
        <v>0</v>
      </c>
      <c r="BN52" s="719"/>
      <c r="BO52" s="560">
        <f>G52+L52+Q52+V52+AA52+AF52+AK52+AP52+AU52+AZ52+BE52+BJ52</f>
        <v>9992.7999999999993</v>
      </c>
      <c r="BP52" s="452">
        <f>H52+M52+R52+W52+AB52+AG52+AL52+AQ52+AV52+BA52+BF52+BK52</f>
        <v>0</v>
      </c>
      <c r="BQ52" s="446">
        <f>BO52+BP52*1</f>
        <v>9992.7999999999993</v>
      </c>
      <c r="BR52" s="450">
        <f t="shared" si="61"/>
        <v>3.2033139928956407E-4</v>
      </c>
      <c r="BS52" s="693"/>
      <c r="BT52" s="930"/>
    </row>
    <row r="53" spans="1:75" ht="13.95" customHeight="1" outlineLevel="1" thickBot="1" x14ac:dyDescent="0.3">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210">
        <f>V53+W53*1</f>
        <v>0</v>
      </c>
      <c r="Y53" s="61"/>
      <c r="Z53" s="61"/>
      <c r="AA53" s="39"/>
      <c r="AB53" s="39"/>
      <c r="AC53" s="210">
        <f>AA53+AB53*1</f>
        <v>0</v>
      </c>
      <c r="AD53" s="61"/>
      <c r="AE53" s="61"/>
      <c r="AF53" s="39"/>
      <c r="AG53" s="39"/>
      <c r="AH53" s="210">
        <f>AF53+AG53*1</f>
        <v>0</v>
      </c>
      <c r="AI53" s="61"/>
      <c r="AJ53" s="61"/>
      <c r="AK53" s="39"/>
      <c r="AL53" s="39"/>
      <c r="AM53" s="210">
        <f>AK53+AL53*1</f>
        <v>0</v>
      </c>
      <c r="AN53" s="61"/>
      <c r="AO53" s="735"/>
      <c r="AP53" s="794"/>
      <c r="AQ53" s="638"/>
      <c r="AR53" s="769">
        <f>AP53+AQ53*1</f>
        <v>0</v>
      </c>
      <c r="AS53" s="794"/>
      <c r="AT53" s="638"/>
      <c r="AU53" s="638"/>
      <c r="AV53" s="638"/>
      <c r="AW53" s="769">
        <f>AU53+AV53*1</f>
        <v>0</v>
      </c>
      <c r="AX53" s="794">
        <f t="shared" si="7"/>
        <v>0</v>
      </c>
      <c r="AY53" s="638"/>
      <c r="AZ53" s="638"/>
      <c r="BA53" s="638"/>
      <c r="BB53" s="769">
        <f>AZ53+BA53*1</f>
        <v>0</v>
      </c>
      <c r="BC53" s="794">
        <f t="shared" si="8"/>
        <v>0</v>
      </c>
      <c r="BD53" s="769"/>
      <c r="BE53" s="794"/>
      <c r="BF53" s="638"/>
      <c r="BG53" s="769">
        <f>BE53+BF53*1</f>
        <v>0</v>
      </c>
      <c r="BH53" s="785">
        <f t="shared" si="9"/>
        <v>0</v>
      </c>
      <c r="BI53" s="638"/>
      <c r="BJ53" s="794"/>
      <c r="BK53" s="638"/>
      <c r="BL53" s="769">
        <f>BJ53+BK53*1</f>
        <v>0</v>
      </c>
      <c r="BM53" s="785">
        <f t="shared" si="35"/>
        <v>0</v>
      </c>
      <c r="BN53" s="638"/>
      <c r="BO53" s="560"/>
      <c r="BP53" s="452"/>
      <c r="BQ53" s="668"/>
      <c r="BR53" s="668"/>
      <c r="BS53" s="668"/>
      <c r="BT53" s="928"/>
    </row>
    <row r="54" spans="1:75" ht="13.95" customHeight="1" outlineLevel="1" x14ac:dyDescent="0.25">
      <c r="A54" s="236"/>
      <c r="B54" s="17" t="s">
        <v>1</v>
      </c>
      <c r="C54" s="123">
        <f>SUM(C55:C71)</f>
        <v>144740</v>
      </c>
      <c r="D54" s="123">
        <f>SUM(D55:D71)</f>
        <v>107661</v>
      </c>
      <c r="E54" s="127">
        <f>SUM(E55:E71)</f>
        <v>252401</v>
      </c>
      <c r="F54" s="170">
        <f>E54/$E$89</f>
        <v>7.9374907718976831E-3</v>
      </c>
      <c r="G54" s="123">
        <f>SUM(G55:G71)</f>
        <v>209127.65400000001</v>
      </c>
      <c r="H54" s="123">
        <f>SUM(H55:H71)</f>
        <v>137276.5</v>
      </c>
      <c r="I54" s="127">
        <f>SUM(I55:I71)</f>
        <v>346404.15399999998</v>
      </c>
      <c r="J54" s="169">
        <f t="shared" ref="J54:J72" si="62">I54/$I$89</f>
        <v>3.5294222706623544E-2</v>
      </c>
      <c r="K54" s="123">
        <f>SUM(K55:K72)</f>
        <v>0</v>
      </c>
      <c r="L54" s="123">
        <f>SUM(L55:L72)</f>
        <v>24004</v>
      </c>
      <c r="M54" s="123">
        <f>SUM(M55:M72)</f>
        <v>27779</v>
      </c>
      <c r="N54" s="123">
        <f>SUM(N55:N72)</f>
        <v>51783</v>
      </c>
      <c r="O54" s="169">
        <f t="shared" ref="O54:O72" si="63">N54/$N$89</f>
        <v>6.5743954208266585E-3</v>
      </c>
      <c r="P54" s="60"/>
      <c r="Q54" s="123">
        <f>SUM(Q55:Q72)</f>
        <v>15201.09</v>
      </c>
      <c r="R54" s="123">
        <f>SUM(R55:R72)</f>
        <v>13922</v>
      </c>
      <c r="S54" s="123">
        <f>SUM(S55:S72)</f>
        <v>29123.09</v>
      </c>
      <c r="T54" s="169">
        <f>S54/$S$89</f>
        <v>2.1160146073942572E-2</v>
      </c>
      <c r="U54" s="409"/>
      <c r="V54" s="123">
        <f>SUM(V55:V72)</f>
        <v>8334.67</v>
      </c>
      <c r="W54" s="123">
        <f>SUM(W55:W72)</f>
        <v>1033</v>
      </c>
      <c r="X54" s="123">
        <f>SUM(X55:X72)</f>
        <v>9367.67</v>
      </c>
      <c r="Y54" s="169">
        <f>X54/$X$89</f>
        <v>3.0531036126681473E-3</v>
      </c>
      <c r="Z54" s="409"/>
      <c r="AA54" s="123">
        <f>SUM(AA55:AA72)</f>
        <v>12795.475</v>
      </c>
      <c r="AB54" s="123">
        <f>SUM(AB55:AB72)</f>
        <v>13919</v>
      </c>
      <c r="AC54" s="123">
        <f>SUM(AC55:AC72)</f>
        <v>26714.474999999999</v>
      </c>
      <c r="AD54" s="169">
        <f>AC54/$AC$89</f>
        <v>8.3598825236904525E-2</v>
      </c>
      <c r="AE54" s="409"/>
      <c r="AF54" s="123">
        <f>SUM(AF55:AF72)</f>
        <v>6047</v>
      </c>
      <c r="AG54" s="123">
        <f>SUM(AG55:AG72)</f>
        <v>1610</v>
      </c>
      <c r="AH54" s="123">
        <f>SUM(AH55:AH72)</f>
        <v>7657</v>
      </c>
      <c r="AI54" s="169">
        <f>AH54/$AH$89</f>
        <v>2.2163977222175359E-3</v>
      </c>
      <c r="AJ54" s="409"/>
      <c r="AK54" s="123">
        <f>SUM(AK55:AK72)</f>
        <v>0</v>
      </c>
      <c r="AL54" s="123">
        <f>SUM(AL55:AL72)</f>
        <v>0</v>
      </c>
      <c r="AM54" s="123">
        <f>SUM(AM55:AM72)</f>
        <v>0</v>
      </c>
      <c r="AN54" s="169">
        <f>AM54/$AH$89</f>
        <v>0</v>
      </c>
      <c r="AO54" s="591"/>
      <c r="AP54" s="763">
        <f>SUM(AP55:AP72)</f>
        <v>200</v>
      </c>
      <c r="AQ54" s="763">
        <f>SUM(AQ55:AQ72)</f>
        <v>384.25</v>
      </c>
      <c r="AR54" s="763">
        <f>SUM(AR55:AR72)</f>
        <v>584.25</v>
      </c>
      <c r="AS54" s="791">
        <f>AR54/$AH$89</f>
        <v>1.6911719592602786E-4</v>
      </c>
      <c r="AT54" s="814"/>
      <c r="AU54" s="810">
        <f>SUM(AU55:AU72)</f>
        <v>0</v>
      </c>
      <c r="AV54" s="763">
        <f>SUM(AV55:AV72)</f>
        <v>67.5</v>
      </c>
      <c r="AW54" s="763">
        <f>SUM(AW55:AW72)</f>
        <v>67.5</v>
      </c>
      <c r="AX54" s="791">
        <f t="shared" si="7"/>
        <v>3.6213123932323768E-5</v>
      </c>
      <c r="AY54" s="778"/>
      <c r="AZ54" s="810">
        <f>SUM(AZ55:AZ72)</f>
        <v>52428.451000000001</v>
      </c>
      <c r="BA54" s="763">
        <f>SUM(BA55:BA72)</f>
        <v>-8905.26</v>
      </c>
      <c r="BB54" s="763">
        <f>SUM(BB55:BB72)</f>
        <v>43523.190999999999</v>
      </c>
      <c r="BC54" s="791">
        <f t="shared" si="8"/>
        <v>2.3349788290565901E-2</v>
      </c>
      <c r="BD54" s="778"/>
      <c r="BE54" s="763">
        <f>SUM(BE55:BE72)</f>
        <v>0</v>
      </c>
      <c r="BF54" s="763">
        <f>SUM(BF55:BF72)</f>
        <v>0</v>
      </c>
      <c r="BG54" s="763">
        <f>SUM(BG55:BG72)</f>
        <v>0</v>
      </c>
      <c r="BH54" s="791">
        <f t="shared" si="9"/>
        <v>0</v>
      </c>
      <c r="BI54" s="814"/>
      <c r="BJ54" s="763">
        <f>SUM(BJ55:BJ72)</f>
        <v>0</v>
      </c>
      <c r="BK54" s="763">
        <f>SUM(BK55:BK72)</f>
        <v>0</v>
      </c>
      <c r="BL54" s="763">
        <f>SUM(BL55:BL72)</f>
        <v>0</v>
      </c>
      <c r="BM54" s="791">
        <f t="shared" si="35"/>
        <v>0</v>
      </c>
      <c r="BN54" s="814"/>
      <c r="BO54" s="578">
        <f>SUM(BO55:BO72)</f>
        <v>328138.33999999997</v>
      </c>
      <c r="BP54" s="578">
        <f>SUM(BP55:BP72)</f>
        <v>187085.99</v>
      </c>
      <c r="BQ54" s="578">
        <f>SUM(BQ55:BQ72)</f>
        <v>515224.32999999996</v>
      </c>
      <c r="BR54" s="664">
        <f t="shared" si="61"/>
        <v>1.6516144681863753E-2</v>
      </c>
      <c r="BS54" s="581"/>
      <c r="BT54" s="928"/>
    </row>
    <row r="55" spans="1:75" ht="13.95" customHeight="1" outlineLevel="2" x14ac:dyDescent="0.25">
      <c r="A55" s="237"/>
      <c r="B55" s="19" t="s">
        <v>77</v>
      </c>
      <c r="C55" s="113"/>
      <c r="D55" s="128"/>
      <c r="E55" s="120">
        <f t="shared" ref="E55:E71" si="64">C55+D55</f>
        <v>0</v>
      </c>
      <c r="F55" s="178">
        <f>E55/$E$89</f>
        <v>0</v>
      </c>
      <c r="G55" s="39">
        <v>13602.82</v>
      </c>
      <c r="H55" s="39">
        <v>7397</v>
      </c>
      <c r="I55" s="106">
        <f t="shared" ref="I55:I71" si="65">G55+H55*1</f>
        <v>20999.82</v>
      </c>
      <c r="J55" s="178">
        <f t="shared" si="62"/>
        <v>2.1396173092052681E-3</v>
      </c>
      <c r="K55" s="79"/>
      <c r="L55" s="210"/>
      <c r="M55" s="210"/>
      <c r="N55" s="106">
        <f t="shared" ref="N55:N71" si="66">L55+M55*1</f>
        <v>0</v>
      </c>
      <c r="O55" s="178">
        <f t="shared" si="63"/>
        <v>0</v>
      </c>
      <c r="P55" s="79"/>
      <c r="Q55" s="210"/>
      <c r="R55" s="210"/>
      <c r="S55" s="106">
        <f t="shared" ref="S55:S71" si="67">Q55+R55*1</f>
        <v>0</v>
      </c>
      <c r="T55" s="178">
        <f t="shared" ref="T55:T72" si="68">S55/$S$89</f>
        <v>0</v>
      </c>
      <c r="U55" s="259"/>
      <c r="V55" s="210"/>
      <c r="W55" s="210"/>
      <c r="X55" s="210">
        <f t="shared" ref="X55:X72" si="69">V55+W55*1</f>
        <v>0</v>
      </c>
      <c r="Y55" s="450">
        <f t="shared" ref="Y55:Y71" si="70">X55/$X$89</f>
        <v>0</v>
      </c>
      <c r="Z55" s="259"/>
      <c r="AA55" s="210"/>
      <c r="AB55" s="210"/>
      <c r="AC55" s="210">
        <f t="shared" ref="AC55:AC72" si="71">AA55+AB55*1</f>
        <v>0</v>
      </c>
      <c r="AD55" s="595">
        <f t="shared" ref="AD55:AD71" si="72">AC55/$AC$89</f>
        <v>0</v>
      </c>
      <c r="AE55" s="259"/>
      <c r="AF55" s="210"/>
      <c r="AG55" s="210"/>
      <c r="AH55" s="210">
        <f t="shared" ref="AH55:AH72" si="73">AF55+AG55*1</f>
        <v>0</v>
      </c>
      <c r="AI55" s="541">
        <f t="shared" ref="AI55:AI71" si="74">AH55/$AH$89</f>
        <v>0</v>
      </c>
      <c r="AJ55" s="259"/>
      <c r="AK55" s="210"/>
      <c r="AL55" s="210"/>
      <c r="AM55" s="210">
        <f t="shared" ref="AM55:AM72" si="75">AK55+AL55*1</f>
        <v>0</v>
      </c>
      <c r="AN55" s="541">
        <f t="shared" ref="AN55:AN71" si="76">AM55/$AM$89</f>
        <v>0</v>
      </c>
      <c r="AO55" s="731"/>
      <c r="AP55" s="786"/>
      <c r="AQ55" s="465"/>
      <c r="AR55" s="770">
        <f t="shared" ref="AR55:AR71" si="77">AP55+AQ55*1</f>
        <v>0</v>
      </c>
      <c r="AS55" s="786">
        <f t="shared" ref="AS55:AS71" si="78">AR55/$AR$89</f>
        <v>0</v>
      </c>
      <c r="AT55" s="465"/>
      <c r="AU55" s="465"/>
      <c r="AV55" s="465"/>
      <c r="AW55" s="770">
        <f t="shared" ref="AW55:AW71" si="79">AU55+AV55*1</f>
        <v>0</v>
      </c>
      <c r="AX55" s="786">
        <f t="shared" si="7"/>
        <v>0</v>
      </c>
      <c r="AY55" s="465"/>
      <c r="AZ55" s="465"/>
      <c r="BA55" s="465"/>
      <c r="BB55" s="770">
        <f t="shared" ref="BB55:BB71" si="80">AZ55+BA55*1</f>
        <v>0</v>
      </c>
      <c r="BC55" s="786">
        <f t="shared" si="8"/>
        <v>0</v>
      </c>
      <c r="BD55" s="770"/>
      <c r="BE55" s="786"/>
      <c r="BF55" s="465"/>
      <c r="BG55" s="770">
        <f t="shared" ref="BG55:BG71" si="81">BE55+BF55*1</f>
        <v>0</v>
      </c>
      <c r="BH55" s="795">
        <f t="shared" si="9"/>
        <v>0</v>
      </c>
      <c r="BI55" s="465"/>
      <c r="BJ55" s="786"/>
      <c r="BK55" s="465"/>
      <c r="BL55" s="770">
        <f t="shared" ref="BL55:BL71" si="82">BJ55+BK55*1</f>
        <v>0</v>
      </c>
      <c r="BM55" s="795">
        <f t="shared" si="35"/>
        <v>0</v>
      </c>
      <c r="BN55" s="465"/>
      <c r="BO55" s="560">
        <f t="shared" ref="BO55:BO71" si="83">G55+L55+Q55+V55+AA55+AF55+AK55+AP55+AU55+AZ55+BE55+BJ55</f>
        <v>13602.82</v>
      </c>
      <c r="BP55" s="452">
        <f t="shared" ref="BP55:BP71" si="84">H55+M55+R55+W55+AB55+AG55+AL55+AQ55+AV55+BA55+BF55+BK55</f>
        <v>7397</v>
      </c>
      <c r="BQ55" s="453">
        <f t="shared" ref="BQ55:BQ70" si="85">BO55+BP55*1</f>
        <v>20999.82</v>
      </c>
      <c r="BR55" s="450">
        <f t="shared" si="61"/>
        <v>6.7317485844097479E-4</v>
      </c>
      <c r="BS55" s="498"/>
      <c r="BT55" s="928"/>
      <c r="BU55" s="688"/>
    </row>
    <row r="56" spans="1:75" ht="13.95" customHeight="1" outlineLevel="2" x14ac:dyDescent="0.25">
      <c r="A56" s="237"/>
      <c r="B56" s="19" t="s">
        <v>76</v>
      </c>
      <c r="C56" s="113"/>
      <c r="D56" s="128"/>
      <c r="E56" s="120">
        <f t="shared" si="64"/>
        <v>0</v>
      </c>
      <c r="F56" s="178">
        <f t="shared" ref="F56:F72" si="86">E56/$E$89</f>
        <v>0</v>
      </c>
      <c r="G56" s="39">
        <v>2395.09</v>
      </c>
      <c r="H56" s="39">
        <v>0</v>
      </c>
      <c r="I56" s="106">
        <f t="shared" si="65"/>
        <v>2395.09</v>
      </c>
      <c r="J56" s="178">
        <f t="shared" si="62"/>
        <v>2.4402952125801295E-4</v>
      </c>
      <c r="K56" s="79"/>
      <c r="L56" s="210"/>
      <c r="M56" s="210"/>
      <c r="N56" s="106">
        <f t="shared" si="66"/>
        <v>0</v>
      </c>
      <c r="O56" s="178">
        <f t="shared" si="63"/>
        <v>0</v>
      </c>
      <c r="P56" s="79"/>
      <c r="Q56" s="210"/>
      <c r="R56" s="210"/>
      <c r="S56" s="106">
        <f t="shared" si="67"/>
        <v>0</v>
      </c>
      <c r="T56" s="178">
        <f t="shared" si="68"/>
        <v>0</v>
      </c>
      <c r="U56" s="259"/>
      <c r="V56" s="210"/>
      <c r="W56" s="210"/>
      <c r="X56" s="210">
        <f t="shared" si="69"/>
        <v>0</v>
      </c>
      <c r="Y56" s="450">
        <f t="shared" si="70"/>
        <v>0</v>
      </c>
      <c r="Z56" s="259"/>
      <c r="AA56" s="210"/>
      <c r="AB56" s="210"/>
      <c r="AC56" s="210">
        <f t="shared" si="71"/>
        <v>0</v>
      </c>
      <c r="AD56" s="595">
        <f t="shared" si="72"/>
        <v>0</v>
      </c>
      <c r="AE56" s="259"/>
      <c r="AF56" s="210"/>
      <c r="AG56" s="210"/>
      <c r="AH56" s="210">
        <f t="shared" si="73"/>
        <v>0</v>
      </c>
      <c r="AI56" s="541">
        <f t="shared" si="74"/>
        <v>0</v>
      </c>
      <c r="AJ56" s="259"/>
      <c r="AK56" s="210"/>
      <c r="AL56" s="210"/>
      <c r="AM56" s="210">
        <f t="shared" si="75"/>
        <v>0</v>
      </c>
      <c r="AN56" s="541">
        <f t="shared" si="76"/>
        <v>0</v>
      </c>
      <c r="AO56" s="731"/>
      <c r="AP56" s="786"/>
      <c r="AQ56" s="465"/>
      <c r="AR56" s="770">
        <f t="shared" si="77"/>
        <v>0</v>
      </c>
      <c r="AS56" s="786">
        <f t="shared" si="78"/>
        <v>0</v>
      </c>
      <c r="AT56" s="465"/>
      <c r="AU56" s="465"/>
      <c r="AV56" s="465"/>
      <c r="AW56" s="770">
        <f t="shared" si="79"/>
        <v>0</v>
      </c>
      <c r="AX56" s="786">
        <f t="shared" si="7"/>
        <v>0</v>
      </c>
      <c r="AY56" s="465"/>
      <c r="AZ56" s="465"/>
      <c r="BA56" s="465"/>
      <c r="BB56" s="770">
        <f t="shared" si="80"/>
        <v>0</v>
      </c>
      <c r="BC56" s="786">
        <f t="shared" si="8"/>
        <v>0</v>
      </c>
      <c r="BD56" s="770"/>
      <c r="BE56" s="786"/>
      <c r="BF56" s="465"/>
      <c r="BG56" s="770">
        <f t="shared" si="81"/>
        <v>0</v>
      </c>
      <c r="BH56" s="795">
        <f t="shared" si="9"/>
        <v>0</v>
      </c>
      <c r="BI56" s="465"/>
      <c r="BJ56" s="786"/>
      <c r="BK56" s="465"/>
      <c r="BL56" s="770">
        <f t="shared" si="82"/>
        <v>0</v>
      </c>
      <c r="BM56" s="795">
        <f t="shared" si="35"/>
        <v>0</v>
      </c>
      <c r="BN56" s="465"/>
      <c r="BO56" s="560">
        <f t="shared" si="83"/>
        <v>2395.09</v>
      </c>
      <c r="BP56" s="452">
        <f t="shared" si="84"/>
        <v>0</v>
      </c>
      <c r="BQ56" s="453">
        <f t="shared" si="85"/>
        <v>2395.09</v>
      </c>
      <c r="BR56" s="450">
        <f t="shared" si="61"/>
        <v>7.6777532936158244E-5</v>
      </c>
      <c r="BS56" s="498"/>
      <c r="BT56" s="928"/>
      <c r="BU56" s="688"/>
    </row>
    <row r="57" spans="1:75" ht="13.95" customHeight="1" outlineLevel="2" x14ac:dyDescent="0.25">
      <c r="A57" s="237"/>
      <c r="B57" s="19" t="s">
        <v>68</v>
      </c>
      <c r="C57" s="113"/>
      <c r="D57" s="128"/>
      <c r="E57" s="120">
        <f t="shared" si="64"/>
        <v>0</v>
      </c>
      <c r="F57" s="178">
        <f t="shared" si="86"/>
        <v>0</v>
      </c>
      <c r="G57" s="39">
        <v>3717.54</v>
      </c>
      <c r="H57" s="39">
        <v>0</v>
      </c>
      <c r="I57" s="106">
        <f t="shared" si="65"/>
        <v>3717.54</v>
      </c>
      <c r="J57" s="178">
        <f t="shared" si="62"/>
        <v>3.7877052906467538E-4</v>
      </c>
      <c r="K57" s="79"/>
      <c r="L57" s="210"/>
      <c r="M57" s="210"/>
      <c r="N57" s="106">
        <f t="shared" si="66"/>
        <v>0</v>
      </c>
      <c r="O57" s="178">
        <f t="shared" si="63"/>
        <v>0</v>
      </c>
      <c r="P57" s="79"/>
      <c r="Q57" s="210"/>
      <c r="R57" s="210"/>
      <c r="S57" s="106">
        <f t="shared" si="67"/>
        <v>0</v>
      </c>
      <c r="T57" s="178">
        <f t="shared" si="68"/>
        <v>0</v>
      </c>
      <c r="U57" s="259"/>
      <c r="V57" s="210"/>
      <c r="W57" s="210"/>
      <c r="X57" s="210">
        <f t="shared" si="69"/>
        <v>0</v>
      </c>
      <c r="Y57" s="450">
        <f t="shared" si="70"/>
        <v>0</v>
      </c>
      <c r="Z57" s="259"/>
      <c r="AA57" s="210"/>
      <c r="AB57" s="210"/>
      <c r="AC57" s="210">
        <f t="shared" si="71"/>
        <v>0</v>
      </c>
      <c r="AD57" s="595">
        <f t="shared" si="72"/>
        <v>0</v>
      </c>
      <c r="AE57" s="259"/>
      <c r="AF57" s="210"/>
      <c r="AG57" s="210"/>
      <c r="AH57" s="210">
        <f t="shared" si="73"/>
        <v>0</v>
      </c>
      <c r="AI57" s="541">
        <f t="shared" si="74"/>
        <v>0</v>
      </c>
      <c r="AJ57" s="259"/>
      <c r="AK57" s="210"/>
      <c r="AL57" s="210"/>
      <c r="AM57" s="210">
        <f t="shared" si="75"/>
        <v>0</v>
      </c>
      <c r="AN57" s="541">
        <f t="shared" si="76"/>
        <v>0</v>
      </c>
      <c r="AO57" s="731"/>
      <c r="AP57" s="786"/>
      <c r="AQ57" s="465"/>
      <c r="AR57" s="770">
        <f t="shared" si="77"/>
        <v>0</v>
      </c>
      <c r="AS57" s="786">
        <f t="shared" si="78"/>
        <v>0</v>
      </c>
      <c r="AT57" s="465"/>
      <c r="AU57" s="465"/>
      <c r="AV57" s="465"/>
      <c r="AW57" s="770">
        <f t="shared" si="79"/>
        <v>0</v>
      </c>
      <c r="AX57" s="786">
        <f t="shared" si="7"/>
        <v>0</v>
      </c>
      <c r="AY57" s="465"/>
      <c r="AZ57" s="465"/>
      <c r="BA57" s="465"/>
      <c r="BB57" s="770">
        <f t="shared" si="80"/>
        <v>0</v>
      </c>
      <c r="BC57" s="786">
        <f t="shared" si="8"/>
        <v>0</v>
      </c>
      <c r="BD57" s="770"/>
      <c r="BE57" s="786"/>
      <c r="BF57" s="465"/>
      <c r="BG57" s="770">
        <f t="shared" si="81"/>
        <v>0</v>
      </c>
      <c r="BH57" s="795">
        <f t="shared" si="9"/>
        <v>0</v>
      </c>
      <c r="BI57" s="465"/>
      <c r="BJ57" s="786"/>
      <c r="BK57" s="465"/>
      <c r="BL57" s="770">
        <f t="shared" si="82"/>
        <v>0</v>
      </c>
      <c r="BM57" s="795">
        <f t="shared" si="35"/>
        <v>0</v>
      </c>
      <c r="BN57" s="465"/>
      <c r="BO57" s="560">
        <f t="shared" si="83"/>
        <v>3717.54</v>
      </c>
      <c r="BP57" s="452">
        <f t="shared" si="84"/>
        <v>0</v>
      </c>
      <c r="BQ57" s="453">
        <f t="shared" si="85"/>
        <v>3717.54</v>
      </c>
      <c r="BR57" s="450">
        <f t="shared" si="61"/>
        <v>1.1917028161425486E-4</v>
      </c>
      <c r="BS57" s="498"/>
      <c r="BT57" s="928"/>
      <c r="BU57" s="688"/>
    </row>
    <row r="58" spans="1:75" ht="13.95" customHeight="1" outlineLevel="2" x14ac:dyDescent="0.25">
      <c r="A58" s="237"/>
      <c r="B58" s="19" t="s">
        <v>67</v>
      </c>
      <c r="C58" s="113">
        <v>41860</v>
      </c>
      <c r="D58" s="128">
        <v>103661</v>
      </c>
      <c r="E58" s="120">
        <f t="shared" si="64"/>
        <v>145521</v>
      </c>
      <c r="F58" s="178">
        <f t="shared" si="86"/>
        <v>4.5763352546833126E-3</v>
      </c>
      <c r="G58" s="39">
        <v>52325</v>
      </c>
      <c r="H58" s="39">
        <v>118478.5</v>
      </c>
      <c r="I58" s="106">
        <f t="shared" si="65"/>
        <v>170803.5</v>
      </c>
      <c r="J58" s="178">
        <f t="shared" si="62"/>
        <v>1.7402726550648624E-2</v>
      </c>
      <c r="K58" s="79"/>
      <c r="L58" s="210">
        <v>10626</v>
      </c>
      <c r="M58" s="210">
        <v>24339</v>
      </c>
      <c r="N58" s="106">
        <f t="shared" si="66"/>
        <v>34965</v>
      </c>
      <c r="O58" s="178">
        <f t="shared" si="63"/>
        <v>4.4391737807621054E-3</v>
      </c>
      <c r="P58" s="79" t="s">
        <v>471</v>
      </c>
      <c r="Q58" s="210">
        <f>10626/2</f>
        <v>5313</v>
      </c>
      <c r="R58" s="210">
        <f>24374/2</f>
        <v>12187</v>
      </c>
      <c r="S58" s="106">
        <f t="shared" si="67"/>
        <v>17500</v>
      </c>
      <c r="T58" s="178">
        <f t="shared" si="68"/>
        <v>1.2715084707494809E-2</v>
      </c>
      <c r="U58" s="415" t="s">
        <v>615</v>
      </c>
      <c r="V58" s="210"/>
      <c r="W58" s="210"/>
      <c r="X58" s="210">
        <f t="shared" si="69"/>
        <v>0</v>
      </c>
      <c r="Y58" s="450">
        <f t="shared" si="70"/>
        <v>0</v>
      </c>
      <c r="Z58" s="415"/>
      <c r="AA58" s="210">
        <v>5313</v>
      </c>
      <c r="AB58" s="210">
        <v>12187</v>
      </c>
      <c r="AC58" s="210">
        <f t="shared" si="71"/>
        <v>17500</v>
      </c>
      <c r="AD58" s="595">
        <f t="shared" si="72"/>
        <v>5.4763548287803866E-2</v>
      </c>
      <c r="AE58" s="443" t="s">
        <v>717</v>
      </c>
      <c r="AF58" s="210"/>
      <c r="AG58" s="210"/>
      <c r="AH58" s="210">
        <f t="shared" si="73"/>
        <v>0</v>
      </c>
      <c r="AI58" s="541">
        <f t="shared" si="74"/>
        <v>0</v>
      </c>
      <c r="AJ58" s="443"/>
      <c r="AK58" s="210"/>
      <c r="AL58" s="210"/>
      <c r="AM58" s="210">
        <f t="shared" si="75"/>
        <v>0</v>
      </c>
      <c r="AN58" s="541">
        <f t="shared" si="76"/>
        <v>0</v>
      </c>
      <c r="AO58" s="601"/>
      <c r="AP58" s="785"/>
      <c r="AQ58" s="714"/>
      <c r="AR58" s="601">
        <f t="shared" si="77"/>
        <v>0</v>
      </c>
      <c r="AS58" s="785">
        <f t="shared" si="78"/>
        <v>0</v>
      </c>
      <c r="AT58" s="714"/>
      <c r="AU58" s="714"/>
      <c r="AV58" s="714"/>
      <c r="AW58" s="601">
        <f t="shared" si="79"/>
        <v>0</v>
      </c>
      <c r="AX58" s="785">
        <f t="shared" si="7"/>
        <v>0</v>
      </c>
      <c r="AY58" s="714"/>
      <c r="AZ58" s="714">
        <v>-10465</v>
      </c>
      <c r="BA58" s="714">
        <v>-22520</v>
      </c>
      <c r="BB58" s="601">
        <f t="shared" si="80"/>
        <v>-32985</v>
      </c>
      <c r="BC58" s="785">
        <f t="shared" si="8"/>
        <v>-1.7696146561595547E-2</v>
      </c>
      <c r="BD58" s="601"/>
      <c r="BE58" s="785"/>
      <c r="BF58" s="714"/>
      <c r="BG58" s="601">
        <f t="shared" si="81"/>
        <v>0</v>
      </c>
      <c r="BH58" s="795">
        <f t="shared" si="9"/>
        <v>0</v>
      </c>
      <c r="BI58" s="714"/>
      <c r="BJ58" s="785"/>
      <c r="BK58" s="714"/>
      <c r="BL58" s="601">
        <f t="shared" si="82"/>
        <v>0</v>
      </c>
      <c r="BM58" s="795">
        <f t="shared" si="35"/>
        <v>0</v>
      </c>
      <c r="BN58" s="714"/>
      <c r="BO58" s="560">
        <f t="shared" si="83"/>
        <v>63112</v>
      </c>
      <c r="BP58" s="452">
        <f t="shared" si="84"/>
        <v>144671.5</v>
      </c>
      <c r="BQ58" s="453">
        <f t="shared" si="85"/>
        <v>207783.5</v>
      </c>
      <c r="BR58" s="450">
        <f t="shared" si="61"/>
        <v>6.6607536730729257E-3</v>
      </c>
      <c r="BS58" s="498"/>
      <c r="BT58" s="928"/>
      <c r="BU58" s="688"/>
      <c r="BV58" s="928"/>
    </row>
    <row r="59" spans="1:75" ht="13.95" customHeight="1" outlineLevel="2" x14ac:dyDescent="0.25">
      <c r="A59" s="237"/>
      <c r="B59" s="19" t="s">
        <v>66</v>
      </c>
      <c r="C59" s="113">
        <v>10140</v>
      </c>
      <c r="D59" s="128"/>
      <c r="E59" s="120">
        <f t="shared" si="64"/>
        <v>10140</v>
      </c>
      <c r="F59" s="178">
        <f t="shared" si="86"/>
        <v>3.1888208219080948E-4</v>
      </c>
      <c r="G59" s="39">
        <v>12675</v>
      </c>
      <c r="H59" s="39">
        <v>0</v>
      </c>
      <c r="I59" s="106">
        <f t="shared" si="65"/>
        <v>12675</v>
      </c>
      <c r="J59" s="178">
        <f t="shared" si="62"/>
        <v>1.2914229452527103E-3</v>
      </c>
      <c r="K59" s="79"/>
      <c r="L59" s="210">
        <v>2574</v>
      </c>
      <c r="M59" s="210"/>
      <c r="N59" s="106">
        <f t="shared" si="66"/>
        <v>2574</v>
      </c>
      <c r="O59" s="178">
        <f t="shared" si="63"/>
        <v>3.26796319510415E-4</v>
      </c>
      <c r="P59" s="79"/>
      <c r="Q59" s="210">
        <v>2574</v>
      </c>
      <c r="R59" s="210"/>
      <c r="S59" s="106">
        <f t="shared" si="67"/>
        <v>2574</v>
      </c>
      <c r="T59" s="178">
        <f t="shared" si="68"/>
        <v>1.8702073164052365E-3</v>
      </c>
      <c r="U59" s="259"/>
      <c r="V59" s="210"/>
      <c r="W59" s="210"/>
      <c r="X59" s="210">
        <f t="shared" si="69"/>
        <v>0</v>
      </c>
      <c r="Y59" s="450">
        <f t="shared" si="70"/>
        <v>0</v>
      </c>
      <c r="Z59" s="259"/>
      <c r="AA59" s="210">
        <v>1287</v>
      </c>
      <c r="AB59" s="210"/>
      <c r="AC59" s="210">
        <f t="shared" si="71"/>
        <v>1287</v>
      </c>
      <c r="AD59" s="595">
        <f t="shared" si="72"/>
        <v>4.0274678083659192E-3</v>
      </c>
      <c r="AE59" s="259"/>
      <c r="AF59" s="210"/>
      <c r="AG59" s="210"/>
      <c r="AH59" s="210">
        <f t="shared" si="73"/>
        <v>0</v>
      </c>
      <c r="AI59" s="541">
        <f t="shared" si="74"/>
        <v>0</v>
      </c>
      <c r="AJ59" s="259"/>
      <c r="AK59" s="210"/>
      <c r="AL59" s="210"/>
      <c r="AM59" s="210">
        <f t="shared" si="75"/>
        <v>0</v>
      </c>
      <c r="AN59" s="541">
        <f t="shared" si="76"/>
        <v>0</v>
      </c>
      <c r="AO59" s="731"/>
      <c r="AP59" s="786"/>
      <c r="AQ59" s="465"/>
      <c r="AR59" s="770">
        <f t="shared" si="77"/>
        <v>0</v>
      </c>
      <c r="AS59" s="786">
        <f t="shared" si="78"/>
        <v>0</v>
      </c>
      <c r="AT59" s="465"/>
      <c r="AU59" s="465"/>
      <c r="AV59" s="465"/>
      <c r="AW59" s="770">
        <f t="shared" si="79"/>
        <v>0</v>
      </c>
      <c r="AX59" s="786">
        <f t="shared" si="7"/>
        <v>0</v>
      </c>
      <c r="AY59" s="465"/>
      <c r="AZ59" s="714">
        <v>-3822</v>
      </c>
      <c r="BA59" s="465"/>
      <c r="BB59" s="601">
        <f t="shared" si="80"/>
        <v>-3822</v>
      </c>
      <c r="BC59" s="785">
        <f t="shared" si="8"/>
        <v>-2.0504675506569101E-3</v>
      </c>
      <c r="BD59" s="770"/>
      <c r="BE59" s="785"/>
      <c r="BF59" s="465"/>
      <c r="BG59" s="601">
        <f t="shared" si="81"/>
        <v>0</v>
      </c>
      <c r="BH59" s="795">
        <f t="shared" si="9"/>
        <v>0</v>
      </c>
      <c r="BI59" s="465"/>
      <c r="BJ59" s="785"/>
      <c r="BK59" s="465"/>
      <c r="BL59" s="601">
        <f t="shared" si="82"/>
        <v>0</v>
      </c>
      <c r="BM59" s="795">
        <f t="shared" si="35"/>
        <v>0</v>
      </c>
      <c r="BN59" s="465"/>
      <c r="BO59" s="560">
        <f t="shared" si="83"/>
        <v>15288</v>
      </c>
      <c r="BP59" s="452">
        <f t="shared" si="84"/>
        <v>0</v>
      </c>
      <c r="BQ59" s="453">
        <f t="shared" si="85"/>
        <v>15288</v>
      </c>
      <c r="BR59" s="450">
        <f t="shared" si="61"/>
        <v>4.9007549759215192E-4</v>
      </c>
      <c r="BS59" s="498"/>
      <c r="BT59" s="928"/>
      <c r="BU59" s="688">
        <v>0</v>
      </c>
      <c r="BV59" s="928"/>
    </row>
    <row r="60" spans="1:75" ht="13.95" customHeight="1" outlineLevel="2" x14ac:dyDescent="0.25">
      <c r="A60" s="237"/>
      <c r="B60" s="19" t="s">
        <v>65</v>
      </c>
      <c r="C60" s="113">
        <v>11440</v>
      </c>
      <c r="D60" s="128"/>
      <c r="E60" s="120">
        <f t="shared" si="64"/>
        <v>11440</v>
      </c>
      <c r="F60" s="178">
        <f t="shared" si="86"/>
        <v>3.5976440042040044E-4</v>
      </c>
      <c r="G60" s="39">
        <v>14300</v>
      </c>
      <c r="H60" s="39">
        <v>0</v>
      </c>
      <c r="I60" s="106">
        <f t="shared" si="65"/>
        <v>14300</v>
      </c>
      <c r="J60" s="178">
        <f t="shared" si="62"/>
        <v>1.4569899895158782E-3</v>
      </c>
      <c r="K60" s="79"/>
      <c r="L60" s="210">
        <v>2904</v>
      </c>
      <c r="M60" s="210"/>
      <c r="N60" s="106">
        <f t="shared" si="66"/>
        <v>2904</v>
      </c>
      <c r="O60" s="178">
        <f t="shared" si="63"/>
        <v>3.6869328355021175E-4</v>
      </c>
      <c r="P60" s="79"/>
      <c r="Q60" s="210">
        <v>2904</v>
      </c>
      <c r="R60" s="210"/>
      <c r="S60" s="106">
        <f t="shared" si="67"/>
        <v>2904</v>
      </c>
      <c r="T60" s="178">
        <f t="shared" si="68"/>
        <v>2.1099774851751386E-3</v>
      </c>
      <c r="U60" s="259"/>
      <c r="V60" s="210"/>
      <c r="W60" s="210"/>
      <c r="X60" s="210">
        <f t="shared" si="69"/>
        <v>0</v>
      </c>
      <c r="Y60" s="450">
        <f t="shared" si="70"/>
        <v>0</v>
      </c>
      <c r="Z60" s="259"/>
      <c r="AA60" s="210">
        <v>1452</v>
      </c>
      <c r="AB60" s="210"/>
      <c r="AC60" s="210">
        <f t="shared" si="71"/>
        <v>1452</v>
      </c>
      <c r="AD60" s="595">
        <f t="shared" si="72"/>
        <v>4.543809835079498E-3</v>
      </c>
      <c r="AE60" s="259"/>
      <c r="AF60" s="210"/>
      <c r="AG60" s="210"/>
      <c r="AH60" s="210">
        <f t="shared" si="73"/>
        <v>0</v>
      </c>
      <c r="AI60" s="541">
        <f t="shared" si="74"/>
        <v>0</v>
      </c>
      <c r="AJ60" s="259"/>
      <c r="AK60" s="210"/>
      <c r="AL60" s="210"/>
      <c r="AM60" s="210">
        <f t="shared" si="75"/>
        <v>0</v>
      </c>
      <c r="AN60" s="541">
        <f t="shared" si="76"/>
        <v>0</v>
      </c>
      <c r="AO60" s="731"/>
      <c r="AP60" s="786"/>
      <c r="AQ60" s="465"/>
      <c r="AR60" s="770">
        <f t="shared" si="77"/>
        <v>0</v>
      </c>
      <c r="AS60" s="786">
        <f t="shared" si="78"/>
        <v>0</v>
      </c>
      <c r="AT60" s="465"/>
      <c r="AU60" s="465"/>
      <c r="AV60" s="465"/>
      <c r="AW60" s="770">
        <f t="shared" si="79"/>
        <v>0</v>
      </c>
      <c r="AX60" s="786">
        <f t="shared" si="7"/>
        <v>0</v>
      </c>
      <c r="AY60" s="465"/>
      <c r="AZ60" s="714">
        <v>-4312</v>
      </c>
      <c r="BA60" s="465"/>
      <c r="BB60" s="601">
        <f t="shared" si="80"/>
        <v>-4312</v>
      </c>
      <c r="BC60" s="785">
        <f t="shared" si="8"/>
        <v>-2.3133480058693348E-3</v>
      </c>
      <c r="BD60" s="770"/>
      <c r="BE60" s="785"/>
      <c r="BF60" s="465"/>
      <c r="BG60" s="601">
        <f t="shared" si="81"/>
        <v>0</v>
      </c>
      <c r="BH60" s="795">
        <f t="shared" si="9"/>
        <v>0</v>
      </c>
      <c r="BI60" s="465"/>
      <c r="BJ60" s="785"/>
      <c r="BK60" s="465"/>
      <c r="BL60" s="601">
        <f t="shared" si="82"/>
        <v>0</v>
      </c>
      <c r="BM60" s="795">
        <f t="shared" si="35"/>
        <v>0</v>
      </c>
      <c r="BN60" s="465"/>
      <c r="BO60" s="560">
        <f t="shared" si="83"/>
        <v>17248</v>
      </c>
      <c r="BP60" s="452">
        <f t="shared" si="84"/>
        <v>0</v>
      </c>
      <c r="BQ60" s="453">
        <f t="shared" si="85"/>
        <v>17248</v>
      </c>
      <c r="BR60" s="450">
        <f t="shared" si="61"/>
        <v>5.5290568959114571E-4</v>
      </c>
      <c r="BS60" s="498"/>
      <c r="BT60" s="928"/>
      <c r="BU60" s="688">
        <v>0</v>
      </c>
      <c r="BV60" s="928"/>
    </row>
    <row r="61" spans="1:75" ht="13.95" customHeight="1" outlineLevel="2" x14ac:dyDescent="0.25">
      <c r="A61" s="237"/>
      <c r="B61" s="19" t="s">
        <v>32</v>
      </c>
      <c r="C61" s="113"/>
      <c r="D61" s="128"/>
      <c r="E61" s="120">
        <f t="shared" si="64"/>
        <v>0</v>
      </c>
      <c r="F61" s="178">
        <f t="shared" si="86"/>
        <v>0</v>
      </c>
      <c r="G61" s="39">
        <v>0</v>
      </c>
      <c r="H61" s="39">
        <v>0</v>
      </c>
      <c r="I61" s="106">
        <f t="shared" si="65"/>
        <v>0</v>
      </c>
      <c r="J61" s="178">
        <f t="shared" si="62"/>
        <v>0</v>
      </c>
      <c r="K61" s="79"/>
      <c r="L61" s="210"/>
      <c r="M61" s="210"/>
      <c r="N61" s="106">
        <f t="shared" si="66"/>
        <v>0</v>
      </c>
      <c r="O61" s="178">
        <f t="shared" si="63"/>
        <v>0</v>
      </c>
      <c r="P61" s="79"/>
      <c r="Q61" s="210"/>
      <c r="R61" s="210"/>
      <c r="S61" s="106">
        <f t="shared" si="67"/>
        <v>0</v>
      </c>
      <c r="T61" s="178">
        <f t="shared" si="68"/>
        <v>0</v>
      </c>
      <c r="U61" s="259"/>
      <c r="V61" s="210"/>
      <c r="W61" s="210"/>
      <c r="X61" s="210">
        <f t="shared" si="69"/>
        <v>0</v>
      </c>
      <c r="Y61" s="450">
        <f t="shared" si="70"/>
        <v>0</v>
      </c>
      <c r="Z61" s="259"/>
      <c r="AA61" s="210"/>
      <c r="AB61" s="210"/>
      <c r="AC61" s="210">
        <f t="shared" si="71"/>
        <v>0</v>
      </c>
      <c r="AD61" s="595">
        <f t="shared" si="72"/>
        <v>0</v>
      </c>
      <c r="AE61" s="259"/>
      <c r="AF61" s="210"/>
      <c r="AG61" s="210"/>
      <c r="AH61" s="210">
        <f t="shared" si="73"/>
        <v>0</v>
      </c>
      <c r="AI61" s="541">
        <f t="shared" si="74"/>
        <v>0</v>
      </c>
      <c r="AJ61" s="259"/>
      <c r="AK61" s="210"/>
      <c r="AL61" s="210"/>
      <c r="AM61" s="210">
        <f t="shared" si="75"/>
        <v>0</v>
      </c>
      <c r="AN61" s="541">
        <f t="shared" si="76"/>
        <v>0</v>
      </c>
      <c r="AO61" s="731"/>
      <c r="AP61" s="786"/>
      <c r="AQ61" s="465"/>
      <c r="AR61" s="770">
        <f t="shared" si="77"/>
        <v>0</v>
      </c>
      <c r="AS61" s="786">
        <f t="shared" si="78"/>
        <v>0</v>
      </c>
      <c r="AT61" s="465"/>
      <c r="AU61" s="465"/>
      <c r="AV61" s="465"/>
      <c r="AW61" s="770">
        <f t="shared" si="79"/>
        <v>0</v>
      </c>
      <c r="AX61" s="786">
        <f t="shared" si="7"/>
        <v>0</v>
      </c>
      <c r="AY61" s="465"/>
      <c r="AZ61" s="465"/>
      <c r="BA61" s="465"/>
      <c r="BB61" s="770">
        <f t="shared" si="80"/>
        <v>0</v>
      </c>
      <c r="BC61" s="786">
        <f t="shared" si="8"/>
        <v>0</v>
      </c>
      <c r="BD61" s="770"/>
      <c r="BE61" s="786"/>
      <c r="BF61" s="465"/>
      <c r="BG61" s="770">
        <f t="shared" si="81"/>
        <v>0</v>
      </c>
      <c r="BH61" s="795">
        <f t="shared" si="9"/>
        <v>0</v>
      </c>
      <c r="BI61" s="465"/>
      <c r="BJ61" s="786"/>
      <c r="BK61" s="465"/>
      <c r="BL61" s="770">
        <f t="shared" si="82"/>
        <v>0</v>
      </c>
      <c r="BM61" s="795">
        <f t="shared" si="35"/>
        <v>0</v>
      </c>
      <c r="BN61" s="465"/>
      <c r="BO61" s="560">
        <f t="shared" si="83"/>
        <v>0</v>
      </c>
      <c r="BP61" s="452">
        <f t="shared" si="84"/>
        <v>0</v>
      </c>
      <c r="BQ61" s="453">
        <f t="shared" si="85"/>
        <v>0</v>
      </c>
      <c r="BR61" s="450">
        <f t="shared" si="61"/>
        <v>0</v>
      </c>
      <c r="BS61" s="498"/>
      <c r="BT61" s="928">
        <v>0</v>
      </c>
      <c r="BU61" s="688">
        <v>0</v>
      </c>
    </row>
    <row r="62" spans="1:75" ht="13.95" customHeight="1" outlineLevel="2" x14ac:dyDescent="0.25">
      <c r="A62" s="237"/>
      <c r="B62" s="19" t="s">
        <v>33</v>
      </c>
      <c r="C62" s="113"/>
      <c r="D62" s="128"/>
      <c r="E62" s="120">
        <f t="shared" si="64"/>
        <v>0</v>
      </c>
      <c r="F62" s="178">
        <f t="shared" si="86"/>
        <v>0</v>
      </c>
      <c r="G62" s="39">
        <v>0</v>
      </c>
      <c r="H62" s="39">
        <v>0</v>
      </c>
      <c r="I62" s="106">
        <f t="shared" si="65"/>
        <v>0</v>
      </c>
      <c r="J62" s="178">
        <f t="shared" si="62"/>
        <v>0</v>
      </c>
      <c r="K62" s="79"/>
      <c r="L62" s="210"/>
      <c r="M62" s="210"/>
      <c r="N62" s="106">
        <f t="shared" si="66"/>
        <v>0</v>
      </c>
      <c r="O62" s="178">
        <f t="shared" si="63"/>
        <v>0</v>
      </c>
      <c r="P62" s="79"/>
      <c r="Q62" s="210"/>
      <c r="R62" s="210"/>
      <c r="S62" s="106">
        <f t="shared" si="67"/>
        <v>0</v>
      </c>
      <c r="T62" s="178">
        <f t="shared" si="68"/>
        <v>0</v>
      </c>
      <c r="U62" s="259"/>
      <c r="V62" s="210"/>
      <c r="W62" s="210"/>
      <c r="X62" s="210">
        <f t="shared" si="69"/>
        <v>0</v>
      </c>
      <c r="Y62" s="450">
        <f t="shared" si="70"/>
        <v>0</v>
      </c>
      <c r="Z62" s="259"/>
      <c r="AA62" s="210"/>
      <c r="AB62" s="210"/>
      <c r="AC62" s="210">
        <f t="shared" si="71"/>
        <v>0</v>
      </c>
      <c r="AD62" s="595">
        <f t="shared" si="72"/>
        <v>0</v>
      </c>
      <c r="AE62" s="259"/>
      <c r="AF62" s="210"/>
      <c r="AG62" s="210"/>
      <c r="AH62" s="210">
        <f t="shared" si="73"/>
        <v>0</v>
      </c>
      <c r="AI62" s="541">
        <f t="shared" si="74"/>
        <v>0</v>
      </c>
      <c r="AJ62" s="259"/>
      <c r="AK62" s="210"/>
      <c r="AL62" s="210"/>
      <c r="AM62" s="210">
        <f t="shared" si="75"/>
        <v>0</v>
      </c>
      <c r="AN62" s="541">
        <f t="shared" si="76"/>
        <v>0</v>
      </c>
      <c r="AO62" s="731"/>
      <c r="AP62" s="786"/>
      <c r="AQ62" s="465"/>
      <c r="AR62" s="770">
        <f t="shared" si="77"/>
        <v>0</v>
      </c>
      <c r="AS62" s="786">
        <f t="shared" si="78"/>
        <v>0</v>
      </c>
      <c r="AT62" s="465"/>
      <c r="AU62" s="465"/>
      <c r="AV62" s="465"/>
      <c r="AW62" s="770">
        <f t="shared" si="79"/>
        <v>0</v>
      </c>
      <c r="AX62" s="786">
        <f t="shared" si="7"/>
        <v>0</v>
      </c>
      <c r="AY62" s="465"/>
      <c r="AZ62" s="465"/>
      <c r="BA62" s="465"/>
      <c r="BB62" s="770">
        <f t="shared" si="80"/>
        <v>0</v>
      </c>
      <c r="BC62" s="786">
        <f t="shared" si="8"/>
        <v>0</v>
      </c>
      <c r="BD62" s="770"/>
      <c r="BE62" s="786"/>
      <c r="BF62" s="465"/>
      <c r="BG62" s="770">
        <f t="shared" si="81"/>
        <v>0</v>
      </c>
      <c r="BH62" s="795">
        <f t="shared" si="9"/>
        <v>0</v>
      </c>
      <c r="BI62" s="465"/>
      <c r="BJ62" s="786"/>
      <c r="BK62" s="465"/>
      <c r="BL62" s="770">
        <f t="shared" si="82"/>
        <v>0</v>
      </c>
      <c r="BM62" s="795">
        <f t="shared" si="35"/>
        <v>0</v>
      </c>
      <c r="BN62" s="465"/>
      <c r="BO62" s="560">
        <f t="shared" si="83"/>
        <v>0</v>
      </c>
      <c r="BP62" s="452">
        <f t="shared" si="84"/>
        <v>0</v>
      </c>
      <c r="BQ62" s="453">
        <f t="shared" si="85"/>
        <v>0</v>
      </c>
      <c r="BR62" s="450">
        <f t="shared" si="61"/>
        <v>0</v>
      </c>
      <c r="BS62" s="498"/>
      <c r="BT62" s="928">
        <v>0</v>
      </c>
      <c r="BU62" s="688">
        <v>0</v>
      </c>
    </row>
    <row r="63" spans="1:75" ht="13.95" customHeight="1" outlineLevel="2" x14ac:dyDescent="0.25">
      <c r="A63" s="237"/>
      <c r="B63" s="19" t="s">
        <v>35</v>
      </c>
      <c r="C63" s="129">
        <v>60000</v>
      </c>
      <c r="D63" s="128"/>
      <c r="E63" s="120">
        <f t="shared" si="64"/>
        <v>60000</v>
      </c>
      <c r="F63" s="178">
        <f t="shared" si="86"/>
        <v>1.8868762259811212E-3</v>
      </c>
      <c r="G63" s="39">
        <v>25881.18</v>
      </c>
      <c r="H63" s="39">
        <v>1163</v>
      </c>
      <c r="I63" s="106">
        <f t="shared" si="65"/>
        <v>27044.18</v>
      </c>
      <c r="J63" s="178">
        <f t="shared" si="62"/>
        <v>2.7554615059206659E-3</v>
      </c>
      <c r="K63" s="79"/>
      <c r="L63" s="210"/>
      <c r="M63" s="210"/>
      <c r="N63" s="106">
        <f t="shared" si="66"/>
        <v>0</v>
      </c>
      <c r="O63" s="178">
        <f t="shared" si="63"/>
        <v>0</v>
      </c>
      <c r="P63" s="79"/>
      <c r="Q63" s="210">
        <f>922.09+3488</f>
        <v>4410.09</v>
      </c>
      <c r="R63" s="210"/>
      <c r="S63" s="106">
        <f t="shared" si="67"/>
        <v>4410.09</v>
      </c>
      <c r="T63" s="178">
        <f t="shared" si="68"/>
        <v>3.204266738152902E-3</v>
      </c>
      <c r="U63" s="443" t="s">
        <v>611</v>
      </c>
      <c r="V63" s="210">
        <v>4664.67</v>
      </c>
      <c r="W63" s="210"/>
      <c r="X63" s="210">
        <f t="shared" si="69"/>
        <v>4664.67</v>
      </c>
      <c r="Y63" s="450">
        <f t="shared" si="70"/>
        <v>1.52030556466066E-3</v>
      </c>
      <c r="Z63" s="443" t="s">
        <v>633</v>
      </c>
      <c r="AA63" s="210">
        <f>9486.95/2</f>
        <v>4743.4750000000004</v>
      </c>
      <c r="AB63" s="210"/>
      <c r="AC63" s="210">
        <f t="shared" si="71"/>
        <v>4743.4750000000004</v>
      </c>
      <c r="AD63" s="595">
        <f t="shared" si="72"/>
        <v>1.4843972697970885E-2</v>
      </c>
      <c r="AE63" s="443" t="s">
        <v>727</v>
      </c>
      <c r="AF63" s="210">
        <v>4739</v>
      </c>
      <c r="AG63" s="210"/>
      <c r="AH63" s="210">
        <f t="shared" si="73"/>
        <v>4739</v>
      </c>
      <c r="AI63" s="541">
        <f t="shared" si="74"/>
        <v>1.3717524886494583E-3</v>
      </c>
      <c r="AJ63" s="443" t="s">
        <v>781</v>
      </c>
      <c r="AK63" s="210"/>
      <c r="AL63" s="210"/>
      <c r="AM63" s="210">
        <f t="shared" si="75"/>
        <v>0</v>
      </c>
      <c r="AN63" s="541">
        <f t="shared" si="76"/>
        <v>0</v>
      </c>
      <c r="AO63" s="601"/>
      <c r="AP63" s="785"/>
      <c r="AQ63" s="714"/>
      <c r="AR63" s="601">
        <f t="shared" si="77"/>
        <v>0</v>
      </c>
      <c r="AS63" s="785">
        <f t="shared" si="78"/>
        <v>0</v>
      </c>
      <c r="AT63" s="714"/>
      <c r="AU63" s="714"/>
      <c r="AV63" s="714"/>
      <c r="AW63" s="601">
        <f t="shared" si="79"/>
        <v>0</v>
      </c>
      <c r="AX63" s="785">
        <f t="shared" si="7"/>
        <v>0</v>
      </c>
      <c r="AY63" s="714"/>
      <c r="AZ63" s="714">
        <v>53193.135000000002</v>
      </c>
      <c r="BA63" s="714">
        <v>13614.74</v>
      </c>
      <c r="BB63" s="601">
        <f t="shared" si="80"/>
        <v>66807.875</v>
      </c>
      <c r="BC63" s="785">
        <f t="shared" si="8"/>
        <v>3.5841805289336219E-2</v>
      </c>
      <c r="BD63" s="601"/>
      <c r="BE63" s="785"/>
      <c r="BF63" s="714"/>
      <c r="BG63" s="601">
        <f t="shared" si="81"/>
        <v>0</v>
      </c>
      <c r="BH63" s="795">
        <f t="shared" si="9"/>
        <v>0</v>
      </c>
      <c r="BI63" s="714"/>
      <c r="BJ63" s="785"/>
      <c r="BK63" s="714"/>
      <c r="BL63" s="601">
        <f t="shared" si="82"/>
        <v>0</v>
      </c>
      <c r="BM63" s="795">
        <f t="shared" si="35"/>
        <v>0</v>
      </c>
      <c r="BN63" s="714"/>
      <c r="BO63" s="560">
        <f t="shared" si="83"/>
        <v>97631.55</v>
      </c>
      <c r="BP63" s="452">
        <f t="shared" si="84"/>
        <v>14777.74</v>
      </c>
      <c r="BQ63" s="453">
        <f t="shared" si="85"/>
        <v>112409.29000000001</v>
      </c>
      <c r="BR63" s="450">
        <f t="shared" si="61"/>
        <v>3.6034169761074378E-3</v>
      </c>
      <c r="BS63" s="498"/>
      <c r="BT63" s="928"/>
      <c r="BU63" s="688"/>
      <c r="BW63" s="928"/>
    </row>
    <row r="64" spans="1:75" ht="13.95" customHeight="1" outlineLevel="2" x14ac:dyDescent="0.25">
      <c r="A64" s="237"/>
      <c r="B64" s="19" t="s">
        <v>63</v>
      </c>
      <c r="C64" s="129"/>
      <c r="D64" s="128"/>
      <c r="E64" s="120">
        <f t="shared" si="64"/>
        <v>0</v>
      </c>
      <c r="F64" s="178">
        <f t="shared" si="86"/>
        <v>0</v>
      </c>
      <c r="G64" s="39">
        <v>0</v>
      </c>
      <c r="H64" s="39">
        <v>0</v>
      </c>
      <c r="I64" s="106">
        <f t="shared" si="65"/>
        <v>0</v>
      </c>
      <c r="J64" s="178">
        <f t="shared" si="62"/>
        <v>0</v>
      </c>
      <c r="K64" s="79"/>
      <c r="L64" s="210"/>
      <c r="M64" s="210"/>
      <c r="N64" s="106">
        <f t="shared" si="66"/>
        <v>0</v>
      </c>
      <c r="O64" s="178">
        <f t="shared" si="63"/>
        <v>0</v>
      </c>
      <c r="P64" s="79"/>
      <c r="Q64" s="210"/>
      <c r="R64" s="210"/>
      <c r="S64" s="106">
        <f t="shared" si="67"/>
        <v>0</v>
      </c>
      <c r="T64" s="178">
        <f t="shared" si="68"/>
        <v>0</v>
      </c>
      <c r="U64" s="259"/>
      <c r="V64" s="210"/>
      <c r="W64" s="210"/>
      <c r="X64" s="210">
        <f t="shared" si="69"/>
        <v>0</v>
      </c>
      <c r="Y64" s="450">
        <f t="shared" si="70"/>
        <v>0</v>
      </c>
      <c r="Z64" s="259"/>
      <c r="AA64" s="210"/>
      <c r="AB64" s="210"/>
      <c r="AC64" s="210">
        <f t="shared" si="71"/>
        <v>0</v>
      </c>
      <c r="AD64" s="595">
        <f t="shared" si="72"/>
        <v>0</v>
      </c>
      <c r="AE64" s="259"/>
      <c r="AF64" s="210"/>
      <c r="AG64" s="210"/>
      <c r="AH64" s="210">
        <f t="shared" si="73"/>
        <v>0</v>
      </c>
      <c r="AI64" s="541">
        <f t="shared" si="74"/>
        <v>0</v>
      </c>
      <c r="AJ64" s="259"/>
      <c r="AK64" s="210"/>
      <c r="AL64" s="210"/>
      <c r="AM64" s="210">
        <f t="shared" si="75"/>
        <v>0</v>
      </c>
      <c r="AN64" s="541">
        <f t="shared" si="76"/>
        <v>0</v>
      </c>
      <c r="AO64" s="731"/>
      <c r="AP64" s="786"/>
      <c r="AQ64" s="465"/>
      <c r="AR64" s="770">
        <f t="shared" si="77"/>
        <v>0</v>
      </c>
      <c r="AS64" s="786">
        <f t="shared" si="78"/>
        <v>0</v>
      </c>
      <c r="AT64" s="465"/>
      <c r="AU64" s="465"/>
      <c r="AV64" s="465"/>
      <c r="AW64" s="770">
        <f t="shared" si="79"/>
        <v>0</v>
      </c>
      <c r="AX64" s="786">
        <f t="shared" si="7"/>
        <v>0</v>
      </c>
      <c r="AY64" s="465"/>
      <c r="AZ64" s="465"/>
      <c r="BA64" s="465"/>
      <c r="BB64" s="770">
        <f t="shared" si="80"/>
        <v>0</v>
      </c>
      <c r="BC64" s="786">
        <f t="shared" si="8"/>
        <v>0</v>
      </c>
      <c r="BD64" s="770"/>
      <c r="BE64" s="786"/>
      <c r="BF64" s="465"/>
      <c r="BG64" s="770">
        <f t="shared" si="81"/>
        <v>0</v>
      </c>
      <c r="BH64" s="795">
        <f t="shared" si="9"/>
        <v>0</v>
      </c>
      <c r="BI64" s="465"/>
      <c r="BJ64" s="786"/>
      <c r="BK64" s="465"/>
      <c r="BL64" s="770">
        <f t="shared" si="82"/>
        <v>0</v>
      </c>
      <c r="BM64" s="795">
        <f t="shared" si="35"/>
        <v>0</v>
      </c>
      <c r="BN64" s="465"/>
      <c r="BO64" s="560">
        <f t="shared" si="83"/>
        <v>0</v>
      </c>
      <c r="BP64" s="452">
        <f t="shared" si="84"/>
        <v>0</v>
      </c>
      <c r="BQ64" s="453">
        <f t="shared" si="85"/>
        <v>0</v>
      </c>
      <c r="BR64" s="450">
        <f t="shared" si="61"/>
        <v>0</v>
      </c>
      <c r="BS64" s="498"/>
      <c r="BT64" s="928">
        <v>0</v>
      </c>
      <c r="BU64" s="688">
        <v>0</v>
      </c>
    </row>
    <row r="65" spans="1:74" ht="13.95" customHeight="1" outlineLevel="2" x14ac:dyDescent="0.25">
      <c r="A65" s="237"/>
      <c r="B65" s="19" t="s">
        <v>36</v>
      </c>
      <c r="C65" s="129"/>
      <c r="D65" s="128"/>
      <c r="E65" s="120">
        <f t="shared" si="64"/>
        <v>0</v>
      </c>
      <c r="F65" s="178">
        <f t="shared" si="86"/>
        <v>0</v>
      </c>
      <c r="G65" s="39">
        <v>17811.023999999998</v>
      </c>
      <c r="H65" s="39">
        <v>764</v>
      </c>
      <c r="I65" s="106">
        <f t="shared" si="65"/>
        <v>18575.023999999998</v>
      </c>
      <c r="J65" s="178">
        <f t="shared" si="62"/>
        <v>1.8925611204907121E-3</v>
      </c>
      <c r="K65" s="79"/>
      <c r="L65" s="39"/>
      <c r="M65" s="39"/>
      <c r="N65" s="106">
        <f t="shared" si="66"/>
        <v>0</v>
      </c>
      <c r="O65" s="178">
        <f>N65/$N$89</f>
        <v>0</v>
      </c>
      <c r="P65" s="79"/>
      <c r="Q65" s="39"/>
      <c r="R65" s="39"/>
      <c r="S65" s="106">
        <f t="shared" si="67"/>
        <v>0</v>
      </c>
      <c r="T65" s="178">
        <f t="shared" si="68"/>
        <v>0</v>
      </c>
      <c r="U65" s="79"/>
      <c r="V65" s="39">
        <f>2620+200</f>
        <v>2820</v>
      </c>
      <c r="W65" s="39"/>
      <c r="X65" s="210">
        <f t="shared" si="69"/>
        <v>2820</v>
      </c>
      <c r="Y65" s="450">
        <f t="shared" si="70"/>
        <v>9.1909217422519952E-4</v>
      </c>
      <c r="Z65" s="443" t="s">
        <v>672</v>
      </c>
      <c r="AA65" s="39"/>
      <c r="AB65" s="39"/>
      <c r="AC65" s="210">
        <f t="shared" si="71"/>
        <v>0</v>
      </c>
      <c r="AD65" s="595">
        <f t="shared" si="72"/>
        <v>0</v>
      </c>
      <c r="AE65" s="443"/>
      <c r="AF65" s="39">
        <v>1308</v>
      </c>
      <c r="AG65" s="39">
        <v>200</v>
      </c>
      <c r="AH65" s="210">
        <f t="shared" si="73"/>
        <v>1508</v>
      </c>
      <c r="AI65" s="541">
        <f t="shared" si="74"/>
        <v>4.3650617279666242E-4</v>
      </c>
      <c r="AJ65" s="443" t="s">
        <v>798</v>
      </c>
      <c r="AK65" s="39"/>
      <c r="AL65" s="39"/>
      <c r="AM65" s="210">
        <f t="shared" si="75"/>
        <v>0</v>
      </c>
      <c r="AN65" s="541">
        <f t="shared" si="76"/>
        <v>0</v>
      </c>
      <c r="AO65" s="601"/>
      <c r="AP65" s="785">
        <v>200</v>
      </c>
      <c r="AQ65" s="714">
        <v>350</v>
      </c>
      <c r="AR65" s="601">
        <f t="shared" si="77"/>
        <v>550</v>
      </c>
      <c r="AS65" s="785">
        <f t="shared" si="78"/>
        <v>1.6457380575874959E-2</v>
      </c>
      <c r="AT65" s="714" t="s">
        <v>881</v>
      </c>
      <c r="AU65" s="714"/>
      <c r="AV65" s="714"/>
      <c r="AW65" s="601">
        <f t="shared" si="79"/>
        <v>0</v>
      </c>
      <c r="AX65" s="785">
        <f t="shared" si="7"/>
        <v>0</v>
      </c>
      <c r="AY65" s="714"/>
      <c r="AZ65" s="714">
        <v>25034.315999999999</v>
      </c>
      <c r="BA65" s="714"/>
      <c r="BB65" s="601">
        <f t="shared" si="80"/>
        <v>25034.315999999999</v>
      </c>
      <c r="BC65" s="785">
        <f t="shared" si="8"/>
        <v>1.3430678338799344E-2</v>
      </c>
      <c r="BD65" s="601"/>
      <c r="BE65" s="785"/>
      <c r="BF65" s="714"/>
      <c r="BG65" s="601">
        <f t="shared" si="81"/>
        <v>0</v>
      </c>
      <c r="BH65" s="795">
        <f t="shared" si="9"/>
        <v>0</v>
      </c>
      <c r="BI65" s="714"/>
      <c r="BJ65" s="785"/>
      <c r="BK65" s="714"/>
      <c r="BL65" s="601">
        <f t="shared" si="82"/>
        <v>0</v>
      </c>
      <c r="BM65" s="795">
        <f t="shared" si="35"/>
        <v>0</v>
      </c>
      <c r="BN65" s="714"/>
      <c r="BO65" s="560">
        <f t="shared" si="83"/>
        <v>47173.34</v>
      </c>
      <c r="BP65" s="452">
        <f t="shared" si="84"/>
        <v>1314</v>
      </c>
      <c r="BQ65" s="453">
        <f t="shared" si="85"/>
        <v>48487.34</v>
      </c>
      <c r="BR65" s="450">
        <f t="shared" si="61"/>
        <v>1.5543208580206598E-3</v>
      </c>
      <c r="BS65" s="498"/>
      <c r="BT65" s="928"/>
      <c r="BU65" s="688"/>
      <c r="BV65" s="928"/>
    </row>
    <row r="66" spans="1:74" s="2" customFormat="1" ht="13.95" customHeight="1" outlineLevel="2" x14ac:dyDescent="0.25">
      <c r="A66" s="237"/>
      <c r="B66" s="19" t="s">
        <v>37</v>
      </c>
      <c r="C66" s="113"/>
      <c r="D66" s="128"/>
      <c r="E66" s="120">
        <f t="shared" si="64"/>
        <v>0</v>
      </c>
      <c r="F66" s="178">
        <f t="shared" si="86"/>
        <v>0</v>
      </c>
      <c r="G66" s="39">
        <v>0</v>
      </c>
      <c r="H66" s="39">
        <v>800</v>
      </c>
      <c r="I66" s="106">
        <f t="shared" si="65"/>
        <v>800</v>
      </c>
      <c r="J66" s="178">
        <f t="shared" si="62"/>
        <v>8.1509929483405779E-5</v>
      </c>
      <c r="K66" s="79"/>
      <c r="L66" s="39"/>
      <c r="M66" s="39"/>
      <c r="N66" s="106">
        <f t="shared" si="66"/>
        <v>0</v>
      </c>
      <c r="O66" s="178">
        <f t="shared" si="63"/>
        <v>0</v>
      </c>
      <c r="P66" s="79"/>
      <c r="Q66" s="39"/>
      <c r="R66" s="39"/>
      <c r="S66" s="106">
        <f t="shared" si="67"/>
        <v>0</v>
      </c>
      <c r="T66" s="178">
        <f t="shared" si="68"/>
        <v>0</v>
      </c>
      <c r="U66" s="79"/>
      <c r="V66" s="39"/>
      <c r="W66" s="39"/>
      <c r="X66" s="210">
        <f t="shared" si="69"/>
        <v>0</v>
      </c>
      <c r="Y66" s="450">
        <f t="shared" si="70"/>
        <v>0</v>
      </c>
      <c r="Z66" s="443"/>
      <c r="AA66" s="39"/>
      <c r="AB66" s="39"/>
      <c r="AC66" s="210">
        <f t="shared" si="71"/>
        <v>0</v>
      </c>
      <c r="AD66" s="595">
        <f t="shared" si="72"/>
        <v>0</v>
      </c>
      <c r="AE66" s="443"/>
      <c r="AF66" s="39"/>
      <c r="AG66" s="39"/>
      <c r="AH66" s="210">
        <f t="shared" si="73"/>
        <v>0</v>
      </c>
      <c r="AI66" s="541">
        <f t="shared" si="74"/>
        <v>0</v>
      </c>
      <c r="AJ66" s="443"/>
      <c r="AK66" s="39"/>
      <c r="AL66" s="39"/>
      <c r="AM66" s="210">
        <f t="shared" si="75"/>
        <v>0</v>
      </c>
      <c r="AN66" s="541">
        <f t="shared" si="76"/>
        <v>0</v>
      </c>
      <c r="AO66" s="601"/>
      <c r="AP66" s="785"/>
      <c r="AQ66" s="714"/>
      <c r="AR66" s="601">
        <f t="shared" si="77"/>
        <v>0</v>
      </c>
      <c r="AS66" s="785">
        <f t="shared" si="78"/>
        <v>0</v>
      </c>
      <c r="AT66" s="714"/>
      <c r="AU66" s="714"/>
      <c r="AV66" s="714"/>
      <c r="AW66" s="601">
        <f t="shared" si="79"/>
        <v>0</v>
      </c>
      <c r="AX66" s="785">
        <f t="shared" si="7"/>
        <v>0</v>
      </c>
      <c r="AY66" s="714"/>
      <c r="AZ66" s="714"/>
      <c r="BA66" s="714"/>
      <c r="BB66" s="601">
        <f t="shared" si="80"/>
        <v>0</v>
      </c>
      <c r="BC66" s="785">
        <f t="shared" si="8"/>
        <v>0</v>
      </c>
      <c r="BD66" s="601"/>
      <c r="BE66" s="785"/>
      <c r="BF66" s="714"/>
      <c r="BG66" s="601">
        <f t="shared" si="81"/>
        <v>0</v>
      </c>
      <c r="BH66" s="785">
        <f t="shared" si="9"/>
        <v>0</v>
      </c>
      <c r="BI66" s="714"/>
      <c r="BJ66" s="785"/>
      <c r="BK66" s="714"/>
      <c r="BL66" s="601">
        <f t="shared" si="82"/>
        <v>0</v>
      </c>
      <c r="BM66" s="785">
        <f t="shared" si="35"/>
        <v>0</v>
      </c>
      <c r="BN66" s="714"/>
      <c r="BO66" s="560">
        <f t="shared" si="83"/>
        <v>0</v>
      </c>
      <c r="BP66" s="452">
        <f t="shared" si="84"/>
        <v>800</v>
      </c>
      <c r="BQ66" s="453">
        <f t="shared" si="85"/>
        <v>800</v>
      </c>
      <c r="BR66" s="450">
        <f t="shared" si="61"/>
        <v>2.5644976326119933E-5</v>
      </c>
      <c r="BS66" s="498"/>
      <c r="BT66" s="842">
        <v>0</v>
      </c>
      <c r="BU66" s="688"/>
    </row>
    <row r="67" spans="1:74" s="2" customFormat="1" ht="13.95" customHeight="1" outlineLevel="2" x14ac:dyDescent="0.25">
      <c r="A67" s="237"/>
      <c r="B67" s="19" t="s">
        <v>3</v>
      </c>
      <c r="C67" s="113"/>
      <c r="D67" s="128"/>
      <c r="E67" s="120">
        <f t="shared" si="64"/>
        <v>0</v>
      </c>
      <c r="F67" s="178">
        <f t="shared" si="86"/>
        <v>0</v>
      </c>
      <c r="G67" s="39">
        <v>0</v>
      </c>
      <c r="H67" s="39">
        <v>0</v>
      </c>
      <c r="I67" s="106">
        <f t="shared" si="65"/>
        <v>0</v>
      </c>
      <c r="J67" s="178">
        <f t="shared" si="62"/>
        <v>0</v>
      </c>
      <c r="K67" s="79"/>
      <c r="L67" s="39"/>
      <c r="M67" s="39"/>
      <c r="N67" s="106">
        <f t="shared" si="66"/>
        <v>0</v>
      </c>
      <c r="O67" s="178">
        <f t="shared" si="63"/>
        <v>0</v>
      </c>
      <c r="P67" s="79"/>
      <c r="Q67" s="39"/>
      <c r="R67" s="39"/>
      <c r="S67" s="106">
        <f t="shared" si="67"/>
        <v>0</v>
      </c>
      <c r="T67" s="178">
        <f t="shared" si="68"/>
        <v>0</v>
      </c>
      <c r="U67" s="79"/>
      <c r="V67" s="39"/>
      <c r="W67" s="39"/>
      <c r="X67" s="210">
        <f t="shared" si="69"/>
        <v>0</v>
      </c>
      <c r="Y67" s="450">
        <f t="shared" si="70"/>
        <v>0</v>
      </c>
      <c r="Z67" s="443"/>
      <c r="AA67" s="39"/>
      <c r="AB67" s="39"/>
      <c r="AC67" s="210">
        <f t="shared" si="71"/>
        <v>0</v>
      </c>
      <c r="AD67" s="595">
        <f t="shared" si="72"/>
        <v>0</v>
      </c>
      <c r="AE67" s="443"/>
      <c r="AF67" s="39"/>
      <c r="AG67" s="39"/>
      <c r="AH67" s="210">
        <f t="shared" si="73"/>
        <v>0</v>
      </c>
      <c r="AI67" s="541">
        <f t="shared" si="74"/>
        <v>0</v>
      </c>
      <c r="AJ67" s="443"/>
      <c r="AK67" s="39"/>
      <c r="AL67" s="39"/>
      <c r="AM67" s="210">
        <f t="shared" si="75"/>
        <v>0</v>
      </c>
      <c r="AN67" s="541">
        <f t="shared" si="76"/>
        <v>0</v>
      </c>
      <c r="AO67" s="601"/>
      <c r="AP67" s="785"/>
      <c r="AQ67" s="714"/>
      <c r="AR67" s="601">
        <f t="shared" si="77"/>
        <v>0</v>
      </c>
      <c r="AS67" s="785">
        <f t="shared" si="78"/>
        <v>0</v>
      </c>
      <c r="AT67" s="714"/>
      <c r="AU67" s="714"/>
      <c r="AV67" s="714"/>
      <c r="AW67" s="601">
        <f t="shared" si="79"/>
        <v>0</v>
      </c>
      <c r="AX67" s="785">
        <f t="shared" si="7"/>
        <v>0</v>
      </c>
      <c r="AY67" s="714"/>
      <c r="AZ67" s="714"/>
      <c r="BA67" s="714"/>
      <c r="BB67" s="601">
        <f t="shared" si="80"/>
        <v>0</v>
      </c>
      <c r="BC67" s="785">
        <f t="shared" si="8"/>
        <v>0</v>
      </c>
      <c r="BD67" s="601"/>
      <c r="BE67" s="785"/>
      <c r="BF67" s="714"/>
      <c r="BG67" s="601">
        <f t="shared" si="81"/>
        <v>0</v>
      </c>
      <c r="BH67" s="785">
        <f t="shared" si="9"/>
        <v>0</v>
      </c>
      <c r="BI67" s="714"/>
      <c r="BJ67" s="785"/>
      <c r="BK67" s="714"/>
      <c r="BL67" s="601">
        <f t="shared" si="82"/>
        <v>0</v>
      </c>
      <c r="BM67" s="785">
        <f t="shared" si="35"/>
        <v>0</v>
      </c>
      <c r="BN67" s="714"/>
      <c r="BO67" s="560">
        <f t="shared" si="83"/>
        <v>0</v>
      </c>
      <c r="BP67" s="452">
        <f t="shared" si="84"/>
        <v>0</v>
      </c>
      <c r="BQ67" s="453">
        <f t="shared" si="85"/>
        <v>0</v>
      </c>
      <c r="BR67" s="450">
        <f t="shared" si="61"/>
        <v>0</v>
      </c>
      <c r="BS67" s="498"/>
      <c r="BT67" s="842">
        <v>0</v>
      </c>
      <c r="BU67" s="688">
        <v>0</v>
      </c>
    </row>
    <row r="68" spans="1:74" s="2" customFormat="1" ht="13.95" customHeight="1" outlineLevel="2" x14ac:dyDescent="0.25">
      <c r="A68" s="237"/>
      <c r="B68" s="19" t="s">
        <v>5</v>
      </c>
      <c r="C68" s="113"/>
      <c r="D68" s="128">
        <v>4000</v>
      </c>
      <c r="E68" s="120">
        <f t="shared" si="64"/>
        <v>4000</v>
      </c>
      <c r="F68" s="178">
        <f t="shared" si="86"/>
        <v>1.2579174839874141E-4</v>
      </c>
      <c r="G68" s="39">
        <v>0</v>
      </c>
      <c r="H68" s="39">
        <v>7474</v>
      </c>
      <c r="I68" s="106">
        <f t="shared" si="65"/>
        <v>7474</v>
      </c>
      <c r="J68" s="178">
        <f t="shared" si="62"/>
        <v>7.6150651619871844E-4</v>
      </c>
      <c r="K68" s="79"/>
      <c r="L68" s="39"/>
      <c r="M68" s="39">
        <v>640</v>
      </c>
      <c r="N68" s="106">
        <f t="shared" si="66"/>
        <v>640</v>
      </c>
      <c r="O68" s="178">
        <f t="shared" si="63"/>
        <v>8.1254718137787713E-5</v>
      </c>
      <c r="P68" s="79"/>
      <c r="Q68" s="39"/>
      <c r="R68" s="39">
        <v>1735</v>
      </c>
      <c r="S68" s="106">
        <f t="shared" si="67"/>
        <v>1735</v>
      </c>
      <c r="T68" s="178">
        <f t="shared" si="68"/>
        <v>1.2606098267144855E-3</v>
      </c>
      <c r="U68" s="79" t="s">
        <v>546</v>
      </c>
      <c r="V68" s="39"/>
      <c r="W68" s="39">
        <v>1033</v>
      </c>
      <c r="X68" s="210">
        <f t="shared" si="69"/>
        <v>1033</v>
      </c>
      <c r="Y68" s="450">
        <f t="shared" si="70"/>
        <v>3.36674544671855E-4</v>
      </c>
      <c r="Z68" s="443" t="s">
        <v>546</v>
      </c>
      <c r="AA68" s="39"/>
      <c r="AB68" s="39">
        <v>1732</v>
      </c>
      <c r="AC68" s="210">
        <f t="shared" si="71"/>
        <v>1732</v>
      </c>
      <c r="AD68" s="595">
        <f t="shared" si="72"/>
        <v>5.42002660768436E-3</v>
      </c>
      <c r="AE68" s="443" t="s">
        <v>546</v>
      </c>
      <c r="AF68" s="39"/>
      <c r="AG68" s="39">
        <v>1410</v>
      </c>
      <c r="AH68" s="210">
        <f t="shared" si="73"/>
        <v>1410</v>
      </c>
      <c r="AI68" s="541">
        <f t="shared" si="74"/>
        <v>4.081390607714151E-4</v>
      </c>
      <c r="AJ68" s="443" t="s">
        <v>546</v>
      </c>
      <c r="AK68" s="39"/>
      <c r="AL68" s="39"/>
      <c r="AM68" s="210">
        <f t="shared" si="75"/>
        <v>0</v>
      </c>
      <c r="AN68" s="541">
        <f t="shared" si="76"/>
        <v>0</v>
      </c>
      <c r="AO68" s="601"/>
      <c r="AP68" s="785"/>
      <c r="AQ68" s="714">
        <v>34.25</v>
      </c>
      <c r="AR68" s="601">
        <f t="shared" si="77"/>
        <v>34.25</v>
      </c>
      <c r="AS68" s="785">
        <f t="shared" si="78"/>
        <v>1.0248459722249407E-3</v>
      </c>
      <c r="AT68" s="714"/>
      <c r="AU68" s="714"/>
      <c r="AV68" s="714">
        <v>67.5</v>
      </c>
      <c r="AW68" s="601">
        <f t="shared" si="79"/>
        <v>67.5</v>
      </c>
      <c r="AX68" s="785">
        <f t="shared" si="7"/>
        <v>3.6213123932323768E-5</v>
      </c>
      <c r="AY68" s="714"/>
      <c r="AZ68" s="714"/>
      <c r="BA68" s="714"/>
      <c r="BB68" s="601">
        <f t="shared" si="80"/>
        <v>0</v>
      </c>
      <c r="BC68" s="785">
        <f t="shared" si="8"/>
        <v>0</v>
      </c>
      <c r="BD68" s="601"/>
      <c r="BE68" s="785"/>
      <c r="BF68" s="714"/>
      <c r="BG68" s="601">
        <f t="shared" si="81"/>
        <v>0</v>
      </c>
      <c r="BH68" s="785">
        <f t="shared" si="9"/>
        <v>0</v>
      </c>
      <c r="BI68" s="714"/>
      <c r="BJ68" s="785"/>
      <c r="BK68" s="714"/>
      <c r="BL68" s="601">
        <f t="shared" si="82"/>
        <v>0</v>
      </c>
      <c r="BM68" s="785">
        <f t="shared" si="35"/>
        <v>0</v>
      </c>
      <c r="BN68" s="714"/>
      <c r="BO68" s="560">
        <f t="shared" si="83"/>
        <v>0</v>
      </c>
      <c r="BP68" s="452">
        <f t="shared" si="84"/>
        <v>14125.75</v>
      </c>
      <c r="BQ68" s="453">
        <f t="shared" si="85"/>
        <v>14125.75</v>
      </c>
      <c r="BR68" s="450">
        <f t="shared" si="61"/>
        <v>4.5281815542336077E-4</v>
      </c>
      <c r="BS68" s="498"/>
      <c r="BT68" s="842">
        <v>0</v>
      </c>
      <c r="BU68" s="688"/>
    </row>
    <row r="69" spans="1:74" s="2" customFormat="1" ht="13.95" customHeight="1" outlineLevel="2" x14ac:dyDescent="0.25">
      <c r="A69" s="237"/>
      <c r="B69" s="19" t="s">
        <v>42</v>
      </c>
      <c r="C69" s="113">
        <v>21300</v>
      </c>
      <c r="D69" s="128"/>
      <c r="E69" s="120">
        <f t="shared" si="64"/>
        <v>21300</v>
      </c>
      <c r="F69" s="178">
        <f t="shared" si="86"/>
        <v>6.6984106022329804E-4</v>
      </c>
      <c r="G69" s="39">
        <v>66420</v>
      </c>
      <c r="H69" s="39">
        <v>0</v>
      </c>
      <c r="I69" s="106">
        <f t="shared" si="65"/>
        <v>66420</v>
      </c>
      <c r="J69" s="178">
        <f t="shared" si="62"/>
        <v>6.767361895359765E-3</v>
      </c>
      <c r="K69" s="79"/>
      <c r="L69" s="39">
        <v>7900</v>
      </c>
      <c r="M69" s="39"/>
      <c r="N69" s="106">
        <f t="shared" si="66"/>
        <v>7900</v>
      </c>
      <c r="O69" s="178">
        <f t="shared" si="63"/>
        <v>1.0029879270133171E-3</v>
      </c>
      <c r="P69" s="79" t="s">
        <v>536</v>
      </c>
      <c r="Q69" s="39"/>
      <c r="R69" s="39"/>
      <c r="S69" s="106">
        <f t="shared" si="67"/>
        <v>0</v>
      </c>
      <c r="T69" s="178">
        <f t="shared" si="68"/>
        <v>0</v>
      </c>
      <c r="U69" s="79"/>
      <c r="V69" s="39">
        <f>850</f>
        <v>850</v>
      </c>
      <c r="W69" s="39"/>
      <c r="X69" s="210">
        <f t="shared" si="69"/>
        <v>850</v>
      </c>
      <c r="Y69" s="450">
        <f t="shared" si="70"/>
        <v>2.7703132911043249E-4</v>
      </c>
      <c r="Z69" s="443" t="s">
        <v>668</v>
      </c>
      <c r="AA69" s="39"/>
      <c r="AB69" s="39"/>
      <c r="AC69" s="210">
        <f t="shared" si="71"/>
        <v>0</v>
      </c>
      <c r="AD69" s="595">
        <f t="shared" si="72"/>
        <v>0</v>
      </c>
      <c r="AE69" s="443"/>
      <c r="AF69" s="39"/>
      <c r="AG69" s="39"/>
      <c r="AH69" s="210">
        <f t="shared" si="73"/>
        <v>0</v>
      </c>
      <c r="AI69" s="541">
        <f t="shared" si="74"/>
        <v>0</v>
      </c>
      <c r="AJ69" s="443"/>
      <c r="AK69" s="39"/>
      <c r="AL69" s="39"/>
      <c r="AM69" s="210">
        <f t="shared" si="75"/>
        <v>0</v>
      </c>
      <c r="AN69" s="541">
        <f t="shared" si="76"/>
        <v>0</v>
      </c>
      <c r="AO69" s="601"/>
      <c r="AP69" s="785"/>
      <c r="AQ69" s="714"/>
      <c r="AR69" s="601">
        <f t="shared" si="77"/>
        <v>0</v>
      </c>
      <c r="AS69" s="785">
        <f t="shared" si="78"/>
        <v>0</v>
      </c>
      <c r="AT69" s="714"/>
      <c r="AU69" s="714"/>
      <c r="AV69" s="714"/>
      <c r="AW69" s="601">
        <f t="shared" si="79"/>
        <v>0</v>
      </c>
      <c r="AX69" s="785">
        <f t="shared" si="7"/>
        <v>0</v>
      </c>
      <c r="AY69" s="714"/>
      <c r="AZ69" s="714">
        <v>-7200</v>
      </c>
      <c r="BA69" s="714"/>
      <c r="BB69" s="601">
        <f t="shared" si="80"/>
        <v>-7200</v>
      </c>
      <c r="BC69" s="785">
        <f t="shared" si="8"/>
        <v>-3.8627332194478684E-3</v>
      </c>
      <c r="BD69" s="601"/>
      <c r="BE69" s="785"/>
      <c r="BF69" s="714"/>
      <c r="BG69" s="601">
        <f t="shared" si="81"/>
        <v>0</v>
      </c>
      <c r="BH69" s="785">
        <f t="shared" si="9"/>
        <v>0</v>
      </c>
      <c r="BI69" s="714"/>
      <c r="BJ69" s="785"/>
      <c r="BK69" s="714"/>
      <c r="BL69" s="601">
        <f t="shared" si="82"/>
        <v>0</v>
      </c>
      <c r="BM69" s="785">
        <f t="shared" si="35"/>
        <v>0</v>
      </c>
      <c r="BN69" s="714"/>
      <c r="BO69" s="560">
        <f t="shared" si="83"/>
        <v>67970</v>
      </c>
      <c r="BP69" s="452">
        <f t="shared" si="84"/>
        <v>0</v>
      </c>
      <c r="BQ69" s="453">
        <f t="shared" si="85"/>
        <v>67970</v>
      </c>
      <c r="BR69" s="450">
        <f t="shared" si="61"/>
        <v>2.1788613011079648E-3</v>
      </c>
      <c r="BS69" s="498"/>
      <c r="BT69" s="842"/>
      <c r="BU69" s="688">
        <v>0</v>
      </c>
      <c r="BV69" s="842"/>
    </row>
    <row r="70" spans="1:74" s="2" customFormat="1" ht="13.95" customHeight="1" outlineLevel="2" x14ac:dyDescent="0.25">
      <c r="A70" s="237"/>
      <c r="B70" s="19" t="s">
        <v>6</v>
      </c>
      <c r="C70" s="113"/>
      <c r="D70" s="128"/>
      <c r="E70" s="120">
        <f t="shared" si="64"/>
        <v>0</v>
      </c>
      <c r="F70" s="178">
        <f t="shared" si="86"/>
        <v>0</v>
      </c>
      <c r="G70" s="39">
        <v>0</v>
      </c>
      <c r="H70" s="39">
        <v>1200</v>
      </c>
      <c r="I70" s="106">
        <f t="shared" si="65"/>
        <v>1200</v>
      </c>
      <c r="J70" s="178">
        <f t="shared" si="62"/>
        <v>1.2226489422510867E-4</v>
      </c>
      <c r="K70" s="79"/>
      <c r="L70" s="39"/>
      <c r="M70" s="39">
        <v>2800</v>
      </c>
      <c r="N70" s="106">
        <f t="shared" si="66"/>
        <v>2800</v>
      </c>
      <c r="O70" s="178">
        <f t="shared" si="63"/>
        <v>3.5548939185282125E-4</v>
      </c>
      <c r="P70" s="79" t="s">
        <v>496</v>
      </c>
      <c r="Q70" s="39"/>
      <c r="R70" s="39"/>
      <c r="S70" s="106">
        <f t="shared" si="67"/>
        <v>0</v>
      </c>
      <c r="T70" s="178">
        <f t="shared" si="68"/>
        <v>0</v>
      </c>
      <c r="U70" s="79"/>
      <c r="V70" s="39"/>
      <c r="W70" s="39"/>
      <c r="X70" s="210">
        <f t="shared" si="69"/>
        <v>0</v>
      </c>
      <c r="Y70" s="450">
        <f t="shared" si="70"/>
        <v>0</v>
      </c>
      <c r="Z70" s="79"/>
      <c r="AA70" s="39"/>
      <c r="AB70" s="39"/>
      <c r="AC70" s="210">
        <f t="shared" si="71"/>
        <v>0</v>
      </c>
      <c r="AD70" s="595">
        <f t="shared" si="72"/>
        <v>0</v>
      </c>
      <c r="AE70" s="79"/>
      <c r="AF70" s="39"/>
      <c r="AG70" s="39"/>
      <c r="AH70" s="210">
        <f t="shared" si="73"/>
        <v>0</v>
      </c>
      <c r="AI70" s="541">
        <f t="shared" si="74"/>
        <v>0</v>
      </c>
      <c r="AJ70" s="79"/>
      <c r="AK70" s="39"/>
      <c r="AL70" s="39"/>
      <c r="AM70" s="210">
        <f t="shared" si="75"/>
        <v>0</v>
      </c>
      <c r="AN70" s="541">
        <f t="shared" si="76"/>
        <v>0</v>
      </c>
      <c r="AO70" s="545"/>
      <c r="AP70" s="795"/>
      <c r="AQ70" s="456"/>
      <c r="AR70" s="260">
        <f t="shared" si="77"/>
        <v>0</v>
      </c>
      <c r="AS70" s="795">
        <f t="shared" si="78"/>
        <v>0</v>
      </c>
      <c r="AT70" s="456"/>
      <c r="AU70" s="456"/>
      <c r="AV70" s="456"/>
      <c r="AW70" s="260">
        <f t="shared" si="79"/>
        <v>0</v>
      </c>
      <c r="AX70" s="795">
        <f t="shared" si="7"/>
        <v>0</v>
      </c>
      <c r="AY70" s="456"/>
      <c r="AZ70" s="456"/>
      <c r="BA70" s="456"/>
      <c r="BB70" s="260">
        <f t="shared" si="80"/>
        <v>0</v>
      </c>
      <c r="BC70" s="795">
        <f t="shared" si="8"/>
        <v>0</v>
      </c>
      <c r="BD70" s="260"/>
      <c r="BE70" s="795"/>
      <c r="BF70" s="456"/>
      <c r="BG70" s="260">
        <f t="shared" si="81"/>
        <v>0</v>
      </c>
      <c r="BH70" s="795">
        <f t="shared" si="9"/>
        <v>0</v>
      </c>
      <c r="BI70" s="456"/>
      <c r="BJ70" s="795"/>
      <c r="BK70" s="456"/>
      <c r="BL70" s="260">
        <f t="shared" si="82"/>
        <v>0</v>
      </c>
      <c r="BM70" s="795">
        <f t="shared" si="35"/>
        <v>0</v>
      </c>
      <c r="BN70" s="456"/>
      <c r="BO70" s="560">
        <f t="shared" si="83"/>
        <v>0</v>
      </c>
      <c r="BP70" s="452">
        <f t="shared" si="84"/>
        <v>4000</v>
      </c>
      <c r="BQ70" s="453">
        <f t="shared" si="85"/>
        <v>4000</v>
      </c>
      <c r="BR70" s="450">
        <f t="shared" si="61"/>
        <v>1.2822488163059966E-4</v>
      </c>
      <c r="BS70" s="498"/>
      <c r="BT70" s="842">
        <v>0</v>
      </c>
      <c r="BU70" s="688"/>
    </row>
    <row r="71" spans="1:74" s="2" customFormat="1" ht="13.95" customHeight="1" outlineLevel="2" x14ac:dyDescent="0.25">
      <c r="A71" s="237"/>
      <c r="B71" s="19" t="s">
        <v>78</v>
      </c>
      <c r="C71" s="129"/>
      <c r="D71" s="128"/>
      <c r="E71" s="120">
        <f t="shared" si="64"/>
        <v>0</v>
      </c>
      <c r="F71" s="184">
        <f t="shared" si="86"/>
        <v>0</v>
      </c>
      <c r="G71" s="39">
        <v>0</v>
      </c>
      <c r="H71" s="39">
        <v>0</v>
      </c>
      <c r="I71" s="106">
        <f t="shared" si="65"/>
        <v>0</v>
      </c>
      <c r="J71" s="178">
        <f t="shared" si="62"/>
        <v>0</v>
      </c>
      <c r="K71" s="79"/>
      <c r="L71" s="39"/>
      <c r="M71" s="39"/>
      <c r="N71" s="106">
        <f t="shared" si="66"/>
        <v>0</v>
      </c>
      <c r="O71" s="178">
        <f t="shared" si="63"/>
        <v>0</v>
      </c>
      <c r="P71" s="79"/>
      <c r="Q71" s="39"/>
      <c r="R71" s="39"/>
      <c r="S71" s="106">
        <f t="shared" si="67"/>
        <v>0</v>
      </c>
      <c r="T71" s="178">
        <f t="shared" si="68"/>
        <v>0</v>
      </c>
      <c r="U71" s="79"/>
      <c r="V71" s="39"/>
      <c r="W71" s="39"/>
      <c r="X71" s="210">
        <f t="shared" si="69"/>
        <v>0</v>
      </c>
      <c r="Y71" s="450">
        <f t="shared" si="70"/>
        <v>0</v>
      </c>
      <c r="Z71" s="79"/>
      <c r="AA71" s="39"/>
      <c r="AB71" s="39"/>
      <c r="AC71" s="210">
        <f t="shared" si="71"/>
        <v>0</v>
      </c>
      <c r="AD71" s="595">
        <f t="shared" si="72"/>
        <v>0</v>
      </c>
      <c r="AE71" s="79"/>
      <c r="AF71" s="39"/>
      <c r="AG71" s="39"/>
      <c r="AH71" s="210">
        <f t="shared" si="73"/>
        <v>0</v>
      </c>
      <c r="AI71" s="541">
        <f t="shared" si="74"/>
        <v>0</v>
      </c>
      <c r="AJ71" s="79"/>
      <c r="AK71" s="39"/>
      <c r="AL71" s="39"/>
      <c r="AM71" s="210">
        <f t="shared" si="75"/>
        <v>0</v>
      </c>
      <c r="AN71" s="541">
        <f t="shared" si="76"/>
        <v>0</v>
      </c>
      <c r="AO71" s="545"/>
      <c r="AP71" s="795"/>
      <c r="AQ71" s="456"/>
      <c r="AR71" s="260">
        <f t="shared" si="77"/>
        <v>0</v>
      </c>
      <c r="AS71" s="795">
        <f t="shared" si="78"/>
        <v>0</v>
      </c>
      <c r="AT71" s="456"/>
      <c r="AU71" s="456"/>
      <c r="AV71" s="456"/>
      <c r="AW71" s="260">
        <f t="shared" si="79"/>
        <v>0</v>
      </c>
      <c r="AX71" s="795">
        <f t="shared" si="7"/>
        <v>0</v>
      </c>
      <c r="AY71" s="456"/>
      <c r="AZ71" s="456"/>
      <c r="BA71" s="456"/>
      <c r="BB71" s="260">
        <f t="shared" si="80"/>
        <v>0</v>
      </c>
      <c r="BC71" s="795">
        <f t="shared" si="8"/>
        <v>0</v>
      </c>
      <c r="BD71" s="260"/>
      <c r="BE71" s="795"/>
      <c r="BF71" s="456"/>
      <c r="BG71" s="260">
        <f t="shared" si="81"/>
        <v>0</v>
      </c>
      <c r="BH71" s="795">
        <f t="shared" si="9"/>
        <v>0</v>
      </c>
      <c r="BI71" s="456"/>
      <c r="BJ71" s="795"/>
      <c r="BK71" s="456"/>
      <c r="BL71" s="260">
        <f t="shared" si="82"/>
        <v>0</v>
      </c>
      <c r="BM71" s="795">
        <f t="shared" si="35"/>
        <v>0</v>
      </c>
      <c r="BN71" s="456"/>
      <c r="BO71" s="560">
        <f t="shared" si="83"/>
        <v>0</v>
      </c>
      <c r="BP71" s="452">
        <f t="shared" si="84"/>
        <v>0</v>
      </c>
      <c r="BQ71" s="446">
        <f>BO71+BP71*1</f>
        <v>0</v>
      </c>
      <c r="BR71" s="450">
        <f t="shared" si="61"/>
        <v>0</v>
      </c>
      <c r="BS71" s="498"/>
      <c r="BT71" s="842">
        <v>0</v>
      </c>
      <c r="BU71" s="2">
        <v>0</v>
      </c>
    </row>
    <row r="72" spans="1:74" s="2" customFormat="1" ht="13.95" customHeight="1" outlineLevel="2" thickBot="1" x14ac:dyDescent="0.3">
      <c r="A72" s="237"/>
      <c r="B72" s="19"/>
      <c r="C72" s="130"/>
      <c r="D72" s="131"/>
      <c r="E72" s="159"/>
      <c r="F72" s="184">
        <f t="shared" si="86"/>
        <v>0</v>
      </c>
      <c r="G72" s="210">
        <v>0</v>
      </c>
      <c r="H72" s="210">
        <v>0</v>
      </c>
      <c r="I72" s="106"/>
      <c r="J72" s="178">
        <f t="shared" si="62"/>
        <v>0</v>
      </c>
      <c r="K72" s="79"/>
      <c r="L72" s="39"/>
      <c r="M72" s="39"/>
      <c r="N72" s="106"/>
      <c r="O72" s="178">
        <f t="shared" si="63"/>
        <v>0</v>
      </c>
      <c r="P72" s="79"/>
      <c r="Q72" s="39"/>
      <c r="R72" s="39"/>
      <c r="S72" s="106"/>
      <c r="T72" s="178">
        <f t="shared" si="68"/>
        <v>0</v>
      </c>
      <c r="U72" s="79"/>
      <c r="V72" s="39"/>
      <c r="W72" s="39"/>
      <c r="X72" s="210">
        <f t="shared" si="69"/>
        <v>0</v>
      </c>
      <c r="Y72" s="178">
        <f>X72/$S$89</f>
        <v>0</v>
      </c>
      <c r="Z72" s="79"/>
      <c r="AA72" s="39"/>
      <c r="AB72" s="39"/>
      <c r="AC72" s="210">
        <f t="shared" si="71"/>
        <v>0</v>
      </c>
      <c r="AD72" s="178">
        <f>AC72/$S$89</f>
        <v>0</v>
      </c>
      <c r="AE72" s="79"/>
      <c r="AF72" s="39"/>
      <c r="AG72" s="39"/>
      <c r="AH72" s="210">
        <f t="shared" si="73"/>
        <v>0</v>
      </c>
      <c r="AI72" s="178">
        <f>AH72/$S$89</f>
        <v>0</v>
      </c>
      <c r="AJ72" s="79"/>
      <c r="AK72" s="39"/>
      <c r="AL72" s="39"/>
      <c r="AM72" s="210">
        <f t="shared" si="75"/>
        <v>0</v>
      </c>
      <c r="AN72" s="178">
        <f>AM72/$S$89</f>
        <v>0</v>
      </c>
      <c r="AO72" s="545"/>
      <c r="AP72" s="795"/>
      <c r="AQ72" s="456"/>
      <c r="AR72" s="260"/>
      <c r="AS72" s="795"/>
      <c r="AT72" s="456"/>
      <c r="AU72" s="456"/>
      <c r="AV72" s="456"/>
      <c r="AW72" s="260"/>
      <c r="AX72" s="795">
        <f t="shared" si="7"/>
        <v>0</v>
      </c>
      <c r="AY72" s="456"/>
      <c r="AZ72" s="456"/>
      <c r="BA72" s="456"/>
      <c r="BB72" s="260"/>
      <c r="BC72" s="795">
        <f t="shared" si="8"/>
        <v>0</v>
      </c>
      <c r="BD72" s="260"/>
      <c r="BE72" s="795"/>
      <c r="BF72" s="456"/>
      <c r="BG72" s="260"/>
      <c r="BH72" s="795">
        <f t="shared" si="9"/>
        <v>0</v>
      </c>
      <c r="BI72" s="456"/>
      <c r="BJ72" s="795"/>
      <c r="BK72" s="456"/>
      <c r="BL72" s="260"/>
      <c r="BM72" s="795">
        <f t="shared" si="35"/>
        <v>0</v>
      </c>
      <c r="BN72" s="456"/>
      <c r="BO72" s="560"/>
      <c r="BP72" s="452"/>
      <c r="BQ72" s="446"/>
      <c r="BR72" s="450">
        <f t="shared" si="61"/>
        <v>0</v>
      </c>
      <c r="BS72" s="498"/>
      <c r="BT72" s="842"/>
    </row>
    <row r="73" spans="1:74" s="2" customFormat="1" ht="13.95" customHeight="1" outlineLevel="1" thickBot="1" x14ac:dyDescent="0.3">
      <c r="A73" s="237"/>
      <c r="B73" s="13" t="s">
        <v>4</v>
      </c>
      <c r="C73" s="132">
        <f>C74</f>
        <v>1234365.1499999999</v>
      </c>
      <c r="D73" s="133">
        <f>D74</f>
        <v>0</v>
      </c>
      <c r="E73" s="132">
        <f>E74</f>
        <v>1234365.1499999999</v>
      </c>
      <c r="F73" s="171">
        <f>E73/$E$89</f>
        <v>3.8818237595243672E-2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805"/>
      <c r="AP73" s="818"/>
      <c r="AQ73" s="645"/>
      <c r="AR73" s="645"/>
      <c r="AS73" s="796"/>
      <c r="AT73" s="819"/>
      <c r="AU73" s="645"/>
      <c r="AV73" s="645"/>
      <c r="AW73" s="645"/>
      <c r="AX73" s="796">
        <f t="shared" ref="AX73:AX79" si="87">AW73/$AW$89</f>
        <v>0</v>
      </c>
      <c r="AY73" s="645"/>
      <c r="AZ73" s="645"/>
      <c r="BA73" s="645"/>
      <c r="BB73" s="645"/>
      <c r="BC73" s="796">
        <f t="shared" ref="BC73:BC79" si="88">BB73/$AW$89</f>
        <v>0</v>
      </c>
      <c r="BD73" s="645"/>
      <c r="BE73" s="818"/>
      <c r="BF73" s="645"/>
      <c r="BG73" s="645"/>
      <c r="BH73" s="796">
        <f t="shared" ref="BH73:BH79" si="89">BG73/$AW$89</f>
        <v>0</v>
      </c>
      <c r="BI73" s="819"/>
      <c r="BJ73" s="818"/>
      <c r="BK73" s="645"/>
      <c r="BL73" s="645"/>
      <c r="BM73" s="796">
        <f t="shared" si="35"/>
        <v>0</v>
      </c>
      <c r="BN73" s="819"/>
      <c r="BO73" s="587">
        <f>BO74</f>
        <v>0</v>
      </c>
      <c r="BP73" s="586">
        <f>BP74</f>
        <v>0</v>
      </c>
      <c r="BQ73" s="581">
        <f>BQ74</f>
        <v>0</v>
      </c>
      <c r="BR73" s="586"/>
      <c r="BS73" s="586"/>
      <c r="BT73" s="842"/>
    </row>
    <row r="74" spans="1:74" s="2" customFormat="1" ht="13.95" customHeight="1" outlineLevel="1" thickBot="1" x14ac:dyDescent="0.3">
      <c r="A74" s="20"/>
      <c r="B74" s="225" t="s">
        <v>64</v>
      </c>
      <c r="C74" s="113">
        <f>C6*3%</f>
        <v>1234365.1499999999</v>
      </c>
      <c r="D74" s="135"/>
      <c r="E74" s="136">
        <f>C74+D74</f>
        <v>1234365.1499999999</v>
      </c>
      <c r="F74" s="185"/>
      <c r="G74" s="39">
        <v>0</v>
      </c>
      <c r="H74" s="39">
        <v>0</v>
      </c>
      <c r="I74" s="64">
        <f>G74+H74*1</f>
        <v>0</v>
      </c>
      <c r="J74" s="64"/>
      <c r="K74" s="64"/>
      <c r="L74" s="39"/>
      <c r="M74" s="39"/>
      <c r="N74" s="523">
        <f>L74+M74*1</f>
        <v>0</v>
      </c>
      <c r="O74" s="64"/>
      <c r="P74" s="64"/>
      <c r="Q74" s="39"/>
      <c r="R74" s="39"/>
      <c r="S74" s="64">
        <f>Q74+R74*1</f>
        <v>0</v>
      </c>
      <c r="T74" s="64"/>
      <c r="U74" s="64"/>
      <c r="V74" s="39"/>
      <c r="W74" s="39"/>
      <c r="X74" s="523">
        <f>V74+W74*1</f>
        <v>0</v>
      </c>
      <c r="Y74" s="64"/>
      <c r="Z74" s="64"/>
      <c r="AA74" s="39"/>
      <c r="AB74" s="39"/>
      <c r="AC74" s="523">
        <f>AA74+AB74*1</f>
        <v>0</v>
      </c>
      <c r="AD74" s="64"/>
      <c r="AE74" s="64"/>
      <c r="AF74" s="39"/>
      <c r="AG74" s="39"/>
      <c r="AH74" s="523">
        <f>AF74+AG74*1</f>
        <v>0</v>
      </c>
      <c r="AI74" s="64"/>
      <c r="AJ74" s="64"/>
      <c r="AK74" s="39"/>
      <c r="AL74" s="39"/>
      <c r="AM74" s="523">
        <f>AK74+AL74*1</f>
        <v>0</v>
      </c>
      <c r="AN74" s="64"/>
      <c r="AO74" s="603"/>
      <c r="AP74" s="788"/>
      <c r="AQ74" s="635"/>
      <c r="AR74" s="765"/>
      <c r="AS74" s="788"/>
      <c r="AT74" s="635"/>
      <c r="AU74" s="635"/>
      <c r="AV74" s="635"/>
      <c r="AW74" s="765"/>
      <c r="AX74" s="788">
        <f t="shared" si="87"/>
        <v>0</v>
      </c>
      <c r="AY74" s="635"/>
      <c r="AZ74" s="635"/>
      <c r="BA74" s="635"/>
      <c r="BB74" s="765"/>
      <c r="BC74" s="788">
        <f t="shared" si="88"/>
        <v>0</v>
      </c>
      <c r="BD74" s="765"/>
      <c r="BE74" s="788"/>
      <c r="BF74" s="635"/>
      <c r="BG74" s="765"/>
      <c r="BH74" s="788">
        <f t="shared" si="89"/>
        <v>0</v>
      </c>
      <c r="BI74" s="635"/>
      <c r="BJ74" s="788"/>
      <c r="BK74" s="635"/>
      <c r="BL74" s="765"/>
      <c r="BM74" s="788">
        <f t="shared" si="35"/>
        <v>0</v>
      </c>
      <c r="BN74" s="635"/>
      <c r="BO74" s="560">
        <f>G74+L74+Q74+V74</f>
        <v>0</v>
      </c>
      <c r="BP74" s="452">
        <f>H74+M74+R74+W74</f>
        <v>0</v>
      </c>
      <c r="BQ74" s="747">
        <f>BO74+BP74*1</f>
        <v>0</v>
      </c>
      <c r="BR74" s="588"/>
      <c r="BS74" s="588"/>
      <c r="BT74" s="842"/>
    </row>
    <row r="75" spans="1:74" s="2" customFormat="1" ht="13.95" customHeight="1" thickBot="1" x14ac:dyDescent="0.3">
      <c r="A75" s="5"/>
      <c r="B75" s="23" t="s">
        <v>48</v>
      </c>
      <c r="C75" s="137">
        <f>C38-C41-C50-C54</f>
        <v>13785360</v>
      </c>
      <c r="D75" s="137">
        <f>D38-D41-D50-D54</f>
        <v>-3197078</v>
      </c>
      <c r="E75" s="138">
        <f>E38-E41-E50-E54</f>
        <v>10588282</v>
      </c>
      <c r="F75" s="172"/>
      <c r="G75" s="65">
        <f>G38-G41-G50-G54</f>
        <v>5692867.7293999987</v>
      </c>
      <c r="H75" s="65">
        <f>H38-H41-H50-H54</f>
        <v>-1576013.5399999998</v>
      </c>
      <c r="I75" s="66">
        <f>I38-I41-I50-I54</f>
        <v>4116854.1893999968</v>
      </c>
      <c r="J75" s="66"/>
      <c r="K75" s="66"/>
      <c r="L75" s="65">
        <f>L38-L41-L50-L54</f>
        <v>2924447.7459999998</v>
      </c>
      <c r="M75" s="65">
        <f>M38-M41-M50-M54</f>
        <v>-729390.81</v>
      </c>
      <c r="N75" s="138">
        <f>N38-N41-N50-N54</f>
        <v>2195056.9359999993</v>
      </c>
      <c r="O75" s="66"/>
      <c r="P75" s="66"/>
      <c r="Q75" s="65">
        <f>Q38-Q41-Q50-Q54</f>
        <v>-1191975.3520000002</v>
      </c>
      <c r="R75" s="65">
        <f>R38-R41-R50-R54</f>
        <v>-160733.75</v>
      </c>
      <c r="S75" s="138">
        <f>S38-S41-S50-S54</f>
        <v>-1352709.1020000002</v>
      </c>
      <c r="T75" s="66"/>
      <c r="U75" s="66"/>
      <c r="V75" s="65">
        <f>V38-V41-V50-V54</f>
        <v>2303656.8419999997</v>
      </c>
      <c r="W75" s="65">
        <f>W38-W41-W50-W54</f>
        <v>-544396.19000000006</v>
      </c>
      <c r="X75" s="138">
        <f>X38-X41-X50-X54</f>
        <v>1759260.6519999998</v>
      </c>
      <c r="Y75" s="66"/>
      <c r="Z75" s="66"/>
      <c r="AA75" s="65">
        <f>AA38-AA41-AA50-AA54</f>
        <v>-157251.041</v>
      </c>
      <c r="AB75" s="65">
        <f>AB38-AB41-AB50-AB54</f>
        <v>-142559.4</v>
      </c>
      <c r="AC75" s="138">
        <f>AC38-AC41-AC50-AC54</f>
        <v>-299810.44099999999</v>
      </c>
      <c r="AD75" s="66"/>
      <c r="AE75" s="66"/>
      <c r="AF75" s="65">
        <f>AF38-AF41-AF50-AF54</f>
        <v>1591578.2120000003</v>
      </c>
      <c r="AG75" s="65">
        <f>AG38-AG41-AG50-AG54</f>
        <v>-183930.11</v>
      </c>
      <c r="AH75" s="138">
        <f>AH38-AH41-AH50-AH54</f>
        <v>1407648.1020000004</v>
      </c>
      <c r="AI75" s="66"/>
      <c r="AJ75" s="66"/>
      <c r="AK75" s="65">
        <f>AK38-AK41-AK50-AK54</f>
        <v>1151857.4039999999</v>
      </c>
      <c r="AL75" s="65">
        <f>AL38-AL41-AL50-AL54</f>
        <v>-272700.98</v>
      </c>
      <c r="AM75" s="138">
        <f>AM38-AM41-AM50-AM54</f>
        <v>879156.42400000012</v>
      </c>
      <c r="AN75" s="66"/>
      <c r="AO75" s="646"/>
      <c r="AP75" s="646">
        <f>AP38-AP41-AP50-AP54</f>
        <v>-637.5</v>
      </c>
      <c r="AQ75" s="646">
        <f>AQ38-AQ41-AQ50-AQ54</f>
        <v>-28743.25</v>
      </c>
      <c r="AR75" s="646">
        <f>AR38-AR41-AR50-AR54</f>
        <v>-29380.75</v>
      </c>
      <c r="AS75" s="671"/>
      <c r="AT75" s="699"/>
      <c r="AU75" s="779">
        <f>AU38-AU41-AU50-AU54</f>
        <v>327647.42399999965</v>
      </c>
      <c r="AV75" s="646">
        <f>AV38-AV41-AV50-AV54</f>
        <v>-81747.5</v>
      </c>
      <c r="AW75" s="646">
        <f>AW38-AW41-AW50-AW54</f>
        <v>245899.92399999965</v>
      </c>
      <c r="AX75" s="671">
        <f t="shared" si="87"/>
        <v>0.1319230284853479</v>
      </c>
      <c r="AY75" s="779"/>
      <c r="AZ75" s="779">
        <f>AZ38-AZ41-AZ50-AZ54</f>
        <v>-645426.24195279414</v>
      </c>
      <c r="BA75" s="646">
        <f>BA38-BA41-BA50-BA54</f>
        <v>-218484.38</v>
      </c>
      <c r="BB75" s="646">
        <f>BB38-BB41-BB50-BB54</f>
        <v>-863910.62195279426</v>
      </c>
      <c r="BC75" s="671">
        <f t="shared" si="88"/>
        <v>-0.46348003584040659</v>
      </c>
      <c r="BD75" s="779"/>
      <c r="BE75" s="646">
        <f>BE38-BE41-BE50-BE54</f>
        <v>0</v>
      </c>
      <c r="BF75" s="646">
        <f>BF38-BF41-BF50-BF54</f>
        <v>0</v>
      </c>
      <c r="BG75" s="646">
        <f>BG38-BG41-BG50-BG54</f>
        <v>0</v>
      </c>
      <c r="BH75" s="671">
        <f t="shared" si="89"/>
        <v>0</v>
      </c>
      <c r="BI75" s="699"/>
      <c r="BJ75" s="646">
        <f>BJ38-BJ41-BJ50-BJ54</f>
        <v>-201820.36800000002</v>
      </c>
      <c r="BK75" s="646">
        <f>BK38-BK41-BK50-BK54</f>
        <v>0</v>
      </c>
      <c r="BL75" s="646">
        <f>BL38-BL41-BL50-BL54</f>
        <v>-201820.36800000002</v>
      </c>
      <c r="BM75" s="671">
        <f t="shared" si="35"/>
        <v>-0.10827475553261023</v>
      </c>
      <c r="BN75" s="699"/>
      <c r="BO75" s="646">
        <f>BO38-BO41-BO50-BO54</f>
        <v>11794944.854447199</v>
      </c>
      <c r="BP75" s="646">
        <f>BP38-BP41-BP50-BP54</f>
        <v>-3938699.91</v>
      </c>
      <c r="BQ75" s="670">
        <f>BQ38-BQ41-BQ50-BQ54</f>
        <v>7856244.9444472026</v>
      </c>
      <c r="BR75" s="671"/>
      <c r="BS75" s="671"/>
      <c r="BT75" s="842"/>
    </row>
    <row r="76" spans="1:74" s="2" customFormat="1" ht="13.95" customHeight="1" x14ac:dyDescent="0.25">
      <c r="A76" s="294"/>
      <c r="B76" s="36" t="s">
        <v>49</v>
      </c>
      <c r="C76" s="157">
        <f>C75/C5</f>
        <v>0.33503927099691694</v>
      </c>
      <c r="D76" s="157" t="e">
        <f>D75/D5</f>
        <v>#DIV/0!</v>
      </c>
      <c r="E76" s="158">
        <f>E75/E5</f>
        <v>0.25733751475404176</v>
      </c>
      <c r="F76" s="167"/>
      <c r="G76" s="54">
        <f>G75/G5</f>
        <v>0.41503192411083406</v>
      </c>
      <c r="H76" s="54" t="e">
        <f>H75/H5</f>
        <v>#DIV/0!</v>
      </c>
      <c r="I76" s="55">
        <f>I75/I5</f>
        <v>0.30013448348474275</v>
      </c>
      <c r="J76" s="55"/>
      <c r="K76" s="55"/>
      <c r="L76" s="54">
        <f>L75/L5</f>
        <v>0.29354459225290208</v>
      </c>
      <c r="M76" s="54" t="e">
        <f>M75/M5</f>
        <v>#DIV/0!</v>
      </c>
      <c r="N76" s="55">
        <f>N75/N5</f>
        <v>0.22033120411583668</v>
      </c>
      <c r="O76" s="55"/>
      <c r="P76" s="55"/>
      <c r="Q76" s="54" t="e">
        <f>Q75/Q5</f>
        <v>#DIV/0!</v>
      </c>
      <c r="R76" s="54" t="e">
        <f>R75/R5</f>
        <v>#DIV/0!</v>
      </c>
      <c r="S76" s="55" t="e">
        <f>S75/S5</f>
        <v>#DIV/0!</v>
      </c>
      <c r="T76" s="55"/>
      <c r="U76" s="55"/>
      <c r="V76" s="54">
        <f>V75/V5</f>
        <v>0.48492652521374674</v>
      </c>
      <c r="W76" s="54" t="e">
        <f>W75/W5</f>
        <v>#DIV/0!</v>
      </c>
      <c r="X76" s="55">
        <f>X75/X5</f>
        <v>0.37032952971371008</v>
      </c>
      <c r="Y76" s="55"/>
      <c r="Z76" s="55"/>
      <c r="AA76" s="54" t="e">
        <f>AA75/AA5</f>
        <v>#DIV/0!</v>
      </c>
      <c r="AB76" s="54" t="e">
        <f>AB75/AB5</f>
        <v>#DIV/0!</v>
      </c>
      <c r="AC76" s="55" t="e">
        <f>AC75/AC5</f>
        <v>#DIV/0!</v>
      </c>
      <c r="AD76" s="55"/>
      <c r="AE76" s="55"/>
      <c r="AF76" s="54">
        <f>AF75/AF5</f>
        <v>0.32902318880343329</v>
      </c>
      <c r="AG76" s="54" t="e">
        <f>AG75/AG5</f>
        <v>#DIV/0!</v>
      </c>
      <c r="AH76" s="55">
        <f>AH75/AH5</f>
        <v>0.29099975341528522</v>
      </c>
      <c r="AI76" s="55"/>
      <c r="AJ76" s="55"/>
      <c r="AK76" s="54">
        <f>AK75/AK5</f>
        <v>0.38475722621434988</v>
      </c>
      <c r="AL76" s="54" t="e">
        <f>AL75/AL5</f>
        <v>#DIV/0!</v>
      </c>
      <c r="AM76" s="55">
        <f>AM75/AM5</f>
        <v>0.29366637392102657</v>
      </c>
      <c r="AN76" s="55"/>
      <c r="AO76" s="639"/>
      <c r="AP76" s="639" t="e">
        <f>AP75/AP5</f>
        <v>#DIV/0!</v>
      </c>
      <c r="AQ76" s="639" t="e">
        <f>AQ75/AQ5</f>
        <v>#DIV/0!</v>
      </c>
      <c r="AR76" s="639" t="e">
        <f>AR75/AR5</f>
        <v>#DIV/0!</v>
      </c>
      <c r="AS76" s="660"/>
      <c r="AT76" s="697"/>
      <c r="AU76" s="780">
        <f>AU75/AU5</f>
        <v>0.1561408930423851</v>
      </c>
      <c r="AV76" s="639" t="e">
        <f>AV75/AV5</f>
        <v>#DIV/0!</v>
      </c>
      <c r="AW76" s="639">
        <f>AW75/AW5</f>
        <v>0.11718399389099</v>
      </c>
      <c r="AX76" s="660">
        <f t="shared" si="87"/>
        <v>6.2868125831986553E-8</v>
      </c>
      <c r="AY76" s="780"/>
      <c r="AZ76" s="780">
        <f>AZ75/AZ5</f>
        <v>-14.031005259843351</v>
      </c>
      <c r="BA76" s="639" t="e">
        <f>BA75/BA5</f>
        <v>#DIV/0!</v>
      </c>
      <c r="BB76" s="639">
        <f>BB75/BB5</f>
        <v>-18.780665694625963</v>
      </c>
      <c r="BC76" s="660">
        <f t="shared" si="88"/>
        <v>-1.0075652953052317E-5</v>
      </c>
      <c r="BD76" s="780"/>
      <c r="BE76" s="639" t="e">
        <f>BE75/BE5</f>
        <v>#DIV/0!</v>
      </c>
      <c r="BF76" s="639" t="e">
        <f>BF75/BF5</f>
        <v>#DIV/0!</v>
      </c>
      <c r="BG76" s="639" t="e">
        <f>BG75/BG5</f>
        <v>#DIV/0!</v>
      </c>
      <c r="BH76" s="660" t="e">
        <f t="shared" si="89"/>
        <v>#DIV/0!</v>
      </c>
      <c r="BI76" s="697"/>
      <c r="BJ76" s="639" t="e">
        <f>BJ75/BJ5</f>
        <v>#DIV/0!</v>
      </c>
      <c r="BK76" s="639" t="e">
        <f>BK75/BK5</f>
        <v>#DIV/0!</v>
      </c>
      <c r="BL76" s="639" t="e">
        <f>BL75/BL5</f>
        <v>#DIV/0!</v>
      </c>
      <c r="BM76" s="660" t="e">
        <f t="shared" si="35"/>
        <v>#DIV/0!</v>
      </c>
      <c r="BN76" s="697"/>
      <c r="BO76" s="639">
        <f>BO75/BO5</f>
        <v>0.30711862521987143</v>
      </c>
      <c r="BP76" s="639" t="e">
        <f>BP75/BP5</f>
        <v>#DIV/0!</v>
      </c>
      <c r="BQ76" s="660">
        <f>BQ75/BQ5</f>
        <v>0.20456213882335036</v>
      </c>
      <c r="BR76" s="660"/>
      <c r="BS76" s="660"/>
      <c r="BT76" s="842"/>
    </row>
    <row r="77" spans="1:74" s="2" customFormat="1" ht="13.95" customHeight="1" outlineLevel="1" thickBot="1" x14ac:dyDescent="0.3">
      <c r="A77" s="294"/>
      <c r="B77" s="27" t="s">
        <v>9</v>
      </c>
      <c r="C77" s="139">
        <f>C78-C79</f>
        <v>0</v>
      </c>
      <c r="D77" s="139">
        <f>D78-D79</f>
        <v>0</v>
      </c>
      <c r="E77" s="140">
        <f>E78-E79</f>
        <v>0</v>
      </c>
      <c r="F77" s="173"/>
      <c r="G77" s="139">
        <f>G78-G79</f>
        <v>0</v>
      </c>
      <c r="H77" s="139">
        <f>H78-H79</f>
        <v>0</v>
      </c>
      <c r="I77" s="140">
        <f>I78-I79</f>
        <v>-214910.93727272723</v>
      </c>
      <c r="J77" s="67"/>
      <c r="K77" s="67"/>
      <c r="L77" s="139">
        <f>L78-L79</f>
        <v>0</v>
      </c>
      <c r="M77" s="139">
        <f>M78-M79</f>
        <v>0</v>
      </c>
      <c r="N77" s="140">
        <f>N78-N79</f>
        <v>-108989.43137931035</v>
      </c>
      <c r="O77" s="67"/>
      <c r="P77" s="67"/>
      <c r="Q77" s="139">
        <f>Q78-Q79</f>
        <v>0</v>
      </c>
      <c r="R77" s="139">
        <f>R78-R79</f>
        <v>0</v>
      </c>
      <c r="S77" s="140">
        <f>S78-S79</f>
        <v>-23608.901582371502</v>
      </c>
      <c r="T77" s="67"/>
      <c r="U77" s="67"/>
      <c r="V77" s="139">
        <f>V78-V79</f>
        <v>0</v>
      </c>
      <c r="W77" s="139">
        <f>W78-W79</f>
        <v>0</v>
      </c>
      <c r="X77" s="140">
        <f>X78-X79</f>
        <v>-76978.086702072294</v>
      </c>
      <c r="Y77" s="67"/>
      <c r="Z77" s="67"/>
      <c r="AA77" s="139">
        <f>AA78-AA79</f>
        <v>0</v>
      </c>
      <c r="AB77" s="139">
        <f>AB78-AB79</f>
        <v>0</v>
      </c>
      <c r="AC77" s="140">
        <f>AC78-AC79</f>
        <v>-19745.185820063889</v>
      </c>
      <c r="AD77" s="67"/>
      <c r="AE77" s="67"/>
      <c r="AF77" s="139">
        <f>AF78-AF79</f>
        <v>0</v>
      </c>
      <c r="AG77" s="139">
        <f>AG78-AG79</f>
        <v>0</v>
      </c>
      <c r="AH77" s="140">
        <f>AH78-AH79</f>
        <v>-25070.169833499593</v>
      </c>
      <c r="AI77" s="67">
        <f>AH77/$AH$89</f>
        <v>-7.2568195526414104E-3</v>
      </c>
      <c r="AJ77" s="67"/>
      <c r="AK77" s="139">
        <f>AK78-AK79</f>
        <v>0</v>
      </c>
      <c r="AL77" s="139">
        <f>AL78-AL79</f>
        <v>0</v>
      </c>
      <c r="AM77" s="140">
        <f>AM78-AM79</f>
        <v>-37914.911881569198</v>
      </c>
      <c r="AN77" s="67">
        <f>AM77/$AH$89</f>
        <v>-1.0974862783386255E-2</v>
      </c>
      <c r="AO77" s="640"/>
      <c r="AP77" s="640">
        <f>AP78-AP79</f>
        <v>0</v>
      </c>
      <c r="AQ77" s="640">
        <f>AQ78-AQ79</f>
        <v>0</v>
      </c>
      <c r="AR77" s="640">
        <f>AR78-AR79</f>
        <v>-4038.9061514929394</v>
      </c>
      <c r="AS77" s="675">
        <f>AR77/$AR$89</f>
        <v>-0.12085421026429415</v>
      </c>
      <c r="AT77" s="700"/>
      <c r="AU77" s="781">
        <f>AU78-AU79</f>
        <v>0</v>
      </c>
      <c r="AV77" s="640">
        <f>AV78-AV79</f>
        <v>0</v>
      </c>
      <c r="AW77" s="640">
        <f>AW78-AW79</f>
        <v>-11456.246869436176</v>
      </c>
      <c r="AX77" s="675">
        <f t="shared" si="87"/>
        <v>-6.1461701878842727E-3</v>
      </c>
      <c r="AY77" s="781"/>
      <c r="AZ77" s="781">
        <f>AZ78-AZ79</f>
        <v>0</v>
      </c>
      <c r="BA77" s="640">
        <f>BA78-BA79</f>
        <v>0</v>
      </c>
      <c r="BB77" s="640">
        <f>BB78-BB79</f>
        <v>-123549.71389445095</v>
      </c>
      <c r="BC77" s="675">
        <f t="shared" si="88"/>
        <v>-6.6283275571302161E-2</v>
      </c>
      <c r="BD77" s="781"/>
      <c r="BE77" s="640">
        <f>BE78-BE79</f>
        <v>0</v>
      </c>
      <c r="BF77" s="640">
        <f>BF78-BF79</f>
        <v>0</v>
      </c>
      <c r="BG77" s="640">
        <f>BG78-BG79</f>
        <v>0</v>
      </c>
      <c r="BH77" s="675">
        <f t="shared" si="89"/>
        <v>0</v>
      </c>
      <c r="BI77" s="700"/>
      <c r="BJ77" s="640">
        <f>BJ78-BJ79</f>
        <v>0</v>
      </c>
      <c r="BK77" s="640">
        <f>BK78-BK79</f>
        <v>0</v>
      </c>
      <c r="BL77" s="640">
        <f>BL78-BL79</f>
        <v>0</v>
      </c>
      <c r="BM77" s="675">
        <f t="shared" si="35"/>
        <v>0</v>
      </c>
      <c r="BN77" s="700"/>
      <c r="BO77" s="587">
        <f>BO78-BO79</f>
        <v>0</v>
      </c>
      <c r="BP77" s="587">
        <f>BP78-BP79</f>
        <v>0</v>
      </c>
      <c r="BQ77" s="674">
        <f>BQ78-BQ79</f>
        <v>-646262.49138699414</v>
      </c>
      <c r="BR77" s="675"/>
      <c r="BS77" s="675"/>
      <c r="BT77" s="842"/>
    </row>
    <row r="78" spans="1:74" s="2" customFormat="1" ht="13.95" customHeight="1" outlineLevel="2" x14ac:dyDescent="0.25">
      <c r="A78" s="11"/>
      <c r="B78" s="6" t="s">
        <v>43</v>
      </c>
      <c r="C78" s="141"/>
      <c r="D78" s="142"/>
      <c r="E78" s="119">
        <f>C78+D78*1.15</f>
        <v>0</v>
      </c>
      <c r="F78" s="186"/>
      <c r="G78" s="39">
        <v>0</v>
      </c>
      <c r="H78" s="39">
        <v>0</v>
      </c>
      <c r="I78" s="68">
        <f>G78+H78*1.15</f>
        <v>0</v>
      </c>
      <c r="J78" s="68"/>
      <c r="K78" s="68"/>
      <c r="L78" s="39"/>
      <c r="M78" s="39"/>
      <c r="N78" s="68">
        <f>L78+M78*1.15</f>
        <v>0</v>
      </c>
      <c r="O78" s="68"/>
      <c r="P78" s="68"/>
      <c r="Q78" s="39"/>
      <c r="R78" s="39"/>
      <c r="S78" s="68">
        <f>Q78+R78*1.15</f>
        <v>0</v>
      </c>
      <c r="T78" s="68"/>
      <c r="U78" s="68"/>
      <c r="V78" s="39"/>
      <c r="W78" s="39"/>
      <c r="X78" s="210">
        <f>V78+W78*1</f>
        <v>0</v>
      </c>
      <c r="Y78" s="450">
        <f>X78/$X$89</f>
        <v>0</v>
      </c>
      <c r="Z78" s="68"/>
      <c r="AA78" s="39"/>
      <c r="AB78" s="39"/>
      <c r="AC78" s="210">
        <f>AA78+AB78*1</f>
        <v>0</v>
      </c>
      <c r="AD78" s="595">
        <f>AC78/$AC$89</f>
        <v>0</v>
      </c>
      <c r="AE78" s="68"/>
      <c r="AF78" s="39"/>
      <c r="AG78" s="39"/>
      <c r="AH78" s="210">
        <f>AF78+AG78*1</f>
        <v>0</v>
      </c>
      <c r="AI78" s="541">
        <f>AH78/$AH$89</f>
        <v>0</v>
      </c>
      <c r="AJ78" s="68"/>
      <c r="AK78" s="39"/>
      <c r="AL78" s="39"/>
      <c r="AM78" s="210">
        <f>AK78+AL78*1</f>
        <v>0</v>
      </c>
      <c r="AN78" s="541">
        <f>AM78/$AM$89</f>
        <v>0</v>
      </c>
      <c r="AO78" s="551"/>
      <c r="AP78" s="797"/>
      <c r="AQ78" s="641"/>
      <c r="AR78" s="771"/>
      <c r="AS78" s="797">
        <f>AR78/$AR$89</f>
        <v>0</v>
      </c>
      <c r="AT78" s="641"/>
      <c r="AU78" s="641"/>
      <c r="AV78" s="641"/>
      <c r="AW78" s="771"/>
      <c r="AX78" s="797">
        <f t="shared" si="87"/>
        <v>0</v>
      </c>
      <c r="AY78" s="641"/>
      <c r="AZ78" s="641"/>
      <c r="BA78" s="641"/>
      <c r="BB78" s="771"/>
      <c r="BC78" s="797">
        <f t="shared" si="88"/>
        <v>0</v>
      </c>
      <c r="BD78" s="771"/>
      <c r="BE78" s="797"/>
      <c r="BF78" s="641"/>
      <c r="BG78" s="771"/>
      <c r="BH78" s="797">
        <f t="shared" si="89"/>
        <v>0</v>
      </c>
      <c r="BI78" s="641"/>
      <c r="BJ78" s="797"/>
      <c r="BK78" s="641"/>
      <c r="BL78" s="771"/>
      <c r="BM78" s="797">
        <f t="shared" si="35"/>
        <v>0</v>
      </c>
      <c r="BN78" s="641"/>
      <c r="BO78" s="560">
        <f>G78+L78+Q78+V78+AA78+AF78+AK78+AP78+AU78+AZ78+BE78+BJ78</f>
        <v>0</v>
      </c>
      <c r="BP78" s="452">
        <f>H78+M78+R78+W78+AB78+AG78+AL78+AQ78+AV78+BA78+BF78+BK78</f>
        <v>0</v>
      </c>
      <c r="BQ78" s="676">
        <f>BO78+BP78*1.15</f>
        <v>0</v>
      </c>
      <c r="BR78" s="676"/>
      <c r="BS78" s="676"/>
      <c r="BT78" s="842"/>
    </row>
    <row r="79" spans="1:74" s="2" customFormat="1" ht="13.95" customHeight="1" outlineLevel="2" x14ac:dyDescent="0.25">
      <c r="A79" s="11"/>
      <c r="B79" s="24" t="s">
        <v>79</v>
      </c>
      <c r="C79" s="113"/>
      <c r="D79" s="119"/>
      <c r="E79" s="119">
        <f>C79+D79*1.15</f>
        <v>0</v>
      </c>
      <c r="F79" s="180"/>
      <c r="G79" s="39">
        <v>0</v>
      </c>
      <c r="H79" s="39">
        <v>0</v>
      </c>
      <c r="I79" s="106">
        <f>(H8+H41+H50+H54)/0.88*0.12</f>
        <v>214910.93727272723</v>
      </c>
      <c r="J79" s="45"/>
      <c r="K79" s="45"/>
      <c r="L79" s="39"/>
      <c r="M79" s="39"/>
      <c r="N79" s="106">
        <f>(M8+M41+M50+M54)/(1-'расчет 2022'!E4)*'расчет 2022'!E4</f>
        <v>108989.43137931035</v>
      </c>
      <c r="O79" s="45"/>
      <c r="P79" s="45"/>
      <c r="Q79" s="39"/>
      <c r="R79" s="39"/>
      <c r="S79" s="106">
        <v>23608.901582371502</v>
      </c>
      <c r="T79" s="45"/>
      <c r="U79" s="45"/>
      <c r="V79" s="39"/>
      <c r="W79" s="39"/>
      <c r="X79" s="106">
        <v>76978.086702072294</v>
      </c>
      <c r="Y79" s="450">
        <f>X79/$X$89</f>
        <v>2.5088637260533172E-2</v>
      </c>
      <c r="Z79" s="45"/>
      <c r="AA79" s="39"/>
      <c r="AB79" s="39"/>
      <c r="AC79" s="106">
        <v>19745.185820063889</v>
      </c>
      <c r="AD79" s="595">
        <f>AC79/$AC$89</f>
        <v>6.1789510691927368E-2</v>
      </c>
      <c r="AE79" s="45"/>
      <c r="AF79" s="39"/>
      <c r="AG79" s="39"/>
      <c r="AH79" s="106">
        <v>25070.169833499593</v>
      </c>
      <c r="AI79" s="541">
        <f>AH79/$AH$89</f>
        <v>7.2568195526414104E-3</v>
      </c>
      <c r="AJ79" s="45"/>
      <c r="AK79" s="39"/>
      <c r="AL79" s="39"/>
      <c r="AM79" s="106">
        <v>37914.911881569198</v>
      </c>
      <c r="AN79" s="541">
        <f>AM79/$AM$89</f>
        <v>1.7614494407102468E-2</v>
      </c>
      <c r="AO79" s="806"/>
      <c r="AP79" s="560"/>
      <c r="AQ79" s="452"/>
      <c r="AR79" s="446">
        <v>4038.9061514929394</v>
      </c>
      <c r="AS79" s="541">
        <f>AR79/$AM$89</f>
        <v>1.8763933841784179E-3</v>
      </c>
      <c r="AT79" s="642"/>
      <c r="AU79" s="452"/>
      <c r="AV79" s="39"/>
      <c r="AW79" s="106">
        <v>11456.246869436176</v>
      </c>
      <c r="AX79" s="541">
        <f t="shared" si="87"/>
        <v>6.1461701878842727E-3</v>
      </c>
      <c r="AY79" s="642"/>
      <c r="AZ79" s="452"/>
      <c r="BA79" s="39"/>
      <c r="BB79" s="106">
        <v>123549.71389445095</v>
      </c>
      <c r="BC79" s="541">
        <f t="shared" si="88"/>
        <v>6.6283275571302161E-2</v>
      </c>
      <c r="BD79" s="772"/>
      <c r="BE79" s="560"/>
      <c r="BF79" s="452"/>
      <c r="BG79" s="446">
        <f>(BF8+BF41+BF50+BF54)/(1-'расчет 2022'!E4)*'расчет 2022'!E4</f>
        <v>0</v>
      </c>
      <c r="BH79" s="541">
        <f t="shared" si="89"/>
        <v>0</v>
      </c>
      <c r="BI79" s="642"/>
      <c r="BJ79" s="560"/>
      <c r="BK79" s="452"/>
      <c r="BL79" s="446">
        <f>(BK8+BK41+BK50+BK54)/(1-'расчет 2022'!J4)*'расчет 2022'!J4</f>
        <v>0</v>
      </c>
      <c r="BM79" s="541">
        <f t="shared" si="35"/>
        <v>0</v>
      </c>
      <c r="BN79" s="642"/>
      <c r="BO79" s="560">
        <f>G79+L79+Q79+V79+AA79+AF79+AK79+AP79+AU79+AZ79+BE79+BJ79</f>
        <v>0</v>
      </c>
      <c r="BP79" s="452">
        <f>H79+M79+R79+W79+AB79+AG79+AL79+AQ79+AV79+BA79+BF79+BK79</f>
        <v>0</v>
      </c>
      <c r="BQ79" s="446">
        <f>I79+N79+S79+X79+AC79+AH79+AM79+AR79+AW79+BB79+BG79+BL79</f>
        <v>646262.49138699414</v>
      </c>
      <c r="BR79" s="693"/>
      <c r="BS79" s="693"/>
      <c r="BT79" s="842"/>
      <c r="BU79" s="842"/>
    </row>
    <row r="80" spans="1:74" ht="13.95" customHeight="1" outlineLevel="2" x14ac:dyDescent="0.25">
      <c r="A80" s="3"/>
      <c r="B80" s="25"/>
      <c r="C80" s="143"/>
      <c r="D80" s="144"/>
      <c r="E80" s="145"/>
      <c r="F80" s="187"/>
      <c r="G80" s="69">
        <v>0</v>
      </c>
      <c r="H80" s="69">
        <v>0</v>
      </c>
      <c r="I80" s="69"/>
      <c r="J80" s="69"/>
      <c r="K80" s="69"/>
      <c r="L80" s="39"/>
      <c r="M80" s="39"/>
      <c r="N80" s="69"/>
      <c r="O80" s="69"/>
      <c r="P80" s="69"/>
      <c r="Q80" s="39"/>
      <c r="R80" s="39"/>
      <c r="S80" s="69"/>
      <c r="T80" s="69"/>
      <c r="U80" s="69"/>
      <c r="V80" s="39"/>
      <c r="W80" s="39"/>
      <c r="X80" s="210">
        <f>V80+W80*1</f>
        <v>0</v>
      </c>
      <c r="Y80" s="450">
        <f>X80/$X$89</f>
        <v>0</v>
      </c>
      <c r="Z80" s="69"/>
      <c r="AA80" s="39"/>
      <c r="AB80" s="39"/>
      <c r="AC80" s="210">
        <f>AA80+AB80*1</f>
        <v>0</v>
      </c>
      <c r="AD80" s="450">
        <f>AC80/$X$89</f>
        <v>0</v>
      </c>
      <c r="AE80" s="69"/>
      <c r="AF80" s="39"/>
      <c r="AG80" s="39"/>
      <c r="AH80" s="210">
        <f>AF80+AG80*1</f>
        <v>0</v>
      </c>
      <c r="AI80" s="450">
        <f>AH80/$X$89</f>
        <v>0</v>
      </c>
      <c r="AJ80" s="69"/>
      <c r="AK80" s="39"/>
      <c r="AL80" s="39"/>
      <c r="AM80" s="210">
        <f>AK80+AL80*1</f>
        <v>0</v>
      </c>
      <c r="AN80" s="450">
        <f>AM80/$X$89</f>
        <v>0</v>
      </c>
      <c r="AO80" s="552"/>
      <c r="AP80" s="478"/>
      <c r="AQ80" s="476"/>
      <c r="AR80" s="764"/>
      <c r="AS80" s="478"/>
      <c r="AT80" s="476"/>
      <c r="AU80" s="476"/>
      <c r="AV80" s="476"/>
      <c r="AW80" s="764"/>
      <c r="AX80" s="478"/>
      <c r="AY80" s="476"/>
      <c r="AZ80" s="476"/>
      <c r="BA80" s="476"/>
      <c r="BB80" s="764"/>
      <c r="BC80" s="478"/>
      <c r="BD80" s="764"/>
      <c r="BE80" s="478"/>
      <c r="BF80" s="476"/>
      <c r="BG80" s="764"/>
      <c r="BH80" s="478"/>
      <c r="BI80" s="476"/>
      <c r="BJ80" s="478"/>
      <c r="BK80" s="476"/>
      <c r="BL80" s="764"/>
      <c r="BM80" s="478"/>
      <c r="BN80" s="476"/>
      <c r="BO80" s="560">
        <f>G80+L80+Q80+V80</f>
        <v>0</v>
      </c>
      <c r="BP80" s="452">
        <f>H80+M80+R80+W80</f>
        <v>0</v>
      </c>
      <c r="BQ80" s="678"/>
      <c r="BR80" s="678"/>
      <c r="BS80" s="678"/>
      <c r="BT80" s="928"/>
    </row>
    <row r="81" spans="1:72" s="2" customFormat="1" ht="13.95" customHeight="1" outlineLevel="1" thickBot="1" x14ac:dyDescent="0.3">
      <c r="A81" s="26"/>
      <c r="B81" s="27" t="s">
        <v>12</v>
      </c>
      <c r="C81" s="139">
        <f>(C75+C78)-C79</f>
        <v>13785360</v>
      </c>
      <c r="D81" s="139">
        <f>(D75+D78)-D79</f>
        <v>-3197078</v>
      </c>
      <c r="E81" s="140">
        <f>(E75+E78)-E79</f>
        <v>10588282</v>
      </c>
      <c r="F81" s="173"/>
      <c r="G81" s="139">
        <f>(G75+G78)-G79</f>
        <v>5692867.7293999987</v>
      </c>
      <c r="H81" s="139">
        <f>(H75+H78)-H79</f>
        <v>-1576013.5399999998</v>
      </c>
      <c r="I81" s="140">
        <f>(I75+I78)-I79</f>
        <v>3901943.2521272697</v>
      </c>
      <c r="J81" s="67"/>
      <c r="K81" s="67"/>
      <c r="L81" s="139">
        <f>(L75+L78)-L79</f>
        <v>2924447.7459999998</v>
      </c>
      <c r="M81" s="139">
        <f>(M75+M78)-M79</f>
        <v>-729390.81</v>
      </c>
      <c r="N81" s="140">
        <f>(N75+N78)-N79</f>
        <v>2086067.504620689</v>
      </c>
      <c r="O81" s="67"/>
      <c r="P81" s="67"/>
      <c r="Q81" s="139">
        <f>(Q75+Q78)-Q79</f>
        <v>-1191975.3520000002</v>
      </c>
      <c r="R81" s="139">
        <f>(R75+R78)-R79</f>
        <v>-160733.75</v>
      </c>
      <c r="S81" s="140">
        <f>(S75+S78)-S79</f>
        <v>-1376318.0035823716</v>
      </c>
      <c r="T81" s="67"/>
      <c r="U81" s="67"/>
      <c r="V81" s="139">
        <f>(V75+V78)-V79</f>
        <v>2303656.8419999997</v>
      </c>
      <c r="W81" s="139">
        <f>(W75+W78)-W79</f>
        <v>-544396.19000000006</v>
      </c>
      <c r="X81" s="140">
        <f>(X75+X78)-X79</f>
        <v>1682282.5652979275</v>
      </c>
      <c r="Y81" s="67"/>
      <c r="Z81" s="67"/>
      <c r="AA81" s="139">
        <f>(AA75+AA78)-AA79</f>
        <v>-157251.041</v>
      </c>
      <c r="AB81" s="139">
        <f>(AB75+AB78)-AB79</f>
        <v>-142559.4</v>
      </c>
      <c r="AC81" s="140">
        <f>(AC75+AC78)-AC79</f>
        <v>-319555.62682006386</v>
      </c>
      <c r="AD81" s="67"/>
      <c r="AE81" s="67"/>
      <c r="AF81" s="139">
        <f>(AF75+AF78)-AF79</f>
        <v>1591578.2120000003</v>
      </c>
      <c r="AG81" s="139">
        <f>(AG75+AG78)-AG79</f>
        <v>-183930.11</v>
      </c>
      <c r="AH81" s="140">
        <f>(AH75+AH78)-AH79</f>
        <v>1382577.9321665007</v>
      </c>
      <c r="AI81" s="67"/>
      <c r="AJ81" s="67"/>
      <c r="AK81" s="139">
        <f>(AK75+AK78)-AK79</f>
        <v>1151857.4039999999</v>
      </c>
      <c r="AL81" s="139">
        <f>(AL75+AL78)-AL79</f>
        <v>-272700.98</v>
      </c>
      <c r="AM81" s="140">
        <f>(AM75+AM78)-AM79</f>
        <v>841241.51211843092</v>
      </c>
      <c r="AN81" s="67"/>
      <c r="AO81" s="640"/>
      <c r="AP81" s="640">
        <f>(AP75+AP78)-AP79</f>
        <v>-637.5</v>
      </c>
      <c r="AQ81" s="640">
        <f>(AQ75+AQ78)-AQ79</f>
        <v>-28743.25</v>
      </c>
      <c r="AR81" s="640">
        <f>(AR75+AR78)-AR79</f>
        <v>-33419.656151492942</v>
      </c>
      <c r="AS81" s="675"/>
      <c r="AT81" s="700"/>
      <c r="AU81" s="781">
        <f>(AU75+AU78)-AU79</f>
        <v>327647.42399999965</v>
      </c>
      <c r="AV81" s="640">
        <f>(AV75+AV78)-AV79</f>
        <v>-81747.5</v>
      </c>
      <c r="AW81" s="640">
        <f>(AW75+AW78)-AW79</f>
        <v>234443.67713056348</v>
      </c>
      <c r="AX81" s="675"/>
      <c r="AY81" s="781"/>
      <c r="AZ81" s="781">
        <f>(AZ75+AZ78)-AZ79</f>
        <v>-645426.24195279414</v>
      </c>
      <c r="BA81" s="640">
        <f>(BA75+BA78)-BA79</f>
        <v>-218484.38</v>
      </c>
      <c r="BB81" s="640">
        <f>(BB75+BB78)-BB79</f>
        <v>-987460.33584724518</v>
      </c>
      <c r="BC81" s="675"/>
      <c r="BD81" s="781"/>
      <c r="BE81" s="640">
        <f>(BE75+BE78)-BE79</f>
        <v>0</v>
      </c>
      <c r="BF81" s="640">
        <f>(BF75+BF78)-BF79</f>
        <v>0</v>
      </c>
      <c r="BG81" s="640">
        <f>(BG75+BG78)-BG79</f>
        <v>0</v>
      </c>
      <c r="BH81" s="675"/>
      <c r="BI81" s="700"/>
      <c r="BJ81" s="640">
        <f>(BJ75+BJ78)-BJ79</f>
        <v>-201820.36800000002</v>
      </c>
      <c r="BK81" s="640">
        <f>(BK75+BK78)-BK79</f>
        <v>0</v>
      </c>
      <c r="BL81" s="640">
        <f>(BL75+BL78)-BL79</f>
        <v>-201820.36800000002</v>
      </c>
      <c r="BM81" s="675"/>
      <c r="BN81" s="700"/>
      <c r="BO81" s="587">
        <f>(BO75+BO78)-BO79</f>
        <v>11794944.854447199</v>
      </c>
      <c r="BP81" s="587">
        <f>(BP75+BP78)-BP79</f>
        <v>-3938699.91</v>
      </c>
      <c r="BQ81" s="674">
        <f>(BQ75+BQ78)-BQ79</f>
        <v>7209982.4530602088</v>
      </c>
      <c r="BR81" s="675"/>
      <c r="BS81" s="675"/>
      <c r="BT81" s="842"/>
    </row>
    <row r="82" spans="1:72" s="2" customFormat="1" ht="13.95" customHeight="1" outlineLevel="2" x14ac:dyDescent="0.25">
      <c r="A82" s="293"/>
      <c r="B82" s="6" t="s">
        <v>38</v>
      </c>
      <c r="C82" s="141"/>
      <c r="D82" s="142"/>
      <c r="E82" s="146">
        <f>C82+D82</f>
        <v>0</v>
      </c>
      <c r="F82" s="180">
        <f>E82/$E$89</f>
        <v>0</v>
      </c>
      <c r="G82" s="39">
        <v>0</v>
      </c>
      <c r="H82" s="39">
        <v>0</v>
      </c>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772"/>
      <c r="AP82" s="798"/>
      <c r="AQ82" s="642"/>
      <c r="AR82" s="772">
        <f>AP82+AQ82</f>
        <v>0</v>
      </c>
      <c r="AS82" s="798"/>
      <c r="AT82" s="642"/>
      <c r="AU82" s="642"/>
      <c r="AV82" s="642"/>
      <c r="AW82" s="772">
        <f>AU82+AV82</f>
        <v>0</v>
      </c>
      <c r="AX82" s="798"/>
      <c r="AY82" s="642"/>
      <c r="AZ82" s="642"/>
      <c r="BA82" s="642"/>
      <c r="BB82" s="772">
        <f>AZ82+BA82</f>
        <v>0</v>
      </c>
      <c r="BC82" s="798"/>
      <c r="BD82" s="772"/>
      <c r="BE82" s="798"/>
      <c r="BF82" s="642"/>
      <c r="BG82" s="772">
        <f>BE82+BF82</f>
        <v>0</v>
      </c>
      <c r="BH82" s="798"/>
      <c r="BI82" s="642"/>
      <c r="BJ82" s="798"/>
      <c r="BK82" s="642"/>
      <c r="BL82" s="772">
        <f>BJ82+BK82</f>
        <v>0</v>
      </c>
      <c r="BM82" s="798"/>
      <c r="BN82" s="642"/>
      <c r="BO82" s="560">
        <f>G82+L82</f>
        <v>0</v>
      </c>
      <c r="BP82" s="452">
        <f>H82+M82</f>
        <v>0</v>
      </c>
      <c r="BQ82" s="565">
        <f>BO82+BP82</f>
        <v>0</v>
      </c>
      <c r="BR82" s="642"/>
      <c r="BS82" s="642"/>
      <c r="BT82" s="842"/>
    </row>
    <row r="83" spans="1:72" s="2" customFormat="1" ht="13.95" customHeight="1" outlineLevel="1" x14ac:dyDescent="0.25">
      <c r="A83" s="11"/>
      <c r="B83" s="28" t="s">
        <v>13</v>
      </c>
      <c r="C83" s="147">
        <f>(C81+C7)-C36</f>
        <v>13778360</v>
      </c>
      <c r="D83" s="147">
        <f>(D81+D7)-D36</f>
        <v>-3197078</v>
      </c>
      <c r="E83" s="147">
        <f>(E81+E7)-E36</f>
        <v>10581282</v>
      </c>
      <c r="F83" s="174"/>
      <c r="G83" s="147">
        <f>(G81+G7)-G36</f>
        <v>5692867.7293999987</v>
      </c>
      <c r="H83" s="147">
        <f>(H81+H7)-H36</f>
        <v>-1576013.5399999998</v>
      </c>
      <c r="I83" s="148">
        <f>(I81+I7)-I36</f>
        <v>3901943.2521272697</v>
      </c>
      <c r="J83" s="70"/>
      <c r="K83" s="70"/>
      <c r="L83" s="147">
        <f>(L81+L7)-L36</f>
        <v>2924447.7459999998</v>
      </c>
      <c r="M83" s="147">
        <f>(M81+M7)-M36</f>
        <v>-729390.81</v>
      </c>
      <c r="N83" s="148">
        <f>(N81+N7)-N36</f>
        <v>2086067.504620689</v>
      </c>
      <c r="O83" s="70"/>
      <c r="P83" s="70"/>
      <c r="Q83" s="147">
        <f>(Q81+Q7)-Q36</f>
        <v>-1191975.3520000002</v>
      </c>
      <c r="R83" s="147">
        <f>(R81+R7)-R36</f>
        <v>-160733.75</v>
      </c>
      <c r="S83" s="148">
        <f>(S81+S7)-S36</f>
        <v>-1376318.0035823716</v>
      </c>
      <c r="T83" s="70"/>
      <c r="U83" s="70"/>
      <c r="V83" s="147">
        <f>(V81+V7)-V36</f>
        <v>2303656.8419999997</v>
      </c>
      <c r="W83" s="147">
        <f>(W81+W7)-W36</f>
        <v>-544396.19000000006</v>
      </c>
      <c r="X83" s="148">
        <f>(X81+X7)-X36</f>
        <v>1682282.5652979275</v>
      </c>
      <c r="Y83" s="70"/>
      <c r="Z83" s="70"/>
      <c r="AA83" s="147">
        <f>(AA81+AA7)-AA36</f>
        <v>-157251.041</v>
      </c>
      <c r="AB83" s="147">
        <f>(AB81+AB7)-AB36</f>
        <v>-142559.4</v>
      </c>
      <c r="AC83" s="148">
        <f>(AC81+AC7)-AC36</f>
        <v>-319555.62682006386</v>
      </c>
      <c r="AD83" s="70"/>
      <c r="AE83" s="70"/>
      <c r="AF83" s="147">
        <f>(AF81+AF7)-AF36</f>
        <v>1591578.2120000003</v>
      </c>
      <c r="AG83" s="147">
        <f>(AG81+AG7)-AG36</f>
        <v>-183930.11</v>
      </c>
      <c r="AH83" s="148">
        <f>(AH81+AH7)-AH36</f>
        <v>1382577.9321665007</v>
      </c>
      <c r="AI83" s="70"/>
      <c r="AJ83" s="70"/>
      <c r="AK83" s="147">
        <f>(AK81+AK7)-AK36</f>
        <v>1151857.4039999999</v>
      </c>
      <c r="AL83" s="147">
        <f>(AL81+AL7)-AL36</f>
        <v>-272700.98</v>
      </c>
      <c r="AM83" s="148">
        <f>(AM81+AM7)-AM36</f>
        <v>841241.51211843092</v>
      </c>
      <c r="AN83" s="70"/>
      <c r="AO83" s="643"/>
      <c r="AP83" s="643">
        <f>(AP81+AP7)-AP36</f>
        <v>-637.5</v>
      </c>
      <c r="AQ83" s="643">
        <f>(AQ81+AQ7)-AQ36</f>
        <v>-28743.25</v>
      </c>
      <c r="AR83" s="643">
        <f>(AR81+AR7)-AR36</f>
        <v>-33419.656151492942</v>
      </c>
      <c r="AS83" s="681"/>
      <c r="AT83" s="701"/>
      <c r="AU83" s="782">
        <f>(AU81+AU7)-AU36</f>
        <v>327647.42399999965</v>
      </c>
      <c r="AV83" s="643">
        <f>(AV81+AV7)-AV36</f>
        <v>-81747.5</v>
      </c>
      <c r="AW83" s="643">
        <f>(AW81+AW7)-AW36</f>
        <v>234443.67713056348</v>
      </c>
      <c r="AX83" s="681"/>
      <c r="AY83" s="782"/>
      <c r="AZ83" s="782">
        <f>(AZ81+AZ7)-AZ36</f>
        <v>-645426.24195279414</v>
      </c>
      <c r="BA83" s="643">
        <f>(BA81+BA7)-BA36</f>
        <v>-218484.38</v>
      </c>
      <c r="BB83" s="643">
        <f>(BB81+BB7)-BB36</f>
        <v>-987460.33584724518</v>
      </c>
      <c r="BC83" s="681"/>
      <c r="BD83" s="782"/>
      <c r="BE83" s="643">
        <f>(BE81+BE7)-BE36</f>
        <v>0</v>
      </c>
      <c r="BF83" s="643">
        <f>(BF81+BF7)-BF36</f>
        <v>0</v>
      </c>
      <c r="BG83" s="643">
        <f>(BG81+BG7)-BG36</f>
        <v>0</v>
      </c>
      <c r="BH83" s="681"/>
      <c r="BI83" s="701"/>
      <c r="BJ83" s="643">
        <f>(BJ81+BJ7)-BJ36</f>
        <v>-201820.36800000002</v>
      </c>
      <c r="BK83" s="643">
        <f>(BK81+BK7)-BK36</f>
        <v>0</v>
      </c>
      <c r="BL83" s="643">
        <f>(BL81+BL7)-BL36</f>
        <v>-201820.36800000002</v>
      </c>
      <c r="BM83" s="681"/>
      <c r="BN83" s="701"/>
      <c r="BO83" s="679">
        <f>(BO81+BO7)-BO36</f>
        <v>11794944.854447199</v>
      </c>
      <c r="BP83" s="679">
        <f>(BP81+BP7)-BP36</f>
        <v>-3938699.91</v>
      </c>
      <c r="BQ83" s="680">
        <f>(BQ81+BQ7)-BQ36</f>
        <v>7209982.4530602088</v>
      </c>
      <c r="BR83" s="681"/>
      <c r="BS83" s="681"/>
      <c r="BT83" s="842"/>
    </row>
    <row r="84" spans="1:72" s="2" customFormat="1" ht="13.95" customHeight="1" outlineLevel="1" thickBot="1" x14ac:dyDescent="0.3">
      <c r="A84" s="11"/>
      <c r="B84" s="211" t="s">
        <v>14</v>
      </c>
      <c r="C84" s="212">
        <f>C83-C73-C82</f>
        <v>12543994.85</v>
      </c>
      <c r="D84" s="212">
        <f>D83-D73-D82</f>
        <v>-3197078</v>
      </c>
      <c r="E84" s="212">
        <f>E83-E73-E82</f>
        <v>9346916.8499999996</v>
      </c>
      <c r="F84" s="214"/>
      <c r="G84" s="213">
        <f>G83-G73-G82</f>
        <v>5692867.7293999987</v>
      </c>
      <c r="H84" s="213">
        <f>H83-H73-H82</f>
        <v>-1576013.5399999998</v>
      </c>
      <c r="I84" s="213">
        <f>I83-I73-I82</f>
        <v>3901943.2521272697</v>
      </c>
      <c r="J84" s="82"/>
      <c r="K84" s="82"/>
      <c r="L84" s="213">
        <f>L83-L73-L82</f>
        <v>2924447.7459999998</v>
      </c>
      <c r="M84" s="213">
        <f>M83-M73-M82</f>
        <v>-729390.81</v>
      </c>
      <c r="N84" s="213">
        <f>N83-N73-N82</f>
        <v>2086067.504620689</v>
      </c>
      <c r="O84" s="82"/>
      <c r="P84" s="82"/>
      <c r="Q84" s="213">
        <f>Q83-Q73-Q82</f>
        <v>-1191975.3520000002</v>
      </c>
      <c r="R84" s="213">
        <f>R83-R73-R82</f>
        <v>-160733.75</v>
      </c>
      <c r="S84" s="213">
        <f>S83-S73-S82</f>
        <v>-1376318.0035823716</v>
      </c>
      <c r="T84" s="82"/>
      <c r="U84" s="82"/>
      <c r="V84" s="213">
        <f>V83-V73-V82</f>
        <v>2303656.8419999997</v>
      </c>
      <c r="W84" s="213">
        <f>W83-W73-W82</f>
        <v>-544396.19000000006</v>
      </c>
      <c r="X84" s="213">
        <f>X83-X73-X82</f>
        <v>1682282.5652979275</v>
      </c>
      <c r="Y84" s="82"/>
      <c r="Z84" s="82"/>
      <c r="AA84" s="589">
        <f>AA83-AA73-AA82</f>
        <v>-157251.041</v>
      </c>
      <c r="AB84" s="589">
        <f>AB83-AB73-AB82</f>
        <v>-142559.4</v>
      </c>
      <c r="AC84" s="213">
        <f>AC83-AC73-AC82</f>
        <v>-319555.62682006386</v>
      </c>
      <c r="AD84" s="82"/>
      <c r="AE84" s="82"/>
      <c r="AF84" s="589">
        <f>AF83-AF73-AF82</f>
        <v>1591578.2120000003</v>
      </c>
      <c r="AG84" s="589">
        <f>AG83-AG73-AG82</f>
        <v>-183930.11</v>
      </c>
      <c r="AH84" s="213">
        <f>AH83-AH73-AH82</f>
        <v>1382577.9321665007</v>
      </c>
      <c r="AI84" s="82"/>
      <c r="AJ84" s="82"/>
      <c r="AK84" s="589">
        <f>AK83-AK73-AK82</f>
        <v>1151857.4039999999</v>
      </c>
      <c r="AL84" s="589">
        <f>AL83-AL73-AL82</f>
        <v>-272700.98</v>
      </c>
      <c r="AM84" s="213">
        <f>AM83-AM73-AM82</f>
        <v>841241.51211843092</v>
      </c>
      <c r="AN84" s="82"/>
      <c r="AO84" s="773"/>
      <c r="AP84" s="537">
        <f>AP83-AP73-AP82</f>
        <v>-637.5</v>
      </c>
      <c r="AQ84" s="537">
        <f>AQ83-AQ73-AQ82</f>
        <v>-28743.25</v>
      </c>
      <c r="AR84" s="773">
        <f>AR83-AR73-AR82</f>
        <v>-33419.656151492942</v>
      </c>
      <c r="AS84" s="537"/>
      <c r="AT84" s="702"/>
      <c r="AU84" s="702">
        <f>AU83-AU73-AU82</f>
        <v>327647.42399999965</v>
      </c>
      <c r="AV84" s="537">
        <f>AV83-AV73-AV82</f>
        <v>-81747.5</v>
      </c>
      <c r="AW84" s="773">
        <f>AW83-AW73-AW82</f>
        <v>234443.67713056348</v>
      </c>
      <c r="AX84" s="537"/>
      <c r="AY84" s="702"/>
      <c r="AZ84" s="702">
        <f>AZ83-AZ73-AZ82</f>
        <v>-645426.24195279414</v>
      </c>
      <c r="BA84" s="537">
        <f>BA83-BA73-BA82</f>
        <v>-218484.38</v>
      </c>
      <c r="BB84" s="773">
        <f>BB83-BB73-BB82</f>
        <v>-987460.33584724518</v>
      </c>
      <c r="BC84" s="537"/>
      <c r="BD84" s="911"/>
      <c r="BE84" s="537">
        <f>BE83-BE73-BE82</f>
        <v>0</v>
      </c>
      <c r="BF84" s="537">
        <f>BF83-BF73-BF82</f>
        <v>0</v>
      </c>
      <c r="BG84" s="773">
        <f>BG83-BG73-BG82</f>
        <v>0</v>
      </c>
      <c r="BH84" s="537"/>
      <c r="BI84" s="702"/>
      <c r="BJ84" s="537">
        <f>BJ83-BJ73-BJ82</f>
        <v>-201820.36800000002</v>
      </c>
      <c r="BK84" s="537">
        <f>BK83-BK73-BK82</f>
        <v>0</v>
      </c>
      <c r="BL84" s="773">
        <f>BL83-BL73-BL82</f>
        <v>-201820.36800000002</v>
      </c>
      <c r="BM84" s="537"/>
      <c r="BN84" s="702"/>
      <c r="BO84" s="562">
        <f>BO83-BO73-BO82</f>
        <v>11794944.854447199</v>
      </c>
      <c r="BP84" s="562">
        <f>BP83-BP73-BP82</f>
        <v>-3938699.91</v>
      </c>
      <c r="BQ84" s="562">
        <f>BQ83-BQ73-BQ82</f>
        <v>7209982.4530602088</v>
      </c>
      <c r="BR84" s="537"/>
      <c r="BS84" s="537"/>
      <c r="BT84" s="842"/>
    </row>
    <row r="85" spans="1:72" s="2" customFormat="1" ht="13.8" outlineLevel="3" x14ac:dyDescent="0.25">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807"/>
      <c r="AP85" s="798"/>
      <c r="AQ85" s="642"/>
      <c r="AR85" s="772">
        <f>AP85+AQ85*1.15</f>
        <v>0</v>
      </c>
      <c r="AS85" s="798"/>
      <c r="AT85" s="642"/>
      <c r="AU85" s="642"/>
      <c r="AV85" s="642"/>
      <c r="AW85" s="772">
        <f>AU85+AV85*1.15</f>
        <v>0</v>
      </c>
      <c r="AX85" s="798"/>
      <c r="AY85" s="642"/>
      <c r="AZ85" s="642"/>
      <c r="BA85" s="642"/>
      <c r="BB85" s="772">
        <f>AZ85+BA85*1.15</f>
        <v>0</v>
      </c>
      <c r="BC85" s="798"/>
      <c r="BD85" s="772"/>
      <c r="BE85" s="798"/>
      <c r="BF85" s="642"/>
      <c r="BG85" s="772">
        <f>BE85+BF85*1.15</f>
        <v>0</v>
      </c>
      <c r="BH85" s="798"/>
      <c r="BI85" s="642"/>
      <c r="BJ85" s="798"/>
      <c r="BK85" s="642"/>
      <c r="BL85" s="772">
        <f>BJ85+BK85*1.15</f>
        <v>0</v>
      </c>
      <c r="BM85" s="798"/>
      <c r="BN85" s="642"/>
      <c r="BO85" s="560">
        <f>G85+L85</f>
        <v>0</v>
      </c>
      <c r="BP85" s="452">
        <f>H85+M85</f>
        <v>0</v>
      </c>
      <c r="BQ85" s="484">
        <f>BO85+BP85*1.15</f>
        <v>0</v>
      </c>
      <c r="BR85" s="566"/>
      <c r="BS85" s="566"/>
      <c r="BT85" s="842"/>
    </row>
    <row r="86" spans="1:72" s="2" customFormat="1" ht="27.6" x14ac:dyDescent="0.25">
      <c r="A86" s="11"/>
      <c r="B86" s="37" t="s">
        <v>50</v>
      </c>
      <c r="C86" s="149">
        <f>C84-C85</f>
        <v>12543994.85</v>
      </c>
      <c r="D86" s="149">
        <f>D84-D85</f>
        <v>-3197078</v>
      </c>
      <c r="E86" s="150">
        <f>E84-E85</f>
        <v>9346916.8499999996</v>
      </c>
      <c r="F86" s="175"/>
      <c r="G86" s="149">
        <f>G84-G85</f>
        <v>5692867.7293999987</v>
      </c>
      <c r="H86" s="149">
        <f>H84-H85</f>
        <v>-1576013.5399999998</v>
      </c>
      <c r="I86" s="150">
        <f>I84-I85</f>
        <v>3901943.2521272697</v>
      </c>
      <c r="J86" s="73"/>
      <c r="K86" s="73"/>
      <c r="L86" s="150">
        <f>L84-L85</f>
        <v>2924447.7459999998</v>
      </c>
      <c r="M86" s="150">
        <f>M84-M85</f>
        <v>-729390.81</v>
      </c>
      <c r="N86" s="150">
        <f>N84-N85</f>
        <v>2086067.504620689</v>
      </c>
      <c r="O86" s="73"/>
      <c r="P86" s="73"/>
      <c r="Q86" s="150">
        <f>Q84-Q85</f>
        <v>-1191975.3520000002</v>
      </c>
      <c r="R86" s="150">
        <f>R84-R85</f>
        <v>-160733.75</v>
      </c>
      <c r="S86" s="150">
        <f>S84-S85</f>
        <v>-1376318.0035823716</v>
      </c>
      <c r="T86" s="73"/>
      <c r="U86" s="73"/>
      <c r="V86" s="150">
        <f>V84-V85</f>
        <v>2303656.8419999997</v>
      </c>
      <c r="W86" s="150">
        <f>W84-W85</f>
        <v>-544396.19000000006</v>
      </c>
      <c r="X86" s="150">
        <f>X84-X85</f>
        <v>1682282.5652979275</v>
      </c>
      <c r="Y86" s="73"/>
      <c r="Z86" s="73"/>
      <c r="AA86" s="150">
        <f>AA84-AA85</f>
        <v>-157251.041</v>
      </c>
      <c r="AB86" s="150">
        <f>AB84-AB85</f>
        <v>-142559.4</v>
      </c>
      <c r="AC86" s="150">
        <f>AC84-AC85</f>
        <v>-319555.62682006386</v>
      </c>
      <c r="AD86" s="73"/>
      <c r="AE86" s="73"/>
      <c r="AF86" s="150">
        <f>AF84-AF85</f>
        <v>1591578.2120000003</v>
      </c>
      <c r="AG86" s="150">
        <f>AG84-AG85</f>
        <v>-183930.11</v>
      </c>
      <c r="AH86" s="150">
        <f>AH84-AH85</f>
        <v>1382577.9321665007</v>
      </c>
      <c r="AI86" s="73"/>
      <c r="AJ86" s="73"/>
      <c r="AK86" s="150">
        <f>AK84-AK85</f>
        <v>1151857.4039999999</v>
      </c>
      <c r="AL86" s="150">
        <f>AL84-AL85</f>
        <v>-272700.98</v>
      </c>
      <c r="AM86" s="150">
        <f>AM84-AM85</f>
        <v>841241.51211843092</v>
      </c>
      <c r="AN86" s="73"/>
      <c r="AO86" s="571"/>
      <c r="AP86" s="538">
        <f>AP84-AP85</f>
        <v>-637.5</v>
      </c>
      <c r="AQ86" s="538">
        <f>AQ84-AQ85</f>
        <v>-28743.25</v>
      </c>
      <c r="AR86" s="571">
        <f>AR84-AR85</f>
        <v>-33419.656151492942</v>
      </c>
      <c r="AS86" s="538"/>
      <c r="AT86" s="703"/>
      <c r="AU86" s="703">
        <f>AU84-AU85</f>
        <v>327647.42399999965</v>
      </c>
      <c r="AV86" s="538">
        <f>AV84-AV85</f>
        <v>-81747.5</v>
      </c>
      <c r="AW86" s="571">
        <f>AW84-AW85</f>
        <v>234443.67713056348</v>
      </c>
      <c r="AX86" s="538"/>
      <c r="AY86" s="703"/>
      <c r="AZ86" s="703">
        <f>AZ84-AZ85</f>
        <v>-645426.24195279414</v>
      </c>
      <c r="BA86" s="538">
        <f>BA84-BA85</f>
        <v>-218484.38</v>
      </c>
      <c r="BB86" s="571">
        <f>BB84-BB85</f>
        <v>-987460.33584724518</v>
      </c>
      <c r="BC86" s="538"/>
      <c r="BD86" s="912"/>
      <c r="BE86" s="538">
        <f>BE84-BE85</f>
        <v>0</v>
      </c>
      <c r="BF86" s="538">
        <f>BF84-BF85</f>
        <v>0</v>
      </c>
      <c r="BG86" s="571">
        <f>BG84-BG85</f>
        <v>0</v>
      </c>
      <c r="BH86" s="538"/>
      <c r="BI86" s="703"/>
      <c r="BJ86" s="538">
        <f>BJ84-BJ85</f>
        <v>-201820.36800000002</v>
      </c>
      <c r="BK86" s="538">
        <f>BK84-BK85</f>
        <v>0</v>
      </c>
      <c r="BL86" s="571">
        <f>BL84-BL85</f>
        <v>-201820.36800000002</v>
      </c>
      <c r="BM86" s="538"/>
      <c r="BN86" s="703"/>
      <c r="BO86" s="569">
        <f>BO84-BO85</f>
        <v>11794944.854447199</v>
      </c>
      <c r="BP86" s="569">
        <f>BP84-BP85</f>
        <v>-3938699.91</v>
      </c>
      <c r="BQ86" s="569">
        <f>BQ84-BQ85</f>
        <v>7209982.4530602088</v>
      </c>
      <c r="BR86" s="538"/>
      <c r="BS86" s="538"/>
      <c r="BT86" s="842"/>
    </row>
    <row r="87" spans="1:72" s="2" customFormat="1" ht="14.4" thickBot="1" x14ac:dyDescent="0.3">
      <c r="A87" s="295"/>
      <c r="B87" s="29" t="s">
        <v>51</v>
      </c>
      <c r="C87" s="155">
        <f>C86/C5</f>
        <v>0.30486914305706053</v>
      </c>
      <c r="D87" s="151" t="e">
        <f>D86/D5</f>
        <v>#DIV/0!</v>
      </c>
      <c r="E87" s="156">
        <f>E86/E5</f>
        <v>0.22716738681418541</v>
      </c>
      <c r="F87" s="176"/>
      <c r="G87" s="155">
        <f>G86/G5</f>
        <v>0.41503192411083406</v>
      </c>
      <c r="H87" s="151" t="e">
        <f>H86/H5</f>
        <v>#DIV/0!</v>
      </c>
      <c r="I87" s="156">
        <f>I86/I5</f>
        <v>0.28446665067209398</v>
      </c>
      <c r="J87" s="75"/>
      <c r="K87" s="75"/>
      <c r="L87" s="155">
        <f>L86/L5</f>
        <v>0.29354459225290208</v>
      </c>
      <c r="M87" s="151" t="e">
        <f>M86/M5</f>
        <v>#DIV/0!</v>
      </c>
      <c r="N87" s="156">
        <f>N86/N5</f>
        <v>0.20939127255512574</v>
      </c>
      <c r="O87" s="75"/>
      <c r="P87" s="75"/>
      <c r="Q87" s="155" t="e">
        <f>Q86/Q5</f>
        <v>#DIV/0!</v>
      </c>
      <c r="R87" s="151" t="e">
        <f>R86/R5</f>
        <v>#DIV/0!</v>
      </c>
      <c r="S87" s="156" t="e">
        <f>S86/S5</f>
        <v>#DIV/0!</v>
      </c>
      <c r="T87" s="75"/>
      <c r="U87" s="75"/>
      <c r="V87" s="155">
        <f>V86/V5</f>
        <v>0.48492652521374674</v>
      </c>
      <c r="W87" s="151" t="e">
        <f>W86/W5</f>
        <v>#DIV/0!</v>
      </c>
      <c r="X87" s="156">
        <f>X86/X5</f>
        <v>0.35412541657434587</v>
      </c>
      <c r="Y87" s="75"/>
      <c r="Z87" s="75"/>
      <c r="AA87" s="155" t="e">
        <f>AA86/AA5</f>
        <v>#DIV/0!</v>
      </c>
      <c r="AB87" s="151" t="e">
        <f>AB86/AB5</f>
        <v>#DIV/0!</v>
      </c>
      <c r="AC87" s="156" t="e">
        <f>AC86/AC5</f>
        <v>#DIV/0!</v>
      </c>
      <c r="AD87" s="75"/>
      <c r="AE87" s="75"/>
      <c r="AF87" s="155">
        <f>AF86/AF5</f>
        <v>0.32902318880343329</v>
      </c>
      <c r="AG87" s="151" t="e">
        <f>AG86/AG5</f>
        <v>#DIV/0!</v>
      </c>
      <c r="AH87" s="156">
        <f>AH86/AH5</f>
        <v>0.28581705666795021</v>
      </c>
      <c r="AI87" s="75"/>
      <c r="AJ87" s="75"/>
      <c r="AK87" s="155">
        <f>AK86/AK5</f>
        <v>0.38475722621434988</v>
      </c>
      <c r="AL87" s="151" t="e">
        <f>AL86/AL5</f>
        <v>#DIV/0!</v>
      </c>
      <c r="AM87" s="156">
        <f>AM86/AM5</f>
        <v>0.28100158027812</v>
      </c>
      <c r="AN87" s="75"/>
      <c r="AO87" s="539"/>
      <c r="AP87" s="539" t="e">
        <f>AP86/AP5</f>
        <v>#DIV/0!</v>
      </c>
      <c r="AQ87" s="539" t="e">
        <f>AQ86/AQ5</f>
        <v>#DIV/0!</v>
      </c>
      <c r="AR87" s="539" t="e">
        <f>AR86/AR5</f>
        <v>#DIV/0!</v>
      </c>
      <c r="AS87" s="576"/>
      <c r="AT87" s="820"/>
      <c r="AU87" s="783">
        <f>AU86/AU5</f>
        <v>0.1561408930423851</v>
      </c>
      <c r="AV87" s="539" t="e">
        <f>AV86/AV5</f>
        <v>#DIV/0!</v>
      </c>
      <c r="AW87" s="539">
        <f>AW86/AW5</f>
        <v>0.1117245015035028</v>
      </c>
      <c r="AX87" s="576"/>
      <c r="AY87" s="783"/>
      <c r="AZ87" s="783">
        <f>AZ86/AZ5</f>
        <v>-14.031005259843351</v>
      </c>
      <c r="BA87" s="539" t="e">
        <f>BA86/BA5</f>
        <v>#DIV/0!</v>
      </c>
      <c r="BB87" s="539">
        <f>BB86/BB5</f>
        <v>-21.466529040157504</v>
      </c>
      <c r="BC87" s="576"/>
      <c r="BD87" s="783"/>
      <c r="BE87" s="539" t="e">
        <f>BE86/BE5</f>
        <v>#DIV/0!</v>
      </c>
      <c r="BF87" s="539" t="e">
        <f>BF86/BF5</f>
        <v>#DIV/0!</v>
      </c>
      <c r="BG87" s="539" t="e">
        <f>BG86/BG5</f>
        <v>#DIV/0!</v>
      </c>
      <c r="BH87" s="576"/>
      <c r="BI87" s="820"/>
      <c r="BJ87" s="539" t="e">
        <f>BJ86/BJ5</f>
        <v>#DIV/0!</v>
      </c>
      <c r="BK87" s="539" t="e">
        <f>BK86/BK5</f>
        <v>#DIV/0!</v>
      </c>
      <c r="BL87" s="539" t="e">
        <f>BL86/BL5</f>
        <v>#DIV/0!</v>
      </c>
      <c r="BM87" s="576"/>
      <c r="BN87" s="820"/>
      <c r="BO87" s="573">
        <f>BO86/BO5</f>
        <v>0.30711862521987143</v>
      </c>
      <c r="BP87" s="574" t="e">
        <f>BP86/BP5</f>
        <v>#DIV/0!</v>
      </c>
      <c r="BQ87" s="575">
        <f>BQ86/BQ5</f>
        <v>0.18773465464811853</v>
      </c>
      <c r="BR87" s="576"/>
      <c r="BS87" s="576"/>
      <c r="BT87" s="842"/>
    </row>
    <row r="88" spans="1:72" ht="13.8" x14ac:dyDescent="0.25">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928"/>
    </row>
    <row r="89" spans="1:72" x14ac:dyDescent="0.25">
      <c r="B89" s="221" t="s">
        <v>56</v>
      </c>
      <c r="C89" s="153"/>
      <c r="D89" s="153"/>
      <c r="E89" s="154">
        <f>E8+E36+E41+E50+E54+E73+E79+E82+E85</f>
        <v>31798588.149999999</v>
      </c>
      <c r="F89" s="189"/>
      <c r="I89" s="154">
        <f>I8+I36+I41+I50+I54+I73+I79+I82+I85</f>
        <v>9814755.1478727292</v>
      </c>
      <c r="N89" s="154">
        <f>N8+N36+N41+N50+N54+N73+N79+N82+N85</f>
        <v>7876465.6953793103</v>
      </c>
      <c r="S89" s="154">
        <f>S8+S36+S41+S50+S54+S73+S79+S82+S85</f>
        <v>1376318.0035823716</v>
      </c>
      <c r="X89" s="154">
        <f>X8+X36+X41+X50+X54+X73+X79+X82+X85</f>
        <v>3068245.0347020719</v>
      </c>
      <c r="AC89" s="154">
        <f>AC8+AC36+AC41+AC50+AC54+AC73+AC79+AC82+AC85</f>
        <v>319555.62682006386</v>
      </c>
      <c r="AH89" s="154">
        <f>AH8+AH36+AH41+AH50+AH54+AH73+AH79+AH82+AH85</f>
        <v>3454704.8678334989</v>
      </c>
      <c r="AM89" s="154">
        <f>AM8+AM36+AM41+AM50+AM54+AM73+AM79+AM82+AM85</f>
        <v>2152483.6878815694</v>
      </c>
      <c r="AR89" s="154">
        <f>AR8+AR36+AR41+AR50+AR54+AR73+AR79+AR82+AR85</f>
        <v>33419.656151492942</v>
      </c>
      <c r="AW89" s="154">
        <f>AW8+AW36+AW41+AW50+AW54+AW73+AW79+AW82+AW85</f>
        <v>1863965.1228694364</v>
      </c>
      <c r="BB89" s="154">
        <f>BB8+BB36+BB41+BB50+BB54+BB73+BB79+BB82+BB85</f>
        <v>1033460.3358472452</v>
      </c>
      <c r="BG89" s="154">
        <f>BG8+BG36+BG41+BG50+BG54+BG73+BG79+BG82+BG85</f>
        <v>0</v>
      </c>
      <c r="BL89" s="154">
        <f>BL8+BL36+BL41+BL50+BL54+BL73+BL79+BL82+BL85</f>
        <v>201820.36800000002</v>
      </c>
      <c r="BQ89" s="392">
        <f>BQ8+BQ36+BQ41+BQ50+BQ54+BQ73+BQ79+BQ82+BQ85</f>
        <v>31195193.546939783</v>
      </c>
      <c r="BT89" s="928"/>
    </row>
    <row r="90" spans="1:72" x14ac:dyDescent="0.25">
      <c r="C90" s="153"/>
      <c r="D90" s="153"/>
      <c r="E90" s="153"/>
      <c r="BQ90" s="393" t="b">
        <f>(N89+I89+S89+X89+AC89+AH89+AM89+AR89+AW89+BB89+BG89+BL89)=BQ89</f>
        <v>1</v>
      </c>
    </row>
    <row r="91" spans="1:72" s="2" customFormat="1" x14ac:dyDescent="0.25">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O91" s="38"/>
      <c r="BP91" s="38"/>
      <c r="BQ91" s="38"/>
      <c r="BR91" s="38"/>
      <c r="BS91" s="38"/>
    </row>
    <row r="92" spans="1:72" x14ac:dyDescent="0.25">
      <c r="C92" s="38"/>
      <c r="D92" s="38"/>
    </row>
    <row r="93" spans="1:72" s="2" customFormat="1" x14ac:dyDescent="0.25">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38"/>
      <c r="BM93" s="38"/>
      <c r="BN93" s="38"/>
      <c r="BO93" s="38"/>
      <c r="BP93" s="38"/>
      <c r="BQ93" s="38"/>
      <c r="BR93" s="38"/>
      <c r="BS93" s="38"/>
    </row>
    <row r="94" spans="1:72" s="2" customFormat="1" x14ac:dyDescent="0.25">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38"/>
      <c r="AG94" s="38"/>
      <c r="AH94" s="687">
        <f>AH5-AH89</f>
        <v>1382577.9321665009</v>
      </c>
      <c r="AI94" s="38"/>
      <c r="AJ94" s="38"/>
      <c r="AK94" s="38"/>
      <c r="AL94" s="38"/>
      <c r="AM94" s="687">
        <f>AM5-AM89</f>
        <v>841241.51211843081</v>
      </c>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687">
        <f>BL5-BL89</f>
        <v>-201820.36800000002</v>
      </c>
      <c r="BM94" s="38"/>
      <c r="BN94" s="38"/>
      <c r="BO94" s="626"/>
      <c r="BP94" s="38"/>
      <c r="BQ94" s="687">
        <f>BQ5-BQ89</f>
        <v>7209982.4530602098</v>
      </c>
      <c r="BR94" s="38"/>
      <c r="BS94" s="38"/>
    </row>
    <row r="95" spans="1:72" s="2" customFormat="1" x14ac:dyDescent="0.25">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O95" s="38"/>
      <c r="BP95" s="38"/>
      <c r="BQ95" s="38"/>
      <c r="BR95" s="38"/>
      <c r="BS95" s="38"/>
    </row>
    <row r="96" spans="1:72" s="2" customFormat="1" x14ac:dyDescent="0.25">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row>
    <row r="97" spans="1:71" x14ac:dyDescent="0.25">
      <c r="C97" s="38"/>
      <c r="D97" s="38"/>
    </row>
    <row r="98" spans="1:71"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row>
    <row r="99" spans="1:71" x14ac:dyDescent="0.25">
      <c r="C99" s="38"/>
      <c r="D99" s="38"/>
    </row>
  </sheetData>
  <mergeCells count="16">
    <mergeCell ref="BO2:BR3"/>
    <mergeCell ref="A42:A48"/>
    <mergeCell ref="A2:F2"/>
    <mergeCell ref="G2:K3"/>
    <mergeCell ref="A3:F3"/>
    <mergeCell ref="L2:O3"/>
    <mergeCell ref="Q2:T3"/>
    <mergeCell ref="V2:Y3"/>
    <mergeCell ref="AA2:AD3"/>
    <mergeCell ref="AF2:AI3"/>
    <mergeCell ref="AK2:AN3"/>
    <mergeCell ref="AP2:AS3"/>
    <mergeCell ref="AU2:AY3"/>
    <mergeCell ref="AZ2:BD3"/>
    <mergeCell ref="BE2:BI3"/>
    <mergeCell ref="BJ2:BN3"/>
  </mergeCells>
  <pageMargins left="0.39370078740157483" right="0.19685039370078741" top="0.19685039370078741" bottom="0.19685039370078741" header="0.11811023622047245" footer="0.11811023622047245"/>
  <pageSetup paperSize="9" scale="47" orientation="portrait" horizontalDpi="4294967295" verticalDpi="4294967295"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pageSetUpPr fitToPage="1"/>
  </sheetPr>
  <dimension ref="A1:AZ99"/>
  <sheetViews>
    <sheetView showZeros="0" zoomScale="70" zoomScaleNormal="70" workbookViewId="0">
      <pane xSplit="6" ySplit="5" topLeftCell="AN57"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1" x14ac:dyDescent="0.25"/>
  <cols>
    <col min="1" max="1" width="5.5546875" style="1417" customWidth="1"/>
    <col min="2" max="2" width="55" style="1417" customWidth="1"/>
    <col min="3" max="3" width="16.44140625" style="1474" customWidth="1"/>
    <col min="4" max="4" width="16.6640625" style="1474" customWidth="1"/>
    <col min="5" max="5" width="16.33203125" style="1446" customWidth="1"/>
    <col min="6" max="6" width="9.5546875" style="1446" customWidth="1"/>
    <col min="7" max="7" width="27.33203125" style="1446" hidden="1" customWidth="1" outlineLevel="1"/>
    <col min="8" max="8" width="13.88671875" style="1446" hidden="1" customWidth="1" outlineLevel="1"/>
    <col min="9" max="9" width="13.5546875" style="1446" hidden="1" customWidth="1" outlineLevel="1"/>
    <col min="10" max="11" width="9.5546875" style="1446" hidden="1" customWidth="1" outlineLevel="1"/>
    <col min="12" max="12" width="15.33203125" style="1446" hidden="1" customWidth="1" outlineLevel="1"/>
    <col min="13" max="13" width="14.109375" style="1446" hidden="1" customWidth="1" outlineLevel="1"/>
    <col min="14" max="14" width="18.109375" style="1446" hidden="1" customWidth="1" outlineLevel="1"/>
    <col min="15" max="15" width="11.6640625" style="1446" hidden="1" customWidth="1" outlineLevel="1"/>
    <col min="16" max="16" width="52" style="1446" hidden="1" customWidth="1" outlineLevel="1"/>
    <col min="17" max="17" width="15.33203125" style="1446" hidden="1" customWidth="1" outlineLevel="1"/>
    <col min="18" max="18" width="14.109375" style="1446" hidden="1" customWidth="1" outlineLevel="1"/>
    <col min="19" max="19" width="18.109375" style="1446" hidden="1" customWidth="1" outlineLevel="1"/>
    <col min="20" max="20" width="11.6640625" style="1446" hidden="1" customWidth="1" outlineLevel="1"/>
    <col min="21" max="21" width="50.33203125" style="1446" hidden="1" customWidth="1" outlineLevel="1"/>
    <col min="22" max="22" width="19.44140625" style="1446" hidden="1" customWidth="1" outlineLevel="1" collapsed="1"/>
    <col min="23" max="23" width="16.6640625" style="1446" hidden="1" customWidth="1" outlineLevel="1"/>
    <col min="24" max="24" width="17.6640625" style="1446" hidden="1" customWidth="1" outlineLevel="1"/>
    <col min="25" max="25" width="12.5546875" style="1446" hidden="1" customWidth="1" outlineLevel="1"/>
    <col min="26" max="26" width="29.6640625" style="1446" hidden="1" customWidth="1" outlineLevel="1"/>
    <col min="27" max="28" width="16.44140625" style="1446" hidden="1" customWidth="1" outlineLevel="1"/>
    <col min="29" max="29" width="16.109375" style="1446" hidden="1" customWidth="1" outlineLevel="1"/>
    <col min="30" max="30" width="11.88671875" style="1446" hidden="1" customWidth="1" outlineLevel="1"/>
    <col min="31" max="31" width="29.6640625" style="1446" hidden="1" customWidth="1" outlineLevel="1"/>
    <col min="32" max="33" width="16.44140625" style="1446" hidden="1" customWidth="1" outlineLevel="1"/>
    <col min="34" max="34" width="16.109375" style="1446" hidden="1" customWidth="1" outlineLevel="1"/>
    <col min="35" max="35" width="11.33203125" style="1446" hidden="1" customWidth="1" outlineLevel="1"/>
    <col min="36" max="36" width="29.6640625" style="1446" hidden="1" customWidth="1" outlineLevel="1"/>
    <col min="37" max="37" width="18.88671875" style="1446" hidden="1" customWidth="1" outlineLevel="1"/>
    <col min="38" max="38" width="19.33203125" style="1446" hidden="1" customWidth="1" outlineLevel="1"/>
    <col min="39" max="39" width="18.109375" style="1446" hidden="1" customWidth="1" outlineLevel="1"/>
    <col min="40" max="40" width="17" style="1446" hidden="1" customWidth="1" outlineLevel="1"/>
    <col min="41" max="41" width="29.6640625" style="1446" hidden="1" customWidth="1" outlineLevel="1"/>
    <col min="42" max="42" width="22.33203125" style="1446" hidden="1" customWidth="1" outlineLevel="1"/>
    <col min="43" max="43" width="17.88671875" style="1446" hidden="1" customWidth="1" outlineLevel="1"/>
    <col min="44" max="44" width="17.33203125" style="1446" hidden="1" customWidth="1" outlineLevel="1"/>
    <col min="45" max="45" width="14.109375" style="1446" hidden="1" customWidth="1" outlineLevel="1"/>
    <col min="46" max="46" width="29.6640625" style="1446" hidden="1" customWidth="1" outlineLevel="1"/>
    <col min="47" max="47" width="18" style="1446" customWidth="1" collapsed="1"/>
    <col min="48" max="48" width="17.88671875" style="1446" customWidth="1"/>
    <col min="49" max="49" width="16.44140625" style="1446" bestFit="1" customWidth="1"/>
    <col min="50" max="50" width="17.109375" style="1446" customWidth="1"/>
    <col min="51" max="51" width="37.44140625" style="1446" customWidth="1"/>
    <col min="52" max="16384" width="7.44140625" style="1410"/>
  </cols>
  <sheetData>
    <row r="1" spans="1:52" ht="13.8" thickBot="1" x14ac:dyDescent="0.3">
      <c r="C1" s="1446"/>
      <c r="D1" s="1446"/>
    </row>
    <row r="2" spans="1:52" ht="22.2" customHeight="1" x14ac:dyDescent="0.25">
      <c r="A2" s="4016" t="s">
        <v>910</v>
      </c>
      <c r="B2" s="4017"/>
      <c r="C2" s="4017"/>
      <c r="D2" s="4017"/>
      <c r="E2" s="4017"/>
      <c r="F2" s="4018"/>
      <c r="G2" s="4191" t="s">
        <v>969</v>
      </c>
      <c r="H2" s="4192"/>
      <c r="I2" s="4192"/>
      <c r="J2" s="4192"/>
      <c r="K2" s="4193"/>
      <c r="L2" s="4019" t="s">
        <v>964</v>
      </c>
      <c r="M2" s="4020"/>
      <c r="N2" s="4020"/>
      <c r="O2" s="4020"/>
      <c r="P2" s="4041"/>
      <c r="Q2" s="4140" t="s">
        <v>1015</v>
      </c>
      <c r="R2" s="4141"/>
      <c r="S2" s="4141"/>
      <c r="T2" s="4141"/>
      <c r="U2" s="4142"/>
      <c r="V2" s="4185" t="s">
        <v>1079</v>
      </c>
      <c r="W2" s="4186"/>
      <c r="X2" s="4186"/>
      <c r="Y2" s="4186"/>
      <c r="Z2" s="4187"/>
      <c r="AA2" s="4172" t="s">
        <v>1161</v>
      </c>
      <c r="AB2" s="4173"/>
      <c r="AC2" s="4173"/>
      <c r="AD2" s="4173"/>
      <c r="AE2" s="4174"/>
      <c r="AF2" s="4071" t="s">
        <v>1303</v>
      </c>
      <c r="AG2" s="4072"/>
      <c r="AH2" s="4072"/>
      <c r="AI2" s="4072"/>
      <c r="AJ2" s="4073"/>
      <c r="AK2" s="4077" t="s">
        <v>1383</v>
      </c>
      <c r="AL2" s="4078"/>
      <c r="AM2" s="4078"/>
      <c r="AN2" s="4078"/>
      <c r="AO2" s="4079"/>
      <c r="AP2" s="4047" t="s">
        <v>1470</v>
      </c>
      <c r="AQ2" s="4048"/>
      <c r="AR2" s="4048"/>
      <c r="AS2" s="4048"/>
      <c r="AT2" s="4049"/>
      <c r="AU2" s="4212" t="s">
        <v>469</v>
      </c>
      <c r="AV2" s="4213"/>
      <c r="AW2" s="4213"/>
      <c r="AX2" s="4213"/>
      <c r="AY2" s="1603"/>
    </row>
    <row r="3" spans="1:52" ht="14.4" customHeight="1" thickBot="1" x14ac:dyDescent="0.3">
      <c r="A3" s="4035" t="s">
        <v>54</v>
      </c>
      <c r="B3" s="4036"/>
      <c r="C3" s="4036"/>
      <c r="D3" s="4036"/>
      <c r="E3" s="4036"/>
      <c r="F3" s="4037"/>
      <c r="G3" s="4194"/>
      <c r="H3" s="4195"/>
      <c r="I3" s="4195"/>
      <c r="J3" s="4195"/>
      <c r="K3" s="4196"/>
      <c r="L3" s="4021"/>
      <c r="M3" s="4022"/>
      <c r="N3" s="4022"/>
      <c r="O3" s="4022"/>
      <c r="P3" s="4042"/>
      <c r="Q3" s="4143"/>
      <c r="R3" s="4144"/>
      <c r="S3" s="4144"/>
      <c r="T3" s="4144"/>
      <c r="U3" s="4145"/>
      <c r="V3" s="4188"/>
      <c r="W3" s="4189"/>
      <c r="X3" s="4189"/>
      <c r="Y3" s="4189"/>
      <c r="Z3" s="4190"/>
      <c r="AA3" s="4175"/>
      <c r="AB3" s="4176"/>
      <c r="AC3" s="4176"/>
      <c r="AD3" s="4176"/>
      <c r="AE3" s="4177"/>
      <c r="AF3" s="4074"/>
      <c r="AG3" s="4075"/>
      <c r="AH3" s="4075"/>
      <c r="AI3" s="4075"/>
      <c r="AJ3" s="4076"/>
      <c r="AK3" s="4080"/>
      <c r="AL3" s="4081"/>
      <c r="AM3" s="4081"/>
      <c r="AN3" s="4081"/>
      <c r="AO3" s="4082"/>
      <c r="AP3" s="4050"/>
      <c r="AQ3" s="4051"/>
      <c r="AR3" s="4051"/>
      <c r="AS3" s="4051"/>
      <c r="AT3" s="4052"/>
      <c r="AU3" s="4214"/>
      <c r="AV3" s="4215"/>
      <c r="AW3" s="4215"/>
      <c r="AX3" s="4215"/>
      <c r="AY3" s="1604"/>
    </row>
    <row r="4" spans="1:52" ht="41.4" thickBot="1" x14ac:dyDescent="0.3">
      <c r="A4" s="1486"/>
      <c r="B4" s="1487" t="s">
        <v>11</v>
      </c>
      <c r="C4" s="1588" t="s">
        <v>55</v>
      </c>
      <c r="D4" s="1588" t="s">
        <v>18</v>
      </c>
      <c r="E4" s="1589" t="s">
        <v>39</v>
      </c>
      <c r="F4" s="1566" t="s">
        <v>40</v>
      </c>
      <c r="G4" s="1590" t="s">
        <v>968</v>
      </c>
      <c r="H4" s="1590" t="s">
        <v>18</v>
      </c>
      <c r="I4" s="1590" t="s">
        <v>39</v>
      </c>
      <c r="J4" s="1590" t="s">
        <v>40</v>
      </c>
      <c r="K4" s="1566" t="s">
        <v>19</v>
      </c>
      <c r="L4" s="1488" t="s">
        <v>55</v>
      </c>
      <c r="M4" s="1488" t="s">
        <v>18</v>
      </c>
      <c r="N4" s="1489" t="s">
        <v>39</v>
      </c>
      <c r="O4" s="1566" t="s">
        <v>40</v>
      </c>
      <c r="P4" s="1489" t="s">
        <v>19</v>
      </c>
      <c r="Q4" s="1488" t="s">
        <v>55</v>
      </c>
      <c r="R4" s="1488" t="s">
        <v>18</v>
      </c>
      <c r="S4" s="1489" t="s">
        <v>39</v>
      </c>
      <c r="T4" s="1566" t="s">
        <v>40</v>
      </c>
      <c r="U4" s="1489" t="s">
        <v>19</v>
      </c>
      <c r="V4" s="1488" t="s">
        <v>55</v>
      </c>
      <c r="W4" s="1488" t="s">
        <v>18</v>
      </c>
      <c r="X4" s="1489" t="s">
        <v>39</v>
      </c>
      <c r="Y4" s="1566" t="s">
        <v>40</v>
      </c>
      <c r="Z4" s="1489" t="s">
        <v>19</v>
      </c>
      <c r="AA4" s="1488" t="s">
        <v>55</v>
      </c>
      <c r="AB4" s="1488" t="s">
        <v>18</v>
      </c>
      <c r="AC4" s="1489" t="s">
        <v>39</v>
      </c>
      <c r="AD4" s="1566" t="s">
        <v>40</v>
      </c>
      <c r="AE4" s="1489" t="s">
        <v>19</v>
      </c>
      <c r="AF4" s="1488" t="s">
        <v>55</v>
      </c>
      <c r="AG4" s="1488" t="s">
        <v>18</v>
      </c>
      <c r="AH4" s="1489" t="s">
        <v>39</v>
      </c>
      <c r="AI4" s="1566" t="s">
        <v>40</v>
      </c>
      <c r="AJ4" s="1489" t="s">
        <v>19</v>
      </c>
      <c r="AK4" s="1488" t="s">
        <v>55</v>
      </c>
      <c r="AL4" s="1488" t="s">
        <v>18</v>
      </c>
      <c r="AM4" s="1489" t="s">
        <v>39</v>
      </c>
      <c r="AN4" s="1566" t="s">
        <v>40</v>
      </c>
      <c r="AO4" s="1489" t="s">
        <v>19</v>
      </c>
      <c r="AP4" s="1488" t="s">
        <v>55</v>
      </c>
      <c r="AQ4" s="1488" t="s">
        <v>18</v>
      </c>
      <c r="AR4" s="1489" t="s">
        <v>39</v>
      </c>
      <c r="AS4" s="1566" t="s">
        <v>40</v>
      </c>
      <c r="AT4" s="1489" t="s">
        <v>19</v>
      </c>
      <c r="AU4" s="1488" t="s">
        <v>55</v>
      </c>
      <c r="AV4" s="1488" t="s">
        <v>18</v>
      </c>
      <c r="AW4" s="1489" t="s">
        <v>39</v>
      </c>
      <c r="AX4" s="1566" t="s">
        <v>40</v>
      </c>
      <c r="AY4" s="1489" t="s">
        <v>19</v>
      </c>
    </row>
    <row r="5" spans="1:52" s="1482" customFormat="1" ht="14.4" thickBot="1" x14ac:dyDescent="0.3">
      <c r="A5" s="1477"/>
      <c r="B5" s="1478" t="s">
        <v>10</v>
      </c>
      <c r="C5" s="1479">
        <f>C6</f>
        <v>16835260</v>
      </c>
      <c r="D5" s="1479">
        <f>D6</f>
        <v>0</v>
      </c>
      <c r="E5" s="1480">
        <f>E6</f>
        <v>16835260</v>
      </c>
      <c r="F5" s="1481"/>
      <c r="G5" s="1480">
        <v>17308552.189999998</v>
      </c>
      <c r="H5" s="1481">
        <v>0</v>
      </c>
      <c r="I5" s="1481">
        <v>17308552.189999998</v>
      </c>
      <c r="J5" s="1481"/>
      <c r="K5" s="1481"/>
      <c r="L5" s="1480">
        <f>L6</f>
        <v>1824058.5</v>
      </c>
      <c r="M5" s="1481">
        <f>M6</f>
        <v>0</v>
      </c>
      <c r="N5" s="1481">
        <f>N6</f>
        <v>1824058.5</v>
      </c>
      <c r="O5" s="1481"/>
      <c r="P5" s="1481"/>
      <c r="Q5" s="1481">
        <f>Q6</f>
        <v>0</v>
      </c>
      <c r="R5" s="1481">
        <f>R6</f>
        <v>0</v>
      </c>
      <c r="S5" s="1481">
        <f>S6</f>
        <v>0</v>
      </c>
      <c r="T5" s="1481"/>
      <c r="U5" s="1481"/>
      <c r="V5" s="1481">
        <f>V6+V7</f>
        <v>0</v>
      </c>
      <c r="W5" s="1481">
        <f>W6+W7</f>
        <v>0</v>
      </c>
      <c r="X5" s="1481">
        <f>X6+X7</f>
        <v>0</v>
      </c>
      <c r="Y5" s="1481"/>
      <c r="Z5" s="1481"/>
      <c r="AA5" s="1481">
        <f>AA6+AA7</f>
        <v>0</v>
      </c>
      <c r="AB5" s="1481">
        <f>AB6+AB7</f>
        <v>0</v>
      </c>
      <c r="AC5" s="1481">
        <f>AC6+AC7</f>
        <v>0</v>
      </c>
      <c r="AD5" s="1481"/>
      <c r="AE5" s="1481"/>
      <c r="AF5" s="1481">
        <f>AF6+AF7</f>
        <v>1188021.99</v>
      </c>
      <c r="AG5" s="1481">
        <f>AG6+AG7</f>
        <v>0</v>
      </c>
      <c r="AH5" s="1481">
        <f>AH6+AH7</f>
        <v>1188021.99</v>
      </c>
      <c r="AI5" s="1481"/>
      <c r="AJ5" s="1481"/>
      <c r="AK5" s="1481">
        <f>AK6+AK7</f>
        <v>0</v>
      </c>
      <c r="AL5" s="1481">
        <f>AL6+AL7</f>
        <v>0</v>
      </c>
      <c r="AM5" s="1481">
        <f>AM6+AM7</f>
        <v>0</v>
      </c>
      <c r="AN5" s="1481"/>
      <c r="AO5" s="1481"/>
      <c r="AP5" s="1481">
        <f>AP6+AP7</f>
        <v>0</v>
      </c>
      <c r="AQ5" s="1481">
        <f>AQ6+AQ7</f>
        <v>0</v>
      </c>
      <c r="AR5" s="1481">
        <f>AR6+AR7</f>
        <v>0</v>
      </c>
      <c r="AS5" s="1481"/>
      <c r="AT5" s="1481"/>
      <c r="AU5" s="1481">
        <f>AU6+AU7</f>
        <v>20320632.679999996</v>
      </c>
      <c r="AV5" s="1481">
        <f>AV6+AV7</f>
        <v>0</v>
      </c>
      <c r="AW5" s="1481">
        <f>AW6+AW7</f>
        <v>20320632.679999996</v>
      </c>
      <c r="AX5" s="1481"/>
      <c r="AY5" s="1481"/>
    </row>
    <row r="6" spans="1:52" s="1411" customFormat="1" ht="27.6" outlineLevel="1" x14ac:dyDescent="0.25">
      <c r="A6" s="1587"/>
      <c r="B6" s="1418" t="s">
        <v>17</v>
      </c>
      <c r="C6" s="1493">
        <v>16835260</v>
      </c>
      <c r="D6" s="1494"/>
      <c r="E6" s="1495">
        <f>C6+D6</f>
        <v>16835260</v>
      </c>
      <c r="F6" s="1447"/>
      <c r="G6" s="1659">
        <v>17308552.189999998</v>
      </c>
      <c r="H6" s="1447">
        <v>0</v>
      </c>
      <c r="I6" s="1447">
        <v>17308552.189999998</v>
      </c>
      <c r="J6" s="1447"/>
      <c r="K6" s="1652"/>
      <c r="L6" s="1659">
        <v>1824058.5</v>
      </c>
      <c r="M6" s="1447"/>
      <c r="N6" s="1495">
        <f>L6+M6</f>
        <v>1824058.5</v>
      </c>
      <c r="O6" s="1447"/>
      <c r="P6" s="1741" t="s">
        <v>1057</v>
      </c>
      <c r="Q6" s="1693"/>
      <c r="R6" s="1447"/>
      <c r="S6" s="1495">
        <f>Q6+R6</f>
        <v>0</v>
      </c>
      <c r="T6" s="1447"/>
      <c r="U6" s="1741"/>
      <c r="V6" s="1447"/>
      <c r="W6" s="1447"/>
      <c r="X6" s="1495">
        <f>V6+W6</f>
        <v>0</v>
      </c>
      <c r="Y6" s="1447"/>
      <c r="Z6" s="1447"/>
      <c r="AA6" s="1447"/>
      <c r="AB6" s="1447"/>
      <c r="AC6" s="1495">
        <f>AA6+AB6</f>
        <v>0</v>
      </c>
      <c r="AD6" s="1447"/>
      <c r="AE6" s="1447"/>
      <c r="AF6" s="1447">
        <v>1188021.99</v>
      </c>
      <c r="AG6" s="1447"/>
      <c r="AH6" s="1495">
        <f>AF6+AG6</f>
        <v>1188021.99</v>
      </c>
      <c r="AI6" s="1447"/>
      <c r="AJ6" s="1764" t="s">
        <v>1518</v>
      </c>
      <c r="AK6" s="1447"/>
      <c r="AL6" s="1447"/>
      <c r="AM6" s="1495">
        <f>AK6+AL6</f>
        <v>0</v>
      </c>
      <c r="AN6" s="1447"/>
      <c r="AO6" s="1447"/>
      <c r="AP6" s="1447"/>
      <c r="AQ6" s="1447"/>
      <c r="AR6" s="1495">
        <f>AP6+AQ6</f>
        <v>0</v>
      </c>
      <c r="AS6" s="1447"/>
      <c r="AT6" s="1447"/>
      <c r="AU6" s="1447">
        <f>G6+L6+Q6+V6+AA6+AF6+AK6+AP6</f>
        <v>20320632.679999996</v>
      </c>
      <c r="AV6" s="1447">
        <f>H6+M6+R6+W6+AB6+AG6+AL6+AQ6</f>
        <v>0</v>
      </c>
      <c r="AW6" s="1495">
        <f>AU6+AV6</f>
        <v>20320632.679999996</v>
      </c>
      <c r="AX6" s="1447"/>
      <c r="AY6" s="1447"/>
      <c r="AZ6" s="1680"/>
    </row>
    <row r="7" spans="1:52" s="1411" customFormat="1" ht="33.6" customHeight="1" outlineLevel="1" collapsed="1" thickBot="1" x14ac:dyDescent="0.3">
      <c r="A7" s="1587"/>
      <c r="B7" s="1419" t="s">
        <v>41</v>
      </c>
      <c r="C7" s="1496"/>
      <c r="D7" s="1497"/>
      <c r="E7" s="1668">
        <f>C7+D7</f>
        <v>0</v>
      </c>
      <c r="F7" s="1448"/>
      <c r="G7" s="1662">
        <v>0</v>
      </c>
      <c r="H7" s="1651">
        <v>0</v>
      </c>
      <c r="I7" s="1651">
        <v>0</v>
      </c>
      <c r="J7" s="1651"/>
      <c r="K7" s="1651"/>
      <c r="L7" s="1651"/>
      <c r="M7" s="1651"/>
      <c r="N7" s="1668">
        <f>L7+M7</f>
        <v>0</v>
      </c>
      <c r="O7" s="1448"/>
      <c r="P7" s="1691"/>
      <c r="Q7" s="1655"/>
      <c r="R7" s="1651"/>
      <c r="S7" s="1668">
        <f>Q7+R7</f>
        <v>0</v>
      </c>
      <c r="T7" s="1448"/>
      <c r="U7" s="1448"/>
      <c r="V7" s="1651"/>
      <c r="W7" s="1651"/>
      <c r="X7" s="1668">
        <f>V7+W7</f>
        <v>0</v>
      </c>
      <c r="Y7" s="1448"/>
      <c r="Z7" s="1448"/>
      <c r="AA7" s="1651"/>
      <c r="AB7" s="1651"/>
      <c r="AC7" s="1668">
        <f>AA7+AB7</f>
        <v>0</v>
      </c>
      <c r="AD7" s="1448"/>
      <c r="AE7" s="1448"/>
      <c r="AF7" s="1651"/>
      <c r="AG7" s="1651"/>
      <c r="AH7" s="1668">
        <f>AF7+AG7</f>
        <v>0</v>
      </c>
      <c r="AI7" s="1448"/>
      <c r="AJ7" s="1448"/>
      <c r="AK7" s="1651"/>
      <c r="AL7" s="1651"/>
      <c r="AM7" s="1668">
        <f>AK7+AL7</f>
        <v>0</v>
      </c>
      <c r="AN7" s="1448"/>
      <c r="AO7" s="1448"/>
      <c r="AP7" s="1651"/>
      <c r="AQ7" s="1651"/>
      <c r="AR7" s="1668">
        <f>AP7+AQ7</f>
        <v>0</v>
      </c>
      <c r="AS7" s="1921"/>
      <c r="AT7" s="1921"/>
      <c r="AU7" s="1447">
        <f>G7+L7+Q7+V7+AA7+AF7+AK7+AP7</f>
        <v>0</v>
      </c>
      <c r="AV7" s="1447">
        <f>H7+M7+R7+W7+AB7+AG7+AL7+AQ7</f>
        <v>0</v>
      </c>
      <c r="AW7" s="1495">
        <f>AU7+AV7</f>
        <v>0</v>
      </c>
      <c r="AX7" s="1448"/>
      <c r="AY7" s="1448"/>
    </row>
    <row r="8" spans="1:52" s="1482" customFormat="1" ht="33" customHeight="1" outlineLevel="1" thickBot="1" x14ac:dyDescent="0.3">
      <c r="A8" s="1587"/>
      <c r="B8" s="1688" t="s">
        <v>16</v>
      </c>
      <c r="C8" s="1498">
        <f>SUM(C9:C33)</f>
        <v>7595195</v>
      </c>
      <c r="D8" s="1498">
        <f>SUM(D9:D33)</f>
        <v>3069265</v>
      </c>
      <c r="E8" s="1499">
        <f>SUM(E9:E33)</f>
        <v>10664460</v>
      </c>
      <c r="F8" s="1543">
        <f t="shared" ref="F8:F21" si="0">E8/$E$89</f>
        <v>0.90250337408640713</v>
      </c>
      <c r="G8" s="1498">
        <v>8684331.8379999977</v>
      </c>
      <c r="H8" s="1498">
        <v>4662599.3900000006</v>
      </c>
      <c r="I8" s="1499">
        <v>13346931.228</v>
      </c>
      <c r="J8" s="1591">
        <v>0.94213993178767275</v>
      </c>
      <c r="K8" s="1543"/>
      <c r="L8" s="1498">
        <f>SUM(L9:L33)</f>
        <v>934.5</v>
      </c>
      <c r="M8" s="1498">
        <f>SUM(M9:M33)</f>
        <v>0</v>
      </c>
      <c r="N8" s="1499">
        <f>SUM(N9:N33)</f>
        <v>934.5</v>
      </c>
      <c r="O8" s="1543">
        <f>N8/$N$89</f>
        <v>1</v>
      </c>
      <c r="P8" s="1481"/>
      <c r="Q8" s="1694">
        <f>SUM(Q9:Q33)</f>
        <v>0</v>
      </c>
      <c r="R8" s="1498">
        <f>SUM(R9:R33)</f>
        <v>0</v>
      </c>
      <c r="S8" s="1499">
        <f>SUM(S9:S33)</f>
        <v>0</v>
      </c>
      <c r="T8" s="1543" t="e">
        <f>S8/$S$89</f>
        <v>#DIV/0!</v>
      </c>
      <c r="U8" s="1481"/>
      <c r="V8" s="1498">
        <f>SUM(V9:V33)</f>
        <v>6091.079999999999</v>
      </c>
      <c r="W8" s="1498">
        <f>SUM(W9:W33)</f>
        <v>0</v>
      </c>
      <c r="X8" s="1499">
        <f>SUM(X9:X33)</f>
        <v>6091.079999999999</v>
      </c>
      <c r="Y8" s="1543">
        <f>X8/$X$89</f>
        <v>1</v>
      </c>
      <c r="Z8" s="1481"/>
      <c r="AA8" s="1498">
        <f>SUM(AA9:AA33)</f>
        <v>0</v>
      </c>
      <c r="AB8" s="1498">
        <f>SUM(AB9:AB33)</f>
        <v>0</v>
      </c>
      <c r="AC8" s="1499">
        <f>SUM(AC9:AC33)</f>
        <v>0</v>
      </c>
      <c r="AD8" s="1543" t="e">
        <f>AC8/$AC$89</f>
        <v>#DIV/0!</v>
      </c>
      <c r="AE8" s="1481"/>
      <c r="AF8" s="1498">
        <f>SUM(AF9:AF33)</f>
        <v>0</v>
      </c>
      <c r="AG8" s="1498">
        <f>SUM(AG9:AG33)</f>
        <v>0</v>
      </c>
      <c r="AH8" s="1499">
        <f>SUM(AH9:AH33)</f>
        <v>0</v>
      </c>
      <c r="AI8" s="1543" t="e">
        <f>AH8/$AH$89</f>
        <v>#DIV/0!</v>
      </c>
      <c r="AJ8" s="1481"/>
      <c r="AK8" s="1498">
        <f>SUM(AK9:AK33)</f>
        <v>0</v>
      </c>
      <c r="AL8" s="1498">
        <f>SUM(AL9:AL33)</f>
        <v>0</v>
      </c>
      <c r="AM8" s="1499">
        <f>SUM(AM9:AM33)</f>
        <v>0</v>
      </c>
      <c r="AN8" s="1543" t="e">
        <f t="shared" ref="AN8:AN32" si="1">AM8/$AM$89</f>
        <v>#DIV/0!</v>
      </c>
      <c r="AO8" s="1481"/>
      <c r="AP8" s="1498">
        <f>SUM(AP9:AP33)</f>
        <v>1225506.6599999999</v>
      </c>
      <c r="AQ8" s="1498">
        <f>SUM(AQ9:AQ33)</f>
        <v>0</v>
      </c>
      <c r="AR8" s="1499">
        <f>SUM(AR9:AR33)</f>
        <v>1225506.6599999999</v>
      </c>
      <c r="AS8" s="1543">
        <f>AR8/$AR$89</f>
        <v>1</v>
      </c>
      <c r="AT8" s="1481"/>
      <c r="AU8" s="1498">
        <f>SUM(AU9:AU33)</f>
        <v>9916864.0779999979</v>
      </c>
      <c r="AV8" s="1498">
        <f>SUM(AV9:AV33)</f>
        <v>4662599.3900000006</v>
      </c>
      <c r="AW8" s="1499">
        <f>SUM(AW9:AW33)</f>
        <v>14579463.467999998</v>
      </c>
      <c r="AX8" s="1543">
        <f>AW8/$AW$89</f>
        <v>0.94677099417506083</v>
      </c>
      <c r="AY8" s="1481"/>
    </row>
    <row r="9" spans="1:52" s="1411" customFormat="1" ht="92.4" customHeight="1" outlineLevel="2" x14ac:dyDescent="0.25">
      <c r="A9" s="1587"/>
      <c r="B9" s="1637" t="s">
        <v>74</v>
      </c>
      <c r="C9" s="1638"/>
      <c r="D9" s="1525">
        <v>30000</v>
      </c>
      <c r="E9" s="1575">
        <f>C9+D9</f>
        <v>30000</v>
      </c>
      <c r="F9" s="1574">
        <f t="shared" si="0"/>
        <v>2.5388159571691593E-3</v>
      </c>
      <c r="G9" s="1659">
        <v>72022.17</v>
      </c>
      <c r="H9" s="1447">
        <v>29643</v>
      </c>
      <c r="I9" s="1567">
        <v>101665.17</v>
      </c>
      <c r="J9" s="1574">
        <v>7.1763924375397364E-3</v>
      </c>
      <c r="K9" s="1574"/>
      <c r="L9" s="1639"/>
      <c r="M9" s="1639"/>
      <c r="N9" s="1576">
        <f>L9+M9*1</f>
        <v>0</v>
      </c>
      <c r="O9" s="1574">
        <f>N9/$N$89</f>
        <v>0</v>
      </c>
      <c r="P9" s="1709"/>
      <c r="Q9" s="1639"/>
      <c r="R9" s="1639"/>
      <c r="S9" s="1576">
        <f>Q9+R9*1</f>
        <v>0</v>
      </c>
      <c r="T9" s="1574" t="e">
        <f t="shared" ref="T9:T71" si="2">S9/$S$89</f>
        <v>#DIV/0!</v>
      </c>
      <c r="U9" s="1709"/>
      <c r="V9" s="1639"/>
      <c r="W9" s="1639"/>
      <c r="X9" s="1576">
        <f>V9+W9*1</f>
        <v>0</v>
      </c>
      <c r="Y9" s="1574">
        <f>X9/$X$89</f>
        <v>0</v>
      </c>
      <c r="Z9" s="1709"/>
      <c r="AA9" s="1639"/>
      <c r="AB9" s="1639"/>
      <c r="AC9" s="1576">
        <f>AA9+AB9*1</f>
        <v>0</v>
      </c>
      <c r="AD9" s="1574" t="e">
        <f t="shared" ref="AD9:AD71" si="3">AC9/$AC$89</f>
        <v>#DIV/0!</v>
      </c>
      <c r="AE9" s="1709"/>
      <c r="AF9" s="1639"/>
      <c r="AG9" s="1639"/>
      <c r="AH9" s="1576">
        <f>AF9+AG9*1</f>
        <v>0</v>
      </c>
      <c r="AI9" s="1574" t="e">
        <f t="shared" ref="AI9:AI33" si="4">AH9/$AH$89</f>
        <v>#DIV/0!</v>
      </c>
      <c r="AJ9" s="1709"/>
      <c r="AK9" s="1639"/>
      <c r="AL9" s="1639"/>
      <c r="AM9" s="1576">
        <f>AK9+AL9*1</f>
        <v>0</v>
      </c>
      <c r="AN9" s="1574" t="e">
        <f t="shared" si="1"/>
        <v>#DIV/0!</v>
      </c>
      <c r="AO9" s="1709"/>
      <c r="AP9" s="1639"/>
      <c r="AQ9" s="1639"/>
      <c r="AR9" s="1576">
        <f>AP9+AQ9*1</f>
        <v>0</v>
      </c>
      <c r="AS9" s="1574">
        <f t="shared" ref="AS9:AS33" si="5">AR9/$AR$89</f>
        <v>0</v>
      </c>
      <c r="AT9" s="1709"/>
      <c r="AU9" s="1447">
        <f t="shared" ref="AU9:AV26" si="6">G9+L9+Q9+V9+AA9+AF9+AK9+AP9</f>
        <v>72022.17</v>
      </c>
      <c r="AV9" s="1447">
        <f t="shared" si="6"/>
        <v>29643</v>
      </c>
      <c r="AW9" s="1575">
        <f t="shared" ref="AW9:AW33" si="7">AU9+AV9</f>
        <v>101665.17</v>
      </c>
      <c r="AX9" s="1574">
        <f>AW9/$AW$89</f>
        <v>6.6020011151398409E-3</v>
      </c>
      <c r="AY9" s="1595"/>
    </row>
    <row r="10" spans="1:52" s="1411" customFormat="1" ht="37.200000000000003" customHeight="1" outlineLevel="2" x14ac:dyDescent="0.25">
      <c r="A10" s="1587"/>
      <c r="B10" s="1439" t="s">
        <v>72</v>
      </c>
      <c r="C10" s="1500"/>
      <c r="D10" s="1501"/>
      <c r="E10" s="1495">
        <f t="shared" ref="E10:E33" si="8">C10+D10</f>
        <v>0</v>
      </c>
      <c r="F10" s="1554">
        <f t="shared" si="0"/>
        <v>0</v>
      </c>
      <c r="G10" s="1659">
        <v>23368.940000000006</v>
      </c>
      <c r="H10" s="1447">
        <v>0</v>
      </c>
      <c r="I10" s="1567">
        <v>23368.940000000006</v>
      </c>
      <c r="J10" s="1554">
        <v>1.6495785556579494E-3</v>
      </c>
      <c r="K10" s="1554"/>
      <c r="L10" s="1447"/>
      <c r="M10" s="1447"/>
      <c r="N10" s="1567">
        <f t="shared" ref="N10:N22" si="9">L10+M10*1</f>
        <v>0</v>
      </c>
      <c r="O10" s="1555">
        <f t="shared" ref="O10:O33" si="10">N10/$N$89</f>
        <v>0</v>
      </c>
      <c r="P10" s="1605"/>
      <c r="Q10" s="1447"/>
      <c r="R10" s="1447"/>
      <c r="S10" s="1567">
        <f t="shared" ref="S10:S22" si="11">Q10+R10*1</f>
        <v>0</v>
      </c>
      <c r="T10" s="1555" t="e">
        <f t="shared" si="2"/>
        <v>#DIV/0!</v>
      </c>
      <c r="U10" s="1605"/>
      <c r="V10" s="1447"/>
      <c r="W10" s="1447"/>
      <c r="X10" s="1567">
        <f t="shared" ref="X10:X22" si="12">V10+W10*1</f>
        <v>0</v>
      </c>
      <c r="Y10" s="1555">
        <f t="shared" ref="Y10:Y33" si="13">X10/$X$89</f>
        <v>0</v>
      </c>
      <c r="Z10" s="1605"/>
      <c r="AA10" s="1447"/>
      <c r="AB10" s="1447"/>
      <c r="AC10" s="1567">
        <f t="shared" ref="AC10:AC22" si="14">AA10+AB10*1</f>
        <v>0</v>
      </c>
      <c r="AD10" s="1555" t="e">
        <f t="shared" si="3"/>
        <v>#DIV/0!</v>
      </c>
      <c r="AE10" s="1605"/>
      <c r="AF10" s="1447"/>
      <c r="AG10" s="1447"/>
      <c r="AH10" s="1567">
        <f t="shared" ref="AH10:AH22" si="15">AF10+AG10*1</f>
        <v>0</v>
      </c>
      <c r="AI10" s="1555" t="e">
        <f t="shared" si="4"/>
        <v>#DIV/0!</v>
      </c>
      <c r="AJ10" s="1605"/>
      <c r="AK10" s="1447"/>
      <c r="AL10" s="1447"/>
      <c r="AM10" s="1567">
        <f t="shared" ref="AM10:AM22" si="16">AK10+AL10*1</f>
        <v>0</v>
      </c>
      <c r="AN10" s="1555" t="e">
        <f t="shared" si="1"/>
        <v>#DIV/0!</v>
      </c>
      <c r="AO10" s="1605"/>
      <c r="AP10" s="1447"/>
      <c r="AQ10" s="1447"/>
      <c r="AR10" s="1567">
        <f t="shared" ref="AR10:AR22" si="17">AP10+AQ10*1</f>
        <v>0</v>
      </c>
      <c r="AS10" s="1893">
        <f t="shared" si="5"/>
        <v>0</v>
      </c>
      <c r="AT10" s="1605"/>
      <c r="AU10" s="1447">
        <f t="shared" si="6"/>
        <v>23368.940000000006</v>
      </c>
      <c r="AV10" s="1447">
        <f t="shared" si="6"/>
        <v>0</v>
      </c>
      <c r="AW10" s="1495">
        <f t="shared" si="7"/>
        <v>23368.940000000006</v>
      </c>
      <c r="AX10" s="1555">
        <f t="shared" ref="AX10:AX21" si="18">AW10/$AW$89</f>
        <v>1.5175479265872086E-3</v>
      </c>
      <c r="AY10" s="1449"/>
    </row>
    <row r="11" spans="1:52" s="1411" customFormat="1" ht="30.6" customHeight="1" outlineLevel="2" x14ac:dyDescent="0.25">
      <c r="A11" s="1587"/>
      <c r="B11" s="1439" t="s">
        <v>69</v>
      </c>
      <c r="C11" s="1500"/>
      <c r="D11" s="1501"/>
      <c r="E11" s="1495">
        <f t="shared" si="8"/>
        <v>0</v>
      </c>
      <c r="F11" s="1554">
        <f t="shared" si="0"/>
        <v>0</v>
      </c>
      <c r="G11" s="1659">
        <v>26342.260000000002</v>
      </c>
      <c r="H11" s="1447">
        <v>0</v>
      </c>
      <c r="I11" s="1567">
        <v>26342.260000000002</v>
      </c>
      <c r="J11" s="1554">
        <v>1.8594607715868229E-3</v>
      </c>
      <c r="K11" s="1554"/>
      <c r="L11" s="1447"/>
      <c r="M11" s="1447"/>
      <c r="N11" s="1567">
        <f t="shared" si="9"/>
        <v>0</v>
      </c>
      <c r="O11" s="1555">
        <f t="shared" si="10"/>
        <v>0</v>
      </c>
      <c r="P11" s="1605"/>
      <c r="Q11" s="1447"/>
      <c r="R11" s="1447"/>
      <c r="S11" s="1567">
        <f t="shared" si="11"/>
        <v>0</v>
      </c>
      <c r="T11" s="1555" t="e">
        <f t="shared" si="2"/>
        <v>#DIV/0!</v>
      </c>
      <c r="U11" s="1605"/>
      <c r="V11" s="1447"/>
      <c r="W11" s="1447"/>
      <c r="X11" s="1567">
        <f t="shared" si="12"/>
        <v>0</v>
      </c>
      <c r="Y11" s="1555">
        <f t="shared" si="13"/>
        <v>0</v>
      </c>
      <c r="Z11" s="1605"/>
      <c r="AA11" s="1447"/>
      <c r="AB11" s="1447"/>
      <c r="AC11" s="1567">
        <f t="shared" si="14"/>
        <v>0</v>
      </c>
      <c r="AD11" s="1555" t="e">
        <f t="shared" si="3"/>
        <v>#DIV/0!</v>
      </c>
      <c r="AE11" s="1605"/>
      <c r="AF11" s="1447"/>
      <c r="AG11" s="1447"/>
      <c r="AH11" s="1567">
        <f t="shared" si="15"/>
        <v>0</v>
      </c>
      <c r="AI11" s="1555" t="e">
        <f t="shared" si="4"/>
        <v>#DIV/0!</v>
      </c>
      <c r="AJ11" s="1605"/>
      <c r="AK11" s="1447"/>
      <c r="AL11" s="1447"/>
      <c r="AM11" s="1567">
        <f t="shared" si="16"/>
        <v>0</v>
      </c>
      <c r="AN11" s="1555" t="e">
        <f t="shared" si="1"/>
        <v>#DIV/0!</v>
      </c>
      <c r="AO11" s="1605"/>
      <c r="AP11" s="1447"/>
      <c r="AQ11" s="1447"/>
      <c r="AR11" s="1567">
        <f t="shared" si="17"/>
        <v>0</v>
      </c>
      <c r="AS11" s="1893">
        <f t="shared" si="5"/>
        <v>0</v>
      </c>
      <c r="AT11" s="1605"/>
      <c r="AU11" s="1447">
        <f t="shared" si="6"/>
        <v>26342.260000000002</v>
      </c>
      <c r="AV11" s="1447">
        <f t="shared" si="6"/>
        <v>0</v>
      </c>
      <c r="AW11" s="1495">
        <f t="shared" si="7"/>
        <v>26342.260000000002</v>
      </c>
      <c r="AX11" s="1555">
        <f t="shared" si="18"/>
        <v>1.7106313784288527E-3</v>
      </c>
      <c r="AY11" s="1449"/>
    </row>
    <row r="12" spans="1:52" s="1411" customFormat="1" ht="45.6" customHeight="1" outlineLevel="2" x14ac:dyDescent="0.25">
      <c r="A12" s="1587"/>
      <c r="B12" s="1439" t="s">
        <v>73</v>
      </c>
      <c r="C12" s="1500">
        <v>97600</v>
      </c>
      <c r="D12" s="1501">
        <v>126400</v>
      </c>
      <c r="E12" s="1495">
        <f t="shared" si="8"/>
        <v>224000</v>
      </c>
      <c r="F12" s="1554">
        <f t="shared" si="0"/>
        <v>1.8956492480196388E-2</v>
      </c>
      <c r="G12" s="1659">
        <v>54271.07</v>
      </c>
      <c r="H12" s="1447">
        <v>129148.48000000001</v>
      </c>
      <c r="I12" s="1567">
        <v>183419.55000000002</v>
      </c>
      <c r="J12" s="1554">
        <v>1.2947311960595174E-2</v>
      </c>
      <c r="K12" s="1554"/>
      <c r="L12" s="1447"/>
      <c r="M12" s="1447"/>
      <c r="N12" s="1567">
        <f t="shared" si="9"/>
        <v>0</v>
      </c>
      <c r="O12" s="1555">
        <f t="shared" si="10"/>
        <v>0</v>
      </c>
      <c r="P12" s="1605"/>
      <c r="Q12" s="1447"/>
      <c r="R12" s="1447"/>
      <c r="S12" s="1567">
        <f t="shared" si="11"/>
        <v>0</v>
      </c>
      <c r="T12" s="1555" t="e">
        <f t="shared" si="2"/>
        <v>#DIV/0!</v>
      </c>
      <c r="U12" s="1605"/>
      <c r="V12" s="1447"/>
      <c r="W12" s="1447"/>
      <c r="X12" s="1567">
        <f t="shared" si="12"/>
        <v>0</v>
      </c>
      <c r="Y12" s="1555">
        <f t="shared" si="13"/>
        <v>0</v>
      </c>
      <c r="Z12" s="1605"/>
      <c r="AA12" s="1447"/>
      <c r="AB12" s="1447"/>
      <c r="AC12" s="1567">
        <f t="shared" si="14"/>
        <v>0</v>
      </c>
      <c r="AD12" s="1555" t="e">
        <f t="shared" si="3"/>
        <v>#DIV/0!</v>
      </c>
      <c r="AE12" s="1605"/>
      <c r="AF12" s="1447"/>
      <c r="AG12" s="1447"/>
      <c r="AH12" s="1567">
        <f t="shared" si="15"/>
        <v>0</v>
      </c>
      <c r="AI12" s="1555" t="e">
        <f t="shared" si="4"/>
        <v>#DIV/0!</v>
      </c>
      <c r="AJ12" s="1605"/>
      <c r="AK12" s="1447"/>
      <c r="AL12" s="1447"/>
      <c r="AM12" s="1567">
        <f t="shared" si="16"/>
        <v>0</v>
      </c>
      <c r="AN12" s="1555" t="e">
        <f t="shared" si="1"/>
        <v>#DIV/0!</v>
      </c>
      <c r="AO12" s="1605"/>
      <c r="AP12" s="1447"/>
      <c r="AQ12" s="1447"/>
      <c r="AR12" s="1567">
        <f t="shared" si="17"/>
        <v>0</v>
      </c>
      <c r="AS12" s="1893">
        <f t="shared" si="5"/>
        <v>0</v>
      </c>
      <c r="AT12" s="1605"/>
      <c r="AU12" s="1447">
        <f t="shared" si="6"/>
        <v>54271.07</v>
      </c>
      <c r="AV12" s="1447">
        <f t="shared" si="6"/>
        <v>129148.48000000001</v>
      </c>
      <c r="AW12" s="1495">
        <f t="shared" si="7"/>
        <v>183419.55000000002</v>
      </c>
      <c r="AX12" s="1555">
        <f t="shared" si="18"/>
        <v>1.1911021971816385E-2</v>
      </c>
      <c r="AY12" s="1449"/>
    </row>
    <row r="13" spans="1:52" s="1411" customFormat="1" ht="54" customHeight="1" outlineLevel="2" x14ac:dyDescent="0.25">
      <c r="A13" s="1587"/>
      <c r="B13" s="1439" t="s">
        <v>71</v>
      </c>
      <c r="C13" s="1500">
        <v>19032</v>
      </c>
      <c r="D13" s="1501"/>
      <c r="E13" s="1495">
        <f t="shared" si="8"/>
        <v>19032</v>
      </c>
      <c r="F13" s="1554">
        <f t="shared" si="0"/>
        <v>1.6106248432281147E-3</v>
      </c>
      <c r="G13" s="1659">
        <v>15928.68</v>
      </c>
      <c r="H13" s="1447">
        <v>0</v>
      </c>
      <c r="I13" s="1567">
        <v>15928.68</v>
      </c>
      <c r="J13" s="1554">
        <v>1.1243817198357162E-3</v>
      </c>
      <c r="K13" s="1554"/>
      <c r="L13" s="1447"/>
      <c r="M13" s="1447"/>
      <c r="N13" s="1567">
        <f t="shared" si="9"/>
        <v>0</v>
      </c>
      <c r="O13" s="1555">
        <f t="shared" si="10"/>
        <v>0</v>
      </c>
      <c r="P13" s="1605"/>
      <c r="Q13" s="1447"/>
      <c r="R13" s="1447"/>
      <c r="S13" s="1567">
        <f t="shared" si="11"/>
        <v>0</v>
      </c>
      <c r="T13" s="1555" t="e">
        <f t="shared" si="2"/>
        <v>#DIV/0!</v>
      </c>
      <c r="U13" s="1605"/>
      <c r="V13" s="1447"/>
      <c r="W13" s="1447"/>
      <c r="X13" s="1567">
        <f t="shared" si="12"/>
        <v>0</v>
      </c>
      <c r="Y13" s="1555">
        <f t="shared" si="13"/>
        <v>0</v>
      </c>
      <c r="Z13" s="1605"/>
      <c r="AA13" s="1447"/>
      <c r="AB13" s="1447"/>
      <c r="AC13" s="1567">
        <f t="shared" si="14"/>
        <v>0</v>
      </c>
      <c r="AD13" s="1555" t="e">
        <f t="shared" si="3"/>
        <v>#DIV/0!</v>
      </c>
      <c r="AE13" s="1605"/>
      <c r="AF13" s="1447"/>
      <c r="AG13" s="1447"/>
      <c r="AH13" s="1567">
        <f t="shared" si="15"/>
        <v>0</v>
      </c>
      <c r="AI13" s="1555" t="e">
        <f t="shared" si="4"/>
        <v>#DIV/0!</v>
      </c>
      <c r="AJ13" s="1605"/>
      <c r="AK13" s="1447"/>
      <c r="AL13" s="1447"/>
      <c r="AM13" s="1567">
        <f t="shared" si="16"/>
        <v>0</v>
      </c>
      <c r="AN13" s="1555" t="e">
        <f t="shared" si="1"/>
        <v>#DIV/0!</v>
      </c>
      <c r="AO13" s="1605"/>
      <c r="AP13" s="1447"/>
      <c r="AQ13" s="1447"/>
      <c r="AR13" s="1567">
        <f t="shared" si="17"/>
        <v>0</v>
      </c>
      <c r="AS13" s="1893">
        <f t="shared" si="5"/>
        <v>0</v>
      </c>
      <c r="AT13" s="1605"/>
      <c r="AU13" s="1447">
        <f t="shared" si="6"/>
        <v>15928.68</v>
      </c>
      <c r="AV13" s="1447">
        <f t="shared" si="6"/>
        <v>0</v>
      </c>
      <c r="AW13" s="1495">
        <f t="shared" si="7"/>
        <v>15928.68</v>
      </c>
      <c r="AX13" s="1555">
        <f t="shared" si="18"/>
        <v>1.0343873238268888E-3</v>
      </c>
      <c r="AY13" s="1449"/>
    </row>
    <row r="14" spans="1:52" s="1411" customFormat="1" ht="14.4" customHeight="1" outlineLevel="2" x14ac:dyDescent="0.25">
      <c r="A14" s="1587"/>
      <c r="B14" s="1439" t="s">
        <v>70</v>
      </c>
      <c r="C14" s="1500">
        <v>24696</v>
      </c>
      <c r="D14" s="1501"/>
      <c r="E14" s="1495">
        <f t="shared" si="8"/>
        <v>24696</v>
      </c>
      <c r="F14" s="1554">
        <f t="shared" si="0"/>
        <v>2.0899532959416521E-3</v>
      </c>
      <c r="G14" s="1659">
        <v>17970.810000000001</v>
      </c>
      <c r="H14" s="1447">
        <v>0</v>
      </c>
      <c r="I14" s="1567">
        <v>17970.810000000001</v>
      </c>
      <c r="J14" s="1554">
        <v>1.2685326250914002E-3</v>
      </c>
      <c r="K14" s="1554"/>
      <c r="L14" s="1447"/>
      <c r="M14" s="1447"/>
      <c r="N14" s="1567">
        <f t="shared" si="9"/>
        <v>0</v>
      </c>
      <c r="O14" s="1555">
        <f t="shared" si="10"/>
        <v>0</v>
      </c>
      <c r="P14" s="1605"/>
      <c r="Q14" s="1447"/>
      <c r="R14" s="1447"/>
      <c r="S14" s="1567">
        <f t="shared" si="11"/>
        <v>0</v>
      </c>
      <c r="T14" s="1555" t="e">
        <f t="shared" si="2"/>
        <v>#DIV/0!</v>
      </c>
      <c r="U14" s="1605"/>
      <c r="V14" s="1447"/>
      <c r="W14" s="1447"/>
      <c r="X14" s="1567">
        <f t="shared" si="12"/>
        <v>0</v>
      </c>
      <c r="Y14" s="1555">
        <f t="shared" si="13"/>
        <v>0</v>
      </c>
      <c r="Z14" s="1605"/>
      <c r="AA14" s="1447"/>
      <c r="AB14" s="1447"/>
      <c r="AC14" s="1567">
        <f t="shared" si="14"/>
        <v>0</v>
      </c>
      <c r="AD14" s="1555" t="e">
        <f t="shared" si="3"/>
        <v>#DIV/0!</v>
      </c>
      <c r="AE14" s="1605"/>
      <c r="AF14" s="1447"/>
      <c r="AG14" s="1447"/>
      <c r="AH14" s="1567">
        <f t="shared" si="15"/>
        <v>0</v>
      </c>
      <c r="AI14" s="1555" t="e">
        <f t="shared" si="4"/>
        <v>#DIV/0!</v>
      </c>
      <c r="AJ14" s="1605"/>
      <c r="AK14" s="1447"/>
      <c r="AL14" s="1447"/>
      <c r="AM14" s="1567">
        <f t="shared" si="16"/>
        <v>0</v>
      </c>
      <c r="AN14" s="1555" t="e">
        <f t="shared" si="1"/>
        <v>#DIV/0!</v>
      </c>
      <c r="AO14" s="1605"/>
      <c r="AP14" s="1447"/>
      <c r="AQ14" s="1447"/>
      <c r="AR14" s="1567">
        <f t="shared" si="17"/>
        <v>0</v>
      </c>
      <c r="AS14" s="1893">
        <f t="shared" si="5"/>
        <v>0</v>
      </c>
      <c r="AT14" s="1605"/>
      <c r="AU14" s="1447">
        <f t="shared" si="6"/>
        <v>17970.810000000001</v>
      </c>
      <c r="AV14" s="1447">
        <f t="shared" si="6"/>
        <v>0</v>
      </c>
      <c r="AW14" s="1495">
        <f t="shared" si="7"/>
        <v>17970.810000000001</v>
      </c>
      <c r="AX14" s="1555">
        <f t="shared" si="18"/>
        <v>1.1670005338108049E-3</v>
      </c>
      <c r="AY14" s="1449"/>
    </row>
    <row r="15" spans="1:52" s="1411" customFormat="1" ht="14.4" customHeight="1" outlineLevel="2" x14ac:dyDescent="0.25">
      <c r="A15" s="1587"/>
      <c r="B15" s="1416" t="s">
        <v>20</v>
      </c>
      <c r="C15" s="1500"/>
      <c r="D15" s="1502">
        <v>70000</v>
      </c>
      <c r="E15" s="1495">
        <f t="shared" si="8"/>
        <v>70000</v>
      </c>
      <c r="F15" s="1554">
        <f t="shared" si="0"/>
        <v>5.9239039000613712E-3</v>
      </c>
      <c r="G15" s="1659">
        <v>0</v>
      </c>
      <c r="H15" s="1447">
        <v>17220</v>
      </c>
      <c r="I15" s="1567">
        <v>17220</v>
      </c>
      <c r="J15" s="1554">
        <v>1.215534069086141E-3</v>
      </c>
      <c r="K15" s="1554"/>
      <c r="L15" s="1447"/>
      <c r="M15" s="1447"/>
      <c r="N15" s="1567">
        <f t="shared" si="9"/>
        <v>0</v>
      </c>
      <c r="O15" s="1555">
        <f t="shared" si="10"/>
        <v>0</v>
      </c>
      <c r="P15" s="1605"/>
      <c r="Q15" s="1447"/>
      <c r="R15" s="1447"/>
      <c r="S15" s="1567">
        <f t="shared" si="11"/>
        <v>0</v>
      </c>
      <c r="T15" s="1555" t="e">
        <f t="shared" si="2"/>
        <v>#DIV/0!</v>
      </c>
      <c r="U15" s="1605"/>
      <c r="V15" s="1447"/>
      <c r="W15" s="1447"/>
      <c r="X15" s="1567">
        <f t="shared" si="12"/>
        <v>0</v>
      </c>
      <c r="Y15" s="1555">
        <f t="shared" si="13"/>
        <v>0</v>
      </c>
      <c r="Z15" s="1605"/>
      <c r="AA15" s="1447"/>
      <c r="AB15" s="1447"/>
      <c r="AC15" s="1567">
        <f t="shared" si="14"/>
        <v>0</v>
      </c>
      <c r="AD15" s="1555" t="e">
        <f t="shared" si="3"/>
        <v>#DIV/0!</v>
      </c>
      <c r="AE15" s="1605"/>
      <c r="AF15" s="1447"/>
      <c r="AG15" s="1447"/>
      <c r="AH15" s="1567">
        <f t="shared" si="15"/>
        <v>0</v>
      </c>
      <c r="AI15" s="1555" t="e">
        <f t="shared" si="4"/>
        <v>#DIV/0!</v>
      </c>
      <c r="AJ15" s="1605"/>
      <c r="AK15" s="1447"/>
      <c r="AL15" s="1447"/>
      <c r="AM15" s="1567">
        <f t="shared" si="16"/>
        <v>0</v>
      </c>
      <c r="AN15" s="1555" t="e">
        <f t="shared" si="1"/>
        <v>#DIV/0!</v>
      </c>
      <c r="AO15" s="1605"/>
      <c r="AP15" s="1447"/>
      <c r="AQ15" s="1447"/>
      <c r="AR15" s="1567">
        <f t="shared" si="17"/>
        <v>0</v>
      </c>
      <c r="AS15" s="1893">
        <f t="shared" si="5"/>
        <v>0</v>
      </c>
      <c r="AT15" s="1605"/>
      <c r="AU15" s="1447">
        <f t="shared" si="6"/>
        <v>0</v>
      </c>
      <c r="AV15" s="1447">
        <f t="shared" si="6"/>
        <v>17220</v>
      </c>
      <c r="AW15" s="1495">
        <f t="shared" si="7"/>
        <v>17220</v>
      </c>
      <c r="AX15" s="1555">
        <f t="shared" si="18"/>
        <v>1.1182439295848133E-3</v>
      </c>
      <c r="AY15" s="1449"/>
    </row>
    <row r="16" spans="1:52" s="1411" customFormat="1" ht="127.2" customHeight="1" outlineLevel="2" x14ac:dyDescent="0.25">
      <c r="A16" s="1598"/>
      <c r="B16" s="1416" t="s">
        <v>21</v>
      </c>
      <c r="C16" s="1500"/>
      <c r="D16" s="1502">
        <v>2370465</v>
      </c>
      <c r="E16" s="1495">
        <f t="shared" si="8"/>
        <v>2370465</v>
      </c>
      <c r="F16" s="1554">
        <f t="shared" si="0"/>
        <v>0.2006058122636997</v>
      </c>
      <c r="G16" s="1659">
        <v>0</v>
      </c>
      <c r="H16" s="1447">
        <v>3547322.2300000004</v>
      </c>
      <c r="I16" s="1567">
        <v>3547322.2300000004</v>
      </c>
      <c r="J16" s="1554">
        <v>0.25040017564411288</v>
      </c>
      <c r="K16" s="1554"/>
      <c r="L16" s="1447"/>
      <c r="M16" s="1447"/>
      <c r="N16" s="1567">
        <f t="shared" si="9"/>
        <v>0</v>
      </c>
      <c r="O16" s="1555">
        <f t="shared" si="10"/>
        <v>0</v>
      </c>
      <c r="P16" s="1605"/>
      <c r="Q16" s="1447"/>
      <c r="R16" s="1447"/>
      <c r="S16" s="1567">
        <f t="shared" si="11"/>
        <v>0</v>
      </c>
      <c r="T16" s="1555" t="e">
        <f t="shared" si="2"/>
        <v>#DIV/0!</v>
      </c>
      <c r="U16" s="1605"/>
      <c r="V16" s="1447"/>
      <c r="W16" s="1447"/>
      <c r="X16" s="1567">
        <f t="shared" si="12"/>
        <v>0</v>
      </c>
      <c r="Y16" s="1555">
        <f t="shared" si="13"/>
        <v>0</v>
      </c>
      <c r="Z16" s="1605"/>
      <c r="AA16" s="1447"/>
      <c r="AB16" s="1447"/>
      <c r="AC16" s="1567">
        <f t="shared" si="14"/>
        <v>0</v>
      </c>
      <c r="AD16" s="1555" t="e">
        <f t="shared" si="3"/>
        <v>#DIV/0!</v>
      </c>
      <c r="AE16" s="1605"/>
      <c r="AF16" s="1447"/>
      <c r="AG16" s="1447"/>
      <c r="AH16" s="1567">
        <f t="shared" si="15"/>
        <v>0</v>
      </c>
      <c r="AI16" s="1555" t="e">
        <f t="shared" si="4"/>
        <v>#DIV/0!</v>
      </c>
      <c r="AJ16" s="1605"/>
      <c r="AK16" s="1447"/>
      <c r="AL16" s="1447"/>
      <c r="AM16" s="1567">
        <f t="shared" si="16"/>
        <v>0</v>
      </c>
      <c r="AN16" s="1555" t="e">
        <f t="shared" si="1"/>
        <v>#DIV/0!</v>
      </c>
      <c r="AO16" s="1605"/>
      <c r="AP16" s="1447"/>
      <c r="AQ16" s="1447"/>
      <c r="AR16" s="1567">
        <f t="shared" si="17"/>
        <v>0</v>
      </c>
      <c r="AS16" s="1893">
        <f t="shared" si="5"/>
        <v>0</v>
      </c>
      <c r="AT16" s="1605"/>
      <c r="AU16" s="1447">
        <f t="shared" si="6"/>
        <v>0</v>
      </c>
      <c r="AV16" s="1447">
        <f t="shared" si="6"/>
        <v>3547322.2300000004</v>
      </c>
      <c r="AW16" s="1495">
        <f t="shared" si="7"/>
        <v>3547322.2300000004</v>
      </c>
      <c r="AX16" s="1555">
        <f t="shared" si="18"/>
        <v>0.23035839430770982</v>
      </c>
      <c r="AY16" s="1449"/>
    </row>
    <row r="17" spans="1:51" s="1411" customFormat="1" ht="58.2" customHeight="1" outlineLevel="2" x14ac:dyDescent="0.25">
      <c r="A17" s="1587"/>
      <c r="B17" s="1416" t="s">
        <v>22</v>
      </c>
      <c r="C17" s="1500"/>
      <c r="D17" s="1502"/>
      <c r="E17" s="1495">
        <f t="shared" si="8"/>
        <v>0</v>
      </c>
      <c r="F17" s="1554">
        <f t="shared" si="0"/>
        <v>0</v>
      </c>
      <c r="G17" s="1659">
        <v>0</v>
      </c>
      <c r="H17" s="1447">
        <v>0</v>
      </c>
      <c r="I17" s="1567">
        <v>0</v>
      </c>
      <c r="J17" s="1554">
        <v>0</v>
      </c>
      <c r="K17" s="1554"/>
      <c r="L17" s="1447"/>
      <c r="M17" s="1447"/>
      <c r="N17" s="1567">
        <f t="shared" si="9"/>
        <v>0</v>
      </c>
      <c r="O17" s="1555">
        <f t="shared" si="10"/>
        <v>0</v>
      </c>
      <c r="P17" s="1605"/>
      <c r="Q17" s="1447"/>
      <c r="R17" s="1447"/>
      <c r="S17" s="1567">
        <f t="shared" si="11"/>
        <v>0</v>
      </c>
      <c r="T17" s="1555" t="e">
        <f t="shared" si="2"/>
        <v>#DIV/0!</v>
      </c>
      <c r="U17" s="1605"/>
      <c r="V17" s="1447"/>
      <c r="W17" s="1447"/>
      <c r="X17" s="1567">
        <f t="shared" si="12"/>
        <v>0</v>
      </c>
      <c r="Y17" s="1555">
        <f t="shared" si="13"/>
        <v>0</v>
      </c>
      <c r="Z17" s="1605"/>
      <c r="AA17" s="1447"/>
      <c r="AB17" s="1447"/>
      <c r="AC17" s="1567">
        <f t="shared" si="14"/>
        <v>0</v>
      </c>
      <c r="AD17" s="1555" t="e">
        <f t="shared" si="3"/>
        <v>#DIV/0!</v>
      </c>
      <c r="AE17" s="1605"/>
      <c r="AF17" s="1447"/>
      <c r="AG17" s="1447"/>
      <c r="AH17" s="1567">
        <f t="shared" si="15"/>
        <v>0</v>
      </c>
      <c r="AI17" s="1555" t="e">
        <f t="shared" si="4"/>
        <v>#DIV/0!</v>
      </c>
      <c r="AJ17" s="1605"/>
      <c r="AK17" s="1447"/>
      <c r="AL17" s="1447"/>
      <c r="AM17" s="1567">
        <f t="shared" si="16"/>
        <v>0</v>
      </c>
      <c r="AN17" s="1555" t="e">
        <f t="shared" si="1"/>
        <v>#DIV/0!</v>
      </c>
      <c r="AO17" s="1605"/>
      <c r="AP17" s="1447"/>
      <c r="AQ17" s="1447"/>
      <c r="AR17" s="1567">
        <f t="shared" si="17"/>
        <v>0</v>
      </c>
      <c r="AS17" s="1893">
        <f t="shared" si="5"/>
        <v>0</v>
      </c>
      <c r="AT17" s="1605"/>
      <c r="AU17" s="1447">
        <f t="shared" si="6"/>
        <v>0</v>
      </c>
      <c r="AV17" s="1447">
        <f t="shared" si="6"/>
        <v>0</v>
      </c>
      <c r="AW17" s="1495">
        <f t="shared" si="7"/>
        <v>0</v>
      </c>
      <c r="AX17" s="1555">
        <f t="shared" si="18"/>
        <v>0</v>
      </c>
      <c r="AY17" s="1449"/>
    </row>
    <row r="18" spans="1:51" s="1411" customFormat="1" ht="58.2" customHeight="1" outlineLevel="2" x14ac:dyDescent="0.25">
      <c r="A18" s="1587"/>
      <c r="B18" s="1416" t="s">
        <v>0</v>
      </c>
      <c r="C18" s="1500"/>
      <c r="D18" s="1502"/>
      <c r="E18" s="1495">
        <f t="shared" si="8"/>
        <v>0</v>
      </c>
      <c r="F18" s="1554">
        <f t="shared" si="0"/>
        <v>0</v>
      </c>
      <c r="G18" s="1659">
        <v>376950</v>
      </c>
      <c r="H18" s="1447">
        <v>8563</v>
      </c>
      <c r="I18" s="1567">
        <v>385513</v>
      </c>
      <c r="J18" s="1554">
        <v>2.7212786618792419E-2</v>
      </c>
      <c r="K18" s="1554"/>
      <c r="L18" s="1447"/>
      <c r="M18" s="1447"/>
      <c r="N18" s="1567">
        <f t="shared" si="9"/>
        <v>0</v>
      </c>
      <c r="O18" s="1555">
        <f t="shared" si="10"/>
        <v>0</v>
      </c>
      <c r="P18" s="1605"/>
      <c r="Q18" s="1447"/>
      <c r="R18" s="1447"/>
      <c r="S18" s="1567">
        <f t="shared" si="11"/>
        <v>0</v>
      </c>
      <c r="T18" s="1555" t="e">
        <f t="shared" si="2"/>
        <v>#DIV/0!</v>
      </c>
      <c r="U18" s="1605"/>
      <c r="V18" s="1447"/>
      <c r="W18" s="1447"/>
      <c r="X18" s="1567">
        <f t="shared" si="12"/>
        <v>0</v>
      </c>
      <c r="Y18" s="1555">
        <f t="shared" si="13"/>
        <v>0</v>
      </c>
      <c r="Z18" s="1605"/>
      <c r="AA18" s="1447"/>
      <c r="AB18" s="1447"/>
      <c r="AC18" s="1567">
        <f t="shared" si="14"/>
        <v>0</v>
      </c>
      <c r="AD18" s="1555" t="e">
        <f t="shared" si="3"/>
        <v>#DIV/0!</v>
      </c>
      <c r="AE18" s="1605"/>
      <c r="AF18" s="1447"/>
      <c r="AG18" s="1447"/>
      <c r="AH18" s="1567">
        <f t="shared" si="15"/>
        <v>0</v>
      </c>
      <c r="AI18" s="1555" t="e">
        <f t="shared" si="4"/>
        <v>#DIV/0!</v>
      </c>
      <c r="AJ18" s="1605"/>
      <c r="AK18" s="1447"/>
      <c r="AL18" s="1447"/>
      <c r="AM18" s="1567">
        <f t="shared" si="16"/>
        <v>0</v>
      </c>
      <c r="AN18" s="1555" t="e">
        <f t="shared" si="1"/>
        <v>#DIV/0!</v>
      </c>
      <c r="AO18" s="1605"/>
      <c r="AP18" s="1447"/>
      <c r="AQ18" s="1447"/>
      <c r="AR18" s="1567">
        <f t="shared" si="17"/>
        <v>0</v>
      </c>
      <c r="AS18" s="1893">
        <f t="shared" si="5"/>
        <v>0</v>
      </c>
      <c r="AT18" s="1605"/>
      <c r="AU18" s="1447">
        <f t="shared" si="6"/>
        <v>376950</v>
      </c>
      <c r="AV18" s="1447">
        <f t="shared" si="6"/>
        <v>8563</v>
      </c>
      <c r="AW18" s="1495">
        <f t="shared" si="7"/>
        <v>385513</v>
      </c>
      <c r="AX18" s="1555">
        <f t="shared" si="18"/>
        <v>2.5034702208247973E-2</v>
      </c>
      <c r="AY18" s="1449"/>
    </row>
    <row r="19" spans="1:51" s="1411" customFormat="1" ht="40.950000000000003" customHeight="1" outlineLevel="2" x14ac:dyDescent="0.25">
      <c r="A19" s="1587"/>
      <c r="B19" s="1416" t="s">
        <v>53</v>
      </c>
      <c r="C19" s="1503"/>
      <c r="D19" s="1502"/>
      <c r="E19" s="1495">
        <f t="shared" si="8"/>
        <v>0</v>
      </c>
      <c r="F19" s="1554">
        <f t="shared" si="0"/>
        <v>0</v>
      </c>
      <c r="G19" s="1659">
        <v>0</v>
      </c>
      <c r="H19" s="1447">
        <v>1000</v>
      </c>
      <c r="I19" s="1567">
        <v>1000</v>
      </c>
      <c r="J19" s="1554">
        <v>7.0588505754131292E-5</v>
      </c>
      <c r="K19" s="1554"/>
      <c r="L19" s="1447"/>
      <c r="M19" s="1447"/>
      <c r="N19" s="1567">
        <f t="shared" si="9"/>
        <v>0</v>
      </c>
      <c r="O19" s="1555">
        <f t="shared" si="10"/>
        <v>0</v>
      </c>
      <c r="P19" s="1605"/>
      <c r="Q19" s="1447"/>
      <c r="R19" s="1447"/>
      <c r="S19" s="1567">
        <f t="shared" si="11"/>
        <v>0</v>
      </c>
      <c r="T19" s="1555" t="e">
        <f t="shared" si="2"/>
        <v>#DIV/0!</v>
      </c>
      <c r="U19" s="1605"/>
      <c r="V19" s="1447"/>
      <c r="W19" s="1447"/>
      <c r="X19" s="1567">
        <f t="shared" si="12"/>
        <v>0</v>
      </c>
      <c r="Y19" s="1555">
        <f t="shared" si="13"/>
        <v>0</v>
      </c>
      <c r="Z19" s="1605"/>
      <c r="AA19" s="1447"/>
      <c r="AB19" s="1447"/>
      <c r="AC19" s="1567">
        <f t="shared" si="14"/>
        <v>0</v>
      </c>
      <c r="AD19" s="1555" t="e">
        <f t="shared" si="3"/>
        <v>#DIV/0!</v>
      </c>
      <c r="AE19" s="1605"/>
      <c r="AF19" s="1447"/>
      <c r="AG19" s="1447"/>
      <c r="AH19" s="1567">
        <f t="shared" si="15"/>
        <v>0</v>
      </c>
      <c r="AI19" s="1555" t="e">
        <f t="shared" si="4"/>
        <v>#DIV/0!</v>
      </c>
      <c r="AJ19" s="1605"/>
      <c r="AK19" s="1447"/>
      <c r="AL19" s="1447"/>
      <c r="AM19" s="1567">
        <f t="shared" si="16"/>
        <v>0</v>
      </c>
      <c r="AN19" s="1555" t="e">
        <f t="shared" si="1"/>
        <v>#DIV/0!</v>
      </c>
      <c r="AO19" s="1605"/>
      <c r="AP19" s="1447"/>
      <c r="AQ19" s="1447"/>
      <c r="AR19" s="1567">
        <f t="shared" si="17"/>
        <v>0</v>
      </c>
      <c r="AS19" s="1893">
        <f t="shared" si="5"/>
        <v>0</v>
      </c>
      <c r="AT19" s="1605"/>
      <c r="AU19" s="1447">
        <f t="shared" si="6"/>
        <v>0</v>
      </c>
      <c r="AV19" s="1447">
        <f t="shared" si="6"/>
        <v>1000</v>
      </c>
      <c r="AW19" s="1495">
        <f t="shared" si="7"/>
        <v>1000</v>
      </c>
      <c r="AX19" s="1555">
        <f t="shared" si="18"/>
        <v>6.4938671869036772E-5</v>
      </c>
      <c r="AY19" s="1449"/>
    </row>
    <row r="20" spans="1:51" s="1411" customFormat="1" ht="28.95" customHeight="1" outlineLevel="2" x14ac:dyDescent="0.25">
      <c r="A20" s="1587"/>
      <c r="B20" s="1416" t="s">
        <v>57</v>
      </c>
      <c r="C20" s="1503"/>
      <c r="D20" s="1502"/>
      <c r="E20" s="1495">
        <f t="shared" si="8"/>
        <v>0</v>
      </c>
      <c r="F20" s="1554">
        <f t="shared" si="0"/>
        <v>0</v>
      </c>
      <c r="G20" s="1659">
        <v>0</v>
      </c>
      <c r="H20" s="1447">
        <v>0</v>
      </c>
      <c r="I20" s="1567">
        <v>0</v>
      </c>
      <c r="J20" s="1554">
        <v>0</v>
      </c>
      <c r="K20" s="1554"/>
      <c r="L20" s="1447"/>
      <c r="M20" s="1447"/>
      <c r="N20" s="1567">
        <f t="shared" si="9"/>
        <v>0</v>
      </c>
      <c r="O20" s="1555">
        <f t="shared" si="10"/>
        <v>0</v>
      </c>
      <c r="P20" s="1605"/>
      <c r="Q20" s="1447"/>
      <c r="R20" s="1447"/>
      <c r="S20" s="1567">
        <f t="shared" si="11"/>
        <v>0</v>
      </c>
      <c r="T20" s="1555" t="e">
        <f t="shared" si="2"/>
        <v>#DIV/0!</v>
      </c>
      <c r="U20" s="1605"/>
      <c r="V20" s="1447"/>
      <c r="W20" s="1447"/>
      <c r="X20" s="1567">
        <f t="shared" si="12"/>
        <v>0</v>
      </c>
      <c r="Y20" s="1555">
        <f t="shared" si="13"/>
        <v>0</v>
      </c>
      <c r="Z20" s="1605"/>
      <c r="AA20" s="1447"/>
      <c r="AB20" s="1447"/>
      <c r="AC20" s="1567">
        <f t="shared" si="14"/>
        <v>0</v>
      </c>
      <c r="AD20" s="1555" t="e">
        <f t="shared" si="3"/>
        <v>#DIV/0!</v>
      </c>
      <c r="AE20" s="1605"/>
      <c r="AF20" s="1447"/>
      <c r="AG20" s="1447"/>
      <c r="AH20" s="1567">
        <f t="shared" si="15"/>
        <v>0</v>
      </c>
      <c r="AI20" s="1555" t="e">
        <f t="shared" si="4"/>
        <v>#DIV/0!</v>
      </c>
      <c r="AJ20" s="1605"/>
      <c r="AK20" s="1447"/>
      <c r="AL20" s="1447"/>
      <c r="AM20" s="1567">
        <f t="shared" si="16"/>
        <v>0</v>
      </c>
      <c r="AN20" s="1555" t="e">
        <f t="shared" si="1"/>
        <v>#DIV/0!</v>
      </c>
      <c r="AO20" s="1605"/>
      <c r="AP20" s="1447"/>
      <c r="AQ20" s="1447"/>
      <c r="AR20" s="1567">
        <f t="shared" si="17"/>
        <v>0</v>
      </c>
      <c r="AS20" s="1893">
        <f t="shared" si="5"/>
        <v>0</v>
      </c>
      <c r="AT20" s="1605"/>
      <c r="AU20" s="1447">
        <f t="shared" si="6"/>
        <v>0</v>
      </c>
      <c r="AV20" s="1447">
        <f t="shared" si="6"/>
        <v>0</v>
      </c>
      <c r="AW20" s="1495">
        <f t="shared" si="7"/>
        <v>0</v>
      </c>
      <c r="AX20" s="1555">
        <f t="shared" si="18"/>
        <v>0</v>
      </c>
      <c r="AY20" s="1449"/>
    </row>
    <row r="21" spans="1:51" s="1411" customFormat="1" ht="13.8" outlineLevel="2" x14ac:dyDescent="0.25">
      <c r="A21" s="1587"/>
      <c r="B21" s="1416" t="s">
        <v>58</v>
      </c>
      <c r="C21" s="1503">
        <v>540865</v>
      </c>
      <c r="D21" s="1502"/>
      <c r="E21" s="1495">
        <f t="shared" si="8"/>
        <v>540865</v>
      </c>
      <c r="F21" s="1554">
        <f t="shared" si="0"/>
        <v>4.5771889755809911E-2</v>
      </c>
      <c r="G21" s="1659">
        <v>1782327.24</v>
      </c>
      <c r="H21" s="1447">
        <v>0</v>
      </c>
      <c r="I21" s="1567">
        <v>1782327.24</v>
      </c>
      <c r="J21" s="1554">
        <v>0.12581181663648494</v>
      </c>
      <c r="K21" s="1554"/>
      <c r="L21" s="1447"/>
      <c r="M21" s="1447"/>
      <c r="N21" s="1567">
        <f t="shared" si="9"/>
        <v>0</v>
      </c>
      <c r="O21" s="1555">
        <f t="shared" si="10"/>
        <v>0</v>
      </c>
      <c r="P21" s="1605"/>
      <c r="Q21" s="1447"/>
      <c r="R21" s="1447"/>
      <c r="S21" s="1567">
        <f t="shared" si="11"/>
        <v>0</v>
      </c>
      <c r="T21" s="1555" t="e">
        <f t="shared" si="2"/>
        <v>#DIV/0!</v>
      </c>
      <c r="U21" s="1605"/>
      <c r="V21" s="1447"/>
      <c r="W21" s="1447"/>
      <c r="X21" s="1567">
        <f t="shared" si="12"/>
        <v>0</v>
      </c>
      <c r="Y21" s="1555">
        <f t="shared" si="13"/>
        <v>0</v>
      </c>
      <c r="Z21" s="1605"/>
      <c r="AA21" s="1447"/>
      <c r="AB21" s="1447"/>
      <c r="AC21" s="1567">
        <f t="shared" si="14"/>
        <v>0</v>
      </c>
      <c r="AD21" s="1555" t="e">
        <f t="shared" si="3"/>
        <v>#DIV/0!</v>
      </c>
      <c r="AE21" s="1605"/>
      <c r="AF21" s="1447"/>
      <c r="AG21" s="1447"/>
      <c r="AH21" s="1567">
        <f t="shared" si="15"/>
        <v>0</v>
      </c>
      <c r="AI21" s="1555" t="e">
        <f t="shared" si="4"/>
        <v>#DIV/0!</v>
      </c>
      <c r="AJ21" s="1605"/>
      <c r="AK21" s="1447"/>
      <c r="AL21" s="1447"/>
      <c r="AM21" s="1567">
        <f t="shared" si="16"/>
        <v>0</v>
      </c>
      <c r="AN21" s="1555" t="e">
        <f t="shared" si="1"/>
        <v>#DIV/0!</v>
      </c>
      <c r="AO21" s="1605"/>
      <c r="AP21" s="1447"/>
      <c r="AQ21" s="1447"/>
      <c r="AR21" s="1567">
        <f t="shared" si="17"/>
        <v>0</v>
      </c>
      <c r="AS21" s="1893">
        <f>AR21/$AR$89</f>
        <v>0</v>
      </c>
      <c r="AT21" s="1605"/>
      <c r="AU21" s="1447">
        <f t="shared" si="6"/>
        <v>1782327.24</v>
      </c>
      <c r="AV21" s="1447">
        <f t="shared" si="6"/>
        <v>0</v>
      </c>
      <c r="AW21" s="1495">
        <f t="shared" si="7"/>
        <v>1782327.24</v>
      </c>
      <c r="AX21" s="1555">
        <f t="shared" si="18"/>
        <v>0.11574196380160595</v>
      </c>
      <c r="AY21" s="1596"/>
    </row>
    <row r="22" spans="1:51" s="1411" customFormat="1" ht="13.8" outlineLevel="2" x14ac:dyDescent="0.25">
      <c r="A22" s="1587"/>
      <c r="B22" s="1416" t="s">
        <v>621</v>
      </c>
      <c r="C22" s="1503">
        <v>635000</v>
      </c>
      <c r="D22" s="1502"/>
      <c r="E22" s="1495">
        <f t="shared" si="8"/>
        <v>635000</v>
      </c>
      <c r="F22" s="1554"/>
      <c r="G22" s="1659">
        <v>947202.36800000002</v>
      </c>
      <c r="H22" s="1447">
        <v>2000</v>
      </c>
      <c r="I22" s="1567">
        <v>949202.36800000002</v>
      </c>
      <c r="J22" s="1554"/>
      <c r="K22" s="1554"/>
      <c r="L22" s="1447"/>
      <c r="M22" s="1447"/>
      <c r="N22" s="1567">
        <f t="shared" si="9"/>
        <v>0</v>
      </c>
      <c r="O22" s="1555">
        <f t="shared" si="10"/>
        <v>0</v>
      </c>
      <c r="P22" s="1605"/>
      <c r="Q22" s="1447"/>
      <c r="R22" s="1447"/>
      <c r="S22" s="1567">
        <f t="shared" si="11"/>
        <v>0</v>
      </c>
      <c r="T22" s="1555" t="e">
        <f t="shared" si="2"/>
        <v>#DIV/0!</v>
      </c>
      <c r="U22" s="1605"/>
      <c r="V22" s="1447"/>
      <c r="W22" s="1447"/>
      <c r="X22" s="1567">
        <f t="shared" si="12"/>
        <v>0</v>
      </c>
      <c r="Y22" s="1555">
        <f t="shared" si="13"/>
        <v>0</v>
      </c>
      <c r="Z22" s="1605"/>
      <c r="AA22" s="1447"/>
      <c r="AB22" s="1447"/>
      <c r="AC22" s="1567">
        <f t="shared" si="14"/>
        <v>0</v>
      </c>
      <c r="AD22" s="1555" t="e">
        <f t="shared" si="3"/>
        <v>#DIV/0!</v>
      </c>
      <c r="AE22" s="1605"/>
      <c r="AF22" s="1447"/>
      <c r="AG22" s="1447"/>
      <c r="AH22" s="1567">
        <f t="shared" si="15"/>
        <v>0</v>
      </c>
      <c r="AI22" s="1555" t="e">
        <f t="shared" si="4"/>
        <v>#DIV/0!</v>
      </c>
      <c r="AJ22" s="1605"/>
      <c r="AK22" s="1447"/>
      <c r="AL22" s="1447"/>
      <c r="AM22" s="1567">
        <f t="shared" si="16"/>
        <v>0</v>
      </c>
      <c r="AN22" s="1555" t="e">
        <f t="shared" si="1"/>
        <v>#DIV/0!</v>
      </c>
      <c r="AO22" s="1605"/>
      <c r="AP22" s="1447"/>
      <c r="AQ22" s="1447"/>
      <c r="AR22" s="1567">
        <f t="shared" si="17"/>
        <v>0</v>
      </c>
      <c r="AS22" s="1893">
        <f t="shared" si="5"/>
        <v>0</v>
      </c>
      <c r="AT22" s="1605"/>
      <c r="AU22" s="1447">
        <f t="shared" si="6"/>
        <v>947202.36800000002</v>
      </c>
      <c r="AV22" s="1447">
        <f t="shared" si="6"/>
        <v>2000</v>
      </c>
      <c r="AW22" s="1495">
        <f t="shared" si="7"/>
        <v>949202.36800000002</v>
      </c>
      <c r="AX22" s="1555"/>
      <c r="AY22" s="1449"/>
    </row>
    <row r="23" spans="1:51" s="1411" customFormat="1" ht="13.8" outlineLevel="2" x14ac:dyDescent="0.25">
      <c r="A23" s="1587"/>
      <c r="B23" s="1416" t="s">
        <v>630</v>
      </c>
      <c r="C23" s="1503"/>
      <c r="D23" s="1502"/>
      <c r="E23" s="1495">
        <f t="shared" si="8"/>
        <v>0</v>
      </c>
      <c r="F23" s="1554"/>
      <c r="G23" s="1659">
        <v>0</v>
      </c>
      <c r="H23" s="1447">
        <v>0</v>
      </c>
      <c r="I23" s="1567">
        <v>0</v>
      </c>
      <c r="J23" s="1554"/>
      <c r="K23" s="1554"/>
      <c r="L23" s="1447"/>
      <c r="M23" s="1447"/>
      <c r="N23" s="1567"/>
      <c r="O23" s="1555">
        <f t="shared" si="10"/>
        <v>0</v>
      </c>
      <c r="P23" s="1605"/>
      <c r="Q23" s="1447"/>
      <c r="R23" s="1447"/>
      <c r="S23" s="1567"/>
      <c r="T23" s="1555" t="e">
        <f t="shared" si="2"/>
        <v>#DIV/0!</v>
      </c>
      <c r="U23" s="1605"/>
      <c r="V23" s="1447"/>
      <c r="W23" s="1447"/>
      <c r="X23" s="1567"/>
      <c r="Y23" s="1555">
        <f t="shared" si="13"/>
        <v>0</v>
      </c>
      <c r="Z23" s="1605"/>
      <c r="AA23" s="1447"/>
      <c r="AB23" s="1447"/>
      <c r="AC23" s="1567"/>
      <c r="AD23" s="1555" t="e">
        <f t="shared" si="3"/>
        <v>#DIV/0!</v>
      </c>
      <c r="AE23" s="1605"/>
      <c r="AF23" s="1447"/>
      <c r="AG23" s="1447"/>
      <c r="AH23" s="1567"/>
      <c r="AI23" s="1555" t="e">
        <f t="shared" si="4"/>
        <v>#DIV/0!</v>
      </c>
      <c r="AJ23" s="1605"/>
      <c r="AK23" s="1447"/>
      <c r="AL23" s="1447"/>
      <c r="AM23" s="1567"/>
      <c r="AN23" s="1555" t="e">
        <f t="shared" si="1"/>
        <v>#DIV/0!</v>
      </c>
      <c r="AO23" s="1605"/>
      <c r="AP23" s="1447"/>
      <c r="AQ23" s="1447"/>
      <c r="AR23" s="1567"/>
      <c r="AS23" s="1893">
        <f t="shared" si="5"/>
        <v>0</v>
      </c>
      <c r="AT23" s="1605"/>
      <c r="AU23" s="1447">
        <f t="shared" si="6"/>
        <v>0</v>
      </c>
      <c r="AV23" s="1447">
        <f t="shared" si="6"/>
        <v>0</v>
      </c>
      <c r="AW23" s="1495">
        <f t="shared" si="7"/>
        <v>0</v>
      </c>
      <c r="AX23" s="1555"/>
      <c r="AY23" s="1449"/>
    </row>
    <row r="24" spans="1:51" s="1411" customFormat="1" ht="109.95" customHeight="1" outlineLevel="2" x14ac:dyDescent="0.25">
      <c r="A24" s="1587"/>
      <c r="B24" s="1416" t="s">
        <v>23</v>
      </c>
      <c r="C24" s="1503">
        <v>490000</v>
      </c>
      <c r="D24" s="1502"/>
      <c r="E24" s="1495">
        <f t="shared" si="8"/>
        <v>490000</v>
      </c>
      <c r="F24" s="1554">
        <f t="shared" ref="F24:F33" si="19">E24/$E$89</f>
        <v>4.1467327300429603E-2</v>
      </c>
      <c r="G24" s="1659">
        <v>319400.00799999997</v>
      </c>
      <c r="H24" s="1447">
        <v>8184</v>
      </c>
      <c r="I24" s="1567">
        <v>327584.00799999997</v>
      </c>
      <c r="J24" s="1554">
        <v>2.3123665633669389E-2</v>
      </c>
      <c r="K24" s="1554"/>
      <c r="L24" s="1447"/>
      <c r="M24" s="1447"/>
      <c r="N24" s="1567">
        <f t="shared" ref="N24:N33" si="20">L24+M24*1</f>
        <v>0</v>
      </c>
      <c r="O24" s="1555">
        <f t="shared" si="10"/>
        <v>0</v>
      </c>
      <c r="P24" s="1605"/>
      <c r="Q24" s="1447"/>
      <c r="R24" s="1447"/>
      <c r="S24" s="1567">
        <f t="shared" ref="S24:S33" si="21">Q24+R24*1</f>
        <v>0</v>
      </c>
      <c r="T24" s="1555" t="e">
        <f t="shared" si="2"/>
        <v>#DIV/0!</v>
      </c>
      <c r="U24" s="1605"/>
      <c r="V24" s="1447"/>
      <c r="W24" s="1447"/>
      <c r="X24" s="1567">
        <f t="shared" ref="X24:X33" si="22">V24+W24*1</f>
        <v>0</v>
      </c>
      <c r="Y24" s="1555">
        <f t="shared" si="13"/>
        <v>0</v>
      </c>
      <c r="Z24" s="1605"/>
      <c r="AA24" s="1447"/>
      <c r="AB24" s="1447"/>
      <c r="AC24" s="1567">
        <f t="shared" ref="AC24:AC33" si="23">AA24+AB24*1</f>
        <v>0</v>
      </c>
      <c r="AD24" s="1555" t="e">
        <f t="shared" si="3"/>
        <v>#DIV/0!</v>
      </c>
      <c r="AE24" s="1605"/>
      <c r="AF24" s="1447"/>
      <c r="AG24" s="1447"/>
      <c r="AH24" s="1567">
        <f t="shared" ref="AH24:AH33" si="24">AF24+AG24*1</f>
        <v>0</v>
      </c>
      <c r="AI24" s="1555" t="e">
        <f t="shared" si="4"/>
        <v>#DIV/0!</v>
      </c>
      <c r="AJ24" s="1605"/>
      <c r="AK24" s="1447"/>
      <c r="AL24" s="1447"/>
      <c r="AM24" s="1567">
        <f t="shared" ref="AM24:AM33" si="25">AK24+AL24*1</f>
        <v>0</v>
      </c>
      <c r="AN24" s="1555" t="e">
        <f t="shared" si="1"/>
        <v>#DIV/0!</v>
      </c>
      <c r="AO24" s="1605"/>
      <c r="AP24" s="1447"/>
      <c r="AQ24" s="1447"/>
      <c r="AR24" s="1567">
        <f t="shared" ref="AR24:AR33" si="26">AP24+AQ24*1</f>
        <v>0</v>
      </c>
      <c r="AS24" s="1893">
        <f t="shared" si="5"/>
        <v>0</v>
      </c>
      <c r="AT24" s="1605"/>
      <c r="AU24" s="1447">
        <f t="shared" si="6"/>
        <v>319400.00799999997</v>
      </c>
      <c r="AV24" s="1447">
        <f t="shared" si="6"/>
        <v>8184</v>
      </c>
      <c r="AW24" s="1495">
        <f t="shared" si="7"/>
        <v>327584.00799999997</v>
      </c>
      <c r="AX24" s="1555">
        <f t="shared" ref="AX24:AX33" si="27">AW24/$AW$89</f>
        <v>2.1272870405055915E-2</v>
      </c>
      <c r="AY24" s="1449"/>
    </row>
    <row r="25" spans="1:51" s="1411" customFormat="1" ht="39" customHeight="1" outlineLevel="2" x14ac:dyDescent="0.25">
      <c r="A25" s="1587"/>
      <c r="B25" s="1416" t="s">
        <v>24</v>
      </c>
      <c r="C25" s="1503">
        <v>468500</v>
      </c>
      <c r="D25" s="1502"/>
      <c r="E25" s="1495">
        <f t="shared" si="8"/>
        <v>468500</v>
      </c>
      <c r="F25" s="1554">
        <f t="shared" si="19"/>
        <v>3.9647842531125035E-2</v>
      </c>
      <c r="G25" s="1659">
        <v>213232.08800000002</v>
      </c>
      <c r="H25" s="1447">
        <v>15876</v>
      </c>
      <c r="I25" s="1567">
        <v>229108.08800000002</v>
      </c>
      <c r="J25" s="1554">
        <v>1.617239758810602E-2</v>
      </c>
      <c r="K25" s="1554"/>
      <c r="L25" s="1447">
        <f>778.75*1.2</f>
        <v>934.5</v>
      </c>
      <c r="M25" s="1447"/>
      <c r="N25" s="1567">
        <f t="shared" si="20"/>
        <v>934.5</v>
      </c>
      <c r="O25" s="1555">
        <f t="shared" si="10"/>
        <v>1</v>
      </c>
      <c r="P25" s="1605"/>
      <c r="Q25" s="1447"/>
      <c r="R25" s="1447"/>
      <c r="S25" s="1567">
        <f t="shared" si="21"/>
        <v>0</v>
      </c>
      <c r="T25" s="1555" t="e">
        <f t="shared" si="2"/>
        <v>#DIV/0!</v>
      </c>
      <c r="U25" s="1605"/>
      <c r="V25" s="1447"/>
      <c r="W25" s="1447"/>
      <c r="X25" s="1567">
        <f t="shared" si="22"/>
        <v>0</v>
      </c>
      <c r="Y25" s="1555">
        <f t="shared" si="13"/>
        <v>0</v>
      </c>
      <c r="Z25" s="1605"/>
      <c r="AA25" s="1447"/>
      <c r="AB25" s="1447"/>
      <c r="AC25" s="1567">
        <f t="shared" si="23"/>
        <v>0</v>
      </c>
      <c r="AD25" s="1555" t="e">
        <f t="shared" si="3"/>
        <v>#DIV/0!</v>
      </c>
      <c r="AE25" s="1605"/>
      <c r="AF25" s="1447"/>
      <c r="AG25" s="1447"/>
      <c r="AH25" s="1567">
        <f t="shared" si="24"/>
        <v>0</v>
      </c>
      <c r="AI25" s="1555" t="e">
        <f t="shared" si="4"/>
        <v>#DIV/0!</v>
      </c>
      <c r="AJ25" s="1605"/>
      <c r="AK25" s="1447"/>
      <c r="AL25" s="1447"/>
      <c r="AM25" s="1567">
        <f t="shared" si="25"/>
        <v>0</v>
      </c>
      <c r="AN25" s="1555" t="e">
        <f t="shared" si="1"/>
        <v>#DIV/0!</v>
      </c>
      <c r="AO25" s="1605"/>
      <c r="AP25" s="1447"/>
      <c r="AQ25" s="1447"/>
      <c r="AR25" s="1567">
        <f t="shared" si="26"/>
        <v>0</v>
      </c>
      <c r="AS25" s="1893">
        <f t="shared" si="5"/>
        <v>0</v>
      </c>
      <c r="AT25" s="1605"/>
      <c r="AU25" s="1447">
        <f t="shared" si="6"/>
        <v>214166.58800000002</v>
      </c>
      <c r="AV25" s="1447">
        <f t="shared" si="6"/>
        <v>15876</v>
      </c>
      <c r="AW25" s="1495">
        <f t="shared" si="7"/>
        <v>230042.58800000002</v>
      </c>
      <c r="AX25" s="1555">
        <f t="shared" si="27"/>
        <v>1.4938660138036018E-2</v>
      </c>
      <c r="AY25" s="1449"/>
    </row>
    <row r="26" spans="1:51" s="1579" customFormat="1" ht="51" customHeight="1" outlineLevel="2" x14ac:dyDescent="0.25">
      <c r="A26" s="1587"/>
      <c r="B26" s="1597" t="s">
        <v>45</v>
      </c>
      <c r="C26" s="1503">
        <v>5009718</v>
      </c>
      <c r="D26" s="1502"/>
      <c r="E26" s="1495">
        <f t="shared" si="8"/>
        <v>5009718</v>
      </c>
      <c r="F26" s="1554">
        <f t="shared" si="19"/>
        <v>0.42395839997725221</v>
      </c>
      <c r="G26" s="1659">
        <v>4775417.5079999994</v>
      </c>
      <c r="H26" s="1447">
        <v>900</v>
      </c>
      <c r="I26" s="1567">
        <v>4776317.5079999994</v>
      </c>
      <c r="J26" s="1554">
        <v>0.33715311589701602</v>
      </c>
      <c r="K26" s="1554"/>
      <c r="L26" s="1447"/>
      <c r="M26" s="1447"/>
      <c r="N26" s="1567">
        <f t="shared" si="20"/>
        <v>0</v>
      </c>
      <c r="O26" s="1555">
        <f t="shared" si="10"/>
        <v>0</v>
      </c>
      <c r="P26" s="1605"/>
      <c r="Q26" s="1447"/>
      <c r="R26" s="1447"/>
      <c r="S26" s="1567">
        <f t="shared" si="21"/>
        <v>0</v>
      </c>
      <c r="T26" s="1555" t="e">
        <f t="shared" si="2"/>
        <v>#DIV/0!</v>
      </c>
      <c r="U26" s="1605"/>
      <c r="V26" s="1447">
        <f>5075.9*1.2</f>
        <v>6091.079999999999</v>
      </c>
      <c r="W26" s="1447"/>
      <c r="X26" s="1567">
        <f t="shared" si="22"/>
        <v>6091.079999999999</v>
      </c>
      <c r="Y26" s="1555" t="e">
        <f>X26/$S$89</f>
        <v>#DIV/0!</v>
      </c>
      <c r="Z26" s="1605" t="s">
        <v>1152</v>
      </c>
      <c r="AA26" s="1447"/>
      <c r="AB26" s="1447"/>
      <c r="AC26" s="1567">
        <f t="shared" si="23"/>
        <v>0</v>
      </c>
      <c r="AD26" s="1555" t="e">
        <f t="shared" si="3"/>
        <v>#DIV/0!</v>
      </c>
      <c r="AE26" s="1605"/>
      <c r="AF26" s="1447"/>
      <c r="AG26" s="1447"/>
      <c r="AH26" s="1567">
        <f t="shared" si="24"/>
        <v>0</v>
      </c>
      <c r="AI26" s="1555" t="e">
        <f t="shared" si="4"/>
        <v>#DIV/0!</v>
      </c>
      <c r="AJ26" s="1605"/>
      <c r="AK26" s="1447"/>
      <c r="AL26" s="1447"/>
      <c r="AM26" s="1567">
        <f t="shared" si="25"/>
        <v>0</v>
      </c>
      <c r="AN26" s="1555" t="e">
        <f t="shared" si="1"/>
        <v>#DIV/0!</v>
      </c>
      <c r="AO26" s="1605"/>
      <c r="AP26" s="1887">
        <f>219825.74*1.2+801429.81*1.2</f>
        <v>1225506.6599999999</v>
      </c>
      <c r="AQ26" s="1887"/>
      <c r="AR26" s="1888">
        <f t="shared" si="26"/>
        <v>1225506.6599999999</v>
      </c>
      <c r="AS26" s="1923">
        <f t="shared" si="5"/>
        <v>1</v>
      </c>
      <c r="AT26" s="1950" t="s">
        <v>1549</v>
      </c>
      <c r="AU26" s="1447">
        <f t="shared" si="6"/>
        <v>6007015.2479999997</v>
      </c>
      <c r="AV26" s="1447">
        <f t="shared" si="6"/>
        <v>900</v>
      </c>
      <c r="AW26" s="1495">
        <f t="shared" si="7"/>
        <v>6007915.2479999997</v>
      </c>
      <c r="AX26" s="1555">
        <f t="shared" si="27"/>
        <v>0.39014603690685468</v>
      </c>
      <c r="AY26" s="1449"/>
    </row>
    <row r="27" spans="1:51" s="1411" customFormat="1" ht="32.4" customHeight="1" outlineLevel="2" x14ac:dyDescent="0.25">
      <c r="A27" s="1587"/>
      <c r="B27" s="1416" t="s">
        <v>25</v>
      </c>
      <c r="C27" s="1503"/>
      <c r="D27" s="1502">
        <v>20000</v>
      </c>
      <c r="E27" s="1495">
        <f t="shared" si="8"/>
        <v>20000</v>
      </c>
      <c r="F27" s="1554">
        <f t="shared" si="19"/>
        <v>1.6925439714461062E-3</v>
      </c>
      <c r="G27" s="1659">
        <v>249.99600000000001</v>
      </c>
      <c r="H27" s="1447">
        <v>3760</v>
      </c>
      <c r="I27" s="1567">
        <v>4009.9960000000001</v>
      </c>
      <c r="J27" s="1554">
        <v>2.8305962572004349E-4</v>
      </c>
      <c r="K27" s="1554"/>
      <c r="L27" s="1447"/>
      <c r="M27" s="1447"/>
      <c r="N27" s="1567">
        <f t="shared" si="20"/>
        <v>0</v>
      </c>
      <c r="O27" s="1555">
        <f t="shared" si="10"/>
        <v>0</v>
      </c>
      <c r="P27" s="1605"/>
      <c r="Q27" s="1447"/>
      <c r="R27" s="1447"/>
      <c r="S27" s="1567">
        <f t="shared" si="21"/>
        <v>0</v>
      </c>
      <c r="T27" s="1555" t="e">
        <f t="shared" si="2"/>
        <v>#DIV/0!</v>
      </c>
      <c r="U27" s="1605"/>
      <c r="V27" s="1447"/>
      <c r="W27" s="1447"/>
      <c r="X27" s="1567">
        <f t="shared" si="22"/>
        <v>0</v>
      </c>
      <c r="Y27" s="1555">
        <f t="shared" si="13"/>
        <v>0</v>
      </c>
      <c r="Z27" s="1605"/>
      <c r="AA27" s="1447"/>
      <c r="AB27" s="1447"/>
      <c r="AC27" s="1567">
        <f t="shared" si="23"/>
        <v>0</v>
      </c>
      <c r="AD27" s="1555" t="e">
        <f t="shared" si="3"/>
        <v>#DIV/0!</v>
      </c>
      <c r="AE27" s="1605"/>
      <c r="AF27" s="1447"/>
      <c r="AG27" s="1447"/>
      <c r="AH27" s="1567">
        <f t="shared" si="24"/>
        <v>0</v>
      </c>
      <c r="AI27" s="1555" t="e">
        <f t="shared" si="4"/>
        <v>#DIV/0!</v>
      </c>
      <c r="AJ27" s="1605"/>
      <c r="AK27" s="1447"/>
      <c r="AL27" s="1447"/>
      <c r="AM27" s="1567">
        <f t="shared" si="25"/>
        <v>0</v>
      </c>
      <c r="AN27" s="1555" t="e">
        <f t="shared" si="1"/>
        <v>#DIV/0!</v>
      </c>
      <c r="AO27" s="1605"/>
      <c r="AP27" s="1447"/>
      <c r="AQ27" s="1447"/>
      <c r="AR27" s="1567">
        <f t="shared" si="26"/>
        <v>0</v>
      </c>
      <c r="AS27" s="1893">
        <f t="shared" si="5"/>
        <v>0</v>
      </c>
      <c r="AT27" s="1605"/>
      <c r="AU27" s="1447">
        <f t="shared" ref="AU27:AV33" si="28">G27+L27+Q27+V27+AA27+AF27+AK27+AP27</f>
        <v>249.99600000000001</v>
      </c>
      <c r="AV27" s="1447">
        <f t="shared" si="28"/>
        <v>3760</v>
      </c>
      <c r="AW27" s="1495">
        <f t="shared" si="7"/>
        <v>4009.9960000000001</v>
      </c>
      <c r="AX27" s="1555">
        <f t="shared" si="27"/>
        <v>2.6040381444015001E-4</v>
      </c>
      <c r="AY27" s="1449"/>
    </row>
    <row r="28" spans="1:51" s="1579" customFormat="1" ht="109.2" customHeight="1" outlineLevel="2" x14ac:dyDescent="0.25">
      <c r="A28" s="1587"/>
      <c r="B28" s="1597" t="s">
        <v>52</v>
      </c>
      <c r="C28" s="1503">
        <v>272604</v>
      </c>
      <c r="D28" s="1502"/>
      <c r="E28" s="1495">
        <f t="shared" si="8"/>
        <v>272604</v>
      </c>
      <c r="F28" s="1554">
        <f t="shared" si="19"/>
        <v>2.3069712839604715E-2</v>
      </c>
      <c r="G28" s="1659">
        <v>4178.7</v>
      </c>
      <c r="H28" s="1447">
        <v>32749</v>
      </c>
      <c r="I28" s="1567">
        <v>36927.699999999997</v>
      </c>
      <c r="J28" s="1554">
        <v>2.6066711639368342E-3</v>
      </c>
      <c r="K28" s="1554"/>
      <c r="L28" s="1447"/>
      <c r="M28" s="1447"/>
      <c r="N28" s="1567">
        <f t="shared" si="20"/>
        <v>0</v>
      </c>
      <c r="O28" s="1555">
        <f t="shared" si="10"/>
        <v>0</v>
      </c>
      <c r="P28" s="1605"/>
      <c r="Q28" s="1447"/>
      <c r="R28" s="1447"/>
      <c r="S28" s="1567">
        <f t="shared" si="21"/>
        <v>0</v>
      </c>
      <c r="T28" s="1555" t="e">
        <f t="shared" si="2"/>
        <v>#DIV/0!</v>
      </c>
      <c r="U28" s="1605"/>
      <c r="V28" s="1447"/>
      <c r="W28" s="1447"/>
      <c r="X28" s="1567">
        <f t="shared" si="22"/>
        <v>0</v>
      </c>
      <c r="Y28" s="1555">
        <f t="shared" si="13"/>
        <v>0</v>
      </c>
      <c r="Z28" s="1605"/>
      <c r="AA28" s="1447"/>
      <c r="AB28" s="1447"/>
      <c r="AC28" s="1567">
        <f t="shared" si="23"/>
        <v>0</v>
      </c>
      <c r="AD28" s="1555" t="e">
        <f t="shared" si="3"/>
        <v>#DIV/0!</v>
      </c>
      <c r="AE28" s="1605"/>
      <c r="AF28" s="1447"/>
      <c r="AG28" s="1447"/>
      <c r="AH28" s="1567">
        <f t="shared" si="24"/>
        <v>0</v>
      </c>
      <c r="AI28" s="1555" t="e">
        <f t="shared" si="4"/>
        <v>#DIV/0!</v>
      </c>
      <c r="AJ28" s="1605"/>
      <c r="AK28" s="1447"/>
      <c r="AL28" s="1447"/>
      <c r="AM28" s="1567">
        <f t="shared" si="25"/>
        <v>0</v>
      </c>
      <c r="AN28" s="1555" t="e">
        <f t="shared" si="1"/>
        <v>#DIV/0!</v>
      </c>
      <c r="AO28" s="1605"/>
      <c r="AP28" s="1447"/>
      <c r="AQ28" s="1447"/>
      <c r="AR28" s="1567">
        <f t="shared" si="26"/>
        <v>0</v>
      </c>
      <c r="AS28" s="1893">
        <f t="shared" si="5"/>
        <v>0</v>
      </c>
      <c r="AT28" s="1605"/>
      <c r="AU28" s="1447">
        <f t="shared" si="28"/>
        <v>4178.7</v>
      </c>
      <c r="AV28" s="1447">
        <f t="shared" si="28"/>
        <v>32749</v>
      </c>
      <c r="AW28" s="1495">
        <f t="shared" si="7"/>
        <v>36927.699999999997</v>
      </c>
      <c r="AX28" s="1555">
        <f t="shared" si="27"/>
        <v>2.398035793178229E-3</v>
      </c>
      <c r="AY28" s="1449"/>
    </row>
    <row r="29" spans="1:51" s="1411" customFormat="1" ht="124.95" customHeight="1" outlineLevel="2" x14ac:dyDescent="0.25">
      <c r="A29" s="1587"/>
      <c r="B29" s="1416" t="s">
        <v>31</v>
      </c>
      <c r="C29" s="1503">
        <v>37180</v>
      </c>
      <c r="D29" s="1502">
        <v>228000</v>
      </c>
      <c r="E29" s="1495">
        <f t="shared" si="8"/>
        <v>265180</v>
      </c>
      <c r="F29" s="1555">
        <f t="shared" si="19"/>
        <v>2.2441440517403922E-2</v>
      </c>
      <c r="G29" s="1659">
        <v>51440</v>
      </c>
      <c r="H29" s="1447">
        <v>352650</v>
      </c>
      <c r="I29" s="1567">
        <v>404090</v>
      </c>
      <c r="J29" s="1554">
        <v>2.8524109290186915E-2</v>
      </c>
      <c r="K29" s="1554"/>
      <c r="L29" s="1447"/>
      <c r="M29" s="1447"/>
      <c r="N29" s="1567">
        <f t="shared" si="20"/>
        <v>0</v>
      </c>
      <c r="O29" s="1555">
        <f t="shared" si="10"/>
        <v>0</v>
      </c>
      <c r="P29" s="1605"/>
      <c r="Q29" s="1447"/>
      <c r="R29" s="1447"/>
      <c r="S29" s="1567">
        <f t="shared" si="21"/>
        <v>0</v>
      </c>
      <c r="T29" s="1555" t="e">
        <f t="shared" si="2"/>
        <v>#DIV/0!</v>
      </c>
      <c r="U29" s="1605"/>
      <c r="V29" s="1447"/>
      <c r="W29" s="1447"/>
      <c r="X29" s="1567">
        <f t="shared" si="22"/>
        <v>0</v>
      </c>
      <c r="Y29" s="1555">
        <f t="shared" si="13"/>
        <v>0</v>
      </c>
      <c r="Z29" s="1605"/>
      <c r="AA29" s="1447"/>
      <c r="AB29" s="1447"/>
      <c r="AC29" s="1567">
        <f t="shared" si="23"/>
        <v>0</v>
      </c>
      <c r="AD29" s="1555" t="e">
        <f t="shared" si="3"/>
        <v>#DIV/0!</v>
      </c>
      <c r="AE29" s="1605"/>
      <c r="AF29" s="1447"/>
      <c r="AG29" s="1447"/>
      <c r="AH29" s="1567">
        <f t="shared" si="24"/>
        <v>0</v>
      </c>
      <c r="AI29" s="1555" t="e">
        <f t="shared" si="4"/>
        <v>#DIV/0!</v>
      </c>
      <c r="AJ29" s="1605"/>
      <c r="AK29" s="1447"/>
      <c r="AL29" s="1447"/>
      <c r="AM29" s="1567">
        <f t="shared" si="25"/>
        <v>0</v>
      </c>
      <c r="AN29" s="1555" t="e">
        <f t="shared" si="1"/>
        <v>#DIV/0!</v>
      </c>
      <c r="AO29" s="1605"/>
      <c r="AP29" s="1447"/>
      <c r="AQ29" s="1447"/>
      <c r="AR29" s="1567">
        <f t="shared" si="26"/>
        <v>0</v>
      </c>
      <c r="AS29" s="1893">
        <f t="shared" si="5"/>
        <v>0</v>
      </c>
      <c r="AT29" s="1605"/>
      <c r="AU29" s="1447">
        <f t="shared" si="28"/>
        <v>51440</v>
      </c>
      <c r="AV29" s="1447">
        <f t="shared" si="28"/>
        <v>352650</v>
      </c>
      <c r="AW29" s="1495">
        <f t="shared" si="7"/>
        <v>404090</v>
      </c>
      <c r="AX29" s="1555">
        <f t="shared" si="27"/>
        <v>2.6241067915559069E-2</v>
      </c>
      <c r="AY29" s="1475"/>
    </row>
    <row r="30" spans="1:51" s="1411" customFormat="1" ht="79.95" customHeight="1" outlineLevel="2" x14ac:dyDescent="0.25">
      <c r="A30" s="1587"/>
      <c r="B30" s="1416" t="s">
        <v>62</v>
      </c>
      <c r="C30" s="1503"/>
      <c r="D30" s="1502">
        <v>176400</v>
      </c>
      <c r="E30" s="1495">
        <f t="shared" si="8"/>
        <v>176400</v>
      </c>
      <c r="F30" s="1555">
        <f t="shared" si="19"/>
        <v>1.4928237828154656E-2</v>
      </c>
      <c r="G30" s="1659">
        <v>4030</v>
      </c>
      <c r="H30" s="1447">
        <v>347495</v>
      </c>
      <c r="I30" s="1567">
        <v>351525</v>
      </c>
      <c r="J30" s="1554">
        <v>2.4813624485221005E-2</v>
      </c>
      <c r="K30" s="1554"/>
      <c r="L30" s="1447"/>
      <c r="M30" s="1447"/>
      <c r="N30" s="1567">
        <f t="shared" si="20"/>
        <v>0</v>
      </c>
      <c r="O30" s="1555">
        <f t="shared" si="10"/>
        <v>0</v>
      </c>
      <c r="P30" s="1605"/>
      <c r="Q30" s="1447"/>
      <c r="R30" s="1447"/>
      <c r="S30" s="1567">
        <f t="shared" si="21"/>
        <v>0</v>
      </c>
      <c r="T30" s="1555" t="e">
        <f t="shared" si="2"/>
        <v>#DIV/0!</v>
      </c>
      <c r="U30" s="1605"/>
      <c r="V30" s="1447"/>
      <c r="W30" s="1447"/>
      <c r="X30" s="1567">
        <f t="shared" si="22"/>
        <v>0</v>
      </c>
      <c r="Y30" s="1555">
        <f t="shared" si="13"/>
        <v>0</v>
      </c>
      <c r="Z30" s="1605"/>
      <c r="AA30" s="1447"/>
      <c r="AB30" s="1447"/>
      <c r="AC30" s="1567">
        <f t="shared" si="23"/>
        <v>0</v>
      </c>
      <c r="AD30" s="1555" t="e">
        <f t="shared" si="3"/>
        <v>#DIV/0!</v>
      </c>
      <c r="AE30" s="1605"/>
      <c r="AF30" s="1447"/>
      <c r="AG30" s="1447"/>
      <c r="AH30" s="1567">
        <f t="shared" si="24"/>
        <v>0</v>
      </c>
      <c r="AI30" s="1555" t="e">
        <f t="shared" si="4"/>
        <v>#DIV/0!</v>
      </c>
      <c r="AJ30" s="1605"/>
      <c r="AK30" s="1447"/>
      <c r="AL30" s="1447"/>
      <c r="AM30" s="1567">
        <f t="shared" si="25"/>
        <v>0</v>
      </c>
      <c r="AN30" s="1555" t="e">
        <f t="shared" si="1"/>
        <v>#DIV/0!</v>
      </c>
      <c r="AO30" s="1605"/>
      <c r="AP30" s="1447"/>
      <c r="AQ30" s="1447"/>
      <c r="AR30" s="1567">
        <f t="shared" si="26"/>
        <v>0</v>
      </c>
      <c r="AS30" s="1893">
        <f t="shared" si="5"/>
        <v>0</v>
      </c>
      <c r="AT30" s="1605"/>
      <c r="AU30" s="1447">
        <f t="shared" si="28"/>
        <v>4030</v>
      </c>
      <c r="AV30" s="1447">
        <f t="shared" si="28"/>
        <v>347495</v>
      </c>
      <c r="AW30" s="1495">
        <f t="shared" si="7"/>
        <v>351525</v>
      </c>
      <c r="AX30" s="1555">
        <f t="shared" si="27"/>
        <v>2.2827566628763153E-2</v>
      </c>
      <c r="AY30" s="1475"/>
    </row>
    <row r="31" spans="1:51" s="1411" customFormat="1" ht="105.6" customHeight="1" outlineLevel="2" x14ac:dyDescent="0.25">
      <c r="A31" s="1587"/>
      <c r="B31" s="1416" t="s">
        <v>34</v>
      </c>
      <c r="C31" s="1503"/>
      <c r="D31" s="1502">
        <v>48000</v>
      </c>
      <c r="E31" s="1495">
        <f t="shared" si="8"/>
        <v>48000</v>
      </c>
      <c r="F31" s="1555">
        <f t="shared" si="19"/>
        <v>4.0621055314706547E-3</v>
      </c>
      <c r="G31" s="1659">
        <v>0</v>
      </c>
      <c r="H31" s="1447">
        <v>154888.68</v>
      </c>
      <c r="I31" s="1567">
        <v>154888.68</v>
      </c>
      <c r="J31" s="1554">
        <v>1.0933360479429801E-2</v>
      </c>
      <c r="K31" s="1554"/>
      <c r="L31" s="1447"/>
      <c r="M31" s="1447"/>
      <c r="N31" s="1567">
        <f t="shared" si="20"/>
        <v>0</v>
      </c>
      <c r="O31" s="1555">
        <f t="shared" si="10"/>
        <v>0</v>
      </c>
      <c r="P31" s="1605"/>
      <c r="Q31" s="1447"/>
      <c r="R31" s="1447"/>
      <c r="S31" s="1567">
        <f t="shared" si="21"/>
        <v>0</v>
      </c>
      <c r="T31" s="1555" t="e">
        <f t="shared" si="2"/>
        <v>#DIV/0!</v>
      </c>
      <c r="U31" s="1605"/>
      <c r="V31" s="1447"/>
      <c r="W31" s="1447"/>
      <c r="X31" s="1567">
        <f t="shared" si="22"/>
        <v>0</v>
      </c>
      <c r="Y31" s="1555">
        <f t="shared" si="13"/>
        <v>0</v>
      </c>
      <c r="Z31" s="1605"/>
      <c r="AA31" s="1447"/>
      <c r="AB31" s="1447"/>
      <c r="AC31" s="1567">
        <f t="shared" si="23"/>
        <v>0</v>
      </c>
      <c r="AD31" s="1555" t="e">
        <f t="shared" si="3"/>
        <v>#DIV/0!</v>
      </c>
      <c r="AE31" s="1605"/>
      <c r="AF31" s="1447"/>
      <c r="AG31" s="1447"/>
      <c r="AH31" s="1567">
        <f t="shared" si="24"/>
        <v>0</v>
      </c>
      <c r="AI31" s="1555" t="e">
        <f t="shared" si="4"/>
        <v>#DIV/0!</v>
      </c>
      <c r="AJ31" s="1605"/>
      <c r="AK31" s="1447"/>
      <c r="AL31" s="1447"/>
      <c r="AM31" s="1567">
        <f t="shared" si="25"/>
        <v>0</v>
      </c>
      <c r="AN31" s="1555" t="e">
        <f t="shared" si="1"/>
        <v>#DIV/0!</v>
      </c>
      <c r="AO31" s="1605"/>
      <c r="AP31" s="1447"/>
      <c r="AQ31" s="1447"/>
      <c r="AR31" s="1567">
        <f t="shared" si="26"/>
        <v>0</v>
      </c>
      <c r="AS31" s="1893">
        <f t="shared" si="5"/>
        <v>0</v>
      </c>
      <c r="AT31" s="1605"/>
      <c r="AU31" s="1447">
        <f t="shared" si="28"/>
        <v>0</v>
      </c>
      <c r="AV31" s="1447">
        <f t="shared" si="28"/>
        <v>154888.68</v>
      </c>
      <c r="AW31" s="1495">
        <f t="shared" si="7"/>
        <v>154888.68</v>
      </c>
      <c r="AX31" s="1555">
        <f t="shared" si="27"/>
        <v>1.0058265166748239E-2</v>
      </c>
      <c r="AY31" s="1475"/>
    </row>
    <row r="32" spans="1:51" s="1411" customFormat="1" ht="14.4" customHeight="1" outlineLevel="2" x14ac:dyDescent="0.25">
      <c r="A32" s="1587"/>
      <c r="B32" s="1440" t="s">
        <v>2</v>
      </c>
      <c r="C32" s="1504"/>
      <c r="D32" s="1505"/>
      <c r="E32" s="1495">
        <f t="shared" si="8"/>
        <v>0</v>
      </c>
      <c r="F32" s="1555">
        <f t="shared" si="19"/>
        <v>0</v>
      </c>
      <c r="G32" s="1659">
        <v>0</v>
      </c>
      <c r="H32" s="1447">
        <v>0</v>
      </c>
      <c r="I32" s="1567">
        <v>0</v>
      </c>
      <c r="J32" s="1554">
        <v>0</v>
      </c>
      <c r="K32" s="1554"/>
      <c r="L32" s="1447"/>
      <c r="M32" s="1447"/>
      <c r="N32" s="1567">
        <f t="shared" si="20"/>
        <v>0</v>
      </c>
      <c r="O32" s="1555">
        <f t="shared" si="10"/>
        <v>0</v>
      </c>
      <c r="P32" s="1618"/>
      <c r="Q32" s="1447"/>
      <c r="R32" s="1447"/>
      <c r="S32" s="1567">
        <f t="shared" si="21"/>
        <v>0</v>
      </c>
      <c r="T32" s="1555" t="e">
        <f t="shared" si="2"/>
        <v>#DIV/0!</v>
      </c>
      <c r="U32" s="1618"/>
      <c r="V32" s="1447"/>
      <c r="W32" s="1447"/>
      <c r="X32" s="1567">
        <f t="shared" si="22"/>
        <v>0</v>
      </c>
      <c r="Y32" s="1555">
        <f t="shared" si="13"/>
        <v>0</v>
      </c>
      <c r="Z32" s="1618"/>
      <c r="AA32" s="1447"/>
      <c r="AB32" s="1447"/>
      <c r="AC32" s="1567">
        <f t="shared" si="23"/>
        <v>0</v>
      </c>
      <c r="AD32" s="1555" t="e">
        <f t="shared" si="3"/>
        <v>#DIV/0!</v>
      </c>
      <c r="AE32" s="1618"/>
      <c r="AF32" s="1447"/>
      <c r="AG32" s="1447"/>
      <c r="AH32" s="1567">
        <f t="shared" si="24"/>
        <v>0</v>
      </c>
      <c r="AI32" s="1555" t="e">
        <f t="shared" si="4"/>
        <v>#DIV/0!</v>
      </c>
      <c r="AJ32" s="1618"/>
      <c r="AK32" s="1447"/>
      <c r="AL32" s="1447"/>
      <c r="AM32" s="1567">
        <f t="shared" si="25"/>
        <v>0</v>
      </c>
      <c r="AN32" s="1555" t="e">
        <f t="shared" si="1"/>
        <v>#DIV/0!</v>
      </c>
      <c r="AO32" s="1618"/>
      <c r="AP32" s="1447"/>
      <c r="AQ32" s="1447"/>
      <c r="AR32" s="1567">
        <f t="shared" si="26"/>
        <v>0</v>
      </c>
      <c r="AS32" s="1893">
        <f t="shared" si="5"/>
        <v>0</v>
      </c>
      <c r="AT32" s="1928"/>
      <c r="AU32" s="1447">
        <f t="shared" si="28"/>
        <v>0</v>
      </c>
      <c r="AV32" s="1447">
        <f t="shared" si="28"/>
        <v>0</v>
      </c>
      <c r="AW32" s="1495">
        <f t="shared" si="7"/>
        <v>0</v>
      </c>
      <c r="AX32" s="1555">
        <f t="shared" si="27"/>
        <v>0</v>
      </c>
      <c r="AY32" s="1475"/>
    </row>
    <row r="33" spans="1:51" s="1411" customFormat="1" ht="33.6" customHeight="1" outlineLevel="2" thickBot="1" x14ac:dyDescent="0.3">
      <c r="A33" s="1600"/>
      <c r="B33" s="1390" t="s">
        <v>75</v>
      </c>
      <c r="C33" s="1641"/>
      <c r="D33" s="1642"/>
      <c r="E33" s="1643">
        <f t="shared" si="8"/>
        <v>0</v>
      </c>
      <c r="F33" s="1565">
        <f t="shared" si="19"/>
        <v>0</v>
      </c>
      <c r="G33" s="1659">
        <v>0</v>
      </c>
      <c r="H33" s="1447">
        <v>11200</v>
      </c>
      <c r="I33" s="1567">
        <v>11200</v>
      </c>
      <c r="J33" s="1679">
        <v>7.9059126444627054E-4</v>
      </c>
      <c r="K33" s="1679"/>
      <c r="L33" s="1644"/>
      <c r="M33" s="1644"/>
      <c r="N33" s="1645">
        <f t="shared" si="20"/>
        <v>0</v>
      </c>
      <c r="O33" s="1565">
        <f t="shared" si="10"/>
        <v>0</v>
      </c>
      <c r="P33" s="1690"/>
      <c r="Q33" s="1644"/>
      <c r="R33" s="1644"/>
      <c r="S33" s="1645">
        <f t="shared" si="21"/>
        <v>0</v>
      </c>
      <c r="T33" s="1565" t="e">
        <f t="shared" si="2"/>
        <v>#DIV/0!</v>
      </c>
      <c r="U33" s="1690"/>
      <c r="V33" s="1644"/>
      <c r="W33" s="1644"/>
      <c r="X33" s="1645">
        <f t="shared" si="22"/>
        <v>0</v>
      </c>
      <c r="Y33" s="1565">
        <f t="shared" si="13"/>
        <v>0</v>
      </c>
      <c r="Z33" s="1690"/>
      <c r="AA33" s="1644"/>
      <c r="AB33" s="1644"/>
      <c r="AC33" s="1645">
        <f t="shared" si="23"/>
        <v>0</v>
      </c>
      <c r="AD33" s="1565" t="e">
        <f t="shared" si="3"/>
        <v>#DIV/0!</v>
      </c>
      <c r="AE33" s="1690"/>
      <c r="AF33" s="1644"/>
      <c r="AG33" s="1644"/>
      <c r="AH33" s="1645">
        <f t="shared" si="24"/>
        <v>0</v>
      </c>
      <c r="AI33" s="1565" t="e">
        <f t="shared" si="4"/>
        <v>#DIV/0!</v>
      </c>
      <c r="AJ33" s="1690"/>
      <c r="AK33" s="1644"/>
      <c r="AL33" s="1644"/>
      <c r="AM33" s="1645">
        <f t="shared" si="25"/>
        <v>0</v>
      </c>
      <c r="AN33" s="1565" t="e">
        <f>AM33/$AH$89</f>
        <v>#DIV/0!</v>
      </c>
      <c r="AO33" s="1690"/>
      <c r="AP33" s="1644"/>
      <c r="AQ33" s="1644"/>
      <c r="AR33" s="1645">
        <f t="shared" si="26"/>
        <v>0</v>
      </c>
      <c r="AS33" s="1565">
        <f t="shared" si="5"/>
        <v>0</v>
      </c>
      <c r="AT33" s="1690"/>
      <c r="AU33" s="1447">
        <f t="shared" si="28"/>
        <v>0</v>
      </c>
      <c r="AV33" s="1447">
        <f t="shared" si="28"/>
        <v>11200</v>
      </c>
      <c r="AW33" s="1643">
        <f t="shared" si="7"/>
        <v>11200</v>
      </c>
      <c r="AX33" s="1565">
        <f t="shared" si="27"/>
        <v>7.2731312493321183E-4</v>
      </c>
      <c r="AY33" s="1646"/>
    </row>
    <row r="34" spans="1:51" s="1411" customFormat="1" ht="13.8" outlineLevel="2" x14ac:dyDescent="0.25">
      <c r="A34" s="1587"/>
      <c r="B34" s="1631"/>
      <c r="C34" s="1632"/>
      <c r="D34" s="1633"/>
      <c r="E34" s="1634"/>
      <c r="F34" s="1635"/>
      <c r="G34" s="1733"/>
      <c r="H34" s="1635"/>
      <c r="I34" s="1635"/>
      <c r="J34" s="1635"/>
      <c r="K34" s="1635"/>
      <c r="L34" s="1447"/>
      <c r="M34" s="1447"/>
      <c r="N34" s="1634"/>
      <c r="O34" s="1634"/>
      <c r="P34" s="1634"/>
      <c r="Q34" s="1447"/>
      <c r="R34" s="1447"/>
      <c r="S34" s="1634"/>
      <c r="T34" s="1554" t="e">
        <f t="shared" si="2"/>
        <v>#DIV/0!</v>
      </c>
      <c r="U34" s="1634"/>
      <c r="V34" s="1447"/>
      <c r="W34" s="1447"/>
      <c r="X34" s="1634"/>
      <c r="Y34" s="1554" t="e">
        <f t="shared" ref="Y34:Y53" si="29">X34/$S$89</f>
        <v>#DIV/0!</v>
      </c>
      <c r="Z34" s="1634"/>
      <c r="AA34" s="1447"/>
      <c r="AB34" s="1447"/>
      <c r="AC34" s="1634"/>
      <c r="AD34" s="1554" t="e">
        <f t="shared" si="3"/>
        <v>#DIV/0!</v>
      </c>
      <c r="AE34" s="1634"/>
      <c r="AF34" s="1447"/>
      <c r="AG34" s="1447"/>
      <c r="AH34" s="1634"/>
      <c r="AI34" s="1554" t="e">
        <f t="shared" ref="AI34:AI53" si="30">AH34/$AC$89</f>
        <v>#DIV/0!</v>
      </c>
      <c r="AJ34" s="1634"/>
      <c r="AK34" s="1447"/>
      <c r="AL34" s="1447"/>
      <c r="AM34" s="1634"/>
      <c r="AN34" s="1554" t="e">
        <f t="shared" ref="AN34:AN40" si="31">AM34/$AC$89</f>
        <v>#DIV/0!</v>
      </c>
      <c r="AO34" s="1634"/>
      <c r="AP34" s="1447"/>
      <c r="AQ34" s="1447"/>
      <c r="AR34" s="1634"/>
      <c r="AS34" s="1554" t="e">
        <f t="shared" ref="AS34:AS40" si="32">AR34/$AC$89</f>
        <v>#DIV/0!</v>
      </c>
      <c r="AT34" s="1634"/>
      <c r="AU34" s="1447"/>
      <c r="AV34" s="1447"/>
      <c r="AW34" s="1634"/>
      <c r="AX34" s="1634"/>
      <c r="AY34" s="1634"/>
    </row>
    <row r="35" spans="1:51" s="1482" customFormat="1" ht="13.8" outlineLevel="1" x14ac:dyDescent="0.25">
      <c r="A35" s="1587"/>
      <c r="B35" s="1483" t="s">
        <v>80</v>
      </c>
      <c r="C35" s="1484">
        <f>C36</f>
        <v>0</v>
      </c>
      <c r="D35" s="1484">
        <f>D36</f>
        <v>0</v>
      </c>
      <c r="E35" s="1485">
        <f>E36</f>
        <v>0</v>
      </c>
      <c r="F35" s="1544">
        <f>E35/$E$89</f>
        <v>0</v>
      </c>
      <c r="G35" s="1722">
        <v>0</v>
      </c>
      <c r="H35" s="1722">
        <v>0</v>
      </c>
      <c r="I35" s="1722">
        <v>0</v>
      </c>
      <c r="J35" s="1722"/>
      <c r="K35" s="1544"/>
      <c r="L35" s="1484">
        <f>L36</f>
        <v>0</v>
      </c>
      <c r="M35" s="1484">
        <f>M36</f>
        <v>0</v>
      </c>
      <c r="N35" s="1485">
        <f>N36</f>
        <v>0</v>
      </c>
      <c r="O35" s="1485"/>
      <c r="P35" s="1485"/>
      <c r="Q35" s="1484">
        <f>Q36</f>
        <v>0</v>
      </c>
      <c r="R35" s="1484">
        <f>R36</f>
        <v>0</v>
      </c>
      <c r="S35" s="1485">
        <f>S36</f>
        <v>0</v>
      </c>
      <c r="T35" s="1648" t="e">
        <f t="shared" si="2"/>
        <v>#DIV/0!</v>
      </c>
      <c r="U35" s="1485"/>
      <c r="V35" s="1484">
        <f>V36</f>
        <v>0</v>
      </c>
      <c r="W35" s="1484">
        <f>W36</f>
        <v>0</v>
      </c>
      <c r="X35" s="1485">
        <f>X36</f>
        <v>0</v>
      </c>
      <c r="Y35" s="1648" t="e">
        <f t="shared" si="29"/>
        <v>#DIV/0!</v>
      </c>
      <c r="Z35" s="1485"/>
      <c r="AA35" s="1484">
        <f>AA36</f>
        <v>0</v>
      </c>
      <c r="AB35" s="1484">
        <f>AB36</f>
        <v>0</v>
      </c>
      <c r="AC35" s="1485">
        <f>AC36</f>
        <v>0</v>
      </c>
      <c r="AD35" s="1648" t="e">
        <f t="shared" si="3"/>
        <v>#DIV/0!</v>
      </c>
      <c r="AE35" s="1485"/>
      <c r="AF35" s="1484">
        <f>AF36</f>
        <v>0</v>
      </c>
      <c r="AG35" s="1484">
        <f>AG36</f>
        <v>0</v>
      </c>
      <c r="AH35" s="1485">
        <f>AH36</f>
        <v>0</v>
      </c>
      <c r="AI35" s="1648" t="e">
        <f t="shared" si="30"/>
        <v>#DIV/0!</v>
      </c>
      <c r="AJ35" s="1485"/>
      <c r="AK35" s="1484">
        <f>AK36</f>
        <v>0</v>
      </c>
      <c r="AL35" s="1484">
        <f>AL36</f>
        <v>0</v>
      </c>
      <c r="AM35" s="1485">
        <f>AM36</f>
        <v>0</v>
      </c>
      <c r="AN35" s="1648" t="e">
        <f t="shared" si="31"/>
        <v>#DIV/0!</v>
      </c>
      <c r="AO35" s="1485"/>
      <c r="AP35" s="1898">
        <f>AP36</f>
        <v>0</v>
      </c>
      <c r="AQ35" s="1898">
        <f>AQ36</f>
        <v>0</v>
      </c>
      <c r="AR35" s="1899">
        <f>AR36</f>
        <v>0</v>
      </c>
      <c r="AS35" s="1941" t="e">
        <f t="shared" si="32"/>
        <v>#DIV/0!</v>
      </c>
      <c r="AT35" s="1899"/>
      <c r="AU35" s="1484">
        <f>AU36</f>
        <v>0</v>
      </c>
      <c r="AV35" s="1484">
        <f>AV36</f>
        <v>0</v>
      </c>
      <c r="AW35" s="1485">
        <f>AW36</f>
        <v>0</v>
      </c>
      <c r="AX35" s="1485"/>
      <c r="AY35" s="1485"/>
    </row>
    <row r="36" spans="1:51" s="1579" customFormat="1" ht="13.8" outlineLevel="3" x14ac:dyDescent="0.25">
      <c r="A36" s="1587"/>
      <c r="B36" s="1427" t="s">
        <v>81</v>
      </c>
      <c r="C36" s="1664"/>
      <c r="D36" s="1452"/>
      <c r="E36" s="1495">
        <f>C36+D36</f>
        <v>0</v>
      </c>
      <c r="F36" s="1555">
        <f>E36/$E$89</f>
        <v>0</v>
      </c>
      <c r="G36" s="1714">
        <v>0</v>
      </c>
      <c r="H36" s="1554">
        <v>0</v>
      </c>
      <c r="I36" s="1554">
        <v>0</v>
      </c>
      <c r="J36" s="1554">
        <v>0</v>
      </c>
      <c r="K36" s="1554"/>
      <c r="L36" s="1447"/>
      <c r="M36" s="1447"/>
      <c r="N36" s="1495">
        <f>L36+M36*1</f>
        <v>0</v>
      </c>
      <c r="O36" s="1555">
        <f>N36/$N$89</f>
        <v>0</v>
      </c>
      <c r="P36" s="1605"/>
      <c r="Q36" s="1447"/>
      <c r="R36" s="1447"/>
      <c r="S36" s="1495">
        <f>Q36+R36*1</f>
        <v>0</v>
      </c>
      <c r="T36" s="1555" t="e">
        <f t="shared" si="2"/>
        <v>#DIV/0!</v>
      </c>
      <c r="U36" s="1605"/>
      <c r="V36" s="1447"/>
      <c r="W36" s="1447"/>
      <c r="X36" s="1495">
        <f>V36+W36*1</f>
        <v>0</v>
      </c>
      <c r="Y36" s="1555" t="e">
        <f t="shared" si="29"/>
        <v>#DIV/0!</v>
      </c>
      <c r="Z36" s="1605"/>
      <c r="AA36" s="1447"/>
      <c r="AB36" s="1447"/>
      <c r="AC36" s="1495">
        <f>AA36+AB36*1</f>
        <v>0</v>
      </c>
      <c r="AD36" s="1555" t="e">
        <f t="shared" si="3"/>
        <v>#DIV/0!</v>
      </c>
      <c r="AE36" s="1605"/>
      <c r="AF36" s="1447"/>
      <c r="AG36" s="1447"/>
      <c r="AH36" s="1495">
        <f>AF36+AG36*1</f>
        <v>0</v>
      </c>
      <c r="AI36" s="1555" t="e">
        <f t="shared" si="30"/>
        <v>#DIV/0!</v>
      </c>
      <c r="AJ36" s="1605"/>
      <c r="AK36" s="1447"/>
      <c r="AL36" s="1447"/>
      <c r="AM36" s="1495">
        <f>AK36+AL36*1</f>
        <v>0</v>
      </c>
      <c r="AN36" s="1555" t="e">
        <f t="shared" si="31"/>
        <v>#DIV/0!</v>
      </c>
      <c r="AO36" s="1605"/>
      <c r="AP36" s="1447"/>
      <c r="AQ36" s="1447"/>
      <c r="AR36" s="1495">
        <f>AP36+AQ36*1</f>
        <v>0</v>
      </c>
      <c r="AS36" s="1893" t="e">
        <f t="shared" si="32"/>
        <v>#DIV/0!</v>
      </c>
      <c r="AT36" s="1605"/>
      <c r="AU36" s="1447">
        <f>G36+L36+Q36+V36+AA36+AF36+AK36+AP36</f>
        <v>0</v>
      </c>
      <c r="AV36" s="1447">
        <f>H36+M36+R36+W36+AB36+AG36+AL36+AQ36</f>
        <v>0</v>
      </c>
      <c r="AW36" s="1495">
        <f>AU36+AV36</f>
        <v>0</v>
      </c>
      <c r="AX36" s="1555">
        <f>AW36/$AW$89</f>
        <v>0</v>
      </c>
      <c r="AY36" s="1450"/>
    </row>
    <row r="37" spans="1:51" s="1411" customFormat="1" ht="14.4" outlineLevel="1" thickBot="1" x14ac:dyDescent="0.3">
      <c r="A37" s="1413"/>
      <c r="B37" s="1422"/>
      <c r="C37" s="1453"/>
      <c r="D37" s="1377"/>
      <c r="E37" s="1454"/>
      <c r="F37" s="1557"/>
      <c r="G37" s="1734"/>
      <c r="H37" s="1723"/>
      <c r="I37" s="1723"/>
      <c r="J37" s="1723"/>
      <c r="K37" s="1723"/>
      <c r="L37" s="1447"/>
      <c r="M37" s="1447"/>
      <c r="N37" s="1454"/>
      <c r="O37" s="1454"/>
      <c r="P37" s="1454"/>
      <c r="Q37" s="1447"/>
      <c r="R37" s="1447"/>
      <c r="S37" s="1454"/>
      <c r="T37" s="1555" t="e">
        <f t="shared" si="2"/>
        <v>#DIV/0!</v>
      </c>
      <c r="U37" s="1454"/>
      <c r="V37" s="1447"/>
      <c r="W37" s="1447"/>
      <c r="X37" s="1454"/>
      <c r="Y37" s="1555" t="e">
        <f t="shared" si="29"/>
        <v>#DIV/0!</v>
      </c>
      <c r="Z37" s="1454"/>
      <c r="AA37" s="1447"/>
      <c r="AB37" s="1447"/>
      <c r="AC37" s="1454"/>
      <c r="AD37" s="1555" t="e">
        <f t="shared" si="3"/>
        <v>#DIV/0!</v>
      </c>
      <c r="AE37" s="1454"/>
      <c r="AF37" s="1447"/>
      <c r="AG37" s="1447"/>
      <c r="AH37" s="1454"/>
      <c r="AI37" s="1555" t="e">
        <f t="shared" si="30"/>
        <v>#DIV/0!</v>
      </c>
      <c r="AJ37" s="1454"/>
      <c r="AK37" s="1447"/>
      <c r="AL37" s="1447"/>
      <c r="AM37" s="1454"/>
      <c r="AN37" s="1555" t="e">
        <f t="shared" si="31"/>
        <v>#DIV/0!</v>
      </c>
      <c r="AO37" s="1454"/>
      <c r="AP37" s="1447"/>
      <c r="AQ37" s="1447"/>
      <c r="AR37" s="1454"/>
      <c r="AS37" s="1893" t="e">
        <f t="shared" si="32"/>
        <v>#DIV/0!</v>
      </c>
      <c r="AT37" s="1454"/>
      <c r="AU37" s="1447">
        <f>G37+L37+Q37+V37+AA37+AF37+AK37+AP37</f>
        <v>0</v>
      </c>
      <c r="AV37" s="1447">
        <f>H37+M37+R37+W37+AB37+AG37+AL37+AQ37</f>
        <v>0</v>
      </c>
      <c r="AW37" s="1454"/>
      <c r="AX37" s="1454"/>
      <c r="AY37" s="1454"/>
    </row>
    <row r="38" spans="1:51" ht="14.4" thickBot="1" x14ac:dyDescent="0.3">
      <c r="A38" s="1441"/>
      <c r="B38" s="1442" t="s">
        <v>46</v>
      </c>
      <c r="C38" s="1455">
        <f>(C5)-(C8)</f>
        <v>9240065</v>
      </c>
      <c r="D38" s="1455">
        <f>(D5)-(D8)</f>
        <v>-3069265</v>
      </c>
      <c r="E38" s="1455">
        <f>(E5)-(E8)</f>
        <v>6170800</v>
      </c>
      <c r="F38" s="1545"/>
      <c r="G38" s="1545">
        <v>8624220.352</v>
      </c>
      <c r="H38" s="1545">
        <v>-4662599.3900000006</v>
      </c>
      <c r="I38" s="1545">
        <v>3961620.9619999975</v>
      </c>
      <c r="J38" s="1545"/>
      <c r="K38" s="1545"/>
      <c r="L38" s="1455">
        <f>(L5)-(L8)</f>
        <v>1823124</v>
      </c>
      <c r="M38" s="1455">
        <f>(M5)-(M8)</f>
        <v>0</v>
      </c>
      <c r="N38" s="1455">
        <f>(N5)-(N8)</f>
        <v>1823124</v>
      </c>
      <c r="O38" s="1455"/>
      <c r="P38" s="1455"/>
      <c r="Q38" s="1455">
        <f>(Q5)-(Q8)</f>
        <v>0</v>
      </c>
      <c r="R38" s="1455">
        <f>(R5)-(R8)</f>
        <v>0</v>
      </c>
      <c r="S38" s="1455">
        <f>(S5)-(S8)</f>
        <v>0</v>
      </c>
      <c r="T38" s="1649" t="e">
        <f t="shared" si="2"/>
        <v>#DIV/0!</v>
      </c>
      <c r="U38" s="1455"/>
      <c r="V38" s="1455">
        <f>(V5)-(V8)</f>
        <v>-6091.079999999999</v>
      </c>
      <c r="W38" s="1455">
        <f>(W5)-(W8)</f>
        <v>0</v>
      </c>
      <c r="X38" s="1455">
        <f>(X5)-(X8)</f>
        <v>-6091.079999999999</v>
      </c>
      <c r="Y38" s="1649" t="e">
        <f t="shared" si="29"/>
        <v>#DIV/0!</v>
      </c>
      <c r="Z38" s="1455"/>
      <c r="AA38" s="1455">
        <f>(AA5)-(AA8)</f>
        <v>0</v>
      </c>
      <c r="AB38" s="1455">
        <f>(AB5)-(AB8)</f>
        <v>0</v>
      </c>
      <c r="AC38" s="1455">
        <f>(AC5)-(AC8)</f>
        <v>0</v>
      </c>
      <c r="AD38" s="1649" t="e">
        <f t="shared" si="3"/>
        <v>#DIV/0!</v>
      </c>
      <c r="AE38" s="1455"/>
      <c r="AF38" s="1455">
        <f>(AF5)-(AF8)</f>
        <v>1188021.99</v>
      </c>
      <c r="AG38" s="1455">
        <f>(AG5)-(AG8)</f>
        <v>0</v>
      </c>
      <c r="AH38" s="1455">
        <f>(AH5)-(AH8)</f>
        <v>1188021.99</v>
      </c>
      <c r="AI38" s="1649" t="e">
        <f t="shared" si="30"/>
        <v>#DIV/0!</v>
      </c>
      <c r="AJ38" s="1455"/>
      <c r="AK38" s="1455">
        <f>(AK5)-(AK8)</f>
        <v>0</v>
      </c>
      <c r="AL38" s="1455">
        <f>(AL5)-(AL8)</f>
        <v>0</v>
      </c>
      <c r="AM38" s="1455">
        <f>(AM5)-(AM8)</f>
        <v>0</v>
      </c>
      <c r="AN38" s="1649" t="e">
        <f t="shared" si="31"/>
        <v>#DIV/0!</v>
      </c>
      <c r="AO38" s="1455"/>
      <c r="AP38" s="1455">
        <f>(AP5)-(AP8)</f>
        <v>-1225506.6599999999</v>
      </c>
      <c r="AQ38" s="1455">
        <f>(AQ5)-(AQ8)</f>
        <v>0</v>
      </c>
      <c r="AR38" s="1455">
        <f>(AR5)-(AR8)</f>
        <v>-1225506.6599999999</v>
      </c>
      <c r="AS38" s="1955" t="e">
        <f t="shared" si="32"/>
        <v>#DIV/0!</v>
      </c>
      <c r="AT38" s="1455"/>
      <c r="AU38" s="1455">
        <f>(AU5)-(AU8)</f>
        <v>10403768.601999998</v>
      </c>
      <c r="AV38" s="1455">
        <f>(AV5)-(AV8)</f>
        <v>-4662599.3900000006</v>
      </c>
      <c r="AW38" s="1455">
        <f>(AW5)-(AW8)</f>
        <v>5741169.2119999975</v>
      </c>
      <c r="AX38" s="1455"/>
      <c r="AY38" s="1455"/>
    </row>
    <row r="39" spans="1:51" ht="13.8" x14ac:dyDescent="0.25">
      <c r="A39" s="1580"/>
      <c r="B39" s="1423" t="s">
        <v>47</v>
      </c>
      <c r="C39" s="1540">
        <f>C38/(C5)</f>
        <v>0.54885193338267424</v>
      </c>
      <c r="D39" s="1540" t="e">
        <f>D38/(D5)</f>
        <v>#DIV/0!</v>
      </c>
      <c r="E39" s="1541">
        <f>E38/(E5)</f>
        <v>0.36654022569298012</v>
      </c>
      <c r="F39" s="1546"/>
      <c r="G39" s="1724">
        <v>0.49826353223134612</v>
      </c>
      <c r="H39" s="1724" t="e">
        <v>#DIV/0!</v>
      </c>
      <c r="I39" s="1724">
        <v>0.22888228423223178</v>
      </c>
      <c r="J39" s="1724"/>
      <c r="K39" s="1546"/>
      <c r="L39" s="1456">
        <f>L38/(L5)</f>
        <v>0.99948768090497098</v>
      </c>
      <c r="M39" s="1456" t="e">
        <f>M38/(M5)</f>
        <v>#DIV/0!</v>
      </c>
      <c r="N39" s="1457">
        <f>N38/(N5)</f>
        <v>0.99948768090497098</v>
      </c>
      <c r="O39" s="1457"/>
      <c r="P39" s="1457"/>
      <c r="Q39" s="1456" t="e">
        <f>Q38/(Q5)</f>
        <v>#DIV/0!</v>
      </c>
      <c r="R39" s="1456" t="e">
        <f>R38/(R5)</f>
        <v>#DIV/0!</v>
      </c>
      <c r="S39" s="1457" t="e">
        <f>S38/(S5)</f>
        <v>#DIV/0!</v>
      </c>
      <c r="T39" s="1650" t="e">
        <f t="shared" si="2"/>
        <v>#DIV/0!</v>
      </c>
      <c r="U39" s="1457"/>
      <c r="V39" s="1456" t="e">
        <f>V38/(V5)</f>
        <v>#DIV/0!</v>
      </c>
      <c r="W39" s="1456" t="e">
        <f>W38/(W5)</f>
        <v>#DIV/0!</v>
      </c>
      <c r="X39" s="1457" t="e">
        <f>X38/(X5)</f>
        <v>#DIV/0!</v>
      </c>
      <c r="Y39" s="1650" t="e">
        <f t="shared" si="29"/>
        <v>#DIV/0!</v>
      </c>
      <c r="Z39" s="1457"/>
      <c r="AA39" s="1456" t="e">
        <f>AA38/(AA5)</f>
        <v>#DIV/0!</v>
      </c>
      <c r="AB39" s="1456" t="e">
        <f>AB38/(AB5)</f>
        <v>#DIV/0!</v>
      </c>
      <c r="AC39" s="1457" t="e">
        <f>AC38/(AC5)</f>
        <v>#DIV/0!</v>
      </c>
      <c r="AD39" s="1650" t="e">
        <f t="shared" si="3"/>
        <v>#DIV/0!</v>
      </c>
      <c r="AE39" s="1457"/>
      <c r="AF39" s="1456">
        <f>AF38/(AF5)</f>
        <v>1</v>
      </c>
      <c r="AG39" s="1456" t="e">
        <f>AG38/(AG5)</f>
        <v>#DIV/0!</v>
      </c>
      <c r="AH39" s="1457">
        <f>AH38/(AH5)</f>
        <v>1</v>
      </c>
      <c r="AI39" s="1650" t="e">
        <f t="shared" si="30"/>
        <v>#DIV/0!</v>
      </c>
      <c r="AJ39" s="1457"/>
      <c r="AK39" s="1456" t="e">
        <f>AK38/(AK5)</f>
        <v>#DIV/0!</v>
      </c>
      <c r="AL39" s="1456" t="e">
        <f>AL38/(AL5)</f>
        <v>#DIV/0!</v>
      </c>
      <c r="AM39" s="1457" t="e">
        <f>AM38/(AM5)</f>
        <v>#DIV/0!</v>
      </c>
      <c r="AN39" s="1650" t="e">
        <f t="shared" si="31"/>
        <v>#DIV/0!</v>
      </c>
      <c r="AO39" s="1457"/>
      <c r="AP39" s="1456" t="e">
        <f>AP38/(AP5)</f>
        <v>#DIV/0!</v>
      </c>
      <c r="AQ39" s="1456" t="e">
        <f>AQ38/(AQ5)</f>
        <v>#DIV/0!</v>
      </c>
      <c r="AR39" s="1457" t="e">
        <f>AR38/(AR5)</f>
        <v>#DIV/0!</v>
      </c>
      <c r="AS39" s="1956" t="e">
        <f t="shared" si="32"/>
        <v>#DIV/0!</v>
      </c>
      <c r="AT39" s="1457"/>
      <c r="AU39" s="1456">
        <f>AU38/(AU5)</f>
        <v>0.5119805453813262</v>
      </c>
      <c r="AV39" s="1456" t="e">
        <f>AV38/(AV5)</f>
        <v>#DIV/0!</v>
      </c>
      <c r="AW39" s="1457">
        <f>AW38/(AW5)</f>
        <v>0.28252905814544738</v>
      </c>
      <c r="AX39" s="1457"/>
      <c r="AY39" s="1457"/>
    </row>
    <row r="40" spans="1:51" ht="14.4" outlineLevel="1" thickBot="1" x14ac:dyDescent="0.3">
      <c r="A40" s="1582"/>
      <c r="B40" s="1424"/>
      <c r="C40" s="1458"/>
      <c r="D40" s="1378"/>
      <c r="E40" s="1459"/>
      <c r="F40" s="1547"/>
      <c r="G40" s="1394"/>
      <c r="H40" s="1547"/>
      <c r="I40" s="1547"/>
      <c r="J40" s="1547"/>
      <c r="K40" s="1547"/>
      <c r="L40" s="1459"/>
      <c r="M40" s="1459"/>
      <c r="N40" s="1459"/>
      <c r="O40" s="1459"/>
      <c r="P40" s="1459"/>
      <c r="Q40" s="1459"/>
      <c r="R40" s="1459"/>
      <c r="S40" s="1459"/>
      <c r="T40" s="1555" t="e">
        <f t="shared" si="2"/>
        <v>#DIV/0!</v>
      </c>
      <c r="U40" s="1459"/>
      <c r="V40" s="1459"/>
      <c r="W40" s="1459"/>
      <c r="X40" s="1459"/>
      <c r="Y40" s="1555" t="e">
        <f t="shared" si="29"/>
        <v>#DIV/0!</v>
      </c>
      <c r="Z40" s="1459"/>
      <c r="AA40" s="1459"/>
      <c r="AB40" s="1459"/>
      <c r="AC40" s="1459"/>
      <c r="AD40" s="1555" t="e">
        <f t="shared" si="3"/>
        <v>#DIV/0!</v>
      </c>
      <c r="AE40" s="1459"/>
      <c r="AF40" s="1459"/>
      <c r="AG40" s="1459"/>
      <c r="AH40" s="1459"/>
      <c r="AI40" s="1555" t="e">
        <f t="shared" si="30"/>
        <v>#DIV/0!</v>
      </c>
      <c r="AJ40" s="1459"/>
      <c r="AK40" s="1459"/>
      <c r="AL40" s="1459"/>
      <c r="AM40" s="1459"/>
      <c r="AN40" s="1555" t="e">
        <f t="shared" si="31"/>
        <v>#DIV/0!</v>
      </c>
      <c r="AO40" s="1459"/>
      <c r="AP40" s="1459"/>
      <c r="AQ40" s="1459"/>
      <c r="AR40" s="1459"/>
      <c r="AS40" s="1893" t="e">
        <f t="shared" si="32"/>
        <v>#DIV/0!</v>
      </c>
      <c r="AT40" s="1459"/>
      <c r="AU40" s="1459"/>
      <c r="AV40" s="1459"/>
      <c r="AW40" s="1459"/>
      <c r="AX40" s="1459"/>
      <c r="AY40" s="1459"/>
    </row>
    <row r="41" spans="1:51" ht="13.8" outlineLevel="1" x14ac:dyDescent="0.25">
      <c r="A41" s="1420"/>
      <c r="B41" s="1430" t="s">
        <v>26</v>
      </c>
      <c r="C41" s="1506">
        <f>SUM(C42:C48)</f>
        <v>32500</v>
      </c>
      <c r="D41" s="1506">
        <f>SUM(D42:D48)</f>
        <v>4000</v>
      </c>
      <c r="E41" s="1507">
        <f>SUM(E42:E48)</f>
        <v>36500</v>
      </c>
      <c r="F41" s="1548">
        <f t="shared" ref="F41:F48" si="33">E41/$E$89</f>
        <v>3.0888927478891436E-3</v>
      </c>
      <c r="G41" s="1506">
        <v>54051.885999999999</v>
      </c>
      <c r="H41" s="1506">
        <v>9877</v>
      </c>
      <c r="I41" s="1507">
        <v>63928.885999999999</v>
      </c>
      <c r="J41" s="1592">
        <v>4.5126445372662034E-3</v>
      </c>
      <c r="K41" s="1550"/>
      <c r="L41" s="1506">
        <f>SUM(L42:L48)</f>
        <v>0</v>
      </c>
      <c r="M41" s="1506">
        <f>SUM(M42:M48)</f>
        <v>0</v>
      </c>
      <c r="N41" s="1507">
        <f>SUM(N42:N48)</f>
        <v>0</v>
      </c>
      <c r="O41" s="1548" t="e">
        <f>N41/#REF!</f>
        <v>#REF!</v>
      </c>
      <c r="P41" s="1461"/>
      <c r="Q41" s="1506">
        <f>SUM(Q42:Q48)</f>
        <v>0</v>
      </c>
      <c r="R41" s="1506">
        <f>SUM(R42:R48)</f>
        <v>0</v>
      </c>
      <c r="S41" s="1507">
        <f>SUM(S42:S48)</f>
        <v>0</v>
      </c>
      <c r="T41" s="1548" t="e">
        <f t="shared" si="2"/>
        <v>#DIV/0!</v>
      </c>
      <c r="U41" s="1461"/>
      <c r="V41" s="1506">
        <f>SUM(V42:V48)</f>
        <v>0</v>
      </c>
      <c r="W41" s="1506">
        <f>SUM(W42:W48)</f>
        <v>0</v>
      </c>
      <c r="X41" s="1507">
        <f>SUM(X42:X48)</f>
        <v>0</v>
      </c>
      <c r="Y41" s="1548" t="e">
        <f t="shared" si="29"/>
        <v>#DIV/0!</v>
      </c>
      <c r="Z41" s="1461"/>
      <c r="AA41" s="1506">
        <f>SUM(AA42:AA48)</f>
        <v>0</v>
      </c>
      <c r="AB41" s="1506">
        <f>SUM(AB42:AB48)</f>
        <v>0</v>
      </c>
      <c r="AC41" s="1507">
        <f>SUM(AC42:AC48)</f>
        <v>0</v>
      </c>
      <c r="AD41" s="1548" t="e">
        <f t="shared" si="3"/>
        <v>#DIV/0!</v>
      </c>
      <c r="AE41" s="1461"/>
      <c r="AF41" s="1506">
        <f>SUM(AF42:AF48)</f>
        <v>0</v>
      </c>
      <c r="AG41" s="1506">
        <f>SUM(AG42:AG48)</f>
        <v>0</v>
      </c>
      <c r="AH41" s="1507">
        <f>SUM(AH42:AH48)</f>
        <v>0</v>
      </c>
      <c r="AI41" s="1548" t="e">
        <f t="shared" ref="AI41:AI48" si="34">AH41/$AH$89</f>
        <v>#DIV/0!</v>
      </c>
      <c r="AJ41" s="1461"/>
      <c r="AK41" s="1506">
        <f>SUM(AK42:AK48)</f>
        <v>0</v>
      </c>
      <c r="AL41" s="1506">
        <f>SUM(AL42:AL48)</f>
        <v>0</v>
      </c>
      <c r="AM41" s="1507">
        <f>SUM(AM42:AM48)</f>
        <v>0</v>
      </c>
      <c r="AN41" s="1548" t="e">
        <f t="shared" ref="AN41:AN48" si="35">AM41/$AM$89</f>
        <v>#DIV/0!</v>
      </c>
      <c r="AO41" s="1461"/>
      <c r="AP41" s="1506">
        <f>SUM(AP42:AP48)</f>
        <v>0</v>
      </c>
      <c r="AQ41" s="1506">
        <f>SUM(AQ42:AQ48)</f>
        <v>0</v>
      </c>
      <c r="AR41" s="1507">
        <f>SUM(AR42:AR48)</f>
        <v>0</v>
      </c>
      <c r="AS41" s="1904">
        <f t="shared" ref="AS41:AS48" si="36">AR41/$AR$89</f>
        <v>0</v>
      </c>
      <c r="AT41" s="1461"/>
      <c r="AU41" s="1506">
        <f>SUM(AU42:AU48)</f>
        <v>54051.885999999999</v>
      </c>
      <c r="AV41" s="1506">
        <f>SUM(AV42:AV48)</f>
        <v>9877</v>
      </c>
      <c r="AW41" s="1507">
        <f>SUM(AW42:AW48)</f>
        <v>63928.885999999999</v>
      </c>
      <c r="AX41" s="1548">
        <f t="shared" ref="AX41:AX49" si="37">AW41/$AW$89</f>
        <v>4.1514569509070584E-3</v>
      </c>
      <c r="AY41" s="1461"/>
    </row>
    <row r="42" spans="1:51" ht="43.2" customHeight="1" outlineLevel="2" x14ac:dyDescent="0.25">
      <c r="A42" s="4015"/>
      <c r="B42" s="1426" t="s">
        <v>7</v>
      </c>
      <c r="C42" s="1502"/>
      <c r="D42" s="1508"/>
      <c r="E42" s="1509">
        <f t="shared" ref="E42:E49" si="38">C42+D42</f>
        <v>0</v>
      </c>
      <c r="F42" s="1555">
        <f t="shared" si="33"/>
        <v>0</v>
      </c>
      <c r="G42" s="1447">
        <v>0</v>
      </c>
      <c r="H42" s="1447">
        <v>0</v>
      </c>
      <c r="I42" s="1495">
        <v>0</v>
      </c>
      <c r="J42" s="1554">
        <v>0</v>
      </c>
      <c r="K42" s="1554"/>
      <c r="L42" s="1447"/>
      <c r="M42" s="1447"/>
      <c r="N42" s="1495">
        <f t="shared" ref="N42:N48" si="39">L42+M42*1</f>
        <v>0</v>
      </c>
      <c r="O42" s="1555">
        <f t="shared" ref="O42:O48" si="40">N42/$N$89</f>
        <v>0</v>
      </c>
      <c r="P42" s="1475"/>
      <c r="Q42" s="1447"/>
      <c r="R42" s="1447"/>
      <c r="S42" s="1495">
        <f t="shared" ref="S42:S48" si="41">Q42+R42*1</f>
        <v>0</v>
      </c>
      <c r="T42" s="1555" t="e">
        <f t="shared" si="2"/>
        <v>#DIV/0!</v>
      </c>
      <c r="U42" s="1475"/>
      <c r="V42" s="1447"/>
      <c r="W42" s="1447"/>
      <c r="X42" s="1495">
        <f t="shared" ref="X42:X48" si="42">V42+W42*1</f>
        <v>0</v>
      </c>
      <c r="Y42" s="1555">
        <f t="shared" ref="Y42:Y48" si="43">X42/$X$89</f>
        <v>0</v>
      </c>
      <c r="Z42" s="1475"/>
      <c r="AA42" s="1447"/>
      <c r="AB42" s="1447"/>
      <c r="AC42" s="1495">
        <f t="shared" ref="AC42:AC48" si="44">AA42+AB42*1</f>
        <v>0</v>
      </c>
      <c r="AD42" s="1555" t="e">
        <f t="shared" si="3"/>
        <v>#DIV/0!</v>
      </c>
      <c r="AE42" s="1475"/>
      <c r="AF42" s="1447"/>
      <c r="AG42" s="1447"/>
      <c r="AH42" s="1495">
        <f t="shared" ref="AH42:AH48" si="45">AF42+AG42*1</f>
        <v>0</v>
      </c>
      <c r="AI42" s="1555" t="e">
        <f t="shared" si="34"/>
        <v>#DIV/0!</v>
      </c>
      <c r="AJ42" s="1475"/>
      <c r="AK42" s="1447"/>
      <c r="AL42" s="1447"/>
      <c r="AM42" s="1495">
        <f t="shared" ref="AM42:AM48" si="46">AK42+AL42*1</f>
        <v>0</v>
      </c>
      <c r="AN42" s="1555" t="e">
        <f t="shared" si="35"/>
        <v>#DIV/0!</v>
      </c>
      <c r="AO42" s="1475"/>
      <c r="AP42" s="1447"/>
      <c r="AQ42" s="1447"/>
      <c r="AR42" s="1495">
        <f t="shared" ref="AR42:AR48" si="47">AP42+AQ42*1</f>
        <v>0</v>
      </c>
      <c r="AS42" s="1893">
        <f t="shared" si="36"/>
        <v>0</v>
      </c>
      <c r="AT42" s="1943"/>
      <c r="AU42" s="1447">
        <f t="shared" ref="AU42:AV49" si="48">G42+L42+Q42+V42+AA42+AF42+AK42+AP42</f>
        <v>0</v>
      </c>
      <c r="AV42" s="1447">
        <f t="shared" si="48"/>
        <v>0</v>
      </c>
      <c r="AW42" s="1495">
        <f t="shared" ref="AW42:AW48" si="49">AU42+AV42</f>
        <v>0</v>
      </c>
      <c r="AX42" s="1555">
        <f t="shared" si="37"/>
        <v>0</v>
      </c>
      <c r="AY42" s="1475"/>
    </row>
    <row r="43" spans="1:51" ht="13.8" outlineLevel="2" x14ac:dyDescent="0.25">
      <c r="A43" s="4015"/>
      <c r="B43" s="1426" t="s">
        <v>27</v>
      </c>
      <c r="C43" s="1502"/>
      <c r="D43" s="1508">
        <v>4000</v>
      </c>
      <c r="E43" s="1509">
        <f t="shared" si="38"/>
        <v>4000</v>
      </c>
      <c r="F43" s="1555">
        <f t="shared" si="33"/>
        <v>3.3850879428922126E-4</v>
      </c>
      <c r="G43" s="1447">
        <v>0</v>
      </c>
      <c r="H43" s="1447">
        <v>2560</v>
      </c>
      <c r="I43" s="1495">
        <v>2560</v>
      </c>
      <c r="J43" s="1554">
        <v>1.8070657473057613E-4</v>
      </c>
      <c r="K43" s="1554"/>
      <c r="L43" s="1447"/>
      <c r="M43" s="1447"/>
      <c r="N43" s="1495">
        <f t="shared" si="39"/>
        <v>0</v>
      </c>
      <c r="O43" s="1555">
        <f t="shared" si="40"/>
        <v>0</v>
      </c>
      <c r="P43" s="1475"/>
      <c r="Q43" s="1447"/>
      <c r="R43" s="1447"/>
      <c r="S43" s="1495">
        <f t="shared" si="41"/>
        <v>0</v>
      </c>
      <c r="T43" s="1555" t="e">
        <f t="shared" si="2"/>
        <v>#DIV/0!</v>
      </c>
      <c r="U43" s="1475"/>
      <c r="V43" s="1447"/>
      <c r="W43" s="1447"/>
      <c r="X43" s="1495">
        <f t="shared" si="42"/>
        <v>0</v>
      </c>
      <c r="Y43" s="1555">
        <f t="shared" si="43"/>
        <v>0</v>
      </c>
      <c r="Z43" s="1475"/>
      <c r="AA43" s="1447"/>
      <c r="AB43" s="1447"/>
      <c r="AC43" s="1495">
        <f t="shared" si="44"/>
        <v>0</v>
      </c>
      <c r="AD43" s="1555" t="e">
        <f t="shared" si="3"/>
        <v>#DIV/0!</v>
      </c>
      <c r="AE43" s="1475"/>
      <c r="AF43" s="1447"/>
      <c r="AG43" s="1447"/>
      <c r="AH43" s="1495">
        <f t="shared" si="45"/>
        <v>0</v>
      </c>
      <c r="AI43" s="1555" t="e">
        <f t="shared" si="34"/>
        <v>#DIV/0!</v>
      </c>
      <c r="AJ43" s="1475"/>
      <c r="AK43" s="1447"/>
      <c r="AL43" s="1447"/>
      <c r="AM43" s="1495">
        <f t="shared" si="46"/>
        <v>0</v>
      </c>
      <c r="AN43" s="1555" t="e">
        <f t="shared" si="35"/>
        <v>#DIV/0!</v>
      </c>
      <c r="AO43" s="1475"/>
      <c r="AP43" s="1447"/>
      <c r="AQ43" s="1447"/>
      <c r="AR43" s="1495">
        <f t="shared" si="47"/>
        <v>0</v>
      </c>
      <c r="AS43" s="1893">
        <f t="shared" si="36"/>
        <v>0</v>
      </c>
      <c r="AT43" s="1943"/>
      <c r="AU43" s="1447">
        <f t="shared" si="48"/>
        <v>0</v>
      </c>
      <c r="AV43" s="1447">
        <f t="shared" si="48"/>
        <v>2560</v>
      </c>
      <c r="AW43" s="1495">
        <f t="shared" si="49"/>
        <v>2560</v>
      </c>
      <c r="AX43" s="1555">
        <f t="shared" si="37"/>
        <v>1.6624299998473414E-4</v>
      </c>
      <c r="AY43" s="1475"/>
    </row>
    <row r="44" spans="1:51" ht="67.2" customHeight="1" outlineLevel="2" x14ac:dyDescent="0.25">
      <c r="A44" s="4015"/>
      <c r="B44" s="1427" t="s">
        <v>28</v>
      </c>
      <c r="C44" s="1502"/>
      <c r="D44" s="1508"/>
      <c r="E44" s="1509">
        <f t="shared" si="38"/>
        <v>0</v>
      </c>
      <c r="F44" s="1555">
        <f t="shared" si="33"/>
        <v>0</v>
      </c>
      <c r="G44" s="1447">
        <v>440</v>
      </c>
      <c r="H44" s="1447">
        <v>463</v>
      </c>
      <c r="I44" s="1495">
        <v>903</v>
      </c>
      <c r="J44" s="1554">
        <v>6.374142069598056E-5</v>
      </c>
      <c r="K44" s="1554"/>
      <c r="L44" s="1447"/>
      <c r="M44" s="1447"/>
      <c r="N44" s="1495">
        <f t="shared" si="39"/>
        <v>0</v>
      </c>
      <c r="O44" s="1555">
        <f t="shared" si="40"/>
        <v>0</v>
      </c>
      <c r="P44" s="1594"/>
      <c r="Q44" s="1447"/>
      <c r="R44" s="1447"/>
      <c r="S44" s="1495">
        <f t="shared" si="41"/>
        <v>0</v>
      </c>
      <c r="T44" s="1555" t="e">
        <f t="shared" si="2"/>
        <v>#DIV/0!</v>
      </c>
      <c r="U44" s="1687"/>
      <c r="V44" s="1447"/>
      <c r="W44" s="1447"/>
      <c r="X44" s="1495">
        <f t="shared" si="42"/>
        <v>0</v>
      </c>
      <c r="Y44" s="1555">
        <f t="shared" si="43"/>
        <v>0</v>
      </c>
      <c r="Z44" s="1605"/>
      <c r="AA44" s="1447"/>
      <c r="AB44" s="1447"/>
      <c r="AC44" s="1495">
        <f t="shared" si="44"/>
        <v>0</v>
      </c>
      <c r="AD44" s="1555" t="e">
        <f t="shared" si="3"/>
        <v>#DIV/0!</v>
      </c>
      <c r="AE44" s="1605"/>
      <c r="AF44" s="1447"/>
      <c r="AG44" s="1447"/>
      <c r="AH44" s="1495">
        <f t="shared" si="45"/>
        <v>0</v>
      </c>
      <c r="AI44" s="1555" t="e">
        <f t="shared" si="34"/>
        <v>#DIV/0!</v>
      </c>
      <c r="AJ44" s="1605"/>
      <c r="AK44" s="1447"/>
      <c r="AL44" s="1447"/>
      <c r="AM44" s="1495">
        <f t="shared" si="46"/>
        <v>0</v>
      </c>
      <c r="AN44" s="1555" t="e">
        <f t="shared" si="35"/>
        <v>#DIV/0!</v>
      </c>
      <c r="AO44" s="1605"/>
      <c r="AP44" s="1447"/>
      <c r="AQ44" s="1447"/>
      <c r="AR44" s="1495">
        <f t="shared" si="47"/>
        <v>0</v>
      </c>
      <c r="AS44" s="1893">
        <f t="shared" si="36"/>
        <v>0</v>
      </c>
      <c r="AT44" s="1605"/>
      <c r="AU44" s="1447">
        <f t="shared" si="48"/>
        <v>440</v>
      </c>
      <c r="AV44" s="1447">
        <f t="shared" si="48"/>
        <v>463</v>
      </c>
      <c r="AW44" s="1495">
        <f t="shared" si="49"/>
        <v>903</v>
      </c>
      <c r="AX44" s="1555">
        <f t="shared" si="37"/>
        <v>5.8639620697740207E-5</v>
      </c>
      <c r="AY44" s="1475"/>
    </row>
    <row r="45" spans="1:51" ht="13.8" outlineLevel="2" x14ac:dyDescent="0.25">
      <c r="A45" s="4015"/>
      <c r="B45" s="1426" t="s">
        <v>8</v>
      </c>
      <c r="C45" s="1502">
        <v>4500</v>
      </c>
      <c r="D45" s="1508"/>
      <c r="E45" s="1509">
        <f t="shared" si="38"/>
        <v>4500</v>
      </c>
      <c r="F45" s="1555">
        <f t="shared" si="33"/>
        <v>3.808223935753739E-4</v>
      </c>
      <c r="G45" s="1447">
        <v>8950</v>
      </c>
      <c r="H45" s="1447">
        <v>0</v>
      </c>
      <c r="I45" s="1495">
        <v>8950</v>
      </c>
      <c r="J45" s="1554">
        <v>6.3176712649947516E-4</v>
      </c>
      <c r="K45" s="1554"/>
      <c r="L45" s="1447"/>
      <c r="M45" s="1447"/>
      <c r="N45" s="1495">
        <f t="shared" si="39"/>
        <v>0</v>
      </c>
      <c r="O45" s="1555">
        <f t="shared" si="40"/>
        <v>0</v>
      </c>
      <c r="P45" s="1594"/>
      <c r="Q45" s="1447"/>
      <c r="R45" s="1447"/>
      <c r="S45" s="1495">
        <f t="shared" si="41"/>
        <v>0</v>
      </c>
      <c r="T45" s="1555" t="e">
        <f t="shared" si="2"/>
        <v>#DIV/0!</v>
      </c>
      <c r="U45" s="1594"/>
      <c r="V45" s="1447"/>
      <c r="W45" s="1447"/>
      <c r="X45" s="1495">
        <f t="shared" si="42"/>
        <v>0</v>
      </c>
      <c r="Y45" s="1555">
        <f t="shared" si="43"/>
        <v>0</v>
      </c>
      <c r="Z45" s="1605"/>
      <c r="AA45" s="1447"/>
      <c r="AB45" s="1447"/>
      <c r="AC45" s="1495">
        <f t="shared" si="44"/>
        <v>0</v>
      </c>
      <c r="AD45" s="1555" t="e">
        <f t="shared" si="3"/>
        <v>#DIV/0!</v>
      </c>
      <c r="AE45" s="1605"/>
      <c r="AF45" s="1447"/>
      <c r="AG45" s="1447"/>
      <c r="AH45" s="1495">
        <f t="shared" si="45"/>
        <v>0</v>
      </c>
      <c r="AI45" s="1555" t="e">
        <f t="shared" si="34"/>
        <v>#DIV/0!</v>
      </c>
      <c r="AJ45" s="1605"/>
      <c r="AK45" s="1447"/>
      <c r="AL45" s="1447"/>
      <c r="AM45" s="1495">
        <f t="shared" si="46"/>
        <v>0</v>
      </c>
      <c r="AN45" s="1555" t="e">
        <f t="shared" si="35"/>
        <v>#DIV/0!</v>
      </c>
      <c r="AO45" s="1605"/>
      <c r="AP45" s="1447"/>
      <c r="AQ45" s="1447"/>
      <c r="AR45" s="1495">
        <f t="shared" si="47"/>
        <v>0</v>
      </c>
      <c r="AS45" s="1893">
        <f t="shared" si="36"/>
        <v>0</v>
      </c>
      <c r="AT45" s="1605"/>
      <c r="AU45" s="1447">
        <f t="shared" si="48"/>
        <v>8950</v>
      </c>
      <c r="AV45" s="1447">
        <f t="shared" si="48"/>
        <v>0</v>
      </c>
      <c r="AW45" s="1495">
        <f t="shared" si="49"/>
        <v>8950</v>
      </c>
      <c r="AX45" s="1555">
        <f t="shared" si="37"/>
        <v>5.8120111322787916E-4</v>
      </c>
      <c r="AY45" s="1475"/>
    </row>
    <row r="46" spans="1:51" ht="13.8" outlineLevel="2" x14ac:dyDescent="0.25">
      <c r="A46" s="4015"/>
      <c r="B46" s="1426" t="s">
        <v>29</v>
      </c>
      <c r="C46" s="1502"/>
      <c r="D46" s="1508"/>
      <c r="E46" s="1509">
        <f t="shared" si="38"/>
        <v>0</v>
      </c>
      <c r="F46" s="1555">
        <f t="shared" si="33"/>
        <v>0</v>
      </c>
      <c r="G46" s="1447">
        <v>0</v>
      </c>
      <c r="H46" s="1447">
        <v>0</v>
      </c>
      <c r="I46" s="1495">
        <v>0</v>
      </c>
      <c r="J46" s="1554">
        <v>0</v>
      </c>
      <c r="K46" s="1554"/>
      <c r="L46" s="1447"/>
      <c r="M46" s="1447"/>
      <c r="N46" s="1495">
        <f t="shared" si="39"/>
        <v>0</v>
      </c>
      <c r="O46" s="1555">
        <f t="shared" si="40"/>
        <v>0</v>
      </c>
      <c r="P46" s="1594"/>
      <c r="Q46" s="1447"/>
      <c r="R46" s="1447"/>
      <c r="S46" s="1495">
        <f t="shared" si="41"/>
        <v>0</v>
      </c>
      <c r="T46" s="1555" t="e">
        <f t="shared" si="2"/>
        <v>#DIV/0!</v>
      </c>
      <c r="U46" s="1594"/>
      <c r="V46" s="1447"/>
      <c r="W46" s="1447"/>
      <c r="X46" s="1495">
        <f t="shared" si="42"/>
        <v>0</v>
      </c>
      <c r="Y46" s="1555">
        <f t="shared" si="43"/>
        <v>0</v>
      </c>
      <c r="Z46" s="1605"/>
      <c r="AA46" s="1447"/>
      <c r="AB46" s="1447"/>
      <c r="AC46" s="1495">
        <f t="shared" si="44"/>
        <v>0</v>
      </c>
      <c r="AD46" s="1555" t="e">
        <f t="shared" si="3"/>
        <v>#DIV/0!</v>
      </c>
      <c r="AE46" s="1605"/>
      <c r="AF46" s="1447"/>
      <c r="AG46" s="1447"/>
      <c r="AH46" s="1495">
        <f t="shared" si="45"/>
        <v>0</v>
      </c>
      <c r="AI46" s="1555" t="e">
        <f t="shared" si="34"/>
        <v>#DIV/0!</v>
      </c>
      <c r="AJ46" s="1605"/>
      <c r="AK46" s="1447"/>
      <c r="AL46" s="1447"/>
      <c r="AM46" s="1495">
        <f t="shared" si="46"/>
        <v>0</v>
      </c>
      <c r="AN46" s="1555" t="e">
        <f t="shared" si="35"/>
        <v>#DIV/0!</v>
      </c>
      <c r="AO46" s="1605"/>
      <c r="AP46" s="1447"/>
      <c r="AQ46" s="1447"/>
      <c r="AR46" s="1495">
        <f t="shared" si="47"/>
        <v>0</v>
      </c>
      <c r="AS46" s="1893">
        <f t="shared" si="36"/>
        <v>0</v>
      </c>
      <c r="AT46" s="1605"/>
      <c r="AU46" s="1447">
        <f t="shared" si="48"/>
        <v>0</v>
      </c>
      <c r="AV46" s="1447">
        <f t="shared" si="48"/>
        <v>0</v>
      </c>
      <c r="AW46" s="1495">
        <f t="shared" si="49"/>
        <v>0</v>
      </c>
      <c r="AX46" s="1555">
        <f t="shared" si="37"/>
        <v>0</v>
      </c>
      <c r="AY46" s="1475"/>
    </row>
    <row r="47" spans="1:51" ht="13.8" outlineLevel="2" x14ac:dyDescent="0.25">
      <c r="A47" s="4015"/>
      <c r="B47" s="1426" t="s">
        <v>30</v>
      </c>
      <c r="C47" s="1502">
        <v>20000</v>
      </c>
      <c r="D47" s="1508"/>
      <c r="E47" s="1509">
        <f t="shared" si="38"/>
        <v>20000</v>
      </c>
      <c r="F47" s="1555">
        <f t="shared" si="33"/>
        <v>1.6925439714461062E-3</v>
      </c>
      <c r="G47" s="1447">
        <v>40308.299999999996</v>
      </c>
      <c r="H47" s="1447">
        <v>6854</v>
      </c>
      <c r="I47" s="1495">
        <v>47162.299999999996</v>
      </c>
      <c r="J47" s="1554">
        <v>3.329116284928066E-3</v>
      </c>
      <c r="K47" s="1554"/>
      <c r="L47" s="1447"/>
      <c r="M47" s="1447"/>
      <c r="N47" s="1495">
        <f t="shared" si="39"/>
        <v>0</v>
      </c>
      <c r="O47" s="1555">
        <f>N47/$N$89</f>
        <v>0</v>
      </c>
      <c r="P47" s="1605"/>
      <c r="Q47" s="1447"/>
      <c r="R47" s="1447"/>
      <c r="S47" s="1495">
        <f t="shared" si="41"/>
        <v>0</v>
      </c>
      <c r="T47" s="1555" t="e">
        <f t="shared" si="2"/>
        <v>#DIV/0!</v>
      </c>
      <c r="U47" s="1605"/>
      <c r="V47" s="1447"/>
      <c r="W47" s="1447"/>
      <c r="X47" s="1495">
        <f t="shared" si="42"/>
        <v>0</v>
      </c>
      <c r="Y47" s="1555">
        <f t="shared" si="43"/>
        <v>0</v>
      </c>
      <c r="Z47" s="1605"/>
      <c r="AA47" s="1447"/>
      <c r="AB47" s="1447"/>
      <c r="AC47" s="1495">
        <f t="shared" si="44"/>
        <v>0</v>
      </c>
      <c r="AD47" s="1555" t="e">
        <f t="shared" si="3"/>
        <v>#DIV/0!</v>
      </c>
      <c r="AE47" s="1605"/>
      <c r="AF47" s="1447"/>
      <c r="AG47" s="1447"/>
      <c r="AH47" s="1495">
        <f t="shared" si="45"/>
        <v>0</v>
      </c>
      <c r="AI47" s="1555" t="e">
        <f t="shared" si="34"/>
        <v>#DIV/0!</v>
      </c>
      <c r="AJ47" s="1605"/>
      <c r="AK47" s="1447"/>
      <c r="AL47" s="1447"/>
      <c r="AM47" s="1495">
        <f t="shared" si="46"/>
        <v>0</v>
      </c>
      <c r="AN47" s="1555" t="e">
        <f t="shared" si="35"/>
        <v>#DIV/0!</v>
      </c>
      <c r="AO47" s="1605"/>
      <c r="AP47" s="1447"/>
      <c r="AQ47" s="1447"/>
      <c r="AR47" s="1495">
        <f t="shared" si="47"/>
        <v>0</v>
      </c>
      <c r="AS47" s="1893">
        <f t="shared" si="36"/>
        <v>0</v>
      </c>
      <c r="AT47" s="1605"/>
      <c r="AU47" s="1447">
        <f t="shared" si="48"/>
        <v>40308.299999999996</v>
      </c>
      <c r="AV47" s="1447">
        <f t="shared" si="48"/>
        <v>6854</v>
      </c>
      <c r="AW47" s="1495">
        <f t="shared" si="49"/>
        <v>47162.299999999996</v>
      </c>
      <c r="AX47" s="1555">
        <f t="shared" si="37"/>
        <v>3.0626571242890728E-3</v>
      </c>
      <c r="AY47" s="1475"/>
    </row>
    <row r="48" spans="1:51" ht="13.8" outlineLevel="2" x14ac:dyDescent="0.25">
      <c r="A48" s="4015"/>
      <c r="B48" s="1426" t="s">
        <v>15</v>
      </c>
      <c r="C48" s="1502">
        <v>8000</v>
      </c>
      <c r="D48" s="1508"/>
      <c r="E48" s="1509">
        <f t="shared" si="38"/>
        <v>8000</v>
      </c>
      <c r="F48" s="1555">
        <f t="shared" si="33"/>
        <v>6.7701758857844252E-4</v>
      </c>
      <c r="G48" s="1447">
        <v>4353.5860000000002</v>
      </c>
      <c r="H48" s="1447">
        <v>0</v>
      </c>
      <c r="I48" s="1495">
        <v>4353.5860000000002</v>
      </c>
      <c r="J48" s="1554">
        <v>3.0731313041210546E-4</v>
      </c>
      <c r="K48" s="1554"/>
      <c r="L48" s="1447"/>
      <c r="M48" s="1447"/>
      <c r="N48" s="1495">
        <f t="shared" si="39"/>
        <v>0</v>
      </c>
      <c r="O48" s="1555">
        <f t="shared" si="40"/>
        <v>0</v>
      </c>
      <c r="P48" s="1594"/>
      <c r="Q48" s="1447"/>
      <c r="R48" s="1447"/>
      <c r="S48" s="1495">
        <f t="shared" si="41"/>
        <v>0</v>
      </c>
      <c r="T48" s="1555" t="e">
        <f t="shared" si="2"/>
        <v>#DIV/0!</v>
      </c>
      <c r="U48" s="1594"/>
      <c r="V48" s="1447"/>
      <c r="W48" s="1447"/>
      <c r="X48" s="1495">
        <f t="shared" si="42"/>
        <v>0</v>
      </c>
      <c r="Y48" s="1555">
        <f t="shared" si="43"/>
        <v>0</v>
      </c>
      <c r="Z48" s="1594"/>
      <c r="AA48" s="1447"/>
      <c r="AB48" s="1447"/>
      <c r="AC48" s="1495">
        <f t="shared" si="44"/>
        <v>0</v>
      </c>
      <c r="AD48" s="1555" t="e">
        <f t="shared" si="3"/>
        <v>#DIV/0!</v>
      </c>
      <c r="AE48" s="1594"/>
      <c r="AF48" s="1447"/>
      <c r="AG48" s="1447"/>
      <c r="AH48" s="1495">
        <f t="shared" si="45"/>
        <v>0</v>
      </c>
      <c r="AI48" s="1555" t="e">
        <f t="shared" si="34"/>
        <v>#DIV/0!</v>
      </c>
      <c r="AJ48" s="1594"/>
      <c r="AK48" s="1447"/>
      <c r="AL48" s="1447"/>
      <c r="AM48" s="1495">
        <f t="shared" si="46"/>
        <v>0</v>
      </c>
      <c r="AN48" s="1555" t="e">
        <f t="shared" si="35"/>
        <v>#DIV/0!</v>
      </c>
      <c r="AO48" s="1594"/>
      <c r="AP48" s="1447"/>
      <c r="AQ48" s="1447"/>
      <c r="AR48" s="1495">
        <f t="shared" si="47"/>
        <v>0</v>
      </c>
      <c r="AS48" s="1893">
        <f t="shared" si="36"/>
        <v>0</v>
      </c>
      <c r="AT48" s="1896"/>
      <c r="AU48" s="1447">
        <f t="shared" si="48"/>
        <v>4353.5860000000002</v>
      </c>
      <c r="AV48" s="1447">
        <f t="shared" si="48"/>
        <v>0</v>
      </c>
      <c r="AW48" s="1495">
        <f t="shared" si="49"/>
        <v>4353.5860000000002</v>
      </c>
      <c r="AX48" s="1555">
        <f t="shared" si="37"/>
        <v>2.8271609270763234E-4</v>
      </c>
      <c r="AY48" s="1475"/>
    </row>
    <row r="49" spans="1:51" s="1411" customFormat="1" ht="14.4" outlineLevel="2" thickBot="1" x14ac:dyDescent="0.3">
      <c r="A49" s="1420"/>
      <c r="B49" s="1443"/>
      <c r="C49" s="1505"/>
      <c r="D49" s="1510"/>
      <c r="E49" s="1511">
        <f t="shared" si="38"/>
        <v>0</v>
      </c>
      <c r="F49" s="1558"/>
      <c r="G49" s="1734"/>
      <c r="H49" s="1723"/>
      <c r="I49" s="1723"/>
      <c r="J49" s="1723">
        <v>0</v>
      </c>
      <c r="K49" s="1723"/>
      <c r="L49" s="1447"/>
      <c r="M49" s="1447"/>
      <c r="N49" s="1454"/>
      <c r="O49" s="1555">
        <f>N49/$N$89</f>
        <v>0</v>
      </c>
      <c r="P49" s="1464"/>
      <c r="Q49" s="1447"/>
      <c r="R49" s="1447"/>
      <c r="S49" s="1454"/>
      <c r="T49" s="1555" t="e">
        <f t="shared" si="2"/>
        <v>#DIV/0!</v>
      </c>
      <c r="U49" s="1464"/>
      <c r="V49" s="1447"/>
      <c r="W49" s="1447"/>
      <c r="X49" s="1454"/>
      <c r="Y49" s="1555" t="e">
        <f t="shared" si="29"/>
        <v>#DIV/0!</v>
      </c>
      <c r="Z49" s="1464"/>
      <c r="AA49" s="1447"/>
      <c r="AB49" s="1447"/>
      <c r="AC49" s="1454"/>
      <c r="AD49" s="1555" t="e">
        <f t="shared" si="3"/>
        <v>#DIV/0!</v>
      </c>
      <c r="AE49" s="1464"/>
      <c r="AF49" s="1447"/>
      <c r="AG49" s="1447"/>
      <c r="AH49" s="1454"/>
      <c r="AI49" s="1555" t="e">
        <f t="shared" si="30"/>
        <v>#DIV/0!</v>
      </c>
      <c r="AJ49" s="1464"/>
      <c r="AK49" s="1447"/>
      <c r="AL49" s="1447"/>
      <c r="AM49" s="1454"/>
      <c r="AN49" s="1555" t="e">
        <f>AM49/$AC$89</f>
        <v>#DIV/0!</v>
      </c>
      <c r="AO49" s="1464"/>
      <c r="AP49" s="1447"/>
      <c r="AQ49" s="1447"/>
      <c r="AR49" s="1454"/>
      <c r="AS49" s="1893" t="e">
        <f>AR49/$AC$89</f>
        <v>#DIV/0!</v>
      </c>
      <c r="AT49" s="1464"/>
      <c r="AU49" s="1447">
        <f t="shared" si="48"/>
        <v>0</v>
      </c>
      <c r="AV49" s="1447">
        <f t="shared" si="48"/>
        <v>0</v>
      </c>
      <c r="AW49" s="1454"/>
      <c r="AX49" s="1555">
        <f t="shared" si="37"/>
        <v>0</v>
      </c>
      <c r="AY49" s="1454"/>
    </row>
    <row r="50" spans="1:51" s="1411" customFormat="1" ht="13.8" outlineLevel="1" x14ac:dyDescent="0.25">
      <c r="A50" s="1580"/>
      <c r="B50" s="1425" t="s">
        <v>59</v>
      </c>
      <c r="C50" s="1512">
        <f>SUM(C51:C52)</f>
        <v>0</v>
      </c>
      <c r="D50" s="1512">
        <f>SUM(D51:D52)</f>
        <v>0</v>
      </c>
      <c r="E50" s="1512">
        <f>SUM(E51:E52)</f>
        <v>0</v>
      </c>
      <c r="F50" s="1549">
        <f>E50/$E$89</f>
        <v>0</v>
      </c>
      <c r="G50" s="1735">
        <v>0</v>
      </c>
      <c r="H50" s="1593">
        <v>0</v>
      </c>
      <c r="I50" s="1593">
        <v>0</v>
      </c>
      <c r="J50" s="1593"/>
      <c r="K50" s="1549"/>
      <c r="L50" s="1512">
        <f>L52+L51</f>
        <v>0</v>
      </c>
      <c r="M50" s="1512">
        <f>M52+M51</f>
        <v>0</v>
      </c>
      <c r="N50" s="1512">
        <f>SUM(N51:N52)</f>
        <v>0</v>
      </c>
      <c r="O50" s="1461"/>
      <c r="P50" s="1613"/>
      <c r="Q50" s="1512">
        <f>Q52+Q51</f>
        <v>0</v>
      </c>
      <c r="R50" s="1512">
        <f>R52+R51</f>
        <v>0</v>
      </c>
      <c r="S50" s="1512">
        <f>SUM(S51:S52)</f>
        <v>0</v>
      </c>
      <c r="T50" s="1548" t="e">
        <f t="shared" si="2"/>
        <v>#DIV/0!</v>
      </c>
      <c r="U50" s="1613"/>
      <c r="V50" s="1512">
        <f>V52+V51</f>
        <v>0</v>
      </c>
      <c r="W50" s="1512">
        <f>W52+W51</f>
        <v>0</v>
      </c>
      <c r="X50" s="1512">
        <f>SUM(X51:X52)</f>
        <v>0</v>
      </c>
      <c r="Y50" s="1548">
        <f t="shared" ref="Y50:Y71" si="50">X50/$X$89</f>
        <v>0</v>
      </c>
      <c r="Z50" s="1613"/>
      <c r="AA50" s="1512">
        <f>AA52+AA51</f>
        <v>0</v>
      </c>
      <c r="AB50" s="1512">
        <f>AB52+AB51</f>
        <v>0</v>
      </c>
      <c r="AC50" s="1512">
        <f>SUM(AC51:AC52)</f>
        <v>0</v>
      </c>
      <c r="AD50" s="1548" t="e">
        <f t="shared" si="3"/>
        <v>#DIV/0!</v>
      </c>
      <c r="AE50" s="1613"/>
      <c r="AF50" s="1512">
        <f>AF52+AF51</f>
        <v>0</v>
      </c>
      <c r="AG50" s="1512">
        <f>AG52+AG51</f>
        <v>0</v>
      </c>
      <c r="AH50" s="1512">
        <f>SUM(AH51:AH52)</f>
        <v>0</v>
      </c>
      <c r="AI50" s="1548" t="e">
        <f t="shared" si="30"/>
        <v>#DIV/0!</v>
      </c>
      <c r="AJ50" s="1613"/>
      <c r="AK50" s="1512">
        <f>AK52+AK51</f>
        <v>0</v>
      </c>
      <c r="AL50" s="1512">
        <f>AL52+AL51</f>
        <v>0</v>
      </c>
      <c r="AM50" s="1512">
        <f>SUM(AM51:AM52)</f>
        <v>0</v>
      </c>
      <c r="AN50" s="1548" t="e">
        <f>AM50/$AC$89</f>
        <v>#DIV/0!</v>
      </c>
      <c r="AO50" s="1613"/>
      <c r="AP50" s="1512">
        <f>AP52+AP51</f>
        <v>0</v>
      </c>
      <c r="AQ50" s="1512">
        <f>AQ52+AQ51</f>
        <v>0</v>
      </c>
      <c r="AR50" s="1512">
        <f>SUM(AR51:AR52)</f>
        <v>0</v>
      </c>
      <c r="AS50" s="1904" t="e">
        <f>AR50/$AC$89</f>
        <v>#DIV/0!</v>
      </c>
      <c r="AT50" s="1613"/>
      <c r="AU50" s="1512">
        <f>AU52+AU51</f>
        <v>0</v>
      </c>
      <c r="AV50" s="1512">
        <f>AV52+AV51</f>
        <v>0</v>
      </c>
      <c r="AW50" s="1512">
        <f>SUM(AW51:AW52)</f>
        <v>0</v>
      </c>
      <c r="AX50" s="1461"/>
      <c r="AY50" s="1461"/>
    </row>
    <row r="51" spans="1:51" s="1579" customFormat="1" ht="13.8" outlineLevel="1" x14ac:dyDescent="0.25">
      <c r="A51" s="1583"/>
      <c r="B51" s="1426" t="s">
        <v>60</v>
      </c>
      <c r="C51" s="1502"/>
      <c r="D51" s="1508"/>
      <c r="E51" s="1508">
        <f>C51+D51</f>
        <v>0</v>
      </c>
      <c r="F51" s="1556">
        <f>E51/$E$89</f>
        <v>0</v>
      </c>
      <c r="G51" s="1736">
        <v>0</v>
      </c>
      <c r="H51" s="1602">
        <v>0</v>
      </c>
      <c r="I51" s="1602">
        <v>0</v>
      </c>
      <c r="J51" s="1602">
        <v>0</v>
      </c>
      <c r="K51" s="1602"/>
      <c r="L51" s="1447"/>
      <c r="M51" s="1447"/>
      <c r="N51" s="1495">
        <f>L51+M51*1</f>
        <v>0</v>
      </c>
      <c r="O51" s="1555">
        <f>N51/$N$89</f>
        <v>0</v>
      </c>
      <c r="P51" s="1609"/>
      <c r="Q51" s="1447"/>
      <c r="R51" s="1447"/>
      <c r="S51" s="1495">
        <f>Q51+R51*1</f>
        <v>0</v>
      </c>
      <c r="T51" s="1555" t="e">
        <f t="shared" si="2"/>
        <v>#DIV/0!</v>
      </c>
      <c r="U51" s="1609"/>
      <c r="V51" s="1447"/>
      <c r="W51" s="1447"/>
      <c r="X51" s="1495">
        <f>V51+W51*1</f>
        <v>0</v>
      </c>
      <c r="Y51" s="1555">
        <f t="shared" si="50"/>
        <v>0</v>
      </c>
      <c r="Z51" s="1609"/>
      <c r="AA51" s="1447"/>
      <c r="AB51" s="1447"/>
      <c r="AC51" s="1495">
        <f>AA51+AB51*1</f>
        <v>0</v>
      </c>
      <c r="AD51" s="1555" t="e">
        <f t="shared" si="3"/>
        <v>#DIV/0!</v>
      </c>
      <c r="AE51" s="1609"/>
      <c r="AF51" s="1447"/>
      <c r="AG51" s="1447"/>
      <c r="AH51" s="1495">
        <f>AF51+AG51*1</f>
        <v>0</v>
      </c>
      <c r="AI51" s="1555" t="e">
        <f t="shared" si="30"/>
        <v>#DIV/0!</v>
      </c>
      <c r="AJ51" s="1609"/>
      <c r="AK51" s="1447"/>
      <c r="AL51" s="1447"/>
      <c r="AM51" s="1495">
        <f>AK51+AL51*1</f>
        <v>0</v>
      </c>
      <c r="AN51" s="1555" t="e">
        <f>AM51/$AC$89</f>
        <v>#DIV/0!</v>
      </c>
      <c r="AO51" s="1609"/>
      <c r="AP51" s="1447"/>
      <c r="AQ51" s="1447"/>
      <c r="AR51" s="1495">
        <f>AP51+AQ51*1</f>
        <v>0</v>
      </c>
      <c r="AS51" s="1893" t="e">
        <f>AR51/$AC$89</f>
        <v>#DIV/0!</v>
      </c>
      <c r="AT51" s="1903"/>
      <c r="AU51" s="1447">
        <f t="shared" ref="AU51:AV53" si="51">G51+L51+Q51+V51+AA51+AF51+AK51+AP51</f>
        <v>0</v>
      </c>
      <c r="AV51" s="1447">
        <f t="shared" si="51"/>
        <v>0</v>
      </c>
      <c r="AW51" s="1495">
        <f>AU51+AV51</f>
        <v>0</v>
      </c>
      <c r="AX51" s="1555">
        <f>AW51/$AW$89</f>
        <v>0</v>
      </c>
      <c r="AY51" s="1450"/>
    </row>
    <row r="52" spans="1:51" s="1584" customFormat="1" ht="13.8" outlineLevel="2" x14ac:dyDescent="0.25">
      <c r="A52" s="1583"/>
      <c r="B52" s="1426" t="s">
        <v>61</v>
      </c>
      <c r="C52" s="1502"/>
      <c r="D52" s="1508"/>
      <c r="E52" s="1508">
        <f>C52+D52</f>
        <v>0</v>
      </c>
      <c r="F52" s="1556">
        <f>E52/$E$89</f>
        <v>0</v>
      </c>
      <c r="G52" s="1736">
        <v>0</v>
      </c>
      <c r="H52" s="1602">
        <v>0</v>
      </c>
      <c r="I52" s="1602">
        <v>0</v>
      </c>
      <c r="J52" s="1602">
        <v>0</v>
      </c>
      <c r="K52" s="1602"/>
      <c r="L52" s="1447"/>
      <c r="M52" s="1447"/>
      <c r="N52" s="1495">
        <f>L52+M52*1</f>
        <v>0</v>
      </c>
      <c r="O52" s="1555">
        <f>N52/$N$89</f>
        <v>0</v>
      </c>
      <c r="P52" s="1609"/>
      <c r="Q52" s="1447"/>
      <c r="R52" s="1447"/>
      <c r="S52" s="1495">
        <f>Q52+R52*1</f>
        <v>0</v>
      </c>
      <c r="T52" s="1555" t="e">
        <f t="shared" si="2"/>
        <v>#DIV/0!</v>
      </c>
      <c r="U52" s="1609"/>
      <c r="V52" s="1447"/>
      <c r="W52" s="1447"/>
      <c r="X52" s="1495">
        <f>V52+W52*1</f>
        <v>0</v>
      </c>
      <c r="Y52" s="1555">
        <f t="shared" si="50"/>
        <v>0</v>
      </c>
      <c r="Z52" s="1609"/>
      <c r="AA52" s="1447"/>
      <c r="AB52" s="1447"/>
      <c r="AC52" s="1495">
        <f>AA52+AB52*1</f>
        <v>0</v>
      </c>
      <c r="AD52" s="1555" t="e">
        <f t="shared" si="3"/>
        <v>#DIV/0!</v>
      </c>
      <c r="AE52" s="1609"/>
      <c r="AF52" s="1447"/>
      <c r="AG52" s="1447"/>
      <c r="AH52" s="1495">
        <f>AF52+AG52*1</f>
        <v>0</v>
      </c>
      <c r="AI52" s="1555" t="e">
        <f t="shared" si="30"/>
        <v>#DIV/0!</v>
      </c>
      <c r="AJ52" s="1609"/>
      <c r="AK52" s="1447"/>
      <c r="AL52" s="1447"/>
      <c r="AM52" s="1495">
        <f>AK52+AL52*1</f>
        <v>0</v>
      </c>
      <c r="AN52" s="1555" t="e">
        <f>AM52/$AC$89</f>
        <v>#DIV/0!</v>
      </c>
      <c r="AO52" s="1609"/>
      <c r="AP52" s="1447"/>
      <c r="AQ52" s="1447"/>
      <c r="AR52" s="1495">
        <f>AP52+AQ52*1</f>
        <v>0</v>
      </c>
      <c r="AS52" s="1893" t="e">
        <f>AR52/$AC$89</f>
        <v>#DIV/0!</v>
      </c>
      <c r="AT52" s="1903"/>
      <c r="AU52" s="1447">
        <f t="shared" si="51"/>
        <v>0</v>
      </c>
      <c r="AV52" s="1447">
        <f t="shared" si="51"/>
        <v>0</v>
      </c>
      <c r="AW52" s="1495">
        <f>AU52+AV52</f>
        <v>0</v>
      </c>
      <c r="AX52" s="1555">
        <f>AW52/$AW$89</f>
        <v>0</v>
      </c>
      <c r="AY52" s="1450"/>
    </row>
    <row r="53" spans="1:51" ht="14.4" outlineLevel="1" thickBot="1" x14ac:dyDescent="0.3">
      <c r="A53" s="1428"/>
      <c r="B53" s="1429"/>
      <c r="C53" s="1513"/>
      <c r="D53" s="1382"/>
      <c r="E53" s="1514"/>
      <c r="F53" s="1559"/>
      <c r="G53" s="1737">
        <v>0</v>
      </c>
      <c r="H53" s="1725">
        <v>0</v>
      </c>
      <c r="I53" s="1725">
        <v>0</v>
      </c>
      <c r="J53" s="1725"/>
      <c r="K53" s="1725"/>
      <c r="L53" s="1447"/>
      <c r="M53" s="1447"/>
      <c r="N53" s="1462"/>
      <c r="O53" s="1462"/>
      <c r="P53" s="1462"/>
      <c r="Q53" s="1447"/>
      <c r="R53" s="1447"/>
      <c r="S53" s="1462"/>
      <c r="T53" s="1555" t="e">
        <f t="shared" si="2"/>
        <v>#DIV/0!</v>
      </c>
      <c r="U53" s="1462"/>
      <c r="V53" s="1447"/>
      <c r="W53" s="1447"/>
      <c r="X53" s="1462"/>
      <c r="Y53" s="1555" t="e">
        <f t="shared" si="29"/>
        <v>#DIV/0!</v>
      </c>
      <c r="Z53" s="1462"/>
      <c r="AA53" s="1447"/>
      <c r="AB53" s="1447"/>
      <c r="AC53" s="1462"/>
      <c r="AD53" s="1555" t="e">
        <f t="shared" si="3"/>
        <v>#DIV/0!</v>
      </c>
      <c r="AE53" s="1462"/>
      <c r="AF53" s="1447"/>
      <c r="AG53" s="1447"/>
      <c r="AH53" s="1462"/>
      <c r="AI53" s="1555" t="e">
        <f t="shared" si="30"/>
        <v>#DIV/0!</v>
      </c>
      <c r="AJ53" s="1462"/>
      <c r="AK53" s="1447"/>
      <c r="AL53" s="1447"/>
      <c r="AM53" s="1462"/>
      <c r="AN53" s="1555" t="e">
        <f>AM53/$AC$89</f>
        <v>#DIV/0!</v>
      </c>
      <c r="AO53" s="1462"/>
      <c r="AP53" s="1447"/>
      <c r="AQ53" s="1447"/>
      <c r="AR53" s="1462"/>
      <c r="AS53" s="1893" t="e">
        <f>AR53/$AC$89</f>
        <v>#DIV/0!</v>
      </c>
      <c r="AT53" s="1462"/>
      <c r="AU53" s="1447">
        <f t="shared" si="51"/>
        <v>0</v>
      </c>
      <c r="AV53" s="1447">
        <f t="shared" si="51"/>
        <v>0</v>
      </c>
      <c r="AW53" s="1495">
        <f>AU53+AV53</f>
        <v>0</v>
      </c>
      <c r="AX53" s="1462"/>
      <c r="AY53" s="1462"/>
    </row>
    <row r="54" spans="1:51" ht="13.8" outlineLevel="1" x14ac:dyDescent="0.25">
      <c r="A54" s="1585"/>
      <c r="B54" s="1425" t="s">
        <v>1</v>
      </c>
      <c r="C54" s="1512">
        <f>SUM(C55:C71)</f>
        <v>91164</v>
      </c>
      <c r="D54" s="1512">
        <f>SUM(D55:D71)</f>
        <v>50748</v>
      </c>
      <c r="E54" s="1515">
        <f>SUM(E55:E71)</f>
        <v>141912</v>
      </c>
      <c r="F54" s="1549">
        <f>E54/$E$89</f>
        <v>1.2009615003792991E-2</v>
      </c>
      <c r="G54" s="1512">
        <v>37684.75</v>
      </c>
      <c r="H54" s="1512">
        <v>43600.270000000004</v>
      </c>
      <c r="I54" s="1512">
        <v>81285.02</v>
      </c>
      <c r="J54" s="1593">
        <v>5.7377881019946781E-3</v>
      </c>
      <c r="K54" s="1549"/>
      <c r="L54" s="1512">
        <f>SUM(L55:L72)</f>
        <v>0</v>
      </c>
      <c r="M54" s="1512">
        <f>SUM(M55:M72)</f>
        <v>0</v>
      </c>
      <c r="N54" s="1512">
        <f>SUM(N55:N72)</f>
        <v>0</v>
      </c>
      <c r="O54" s="1548">
        <f>N54/$N$89</f>
        <v>0</v>
      </c>
      <c r="P54" s="1613"/>
      <c r="Q54" s="1512">
        <f>SUM(Q55:Q72)</f>
        <v>0</v>
      </c>
      <c r="R54" s="1512">
        <f>SUM(R55:R72)</f>
        <v>0</v>
      </c>
      <c r="S54" s="1512">
        <f>SUM(S55:S72)</f>
        <v>0</v>
      </c>
      <c r="T54" s="1548" t="e">
        <f t="shared" si="2"/>
        <v>#DIV/0!</v>
      </c>
      <c r="U54" s="1613"/>
      <c r="V54" s="1512">
        <f>SUM(V55:V72)</f>
        <v>0</v>
      </c>
      <c r="W54" s="1512">
        <f>SUM(W55:W72)</f>
        <v>0</v>
      </c>
      <c r="X54" s="1512">
        <f>SUM(X55:X72)</f>
        <v>0</v>
      </c>
      <c r="Y54" s="1548">
        <f t="shared" si="50"/>
        <v>0</v>
      </c>
      <c r="Z54" s="1613"/>
      <c r="AA54" s="1512">
        <f>SUM(AA55:AA72)</f>
        <v>0</v>
      </c>
      <c r="AB54" s="1512">
        <f>SUM(AB55:AB72)</f>
        <v>0</v>
      </c>
      <c r="AC54" s="1512">
        <f>SUM(AC55:AC72)</f>
        <v>0</v>
      </c>
      <c r="AD54" s="1548" t="e">
        <f t="shared" si="3"/>
        <v>#DIV/0!</v>
      </c>
      <c r="AE54" s="1613"/>
      <c r="AF54" s="1512">
        <f>SUM(AF55:AF72)</f>
        <v>0</v>
      </c>
      <c r="AG54" s="1512">
        <f>SUM(AG55:AG72)</f>
        <v>0</v>
      </c>
      <c r="AH54" s="1512">
        <f>SUM(AH55:AH72)</f>
        <v>0</v>
      </c>
      <c r="AI54" s="1548" t="e">
        <f t="shared" ref="AI54:AI71" si="52">AH54/$AH$89</f>
        <v>#DIV/0!</v>
      </c>
      <c r="AJ54" s="1613"/>
      <c r="AK54" s="1512">
        <f>SUM(AK55:AK72)</f>
        <v>0</v>
      </c>
      <c r="AL54" s="1512">
        <f>SUM(AL55:AL72)</f>
        <v>0</v>
      </c>
      <c r="AM54" s="1512">
        <f>SUM(AM55:AM72)</f>
        <v>0</v>
      </c>
      <c r="AN54" s="1548" t="e">
        <f t="shared" ref="AN54:AN71" si="53">AM54/$AM$89</f>
        <v>#DIV/0!</v>
      </c>
      <c r="AO54" s="1613"/>
      <c r="AP54" s="1512">
        <f>SUM(AP55:AP72)</f>
        <v>0</v>
      </c>
      <c r="AQ54" s="1512">
        <f>SUM(AQ55:AQ72)</f>
        <v>0</v>
      </c>
      <c r="AR54" s="1512">
        <f>SUM(AR55:AR72)</f>
        <v>0</v>
      </c>
      <c r="AS54" s="1904">
        <f t="shared" ref="AS54:AS71" si="54">AR54/$AR$89</f>
        <v>0</v>
      </c>
      <c r="AT54" s="1613"/>
      <c r="AU54" s="1512">
        <f>SUM(AU55:AU72)</f>
        <v>37684.75</v>
      </c>
      <c r="AV54" s="1512">
        <f>SUM(AV55:AV72)</f>
        <v>43600.270000000004</v>
      </c>
      <c r="AW54" s="1512">
        <f>SUM(AW55:AW72)</f>
        <v>81285.02</v>
      </c>
      <c r="AX54" s="1548">
        <f t="shared" ref="AX54:AX72" si="55">AW54/$AW$89</f>
        <v>5.2785412416480916E-3</v>
      </c>
      <c r="AY54" s="1461"/>
    </row>
    <row r="55" spans="1:51" ht="13.95" customHeight="1" outlineLevel="2" x14ac:dyDescent="0.25">
      <c r="A55" s="1586"/>
      <c r="B55" s="1427" t="s">
        <v>77</v>
      </c>
      <c r="C55" s="1502"/>
      <c r="D55" s="1516"/>
      <c r="E55" s="1509">
        <f t="shared" ref="E55:E72" si="56">C55+D55</f>
        <v>0</v>
      </c>
      <c r="F55" s="1555">
        <f>E55/$E$89</f>
        <v>0</v>
      </c>
      <c r="G55" s="1567">
        <v>0</v>
      </c>
      <c r="H55" s="1567">
        <v>0</v>
      </c>
      <c r="I55" s="1495">
        <v>0</v>
      </c>
      <c r="J55" s="1554">
        <v>0</v>
      </c>
      <c r="K55" s="1554"/>
      <c r="L55" s="1567"/>
      <c r="M55" s="1567"/>
      <c r="N55" s="1495">
        <f t="shared" ref="N55:N71" si="57">L55+M55*1</f>
        <v>0</v>
      </c>
      <c r="O55" s="1555">
        <f t="shared" ref="O55:O72" si="58">N55/$N$89</f>
        <v>0</v>
      </c>
      <c r="P55" s="1594"/>
      <c r="Q55" s="1567"/>
      <c r="R55" s="1567"/>
      <c r="S55" s="1495">
        <f t="shared" ref="S55:S71" si="59">Q55+R55*1</f>
        <v>0</v>
      </c>
      <c r="T55" s="1555" t="e">
        <f t="shared" si="2"/>
        <v>#DIV/0!</v>
      </c>
      <c r="U55" s="1594"/>
      <c r="V55" s="1567"/>
      <c r="W55" s="1567"/>
      <c r="X55" s="1495">
        <f t="shared" ref="X55:X71" si="60">V55+W55*1</f>
        <v>0</v>
      </c>
      <c r="Y55" s="1555">
        <f t="shared" si="50"/>
        <v>0</v>
      </c>
      <c r="Z55" s="1594"/>
      <c r="AA55" s="1567"/>
      <c r="AB55" s="1567"/>
      <c r="AC55" s="1495">
        <f t="shared" ref="AC55:AC71" si="61">AA55+AB55*1</f>
        <v>0</v>
      </c>
      <c r="AD55" s="1555" t="e">
        <f t="shared" si="3"/>
        <v>#DIV/0!</v>
      </c>
      <c r="AE55" s="1594"/>
      <c r="AF55" s="1567"/>
      <c r="AG55" s="1567"/>
      <c r="AH55" s="1495">
        <f t="shared" ref="AH55:AH71" si="62">AF55+AG55*1</f>
        <v>0</v>
      </c>
      <c r="AI55" s="1555" t="e">
        <f t="shared" si="52"/>
        <v>#DIV/0!</v>
      </c>
      <c r="AJ55" s="1594"/>
      <c r="AK55" s="1567"/>
      <c r="AL55" s="1567"/>
      <c r="AM55" s="1495">
        <f t="shared" ref="AM55:AM71" si="63">AK55+AL55*1</f>
        <v>0</v>
      </c>
      <c r="AN55" s="1555" t="e">
        <f t="shared" si="53"/>
        <v>#DIV/0!</v>
      </c>
      <c r="AO55" s="1594"/>
      <c r="AP55" s="1567"/>
      <c r="AQ55" s="1567"/>
      <c r="AR55" s="1495">
        <f t="shared" ref="AR55:AR71" si="64">AP55+AQ55*1</f>
        <v>0</v>
      </c>
      <c r="AS55" s="1893">
        <f t="shared" si="54"/>
        <v>0</v>
      </c>
      <c r="AT55" s="1896"/>
      <c r="AU55" s="1447">
        <f t="shared" ref="AU55:AV70" si="65">G55+L55+Q55+V55+AA55+AF55+AK55+AP55</f>
        <v>0</v>
      </c>
      <c r="AV55" s="1447">
        <f t="shared" si="65"/>
        <v>0</v>
      </c>
      <c r="AW55" s="1495">
        <f t="shared" ref="AW55:AW72" si="66">AU55+AV55</f>
        <v>0</v>
      </c>
      <c r="AX55" s="1555">
        <f t="shared" si="55"/>
        <v>0</v>
      </c>
      <c r="AY55" s="1475"/>
    </row>
    <row r="56" spans="1:51" ht="13.95" customHeight="1" outlineLevel="2" x14ac:dyDescent="0.25">
      <c r="A56" s="1586"/>
      <c r="B56" s="1427" t="s">
        <v>76</v>
      </c>
      <c r="C56" s="1502"/>
      <c r="D56" s="1516"/>
      <c r="E56" s="1509">
        <f t="shared" si="56"/>
        <v>0</v>
      </c>
      <c r="F56" s="1555">
        <f t="shared" ref="F56:F72" si="67">E56/$E$89</f>
        <v>0</v>
      </c>
      <c r="G56" s="1567">
        <v>0</v>
      </c>
      <c r="H56" s="1567">
        <v>0</v>
      </c>
      <c r="I56" s="1495">
        <v>0</v>
      </c>
      <c r="J56" s="1554">
        <v>0</v>
      </c>
      <c r="K56" s="1554"/>
      <c r="L56" s="1567"/>
      <c r="M56" s="1567"/>
      <c r="N56" s="1495">
        <f t="shared" si="57"/>
        <v>0</v>
      </c>
      <c r="O56" s="1555">
        <f t="shared" si="58"/>
        <v>0</v>
      </c>
      <c r="P56" s="1618"/>
      <c r="Q56" s="1567"/>
      <c r="R56" s="1567"/>
      <c r="S56" s="1495">
        <f t="shared" si="59"/>
        <v>0</v>
      </c>
      <c r="T56" s="1555" t="e">
        <f t="shared" si="2"/>
        <v>#DIV/0!</v>
      </c>
      <c r="U56" s="1618"/>
      <c r="V56" s="1567"/>
      <c r="W56" s="1567"/>
      <c r="X56" s="1495">
        <f t="shared" si="60"/>
        <v>0</v>
      </c>
      <c r="Y56" s="1555">
        <f t="shared" si="50"/>
        <v>0</v>
      </c>
      <c r="Z56" s="1618"/>
      <c r="AA56" s="1567"/>
      <c r="AB56" s="1567"/>
      <c r="AC56" s="1495">
        <f t="shared" si="61"/>
        <v>0</v>
      </c>
      <c r="AD56" s="1555" t="e">
        <f t="shared" si="3"/>
        <v>#DIV/0!</v>
      </c>
      <c r="AE56" s="1618"/>
      <c r="AF56" s="1567"/>
      <c r="AG56" s="1567"/>
      <c r="AH56" s="1495">
        <f t="shared" si="62"/>
        <v>0</v>
      </c>
      <c r="AI56" s="1555" t="e">
        <f t="shared" si="52"/>
        <v>#DIV/0!</v>
      </c>
      <c r="AJ56" s="1618"/>
      <c r="AK56" s="1567"/>
      <c r="AL56" s="1567"/>
      <c r="AM56" s="1495">
        <f t="shared" si="63"/>
        <v>0</v>
      </c>
      <c r="AN56" s="1555" t="e">
        <f t="shared" si="53"/>
        <v>#DIV/0!</v>
      </c>
      <c r="AO56" s="1618"/>
      <c r="AP56" s="1567"/>
      <c r="AQ56" s="1567"/>
      <c r="AR56" s="1495">
        <f t="shared" si="64"/>
        <v>0</v>
      </c>
      <c r="AS56" s="1893">
        <f t="shared" si="54"/>
        <v>0</v>
      </c>
      <c r="AT56" s="1928"/>
      <c r="AU56" s="1447">
        <f t="shared" si="65"/>
        <v>0</v>
      </c>
      <c r="AV56" s="1447">
        <f t="shared" si="65"/>
        <v>0</v>
      </c>
      <c r="AW56" s="1495">
        <f t="shared" si="66"/>
        <v>0</v>
      </c>
      <c r="AX56" s="1555">
        <f t="shared" si="55"/>
        <v>0</v>
      </c>
      <c r="AY56" s="1475"/>
    </row>
    <row r="57" spans="1:51" ht="13.95" customHeight="1" outlineLevel="2" x14ac:dyDescent="0.25">
      <c r="A57" s="1586"/>
      <c r="B57" s="1427" t="s">
        <v>68</v>
      </c>
      <c r="C57" s="1502"/>
      <c r="D57" s="1508"/>
      <c r="E57" s="1509">
        <f t="shared" si="56"/>
        <v>0</v>
      </c>
      <c r="F57" s="1555">
        <f t="shared" si="67"/>
        <v>0</v>
      </c>
      <c r="G57" s="1567">
        <v>0</v>
      </c>
      <c r="H57" s="1567">
        <v>0</v>
      </c>
      <c r="I57" s="1495">
        <v>0</v>
      </c>
      <c r="J57" s="1554">
        <v>0</v>
      </c>
      <c r="K57" s="1554"/>
      <c r="L57" s="1567"/>
      <c r="M57" s="1567"/>
      <c r="N57" s="1495">
        <f t="shared" si="57"/>
        <v>0</v>
      </c>
      <c r="O57" s="1555">
        <f t="shared" si="58"/>
        <v>0</v>
      </c>
      <c r="P57" s="1618"/>
      <c r="Q57" s="1567"/>
      <c r="R57" s="1567"/>
      <c r="S57" s="1495">
        <f t="shared" si="59"/>
        <v>0</v>
      </c>
      <c r="T57" s="1555" t="e">
        <f t="shared" si="2"/>
        <v>#DIV/0!</v>
      </c>
      <c r="U57" s="1618"/>
      <c r="V57" s="1567"/>
      <c r="W57" s="1567"/>
      <c r="X57" s="1495">
        <f t="shared" si="60"/>
        <v>0</v>
      </c>
      <c r="Y57" s="1555">
        <f t="shared" si="50"/>
        <v>0</v>
      </c>
      <c r="Z57" s="1618"/>
      <c r="AA57" s="1567"/>
      <c r="AB57" s="1567"/>
      <c r="AC57" s="1495">
        <f t="shared" si="61"/>
        <v>0</v>
      </c>
      <c r="AD57" s="1555" t="e">
        <f t="shared" si="3"/>
        <v>#DIV/0!</v>
      </c>
      <c r="AE57" s="1618"/>
      <c r="AF57" s="1567"/>
      <c r="AG57" s="1567"/>
      <c r="AH57" s="1495">
        <f t="shared" si="62"/>
        <v>0</v>
      </c>
      <c r="AI57" s="1555" t="e">
        <f t="shared" si="52"/>
        <v>#DIV/0!</v>
      </c>
      <c r="AJ57" s="1618"/>
      <c r="AK57" s="1567"/>
      <c r="AL57" s="1567"/>
      <c r="AM57" s="1495">
        <f t="shared" si="63"/>
        <v>0</v>
      </c>
      <c r="AN57" s="1555" t="e">
        <f t="shared" si="53"/>
        <v>#DIV/0!</v>
      </c>
      <c r="AO57" s="1618"/>
      <c r="AP57" s="1567"/>
      <c r="AQ57" s="1567"/>
      <c r="AR57" s="1495">
        <f t="shared" si="64"/>
        <v>0</v>
      </c>
      <c r="AS57" s="1893">
        <f t="shared" si="54"/>
        <v>0</v>
      </c>
      <c r="AT57" s="1928"/>
      <c r="AU57" s="1447">
        <f t="shared" si="65"/>
        <v>0</v>
      </c>
      <c r="AV57" s="1447">
        <f t="shared" si="65"/>
        <v>0</v>
      </c>
      <c r="AW57" s="1495">
        <f t="shared" si="66"/>
        <v>0</v>
      </c>
      <c r="AX57" s="1555">
        <f t="shared" si="55"/>
        <v>0</v>
      </c>
      <c r="AY57" s="1475"/>
    </row>
    <row r="58" spans="1:51" ht="14.4" customHeight="1" outlineLevel="2" x14ac:dyDescent="0.25">
      <c r="A58" s="1586"/>
      <c r="B58" s="1427" t="s">
        <v>67</v>
      </c>
      <c r="C58" s="1502">
        <v>21252</v>
      </c>
      <c r="D58" s="1508">
        <v>48748</v>
      </c>
      <c r="E58" s="1509">
        <f t="shared" si="56"/>
        <v>70000</v>
      </c>
      <c r="F58" s="1555">
        <f t="shared" si="67"/>
        <v>5.9239039000613712E-3</v>
      </c>
      <c r="G58" s="1567">
        <v>16180.5</v>
      </c>
      <c r="H58" s="1567">
        <v>26189.5</v>
      </c>
      <c r="I58" s="1495">
        <v>42370</v>
      </c>
      <c r="J58" s="1554">
        <v>2.9908349888025433E-3</v>
      </c>
      <c r="K58" s="1554"/>
      <c r="L58" s="1567"/>
      <c r="M58" s="1567"/>
      <c r="N58" s="1495">
        <f t="shared" si="57"/>
        <v>0</v>
      </c>
      <c r="O58" s="1555">
        <f t="shared" si="58"/>
        <v>0</v>
      </c>
      <c r="P58" s="1624"/>
      <c r="Q58" s="1567"/>
      <c r="R58" s="1567"/>
      <c r="S58" s="1495">
        <f t="shared" si="59"/>
        <v>0</v>
      </c>
      <c r="T58" s="1555" t="e">
        <f t="shared" si="2"/>
        <v>#DIV/0!</v>
      </c>
      <c r="U58" s="1624"/>
      <c r="V58" s="1567"/>
      <c r="W58" s="1567"/>
      <c r="X58" s="1495">
        <f t="shared" si="60"/>
        <v>0</v>
      </c>
      <c r="Y58" s="1555">
        <f t="shared" si="50"/>
        <v>0</v>
      </c>
      <c r="Z58" s="1624"/>
      <c r="AA58" s="1567"/>
      <c r="AB58" s="1567"/>
      <c r="AC58" s="1495">
        <f t="shared" si="61"/>
        <v>0</v>
      </c>
      <c r="AD58" s="1555" t="e">
        <f t="shared" si="3"/>
        <v>#DIV/0!</v>
      </c>
      <c r="AE58" s="1624"/>
      <c r="AF58" s="1567"/>
      <c r="AG58" s="1567"/>
      <c r="AH58" s="1495">
        <f t="shared" si="62"/>
        <v>0</v>
      </c>
      <c r="AI58" s="1555" t="e">
        <f t="shared" si="52"/>
        <v>#DIV/0!</v>
      </c>
      <c r="AJ58" s="1605"/>
      <c r="AK58" s="1567"/>
      <c r="AL58" s="1567"/>
      <c r="AM58" s="1495">
        <f t="shared" si="63"/>
        <v>0</v>
      </c>
      <c r="AN58" s="1555" t="e">
        <f t="shared" si="53"/>
        <v>#DIV/0!</v>
      </c>
      <c r="AO58" s="1605"/>
      <c r="AP58" s="1567"/>
      <c r="AQ58" s="1567"/>
      <c r="AR58" s="1495">
        <f t="shared" si="64"/>
        <v>0</v>
      </c>
      <c r="AS58" s="1893">
        <f t="shared" si="54"/>
        <v>0</v>
      </c>
      <c r="AT58" s="1605"/>
      <c r="AU58" s="1447">
        <f t="shared" si="65"/>
        <v>16180.5</v>
      </c>
      <c r="AV58" s="1447">
        <f t="shared" si="65"/>
        <v>26189.5</v>
      </c>
      <c r="AW58" s="1495">
        <f t="shared" si="66"/>
        <v>42370</v>
      </c>
      <c r="AX58" s="1555">
        <f t="shared" si="55"/>
        <v>2.751451527091088E-3</v>
      </c>
      <c r="AY58" s="1475"/>
    </row>
    <row r="59" spans="1:51" ht="14.4" customHeight="1" outlineLevel="2" x14ac:dyDescent="0.25">
      <c r="A59" s="1586"/>
      <c r="B59" s="1427" t="s">
        <v>66</v>
      </c>
      <c r="C59" s="1502">
        <v>10296</v>
      </c>
      <c r="D59" s="1508"/>
      <c r="E59" s="1509">
        <f t="shared" si="56"/>
        <v>10296</v>
      </c>
      <c r="F59" s="1555">
        <f t="shared" si="67"/>
        <v>8.7132163650045541E-4</v>
      </c>
      <c r="G59" s="1567">
        <v>5665.04</v>
      </c>
      <c r="H59" s="1567">
        <v>0</v>
      </c>
      <c r="I59" s="1495">
        <v>5665.04</v>
      </c>
      <c r="J59" s="1554">
        <v>3.9988670863738397E-4</v>
      </c>
      <c r="K59" s="1554"/>
      <c r="L59" s="1567"/>
      <c r="M59" s="1567"/>
      <c r="N59" s="1495">
        <f t="shared" si="57"/>
        <v>0</v>
      </c>
      <c r="O59" s="1555">
        <f t="shared" si="58"/>
        <v>0</v>
      </c>
      <c r="P59" s="1625"/>
      <c r="Q59" s="1567"/>
      <c r="R59" s="1567"/>
      <c r="S59" s="1495">
        <f t="shared" si="59"/>
        <v>0</v>
      </c>
      <c r="T59" s="1555" t="e">
        <f t="shared" si="2"/>
        <v>#DIV/0!</v>
      </c>
      <c r="U59" s="1618"/>
      <c r="V59" s="1567"/>
      <c r="W59" s="1567"/>
      <c r="X59" s="1495">
        <f t="shared" si="60"/>
        <v>0</v>
      </c>
      <c r="Y59" s="1555">
        <f t="shared" si="50"/>
        <v>0</v>
      </c>
      <c r="Z59" s="1618"/>
      <c r="AA59" s="1567"/>
      <c r="AB59" s="1567"/>
      <c r="AC59" s="1495">
        <f t="shared" si="61"/>
        <v>0</v>
      </c>
      <c r="AD59" s="1555" t="e">
        <f t="shared" si="3"/>
        <v>#DIV/0!</v>
      </c>
      <c r="AE59" s="1618"/>
      <c r="AF59" s="1567"/>
      <c r="AG59" s="1567"/>
      <c r="AH59" s="1495">
        <f t="shared" si="62"/>
        <v>0</v>
      </c>
      <c r="AI59" s="1555" t="e">
        <f t="shared" si="52"/>
        <v>#DIV/0!</v>
      </c>
      <c r="AJ59" s="1618"/>
      <c r="AK59" s="1567"/>
      <c r="AL59" s="1567"/>
      <c r="AM59" s="1495">
        <f t="shared" si="63"/>
        <v>0</v>
      </c>
      <c r="AN59" s="1555" t="e">
        <f t="shared" si="53"/>
        <v>#DIV/0!</v>
      </c>
      <c r="AO59" s="1618"/>
      <c r="AP59" s="1567"/>
      <c r="AQ59" s="1567"/>
      <c r="AR59" s="1495">
        <f t="shared" si="64"/>
        <v>0</v>
      </c>
      <c r="AS59" s="1893">
        <f t="shared" si="54"/>
        <v>0</v>
      </c>
      <c r="AT59" s="1928"/>
      <c r="AU59" s="1447">
        <f t="shared" si="65"/>
        <v>5665.04</v>
      </c>
      <c r="AV59" s="1447">
        <f t="shared" si="65"/>
        <v>0</v>
      </c>
      <c r="AW59" s="1495">
        <f t="shared" si="66"/>
        <v>5665.04</v>
      </c>
      <c r="AX59" s="1555">
        <f t="shared" si="55"/>
        <v>3.6788017368496811E-4</v>
      </c>
      <c r="AY59" s="1475"/>
    </row>
    <row r="60" spans="1:51" ht="14.4" customHeight="1" outlineLevel="2" x14ac:dyDescent="0.25">
      <c r="A60" s="1586"/>
      <c r="B60" s="1427" t="s">
        <v>65</v>
      </c>
      <c r="C60" s="1502">
        <v>11616</v>
      </c>
      <c r="D60" s="1508"/>
      <c r="E60" s="1509">
        <f t="shared" si="56"/>
        <v>11616</v>
      </c>
      <c r="F60" s="1555">
        <f t="shared" si="67"/>
        <v>9.8302953861589847E-4</v>
      </c>
      <c r="G60" s="1567">
        <v>6280.43</v>
      </c>
      <c r="H60" s="1567">
        <v>0</v>
      </c>
      <c r="I60" s="1495">
        <v>6280.43</v>
      </c>
      <c r="J60" s="1554">
        <v>4.4332616919341884E-4</v>
      </c>
      <c r="K60" s="1554"/>
      <c r="L60" s="1567"/>
      <c r="M60" s="1567"/>
      <c r="N60" s="1495">
        <f t="shared" si="57"/>
        <v>0</v>
      </c>
      <c r="O60" s="1555">
        <f t="shared" si="58"/>
        <v>0</v>
      </c>
      <c r="P60" s="1618"/>
      <c r="Q60" s="1567"/>
      <c r="R60" s="1567"/>
      <c r="S60" s="1495">
        <f t="shared" si="59"/>
        <v>0</v>
      </c>
      <c r="T60" s="1555" t="e">
        <f t="shared" si="2"/>
        <v>#DIV/0!</v>
      </c>
      <c r="U60" s="1618"/>
      <c r="V60" s="1567"/>
      <c r="W60" s="1567"/>
      <c r="X60" s="1495">
        <f t="shared" si="60"/>
        <v>0</v>
      </c>
      <c r="Y60" s="1555">
        <f t="shared" si="50"/>
        <v>0</v>
      </c>
      <c r="Z60" s="1618"/>
      <c r="AA60" s="1567"/>
      <c r="AB60" s="1567"/>
      <c r="AC60" s="1495">
        <f t="shared" si="61"/>
        <v>0</v>
      </c>
      <c r="AD60" s="1555" t="e">
        <f t="shared" si="3"/>
        <v>#DIV/0!</v>
      </c>
      <c r="AE60" s="1618"/>
      <c r="AF60" s="1567"/>
      <c r="AG60" s="1567"/>
      <c r="AH60" s="1495">
        <f t="shared" si="62"/>
        <v>0</v>
      </c>
      <c r="AI60" s="1555" t="e">
        <f t="shared" si="52"/>
        <v>#DIV/0!</v>
      </c>
      <c r="AJ60" s="1618"/>
      <c r="AK60" s="1567"/>
      <c r="AL60" s="1567"/>
      <c r="AM60" s="1495">
        <f t="shared" si="63"/>
        <v>0</v>
      </c>
      <c r="AN60" s="1555" t="e">
        <f t="shared" si="53"/>
        <v>#DIV/0!</v>
      </c>
      <c r="AO60" s="1618"/>
      <c r="AP60" s="1567"/>
      <c r="AQ60" s="1567"/>
      <c r="AR60" s="1495">
        <f t="shared" si="64"/>
        <v>0</v>
      </c>
      <c r="AS60" s="1893">
        <f t="shared" si="54"/>
        <v>0</v>
      </c>
      <c r="AT60" s="1928"/>
      <c r="AU60" s="1447">
        <f t="shared" si="65"/>
        <v>6280.43</v>
      </c>
      <c r="AV60" s="1447">
        <f t="shared" si="65"/>
        <v>0</v>
      </c>
      <c r="AW60" s="1495">
        <f t="shared" si="66"/>
        <v>6280.43</v>
      </c>
      <c r="AX60" s="1555">
        <f t="shared" si="55"/>
        <v>4.0784278296645464E-4</v>
      </c>
      <c r="AY60" s="1475"/>
    </row>
    <row r="61" spans="1:51" ht="13.95" customHeight="1" outlineLevel="2" x14ac:dyDescent="0.25">
      <c r="A61" s="1586"/>
      <c r="B61" s="1427" t="s">
        <v>32</v>
      </c>
      <c r="C61" s="1502"/>
      <c r="D61" s="1508"/>
      <c r="E61" s="1509">
        <f t="shared" si="56"/>
        <v>0</v>
      </c>
      <c r="F61" s="1555">
        <f t="shared" si="67"/>
        <v>0</v>
      </c>
      <c r="G61" s="1567">
        <v>0</v>
      </c>
      <c r="H61" s="1567">
        <v>0</v>
      </c>
      <c r="I61" s="1495">
        <v>0</v>
      </c>
      <c r="J61" s="1554">
        <v>0</v>
      </c>
      <c r="K61" s="1554"/>
      <c r="L61" s="1567"/>
      <c r="M61" s="1567"/>
      <c r="N61" s="1495">
        <f t="shared" si="57"/>
        <v>0</v>
      </c>
      <c r="O61" s="1555">
        <f t="shared" si="58"/>
        <v>0</v>
      </c>
      <c r="P61" s="1618"/>
      <c r="Q61" s="1567"/>
      <c r="R61" s="1567"/>
      <c r="S61" s="1495">
        <f t="shared" si="59"/>
        <v>0</v>
      </c>
      <c r="T61" s="1555" t="e">
        <f t="shared" si="2"/>
        <v>#DIV/0!</v>
      </c>
      <c r="U61" s="1618"/>
      <c r="V61" s="1567"/>
      <c r="W61" s="1567"/>
      <c r="X61" s="1495">
        <f t="shared" si="60"/>
        <v>0</v>
      </c>
      <c r="Y61" s="1555">
        <f t="shared" si="50"/>
        <v>0</v>
      </c>
      <c r="Z61" s="1618"/>
      <c r="AA61" s="1567"/>
      <c r="AB61" s="1567"/>
      <c r="AC61" s="1495">
        <f t="shared" si="61"/>
        <v>0</v>
      </c>
      <c r="AD61" s="1555" t="e">
        <f t="shared" si="3"/>
        <v>#DIV/0!</v>
      </c>
      <c r="AE61" s="1618"/>
      <c r="AF61" s="1567"/>
      <c r="AG61" s="1567"/>
      <c r="AH61" s="1495">
        <f t="shared" si="62"/>
        <v>0</v>
      </c>
      <c r="AI61" s="1555" t="e">
        <f t="shared" si="52"/>
        <v>#DIV/0!</v>
      </c>
      <c r="AJ61" s="1618"/>
      <c r="AK61" s="1567"/>
      <c r="AL61" s="1567"/>
      <c r="AM61" s="1495">
        <f t="shared" si="63"/>
        <v>0</v>
      </c>
      <c r="AN61" s="1555" t="e">
        <f t="shared" si="53"/>
        <v>#DIV/0!</v>
      </c>
      <c r="AO61" s="1618"/>
      <c r="AP61" s="1567"/>
      <c r="AQ61" s="1567"/>
      <c r="AR61" s="1495">
        <f t="shared" si="64"/>
        <v>0</v>
      </c>
      <c r="AS61" s="1893">
        <f t="shared" si="54"/>
        <v>0</v>
      </c>
      <c r="AT61" s="1928"/>
      <c r="AU61" s="1447">
        <f t="shared" si="65"/>
        <v>0</v>
      </c>
      <c r="AV61" s="1447">
        <f t="shared" si="65"/>
        <v>0</v>
      </c>
      <c r="AW61" s="1495">
        <f t="shared" si="66"/>
        <v>0</v>
      </c>
      <c r="AX61" s="1555">
        <f t="shared" si="55"/>
        <v>0</v>
      </c>
      <c r="AY61" s="1475"/>
    </row>
    <row r="62" spans="1:51" ht="30.6" customHeight="1" outlineLevel="2" x14ac:dyDescent="0.25">
      <c r="A62" s="1586"/>
      <c r="B62" s="1427" t="s">
        <v>33</v>
      </c>
      <c r="C62" s="1502"/>
      <c r="D62" s="1508"/>
      <c r="E62" s="1509">
        <f t="shared" si="56"/>
        <v>0</v>
      </c>
      <c r="F62" s="1555">
        <f t="shared" si="67"/>
        <v>0</v>
      </c>
      <c r="G62" s="1567">
        <v>0</v>
      </c>
      <c r="H62" s="1567">
        <v>0</v>
      </c>
      <c r="I62" s="1495">
        <v>0</v>
      </c>
      <c r="J62" s="1554">
        <v>0</v>
      </c>
      <c r="K62" s="1554"/>
      <c r="L62" s="1567"/>
      <c r="M62" s="1567"/>
      <c r="N62" s="1495">
        <f t="shared" si="57"/>
        <v>0</v>
      </c>
      <c r="O62" s="1555">
        <f t="shared" si="58"/>
        <v>0</v>
      </c>
      <c r="P62" s="1618"/>
      <c r="Q62" s="1567"/>
      <c r="R62" s="1567"/>
      <c r="S62" s="1495">
        <f t="shared" si="59"/>
        <v>0</v>
      </c>
      <c r="T62" s="1555" t="e">
        <f t="shared" si="2"/>
        <v>#DIV/0!</v>
      </c>
      <c r="U62" s="1618"/>
      <c r="V62" s="1567"/>
      <c r="W62" s="1567"/>
      <c r="X62" s="1495">
        <f t="shared" si="60"/>
        <v>0</v>
      </c>
      <c r="Y62" s="1555">
        <f t="shared" si="50"/>
        <v>0</v>
      </c>
      <c r="Z62" s="1618"/>
      <c r="AA62" s="1567"/>
      <c r="AB62" s="1567"/>
      <c r="AC62" s="1495">
        <f t="shared" si="61"/>
        <v>0</v>
      </c>
      <c r="AD62" s="1555" t="e">
        <f t="shared" si="3"/>
        <v>#DIV/0!</v>
      </c>
      <c r="AE62" s="1618"/>
      <c r="AF62" s="1567"/>
      <c r="AG62" s="1567"/>
      <c r="AH62" s="1495">
        <f t="shared" si="62"/>
        <v>0</v>
      </c>
      <c r="AI62" s="1555" t="e">
        <f t="shared" si="52"/>
        <v>#DIV/0!</v>
      </c>
      <c r="AJ62" s="1618"/>
      <c r="AK62" s="1567"/>
      <c r="AL62" s="1567"/>
      <c r="AM62" s="1495">
        <f t="shared" si="63"/>
        <v>0</v>
      </c>
      <c r="AN62" s="1555" t="e">
        <f t="shared" si="53"/>
        <v>#DIV/0!</v>
      </c>
      <c r="AO62" s="1618"/>
      <c r="AP62" s="1567"/>
      <c r="AQ62" s="1567"/>
      <c r="AR62" s="1495">
        <f t="shared" si="64"/>
        <v>0</v>
      </c>
      <c r="AS62" s="1893">
        <f t="shared" si="54"/>
        <v>0</v>
      </c>
      <c r="AT62" s="1928"/>
      <c r="AU62" s="1447">
        <f t="shared" si="65"/>
        <v>0</v>
      </c>
      <c r="AV62" s="1447">
        <f t="shared" si="65"/>
        <v>0</v>
      </c>
      <c r="AW62" s="1495">
        <f t="shared" si="66"/>
        <v>0</v>
      </c>
      <c r="AX62" s="1555">
        <f t="shared" si="55"/>
        <v>0</v>
      </c>
      <c r="AY62" s="1475"/>
    </row>
    <row r="63" spans="1:51" ht="13.8" outlineLevel="2" x14ac:dyDescent="0.25">
      <c r="A63" s="1586"/>
      <c r="B63" s="1427" t="s">
        <v>35</v>
      </c>
      <c r="C63" s="1502">
        <v>48000</v>
      </c>
      <c r="D63" s="1508"/>
      <c r="E63" s="1509">
        <f t="shared" si="56"/>
        <v>48000</v>
      </c>
      <c r="F63" s="1555">
        <f t="shared" si="67"/>
        <v>4.0621055314706547E-3</v>
      </c>
      <c r="G63" s="1567">
        <v>6268.7800000000007</v>
      </c>
      <c r="H63" s="1567">
        <v>0</v>
      </c>
      <c r="I63" s="1495">
        <v>6268.7800000000007</v>
      </c>
      <c r="J63" s="1554">
        <v>4.4250381310138322E-4</v>
      </c>
      <c r="K63" s="1554"/>
      <c r="L63" s="1567"/>
      <c r="M63" s="1567"/>
      <c r="N63" s="1495">
        <f t="shared" si="57"/>
        <v>0</v>
      </c>
      <c r="O63" s="1555">
        <f t="shared" si="58"/>
        <v>0</v>
      </c>
      <c r="P63" s="1625"/>
      <c r="Q63" s="1567"/>
      <c r="R63" s="1567"/>
      <c r="S63" s="1495">
        <f t="shared" si="59"/>
        <v>0</v>
      </c>
      <c r="T63" s="1555" t="e">
        <f t="shared" si="2"/>
        <v>#DIV/0!</v>
      </c>
      <c r="U63" s="1625"/>
      <c r="V63" s="1567"/>
      <c r="W63" s="1567"/>
      <c r="X63" s="1495">
        <f t="shared" si="60"/>
        <v>0</v>
      </c>
      <c r="Y63" s="1555">
        <f t="shared" si="50"/>
        <v>0</v>
      </c>
      <c r="Z63" s="1625"/>
      <c r="AA63" s="1567"/>
      <c r="AB63" s="1567"/>
      <c r="AC63" s="1495">
        <f t="shared" si="61"/>
        <v>0</v>
      </c>
      <c r="AD63" s="1555" t="e">
        <f t="shared" si="3"/>
        <v>#DIV/0!</v>
      </c>
      <c r="AE63" s="1625"/>
      <c r="AF63" s="1567"/>
      <c r="AG63" s="1567"/>
      <c r="AH63" s="1495">
        <f t="shared" si="62"/>
        <v>0</v>
      </c>
      <c r="AI63" s="1555" t="e">
        <f t="shared" si="52"/>
        <v>#DIV/0!</v>
      </c>
      <c r="AJ63" s="1605"/>
      <c r="AK63" s="1567"/>
      <c r="AL63" s="1567"/>
      <c r="AM63" s="1495">
        <f t="shared" si="63"/>
        <v>0</v>
      </c>
      <c r="AN63" s="1555" t="e">
        <f t="shared" si="53"/>
        <v>#DIV/0!</v>
      </c>
      <c r="AO63" s="1718"/>
      <c r="AP63" s="1567"/>
      <c r="AQ63" s="1567"/>
      <c r="AR63" s="1495">
        <f t="shared" si="64"/>
        <v>0</v>
      </c>
      <c r="AS63" s="1893">
        <f t="shared" si="54"/>
        <v>0</v>
      </c>
      <c r="AT63" s="1718"/>
      <c r="AU63" s="1447">
        <f t="shared" si="65"/>
        <v>6268.7800000000007</v>
      </c>
      <c r="AV63" s="1447">
        <f t="shared" si="65"/>
        <v>0</v>
      </c>
      <c r="AW63" s="1495">
        <f t="shared" si="66"/>
        <v>6268.7800000000007</v>
      </c>
      <c r="AX63" s="1555">
        <f t="shared" si="55"/>
        <v>4.0708624743918039E-4</v>
      </c>
      <c r="AY63" s="1475"/>
    </row>
    <row r="64" spans="1:51" ht="31.2" customHeight="1" outlineLevel="2" x14ac:dyDescent="0.25">
      <c r="A64" s="1586"/>
      <c r="B64" s="1427" t="s">
        <v>63</v>
      </c>
      <c r="C64" s="1502"/>
      <c r="D64" s="1508"/>
      <c r="E64" s="1509">
        <f t="shared" si="56"/>
        <v>0</v>
      </c>
      <c r="F64" s="1555">
        <f t="shared" si="67"/>
        <v>0</v>
      </c>
      <c r="G64" s="1567">
        <v>0</v>
      </c>
      <c r="H64" s="1567">
        <v>0</v>
      </c>
      <c r="I64" s="1495">
        <v>0</v>
      </c>
      <c r="J64" s="1554">
        <v>0</v>
      </c>
      <c r="K64" s="1554"/>
      <c r="L64" s="1567"/>
      <c r="M64" s="1567"/>
      <c r="N64" s="1495">
        <f t="shared" si="57"/>
        <v>0</v>
      </c>
      <c r="O64" s="1555">
        <f t="shared" si="58"/>
        <v>0</v>
      </c>
      <c r="P64" s="1625"/>
      <c r="Q64" s="1567"/>
      <c r="R64" s="1567"/>
      <c r="S64" s="1495">
        <f t="shared" si="59"/>
        <v>0</v>
      </c>
      <c r="T64" s="1555" t="e">
        <f t="shared" si="2"/>
        <v>#DIV/0!</v>
      </c>
      <c r="U64" s="1625"/>
      <c r="V64" s="1567"/>
      <c r="W64" s="1567"/>
      <c r="X64" s="1495">
        <f t="shared" si="60"/>
        <v>0</v>
      </c>
      <c r="Y64" s="1555">
        <f t="shared" si="50"/>
        <v>0</v>
      </c>
      <c r="Z64" s="1625"/>
      <c r="AA64" s="1567"/>
      <c r="AB64" s="1567"/>
      <c r="AC64" s="1495">
        <f t="shared" si="61"/>
        <v>0</v>
      </c>
      <c r="AD64" s="1555" t="e">
        <f t="shared" si="3"/>
        <v>#DIV/0!</v>
      </c>
      <c r="AE64" s="1625"/>
      <c r="AF64" s="1567"/>
      <c r="AG64" s="1567"/>
      <c r="AH64" s="1495">
        <f t="shared" si="62"/>
        <v>0</v>
      </c>
      <c r="AI64" s="1555" t="e">
        <f t="shared" si="52"/>
        <v>#DIV/0!</v>
      </c>
      <c r="AJ64" s="1625"/>
      <c r="AK64" s="1567"/>
      <c r="AL64" s="1567"/>
      <c r="AM64" s="1495">
        <f t="shared" si="63"/>
        <v>0</v>
      </c>
      <c r="AN64" s="1555" t="e">
        <f t="shared" si="53"/>
        <v>#DIV/0!</v>
      </c>
      <c r="AO64" s="1625"/>
      <c r="AP64" s="1567"/>
      <c r="AQ64" s="1567"/>
      <c r="AR64" s="1495">
        <f t="shared" si="64"/>
        <v>0</v>
      </c>
      <c r="AS64" s="1893">
        <f t="shared" si="54"/>
        <v>0</v>
      </c>
      <c r="AT64" s="1962"/>
      <c r="AU64" s="1447">
        <f t="shared" si="65"/>
        <v>0</v>
      </c>
      <c r="AV64" s="1447">
        <f t="shared" si="65"/>
        <v>0</v>
      </c>
      <c r="AW64" s="1495">
        <f t="shared" si="66"/>
        <v>0</v>
      </c>
      <c r="AX64" s="1555">
        <f t="shared" si="55"/>
        <v>0</v>
      </c>
      <c r="AY64" s="1475"/>
    </row>
    <row r="65" spans="1:51" ht="13.8" outlineLevel="2" x14ac:dyDescent="0.25">
      <c r="A65" s="1586"/>
      <c r="B65" s="1427" t="s">
        <v>36</v>
      </c>
      <c r="C65" s="1502"/>
      <c r="D65" s="1508"/>
      <c r="E65" s="1509">
        <f t="shared" si="56"/>
        <v>0</v>
      </c>
      <c r="F65" s="1555">
        <f t="shared" si="67"/>
        <v>0</v>
      </c>
      <c r="G65" s="1447">
        <v>3290</v>
      </c>
      <c r="H65" s="1447">
        <v>1000</v>
      </c>
      <c r="I65" s="1495">
        <v>4290</v>
      </c>
      <c r="J65" s="1554">
        <v>3.0282468968522325E-4</v>
      </c>
      <c r="K65" s="1554"/>
      <c r="L65" s="1447"/>
      <c r="M65" s="1447"/>
      <c r="N65" s="1495">
        <f t="shared" si="57"/>
        <v>0</v>
      </c>
      <c r="O65" s="1555">
        <f t="shared" si="58"/>
        <v>0</v>
      </c>
      <c r="P65" s="1605"/>
      <c r="Q65" s="1447"/>
      <c r="R65" s="1447"/>
      <c r="S65" s="1495">
        <f t="shared" si="59"/>
        <v>0</v>
      </c>
      <c r="T65" s="1555" t="e">
        <f t="shared" si="2"/>
        <v>#DIV/0!</v>
      </c>
      <c r="U65" s="1605"/>
      <c r="V65" s="1447"/>
      <c r="W65" s="1447"/>
      <c r="X65" s="1495">
        <f t="shared" si="60"/>
        <v>0</v>
      </c>
      <c r="Y65" s="1555">
        <f t="shared" si="50"/>
        <v>0</v>
      </c>
      <c r="Z65" s="1605"/>
      <c r="AA65" s="1447"/>
      <c r="AB65" s="1447"/>
      <c r="AC65" s="1495">
        <f t="shared" si="61"/>
        <v>0</v>
      </c>
      <c r="AD65" s="1555" t="e">
        <f t="shared" si="3"/>
        <v>#DIV/0!</v>
      </c>
      <c r="AE65" s="1605"/>
      <c r="AF65" s="1447"/>
      <c r="AG65" s="1447"/>
      <c r="AH65" s="1495">
        <f t="shared" si="62"/>
        <v>0</v>
      </c>
      <c r="AI65" s="1555" t="e">
        <f t="shared" si="52"/>
        <v>#DIV/0!</v>
      </c>
      <c r="AJ65" s="1605"/>
      <c r="AK65" s="1447"/>
      <c r="AL65" s="1447"/>
      <c r="AM65" s="1495">
        <f t="shared" si="63"/>
        <v>0</v>
      </c>
      <c r="AN65" s="1555" t="e">
        <f t="shared" si="53"/>
        <v>#DIV/0!</v>
      </c>
      <c r="AO65" s="1605"/>
      <c r="AP65" s="1447"/>
      <c r="AQ65" s="1447"/>
      <c r="AR65" s="1495">
        <f t="shared" si="64"/>
        <v>0</v>
      </c>
      <c r="AS65" s="1893">
        <f t="shared" si="54"/>
        <v>0</v>
      </c>
      <c r="AT65" s="1605"/>
      <c r="AU65" s="1447">
        <f t="shared" si="65"/>
        <v>3290</v>
      </c>
      <c r="AV65" s="1447">
        <f t="shared" si="65"/>
        <v>1000</v>
      </c>
      <c r="AW65" s="1495">
        <f t="shared" si="66"/>
        <v>4290</v>
      </c>
      <c r="AX65" s="1555">
        <f t="shared" si="55"/>
        <v>2.7858690231816777E-4</v>
      </c>
      <c r="AY65" s="1475"/>
    </row>
    <row r="66" spans="1:51" s="1411" customFormat="1" ht="13.95" customHeight="1" outlineLevel="2" x14ac:dyDescent="0.25">
      <c r="A66" s="1586"/>
      <c r="B66" s="1427" t="s">
        <v>37</v>
      </c>
      <c r="C66" s="1502"/>
      <c r="D66" s="1508"/>
      <c r="E66" s="1509">
        <f t="shared" si="56"/>
        <v>0</v>
      </c>
      <c r="F66" s="1555">
        <f t="shared" si="67"/>
        <v>0</v>
      </c>
      <c r="G66" s="1447">
        <v>0</v>
      </c>
      <c r="H66" s="1447">
        <v>0</v>
      </c>
      <c r="I66" s="1495">
        <v>0</v>
      </c>
      <c r="J66" s="1554">
        <v>0</v>
      </c>
      <c r="K66" s="1554"/>
      <c r="L66" s="1447"/>
      <c r="M66" s="1447"/>
      <c r="N66" s="1495">
        <f t="shared" si="57"/>
        <v>0</v>
      </c>
      <c r="O66" s="1555">
        <f t="shared" si="58"/>
        <v>0</v>
      </c>
      <c r="P66" s="1475"/>
      <c r="Q66" s="1447"/>
      <c r="R66" s="1447"/>
      <c r="S66" s="1495">
        <f t="shared" si="59"/>
        <v>0</v>
      </c>
      <c r="T66" s="1555" t="e">
        <f t="shared" si="2"/>
        <v>#DIV/0!</v>
      </c>
      <c r="U66" s="1475"/>
      <c r="V66" s="1447"/>
      <c r="W66" s="1447"/>
      <c r="X66" s="1495">
        <f t="shared" si="60"/>
        <v>0</v>
      </c>
      <c r="Y66" s="1555">
        <f t="shared" si="50"/>
        <v>0</v>
      </c>
      <c r="Z66" s="1475"/>
      <c r="AA66" s="1447"/>
      <c r="AB66" s="1447"/>
      <c r="AC66" s="1495">
        <f t="shared" si="61"/>
        <v>0</v>
      </c>
      <c r="AD66" s="1555" t="e">
        <f t="shared" si="3"/>
        <v>#DIV/0!</v>
      </c>
      <c r="AE66" s="1475"/>
      <c r="AF66" s="1447"/>
      <c r="AG66" s="1447"/>
      <c r="AH66" s="1495">
        <f t="shared" si="62"/>
        <v>0</v>
      </c>
      <c r="AI66" s="1555" t="e">
        <f t="shared" si="52"/>
        <v>#DIV/0!</v>
      </c>
      <c r="AJ66" s="1475"/>
      <c r="AK66" s="1447"/>
      <c r="AL66" s="1447"/>
      <c r="AM66" s="1495">
        <f t="shared" si="63"/>
        <v>0</v>
      </c>
      <c r="AN66" s="1555" t="e">
        <f t="shared" si="53"/>
        <v>#DIV/0!</v>
      </c>
      <c r="AO66" s="1475"/>
      <c r="AP66" s="1447"/>
      <c r="AQ66" s="1447"/>
      <c r="AR66" s="1495">
        <f t="shared" si="64"/>
        <v>0</v>
      </c>
      <c r="AS66" s="1893">
        <f t="shared" si="54"/>
        <v>0</v>
      </c>
      <c r="AT66" s="1943"/>
      <c r="AU66" s="1447">
        <f t="shared" si="65"/>
        <v>0</v>
      </c>
      <c r="AV66" s="1447">
        <f t="shared" si="65"/>
        <v>0</v>
      </c>
      <c r="AW66" s="1495">
        <f t="shared" si="66"/>
        <v>0</v>
      </c>
      <c r="AX66" s="1555">
        <f t="shared" si="55"/>
        <v>0</v>
      </c>
      <c r="AY66" s="1475"/>
    </row>
    <row r="67" spans="1:51" s="1411" customFormat="1" ht="102" customHeight="1" outlineLevel="2" x14ac:dyDescent="0.25">
      <c r="A67" s="1586"/>
      <c r="B67" s="1427" t="s">
        <v>3</v>
      </c>
      <c r="C67" s="1502"/>
      <c r="D67" s="1516"/>
      <c r="E67" s="1509">
        <f t="shared" si="56"/>
        <v>0</v>
      </c>
      <c r="F67" s="1555">
        <f t="shared" si="67"/>
        <v>0</v>
      </c>
      <c r="G67" s="1447">
        <v>0</v>
      </c>
      <c r="H67" s="1447">
        <v>0</v>
      </c>
      <c r="I67" s="1495">
        <v>0</v>
      </c>
      <c r="J67" s="1554">
        <v>0</v>
      </c>
      <c r="K67" s="1554"/>
      <c r="L67" s="1447"/>
      <c r="M67" s="1447"/>
      <c r="N67" s="1495">
        <f t="shared" si="57"/>
        <v>0</v>
      </c>
      <c r="O67" s="1555">
        <f t="shared" si="58"/>
        <v>0</v>
      </c>
      <c r="P67" s="1475"/>
      <c r="Q67" s="1447"/>
      <c r="R67" s="1447"/>
      <c r="S67" s="1495">
        <f t="shared" si="59"/>
        <v>0</v>
      </c>
      <c r="T67" s="1555" t="e">
        <f t="shared" si="2"/>
        <v>#DIV/0!</v>
      </c>
      <c r="U67" s="1475"/>
      <c r="V67" s="1447"/>
      <c r="W67" s="1447"/>
      <c r="X67" s="1495">
        <f t="shared" si="60"/>
        <v>0</v>
      </c>
      <c r="Y67" s="1555">
        <f t="shared" si="50"/>
        <v>0</v>
      </c>
      <c r="Z67" s="1475"/>
      <c r="AA67" s="1447"/>
      <c r="AB67" s="1447"/>
      <c r="AC67" s="1495">
        <f t="shared" si="61"/>
        <v>0</v>
      </c>
      <c r="AD67" s="1555" t="e">
        <f t="shared" si="3"/>
        <v>#DIV/0!</v>
      </c>
      <c r="AE67" s="1475"/>
      <c r="AF67" s="1447"/>
      <c r="AG67" s="1447"/>
      <c r="AH67" s="1495">
        <f t="shared" si="62"/>
        <v>0</v>
      </c>
      <c r="AI67" s="1555" t="e">
        <f t="shared" si="52"/>
        <v>#DIV/0!</v>
      </c>
      <c r="AJ67" s="1475"/>
      <c r="AK67" s="1447"/>
      <c r="AL67" s="1447"/>
      <c r="AM67" s="1495">
        <f t="shared" si="63"/>
        <v>0</v>
      </c>
      <c r="AN67" s="1555" t="e">
        <f t="shared" si="53"/>
        <v>#DIV/0!</v>
      </c>
      <c r="AO67" s="1606"/>
      <c r="AP67" s="1447"/>
      <c r="AQ67" s="1447"/>
      <c r="AR67" s="1495">
        <f t="shared" si="64"/>
        <v>0</v>
      </c>
      <c r="AS67" s="1893">
        <f t="shared" si="54"/>
        <v>0</v>
      </c>
      <c r="AT67" s="1958"/>
      <c r="AU67" s="1447">
        <f t="shared" si="65"/>
        <v>0</v>
      </c>
      <c r="AV67" s="1447">
        <f t="shared" si="65"/>
        <v>0</v>
      </c>
      <c r="AW67" s="1495">
        <f t="shared" si="66"/>
        <v>0</v>
      </c>
      <c r="AX67" s="1555">
        <f t="shared" si="55"/>
        <v>0</v>
      </c>
      <c r="AY67" s="1475"/>
    </row>
    <row r="68" spans="1:51" s="1411" customFormat="1" ht="13.95" customHeight="1" outlineLevel="2" x14ac:dyDescent="0.25">
      <c r="A68" s="1586"/>
      <c r="B68" s="1427" t="s">
        <v>5</v>
      </c>
      <c r="C68" s="1502"/>
      <c r="D68" s="1516">
        <v>2000</v>
      </c>
      <c r="E68" s="1509">
        <f t="shared" si="56"/>
        <v>2000</v>
      </c>
      <c r="F68" s="1555">
        <f t="shared" si="67"/>
        <v>1.6925439714461063E-4</v>
      </c>
      <c r="G68" s="1447">
        <v>0</v>
      </c>
      <c r="H68" s="1447">
        <v>15185.77</v>
      </c>
      <c r="I68" s="1495">
        <v>15185.77</v>
      </c>
      <c r="J68" s="1554">
        <v>1.0719408130259146E-3</v>
      </c>
      <c r="K68" s="1554"/>
      <c r="L68" s="1447"/>
      <c r="M68" s="1447"/>
      <c r="N68" s="1495">
        <f t="shared" si="57"/>
        <v>0</v>
      </c>
      <c r="O68" s="1555">
        <f t="shared" si="58"/>
        <v>0</v>
      </c>
      <c r="P68" s="1475"/>
      <c r="Q68" s="1447"/>
      <c r="R68" s="1447"/>
      <c r="S68" s="1495">
        <f t="shared" si="59"/>
        <v>0</v>
      </c>
      <c r="T68" s="1555" t="e">
        <f t="shared" si="2"/>
        <v>#DIV/0!</v>
      </c>
      <c r="U68" s="1475"/>
      <c r="V68" s="1447"/>
      <c r="W68" s="1447"/>
      <c r="X68" s="1495">
        <f t="shared" si="60"/>
        <v>0</v>
      </c>
      <c r="Y68" s="1555">
        <f t="shared" si="50"/>
        <v>0</v>
      </c>
      <c r="Z68" s="1475"/>
      <c r="AA68" s="1447"/>
      <c r="AB68" s="1447"/>
      <c r="AC68" s="1495">
        <f t="shared" si="61"/>
        <v>0</v>
      </c>
      <c r="AD68" s="1555" t="e">
        <f t="shared" si="3"/>
        <v>#DIV/0!</v>
      </c>
      <c r="AE68" s="1475"/>
      <c r="AF68" s="1447"/>
      <c r="AG68" s="1447"/>
      <c r="AH68" s="1495">
        <f t="shared" si="62"/>
        <v>0</v>
      </c>
      <c r="AI68" s="1555" t="e">
        <f t="shared" si="52"/>
        <v>#DIV/0!</v>
      </c>
      <c r="AJ68" s="1475"/>
      <c r="AK68" s="1447"/>
      <c r="AL68" s="1447"/>
      <c r="AM68" s="1495">
        <f t="shared" si="63"/>
        <v>0</v>
      </c>
      <c r="AN68" s="1555" t="e">
        <f t="shared" si="53"/>
        <v>#DIV/0!</v>
      </c>
      <c r="AO68" s="1475"/>
      <c r="AP68" s="1447"/>
      <c r="AQ68" s="1447"/>
      <c r="AR68" s="1495">
        <f t="shared" si="64"/>
        <v>0</v>
      </c>
      <c r="AS68" s="1893">
        <f t="shared" si="54"/>
        <v>0</v>
      </c>
      <c r="AT68" s="1943"/>
      <c r="AU68" s="1447">
        <f t="shared" si="65"/>
        <v>0</v>
      </c>
      <c r="AV68" s="1447">
        <f t="shared" si="65"/>
        <v>15185.77</v>
      </c>
      <c r="AW68" s="1495">
        <f t="shared" si="66"/>
        <v>15185.77</v>
      </c>
      <c r="AX68" s="1555">
        <f t="shared" si="55"/>
        <v>9.8614373510866262E-4</v>
      </c>
      <c r="AY68" s="1475"/>
    </row>
    <row r="69" spans="1:51" s="1411" customFormat="1" ht="13.8" outlineLevel="2" x14ac:dyDescent="0.25">
      <c r="A69" s="1586"/>
      <c r="B69" s="1427" t="s">
        <v>42</v>
      </c>
      <c r="C69" s="1502"/>
      <c r="D69" s="1516"/>
      <c r="E69" s="1509">
        <f t="shared" si="56"/>
        <v>0</v>
      </c>
      <c r="F69" s="1555">
        <f t="shared" si="67"/>
        <v>0</v>
      </c>
      <c r="G69" s="1447">
        <v>0</v>
      </c>
      <c r="H69" s="1447">
        <v>0</v>
      </c>
      <c r="I69" s="1495">
        <v>0</v>
      </c>
      <c r="J69" s="1554">
        <v>0</v>
      </c>
      <c r="K69" s="1554"/>
      <c r="L69" s="1447"/>
      <c r="M69" s="1447"/>
      <c r="N69" s="1495">
        <f t="shared" si="57"/>
        <v>0</v>
      </c>
      <c r="O69" s="1555">
        <f t="shared" si="58"/>
        <v>0</v>
      </c>
      <c r="P69" s="1605"/>
      <c r="Q69" s="1447"/>
      <c r="R69" s="1447"/>
      <c r="S69" s="1495">
        <f t="shared" si="59"/>
        <v>0</v>
      </c>
      <c r="T69" s="1555" t="e">
        <f t="shared" si="2"/>
        <v>#DIV/0!</v>
      </c>
      <c r="U69" s="1605"/>
      <c r="V69" s="1447"/>
      <c r="W69" s="1447"/>
      <c r="X69" s="1495">
        <f t="shared" si="60"/>
        <v>0</v>
      </c>
      <c r="Y69" s="1555">
        <f t="shared" si="50"/>
        <v>0</v>
      </c>
      <c r="Z69" s="1605"/>
      <c r="AA69" s="1447"/>
      <c r="AB69" s="1447"/>
      <c r="AC69" s="1495">
        <f t="shared" si="61"/>
        <v>0</v>
      </c>
      <c r="AD69" s="1555" t="e">
        <f t="shared" si="3"/>
        <v>#DIV/0!</v>
      </c>
      <c r="AE69" s="1605"/>
      <c r="AF69" s="1447"/>
      <c r="AG69" s="1447"/>
      <c r="AH69" s="1495">
        <f t="shared" si="62"/>
        <v>0</v>
      </c>
      <c r="AI69" s="1555" t="e">
        <f t="shared" si="52"/>
        <v>#DIV/0!</v>
      </c>
      <c r="AJ69" s="1605"/>
      <c r="AK69" s="1447"/>
      <c r="AL69" s="1447"/>
      <c r="AM69" s="1495">
        <f t="shared" si="63"/>
        <v>0</v>
      </c>
      <c r="AN69" s="1555" t="e">
        <f t="shared" si="53"/>
        <v>#DIV/0!</v>
      </c>
      <c r="AO69" s="1605"/>
      <c r="AP69" s="1447"/>
      <c r="AQ69" s="1447"/>
      <c r="AR69" s="1495">
        <f t="shared" si="64"/>
        <v>0</v>
      </c>
      <c r="AS69" s="1893">
        <f t="shared" si="54"/>
        <v>0</v>
      </c>
      <c r="AT69" s="1605"/>
      <c r="AU69" s="1447">
        <f t="shared" si="65"/>
        <v>0</v>
      </c>
      <c r="AV69" s="1447">
        <f t="shared" si="65"/>
        <v>0</v>
      </c>
      <c r="AW69" s="1495">
        <f t="shared" si="66"/>
        <v>0</v>
      </c>
      <c r="AX69" s="1555">
        <f t="shared" si="55"/>
        <v>0</v>
      </c>
      <c r="AY69" s="1475"/>
    </row>
    <row r="70" spans="1:51" s="1411" customFormat="1" ht="34.950000000000003" customHeight="1" outlineLevel="2" x14ac:dyDescent="0.25">
      <c r="A70" s="1586"/>
      <c r="B70" s="1427" t="s">
        <v>6</v>
      </c>
      <c r="C70" s="1502"/>
      <c r="D70" s="1516"/>
      <c r="E70" s="1509">
        <f t="shared" si="56"/>
        <v>0</v>
      </c>
      <c r="F70" s="1555">
        <f t="shared" si="67"/>
        <v>0</v>
      </c>
      <c r="G70" s="1447">
        <v>0</v>
      </c>
      <c r="H70" s="1447">
        <v>0</v>
      </c>
      <c r="I70" s="1495">
        <v>0</v>
      </c>
      <c r="J70" s="1554">
        <v>0</v>
      </c>
      <c r="K70" s="1554"/>
      <c r="L70" s="1447"/>
      <c r="M70" s="1447"/>
      <c r="N70" s="1495">
        <f t="shared" si="57"/>
        <v>0</v>
      </c>
      <c r="O70" s="1555">
        <f t="shared" si="58"/>
        <v>0</v>
      </c>
      <c r="P70" s="1475"/>
      <c r="Q70" s="1447"/>
      <c r="R70" s="1447"/>
      <c r="S70" s="1495">
        <f t="shared" si="59"/>
        <v>0</v>
      </c>
      <c r="T70" s="1555" t="e">
        <f t="shared" si="2"/>
        <v>#DIV/0!</v>
      </c>
      <c r="U70" s="1475"/>
      <c r="V70" s="1447"/>
      <c r="W70" s="1447"/>
      <c r="X70" s="1495">
        <f t="shared" si="60"/>
        <v>0</v>
      </c>
      <c r="Y70" s="1555">
        <f t="shared" si="50"/>
        <v>0</v>
      </c>
      <c r="Z70" s="1475"/>
      <c r="AA70" s="1447"/>
      <c r="AB70" s="1447"/>
      <c r="AC70" s="1495">
        <f t="shared" si="61"/>
        <v>0</v>
      </c>
      <c r="AD70" s="1555" t="e">
        <f t="shared" si="3"/>
        <v>#DIV/0!</v>
      </c>
      <c r="AE70" s="1475"/>
      <c r="AF70" s="1447"/>
      <c r="AG70" s="1447"/>
      <c r="AH70" s="1495">
        <f t="shared" si="62"/>
        <v>0</v>
      </c>
      <c r="AI70" s="1555" t="e">
        <f t="shared" si="52"/>
        <v>#DIV/0!</v>
      </c>
      <c r="AJ70" s="1475"/>
      <c r="AK70" s="1447"/>
      <c r="AL70" s="1447"/>
      <c r="AM70" s="1495">
        <f t="shared" si="63"/>
        <v>0</v>
      </c>
      <c r="AN70" s="1555" t="e">
        <f t="shared" si="53"/>
        <v>#DIV/0!</v>
      </c>
      <c r="AO70" s="1606"/>
      <c r="AP70" s="1447"/>
      <c r="AQ70" s="1447"/>
      <c r="AR70" s="1495">
        <f t="shared" si="64"/>
        <v>0</v>
      </c>
      <c r="AS70" s="1893">
        <f t="shared" si="54"/>
        <v>0</v>
      </c>
      <c r="AT70" s="1958"/>
      <c r="AU70" s="1447">
        <f t="shared" si="65"/>
        <v>0</v>
      </c>
      <c r="AV70" s="1447">
        <f t="shared" si="65"/>
        <v>0</v>
      </c>
      <c r="AW70" s="1495">
        <f t="shared" si="66"/>
        <v>0</v>
      </c>
      <c r="AX70" s="1555">
        <f t="shared" si="55"/>
        <v>0</v>
      </c>
      <c r="AY70" s="1475"/>
    </row>
    <row r="71" spans="1:51" s="1411" customFormat="1" ht="22.2" customHeight="1" outlineLevel="2" x14ac:dyDescent="0.25">
      <c r="A71" s="1586"/>
      <c r="B71" s="1427" t="s">
        <v>818</v>
      </c>
      <c r="C71" s="1502"/>
      <c r="D71" s="1516"/>
      <c r="E71" s="1509">
        <f t="shared" si="56"/>
        <v>0</v>
      </c>
      <c r="F71" s="1560">
        <f t="shared" si="67"/>
        <v>0</v>
      </c>
      <c r="G71" s="1447">
        <v>0</v>
      </c>
      <c r="H71" s="1447">
        <v>1225</v>
      </c>
      <c r="I71" s="1495">
        <v>1225</v>
      </c>
      <c r="J71" s="1705">
        <v>8.6470919548810838E-5</v>
      </c>
      <c r="K71" s="1705"/>
      <c r="L71" s="1447"/>
      <c r="M71" s="1447"/>
      <c r="N71" s="1495">
        <f t="shared" si="57"/>
        <v>0</v>
      </c>
      <c r="O71" s="1555">
        <f t="shared" si="58"/>
        <v>0</v>
      </c>
      <c r="P71" s="1475"/>
      <c r="Q71" s="1447"/>
      <c r="R71" s="1447"/>
      <c r="S71" s="1495">
        <f t="shared" si="59"/>
        <v>0</v>
      </c>
      <c r="T71" s="1555" t="e">
        <f t="shared" si="2"/>
        <v>#DIV/0!</v>
      </c>
      <c r="U71" s="1475"/>
      <c r="V71" s="1447"/>
      <c r="W71" s="1447"/>
      <c r="X71" s="1495">
        <f t="shared" si="60"/>
        <v>0</v>
      </c>
      <c r="Y71" s="1555">
        <f t="shared" si="50"/>
        <v>0</v>
      </c>
      <c r="Z71" s="1475"/>
      <c r="AA71" s="1447"/>
      <c r="AB71" s="1447"/>
      <c r="AC71" s="1495">
        <f t="shared" si="61"/>
        <v>0</v>
      </c>
      <c r="AD71" s="1555" t="e">
        <f t="shared" si="3"/>
        <v>#DIV/0!</v>
      </c>
      <c r="AE71" s="1475"/>
      <c r="AF71" s="1447"/>
      <c r="AG71" s="1447"/>
      <c r="AH71" s="1495">
        <f t="shared" si="62"/>
        <v>0</v>
      </c>
      <c r="AI71" s="1555" t="e">
        <f t="shared" si="52"/>
        <v>#DIV/0!</v>
      </c>
      <c r="AJ71" s="1475"/>
      <c r="AK71" s="1447"/>
      <c r="AL71" s="1447"/>
      <c r="AM71" s="1495">
        <f t="shared" si="63"/>
        <v>0</v>
      </c>
      <c r="AN71" s="1555" t="e">
        <f t="shared" si="53"/>
        <v>#DIV/0!</v>
      </c>
      <c r="AO71" s="1475"/>
      <c r="AP71" s="1447"/>
      <c r="AQ71" s="1447"/>
      <c r="AR71" s="1495">
        <f t="shared" si="64"/>
        <v>0</v>
      </c>
      <c r="AS71" s="1893">
        <f t="shared" si="54"/>
        <v>0</v>
      </c>
      <c r="AT71" s="1943"/>
      <c r="AU71" s="1447">
        <f>G71+L71+Q71+V71+AA71+AF71+AK71+AP71</f>
        <v>0</v>
      </c>
      <c r="AV71" s="1447">
        <f>H71+M71+R71+W71+AB71+AG71+AL71+AQ71</f>
        <v>1225</v>
      </c>
      <c r="AW71" s="1495">
        <f t="shared" si="66"/>
        <v>1225</v>
      </c>
      <c r="AX71" s="1555">
        <f t="shared" si="55"/>
        <v>7.9549873039570047E-5</v>
      </c>
      <c r="AY71" s="1475"/>
    </row>
    <row r="72" spans="1:51" s="1411" customFormat="1" ht="14.4" outlineLevel="2" thickBot="1" x14ac:dyDescent="0.3">
      <c r="A72" s="1586"/>
      <c r="B72" s="1427"/>
      <c r="C72" s="1517"/>
      <c r="D72" s="1518"/>
      <c r="E72" s="1542">
        <f t="shared" si="56"/>
        <v>0</v>
      </c>
      <c r="F72" s="1560">
        <f t="shared" si="67"/>
        <v>0</v>
      </c>
      <c r="G72" s="1713">
        <v>0</v>
      </c>
      <c r="H72" s="1705">
        <v>0</v>
      </c>
      <c r="I72" s="1705">
        <v>0</v>
      </c>
      <c r="J72" s="1705">
        <v>0</v>
      </c>
      <c r="K72" s="1705"/>
      <c r="L72" s="1447"/>
      <c r="M72" s="1447"/>
      <c r="N72" s="1495"/>
      <c r="O72" s="1555">
        <f t="shared" si="58"/>
        <v>0</v>
      </c>
      <c r="P72" s="1475"/>
      <c r="Q72" s="1447"/>
      <c r="R72" s="1447"/>
      <c r="S72" s="1495"/>
      <c r="T72" s="1555" t="e">
        <f>S72/$S$89</f>
        <v>#DIV/0!</v>
      </c>
      <c r="U72" s="1475"/>
      <c r="V72" s="1447"/>
      <c r="W72" s="1447"/>
      <c r="X72" s="1495"/>
      <c r="Y72" s="1555" t="e">
        <f>X72/$S$89</f>
        <v>#DIV/0!</v>
      </c>
      <c r="Z72" s="1475"/>
      <c r="AA72" s="1447"/>
      <c r="AB72" s="1447"/>
      <c r="AC72" s="1495"/>
      <c r="AD72" s="1555" t="e">
        <f>AC72/$S$89</f>
        <v>#DIV/0!</v>
      </c>
      <c r="AE72" s="1475"/>
      <c r="AF72" s="1447"/>
      <c r="AG72" s="1447"/>
      <c r="AH72" s="1495"/>
      <c r="AI72" s="1555" t="e">
        <f>AH72/$S$89</f>
        <v>#DIV/0!</v>
      </c>
      <c r="AJ72" s="1475"/>
      <c r="AK72" s="1447"/>
      <c r="AL72" s="1447"/>
      <c r="AM72" s="1495"/>
      <c r="AN72" s="1555" t="e">
        <f>AM72/$S$89</f>
        <v>#DIV/0!</v>
      </c>
      <c r="AO72" s="1475"/>
      <c r="AP72" s="1447"/>
      <c r="AQ72" s="1447"/>
      <c r="AR72" s="1495"/>
      <c r="AS72" s="1893" t="e">
        <f>AR72/$S$89</f>
        <v>#DIV/0!</v>
      </c>
      <c r="AT72" s="1943"/>
      <c r="AU72" s="1447">
        <f>G72+L72+Q72+V72+AA72+AF72+AK72+AP72</f>
        <v>0</v>
      </c>
      <c r="AV72" s="1447">
        <f>H72+M72+R72+W72+AB72+AG72+AL72+AQ72</f>
        <v>0</v>
      </c>
      <c r="AW72" s="1495">
        <f t="shared" si="66"/>
        <v>0</v>
      </c>
      <c r="AX72" s="1555">
        <f t="shared" si="55"/>
        <v>0</v>
      </c>
      <c r="AY72" s="1475"/>
    </row>
    <row r="73" spans="1:51" s="1411" customFormat="1" ht="14.4" outlineLevel="1" thickBot="1" x14ac:dyDescent="0.3">
      <c r="A73" s="1586"/>
      <c r="B73" s="1421" t="s">
        <v>4</v>
      </c>
      <c r="C73" s="1519">
        <f>C74</f>
        <v>505058</v>
      </c>
      <c r="D73" s="1520">
        <f>D74</f>
        <v>0</v>
      </c>
      <c r="E73" s="1519">
        <f>E74</f>
        <v>505058</v>
      </c>
      <c r="F73" s="1550">
        <f>E73/$E$89</f>
        <v>4.2741643656531374E-2</v>
      </c>
      <c r="G73" s="1738">
        <v>0</v>
      </c>
      <c r="H73" s="1726">
        <v>0</v>
      </c>
      <c r="I73" s="1726">
        <v>0</v>
      </c>
      <c r="J73" s="1726"/>
      <c r="K73" s="1739"/>
      <c r="L73" s="1524">
        <f>L74</f>
        <v>0</v>
      </c>
      <c r="M73" s="1463">
        <f>M74</f>
        <v>0</v>
      </c>
      <c r="N73" s="1461">
        <f>N74</f>
        <v>0</v>
      </c>
      <c r="O73" s="1463"/>
      <c r="P73" s="1463"/>
      <c r="Q73" s="1524">
        <f>Q74</f>
        <v>0</v>
      </c>
      <c r="R73" s="1463">
        <f>R74</f>
        <v>0</v>
      </c>
      <c r="S73" s="1461">
        <f>S74</f>
        <v>0</v>
      </c>
      <c r="T73" s="1463"/>
      <c r="U73" s="1463"/>
      <c r="V73" s="1524">
        <f>V74</f>
        <v>0</v>
      </c>
      <c r="W73" s="1463">
        <f>W74</f>
        <v>0</v>
      </c>
      <c r="X73" s="1461">
        <f>X74</f>
        <v>0</v>
      </c>
      <c r="Y73" s="1463"/>
      <c r="Z73" s="1463"/>
      <c r="AA73" s="1524">
        <f>AA74</f>
        <v>0</v>
      </c>
      <c r="AB73" s="1463">
        <f>AB74</f>
        <v>0</v>
      </c>
      <c r="AC73" s="1461">
        <f>AC74</f>
        <v>0</v>
      </c>
      <c r="AD73" s="1463"/>
      <c r="AE73" s="1463"/>
      <c r="AF73" s="1524">
        <f>AF74</f>
        <v>0</v>
      </c>
      <c r="AG73" s="1463">
        <f>AG74</f>
        <v>0</v>
      </c>
      <c r="AH73" s="1461">
        <f>AH74</f>
        <v>0</v>
      </c>
      <c r="AI73" s="1463"/>
      <c r="AJ73" s="1463"/>
      <c r="AK73" s="1524">
        <f>AK74</f>
        <v>0</v>
      </c>
      <c r="AL73" s="1463">
        <f>AL74</f>
        <v>0</v>
      </c>
      <c r="AM73" s="1461">
        <f>AM74</f>
        <v>0</v>
      </c>
      <c r="AN73" s="1463"/>
      <c r="AO73" s="1463"/>
      <c r="AP73" s="1180">
        <f>AP74</f>
        <v>0</v>
      </c>
      <c r="AQ73" s="1959">
        <f>AQ74</f>
        <v>0</v>
      </c>
      <c r="AR73" s="1461">
        <f>AR74</f>
        <v>0</v>
      </c>
      <c r="AS73" s="1959"/>
      <c r="AT73" s="1959"/>
      <c r="AU73" s="1524">
        <f>AU74</f>
        <v>0</v>
      </c>
      <c r="AV73" s="1463">
        <f>AV74</f>
        <v>0</v>
      </c>
      <c r="AW73" s="1461">
        <f>AW74</f>
        <v>0</v>
      </c>
      <c r="AX73" s="1463"/>
      <c r="AY73" s="1463"/>
    </row>
    <row r="74" spans="1:51" s="1579" customFormat="1" ht="14.4" outlineLevel="1" thickBot="1" x14ac:dyDescent="0.3">
      <c r="A74" s="1600"/>
      <c r="B74" s="1578" t="s">
        <v>64</v>
      </c>
      <c r="C74" s="1502">
        <v>505058</v>
      </c>
      <c r="D74" s="1383"/>
      <c r="E74" s="1521">
        <f>C74+D74</f>
        <v>505058</v>
      </c>
      <c r="F74" s="1561"/>
      <c r="G74" s="1740">
        <v>0</v>
      </c>
      <c r="H74" s="1727">
        <v>0</v>
      </c>
      <c r="I74" s="1727">
        <v>0</v>
      </c>
      <c r="J74" s="1727"/>
      <c r="K74" s="1727"/>
      <c r="L74" s="1447"/>
      <c r="M74" s="1447"/>
      <c r="N74" s="1464">
        <f>L74+M74*1</f>
        <v>0</v>
      </c>
      <c r="O74" s="1464"/>
      <c r="P74" s="1464"/>
      <c r="Q74" s="1447"/>
      <c r="R74" s="1447"/>
      <c r="S74" s="1667">
        <f>Q74+R74*1</f>
        <v>0</v>
      </c>
      <c r="T74" s="1464"/>
      <c r="U74" s="1464"/>
      <c r="V74" s="1447"/>
      <c r="W74" s="1447"/>
      <c r="X74" s="1667">
        <f>V74+W74*1</f>
        <v>0</v>
      </c>
      <c r="Y74" s="1464"/>
      <c r="Z74" s="1464"/>
      <c r="AA74" s="1447"/>
      <c r="AB74" s="1447"/>
      <c r="AC74" s="1667">
        <f>AA74+AB74*1</f>
        <v>0</v>
      </c>
      <c r="AD74" s="1464"/>
      <c r="AE74" s="1464"/>
      <c r="AF74" s="1447"/>
      <c r="AG74" s="1447"/>
      <c r="AH74" s="1667">
        <f>AF74+AG74*1</f>
        <v>0</v>
      </c>
      <c r="AI74" s="1464"/>
      <c r="AJ74" s="1464"/>
      <c r="AK74" s="1447"/>
      <c r="AL74" s="1447"/>
      <c r="AM74" s="1667">
        <f>AK74+AL74*1</f>
        <v>0</v>
      </c>
      <c r="AN74" s="1464"/>
      <c r="AO74" s="1464"/>
      <c r="AP74" s="1447"/>
      <c r="AQ74" s="1447"/>
      <c r="AR74" s="1667">
        <f>AP74+AQ74*1</f>
        <v>0</v>
      </c>
      <c r="AS74" s="1464"/>
      <c r="AT74" s="1464"/>
      <c r="AU74" s="1447">
        <f>G74+L74+Q74+V74+AA74+AF74+AK74+AP74</f>
        <v>0</v>
      </c>
      <c r="AV74" s="1447">
        <f>H74+M74+R74+W74+AB74+AG74+AL74+AQ74</f>
        <v>0</v>
      </c>
      <c r="AW74" s="1495">
        <f>AU74+AV74</f>
        <v>0</v>
      </c>
      <c r="AX74" s="1464"/>
      <c r="AY74" s="1464"/>
    </row>
    <row r="75" spans="1:51" s="1411" customFormat="1" ht="14.4" thickBot="1" x14ac:dyDescent="0.3">
      <c r="A75" s="1414"/>
      <c r="B75" s="1431" t="s">
        <v>48</v>
      </c>
      <c r="C75" s="1522">
        <f>C38-C41-C50-C54</f>
        <v>9116401</v>
      </c>
      <c r="D75" s="1522">
        <f>D38-D41-D50-D54</f>
        <v>-3124013</v>
      </c>
      <c r="E75" s="1523">
        <f>E38-E41-E50-E54</f>
        <v>5992388</v>
      </c>
      <c r="F75" s="1551"/>
      <c r="G75" s="1465">
        <v>8532483.716</v>
      </c>
      <c r="H75" s="1465">
        <v>-4716076.66</v>
      </c>
      <c r="I75" s="1523">
        <v>3816407.0559999975</v>
      </c>
      <c r="J75" s="1728"/>
      <c r="K75" s="1551"/>
      <c r="L75" s="1465">
        <f>L38-L41-L50-L54</f>
        <v>1823124</v>
      </c>
      <c r="M75" s="1465">
        <f>M38-M41-M50-M54</f>
        <v>0</v>
      </c>
      <c r="N75" s="1523">
        <f>N38-N41-N50-N54</f>
        <v>1823124</v>
      </c>
      <c r="O75" s="1466"/>
      <c r="P75" s="1466"/>
      <c r="Q75" s="1465">
        <f>Q38-Q41-Q50-Q54</f>
        <v>0</v>
      </c>
      <c r="R75" s="1465">
        <f>R38-R41-R50-R54</f>
        <v>0</v>
      </c>
      <c r="S75" s="1523">
        <f>S38-S41-S50-S54</f>
        <v>0</v>
      </c>
      <c r="T75" s="1466"/>
      <c r="U75" s="1466"/>
      <c r="V75" s="1465">
        <f>V38-V41-V50-V54</f>
        <v>-6091.079999999999</v>
      </c>
      <c r="W75" s="1465">
        <f>W38-W41-W50-W54</f>
        <v>0</v>
      </c>
      <c r="X75" s="1523">
        <f>X38-X41-X50-X54</f>
        <v>-6091.079999999999</v>
      </c>
      <c r="Y75" s="1466"/>
      <c r="Z75" s="1466"/>
      <c r="AA75" s="1465">
        <f>AA38-AA41-AA50-AA54</f>
        <v>0</v>
      </c>
      <c r="AB75" s="1465">
        <f>AB38-AB41-AB50-AB54</f>
        <v>0</v>
      </c>
      <c r="AC75" s="1523">
        <f>AC38-AC41-AC50-AC54</f>
        <v>0</v>
      </c>
      <c r="AD75" s="1466"/>
      <c r="AE75" s="1466"/>
      <c r="AF75" s="1465">
        <f>AF38-AF41-AF50-AF54</f>
        <v>1188021.99</v>
      </c>
      <c r="AG75" s="1465">
        <f>AG38-AG41-AG50-AG54</f>
        <v>0</v>
      </c>
      <c r="AH75" s="1523">
        <f>AH38-AH41-AH50-AH54</f>
        <v>1188021.99</v>
      </c>
      <c r="AI75" s="1466"/>
      <c r="AJ75" s="1466"/>
      <c r="AK75" s="1465">
        <f>AK38-AK41-AK50-AK54</f>
        <v>0</v>
      </c>
      <c r="AL75" s="1465">
        <f>AL38-AL41-AL50-AL54</f>
        <v>0</v>
      </c>
      <c r="AM75" s="1523">
        <f>AM38-AM41-AM50-AM54</f>
        <v>0</v>
      </c>
      <c r="AN75" s="1466"/>
      <c r="AO75" s="1466"/>
      <c r="AP75" s="1465">
        <f>AP38-AP41-AP50-AP54</f>
        <v>-1225506.6599999999</v>
      </c>
      <c r="AQ75" s="1465">
        <f>AQ38-AQ41-AQ50-AQ54</f>
        <v>0</v>
      </c>
      <c r="AR75" s="1523">
        <f>AR38-AR41-AR50-AR54</f>
        <v>-1225506.6599999999</v>
      </c>
      <c r="AS75" s="1466"/>
      <c r="AT75" s="1466"/>
      <c r="AU75" s="1465">
        <f>AU38-AU41-AU50-AU54</f>
        <v>10312031.965999998</v>
      </c>
      <c r="AV75" s="1465">
        <f>AV38-AV41-AV50-AV54</f>
        <v>-4716076.66</v>
      </c>
      <c r="AW75" s="1523">
        <f>AW38-AW41-AW50-AW54</f>
        <v>5595955.305999998</v>
      </c>
      <c r="AX75" s="1466"/>
      <c r="AY75" s="1466"/>
    </row>
    <row r="76" spans="1:51" s="1411" customFormat="1" ht="13.8" x14ac:dyDescent="0.25">
      <c r="A76" s="1581"/>
      <c r="B76" s="1444" t="s">
        <v>49</v>
      </c>
      <c r="C76" s="1540">
        <f>C75/C5</f>
        <v>0.54150639788158905</v>
      </c>
      <c r="D76" s="1540" t="e">
        <f>D75/D5</f>
        <v>#DIV/0!</v>
      </c>
      <c r="E76" s="1541">
        <f>E75/E5</f>
        <v>0.35594270596355504</v>
      </c>
      <c r="F76" s="1546"/>
      <c r="G76" s="1456">
        <v>0.49296345658128676</v>
      </c>
      <c r="H76" s="1456" t="e">
        <v>#DIV/0!</v>
      </c>
      <c r="I76" s="1457">
        <v>0.2204925642599341</v>
      </c>
      <c r="J76" s="1724"/>
      <c r="K76" s="1546"/>
      <c r="L76" s="1456">
        <f>L75/L5</f>
        <v>0.99948768090497098</v>
      </c>
      <c r="M76" s="1456" t="e">
        <f>M75/M5</f>
        <v>#DIV/0!</v>
      </c>
      <c r="N76" s="1457">
        <f>N75/N5</f>
        <v>0.99948768090497098</v>
      </c>
      <c r="O76" s="1457"/>
      <c r="P76" s="1457"/>
      <c r="Q76" s="1456" t="e">
        <f>Q75/Q5</f>
        <v>#DIV/0!</v>
      </c>
      <c r="R76" s="1456" t="e">
        <f>R75/R5</f>
        <v>#DIV/0!</v>
      </c>
      <c r="S76" s="1457" t="e">
        <f>S75/S5</f>
        <v>#DIV/0!</v>
      </c>
      <c r="T76" s="1457"/>
      <c r="U76" s="1457"/>
      <c r="V76" s="1456" t="e">
        <f>V75/V5</f>
        <v>#DIV/0!</v>
      </c>
      <c r="W76" s="1456" t="e">
        <f>W75/W5</f>
        <v>#DIV/0!</v>
      </c>
      <c r="X76" s="1457" t="e">
        <f>X75/X5</f>
        <v>#DIV/0!</v>
      </c>
      <c r="Y76" s="1457"/>
      <c r="Z76" s="1457"/>
      <c r="AA76" s="1456" t="e">
        <f>AA75/AA5</f>
        <v>#DIV/0!</v>
      </c>
      <c r="AB76" s="1456" t="e">
        <f>AB75/AB5</f>
        <v>#DIV/0!</v>
      </c>
      <c r="AC76" s="1457" t="e">
        <f>AC75/AC5</f>
        <v>#DIV/0!</v>
      </c>
      <c r="AD76" s="1457"/>
      <c r="AE76" s="1457"/>
      <c r="AF76" s="1456">
        <f>AF75/AF5</f>
        <v>1</v>
      </c>
      <c r="AG76" s="1456" t="e">
        <f>AG75/AG5</f>
        <v>#DIV/0!</v>
      </c>
      <c r="AH76" s="1457">
        <f>AH75/AH5</f>
        <v>1</v>
      </c>
      <c r="AI76" s="1457"/>
      <c r="AJ76" s="1457"/>
      <c r="AK76" s="1456" t="e">
        <f>AK75/AK5</f>
        <v>#DIV/0!</v>
      </c>
      <c r="AL76" s="1456" t="e">
        <f>AL75/AL5</f>
        <v>#DIV/0!</v>
      </c>
      <c r="AM76" s="1457" t="e">
        <f>AM75/AM5</f>
        <v>#DIV/0!</v>
      </c>
      <c r="AN76" s="1457"/>
      <c r="AO76" s="1457"/>
      <c r="AP76" s="1456" t="e">
        <f>AP75/AP5</f>
        <v>#DIV/0!</v>
      </c>
      <c r="AQ76" s="1456" t="e">
        <f>AQ75/AQ5</f>
        <v>#DIV/0!</v>
      </c>
      <c r="AR76" s="1457" t="e">
        <f>AR75/AR5</f>
        <v>#DIV/0!</v>
      </c>
      <c r="AS76" s="1457"/>
      <c r="AT76" s="1457"/>
      <c r="AU76" s="1456">
        <f>AU75/AU5</f>
        <v>0.50746608771435164</v>
      </c>
      <c r="AV76" s="1456" t="e">
        <f>AV75/AV5</f>
        <v>#DIV/0!</v>
      </c>
      <c r="AW76" s="1457">
        <f>AW75/AW5</f>
        <v>0.27538292700441641</v>
      </c>
      <c r="AX76" s="1457"/>
      <c r="AY76" s="1457"/>
    </row>
    <row r="77" spans="1:51" s="1411" customFormat="1" ht="14.4" outlineLevel="1" thickBot="1" x14ac:dyDescent="0.3">
      <c r="A77" s="1581"/>
      <c r="B77" s="1435" t="s">
        <v>9</v>
      </c>
      <c r="C77" s="1524">
        <f>C78-C79</f>
        <v>-468602</v>
      </c>
      <c r="D77" s="1524">
        <f>D78-D79</f>
        <v>0</v>
      </c>
      <c r="E77" s="1384">
        <f>E78-E79</f>
        <v>-468602</v>
      </c>
      <c r="F77" s="1386"/>
      <c r="G77" s="1524">
        <v>0</v>
      </c>
      <c r="H77" s="1524">
        <v>0</v>
      </c>
      <c r="I77" s="1384">
        <v>-674467.25305245654</v>
      </c>
      <c r="J77" s="1729"/>
      <c r="K77" s="1386"/>
      <c r="L77" s="1524">
        <f>L78-L79</f>
        <v>0</v>
      </c>
      <c r="M77" s="1524">
        <f>M78-M79</f>
        <v>0</v>
      </c>
      <c r="N77" s="1384">
        <f>N78-N79</f>
        <v>0</v>
      </c>
      <c r="O77" s="1379"/>
      <c r="P77" s="1379"/>
      <c r="Q77" s="1524">
        <f>Q78-Q79</f>
        <v>0</v>
      </c>
      <c r="R77" s="1524">
        <f>R78-R79</f>
        <v>0</v>
      </c>
      <c r="S77" s="1384">
        <f>S78-S79</f>
        <v>0</v>
      </c>
      <c r="T77" s="1379"/>
      <c r="U77" s="1379"/>
      <c r="V77" s="1524">
        <f>V78-V79</f>
        <v>0</v>
      </c>
      <c r="W77" s="1524">
        <f>W78-W79</f>
        <v>0</v>
      </c>
      <c r="X77" s="1384">
        <f>X78-X79</f>
        <v>0</v>
      </c>
      <c r="Y77" s="1379"/>
      <c r="Z77" s="1379"/>
      <c r="AA77" s="1524">
        <f>AA78-AA79</f>
        <v>0</v>
      </c>
      <c r="AB77" s="1524">
        <f>AB78-AB79</f>
        <v>0</v>
      </c>
      <c r="AC77" s="1384" t="e">
        <f>AC78-AC79</f>
        <v>#DIV/0!</v>
      </c>
      <c r="AD77" s="1379"/>
      <c r="AE77" s="1379"/>
      <c r="AF77" s="1524">
        <f>AF78-AF79</f>
        <v>0</v>
      </c>
      <c r="AG77" s="1524">
        <f>AG78-AG79</f>
        <v>0</v>
      </c>
      <c r="AH77" s="1384">
        <f>AH78-AH79</f>
        <v>0</v>
      </c>
      <c r="AI77" s="1379"/>
      <c r="AJ77" s="1379"/>
      <c r="AK77" s="1524">
        <f>AK78-AK79</f>
        <v>0</v>
      </c>
      <c r="AL77" s="1524">
        <f>AL78-AL79</f>
        <v>0</v>
      </c>
      <c r="AM77" s="1384">
        <f>AM78-AM79</f>
        <v>0</v>
      </c>
      <c r="AN77" s="1379"/>
      <c r="AO77" s="1379"/>
      <c r="AP77" s="1180">
        <f>AP78-AP79</f>
        <v>0</v>
      </c>
      <c r="AQ77" s="1180">
        <f>AQ78-AQ79</f>
        <v>0</v>
      </c>
      <c r="AR77" s="1384">
        <f>AR78-AR79</f>
        <v>0</v>
      </c>
      <c r="AS77" s="1379"/>
      <c r="AT77" s="1379"/>
      <c r="AU77" s="1524">
        <f>AU78-AU79</f>
        <v>0</v>
      </c>
      <c r="AV77" s="1524">
        <f>AV78-AV79</f>
        <v>0</v>
      </c>
      <c r="AW77" s="1384">
        <f>AW78-AW79</f>
        <v>-674467.25305245654</v>
      </c>
      <c r="AX77" s="1379"/>
      <c r="AY77" s="1379"/>
    </row>
    <row r="78" spans="1:51" s="1411" customFormat="1" ht="13.8" outlineLevel="2" x14ac:dyDescent="0.25">
      <c r="A78" s="1420"/>
      <c r="B78" s="1415" t="s">
        <v>43</v>
      </c>
      <c r="C78" s="1525"/>
      <c r="D78" s="1526"/>
      <c r="E78" s="1508">
        <f>C78+D78*1.15</f>
        <v>0</v>
      </c>
      <c r="F78" s="1562"/>
      <c r="G78" s="1447">
        <v>0</v>
      </c>
      <c r="H78" s="1447">
        <v>0</v>
      </c>
      <c r="I78" s="1467">
        <v>0</v>
      </c>
      <c r="J78" s="1730"/>
      <c r="K78" s="1730"/>
      <c r="L78" s="1447"/>
      <c r="M78" s="1447"/>
      <c r="N78" s="1467">
        <f>L78+M78*1.15</f>
        <v>0</v>
      </c>
      <c r="O78" s="1467"/>
      <c r="P78" s="1467"/>
      <c r="Q78" s="1447"/>
      <c r="R78" s="1447"/>
      <c r="S78" s="1467">
        <f>Q78+R78*1.15</f>
        <v>0</v>
      </c>
      <c r="T78" s="1467"/>
      <c r="U78" s="1467"/>
      <c r="V78" s="1447"/>
      <c r="W78" s="1447"/>
      <c r="X78" s="1467">
        <f>V78+W78*1.15</f>
        <v>0</v>
      </c>
      <c r="Y78" s="1555">
        <f>X78/$X$89</f>
        <v>0</v>
      </c>
      <c r="Z78" s="1467"/>
      <c r="AA78" s="1447"/>
      <c r="AB78" s="1447"/>
      <c r="AC78" s="1467">
        <f>AA78+AB78*1.15</f>
        <v>0</v>
      </c>
      <c r="AD78" s="1555">
        <f>AC78/$X$89</f>
        <v>0</v>
      </c>
      <c r="AE78" s="1467"/>
      <c r="AF78" s="1447"/>
      <c r="AG78" s="1447"/>
      <c r="AH78" s="1467">
        <f>AF78+AG78*1.15</f>
        <v>0</v>
      </c>
      <c r="AI78" s="1555">
        <f>AH78/$X$89</f>
        <v>0</v>
      </c>
      <c r="AJ78" s="1467"/>
      <c r="AK78" s="1447"/>
      <c r="AL78" s="1447"/>
      <c r="AM78" s="1467">
        <f>AK78+AL78*1.15</f>
        <v>0</v>
      </c>
      <c r="AN78" s="1555">
        <f>AM78/$X$89</f>
        <v>0</v>
      </c>
      <c r="AO78" s="1467"/>
      <c r="AP78" s="1447"/>
      <c r="AQ78" s="1447"/>
      <c r="AR78" s="1467">
        <f>AP78+AQ78*1.15</f>
        <v>0</v>
      </c>
      <c r="AS78" s="1893">
        <f>AR78/$AR$89</f>
        <v>0</v>
      </c>
      <c r="AT78" s="1467"/>
      <c r="AU78" s="1447">
        <f t="shared" ref="AU78:AV80" si="68">G78+L78+Q78+V78+AA78+AF78+AK78+AP78</f>
        <v>0</v>
      </c>
      <c r="AV78" s="1447">
        <f t="shared" si="68"/>
        <v>0</v>
      </c>
      <c r="AW78" s="1495">
        <f>AU78+AV78</f>
        <v>0</v>
      </c>
      <c r="AX78" s="1467"/>
      <c r="AY78" s="1467"/>
    </row>
    <row r="79" spans="1:51" s="1411" customFormat="1" ht="13.8" outlineLevel="2" x14ac:dyDescent="0.25">
      <c r="A79" s="1420"/>
      <c r="B79" s="1432" t="s">
        <v>79</v>
      </c>
      <c r="C79" s="1502">
        <v>468602</v>
      </c>
      <c r="D79" s="1508"/>
      <c r="E79" s="1508">
        <f>C79+D79*1.15</f>
        <v>468602</v>
      </c>
      <c r="F79" s="1556">
        <f>E79/$E$89</f>
        <v>3.9656474505379409E-2</v>
      </c>
      <c r="G79" s="1447">
        <v>0</v>
      </c>
      <c r="H79" s="1447">
        <v>0</v>
      </c>
      <c r="I79" s="1495">
        <v>674467.25305245654</v>
      </c>
      <c r="J79" s="1602"/>
      <c r="K79" s="1602"/>
      <c r="L79" s="1447"/>
      <c r="M79" s="1447"/>
      <c r="N79" s="1495">
        <v>0</v>
      </c>
      <c r="O79" s="1450"/>
      <c r="P79" s="1450"/>
      <c r="Q79" s="1447"/>
      <c r="R79" s="1447"/>
      <c r="S79" s="1495">
        <v>0</v>
      </c>
      <c r="T79" s="1450"/>
      <c r="U79" s="1450"/>
      <c r="V79" s="1447"/>
      <c r="W79" s="1447"/>
      <c r="X79" s="1495">
        <v>0</v>
      </c>
      <c r="Y79" s="1555">
        <f>X79/$X$89</f>
        <v>0</v>
      </c>
      <c r="Z79" s="1450"/>
      <c r="AA79" s="1447"/>
      <c r="AB79" s="1447"/>
      <c r="AC79" s="1495" t="e">
        <v>#DIV/0!</v>
      </c>
      <c r="AD79" s="1555" t="e">
        <f>AC79/$AC$89</f>
        <v>#DIV/0!</v>
      </c>
      <c r="AE79" s="1450"/>
      <c r="AF79" s="1447"/>
      <c r="AG79" s="1447"/>
      <c r="AH79" s="1495"/>
      <c r="AI79" s="1555" t="e">
        <f>AH79/$AH$89</f>
        <v>#DIV/0!</v>
      </c>
      <c r="AJ79" s="1450"/>
      <c r="AK79" s="1447"/>
      <c r="AL79" s="1447"/>
      <c r="AM79" s="1495"/>
      <c r="AN79" s="1555"/>
      <c r="AO79" s="1450"/>
      <c r="AP79" s="1447"/>
      <c r="AQ79" s="1447"/>
      <c r="AR79" s="1495"/>
      <c r="AS79" s="1893">
        <f>AR79/$AR$89</f>
        <v>0</v>
      </c>
      <c r="AT79" s="1909"/>
      <c r="AU79" s="1447">
        <f t="shared" si="68"/>
        <v>0</v>
      </c>
      <c r="AV79" s="1447">
        <f t="shared" si="68"/>
        <v>0</v>
      </c>
      <c r="AW79" s="1495">
        <f>I79+N79+S79+X79</f>
        <v>674467.25305245654</v>
      </c>
      <c r="AX79" s="1450"/>
      <c r="AY79" s="1450"/>
    </row>
    <row r="80" spans="1:51" ht="13.8" outlineLevel="2" x14ac:dyDescent="0.25">
      <c r="A80" s="1412"/>
      <c r="B80" s="1433"/>
      <c r="C80" s="1527"/>
      <c r="D80" s="1528"/>
      <c r="E80" s="1529"/>
      <c r="F80" s="1563"/>
      <c r="G80" s="1447">
        <v>0</v>
      </c>
      <c r="H80" s="1447">
        <v>0</v>
      </c>
      <c r="I80" s="1468"/>
      <c r="J80" s="1635"/>
      <c r="K80" s="1635"/>
      <c r="L80" s="1447"/>
      <c r="M80" s="1447"/>
      <c r="N80" s="1468"/>
      <c r="O80" s="1468"/>
      <c r="P80" s="1468"/>
      <c r="Q80" s="1447"/>
      <c r="R80" s="1447"/>
      <c r="S80" s="1468"/>
      <c r="T80" s="1468"/>
      <c r="U80" s="1468"/>
      <c r="V80" s="1447"/>
      <c r="W80" s="1447"/>
      <c r="X80" s="1468"/>
      <c r="Y80" s="1468"/>
      <c r="Z80" s="1468"/>
      <c r="AA80" s="1447"/>
      <c r="AB80" s="1447"/>
      <c r="AC80" s="1468"/>
      <c r="AD80" s="1468"/>
      <c r="AE80" s="1468"/>
      <c r="AF80" s="1447"/>
      <c r="AG80" s="1447"/>
      <c r="AH80" s="1468"/>
      <c r="AI80" s="1468"/>
      <c r="AJ80" s="1468"/>
      <c r="AK80" s="1447"/>
      <c r="AL80" s="1447"/>
      <c r="AM80" s="1468"/>
      <c r="AN80" s="1468"/>
      <c r="AO80" s="1468"/>
      <c r="AP80" s="1447"/>
      <c r="AQ80" s="1447"/>
      <c r="AR80" s="1910"/>
      <c r="AS80" s="1910">
        <f>AR80/$AR$89</f>
        <v>0</v>
      </c>
      <c r="AT80" s="1910"/>
      <c r="AU80" s="1447">
        <f t="shared" si="68"/>
        <v>0</v>
      </c>
      <c r="AV80" s="1447">
        <f t="shared" si="68"/>
        <v>0</v>
      </c>
      <c r="AW80" s="1468"/>
      <c r="AX80" s="1468"/>
      <c r="AY80" s="1468"/>
    </row>
    <row r="81" spans="1:51" s="1411" customFormat="1" ht="14.4" outlineLevel="1" thickBot="1" x14ac:dyDescent="0.3">
      <c r="A81" s="1434"/>
      <c r="B81" s="1435" t="s">
        <v>12</v>
      </c>
      <c r="C81" s="1524">
        <f>(C75+C78)-C79</f>
        <v>8647799</v>
      </c>
      <c r="D81" s="1524">
        <f>(D75+D78)-D79</f>
        <v>-3124013</v>
      </c>
      <c r="E81" s="1384">
        <f>(E75+E78)-E79</f>
        <v>5523786</v>
      </c>
      <c r="F81" s="1386"/>
      <c r="G81" s="1524">
        <v>8532483.716</v>
      </c>
      <c r="H81" s="1524">
        <v>-4716076.66</v>
      </c>
      <c r="I81" s="1384">
        <v>3141939.8029475408</v>
      </c>
      <c r="J81" s="1729"/>
      <c r="K81" s="1386"/>
      <c r="L81" s="1524">
        <f>(L75+L78)-L79</f>
        <v>1823124</v>
      </c>
      <c r="M81" s="1524">
        <f>(M75+M78)-M79</f>
        <v>0</v>
      </c>
      <c r="N81" s="1384">
        <f>(N75+N78)-N79</f>
        <v>1823124</v>
      </c>
      <c r="O81" s="1379"/>
      <c r="P81" s="1379"/>
      <c r="Q81" s="1524">
        <f>(Q75+Q78)-Q79</f>
        <v>0</v>
      </c>
      <c r="R81" s="1524">
        <f>(R75+R78)-R79</f>
        <v>0</v>
      </c>
      <c r="S81" s="1384">
        <f>(S75+S78)-S79</f>
        <v>0</v>
      </c>
      <c r="T81" s="1379"/>
      <c r="U81" s="1379"/>
      <c r="V81" s="1524">
        <f>(V75+V78)-V79</f>
        <v>-6091.079999999999</v>
      </c>
      <c r="W81" s="1524">
        <f>(W75+W78)-W79</f>
        <v>0</v>
      </c>
      <c r="X81" s="1384">
        <f>(X75+X78)-X79</f>
        <v>-6091.079999999999</v>
      </c>
      <c r="Y81" s="1379"/>
      <c r="Z81" s="1379"/>
      <c r="AA81" s="1524">
        <f>(AA75+AA78)-AA79</f>
        <v>0</v>
      </c>
      <c r="AB81" s="1524">
        <f>(AB75+AB78)-AB79</f>
        <v>0</v>
      </c>
      <c r="AC81" s="1384" t="e">
        <f>(AC75+AC78)-AC79</f>
        <v>#DIV/0!</v>
      </c>
      <c r="AD81" s="1379"/>
      <c r="AE81" s="1379"/>
      <c r="AF81" s="1524">
        <f>(AF75+AF78)-AF79</f>
        <v>1188021.99</v>
      </c>
      <c r="AG81" s="1524">
        <f>(AG75+AG78)-AG79</f>
        <v>0</v>
      </c>
      <c r="AH81" s="1384">
        <f>(AH75+AH78)-AH79</f>
        <v>1188021.99</v>
      </c>
      <c r="AI81" s="1379"/>
      <c r="AJ81" s="1379"/>
      <c r="AK81" s="1524">
        <f>(AK75+AK78)-AK79</f>
        <v>0</v>
      </c>
      <c r="AL81" s="1524">
        <f>(AL75+AL78)-AL79</f>
        <v>0</v>
      </c>
      <c r="AM81" s="1384">
        <f>(AM75+AM78)-AM79</f>
        <v>0</v>
      </c>
      <c r="AN81" s="1379"/>
      <c r="AO81" s="1379"/>
      <c r="AP81" s="1180">
        <f>(AP75+AP78)-AP79</f>
        <v>-1225506.6599999999</v>
      </c>
      <c r="AQ81" s="1180">
        <f>(AQ75+AQ78)-AQ79</f>
        <v>0</v>
      </c>
      <c r="AR81" s="1384">
        <f>(AR75+AR78)-AR79</f>
        <v>-1225506.6599999999</v>
      </c>
      <c r="AS81" s="1379"/>
      <c r="AT81" s="1379"/>
      <c r="AU81" s="1524">
        <f>(AU75+AU78)-AU79</f>
        <v>10312031.965999998</v>
      </c>
      <c r="AV81" s="1524">
        <f>(AV75+AV78)-AV79</f>
        <v>-4716076.66</v>
      </c>
      <c r="AW81" s="1384">
        <f>(AW75+AW78)-AW79</f>
        <v>4921488.0529475417</v>
      </c>
      <c r="AX81" s="1379"/>
      <c r="AY81" s="1379"/>
    </row>
    <row r="82" spans="1:51" s="1411" customFormat="1" ht="13.8" outlineLevel="2" x14ac:dyDescent="0.25">
      <c r="A82" s="1580"/>
      <c r="B82" s="1415" t="s">
        <v>38</v>
      </c>
      <c r="C82" s="1525"/>
      <c r="D82" s="1526"/>
      <c r="E82" s="1530">
        <f>C82+D82</f>
        <v>0</v>
      </c>
      <c r="F82" s="1556">
        <f>E82/$E$89</f>
        <v>0</v>
      </c>
      <c r="G82" s="1447">
        <v>0</v>
      </c>
      <c r="H82" s="1447">
        <v>0</v>
      </c>
      <c r="I82" s="1530">
        <v>0</v>
      </c>
      <c r="J82" s="1602"/>
      <c r="K82" s="1602"/>
      <c r="L82" s="1447"/>
      <c r="M82" s="1447"/>
      <c r="N82" s="1530">
        <f>L82+M82</f>
        <v>0</v>
      </c>
      <c r="O82" s="1491"/>
      <c r="P82" s="1491"/>
      <c r="Q82" s="1447"/>
      <c r="R82" s="1447"/>
      <c r="S82" s="1530">
        <f>Q82+R82</f>
        <v>0</v>
      </c>
      <c r="T82" s="1491"/>
      <c r="U82" s="1491"/>
      <c r="V82" s="1447"/>
      <c r="W82" s="1447"/>
      <c r="X82" s="1530">
        <f>V82+W82</f>
        <v>0</v>
      </c>
      <c r="Y82" s="1491"/>
      <c r="Z82" s="1491"/>
      <c r="AA82" s="1447"/>
      <c r="AB82" s="1447"/>
      <c r="AC82" s="1530">
        <f>AA82+AB82</f>
        <v>0</v>
      </c>
      <c r="AD82" s="1491"/>
      <c r="AE82" s="1491"/>
      <c r="AF82" s="1447"/>
      <c r="AG82" s="1447"/>
      <c r="AH82" s="1530">
        <f>AF82+AG82</f>
        <v>0</v>
      </c>
      <c r="AI82" s="1491"/>
      <c r="AJ82" s="1491"/>
      <c r="AK82" s="1447"/>
      <c r="AL82" s="1447"/>
      <c r="AM82" s="1530">
        <f>AK82+AL82</f>
        <v>0</v>
      </c>
      <c r="AN82" s="1491"/>
      <c r="AO82" s="1491"/>
      <c r="AP82" s="1447"/>
      <c r="AQ82" s="1447"/>
      <c r="AR82" s="1530">
        <f>AP82+AQ82</f>
        <v>0</v>
      </c>
      <c r="AS82" s="1491"/>
      <c r="AT82" s="1491"/>
      <c r="AU82" s="1447">
        <f>G82+L82+Q82+V82+AA82+AF82+AK82+AP82</f>
        <v>0</v>
      </c>
      <c r="AV82" s="1447">
        <f>H82+M82+R82+W82+AB82+AG82+AL82+AQ82</f>
        <v>0</v>
      </c>
      <c r="AW82" s="1495">
        <f>AU82+AV82</f>
        <v>0</v>
      </c>
      <c r="AX82" s="1491"/>
      <c r="AY82" s="1491"/>
    </row>
    <row r="83" spans="1:51" s="1411" customFormat="1" ht="13.8" outlineLevel="1" x14ac:dyDescent="0.25">
      <c r="A83" s="1420"/>
      <c r="B83" s="1436" t="s">
        <v>13</v>
      </c>
      <c r="C83" s="1531">
        <f>(C81+C7)-C36</f>
        <v>8647799</v>
      </c>
      <c r="D83" s="1531">
        <f>(D81+D7)-D36</f>
        <v>-3124013</v>
      </c>
      <c r="E83" s="1531">
        <f>(E81+E7)-E36</f>
        <v>5523786</v>
      </c>
      <c r="F83" s="1552"/>
      <c r="G83" s="1531">
        <v>8532483.716</v>
      </c>
      <c r="H83" s="1531">
        <v>-4716076.66</v>
      </c>
      <c r="I83" s="1532">
        <v>3141939.8029475408</v>
      </c>
      <c r="J83" s="1731"/>
      <c r="K83" s="1552"/>
      <c r="L83" s="1531">
        <f>(L81)-L36</f>
        <v>1823124</v>
      </c>
      <c r="M83" s="1531">
        <f>(M81)-M36</f>
        <v>0</v>
      </c>
      <c r="N83" s="1532">
        <f>(N81)-N36</f>
        <v>1823124</v>
      </c>
      <c r="O83" s="1469"/>
      <c r="P83" s="1469"/>
      <c r="Q83" s="1531">
        <f>(Q81+Q7)-Q36</f>
        <v>0</v>
      </c>
      <c r="R83" s="1531">
        <f>(R81+R7)-R36</f>
        <v>0</v>
      </c>
      <c r="S83" s="1532">
        <f>(S81+S7)-S36</f>
        <v>0</v>
      </c>
      <c r="T83" s="1469"/>
      <c r="U83" s="1469"/>
      <c r="V83" s="1531">
        <f>(V81+V7)-V36</f>
        <v>-6091.079999999999</v>
      </c>
      <c r="W83" s="1531">
        <f>(W81+W7)-W36</f>
        <v>0</v>
      </c>
      <c r="X83" s="1532">
        <f>(X81+X7)-X36</f>
        <v>-6091.079999999999</v>
      </c>
      <c r="Y83" s="1469"/>
      <c r="Z83" s="1469"/>
      <c r="AA83" s="1531">
        <f>(AA81+AA7)-AA36</f>
        <v>0</v>
      </c>
      <c r="AB83" s="1531">
        <f>(AB81+AB7)-AB36</f>
        <v>0</v>
      </c>
      <c r="AC83" s="1532" t="e">
        <f>(AC81+AC7)-AC36</f>
        <v>#DIV/0!</v>
      </c>
      <c r="AD83" s="1469"/>
      <c r="AE83" s="1469"/>
      <c r="AF83" s="1531">
        <f>(AF81+AF7)-AF36</f>
        <v>1188021.99</v>
      </c>
      <c r="AG83" s="1531">
        <f>(AG81+AG7)-AG36</f>
        <v>0</v>
      </c>
      <c r="AH83" s="1532">
        <f>(AH81+AH7)-AH36</f>
        <v>1188021.99</v>
      </c>
      <c r="AI83" s="1469"/>
      <c r="AJ83" s="1469"/>
      <c r="AK83" s="1531">
        <f>(AK81+AK7)-AK36</f>
        <v>0</v>
      </c>
      <c r="AL83" s="1531">
        <f>(AL81+AL7)-AL36</f>
        <v>0</v>
      </c>
      <c r="AM83" s="1532">
        <f>(AM81+AM7)-AM36</f>
        <v>0</v>
      </c>
      <c r="AN83" s="1469"/>
      <c r="AO83" s="1469"/>
      <c r="AP83" s="1912">
        <f>(AP81+AP7)-AP36</f>
        <v>-1225506.6599999999</v>
      </c>
      <c r="AQ83" s="1912">
        <f>(AQ81+AQ7)-AQ36</f>
        <v>0</v>
      </c>
      <c r="AR83" s="1913">
        <f>(AR81+AR7)-AR36</f>
        <v>-1225506.6599999999</v>
      </c>
      <c r="AS83" s="1914"/>
      <c r="AT83" s="1914"/>
      <c r="AU83" s="1531">
        <f>(AU81)-AU36</f>
        <v>10312031.965999998</v>
      </c>
      <c r="AV83" s="1531">
        <f>(AV81)-AV36</f>
        <v>-4716076.66</v>
      </c>
      <c r="AW83" s="1532">
        <f>(AW81)-AW36</f>
        <v>4921488.0529475417</v>
      </c>
      <c r="AX83" s="1469"/>
      <c r="AY83" s="1469"/>
    </row>
    <row r="84" spans="1:51" s="1411" customFormat="1" ht="14.4" outlineLevel="1" thickBot="1" x14ac:dyDescent="0.3">
      <c r="A84" s="1420"/>
      <c r="B84" s="1568" t="s">
        <v>14</v>
      </c>
      <c r="C84" s="1569">
        <f>C83-C73-C82</f>
        <v>8142741</v>
      </c>
      <c r="D84" s="1569">
        <f>D83-D73-D82</f>
        <v>-3124013</v>
      </c>
      <c r="E84" s="1569">
        <f>E83-E73-E82</f>
        <v>5018728</v>
      </c>
      <c r="F84" s="1571"/>
      <c r="G84" s="1570">
        <v>2477509.406</v>
      </c>
      <c r="H84" s="1570">
        <v>-1810352.1500000001</v>
      </c>
      <c r="I84" s="1570">
        <v>3141939.8029475408</v>
      </c>
      <c r="J84" s="1571"/>
      <c r="K84" s="1571"/>
      <c r="L84" s="1570">
        <f>L83-L73-L82</f>
        <v>1823124</v>
      </c>
      <c r="M84" s="1570">
        <f>M83-M73-M82</f>
        <v>0</v>
      </c>
      <c r="N84" s="1570">
        <f>N83-N73-N82</f>
        <v>1823124</v>
      </c>
      <c r="O84" s="1476"/>
      <c r="P84" s="1476"/>
      <c r="Q84" s="1570">
        <f>Q83-Q73-Q82</f>
        <v>0</v>
      </c>
      <c r="R84" s="1570">
        <f>R83-R73-R82</f>
        <v>0</v>
      </c>
      <c r="S84" s="1570">
        <f>S83-S73-S82</f>
        <v>0</v>
      </c>
      <c r="T84" s="1476"/>
      <c r="U84" s="1476"/>
      <c r="V84" s="1570">
        <f>V83-V73-V82</f>
        <v>-6091.079999999999</v>
      </c>
      <c r="W84" s="1570">
        <f>W83-W73-W82</f>
        <v>0</v>
      </c>
      <c r="X84" s="1570">
        <f>X83-X73-X82</f>
        <v>-6091.079999999999</v>
      </c>
      <c r="Y84" s="1476"/>
      <c r="Z84" s="1476"/>
      <c r="AA84" s="1570">
        <f>AA83-AA73-AA82</f>
        <v>0</v>
      </c>
      <c r="AB84" s="1570">
        <f>AB83-AB73-AB82</f>
        <v>0</v>
      </c>
      <c r="AC84" s="1570" t="e">
        <f>AC83-AC73-AC82</f>
        <v>#DIV/0!</v>
      </c>
      <c r="AD84" s="1476"/>
      <c r="AE84" s="1476"/>
      <c r="AF84" s="1570">
        <f>AF83-AF73-AF82</f>
        <v>1188021.99</v>
      </c>
      <c r="AG84" s="1570">
        <f>AG83-AG73-AG82</f>
        <v>0</v>
      </c>
      <c r="AH84" s="1570">
        <f>AH83-AH73-AH82</f>
        <v>1188021.99</v>
      </c>
      <c r="AI84" s="1476"/>
      <c r="AJ84" s="1476"/>
      <c r="AK84" s="1570">
        <f>AK83-AK73-AK82</f>
        <v>0</v>
      </c>
      <c r="AL84" s="1570">
        <f>AL83-AL73-AL82</f>
        <v>0</v>
      </c>
      <c r="AM84" s="1570">
        <f>AM83-AM73-AM82</f>
        <v>0</v>
      </c>
      <c r="AN84" s="1476"/>
      <c r="AO84" s="1476"/>
      <c r="AP84" s="2093">
        <f>AP83-AP73-AP82</f>
        <v>-1225506.6599999999</v>
      </c>
      <c r="AQ84" s="2093">
        <f>AQ83-AQ73-AQ82</f>
        <v>0</v>
      </c>
      <c r="AR84" s="2093">
        <f>AR83-AR73-AR82</f>
        <v>-1225506.6599999999</v>
      </c>
      <c r="AS84" s="2094"/>
      <c r="AT84" s="2094"/>
      <c r="AU84" s="2118">
        <f>AU83-AU73-AU82</f>
        <v>10312031.965999998</v>
      </c>
      <c r="AV84" s="2118">
        <f>AV83-AV73-AV82</f>
        <v>-4716076.66</v>
      </c>
      <c r="AW84" s="2103">
        <f>AW83-AW73-AW82</f>
        <v>4921488.0529475417</v>
      </c>
      <c r="AX84" s="2094"/>
      <c r="AY84" s="1476"/>
    </row>
    <row r="85" spans="1:51" s="1411" customFormat="1" ht="13.8" outlineLevel="3" x14ac:dyDescent="0.25">
      <c r="A85" s="1580"/>
      <c r="B85" s="1572" t="s">
        <v>44</v>
      </c>
      <c r="C85" s="1525"/>
      <c r="D85" s="1526"/>
      <c r="E85" s="1530">
        <f>C85+D85</f>
        <v>0</v>
      </c>
      <c r="F85" s="1573">
        <f>E85/$E$89</f>
        <v>0</v>
      </c>
      <c r="G85" s="1447">
        <v>0</v>
      </c>
      <c r="H85" s="1447">
        <v>0</v>
      </c>
      <c r="I85" s="1575">
        <v>0</v>
      </c>
      <c r="J85" s="1602"/>
      <c r="K85" s="1602"/>
      <c r="L85" s="1447"/>
      <c r="M85" s="1447"/>
      <c r="N85" s="1575">
        <f>L85+M85*1.15</f>
        <v>0</v>
      </c>
      <c r="O85" s="1492"/>
      <c r="P85" s="1492"/>
      <c r="Q85" s="1447"/>
      <c r="R85" s="1447"/>
      <c r="S85" s="1575">
        <f>Q85+R85*1.15</f>
        <v>0</v>
      </c>
      <c r="T85" s="1492"/>
      <c r="U85" s="1492"/>
      <c r="V85" s="1447"/>
      <c r="W85" s="1447"/>
      <c r="X85" s="1575">
        <f>V85+W85*1.15</f>
        <v>0</v>
      </c>
      <c r="Y85" s="1492"/>
      <c r="Z85" s="1492"/>
      <c r="AA85" s="1447"/>
      <c r="AB85" s="1447"/>
      <c r="AC85" s="1575">
        <f>AA85+AB85*1.15</f>
        <v>0</v>
      </c>
      <c r="AD85" s="1492"/>
      <c r="AE85" s="1492"/>
      <c r="AF85" s="1447"/>
      <c r="AG85" s="1447"/>
      <c r="AH85" s="1575">
        <f>AF85+AG85*1.15</f>
        <v>0</v>
      </c>
      <c r="AI85" s="1492"/>
      <c r="AJ85" s="1492"/>
      <c r="AK85" s="1447"/>
      <c r="AL85" s="1447"/>
      <c r="AM85" s="1575">
        <f>AK85+AL85*1.15</f>
        <v>0</v>
      </c>
      <c r="AN85" s="1492"/>
      <c r="AO85" s="1492"/>
      <c r="AP85" s="1447"/>
      <c r="AQ85" s="1447"/>
      <c r="AR85" s="2028">
        <f>AP85+AQ85*1.15</f>
        <v>0</v>
      </c>
      <c r="AS85" s="1491"/>
      <c r="AT85" s="1491"/>
      <c r="AU85" s="1447">
        <f>G85+L85+Q85+V85+AA85+AF85+AK85+AP85</f>
        <v>0</v>
      </c>
      <c r="AV85" s="1447">
        <f>H85+M85+R85+W85+AB85+AG85+AL85+AQ85</f>
        <v>0</v>
      </c>
      <c r="AW85" s="1495">
        <f>AU85+AV85*1.15</f>
        <v>0</v>
      </c>
      <c r="AX85" s="1491"/>
      <c r="AY85" s="1492"/>
    </row>
    <row r="86" spans="1:51" s="1411" customFormat="1" ht="27.6" x14ac:dyDescent="0.25">
      <c r="A86" s="1420"/>
      <c r="B86" s="1445" t="s">
        <v>50</v>
      </c>
      <c r="C86" s="1533">
        <f>C84-C85</f>
        <v>8142741</v>
      </c>
      <c r="D86" s="1533">
        <f>D84-D85</f>
        <v>-3124013</v>
      </c>
      <c r="E86" s="1534">
        <f>E84-E85</f>
        <v>5018728</v>
      </c>
      <c r="F86" s="1553"/>
      <c r="G86" s="1534">
        <v>2477509.406</v>
      </c>
      <c r="H86" s="1534">
        <v>-1810352.1500000001</v>
      </c>
      <c r="I86" s="1534">
        <v>3141939.8029475408</v>
      </c>
      <c r="J86" s="1553"/>
      <c r="K86" s="1553"/>
      <c r="L86" s="1534">
        <f>L84-L85</f>
        <v>1823124</v>
      </c>
      <c r="M86" s="1534">
        <f>M84-M85</f>
        <v>0</v>
      </c>
      <c r="N86" s="1534">
        <f>N84-N85</f>
        <v>1823124</v>
      </c>
      <c r="O86" s="1471"/>
      <c r="P86" s="1471"/>
      <c r="Q86" s="1534">
        <f>Q84-Q85</f>
        <v>0</v>
      </c>
      <c r="R86" s="1534">
        <f>R84-R85</f>
        <v>0</v>
      </c>
      <c r="S86" s="1534">
        <f>S84-S85</f>
        <v>0</v>
      </c>
      <c r="T86" s="1471"/>
      <c r="U86" s="1471"/>
      <c r="V86" s="1534">
        <f>V84-V85</f>
        <v>-6091.079999999999</v>
      </c>
      <c r="W86" s="1534">
        <f>W84-W85</f>
        <v>0</v>
      </c>
      <c r="X86" s="1534">
        <f>X84-X85</f>
        <v>-6091.079999999999</v>
      </c>
      <c r="Y86" s="1471"/>
      <c r="Z86" s="1471"/>
      <c r="AA86" s="1534">
        <f>AA84-AA85</f>
        <v>0</v>
      </c>
      <c r="AB86" s="1534">
        <f>AB84-AB85</f>
        <v>0</v>
      </c>
      <c r="AC86" s="1534" t="e">
        <f>AC84-AC85</f>
        <v>#DIV/0!</v>
      </c>
      <c r="AD86" s="1471"/>
      <c r="AE86" s="1471"/>
      <c r="AF86" s="1534">
        <f>AF84-AF85</f>
        <v>1188021.99</v>
      </c>
      <c r="AG86" s="1534">
        <f>AG84-AG85</f>
        <v>0</v>
      </c>
      <c r="AH86" s="1534">
        <f>AH84-AH85</f>
        <v>1188021.99</v>
      </c>
      <c r="AI86" s="1471"/>
      <c r="AJ86" s="1471"/>
      <c r="AK86" s="1534">
        <f>AK84-AK85</f>
        <v>0</v>
      </c>
      <c r="AL86" s="1534">
        <f>AL84-AL85</f>
        <v>0</v>
      </c>
      <c r="AM86" s="1534">
        <f>AM84-AM85</f>
        <v>0</v>
      </c>
      <c r="AN86" s="1471"/>
      <c r="AO86" s="1471"/>
      <c r="AP86" s="1919">
        <f>AP84-AP85</f>
        <v>-1225506.6599999999</v>
      </c>
      <c r="AQ86" s="1919">
        <f>AQ84-AQ85</f>
        <v>0</v>
      </c>
      <c r="AR86" s="1919">
        <f>AR84-AR85</f>
        <v>-1225506.6599999999</v>
      </c>
      <c r="AS86" s="1920"/>
      <c r="AT86" s="1920"/>
      <c r="AU86" s="1534">
        <f>AU84-AU85</f>
        <v>10312031.965999998</v>
      </c>
      <c r="AV86" s="1534">
        <f>AV84-AV85</f>
        <v>-4716076.66</v>
      </c>
      <c r="AW86" s="1534">
        <f>AW84-AW85</f>
        <v>4921488.0529475417</v>
      </c>
      <c r="AX86" s="1471"/>
      <c r="AY86" s="1471"/>
    </row>
    <row r="87" spans="1:51" s="1411" customFormat="1" ht="14.4" thickBot="1" x14ac:dyDescent="0.3">
      <c r="A87" s="1582"/>
      <c r="B87" s="1437" t="s">
        <v>51</v>
      </c>
      <c r="C87" s="1539">
        <f>C86/C5</f>
        <v>0.48367182924409841</v>
      </c>
      <c r="D87" s="1535" t="e">
        <f>D86/D5</f>
        <v>#DIV/0!</v>
      </c>
      <c r="E87" s="1385">
        <f>E86/E5</f>
        <v>0.29810813732606445</v>
      </c>
      <c r="F87" s="1387"/>
      <c r="G87" s="1539">
        <v>0.14313787651351792</v>
      </c>
      <c r="H87" s="1535" t="e">
        <v>#DIV/0!</v>
      </c>
      <c r="I87" s="1385">
        <v>0.18152528117070324</v>
      </c>
      <c r="J87" s="1732"/>
      <c r="K87" s="1387"/>
      <c r="L87" s="1539">
        <f>L86/L5</f>
        <v>0.99948768090497098</v>
      </c>
      <c r="M87" s="1535" t="e">
        <f>M86/M5</f>
        <v>#DIV/0!</v>
      </c>
      <c r="N87" s="1385">
        <f>N86/N5</f>
        <v>0.99948768090497098</v>
      </c>
      <c r="O87" s="1380"/>
      <c r="P87" s="1380"/>
      <c r="Q87" s="1539" t="e">
        <f>Q86/Q5</f>
        <v>#DIV/0!</v>
      </c>
      <c r="R87" s="1535" t="e">
        <f>R86/R5</f>
        <v>#DIV/0!</v>
      </c>
      <c r="S87" s="1385" t="e">
        <f>S86/S5</f>
        <v>#DIV/0!</v>
      </c>
      <c r="T87" s="1380"/>
      <c r="U87" s="1380"/>
      <c r="V87" s="1539" t="e">
        <f>V86/V5</f>
        <v>#DIV/0!</v>
      </c>
      <c r="W87" s="1535" t="e">
        <f>W86/W5</f>
        <v>#DIV/0!</v>
      </c>
      <c r="X87" s="1385" t="e">
        <f>X86/X5</f>
        <v>#DIV/0!</v>
      </c>
      <c r="Y87" s="1380"/>
      <c r="Z87" s="1380"/>
      <c r="AA87" s="1539" t="e">
        <f>AA86/AA5</f>
        <v>#DIV/0!</v>
      </c>
      <c r="AB87" s="1535" t="e">
        <f>AB86/AB5</f>
        <v>#DIV/0!</v>
      </c>
      <c r="AC87" s="1385" t="e">
        <f>AC86/AC5</f>
        <v>#DIV/0!</v>
      </c>
      <c r="AD87" s="1380"/>
      <c r="AE87" s="1380"/>
      <c r="AF87" s="1539">
        <f>AF86/AF5</f>
        <v>1</v>
      </c>
      <c r="AG87" s="1535" t="e">
        <f>AG86/AG5</f>
        <v>#DIV/0!</v>
      </c>
      <c r="AH87" s="1385">
        <f>AH86/AH5</f>
        <v>1</v>
      </c>
      <c r="AI87" s="1380"/>
      <c r="AJ87" s="1380"/>
      <c r="AK87" s="1539" t="e">
        <f>AK86/AK5</f>
        <v>#DIV/0!</v>
      </c>
      <c r="AL87" s="1535" t="e">
        <f>AL86/AL5</f>
        <v>#DIV/0!</v>
      </c>
      <c r="AM87" s="1385" t="e">
        <f>AM86/AM5</f>
        <v>#DIV/0!</v>
      </c>
      <c r="AN87" s="1380"/>
      <c r="AO87" s="1380"/>
      <c r="AP87" s="1182" t="e">
        <f>AP86/AP5</f>
        <v>#DIV/0!</v>
      </c>
      <c r="AQ87" s="1183" t="e">
        <f>AQ86/AQ5</f>
        <v>#DIV/0!</v>
      </c>
      <c r="AR87" s="1385" t="e">
        <f>AR86/AR5</f>
        <v>#DIV/0!</v>
      </c>
      <c r="AS87" s="1380"/>
      <c r="AT87" s="1380"/>
      <c r="AU87" s="1539">
        <f>AU86/AU5</f>
        <v>0.50746608771435164</v>
      </c>
      <c r="AV87" s="1535" t="e">
        <f>AV86/AV5</f>
        <v>#DIV/0!</v>
      </c>
      <c r="AW87" s="1385">
        <f>AW86/AW5</f>
        <v>0.24219167436609276</v>
      </c>
      <c r="AX87" s="1380"/>
      <c r="AY87" s="1380"/>
    </row>
    <row r="88" spans="1:51" ht="13.8" x14ac:dyDescent="0.25">
      <c r="A88" s="1438"/>
      <c r="B88" s="1438"/>
      <c r="C88" s="1536"/>
      <c r="D88" s="1536"/>
      <c r="E88" s="1536"/>
      <c r="F88" s="1564"/>
      <c r="G88" s="1564"/>
      <c r="H88" s="1564"/>
      <c r="I88" s="1564"/>
      <c r="J88" s="1564"/>
      <c r="K88" s="1564"/>
      <c r="L88" s="1473"/>
      <c r="M88" s="1473"/>
      <c r="N88" s="1473"/>
      <c r="O88" s="1473"/>
      <c r="P88" s="1473"/>
      <c r="Q88" s="1473"/>
      <c r="R88" s="1473"/>
      <c r="S88" s="1473"/>
      <c r="T88" s="1473"/>
      <c r="U88" s="1473"/>
      <c r="V88" s="1473"/>
      <c r="W88" s="1473"/>
      <c r="X88" s="1473"/>
      <c r="Y88" s="1473"/>
      <c r="Z88" s="1473"/>
      <c r="AA88" s="1473"/>
      <c r="AB88" s="1473"/>
      <c r="AC88" s="1473"/>
      <c r="AD88" s="1473"/>
      <c r="AE88" s="1473"/>
      <c r="AF88" s="1473"/>
      <c r="AG88" s="1473"/>
      <c r="AH88" s="1473"/>
      <c r="AI88" s="1473"/>
      <c r="AJ88" s="1473"/>
      <c r="AK88" s="1473"/>
      <c r="AL88" s="1473"/>
      <c r="AM88" s="1473"/>
      <c r="AN88" s="1473"/>
      <c r="AO88" s="1473"/>
      <c r="AP88" s="1473"/>
      <c r="AQ88" s="1473"/>
      <c r="AR88" s="1473"/>
      <c r="AS88" s="1473"/>
      <c r="AT88" s="1473"/>
      <c r="AU88" s="1473"/>
      <c r="AV88" s="1473"/>
      <c r="AW88" s="1473"/>
      <c r="AX88" s="1473"/>
      <c r="AY88" s="1473"/>
    </row>
    <row r="89" spans="1:51" x14ac:dyDescent="0.25">
      <c r="B89" s="1577" t="s">
        <v>56</v>
      </c>
      <c r="C89" s="1537"/>
      <c r="D89" s="1537"/>
      <c r="E89" s="1538">
        <f>E8+E36+E41+E50+E54+E73+E79+E82+E85</f>
        <v>11816532</v>
      </c>
      <c r="F89" s="1538"/>
      <c r="G89" s="1538"/>
      <c r="H89" s="1538"/>
      <c r="I89" s="1538">
        <v>14166612.387052456</v>
      </c>
      <c r="J89" s="1538"/>
      <c r="K89" s="1538"/>
      <c r="L89" s="1538"/>
      <c r="M89" s="1538"/>
      <c r="N89" s="1538">
        <f>N8+N36+N41+N50+N54+N73+N79+N82+N85</f>
        <v>934.5</v>
      </c>
      <c r="O89" s="1538"/>
      <c r="P89" s="1538"/>
      <c r="Q89" s="1538"/>
      <c r="R89" s="1538"/>
      <c r="S89" s="1538">
        <f>S8+S36+S41+S50+S54+S73+S79+S82+S85</f>
        <v>0</v>
      </c>
      <c r="X89" s="1538">
        <f>X8+X36+X41+X50+X54+X73+X79+X82+X85</f>
        <v>6091.079999999999</v>
      </c>
      <c r="AC89" s="1538" t="e">
        <f>AC8+AC36+AC41+AC50+AC54+AC73+AC79+AC82+AC85</f>
        <v>#DIV/0!</v>
      </c>
      <c r="AH89" s="1538">
        <f>AH8+AH36+AH41+AH50+AH54+AH73+AH79+AH82+AH85</f>
        <v>0</v>
      </c>
      <c r="AM89" s="1538">
        <f>AM8+AM36+AM41+AM50+AM54+AM73+AM79+AM82+AM85</f>
        <v>0</v>
      </c>
      <c r="AR89" s="1538">
        <f>AR8+AR36+AR41+AR50+AR54+AR73+AR79+AR82+AR85</f>
        <v>1225506.6599999999</v>
      </c>
      <c r="AW89" s="1538">
        <f>AW8+AW36+AW41+AW50+AW54+AW73+AW79+AW82+AW85</f>
        <v>15399144.627052454</v>
      </c>
    </row>
    <row r="90" spans="1:51" x14ac:dyDescent="0.25">
      <c r="C90" s="1537"/>
      <c r="D90" s="1537"/>
      <c r="E90" s="1537"/>
      <c r="I90" s="1446" t="b">
        <v>1</v>
      </c>
      <c r="AW90" s="1607" t="b">
        <f>(N89+I89+S89+X89+AR89)=AW89</f>
        <v>1</v>
      </c>
    </row>
    <row r="91" spans="1:51" s="1411" customFormat="1" x14ac:dyDescent="0.25">
      <c r="A91" s="1417"/>
      <c r="B91" s="1417"/>
      <c r="C91" s="1537"/>
      <c r="D91" s="1537"/>
      <c r="E91" s="1537"/>
      <c r="F91" s="1446"/>
      <c r="G91" s="1446"/>
      <c r="H91" s="1446"/>
      <c r="I91" s="1446"/>
      <c r="J91" s="1446"/>
      <c r="K91" s="1446"/>
      <c r="L91" s="1446"/>
      <c r="M91" s="1446"/>
      <c r="N91" s="1446"/>
      <c r="O91" s="1446"/>
      <c r="P91" s="1446"/>
      <c r="Q91" s="1446"/>
      <c r="R91" s="1446"/>
      <c r="S91" s="1446"/>
      <c r="T91" s="1446"/>
      <c r="U91" s="1446"/>
      <c r="V91" s="1446"/>
      <c r="W91" s="1446"/>
      <c r="X91" s="1446"/>
      <c r="Y91" s="1446"/>
      <c r="Z91" s="1446"/>
      <c r="AA91" s="1446"/>
      <c r="AB91" s="1446"/>
      <c r="AC91" s="1446"/>
      <c r="AD91" s="1446"/>
      <c r="AE91" s="1446"/>
      <c r="AF91" s="1446"/>
      <c r="AG91" s="1446"/>
      <c r="AH91" s="1446"/>
      <c r="AI91" s="1446"/>
      <c r="AJ91" s="1446"/>
      <c r="AK91" s="1446"/>
      <c r="AL91" s="1446"/>
      <c r="AM91" s="1446"/>
      <c r="AN91" s="1446"/>
      <c r="AO91" s="1446"/>
      <c r="AP91" s="1446"/>
      <c r="AQ91" s="1446"/>
      <c r="AR91" s="1446"/>
      <c r="AS91" s="1446"/>
      <c r="AT91" s="1446"/>
      <c r="AU91" s="1446"/>
      <c r="AV91" s="1446"/>
      <c r="AW91" s="1446"/>
      <c r="AX91" s="1446"/>
      <c r="AY91" s="1446"/>
    </row>
    <row r="92" spans="1:51" x14ac:dyDescent="0.25">
      <c r="C92" s="1446"/>
      <c r="D92" s="1446"/>
    </row>
    <row r="93" spans="1:51" s="1411" customFormat="1" x14ac:dyDescent="0.25">
      <c r="A93" s="1417"/>
      <c r="B93" s="1670"/>
      <c r="C93" s="1446"/>
      <c r="D93" s="1446"/>
      <c r="E93" s="1446"/>
      <c r="F93" s="1446"/>
      <c r="G93" s="1446"/>
      <c r="H93" s="1446"/>
      <c r="I93" s="1446"/>
      <c r="J93" s="1446"/>
      <c r="K93" s="1446"/>
      <c r="L93" s="1446"/>
      <c r="M93" s="1446"/>
      <c r="N93" s="1446"/>
      <c r="O93" s="1446"/>
      <c r="P93" s="1446"/>
      <c r="Q93" s="1446"/>
      <c r="R93" s="1446"/>
      <c r="S93" s="1446"/>
      <c r="T93" s="1446"/>
      <c r="U93" s="1446"/>
      <c r="V93" s="1446"/>
      <c r="W93" s="1446"/>
      <c r="X93" s="1446"/>
      <c r="Y93" s="1446"/>
      <c r="Z93" s="1446"/>
      <c r="AA93" s="1446"/>
      <c r="AB93" s="1446"/>
      <c r="AC93" s="1446"/>
      <c r="AD93" s="1446"/>
      <c r="AE93" s="1446"/>
      <c r="AF93" s="1446"/>
      <c r="AG93" s="1446"/>
      <c r="AH93" s="1446"/>
      <c r="AI93" s="1446"/>
      <c r="AJ93" s="1446"/>
      <c r="AK93" s="1446"/>
      <c r="AL93" s="1446"/>
      <c r="AM93" s="1446"/>
      <c r="AN93" s="1446"/>
      <c r="AO93" s="1446"/>
      <c r="AP93" s="1446"/>
      <c r="AQ93" s="1446"/>
      <c r="AR93" s="1446"/>
      <c r="AS93" s="1446"/>
      <c r="AT93" s="1446"/>
      <c r="AU93" s="1446"/>
      <c r="AV93" s="1446"/>
      <c r="AW93" s="2119">
        <v>4174075.9</v>
      </c>
      <c r="AX93" s="1446"/>
      <c r="AY93" s="1446"/>
    </row>
    <row r="94" spans="1:51" s="1411" customFormat="1" x14ac:dyDescent="0.25">
      <c r="A94" s="1417"/>
      <c r="B94" s="1670"/>
      <c r="C94" s="1446"/>
      <c r="D94" s="1446"/>
      <c r="E94" s="1446"/>
      <c r="F94" s="1446"/>
      <c r="G94" s="1446"/>
      <c r="H94" s="1446"/>
      <c r="I94" s="1446"/>
      <c r="J94" s="1446"/>
      <c r="K94" s="1446"/>
      <c r="L94" s="1446"/>
      <c r="M94" s="1446"/>
      <c r="N94" s="1446"/>
      <c r="O94" s="1446"/>
      <c r="P94" s="1446"/>
      <c r="Q94" s="1669"/>
      <c r="R94" s="1446"/>
      <c r="S94" s="1446"/>
      <c r="T94" s="1446"/>
      <c r="U94" s="1446"/>
      <c r="V94" s="1446"/>
      <c r="W94" s="1446"/>
      <c r="X94" s="1446"/>
      <c r="Y94" s="1446"/>
      <c r="Z94" s="1446"/>
      <c r="AA94" s="1446"/>
      <c r="AB94" s="1446"/>
      <c r="AC94" s="1446"/>
      <c r="AD94" s="1446"/>
      <c r="AE94" s="1446"/>
      <c r="AF94" s="1446"/>
      <c r="AG94" s="1446"/>
      <c r="AH94" s="1446"/>
      <c r="AI94" s="1446"/>
      <c r="AJ94" s="1446"/>
      <c r="AK94" s="1446"/>
      <c r="AL94" s="1446"/>
      <c r="AM94" s="1446"/>
      <c r="AN94" s="1446"/>
      <c r="AO94" s="1446"/>
      <c r="AP94" s="1446"/>
      <c r="AQ94" s="1446"/>
      <c r="AR94" s="1446"/>
      <c r="AS94" s="1446"/>
      <c r="AT94" s="1446"/>
      <c r="AU94" s="1669"/>
      <c r="AV94" s="1446"/>
      <c r="AW94" s="1446">
        <f>AW93-AW86</f>
        <v>-747412.15294754179</v>
      </c>
      <c r="AX94" s="1446"/>
      <c r="AY94" s="1446"/>
    </row>
    <row r="95" spans="1:51" s="1411" customFormat="1" x14ac:dyDescent="0.25">
      <c r="A95" s="1417"/>
      <c r="B95" s="1670"/>
      <c r="C95" s="1446"/>
      <c r="D95" s="1446"/>
      <c r="E95" s="1446"/>
      <c r="F95" s="1446"/>
      <c r="G95" s="1446"/>
      <c r="H95" s="1446"/>
      <c r="I95" s="1446"/>
      <c r="J95" s="1446"/>
      <c r="K95" s="1446"/>
      <c r="L95" s="1446"/>
      <c r="M95" s="1446"/>
      <c r="N95" s="1446"/>
      <c r="O95" s="1446"/>
      <c r="P95" s="1446"/>
      <c r="Q95" s="1446"/>
      <c r="R95" s="1446"/>
      <c r="S95" s="1446"/>
      <c r="T95" s="1446"/>
      <c r="U95" s="1446"/>
      <c r="V95" s="1446"/>
      <c r="W95" s="1446"/>
      <c r="X95" s="1446"/>
      <c r="Y95" s="1446"/>
      <c r="Z95" s="1446"/>
      <c r="AA95" s="1446"/>
      <c r="AB95" s="1446"/>
      <c r="AC95" s="1446"/>
      <c r="AD95" s="1446"/>
      <c r="AE95" s="1446"/>
      <c r="AF95" s="1446"/>
      <c r="AG95" s="1446"/>
      <c r="AH95" s="1446"/>
      <c r="AI95" s="1446"/>
      <c r="AJ95" s="1446"/>
      <c r="AK95" s="1446"/>
      <c r="AL95" s="1446"/>
      <c r="AM95" s="1446"/>
      <c r="AN95" s="1446"/>
      <c r="AO95" s="1446"/>
      <c r="AP95" s="1446"/>
      <c r="AQ95" s="1446"/>
      <c r="AR95" s="1446"/>
      <c r="AS95" s="1446"/>
      <c r="AT95" s="1446"/>
      <c r="AU95" s="1446"/>
      <c r="AV95" s="1446"/>
      <c r="AW95" s="1446"/>
      <c r="AX95" s="1446"/>
      <c r="AY95" s="1446"/>
    </row>
    <row r="96" spans="1:51" s="1411" customFormat="1" x14ac:dyDescent="0.25">
      <c r="A96" s="1417"/>
      <c r="B96" s="1670"/>
      <c r="C96" s="1446"/>
      <c r="D96" s="1446"/>
      <c r="E96" s="1446"/>
      <c r="F96" s="1446"/>
      <c r="G96" s="1446"/>
      <c r="H96" s="1446"/>
      <c r="I96" s="1446"/>
      <c r="J96" s="1446"/>
      <c r="K96" s="1446"/>
      <c r="L96" s="1446"/>
      <c r="M96" s="1446"/>
      <c r="N96" s="1446"/>
      <c r="O96" s="1446"/>
      <c r="P96" s="1446"/>
      <c r="Q96" s="1446"/>
      <c r="R96" s="1446"/>
      <c r="S96" s="1446"/>
      <c r="T96" s="1446"/>
      <c r="U96" s="1446"/>
      <c r="V96" s="1446"/>
      <c r="W96" s="1446"/>
      <c r="X96" s="1446"/>
      <c r="Y96" s="1446"/>
      <c r="Z96" s="1446"/>
      <c r="AA96" s="1446"/>
      <c r="AB96" s="1446"/>
      <c r="AC96" s="1446"/>
      <c r="AD96" s="1446"/>
      <c r="AE96" s="1446"/>
      <c r="AF96" s="1446"/>
      <c r="AG96" s="1446"/>
      <c r="AH96" s="1446"/>
      <c r="AI96" s="1446"/>
      <c r="AJ96" s="1446"/>
      <c r="AK96" s="1446"/>
      <c r="AL96" s="1446"/>
      <c r="AM96" s="1446"/>
      <c r="AN96" s="1446"/>
      <c r="AO96" s="1446"/>
      <c r="AP96" s="1446"/>
      <c r="AQ96" s="1446"/>
      <c r="AR96" s="1446"/>
      <c r="AS96" s="1446"/>
      <c r="AT96" s="1446"/>
      <c r="AU96" s="1446"/>
      <c r="AV96" s="1446"/>
      <c r="AW96" s="1446"/>
      <c r="AX96" s="1446"/>
      <c r="AY96" s="1446"/>
    </row>
    <row r="97" spans="1:51" x14ac:dyDescent="0.25">
      <c r="C97" s="1446"/>
      <c r="D97" s="1446"/>
    </row>
    <row r="98" spans="1:51" s="1411" customFormat="1" x14ac:dyDescent="0.25">
      <c r="A98" s="1417"/>
      <c r="B98" s="1417"/>
      <c r="C98" s="1446"/>
      <c r="D98" s="1446"/>
      <c r="E98" s="1446"/>
      <c r="F98" s="1446"/>
      <c r="G98" s="1446"/>
      <c r="H98" s="1446"/>
      <c r="I98" s="1446"/>
      <c r="J98" s="1446"/>
      <c r="K98" s="1446"/>
      <c r="L98" s="1446"/>
      <c r="M98" s="1446"/>
      <c r="N98" s="1446"/>
      <c r="O98" s="1446"/>
      <c r="P98" s="1446"/>
      <c r="Q98" s="1446"/>
      <c r="R98" s="1446"/>
      <c r="S98" s="1446"/>
      <c r="T98" s="1446"/>
      <c r="U98" s="1446"/>
      <c r="V98" s="1446"/>
      <c r="W98" s="1446"/>
      <c r="X98" s="1446"/>
      <c r="Y98" s="1446"/>
      <c r="Z98" s="1446"/>
      <c r="AA98" s="1446"/>
      <c r="AB98" s="1446"/>
      <c r="AC98" s="1446"/>
      <c r="AD98" s="1446"/>
      <c r="AE98" s="1446"/>
      <c r="AF98" s="1446"/>
      <c r="AG98" s="1446"/>
      <c r="AH98" s="1446"/>
      <c r="AI98" s="1446"/>
      <c r="AJ98" s="1446"/>
      <c r="AK98" s="1446"/>
      <c r="AL98" s="1446"/>
      <c r="AM98" s="1446"/>
      <c r="AN98" s="1446"/>
      <c r="AO98" s="1446"/>
      <c r="AP98" s="1446"/>
      <c r="AQ98" s="1446"/>
      <c r="AR98" s="1446"/>
      <c r="AS98" s="1446"/>
      <c r="AT98" s="1446"/>
      <c r="AU98" s="1446"/>
      <c r="AV98" s="1446"/>
      <c r="AW98" s="1446"/>
      <c r="AX98" s="1446"/>
      <c r="AY98" s="1446"/>
    </row>
    <row r="99" spans="1:51" x14ac:dyDescent="0.25">
      <c r="C99" s="1446"/>
      <c r="D99" s="1446"/>
    </row>
  </sheetData>
  <mergeCells count="12">
    <mergeCell ref="AU2:AX3"/>
    <mergeCell ref="AF2:AJ3"/>
    <mergeCell ref="AK2:AO3"/>
    <mergeCell ref="AP2:AT3"/>
    <mergeCell ref="G2:K3"/>
    <mergeCell ref="Q2:U3"/>
    <mergeCell ref="V2:Z3"/>
    <mergeCell ref="A3:F3"/>
    <mergeCell ref="A42:A48"/>
    <mergeCell ref="A2:F2"/>
    <mergeCell ref="L2:P3"/>
    <mergeCell ref="AA2:AE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79998168889431442"/>
    <pageSetUpPr fitToPage="1"/>
  </sheetPr>
  <dimension ref="A1:BI99"/>
  <sheetViews>
    <sheetView showZeros="0" zoomScale="70" zoomScaleNormal="70" workbookViewId="0">
      <pane xSplit="6" ySplit="5" topLeftCell="BE6" activePane="bottomRight" state="frozen"/>
      <selection activeCell="C26" sqref="C25:C26"/>
      <selection pane="topRight" activeCell="C26" sqref="C25:C26"/>
      <selection pane="bottomLeft" activeCell="C26" sqref="C25:C26"/>
      <selection pane="bottomRight" activeCell="C26" sqref="C25:C26"/>
    </sheetView>
  </sheetViews>
  <sheetFormatPr defaultColWidth="7.44140625" defaultRowHeight="13.2" outlineLevelRow="3" outlineLevelCol="2" x14ac:dyDescent="0.25"/>
  <cols>
    <col min="1" max="1" width="5.5546875" style="8" customWidth="1"/>
    <col min="2" max="2" width="55" style="8" customWidth="1"/>
    <col min="3" max="3" width="17.5546875" style="77" hidden="1" customWidth="1" outlineLevel="2"/>
    <col min="4" max="4" width="13.44140625" style="77" hidden="1" customWidth="1" outlineLevel="2"/>
    <col min="5" max="5" width="16.33203125" style="38" hidden="1" customWidth="1" outlineLevel="2"/>
    <col min="6" max="6" width="9.5546875" style="38" hidden="1" customWidth="1" outlineLevel="2"/>
    <col min="7" max="9" width="16.33203125" style="38" hidden="1" customWidth="1" outlineLevel="1"/>
    <col min="10" max="10" width="13.6640625" style="38" hidden="1" customWidth="1" outlineLevel="1"/>
    <col min="11" max="14" width="16.33203125" style="38" hidden="1" customWidth="1" outlineLevel="1"/>
    <col min="15" max="15" width="9" style="38" hidden="1" customWidth="1" outlineLevel="1"/>
    <col min="16" max="25" width="16.33203125" style="38" hidden="1" customWidth="1" outlineLevel="1"/>
    <col min="26" max="26" width="30.6640625" style="38" hidden="1" customWidth="1" outlineLevel="1"/>
    <col min="27" max="27" width="18.88671875" style="38" hidden="1" customWidth="1" outlineLevel="1"/>
    <col min="28" max="28" width="22.44140625" style="38" hidden="1" customWidth="1" outlineLevel="1"/>
    <col min="29" max="29" width="19.6640625" style="38" hidden="1" customWidth="1" outlineLevel="1"/>
    <col min="30" max="30" width="19.44140625" style="38" hidden="1" customWidth="1" outlineLevel="1"/>
    <col min="31" max="31" width="30.6640625" style="38" hidden="1" customWidth="1" outlineLevel="1"/>
    <col min="32" max="32" width="21.88671875" style="38" hidden="1" customWidth="1" outlineLevel="1"/>
    <col min="33" max="33" width="21" style="38" hidden="1" customWidth="1" outlineLevel="1"/>
    <col min="34" max="34" width="20.6640625" style="38" hidden="1" customWidth="1" outlineLevel="1"/>
    <col min="35" max="35" width="10" style="38" hidden="1" customWidth="1" outlineLevel="1"/>
    <col min="36" max="36" width="30.6640625" style="38" hidden="1" customWidth="1" outlineLevel="1"/>
    <col min="37" max="38" width="16.44140625" style="38" hidden="1" customWidth="1" outlineLevel="1"/>
    <col min="39" max="39" width="16.109375" style="38" hidden="1" customWidth="1" outlineLevel="1"/>
    <col min="40" max="40" width="9.44140625" style="38" hidden="1" customWidth="1" outlineLevel="1"/>
    <col min="41" max="41" width="25.33203125" style="38" hidden="1" customWidth="1" outlineLevel="1"/>
    <col min="42" max="45" width="15.88671875" style="38" hidden="1" customWidth="1" outlineLevel="1"/>
    <col min="46" max="46" width="23.6640625" style="38" hidden="1" customWidth="1" outlineLevel="1"/>
    <col min="47" max="48" width="16.44140625" style="38" hidden="1" customWidth="1" outlineLevel="1"/>
    <col min="49" max="49" width="16.109375" style="38" hidden="1" customWidth="1" outlineLevel="1"/>
    <col min="50" max="50" width="24.33203125" style="38" hidden="1" customWidth="1" outlineLevel="1"/>
    <col min="51" max="51" width="13.109375" style="38" hidden="1" customWidth="1" outlineLevel="1"/>
    <col min="52" max="53" width="16.44140625" style="1446" hidden="1" customWidth="1" outlineLevel="1"/>
    <col min="54" max="54" width="16.109375" style="1446" hidden="1" customWidth="1" outlineLevel="1"/>
    <col min="55" max="55" width="24.33203125" style="1446" hidden="1" customWidth="1" outlineLevel="1"/>
    <col min="56" max="56" width="37.6640625" style="1446" hidden="1" customWidth="1" outlineLevel="1"/>
    <col min="57" max="57" width="16.33203125" style="38" customWidth="1" collapsed="1"/>
    <col min="58" max="59" width="16.33203125" style="38" customWidth="1"/>
    <col min="60" max="60" width="9" style="38" customWidth="1"/>
    <col min="61" max="61" width="16.33203125" style="38" customWidth="1"/>
    <col min="62" max="16384" width="7.44140625" style="1"/>
  </cols>
  <sheetData>
    <row r="1" spans="1:61" ht="13.8" thickBot="1" x14ac:dyDescent="0.3">
      <c r="C1" s="38"/>
      <c r="D1" s="38"/>
    </row>
    <row r="2" spans="1:61" ht="22.2" customHeight="1" x14ac:dyDescent="0.25">
      <c r="A2" s="4016" t="s">
        <v>233</v>
      </c>
      <c r="B2" s="4017"/>
      <c r="C2" s="4017"/>
      <c r="D2" s="4017"/>
      <c r="E2" s="4017"/>
      <c r="F2" s="4018"/>
      <c r="G2" s="4019" t="s">
        <v>464</v>
      </c>
      <c r="H2" s="4020"/>
      <c r="I2" s="4020"/>
      <c r="J2" s="4020"/>
      <c r="K2" s="4222"/>
      <c r="L2" s="4019" t="s">
        <v>465</v>
      </c>
      <c r="M2" s="4020"/>
      <c r="N2" s="4020"/>
      <c r="O2" s="4020"/>
      <c r="P2" s="378"/>
      <c r="Q2" s="4140" t="s">
        <v>715</v>
      </c>
      <c r="R2" s="4141"/>
      <c r="S2" s="4141"/>
      <c r="T2" s="4141"/>
      <c r="U2" s="4142"/>
      <c r="V2" s="4140" t="s">
        <v>775</v>
      </c>
      <c r="W2" s="4141"/>
      <c r="X2" s="4141"/>
      <c r="Y2" s="4141"/>
      <c r="Z2" s="4142"/>
      <c r="AA2" s="4053" t="s">
        <v>821</v>
      </c>
      <c r="AB2" s="4054"/>
      <c r="AC2" s="4054"/>
      <c r="AD2" s="4054"/>
      <c r="AE2" s="4055"/>
      <c r="AF2" s="4185" t="s">
        <v>867</v>
      </c>
      <c r="AG2" s="4186"/>
      <c r="AH2" s="4186"/>
      <c r="AI2" s="4186"/>
      <c r="AJ2" s="4187"/>
      <c r="AK2" s="4172" t="s">
        <v>891</v>
      </c>
      <c r="AL2" s="4173"/>
      <c r="AM2" s="4173"/>
      <c r="AN2" s="4173"/>
      <c r="AO2" s="4174"/>
      <c r="AP2" s="4047" t="s">
        <v>942</v>
      </c>
      <c r="AQ2" s="4048"/>
      <c r="AR2" s="4048"/>
      <c r="AS2" s="4048"/>
      <c r="AT2" s="4049"/>
      <c r="AU2" s="4224" t="s">
        <v>948</v>
      </c>
      <c r="AV2" s="4225"/>
      <c r="AW2" s="4225"/>
      <c r="AX2" s="4225"/>
      <c r="AY2" s="4226"/>
      <c r="AZ2" s="4023" t="s">
        <v>1470</v>
      </c>
      <c r="BA2" s="4024"/>
      <c r="BB2" s="4024"/>
      <c r="BC2" s="4024"/>
      <c r="BD2" s="4025"/>
      <c r="BE2" s="4212" t="s">
        <v>469</v>
      </c>
      <c r="BF2" s="4213"/>
      <c r="BG2" s="4213"/>
      <c r="BH2" s="4213"/>
      <c r="BI2" s="384"/>
    </row>
    <row r="3" spans="1:61" ht="14.4" customHeight="1" thickBot="1" x14ac:dyDescent="0.3">
      <c r="A3" s="4035" t="s">
        <v>54</v>
      </c>
      <c r="B3" s="4036"/>
      <c r="C3" s="4036"/>
      <c r="D3" s="4036"/>
      <c r="E3" s="4036"/>
      <c r="F3" s="4037"/>
      <c r="G3" s="4021"/>
      <c r="H3" s="4022"/>
      <c r="I3" s="4022"/>
      <c r="J3" s="4022"/>
      <c r="K3" s="4223"/>
      <c r="L3" s="4021"/>
      <c r="M3" s="4022"/>
      <c r="N3" s="4022"/>
      <c r="O3" s="4022"/>
      <c r="P3" s="379"/>
      <c r="Q3" s="4143"/>
      <c r="R3" s="4144"/>
      <c r="S3" s="4144"/>
      <c r="T3" s="4144"/>
      <c r="U3" s="4145"/>
      <c r="V3" s="4143"/>
      <c r="W3" s="4144"/>
      <c r="X3" s="4144"/>
      <c r="Y3" s="4144"/>
      <c r="Z3" s="4145"/>
      <c r="AA3" s="4056"/>
      <c r="AB3" s="4057"/>
      <c r="AC3" s="4057"/>
      <c r="AD3" s="4057"/>
      <c r="AE3" s="4058"/>
      <c r="AF3" s="4188"/>
      <c r="AG3" s="4189"/>
      <c r="AH3" s="4189"/>
      <c r="AI3" s="4189"/>
      <c r="AJ3" s="4190"/>
      <c r="AK3" s="4175"/>
      <c r="AL3" s="4176"/>
      <c r="AM3" s="4176"/>
      <c r="AN3" s="4176"/>
      <c r="AO3" s="4177"/>
      <c r="AP3" s="4050"/>
      <c r="AQ3" s="4051"/>
      <c r="AR3" s="4051"/>
      <c r="AS3" s="4051"/>
      <c r="AT3" s="4052"/>
      <c r="AU3" s="4227"/>
      <c r="AV3" s="4228"/>
      <c r="AW3" s="4228"/>
      <c r="AX3" s="4228"/>
      <c r="AY3" s="4229"/>
      <c r="AZ3" s="4026"/>
      <c r="BA3" s="4027"/>
      <c r="BB3" s="4027"/>
      <c r="BC3" s="4027"/>
      <c r="BD3" s="4028"/>
      <c r="BE3" s="4214"/>
      <c r="BF3" s="4215"/>
      <c r="BG3" s="4215"/>
      <c r="BH3" s="4215"/>
      <c r="BI3" s="385"/>
    </row>
    <row r="4" spans="1:61" ht="41.4" thickBot="1" x14ac:dyDescent="0.3">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1488" t="s">
        <v>55</v>
      </c>
      <c r="BA4" s="1488" t="s">
        <v>18</v>
      </c>
      <c r="BB4" s="1489" t="s">
        <v>39</v>
      </c>
      <c r="BC4" s="1566" t="s">
        <v>40</v>
      </c>
      <c r="BD4" s="1489" t="s">
        <v>19</v>
      </c>
      <c r="BE4" s="94" t="s">
        <v>55</v>
      </c>
      <c r="BF4" s="94" t="s">
        <v>18</v>
      </c>
      <c r="BG4" s="95" t="s">
        <v>39</v>
      </c>
      <c r="BH4" s="209" t="s">
        <v>40</v>
      </c>
      <c r="BI4" s="95" t="s">
        <v>19</v>
      </c>
    </row>
    <row r="5" spans="1:61" s="88" customFormat="1" ht="14.4" thickBot="1" x14ac:dyDescent="0.3">
      <c r="A5" s="83"/>
      <c r="B5" s="84" t="s">
        <v>10</v>
      </c>
      <c r="C5" s="85">
        <f>C6</f>
        <v>1874800</v>
      </c>
      <c r="D5" s="85">
        <f>D6</f>
        <v>0</v>
      </c>
      <c r="E5" s="86">
        <f>E6</f>
        <v>1874800</v>
      </c>
      <c r="F5" s="87"/>
      <c r="G5" s="87">
        <f>G6</f>
        <v>977044.5</v>
      </c>
      <c r="H5" s="87">
        <f>H6</f>
        <v>0</v>
      </c>
      <c r="I5" s="87">
        <f>I6</f>
        <v>977044.5</v>
      </c>
      <c r="J5" s="87"/>
      <c r="K5" s="87"/>
      <c r="L5" s="87">
        <f>L6</f>
        <v>0</v>
      </c>
      <c r="M5" s="87">
        <f>M6</f>
        <v>0</v>
      </c>
      <c r="N5" s="87">
        <f>N6</f>
        <v>0</v>
      </c>
      <c r="O5" s="87"/>
      <c r="P5" s="87"/>
      <c r="Q5" s="87">
        <f>Q6</f>
        <v>0</v>
      </c>
      <c r="R5" s="87">
        <f>R6</f>
        <v>0</v>
      </c>
      <c r="S5" s="87">
        <f>S6</f>
        <v>0</v>
      </c>
      <c r="T5" s="87"/>
      <c r="U5" s="87"/>
      <c r="V5" s="87">
        <f>V6</f>
        <v>379193.11</v>
      </c>
      <c r="W5" s="87">
        <f>W6</f>
        <v>0</v>
      </c>
      <c r="X5" s="87">
        <f>X6</f>
        <v>379193.11</v>
      </c>
      <c r="Y5" s="87"/>
      <c r="Z5" s="87"/>
      <c r="AA5" s="87">
        <f>AA6</f>
        <v>129673.98</v>
      </c>
      <c r="AB5" s="87">
        <f>AB6</f>
        <v>0</v>
      </c>
      <c r="AC5" s="87">
        <f>AC6</f>
        <v>129673.98</v>
      </c>
      <c r="AD5" s="87"/>
      <c r="AE5" s="87"/>
      <c r="AF5" s="87">
        <f>AF6+AF7</f>
        <v>0</v>
      </c>
      <c r="AG5" s="87">
        <f>AG6+AG7</f>
        <v>0</v>
      </c>
      <c r="AH5" s="87">
        <f>AH6+AH7</f>
        <v>0</v>
      </c>
      <c r="AI5" s="87"/>
      <c r="AJ5" s="87"/>
      <c r="AK5" s="87">
        <f>AK6+AK7</f>
        <v>241732.56</v>
      </c>
      <c r="AL5" s="87">
        <f>AL6+AL7</f>
        <v>0</v>
      </c>
      <c r="AM5" s="87">
        <f>AM6+AM7</f>
        <v>241732.56</v>
      </c>
      <c r="AN5" s="87"/>
      <c r="AO5" s="87"/>
      <c r="AP5" s="87">
        <f>AP6+AP7</f>
        <v>85560.68</v>
      </c>
      <c r="AQ5" s="87">
        <f>AQ6+AQ7</f>
        <v>0</v>
      </c>
      <c r="AR5" s="87">
        <f>AR6+AR7</f>
        <v>85560.68</v>
      </c>
      <c r="AS5" s="87"/>
      <c r="AT5" s="87"/>
      <c r="AU5" s="87">
        <f>AU6+AU7</f>
        <v>0</v>
      </c>
      <c r="AV5" s="87">
        <f>AV6+AV7</f>
        <v>0</v>
      </c>
      <c r="AW5" s="87">
        <f>AW6+AW7</f>
        <v>0</v>
      </c>
      <c r="AX5" s="87"/>
      <c r="AY5" s="87"/>
      <c r="AZ5" s="1481">
        <f>AZ6+AZ7</f>
        <v>0</v>
      </c>
      <c r="BA5" s="1481">
        <f>BA6+BA7</f>
        <v>0</v>
      </c>
      <c r="BB5" s="1481">
        <f>BB6+BB7</f>
        <v>0</v>
      </c>
      <c r="BC5" s="1481"/>
      <c r="BD5" s="1481"/>
      <c r="BE5" s="87">
        <f>BE6+BE7</f>
        <v>1813204.8299999998</v>
      </c>
      <c r="BF5" s="87">
        <f>BF6+BF7</f>
        <v>0</v>
      </c>
      <c r="BG5" s="87">
        <f>BG6+BG7</f>
        <v>1813204.8299999998</v>
      </c>
      <c r="BH5" s="87"/>
      <c r="BI5" s="87"/>
    </row>
    <row r="6" spans="1:61" s="2" customFormat="1" ht="13.8" outlineLevel="1" x14ac:dyDescent="0.25">
      <c r="A6" s="331"/>
      <c r="B6" s="9" t="s">
        <v>17</v>
      </c>
      <c r="C6" s="104">
        <v>1874800</v>
      </c>
      <c r="D6" s="105"/>
      <c r="E6" s="106">
        <f>C6+D6</f>
        <v>1874800</v>
      </c>
      <c r="F6" s="39"/>
      <c r="G6" s="39">
        <v>977044.5</v>
      </c>
      <c r="H6" s="39">
        <v>0</v>
      </c>
      <c r="I6" s="106">
        <f>G6+H6</f>
        <v>977044.5</v>
      </c>
      <c r="J6" s="39"/>
      <c r="K6" s="39"/>
      <c r="L6" s="39"/>
      <c r="M6" s="39"/>
      <c r="N6" s="106">
        <f>L6+M6</f>
        <v>0</v>
      </c>
      <c r="O6" s="39"/>
      <c r="P6" s="39"/>
      <c r="Q6" s="39"/>
      <c r="R6" s="39"/>
      <c r="S6" s="106">
        <f>Q6+R6</f>
        <v>0</v>
      </c>
      <c r="T6" s="39"/>
      <c r="U6" s="40"/>
      <c r="V6" s="39">
        <v>379193.11</v>
      </c>
      <c r="W6" s="39"/>
      <c r="X6" s="106">
        <f>V6+W6</f>
        <v>379193.11</v>
      </c>
      <c r="Y6" s="39"/>
      <c r="Z6" s="39"/>
      <c r="AA6" s="39">
        <v>129673.98</v>
      </c>
      <c r="AB6" s="39"/>
      <c r="AC6" s="106">
        <f>AA6+AB6</f>
        <v>129673.98</v>
      </c>
      <c r="AD6" s="39"/>
      <c r="AE6" s="39"/>
      <c r="AF6" s="39"/>
      <c r="AG6" s="39"/>
      <c r="AH6" s="106">
        <f>AF6+AG6</f>
        <v>0</v>
      </c>
      <c r="AI6" s="39"/>
      <c r="AJ6" s="39"/>
      <c r="AK6" s="39">
        <v>241732.56</v>
      </c>
      <c r="AL6" s="39"/>
      <c r="AM6" s="106">
        <f>AK6+AL6</f>
        <v>241732.56</v>
      </c>
      <c r="AN6" s="39"/>
      <c r="AO6" s="39"/>
      <c r="AP6" s="39">
        <v>85560.68</v>
      </c>
      <c r="AQ6" s="39"/>
      <c r="AR6" s="106">
        <f>AP6+AQ6</f>
        <v>85560.68</v>
      </c>
      <c r="AS6" s="39"/>
      <c r="AT6" s="39"/>
      <c r="AU6" s="39"/>
      <c r="AV6" s="39"/>
      <c r="AW6" s="106">
        <f>AU6+AV6</f>
        <v>0</v>
      </c>
      <c r="AX6" s="39"/>
      <c r="AY6" s="39"/>
      <c r="AZ6" s="1447"/>
      <c r="BA6" s="1447"/>
      <c r="BB6" s="1495">
        <f>AZ6+BA6</f>
        <v>0</v>
      </c>
      <c r="BC6" s="1447"/>
      <c r="BD6" s="1447"/>
      <c r="BE6" s="39">
        <f>G6+L6+Q6+V6+AA6+AF6+AK6+AP6+AU6</f>
        <v>1813204.8299999998</v>
      </c>
      <c r="BF6" s="39">
        <f>H6+M6+R6+W6+AB6+AG6+AL6+AQ6+AV6</f>
        <v>0</v>
      </c>
      <c r="BG6" s="106">
        <f>BE6+BF6</f>
        <v>1813204.8299999998</v>
      </c>
      <c r="BH6" s="39"/>
      <c r="BI6" s="39"/>
    </row>
    <row r="7" spans="1:61" s="2" customFormat="1" ht="15" customHeight="1" outlineLevel="1" collapsed="1" thickBot="1" x14ac:dyDescent="0.3">
      <c r="A7" s="238"/>
      <c r="B7" s="829" t="s">
        <v>41</v>
      </c>
      <c r="C7" s="107"/>
      <c r="D7" s="108"/>
      <c r="E7" s="106">
        <f>C7+D7</f>
        <v>0</v>
      </c>
      <c r="F7" s="40"/>
      <c r="G7" s="39">
        <v>0</v>
      </c>
      <c r="H7" s="39">
        <v>0</v>
      </c>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c r="AV7" s="39"/>
      <c r="AW7" s="106">
        <f>AU7+AV7</f>
        <v>0</v>
      </c>
      <c r="AX7" s="40"/>
      <c r="AY7" s="40"/>
      <c r="AZ7" s="1447"/>
      <c r="BA7" s="1447"/>
      <c r="BB7" s="1495">
        <f>AZ7+BA7</f>
        <v>0</v>
      </c>
      <c r="BC7" s="1921"/>
      <c r="BD7" s="1921"/>
      <c r="BE7" s="39">
        <f>G7+L7+Q7+V7+AA7+AF7+AK7+AP7+AU7</f>
        <v>0</v>
      </c>
      <c r="BF7" s="39">
        <f>H7+M7+R7+W7+AB7+AG7+AL7+AQ7+AV7</f>
        <v>0</v>
      </c>
      <c r="BG7" s="106">
        <f>BE7+BF7</f>
        <v>0</v>
      </c>
      <c r="BH7" s="40"/>
      <c r="BI7" s="40"/>
    </row>
    <row r="8" spans="1:61" s="88" customFormat="1" ht="39.6" customHeight="1" outlineLevel="1" thickBot="1" x14ac:dyDescent="0.3">
      <c r="A8" s="238"/>
      <c r="B8" s="830" t="s">
        <v>16</v>
      </c>
      <c r="C8" s="109">
        <f>SUM(C9:C33)</f>
        <v>564382</v>
      </c>
      <c r="D8" s="109">
        <f>SUM(D9:D33)</f>
        <v>824421</v>
      </c>
      <c r="E8" s="110">
        <f>SUM(E9:E33)</f>
        <v>1388803</v>
      </c>
      <c r="F8" s="164">
        <f t="shared" ref="F8:F21" si="0">E8/$E$89</f>
        <v>0.92030267608172445</v>
      </c>
      <c r="G8" s="109">
        <f>SUM(G9:G33)</f>
        <v>656997.65430000005</v>
      </c>
      <c r="H8" s="109">
        <f>SUM(H9:H33)</f>
        <v>486953.57</v>
      </c>
      <c r="I8" s="110">
        <f>SUM(I9:I33)</f>
        <v>1143951.2242999999</v>
      </c>
      <c r="J8" s="164">
        <f t="shared" ref="J8:J21" si="1">I8/$I$89</f>
        <v>0.86938291711928795</v>
      </c>
      <c r="K8" s="87"/>
      <c r="L8" s="109">
        <f>SUM(L9:L33)</f>
        <v>0</v>
      </c>
      <c r="M8" s="109">
        <f>SUM(M9:M33)</f>
        <v>0</v>
      </c>
      <c r="N8" s="110">
        <f>SUM(N9:N33)</f>
        <v>0</v>
      </c>
      <c r="O8" s="164" t="e">
        <f t="shared" ref="O8:O21" si="2">N8/$N$89</f>
        <v>#DIV/0!</v>
      </c>
      <c r="P8" s="87"/>
      <c r="Q8" s="109">
        <f>SUM(Q9:Q33)</f>
        <v>600</v>
      </c>
      <c r="R8" s="109">
        <f>SUM(R9:R33)</f>
        <v>30131</v>
      </c>
      <c r="S8" s="110">
        <f>SUM(S9:S33)</f>
        <v>30731</v>
      </c>
      <c r="T8" s="164">
        <f>S8/$S$89</f>
        <v>0.872118658495179</v>
      </c>
      <c r="U8" s="87"/>
      <c r="V8" s="109">
        <f>SUM(V9:V33)</f>
        <v>59038.415999999997</v>
      </c>
      <c r="W8" s="109">
        <f>SUM(W9:W33)</f>
        <v>68914.5</v>
      </c>
      <c r="X8" s="110">
        <f>SUM(X9:X33)</f>
        <v>127952.916</v>
      </c>
      <c r="Y8" s="164">
        <f t="shared" ref="Y8:Y22" si="3">X8/$X$89</f>
        <v>0.92365189679141479</v>
      </c>
      <c r="Z8" s="87"/>
      <c r="AA8" s="109">
        <f>SUM(AA9:AA33)</f>
        <v>33890</v>
      </c>
      <c r="AB8" s="109">
        <f>SUM(AB9:AB33)</f>
        <v>19975</v>
      </c>
      <c r="AC8" s="110">
        <f>SUM(AC9:AC33)</f>
        <v>53865</v>
      </c>
      <c r="AD8" s="164">
        <f t="shared" ref="AD8:AD22" si="4">AC8/$AC$89</f>
        <v>0.99695795027000134</v>
      </c>
      <c r="AE8" s="87"/>
      <c r="AF8" s="109">
        <f>SUM(AF9:AF33)</f>
        <v>35027.016000000003</v>
      </c>
      <c r="AG8" s="109">
        <f>SUM(AG9:AG33)</f>
        <v>15505</v>
      </c>
      <c r="AH8" s="110">
        <f>SUM(AH9:AH33)</f>
        <v>50532.016000000003</v>
      </c>
      <c r="AI8" s="164">
        <f>AH8/$AH$89</f>
        <v>0.94955995204922938</v>
      </c>
      <c r="AJ8" s="87"/>
      <c r="AK8" s="109">
        <f>SUM(AK9:AK33)</f>
        <v>21140.399999999998</v>
      </c>
      <c r="AL8" s="109">
        <f>SUM(AL9:AL33)</f>
        <v>68900</v>
      </c>
      <c r="AM8" s="110">
        <f>SUM(AM9:AM33)</f>
        <v>90040.4</v>
      </c>
      <c r="AN8" s="164">
        <f>AM8/$AM$89</f>
        <v>0.90336157517469562</v>
      </c>
      <c r="AO8" s="87"/>
      <c r="AP8" s="109">
        <f>SUM(AP9:AP33)</f>
        <v>85515.635999999999</v>
      </c>
      <c r="AQ8" s="109">
        <f>SUM(AQ9:AQ33)</f>
        <v>14240</v>
      </c>
      <c r="AR8" s="110">
        <f>SUM(AR9:AR33)</f>
        <v>99755.635999999999</v>
      </c>
      <c r="AS8" s="164">
        <f>AR8/$AR$89</f>
        <v>1</v>
      </c>
      <c r="AT8" s="87"/>
      <c r="AU8" s="109">
        <f>SUM(AU9:AU33)</f>
        <v>0</v>
      </c>
      <c r="AV8" s="109">
        <f>SUM(AV9:AV33)</f>
        <v>0</v>
      </c>
      <c r="AW8" s="110">
        <f>SUM(AW9:AW33)</f>
        <v>0</v>
      </c>
      <c r="AX8" s="164">
        <f>AW8/$AR$89</f>
        <v>0</v>
      </c>
      <c r="AY8" s="87"/>
      <c r="AZ8" s="1498">
        <f>SUM(AZ9:AZ33)</f>
        <v>16401.671999999999</v>
      </c>
      <c r="BA8" s="1498">
        <f>SUM(BA9:BA33)</f>
        <v>0</v>
      </c>
      <c r="BB8" s="1499">
        <f>SUM(BB9:BB33)</f>
        <v>16401.671999999999</v>
      </c>
      <c r="BC8" s="1543">
        <f>BB8/$BB$89</f>
        <v>1</v>
      </c>
      <c r="BD8" s="1481"/>
      <c r="BE8" s="109">
        <f>SUM(BE9:BE33)</f>
        <v>892209.12230000016</v>
      </c>
      <c r="BF8" s="109">
        <f>SUM(BF9:BF33)</f>
        <v>704619.07</v>
      </c>
      <c r="BG8" s="110">
        <f>SUM(BG9:BG33)</f>
        <v>1596828.1922999998</v>
      </c>
      <c r="BH8" s="164" t="e">
        <f t="shared" ref="BH8:BH21" si="5">BG8/$N$89</f>
        <v>#DIV/0!</v>
      </c>
      <c r="BI8" s="87"/>
    </row>
    <row r="9" spans="1:61" s="2" customFormat="1" ht="13.8" outlineLevel="2" x14ac:dyDescent="0.25">
      <c r="A9" s="238"/>
      <c r="B9" s="831" t="s">
        <v>74</v>
      </c>
      <c r="C9" s="111"/>
      <c r="D9" s="112"/>
      <c r="E9" s="106">
        <f t="shared" ref="E9:E33" si="6">C9+D9</f>
        <v>0</v>
      </c>
      <c r="F9" s="177">
        <f t="shared" si="0"/>
        <v>0</v>
      </c>
      <c r="G9" s="39">
        <v>45453.770000000004</v>
      </c>
      <c r="H9" s="39">
        <v>0</v>
      </c>
      <c r="I9" s="210">
        <f>G9+H9*1</f>
        <v>45453.770000000004</v>
      </c>
      <c r="J9" s="178">
        <f t="shared" si="1"/>
        <v>3.4544069989391406E-2</v>
      </c>
      <c r="K9" s="42"/>
      <c r="L9" s="39"/>
      <c r="M9" s="39"/>
      <c r="N9" s="210">
        <f>L9+M9*1</f>
        <v>0</v>
      </c>
      <c r="O9" s="178" t="e">
        <f t="shared" si="2"/>
        <v>#DIV/0!</v>
      </c>
      <c r="P9" s="42"/>
      <c r="Q9" s="39"/>
      <c r="R9" s="39"/>
      <c r="S9" s="210">
        <f>Q9+R9*1</f>
        <v>0</v>
      </c>
      <c r="T9" s="178">
        <f t="shared" ref="T9:T22" si="7">S9/$S$89</f>
        <v>0</v>
      </c>
      <c r="U9" s="42"/>
      <c r="V9" s="39"/>
      <c r="W9" s="39"/>
      <c r="X9" s="210">
        <f>V9+W9*1</f>
        <v>0</v>
      </c>
      <c r="Y9" s="178">
        <f t="shared" si="3"/>
        <v>0</v>
      </c>
      <c r="Z9" s="42"/>
      <c r="AA9" s="39"/>
      <c r="AB9" s="39"/>
      <c r="AC9" s="210">
        <f>AA9+AB9*1</f>
        <v>0</v>
      </c>
      <c r="AD9" s="178">
        <f t="shared" si="4"/>
        <v>0</v>
      </c>
      <c r="AE9" s="42"/>
      <c r="AF9" s="39"/>
      <c r="AG9" s="39"/>
      <c r="AH9" s="210">
        <f>AF9+AG9*1</f>
        <v>0</v>
      </c>
      <c r="AI9" s="178">
        <f t="shared" ref="AI9:AI33" si="8">AH9/$AH$89</f>
        <v>0</v>
      </c>
      <c r="AJ9" s="42"/>
      <c r="AK9" s="39"/>
      <c r="AL9" s="39"/>
      <c r="AM9" s="210">
        <f>AK9+AL9*1</f>
        <v>0</v>
      </c>
      <c r="AN9" s="178">
        <f t="shared" ref="AN9:AN72" si="9">AM9/$AM$89</f>
        <v>0</v>
      </c>
      <c r="AO9" s="42"/>
      <c r="AP9" s="39"/>
      <c r="AQ9" s="39"/>
      <c r="AR9" s="210">
        <f>AP9+AQ9*1</f>
        <v>0</v>
      </c>
      <c r="AS9" s="178">
        <f t="shared" ref="AS9:AS33" si="10">AR9/$AR$89</f>
        <v>0</v>
      </c>
      <c r="AT9" s="42"/>
      <c r="AU9" s="39"/>
      <c r="AV9" s="39"/>
      <c r="AW9" s="210">
        <f>AU9+AV9*1</f>
        <v>0</v>
      </c>
      <c r="AX9" s="178">
        <f t="shared" ref="AX9:AX33" si="11">AW9/$AR$89</f>
        <v>0</v>
      </c>
      <c r="AY9" s="42"/>
      <c r="AZ9" s="1447"/>
      <c r="BA9" s="1447"/>
      <c r="BB9" s="1567">
        <f>AZ9+BA9*1</f>
        <v>0</v>
      </c>
      <c r="BC9" s="1893">
        <f t="shared" ref="BC9:BC72" si="12">BB9/$BB$89</f>
        <v>0</v>
      </c>
      <c r="BD9" s="1449"/>
      <c r="BE9" s="39">
        <f t="shared" ref="BE9:BE33" si="13">G9+L9+Q9+V9+AA9+AF9+AK9+AP9+AU9</f>
        <v>45453.770000000004</v>
      </c>
      <c r="BF9" s="39">
        <f t="shared" ref="BF9:BF33" si="14">H9+M9+R9+W9+AB9+AG9+AL9+AQ9+AV9</f>
        <v>0</v>
      </c>
      <c r="BG9" s="210">
        <f>BE9+BF9*1</f>
        <v>45453.770000000004</v>
      </c>
      <c r="BH9" s="178" t="e">
        <f t="shared" si="5"/>
        <v>#DIV/0!</v>
      </c>
      <c r="BI9" s="42"/>
    </row>
    <row r="10" spans="1:61" s="2" customFormat="1" ht="14.4" customHeight="1" outlineLevel="2" x14ac:dyDescent="0.25">
      <c r="A10" s="238"/>
      <c r="B10" s="831" t="s">
        <v>72</v>
      </c>
      <c r="C10" s="111"/>
      <c r="D10" s="112"/>
      <c r="E10" s="106">
        <f t="shared" si="6"/>
        <v>0</v>
      </c>
      <c r="F10" s="177">
        <f t="shared" si="0"/>
        <v>0</v>
      </c>
      <c r="G10" s="39">
        <v>16201.25245</v>
      </c>
      <c r="H10" s="39">
        <v>0</v>
      </c>
      <c r="I10" s="210">
        <f t="shared" ref="I10:I33" si="15">G10+H10*1</f>
        <v>16201.25245</v>
      </c>
      <c r="J10" s="178">
        <f t="shared" si="1"/>
        <v>1.2312668422192459E-2</v>
      </c>
      <c r="K10" s="42"/>
      <c r="L10" s="39"/>
      <c r="M10" s="39"/>
      <c r="N10" s="210">
        <f t="shared" ref="N10:N33" si="16">L10+M10*1</f>
        <v>0</v>
      </c>
      <c r="O10" s="178" t="e">
        <f t="shared" si="2"/>
        <v>#DIV/0!</v>
      </c>
      <c r="P10" s="42"/>
      <c r="Q10" s="39"/>
      <c r="R10" s="39"/>
      <c r="S10" s="210">
        <f t="shared" ref="S10:S21" si="17">Q10+R10*1</f>
        <v>0</v>
      </c>
      <c r="T10" s="178">
        <f t="shared" si="7"/>
        <v>0</v>
      </c>
      <c r="U10" s="42"/>
      <c r="V10" s="39"/>
      <c r="W10" s="39"/>
      <c r="X10" s="210">
        <f t="shared" ref="X10:X21" si="18">V10+W10*1</f>
        <v>0</v>
      </c>
      <c r="Y10" s="178">
        <f t="shared" si="3"/>
        <v>0</v>
      </c>
      <c r="Z10" s="42"/>
      <c r="AA10" s="39"/>
      <c r="AB10" s="39"/>
      <c r="AC10" s="210">
        <f t="shared" ref="AC10:AC21" si="19">AA10+AB10*1</f>
        <v>0</v>
      </c>
      <c r="AD10" s="178">
        <f t="shared" si="4"/>
        <v>0</v>
      </c>
      <c r="AE10" s="42"/>
      <c r="AF10" s="39"/>
      <c r="AG10" s="39"/>
      <c r="AH10" s="210">
        <f t="shared" ref="AH10:AH26" si="20">AF10+AG10*1</f>
        <v>0</v>
      </c>
      <c r="AI10" s="178">
        <f t="shared" si="8"/>
        <v>0</v>
      </c>
      <c r="AJ10" s="42"/>
      <c r="AK10" s="39"/>
      <c r="AL10" s="39"/>
      <c r="AM10" s="210">
        <f t="shared" ref="AM10:AM33" si="21">AK10+AL10*1</f>
        <v>0</v>
      </c>
      <c r="AN10" s="178">
        <f t="shared" si="9"/>
        <v>0</v>
      </c>
      <c r="AO10" s="42"/>
      <c r="AP10" s="39"/>
      <c r="AQ10" s="39"/>
      <c r="AR10" s="210">
        <f t="shared" ref="AR10:AR33" si="22">AP10+AQ10*1</f>
        <v>0</v>
      </c>
      <c r="AS10" s="178">
        <f t="shared" si="10"/>
        <v>0</v>
      </c>
      <c r="AT10" s="42"/>
      <c r="AU10" s="39"/>
      <c r="AV10" s="39"/>
      <c r="AW10" s="210">
        <f t="shared" ref="AW10:AW33" si="23">AU10+AV10*1</f>
        <v>0</v>
      </c>
      <c r="AX10" s="178">
        <f t="shared" si="11"/>
        <v>0</v>
      </c>
      <c r="AY10" s="42"/>
      <c r="AZ10" s="1447"/>
      <c r="BA10" s="1447"/>
      <c r="BB10" s="1567">
        <f t="shared" ref="BB10:BB33" si="24">AZ10+BA10*1</f>
        <v>0</v>
      </c>
      <c r="BC10" s="1893">
        <f t="shared" si="12"/>
        <v>0</v>
      </c>
      <c r="BD10" s="1449"/>
      <c r="BE10" s="39">
        <f t="shared" si="13"/>
        <v>16201.25245</v>
      </c>
      <c r="BF10" s="39">
        <f t="shared" si="14"/>
        <v>0</v>
      </c>
      <c r="BG10" s="210">
        <f t="shared" ref="BG10:BG33" si="25">BE10+BF10*1</f>
        <v>16201.25245</v>
      </c>
      <c r="BH10" s="178" t="e">
        <f t="shared" si="5"/>
        <v>#DIV/0!</v>
      </c>
      <c r="BI10" s="42"/>
    </row>
    <row r="11" spans="1:61" s="2" customFormat="1" ht="14.4" customHeight="1" outlineLevel="2" x14ac:dyDescent="0.25">
      <c r="A11" s="238"/>
      <c r="B11" s="831" t="s">
        <v>69</v>
      </c>
      <c r="C11" s="111"/>
      <c r="D11" s="112"/>
      <c r="E11" s="106">
        <f t="shared" si="6"/>
        <v>0</v>
      </c>
      <c r="F11" s="177">
        <f t="shared" si="0"/>
        <v>0</v>
      </c>
      <c r="G11" s="39">
        <v>18278.320200000002</v>
      </c>
      <c r="H11" s="39">
        <v>0</v>
      </c>
      <c r="I11" s="210">
        <f t="shared" si="15"/>
        <v>18278.320200000002</v>
      </c>
      <c r="J11" s="178">
        <f t="shared" si="1"/>
        <v>1.3891203574033721E-2</v>
      </c>
      <c r="K11" s="42"/>
      <c r="L11" s="39"/>
      <c r="M11" s="39"/>
      <c r="N11" s="210">
        <f t="shared" si="16"/>
        <v>0</v>
      </c>
      <c r="O11" s="178" t="e">
        <f t="shared" si="2"/>
        <v>#DIV/0!</v>
      </c>
      <c r="P11" s="42"/>
      <c r="Q11" s="39"/>
      <c r="R11" s="39"/>
      <c r="S11" s="210">
        <f t="shared" si="17"/>
        <v>0</v>
      </c>
      <c r="T11" s="178">
        <f t="shared" si="7"/>
        <v>0</v>
      </c>
      <c r="U11" s="42"/>
      <c r="V11" s="39"/>
      <c r="W11" s="39"/>
      <c r="X11" s="210">
        <f t="shared" si="18"/>
        <v>0</v>
      </c>
      <c r="Y11" s="178">
        <f t="shared" si="3"/>
        <v>0</v>
      </c>
      <c r="Z11" s="42"/>
      <c r="AA11" s="39"/>
      <c r="AB11" s="39"/>
      <c r="AC11" s="210">
        <f t="shared" si="19"/>
        <v>0</v>
      </c>
      <c r="AD11" s="178">
        <f t="shared" si="4"/>
        <v>0</v>
      </c>
      <c r="AE11" s="42"/>
      <c r="AF11" s="39"/>
      <c r="AG11" s="39"/>
      <c r="AH11" s="210">
        <f t="shared" si="20"/>
        <v>0</v>
      </c>
      <c r="AI11" s="178">
        <f t="shared" si="8"/>
        <v>0</v>
      </c>
      <c r="AJ11" s="42"/>
      <c r="AK11" s="39"/>
      <c r="AL11" s="39"/>
      <c r="AM11" s="210">
        <f t="shared" si="21"/>
        <v>0</v>
      </c>
      <c r="AN11" s="178">
        <f t="shared" si="9"/>
        <v>0</v>
      </c>
      <c r="AO11" s="42"/>
      <c r="AP11" s="39"/>
      <c r="AQ11" s="39"/>
      <c r="AR11" s="210">
        <f t="shared" si="22"/>
        <v>0</v>
      </c>
      <c r="AS11" s="178">
        <f t="shared" si="10"/>
        <v>0</v>
      </c>
      <c r="AT11" s="42"/>
      <c r="AU11" s="39"/>
      <c r="AV11" s="39"/>
      <c r="AW11" s="210">
        <f t="shared" si="23"/>
        <v>0</v>
      </c>
      <c r="AX11" s="178">
        <f t="shared" si="11"/>
        <v>0</v>
      </c>
      <c r="AY11" s="42"/>
      <c r="AZ11" s="1447"/>
      <c r="BA11" s="1447"/>
      <c r="BB11" s="1567">
        <f t="shared" si="24"/>
        <v>0</v>
      </c>
      <c r="BC11" s="1893">
        <f t="shared" si="12"/>
        <v>0</v>
      </c>
      <c r="BD11" s="1449"/>
      <c r="BE11" s="39">
        <f t="shared" si="13"/>
        <v>18278.320200000002</v>
      </c>
      <c r="BF11" s="39">
        <f t="shared" si="14"/>
        <v>0</v>
      </c>
      <c r="BG11" s="210">
        <f t="shared" si="25"/>
        <v>18278.320200000002</v>
      </c>
      <c r="BH11" s="178" t="e">
        <f t="shared" si="5"/>
        <v>#DIV/0!</v>
      </c>
      <c r="BI11" s="42"/>
    </row>
    <row r="12" spans="1:61" s="2" customFormat="1" ht="13.8" outlineLevel="2" x14ac:dyDescent="0.25">
      <c r="A12" s="238"/>
      <c r="B12" s="831" t="s">
        <v>73</v>
      </c>
      <c r="C12" s="111"/>
      <c r="D12" s="112">
        <v>6900</v>
      </c>
      <c r="E12" s="106">
        <f t="shared" si="6"/>
        <v>6900</v>
      </c>
      <c r="F12" s="177">
        <f t="shared" si="0"/>
        <v>4.5723464486783928E-3</v>
      </c>
      <c r="G12" s="39">
        <v>15770.689999999999</v>
      </c>
      <c r="H12" s="39">
        <v>6000</v>
      </c>
      <c r="I12" s="210">
        <f t="shared" si="15"/>
        <v>21770.69</v>
      </c>
      <c r="J12" s="178">
        <f t="shared" si="1"/>
        <v>1.6545343523262063E-2</v>
      </c>
      <c r="K12" s="42"/>
      <c r="L12" s="39"/>
      <c r="M12" s="39"/>
      <c r="N12" s="210">
        <f t="shared" si="16"/>
        <v>0</v>
      </c>
      <c r="O12" s="178" t="e">
        <f t="shared" si="2"/>
        <v>#DIV/0!</v>
      </c>
      <c r="P12" s="42"/>
      <c r="Q12" s="39"/>
      <c r="R12" s="39"/>
      <c r="S12" s="210">
        <f t="shared" si="17"/>
        <v>0</v>
      </c>
      <c r="T12" s="178">
        <f t="shared" si="7"/>
        <v>0</v>
      </c>
      <c r="U12" s="42"/>
      <c r="V12" s="39"/>
      <c r="W12" s="39"/>
      <c r="X12" s="210">
        <f t="shared" si="18"/>
        <v>0</v>
      </c>
      <c r="Y12" s="178">
        <f t="shared" si="3"/>
        <v>0</v>
      </c>
      <c r="Z12" s="42"/>
      <c r="AA12" s="39"/>
      <c r="AB12" s="39"/>
      <c r="AC12" s="210">
        <f t="shared" si="19"/>
        <v>0</v>
      </c>
      <c r="AD12" s="178">
        <f t="shared" si="4"/>
        <v>0</v>
      </c>
      <c r="AE12" s="42"/>
      <c r="AF12" s="39"/>
      <c r="AG12" s="39"/>
      <c r="AH12" s="210">
        <f t="shared" si="20"/>
        <v>0</v>
      </c>
      <c r="AI12" s="178">
        <f t="shared" si="8"/>
        <v>0</v>
      </c>
      <c r="AJ12" s="42"/>
      <c r="AK12" s="39"/>
      <c r="AL12" s="39"/>
      <c r="AM12" s="210">
        <f t="shared" si="21"/>
        <v>0</v>
      </c>
      <c r="AN12" s="178">
        <f t="shared" si="9"/>
        <v>0</v>
      </c>
      <c r="AO12" s="42"/>
      <c r="AP12" s="39"/>
      <c r="AQ12" s="39"/>
      <c r="AR12" s="210">
        <f t="shared" si="22"/>
        <v>0</v>
      </c>
      <c r="AS12" s="178">
        <f t="shared" si="10"/>
        <v>0</v>
      </c>
      <c r="AT12" s="42"/>
      <c r="AU12" s="39"/>
      <c r="AV12" s="39"/>
      <c r="AW12" s="210">
        <f t="shared" si="23"/>
        <v>0</v>
      </c>
      <c r="AX12" s="178">
        <f t="shared" si="11"/>
        <v>0</v>
      </c>
      <c r="AY12" s="42"/>
      <c r="AZ12" s="1447"/>
      <c r="BA12" s="1447"/>
      <c r="BB12" s="1567">
        <f t="shared" si="24"/>
        <v>0</v>
      </c>
      <c r="BC12" s="1893">
        <f t="shared" si="12"/>
        <v>0</v>
      </c>
      <c r="BD12" s="1449"/>
      <c r="BE12" s="39">
        <f t="shared" si="13"/>
        <v>15770.689999999999</v>
      </c>
      <c r="BF12" s="39">
        <f t="shared" si="14"/>
        <v>6000</v>
      </c>
      <c r="BG12" s="210">
        <f t="shared" si="25"/>
        <v>21770.69</v>
      </c>
      <c r="BH12" s="178" t="e">
        <f t="shared" si="5"/>
        <v>#DIV/0!</v>
      </c>
      <c r="BI12" s="42"/>
    </row>
    <row r="13" spans="1:61" s="2" customFormat="1" ht="14.4" customHeight="1" outlineLevel="2" x14ac:dyDescent="0.25">
      <c r="A13" s="238"/>
      <c r="B13" s="31" t="s">
        <v>71</v>
      </c>
      <c r="C13" s="111">
        <v>3315</v>
      </c>
      <c r="D13" s="112"/>
      <c r="E13" s="106">
        <f t="shared" si="6"/>
        <v>3315</v>
      </c>
      <c r="F13" s="177">
        <f t="shared" si="0"/>
        <v>2.1967142720824453E-3</v>
      </c>
      <c r="G13" s="39">
        <v>3820.2274500000003</v>
      </c>
      <c r="H13" s="39">
        <v>0</v>
      </c>
      <c r="I13" s="210">
        <f t="shared" si="15"/>
        <v>3820.2274500000003</v>
      </c>
      <c r="J13" s="178">
        <f t="shared" si="1"/>
        <v>2.9033060273811005E-3</v>
      </c>
      <c r="K13" s="42"/>
      <c r="L13" s="39"/>
      <c r="M13" s="39"/>
      <c r="N13" s="210">
        <f t="shared" si="16"/>
        <v>0</v>
      </c>
      <c r="O13" s="178" t="e">
        <f t="shared" si="2"/>
        <v>#DIV/0!</v>
      </c>
      <c r="P13" s="42"/>
      <c r="Q13" s="39"/>
      <c r="R13" s="39"/>
      <c r="S13" s="210">
        <f t="shared" si="17"/>
        <v>0</v>
      </c>
      <c r="T13" s="178">
        <f t="shared" si="7"/>
        <v>0</v>
      </c>
      <c r="U13" s="42"/>
      <c r="V13" s="39"/>
      <c r="W13" s="39"/>
      <c r="X13" s="210">
        <f t="shared" si="18"/>
        <v>0</v>
      </c>
      <c r="Y13" s="178">
        <f t="shared" si="3"/>
        <v>0</v>
      </c>
      <c r="Z13" s="42"/>
      <c r="AA13" s="39"/>
      <c r="AB13" s="39"/>
      <c r="AC13" s="210">
        <f t="shared" si="19"/>
        <v>0</v>
      </c>
      <c r="AD13" s="178">
        <f t="shared" si="4"/>
        <v>0</v>
      </c>
      <c r="AE13" s="42"/>
      <c r="AF13" s="39"/>
      <c r="AG13" s="39"/>
      <c r="AH13" s="210">
        <f t="shared" si="20"/>
        <v>0</v>
      </c>
      <c r="AI13" s="178">
        <f t="shared" si="8"/>
        <v>0</v>
      </c>
      <c r="AJ13" s="42"/>
      <c r="AK13" s="39"/>
      <c r="AL13" s="39"/>
      <c r="AM13" s="210">
        <f t="shared" si="21"/>
        <v>0</v>
      </c>
      <c r="AN13" s="178">
        <f t="shared" si="9"/>
        <v>0</v>
      </c>
      <c r="AO13" s="42"/>
      <c r="AP13" s="39"/>
      <c r="AQ13" s="39"/>
      <c r="AR13" s="210">
        <f t="shared" si="22"/>
        <v>0</v>
      </c>
      <c r="AS13" s="178">
        <f t="shared" si="10"/>
        <v>0</v>
      </c>
      <c r="AT13" s="42"/>
      <c r="AU13" s="39"/>
      <c r="AV13" s="39"/>
      <c r="AW13" s="210">
        <f t="shared" si="23"/>
        <v>0</v>
      </c>
      <c r="AX13" s="178">
        <f t="shared" si="11"/>
        <v>0</v>
      </c>
      <c r="AY13" s="42"/>
      <c r="AZ13" s="1447"/>
      <c r="BA13" s="1447"/>
      <c r="BB13" s="1567">
        <f t="shared" si="24"/>
        <v>0</v>
      </c>
      <c r="BC13" s="1893">
        <f t="shared" si="12"/>
        <v>0</v>
      </c>
      <c r="BD13" s="1449"/>
      <c r="BE13" s="39">
        <f t="shared" si="13"/>
        <v>3820.2274500000003</v>
      </c>
      <c r="BF13" s="39">
        <f t="shared" si="14"/>
        <v>0</v>
      </c>
      <c r="BG13" s="210">
        <f t="shared" si="25"/>
        <v>3820.2274500000003</v>
      </c>
      <c r="BH13" s="178" t="e">
        <f t="shared" si="5"/>
        <v>#DIV/0!</v>
      </c>
      <c r="BI13" s="42"/>
    </row>
    <row r="14" spans="1:61" s="2" customFormat="1" ht="14.4" customHeight="1" outlineLevel="2" x14ac:dyDescent="0.25">
      <c r="A14" s="238"/>
      <c r="B14" s="31" t="s">
        <v>70</v>
      </c>
      <c r="C14" s="111">
        <v>3740</v>
      </c>
      <c r="D14" s="112"/>
      <c r="E14" s="106">
        <f t="shared" si="6"/>
        <v>3740</v>
      </c>
      <c r="F14" s="177">
        <f t="shared" si="0"/>
        <v>2.4783443069648103E-3</v>
      </c>
      <c r="G14" s="39">
        <v>4310.0002000000004</v>
      </c>
      <c r="H14" s="39">
        <v>0</v>
      </c>
      <c r="I14" s="210">
        <f t="shared" si="15"/>
        <v>4310.0002000000004</v>
      </c>
      <c r="J14" s="178">
        <f t="shared" si="1"/>
        <v>3.2755247488402161E-3</v>
      </c>
      <c r="K14" s="42"/>
      <c r="L14" s="39"/>
      <c r="M14" s="39"/>
      <c r="N14" s="210">
        <f t="shared" si="16"/>
        <v>0</v>
      </c>
      <c r="O14" s="178" t="e">
        <f t="shared" si="2"/>
        <v>#DIV/0!</v>
      </c>
      <c r="P14" s="42"/>
      <c r="Q14" s="39"/>
      <c r="R14" s="39"/>
      <c r="S14" s="210">
        <f t="shared" si="17"/>
        <v>0</v>
      </c>
      <c r="T14" s="178">
        <f t="shared" si="7"/>
        <v>0</v>
      </c>
      <c r="U14" s="42"/>
      <c r="V14" s="39"/>
      <c r="W14" s="39"/>
      <c r="X14" s="210">
        <f t="shared" si="18"/>
        <v>0</v>
      </c>
      <c r="Y14" s="178">
        <f t="shared" si="3"/>
        <v>0</v>
      </c>
      <c r="Z14" s="42"/>
      <c r="AA14" s="39"/>
      <c r="AB14" s="39"/>
      <c r="AC14" s="210">
        <f t="shared" si="19"/>
        <v>0</v>
      </c>
      <c r="AD14" s="178">
        <f t="shared" si="4"/>
        <v>0</v>
      </c>
      <c r="AE14" s="42"/>
      <c r="AF14" s="39"/>
      <c r="AG14" s="39"/>
      <c r="AH14" s="210">
        <f t="shared" si="20"/>
        <v>0</v>
      </c>
      <c r="AI14" s="178">
        <f t="shared" si="8"/>
        <v>0</v>
      </c>
      <c r="AJ14" s="42"/>
      <c r="AK14" s="39"/>
      <c r="AL14" s="39"/>
      <c r="AM14" s="210">
        <f t="shared" si="21"/>
        <v>0</v>
      </c>
      <c r="AN14" s="178">
        <f t="shared" si="9"/>
        <v>0</v>
      </c>
      <c r="AO14" s="42"/>
      <c r="AP14" s="39"/>
      <c r="AQ14" s="39"/>
      <c r="AR14" s="210">
        <f t="shared" si="22"/>
        <v>0</v>
      </c>
      <c r="AS14" s="178">
        <f t="shared" si="10"/>
        <v>0</v>
      </c>
      <c r="AT14" s="42"/>
      <c r="AU14" s="39"/>
      <c r="AV14" s="39"/>
      <c r="AW14" s="210">
        <f t="shared" si="23"/>
        <v>0</v>
      </c>
      <c r="AX14" s="178">
        <f t="shared" si="11"/>
        <v>0</v>
      </c>
      <c r="AY14" s="42"/>
      <c r="AZ14" s="1447"/>
      <c r="BA14" s="1447"/>
      <c r="BB14" s="1567">
        <f t="shared" si="24"/>
        <v>0</v>
      </c>
      <c r="BC14" s="1893">
        <f t="shared" si="12"/>
        <v>0</v>
      </c>
      <c r="BD14" s="1449"/>
      <c r="BE14" s="39">
        <f t="shared" si="13"/>
        <v>4310.0002000000004</v>
      </c>
      <c r="BF14" s="39">
        <f t="shared" si="14"/>
        <v>0</v>
      </c>
      <c r="BG14" s="210">
        <f t="shared" si="25"/>
        <v>4310.0002000000004</v>
      </c>
      <c r="BH14" s="178" t="e">
        <f t="shared" si="5"/>
        <v>#DIV/0!</v>
      </c>
      <c r="BI14" s="42"/>
    </row>
    <row r="15" spans="1:61" s="2" customFormat="1" ht="14.4" customHeight="1" outlineLevel="2" x14ac:dyDescent="0.25">
      <c r="A15" s="238"/>
      <c r="B15" s="7" t="s">
        <v>20</v>
      </c>
      <c r="C15" s="111"/>
      <c r="D15" s="113"/>
      <c r="E15" s="106">
        <f t="shared" si="6"/>
        <v>0</v>
      </c>
      <c r="F15" s="177">
        <f t="shared" si="0"/>
        <v>0</v>
      </c>
      <c r="G15" s="39">
        <v>0</v>
      </c>
      <c r="H15" s="39">
        <v>0</v>
      </c>
      <c r="I15" s="210">
        <f t="shared" si="15"/>
        <v>0</v>
      </c>
      <c r="J15" s="178">
        <f t="shared" si="1"/>
        <v>0</v>
      </c>
      <c r="K15" s="42"/>
      <c r="L15" s="39"/>
      <c r="M15" s="39"/>
      <c r="N15" s="210">
        <f t="shared" si="16"/>
        <v>0</v>
      </c>
      <c r="O15" s="178" t="e">
        <f t="shared" si="2"/>
        <v>#DIV/0!</v>
      </c>
      <c r="P15" s="42"/>
      <c r="Q15" s="39"/>
      <c r="R15" s="39"/>
      <c r="S15" s="210">
        <f t="shared" si="17"/>
        <v>0</v>
      </c>
      <c r="T15" s="178">
        <f t="shared" si="7"/>
        <v>0</v>
      </c>
      <c r="U15" s="42"/>
      <c r="V15" s="39"/>
      <c r="W15" s="39"/>
      <c r="X15" s="210">
        <f t="shared" si="18"/>
        <v>0</v>
      </c>
      <c r="Y15" s="178">
        <f t="shared" si="3"/>
        <v>0</v>
      </c>
      <c r="Z15" s="42"/>
      <c r="AA15" s="39"/>
      <c r="AB15" s="39"/>
      <c r="AC15" s="210">
        <f t="shared" si="19"/>
        <v>0</v>
      </c>
      <c r="AD15" s="178">
        <f t="shared" si="4"/>
        <v>0</v>
      </c>
      <c r="AE15" s="42"/>
      <c r="AF15" s="39"/>
      <c r="AG15" s="39"/>
      <c r="AH15" s="210">
        <f t="shared" si="20"/>
        <v>0</v>
      </c>
      <c r="AI15" s="178">
        <f t="shared" si="8"/>
        <v>0</v>
      </c>
      <c r="AJ15" s="42"/>
      <c r="AK15" s="39"/>
      <c r="AL15" s="39"/>
      <c r="AM15" s="210">
        <f t="shared" si="21"/>
        <v>0</v>
      </c>
      <c r="AN15" s="178">
        <f t="shared" si="9"/>
        <v>0</v>
      </c>
      <c r="AO15" s="42"/>
      <c r="AP15" s="39"/>
      <c r="AQ15" s="39"/>
      <c r="AR15" s="210">
        <f t="shared" si="22"/>
        <v>0</v>
      </c>
      <c r="AS15" s="178">
        <f t="shared" si="10"/>
        <v>0</v>
      </c>
      <c r="AT15" s="42"/>
      <c r="AU15" s="39"/>
      <c r="AV15" s="39"/>
      <c r="AW15" s="210">
        <f t="shared" si="23"/>
        <v>0</v>
      </c>
      <c r="AX15" s="178">
        <f t="shared" si="11"/>
        <v>0</v>
      </c>
      <c r="AY15" s="42"/>
      <c r="AZ15" s="1447"/>
      <c r="BA15" s="1447"/>
      <c r="BB15" s="1567">
        <f t="shared" si="24"/>
        <v>0</v>
      </c>
      <c r="BC15" s="1893">
        <f t="shared" si="12"/>
        <v>0</v>
      </c>
      <c r="BD15" s="1449"/>
      <c r="BE15" s="39">
        <f t="shared" si="13"/>
        <v>0</v>
      </c>
      <c r="BF15" s="39">
        <f t="shared" si="14"/>
        <v>0</v>
      </c>
      <c r="BG15" s="210">
        <f t="shared" si="25"/>
        <v>0</v>
      </c>
      <c r="BH15" s="178" t="e">
        <f t="shared" si="5"/>
        <v>#DIV/0!</v>
      </c>
      <c r="BI15" s="42"/>
    </row>
    <row r="16" spans="1:61" s="2" customFormat="1" ht="31.95" customHeight="1" outlineLevel="2" x14ac:dyDescent="0.25">
      <c r="A16" s="292"/>
      <c r="B16" s="7" t="s">
        <v>21</v>
      </c>
      <c r="C16" s="111"/>
      <c r="D16" s="113">
        <v>720705</v>
      </c>
      <c r="E16" s="106">
        <f t="shared" si="6"/>
        <v>720705</v>
      </c>
      <c r="F16" s="177">
        <f t="shared" si="0"/>
        <v>0.47758158656445815</v>
      </c>
      <c r="G16" s="39">
        <v>0</v>
      </c>
      <c r="H16" s="39">
        <v>415414.48</v>
      </c>
      <c r="I16" s="210">
        <f t="shared" si="15"/>
        <v>415414.48</v>
      </c>
      <c r="J16" s="178">
        <f t="shared" si="1"/>
        <v>0.31570773715198175</v>
      </c>
      <c r="K16" s="42"/>
      <c r="L16" s="39"/>
      <c r="M16" s="39"/>
      <c r="N16" s="210">
        <f t="shared" si="16"/>
        <v>0</v>
      </c>
      <c r="O16" s="178" t="e">
        <f t="shared" si="2"/>
        <v>#DIV/0!</v>
      </c>
      <c r="P16" s="42"/>
      <c r="Q16" s="39"/>
      <c r="R16" s="39"/>
      <c r="S16" s="210">
        <f t="shared" si="17"/>
        <v>0</v>
      </c>
      <c r="T16" s="178">
        <f t="shared" si="7"/>
        <v>0</v>
      </c>
      <c r="U16" s="42"/>
      <c r="V16" s="39"/>
      <c r="W16" s="610">
        <v>49954.5</v>
      </c>
      <c r="X16" s="210">
        <f t="shared" si="18"/>
        <v>49954.5</v>
      </c>
      <c r="Y16" s="178">
        <f t="shared" si="3"/>
        <v>0.36060583940319685</v>
      </c>
      <c r="Z16" s="42"/>
      <c r="AA16" s="39"/>
      <c r="AB16" s="39">
        <f>19975</f>
        <v>19975</v>
      </c>
      <c r="AC16" s="210">
        <f t="shared" si="19"/>
        <v>19975</v>
      </c>
      <c r="AD16" s="178">
        <f t="shared" si="4"/>
        <v>0.36970639667025484</v>
      </c>
      <c r="AE16" s="42" t="s">
        <v>857</v>
      </c>
      <c r="AF16" s="39"/>
      <c r="AG16" s="39"/>
      <c r="AH16" s="210">
        <f t="shared" si="20"/>
        <v>0</v>
      </c>
      <c r="AI16" s="178">
        <f t="shared" si="8"/>
        <v>0</v>
      </c>
      <c r="AJ16" s="42"/>
      <c r="AK16" s="39"/>
      <c r="AL16" s="39">
        <v>68900</v>
      </c>
      <c r="AM16" s="210">
        <f t="shared" si="21"/>
        <v>68900</v>
      </c>
      <c r="AN16" s="178">
        <f t="shared" si="9"/>
        <v>0.6912631721931104</v>
      </c>
      <c r="AO16" s="42" t="s">
        <v>906</v>
      </c>
      <c r="AP16" s="39"/>
      <c r="AQ16" s="39">
        <v>8000</v>
      </c>
      <c r="AR16" s="210">
        <f t="shared" si="22"/>
        <v>8000</v>
      </c>
      <c r="AS16" s="178">
        <f t="shared" si="10"/>
        <v>8.0195970080327098E-2</v>
      </c>
      <c r="AT16" s="42" t="s">
        <v>945</v>
      </c>
      <c r="AU16" s="39"/>
      <c r="AV16" s="39"/>
      <c r="AW16" s="210">
        <f t="shared" si="23"/>
        <v>0</v>
      </c>
      <c r="AX16" s="178">
        <f t="shared" si="11"/>
        <v>0</v>
      </c>
      <c r="AY16" s="42"/>
      <c r="AZ16" s="1447"/>
      <c r="BA16" s="1447"/>
      <c r="BB16" s="1567">
        <f t="shared" si="24"/>
        <v>0</v>
      </c>
      <c r="BC16" s="1893">
        <f t="shared" si="12"/>
        <v>0</v>
      </c>
      <c r="BD16" s="1449"/>
      <c r="BE16" s="39">
        <f t="shared" si="13"/>
        <v>0</v>
      </c>
      <c r="BF16" s="39">
        <f t="shared" si="14"/>
        <v>562243.98</v>
      </c>
      <c r="BG16" s="210">
        <f t="shared" si="25"/>
        <v>562243.98</v>
      </c>
      <c r="BH16" s="178" t="e">
        <f t="shared" si="5"/>
        <v>#DIV/0!</v>
      </c>
      <c r="BI16" s="42"/>
    </row>
    <row r="17" spans="1:61" s="2" customFormat="1" ht="14.4" customHeight="1" outlineLevel="2" x14ac:dyDescent="0.25">
      <c r="A17" s="238"/>
      <c r="B17" s="7" t="s">
        <v>22</v>
      </c>
      <c r="C17" s="111"/>
      <c r="D17" s="113"/>
      <c r="E17" s="106">
        <f t="shared" si="6"/>
        <v>0</v>
      </c>
      <c r="F17" s="177">
        <f t="shared" si="0"/>
        <v>0</v>
      </c>
      <c r="G17" s="39">
        <v>0</v>
      </c>
      <c r="H17" s="39">
        <v>0</v>
      </c>
      <c r="I17" s="210">
        <f t="shared" si="15"/>
        <v>0</v>
      </c>
      <c r="J17" s="178">
        <f t="shared" si="1"/>
        <v>0</v>
      </c>
      <c r="K17" s="42"/>
      <c r="L17" s="39"/>
      <c r="M17" s="39"/>
      <c r="N17" s="210">
        <f t="shared" si="16"/>
        <v>0</v>
      </c>
      <c r="O17" s="178" t="e">
        <f t="shared" si="2"/>
        <v>#DIV/0!</v>
      </c>
      <c r="P17" s="42"/>
      <c r="Q17" s="39"/>
      <c r="R17" s="39"/>
      <c r="S17" s="210">
        <f t="shared" si="17"/>
        <v>0</v>
      </c>
      <c r="T17" s="178">
        <f t="shared" si="7"/>
        <v>0</v>
      </c>
      <c r="U17" s="42"/>
      <c r="V17" s="39"/>
      <c r="W17" s="39"/>
      <c r="X17" s="210">
        <f t="shared" si="18"/>
        <v>0</v>
      </c>
      <c r="Y17" s="178">
        <f t="shared" si="3"/>
        <v>0</v>
      </c>
      <c r="Z17" s="42"/>
      <c r="AA17" s="39"/>
      <c r="AB17" s="39"/>
      <c r="AC17" s="210">
        <f t="shared" si="19"/>
        <v>0</v>
      </c>
      <c r="AD17" s="178">
        <f t="shared" si="4"/>
        <v>0</v>
      </c>
      <c r="AE17" s="42"/>
      <c r="AF17" s="39"/>
      <c r="AG17" s="39"/>
      <c r="AH17" s="210">
        <f t="shared" si="20"/>
        <v>0</v>
      </c>
      <c r="AI17" s="178">
        <f t="shared" si="8"/>
        <v>0</v>
      </c>
      <c r="AJ17" s="42"/>
      <c r="AK17" s="39"/>
      <c r="AL17" s="39"/>
      <c r="AM17" s="210">
        <f t="shared" si="21"/>
        <v>0</v>
      </c>
      <c r="AN17" s="178">
        <f t="shared" si="9"/>
        <v>0</v>
      </c>
      <c r="AO17" s="42"/>
      <c r="AP17" s="39"/>
      <c r="AQ17" s="39"/>
      <c r="AR17" s="210">
        <f t="shared" si="22"/>
        <v>0</v>
      </c>
      <c r="AS17" s="178">
        <f t="shared" si="10"/>
        <v>0</v>
      </c>
      <c r="AT17" s="42"/>
      <c r="AU17" s="39"/>
      <c r="AV17" s="39"/>
      <c r="AW17" s="210">
        <f t="shared" si="23"/>
        <v>0</v>
      </c>
      <c r="AX17" s="178">
        <f t="shared" si="11"/>
        <v>0</v>
      </c>
      <c r="AY17" s="42"/>
      <c r="AZ17" s="1447"/>
      <c r="BA17" s="1447"/>
      <c r="BB17" s="1567">
        <f t="shared" si="24"/>
        <v>0</v>
      </c>
      <c r="BC17" s="1893">
        <f t="shared" si="12"/>
        <v>0</v>
      </c>
      <c r="BD17" s="1449"/>
      <c r="BE17" s="39">
        <f t="shared" si="13"/>
        <v>0</v>
      </c>
      <c r="BF17" s="39">
        <f t="shared" si="14"/>
        <v>0</v>
      </c>
      <c r="BG17" s="210">
        <f t="shared" si="25"/>
        <v>0</v>
      </c>
      <c r="BH17" s="178" t="e">
        <f t="shared" si="5"/>
        <v>#DIV/0!</v>
      </c>
      <c r="BI17" s="42"/>
    </row>
    <row r="18" spans="1:61" s="2" customFormat="1" ht="43.2" customHeight="1" outlineLevel="2" x14ac:dyDescent="0.25">
      <c r="A18" s="238"/>
      <c r="B18" s="7" t="s">
        <v>0</v>
      </c>
      <c r="C18" s="111"/>
      <c r="D18" s="113"/>
      <c r="E18" s="106">
        <f t="shared" si="6"/>
        <v>0</v>
      </c>
      <c r="F18" s="177">
        <f t="shared" si="0"/>
        <v>0</v>
      </c>
      <c r="G18" s="39">
        <v>0</v>
      </c>
      <c r="H18" s="39">
        <v>0</v>
      </c>
      <c r="I18" s="210">
        <f t="shared" si="15"/>
        <v>0</v>
      </c>
      <c r="J18" s="178">
        <f t="shared" si="1"/>
        <v>0</v>
      </c>
      <c r="K18" s="42"/>
      <c r="L18" s="39"/>
      <c r="M18" s="39"/>
      <c r="N18" s="210">
        <f t="shared" si="16"/>
        <v>0</v>
      </c>
      <c r="O18" s="178" t="e">
        <f t="shared" si="2"/>
        <v>#DIV/0!</v>
      </c>
      <c r="P18" s="42"/>
      <c r="Q18" s="39"/>
      <c r="R18" s="39"/>
      <c r="S18" s="210">
        <f t="shared" si="17"/>
        <v>0</v>
      </c>
      <c r="T18" s="178">
        <f t="shared" si="7"/>
        <v>0</v>
      </c>
      <c r="U18" s="42"/>
      <c r="V18" s="39"/>
      <c r="W18" s="39"/>
      <c r="X18" s="210">
        <f t="shared" si="18"/>
        <v>0</v>
      </c>
      <c r="Y18" s="178">
        <f t="shared" si="3"/>
        <v>0</v>
      </c>
      <c r="Z18" s="42"/>
      <c r="AA18" s="39"/>
      <c r="AB18" s="39"/>
      <c r="AC18" s="210">
        <f t="shared" si="19"/>
        <v>0</v>
      </c>
      <c r="AD18" s="178">
        <f t="shared" si="4"/>
        <v>0</v>
      </c>
      <c r="AE18" s="42"/>
      <c r="AF18" s="39"/>
      <c r="AG18" s="39">
        <v>600</v>
      </c>
      <c r="AH18" s="210">
        <f t="shared" si="20"/>
        <v>600</v>
      </c>
      <c r="AI18" s="178">
        <f t="shared" si="8"/>
        <v>1.1274752450595631E-2</v>
      </c>
      <c r="AJ18" s="42" t="s">
        <v>887</v>
      </c>
      <c r="AK18" s="39"/>
      <c r="AL18" s="39"/>
      <c r="AM18" s="210">
        <f t="shared" si="21"/>
        <v>0</v>
      </c>
      <c r="AN18" s="178">
        <f t="shared" si="9"/>
        <v>0</v>
      </c>
      <c r="AO18" s="42"/>
      <c r="AP18" s="39"/>
      <c r="AQ18" s="39"/>
      <c r="AR18" s="210">
        <f t="shared" si="22"/>
        <v>0</v>
      </c>
      <c r="AS18" s="178">
        <f t="shared" si="10"/>
        <v>0</v>
      </c>
      <c r="AT18" s="42"/>
      <c r="AU18" s="39"/>
      <c r="AV18" s="39"/>
      <c r="AW18" s="210">
        <f t="shared" si="23"/>
        <v>0</v>
      </c>
      <c r="AX18" s="178">
        <f t="shared" si="11"/>
        <v>0</v>
      </c>
      <c r="AY18" s="42"/>
      <c r="AZ18" s="1447"/>
      <c r="BA18" s="1447"/>
      <c r="BB18" s="1567">
        <f t="shared" si="24"/>
        <v>0</v>
      </c>
      <c r="BC18" s="1893">
        <f t="shared" si="12"/>
        <v>0</v>
      </c>
      <c r="BD18" s="1449"/>
      <c r="BE18" s="39">
        <f t="shared" si="13"/>
        <v>0</v>
      </c>
      <c r="BF18" s="39">
        <f t="shared" si="14"/>
        <v>600</v>
      </c>
      <c r="BG18" s="210">
        <f t="shared" si="25"/>
        <v>600</v>
      </c>
      <c r="BH18" s="178" t="e">
        <f t="shared" si="5"/>
        <v>#DIV/0!</v>
      </c>
      <c r="BI18" s="42"/>
    </row>
    <row r="19" spans="1:61" s="2" customFormat="1" ht="33.6" customHeight="1" outlineLevel="2" x14ac:dyDescent="0.25">
      <c r="A19" s="238"/>
      <c r="B19" s="7" t="s">
        <v>53</v>
      </c>
      <c r="C19" s="114"/>
      <c r="D19" s="113"/>
      <c r="E19" s="106">
        <f t="shared" si="6"/>
        <v>0</v>
      </c>
      <c r="F19" s="177">
        <f t="shared" si="0"/>
        <v>0</v>
      </c>
      <c r="G19" s="39">
        <v>4830</v>
      </c>
      <c r="H19" s="39">
        <v>900</v>
      </c>
      <c r="I19" s="210">
        <f t="shared" si="15"/>
        <v>5730</v>
      </c>
      <c r="J19" s="178">
        <f t="shared" si="1"/>
        <v>4.3546997540404838E-3</v>
      </c>
      <c r="K19" s="42"/>
      <c r="L19" s="39"/>
      <c r="M19" s="39"/>
      <c r="N19" s="210">
        <f t="shared" si="16"/>
        <v>0</v>
      </c>
      <c r="O19" s="178" t="e">
        <f t="shared" si="2"/>
        <v>#DIV/0!</v>
      </c>
      <c r="P19" s="42"/>
      <c r="Q19" s="39"/>
      <c r="R19" s="39"/>
      <c r="S19" s="210">
        <f t="shared" si="17"/>
        <v>0</v>
      </c>
      <c r="T19" s="178">
        <f t="shared" si="7"/>
        <v>0</v>
      </c>
      <c r="U19" s="42"/>
      <c r="V19" s="39"/>
      <c r="W19" s="39"/>
      <c r="X19" s="210">
        <f t="shared" si="18"/>
        <v>0</v>
      </c>
      <c r="Y19" s="178">
        <f t="shared" si="3"/>
        <v>0</v>
      </c>
      <c r="Z19" s="42"/>
      <c r="AA19" s="39"/>
      <c r="AB19" s="39"/>
      <c r="AC19" s="210">
        <f t="shared" si="19"/>
        <v>0</v>
      </c>
      <c r="AD19" s="178">
        <f t="shared" si="4"/>
        <v>0</v>
      </c>
      <c r="AE19" s="42"/>
      <c r="AF19" s="39"/>
      <c r="AG19" s="39"/>
      <c r="AH19" s="210">
        <f t="shared" si="20"/>
        <v>0</v>
      </c>
      <c r="AI19" s="178">
        <f t="shared" si="8"/>
        <v>0</v>
      </c>
      <c r="AJ19" s="42"/>
      <c r="AK19" s="39"/>
      <c r="AL19" s="39"/>
      <c r="AM19" s="210">
        <f t="shared" si="21"/>
        <v>0</v>
      </c>
      <c r="AN19" s="178">
        <f t="shared" si="9"/>
        <v>0</v>
      </c>
      <c r="AO19" s="42"/>
      <c r="AP19" s="39"/>
      <c r="AQ19" s="39"/>
      <c r="AR19" s="210">
        <f t="shared" si="22"/>
        <v>0</v>
      </c>
      <c r="AS19" s="178">
        <f t="shared" si="10"/>
        <v>0</v>
      </c>
      <c r="AT19" s="42"/>
      <c r="AU19" s="39"/>
      <c r="AV19" s="39"/>
      <c r="AW19" s="210">
        <f t="shared" si="23"/>
        <v>0</v>
      </c>
      <c r="AX19" s="178">
        <f t="shared" si="11"/>
        <v>0</v>
      </c>
      <c r="AY19" s="42"/>
      <c r="AZ19" s="1447"/>
      <c r="BA19" s="1447"/>
      <c r="BB19" s="1567">
        <f t="shared" si="24"/>
        <v>0</v>
      </c>
      <c r="BC19" s="1893">
        <f t="shared" si="12"/>
        <v>0</v>
      </c>
      <c r="BD19" s="1449"/>
      <c r="BE19" s="39">
        <f t="shared" si="13"/>
        <v>4830</v>
      </c>
      <c r="BF19" s="39">
        <f t="shared" si="14"/>
        <v>900</v>
      </c>
      <c r="BG19" s="210">
        <f t="shared" si="25"/>
        <v>5730</v>
      </c>
      <c r="BH19" s="178" t="e">
        <f t="shared" si="5"/>
        <v>#DIV/0!</v>
      </c>
      <c r="BI19" s="42"/>
    </row>
    <row r="20" spans="1:61" s="2" customFormat="1" ht="14.4" customHeight="1" outlineLevel="2" x14ac:dyDescent="0.25">
      <c r="A20" s="238"/>
      <c r="B20" s="7" t="s">
        <v>57</v>
      </c>
      <c r="C20" s="114"/>
      <c r="D20" s="113"/>
      <c r="E20" s="106">
        <f t="shared" si="6"/>
        <v>0</v>
      </c>
      <c r="F20" s="177">
        <f t="shared" si="0"/>
        <v>0</v>
      </c>
      <c r="G20" s="39">
        <v>0</v>
      </c>
      <c r="H20" s="39">
        <v>0</v>
      </c>
      <c r="I20" s="210">
        <f t="shared" si="15"/>
        <v>0</v>
      </c>
      <c r="J20" s="178">
        <f t="shared" si="1"/>
        <v>0</v>
      </c>
      <c r="K20" s="42"/>
      <c r="L20" s="39"/>
      <c r="M20" s="39"/>
      <c r="N20" s="210">
        <f t="shared" si="16"/>
        <v>0</v>
      </c>
      <c r="O20" s="178" t="e">
        <f t="shared" si="2"/>
        <v>#DIV/0!</v>
      </c>
      <c r="P20" s="42"/>
      <c r="Q20" s="39"/>
      <c r="R20" s="39"/>
      <c r="S20" s="210">
        <f t="shared" si="17"/>
        <v>0</v>
      </c>
      <c r="T20" s="178">
        <f t="shared" si="7"/>
        <v>0</v>
      </c>
      <c r="U20" s="42"/>
      <c r="V20" s="39"/>
      <c r="W20" s="39"/>
      <c r="X20" s="210">
        <f t="shared" si="18"/>
        <v>0</v>
      </c>
      <c r="Y20" s="178">
        <f t="shared" si="3"/>
        <v>0</v>
      </c>
      <c r="Z20" s="42"/>
      <c r="AA20" s="39"/>
      <c r="AB20" s="39"/>
      <c r="AC20" s="210">
        <f t="shared" si="19"/>
        <v>0</v>
      </c>
      <c r="AD20" s="178">
        <f t="shared" si="4"/>
        <v>0</v>
      </c>
      <c r="AE20" s="42"/>
      <c r="AF20" s="39"/>
      <c r="AG20" s="39"/>
      <c r="AH20" s="210">
        <f t="shared" si="20"/>
        <v>0</v>
      </c>
      <c r="AI20" s="178">
        <f t="shared" si="8"/>
        <v>0</v>
      </c>
      <c r="AJ20" s="42"/>
      <c r="AK20" s="39"/>
      <c r="AL20" s="39"/>
      <c r="AM20" s="210">
        <f t="shared" si="21"/>
        <v>0</v>
      </c>
      <c r="AN20" s="178">
        <f t="shared" si="9"/>
        <v>0</v>
      </c>
      <c r="AO20" s="42"/>
      <c r="AP20" s="39"/>
      <c r="AQ20" s="39"/>
      <c r="AR20" s="210">
        <f t="shared" si="22"/>
        <v>0</v>
      </c>
      <c r="AS20" s="178">
        <f t="shared" si="10"/>
        <v>0</v>
      </c>
      <c r="AT20" s="42"/>
      <c r="AU20" s="39"/>
      <c r="AV20" s="39"/>
      <c r="AW20" s="210">
        <f t="shared" si="23"/>
        <v>0</v>
      </c>
      <c r="AX20" s="178">
        <f t="shared" si="11"/>
        <v>0</v>
      </c>
      <c r="AY20" s="42"/>
      <c r="AZ20" s="1447"/>
      <c r="BA20" s="1447"/>
      <c r="BB20" s="1567">
        <f t="shared" si="24"/>
        <v>0</v>
      </c>
      <c r="BC20" s="1893">
        <f t="shared" si="12"/>
        <v>0</v>
      </c>
      <c r="BD20" s="1449"/>
      <c r="BE20" s="39">
        <f t="shared" si="13"/>
        <v>0</v>
      </c>
      <c r="BF20" s="39">
        <f t="shared" si="14"/>
        <v>0</v>
      </c>
      <c r="BG20" s="210">
        <f t="shared" si="25"/>
        <v>0</v>
      </c>
      <c r="BH20" s="178" t="e">
        <f t="shared" si="5"/>
        <v>#DIV/0!</v>
      </c>
      <c r="BI20" s="42"/>
    </row>
    <row r="21" spans="1:61" s="2" customFormat="1" ht="70.95" customHeight="1" outlineLevel="2" x14ac:dyDescent="0.25">
      <c r="A21" s="238"/>
      <c r="B21" s="7" t="s">
        <v>622</v>
      </c>
      <c r="C21" s="114">
        <v>308972</v>
      </c>
      <c r="D21" s="113"/>
      <c r="E21" s="106">
        <f t="shared" si="6"/>
        <v>308972</v>
      </c>
      <c r="F21" s="177">
        <f t="shared" si="0"/>
        <v>0.20474304738276239</v>
      </c>
      <c r="G21" s="39">
        <v>284117.25</v>
      </c>
      <c r="H21" s="39">
        <v>2250</v>
      </c>
      <c r="I21" s="210">
        <f t="shared" si="15"/>
        <v>286367.25</v>
      </c>
      <c r="J21" s="178">
        <f t="shared" si="1"/>
        <v>0.21763410002447639</v>
      </c>
      <c r="K21" s="42"/>
      <c r="L21" s="39"/>
      <c r="M21" s="39"/>
      <c r="N21" s="210">
        <f t="shared" si="16"/>
        <v>0</v>
      </c>
      <c r="O21" s="178" t="e">
        <f t="shared" si="2"/>
        <v>#DIV/0!</v>
      </c>
      <c r="P21" s="42"/>
      <c r="Q21" s="39"/>
      <c r="R21" s="39"/>
      <c r="S21" s="210">
        <f t="shared" si="17"/>
        <v>0</v>
      </c>
      <c r="T21" s="178">
        <f t="shared" si="7"/>
        <v>0</v>
      </c>
      <c r="U21" s="42"/>
      <c r="V21" s="39"/>
      <c r="W21" s="39"/>
      <c r="X21" s="210">
        <f t="shared" si="18"/>
        <v>0</v>
      </c>
      <c r="Y21" s="178">
        <f t="shared" si="3"/>
        <v>0</v>
      </c>
      <c r="Z21" s="42"/>
      <c r="AA21" s="39"/>
      <c r="AB21" s="39"/>
      <c r="AC21" s="210">
        <f t="shared" si="19"/>
        <v>0</v>
      </c>
      <c r="AD21" s="178">
        <f t="shared" si="4"/>
        <v>0</v>
      </c>
      <c r="AE21" s="42"/>
      <c r="AF21" s="39"/>
      <c r="AG21" s="39"/>
      <c r="AH21" s="210">
        <f t="shared" si="20"/>
        <v>0</v>
      </c>
      <c r="AI21" s="178">
        <f t="shared" si="8"/>
        <v>0</v>
      </c>
      <c r="AJ21" s="42"/>
      <c r="AK21" s="39"/>
      <c r="AL21" s="39"/>
      <c r="AM21" s="210">
        <f t="shared" si="21"/>
        <v>0</v>
      </c>
      <c r="AN21" s="178">
        <f t="shared" si="9"/>
        <v>0</v>
      </c>
      <c r="AO21" s="42"/>
      <c r="AP21" s="39"/>
      <c r="AQ21" s="39"/>
      <c r="AR21" s="210">
        <f t="shared" si="22"/>
        <v>0</v>
      </c>
      <c r="AS21" s="178">
        <f t="shared" si="10"/>
        <v>0</v>
      </c>
      <c r="AT21" s="42"/>
      <c r="AU21" s="39"/>
      <c r="AV21" s="39"/>
      <c r="AW21" s="210">
        <f t="shared" si="23"/>
        <v>0</v>
      </c>
      <c r="AX21" s="178">
        <f t="shared" si="11"/>
        <v>0</v>
      </c>
      <c r="AY21" s="42"/>
      <c r="AZ21" s="1447"/>
      <c r="BA21" s="1447"/>
      <c r="BB21" s="1567">
        <f t="shared" si="24"/>
        <v>0</v>
      </c>
      <c r="BC21" s="1893">
        <f t="shared" si="12"/>
        <v>0</v>
      </c>
      <c r="BD21" s="1449"/>
      <c r="BE21" s="39">
        <f t="shared" si="13"/>
        <v>284117.25</v>
      </c>
      <c r="BF21" s="39">
        <f t="shared" si="14"/>
        <v>2250</v>
      </c>
      <c r="BG21" s="210">
        <f t="shared" si="25"/>
        <v>286367.25</v>
      </c>
      <c r="BH21" s="178" t="e">
        <f t="shared" si="5"/>
        <v>#DIV/0!</v>
      </c>
      <c r="BI21" s="42"/>
    </row>
    <row r="22" spans="1:61" s="2" customFormat="1" ht="70.95" customHeight="1" outlineLevel="2" x14ac:dyDescent="0.25">
      <c r="A22" s="238"/>
      <c r="B22" s="7" t="s">
        <v>621</v>
      </c>
      <c r="C22" s="114"/>
      <c r="D22" s="445"/>
      <c r="E22" s="446"/>
      <c r="F22" s="447"/>
      <c r="G22" s="452"/>
      <c r="H22" s="452"/>
      <c r="I22" s="453"/>
      <c r="J22" s="450"/>
      <c r="K22" s="456"/>
      <c r="L22" s="452"/>
      <c r="M22" s="452"/>
      <c r="N22" s="453"/>
      <c r="O22" s="450"/>
      <c r="P22" s="456"/>
      <c r="Q22" s="452"/>
      <c r="R22" s="452"/>
      <c r="S22" s="453"/>
      <c r="T22" s="178">
        <f t="shared" si="7"/>
        <v>0</v>
      </c>
      <c r="U22" s="456"/>
      <c r="V22" s="452"/>
      <c r="W22" s="452"/>
      <c r="X22" s="453"/>
      <c r="Y22" s="178">
        <f t="shared" si="3"/>
        <v>0</v>
      </c>
      <c r="Z22" s="456"/>
      <c r="AA22" s="452"/>
      <c r="AB22" s="452"/>
      <c r="AC22" s="453"/>
      <c r="AD22" s="178">
        <f t="shared" si="4"/>
        <v>0</v>
      </c>
      <c r="AE22" s="456"/>
      <c r="AF22" s="452">
        <f>16000*1.2</f>
        <v>19200</v>
      </c>
      <c r="AG22" s="452"/>
      <c r="AH22" s="210">
        <f t="shared" si="20"/>
        <v>19200</v>
      </c>
      <c r="AI22" s="178">
        <f t="shared" si="8"/>
        <v>0.36079207841906019</v>
      </c>
      <c r="AJ22" s="456" t="s">
        <v>888</v>
      </c>
      <c r="AK22" s="452">
        <v>1800</v>
      </c>
      <c r="AL22" s="452"/>
      <c r="AM22" s="210">
        <f t="shared" si="21"/>
        <v>1800</v>
      </c>
      <c r="AN22" s="178">
        <f t="shared" si="9"/>
        <v>1.8059124962954989E-2</v>
      </c>
      <c r="AO22" s="454" t="s">
        <v>924</v>
      </c>
      <c r="AP22" s="452"/>
      <c r="AQ22" s="452"/>
      <c r="AR22" s="210">
        <f t="shared" si="22"/>
        <v>0</v>
      </c>
      <c r="AS22" s="178">
        <f t="shared" si="10"/>
        <v>0</v>
      </c>
      <c r="AT22" s="454"/>
      <c r="AU22" s="452"/>
      <c r="AV22" s="452"/>
      <c r="AW22" s="210">
        <f t="shared" si="23"/>
        <v>0</v>
      </c>
      <c r="AX22" s="178">
        <f t="shared" si="11"/>
        <v>0</v>
      </c>
      <c r="AY22" s="454"/>
      <c r="AZ22" s="1447"/>
      <c r="BA22" s="1447"/>
      <c r="BB22" s="1567">
        <f t="shared" si="24"/>
        <v>0</v>
      </c>
      <c r="BC22" s="1893">
        <f t="shared" si="12"/>
        <v>0</v>
      </c>
      <c r="BD22" s="1596"/>
      <c r="BE22" s="39">
        <f t="shared" si="13"/>
        <v>21000</v>
      </c>
      <c r="BF22" s="39">
        <f t="shared" si="14"/>
        <v>0</v>
      </c>
      <c r="BG22" s="210">
        <f t="shared" si="25"/>
        <v>21000</v>
      </c>
      <c r="BH22" s="178" t="e">
        <f>BG22/$N$89</f>
        <v>#DIV/0!</v>
      </c>
      <c r="BI22" s="456"/>
    </row>
    <row r="23" spans="1:61" s="2" customFormat="1" ht="70.95" customHeight="1" outlineLevel="2" x14ac:dyDescent="0.25">
      <c r="A23" s="238"/>
      <c r="B23" s="471" t="s">
        <v>630</v>
      </c>
      <c r="C23" s="114"/>
      <c r="D23" s="445"/>
      <c r="E23" s="446"/>
      <c r="F23" s="447"/>
      <c r="G23" s="452"/>
      <c r="H23" s="452"/>
      <c r="I23" s="453"/>
      <c r="J23" s="450"/>
      <c r="K23" s="456"/>
      <c r="L23" s="452"/>
      <c r="M23" s="452"/>
      <c r="N23" s="453"/>
      <c r="O23" s="450"/>
      <c r="P23" s="456"/>
      <c r="Q23" s="452"/>
      <c r="R23" s="452"/>
      <c r="S23" s="453"/>
      <c r="T23" s="450"/>
      <c r="U23" s="456"/>
      <c r="V23" s="452"/>
      <c r="W23" s="452"/>
      <c r="X23" s="453"/>
      <c r="Y23" s="450"/>
      <c r="Z23" s="456"/>
      <c r="AA23" s="452"/>
      <c r="AB23" s="452"/>
      <c r="AC23" s="453"/>
      <c r="AD23" s="450"/>
      <c r="AE23" s="456"/>
      <c r="AF23" s="452"/>
      <c r="AG23" s="452"/>
      <c r="AH23" s="210">
        <f t="shared" si="20"/>
        <v>0</v>
      </c>
      <c r="AI23" s="178">
        <f t="shared" si="8"/>
        <v>0</v>
      </c>
      <c r="AJ23" s="456"/>
      <c r="AK23" s="452"/>
      <c r="AL23" s="452"/>
      <c r="AM23" s="210">
        <f t="shared" si="21"/>
        <v>0</v>
      </c>
      <c r="AN23" s="178">
        <f t="shared" si="9"/>
        <v>0</v>
      </c>
      <c r="AO23" s="456"/>
      <c r="AP23" s="452"/>
      <c r="AQ23" s="452"/>
      <c r="AR23" s="210">
        <f t="shared" si="22"/>
        <v>0</v>
      </c>
      <c r="AS23" s="178">
        <f t="shared" si="10"/>
        <v>0</v>
      </c>
      <c r="AT23" s="456"/>
      <c r="AU23" s="452"/>
      <c r="AV23" s="452"/>
      <c r="AW23" s="210">
        <f t="shared" si="23"/>
        <v>0</v>
      </c>
      <c r="AX23" s="178">
        <f t="shared" si="11"/>
        <v>0</v>
      </c>
      <c r="AY23" s="456"/>
      <c r="AZ23" s="1447"/>
      <c r="BA23" s="1447"/>
      <c r="BB23" s="1567">
        <f t="shared" si="24"/>
        <v>0</v>
      </c>
      <c r="BC23" s="1893">
        <f t="shared" si="12"/>
        <v>0</v>
      </c>
      <c r="BD23" s="1449"/>
      <c r="BE23" s="39">
        <f t="shared" si="13"/>
        <v>0</v>
      </c>
      <c r="BF23" s="39">
        <f t="shared" si="14"/>
        <v>0</v>
      </c>
      <c r="BG23" s="210">
        <f t="shared" si="25"/>
        <v>0</v>
      </c>
      <c r="BH23" s="178" t="e">
        <f>BG23/$N$89</f>
        <v>#DIV/0!</v>
      </c>
      <c r="BI23" s="456"/>
    </row>
    <row r="24" spans="1:61" s="2" customFormat="1" ht="54" customHeight="1" outlineLevel="2" x14ac:dyDescent="0.25">
      <c r="A24" s="238"/>
      <c r="B24" s="7" t="s">
        <v>23</v>
      </c>
      <c r="C24" s="114"/>
      <c r="D24" s="113"/>
      <c r="E24" s="106">
        <f t="shared" si="6"/>
        <v>0</v>
      </c>
      <c r="F24" s="177">
        <f t="shared" ref="F24:F33" si="26">E24/$E$89</f>
        <v>0</v>
      </c>
      <c r="G24" s="39">
        <v>195461.45199999999</v>
      </c>
      <c r="H24" s="39">
        <v>0</v>
      </c>
      <c r="I24" s="210">
        <f t="shared" si="15"/>
        <v>195461.45199999999</v>
      </c>
      <c r="J24" s="178">
        <f t="shared" ref="J24:J33" si="27">I24/$I$89</f>
        <v>0.14854728393521743</v>
      </c>
      <c r="K24" s="42"/>
      <c r="L24" s="39"/>
      <c r="M24" s="39"/>
      <c r="N24" s="210">
        <f t="shared" si="16"/>
        <v>0</v>
      </c>
      <c r="O24" s="178" t="e">
        <f t="shared" ref="O24:O33" si="28">N24/$N$89</f>
        <v>#DIV/0!</v>
      </c>
      <c r="P24" s="42"/>
      <c r="Q24" s="39"/>
      <c r="R24" s="39"/>
      <c r="S24" s="210">
        <f t="shared" ref="S24:S33" si="29">Q24+R24*1</f>
        <v>0</v>
      </c>
      <c r="T24" s="178">
        <f t="shared" ref="T24:T33" si="30">S24/$S$89</f>
        <v>0</v>
      </c>
      <c r="U24" s="42"/>
      <c r="V24" s="39"/>
      <c r="W24" s="39"/>
      <c r="X24" s="210">
        <f t="shared" ref="X24:X33" si="31">V24+W24*1</f>
        <v>0</v>
      </c>
      <c r="Y24" s="178">
        <f t="shared" ref="Y24:Y33" si="32">X24/$X$89</f>
        <v>0</v>
      </c>
      <c r="Z24" s="42"/>
      <c r="AA24" s="39"/>
      <c r="AB24" s="39"/>
      <c r="AC24" s="210">
        <f t="shared" ref="AC24:AC33" si="33">AA24+AB24*1</f>
        <v>0</v>
      </c>
      <c r="AD24" s="178">
        <f t="shared" ref="AD24:AD33" si="34">AC24/$AC$89</f>
        <v>0</v>
      </c>
      <c r="AE24" s="42"/>
      <c r="AF24" s="39">
        <f>12790.51*1.2+398.67*1.2</f>
        <v>15827.016</v>
      </c>
      <c r="AG24" s="39"/>
      <c r="AH24" s="210">
        <f t="shared" si="20"/>
        <v>15827.016</v>
      </c>
      <c r="AI24" s="178">
        <f t="shared" si="8"/>
        <v>0.29740947905269377</v>
      </c>
      <c r="AJ24" s="42"/>
      <c r="AK24" s="39"/>
      <c r="AL24" s="39"/>
      <c r="AM24" s="210">
        <f t="shared" si="21"/>
        <v>0</v>
      </c>
      <c r="AN24" s="178">
        <f t="shared" si="9"/>
        <v>0</v>
      </c>
      <c r="AO24" s="42"/>
      <c r="AP24" s="39"/>
      <c r="AQ24" s="39"/>
      <c r="AR24" s="210">
        <f t="shared" si="22"/>
        <v>0</v>
      </c>
      <c r="AS24" s="178">
        <f t="shared" si="10"/>
        <v>0</v>
      </c>
      <c r="AT24" s="42"/>
      <c r="AU24" s="39"/>
      <c r="AV24" s="39"/>
      <c r="AW24" s="210">
        <f t="shared" si="23"/>
        <v>0</v>
      </c>
      <c r="AX24" s="178">
        <f t="shared" si="11"/>
        <v>0</v>
      </c>
      <c r="AY24" s="42"/>
      <c r="AZ24" s="1447"/>
      <c r="BA24" s="1447"/>
      <c r="BB24" s="1567">
        <f t="shared" si="24"/>
        <v>0</v>
      </c>
      <c r="BC24" s="1893">
        <f t="shared" si="12"/>
        <v>0</v>
      </c>
      <c r="BD24" s="1449"/>
      <c r="BE24" s="39">
        <f t="shared" si="13"/>
        <v>211288.46799999999</v>
      </c>
      <c r="BF24" s="39">
        <f t="shared" si="14"/>
        <v>0</v>
      </c>
      <c r="BG24" s="210">
        <f t="shared" si="25"/>
        <v>211288.46799999999</v>
      </c>
      <c r="BH24" s="178" t="e">
        <f>BG24/$N$89</f>
        <v>#DIV/0!</v>
      </c>
      <c r="BI24" s="42"/>
    </row>
    <row r="25" spans="1:61" s="2" customFormat="1" ht="39" customHeight="1" outlineLevel="2" x14ac:dyDescent="0.25">
      <c r="A25" s="238"/>
      <c r="B25" s="7" t="s">
        <v>24</v>
      </c>
      <c r="C25" s="114">
        <v>40000</v>
      </c>
      <c r="D25" s="113"/>
      <c r="E25" s="106">
        <f t="shared" si="6"/>
        <v>40000</v>
      </c>
      <c r="F25" s="177">
        <f t="shared" si="26"/>
        <v>2.6506356224222569E-2</v>
      </c>
      <c r="G25" s="39">
        <v>9781.2839999999997</v>
      </c>
      <c r="H25" s="39">
        <v>0</v>
      </c>
      <c r="I25" s="210">
        <f t="shared" si="15"/>
        <v>9781.2839999999997</v>
      </c>
      <c r="J25" s="178">
        <f t="shared" si="27"/>
        <v>7.433604717102988E-3</v>
      </c>
      <c r="K25" s="42"/>
      <c r="L25" s="39"/>
      <c r="M25" s="39"/>
      <c r="N25" s="210">
        <f t="shared" si="16"/>
        <v>0</v>
      </c>
      <c r="O25" s="178" t="e">
        <f t="shared" si="28"/>
        <v>#DIV/0!</v>
      </c>
      <c r="P25" s="42"/>
      <c r="Q25" s="39"/>
      <c r="R25" s="39">
        <v>1891</v>
      </c>
      <c r="S25" s="210">
        <f t="shared" si="29"/>
        <v>1891</v>
      </c>
      <c r="T25" s="178">
        <f t="shared" si="30"/>
        <v>5.3664911106517305E-2</v>
      </c>
      <c r="U25" s="42"/>
      <c r="V25" s="39"/>
      <c r="W25" s="39">
        <v>1000</v>
      </c>
      <c r="X25" s="210">
        <f t="shared" si="31"/>
        <v>1000</v>
      </c>
      <c r="Y25" s="178">
        <f t="shared" si="32"/>
        <v>7.2186857921347795E-3</v>
      </c>
      <c r="Z25" s="42"/>
      <c r="AA25" s="39"/>
      <c r="AB25" s="39"/>
      <c r="AC25" s="210">
        <f t="shared" si="33"/>
        <v>0</v>
      </c>
      <c r="AD25" s="178">
        <f t="shared" si="34"/>
        <v>0</v>
      </c>
      <c r="AE25" s="42"/>
      <c r="AF25" s="39"/>
      <c r="AG25" s="39">
        <v>862</v>
      </c>
      <c r="AH25" s="210">
        <f t="shared" si="20"/>
        <v>862</v>
      </c>
      <c r="AI25" s="178">
        <f t="shared" si="8"/>
        <v>1.6198061020689054E-2</v>
      </c>
      <c r="AJ25" s="42"/>
      <c r="AK25" s="39"/>
      <c r="AL25" s="39"/>
      <c r="AM25" s="210">
        <f t="shared" si="21"/>
        <v>0</v>
      </c>
      <c r="AN25" s="178">
        <f t="shared" si="9"/>
        <v>0</v>
      </c>
      <c r="AO25" s="42"/>
      <c r="AP25" s="39">
        <f>46058.46*1.2</f>
        <v>55270.151999999995</v>
      </c>
      <c r="AQ25" s="39">
        <v>4200</v>
      </c>
      <c r="AR25" s="210">
        <f t="shared" si="22"/>
        <v>59470.151999999995</v>
      </c>
      <c r="AS25" s="178">
        <f t="shared" si="10"/>
        <v>0.59615831630806304</v>
      </c>
      <c r="AT25" s="42"/>
      <c r="AU25" s="39"/>
      <c r="AV25" s="39"/>
      <c r="AW25" s="210">
        <f t="shared" si="23"/>
        <v>0</v>
      </c>
      <c r="AX25" s="178">
        <f t="shared" si="11"/>
        <v>0</v>
      </c>
      <c r="AY25" s="42"/>
      <c r="AZ25" s="1447"/>
      <c r="BA25" s="1447"/>
      <c r="BB25" s="1567">
        <f t="shared" si="24"/>
        <v>0</v>
      </c>
      <c r="BC25" s="1893">
        <f t="shared" si="12"/>
        <v>0</v>
      </c>
      <c r="BD25" s="1449"/>
      <c r="BE25" s="39">
        <f t="shared" si="13"/>
        <v>65051.435999999994</v>
      </c>
      <c r="BF25" s="39">
        <f t="shared" si="14"/>
        <v>7953</v>
      </c>
      <c r="BG25" s="210">
        <f t="shared" si="25"/>
        <v>73004.435999999987</v>
      </c>
      <c r="BH25" s="178" t="e">
        <f t="shared" ref="BH25:BH33" si="35">BG25/$N$89</f>
        <v>#DIV/0!</v>
      </c>
      <c r="BI25" s="42"/>
    </row>
    <row r="26" spans="1:61" s="2" customFormat="1" ht="39.6" customHeight="1" outlineLevel="2" x14ac:dyDescent="0.25">
      <c r="A26" s="238"/>
      <c r="B26" s="7" t="s">
        <v>45</v>
      </c>
      <c r="C26" s="114">
        <v>80000</v>
      </c>
      <c r="D26" s="113"/>
      <c r="E26" s="106">
        <f t="shared" si="6"/>
        <v>80000</v>
      </c>
      <c r="F26" s="177">
        <f t="shared" si="26"/>
        <v>5.3012712448445139E-2</v>
      </c>
      <c r="G26" s="39">
        <v>24116.423999999999</v>
      </c>
      <c r="H26" s="39">
        <v>0</v>
      </c>
      <c r="I26" s="210">
        <f t="shared" si="15"/>
        <v>24116.423999999999</v>
      </c>
      <c r="J26" s="178">
        <f t="shared" si="27"/>
        <v>1.8328060324805589E-2</v>
      </c>
      <c r="K26" s="42"/>
      <c r="L26" s="39"/>
      <c r="M26" s="39"/>
      <c r="N26" s="210">
        <f t="shared" si="16"/>
        <v>0</v>
      </c>
      <c r="O26" s="178" t="e">
        <f t="shared" si="28"/>
        <v>#DIV/0!</v>
      </c>
      <c r="P26" s="42"/>
      <c r="Q26" s="39"/>
      <c r="R26" s="39"/>
      <c r="S26" s="210">
        <f t="shared" si="29"/>
        <v>0</v>
      </c>
      <c r="T26" s="178">
        <f t="shared" si="30"/>
        <v>0</v>
      </c>
      <c r="U26" s="42"/>
      <c r="V26" s="39">
        <f>49198.68*1.2</f>
        <v>59038.415999999997</v>
      </c>
      <c r="W26" s="39"/>
      <c r="X26" s="210">
        <f t="shared" si="31"/>
        <v>59038.415999999997</v>
      </c>
      <c r="Y26" s="178">
        <f t="shared" si="32"/>
        <v>0.4261797747693426</v>
      </c>
      <c r="Z26" s="42"/>
      <c r="AA26" s="39">
        <f>28170*1.2</f>
        <v>33804</v>
      </c>
      <c r="AB26" s="39"/>
      <c r="AC26" s="210">
        <f t="shared" si="33"/>
        <v>33804</v>
      </c>
      <c r="AD26" s="178">
        <f t="shared" si="34"/>
        <v>0.62565982643510865</v>
      </c>
      <c r="AE26" s="42"/>
      <c r="AF26" s="39"/>
      <c r="AG26" s="39"/>
      <c r="AH26" s="210">
        <f t="shared" si="20"/>
        <v>0</v>
      </c>
      <c r="AI26" s="178">
        <f t="shared" si="8"/>
        <v>0</v>
      </c>
      <c r="AJ26" s="42"/>
      <c r="AK26" s="39">
        <f>15989.32*1.2</f>
        <v>19187.183999999997</v>
      </c>
      <c r="AL26" s="39"/>
      <c r="AM26" s="210">
        <f t="shared" si="21"/>
        <v>19187.183999999997</v>
      </c>
      <c r="AN26" s="178">
        <f t="shared" si="9"/>
        <v>0.19250208530178362</v>
      </c>
      <c r="AO26" s="42"/>
      <c r="AP26" s="39">
        <f>25204.57*1.2</f>
        <v>30245.483999999997</v>
      </c>
      <c r="AQ26" s="39"/>
      <c r="AR26" s="210">
        <f t="shared" si="22"/>
        <v>30245.483999999997</v>
      </c>
      <c r="AS26" s="178">
        <f t="shared" si="10"/>
        <v>0.30319574124112642</v>
      </c>
      <c r="AT26" s="42"/>
      <c r="AU26" s="39"/>
      <c r="AV26" s="39"/>
      <c r="AW26" s="210">
        <f t="shared" si="23"/>
        <v>0</v>
      </c>
      <c r="AX26" s="178">
        <f t="shared" si="11"/>
        <v>0</v>
      </c>
      <c r="AY26" s="42"/>
      <c r="AZ26" s="1887">
        <f>13668.06*1.2</f>
        <v>16401.671999999999</v>
      </c>
      <c r="BA26" s="1887"/>
      <c r="BB26" s="1888">
        <f t="shared" si="24"/>
        <v>16401.671999999999</v>
      </c>
      <c r="BC26" s="1923">
        <f t="shared" si="12"/>
        <v>1</v>
      </c>
      <c r="BD26" s="1965" t="s">
        <v>1553</v>
      </c>
      <c r="BE26" s="39">
        <f t="shared" si="13"/>
        <v>166391.508</v>
      </c>
      <c r="BF26" s="39">
        <f t="shared" si="14"/>
        <v>0</v>
      </c>
      <c r="BG26" s="210">
        <f t="shared" si="25"/>
        <v>166391.508</v>
      </c>
      <c r="BH26" s="178" t="e">
        <f t="shared" si="35"/>
        <v>#DIV/0!</v>
      </c>
      <c r="BI26" s="42"/>
    </row>
    <row r="27" spans="1:61" s="2" customFormat="1" ht="32.4" customHeight="1" outlineLevel="2" x14ac:dyDescent="0.25">
      <c r="A27" s="238"/>
      <c r="B27" s="7" t="s">
        <v>25</v>
      </c>
      <c r="C27" s="114"/>
      <c r="D27" s="113"/>
      <c r="E27" s="106">
        <f t="shared" si="6"/>
        <v>0</v>
      </c>
      <c r="F27" s="177">
        <f t="shared" si="26"/>
        <v>0</v>
      </c>
      <c r="G27" s="39">
        <v>4472.7240000000002</v>
      </c>
      <c r="H27" s="39">
        <v>0</v>
      </c>
      <c r="I27" s="210">
        <f t="shared" si="15"/>
        <v>4472.7240000000002</v>
      </c>
      <c r="J27" s="178">
        <f t="shared" si="27"/>
        <v>3.3991919899984241E-3</v>
      </c>
      <c r="K27" s="42"/>
      <c r="L27" s="39"/>
      <c r="M27" s="39"/>
      <c r="N27" s="210">
        <f t="shared" si="16"/>
        <v>0</v>
      </c>
      <c r="O27" s="178" t="e">
        <f t="shared" si="28"/>
        <v>#DIV/0!</v>
      </c>
      <c r="P27" s="42"/>
      <c r="Q27" s="39"/>
      <c r="R27" s="39"/>
      <c r="S27" s="210">
        <f t="shared" si="29"/>
        <v>0</v>
      </c>
      <c r="T27" s="178">
        <f t="shared" si="30"/>
        <v>0</v>
      </c>
      <c r="U27" s="42"/>
      <c r="V27" s="39"/>
      <c r="W27" s="39"/>
      <c r="X27" s="210">
        <f t="shared" si="31"/>
        <v>0</v>
      </c>
      <c r="Y27" s="178">
        <f t="shared" si="32"/>
        <v>0</v>
      </c>
      <c r="Z27" s="42"/>
      <c r="AA27" s="39"/>
      <c r="AB27" s="39"/>
      <c r="AC27" s="210">
        <f t="shared" si="33"/>
        <v>0</v>
      </c>
      <c r="AD27" s="178">
        <f t="shared" si="34"/>
        <v>0</v>
      </c>
      <c r="AE27" s="42"/>
      <c r="AF27" s="39"/>
      <c r="AG27" s="39"/>
      <c r="AH27" s="210">
        <f t="shared" ref="AH27:AH33" si="36">AF27+AG27*1</f>
        <v>0</v>
      </c>
      <c r="AI27" s="178">
        <f t="shared" si="8"/>
        <v>0</v>
      </c>
      <c r="AJ27" s="42"/>
      <c r="AK27" s="39"/>
      <c r="AL27" s="39"/>
      <c r="AM27" s="210">
        <f t="shared" si="21"/>
        <v>0</v>
      </c>
      <c r="AN27" s="178">
        <f t="shared" si="9"/>
        <v>0</v>
      </c>
      <c r="AO27" s="42"/>
      <c r="AP27" s="39"/>
      <c r="AQ27" s="39"/>
      <c r="AR27" s="210">
        <f t="shared" si="22"/>
        <v>0</v>
      </c>
      <c r="AS27" s="178">
        <f t="shared" si="10"/>
        <v>0</v>
      </c>
      <c r="AT27" s="42"/>
      <c r="AU27" s="39"/>
      <c r="AV27" s="39"/>
      <c r="AW27" s="210">
        <f t="shared" si="23"/>
        <v>0</v>
      </c>
      <c r="AX27" s="178">
        <f t="shared" si="11"/>
        <v>0</v>
      </c>
      <c r="AY27" s="42"/>
      <c r="AZ27" s="1447"/>
      <c r="BA27" s="1447"/>
      <c r="BB27" s="1567">
        <f t="shared" si="24"/>
        <v>0</v>
      </c>
      <c r="BC27" s="1893">
        <f t="shared" si="12"/>
        <v>0</v>
      </c>
      <c r="BD27" s="1449"/>
      <c r="BE27" s="39">
        <f t="shared" si="13"/>
        <v>4472.7240000000002</v>
      </c>
      <c r="BF27" s="39">
        <f t="shared" si="14"/>
        <v>0</v>
      </c>
      <c r="BG27" s="210">
        <f t="shared" si="25"/>
        <v>4472.7240000000002</v>
      </c>
      <c r="BH27" s="178" t="e">
        <f t="shared" si="35"/>
        <v>#DIV/0!</v>
      </c>
      <c r="BI27" s="42"/>
    </row>
    <row r="28" spans="1:61" s="226" customFormat="1" ht="51" customHeight="1" outlineLevel="2" x14ac:dyDescent="0.25">
      <c r="A28" s="238"/>
      <c r="B28" s="262" t="s">
        <v>52</v>
      </c>
      <c r="C28" s="114">
        <v>40035</v>
      </c>
      <c r="D28" s="113"/>
      <c r="E28" s="106">
        <f t="shared" si="6"/>
        <v>40035</v>
      </c>
      <c r="F28" s="177">
        <f t="shared" si="26"/>
        <v>2.6529549285918764E-2</v>
      </c>
      <c r="G28" s="39">
        <v>640.19999999999993</v>
      </c>
      <c r="H28" s="39">
        <v>977</v>
      </c>
      <c r="I28" s="210">
        <f t="shared" si="15"/>
        <v>1617.1999999999998</v>
      </c>
      <c r="J28" s="178">
        <f t="shared" si="27"/>
        <v>1.2290437071962076E-3</v>
      </c>
      <c r="K28" s="42"/>
      <c r="L28" s="39"/>
      <c r="M28" s="39"/>
      <c r="N28" s="210">
        <f t="shared" si="16"/>
        <v>0</v>
      </c>
      <c r="O28" s="178" t="e">
        <f t="shared" si="28"/>
        <v>#DIV/0!</v>
      </c>
      <c r="P28" s="42"/>
      <c r="Q28" s="39"/>
      <c r="R28" s="39"/>
      <c r="S28" s="210">
        <f t="shared" si="29"/>
        <v>0</v>
      </c>
      <c r="T28" s="178">
        <f t="shared" si="30"/>
        <v>0</v>
      </c>
      <c r="U28" s="42"/>
      <c r="V28" s="39"/>
      <c r="W28" s="39"/>
      <c r="X28" s="210">
        <f t="shared" si="31"/>
        <v>0</v>
      </c>
      <c r="Y28" s="178">
        <f t="shared" si="32"/>
        <v>0</v>
      </c>
      <c r="Z28" s="261"/>
      <c r="AA28" s="39">
        <f>86</f>
        <v>86</v>
      </c>
      <c r="AB28" s="39"/>
      <c r="AC28" s="210">
        <f t="shared" si="33"/>
        <v>86</v>
      </c>
      <c r="AD28" s="178">
        <f t="shared" si="34"/>
        <v>1.5917271646378932E-3</v>
      </c>
      <c r="AE28" s="261" t="s">
        <v>834</v>
      </c>
      <c r="AF28" s="39"/>
      <c r="AG28" s="39"/>
      <c r="AH28" s="210">
        <f t="shared" si="36"/>
        <v>0</v>
      </c>
      <c r="AI28" s="178">
        <f t="shared" si="8"/>
        <v>0</v>
      </c>
      <c r="AJ28" s="261"/>
      <c r="AK28" s="39">
        <f>127.68*1.2</f>
        <v>153.21600000000001</v>
      </c>
      <c r="AL28" s="39"/>
      <c r="AM28" s="210">
        <f t="shared" si="21"/>
        <v>153.21600000000001</v>
      </c>
      <c r="AN28" s="178">
        <f t="shared" si="9"/>
        <v>1.5371927168467286E-3</v>
      </c>
      <c r="AO28" s="261" t="s">
        <v>923</v>
      </c>
      <c r="AP28" s="39"/>
      <c r="AQ28" s="39"/>
      <c r="AR28" s="210">
        <f t="shared" si="22"/>
        <v>0</v>
      </c>
      <c r="AS28" s="178">
        <f t="shared" si="10"/>
        <v>0</v>
      </c>
      <c r="AT28" s="261"/>
      <c r="AU28" s="39"/>
      <c r="AV28" s="39"/>
      <c r="AW28" s="210">
        <f t="shared" si="23"/>
        <v>0</v>
      </c>
      <c r="AX28" s="178">
        <f t="shared" si="11"/>
        <v>0</v>
      </c>
      <c r="AY28" s="261"/>
      <c r="AZ28" s="1447"/>
      <c r="BA28" s="1447"/>
      <c r="BB28" s="1567">
        <f t="shared" si="24"/>
        <v>0</v>
      </c>
      <c r="BC28" s="1893">
        <f t="shared" si="12"/>
        <v>0</v>
      </c>
      <c r="BD28" s="1596"/>
      <c r="BE28" s="39">
        <f t="shared" si="13"/>
        <v>879.41599999999994</v>
      </c>
      <c r="BF28" s="39">
        <f t="shared" si="14"/>
        <v>977</v>
      </c>
      <c r="BG28" s="210">
        <f t="shared" si="25"/>
        <v>1856.4159999999999</v>
      </c>
      <c r="BH28" s="178" t="e">
        <f t="shared" si="35"/>
        <v>#DIV/0!</v>
      </c>
      <c r="BI28" s="42"/>
    </row>
    <row r="29" spans="1:61" s="2" customFormat="1" ht="61.2" customHeight="1" outlineLevel="2" x14ac:dyDescent="0.25">
      <c r="A29" s="238"/>
      <c r="B29" s="7" t="s">
        <v>31</v>
      </c>
      <c r="C29" s="114"/>
      <c r="D29" s="113">
        <v>50485</v>
      </c>
      <c r="E29" s="106">
        <f t="shared" si="6"/>
        <v>50485</v>
      </c>
      <c r="F29" s="178">
        <f t="shared" si="26"/>
        <v>3.3454334849496913E-2</v>
      </c>
      <c r="G29" s="39">
        <v>24170</v>
      </c>
      <c r="H29" s="39">
        <v>37500</v>
      </c>
      <c r="I29" s="210">
        <f t="shared" si="15"/>
        <v>61670</v>
      </c>
      <c r="J29" s="178">
        <f t="shared" si="27"/>
        <v>4.6868121087552644E-2</v>
      </c>
      <c r="K29" s="79"/>
      <c r="L29" s="39"/>
      <c r="M29" s="39"/>
      <c r="N29" s="210">
        <f t="shared" si="16"/>
        <v>0</v>
      </c>
      <c r="O29" s="178" t="e">
        <f t="shared" si="28"/>
        <v>#DIV/0!</v>
      </c>
      <c r="P29" s="79"/>
      <c r="Q29" s="39">
        <v>600</v>
      </c>
      <c r="R29" s="39">
        <v>16200</v>
      </c>
      <c r="S29" s="210">
        <f t="shared" si="29"/>
        <v>16800</v>
      </c>
      <c r="T29" s="178">
        <f t="shared" si="30"/>
        <v>0.47676917323611356</v>
      </c>
      <c r="U29" s="79"/>
      <c r="V29" s="39"/>
      <c r="W29" s="39">
        <v>7800</v>
      </c>
      <c r="X29" s="210">
        <f t="shared" si="31"/>
        <v>7800</v>
      </c>
      <c r="Y29" s="178">
        <f t="shared" si="32"/>
        <v>5.6305749178651276E-2</v>
      </c>
      <c r="Z29" s="389" t="s">
        <v>817</v>
      </c>
      <c r="AA29" s="39"/>
      <c r="AB29" s="39"/>
      <c r="AC29" s="210">
        <f t="shared" si="33"/>
        <v>0</v>
      </c>
      <c r="AD29" s="178">
        <f t="shared" si="34"/>
        <v>0</v>
      </c>
      <c r="AE29" s="389"/>
      <c r="AF29" s="39"/>
      <c r="AG29" s="39">
        <v>3600</v>
      </c>
      <c r="AH29" s="210">
        <f t="shared" si="36"/>
        <v>3600</v>
      </c>
      <c r="AI29" s="178">
        <f t="shared" si="8"/>
        <v>6.7648514703573789E-2</v>
      </c>
      <c r="AJ29" s="389"/>
      <c r="AK29" s="39"/>
      <c r="AL29" s="39"/>
      <c r="AM29" s="210">
        <f t="shared" si="21"/>
        <v>0</v>
      </c>
      <c r="AN29" s="178">
        <f t="shared" si="9"/>
        <v>0</v>
      </c>
      <c r="AO29" s="389"/>
      <c r="AP29" s="39"/>
      <c r="AQ29" s="39"/>
      <c r="AR29" s="210">
        <f t="shared" si="22"/>
        <v>0</v>
      </c>
      <c r="AS29" s="178">
        <f t="shared" si="10"/>
        <v>0</v>
      </c>
      <c r="AT29" s="389"/>
      <c r="AU29" s="39"/>
      <c r="AV29" s="39"/>
      <c r="AW29" s="210">
        <f t="shared" si="23"/>
        <v>0</v>
      </c>
      <c r="AX29" s="178">
        <f t="shared" si="11"/>
        <v>0</v>
      </c>
      <c r="AY29" s="389"/>
      <c r="AZ29" s="1447"/>
      <c r="BA29" s="1447"/>
      <c r="BB29" s="1567">
        <f t="shared" si="24"/>
        <v>0</v>
      </c>
      <c r="BC29" s="1893">
        <f t="shared" si="12"/>
        <v>0</v>
      </c>
      <c r="BD29" s="1958"/>
      <c r="BE29" s="39">
        <f t="shared" si="13"/>
        <v>24770</v>
      </c>
      <c r="BF29" s="39">
        <f t="shared" si="14"/>
        <v>65100</v>
      </c>
      <c r="BG29" s="210">
        <f t="shared" si="25"/>
        <v>89870</v>
      </c>
      <c r="BH29" s="178" t="e">
        <f t="shared" si="35"/>
        <v>#DIV/0!</v>
      </c>
      <c r="BI29" s="79"/>
    </row>
    <row r="30" spans="1:61" s="2" customFormat="1" ht="79.95" customHeight="1" outlineLevel="2" x14ac:dyDescent="0.25">
      <c r="A30" s="238"/>
      <c r="B30" s="7" t="s">
        <v>62</v>
      </c>
      <c r="C30" s="114"/>
      <c r="D30" s="113">
        <f>30291+5000</f>
        <v>35291</v>
      </c>
      <c r="E30" s="106">
        <f t="shared" si="6"/>
        <v>35291</v>
      </c>
      <c r="F30" s="178">
        <f t="shared" si="26"/>
        <v>2.3385895437725967E-2</v>
      </c>
      <c r="G30" s="39">
        <v>0</v>
      </c>
      <c r="H30" s="39">
        <v>14328</v>
      </c>
      <c r="I30" s="210">
        <f t="shared" si="15"/>
        <v>14328</v>
      </c>
      <c r="J30" s="178">
        <f t="shared" si="27"/>
        <v>1.0889029332616415E-2</v>
      </c>
      <c r="K30" s="79"/>
      <c r="L30" s="39"/>
      <c r="M30" s="39"/>
      <c r="N30" s="210">
        <f t="shared" si="16"/>
        <v>0</v>
      </c>
      <c r="O30" s="178" t="e">
        <f t="shared" si="28"/>
        <v>#DIV/0!</v>
      </c>
      <c r="P30" s="79"/>
      <c r="Q30" s="39"/>
      <c r="R30" s="39">
        <f>9560-520</f>
        <v>9040</v>
      </c>
      <c r="S30" s="210">
        <f t="shared" si="29"/>
        <v>9040</v>
      </c>
      <c r="T30" s="178">
        <f t="shared" si="30"/>
        <v>0.25654722178895634</v>
      </c>
      <c r="U30" s="79"/>
      <c r="V30" s="39"/>
      <c r="W30" s="39">
        <v>4160</v>
      </c>
      <c r="X30" s="210">
        <f t="shared" si="31"/>
        <v>4160</v>
      </c>
      <c r="Y30" s="178">
        <f t="shared" si="32"/>
        <v>3.0029732895280683E-2</v>
      </c>
      <c r="Z30" s="389" t="s">
        <v>816</v>
      </c>
      <c r="AA30" s="39"/>
      <c r="AB30" s="39"/>
      <c r="AC30" s="210">
        <f t="shared" si="33"/>
        <v>0</v>
      </c>
      <c r="AD30" s="178">
        <f t="shared" si="34"/>
        <v>0</v>
      </c>
      <c r="AE30" s="389"/>
      <c r="AF30" s="39"/>
      <c r="AG30" s="39">
        <f>3480+3300</f>
        <v>6780</v>
      </c>
      <c r="AH30" s="210">
        <f t="shared" si="36"/>
        <v>6780</v>
      </c>
      <c r="AI30" s="178">
        <f t="shared" si="8"/>
        <v>0.12740470269173063</v>
      </c>
      <c r="AJ30" s="389" t="s">
        <v>885</v>
      </c>
      <c r="AK30" s="39"/>
      <c r="AL30" s="39"/>
      <c r="AM30" s="210">
        <f t="shared" si="21"/>
        <v>0</v>
      </c>
      <c r="AN30" s="178">
        <f t="shared" si="9"/>
        <v>0</v>
      </c>
      <c r="AO30" s="389"/>
      <c r="AP30" s="39"/>
      <c r="AQ30" s="39">
        <v>2040</v>
      </c>
      <c r="AR30" s="210">
        <f t="shared" si="22"/>
        <v>2040</v>
      </c>
      <c r="AS30" s="178">
        <f t="shared" si="10"/>
        <v>2.0449972370483408E-2</v>
      </c>
      <c r="AT30" s="389" t="s">
        <v>944</v>
      </c>
      <c r="AU30" s="39"/>
      <c r="AV30" s="39"/>
      <c r="AW30" s="210">
        <f t="shared" si="23"/>
        <v>0</v>
      </c>
      <c r="AX30" s="178">
        <f t="shared" si="11"/>
        <v>0</v>
      </c>
      <c r="AY30" s="389"/>
      <c r="AZ30" s="1447"/>
      <c r="BA30" s="1447"/>
      <c r="BB30" s="1567">
        <f t="shared" si="24"/>
        <v>0</v>
      </c>
      <c r="BC30" s="1893">
        <f t="shared" si="12"/>
        <v>0</v>
      </c>
      <c r="BD30" s="1958"/>
      <c r="BE30" s="39">
        <f t="shared" si="13"/>
        <v>0</v>
      </c>
      <c r="BF30" s="39">
        <f t="shared" si="14"/>
        <v>36348</v>
      </c>
      <c r="BG30" s="210">
        <f t="shared" si="25"/>
        <v>36348</v>
      </c>
      <c r="BH30" s="178" t="e">
        <f t="shared" si="35"/>
        <v>#DIV/0!</v>
      </c>
      <c r="BI30" s="79"/>
    </row>
    <row r="31" spans="1:61" s="2" customFormat="1" ht="69" customHeight="1" outlineLevel="2" x14ac:dyDescent="0.25">
      <c r="A31" s="238"/>
      <c r="B31" s="7" t="s">
        <v>34</v>
      </c>
      <c r="C31" s="114">
        <f>8320+80000</f>
        <v>88320</v>
      </c>
      <c r="D31" s="113">
        <v>11040</v>
      </c>
      <c r="E31" s="106">
        <f t="shared" si="6"/>
        <v>99360</v>
      </c>
      <c r="F31" s="178">
        <f t="shared" si="26"/>
        <v>6.5841788860968864E-2</v>
      </c>
      <c r="G31" s="39">
        <v>5574.0599999999995</v>
      </c>
      <c r="H31" s="39">
        <v>9584.09</v>
      </c>
      <c r="I31" s="210">
        <f t="shared" si="15"/>
        <v>15158.15</v>
      </c>
      <c r="J31" s="178">
        <f t="shared" si="27"/>
        <v>1.1519928809198736E-2</v>
      </c>
      <c r="K31" s="79"/>
      <c r="L31" s="39"/>
      <c r="M31" s="39"/>
      <c r="N31" s="210">
        <f t="shared" si="16"/>
        <v>0</v>
      </c>
      <c r="O31" s="178" t="e">
        <f t="shared" si="28"/>
        <v>#DIV/0!</v>
      </c>
      <c r="P31" s="79"/>
      <c r="Q31" s="39"/>
      <c r="R31" s="39">
        <v>3000</v>
      </c>
      <c r="S31" s="210">
        <f t="shared" si="29"/>
        <v>3000</v>
      </c>
      <c r="T31" s="178">
        <f t="shared" si="30"/>
        <v>8.5137352363591712E-2</v>
      </c>
      <c r="U31" s="79"/>
      <c r="V31" s="39"/>
      <c r="W31" s="39">
        <v>6000</v>
      </c>
      <c r="X31" s="210">
        <f t="shared" si="31"/>
        <v>6000</v>
      </c>
      <c r="Y31" s="178">
        <f t="shared" si="32"/>
        <v>4.3312114752808675E-2</v>
      </c>
      <c r="Z31" s="389" t="s">
        <v>815</v>
      </c>
      <c r="AA31" s="39"/>
      <c r="AB31" s="39"/>
      <c r="AC31" s="210">
        <f t="shared" si="33"/>
        <v>0</v>
      </c>
      <c r="AD31" s="178">
        <f t="shared" si="34"/>
        <v>0</v>
      </c>
      <c r="AE31" s="389"/>
      <c r="AF31" s="39"/>
      <c r="AG31" s="39">
        <v>3663</v>
      </c>
      <c r="AH31" s="210">
        <f t="shared" si="36"/>
        <v>3663</v>
      </c>
      <c r="AI31" s="178">
        <f t="shared" si="8"/>
        <v>6.883236371088633E-2</v>
      </c>
      <c r="AJ31" s="389"/>
      <c r="AK31" s="39"/>
      <c r="AL31" s="39"/>
      <c r="AM31" s="210">
        <f t="shared" si="21"/>
        <v>0</v>
      </c>
      <c r="AN31" s="178">
        <f t="shared" si="9"/>
        <v>0</v>
      </c>
      <c r="AO31" s="389"/>
      <c r="AP31" s="39"/>
      <c r="AQ31" s="39"/>
      <c r="AR31" s="210">
        <f t="shared" si="22"/>
        <v>0</v>
      </c>
      <c r="AS31" s="178">
        <f t="shared" si="10"/>
        <v>0</v>
      </c>
      <c r="AT31" s="389"/>
      <c r="AU31" s="39"/>
      <c r="AV31" s="39"/>
      <c r="AW31" s="210">
        <f t="shared" si="23"/>
        <v>0</v>
      </c>
      <c r="AX31" s="178">
        <f t="shared" si="11"/>
        <v>0</v>
      </c>
      <c r="AY31" s="389"/>
      <c r="AZ31" s="1447"/>
      <c r="BA31" s="1447"/>
      <c r="BB31" s="1567">
        <f t="shared" si="24"/>
        <v>0</v>
      </c>
      <c r="BC31" s="1893">
        <f t="shared" si="12"/>
        <v>0</v>
      </c>
      <c r="BD31" s="1958"/>
      <c r="BE31" s="39">
        <f t="shared" si="13"/>
        <v>5574.0599999999995</v>
      </c>
      <c r="BF31" s="39">
        <f t="shared" si="14"/>
        <v>22247.09</v>
      </c>
      <c r="BG31" s="210">
        <f t="shared" si="25"/>
        <v>27821.15</v>
      </c>
      <c r="BH31" s="178" t="e">
        <f t="shared" si="35"/>
        <v>#DIV/0!</v>
      </c>
      <c r="BI31" s="79"/>
    </row>
    <row r="32" spans="1:61" s="2" customFormat="1" ht="14.4" customHeight="1" outlineLevel="2" x14ac:dyDescent="0.25">
      <c r="A32" s="238"/>
      <c r="B32" s="32" t="s">
        <v>2</v>
      </c>
      <c r="C32" s="115"/>
      <c r="D32" s="116"/>
      <c r="E32" s="106">
        <f t="shared" si="6"/>
        <v>0</v>
      </c>
      <c r="F32" s="178">
        <f t="shared" si="26"/>
        <v>0</v>
      </c>
      <c r="G32" s="39">
        <v>0</v>
      </c>
      <c r="H32" s="39">
        <v>0</v>
      </c>
      <c r="I32" s="210">
        <f t="shared" si="15"/>
        <v>0</v>
      </c>
      <c r="J32" s="178">
        <f t="shared" si="27"/>
        <v>0</v>
      </c>
      <c r="K32" s="79"/>
      <c r="L32" s="39"/>
      <c r="M32" s="39"/>
      <c r="N32" s="210">
        <f t="shared" si="16"/>
        <v>0</v>
      </c>
      <c r="O32" s="178" t="e">
        <f t="shared" si="28"/>
        <v>#DIV/0!</v>
      </c>
      <c r="P32" s="79"/>
      <c r="Q32" s="39"/>
      <c r="R32" s="39"/>
      <c r="S32" s="210">
        <f t="shared" si="29"/>
        <v>0</v>
      </c>
      <c r="T32" s="178">
        <f t="shared" si="30"/>
        <v>0</v>
      </c>
      <c r="U32" s="79"/>
      <c r="V32" s="39"/>
      <c r="W32" s="39"/>
      <c r="X32" s="210">
        <f t="shared" si="31"/>
        <v>0</v>
      </c>
      <c r="Y32" s="178">
        <f t="shared" si="32"/>
        <v>0</v>
      </c>
      <c r="Z32" s="389"/>
      <c r="AA32" s="39"/>
      <c r="AB32" s="39"/>
      <c r="AC32" s="210">
        <f t="shared" si="33"/>
        <v>0</v>
      </c>
      <c r="AD32" s="178">
        <f t="shared" si="34"/>
        <v>0</v>
      </c>
      <c r="AE32" s="389"/>
      <c r="AF32" s="39"/>
      <c r="AG32" s="39"/>
      <c r="AH32" s="210">
        <f t="shared" si="36"/>
        <v>0</v>
      </c>
      <c r="AI32" s="178">
        <f t="shared" si="8"/>
        <v>0</v>
      </c>
      <c r="AJ32" s="389"/>
      <c r="AK32" s="39"/>
      <c r="AL32" s="39"/>
      <c r="AM32" s="210">
        <f t="shared" si="21"/>
        <v>0</v>
      </c>
      <c r="AN32" s="178">
        <f t="shared" si="9"/>
        <v>0</v>
      </c>
      <c r="AO32" s="389"/>
      <c r="AP32" s="39"/>
      <c r="AQ32" s="39"/>
      <c r="AR32" s="210">
        <f t="shared" si="22"/>
        <v>0</v>
      </c>
      <c r="AS32" s="178">
        <f t="shared" si="10"/>
        <v>0</v>
      </c>
      <c r="AT32" s="389"/>
      <c r="AU32" s="39"/>
      <c r="AV32" s="39"/>
      <c r="AW32" s="210">
        <f t="shared" si="23"/>
        <v>0</v>
      </c>
      <c r="AX32" s="178">
        <f t="shared" si="11"/>
        <v>0</v>
      </c>
      <c r="AY32" s="389"/>
      <c r="AZ32" s="1447"/>
      <c r="BA32" s="1447"/>
      <c r="BB32" s="1567">
        <f t="shared" si="24"/>
        <v>0</v>
      </c>
      <c r="BC32" s="1893">
        <f t="shared" si="12"/>
        <v>0</v>
      </c>
      <c r="BD32" s="1958"/>
      <c r="BE32" s="39">
        <f t="shared" si="13"/>
        <v>0</v>
      </c>
      <c r="BF32" s="39">
        <f t="shared" si="14"/>
        <v>0</v>
      </c>
      <c r="BG32" s="210">
        <f t="shared" si="25"/>
        <v>0</v>
      </c>
      <c r="BH32" s="178" t="e">
        <f t="shared" si="35"/>
        <v>#DIV/0!</v>
      </c>
      <c r="BI32" s="79"/>
    </row>
    <row r="33" spans="1:61" s="2" customFormat="1" ht="31.95" customHeight="1" outlineLevel="2" thickBot="1" x14ac:dyDescent="0.3">
      <c r="A33" s="238"/>
      <c r="B33" s="32" t="s">
        <v>75</v>
      </c>
      <c r="C33" s="115"/>
      <c r="D33" s="116"/>
      <c r="E33" s="106">
        <f t="shared" si="6"/>
        <v>0</v>
      </c>
      <c r="F33" s="178">
        <f t="shared" si="26"/>
        <v>0</v>
      </c>
      <c r="G33" s="39">
        <v>0</v>
      </c>
      <c r="H33" s="39">
        <v>0</v>
      </c>
      <c r="I33" s="210">
        <f t="shared" si="15"/>
        <v>0</v>
      </c>
      <c r="J33" s="178">
        <f t="shared" si="27"/>
        <v>0</v>
      </c>
      <c r="K33" s="79"/>
      <c r="L33" s="39"/>
      <c r="M33" s="39"/>
      <c r="N33" s="210">
        <f t="shared" si="16"/>
        <v>0</v>
      </c>
      <c r="O33" s="178" t="e">
        <f t="shared" si="28"/>
        <v>#DIV/0!</v>
      </c>
      <c r="P33" s="79"/>
      <c r="Q33" s="39"/>
      <c r="R33" s="39"/>
      <c r="S33" s="210">
        <f t="shared" si="29"/>
        <v>0</v>
      </c>
      <c r="T33" s="178">
        <f t="shared" si="30"/>
        <v>0</v>
      </c>
      <c r="U33" s="79"/>
      <c r="V33" s="39"/>
      <c r="W33" s="39"/>
      <c r="X33" s="210">
        <f t="shared" si="31"/>
        <v>0</v>
      </c>
      <c r="Y33" s="178">
        <f t="shared" si="32"/>
        <v>0</v>
      </c>
      <c r="Z33" s="79"/>
      <c r="AA33" s="39"/>
      <c r="AB33" s="39"/>
      <c r="AC33" s="210">
        <f t="shared" si="33"/>
        <v>0</v>
      </c>
      <c r="AD33" s="178">
        <f t="shared" si="34"/>
        <v>0</v>
      </c>
      <c r="AE33" s="79"/>
      <c r="AF33" s="39"/>
      <c r="AG33" s="39"/>
      <c r="AH33" s="210">
        <f t="shared" si="36"/>
        <v>0</v>
      </c>
      <c r="AI33" s="178">
        <f t="shared" si="8"/>
        <v>0</v>
      </c>
      <c r="AJ33" s="79"/>
      <c r="AK33" s="39"/>
      <c r="AL33" s="39"/>
      <c r="AM33" s="210">
        <f t="shared" si="21"/>
        <v>0</v>
      </c>
      <c r="AN33" s="178">
        <f t="shared" si="9"/>
        <v>0</v>
      </c>
      <c r="AO33" s="79"/>
      <c r="AP33" s="39"/>
      <c r="AQ33" s="39"/>
      <c r="AR33" s="210">
        <f t="shared" si="22"/>
        <v>0</v>
      </c>
      <c r="AS33" s="178">
        <f t="shared" si="10"/>
        <v>0</v>
      </c>
      <c r="AT33" s="79"/>
      <c r="AU33" s="39"/>
      <c r="AV33" s="39"/>
      <c r="AW33" s="210">
        <f t="shared" si="23"/>
        <v>0</v>
      </c>
      <c r="AX33" s="178">
        <f t="shared" si="11"/>
        <v>0</v>
      </c>
      <c r="AY33" s="79"/>
      <c r="AZ33" s="1447"/>
      <c r="BA33" s="1447"/>
      <c r="BB33" s="1567">
        <f t="shared" si="24"/>
        <v>0</v>
      </c>
      <c r="BC33" s="1893">
        <f t="shared" si="12"/>
        <v>0</v>
      </c>
      <c r="BD33" s="1943"/>
      <c r="BE33" s="39">
        <f t="shared" si="13"/>
        <v>0</v>
      </c>
      <c r="BF33" s="39">
        <f t="shared" si="14"/>
        <v>0</v>
      </c>
      <c r="BG33" s="210">
        <f t="shared" si="25"/>
        <v>0</v>
      </c>
      <c r="BH33" s="178" t="e">
        <f t="shared" si="35"/>
        <v>#DIV/0!</v>
      </c>
      <c r="BI33" s="79"/>
    </row>
    <row r="34" spans="1:61" s="2" customFormat="1" ht="13.8" outlineLevel="2" x14ac:dyDescent="0.25">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39"/>
      <c r="AG34" s="39"/>
      <c r="AH34" s="48"/>
      <c r="AI34" s="48"/>
      <c r="AJ34" s="48"/>
      <c r="AK34" s="39"/>
      <c r="AL34" s="39"/>
      <c r="AM34" s="48"/>
      <c r="AN34" s="48">
        <f t="shared" si="9"/>
        <v>0</v>
      </c>
      <c r="AO34" s="48"/>
      <c r="AP34" s="39"/>
      <c r="AQ34" s="39"/>
      <c r="AR34" s="48"/>
      <c r="AS34" s="48">
        <f t="shared" ref="AS34:AS40" si="37">AR34/$AM$89</f>
        <v>0</v>
      </c>
      <c r="AT34" s="48"/>
      <c r="AU34" s="39"/>
      <c r="AV34" s="39"/>
      <c r="AW34" s="48"/>
      <c r="AX34" s="48">
        <f t="shared" ref="AX34:AX40" si="38">AW34/$AM$89</f>
        <v>0</v>
      </c>
      <c r="AY34" s="48"/>
      <c r="AZ34" s="1447"/>
      <c r="BA34" s="1447"/>
      <c r="BB34" s="1451"/>
      <c r="BC34" s="1451">
        <f t="shared" si="12"/>
        <v>0</v>
      </c>
      <c r="BD34" s="1451"/>
      <c r="BE34" s="39"/>
      <c r="BF34" s="39"/>
      <c r="BG34" s="48"/>
      <c r="BH34" s="48"/>
      <c r="BI34" s="48"/>
    </row>
    <row r="35" spans="1:61" s="88" customFormat="1" ht="13.8" outlineLevel="1" x14ac:dyDescent="0.25">
      <c r="A35" s="238"/>
      <c r="B35" s="89" t="s">
        <v>80</v>
      </c>
      <c r="C35" s="90">
        <f>C36</f>
        <v>1000</v>
      </c>
      <c r="D35" s="90">
        <f>D36</f>
        <v>0</v>
      </c>
      <c r="E35" s="91">
        <f>E36</f>
        <v>1000</v>
      </c>
      <c r="F35" s="165">
        <f>E35/$E$89</f>
        <v>6.6265890560556417E-4</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90">
        <f>V36</f>
        <v>0</v>
      </c>
      <c r="W35" s="90">
        <f>W36</f>
        <v>0</v>
      </c>
      <c r="X35" s="91">
        <f>X36</f>
        <v>0</v>
      </c>
      <c r="Y35" s="91"/>
      <c r="Z35" s="91"/>
      <c r="AA35" s="90">
        <f>AA36</f>
        <v>0</v>
      </c>
      <c r="AB35" s="90">
        <f>AB36</f>
        <v>0</v>
      </c>
      <c r="AC35" s="91">
        <f>AC36</f>
        <v>0</v>
      </c>
      <c r="AD35" s="91"/>
      <c r="AE35" s="91"/>
      <c r="AF35" s="90">
        <f>AF36</f>
        <v>0</v>
      </c>
      <c r="AG35" s="90">
        <f>AG36</f>
        <v>0</v>
      </c>
      <c r="AH35" s="91">
        <f>AH36</f>
        <v>0</v>
      </c>
      <c r="AI35" s="91"/>
      <c r="AJ35" s="91"/>
      <c r="AK35" s="90">
        <f>AK36</f>
        <v>0</v>
      </c>
      <c r="AL35" s="90">
        <f>AL36</f>
        <v>0</v>
      </c>
      <c r="AM35" s="91">
        <f>AM36</f>
        <v>0</v>
      </c>
      <c r="AN35" s="91">
        <f t="shared" si="9"/>
        <v>0</v>
      </c>
      <c r="AO35" s="91"/>
      <c r="AP35" s="90">
        <f>AP36</f>
        <v>0</v>
      </c>
      <c r="AQ35" s="90">
        <f>AQ36</f>
        <v>0</v>
      </c>
      <c r="AR35" s="91">
        <f>AR36</f>
        <v>0</v>
      </c>
      <c r="AS35" s="91">
        <f t="shared" si="37"/>
        <v>0</v>
      </c>
      <c r="AT35" s="91"/>
      <c r="AU35" s="90">
        <f>AU36</f>
        <v>0</v>
      </c>
      <c r="AV35" s="90">
        <f>AV36</f>
        <v>0</v>
      </c>
      <c r="AW35" s="91">
        <f>AW36</f>
        <v>0</v>
      </c>
      <c r="AX35" s="91">
        <f t="shared" si="38"/>
        <v>0</v>
      </c>
      <c r="AY35" s="91"/>
      <c r="AZ35" s="1898">
        <f>AZ36</f>
        <v>0</v>
      </c>
      <c r="BA35" s="1898">
        <f>BA36</f>
        <v>0</v>
      </c>
      <c r="BB35" s="1899">
        <f>BB36</f>
        <v>0</v>
      </c>
      <c r="BC35" s="1899">
        <f t="shared" si="12"/>
        <v>0</v>
      </c>
      <c r="BD35" s="1899"/>
      <c r="BE35" s="90">
        <f>BE36</f>
        <v>0</v>
      </c>
      <c r="BF35" s="90">
        <f>BF36</f>
        <v>0</v>
      </c>
      <c r="BG35" s="91">
        <f>BG36</f>
        <v>0</v>
      </c>
      <c r="BH35" s="91"/>
      <c r="BI35" s="91"/>
    </row>
    <row r="36" spans="1:61" s="226" customFormat="1" ht="13.8" outlineLevel="3" x14ac:dyDescent="0.25">
      <c r="A36" s="238"/>
      <c r="B36" s="19" t="s">
        <v>81</v>
      </c>
      <c r="C36" s="43">
        <f>1000</f>
        <v>1000</v>
      </c>
      <c r="D36" s="49"/>
      <c r="E36" s="106">
        <f>C36+D36</f>
        <v>1000</v>
      </c>
      <c r="F36" s="178">
        <f>E36/$E$89</f>
        <v>6.6265890560556417E-4</v>
      </c>
      <c r="G36" s="39"/>
      <c r="H36" s="39"/>
      <c r="I36" s="106">
        <f>G36+H36*1.15</f>
        <v>0</v>
      </c>
      <c r="J36" s="178">
        <f>I36/$I$89</f>
        <v>0</v>
      </c>
      <c r="K36" s="45"/>
      <c r="L36" s="39"/>
      <c r="M36" s="39"/>
      <c r="N36" s="106">
        <f>L36+M36*1</f>
        <v>0</v>
      </c>
      <c r="O36" s="178" t="e">
        <f>N36/$N$89</f>
        <v>#DIV/0!</v>
      </c>
      <c r="P36" s="45"/>
      <c r="Q36" s="39"/>
      <c r="R36" s="39"/>
      <c r="S36" s="106">
        <f>Q36+R36*1</f>
        <v>0</v>
      </c>
      <c r="T36" s="178" t="e">
        <f>S36/$N$89</f>
        <v>#DIV/0!</v>
      </c>
      <c r="U36" s="45"/>
      <c r="V36" s="39"/>
      <c r="W36" s="39"/>
      <c r="X36" s="106">
        <f>V36+W36*1</f>
        <v>0</v>
      </c>
      <c r="Y36" s="178" t="e">
        <v>#DIV/0!</v>
      </c>
      <c r="Z36" s="45"/>
      <c r="AA36" s="39"/>
      <c r="AB36" s="39"/>
      <c r="AC36" s="106">
        <f>AA36+AB36*1</f>
        <v>0</v>
      </c>
      <c r="AD36" s="178" t="e">
        <v>#DIV/0!</v>
      </c>
      <c r="AE36" s="45"/>
      <c r="AF36" s="39"/>
      <c r="AG36" s="39"/>
      <c r="AH36" s="106">
        <f>AF36+AG36*1</f>
        <v>0</v>
      </c>
      <c r="AI36" s="178" t="e">
        <v>#DIV/0!</v>
      </c>
      <c r="AJ36" s="45"/>
      <c r="AK36" s="39"/>
      <c r="AL36" s="39"/>
      <c r="AM36" s="106">
        <f>AK36+AL36*1</f>
        <v>0</v>
      </c>
      <c r="AN36" s="178">
        <f t="shared" si="9"/>
        <v>0</v>
      </c>
      <c r="AO36" s="45"/>
      <c r="AP36" s="39"/>
      <c r="AQ36" s="39"/>
      <c r="AR36" s="106">
        <f>AP36+AQ36*1</f>
        <v>0</v>
      </c>
      <c r="AS36" s="178">
        <f t="shared" si="37"/>
        <v>0</v>
      </c>
      <c r="AT36" s="45"/>
      <c r="AU36" s="39"/>
      <c r="AV36" s="39"/>
      <c r="AW36" s="106">
        <f>AU36+AV36*1</f>
        <v>0</v>
      </c>
      <c r="AX36" s="178">
        <f t="shared" si="38"/>
        <v>0</v>
      </c>
      <c r="AY36" s="45"/>
      <c r="AZ36" s="1447"/>
      <c r="BA36" s="1447"/>
      <c r="BB36" s="1495">
        <f>AZ36+BA36*1</f>
        <v>0</v>
      </c>
      <c r="BC36" s="1893">
        <f t="shared" si="12"/>
        <v>0</v>
      </c>
      <c r="BD36" s="1909"/>
      <c r="BE36" s="39">
        <f>G36+L36+Q36</f>
        <v>0</v>
      </c>
      <c r="BF36" s="39">
        <f>H36+M36+R36</f>
        <v>0</v>
      </c>
      <c r="BG36" s="106">
        <f>BE36+BF36*1</f>
        <v>0</v>
      </c>
      <c r="BH36" s="178" t="e">
        <f>BG36/$N$89</f>
        <v>#DIV/0!</v>
      </c>
      <c r="BI36" s="45"/>
    </row>
    <row r="37" spans="1:61" s="2" customFormat="1" ht="14.4" outlineLevel="1" thickBot="1" x14ac:dyDescent="0.3">
      <c r="A37" s="4"/>
      <c r="B37" s="14"/>
      <c r="C37" s="50"/>
      <c r="D37" s="51"/>
      <c r="E37" s="52"/>
      <c r="F37" s="181"/>
      <c r="G37" s="52"/>
      <c r="H37" s="52"/>
      <c r="I37" s="52"/>
      <c r="J37" s="52"/>
      <c r="K37" s="52"/>
      <c r="L37" s="39"/>
      <c r="M37" s="39"/>
      <c r="N37" s="52"/>
      <c r="O37" s="52"/>
      <c r="P37" s="52"/>
      <c r="Q37" s="39"/>
      <c r="R37" s="39"/>
      <c r="S37" s="52"/>
      <c r="T37" s="52"/>
      <c r="U37" s="52"/>
      <c r="V37" s="39"/>
      <c r="W37" s="39"/>
      <c r="X37" s="52"/>
      <c r="Y37" s="52"/>
      <c r="Z37" s="52"/>
      <c r="AA37" s="39"/>
      <c r="AB37" s="39"/>
      <c r="AC37" s="52"/>
      <c r="AD37" s="52"/>
      <c r="AE37" s="52"/>
      <c r="AF37" s="39"/>
      <c r="AG37" s="39"/>
      <c r="AH37" s="52"/>
      <c r="AI37" s="52"/>
      <c r="AJ37" s="52"/>
      <c r="AK37" s="39"/>
      <c r="AL37" s="39"/>
      <c r="AM37" s="52"/>
      <c r="AN37" s="52">
        <f t="shared" si="9"/>
        <v>0</v>
      </c>
      <c r="AO37" s="52"/>
      <c r="AP37" s="39"/>
      <c r="AQ37" s="39"/>
      <c r="AR37" s="52"/>
      <c r="AS37" s="52">
        <f t="shared" si="37"/>
        <v>0</v>
      </c>
      <c r="AT37" s="52"/>
      <c r="AU37" s="39"/>
      <c r="AV37" s="39"/>
      <c r="AW37" s="52"/>
      <c r="AX37" s="52">
        <f t="shared" si="38"/>
        <v>0</v>
      </c>
      <c r="AY37" s="52"/>
      <c r="AZ37" s="1447"/>
      <c r="BA37" s="1447"/>
      <c r="BB37" s="1454"/>
      <c r="BC37" s="1454">
        <f t="shared" si="12"/>
        <v>0</v>
      </c>
      <c r="BD37" s="1454"/>
      <c r="BE37" s="39"/>
      <c r="BF37" s="39"/>
      <c r="BG37" s="52"/>
      <c r="BH37" s="52"/>
      <c r="BI37" s="52"/>
    </row>
    <row r="38" spans="1:61" ht="14.4" thickBot="1" x14ac:dyDescent="0.3">
      <c r="A38" s="33"/>
      <c r="B38" s="34" t="s">
        <v>46</v>
      </c>
      <c r="C38" s="53">
        <f>(C5)-(C8)</f>
        <v>1310418</v>
      </c>
      <c r="D38" s="53">
        <f>(D5)-(D8)</f>
        <v>-824421</v>
      </c>
      <c r="E38" s="53">
        <f>(E5)-(E8)</f>
        <v>485997</v>
      </c>
      <c r="F38" s="166"/>
      <c r="G38" s="53">
        <f>(G5)-(G8)</f>
        <v>320046.84569999995</v>
      </c>
      <c r="H38" s="53">
        <f>(H5)-(H8)</f>
        <v>-486953.57</v>
      </c>
      <c r="I38" s="53">
        <f>(I5)-(I8)</f>
        <v>-166906.72429999989</v>
      </c>
      <c r="J38" s="53"/>
      <c r="K38" s="53"/>
      <c r="L38" s="53">
        <f>(L5)-(L8)</f>
        <v>0</v>
      </c>
      <c r="M38" s="53">
        <f>(M5)-(M8)</f>
        <v>0</v>
      </c>
      <c r="N38" s="53">
        <f>(N5)-(N8)</f>
        <v>0</v>
      </c>
      <c r="O38" s="53"/>
      <c r="P38" s="53"/>
      <c r="Q38" s="53">
        <f>(Q5)-(Q8)</f>
        <v>-600</v>
      </c>
      <c r="R38" s="53">
        <f>(R5)-(R8)</f>
        <v>-30131</v>
      </c>
      <c r="S38" s="53">
        <f>(S5)-(S8)</f>
        <v>-30731</v>
      </c>
      <c r="T38" s="53"/>
      <c r="U38" s="53"/>
      <c r="V38" s="53">
        <f>(V5)-(V8)</f>
        <v>320154.69400000002</v>
      </c>
      <c r="W38" s="53">
        <f>(W5)-(W8)</f>
        <v>-68914.5</v>
      </c>
      <c r="X38" s="53">
        <f>(X5)-(X8)</f>
        <v>251240.19399999999</v>
      </c>
      <c r="Y38" s="53"/>
      <c r="Z38" s="53"/>
      <c r="AA38" s="53">
        <f>(AA5)-(AA8)</f>
        <v>95783.98</v>
      </c>
      <c r="AB38" s="53">
        <f>(AB5)-(AB8)</f>
        <v>-19975</v>
      </c>
      <c r="AC38" s="53">
        <f>(AC5)-(AC8)</f>
        <v>75808.98</v>
      </c>
      <c r="AD38" s="53"/>
      <c r="AE38" s="53"/>
      <c r="AF38" s="53">
        <f>(AF5)-(AF8)</f>
        <v>-35027.016000000003</v>
      </c>
      <c r="AG38" s="53">
        <f>(AG5)-(AG8)</f>
        <v>-15505</v>
      </c>
      <c r="AH38" s="53">
        <f>(AH5)-(AH8)</f>
        <v>-50532.016000000003</v>
      </c>
      <c r="AI38" s="53"/>
      <c r="AJ38" s="53"/>
      <c r="AK38" s="53">
        <f>(AK5)-(AK8)</f>
        <v>220592.16</v>
      </c>
      <c r="AL38" s="53">
        <f>(AL5)-(AL8)</f>
        <v>-68900</v>
      </c>
      <c r="AM38" s="53">
        <f>(AM5)-(AM8)</f>
        <v>151692.16</v>
      </c>
      <c r="AN38" s="53">
        <f t="shared" si="9"/>
        <v>1.521904262966979</v>
      </c>
      <c r="AO38" s="53"/>
      <c r="AP38" s="53">
        <f>(AP5)-(AP8)</f>
        <v>45.043999999994412</v>
      </c>
      <c r="AQ38" s="53">
        <f>(AQ5)-(AQ8)</f>
        <v>-14240</v>
      </c>
      <c r="AR38" s="53">
        <f>(AR5)-(AR8)</f>
        <v>-14194.956000000006</v>
      </c>
      <c r="AS38" s="53">
        <f t="shared" si="37"/>
        <v>-0.14241582458202653</v>
      </c>
      <c r="AT38" s="53"/>
      <c r="AU38" s="53">
        <f>(AU5)-(AU8)</f>
        <v>0</v>
      </c>
      <c r="AV38" s="53">
        <f>(AV5)-(AV8)</f>
        <v>0</v>
      </c>
      <c r="AW38" s="53">
        <f>(AW5)-(AW8)</f>
        <v>0</v>
      </c>
      <c r="AX38" s="53">
        <f t="shared" si="38"/>
        <v>0</v>
      </c>
      <c r="AY38" s="53"/>
      <c r="AZ38" s="1455">
        <f>(AZ5)-(AZ8)</f>
        <v>-16401.671999999999</v>
      </c>
      <c r="BA38" s="1455">
        <f>(BA5)-(BA8)</f>
        <v>0</v>
      </c>
      <c r="BB38" s="1455">
        <f>(BB5)-(BB8)</f>
        <v>-16401.671999999999</v>
      </c>
      <c r="BC38" s="1455">
        <f t="shared" si="12"/>
        <v>-1</v>
      </c>
      <c r="BD38" s="1455"/>
      <c r="BE38" s="53">
        <f>(BE5)-(BE8)</f>
        <v>920995.70769999968</v>
      </c>
      <c r="BF38" s="53">
        <f>(BF5)-(BF8)</f>
        <v>-704619.07</v>
      </c>
      <c r="BG38" s="53">
        <f>(BG5)-(BG8)</f>
        <v>216376.63770000008</v>
      </c>
      <c r="BH38" s="53"/>
      <c r="BI38" s="53"/>
    </row>
    <row r="39" spans="1:61" ht="13.8" x14ac:dyDescent="0.25">
      <c r="A39" s="293"/>
      <c r="B39" s="15" t="s">
        <v>47</v>
      </c>
      <c r="C39" s="157">
        <f>C38/(C5)</f>
        <v>0.69896415617665886</v>
      </c>
      <c r="D39" s="157" t="e">
        <f>D38/(D5)</f>
        <v>#DIV/0!</v>
      </c>
      <c r="E39" s="158">
        <f>E38/(E5)</f>
        <v>0.25922605077874972</v>
      </c>
      <c r="F39" s="167"/>
      <c r="G39" s="54">
        <f>G38/(G5)</f>
        <v>0.32756629375632323</v>
      </c>
      <c r="H39" s="54" t="e">
        <f>H38/(H5)</f>
        <v>#DIV/0!</v>
      </c>
      <c r="I39" s="55">
        <f>I38/(I5)</f>
        <v>-0.17082817036480927</v>
      </c>
      <c r="J39" s="55"/>
      <c r="K39" s="55"/>
      <c r="L39" s="54" t="e">
        <f>L38/(L5)</f>
        <v>#DIV/0!</v>
      </c>
      <c r="M39" s="54" t="e">
        <f>M38/(M5)</f>
        <v>#DIV/0!</v>
      </c>
      <c r="N39" s="55" t="e">
        <f>N38/(N5)</f>
        <v>#DIV/0!</v>
      </c>
      <c r="O39" s="55"/>
      <c r="P39" s="55"/>
      <c r="Q39" s="54" t="e">
        <f>Q38/(Q5)</f>
        <v>#DIV/0!</v>
      </c>
      <c r="R39" s="54" t="e">
        <f>R38/(R5)</f>
        <v>#DIV/0!</v>
      </c>
      <c r="S39" s="55" t="e">
        <f>S38/(S5)</f>
        <v>#DIV/0!</v>
      </c>
      <c r="T39" s="55"/>
      <c r="U39" s="55"/>
      <c r="V39" s="54">
        <f>V38/(V5)</f>
        <v>0.84430514573432003</v>
      </c>
      <c r="W39" s="54" t="e">
        <f>W38/(W5)</f>
        <v>#DIV/0!</v>
      </c>
      <c r="X39" s="55">
        <f>X38/(X5)</f>
        <v>0.66256529291895627</v>
      </c>
      <c r="Y39" s="55"/>
      <c r="Z39" s="55"/>
      <c r="AA39" s="54">
        <f>AA38/(AA5)</f>
        <v>0.73865227241424991</v>
      </c>
      <c r="AB39" s="54" t="e">
        <f>AB38/(AB5)</f>
        <v>#DIV/0!</v>
      </c>
      <c r="AC39" s="55">
        <f>AC38/(AC5)</f>
        <v>0.58461211724973661</v>
      </c>
      <c r="AD39" s="55"/>
      <c r="AE39" s="55"/>
      <c r="AF39" s="54" t="e">
        <f>AF38/(AF5)</f>
        <v>#DIV/0!</v>
      </c>
      <c r="AG39" s="54" t="e">
        <f>AG38/(AG5)</f>
        <v>#DIV/0!</v>
      </c>
      <c r="AH39" s="55" t="e">
        <f>AH38/(AH5)</f>
        <v>#DIV/0!</v>
      </c>
      <c r="AI39" s="55"/>
      <c r="AJ39" s="55"/>
      <c r="AK39" s="54">
        <f>AK38/(AK5)</f>
        <v>0.91254632805775115</v>
      </c>
      <c r="AL39" s="54" t="e">
        <f>AL38/(AL5)</f>
        <v>#DIV/0!</v>
      </c>
      <c r="AM39" s="55">
        <f>AM38/(AM5)</f>
        <v>0.62752059548784</v>
      </c>
      <c r="AN39" s="55">
        <f t="shared" si="9"/>
        <v>6.2958182504126836E-6</v>
      </c>
      <c r="AO39" s="55"/>
      <c r="AP39" s="54">
        <f>AP38/(AP5)</f>
        <v>5.264567789783159E-4</v>
      </c>
      <c r="AQ39" s="54" t="e">
        <f>AQ38/(AQ5)</f>
        <v>#DIV/0!</v>
      </c>
      <c r="AR39" s="55">
        <f>AR38/(AR5)</f>
        <v>-0.16590513305878363</v>
      </c>
      <c r="AS39" s="55">
        <f t="shared" si="37"/>
        <v>-1.6645008499468047E-6</v>
      </c>
      <c r="AT39" s="55"/>
      <c r="AU39" s="54" t="e">
        <f>AU38/(AU5)</f>
        <v>#DIV/0!</v>
      </c>
      <c r="AV39" s="54" t="e">
        <f>AV38/(AV5)</f>
        <v>#DIV/0!</v>
      </c>
      <c r="AW39" s="55" t="e">
        <f>AW38/(AW5)</f>
        <v>#DIV/0!</v>
      </c>
      <c r="AX39" s="55" t="e">
        <f t="shared" si="38"/>
        <v>#DIV/0!</v>
      </c>
      <c r="AY39" s="55"/>
      <c r="AZ39" s="1456" t="e">
        <f>AZ38/(AZ5)</f>
        <v>#DIV/0!</v>
      </c>
      <c r="BA39" s="1456" t="e">
        <f>BA38/(BA5)</f>
        <v>#DIV/0!</v>
      </c>
      <c r="BB39" s="1457" t="e">
        <f>BB38/(BB5)</f>
        <v>#DIV/0!</v>
      </c>
      <c r="BC39" s="1457" t="e">
        <f t="shared" si="12"/>
        <v>#DIV/0!</v>
      </c>
      <c r="BD39" s="1457"/>
      <c r="BE39" s="54">
        <f>BE38/(BE5)</f>
        <v>0.50793804012754573</v>
      </c>
      <c r="BF39" s="54" t="e">
        <f>BF38/(BF5)</f>
        <v>#DIV/0!</v>
      </c>
      <c r="BG39" s="55">
        <f>BG38/(BG5)</f>
        <v>0.11933380835964356</v>
      </c>
      <c r="BH39" s="55"/>
      <c r="BI39" s="55"/>
    </row>
    <row r="40" spans="1:61" ht="14.4" outlineLevel="1" thickBot="1" x14ac:dyDescent="0.3">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f t="shared" si="9"/>
        <v>0</v>
      </c>
      <c r="AO40" s="58"/>
      <c r="AP40" s="58"/>
      <c r="AQ40" s="58"/>
      <c r="AR40" s="58"/>
      <c r="AS40" s="58">
        <f t="shared" si="37"/>
        <v>0</v>
      </c>
      <c r="AT40" s="58"/>
      <c r="AU40" s="58"/>
      <c r="AV40" s="58"/>
      <c r="AW40" s="58"/>
      <c r="AX40" s="58">
        <f t="shared" si="38"/>
        <v>0</v>
      </c>
      <c r="AY40" s="58"/>
      <c r="AZ40" s="1459"/>
      <c r="BA40" s="1459"/>
      <c r="BB40" s="1459"/>
      <c r="BC40" s="1459">
        <f t="shared" si="12"/>
        <v>0</v>
      </c>
      <c r="BD40" s="1459"/>
      <c r="BE40" s="58"/>
      <c r="BF40" s="58"/>
      <c r="BG40" s="58"/>
      <c r="BH40" s="58"/>
      <c r="BI40" s="58"/>
    </row>
    <row r="41" spans="1:61" ht="13.8" outlineLevel="1" x14ac:dyDescent="0.25">
      <c r="A41" s="11"/>
      <c r="B41" s="22" t="s">
        <v>26</v>
      </c>
      <c r="C41" s="117">
        <f>SUM(C42:C48)</f>
        <v>0</v>
      </c>
      <c r="D41" s="117">
        <f>SUM(D42:D48)</f>
        <v>0</v>
      </c>
      <c r="E41" s="118">
        <f>SUM(E42:E48)</f>
        <v>0</v>
      </c>
      <c r="F41" s="169">
        <f t="shared" ref="F41:F48" si="39">E41/$E$89</f>
        <v>0</v>
      </c>
      <c r="G41" s="117">
        <f>SUM(G42:G48)</f>
        <v>2207.58</v>
      </c>
      <c r="H41" s="117">
        <f>SUM(H42:H48)</f>
        <v>739</v>
      </c>
      <c r="I41" s="118">
        <f>SUM(I42:I48)</f>
        <v>2946.58</v>
      </c>
      <c r="J41" s="169">
        <f t="shared" ref="J41:J49" si="40">I41/$I$89</f>
        <v>2.2393492497837014E-3</v>
      </c>
      <c r="K41" s="60"/>
      <c r="L41" s="117">
        <f>SUM(L42:L48)</f>
        <v>0</v>
      </c>
      <c r="M41" s="117">
        <f>SUM(M42:M48)</f>
        <v>0</v>
      </c>
      <c r="N41" s="118">
        <f>SUM(N42:N48)</f>
        <v>0</v>
      </c>
      <c r="O41" s="169" t="e">
        <f t="shared" ref="O41:O49" si="41">N41/$N$89</f>
        <v>#DIV/0!</v>
      </c>
      <c r="P41" s="60"/>
      <c r="Q41" s="117">
        <f>SUM(Q42:Q48)</f>
        <v>0</v>
      </c>
      <c r="R41" s="117">
        <f>SUM(R42:R48)</f>
        <v>0</v>
      </c>
      <c r="S41" s="118">
        <f>SUM(S42:S48)</f>
        <v>0</v>
      </c>
      <c r="T41" s="169">
        <f>S41/$S$89</f>
        <v>0</v>
      </c>
      <c r="U41" s="60"/>
      <c r="V41" s="117">
        <f>SUM(V42:V48)</f>
        <v>0</v>
      </c>
      <c r="W41" s="117">
        <f>SUM(W42:W48)</f>
        <v>0</v>
      </c>
      <c r="X41" s="118">
        <f>SUM(X42:X48)</f>
        <v>0</v>
      </c>
      <c r="Y41" s="169">
        <f t="shared" ref="Y41:Y52" si="42">X41/$X$89</f>
        <v>0</v>
      </c>
      <c r="Z41" s="60"/>
      <c r="AA41" s="117">
        <f>SUM(AA42:AA48)</f>
        <v>0</v>
      </c>
      <c r="AB41" s="117">
        <f>SUM(AB42:AB48)</f>
        <v>0</v>
      </c>
      <c r="AC41" s="118">
        <f>SUM(AC42:AC48)</f>
        <v>0</v>
      </c>
      <c r="AD41" s="169">
        <f>AC41/$AC$89</f>
        <v>0</v>
      </c>
      <c r="AE41" s="60"/>
      <c r="AF41" s="117">
        <f>SUM(AF42:AF48)</f>
        <v>601</v>
      </c>
      <c r="AG41" s="117">
        <f>SUM(AG42:AG48)</f>
        <v>0</v>
      </c>
      <c r="AH41" s="118">
        <f>SUM(AH42:AH48)</f>
        <v>601</v>
      </c>
      <c r="AI41" s="169">
        <f t="shared" ref="AI41:AI48" si="43">AH41/$AH$89</f>
        <v>1.1293543704679956E-2</v>
      </c>
      <c r="AJ41" s="60"/>
      <c r="AK41" s="117">
        <f>SUM(AK42:AK48)</f>
        <v>0</v>
      </c>
      <c r="AL41" s="117">
        <f>SUM(AL42:AL48)</f>
        <v>601</v>
      </c>
      <c r="AM41" s="118">
        <f>SUM(AM42:AM48)</f>
        <v>601</v>
      </c>
      <c r="AN41" s="169">
        <f t="shared" si="9"/>
        <v>6.0297411681866373E-3</v>
      </c>
      <c r="AO41" s="60"/>
      <c r="AP41" s="117">
        <f>SUM(AP42:AP48)</f>
        <v>0</v>
      </c>
      <c r="AQ41" s="117">
        <f>SUM(AQ42:AQ48)</f>
        <v>0</v>
      </c>
      <c r="AR41" s="118">
        <f>SUM(AR42:AR48)</f>
        <v>0</v>
      </c>
      <c r="AS41" s="169">
        <f t="shared" ref="AS41:AS48" si="44">AR41/$AR$89</f>
        <v>0</v>
      </c>
      <c r="AT41" s="60"/>
      <c r="AU41" s="117">
        <f>SUM(AU42:AU48)</f>
        <v>46</v>
      </c>
      <c r="AV41" s="117">
        <f>SUM(AV42:AV48)</f>
        <v>0</v>
      </c>
      <c r="AW41" s="118">
        <f>SUM(AW42:AW48)</f>
        <v>46</v>
      </c>
      <c r="AX41" s="169">
        <f t="shared" ref="AX41:AX48" si="45">AW41/$AR$89</f>
        <v>4.6112682796188077E-4</v>
      </c>
      <c r="AY41" s="60"/>
      <c r="AZ41" s="1506">
        <f>SUM(AZ42:AZ48)</f>
        <v>0</v>
      </c>
      <c r="BA41" s="1506">
        <f>SUM(BA42:BA48)</f>
        <v>0</v>
      </c>
      <c r="BB41" s="1507">
        <f>SUM(BB42:BB48)</f>
        <v>0</v>
      </c>
      <c r="BC41" s="1904">
        <f t="shared" si="12"/>
        <v>0</v>
      </c>
      <c r="BD41" s="1461"/>
      <c r="BE41" s="117">
        <f>SUM(BE42:BE48)</f>
        <v>2854.58</v>
      </c>
      <c r="BF41" s="117">
        <f>SUM(BF42:BF48)</f>
        <v>1340</v>
      </c>
      <c r="BG41" s="118">
        <f>SUM(BG42:BG48)</f>
        <v>4194.58</v>
      </c>
      <c r="BH41" s="169" t="e">
        <f t="shared" ref="BH41:BH49" si="46">BG41/$N$89</f>
        <v>#DIV/0!</v>
      </c>
      <c r="BI41" s="60"/>
    </row>
    <row r="42" spans="1:61" ht="43.2" customHeight="1" outlineLevel="2" x14ac:dyDescent="0.25">
      <c r="A42" s="4015"/>
      <c r="B42" s="18" t="s">
        <v>7</v>
      </c>
      <c r="C42" s="113"/>
      <c r="D42" s="119"/>
      <c r="E42" s="120">
        <f t="shared" ref="E42:E48" si="47">C42+D42</f>
        <v>0</v>
      </c>
      <c r="F42" s="178">
        <f t="shared" si="39"/>
        <v>0</v>
      </c>
      <c r="G42" s="39">
        <v>0</v>
      </c>
      <c r="H42" s="39">
        <v>0</v>
      </c>
      <c r="I42" s="210">
        <f t="shared" ref="I42:I48" si="48">G42+H42*1</f>
        <v>0</v>
      </c>
      <c r="J42" s="178">
        <f t="shared" si="40"/>
        <v>0</v>
      </c>
      <c r="K42" s="79"/>
      <c r="L42" s="39"/>
      <c r="M42" s="39"/>
      <c r="N42" s="106">
        <f t="shared" ref="N42:N48" si="49">L42+M42*1</f>
        <v>0</v>
      </c>
      <c r="O42" s="178" t="e">
        <f t="shared" si="41"/>
        <v>#DIV/0!</v>
      </c>
      <c r="P42" s="79"/>
      <c r="Q42" s="39"/>
      <c r="R42" s="39"/>
      <c r="S42" s="106">
        <f t="shared" ref="S42:S48" si="50">Q42+R42*1</f>
        <v>0</v>
      </c>
      <c r="T42" s="178">
        <f t="shared" ref="T42:T52" si="51">S42/$S$89</f>
        <v>0</v>
      </c>
      <c r="U42" s="79"/>
      <c r="V42" s="39"/>
      <c r="W42" s="39"/>
      <c r="X42" s="106">
        <f t="shared" ref="X42:X48" si="52">V42+W42*1</f>
        <v>0</v>
      </c>
      <c r="Y42" s="178">
        <f t="shared" si="42"/>
        <v>0</v>
      </c>
      <c r="Z42" s="79"/>
      <c r="AA42" s="39"/>
      <c r="AB42" s="39"/>
      <c r="AC42" s="106">
        <f t="shared" ref="AC42:AC48" si="53">AA42+AB42*1</f>
        <v>0</v>
      </c>
      <c r="AD42" s="178">
        <f t="shared" ref="AD42:AD48" si="54">AC42/$AC$89</f>
        <v>0</v>
      </c>
      <c r="AE42" s="79"/>
      <c r="AF42" s="39"/>
      <c r="AG42" s="39"/>
      <c r="AH42" s="106">
        <f t="shared" ref="AH42:AH48" si="55">AF42+AG42*1</f>
        <v>0</v>
      </c>
      <c r="AI42" s="178">
        <f t="shared" si="43"/>
        <v>0</v>
      </c>
      <c r="AJ42" s="79"/>
      <c r="AK42" s="39"/>
      <c r="AL42" s="39"/>
      <c r="AM42" s="106">
        <f t="shared" ref="AM42:AM48" si="56">AK42+AL42*1</f>
        <v>0</v>
      </c>
      <c r="AN42" s="178">
        <f t="shared" si="9"/>
        <v>0</v>
      </c>
      <c r="AO42" s="79"/>
      <c r="AP42" s="39"/>
      <c r="AQ42" s="39"/>
      <c r="AR42" s="106">
        <f t="shared" ref="AR42:AR48" si="57">AP42+AQ42*1</f>
        <v>0</v>
      </c>
      <c r="AS42" s="178">
        <f t="shared" si="44"/>
        <v>0</v>
      </c>
      <c r="AT42" s="79"/>
      <c r="AU42" s="39"/>
      <c r="AV42" s="39"/>
      <c r="AW42" s="106">
        <f t="shared" ref="AW42:AW48" si="58">AU42+AV42*1</f>
        <v>0</v>
      </c>
      <c r="AX42" s="178">
        <f t="shared" si="45"/>
        <v>0</v>
      </c>
      <c r="AY42" s="79"/>
      <c r="AZ42" s="1447"/>
      <c r="BA42" s="1447"/>
      <c r="BB42" s="1495">
        <f t="shared" ref="BB42:BB48" si="59">AZ42+BA42*1</f>
        <v>0</v>
      </c>
      <c r="BC42" s="1893">
        <f t="shared" si="12"/>
        <v>0</v>
      </c>
      <c r="BD42" s="1943"/>
      <c r="BE42" s="39">
        <f t="shared" ref="BE42:BE48" si="60">G42+L42+Q42+V42+AA42+AF42+AK42+AP42+AU42</f>
        <v>0</v>
      </c>
      <c r="BF42" s="39">
        <f t="shared" ref="BF42:BF48" si="61">H42+M42+R42+W42+AB42+AG42+AL42+AQ42+AV42</f>
        <v>0</v>
      </c>
      <c r="BG42" s="210">
        <f t="shared" ref="BG42:BG48" si="62">BE42+BF42*1</f>
        <v>0</v>
      </c>
      <c r="BH42" s="178" t="e">
        <f t="shared" si="46"/>
        <v>#DIV/0!</v>
      </c>
      <c r="BI42" s="79"/>
    </row>
    <row r="43" spans="1:61" ht="13.8" outlineLevel="2" x14ac:dyDescent="0.25">
      <c r="A43" s="4015"/>
      <c r="B43" s="18" t="s">
        <v>27</v>
      </c>
      <c r="C43" s="113"/>
      <c r="D43" s="119"/>
      <c r="E43" s="120">
        <f t="shared" si="47"/>
        <v>0</v>
      </c>
      <c r="F43" s="178">
        <f t="shared" si="39"/>
        <v>0</v>
      </c>
      <c r="G43" s="39">
        <v>0</v>
      </c>
      <c r="H43" s="39">
        <v>522</v>
      </c>
      <c r="I43" s="210">
        <f t="shared" si="48"/>
        <v>522</v>
      </c>
      <c r="J43" s="178">
        <f t="shared" si="40"/>
        <v>3.9671086764557289E-4</v>
      </c>
      <c r="K43" s="79"/>
      <c r="L43" s="39"/>
      <c r="M43" s="39"/>
      <c r="N43" s="106">
        <f t="shared" si="49"/>
        <v>0</v>
      </c>
      <c r="O43" s="178" t="e">
        <f t="shared" si="41"/>
        <v>#DIV/0!</v>
      </c>
      <c r="P43" s="79"/>
      <c r="Q43" s="39"/>
      <c r="R43" s="39"/>
      <c r="S43" s="106">
        <f t="shared" si="50"/>
        <v>0</v>
      </c>
      <c r="T43" s="178">
        <f t="shared" si="51"/>
        <v>0</v>
      </c>
      <c r="U43" s="79"/>
      <c r="V43" s="39"/>
      <c r="W43" s="39"/>
      <c r="X43" s="106">
        <f t="shared" si="52"/>
        <v>0</v>
      </c>
      <c r="Y43" s="178">
        <f t="shared" si="42"/>
        <v>0</v>
      </c>
      <c r="Z43" s="79"/>
      <c r="AA43" s="39"/>
      <c r="AB43" s="39"/>
      <c r="AC43" s="106">
        <f t="shared" si="53"/>
        <v>0</v>
      </c>
      <c r="AD43" s="178">
        <f t="shared" si="54"/>
        <v>0</v>
      </c>
      <c r="AE43" s="79"/>
      <c r="AF43" s="39"/>
      <c r="AG43" s="39"/>
      <c r="AH43" s="106">
        <f t="shared" si="55"/>
        <v>0</v>
      </c>
      <c r="AI43" s="178">
        <f t="shared" si="43"/>
        <v>0</v>
      </c>
      <c r="AJ43" s="79"/>
      <c r="AK43" s="39"/>
      <c r="AL43" s="39"/>
      <c r="AM43" s="106">
        <f t="shared" si="56"/>
        <v>0</v>
      </c>
      <c r="AN43" s="178">
        <f t="shared" si="9"/>
        <v>0</v>
      </c>
      <c r="AO43" s="79"/>
      <c r="AP43" s="39"/>
      <c r="AQ43" s="39"/>
      <c r="AR43" s="106">
        <f t="shared" si="57"/>
        <v>0</v>
      </c>
      <c r="AS43" s="178">
        <f t="shared" si="44"/>
        <v>0</v>
      </c>
      <c r="AT43" s="79"/>
      <c r="AU43" s="39"/>
      <c r="AV43" s="39"/>
      <c r="AW43" s="106">
        <f t="shared" si="58"/>
        <v>0</v>
      </c>
      <c r="AX43" s="178">
        <f t="shared" si="45"/>
        <v>0</v>
      </c>
      <c r="AY43" s="79"/>
      <c r="AZ43" s="1447"/>
      <c r="BA43" s="1447"/>
      <c r="BB43" s="1495">
        <f t="shared" si="59"/>
        <v>0</v>
      </c>
      <c r="BC43" s="1893">
        <f t="shared" si="12"/>
        <v>0</v>
      </c>
      <c r="BD43" s="1943"/>
      <c r="BE43" s="39">
        <f t="shared" si="60"/>
        <v>0</v>
      </c>
      <c r="BF43" s="39">
        <f t="shared" si="61"/>
        <v>522</v>
      </c>
      <c r="BG43" s="210">
        <f t="shared" si="62"/>
        <v>522</v>
      </c>
      <c r="BH43" s="178" t="e">
        <f t="shared" si="46"/>
        <v>#DIV/0!</v>
      </c>
      <c r="BI43" s="79"/>
    </row>
    <row r="44" spans="1:61" ht="67.2" customHeight="1" outlineLevel="2" x14ac:dyDescent="0.25">
      <c r="A44" s="4015"/>
      <c r="B44" s="19" t="s">
        <v>28</v>
      </c>
      <c r="C44" s="113"/>
      <c r="D44" s="119"/>
      <c r="E44" s="120">
        <f t="shared" si="47"/>
        <v>0</v>
      </c>
      <c r="F44" s="178">
        <f t="shared" si="39"/>
        <v>0</v>
      </c>
      <c r="G44" s="39">
        <v>0</v>
      </c>
      <c r="H44" s="39">
        <v>0</v>
      </c>
      <c r="I44" s="210">
        <f t="shared" si="48"/>
        <v>0</v>
      </c>
      <c r="J44" s="178">
        <f t="shared" si="40"/>
        <v>0</v>
      </c>
      <c r="K44" s="79"/>
      <c r="L44" s="39"/>
      <c r="M44" s="39"/>
      <c r="N44" s="106">
        <f t="shared" si="49"/>
        <v>0</v>
      </c>
      <c r="O44" s="178" t="e">
        <f t="shared" si="41"/>
        <v>#DIV/0!</v>
      </c>
      <c r="P44" s="79"/>
      <c r="Q44" s="39"/>
      <c r="R44" s="39"/>
      <c r="S44" s="106">
        <f t="shared" si="50"/>
        <v>0</v>
      </c>
      <c r="T44" s="178">
        <f t="shared" si="51"/>
        <v>0</v>
      </c>
      <c r="U44" s="79"/>
      <c r="V44" s="39"/>
      <c r="W44" s="39"/>
      <c r="X44" s="106">
        <f t="shared" si="52"/>
        <v>0</v>
      </c>
      <c r="Y44" s="178">
        <f t="shared" si="42"/>
        <v>0</v>
      </c>
      <c r="Z44" s="79"/>
      <c r="AA44" s="39"/>
      <c r="AB44" s="39"/>
      <c r="AC44" s="106">
        <f t="shared" si="53"/>
        <v>0</v>
      </c>
      <c r="AD44" s="178">
        <f t="shared" si="54"/>
        <v>0</v>
      </c>
      <c r="AE44" s="79"/>
      <c r="AF44" s="39"/>
      <c r="AG44" s="39"/>
      <c r="AH44" s="106">
        <f t="shared" si="55"/>
        <v>0</v>
      </c>
      <c r="AI44" s="178">
        <f t="shared" si="43"/>
        <v>0</v>
      </c>
      <c r="AJ44" s="79"/>
      <c r="AK44" s="39"/>
      <c r="AL44" s="39"/>
      <c r="AM44" s="106">
        <f t="shared" si="56"/>
        <v>0</v>
      </c>
      <c r="AN44" s="178">
        <f t="shared" si="9"/>
        <v>0</v>
      </c>
      <c r="AO44" s="79"/>
      <c r="AP44" s="39"/>
      <c r="AQ44" s="39"/>
      <c r="AR44" s="106">
        <f t="shared" si="57"/>
        <v>0</v>
      </c>
      <c r="AS44" s="178">
        <f t="shared" si="44"/>
        <v>0</v>
      </c>
      <c r="AT44" s="79"/>
      <c r="AU44" s="39"/>
      <c r="AV44" s="39"/>
      <c r="AW44" s="106">
        <f t="shared" si="58"/>
        <v>0</v>
      </c>
      <c r="AX44" s="178">
        <f t="shared" si="45"/>
        <v>0</v>
      </c>
      <c r="AY44" s="79"/>
      <c r="AZ44" s="1447"/>
      <c r="BA44" s="1447"/>
      <c r="BB44" s="1495">
        <f t="shared" si="59"/>
        <v>0</v>
      </c>
      <c r="BC44" s="1893">
        <f t="shared" si="12"/>
        <v>0</v>
      </c>
      <c r="BD44" s="1943"/>
      <c r="BE44" s="39">
        <f t="shared" si="60"/>
        <v>0</v>
      </c>
      <c r="BF44" s="39">
        <f t="shared" si="61"/>
        <v>0</v>
      </c>
      <c r="BG44" s="210">
        <f t="shared" si="62"/>
        <v>0</v>
      </c>
      <c r="BH44" s="178" t="e">
        <f t="shared" si="46"/>
        <v>#DIV/0!</v>
      </c>
      <c r="BI44" s="79"/>
    </row>
    <row r="45" spans="1:61" ht="13.8" outlineLevel="2" x14ac:dyDescent="0.25">
      <c r="A45" s="4015"/>
      <c r="B45" s="18" t="s">
        <v>8</v>
      </c>
      <c r="C45" s="113"/>
      <c r="D45" s="119"/>
      <c r="E45" s="120">
        <f t="shared" si="47"/>
        <v>0</v>
      </c>
      <c r="F45" s="178">
        <f t="shared" si="39"/>
        <v>0</v>
      </c>
      <c r="G45" s="39">
        <v>0</v>
      </c>
      <c r="H45" s="39">
        <v>0</v>
      </c>
      <c r="I45" s="210">
        <f t="shared" si="48"/>
        <v>0</v>
      </c>
      <c r="J45" s="178">
        <f t="shared" si="40"/>
        <v>0</v>
      </c>
      <c r="K45" s="79"/>
      <c r="L45" s="39"/>
      <c r="M45" s="39"/>
      <c r="N45" s="106">
        <f t="shared" si="49"/>
        <v>0</v>
      </c>
      <c r="O45" s="178" t="e">
        <f t="shared" si="41"/>
        <v>#DIV/0!</v>
      </c>
      <c r="P45" s="79"/>
      <c r="Q45" s="39"/>
      <c r="R45" s="39"/>
      <c r="S45" s="106">
        <f t="shared" si="50"/>
        <v>0</v>
      </c>
      <c r="T45" s="178">
        <f t="shared" si="51"/>
        <v>0</v>
      </c>
      <c r="U45" s="79"/>
      <c r="V45" s="39"/>
      <c r="W45" s="39"/>
      <c r="X45" s="106">
        <f t="shared" si="52"/>
        <v>0</v>
      </c>
      <c r="Y45" s="178">
        <f t="shared" si="42"/>
        <v>0</v>
      </c>
      <c r="Z45" s="79"/>
      <c r="AA45" s="39"/>
      <c r="AB45" s="39"/>
      <c r="AC45" s="106">
        <f t="shared" si="53"/>
        <v>0</v>
      </c>
      <c r="AD45" s="178">
        <f t="shared" si="54"/>
        <v>0</v>
      </c>
      <c r="AE45" s="79"/>
      <c r="AF45" s="39"/>
      <c r="AG45" s="39"/>
      <c r="AH45" s="106">
        <f t="shared" si="55"/>
        <v>0</v>
      </c>
      <c r="AI45" s="178">
        <f t="shared" si="43"/>
        <v>0</v>
      </c>
      <c r="AJ45" s="79"/>
      <c r="AK45" s="39"/>
      <c r="AL45" s="39"/>
      <c r="AM45" s="106">
        <f t="shared" si="56"/>
        <v>0</v>
      </c>
      <c r="AN45" s="178">
        <f t="shared" si="9"/>
        <v>0</v>
      </c>
      <c r="AO45" s="79"/>
      <c r="AP45" s="39"/>
      <c r="AQ45" s="39"/>
      <c r="AR45" s="106">
        <f t="shared" si="57"/>
        <v>0</v>
      </c>
      <c r="AS45" s="178">
        <f t="shared" si="44"/>
        <v>0</v>
      </c>
      <c r="AT45" s="79"/>
      <c r="AU45" s="39"/>
      <c r="AV45" s="39"/>
      <c r="AW45" s="106">
        <f t="shared" si="58"/>
        <v>0</v>
      </c>
      <c r="AX45" s="178">
        <f t="shared" si="45"/>
        <v>0</v>
      </c>
      <c r="AY45" s="79"/>
      <c r="AZ45" s="1447"/>
      <c r="BA45" s="1447"/>
      <c r="BB45" s="1495">
        <f t="shared" si="59"/>
        <v>0</v>
      </c>
      <c r="BC45" s="1893">
        <f t="shared" si="12"/>
        <v>0</v>
      </c>
      <c r="BD45" s="1943"/>
      <c r="BE45" s="39">
        <f t="shared" si="60"/>
        <v>0</v>
      </c>
      <c r="BF45" s="39">
        <f t="shared" si="61"/>
        <v>0</v>
      </c>
      <c r="BG45" s="210">
        <f t="shared" si="62"/>
        <v>0</v>
      </c>
      <c r="BH45" s="178" t="e">
        <f t="shared" si="46"/>
        <v>#DIV/0!</v>
      </c>
      <c r="BI45" s="79"/>
    </row>
    <row r="46" spans="1:61" ht="13.8" outlineLevel="2" x14ac:dyDescent="0.25">
      <c r="A46" s="4015"/>
      <c r="B46" s="18" t="s">
        <v>29</v>
      </c>
      <c r="C46" s="113"/>
      <c r="D46" s="119"/>
      <c r="E46" s="120">
        <f t="shared" si="47"/>
        <v>0</v>
      </c>
      <c r="F46" s="178">
        <f t="shared" si="39"/>
        <v>0</v>
      </c>
      <c r="G46" s="39">
        <v>0</v>
      </c>
      <c r="H46" s="39">
        <v>0</v>
      </c>
      <c r="I46" s="210">
        <f t="shared" si="48"/>
        <v>0</v>
      </c>
      <c r="J46" s="178">
        <f t="shared" si="40"/>
        <v>0</v>
      </c>
      <c r="K46" s="79"/>
      <c r="L46" s="39"/>
      <c r="M46" s="39"/>
      <c r="N46" s="106">
        <f t="shared" si="49"/>
        <v>0</v>
      </c>
      <c r="O46" s="178" t="e">
        <f t="shared" si="41"/>
        <v>#DIV/0!</v>
      </c>
      <c r="P46" s="79"/>
      <c r="Q46" s="39"/>
      <c r="R46" s="39"/>
      <c r="S46" s="106">
        <f t="shared" si="50"/>
        <v>0</v>
      </c>
      <c r="T46" s="178">
        <f t="shared" si="51"/>
        <v>0</v>
      </c>
      <c r="U46" s="79"/>
      <c r="V46" s="39"/>
      <c r="W46" s="39"/>
      <c r="X46" s="106">
        <f t="shared" si="52"/>
        <v>0</v>
      </c>
      <c r="Y46" s="178">
        <f t="shared" si="42"/>
        <v>0</v>
      </c>
      <c r="Z46" s="79"/>
      <c r="AA46" s="39"/>
      <c r="AB46" s="39"/>
      <c r="AC46" s="106">
        <f t="shared" si="53"/>
        <v>0</v>
      </c>
      <c r="AD46" s="178">
        <f t="shared" si="54"/>
        <v>0</v>
      </c>
      <c r="AE46" s="79"/>
      <c r="AF46" s="39"/>
      <c r="AG46" s="39"/>
      <c r="AH46" s="106">
        <f t="shared" si="55"/>
        <v>0</v>
      </c>
      <c r="AI46" s="178">
        <f t="shared" si="43"/>
        <v>0</v>
      </c>
      <c r="AJ46" s="79"/>
      <c r="AK46" s="39"/>
      <c r="AL46" s="39"/>
      <c r="AM46" s="106">
        <f t="shared" si="56"/>
        <v>0</v>
      </c>
      <c r="AN46" s="178">
        <f t="shared" si="9"/>
        <v>0</v>
      </c>
      <c r="AO46" s="79"/>
      <c r="AP46" s="39"/>
      <c r="AQ46" s="39"/>
      <c r="AR46" s="106">
        <f t="shared" si="57"/>
        <v>0</v>
      </c>
      <c r="AS46" s="178">
        <f t="shared" si="44"/>
        <v>0</v>
      </c>
      <c r="AT46" s="79"/>
      <c r="AU46" s="39"/>
      <c r="AV46" s="39"/>
      <c r="AW46" s="106">
        <f t="shared" si="58"/>
        <v>0</v>
      </c>
      <c r="AX46" s="178">
        <f t="shared" si="45"/>
        <v>0</v>
      </c>
      <c r="AY46" s="79"/>
      <c r="AZ46" s="1447"/>
      <c r="BA46" s="1447"/>
      <c r="BB46" s="1495">
        <f t="shared" si="59"/>
        <v>0</v>
      </c>
      <c r="BC46" s="1893">
        <f t="shared" si="12"/>
        <v>0</v>
      </c>
      <c r="BD46" s="1943"/>
      <c r="BE46" s="39">
        <f t="shared" si="60"/>
        <v>0</v>
      </c>
      <c r="BF46" s="39">
        <f t="shared" si="61"/>
        <v>0</v>
      </c>
      <c r="BG46" s="210">
        <f t="shared" si="62"/>
        <v>0</v>
      </c>
      <c r="BH46" s="178" t="e">
        <f t="shared" si="46"/>
        <v>#DIV/0!</v>
      </c>
      <c r="BI46" s="79"/>
    </row>
    <row r="47" spans="1:61" ht="13.8" outlineLevel="2" x14ac:dyDescent="0.25">
      <c r="A47" s="4015"/>
      <c r="B47" s="18" t="s">
        <v>30</v>
      </c>
      <c r="C47" s="113"/>
      <c r="D47" s="119"/>
      <c r="E47" s="120">
        <f t="shared" si="47"/>
        <v>0</v>
      </c>
      <c r="F47" s="178">
        <f t="shared" si="39"/>
        <v>0</v>
      </c>
      <c r="G47" s="39">
        <v>1735.5</v>
      </c>
      <c r="H47" s="39">
        <v>0</v>
      </c>
      <c r="I47" s="210">
        <f t="shared" si="48"/>
        <v>1735.5</v>
      </c>
      <c r="J47" s="178">
        <f t="shared" si="40"/>
        <v>1.3189496375457697E-3</v>
      </c>
      <c r="K47" s="79"/>
      <c r="L47" s="39"/>
      <c r="M47" s="39"/>
      <c r="N47" s="106">
        <f t="shared" si="49"/>
        <v>0</v>
      </c>
      <c r="O47" s="178" t="e">
        <f t="shared" si="41"/>
        <v>#DIV/0!</v>
      </c>
      <c r="P47" s="79"/>
      <c r="Q47" s="39"/>
      <c r="R47" s="39"/>
      <c r="S47" s="106">
        <f t="shared" si="50"/>
        <v>0</v>
      </c>
      <c r="T47" s="178">
        <f t="shared" si="51"/>
        <v>0</v>
      </c>
      <c r="U47" s="79"/>
      <c r="V47" s="39"/>
      <c r="W47" s="39"/>
      <c r="X47" s="106">
        <f t="shared" si="52"/>
        <v>0</v>
      </c>
      <c r="Y47" s="178">
        <f t="shared" si="42"/>
        <v>0</v>
      </c>
      <c r="Z47" s="79"/>
      <c r="AA47" s="39"/>
      <c r="AB47" s="39"/>
      <c r="AC47" s="106">
        <f t="shared" si="53"/>
        <v>0</v>
      </c>
      <c r="AD47" s="178">
        <f t="shared" si="54"/>
        <v>0</v>
      </c>
      <c r="AE47" s="79"/>
      <c r="AF47" s="39">
        <v>601</v>
      </c>
      <c r="AG47" s="39"/>
      <c r="AH47" s="106">
        <f t="shared" si="55"/>
        <v>601</v>
      </c>
      <c r="AI47" s="178">
        <f t="shared" si="43"/>
        <v>1.1293543704679956E-2</v>
      </c>
      <c r="AJ47" s="79"/>
      <c r="AK47" s="39"/>
      <c r="AL47" s="39">
        <v>601</v>
      </c>
      <c r="AM47" s="106">
        <f t="shared" si="56"/>
        <v>601</v>
      </c>
      <c r="AN47" s="178">
        <f t="shared" si="9"/>
        <v>6.0297411681866373E-3</v>
      </c>
      <c r="AO47" s="79"/>
      <c r="AP47" s="39"/>
      <c r="AQ47" s="39"/>
      <c r="AR47" s="106">
        <f t="shared" si="57"/>
        <v>0</v>
      </c>
      <c r="AS47" s="178">
        <f t="shared" si="44"/>
        <v>0</v>
      </c>
      <c r="AT47" s="79"/>
      <c r="AU47" s="39">
        <v>46</v>
      </c>
      <c r="AV47" s="39"/>
      <c r="AW47" s="106">
        <f t="shared" si="58"/>
        <v>46</v>
      </c>
      <c r="AX47" s="178">
        <f t="shared" si="45"/>
        <v>4.6112682796188077E-4</v>
      </c>
      <c r="AY47" s="79"/>
      <c r="AZ47" s="1447"/>
      <c r="BA47" s="1447"/>
      <c r="BB47" s="1495">
        <f t="shared" si="59"/>
        <v>0</v>
      </c>
      <c r="BC47" s="1893">
        <f t="shared" si="12"/>
        <v>0</v>
      </c>
      <c r="BD47" s="1943"/>
      <c r="BE47" s="39">
        <f>G47+L47+Q47+V47+AA47+AF47+AK47+AP47+AU47</f>
        <v>2382.5</v>
      </c>
      <c r="BF47" s="39">
        <f t="shared" si="61"/>
        <v>601</v>
      </c>
      <c r="BG47" s="210">
        <f t="shared" si="62"/>
        <v>2983.5</v>
      </c>
      <c r="BH47" s="178" t="e">
        <f t="shared" si="46"/>
        <v>#DIV/0!</v>
      </c>
      <c r="BI47" s="79"/>
    </row>
    <row r="48" spans="1:61" ht="13.8" outlineLevel="2" x14ac:dyDescent="0.25">
      <c r="A48" s="4015"/>
      <c r="B48" s="18" t="s">
        <v>15</v>
      </c>
      <c r="C48" s="113"/>
      <c r="D48" s="119"/>
      <c r="E48" s="120">
        <f t="shared" si="47"/>
        <v>0</v>
      </c>
      <c r="F48" s="178">
        <f t="shared" si="39"/>
        <v>0</v>
      </c>
      <c r="G48" s="39">
        <v>472.08</v>
      </c>
      <c r="H48" s="39">
        <v>217</v>
      </c>
      <c r="I48" s="210">
        <f t="shared" si="48"/>
        <v>689.07999999999993</v>
      </c>
      <c r="J48" s="178">
        <f t="shared" si="40"/>
        <v>5.2368874459235893E-4</v>
      </c>
      <c r="K48" s="79"/>
      <c r="L48" s="39"/>
      <c r="M48" s="39"/>
      <c r="N48" s="106">
        <f t="shared" si="49"/>
        <v>0</v>
      </c>
      <c r="O48" s="178" t="e">
        <f t="shared" si="41"/>
        <v>#DIV/0!</v>
      </c>
      <c r="P48" s="79"/>
      <c r="Q48" s="39"/>
      <c r="R48" s="39"/>
      <c r="S48" s="106">
        <f t="shared" si="50"/>
        <v>0</v>
      </c>
      <c r="T48" s="178">
        <f t="shared" si="51"/>
        <v>0</v>
      </c>
      <c r="U48" s="79"/>
      <c r="V48" s="39"/>
      <c r="W48" s="39"/>
      <c r="X48" s="106">
        <f t="shared" si="52"/>
        <v>0</v>
      </c>
      <c r="Y48" s="178">
        <f t="shared" si="42"/>
        <v>0</v>
      </c>
      <c r="Z48" s="79"/>
      <c r="AA48" s="39"/>
      <c r="AB48" s="39"/>
      <c r="AC48" s="106">
        <f t="shared" si="53"/>
        <v>0</v>
      </c>
      <c r="AD48" s="178">
        <f t="shared" si="54"/>
        <v>0</v>
      </c>
      <c r="AE48" s="79"/>
      <c r="AF48" s="39"/>
      <c r="AG48" s="39"/>
      <c r="AH48" s="106">
        <f t="shared" si="55"/>
        <v>0</v>
      </c>
      <c r="AI48" s="178">
        <f t="shared" si="43"/>
        <v>0</v>
      </c>
      <c r="AJ48" s="79"/>
      <c r="AK48" s="39"/>
      <c r="AL48" s="39"/>
      <c r="AM48" s="106">
        <f t="shared" si="56"/>
        <v>0</v>
      </c>
      <c r="AN48" s="178">
        <f t="shared" si="9"/>
        <v>0</v>
      </c>
      <c r="AO48" s="79"/>
      <c r="AP48" s="39"/>
      <c r="AQ48" s="39"/>
      <c r="AR48" s="106">
        <f t="shared" si="57"/>
        <v>0</v>
      </c>
      <c r="AS48" s="178">
        <f t="shared" si="44"/>
        <v>0</v>
      </c>
      <c r="AT48" s="79"/>
      <c r="AU48" s="39"/>
      <c r="AV48" s="39"/>
      <c r="AW48" s="106">
        <f t="shared" si="58"/>
        <v>0</v>
      </c>
      <c r="AX48" s="178">
        <f t="shared" si="45"/>
        <v>0</v>
      </c>
      <c r="AY48" s="79"/>
      <c r="AZ48" s="1447"/>
      <c r="BA48" s="1447"/>
      <c r="BB48" s="1495">
        <f t="shared" si="59"/>
        <v>0</v>
      </c>
      <c r="BC48" s="1893">
        <f t="shared" si="12"/>
        <v>0</v>
      </c>
      <c r="BD48" s="1943"/>
      <c r="BE48" s="39">
        <f t="shared" si="60"/>
        <v>472.08</v>
      </c>
      <c r="BF48" s="39">
        <f t="shared" si="61"/>
        <v>217</v>
      </c>
      <c r="BG48" s="210">
        <f t="shared" si="62"/>
        <v>689.07999999999993</v>
      </c>
      <c r="BH48" s="178" t="e">
        <f t="shared" si="46"/>
        <v>#DIV/0!</v>
      </c>
      <c r="BI48" s="79"/>
    </row>
    <row r="49" spans="1:61" s="2" customFormat="1" ht="14.4" outlineLevel="2" thickBot="1" x14ac:dyDescent="0.3">
      <c r="A49" s="11"/>
      <c r="B49" s="35"/>
      <c r="C49" s="116"/>
      <c r="D49" s="121"/>
      <c r="E49" s="122"/>
      <c r="F49" s="182"/>
      <c r="G49" s="210">
        <v>0</v>
      </c>
      <c r="H49" s="39">
        <v>0</v>
      </c>
      <c r="I49" s="52"/>
      <c r="J49" s="178">
        <f t="shared" si="40"/>
        <v>0</v>
      </c>
      <c r="K49" s="52"/>
      <c r="L49" s="39"/>
      <c r="M49" s="39"/>
      <c r="N49" s="52"/>
      <c r="O49" s="178" t="e">
        <f t="shared" si="41"/>
        <v>#DIV/0!</v>
      </c>
      <c r="P49" s="52"/>
      <c r="Q49" s="39"/>
      <c r="R49" s="39"/>
      <c r="S49" s="52"/>
      <c r="T49" s="178">
        <f t="shared" si="51"/>
        <v>0</v>
      </c>
      <c r="U49" s="52"/>
      <c r="V49" s="39"/>
      <c r="W49" s="39"/>
      <c r="X49" s="52"/>
      <c r="Y49" s="178">
        <f t="shared" si="42"/>
        <v>0</v>
      </c>
      <c r="Z49" s="52"/>
      <c r="AA49" s="39"/>
      <c r="AB49" s="39"/>
      <c r="AC49" s="52"/>
      <c r="AD49" s="178">
        <f>AC49/$X$89</f>
        <v>0</v>
      </c>
      <c r="AE49" s="52"/>
      <c r="AF49" s="39"/>
      <c r="AG49" s="39"/>
      <c r="AH49" s="52"/>
      <c r="AI49" s="178">
        <f>AH49/$X$89</f>
        <v>0</v>
      </c>
      <c r="AJ49" s="52"/>
      <c r="AK49" s="39"/>
      <c r="AL49" s="39"/>
      <c r="AM49" s="52"/>
      <c r="AN49" s="178">
        <f t="shared" si="9"/>
        <v>0</v>
      </c>
      <c r="AO49" s="52"/>
      <c r="AP49" s="39"/>
      <c r="AQ49" s="39"/>
      <c r="AR49" s="52"/>
      <c r="AS49" s="178">
        <f>AR49/$AM$89</f>
        <v>0</v>
      </c>
      <c r="AT49" s="52"/>
      <c r="AU49" s="39"/>
      <c r="AV49" s="39"/>
      <c r="AW49" s="52"/>
      <c r="AX49" s="178">
        <f>AW49/$AM$89</f>
        <v>0</v>
      </c>
      <c r="AY49" s="52"/>
      <c r="AZ49" s="1447"/>
      <c r="BA49" s="1447"/>
      <c r="BB49" s="1454"/>
      <c r="BC49" s="1893">
        <f t="shared" si="12"/>
        <v>0</v>
      </c>
      <c r="BD49" s="1454"/>
      <c r="BE49" s="39"/>
      <c r="BF49" s="39"/>
      <c r="BG49" s="52"/>
      <c r="BH49" s="178" t="e">
        <f t="shared" si="46"/>
        <v>#DIV/0!</v>
      </c>
      <c r="BI49" s="52"/>
    </row>
    <row r="50" spans="1:61" s="2" customFormat="1" ht="13.8" outlineLevel="1" x14ac:dyDescent="0.25">
      <c r="A50" s="293"/>
      <c r="B50" s="17" t="s">
        <v>59</v>
      </c>
      <c r="C50" s="123"/>
      <c r="D50" s="123"/>
      <c r="E50" s="123">
        <f>SUM(E51:E52)</f>
        <v>0</v>
      </c>
      <c r="F50" s="170">
        <f>E50/$E$89</f>
        <v>0</v>
      </c>
      <c r="G50" s="123">
        <f>G52+G51</f>
        <v>1434.8</v>
      </c>
      <c r="H50" s="123">
        <f>H52+H51</f>
        <v>0</v>
      </c>
      <c r="I50" s="123">
        <f>I52+I51</f>
        <v>1434.8</v>
      </c>
      <c r="J50" s="60"/>
      <c r="K50" s="60"/>
      <c r="L50" s="123">
        <f>L52+L51</f>
        <v>0</v>
      </c>
      <c r="M50" s="123">
        <f>M52+M51</f>
        <v>0</v>
      </c>
      <c r="N50" s="123">
        <f>SUM(N51:N52)</f>
        <v>0</v>
      </c>
      <c r="O50" s="60"/>
      <c r="P50" s="60"/>
      <c r="Q50" s="123">
        <f>Q52+Q51</f>
        <v>0</v>
      </c>
      <c r="R50" s="123">
        <f>R52+R51</f>
        <v>0</v>
      </c>
      <c r="S50" s="123">
        <f>SUM(S51:S52)</f>
        <v>0</v>
      </c>
      <c r="T50" s="60">
        <f t="shared" si="51"/>
        <v>0</v>
      </c>
      <c r="U50" s="60"/>
      <c r="V50" s="123">
        <f>V52+V51</f>
        <v>0</v>
      </c>
      <c r="W50" s="123">
        <f>W52+W51</f>
        <v>0</v>
      </c>
      <c r="X50" s="123">
        <f>SUM(X51:X52)</f>
        <v>0</v>
      </c>
      <c r="Y50" s="60">
        <f t="shared" si="42"/>
        <v>0</v>
      </c>
      <c r="Z50" s="60"/>
      <c r="AA50" s="123">
        <f>AA52+AA51</f>
        <v>0</v>
      </c>
      <c r="AB50" s="123">
        <f>AB52+AB51</f>
        <v>0</v>
      </c>
      <c r="AC50" s="123">
        <f>SUM(AC51:AC52)</f>
        <v>0</v>
      </c>
      <c r="AD50" s="60">
        <f>AC50/$AC$89</f>
        <v>0</v>
      </c>
      <c r="AE50" s="60"/>
      <c r="AF50" s="123">
        <f>AF52+AF51</f>
        <v>0</v>
      </c>
      <c r="AG50" s="123">
        <f>AG52+AG51</f>
        <v>0</v>
      </c>
      <c r="AH50" s="123">
        <f>SUM(AH51:AH52)</f>
        <v>0</v>
      </c>
      <c r="AI50" s="60">
        <f>AH50/$AH$89</f>
        <v>0</v>
      </c>
      <c r="AJ50" s="60"/>
      <c r="AK50" s="123">
        <f>AK52+AK51</f>
        <v>0</v>
      </c>
      <c r="AL50" s="123">
        <f>AL52+AL51</f>
        <v>0</v>
      </c>
      <c r="AM50" s="123">
        <f>SUM(AM51:AM52)</f>
        <v>0</v>
      </c>
      <c r="AN50" s="60">
        <f t="shared" si="9"/>
        <v>0</v>
      </c>
      <c r="AO50" s="60"/>
      <c r="AP50" s="123">
        <f>AP52+AP51</f>
        <v>0</v>
      </c>
      <c r="AQ50" s="123">
        <f>AQ52+AQ51</f>
        <v>0</v>
      </c>
      <c r="AR50" s="123">
        <f>SUM(AR51:AR52)</f>
        <v>0</v>
      </c>
      <c r="AS50" s="60">
        <f>AR50/$AR$89</f>
        <v>0</v>
      </c>
      <c r="AT50" s="60"/>
      <c r="AU50" s="123">
        <f>AU52+AU51</f>
        <v>0</v>
      </c>
      <c r="AV50" s="123">
        <f>AV52+AV51</f>
        <v>0</v>
      </c>
      <c r="AW50" s="123">
        <f>SUM(AW51:AW52)</f>
        <v>0</v>
      </c>
      <c r="AX50" s="60">
        <f>AW50/$AR$89</f>
        <v>0</v>
      </c>
      <c r="AY50" s="60"/>
      <c r="AZ50" s="1512">
        <f>AZ52+AZ51</f>
        <v>0</v>
      </c>
      <c r="BA50" s="1512">
        <f>BA52+BA51</f>
        <v>0</v>
      </c>
      <c r="BB50" s="1512">
        <f>SUM(BB51:BB52)</f>
        <v>0</v>
      </c>
      <c r="BC50" s="1461">
        <f t="shared" si="12"/>
        <v>0</v>
      </c>
      <c r="BD50" s="1461"/>
      <c r="BE50" s="123">
        <f>BE52+BE51</f>
        <v>1434.8</v>
      </c>
      <c r="BF50" s="123">
        <f>BF52+BF51</f>
        <v>0</v>
      </c>
      <c r="BG50" s="123">
        <f>SUM(BG51:BG52)</f>
        <v>1434.8</v>
      </c>
      <c r="BH50" s="60"/>
      <c r="BI50" s="60"/>
    </row>
    <row r="51" spans="1:61" s="226" customFormat="1" ht="13.8" outlineLevel="1" x14ac:dyDescent="0.25">
      <c r="A51" s="234"/>
      <c r="B51" s="18" t="s">
        <v>60</v>
      </c>
      <c r="C51" s="113"/>
      <c r="D51" s="119"/>
      <c r="E51" s="119">
        <f>C51+D51</f>
        <v>0</v>
      </c>
      <c r="F51" s="180">
        <f>E51/$E$89</f>
        <v>0</v>
      </c>
      <c r="G51" s="39">
        <v>0</v>
      </c>
      <c r="H51" s="39">
        <v>0</v>
      </c>
      <c r="I51" s="210">
        <f>G51+H51*1</f>
        <v>0</v>
      </c>
      <c r="J51" s="178">
        <f>I51/$I$89</f>
        <v>0</v>
      </c>
      <c r="K51" s="45"/>
      <c r="L51" s="39"/>
      <c r="M51" s="39"/>
      <c r="N51" s="106">
        <f>L51+M51*1</f>
        <v>0</v>
      </c>
      <c r="O51" s="178" t="e">
        <f>N51/$N$89</f>
        <v>#DIV/0!</v>
      </c>
      <c r="P51" s="45"/>
      <c r="Q51" s="39"/>
      <c r="R51" s="39"/>
      <c r="S51" s="106">
        <f>Q51+R51*1</f>
        <v>0</v>
      </c>
      <c r="T51" s="178">
        <f t="shared" si="51"/>
        <v>0</v>
      </c>
      <c r="U51" s="45"/>
      <c r="V51" s="39"/>
      <c r="W51" s="39"/>
      <c r="X51" s="106">
        <f>V51+W51*1</f>
        <v>0</v>
      </c>
      <c r="Y51" s="178">
        <f t="shared" si="42"/>
        <v>0</v>
      </c>
      <c r="Z51" s="45"/>
      <c r="AA51" s="39"/>
      <c r="AB51" s="39"/>
      <c r="AC51" s="106">
        <f>AA51+AB51*1</f>
        <v>0</v>
      </c>
      <c r="AD51" s="178">
        <f>AC51/$AC$89</f>
        <v>0</v>
      </c>
      <c r="AE51" s="45"/>
      <c r="AF51" s="39"/>
      <c r="AG51" s="39"/>
      <c r="AH51" s="106">
        <f>AF51+AG51*1</f>
        <v>0</v>
      </c>
      <c r="AI51" s="178">
        <f>AH51/$AH$89</f>
        <v>0</v>
      </c>
      <c r="AJ51" s="45"/>
      <c r="AK51" s="39"/>
      <c r="AL51" s="39"/>
      <c r="AM51" s="106">
        <f>AK51+AL51*1</f>
        <v>0</v>
      </c>
      <c r="AN51" s="178">
        <f t="shared" si="9"/>
        <v>0</v>
      </c>
      <c r="AO51" s="45"/>
      <c r="AP51" s="39"/>
      <c r="AQ51" s="39"/>
      <c r="AR51" s="106">
        <f>AP51+AQ51*1</f>
        <v>0</v>
      </c>
      <c r="AS51" s="178">
        <f>AR51/$AR$89</f>
        <v>0</v>
      </c>
      <c r="AT51" s="45"/>
      <c r="AU51" s="39"/>
      <c r="AV51" s="39"/>
      <c r="AW51" s="106">
        <f>AU51+AV51*1</f>
        <v>0</v>
      </c>
      <c r="AX51" s="178">
        <f>AW51/$AR$89</f>
        <v>0</v>
      </c>
      <c r="AY51" s="45"/>
      <c r="AZ51" s="1447"/>
      <c r="BA51" s="1447"/>
      <c r="BB51" s="1495">
        <f>AZ51+BA51*1</f>
        <v>0</v>
      </c>
      <c r="BC51" s="1893">
        <f t="shared" si="12"/>
        <v>0</v>
      </c>
      <c r="BD51" s="1909"/>
      <c r="BE51" s="39">
        <f>G51+L51+Q51+V51+AA51+AF51+AK51+AP51+AU51</f>
        <v>0</v>
      </c>
      <c r="BF51" s="39">
        <f>H51+M51+R51+W51+AB51+AG51+AL51+AQ51+AV51</f>
        <v>0</v>
      </c>
      <c r="BG51" s="210">
        <f>BE51+BF51*1</f>
        <v>0</v>
      </c>
      <c r="BH51" s="178" t="e">
        <f>BG51/$N$89</f>
        <v>#DIV/0!</v>
      </c>
      <c r="BI51" s="45"/>
    </row>
    <row r="52" spans="1:61" s="235" customFormat="1" ht="13.8" outlineLevel="2" x14ac:dyDescent="0.25">
      <c r="A52" s="234"/>
      <c r="B52" s="18" t="s">
        <v>61</v>
      </c>
      <c r="C52" s="113"/>
      <c r="D52" s="119"/>
      <c r="E52" s="119">
        <f>C52+D52</f>
        <v>0</v>
      </c>
      <c r="F52" s="180">
        <f>E52/$E$89</f>
        <v>0</v>
      </c>
      <c r="G52" s="39">
        <v>1434.8</v>
      </c>
      <c r="H52" s="39">
        <v>0</v>
      </c>
      <c r="I52" s="210">
        <f>G52+H52*1</f>
        <v>1434.8</v>
      </c>
      <c r="J52" s="178">
        <f>I52/$I$89</f>
        <v>1.0904228982717777E-3</v>
      </c>
      <c r="K52" s="45"/>
      <c r="L52" s="39"/>
      <c r="M52" s="39"/>
      <c r="N52" s="106">
        <f>L52+M52*1</f>
        <v>0</v>
      </c>
      <c r="O52" s="178" t="e">
        <f>N52/$N$89</f>
        <v>#DIV/0!</v>
      </c>
      <c r="P52" s="45"/>
      <c r="Q52" s="39"/>
      <c r="R52" s="39"/>
      <c r="S52" s="106">
        <f>Q52+R52*1</f>
        <v>0</v>
      </c>
      <c r="T52" s="178">
        <f t="shared" si="51"/>
        <v>0</v>
      </c>
      <c r="U52" s="45"/>
      <c r="V52" s="39"/>
      <c r="W52" s="39"/>
      <c r="X52" s="106">
        <f>V52+W52*1</f>
        <v>0</v>
      </c>
      <c r="Y52" s="178">
        <f t="shared" si="42"/>
        <v>0</v>
      </c>
      <c r="Z52" s="45"/>
      <c r="AA52" s="39"/>
      <c r="AB52" s="39"/>
      <c r="AC52" s="106">
        <f>AA52+AB52*1</f>
        <v>0</v>
      </c>
      <c r="AD52" s="178">
        <f>AC52/$AC$89</f>
        <v>0</v>
      </c>
      <c r="AE52" s="45"/>
      <c r="AF52" s="39"/>
      <c r="AG52" s="39"/>
      <c r="AH52" s="106">
        <f>AF52+AG52*1</f>
        <v>0</v>
      </c>
      <c r="AI52" s="178">
        <f>AH52/$AH$89</f>
        <v>0</v>
      </c>
      <c r="AJ52" s="45"/>
      <c r="AK52" s="39"/>
      <c r="AL52" s="39"/>
      <c r="AM52" s="106">
        <f>AK52+AL52*1</f>
        <v>0</v>
      </c>
      <c r="AN52" s="178">
        <f t="shared" si="9"/>
        <v>0</v>
      </c>
      <c r="AO52" s="45"/>
      <c r="AP52" s="39"/>
      <c r="AQ52" s="39"/>
      <c r="AR52" s="106">
        <f>AP52+AQ52*1</f>
        <v>0</v>
      </c>
      <c r="AS52" s="178">
        <f>AR52/$AR$89</f>
        <v>0</v>
      </c>
      <c r="AT52" s="45"/>
      <c r="AU52" s="39"/>
      <c r="AV52" s="39"/>
      <c r="AW52" s="106">
        <f>AU52+AV52*1</f>
        <v>0</v>
      </c>
      <c r="AX52" s="178">
        <f>AW52/$AR$89</f>
        <v>0</v>
      </c>
      <c r="AY52" s="45"/>
      <c r="AZ52" s="1447"/>
      <c r="BA52" s="1447"/>
      <c r="BB52" s="1495">
        <f>AZ52+BA52*1</f>
        <v>0</v>
      </c>
      <c r="BC52" s="1893">
        <f t="shared" si="12"/>
        <v>0</v>
      </c>
      <c r="BD52" s="1909"/>
      <c r="BE52" s="39">
        <f>G52+L52+Q52+V52+AA52+AF52+AK52+AP52+AU52</f>
        <v>1434.8</v>
      </c>
      <c r="BF52" s="39">
        <f>H52+M52+R52+W52+AB52+AG52+AL52+AQ52+AV52</f>
        <v>0</v>
      </c>
      <c r="BG52" s="210">
        <f>BE52+BF52*1</f>
        <v>1434.8</v>
      </c>
      <c r="BH52" s="178" t="e">
        <f>BG52/$N$89</f>
        <v>#DIV/0!</v>
      </c>
      <c r="BI52" s="45"/>
    </row>
    <row r="53" spans="1:61" ht="14.4" outlineLevel="1" thickBot="1" x14ac:dyDescent="0.3">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f t="shared" si="9"/>
        <v>0</v>
      </c>
      <c r="AO53" s="61"/>
      <c r="AP53" s="39"/>
      <c r="AQ53" s="39"/>
      <c r="AR53" s="61"/>
      <c r="AS53" s="61">
        <f>AR53/$AM$89</f>
        <v>0</v>
      </c>
      <c r="AT53" s="61"/>
      <c r="AU53" s="39"/>
      <c r="AV53" s="39"/>
      <c r="AW53" s="61"/>
      <c r="AX53" s="61">
        <f>AW53/$AM$89</f>
        <v>0</v>
      </c>
      <c r="AY53" s="61"/>
      <c r="AZ53" s="1447"/>
      <c r="BA53" s="1447"/>
      <c r="BB53" s="1462"/>
      <c r="BC53" s="1462">
        <f t="shared" si="12"/>
        <v>0</v>
      </c>
      <c r="BD53" s="1462"/>
      <c r="BE53" s="39"/>
      <c r="BF53" s="39"/>
      <c r="BG53" s="61"/>
      <c r="BH53" s="61"/>
      <c r="BI53" s="61"/>
    </row>
    <row r="54" spans="1:61" ht="13.8" outlineLevel="1" x14ac:dyDescent="0.25">
      <c r="A54" s="236"/>
      <c r="B54" s="17" t="s">
        <v>1</v>
      </c>
      <c r="C54" s="123">
        <f>SUM(C55:C71)</f>
        <v>40860</v>
      </c>
      <c r="D54" s="123">
        <f>SUM(D55:D71)</f>
        <v>22165</v>
      </c>
      <c r="E54" s="127">
        <f>SUM(E55:E71)</f>
        <v>63025</v>
      </c>
      <c r="F54" s="170">
        <f>E54/$E$89</f>
        <v>4.1764077525790685E-2</v>
      </c>
      <c r="G54" s="123">
        <f>SUM(G55:G71)</f>
        <v>60594.07</v>
      </c>
      <c r="H54" s="123">
        <f>SUM(H55:H71)</f>
        <v>35542.810000000005</v>
      </c>
      <c r="I54" s="127">
        <f>SUM(I55:I71)</f>
        <v>96136.88</v>
      </c>
      <c r="J54" s="169">
        <f t="shared" ref="J54:J72" si="63">I54/$I$89</f>
        <v>7.3062346891835869E-2</v>
      </c>
      <c r="K54" s="60"/>
      <c r="L54" s="123">
        <f>SUM(L55:L71)</f>
        <v>0</v>
      </c>
      <c r="M54" s="123">
        <f>SUM(M55:M71)</f>
        <v>0</v>
      </c>
      <c r="N54" s="127">
        <f>SUM(N55:N71)</f>
        <v>0</v>
      </c>
      <c r="O54" s="169" t="e">
        <f t="shared" ref="O54:O72" si="64">N54/$N$89</f>
        <v>#DIV/0!</v>
      </c>
      <c r="P54" s="60"/>
      <c r="Q54" s="123">
        <f>SUM(Q55:Q71)</f>
        <v>200</v>
      </c>
      <c r="R54" s="123">
        <f>SUM(R55:R71)</f>
        <v>520</v>
      </c>
      <c r="S54" s="127">
        <f>SUM(S55:S71)</f>
        <v>720</v>
      </c>
      <c r="T54" s="169">
        <f t="shared" ref="T54:T72" si="65">S54/$S$89</f>
        <v>2.043296456726201E-2</v>
      </c>
      <c r="U54" s="60"/>
      <c r="V54" s="123">
        <f>SUM(V55:V71)</f>
        <v>0</v>
      </c>
      <c r="W54" s="123">
        <f>SUM(W55:W71)</f>
        <v>520.20000000000005</v>
      </c>
      <c r="X54" s="127">
        <f>SUM(X55:X71)</f>
        <v>520.20000000000005</v>
      </c>
      <c r="Y54" s="169">
        <f t="shared" ref="Y54:Y72" si="66">X54/$X$89</f>
        <v>3.7551603490685124E-3</v>
      </c>
      <c r="Z54" s="60"/>
      <c r="AA54" s="123">
        <f>SUM(AA55:AA71)</f>
        <v>0</v>
      </c>
      <c r="AB54" s="123">
        <f>SUM(AB55:AB71)</f>
        <v>164.36</v>
      </c>
      <c r="AC54" s="127">
        <f>SUM(AC55:AC71)</f>
        <v>164.36</v>
      </c>
      <c r="AD54" s="169">
        <f t="shared" ref="AD54:AD71" si="67">AC54/$AC$89</f>
        <v>3.0420497299986529E-3</v>
      </c>
      <c r="AE54" s="60"/>
      <c r="AF54" s="123">
        <f>SUM(AF55:AF71)</f>
        <v>400</v>
      </c>
      <c r="AG54" s="123">
        <f>SUM(AG55:AG71)</f>
        <v>1683.23</v>
      </c>
      <c r="AH54" s="127">
        <f>SUM(AH55:AH71)</f>
        <v>2083.23</v>
      </c>
      <c r="AI54" s="169">
        <f t="shared" ref="AI54:AI71" si="68">AH54/$AH$89</f>
        <v>3.9146504246090556E-2</v>
      </c>
      <c r="AJ54" s="60"/>
      <c r="AK54" s="123">
        <f>SUM(AK55:AK71)</f>
        <v>0</v>
      </c>
      <c r="AL54" s="123">
        <f>SUM(AL55:AL71)</f>
        <v>0</v>
      </c>
      <c r="AM54" s="127">
        <f>SUM(AM55:AM71)</f>
        <v>0</v>
      </c>
      <c r="AN54" s="169">
        <f t="shared" si="9"/>
        <v>0</v>
      </c>
      <c r="AO54" s="60"/>
      <c r="AP54" s="123">
        <f>SUM(AP55:AP71)</f>
        <v>0</v>
      </c>
      <c r="AQ54" s="123">
        <f>SUM(AQ55:AQ71)</f>
        <v>0</v>
      </c>
      <c r="AR54" s="127">
        <f>SUM(AR55:AR71)</f>
        <v>0</v>
      </c>
      <c r="AS54" s="169">
        <f t="shared" ref="AS54:AS71" si="69">AR54/$AR$89</f>
        <v>0</v>
      </c>
      <c r="AT54" s="60"/>
      <c r="AU54" s="123">
        <f>SUM(AU55:AU71)</f>
        <v>0</v>
      </c>
      <c r="AV54" s="123">
        <f>SUM(AV55:AV71)</f>
        <v>0</v>
      </c>
      <c r="AW54" s="127">
        <f>SUM(AW55:AW71)</f>
        <v>0</v>
      </c>
      <c r="AX54" s="169">
        <f t="shared" ref="AX54:AX71" si="70">AW54/$AR$89</f>
        <v>0</v>
      </c>
      <c r="AY54" s="60"/>
      <c r="AZ54" s="1512">
        <f>SUM(AZ55:AZ71)</f>
        <v>0</v>
      </c>
      <c r="BA54" s="1512">
        <f>SUM(BA55:BA71)</f>
        <v>0</v>
      </c>
      <c r="BB54" s="1515">
        <f>SUM(BB55:BB71)</f>
        <v>0</v>
      </c>
      <c r="BC54" s="1904">
        <f t="shared" si="12"/>
        <v>0</v>
      </c>
      <c r="BD54" s="1461"/>
      <c r="BE54" s="123">
        <f>SUM(BE55:BE71)</f>
        <v>61194.07</v>
      </c>
      <c r="BF54" s="123">
        <f>SUM(BF55:BF71)</f>
        <v>38430.600000000006</v>
      </c>
      <c r="BG54" s="127">
        <f>SUM(BG55:BG71)</f>
        <v>99624.670000000013</v>
      </c>
      <c r="BH54" s="169" t="e">
        <f t="shared" ref="BH54:BH64" si="71">BG54/$N$89</f>
        <v>#DIV/0!</v>
      </c>
      <c r="BI54" s="60"/>
    </row>
    <row r="55" spans="1:61" ht="13.95" customHeight="1" outlineLevel="2" x14ac:dyDescent="0.25">
      <c r="A55" s="237"/>
      <c r="B55" s="19" t="s">
        <v>77</v>
      </c>
      <c r="C55" s="113"/>
      <c r="D55" s="128"/>
      <c r="E55" s="120">
        <f t="shared" ref="E55:E71" si="72">C55+D55</f>
        <v>0</v>
      </c>
      <c r="F55" s="178">
        <f>E55/$E$89</f>
        <v>0</v>
      </c>
      <c r="G55" s="39">
        <v>0</v>
      </c>
      <c r="H55" s="39">
        <v>0</v>
      </c>
      <c r="I55" s="210">
        <f t="shared" ref="I55:I71" si="73">G55+H55*1</f>
        <v>0</v>
      </c>
      <c r="J55" s="178">
        <f t="shared" si="63"/>
        <v>0</v>
      </c>
      <c r="K55" s="79"/>
      <c r="L55" s="210"/>
      <c r="M55" s="210"/>
      <c r="N55" s="106">
        <f t="shared" ref="N55:N71" si="74">L55+M55*1</f>
        <v>0</v>
      </c>
      <c r="O55" s="178" t="e">
        <f t="shared" si="64"/>
        <v>#DIV/0!</v>
      </c>
      <c r="P55" s="79"/>
      <c r="Q55" s="210"/>
      <c r="R55" s="210"/>
      <c r="S55" s="106">
        <f t="shared" ref="S55:S71" si="75">Q55+R55*1</f>
        <v>0</v>
      </c>
      <c r="T55" s="178">
        <f t="shared" si="65"/>
        <v>0</v>
      </c>
      <c r="U55" s="79"/>
      <c r="V55" s="210"/>
      <c r="W55" s="210"/>
      <c r="X55" s="106">
        <f t="shared" ref="X55:X71" si="76">V55+W55*1</f>
        <v>0</v>
      </c>
      <c r="Y55" s="178">
        <f t="shared" si="66"/>
        <v>0</v>
      </c>
      <c r="Z55" s="79"/>
      <c r="AA55" s="210"/>
      <c r="AB55" s="210"/>
      <c r="AC55" s="106">
        <f t="shared" ref="AC55:AC71" si="77">AA55+AB55*1</f>
        <v>0</v>
      </c>
      <c r="AD55" s="178">
        <f t="shared" si="67"/>
        <v>0</v>
      </c>
      <c r="AE55" s="79"/>
      <c r="AF55" s="210"/>
      <c r="AG55" s="210"/>
      <c r="AH55" s="106">
        <f t="shared" ref="AH55:AH71" si="78">AF55+AG55*1</f>
        <v>0</v>
      </c>
      <c r="AI55" s="178">
        <f t="shared" si="68"/>
        <v>0</v>
      </c>
      <c r="AJ55" s="79"/>
      <c r="AK55" s="210"/>
      <c r="AL55" s="210"/>
      <c r="AM55" s="106">
        <f t="shared" ref="AM55:AM71" si="79">AK55+AL55*1</f>
        <v>0</v>
      </c>
      <c r="AN55" s="178">
        <f t="shared" si="9"/>
        <v>0</v>
      </c>
      <c r="AO55" s="79"/>
      <c r="AP55" s="210"/>
      <c r="AQ55" s="210"/>
      <c r="AR55" s="106">
        <f t="shared" ref="AR55:AR71" si="80">AP55+AQ55*1</f>
        <v>0</v>
      </c>
      <c r="AS55" s="178">
        <f t="shared" si="69"/>
        <v>0</v>
      </c>
      <c r="AT55" s="79"/>
      <c r="AU55" s="210"/>
      <c r="AV55" s="210"/>
      <c r="AW55" s="106">
        <f t="shared" ref="AW55:AW71" si="81">AU55+AV55*1</f>
        <v>0</v>
      </c>
      <c r="AX55" s="178">
        <f t="shared" si="70"/>
        <v>0</v>
      </c>
      <c r="AY55" s="79"/>
      <c r="AZ55" s="1567"/>
      <c r="BA55" s="1567"/>
      <c r="BB55" s="1495">
        <f t="shared" ref="BB55:BB71" si="82">AZ55+BA55*1</f>
        <v>0</v>
      </c>
      <c r="BC55" s="1893">
        <f t="shared" si="12"/>
        <v>0</v>
      </c>
      <c r="BD55" s="1943"/>
      <c r="BE55" s="39">
        <f t="shared" ref="BE55:BE71" si="83">G55+L55+Q55+V55+AA55+AF55+AK55+AP55+AU55</f>
        <v>0</v>
      </c>
      <c r="BF55" s="39">
        <f t="shared" ref="BF55:BF71" si="84">H55+M55+R55+W55+AB55+AG55+AL55+AQ55+AV55</f>
        <v>0</v>
      </c>
      <c r="BG55" s="106">
        <f t="shared" ref="BG55:BG71" si="85">BE55+BF55*1</f>
        <v>0</v>
      </c>
      <c r="BH55" s="178" t="e">
        <f t="shared" si="71"/>
        <v>#DIV/0!</v>
      </c>
      <c r="BI55" s="79"/>
    </row>
    <row r="56" spans="1:61" ht="13.95" customHeight="1" outlineLevel="2" x14ac:dyDescent="0.25">
      <c r="A56" s="237"/>
      <c r="B56" s="19" t="s">
        <v>76</v>
      </c>
      <c r="C56" s="113"/>
      <c r="D56" s="128"/>
      <c r="E56" s="120">
        <f t="shared" si="72"/>
        <v>0</v>
      </c>
      <c r="F56" s="178">
        <f t="shared" ref="F56:F72" si="86">E56/$E$89</f>
        <v>0</v>
      </c>
      <c r="G56" s="39">
        <v>0</v>
      </c>
      <c r="H56" s="39">
        <v>0</v>
      </c>
      <c r="I56" s="210">
        <f t="shared" si="73"/>
        <v>0</v>
      </c>
      <c r="J56" s="178">
        <f t="shared" si="63"/>
        <v>0</v>
      </c>
      <c r="K56" s="79"/>
      <c r="L56" s="210"/>
      <c r="M56" s="210"/>
      <c r="N56" s="106">
        <f t="shared" si="74"/>
        <v>0</v>
      </c>
      <c r="O56" s="178" t="e">
        <f t="shared" si="64"/>
        <v>#DIV/0!</v>
      </c>
      <c r="P56" s="79"/>
      <c r="Q56" s="210"/>
      <c r="R56" s="210"/>
      <c r="S56" s="106">
        <f t="shared" si="75"/>
        <v>0</v>
      </c>
      <c r="T56" s="178">
        <f t="shared" si="65"/>
        <v>0</v>
      </c>
      <c r="U56" s="79"/>
      <c r="V56" s="210"/>
      <c r="W56" s="210"/>
      <c r="X56" s="106">
        <f t="shared" si="76"/>
        <v>0</v>
      </c>
      <c r="Y56" s="178">
        <f t="shared" si="66"/>
        <v>0</v>
      </c>
      <c r="Z56" s="79"/>
      <c r="AA56" s="210"/>
      <c r="AB56" s="210"/>
      <c r="AC56" s="106">
        <f t="shared" si="77"/>
        <v>0</v>
      </c>
      <c r="AD56" s="178">
        <f t="shared" si="67"/>
        <v>0</v>
      </c>
      <c r="AE56" s="79"/>
      <c r="AF56" s="210"/>
      <c r="AG56" s="210"/>
      <c r="AH56" s="106">
        <f t="shared" si="78"/>
        <v>0</v>
      </c>
      <c r="AI56" s="178">
        <f t="shared" si="68"/>
        <v>0</v>
      </c>
      <c r="AJ56" s="79"/>
      <c r="AK56" s="210"/>
      <c r="AL56" s="210"/>
      <c r="AM56" s="106">
        <f t="shared" si="79"/>
        <v>0</v>
      </c>
      <c r="AN56" s="178">
        <f t="shared" si="9"/>
        <v>0</v>
      </c>
      <c r="AO56" s="79"/>
      <c r="AP56" s="210"/>
      <c r="AQ56" s="210"/>
      <c r="AR56" s="106">
        <f t="shared" si="80"/>
        <v>0</v>
      </c>
      <c r="AS56" s="178">
        <f t="shared" si="69"/>
        <v>0</v>
      </c>
      <c r="AT56" s="79"/>
      <c r="AU56" s="210"/>
      <c r="AV56" s="210"/>
      <c r="AW56" s="106">
        <f t="shared" si="81"/>
        <v>0</v>
      </c>
      <c r="AX56" s="178">
        <f t="shared" si="70"/>
        <v>0</v>
      </c>
      <c r="AY56" s="79"/>
      <c r="AZ56" s="1567"/>
      <c r="BA56" s="1567"/>
      <c r="BB56" s="1495">
        <f t="shared" si="82"/>
        <v>0</v>
      </c>
      <c r="BC56" s="1893">
        <f t="shared" si="12"/>
        <v>0</v>
      </c>
      <c r="BD56" s="1943"/>
      <c r="BE56" s="39">
        <f t="shared" si="83"/>
        <v>0</v>
      </c>
      <c r="BF56" s="39">
        <f t="shared" si="84"/>
        <v>0</v>
      </c>
      <c r="BG56" s="106">
        <f t="shared" si="85"/>
        <v>0</v>
      </c>
      <c r="BH56" s="178" t="e">
        <f t="shared" si="71"/>
        <v>#DIV/0!</v>
      </c>
      <c r="BI56" s="79"/>
    </row>
    <row r="57" spans="1:61" ht="13.95" customHeight="1" outlineLevel="2" x14ac:dyDescent="0.25">
      <c r="A57" s="237"/>
      <c r="B57" s="19" t="s">
        <v>68</v>
      </c>
      <c r="C57" s="113"/>
      <c r="D57" s="128"/>
      <c r="E57" s="120">
        <f t="shared" si="72"/>
        <v>0</v>
      </c>
      <c r="F57" s="178">
        <f t="shared" si="86"/>
        <v>0</v>
      </c>
      <c r="G57" s="39">
        <v>0</v>
      </c>
      <c r="H57" s="39">
        <v>0</v>
      </c>
      <c r="I57" s="210">
        <f t="shared" si="73"/>
        <v>0</v>
      </c>
      <c r="J57" s="178">
        <f t="shared" si="63"/>
        <v>0</v>
      </c>
      <c r="K57" s="79"/>
      <c r="L57" s="210"/>
      <c r="M57" s="210"/>
      <c r="N57" s="106">
        <f t="shared" si="74"/>
        <v>0</v>
      </c>
      <c r="O57" s="178" t="e">
        <f t="shared" si="64"/>
        <v>#DIV/0!</v>
      </c>
      <c r="P57" s="79"/>
      <c r="Q57" s="210"/>
      <c r="R57" s="210"/>
      <c r="S57" s="106">
        <f t="shared" si="75"/>
        <v>0</v>
      </c>
      <c r="T57" s="178">
        <f t="shared" si="65"/>
        <v>0</v>
      </c>
      <c r="U57" s="79"/>
      <c r="V57" s="210"/>
      <c r="W57" s="210"/>
      <c r="X57" s="106">
        <f t="shared" si="76"/>
        <v>0</v>
      </c>
      <c r="Y57" s="178">
        <f t="shared" si="66"/>
        <v>0</v>
      </c>
      <c r="Z57" s="79"/>
      <c r="AA57" s="210"/>
      <c r="AB57" s="210"/>
      <c r="AC57" s="106">
        <f t="shared" si="77"/>
        <v>0</v>
      </c>
      <c r="AD57" s="178">
        <f t="shared" si="67"/>
        <v>0</v>
      </c>
      <c r="AE57" s="79"/>
      <c r="AF57" s="210"/>
      <c r="AG57" s="210"/>
      <c r="AH57" s="106">
        <f t="shared" si="78"/>
        <v>0</v>
      </c>
      <c r="AI57" s="178">
        <f t="shared" si="68"/>
        <v>0</v>
      </c>
      <c r="AJ57" s="79"/>
      <c r="AK57" s="210"/>
      <c r="AL57" s="210"/>
      <c r="AM57" s="106">
        <f t="shared" si="79"/>
        <v>0</v>
      </c>
      <c r="AN57" s="178">
        <f t="shared" si="9"/>
        <v>0</v>
      </c>
      <c r="AO57" s="79"/>
      <c r="AP57" s="210"/>
      <c r="AQ57" s="210"/>
      <c r="AR57" s="106">
        <f t="shared" si="80"/>
        <v>0</v>
      </c>
      <c r="AS57" s="178">
        <f t="shared" si="69"/>
        <v>0</v>
      </c>
      <c r="AT57" s="79"/>
      <c r="AU57" s="210"/>
      <c r="AV57" s="210"/>
      <c r="AW57" s="106">
        <f t="shared" si="81"/>
        <v>0</v>
      </c>
      <c r="AX57" s="178">
        <f t="shared" si="70"/>
        <v>0</v>
      </c>
      <c r="AY57" s="79"/>
      <c r="AZ57" s="1567"/>
      <c r="BA57" s="1567"/>
      <c r="BB57" s="1495">
        <f t="shared" si="82"/>
        <v>0</v>
      </c>
      <c r="BC57" s="1893">
        <f t="shared" si="12"/>
        <v>0</v>
      </c>
      <c r="BD57" s="1943"/>
      <c r="BE57" s="39">
        <f t="shared" si="83"/>
        <v>0</v>
      </c>
      <c r="BF57" s="39">
        <f t="shared" si="84"/>
        <v>0</v>
      </c>
      <c r="BG57" s="106">
        <f t="shared" si="85"/>
        <v>0</v>
      </c>
      <c r="BH57" s="178" t="e">
        <f t="shared" si="71"/>
        <v>#DIV/0!</v>
      </c>
      <c r="BI57" s="79"/>
    </row>
    <row r="58" spans="1:61" ht="14.4" customHeight="1" outlineLevel="2" x14ac:dyDescent="0.25">
      <c r="A58" s="237"/>
      <c r="B58" s="19" t="s">
        <v>67</v>
      </c>
      <c r="C58" s="113">
        <v>10465</v>
      </c>
      <c r="D58" s="128">
        <v>20165</v>
      </c>
      <c r="E58" s="120">
        <f t="shared" si="72"/>
        <v>30630</v>
      </c>
      <c r="F58" s="178">
        <f t="shared" si="86"/>
        <v>2.0297242278698432E-2</v>
      </c>
      <c r="G58" s="39">
        <v>23155.83</v>
      </c>
      <c r="H58" s="39">
        <v>30843.5</v>
      </c>
      <c r="I58" s="210">
        <f t="shared" si="73"/>
        <v>53999.33</v>
      </c>
      <c r="J58" s="178">
        <f t="shared" si="63"/>
        <v>4.1038546085401556E-2</v>
      </c>
      <c r="K58" s="79"/>
      <c r="L58" s="210"/>
      <c r="M58" s="210"/>
      <c r="N58" s="106">
        <f t="shared" si="74"/>
        <v>0</v>
      </c>
      <c r="O58" s="178" t="e">
        <f t="shared" si="64"/>
        <v>#DIV/0!</v>
      </c>
      <c r="P58" s="79"/>
      <c r="Q58" s="210"/>
      <c r="R58" s="210"/>
      <c r="S58" s="106">
        <f t="shared" si="75"/>
        <v>0</v>
      </c>
      <c r="T58" s="178">
        <f t="shared" si="65"/>
        <v>0</v>
      </c>
      <c r="U58" s="79"/>
      <c r="V58" s="210"/>
      <c r="W58" s="210"/>
      <c r="X58" s="106">
        <f t="shared" si="76"/>
        <v>0</v>
      </c>
      <c r="Y58" s="178">
        <f t="shared" si="66"/>
        <v>0</v>
      </c>
      <c r="Z58" s="79"/>
      <c r="AA58" s="210"/>
      <c r="AB58" s="210"/>
      <c r="AC58" s="106">
        <f t="shared" si="77"/>
        <v>0</v>
      </c>
      <c r="AD58" s="178">
        <f t="shared" si="67"/>
        <v>0</v>
      </c>
      <c r="AE58" s="79"/>
      <c r="AF58" s="210"/>
      <c r="AG58" s="210"/>
      <c r="AH58" s="106">
        <f t="shared" si="78"/>
        <v>0</v>
      </c>
      <c r="AI58" s="178">
        <f t="shared" si="68"/>
        <v>0</v>
      </c>
      <c r="AJ58" s="79"/>
      <c r="AK58" s="210"/>
      <c r="AL58" s="210"/>
      <c r="AM58" s="106">
        <f t="shared" si="79"/>
        <v>0</v>
      </c>
      <c r="AN58" s="178">
        <f t="shared" si="9"/>
        <v>0</v>
      </c>
      <c r="AO58" s="79"/>
      <c r="AP58" s="210"/>
      <c r="AQ58" s="210"/>
      <c r="AR58" s="106">
        <f t="shared" si="80"/>
        <v>0</v>
      </c>
      <c r="AS58" s="178">
        <f t="shared" si="69"/>
        <v>0</v>
      </c>
      <c r="AT58" s="79"/>
      <c r="AU58" s="210"/>
      <c r="AV58" s="210"/>
      <c r="AW58" s="106">
        <f t="shared" si="81"/>
        <v>0</v>
      </c>
      <c r="AX58" s="178">
        <f t="shared" si="70"/>
        <v>0</v>
      </c>
      <c r="AY58" s="79"/>
      <c r="AZ58" s="1567"/>
      <c r="BA58" s="1567"/>
      <c r="BB58" s="1495">
        <f t="shared" si="82"/>
        <v>0</v>
      </c>
      <c r="BC58" s="1893">
        <f t="shared" si="12"/>
        <v>0</v>
      </c>
      <c r="BD58" s="1943"/>
      <c r="BE58" s="39">
        <f t="shared" si="83"/>
        <v>23155.83</v>
      </c>
      <c r="BF58" s="39">
        <f t="shared" si="84"/>
        <v>30843.5</v>
      </c>
      <c r="BG58" s="106">
        <f t="shared" si="85"/>
        <v>53999.33</v>
      </c>
      <c r="BH58" s="178" t="e">
        <f t="shared" si="71"/>
        <v>#DIV/0!</v>
      </c>
      <c r="BI58" s="79"/>
    </row>
    <row r="59" spans="1:61" ht="14.4" customHeight="1" outlineLevel="2" x14ac:dyDescent="0.25">
      <c r="A59" s="237"/>
      <c r="B59" s="19" t="s">
        <v>66</v>
      </c>
      <c r="C59" s="113">
        <v>2860</v>
      </c>
      <c r="D59" s="128"/>
      <c r="E59" s="120">
        <f t="shared" si="72"/>
        <v>2860</v>
      </c>
      <c r="F59" s="178">
        <f t="shared" si="86"/>
        <v>1.8952044700319137E-3</v>
      </c>
      <c r="G59" s="39">
        <v>5609.8</v>
      </c>
      <c r="H59" s="39">
        <v>0</v>
      </c>
      <c r="I59" s="210">
        <f t="shared" si="73"/>
        <v>5609.8</v>
      </c>
      <c r="J59" s="178">
        <f t="shared" si="63"/>
        <v>4.2633498569312929E-3</v>
      </c>
      <c r="K59" s="79"/>
      <c r="L59" s="210"/>
      <c r="M59" s="210"/>
      <c r="N59" s="106">
        <f t="shared" si="74"/>
        <v>0</v>
      </c>
      <c r="O59" s="178" t="e">
        <f t="shared" si="64"/>
        <v>#DIV/0!</v>
      </c>
      <c r="P59" s="79"/>
      <c r="Q59" s="210"/>
      <c r="R59" s="210"/>
      <c r="S59" s="106">
        <f t="shared" si="75"/>
        <v>0</v>
      </c>
      <c r="T59" s="178">
        <f t="shared" si="65"/>
        <v>0</v>
      </c>
      <c r="U59" s="79"/>
      <c r="V59" s="210"/>
      <c r="W59" s="210"/>
      <c r="X59" s="106">
        <f t="shared" si="76"/>
        <v>0</v>
      </c>
      <c r="Y59" s="178">
        <f t="shared" si="66"/>
        <v>0</v>
      </c>
      <c r="Z59" s="79"/>
      <c r="AA59" s="210"/>
      <c r="AB59" s="210"/>
      <c r="AC59" s="106">
        <f t="shared" si="77"/>
        <v>0</v>
      </c>
      <c r="AD59" s="178">
        <f t="shared" si="67"/>
        <v>0</v>
      </c>
      <c r="AE59" s="79"/>
      <c r="AF59" s="210"/>
      <c r="AG59" s="210"/>
      <c r="AH59" s="106">
        <f t="shared" si="78"/>
        <v>0</v>
      </c>
      <c r="AI59" s="178">
        <f t="shared" si="68"/>
        <v>0</v>
      </c>
      <c r="AJ59" s="79"/>
      <c r="AK59" s="210"/>
      <c r="AL59" s="210"/>
      <c r="AM59" s="106">
        <f t="shared" si="79"/>
        <v>0</v>
      </c>
      <c r="AN59" s="178">
        <f t="shared" si="9"/>
        <v>0</v>
      </c>
      <c r="AO59" s="79"/>
      <c r="AP59" s="210"/>
      <c r="AQ59" s="210"/>
      <c r="AR59" s="106">
        <f t="shared" si="80"/>
        <v>0</v>
      </c>
      <c r="AS59" s="178">
        <f t="shared" si="69"/>
        <v>0</v>
      </c>
      <c r="AT59" s="79"/>
      <c r="AU59" s="210"/>
      <c r="AV59" s="210"/>
      <c r="AW59" s="106">
        <f t="shared" si="81"/>
        <v>0</v>
      </c>
      <c r="AX59" s="178">
        <f t="shared" si="70"/>
        <v>0</v>
      </c>
      <c r="AY59" s="79"/>
      <c r="AZ59" s="1567"/>
      <c r="BA59" s="1567"/>
      <c r="BB59" s="1495">
        <f t="shared" si="82"/>
        <v>0</v>
      </c>
      <c r="BC59" s="1893">
        <f t="shared" si="12"/>
        <v>0</v>
      </c>
      <c r="BD59" s="1943"/>
      <c r="BE59" s="39">
        <f t="shared" si="83"/>
        <v>5609.8</v>
      </c>
      <c r="BF59" s="39">
        <f t="shared" si="84"/>
        <v>0</v>
      </c>
      <c r="BG59" s="106">
        <f t="shared" si="85"/>
        <v>5609.8</v>
      </c>
      <c r="BH59" s="178" t="e">
        <f t="shared" si="71"/>
        <v>#DIV/0!</v>
      </c>
      <c r="BI59" s="79"/>
    </row>
    <row r="60" spans="1:61" ht="14.4" customHeight="1" outlineLevel="2" x14ac:dyDescent="0.25">
      <c r="A60" s="237"/>
      <c r="B60" s="19" t="s">
        <v>65</v>
      </c>
      <c r="C60" s="113">
        <v>2535</v>
      </c>
      <c r="D60" s="128"/>
      <c r="E60" s="120">
        <f t="shared" si="72"/>
        <v>2535</v>
      </c>
      <c r="F60" s="178">
        <f t="shared" si="86"/>
        <v>1.6798403257101053E-3</v>
      </c>
      <c r="G60" s="39">
        <v>6328.4400000000005</v>
      </c>
      <c r="H60" s="39">
        <v>0</v>
      </c>
      <c r="I60" s="210">
        <f t="shared" si="73"/>
        <v>6328.4400000000005</v>
      </c>
      <c r="J60" s="178">
        <f t="shared" si="63"/>
        <v>4.8095036843734664E-3</v>
      </c>
      <c r="K60" s="79"/>
      <c r="L60" s="210"/>
      <c r="M60" s="210"/>
      <c r="N60" s="106">
        <f t="shared" si="74"/>
        <v>0</v>
      </c>
      <c r="O60" s="178" t="e">
        <f t="shared" si="64"/>
        <v>#DIV/0!</v>
      </c>
      <c r="P60" s="79"/>
      <c r="Q60" s="210"/>
      <c r="R60" s="210"/>
      <c r="S60" s="106">
        <f t="shared" si="75"/>
        <v>0</v>
      </c>
      <c r="T60" s="178">
        <f t="shared" si="65"/>
        <v>0</v>
      </c>
      <c r="U60" s="79"/>
      <c r="V60" s="210"/>
      <c r="W60" s="210"/>
      <c r="X60" s="106">
        <f t="shared" si="76"/>
        <v>0</v>
      </c>
      <c r="Y60" s="178">
        <f t="shared" si="66"/>
        <v>0</v>
      </c>
      <c r="Z60" s="79"/>
      <c r="AA60" s="210"/>
      <c r="AB60" s="210"/>
      <c r="AC60" s="106">
        <f t="shared" si="77"/>
        <v>0</v>
      </c>
      <c r="AD60" s="178">
        <f t="shared" si="67"/>
        <v>0</v>
      </c>
      <c r="AE60" s="79"/>
      <c r="AF60" s="210"/>
      <c r="AG60" s="210"/>
      <c r="AH60" s="106">
        <f t="shared" si="78"/>
        <v>0</v>
      </c>
      <c r="AI60" s="178">
        <f t="shared" si="68"/>
        <v>0</v>
      </c>
      <c r="AJ60" s="79"/>
      <c r="AK60" s="210"/>
      <c r="AL60" s="210"/>
      <c r="AM60" s="106">
        <f t="shared" si="79"/>
        <v>0</v>
      </c>
      <c r="AN60" s="178">
        <f t="shared" si="9"/>
        <v>0</v>
      </c>
      <c r="AO60" s="79"/>
      <c r="AP60" s="210"/>
      <c r="AQ60" s="210"/>
      <c r="AR60" s="106">
        <f t="shared" si="80"/>
        <v>0</v>
      </c>
      <c r="AS60" s="178">
        <f t="shared" si="69"/>
        <v>0</v>
      </c>
      <c r="AT60" s="79"/>
      <c r="AU60" s="210"/>
      <c r="AV60" s="210"/>
      <c r="AW60" s="106">
        <f t="shared" si="81"/>
        <v>0</v>
      </c>
      <c r="AX60" s="178">
        <f t="shared" si="70"/>
        <v>0</v>
      </c>
      <c r="AY60" s="79"/>
      <c r="AZ60" s="1567"/>
      <c r="BA60" s="1567"/>
      <c r="BB60" s="1495">
        <f t="shared" si="82"/>
        <v>0</v>
      </c>
      <c r="BC60" s="1893">
        <f t="shared" si="12"/>
        <v>0</v>
      </c>
      <c r="BD60" s="1943"/>
      <c r="BE60" s="39">
        <f t="shared" si="83"/>
        <v>6328.4400000000005</v>
      </c>
      <c r="BF60" s="39">
        <f t="shared" si="84"/>
        <v>0</v>
      </c>
      <c r="BG60" s="106">
        <f t="shared" si="85"/>
        <v>6328.4400000000005</v>
      </c>
      <c r="BH60" s="178" t="e">
        <f t="shared" si="71"/>
        <v>#DIV/0!</v>
      </c>
      <c r="BI60" s="79"/>
    </row>
    <row r="61" spans="1:61" ht="13.95" customHeight="1" outlineLevel="2" x14ac:dyDescent="0.25">
      <c r="A61" s="237"/>
      <c r="B61" s="19" t="s">
        <v>32</v>
      </c>
      <c r="C61" s="113"/>
      <c r="D61" s="128"/>
      <c r="E61" s="120">
        <f t="shared" si="72"/>
        <v>0</v>
      </c>
      <c r="F61" s="178">
        <f t="shared" si="86"/>
        <v>0</v>
      </c>
      <c r="G61" s="39">
        <v>0</v>
      </c>
      <c r="H61" s="39">
        <v>0</v>
      </c>
      <c r="I61" s="210">
        <f t="shared" si="73"/>
        <v>0</v>
      </c>
      <c r="J61" s="178">
        <f t="shared" si="63"/>
        <v>0</v>
      </c>
      <c r="K61" s="79"/>
      <c r="L61" s="210"/>
      <c r="M61" s="210"/>
      <c r="N61" s="106">
        <f t="shared" si="74"/>
        <v>0</v>
      </c>
      <c r="O61" s="178" t="e">
        <f t="shared" si="64"/>
        <v>#DIV/0!</v>
      </c>
      <c r="P61" s="79"/>
      <c r="Q61" s="210"/>
      <c r="R61" s="210"/>
      <c r="S61" s="106">
        <f t="shared" si="75"/>
        <v>0</v>
      </c>
      <c r="T61" s="178">
        <f t="shared" si="65"/>
        <v>0</v>
      </c>
      <c r="U61" s="79"/>
      <c r="V61" s="210"/>
      <c r="W61" s="210"/>
      <c r="X61" s="106">
        <f t="shared" si="76"/>
        <v>0</v>
      </c>
      <c r="Y61" s="178">
        <f t="shared" si="66"/>
        <v>0</v>
      </c>
      <c r="Z61" s="79"/>
      <c r="AA61" s="210"/>
      <c r="AB61" s="210"/>
      <c r="AC61" s="106">
        <f t="shared" si="77"/>
        <v>0</v>
      </c>
      <c r="AD61" s="178">
        <f t="shared" si="67"/>
        <v>0</v>
      </c>
      <c r="AE61" s="79"/>
      <c r="AF61" s="210"/>
      <c r="AG61" s="210"/>
      <c r="AH61" s="106">
        <f t="shared" si="78"/>
        <v>0</v>
      </c>
      <c r="AI61" s="178">
        <f t="shared" si="68"/>
        <v>0</v>
      </c>
      <c r="AJ61" s="79"/>
      <c r="AK61" s="210"/>
      <c r="AL61" s="210"/>
      <c r="AM61" s="106">
        <f t="shared" si="79"/>
        <v>0</v>
      </c>
      <c r="AN61" s="178">
        <f t="shared" si="9"/>
        <v>0</v>
      </c>
      <c r="AO61" s="79"/>
      <c r="AP61" s="210"/>
      <c r="AQ61" s="210"/>
      <c r="AR61" s="106">
        <f t="shared" si="80"/>
        <v>0</v>
      </c>
      <c r="AS61" s="178">
        <f t="shared" si="69"/>
        <v>0</v>
      </c>
      <c r="AT61" s="79"/>
      <c r="AU61" s="210"/>
      <c r="AV61" s="210"/>
      <c r="AW61" s="106">
        <f t="shared" si="81"/>
        <v>0</v>
      </c>
      <c r="AX61" s="178">
        <f t="shared" si="70"/>
        <v>0</v>
      </c>
      <c r="AY61" s="79"/>
      <c r="AZ61" s="1567"/>
      <c r="BA61" s="1567"/>
      <c r="BB61" s="1495">
        <f t="shared" si="82"/>
        <v>0</v>
      </c>
      <c r="BC61" s="1893">
        <f t="shared" si="12"/>
        <v>0</v>
      </c>
      <c r="BD61" s="1943"/>
      <c r="BE61" s="39">
        <f t="shared" si="83"/>
        <v>0</v>
      </c>
      <c r="BF61" s="39">
        <f t="shared" si="84"/>
        <v>0</v>
      </c>
      <c r="BG61" s="106">
        <f t="shared" si="85"/>
        <v>0</v>
      </c>
      <c r="BH61" s="178" t="e">
        <f t="shared" si="71"/>
        <v>#DIV/0!</v>
      </c>
      <c r="BI61" s="79"/>
    </row>
    <row r="62" spans="1:61" ht="30.6" customHeight="1" outlineLevel="2" x14ac:dyDescent="0.25">
      <c r="A62" s="237"/>
      <c r="B62" s="19" t="s">
        <v>33</v>
      </c>
      <c r="C62" s="129"/>
      <c r="D62" s="128"/>
      <c r="E62" s="120">
        <f t="shared" si="72"/>
        <v>0</v>
      </c>
      <c r="F62" s="178">
        <f t="shared" si="86"/>
        <v>0</v>
      </c>
      <c r="G62" s="39">
        <v>0</v>
      </c>
      <c r="H62" s="39">
        <v>250</v>
      </c>
      <c r="I62" s="210">
        <f t="shared" si="73"/>
        <v>250</v>
      </c>
      <c r="J62" s="178">
        <f t="shared" si="63"/>
        <v>1.8999562626703683E-4</v>
      </c>
      <c r="K62" s="79"/>
      <c r="L62" s="210"/>
      <c r="M62" s="210"/>
      <c r="N62" s="106">
        <f t="shared" si="74"/>
        <v>0</v>
      </c>
      <c r="O62" s="178" t="e">
        <f t="shared" si="64"/>
        <v>#DIV/0!</v>
      </c>
      <c r="P62" s="79"/>
      <c r="Q62" s="210"/>
      <c r="R62" s="210"/>
      <c r="S62" s="106">
        <f t="shared" si="75"/>
        <v>0</v>
      </c>
      <c r="T62" s="178">
        <f t="shared" si="65"/>
        <v>0</v>
      </c>
      <c r="U62" s="79"/>
      <c r="V62" s="210"/>
      <c r="W62" s="210"/>
      <c r="X62" s="106">
        <f t="shared" si="76"/>
        <v>0</v>
      </c>
      <c r="Y62" s="178">
        <f t="shared" si="66"/>
        <v>0</v>
      </c>
      <c r="Z62" s="79"/>
      <c r="AA62" s="210"/>
      <c r="AB62" s="210"/>
      <c r="AC62" s="106">
        <f t="shared" si="77"/>
        <v>0</v>
      </c>
      <c r="AD62" s="178">
        <f t="shared" si="67"/>
        <v>0</v>
      </c>
      <c r="AE62" s="79"/>
      <c r="AF62" s="210"/>
      <c r="AG62" s="210"/>
      <c r="AH62" s="106">
        <f t="shared" si="78"/>
        <v>0</v>
      </c>
      <c r="AI62" s="178">
        <f t="shared" si="68"/>
        <v>0</v>
      </c>
      <c r="AJ62" s="79"/>
      <c r="AK62" s="210"/>
      <c r="AL62" s="210"/>
      <c r="AM62" s="106">
        <f t="shared" si="79"/>
        <v>0</v>
      </c>
      <c r="AN62" s="178">
        <f t="shared" si="9"/>
        <v>0</v>
      </c>
      <c r="AO62" s="79"/>
      <c r="AP62" s="210"/>
      <c r="AQ62" s="210"/>
      <c r="AR62" s="106">
        <f t="shared" si="80"/>
        <v>0</v>
      </c>
      <c r="AS62" s="178">
        <f t="shared" si="69"/>
        <v>0</v>
      </c>
      <c r="AT62" s="79"/>
      <c r="AU62" s="210"/>
      <c r="AV62" s="210"/>
      <c r="AW62" s="106">
        <f t="shared" si="81"/>
        <v>0</v>
      </c>
      <c r="AX62" s="178">
        <f t="shared" si="70"/>
        <v>0</v>
      </c>
      <c r="AY62" s="79"/>
      <c r="AZ62" s="1567"/>
      <c r="BA62" s="1567"/>
      <c r="BB62" s="1495">
        <f t="shared" si="82"/>
        <v>0</v>
      </c>
      <c r="BC62" s="1893">
        <f t="shared" si="12"/>
        <v>0</v>
      </c>
      <c r="BD62" s="1943"/>
      <c r="BE62" s="39">
        <f t="shared" si="83"/>
        <v>0</v>
      </c>
      <c r="BF62" s="39">
        <f t="shared" si="84"/>
        <v>250</v>
      </c>
      <c r="BG62" s="106">
        <f t="shared" si="85"/>
        <v>250</v>
      </c>
      <c r="BH62" s="178" t="e">
        <f t="shared" si="71"/>
        <v>#DIV/0!</v>
      </c>
      <c r="BI62" s="79"/>
    </row>
    <row r="63" spans="1:61" ht="31.95" customHeight="1" outlineLevel="2" x14ac:dyDescent="0.25">
      <c r="A63" s="237"/>
      <c r="B63" s="19" t="s">
        <v>35</v>
      </c>
      <c r="C63" s="129"/>
      <c r="D63" s="128"/>
      <c r="E63" s="120">
        <f t="shared" si="72"/>
        <v>0</v>
      </c>
      <c r="F63" s="178">
        <f t="shared" si="86"/>
        <v>0</v>
      </c>
      <c r="G63" s="39">
        <v>0</v>
      </c>
      <c r="H63" s="39">
        <v>0</v>
      </c>
      <c r="I63" s="210">
        <f t="shared" si="73"/>
        <v>0</v>
      </c>
      <c r="J63" s="178">
        <f t="shared" si="63"/>
        <v>0</v>
      </c>
      <c r="K63" s="79"/>
      <c r="L63" s="210"/>
      <c r="M63" s="210"/>
      <c r="N63" s="106">
        <f t="shared" si="74"/>
        <v>0</v>
      </c>
      <c r="O63" s="178" t="e">
        <f t="shared" si="64"/>
        <v>#DIV/0!</v>
      </c>
      <c r="P63" s="79"/>
      <c r="Q63" s="210"/>
      <c r="R63" s="210"/>
      <c r="S63" s="106">
        <f t="shared" si="75"/>
        <v>0</v>
      </c>
      <c r="T63" s="178">
        <f t="shared" si="65"/>
        <v>0</v>
      </c>
      <c r="U63" s="79"/>
      <c r="V63" s="210"/>
      <c r="W63" s="210"/>
      <c r="X63" s="106">
        <f t="shared" si="76"/>
        <v>0</v>
      </c>
      <c r="Y63" s="178">
        <f t="shared" si="66"/>
        <v>0</v>
      </c>
      <c r="Z63" s="79"/>
      <c r="AA63" s="210"/>
      <c r="AB63" s="210"/>
      <c r="AC63" s="106">
        <f t="shared" si="77"/>
        <v>0</v>
      </c>
      <c r="AD63" s="178">
        <f t="shared" si="67"/>
        <v>0</v>
      </c>
      <c r="AE63" s="79"/>
      <c r="AF63" s="210"/>
      <c r="AG63" s="210"/>
      <c r="AH63" s="106">
        <f t="shared" si="78"/>
        <v>0</v>
      </c>
      <c r="AI63" s="178">
        <f t="shared" si="68"/>
        <v>0</v>
      </c>
      <c r="AJ63" s="79"/>
      <c r="AK63" s="210"/>
      <c r="AL63" s="210"/>
      <c r="AM63" s="106">
        <f t="shared" si="79"/>
        <v>0</v>
      </c>
      <c r="AN63" s="178">
        <f t="shared" si="9"/>
        <v>0</v>
      </c>
      <c r="AO63" s="79"/>
      <c r="AP63" s="210"/>
      <c r="AQ63" s="210"/>
      <c r="AR63" s="106">
        <f t="shared" si="80"/>
        <v>0</v>
      </c>
      <c r="AS63" s="178">
        <f t="shared" si="69"/>
        <v>0</v>
      </c>
      <c r="AT63" s="79"/>
      <c r="AU63" s="210"/>
      <c r="AV63" s="210"/>
      <c r="AW63" s="106">
        <f t="shared" si="81"/>
        <v>0</v>
      </c>
      <c r="AX63" s="178">
        <f t="shared" si="70"/>
        <v>0</v>
      </c>
      <c r="AY63" s="79"/>
      <c r="AZ63" s="1567"/>
      <c r="BA63" s="1567"/>
      <c r="BB63" s="1495">
        <f t="shared" si="82"/>
        <v>0</v>
      </c>
      <c r="BC63" s="1893">
        <f t="shared" si="12"/>
        <v>0</v>
      </c>
      <c r="BD63" s="1943"/>
      <c r="BE63" s="39">
        <f t="shared" si="83"/>
        <v>0</v>
      </c>
      <c r="BF63" s="39">
        <f t="shared" si="84"/>
        <v>0</v>
      </c>
      <c r="BG63" s="106">
        <f t="shared" si="85"/>
        <v>0</v>
      </c>
      <c r="BH63" s="178" t="e">
        <f t="shared" si="71"/>
        <v>#DIV/0!</v>
      </c>
      <c r="BI63" s="79"/>
    </row>
    <row r="64" spans="1:61" ht="31.2" customHeight="1" outlineLevel="2" x14ac:dyDescent="0.25">
      <c r="A64" s="237"/>
      <c r="B64" s="19" t="s">
        <v>63</v>
      </c>
      <c r="C64" s="129"/>
      <c r="D64" s="128"/>
      <c r="E64" s="120">
        <f t="shared" si="72"/>
        <v>0</v>
      </c>
      <c r="F64" s="178">
        <f t="shared" si="86"/>
        <v>0</v>
      </c>
      <c r="G64" s="39">
        <v>0</v>
      </c>
      <c r="H64" s="39">
        <v>0</v>
      </c>
      <c r="I64" s="210">
        <f t="shared" si="73"/>
        <v>0</v>
      </c>
      <c r="J64" s="178">
        <f t="shared" si="63"/>
        <v>0</v>
      </c>
      <c r="K64" s="79"/>
      <c r="L64" s="210"/>
      <c r="M64" s="210"/>
      <c r="N64" s="106">
        <f t="shared" si="74"/>
        <v>0</v>
      </c>
      <c r="O64" s="178" t="e">
        <f t="shared" si="64"/>
        <v>#DIV/0!</v>
      </c>
      <c r="P64" s="79"/>
      <c r="Q64" s="210"/>
      <c r="R64" s="210"/>
      <c r="S64" s="106">
        <f t="shared" si="75"/>
        <v>0</v>
      </c>
      <c r="T64" s="178">
        <f t="shared" si="65"/>
        <v>0</v>
      </c>
      <c r="U64" s="79"/>
      <c r="V64" s="210"/>
      <c r="W64" s="210"/>
      <c r="X64" s="106">
        <f t="shared" si="76"/>
        <v>0</v>
      </c>
      <c r="Y64" s="178">
        <f t="shared" si="66"/>
        <v>0</v>
      </c>
      <c r="Z64" s="79"/>
      <c r="AA64" s="210"/>
      <c r="AB64" s="210"/>
      <c r="AC64" s="106">
        <f t="shared" si="77"/>
        <v>0</v>
      </c>
      <c r="AD64" s="178">
        <f t="shared" si="67"/>
        <v>0</v>
      </c>
      <c r="AE64" s="79"/>
      <c r="AF64" s="210"/>
      <c r="AG64" s="210"/>
      <c r="AH64" s="106">
        <f t="shared" si="78"/>
        <v>0</v>
      </c>
      <c r="AI64" s="178">
        <f t="shared" si="68"/>
        <v>0</v>
      </c>
      <c r="AJ64" s="79"/>
      <c r="AK64" s="210"/>
      <c r="AL64" s="210"/>
      <c r="AM64" s="106">
        <f t="shared" si="79"/>
        <v>0</v>
      </c>
      <c r="AN64" s="178">
        <f t="shared" si="9"/>
        <v>0</v>
      </c>
      <c r="AO64" s="79"/>
      <c r="AP64" s="210"/>
      <c r="AQ64" s="210"/>
      <c r="AR64" s="106">
        <f t="shared" si="80"/>
        <v>0</v>
      </c>
      <c r="AS64" s="178">
        <f t="shared" si="69"/>
        <v>0</v>
      </c>
      <c r="AT64" s="79"/>
      <c r="AU64" s="210"/>
      <c r="AV64" s="210"/>
      <c r="AW64" s="106">
        <f t="shared" si="81"/>
        <v>0</v>
      </c>
      <c r="AX64" s="178">
        <f t="shared" si="70"/>
        <v>0</v>
      </c>
      <c r="AY64" s="79"/>
      <c r="AZ64" s="1567"/>
      <c r="BA64" s="1567"/>
      <c r="BB64" s="1495">
        <f t="shared" si="82"/>
        <v>0</v>
      </c>
      <c r="BC64" s="1893">
        <f t="shared" si="12"/>
        <v>0</v>
      </c>
      <c r="BD64" s="1943"/>
      <c r="BE64" s="39">
        <f t="shared" si="83"/>
        <v>0</v>
      </c>
      <c r="BF64" s="39">
        <f t="shared" si="84"/>
        <v>0</v>
      </c>
      <c r="BG64" s="106">
        <f t="shared" si="85"/>
        <v>0</v>
      </c>
      <c r="BH64" s="178" t="e">
        <f t="shared" si="71"/>
        <v>#DIV/0!</v>
      </c>
      <c r="BI64" s="79"/>
    </row>
    <row r="65" spans="1:61" ht="93" customHeight="1" outlineLevel="2" x14ac:dyDescent="0.25">
      <c r="A65" s="237"/>
      <c r="B65" s="19" t="s">
        <v>36</v>
      </c>
      <c r="C65" s="129"/>
      <c r="D65" s="128"/>
      <c r="E65" s="120">
        <f t="shared" si="72"/>
        <v>0</v>
      </c>
      <c r="F65" s="178">
        <f t="shared" si="86"/>
        <v>0</v>
      </c>
      <c r="G65" s="39">
        <v>0</v>
      </c>
      <c r="H65" s="39">
        <v>3466.91</v>
      </c>
      <c r="I65" s="210">
        <f t="shared" si="73"/>
        <v>3466.91</v>
      </c>
      <c r="J65" s="178">
        <f t="shared" si="63"/>
        <v>2.6347909466458105E-3</v>
      </c>
      <c r="K65" s="79"/>
      <c r="L65" s="39"/>
      <c r="M65" s="39"/>
      <c r="N65" s="106">
        <f t="shared" si="74"/>
        <v>0</v>
      </c>
      <c r="O65" s="178" t="e">
        <f>N65/$N$89</f>
        <v>#DIV/0!</v>
      </c>
      <c r="P65" s="79"/>
      <c r="Q65" s="39">
        <v>200</v>
      </c>
      <c r="R65" s="39">
        <v>520</v>
      </c>
      <c r="S65" s="106">
        <f t="shared" si="75"/>
        <v>720</v>
      </c>
      <c r="T65" s="178">
        <f t="shared" si="65"/>
        <v>2.043296456726201E-2</v>
      </c>
      <c r="U65" s="79" t="s">
        <v>470</v>
      </c>
      <c r="V65" s="210"/>
      <c r="W65" s="210"/>
      <c r="X65" s="106">
        <f t="shared" si="76"/>
        <v>0</v>
      </c>
      <c r="Y65" s="178">
        <f t="shared" si="66"/>
        <v>0</v>
      </c>
      <c r="Z65" s="79"/>
      <c r="AA65" s="210"/>
      <c r="AB65" s="210"/>
      <c r="AC65" s="106">
        <f t="shared" si="77"/>
        <v>0</v>
      </c>
      <c r="AD65" s="178">
        <f t="shared" si="67"/>
        <v>0</v>
      </c>
      <c r="AE65" s="79"/>
      <c r="AF65" s="210">
        <v>400</v>
      </c>
      <c r="AG65" s="210">
        <v>680</v>
      </c>
      <c r="AH65" s="106">
        <f t="shared" si="78"/>
        <v>1080</v>
      </c>
      <c r="AI65" s="178">
        <f t="shared" si="68"/>
        <v>2.0294554411072134E-2</v>
      </c>
      <c r="AJ65" s="389" t="s">
        <v>886</v>
      </c>
      <c r="AK65" s="210"/>
      <c r="AL65" s="210"/>
      <c r="AM65" s="106">
        <f t="shared" si="79"/>
        <v>0</v>
      </c>
      <c r="AN65" s="178">
        <f t="shared" si="9"/>
        <v>0</v>
      </c>
      <c r="AO65" s="389"/>
      <c r="AP65" s="210"/>
      <c r="AQ65" s="210"/>
      <c r="AR65" s="106">
        <f t="shared" si="80"/>
        <v>0</v>
      </c>
      <c r="AS65" s="178">
        <f t="shared" si="69"/>
        <v>0</v>
      </c>
      <c r="AT65" s="389"/>
      <c r="AU65" s="210"/>
      <c r="AV65" s="210"/>
      <c r="AW65" s="106">
        <f t="shared" si="81"/>
        <v>0</v>
      </c>
      <c r="AX65" s="178">
        <f t="shared" si="70"/>
        <v>0</v>
      </c>
      <c r="AY65" s="389"/>
      <c r="AZ65" s="1567"/>
      <c r="BA65" s="1567"/>
      <c r="BB65" s="1495">
        <f t="shared" si="82"/>
        <v>0</v>
      </c>
      <c r="BC65" s="1893">
        <f t="shared" si="12"/>
        <v>0</v>
      </c>
      <c r="BD65" s="1958"/>
      <c r="BE65" s="39">
        <f t="shared" si="83"/>
        <v>600</v>
      </c>
      <c r="BF65" s="39">
        <f t="shared" si="84"/>
        <v>4666.91</v>
      </c>
      <c r="BG65" s="106">
        <f t="shared" si="85"/>
        <v>5266.91</v>
      </c>
      <c r="BH65" s="178" t="e">
        <f>BG65/$N$89</f>
        <v>#DIV/0!</v>
      </c>
      <c r="BI65" s="79"/>
    </row>
    <row r="66" spans="1:61" s="2" customFormat="1" ht="13.95" customHeight="1" outlineLevel="2" x14ac:dyDescent="0.25">
      <c r="A66" s="237"/>
      <c r="B66" s="19" t="s">
        <v>37</v>
      </c>
      <c r="C66" s="129"/>
      <c r="D66" s="128"/>
      <c r="E66" s="120">
        <f t="shared" si="72"/>
        <v>0</v>
      </c>
      <c r="F66" s="178">
        <f t="shared" si="86"/>
        <v>0</v>
      </c>
      <c r="G66" s="39">
        <v>0</v>
      </c>
      <c r="H66" s="39">
        <v>0</v>
      </c>
      <c r="I66" s="210">
        <f t="shared" si="73"/>
        <v>0</v>
      </c>
      <c r="J66" s="178">
        <f t="shared" si="63"/>
        <v>0</v>
      </c>
      <c r="K66" s="79"/>
      <c r="L66" s="39"/>
      <c r="M66" s="39"/>
      <c r="N66" s="106">
        <f t="shared" si="74"/>
        <v>0</v>
      </c>
      <c r="O66" s="178" t="e">
        <f t="shared" si="64"/>
        <v>#DIV/0!</v>
      </c>
      <c r="P66" s="79"/>
      <c r="Q66" s="39"/>
      <c r="R66" s="39"/>
      <c r="S66" s="106">
        <f t="shared" si="75"/>
        <v>0</v>
      </c>
      <c r="T66" s="178">
        <f t="shared" si="65"/>
        <v>0</v>
      </c>
      <c r="U66" s="79"/>
      <c r="V66" s="210"/>
      <c r="W66" s="210"/>
      <c r="X66" s="106">
        <f t="shared" si="76"/>
        <v>0</v>
      </c>
      <c r="Y66" s="178">
        <f t="shared" si="66"/>
        <v>0</v>
      </c>
      <c r="Z66" s="79"/>
      <c r="AA66" s="210"/>
      <c r="AB66" s="210"/>
      <c r="AC66" s="106">
        <f t="shared" si="77"/>
        <v>0</v>
      </c>
      <c r="AD66" s="178">
        <f t="shared" si="67"/>
        <v>0</v>
      </c>
      <c r="AE66" s="79"/>
      <c r="AF66" s="210"/>
      <c r="AG66" s="210"/>
      <c r="AH66" s="106">
        <f t="shared" si="78"/>
        <v>0</v>
      </c>
      <c r="AI66" s="178">
        <f t="shared" si="68"/>
        <v>0</v>
      </c>
      <c r="AJ66" s="79"/>
      <c r="AK66" s="210"/>
      <c r="AL66" s="210"/>
      <c r="AM66" s="106">
        <f t="shared" si="79"/>
        <v>0</v>
      </c>
      <c r="AN66" s="178">
        <f t="shared" si="9"/>
        <v>0</v>
      </c>
      <c r="AO66" s="79"/>
      <c r="AP66" s="210"/>
      <c r="AQ66" s="210"/>
      <c r="AR66" s="106">
        <f t="shared" si="80"/>
        <v>0</v>
      </c>
      <c r="AS66" s="178">
        <f t="shared" si="69"/>
        <v>0</v>
      </c>
      <c r="AT66" s="79"/>
      <c r="AU66" s="210"/>
      <c r="AV66" s="210"/>
      <c r="AW66" s="106">
        <f t="shared" si="81"/>
        <v>0</v>
      </c>
      <c r="AX66" s="178">
        <f t="shared" si="70"/>
        <v>0</v>
      </c>
      <c r="AY66" s="79"/>
      <c r="AZ66" s="1567"/>
      <c r="BA66" s="1567"/>
      <c r="BB66" s="1495">
        <f t="shared" si="82"/>
        <v>0</v>
      </c>
      <c r="BC66" s="1893">
        <f t="shared" si="12"/>
        <v>0</v>
      </c>
      <c r="BD66" s="1943"/>
      <c r="BE66" s="39">
        <f t="shared" si="83"/>
        <v>0</v>
      </c>
      <c r="BF66" s="39">
        <f t="shared" si="84"/>
        <v>0</v>
      </c>
      <c r="BG66" s="106">
        <f t="shared" si="85"/>
        <v>0</v>
      </c>
      <c r="BH66" s="178" t="e">
        <f t="shared" ref="BH66:BH72" si="87">BG66/$N$89</f>
        <v>#DIV/0!</v>
      </c>
      <c r="BI66" s="79"/>
    </row>
    <row r="67" spans="1:61" s="2" customFormat="1" ht="102" customHeight="1" outlineLevel="2" x14ac:dyDescent="0.25">
      <c r="A67" s="237"/>
      <c r="B67" s="19" t="s">
        <v>3</v>
      </c>
      <c r="C67" s="129"/>
      <c r="D67" s="128">
        <v>2000</v>
      </c>
      <c r="E67" s="120">
        <f t="shared" si="72"/>
        <v>2000</v>
      </c>
      <c r="F67" s="178">
        <f t="shared" si="86"/>
        <v>1.3253178112111283E-3</v>
      </c>
      <c r="G67" s="39">
        <v>0</v>
      </c>
      <c r="H67" s="39">
        <v>0</v>
      </c>
      <c r="I67" s="210">
        <f t="shared" si="73"/>
        <v>0</v>
      </c>
      <c r="J67" s="178">
        <f t="shared" si="63"/>
        <v>0</v>
      </c>
      <c r="K67" s="79"/>
      <c r="L67" s="39"/>
      <c r="M67" s="39"/>
      <c r="N67" s="106">
        <f t="shared" si="74"/>
        <v>0</v>
      </c>
      <c r="O67" s="178" t="e">
        <f t="shared" si="64"/>
        <v>#DIV/0!</v>
      </c>
      <c r="P67" s="79"/>
      <c r="Q67" s="39"/>
      <c r="R67" s="39"/>
      <c r="S67" s="106">
        <f t="shared" si="75"/>
        <v>0</v>
      </c>
      <c r="T67" s="178">
        <f t="shared" si="65"/>
        <v>0</v>
      </c>
      <c r="U67" s="79"/>
      <c r="V67" s="39"/>
      <c r="W67" s="39"/>
      <c r="X67" s="106">
        <f t="shared" si="76"/>
        <v>0</v>
      </c>
      <c r="Y67" s="178">
        <f t="shared" si="66"/>
        <v>0</v>
      </c>
      <c r="Z67" s="79"/>
      <c r="AA67" s="39"/>
      <c r="AB67" s="39"/>
      <c r="AC67" s="106">
        <f t="shared" si="77"/>
        <v>0</v>
      </c>
      <c r="AD67" s="178">
        <f t="shared" si="67"/>
        <v>0</v>
      </c>
      <c r="AE67" s="79"/>
      <c r="AF67" s="39"/>
      <c r="AG67" s="39"/>
      <c r="AH67" s="106">
        <f t="shared" si="78"/>
        <v>0</v>
      </c>
      <c r="AI67" s="178">
        <f t="shared" si="68"/>
        <v>0</v>
      </c>
      <c r="AJ67" s="79"/>
      <c r="AK67" s="39"/>
      <c r="AL67" s="39"/>
      <c r="AM67" s="106">
        <f t="shared" si="79"/>
        <v>0</v>
      </c>
      <c r="AN67" s="178">
        <f t="shared" si="9"/>
        <v>0</v>
      </c>
      <c r="AO67" s="79"/>
      <c r="AP67" s="39"/>
      <c r="AQ67" s="39"/>
      <c r="AR67" s="106">
        <f t="shared" si="80"/>
        <v>0</v>
      </c>
      <c r="AS67" s="178">
        <f t="shared" si="69"/>
        <v>0</v>
      </c>
      <c r="AT67" s="79"/>
      <c r="AU67" s="39"/>
      <c r="AV67" s="39"/>
      <c r="AW67" s="106">
        <f t="shared" si="81"/>
        <v>0</v>
      </c>
      <c r="AX67" s="178">
        <f t="shared" si="70"/>
        <v>0</v>
      </c>
      <c r="AY67" s="79"/>
      <c r="AZ67" s="1447"/>
      <c r="BA67" s="1447"/>
      <c r="BB67" s="1495">
        <f t="shared" si="82"/>
        <v>0</v>
      </c>
      <c r="BC67" s="1893">
        <f t="shared" si="12"/>
        <v>0</v>
      </c>
      <c r="BD67" s="1943"/>
      <c r="BE67" s="39">
        <f t="shared" si="83"/>
        <v>0</v>
      </c>
      <c r="BF67" s="39">
        <f t="shared" si="84"/>
        <v>0</v>
      </c>
      <c r="BG67" s="106">
        <f t="shared" si="85"/>
        <v>0</v>
      </c>
      <c r="BH67" s="178" t="e">
        <f t="shared" si="87"/>
        <v>#DIV/0!</v>
      </c>
      <c r="BI67" s="79"/>
    </row>
    <row r="68" spans="1:61" s="2" customFormat="1" ht="29.4" customHeight="1" outlineLevel="2" x14ac:dyDescent="0.25">
      <c r="A68" s="237"/>
      <c r="B68" s="19" t="s">
        <v>5</v>
      </c>
      <c r="C68" s="129"/>
      <c r="D68" s="128"/>
      <c r="E68" s="120">
        <f t="shared" si="72"/>
        <v>0</v>
      </c>
      <c r="F68" s="178">
        <f t="shared" si="86"/>
        <v>0</v>
      </c>
      <c r="G68" s="39">
        <v>0</v>
      </c>
      <c r="H68" s="39">
        <v>682.4</v>
      </c>
      <c r="I68" s="210">
        <f t="shared" si="73"/>
        <v>682.4</v>
      </c>
      <c r="J68" s="178">
        <f t="shared" si="63"/>
        <v>5.1861206145850365E-4</v>
      </c>
      <c r="K68" s="79"/>
      <c r="L68" s="39"/>
      <c r="M68" s="39"/>
      <c r="N68" s="106">
        <f t="shared" si="74"/>
        <v>0</v>
      </c>
      <c r="O68" s="178" t="e">
        <f t="shared" si="64"/>
        <v>#DIV/0!</v>
      </c>
      <c r="P68" s="79"/>
      <c r="Q68" s="39"/>
      <c r="R68" s="39"/>
      <c r="S68" s="106">
        <f t="shared" si="75"/>
        <v>0</v>
      </c>
      <c r="T68" s="178">
        <f t="shared" si="65"/>
        <v>0</v>
      </c>
      <c r="U68" s="79"/>
      <c r="V68" s="39"/>
      <c r="W68" s="39">
        <v>520.20000000000005</v>
      </c>
      <c r="X68" s="106">
        <f t="shared" si="76"/>
        <v>520.20000000000005</v>
      </c>
      <c r="Y68" s="178">
        <f t="shared" si="66"/>
        <v>3.7551603490685124E-3</v>
      </c>
      <c r="Z68" s="79"/>
      <c r="AA68" s="39"/>
      <c r="AB68" s="39">
        <v>164.36</v>
      </c>
      <c r="AC68" s="106">
        <f t="shared" si="77"/>
        <v>164.36</v>
      </c>
      <c r="AD68" s="178">
        <f t="shared" si="67"/>
        <v>3.0420497299986529E-3</v>
      </c>
      <c r="AE68" s="79"/>
      <c r="AF68" s="39"/>
      <c r="AG68" s="39">
        <v>1003.23</v>
      </c>
      <c r="AH68" s="106">
        <f t="shared" si="78"/>
        <v>1003.23</v>
      </c>
      <c r="AI68" s="178">
        <f t="shared" si="68"/>
        <v>1.8851949835018426E-2</v>
      </c>
      <c r="AJ68" s="79"/>
      <c r="AK68" s="39"/>
      <c r="AL68" s="39"/>
      <c r="AM68" s="106">
        <f t="shared" si="79"/>
        <v>0</v>
      </c>
      <c r="AN68" s="178">
        <f t="shared" si="9"/>
        <v>0</v>
      </c>
      <c r="AO68" s="79"/>
      <c r="AP68" s="39"/>
      <c r="AQ68" s="39"/>
      <c r="AR68" s="106">
        <f t="shared" si="80"/>
        <v>0</v>
      </c>
      <c r="AS68" s="178">
        <f t="shared" si="69"/>
        <v>0</v>
      </c>
      <c r="AT68" s="79"/>
      <c r="AU68" s="39"/>
      <c r="AV68" s="39"/>
      <c r="AW68" s="106">
        <f t="shared" si="81"/>
        <v>0</v>
      </c>
      <c r="AX68" s="178">
        <f t="shared" si="70"/>
        <v>0</v>
      </c>
      <c r="AY68" s="79"/>
      <c r="AZ68" s="1447"/>
      <c r="BA68" s="1447"/>
      <c r="BB68" s="1495">
        <f t="shared" si="82"/>
        <v>0</v>
      </c>
      <c r="BC68" s="1893">
        <f t="shared" si="12"/>
        <v>0</v>
      </c>
      <c r="BD68" s="1943"/>
      <c r="BE68" s="39">
        <f t="shared" si="83"/>
        <v>0</v>
      </c>
      <c r="BF68" s="39">
        <f t="shared" si="84"/>
        <v>2370.19</v>
      </c>
      <c r="BG68" s="106">
        <f t="shared" si="85"/>
        <v>2370.19</v>
      </c>
      <c r="BH68" s="178" t="e">
        <f t="shared" si="87"/>
        <v>#DIV/0!</v>
      </c>
      <c r="BI68" s="79"/>
    </row>
    <row r="69" spans="1:61" s="2" customFormat="1" ht="13.8" outlineLevel="2" x14ac:dyDescent="0.25">
      <c r="A69" s="237"/>
      <c r="B69" s="19" t="s">
        <v>42</v>
      </c>
      <c r="C69" s="129">
        <v>25000</v>
      </c>
      <c r="D69" s="128"/>
      <c r="E69" s="120">
        <f t="shared" si="72"/>
        <v>25000</v>
      </c>
      <c r="F69" s="178">
        <f t="shared" si="86"/>
        <v>1.6566472640139104E-2</v>
      </c>
      <c r="G69" s="39">
        <v>25500</v>
      </c>
      <c r="H69" s="39">
        <v>300</v>
      </c>
      <c r="I69" s="210">
        <f t="shared" si="73"/>
        <v>25800</v>
      </c>
      <c r="J69" s="178">
        <f t="shared" si="63"/>
        <v>1.9607548630758202E-2</v>
      </c>
      <c r="K69" s="79"/>
      <c r="L69" s="39"/>
      <c r="M69" s="39"/>
      <c r="N69" s="106">
        <f t="shared" si="74"/>
        <v>0</v>
      </c>
      <c r="O69" s="178" t="e">
        <f t="shared" si="64"/>
        <v>#DIV/0!</v>
      </c>
      <c r="P69" s="79"/>
      <c r="Q69" s="39"/>
      <c r="R69" s="39"/>
      <c r="S69" s="106">
        <f t="shared" si="75"/>
        <v>0</v>
      </c>
      <c r="T69" s="178">
        <f t="shared" si="65"/>
        <v>0</v>
      </c>
      <c r="U69" s="79"/>
      <c r="V69" s="39"/>
      <c r="W69" s="39"/>
      <c r="X69" s="106">
        <f t="shared" si="76"/>
        <v>0</v>
      </c>
      <c r="Y69" s="178">
        <f t="shared" si="66"/>
        <v>0</v>
      </c>
      <c r="Z69" s="79"/>
      <c r="AA69" s="39"/>
      <c r="AB69" s="39"/>
      <c r="AC69" s="106">
        <f t="shared" si="77"/>
        <v>0</v>
      </c>
      <c r="AD69" s="178">
        <f t="shared" si="67"/>
        <v>0</v>
      </c>
      <c r="AE69" s="79"/>
      <c r="AF69" s="39"/>
      <c r="AG69" s="39"/>
      <c r="AH69" s="106">
        <f t="shared" si="78"/>
        <v>0</v>
      </c>
      <c r="AI69" s="178">
        <f t="shared" si="68"/>
        <v>0</v>
      </c>
      <c r="AJ69" s="79"/>
      <c r="AK69" s="39"/>
      <c r="AL69" s="39"/>
      <c r="AM69" s="106">
        <f t="shared" si="79"/>
        <v>0</v>
      </c>
      <c r="AN69" s="178">
        <f t="shared" si="9"/>
        <v>0</v>
      </c>
      <c r="AO69" s="79"/>
      <c r="AP69" s="39"/>
      <c r="AQ69" s="39"/>
      <c r="AR69" s="106">
        <f t="shared" si="80"/>
        <v>0</v>
      </c>
      <c r="AS69" s="178">
        <f t="shared" si="69"/>
        <v>0</v>
      </c>
      <c r="AT69" s="79"/>
      <c r="AU69" s="39"/>
      <c r="AV69" s="39"/>
      <c r="AW69" s="106">
        <f t="shared" si="81"/>
        <v>0</v>
      </c>
      <c r="AX69" s="178">
        <f t="shared" si="70"/>
        <v>0</v>
      </c>
      <c r="AY69" s="79"/>
      <c r="AZ69" s="1447"/>
      <c r="BA69" s="1447"/>
      <c r="BB69" s="1495">
        <f t="shared" si="82"/>
        <v>0</v>
      </c>
      <c r="BC69" s="1893">
        <f t="shared" si="12"/>
        <v>0</v>
      </c>
      <c r="BD69" s="1943"/>
      <c r="BE69" s="39">
        <f t="shared" si="83"/>
        <v>25500</v>
      </c>
      <c r="BF69" s="39">
        <f t="shared" si="84"/>
        <v>300</v>
      </c>
      <c r="BG69" s="106">
        <f t="shared" si="85"/>
        <v>25800</v>
      </c>
      <c r="BH69" s="178" t="e">
        <f t="shared" si="87"/>
        <v>#DIV/0!</v>
      </c>
      <c r="BI69" s="79"/>
    </row>
    <row r="70" spans="1:61" s="2" customFormat="1" ht="22.95" customHeight="1" outlineLevel="2" x14ac:dyDescent="0.25">
      <c r="A70" s="237"/>
      <c r="B70" s="19" t="s">
        <v>6</v>
      </c>
      <c r="C70" s="129"/>
      <c r="D70" s="128"/>
      <c r="E70" s="120">
        <f t="shared" si="72"/>
        <v>0</v>
      </c>
      <c r="F70" s="178">
        <f t="shared" si="86"/>
        <v>0</v>
      </c>
      <c r="G70" s="39">
        <v>0</v>
      </c>
      <c r="H70" s="39">
        <v>0</v>
      </c>
      <c r="I70" s="210">
        <f t="shared" si="73"/>
        <v>0</v>
      </c>
      <c r="J70" s="178">
        <f t="shared" si="63"/>
        <v>0</v>
      </c>
      <c r="K70" s="79"/>
      <c r="L70" s="39"/>
      <c r="M70" s="39"/>
      <c r="N70" s="106">
        <f t="shared" si="74"/>
        <v>0</v>
      </c>
      <c r="O70" s="178" t="e">
        <f t="shared" si="64"/>
        <v>#DIV/0!</v>
      </c>
      <c r="P70" s="79"/>
      <c r="Q70" s="39"/>
      <c r="R70" s="39"/>
      <c r="S70" s="106">
        <f t="shared" si="75"/>
        <v>0</v>
      </c>
      <c r="T70" s="178">
        <f t="shared" si="65"/>
        <v>0</v>
      </c>
      <c r="U70" s="79"/>
      <c r="V70" s="39"/>
      <c r="W70" s="39"/>
      <c r="X70" s="106">
        <f t="shared" si="76"/>
        <v>0</v>
      </c>
      <c r="Y70" s="178">
        <f t="shared" si="66"/>
        <v>0</v>
      </c>
      <c r="Z70" s="79"/>
      <c r="AA70" s="39"/>
      <c r="AB70" s="39"/>
      <c r="AC70" s="106">
        <f t="shared" si="77"/>
        <v>0</v>
      </c>
      <c r="AD70" s="178">
        <f t="shared" si="67"/>
        <v>0</v>
      </c>
      <c r="AE70" s="79"/>
      <c r="AF70" s="39"/>
      <c r="AG70" s="39"/>
      <c r="AH70" s="106">
        <f t="shared" si="78"/>
        <v>0</v>
      </c>
      <c r="AI70" s="178">
        <f t="shared" si="68"/>
        <v>0</v>
      </c>
      <c r="AJ70" s="79"/>
      <c r="AK70" s="39"/>
      <c r="AL70" s="39"/>
      <c r="AM70" s="106">
        <f t="shared" si="79"/>
        <v>0</v>
      </c>
      <c r="AN70" s="178">
        <f t="shared" si="9"/>
        <v>0</v>
      </c>
      <c r="AO70" s="79"/>
      <c r="AP70" s="39"/>
      <c r="AQ70" s="39"/>
      <c r="AR70" s="106">
        <f t="shared" si="80"/>
        <v>0</v>
      </c>
      <c r="AS70" s="178">
        <f t="shared" si="69"/>
        <v>0</v>
      </c>
      <c r="AT70" s="79"/>
      <c r="AU70" s="39"/>
      <c r="AV70" s="39"/>
      <c r="AW70" s="106">
        <f t="shared" si="81"/>
        <v>0</v>
      </c>
      <c r="AX70" s="178">
        <f t="shared" si="70"/>
        <v>0</v>
      </c>
      <c r="AY70" s="79"/>
      <c r="AZ70" s="1447"/>
      <c r="BA70" s="1447"/>
      <c r="BB70" s="1495">
        <f t="shared" si="82"/>
        <v>0</v>
      </c>
      <c r="BC70" s="1893">
        <f t="shared" si="12"/>
        <v>0</v>
      </c>
      <c r="BD70" s="1943"/>
      <c r="BE70" s="39">
        <f t="shared" si="83"/>
        <v>0</v>
      </c>
      <c r="BF70" s="39">
        <f t="shared" si="84"/>
        <v>0</v>
      </c>
      <c r="BG70" s="106">
        <f t="shared" si="85"/>
        <v>0</v>
      </c>
      <c r="BH70" s="178" t="e">
        <f t="shared" si="87"/>
        <v>#DIV/0!</v>
      </c>
      <c r="BI70" s="79"/>
    </row>
    <row r="71" spans="1:61" s="2" customFormat="1" ht="13.95" customHeight="1" outlineLevel="2" x14ac:dyDescent="0.25">
      <c r="A71" s="237"/>
      <c r="B71" s="19" t="s">
        <v>78</v>
      </c>
      <c r="C71" s="129"/>
      <c r="D71" s="128"/>
      <c r="E71" s="120">
        <f t="shared" si="72"/>
        <v>0</v>
      </c>
      <c r="F71" s="184">
        <f t="shared" si="86"/>
        <v>0</v>
      </c>
      <c r="G71" s="39">
        <v>0</v>
      </c>
      <c r="H71" s="39">
        <v>0</v>
      </c>
      <c r="I71" s="210">
        <f t="shared" si="73"/>
        <v>0</v>
      </c>
      <c r="J71" s="178">
        <f t="shared" si="63"/>
        <v>0</v>
      </c>
      <c r="K71" s="79"/>
      <c r="L71" s="39"/>
      <c r="M71" s="39"/>
      <c r="N71" s="106">
        <f t="shared" si="74"/>
        <v>0</v>
      </c>
      <c r="O71" s="178" t="e">
        <f t="shared" si="64"/>
        <v>#DIV/0!</v>
      </c>
      <c r="P71" s="79"/>
      <c r="Q71" s="39"/>
      <c r="R71" s="39"/>
      <c r="S71" s="106">
        <f t="shared" si="75"/>
        <v>0</v>
      </c>
      <c r="T71" s="178">
        <f t="shared" si="65"/>
        <v>0</v>
      </c>
      <c r="U71" s="79"/>
      <c r="V71" s="39"/>
      <c r="W71" s="39"/>
      <c r="X71" s="106">
        <f t="shared" si="76"/>
        <v>0</v>
      </c>
      <c r="Y71" s="178">
        <f t="shared" si="66"/>
        <v>0</v>
      </c>
      <c r="Z71" s="79"/>
      <c r="AA71" s="39"/>
      <c r="AB71" s="39"/>
      <c r="AC71" s="106">
        <f t="shared" si="77"/>
        <v>0</v>
      </c>
      <c r="AD71" s="178">
        <f t="shared" si="67"/>
        <v>0</v>
      </c>
      <c r="AE71" s="79"/>
      <c r="AF71" s="39"/>
      <c r="AG71" s="39"/>
      <c r="AH71" s="106">
        <f t="shared" si="78"/>
        <v>0</v>
      </c>
      <c r="AI71" s="178">
        <f t="shared" si="68"/>
        <v>0</v>
      </c>
      <c r="AJ71" s="79"/>
      <c r="AK71" s="39"/>
      <c r="AL71" s="39"/>
      <c r="AM71" s="106">
        <f t="shared" si="79"/>
        <v>0</v>
      </c>
      <c r="AN71" s="178">
        <f t="shared" si="9"/>
        <v>0</v>
      </c>
      <c r="AO71" s="79"/>
      <c r="AP71" s="39"/>
      <c r="AQ71" s="39"/>
      <c r="AR71" s="106">
        <f t="shared" si="80"/>
        <v>0</v>
      </c>
      <c r="AS71" s="178">
        <f t="shared" si="69"/>
        <v>0</v>
      </c>
      <c r="AT71" s="79"/>
      <c r="AU71" s="39"/>
      <c r="AV71" s="39"/>
      <c r="AW71" s="106">
        <f t="shared" si="81"/>
        <v>0</v>
      </c>
      <c r="AX71" s="178">
        <f t="shared" si="70"/>
        <v>0</v>
      </c>
      <c r="AY71" s="79"/>
      <c r="AZ71" s="1447"/>
      <c r="BA71" s="1447"/>
      <c r="BB71" s="1495">
        <f t="shared" si="82"/>
        <v>0</v>
      </c>
      <c r="BC71" s="1893">
        <f t="shared" si="12"/>
        <v>0</v>
      </c>
      <c r="BD71" s="1943"/>
      <c r="BE71" s="39">
        <f t="shared" si="83"/>
        <v>0</v>
      </c>
      <c r="BF71" s="39">
        <f t="shared" si="84"/>
        <v>0</v>
      </c>
      <c r="BG71" s="106">
        <f t="shared" si="85"/>
        <v>0</v>
      </c>
      <c r="BH71" s="178" t="e">
        <f t="shared" si="87"/>
        <v>#DIV/0!</v>
      </c>
      <c r="BI71" s="79"/>
    </row>
    <row r="72" spans="1:61" s="2" customFormat="1" ht="14.4" outlineLevel="2" thickBot="1" x14ac:dyDescent="0.3">
      <c r="A72" s="237"/>
      <c r="B72" s="19"/>
      <c r="C72" s="130"/>
      <c r="D72" s="131"/>
      <c r="E72" s="159"/>
      <c r="F72" s="184">
        <f t="shared" si="86"/>
        <v>0</v>
      </c>
      <c r="G72" s="210">
        <v>0</v>
      </c>
      <c r="H72" s="39">
        <v>0</v>
      </c>
      <c r="I72" s="106">
        <f>G72+H72*1.15</f>
        <v>0</v>
      </c>
      <c r="J72" s="178">
        <f t="shared" si="63"/>
        <v>0</v>
      </c>
      <c r="K72" s="79"/>
      <c r="L72" s="39"/>
      <c r="M72" s="39"/>
      <c r="N72" s="106"/>
      <c r="O72" s="178" t="e">
        <f t="shared" si="64"/>
        <v>#DIV/0!</v>
      </c>
      <c r="P72" s="79"/>
      <c r="Q72" s="39"/>
      <c r="R72" s="39"/>
      <c r="S72" s="106"/>
      <c r="T72" s="178">
        <f t="shared" si="65"/>
        <v>0</v>
      </c>
      <c r="U72" s="79"/>
      <c r="V72" s="39"/>
      <c r="W72" s="39"/>
      <c r="X72" s="106"/>
      <c r="Y72" s="178">
        <f t="shared" si="66"/>
        <v>0</v>
      </c>
      <c r="Z72" s="79"/>
      <c r="AA72" s="39"/>
      <c r="AB72" s="39"/>
      <c r="AC72" s="106"/>
      <c r="AD72" s="178">
        <f>AC72/$X$89</f>
        <v>0</v>
      </c>
      <c r="AE72" s="79"/>
      <c r="AF72" s="39"/>
      <c r="AG72" s="39"/>
      <c r="AH72" s="106"/>
      <c r="AI72" s="178">
        <f>AH72/$X$89</f>
        <v>0</v>
      </c>
      <c r="AJ72" s="79"/>
      <c r="AK72" s="39"/>
      <c r="AL72" s="39"/>
      <c r="AM72" s="106"/>
      <c r="AN72" s="178">
        <f t="shared" si="9"/>
        <v>0</v>
      </c>
      <c r="AO72" s="79"/>
      <c r="AP72" s="39"/>
      <c r="AQ72" s="39"/>
      <c r="AR72" s="106"/>
      <c r="AS72" s="178">
        <f>AR72/$AM$89</f>
        <v>0</v>
      </c>
      <c r="AT72" s="79"/>
      <c r="AU72" s="39"/>
      <c r="AV72" s="39"/>
      <c r="AW72" s="106"/>
      <c r="AX72" s="178">
        <f>AW72/$AM$89</f>
        <v>0</v>
      </c>
      <c r="AY72" s="79"/>
      <c r="AZ72" s="1447"/>
      <c r="BA72" s="1447"/>
      <c r="BB72" s="1495"/>
      <c r="BC72" s="1893">
        <f t="shared" si="12"/>
        <v>0</v>
      </c>
      <c r="BD72" s="1943"/>
      <c r="BE72" s="39"/>
      <c r="BF72" s="39"/>
      <c r="BG72" s="106"/>
      <c r="BH72" s="178" t="e">
        <f t="shared" si="87"/>
        <v>#DIV/0!</v>
      </c>
      <c r="BI72" s="79"/>
    </row>
    <row r="73" spans="1:61" s="2" customFormat="1" ht="14.4" outlineLevel="1" thickBot="1" x14ac:dyDescent="0.3">
      <c r="A73" s="237"/>
      <c r="B73" s="13" t="s">
        <v>4</v>
      </c>
      <c r="C73" s="132">
        <f>C74</f>
        <v>56244</v>
      </c>
      <c r="D73" s="133">
        <f>D74</f>
        <v>0</v>
      </c>
      <c r="E73" s="132">
        <f>E74</f>
        <v>56244</v>
      </c>
      <c r="F73" s="171">
        <f>E73/$E$89</f>
        <v>3.7270587486879357E-2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f>AC73/$AC$89</f>
        <v>0</v>
      </c>
      <c r="AE73" s="63"/>
      <c r="AF73" s="139">
        <f>AF74</f>
        <v>0</v>
      </c>
      <c r="AG73" s="63">
        <f>AG74</f>
        <v>0</v>
      </c>
      <c r="AH73" s="60">
        <f>AH74</f>
        <v>0</v>
      </c>
      <c r="AI73" s="63">
        <f>AH73/$AC$89</f>
        <v>0</v>
      </c>
      <c r="AJ73" s="63"/>
      <c r="AK73" s="139">
        <f>AK74</f>
        <v>0</v>
      </c>
      <c r="AL73" s="63">
        <f>AL74</f>
        <v>0</v>
      </c>
      <c r="AM73" s="60">
        <f>AM74</f>
        <v>0</v>
      </c>
      <c r="AN73" s="63">
        <f>AM73/$AC$89</f>
        <v>0</v>
      </c>
      <c r="AO73" s="63"/>
      <c r="AP73" s="139">
        <f>AP74</f>
        <v>0</v>
      </c>
      <c r="AQ73" s="63">
        <f>AQ74</f>
        <v>0</v>
      </c>
      <c r="AR73" s="60">
        <f>AR74</f>
        <v>0</v>
      </c>
      <c r="AS73" s="63">
        <f>AR73/$AC$89</f>
        <v>0</v>
      </c>
      <c r="AT73" s="63"/>
      <c r="AU73" s="139">
        <f>AU74</f>
        <v>0</v>
      </c>
      <c r="AV73" s="63">
        <f>AV74</f>
        <v>0</v>
      </c>
      <c r="AW73" s="60">
        <f>AW74</f>
        <v>0</v>
      </c>
      <c r="AX73" s="63">
        <f>AW73/$AC$89</f>
        <v>0</v>
      </c>
      <c r="AY73" s="63"/>
      <c r="AZ73" s="1180">
        <f>AZ74</f>
        <v>0</v>
      </c>
      <c r="BA73" s="1959">
        <f>BA74</f>
        <v>0</v>
      </c>
      <c r="BB73" s="1461">
        <f>BB74</f>
        <v>0</v>
      </c>
      <c r="BC73" s="1959">
        <f>BB73/$BB$89</f>
        <v>0</v>
      </c>
      <c r="BD73" s="1959"/>
      <c r="BE73" s="139">
        <f>BE74</f>
        <v>0</v>
      </c>
      <c r="BF73" s="63">
        <f>BF74</f>
        <v>0</v>
      </c>
      <c r="BG73" s="60">
        <f>BG74</f>
        <v>0</v>
      </c>
      <c r="BH73" s="63"/>
      <c r="BI73" s="63"/>
    </row>
    <row r="74" spans="1:61" s="2" customFormat="1" ht="14.4" outlineLevel="1" thickBot="1" x14ac:dyDescent="0.3">
      <c r="A74" s="20"/>
      <c r="B74" s="225" t="s">
        <v>64</v>
      </c>
      <c r="C74" s="129">
        <f>C6*3%</f>
        <v>56244</v>
      </c>
      <c r="D74" s="135"/>
      <c r="E74" s="136">
        <f>C74+D74</f>
        <v>56244</v>
      </c>
      <c r="F74" s="185"/>
      <c r="G74" s="39"/>
      <c r="H74" s="39"/>
      <c r="I74" s="64">
        <f>G74+H74</f>
        <v>0</v>
      </c>
      <c r="J74" s="64"/>
      <c r="K74" s="64"/>
      <c r="L74" s="39"/>
      <c r="M74" s="39"/>
      <c r="N74" s="64">
        <f>L74+M74*1</f>
        <v>0</v>
      </c>
      <c r="O74" s="64"/>
      <c r="P74" s="64"/>
      <c r="Q74" s="39"/>
      <c r="R74" s="39"/>
      <c r="S74" s="64">
        <f>Q74+R74*1</f>
        <v>0</v>
      </c>
      <c r="T74" s="64"/>
      <c r="U74" s="64"/>
      <c r="V74" s="39"/>
      <c r="W74" s="39"/>
      <c r="X74" s="64">
        <f>V74+W74*1</f>
        <v>0</v>
      </c>
      <c r="Y74" s="64"/>
      <c r="Z74" s="64"/>
      <c r="AA74" s="39"/>
      <c r="AB74" s="39"/>
      <c r="AC74" s="64">
        <f>AA74+AB74*1</f>
        <v>0</v>
      </c>
      <c r="AD74" s="64">
        <f>AC74/$AC$89</f>
        <v>0</v>
      </c>
      <c r="AE74" s="64"/>
      <c r="AF74" s="39"/>
      <c r="AG74" s="39"/>
      <c r="AH74" s="64">
        <f>AF74+AG74*1</f>
        <v>0</v>
      </c>
      <c r="AI74" s="64">
        <f>AH74/$AC$89</f>
        <v>0</v>
      </c>
      <c r="AJ74" s="64"/>
      <c r="AK74" s="39"/>
      <c r="AL74" s="39"/>
      <c r="AM74" s="64">
        <f>AK74+AL74*1</f>
        <v>0</v>
      </c>
      <c r="AN74" s="64">
        <f>AM74/$AC$89</f>
        <v>0</v>
      </c>
      <c r="AO74" s="64"/>
      <c r="AP74" s="39"/>
      <c r="AQ74" s="39"/>
      <c r="AR74" s="64">
        <f>AP74+AQ74*1</f>
        <v>0</v>
      </c>
      <c r="AS74" s="64">
        <f>AR74/$AC$89</f>
        <v>0</v>
      </c>
      <c r="AT74" s="64"/>
      <c r="AU74" s="39"/>
      <c r="AV74" s="39"/>
      <c r="AW74" s="64">
        <f>AU74+AV74*1</f>
        <v>0</v>
      </c>
      <c r="AX74" s="64">
        <f>AW74/$AC$89</f>
        <v>0</v>
      </c>
      <c r="AY74" s="64"/>
      <c r="AZ74" s="1447"/>
      <c r="BA74" s="1447"/>
      <c r="BB74" s="1464">
        <f>AZ74+BA74*1</f>
        <v>0</v>
      </c>
      <c r="BC74" s="1464">
        <f>BB74/$BB$89</f>
        <v>0</v>
      </c>
      <c r="BD74" s="1464"/>
      <c r="BE74" s="39"/>
      <c r="BF74" s="39">
        <f>H74+M74</f>
        <v>0</v>
      </c>
      <c r="BG74" s="523">
        <f>BE74+BF74*1</f>
        <v>0</v>
      </c>
      <c r="BH74" s="64"/>
      <c r="BI74" s="64"/>
    </row>
    <row r="75" spans="1:61" s="2" customFormat="1" ht="14.4" thickBot="1" x14ac:dyDescent="0.3">
      <c r="A75" s="5"/>
      <c r="B75" s="23" t="s">
        <v>48</v>
      </c>
      <c r="C75" s="137">
        <f>C38-C41-C50-C54</f>
        <v>1269558</v>
      </c>
      <c r="D75" s="137">
        <f>D38-D41-D50-D54</f>
        <v>-846586</v>
      </c>
      <c r="E75" s="138">
        <f>E38-E41-E50-E54</f>
        <v>422972</v>
      </c>
      <c r="F75" s="172"/>
      <c r="G75" s="65">
        <f>G38-G41-G50-G54</f>
        <v>255810.39569999994</v>
      </c>
      <c r="H75" s="65">
        <f>H38-H41-H50-H54</f>
        <v>-523235.38</v>
      </c>
      <c r="I75" s="66">
        <f>I38-I41-I50-I54</f>
        <v>-267424.98429999989</v>
      </c>
      <c r="J75" s="66"/>
      <c r="K75" s="66"/>
      <c r="L75" s="65">
        <f>L38-L41-L50-L54</f>
        <v>0</v>
      </c>
      <c r="M75" s="65">
        <f>M38-M41-M50-M54</f>
        <v>0</v>
      </c>
      <c r="N75" s="138">
        <f>N38-N41-N50-N54</f>
        <v>0</v>
      </c>
      <c r="O75" s="66"/>
      <c r="P75" s="66"/>
      <c r="Q75" s="65">
        <f>Q38-Q41-Q50-Q54</f>
        <v>-800</v>
      </c>
      <c r="R75" s="65">
        <f>R38-R41-R50-R54</f>
        <v>-30651</v>
      </c>
      <c r="S75" s="138">
        <f>S38-S41-S50-S54</f>
        <v>-31451</v>
      </c>
      <c r="T75" s="66"/>
      <c r="U75" s="66"/>
      <c r="V75" s="65">
        <f>V38-V41-V50-V54</f>
        <v>320154.69400000002</v>
      </c>
      <c r="W75" s="65">
        <f>W38-W41-W50-W54</f>
        <v>-69434.7</v>
      </c>
      <c r="X75" s="138">
        <f>X38-X41-X50-X54</f>
        <v>250719.99399999998</v>
      </c>
      <c r="Y75" s="66"/>
      <c r="Z75" s="66"/>
      <c r="AA75" s="65">
        <f>AA38-AA41-AA50-AA54</f>
        <v>95783.98</v>
      </c>
      <c r="AB75" s="65">
        <f>AB38-AB41-AB50-AB54</f>
        <v>-20139.36</v>
      </c>
      <c r="AC75" s="138">
        <f>AC38-AC41-AC50-AC54</f>
        <v>75644.62</v>
      </c>
      <c r="AD75" s="66"/>
      <c r="AE75" s="66"/>
      <c r="AF75" s="65">
        <f>AF38-AF41-AF50-AF54</f>
        <v>-36028.016000000003</v>
      </c>
      <c r="AG75" s="65">
        <f>AG38-AG41-AG50-AG54</f>
        <v>-17188.23</v>
      </c>
      <c r="AH75" s="138">
        <f>AH38-AH41-AH50-AH54</f>
        <v>-53216.246000000006</v>
      </c>
      <c r="AI75" s="66"/>
      <c r="AJ75" s="66"/>
      <c r="AK75" s="65">
        <f>AK38-AK41-AK50-AK54</f>
        <v>220592.16</v>
      </c>
      <c r="AL75" s="65">
        <f>AL38-AL41-AL50-AL54</f>
        <v>-69501</v>
      </c>
      <c r="AM75" s="138">
        <f>AM38-AM41-AM50-AM54</f>
        <v>151091.16</v>
      </c>
      <c r="AN75" s="66"/>
      <c r="AO75" s="66"/>
      <c r="AP75" s="65">
        <f>AP38-AP41-AP50-AP54</f>
        <v>45.043999999994412</v>
      </c>
      <c r="AQ75" s="65">
        <f>AQ38-AQ41-AQ50-AQ54</f>
        <v>-14240</v>
      </c>
      <c r="AR75" s="138">
        <f>AR38-AR41-AR50-AR54</f>
        <v>-14194.956000000006</v>
      </c>
      <c r="AS75" s="66"/>
      <c r="AT75" s="66"/>
      <c r="AU75" s="65">
        <f>AU38-AU41-AU50-AU54</f>
        <v>-46</v>
      </c>
      <c r="AV75" s="65">
        <f>AV38-AV41-AV50-AV54</f>
        <v>0</v>
      </c>
      <c r="AW75" s="138">
        <f>AW38-AW41-AW50-AW54</f>
        <v>-46</v>
      </c>
      <c r="AX75" s="66"/>
      <c r="AY75" s="66"/>
      <c r="AZ75" s="1465">
        <f>AZ38-AZ41-AZ50-AZ54</f>
        <v>-16401.671999999999</v>
      </c>
      <c r="BA75" s="1465">
        <f>BA38-BA41-BA50-BA54</f>
        <v>0</v>
      </c>
      <c r="BB75" s="1523">
        <f>BB38-BB41-BB50-BB54</f>
        <v>-16401.671999999999</v>
      </c>
      <c r="BC75" s="1466"/>
      <c r="BD75" s="1466"/>
      <c r="BE75" s="65">
        <f>BE38-BE41-BE50-BE54</f>
        <v>855512.25769999973</v>
      </c>
      <c r="BF75" s="65">
        <f>BF38-BF41-BF50-BF54</f>
        <v>-744389.66999999993</v>
      </c>
      <c r="BG75" s="138">
        <f>BG38-BG41-BG50-BG54</f>
        <v>111122.58770000009</v>
      </c>
      <c r="BH75" s="66"/>
      <c r="BI75" s="66"/>
    </row>
    <row r="76" spans="1:61" s="2" customFormat="1" ht="13.8" x14ac:dyDescent="0.25">
      <c r="A76" s="294"/>
      <c r="B76" s="36" t="s">
        <v>49</v>
      </c>
      <c r="C76" s="157">
        <f>C75/C5</f>
        <v>0.67716983144868781</v>
      </c>
      <c r="D76" s="157" t="e">
        <f>D75/D5</f>
        <v>#DIV/0!</v>
      </c>
      <c r="E76" s="158">
        <f>E75/E5</f>
        <v>0.22560913164070834</v>
      </c>
      <c r="F76" s="167"/>
      <c r="G76" s="54">
        <f>G75/G5</f>
        <v>0.26182061891756203</v>
      </c>
      <c r="H76" s="54" t="e">
        <f>H75/H5</f>
        <v>#DIV/0!</v>
      </c>
      <c r="I76" s="55">
        <f>I75/I5</f>
        <v>-0.27370809036845289</v>
      </c>
      <c r="J76" s="55"/>
      <c r="K76" s="55"/>
      <c r="L76" s="54" t="e">
        <f>L75/L5</f>
        <v>#DIV/0!</v>
      </c>
      <c r="M76" s="54" t="e">
        <f>M75/M5</f>
        <v>#DIV/0!</v>
      </c>
      <c r="N76" s="55" t="e">
        <f>N75/N5</f>
        <v>#DIV/0!</v>
      </c>
      <c r="O76" s="55"/>
      <c r="P76" s="55"/>
      <c r="Q76" s="54" t="e">
        <f>Q75/Q5</f>
        <v>#DIV/0!</v>
      </c>
      <c r="R76" s="54" t="e">
        <f>R75/R5</f>
        <v>#DIV/0!</v>
      </c>
      <c r="S76" s="55" t="e">
        <f>S75/S5</f>
        <v>#DIV/0!</v>
      </c>
      <c r="T76" s="55"/>
      <c r="U76" s="55"/>
      <c r="V76" s="54">
        <f>V75/V5</f>
        <v>0.84430514573432003</v>
      </c>
      <c r="W76" s="54" t="e">
        <f>W75/W5</f>
        <v>#DIV/0!</v>
      </c>
      <c r="X76" s="55">
        <f>X75/X5</f>
        <v>0.66119343254944685</v>
      </c>
      <c r="Y76" s="55"/>
      <c r="Z76" s="55"/>
      <c r="AA76" s="54">
        <f>AA75/AA5</f>
        <v>0.73865227241424991</v>
      </c>
      <c r="AB76" s="54" t="e">
        <f>AB75/AB5</f>
        <v>#DIV/0!</v>
      </c>
      <c r="AC76" s="55">
        <f>AC75/AC5</f>
        <v>0.58334463089665323</v>
      </c>
      <c r="AD76" s="55"/>
      <c r="AE76" s="55"/>
      <c r="AF76" s="54" t="e">
        <f>AF75/AF5</f>
        <v>#DIV/0!</v>
      </c>
      <c r="AG76" s="54" t="e">
        <f>AG75/AG5</f>
        <v>#DIV/0!</v>
      </c>
      <c r="AH76" s="55" t="e">
        <f>AH75/AH5</f>
        <v>#DIV/0!</v>
      </c>
      <c r="AI76" s="55"/>
      <c r="AJ76" s="55"/>
      <c r="AK76" s="54">
        <f>AK75/AK5</f>
        <v>0.91254632805775115</v>
      </c>
      <c r="AL76" s="54" t="e">
        <f>AL75/AL5</f>
        <v>#DIV/0!</v>
      </c>
      <c r="AM76" s="55">
        <f>AM75/AM5</f>
        <v>0.62503437683363794</v>
      </c>
      <c r="AN76" s="55"/>
      <c r="AO76" s="55"/>
      <c r="AP76" s="54">
        <f>AP75/AP5</f>
        <v>5.264567789783159E-4</v>
      </c>
      <c r="AQ76" s="54" t="e">
        <f>AQ75/AQ5</f>
        <v>#DIV/0!</v>
      </c>
      <c r="AR76" s="55">
        <f>AR75/AR5</f>
        <v>-0.16590513305878363</v>
      </c>
      <c r="AS76" s="55"/>
      <c r="AT76" s="55"/>
      <c r="AU76" s="54" t="e">
        <f>AU75/AU5</f>
        <v>#DIV/0!</v>
      </c>
      <c r="AV76" s="54" t="e">
        <f>AV75/AV5</f>
        <v>#DIV/0!</v>
      </c>
      <c r="AW76" s="55" t="e">
        <f>AW75/AW5</f>
        <v>#DIV/0!</v>
      </c>
      <c r="AX76" s="55"/>
      <c r="AY76" s="55"/>
      <c r="AZ76" s="1456" t="e">
        <f>AZ75/AZ5</f>
        <v>#DIV/0!</v>
      </c>
      <c r="BA76" s="1456" t="e">
        <f>BA75/BA5</f>
        <v>#DIV/0!</v>
      </c>
      <c r="BB76" s="1457" t="e">
        <f>BB75/BB5</f>
        <v>#DIV/0!</v>
      </c>
      <c r="BC76" s="1457"/>
      <c r="BD76" s="1457"/>
      <c r="BE76" s="54">
        <f>BE75/BE5</f>
        <v>0.47182328413497543</v>
      </c>
      <c r="BF76" s="54" t="e">
        <f>BF75/BF5</f>
        <v>#DIV/0!</v>
      </c>
      <c r="BG76" s="55">
        <f>BG75/BG5</f>
        <v>6.1285181829126331E-2</v>
      </c>
      <c r="BH76" s="55"/>
      <c r="BI76" s="55"/>
    </row>
    <row r="77" spans="1:61" s="2" customFormat="1" ht="14.4" outlineLevel="1" thickBot="1" x14ac:dyDescent="0.3">
      <c r="A77" s="294"/>
      <c r="B77" s="27" t="s">
        <v>9</v>
      </c>
      <c r="C77" s="139">
        <f>C78-C79</f>
        <v>0</v>
      </c>
      <c r="D77" s="139">
        <f>D78-D79</f>
        <v>0</v>
      </c>
      <c r="E77" s="140">
        <f>E78-E79</f>
        <v>0</v>
      </c>
      <c r="F77" s="173"/>
      <c r="G77" s="139">
        <f>G78-G79</f>
        <v>0</v>
      </c>
      <c r="H77" s="139">
        <f>H78-H79</f>
        <v>0</v>
      </c>
      <c r="I77" s="140">
        <f>I78-I79</f>
        <v>-71350.279090909084</v>
      </c>
      <c r="J77" s="67"/>
      <c r="K77" s="67"/>
      <c r="L77" s="139">
        <f>L78-L79</f>
        <v>0</v>
      </c>
      <c r="M77" s="139">
        <f>M78-M79</f>
        <v>0</v>
      </c>
      <c r="N77" s="140">
        <f>N78-N79</f>
        <v>0</v>
      </c>
      <c r="O77" s="67"/>
      <c r="P77" s="67"/>
      <c r="Q77" s="139">
        <f>Q78-Q79</f>
        <v>0</v>
      </c>
      <c r="R77" s="139">
        <f>R78-R79</f>
        <v>0</v>
      </c>
      <c r="S77" s="140">
        <f>S78-S79</f>
        <v>-3786.177533875546</v>
      </c>
      <c r="T77" s="67"/>
      <c r="U77" s="67"/>
      <c r="V77" s="139">
        <f>V78-V79</f>
        <v>0</v>
      </c>
      <c r="W77" s="139">
        <f>W78-W79</f>
        <v>0</v>
      </c>
      <c r="X77" s="140">
        <f>X78-X79</f>
        <v>-10056.254690931601</v>
      </c>
      <c r="Y77" s="67"/>
      <c r="Z77" s="67"/>
      <c r="AA77" s="139">
        <f>AA78-AA79</f>
        <v>0</v>
      </c>
      <c r="AB77" s="139">
        <f>AB78-AB79</f>
        <v>0</v>
      </c>
      <c r="AC77" s="140">
        <f>AC78-AC79</f>
        <v>0</v>
      </c>
      <c r="AD77" s="67">
        <f>AC77/$AC$89</f>
        <v>0</v>
      </c>
      <c r="AE77" s="67"/>
      <c r="AF77" s="139">
        <f>AF78-AF79</f>
        <v>0</v>
      </c>
      <c r="AG77" s="139">
        <f>AG78-AG79</f>
        <v>0</v>
      </c>
      <c r="AH77" s="140">
        <f>AH78-AH79</f>
        <v>0</v>
      </c>
      <c r="AI77" s="67">
        <f>AH77/$AH$89</f>
        <v>0</v>
      </c>
      <c r="AJ77" s="67"/>
      <c r="AK77" s="139">
        <f>AK78-AK79</f>
        <v>0</v>
      </c>
      <c r="AL77" s="139">
        <f>AL78-AL79</f>
        <v>0</v>
      </c>
      <c r="AM77" s="140">
        <f>AM78-AM79</f>
        <v>-9031.203389830509</v>
      </c>
      <c r="AN77" s="67">
        <f>AM77/$AH$89</f>
        <v>-0.16970763758553184</v>
      </c>
      <c r="AO77" s="67"/>
      <c r="AP77" s="139">
        <f>AP78-AP79</f>
        <v>0</v>
      </c>
      <c r="AQ77" s="139">
        <f>AQ78-AQ79</f>
        <v>0</v>
      </c>
      <c r="AR77" s="140">
        <f>AR78-AR79</f>
        <v>0</v>
      </c>
      <c r="AS77" s="935">
        <f>AR77/$AR$89</f>
        <v>0</v>
      </c>
      <c r="AT77" s="67"/>
      <c r="AU77" s="139">
        <f>AU78-AU79</f>
        <v>0</v>
      </c>
      <c r="AV77" s="139">
        <f>AV78-AV79</f>
        <v>0</v>
      </c>
      <c r="AW77" s="140">
        <f>AW78-AW79</f>
        <v>0</v>
      </c>
      <c r="AX77" s="935">
        <f>AW77/$AR$89</f>
        <v>0</v>
      </c>
      <c r="AY77" s="67"/>
      <c r="AZ77" s="1180">
        <f>AZ78-AZ79</f>
        <v>0</v>
      </c>
      <c r="BA77" s="1180">
        <f>BA78-BA79</f>
        <v>0</v>
      </c>
      <c r="BB77" s="1384">
        <f>BB78-BB79</f>
        <v>0</v>
      </c>
      <c r="BC77" s="1966">
        <f>BB77/$BB$89</f>
        <v>0</v>
      </c>
      <c r="BD77" s="1379"/>
      <c r="BE77" s="139">
        <f>BE78-BE79</f>
        <v>0</v>
      </c>
      <c r="BF77" s="139">
        <f>BF78-BF79</f>
        <v>0</v>
      </c>
      <c r="BG77" s="140">
        <f>BG78-BG79</f>
        <v>-94223.914705546733</v>
      </c>
      <c r="BH77" s="67"/>
      <c r="BI77" s="67"/>
    </row>
    <row r="78" spans="1:61" s="2" customFormat="1" ht="13.8" outlineLevel="2" x14ac:dyDescent="0.25">
      <c r="A78" s="11"/>
      <c r="B78" s="6" t="s">
        <v>43</v>
      </c>
      <c r="C78" s="141"/>
      <c r="D78" s="142"/>
      <c r="E78" s="119">
        <f>C78+D78*1.15</f>
        <v>0</v>
      </c>
      <c r="F78" s="186"/>
      <c r="G78" s="39">
        <v>0</v>
      </c>
      <c r="H78" s="39">
        <v>0</v>
      </c>
      <c r="I78" s="68"/>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f>AC78/$AC$89</f>
        <v>0</v>
      </c>
      <c r="AE78" s="68"/>
      <c r="AF78" s="39"/>
      <c r="AG78" s="39"/>
      <c r="AH78" s="68">
        <f>AF78+AG78*1.15</f>
        <v>0</v>
      </c>
      <c r="AI78" s="68">
        <f>AH78/$AH$89</f>
        <v>0</v>
      </c>
      <c r="AJ78" s="68"/>
      <c r="AK78" s="39"/>
      <c r="AL78" s="39"/>
      <c r="AM78" s="68">
        <f>AK78+AL78*1.15</f>
        <v>0</v>
      </c>
      <c r="AN78" s="68">
        <f>AM78/$AH$89</f>
        <v>0</v>
      </c>
      <c r="AO78" s="68"/>
      <c r="AP78" s="39"/>
      <c r="AQ78" s="39"/>
      <c r="AR78" s="68">
        <f>AP78+AQ78*1.15</f>
        <v>0</v>
      </c>
      <c r="AS78" s="68">
        <f>AR78/$AR$89</f>
        <v>0</v>
      </c>
      <c r="AT78" s="68"/>
      <c r="AU78" s="39"/>
      <c r="AV78" s="39"/>
      <c r="AW78" s="68">
        <f>AU78+AV78*1.15</f>
        <v>0</v>
      </c>
      <c r="AX78" s="68">
        <f>AW78/$AR$89</f>
        <v>0</v>
      </c>
      <c r="AY78" s="68"/>
      <c r="AZ78" s="1447"/>
      <c r="BA78" s="1447"/>
      <c r="BB78" s="1467">
        <f>AZ78+BA78*1.15</f>
        <v>0</v>
      </c>
      <c r="BC78" s="1467">
        <f>BB78/$BB$89</f>
        <v>0</v>
      </c>
      <c r="BD78" s="1467"/>
      <c r="BE78" s="39">
        <f>G78+L78+Q78+V78+AA78+AF78+AK78+AP78+AU78</f>
        <v>0</v>
      </c>
      <c r="BF78" s="39">
        <f>H78+M78+R78+W78+AB78+AG78+AL78+AQ78+AV78</f>
        <v>0</v>
      </c>
      <c r="BG78" s="68">
        <f>BE78+BF78*1.15</f>
        <v>0</v>
      </c>
      <c r="BH78" s="68"/>
      <c r="BI78" s="68"/>
    </row>
    <row r="79" spans="1:61" s="2" customFormat="1" ht="13.8" outlineLevel="2" x14ac:dyDescent="0.25">
      <c r="A79" s="11"/>
      <c r="B79" s="24" t="s">
        <v>79</v>
      </c>
      <c r="C79" s="113"/>
      <c r="D79" s="119"/>
      <c r="E79" s="119">
        <f>C79+D79*1.15</f>
        <v>0</v>
      </c>
      <c r="F79" s="180">
        <f>E79/$E$89</f>
        <v>0</v>
      </c>
      <c r="G79" s="39">
        <v>0</v>
      </c>
      <c r="H79" s="39">
        <v>0</v>
      </c>
      <c r="I79" s="41">
        <f>(H8+H41+H50+H54)/0.88*0.12</f>
        <v>71350.279090909084</v>
      </c>
      <c r="J79" s="45"/>
      <c r="K79" s="45"/>
      <c r="L79" s="39"/>
      <c r="M79" s="39"/>
      <c r="N79" s="106">
        <f>(M8+M41+M50+M54)/(1-'расчет 2022'!E4)*'расчет 2022'!E4</f>
        <v>0</v>
      </c>
      <c r="O79" s="45"/>
      <c r="P79" s="45"/>
      <c r="Q79" s="39"/>
      <c r="R79" s="39"/>
      <c r="S79" s="106">
        <f>(R8+R41+R50+R54)/(1-'расчет 2022'!E7)*'расчет 2022'!E7</f>
        <v>3786.177533875546</v>
      </c>
      <c r="T79" s="45"/>
      <c r="U79" s="45"/>
      <c r="V79" s="39"/>
      <c r="W79" s="39"/>
      <c r="X79" s="106">
        <f>(W8+W41+W50+W54)/(1-'расчет 2022'!E8)*'расчет 2022'!E8</f>
        <v>10056.254690931601</v>
      </c>
      <c r="Y79" s="45"/>
      <c r="Z79" s="45"/>
      <c r="AA79" s="39"/>
      <c r="AB79" s="39"/>
      <c r="AC79" s="106"/>
      <c r="AD79" s="79">
        <f>AC79/$AC$89</f>
        <v>0</v>
      </c>
      <c r="AE79" s="45"/>
      <c r="AF79" s="39"/>
      <c r="AG79" s="39"/>
      <c r="AH79" s="106"/>
      <c r="AI79" s="79">
        <f>AH79/$AH$89</f>
        <v>0</v>
      </c>
      <c r="AJ79" s="45"/>
      <c r="AK79" s="39"/>
      <c r="AL79" s="39"/>
      <c r="AM79" s="106">
        <f>(AL8+AL41+AL50+AL54)/(1-'расчет 2022'!E11)*'расчет 2022'!E11</f>
        <v>9031.203389830509</v>
      </c>
      <c r="AN79" s="79">
        <f>AM79/$AM$89</f>
        <v>9.0608683657117689E-2</v>
      </c>
      <c r="AO79" s="45"/>
      <c r="AP79" s="39"/>
      <c r="AQ79" s="39"/>
      <c r="AR79" s="106"/>
      <c r="AS79" s="79">
        <f>AR79/$AR$89</f>
        <v>0</v>
      </c>
      <c r="AT79" s="45"/>
      <c r="AU79" s="39"/>
      <c r="AV79" s="39"/>
      <c r="AW79" s="106"/>
      <c r="AX79" s="79">
        <f>AW79/$AR$89</f>
        <v>0</v>
      </c>
      <c r="AY79" s="45"/>
      <c r="AZ79" s="1447"/>
      <c r="BA79" s="1447"/>
      <c r="BB79" s="1495">
        <v>0</v>
      </c>
      <c r="BC79" s="1943">
        <f>BB79/$BB$89</f>
        <v>0</v>
      </c>
      <c r="BD79" s="1909"/>
      <c r="BE79" s="39">
        <f>G79+L79+Q79+V79+AA79+AF79+AK79+AP79+AU79</f>
        <v>0</v>
      </c>
      <c r="BF79" s="39">
        <f>H79+M79+R79+W79+AB79+AG79+AL79+AQ79+AV79</f>
        <v>0</v>
      </c>
      <c r="BG79" s="106">
        <f>I79+N79+S79+X79+AC79+AH79+AM79+AR79</f>
        <v>94223.914705546733</v>
      </c>
      <c r="BH79" s="45"/>
      <c r="BI79" s="45"/>
    </row>
    <row r="80" spans="1:61" ht="13.8" outlineLevel="2" x14ac:dyDescent="0.25">
      <c r="A80" s="3"/>
      <c r="B80" s="25"/>
      <c r="C80" s="143"/>
      <c r="D80" s="144"/>
      <c r="E80" s="145"/>
      <c r="F80" s="187"/>
      <c r="G80" s="69">
        <v>0</v>
      </c>
      <c r="H80" s="69">
        <v>0</v>
      </c>
      <c r="I80" s="69"/>
      <c r="J80" s="69"/>
      <c r="K80" s="69"/>
      <c r="L80" s="39"/>
      <c r="M80" s="39"/>
      <c r="N80" s="69"/>
      <c r="O80" s="69"/>
      <c r="P80" s="69"/>
      <c r="Q80" s="39"/>
      <c r="R80" s="39"/>
      <c r="S80" s="69"/>
      <c r="T80" s="69"/>
      <c r="U80" s="69"/>
      <c r="V80" s="39"/>
      <c r="W80" s="39"/>
      <c r="X80" s="69"/>
      <c r="Y80" s="69"/>
      <c r="Z80" s="69"/>
      <c r="AA80" s="39"/>
      <c r="AB80" s="39"/>
      <c r="AC80" s="69"/>
      <c r="AD80" s="69">
        <f>AC80/$AC$89</f>
        <v>0</v>
      </c>
      <c r="AE80" s="69"/>
      <c r="AF80" s="39"/>
      <c r="AG80" s="39"/>
      <c r="AH80" s="69"/>
      <c r="AI80" s="69">
        <f>AH80/$AC$89</f>
        <v>0</v>
      </c>
      <c r="AJ80" s="69"/>
      <c r="AK80" s="39"/>
      <c r="AL80" s="39"/>
      <c r="AM80" s="69"/>
      <c r="AN80" s="69">
        <f>AM80/$AC$89</f>
        <v>0</v>
      </c>
      <c r="AO80" s="69"/>
      <c r="AP80" s="39"/>
      <c r="AQ80" s="39"/>
      <c r="AR80" s="69"/>
      <c r="AS80" s="69">
        <f>AR80/$AC$89</f>
        <v>0</v>
      </c>
      <c r="AT80" s="69"/>
      <c r="AU80" s="39"/>
      <c r="AV80" s="39"/>
      <c r="AW80" s="69"/>
      <c r="AX80" s="69">
        <f>AW80/$AC$89</f>
        <v>0</v>
      </c>
      <c r="AY80" s="69"/>
      <c r="AZ80" s="1447"/>
      <c r="BA80" s="1447"/>
      <c r="BB80" s="1910"/>
      <c r="BC80" s="1910">
        <f>BB80/$BB$89</f>
        <v>0</v>
      </c>
      <c r="BD80" s="1910"/>
      <c r="BE80" s="39"/>
      <c r="BF80" s="39"/>
      <c r="BG80" s="69"/>
      <c r="BH80" s="69"/>
      <c r="BI80" s="69"/>
    </row>
    <row r="81" spans="1:61" s="2" customFormat="1" ht="14.4" outlineLevel="1" thickBot="1" x14ac:dyDescent="0.3">
      <c r="A81" s="26"/>
      <c r="B81" s="27" t="s">
        <v>12</v>
      </c>
      <c r="C81" s="139">
        <f>(C75+C78)-C79</f>
        <v>1269558</v>
      </c>
      <c r="D81" s="139">
        <f>(D75+D78)-D79</f>
        <v>-846586</v>
      </c>
      <c r="E81" s="140">
        <f>(E75+E78)-E79</f>
        <v>422972</v>
      </c>
      <c r="F81" s="173"/>
      <c r="G81" s="139">
        <f>(G75+G78)-G79</f>
        <v>255810.39569999994</v>
      </c>
      <c r="H81" s="139">
        <f>(H75+H78)-H79</f>
        <v>-523235.38</v>
      </c>
      <c r="I81" s="140">
        <f>(I75+I78)-I79</f>
        <v>-338775.26339090895</v>
      </c>
      <c r="J81" s="67"/>
      <c r="K81" s="67"/>
      <c r="L81" s="139">
        <f>(L75+L78)-L79</f>
        <v>0</v>
      </c>
      <c r="M81" s="139">
        <f>(M75+M78)-M79</f>
        <v>0</v>
      </c>
      <c r="N81" s="140">
        <f>(N75+N78)-N79</f>
        <v>0</v>
      </c>
      <c r="O81" s="67"/>
      <c r="P81" s="67"/>
      <c r="Q81" s="139">
        <f>(Q75+Q78)-Q79</f>
        <v>-800</v>
      </c>
      <c r="R81" s="139">
        <f>(R75+R78)-R79</f>
        <v>-30651</v>
      </c>
      <c r="S81" s="140">
        <f>(S75+S78)-S79</f>
        <v>-35237.177533875547</v>
      </c>
      <c r="T81" s="67"/>
      <c r="U81" s="67"/>
      <c r="V81" s="139">
        <f>(V75+V78)-V79</f>
        <v>320154.69400000002</v>
      </c>
      <c r="W81" s="139">
        <f>(W75+W78)-W79</f>
        <v>-69434.7</v>
      </c>
      <c r="X81" s="140">
        <f>(X75+X78)-X79</f>
        <v>240663.73930906836</v>
      </c>
      <c r="Y81" s="67"/>
      <c r="Z81" s="67"/>
      <c r="AA81" s="139">
        <f>(AA75+AA78)-AA79</f>
        <v>95783.98</v>
      </c>
      <c r="AB81" s="139">
        <f>(AB75+AB78)-AB79</f>
        <v>-20139.36</v>
      </c>
      <c r="AC81" s="140">
        <f>(AC75+AC78)-AC79</f>
        <v>75644.62</v>
      </c>
      <c r="AD81" s="67"/>
      <c r="AE81" s="67"/>
      <c r="AF81" s="139">
        <f>(AF75+AF78)-AF79</f>
        <v>-36028.016000000003</v>
      </c>
      <c r="AG81" s="139">
        <f>(AG75+AG78)-AG79</f>
        <v>-17188.23</v>
      </c>
      <c r="AH81" s="140">
        <f>(AH75+AH78)-AH79</f>
        <v>-53216.246000000006</v>
      </c>
      <c r="AI81" s="67"/>
      <c r="AJ81" s="67"/>
      <c r="AK81" s="139">
        <f>(AK75+AK78)-AK79</f>
        <v>220592.16</v>
      </c>
      <c r="AL81" s="139">
        <f>(AL75+AL78)-AL79</f>
        <v>-69501</v>
      </c>
      <c r="AM81" s="140">
        <f>(AM75+AM78)-AM79</f>
        <v>142059.95661016949</v>
      </c>
      <c r="AN81" s="67"/>
      <c r="AO81" s="67"/>
      <c r="AP81" s="139">
        <f>(AP75+AP78)-AP79</f>
        <v>45.043999999994412</v>
      </c>
      <c r="AQ81" s="139">
        <f>(AQ75+AQ78)-AQ79</f>
        <v>-14240</v>
      </c>
      <c r="AR81" s="140">
        <f>(AR75+AR78)-AR79</f>
        <v>-14194.956000000006</v>
      </c>
      <c r="AS81" s="67"/>
      <c r="AT81" s="67"/>
      <c r="AU81" s="139">
        <f>(AU75+AU78)-AU79</f>
        <v>-46</v>
      </c>
      <c r="AV81" s="139">
        <f>(AV75+AV78)-AV79</f>
        <v>0</v>
      </c>
      <c r="AW81" s="140">
        <f>(AW75+AW78)-AW79</f>
        <v>-46</v>
      </c>
      <c r="AX81" s="67"/>
      <c r="AY81" s="67"/>
      <c r="AZ81" s="1180">
        <f>(AZ75+AZ78)-AZ79</f>
        <v>-16401.671999999999</v>
      </c>
      <c r="BA81" s="1180">
        <f>(BA75+BA78)-BA79</f>
        <v>0</v>
      </c>
      <c r="BB81" s="1384">
        <f>(BB75+BB78)-BB79</f>
        <v>-16401.671999999999</v>
      </c>
      <c r="BC81" s="1379"/>
      <c r="BD81" s="1379"/>
      <c r="BE81" s="139">
        <f>(BE75+BE78)-BE79</f>
        <v>855512.25769999973</v>
      </c>
      <c r="BF81" s="139">
        <f>(BF75+BF78)-BF79</f>
        <v>-744389.66999999993</v>
      </c>
      <c r="BG81" s="140">
        <f>(BG75+BG78)-BG79</f>
        <v>16898.672994453358</v>
      </c>
      <c r="BH81" s="67"/>
      <c r="BI81" s="67"/>
    </row>
    <row r="82" spans="1:61" s="2" customFormat="1" ht="13.8" outlineLevel="2" x14ac:dyDescent="0.25">
      <c r="A82" s="293"/>
      <c r="B82" s="6" t="s">
        <v>38</v>
      </c>
      <c r="C82" s="141"/>
      <c r="D82" s="142"/>
      <c r="E82" s="146">
        <f>C82+D82</f>
        <v>0</v>
      </c>
      <c r="F82" s="180">
        <f>E82/$E$89</f>
        <v>0</v>
      </c>
      <c r="G82" s="39"/>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1447"/>
      <c r="BA82" s="1447"/>
      <c r="BB82" s="1530">
        <f>AZ82+BA82</f>
        <v>0</v>
      </c>
      <c r="BC82" s="1491"/>
      <c r="BD82" s="1491"/>
      <c r="BE82" s="39">
        <f>G82+L82</f>
        <v>0</v>
      </c>
      <c r="BF82" s="39">
        <f>H82+M82</f>
        <v>0</v>
      </c>
      <c r="BG82" s="146">
        <f>BE82+BF82</f>
        <v>0</v>
      </c>
      <c r="BH82" s="101"/>
      <c r="BI82" s="101"/>
    </row>
    <row r="83" spans="1:61" s="2" customFormat="1" ht="13.8" outlineLevel="1" x14ac:dyDescent="0.25">
      <c r="A83" s="11"/>
      <c r="B83" s="28" t="s">
        <v>13</v>
      </c>
      <c r="C83" s="147">
        <f>(C81+C7)-C36</f>
        <v>1268558</v>
      </c>
      <c r="D83" s="147">
        <f>(D81+D7)-D36</f>
        <v>-846586</v>
      </c>
      <c r="E83" s="147">
        <f>(E81+E7)-E36</f>
        <v>421972</v>
      </c>
      <c r="F83" s="174"/>
      <c r="G83" s="147">
        <f>(G81+G7)-G36</f>
        <v>255810.39569999994</v>
      </c>
      <c r="H83" s="147">
        <f>(H81+H7)-H36</f>
        <v>-523235.38</v>
      </c>
      <c r="I83" s="148">
        <f>(I81+I7)-I36</f>
        <v>-338775.26339090895</v>
      </c>
      <c r="J83" s="70"/>
      <c r="K83" s="70"/>
      <c r="L83" s="147">
        <f>(L81+L7)-L36</f>
        <v>0</v>
      </c>
      <c r="M83" s="147">
        <f>(M81+M7)-M36</f>
        <v>0</v>
      </c>
      <c r="N83" s="148">
        <f>(N81+N7)-N36</f>
        <v>0</v>
      </c>
      <c r="O83" s="70"/>
      <c r="P83" s="70"/>
      <c r="Q83" s="147">
        <f>(Q81+Q7)-Q36</f>
        <v>-800</v>
      </c>
      <c r="R83" s="147">
        <f>(R81+R7)-R36</f>
        <v>-30651</v>
      </c>
      <c r="S83" s="148">
        <f>(S81+S7)-S36</f>
        <v>-35237.177533875547</v>
      </c>
      <c r="T83" s="70"/>
      <c r="U83" s="70"/>
      <c r="V83" s="147">
        <f>(V81+V7)-V36</f>
        <v>320154.69400000002</v>
      </c>
      <c r="W83" s="147">
        <f>(W81+W7)-W36</f>
        <v>-69434.7</v>
      </c>
      <c r="X83" s="148">
        <f>(X81+X7)-X36</f>
        <v>240663.73930906836</v>
      </c>
      <c r="Y83" s="70"/>
      <c r="Z83" s="70"/>
      <c r="AA83" s="147">
        <f>(AA81+AA7)-AA36</f>
        <v>95783.98</v>
      </c>
      <c r="AB83" s="147">
        <f>(AB81+AB7)-AB36</f>
        <v>-20139.36</v>
      </c>
      <c r="AC83" s="148">
        <f>(AC81+AC7)-AC36</f>
        <v>75644.62</v>
      </c>
      <c r="AD83" s="70"/>
      <c r="AE83" s="70"/>
      <c r="AF83" s="147">
        <f>(AF81+AF7)-AF36</f>
        <v>-36028.016000000003</v>
      </c>
      <c r="AG83" s="147">
        <f>(AG81+AG7)-AG36</f>
        <v>-17188.23</v>
      </c>
      <c r="AH83" s="148">
        <f>(AH81+AH7)-AH36</f>
        <v>-53216.246000000006</v>
      </c>
      <c r="AI83" s="70"/>
      <c r="AJ83" s="70"/>
      <c r="AK83" s="147">
        <f>(AK81+AK7)-AK36</f>
        <v>220592.16</v>
      </c>
      <c r="AL83" s="147">
        <f>(AL81+AL7)-AL36</f>
        <v>-69501</v>
      </c>
      <c r="AM83" s="148">
        <f>(AM81+AM7)-AM36</f>
        <v>142059.95661016949</v>
      </c>
      <c r="AN83" s="70"/>
      <c r="AO83" s="70"/>
      <c r="AP83" s="147">
        <f>(AP81+AP7)-AP36</f>
        <v>45.043999999994412</v>
      </c>
      <c r="AQ83" s="147">
        <f>(AQ81+AQ7)-AQ36</f>
        <v>-14240</v>
      </c>
      <c r="AR83" s="148">
        <f>(AR81+AR7)-AR36</f>
        <v>-14194.956000000006</v>
      </c>
      <c r="AS83" s="70"/>
      <c r="AT83" s="70"/>
      <c r="AU83" s="147">
        <f>(AU81+AU7)-AU36</f>
        <v>-46</v>
      </c>
      <c r="AV83" s="147">
        <f>(AV81+AV7)-AV36</f>
        <v>0</v>
      </c>
      <c r="AW83" s="148">
        <f>(AW81+AW7)-AW36</f>
        <v>-46</v>
      </c>
      <c r="AX83" s="70"/>
      <c r="AY83" s="70"/>
      <c r="AZ83" s="1912">
        <f>(AZ81+AZ7)-AZ36</f>
        <v>-16401.671999999999</v>
      </c>
      <c r="BA83" s="1912">
        <f>(BA81+BA7)-BA36</f>
        <v>0</v>
      </c>
      <c r="BB83" s="1913">
        <f>(BB81+BB7)-BB36</f>
        <v>-16401.671999999999</v>
      </c>
      <c r="BC83" s="1914"/>
      <c r="BD83" s="1914"/>
      <c r="BE83" s="147">
        <f>(BE81+BE7)-BE36</f>
        <v>855512.25769999973</v>
      </c>
      <c r="BF83" s="147">
        <f>(BF81+BF7)-BF36</f>
        <v>-744389.66999999993</v>
      </c>
      <c r="BG83" s="148">
        <f>(BG81+BG7)-BG36</f>
        <v>16898.672994453358</v>
      </c>
      <c r="BH83" s="70"/>
      <c r="BI83" s="70"/>
    </row>
    <row r="84" spans="1:61" s="2" customFormat="1" ht="14.4" outlineLevel="1" thickBot="1" x14ac:dyDescent="0.3">
      <c r="A84" s="11"/>
      <c r="B84" s="211" t="s">
        <v>14</v>
      </c>
      <c r="C84" s="212">
        <f>C83-C73-C82</f>
        <v>1212314</v>
      </c>
      <c r="D84" s="212">
        <f>D83-D73-D82</f>
        <v>-846586</v>
      </c>
      <c r="E84" s="212">
        <f>E83-E73-E82</f>
        <v>365728</v>
      </c>
      <c r="F84" s="214"/>
      <c r="G84" s="213">
        <f>G83-G73-G82</f>
        <v>255810.39569999994</v>
      </c>
      <c r="H84" s="213">
        <f>H83-H73-H82</f>
        <v>-523235.38</v>
      </c>
      <c r="I84" s="213">
        <f>I83-I73-I82</f>
        <v>-338775.26339090895</v>
      </c>
      <c r="J84" s="82"/>
      <c r="K84" s="82"/>
      <c r="L84" s="213">
        <f>L83-L73-L82</f>
        <v>0</v>
      </c>
      <c r="M84" s="213">
        <f>M83-M73-M82</f>
        <v>0</v>
      </c>
      <c r="N84" s="213">
        <f>N83-N73-N82</f>
        <v>0</v>
      </c>
      <c r="O84" s="82"/>
      <c r="P84" s="82"/>
      <c r="Q84" s="213">
        <f>Q83-Q73-Q82</f>
        <v>-800</v>
      </c>
      <c r="R84" s="213">
        <f>R83-R73-R82</f>
        <v>-30651</v>
      </c>
      <c r="S84" s="213">
        <f>S83-S73-S82</f>
        <v>-35237.177533875547</v>
      </c>
      <c r="T84" s="82"/>
      <c r="U84" s="82"/>
      <c r="V84" s="213">
        <f>V83-V73-V82</f>
        <v>320154.69400000002</v>
      </c>
      <c r="W84" s="213">
        <f>W83-W73-W82</f>
        <v>-69434.7</v>
      </c>
      <c r="X84" s="213">
        <f>X83-X73-X82</f>
        <v>240663.73930906836</v>
      </c>
      <c r="Y84" s="82"/>
      <c r="Z84" s="82"/>
      <c r="AA84" s="213">
        <f>AA83-AA73-AA82</f>
        <v>95783.98</v>
      </c>
      <c r="AB84" s="213">
        <f>AB83-AB73-AB82</f>
        <v>-20139.36</v>
      </c>
      <c r="AC84" s="213">
        <f>AC83-AC73-AC82</f>
        <v>75644.62</v>
      </c>
      <c r="AD84" s="82"/>
      <c r="AE84" s="82"/>
      <c r="AF84" s="213">
        <f>AF83-AF73-AF82</f>
        <v>-36028.016000000003</v>
      </c>
      <c r="AG84" s="213">
        <f>AG83-AG73-AG82</f>
        <v>-17188.23</v>
      </c>
      <c r="AH84" s="213">
        <f>AH83-AH73-AH82</f>
        <v>-53216.246000000006</v>
      </c>
      <c r="AI84" s="82"/>
      <c r="AJ84" s="82"/>
      <c r="AK84" s="213">
        <f>AK83-AK73-AK82</f>
        <v>220592.16</v>
      </c>
      <c r="AL84" s="213">
        <f>AL83-AL73-AL82</f>
        <v>-69501</v>
      </c>
      <c r="AM84" s="213">
        <f>AM83-AM73-AM82</f>
        <v>142059.95661016949</v>
      </c>
      <c r="AN84" s="82"/>
      <c r="AO84" s="82"/>
      <c r="AP84" s="213">
        <f>AP83-AP73-AP82</f>
        <v>45.043999999994412</v>
      </c>
      <c r="AQ84" s="213">
        <f>AQ83-AQ73-AQ82</f>
        <v>-14240</v>
      </c>
      <c r="AR84" s="213">
        <f>AR83-AR73-AR82</f>
        <v>-14194.956000000006</v>
      </c>
      <c r="AS84" s="82"/>
      <c r="AT84" s="82"/>
      <c r="AU84" s="213">
        <f>AU83-AU73-AU82</f>
        <v>-46</v>
      </c>
      <c r="AV84" s="213">
        <f>AV83-AV73-AV82</f>
        <v>0</v>
      </c>
      <c r="AW84" s="213">
        <f>AW83-AW73-AW82</f>
        <v>-46</v>
      </c>
      <c r="AX84" s="82"/>
      <c r="AY84" s="82"/>
      <c r="AZ84" s="2093">
        <f>AZ83-AZ73-AZ82</f>
        <v>-16401.671999999999</v>
      </c>
      <c r="BA84" s="2093">
        <f>BA83-BA73-BA82</f>
        <v>0</v>
      </c>
      <c r="BB84" s="2093">
        <f>BB83-BB73-BB82</f>
        <v>-16401.671999999999</v>
      </c>
      <c r="BC84" s="2094"/>
      <c r="BD84" s="2094"/>
      <c r="BE84" s="2093">
        <f>BE83-BE73-BE82</f>
        <v>855512.25769999973</v>
      </c>
      <c r="BF84" s="2093">
        <f>BF83-BF73-BF82</f>
        <v>-744389.66999999993</v>
      </c>
      <c r="BG84" s="2093">
        <f>BG83-BG73-BG82</f>
        <v>16898.672994453358</v>
      </c>
      <c r="BH84" s="82"/>
      <c r="BI84" s="82"/>
    </row>
    <row r="85" spans="1:61" s="2" customFormat="1" ht="13.8" outlineLevel="3" x14ac:dyDescent="0.25">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AU85+AV85*1.15</f>
        <v>0</v>
      </c>
      <c r="AX85" s="102"/>
      <c r="AY85" s="102"/>
      <c r="AZ85" s="1447"/>
      <c r="BA85" s="1447"/>
      <c r="BB85" s="2028">
        <f>AZ85+BA85*1.15</f>
        <v>0</v>
      </c>
      <c r="BC85" s="1491"/>
      <c r="BD85" s="1491"/>
      <c r="BE85" s="2059">
        <f>G85+L85</f>
        <v>0</v>
      </c>
      <c r="BF85" s="2059">
        <f>H85+M85</f>
        <v>0</v>
      </c>
      <c r="BG85" s="2028">
        <f>BE85+BF85*1.15</f>
        <v>0</v>
      </c>
      <c r="BH85" s="102"/>
      <c r="BI85" s="102"/>
    </row>
    <row r="86" spans="1:61" s="2" customFormat="1" ht="27.6" x14ac:dyDescent="0.25">
      <c r="A86" s="11"/>
      <c r="B86" s="37" t="s">
        <v>50</v>
      </c>
      <c r="C86" s="149">
        <f>C84-C85</f>
        <v>1212314</v>
      </c>
      <c r="D86" s="149">
        <f>D84-D85</f>
        <v>-846586</v>
      </c>
      <c r="E86" s="150">
        <f>E84-E85</f>
        <v>365728</v>
      </c>
      <c r="F86" s="175"/>
      <c r="G86" s="149">
        <f>G84-G85</f>
        <v>255810.39569999994</v>
      </c>
      <c r="H86" s="149">
        <f>H84-H85</f>
        <v>-523235.38</v>
      </c>
      <c r="I86" s="150">
        <f>I84-I85</f>
        <v>-338775.26339090895</v>
      </c>
      <c r="J86" s="73"/>
      <c r="K86" s="73"/>
      <c r="L86" s="150">
        <f>L84-L85</f>
        <v>0</v>
      </c>
      <c r="M86" s="150">
        <f>M84-M85</f>
        <v>0</v>
      </c>
      <c r="N86" s="150">
        <f>N84-N85</f>
        <v>0</v>
      </c>
      <c r="O86" s="73"/>
      <c r="P86" s="73"/>
      <c r="Q86" s="150">
        <f>Q84-Q85</f>
        <v>-800</v>
      </c>
      <c r="R86" s="150">
        <f>R84-R85</f>
        <v>-30651</v>
      </c>
      <c r="S86" s="150">
        <f>S84-S85</f>
        <v>-35237.177533875547</v>
      </c>
      <c r="T86" s="73"/>
      <c r="U86" s="73"/>
      <c r="V86" s="150">
        <f>V84-V85</f>
        <v>320154.69400000002</v>
      </c>
      <c r="W86" s="150">
        <f>W84-W85</f>
        <v>-69434.7</v>
      </c>
      <c r="X86" s="150">
        <f>X84-X85</f>
        <v>240663.73930906836</v>
      </c>
      <c r="Y86" s="73"/>
      <c r="Z86" s="73"/>
      <c r="AA86" s="150">
        <f>AA84-AA85</f>
        <v>95783.98</v>
      </c>
      <c r="AB86" s="150">
        <f>AB84-AB85</f>
        <v>-20139.36</v>
      </c>
      <c r="AC86" s="150">
        <f>AC84-AC85</f>
        <v>75644.62</v>
      </c>
      <c r="AD86" s="73"/>
      <c r="AE86" s="73"/>
      <c r="AF86" s="150">
        <f>AF84-AF85</f>
        <v>-36028.016000000003</v>
      </c>
      <c r="AG86" s="150">
        <f>AG84-AG85</f>
        <v>-17188.23</v>
      </c>
      <c r="AH86" s="150">
        <f>AH84-AH85</f>
        <v>-53216.246000000006</v>
      </c>
      <c r="AI86" s="73"/>
      <c r="AJ86" s="73"/>
      <c r="AK86" s="150">
        <f>AK84-AK85</f>
        <v>220592.16</v>
      </c>
      <c r="AL86" s="150">
        <f>AL84-AL85</f>
        <v>-69501</v>
      </c>
      <c r="AM86" s="150">
        <f>AM84-AM85</f>
        <v>142059.95661016949</v>
      </c>
      <c r="AN86" s="73"/>
      <c r="AO86" s="73"/>
      <c r="AP86" s="150">
        <f>AP84-AP85</f>
        <v>45.043999999994412</v>
      </c>
      <c r="AQ86" s="150">
        <f>AQ84-AQ85</f>
        <v>-14240</v>
      </c>
      <c r="AR86" s="150">
        <f>AR84-AR85</f>
        <v>-14194.956000000006</v>
      </c>
      <c r="AS86" s="73"/>
      <c r="AT86" s="73"/>
      <c r="AU86" s="150">
        <f>AU84-AU85</f>
        <v>-46</v>
      </c>
      <c r="AV86" s="150">
        <f>AV84-AV85</f>
        <v>0</v>
      </c>
      <c r="AW86" s="150">
        <f>AW84-AW85</f>
        <v>-46</v>
      </c>
      <c r="AX86" s="73"/>
      <c r="AY86" s="73"/>
      <c r="AZ86" s="1919">
        <f>AZ84-AZ85</f>
        <v>-16401.671999999999</v>
      </c>
      <c r="BA86" s="1919">
        <f>BA84-BA85</f>
        <v>0</v>
      </c>
      <c r="BB86" s="1919">
        <f>BB84-BB85</f>
        <v>-16401.671999999999</v>
      </c>
      <c r="BC86" s="1920"/>
      <c r="BD86" s="1920"/>
      <c r="BE86" s="150">
        <f>BE84-BE85</f>
        <v>855512.25769999973</v>
      </c>
      <c r="BF86" s="150">
        <f>BF84-BF85</f>
        <v>-744389.66999999993</v>
      </c>
      <c r="BG86" s="150">
        <f>BG84-BG85</f>
        <v>16898.672994453358</v>
      </c>
      <c r="BH86" s="73"/>
      <c r="BI86" s="73"/>
    </row>
    <row r="87" spans="1:61" s="2" customFormat="1" ht="14.4" thickBot="1" x14ac:dyDescent="0.3">
      <c r="A87" s="295"/>
      <c r="B87" s="29" t="s">
        <v>51</v>
      </c>
      <c r="C87" s="155">
        <f>C86/C5</f>
        <v>0.64663644122039687</v>
      </c>
      <c r="D87" s="151" t="e">
        <f>D86/D5</f>
        <v>#DIV/0!</v>
      </c>
      <c r="E87" s="156">
        <f>E86/E5</f>
        <v>0.19507574141241732</v>
      </c>
      <c r="F87" s="176"/>
      <c r="G87" s="155">
        <f>G86/G5</f>
        <v>0.26182061891756203</v>
      </c>
      <c r="H87" s="151" t="e">
        <f>H86/H5</f>
        <v>#DIV/0!</v>
      </c>
      <c r="I87" s="156">
        <f>I86/I5</f>
        <v>-0.34673473254381859</v>
      </c>
      <c r="J87" s="75"/>
      <c r="K87" s="75"/>
      <c r="L87" s="155" t="e">
        <f>L86/L5</f>
        <v>#DIV/0!</v>
      </c>
      <c r="M87" s="151" t="e">
        <f>M86/M5</f>
        <v>#DIV/0!</v>
      </c>
      <c r="N87" s="156" t="e">
        <f>N86/N5</f>
        <v>#DIV/0!</v>
      </c>
      <c r="O87" s="75"/>
      <c r="P87" s="75"/>
      <c r="Q87" s="155" t="e">
        <f>Q86/Q5</f>
        <v>#DIV/0!</v>
      </c>
      <c r="R87" s="151" t="e">
        <f>R86/R5</f>
        <v>#DIV/0!</v>
      </c>
      <c r="S87" s="156" t="e">
        <f>S86/S5</f>
        <v>#DIV/0!</v>
      </c>
      <c r="T87" s="75"/>
      <c r="U87" s="75"/>
      <c r="V87" s="155">
        <f>V86/V5</f>
        <v>0.84430514573432003</v>
      </c>
      <c r="W87" s="151" t="e">
        <f>W86/W5</f>
        <v>#DIV/0!</v>
      </c>
      <c r="X87" s="156">
        <f>X86/X5</f>
        <v>0.63467329168789055</v>
      </c>
      <c r="Y87" s="75"/>
      <c r="Z87" s="75"/>
      <c r="AA87" s="155">
        <f>AA86/AA5</f>
        <v>0.73865227241424991</v>
      </c>
      <c r="AB87" s="151" t="e">
        <f>AB86/AB5</f>
        <v>#DIV/0!</v>
      </c>
      <c r="AC87" s="156">
        <f>AC86/AC5</f>
        <v>0.58334463089665323</v>
      </c>
      <c r="AD87" s="75"/>
      <c r="AE87" s="75"/>
      <c r="AF87" s="155" t="e">
        <f>AF86/AF5</f>
        <v>#DIV/0!</v>
      </c>
      <c r="AG87" s="151" t="e">
        <f>AG86/AG5</f>
        <v>#DIV/0!</v>
      </c>
      <c r="AH87" s="156" t="e">
        <f>AH86/AH5</f>
        <v>#DIV/0!</v>
      </c>
      <c r="AI87" s="75"/>
      <c r="AJ87" s="75"/>
      <c r="AK87" s="155">
        <f>AK86/AK5</f>
        <v>0.91254632805775115</v>
      </c>
      <c r="AL87" s="151" t="e">
        <f>AL86/AL5</f>
        <v>#DIV/0!</v>
      </c>
      <c r="AM87" s="156">
        <f>AM86/AM5</f>
        <v>0.58767406678756684</v>
      </c>
      <c r="AN87" s="75"/>
      <c r="AO87" s="75"/>
      <c r="AP87" s="155">
        <f>AP86/AP5</f>
        <v>5.264567789783159E-4</v>
      </c>
      <c r="AQ87" s="151" t="e">
        <f>AQ86/AQ5</f>
        <v>#DIV/0!</v>
      </c>
      <c r="AR87" s="156">
        <f>AR86/AR5</f>
        <v>-0.16590513305878363</v>
      </c>
      <c r="AS87" s="75"/>
      <c r="AT87" s="75"/>
      <c r="AU87" s="155" t="e">
        <f>AU86/AU5</f>
        <v>#DIV/0!</v>
      </c>
      <c r="AV87" s="151" t="e">
        <f>AV86/AV5</f>
        <v>#DIV/0!</v>
      </c>
      <c r="AW87" s="156" t="e">
        <f>AW86/AW5</f>
        <v>#DIV/0!</v>
      </c>
      <c r="AX87" s="75"/>
      <c r="AY87" s="75"/>
      <c r="AZ87" s="1182" t="e">
        <f>AZ86/AZ5</f>
        <v>#DIV/0!</v>
      </c>
      <c r="BA87" s="1183" t="e">
        <f>BA86/BA5</f>
        <v>#DIV/0!</v>
      </c>
      <c r="BB87" s="1385" t="e">
        <f>BB86/BB5</f>
        <v>#DIV/0!</v>
      </c>
      <c r="BC87" s="1380"/>
      <c r="BD87" s="1380"/>
      <c r="BE87" s="155">
        <f>BE86/BE5</f>
        <v>0.47182328413497543</v>
      </c>
      <c r="BF87" s="151" t="e">
        <f>BF86/BF5</f>
        <v>#DIV/0!</v>
      </c>
      <c r="BG87" s="156">
        <f>BG86/BG5</f>
        <v>9.3197815905075431E-3</v>
      </c>
      <c r="BH87" s="75"/>
      <c r="BI87" s="75"/>
    </row>
    <row r="88" spans="1:61" ht="13.8" x14ac:dyDescent="0.25">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1473"/>
      <c r="BA88" s="1473"/>
      <c r="BB88" s="1473"/>
      <c r="BC88" s="1473"/>
      <c r="BD88" s="1473"/>
      <c r="BE88" s="76"/>
      <c r="BF88" s="76"/>
      <c r="BG88" s="76"/>
      <c r="BH88" s="76"/>
      <c r="BI88" s="76"/>
    </row>
    <row r="89" spans="1:61" x14ac:dyDescent="0.25">
      <c r="B89" s="221" t="s">
        <v>56</v>
      </c>
      <c r="C89" s="153"/>
      <c r="D89" s="153"/>
      <c r="E89" s="154">
        <f>E8+E36+E41+E50+E54+E73+E79+E82+E85</f>
        <v>1509072</v>
      </c>
      <c r="F89" s="189"/>
      <c r="I89" s="154">
        <v>1315819.7633909092</v>
      </c>
      <c r="N89" s="154">
        <f>N8+N36+N41+N50+N54+N73+N79+N82+N85</f>
        <v>0</v>
      </c>
      <c r="S89" s="154">
        <f>S8+S36+S41+S50+S54+S73+S79+S82+S85</f>
        <v>35237.177533875547</v>
      </c>
      <c r="X89" s="154">
        <f>X8+X36+X41+X50+X54+X73+X79+X82+X85</f>
        <v>138529.3706909316</v>
      </c>
      <c r="AC89" s="154">
        <f>AC8+AC36+AC41+AC50+AC54+AC73+AC79+AC82+AC85</f>
        <v>54029.36</v>
      </c>
      <c r="AH89" s="154">
        <f>AH8+AH36+AH41+AH50+AH54+AH73+AH79+AH82+AH85</f>
        <v>53216.246000000006</v>
      </c>
      <c r="AM89" s="154">
        <f>AM8+AM36+AM41+AM50+AM54+AM73+AM79+AM82+AM85</f>
        <v>99672.603389830503</v>
      </c>
      <c r="AR89" s="154">
        <f>AR8+AR36+AR41+AR50+AR54+AR73+AR79+AR82+AR85</f>
        <v>99755.635999999999</v>
      </c>
      <c r="AW89" s="154">
        <f>AW8+AW36+AW41+AW50+AW54+AW73+AW79+AW82+AW85</f>
        <v>46</v>
      </c>
      <c r="BB89" s="1538">
        <f>BB8+BB36+BB41+BB50+BB54+BB73+BB79+BB82+BB85</f>
        <v>16401.671999999999</v>
      </c>
      <c r="BG89" s="154">
        <f>BG8+BG36+BG41+BG50+BG54+BG73+BG79+BG82+BG85</f>
        <v>1796306.1570055466</v>
      </c>
    </row>
    <row r="90" spans="1:61" x14ac:dyDescent="0.25">
      <c r="C90" s="153"/>
      <c r="D90" s="153"/>
      <c r="E90" s="153"/>
      <c r="BG90" s="395" t="b">
        <f>(S89+N89+I89+X89+AC89+AH89+AM89+AR89+AW89)=BG89</f>
        <v>1</v>
      </c>
    </row>
    <row r="91" spans="1:61" s="2" customFormat="1" x14ac:dyDescent="0.25">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1446"/>
      <c r="BA91" s="1446"/>
      <c r="BB91" s="1446"/>
      <c r="BC91" s="1446"/>
      <c r="BD91" s="1446"/>
      <c r="BE91" s="38"/>
      <c r="BF91" s="38"/>
      <c r="BG91" s="38"/>
      <c r="BH91" s="38"/>
      <c r="BI91" s="38"/>
    </row>
    <row r="92" spans="1:61" x14ac:dyDescent="0.25">
      <c r="C92" s="38"/>
      <c r="D92" s="38"/>
    </row>
    <row r="93" spans="1:61" s="2" customFormat="1" x14ac:dyDescent="0.25">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1446"/>
      <c r="BA93" s="1446"/>
      <c r="BB93" s="1446"/>
      <c r="BC93" s="1446"/>
      <c r="BD93" s="1446"/>
      <c r="BE93" s="38"/>
      <c r="BF93" s="38"/>
      <c r="BG93" s="38"/>
      <c r="BH93" s="38"/>
      <c r="BI93" s="38"/>
    </row>
    <row r="94" spans="1:61" s="2" customFormat="1" x14ac:dyDescent="0.25">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1446"/>
      <c r="BA94" s="1446"/>
      <c r="BB94" s="1446"/>
      <c r="BC94" s="1446"/>
      <c r="BD94" s="1446"/>
      <c r="BE94" s="38"/>
      <c r="BF94" s="38"/>
      <c r="BG94" s="38"/>
      <c r="BH94" s="38"/>
      <c r="BI94" s="38"/>
    </row>
    <row r="95" spans="1:61" s="2" customFormat="1" x14ac:dyDescent="0.25">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1446"/>
      <c r="BA95" s="1446"/>
      <c r="BB95" s="1446"/>
      <c r="BC95" s="1446"/>
      <c r="BD95" s="1446"/>
      <c r="BE95" s="38"/>
      <c r="BF95" s="38"/>
      <c r="BG95" s="38"/>
      <c r="BH95" s="38"/>
      <c r="BI95" s="38"/>
    </row>
    <row r="96" spans="1:61" s="2" customFormat="1" x14ac:dyDescent="0.25">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1446"/>
      <c r="BA96" s="1446"/>
      <c r="BB96" s="1446"/>
      <c r="BC96" s="1446"/>
      <c r="BD96" s="1446"/>
      <c r="BE96" s="38"/>
      <c r="BF96" s="38"/>
      <c r="BG96" s="38"/>
      <c r="BH96" s="38"/>
      <c r="BI96" s="38"/>
    </row>
    <row r="97" spans="1:61" x14ac:dyDescent="0.25">
      <c r="C97" s="38"/>
      <c r="D97" s="38"/>
    </row>
    <row r="98" spans="1:61"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1446"/>
      <c r="BA98" s="1446"/>
      <c r="BB98" s="1446"/>
      <c r="BC98" s="1446"/>
      <c r="BD98" s="1446"/>
      <c r="BE98" s="38"/>
      <c r="BF98" s="38"/>
      <c r="BG98" s="38"/>
      <c r="BH98" s="38"/>
      <c r="BI98" s="38"/>
    </row>
    <row r="99" spans="1:61" x14ac:dyDescent="0.25">
      <c r="C99" s="38"/>
      <c r="D99" s="38"/>
    </row>
  </sheetData>
  <mergeCells count="14">
    <mergeCell ref="BE2:BH3"/>
    <mergeCell ref="A3:F3"/>
    <mergeCell ref="A42:A48"/>
    <mergeCell ref="A2:F2"/>
    <mergeCell ref="G2:K3"/>
    <mergeCell ref="L2:O3"/>
    <mergeCell ref="Q2:U3"/>
    <mergeCell ref="V2:Z3"/>
    <mergeCell ref="AA2:AE3"/>
    <mergeCell ref="AF2:AJ3"/>
    <mergeCell ref="AK2:AO3"/>
    <mergeCell ref="AP2:AT3"/>
    <mergeCell ref="AU2:AY3"/>
    <mergeCell ref="AZ2:BD3"/>
  </mergeCells>
  <pageMargins left="0.39370078740157483" right="0.19685039370078741" top="0.19685039370078741" bottom="0.19685039370078741" header="0.11811023622047245" footer="0.11811023622047245"/>
  <pageSetup paperSize="9" scale="36" orientation="portrait" horizontalDpi="4294967295" verticalDpi="4294967295"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177D7"/>
  </sheetPr>
  <dimension ref="A1:AM115"/>
  <sheetViews>
    <sheetView zoomScale="70" zoomScaleNormal="70" workbookViewId="0">
      <pane xSplit="6" ySplit="4" topLeftCell="S32" activePane="bottomRight" state="frozen"/>
      <selection pane="topRight" activeCell="G1" sqref="G1"/>
      <selection pane="bottomLeft" activeCell="A5" sqref="A5"/>
      <selection pane="bottomRight" activeCell="E46" sqref="E46"/>
    </sheetView>
  </sheetViews>
  <sheetFormatPr defaultColWidth="7.44140625" defaultRowHeight="13.2" outlineLevelRow="3" outlineLevelCol="1" x14ac:dyDescent="0.25"/>
  <cols>
    <col min="1" max="1" width="4.44140625" style="1417" customWidth="1"/>
    <col min="2" max="2" width="55" style="1417" customWidth="1"/>
    <col min="3" max="3" width="16.6640625" style="1474" customWidth="1" outlineLevel="1"/>
    <col min="4" max="4" width="15.5546875" style="1474" customWidth="1" outlineLevel="1"/>
    <col min="5" max="5" width="16.33203125" style="1968" customWidth="1" outlineLevel="1"/>
    <col min="6" max="6" width="9.5546875" style="1968" customWidth="1" outlineLevel="1"/>
    <col min="7" max="11" width="16.6640625" style="1968" customWidth="1" outlineLevel="1"/>
    <col min="12" max="16" width="16.88671875" style="1968" customWidth="1"/>
    <col min="17" max="20" width="16.6640625" style="1968" customWidth="1"/>
    <col min="21" max="21" width="17.88671875" style="1968" customWidth="1"/>
    <col min="22" max="30" width="16.6640625" style="1968" hidden="1" customWidth="1" outlineLevel="1"/>
    <col min="31" max="31" width="13.109375" style="1968" hidden="1" customWidth="1" outlineLevel="1"/>
    <col min="32" max="32" width="16.6640625" style="1968" customWidth="1" collapsed="1"/>
    <col min="33" max="36" width="16.6640625" style="1968" customWidth="1"/>
    <col min="37" max="37" width="7.44140625" style="1410"/>
    <col min="38" max="38" width="15.88671875" style="1474" bestFit="1" customWidth="1"/>
    <col min="39" max="39" width="13.33203125" style="1474" bestFit="1" customWidth="1"/>
    <col min="40" max="16384" width="7.44140625" style="1410"/>
  </cols>
  <sheetData>
    <row r="1" spans="1:39" ht="13.8" thickBot="1" x14ac:dyDescent="0.3">
      <c r="C1" s="1968"/>
      <c r="D1" s="1968"/>
    </row>
    <row r="2" spans="1:39" ht="22.2" customHeight="1" thickBot="1" x14ac:dyDescent="0.3">
      <c r="A2" s="4016" t="s">
        <v>1656</v>
      </c>
      <c r="B2" s="4017"/>
      <c r="C2" s="4017"/>
      <c r="D2" s="4017"/>
      <c r="E2" s="4017"/>
      <c r="F2" s="4018"/>
      <c r="G2" s="4172" t="s">
        <v>1627</v>
      </c>
      <c r="H2" s="4173"/>
      <c r="I2" s="4173"/>
      <c r="J2" s="4173"/>
      <c r="K2" s="4174"/>
      <c r="L2" s="4019" t="s">
        <v>1657</v>
      </c>
      <c r="M2" s="4020"/>
      <c r="N2" s="4020"/>
      <c r="O2" s="4020"/>
      <c r="P2" s="4041"/>
      <c r="Q2" s="4071" t="s">
        <v>1698</v>
      </c>
      <c r="R2" s="4072"/>
      <c r="S2" s="4072"/>
      <c r="T2" s="4072"/>
      <c r="U2" s="4073"/>
      <c r="V2" s="4047"/>
      <c r="W2" s="4048"/>
      <c r="X2" s="4048"/>
      <c r="Y2" s="4048"/>
      <c r="Z2" s="4049"/>
      <c r="AA2" s="4043"/>
      <c r="AB2" s="4044"/>
      <c r="AC2" s="4044"/>
      <c r="AD2" s="4044"/>
      <c r="AE2" s="4146"/>
      <c r="AF2" s="4089" t="s">
        <v>469</v>
      </c>
      <c r="AG2" s="4090"/>
      <c r="AH2" s="4090"/>
      <c r="AI2" s="4090"/>
      <c r="AJ2" s="4091"/>
    </row>
    <row r="3" spans="1:39" ht="14.4" customHeight="1" thickBot="1" x14ac:dyDescent="0.3">
      <c r="A3" s="4016" t="s">
        <v>54</v>
      </c>
      <c r="B3" s="4017"/>
      <c r="C3" s="4017"/>
      <c r="D3" s="4017"/>
      <c r="E3" s="4017"/>
      <c r="F3" s="4018"/>
      <c r="G3" s="4175"/>
      <c r="H3" s="4176"/>
      <c r="I3" s="4176"/>
      <c r="J3" s="4176"/>
      <c r="K3" s="4177"/>
      <c r="L3" s="4021"/>
      <c r="M3" s="4022"/>
      <c r="N3" s="4022"/>
      <c r="O3" s="4022"/>
      <c r="P3" s="4042"/>
      <c r="Q3" s="4074"/>
      <c r="R3" s="4075"/>
      <c r="S3" s="4075"/>
      <c r="T3" s="4075"/>
      <c r="U3" s="4076"/>
      <c r="V3" s="4050"/>
      <c r="W3" s="4051"/>
      <c r="X3" s="4051"/>
      <c r="Y3" s="4051"/>
      <c r="Z3" s="4052"/>
      <c r="AA3" s="4045"/>
      <c r="AB3" s="4046"/>
      <c r="AC3" s="4046"/>
      <c r="AD3" s="4046"/>
      <c r="AE3" s="4147"/>
      <c r="AF3" s="4092"/>
      <c r="AG3" s="4093"/>
      <c r="AH3" s="4093"/>
      <c r="AI3" s="4093"/>
      <c r="AJ3" s="4094"/>
    </row>
    <row r="4" spans="1:39" ht="41.4" thickBot="1" x14ac:dyDescent="0.3">
      <c r="A4" s="1486"/>
      <c r="B4" s="1489" t="s">
        <v>11</v>
      </c>
      <c r="C4" s="1588" t="s">
        <v>55</v>
      </c>
      <c r="D4" s="1588" t="s">
        <v>18</v>
      </c>
      <c r="E4" s="1589" t="s">
        <v>39</v>
      </c>
      <c r="F4" s="1978" t="s">
        <v>40</v>
      </c>
      <c r="G4" s="1972" t="s">
        <v>55</v>
      </c>
      <c r="H4" s="1972" t="s">
        <v>18</v>
      </c>
      <c r="I4" s="1489" t="s">
        <v>39</v>
      </c>
      <c r="J4" s="1978" t="s">
        <v>40</v>
      </c>
      <c r="K4" s="1489" t="s">
        <v>19</v>
      </c>
      <c r="L4" s="1972" t="s">
        <v>55</v>
      </c>
      <c r="M4" s="1972" t="s">
        <v>18</v>
      </c>
      <c r="N4" s="1489" t="s">
        <v>39</v>
      </c>
      <c r="O4" s="1978" t="s">
        <v>40</v>
      </c>
      <c r="P4" s="1489" t="s">
        <v>19</v>
      </c>
      <c r="Q4" s="1972" t="s">
        <v>55</v>
      </c>
      <c r="R4" s="1972" t="s">
        <v>18</v>
      </c>
      <c r="S4" s="1489" t="s">
        <v>39</v>
      </c>
      <c r="T4" s="1978" t="s">
        <v>40</v>
      </c>
      <c r="U4" s="1489" t="s">
        <v>19</v>
      </c>
      <c r="V4" s="1972" t="s">
        <v>55</v>
      </c>
      <c r="W4" s="1972" t="s">
        <v>18</v>
      </c>
      <c r="X4" s="1489" t="s">
        <v>39</v>
      </c>
      <c r="Y4" s="1978" t="s">
        <v>40</v>
      </c>
      <c r="Z4" s="1489" t="s">
        <v>19</v>
      </c>
      <c r="AA4" s="1972" t="s">
        <v>55</v>
      </c>
      <c r="AB4" s="1972" t="s">
        <v>18</v>
      </c>
      <c r="AC4" s="1489" t="s">
        <v>39</v>
      </c>
      <c r="AD4" s="1978" t="s">
        <v>40</v>
      </c>
      <c r="AE4" s="1489" t="s">
        <v>19</v>
      </c>
      <c r="AF4" s="1972" t="s">
        <v>55</v>
      </c>
      <c r="AG4" s="1972" t="s">
        <v>18</v>
      </c>
      <c r="AH4" s="1489" t="s">
        <v>39</v>
      </c>
      <c r="AI4" s="1978" t="s">
        <v>40</v>
      </c>
      <c r="AJ4" s="1489" t="s">
        <v>19</v>
      </c>
    </row>
    <row r="5" spans="1:39" s="2483" customFormat="1" ht="24.6" customHeight="1" thickBot="1" x14ac:dyDescent="0.3">
      <c r="A5" s="1477"/>
      <c r="B5" s="977" t="s">
        <v>10</v>
      </c>
      <c r="C5" s="1479">
        <f t="shared" ref="C5:E5" si="0">C6+C7</f>
        <v>1596461.0765686878</v>
      </c>
      <c r="D5" s="1479">
        <f t="shared" si="0"/>
        <v>0</v>
      </c>
      <c r="E5" s="1971">
        <f t="shared" si="0"/>
        <v>1596461.0765686878</v>
      </c>
      <c r="F5" s="1481"/>
      <c r="G5" s="1971">
        <f t="shared" ref="G5:I5" si="1">G6+G7</f>
        <v>0</v>
      </c>
      <c r="H5" s="1481">
        <f t="shared" si="1"/>
        <v>0</v>
      </c>
      <c r="I5" s="1481">
        <f t="shared" si="1"/>
        <v>0</v>
      </c>
      <c r="J5" s="1481"/>
      <c r="K5" s="1481"/>
      <c r="L5" s="1971">
        <f t="shared" ref="L5:N5" si="2">L6+L7</f>
        <v>1596455.01</v>
      </c>
      <c r="M5" s="1481">
        <f t="shared" si="2"/>
        <v>0</v>
      </c>
      <c r="N5" s="1481">
        <f t="shared" si="2"/>
        <v>1596455.01</v>
      </c>
      <c r="O5" s="1481"/>
      <c r="P5" s="1481"/>
      <c r="Q5" s="1971">
        <f>SUM(Q6:Q7)</f>
        <v>0</v>
      </c>
      <c r="R5" s="1971">
        <f>SUM(R6:R7)</f>
        <v>0</v>
      </c>
      <c r="S5" s="1971">
        <f>SUM(S6:S7)</f>
        <v>0</v>
      </c>
      <c r="T5" s="1481"/>
      <c r="U5" s="1481"/>
      <c r="V5" s="1971">
        <f>V6</f>
        <v>0</v>
      </c>
      <c r="W5" s="1481">
        <f>W6</f>
        <v>0</v>
      </c>
      <c r="X5" s="1481">
        <f>X6</f>
        <v>0</v>
      </c>
      <c r="Y5" s="1481"/>
      <c r="Z5" s="1481"/>
      <c r="AA5" s="1971">
        <f>AA6</f>
        <v>0</v>
      </c>
      <c r="AB5" s="1481">
        <f>AB6</f>
        <v>0</v>
      </c>
      <c r="AC5" s="1481">
        <f>AC6</f>
        <v>0</v>
      </c>
      <c r="AD5" s="1481"/>
      <c r="AE5" s="1481"/>
      <c r="AF5" s="1481">
        <f>AF6+AF7</f>
        <v>1596455.01</v>
      </c>
      <c r="AG5" s="1481">
        <f>AG6+AG7</f>
        <v>0</v>
      </c>
      <c r="AH5" s="1481">
        <f>AH6+AH7</f>
        <v>1596455.01</v>
      </c>
      <c r="AI5" s="1481"/>
      <c r="AJ5" s="1481"/>
      <c r="AL5" s="2643">
        <v>1436809.51</v>
      </c>
      <c r="AM5" s="2643">
        <f>AL5-AH5</f>
        <v>-159645.5</v>
      </c>
    </row>
    <row r="6" spans="1:39" s="1411" customFormat="1" ht="24.6" customHeight="1" outlineLevel="1" x14ac:dyDescent="0.25">
      <c r="A6" s="1587"/>
      <c r="B6" s="1439" t="s">
        <v>17</v>
      </c>
      <c r="C6" s="1990">
        <v>1596461.0765686878</v>
      </c>
      <c r="D6" s="2027"/>
      <c r="E6" s="2028">
        <f>C6+D6</f>
        <v>1596461.0765686878</v>
      </c>
      <c r="F6" s="2059"/>
      <c r="G6" s="2067"/>
      <c r="H6" s="2059"/>
      <c r="I6" s="2028">
        <f>G6+H6</f>
        <v>0</v>
      </c>
      <c r="J6" s="2059"/>
      <c r="K6" s="2062"/>
      <c r="L6" s="2067">
        <f>823868.05+772586.96</f>
        <v>1596455.01</v>
      </c>
      <c r="M6" s="2059"/>
      <c r="N6" s="2028">
        <f>L6+M6</f>
        <v>1596455.01</v>
      </c>
      <c r="O6" s="2059"/>
      <c r="P6" s="2062" t="s">
        <v>1683</v>
      </c>
      <c r="Q6" s="2067"/>
      <c r="R6" s="2059"/>
      <c r="S6" s="2028">
        <f>Q6+R6</f>
        <v>0</v>
      </c>
      <c r="T6" s="2059"/>
      <c r="U6" s="2059"/>
      <c r="V6" s="2067"/>
      <c r="W6" s="2059"/>
      <c r="X6" s="2028">
        <f>V6+W6</f>
        <v>0</v>
      </c>
      <c r="Y6" s="2059"/>
      <c r="Z6" s="2059"/>
      <c r="AA6" s="2067"/>
      <c r="AB6" s="2059"/>
      <c r="AC6" s="2028">
        <f>AA6+AB6</f>
        <v>0</v>
      </c>
      <c r="AD6" s="2059"/>
      <c r="AE6" s="2059"/>
      <c r="AF6" s="2059">
        <f>G6+L6+Q6</f>
        <v>1596455.01</v>
      </c>
      <c r="AG6" s="2059">
        <f>H6+M6+R6</f>
        <v>0</v>
      </c>
      <c r="AH6" s="2028">
        <f>AF6+AG6</f>
        <v>1596455.01</v>
      </c>
      <c r="AI6" s="2059"/>
      <c r="AJ6" s="2059"/>
      <c r="AL6" s="919"/>
      <c r="AM6" s="2644"/>
    </row>
    <row r="7" spans="1:39" s="1411" customFormat="1" ht="24.6" customHeight="1" outlineLevel="1" collapsed="1" thickBot="1" x14ac:dyDescent="0.3">
      <c r="A7" s="1587"/>
      <c r="B7" s="2688" t="s">
        <v>41</v>
      </c>
      <c r="C7" s="2689"/>
      <c r="D7" s="2690"/>
      <c r="E7" s="2028">
        <f>C7+D7</f>
        <v>0</v>
      </c>
      <c r="F7" s="2691"/>
      <c r="G7" s="2067"/>
      <c r="H7" s="2059"/>
      <c r="I7" s="2028">
        <f>G7+H7</f>
        <v>0</v>
      </c>
      <c r="J7" s="2691"/>
      <c r="K7" s="2692"/>
      <c r="L7" s="2067"/>
      <c r="M7" s="2059"/>
      <c r="N7" s="2028">
        <f>L7+M7</f>
        <v>0</v>
      </c>
      <c r="O7" s="2691"/>
      <c r="P7" s="2692"/>
      <c r="Q7" s="2067"/>
      <c r="R7" s="2059"/>
      <c r="S7" s="2028">
        <f>Q7+R7</f>
        <v>0</v>
      </c>
      <c r="T7" s="2691"/>
      <c r="U7" s="2071"/>
      <c r="V7" s="2067"/>
      <c r="W7" s="2059"/>
      <c r="X7" s="2028">
        <f>V7+W7</f>
        <v>0</v>
      </c>
      <c r="Y7" s="2691"/>
      <c r="Z7" s="2692"/>
      <c r="AA7" s="2067"/>
      <c r="AB7" s="2059"/>
      <c r="AC7" s="2028">
        <f>AA7+AB7</f>
        <v>0</v>
      </c>
      <c r="AD7" s="2691"/>
      <c r="AE7" s="2692"/>
      <c r="AF7" s="2059">
        <f>G7+L7+Q7</f>
        <v>0</v>
      </c>
      <c r="AG7" s="2059">
        <f>H7+M7+R7</f>
        <v>0</v>
      </c>
      <c r="AH7" s="2028">
        <f>AF7+AG7</f>
        <v>0</v>
      </c>
      <c r="AI7" s="2691"/>
      <c r="AJ7" s="2691"/>
      <c r="AL7" s="919"/>
      <c r="AM7" s="919"/>
    </row>
    <row r="8" spans="1:39" s="2483" customFormat="1" ht="24.6" customHeight="1" thickBot="1" x14ac:dyDescent="0.3">
      <c r="A8" s="1587"/>
      <c r="B8" s="977" t="s">
        <v>16</v>
      </c>
      <c r="C8" s="1973">
        <f>SUM(C9:C33)</f>
        <v>588620.21412208001</v>
      </c>
      <c r="D8" s="1973">
        <f>SUM(D9:D33)</f>
        <v>471923.4</v>
      </c>
      <c r="E8" s="1499">
        <f>SUM(E9:E33)</f>
        <v>1060543.6141220802</v>
      </c>
      <c r="F8" s="1543">
        <f t="shared" ref="F8:F33" si="3">E8/$E$89</f>
        <v>0.86826329413004733</v>
      </c>
      <c r="G8" s="1973">
        <f>SUM(G9:G33)</f>
        <v>15808</v>
      </c>
      <c r="H8" s="1973">
        <f>SUM(H9:H33)</f>
        <v>15700</v>
      </c>
      <c r="I8" s="1499">
        <f>SUM(I9:I33)</f>
        <v>31508</v>
      </c>
      <c r="J8" s="1543">
        <f>I8/$I$89</f>
        <v>0.93637508172627515</v>
      </c>
      <c r="K8" s="1615"/>
      <c r="L8" s="1973">
        <f>SUM(L9:L33)</f>
        <v>463300.38800000004</v>
      </c>
      <c r="M8" s="1973">
        <f>SUM(M9:M33)</f>
        <v>254111.6</v>
      </c>
      <c r="N8" s="1499">
        <f>SUM(N9:N33)</f>
        <v>717411.98800000001</v>
      </c>
      <c r="O8" s="1543">
        <f>N8/$N$89</f>
        <v>0.95115124486872493</v>
      </c>
      <c r="P8" s="1615"/>
      <c r="Q8" s="1973">
        <f>SUM(Q9:Q33)</f>
        <v>4979.7</v>
      </c>
      <c r="R8" s="1973">
        <f>SUM(R9:R33)</f>
        <v>0</v>
      </c>
      <c r="S8" s="1499">
        <f>SUM(S9:S33)</f>
        <v>4979.7</v>
      </c>
      <c r="T8" s="1543">
        <f>S8/S$89</f>
        <v>0.90134884663838177</v>
      </c>
      <c r="U8" s="1615"/>
      <c r="V8" s="1973">
        <f>SUM(V9:V33)</f>
        <v>0</v>
      </c>
      <c r="W8" s="1973">
        <f>SUM(W9:W33)</f>
        <v>0</v>
      </c>
      <c r="X8" s="1499">
        <f>SUM(X9:X33)</f>
        <v>0</v>
      </c>
      <c r="Y8" s="1543" t="e">
        <f>X8/$X$89</f>
        <v>#DIV/0!</v>
      </c>
      <c r="Z8" s="1615"/>
      <c r="AA8" s="1973">
        <f>SUM(AA9:AA33)</f>
        <v>0</v>
      </c>
      <c r="AB8" s="1973">
        <f>SUM(AB9:AB33)</f>
        <v>0</v>
      </c>
      <c r="AC8" s="1499">
        <f>SUM(AC9:AC33)</f>
        <v>0</v>
      </c>
      <c r="AD8" s="1543" t="e">
        <f>AC8/$AC$89</f>
        <v>#DIV/0!</v>
      </c>
      <c r="AE8" s="1615"/>
      <c r="AF8" s="1973">
        <f>SUM(AF9:AF33)</f>
        <v>484088.08800000005</v>
      </c>
      <c r="AG8" s="1973">
        <f>SUM(AG9:AG33)</f>
        <v>269811.59999999998</v>
      </c>
      <c r="AH8" s="1499">
        <f>SUM(AH9:AH33)</f>
        <v>753899.68799999997</v>
      </c>
      <c r="AI8" s="1543">
        <f>AH8/$AH$89</f>
        <v>0.95017781813719382</v>
      </c>
      <c r="AJ8" s="1481"/>
      <c r="AL8" s="918"/>
      <c r="AM8" s="918"/>
    </row>
    <row r="9" spans="1:39" s="1411" customFormat="1" ht="24.6" customHeight="1" x14ac:dyDescent="0.25">
      <c r="A9" s="1587"/>
      <c r="B9" s="1439" t="s">
        <v>74</v>
      </c>
      <c r="C9" s="1500"/>
      <c r="D9" s="1501"/>
      <c r="E9" s="2028">
        <f t="shared" ref="E9:E33" si="4">C9+D9</f>
        <v>0</v>
      </c>
      <c r="F9" s="1992">
        <f t="shared" si="3"/>
        <v>0</v>
      </c>
      <c r="G9" s="2067"/>
      <c r="H9" s="2059"/>
      <c r="I9" s="2061">
        <f>G9+H9*1</f>
        <v>0</v>
      </c>
      <c r="J9" s="2693">
        <f t="shared" ref="J9:J37" si="5">I9/$I$89</f>
        <v>0</v>
      </c>
      <c r="K9" s="1449"/>
      <c r="L9" s="2067"/>
      <c r="M9" s="2059"/>
      <c r="N9" s="2061">
        <f>L9+M9*1</f>
        <v>0</v>
      </c>
      <c r="O9" s="2693">
        <f t="shared" ref="O9:O36" si="6">N9/$N$89</f>
        <v>0</v>
      </c>
      <c r="P9" s="1449"/>
      <c r="Q9" s="1710"/>
      <c r="R9" s="2484"/>
      <c r="S9" s="1576">
        <f>Q9+R9*1</f>
        <v>0</v>
      </c>
      <c r="T9" s="1574">
        <f t="shared" ref="T9:T33" si="7">S9/S$89</f>
        <v>0</v>
      </c>
      <c r="U9" s="1595"/>
      <c r="V9" s="2067"/>
      <c r="W9" s="2059"/>
      <c r="X9" s="2061">
        <f>V9+W9*1</f>
        <v>0</v>
      </c>
      <c r="Y9" s="2693" t="e">
        <f t="shared" ref="Y9:Y33" si="8">X9/$X$89</f>
        <v>#DIV/0!</v>
      </c>
      <c r="Z9" s="1449"/>
      <c r="AA9" s="2067"/>
      <c r="AB9" s="2059"/>
      <c r="AC9" s="2061">
        <f>AA9+AB9*1</f>
        <v>0</v>
      </c>
      <c r="AD9" s="2693" t="e">
        <f t="shared" ref="AD9:AD33" si="9">AC9/$AC$89</f>
        <v>#DIV/0!</v>
      </c>
      <c r="AE9" s="1449"/>
      <c r="AF9" s="2059">
        <f t="shared" ref="AF9:AG33" si="10">G9+L9+Q9</f>
        <v>0</v>
      </c>
      <c r="AG9" s="2059">
        <f t="shared" si="10"/>
        <v>0</v>
      </c>
      <c r="AH9" s="2061">
        <f t="shared" ref="AH9:AH33" si="11">AF9+AG9*1</f>
        <v>0</v>
      </c>
      <c r="AI9" s="2693">
        <f t="shared" ref="AI9:AI33" si="12">AH9/$AH$89</f>
        <v>0</v>
      </c>
      <c r="AJ9" s="1449"/>
      <c r="AL9" s="919"/>
      <c r="AM9" s="919"/>
    </row>
    <row r="10" spans="1:39" s="1411" customFormat="1" ht="24.6" customHeight="1" x14ac:dyDescent="0.25">
      <c r="A10" s="1587"/>
      <c r="B10" s="1439" t="s">
        <v>72</v>
      </c>
      <c r="C10" s="1500"/>
      <c r="D10" s="1501"/>
      <c r="E10" s="2028">
        <f t="shared" si="4"/>
        <v>0</v>
      </c>
      <c r="F10" s="1992">
        <f t="shared" si="3"/>
        <v>0</v>
      </c>
      <c r="G10" s="2067"/>
      <c r="H10" s="2059"/>
      <c r="I10" s="2061">
        <f t="shared" ref="I10:I33" si="13">G10+H10*1</f>
        <v>0</v>
      </c>
      <c r="J10" s="2693">
        <f t="shared" si="5"/>
        <v>0</v>
      </c>
      <c r="K10" s="1630"/>
      <c r="L10" s="2067"/>
      <c r="M10" s="2059"/>
      <c r="N10" s="2061">
        <f t="shared" ref="N10:N33" si="14">L10+M10*1</f>
        <v>0</v>
      </c>
      <c r="O10" s="2693">
        <f t="shared" si="6"/>
        <v>0</v>
      </c>
      <c r="P10" s="1630"/>
      <c r="Q10" s="2067"/>
      <c r="R10" s="2059"/>
      <c r="S10" s="2061">
        <f t="shared" ref="S10:S33" si="15">Q10+R10*1</f>
        <v>0</v>
      </c>
      <c r="T10" s="2693">
        <f t="shared" si="7"/>
        <v>0</v>
      </c>
      <c r="U10" s="1630"/>
      <c r="V10" s="2067"/>
      <c r="W10" s="2059"/>
      <c r="X10" s="2061">
        <f t="shared" ref="X10:X33" si="16">V10+W10*1</f>
        <v>0</v>
      </c>
      <c r="Y10" s="2693" t="e">
        <f t="shared" si="8"/>
        <v>#DIV/0!</v>
      </c>
      <c r="Z10" s="1630"/>
      <c r="AA10" s="2067"/>
      <c r="AB10" s="2059"/>
      <c r="AC10" s="2061">
        <f t="shared" ref="AC10:AC33" si="17">AA10+AB10*1</f>
        <v>0</v>
      </c>
      <c r="AD10" s="2693" t="e">
        <f t="shared" si="9"/>
        <v>#DIV/0!</v>
      </c>
      <c r="AE10" s="1630"/>
      <c r="AF10" s="2059">
        <f t="shared" si="10"/>
        <v>0</v>
      </c>
      <c r="AG10" s="2059">
        <f t="shared" si="10"/>
        <v>0</v>
      </c>
      <c r="AH10" s="2061">
        <f t="shared" si="11"/>
        <v>0</v>
      </c>
      <c r="AI10" s="2693">
        <f t="shared" si="12"/>
        <v>0</v>
      </c>
      <c r="AJ10" s="1449"/>
      <c r="AL10" s="919"/>
      <c r="AM10" s="919"/>
    </row>
    <row r="11" spans="1:39" s="1411" customFormat="1" ht="24.6" customHeight="1" x14ac:dyDescent="0.25">
      <c r="A11" s="1587"/>
      <c r="B11" s="1439" t="s">
        <v>69</v>
      </c>
      <c r="C11" s="1500"/>
      <c r="D11" s="1501"/>
      <c r="E11" s="2028">
        <f t="shared" si="4"/>
        <v>0</v>
      </c>
      <c r="F11" s="1992">
        <f t="shared" si="3"/>
        <v>0</v>
      </c>
      <c r="G11" s="2067"/>
      <c r="H11" s="2059"/>
      <c r="I11" s="2061">
        <f t="shared" si="13"/>
        <v>0</v>
      </c>
      <c r="J11" s="2693">
        <f t="shared" si="5"/>
        <v>0</v>
      </c>
      <c r="K11" s="1630"/>
      <c r="L11" s="2067"/>
      <c r="M11" s="2059"/>
      <c r="N11" s="2061">
        <f t="shared" si="14"/>
        <v>0</v>
      </c>
      <c r="O11" s="2693">
        <f t="shared" si="6"/>
        <v>0</v>
      </c>
      <c r="P11" s="1630"/>
      <c r="Q11" s="2067"/>
      <c r="R11" s="2059"/>
      <c r="S11" s="2061">
        <f t="shared" si="15"/>
        <v>0</v>
      </c>
      <c r="T11" s="2693">
        <f t="shared" si="7"/>
        <v>0</v>
      </c>
      <c r="U11" s="1630"/>
      <c r="V11" s="2067"/>
      <c r="W11" s="2059"/>
      <c r="X11" s="2061">
        <f t="shared" si="16"/>
        <v>0</v>
      </c>
      <c r="Y11" s="2693" t="e">
        <f t="shared" si="8"/>
        <v>#DIV/0!</v>
      </c>
      <c r="Z11" s="1630"/>
      <c r="AA11" s="2067"/>
      <c r="AB11" s="2059"/>
      <c r="AC11" s="2061">
        <f t="shared" si="17"/>
        <v>0</v>
      </c>
      <c r="AD11" s="2693" t="e">
        <f t="shared" si="9"/>
        <v>#DIV/0!</v>
      </c>
      <c r="AE11" s="1630"/>
      <c r="AF11" s="2059">
        <f t="shared" si="10"/>
        <v>0</v>
      </c>
      <c r="AG11" s="2059">
        <f t="shared" si="10"/>
        <v>0</v>
      </c>
      <c r="AH11" s="2061">
        <f t="shared" si="11"/>
        <v>0</v>
      </c>
      <c r="AI11" s="2693">
        <f t="shared" si="12"/>
        <v>0</v>
      </c>
      <c r="AJ11" s="1449"/>
      <c r="AL11" s="919"/>
      <c r="AM11" s="919"/>
    </row>
    <row r="12" spans="1:39" s="1411" customFormat="1" ht="24.6" customHeight="1" x14ac:dyDescent="0.25">
      <c r="A12" s="1587"/>
      <c r="B12" s="1439" t="s">
        <v>73</v>
      </c>
      <c r="C12" s="1500">
        <v>9982</v>
      </c>
      <c r="D12" s="1501">
        <v>20018</v>
      </c>
      <c r="E12" s="2028">
        <f t="shared" si="4"/>
        <v>30000</v>
      </c>
      <c r="F12" s="1992">
        <f t="shared" si="3"/>
        <v>2.4560893561613603E-2</v>
      </c>
      <c r="G12" s="2067">
        <v>8372</v>
      </c>
      <c r="H12" s="2059">
        <v>15700</v>
      </c>
      <c r="I12" s="2061">
        <f t="shared" si="13"/>
        <v>24072</v>
      </c>
      <c r="J12" s="2693">
        <f t="shared" si="5"/>
        <v>0.71538723395058068</v>
      </c>
      <c r="K12" s="2065" t="s">
        <v>1658</v>
      </c>
      <c r="L12" s="2067">
        <v>6976.67</v>
      </c>
      <c r="M12" s="2059">
        <v>19500</v>
      </c>
      <c r="N12" s="2061">
        <f t="shared" si="14"/>
        <v>26476.67</v>
      </c>
      <c r="O12" s="2693">
        <f t="shared" si="6"/>
        <v>3.5103006433840664E-2</v>
      </c>
      <c r="P12" s="2065" t="s">
        <v>1658</v>
      </c>
      <c r="Q12" s="2067"/>
      <c r="R12" s="2059"/>
      <c r="S12" s="2061">
        <f t="shared" si="15"/>
        <v>0</v>
      </c>
      <c r="T12" s="2693">
        <f t="shared" si="7"/>
        <v>0</v>
      </c>
      <c r="U12" s="2064"/>
      <c r="V12" s="2067"/>
      <c r="W12" s="2059"/>
      <c r="X12" s="2061">
        <f t="shared" si="16"/>
        <v>0</v>
      </c>
      <c r="Y12" s="2693" t="e">
        <f t="shared" si="8"/>
        <v>#DIV/0!</v>
      </c>
      <c r="Z12" s="2064"/>
      <c r="AA12" s="2067"/>
      <c r="AB12" s="2059"/>
      <c r="AC12" s="2061">
        <f t="shared" si="17"/>
        <v>0</v>
      </c>
      <c r="AD12" s="2693" t="e">
        <f t="shared" si="9"/>
        <v>#DIV/0!</v>
      </c>
      <c r="AE12" s="2064"/>
      <c r="AF12" s="2059">
        <f t="shared" si="10"/>
        <v>15348.67</v>
      </c>
      <c r="AG12" s="2059">
        <f t="shared" si="10"/>
        <v>35200</v>
      </c>
      <c r="AH12" s="2061">
        <f t="shared" si="11"/>
        <v>50548.67</v>
      </c>
      <c r="AI12" s="2693">
        <f t="shared" si="12"/>
        <v>6.3709039458227007E-2</v>
      </c>
      <c r="AJ12" s="1449"/>
      <c r="AL12" s="920">
        <v>31048.67</v>
      </c>
      <c r="AM12" s="919">
        <f t="shared" ref="AM12:AM14" si="18">AH12-AL12</f>
        <v>19500</v>
      </c>
    </row>
    <row r="13" spans="1:39" s="1411" customFormat="1" ht="24.6" customHeight="1" x14ac:dyDescent="0.25">
      <c r="A13" s="1587"/>
      <c r="B13" s="1439" t="s">
        <v>71</v>
      </c>
      <c r="C13" s="1500">
        <v>2418</v>
      </c>
      <c r="D13" s="1501"/>
      <c r="E13" s="2028">
        <f t="shared" si="4"/>
        <v>2418</v>
      </c>
      <c r="F13" s="1992">
        <f t="shared" si="3"/>
        <v>1.9796080210660563E-3</v>
      </c>
      <c r="G13" s="2067">
        <v>2028</v>
      </c>
      <c r="H13" s="2059"/>
      <c r="I13" s="2061">
        <f t="shared" si="13"/>
        <v>2028</v>
      </c>
      <c r="J13" s="2693">
        <f t="shared" si="5"/>
        <v>6.0269413029734861E-2</v>
      </c>
      <c r="K13" s="2064"/>
      <c r="L13" s="2067">
        <v>1690</v>
      </c>
      <c r="M13" s="2067"/>
      <c r="N13" s="2061">
        <f t="shared" si="14"/>
        <v>1690</v>
      </c>
      <c r="O13" s="2693">
        <f t="shared" si="6"/>
        <v>2.240617149860263E-3</v>
      </c>
      <c r="P13" s="2064"/>
      <c r="Q13" s="2067"/>
      <c r="R13" s="2059"/>
      <c r="S13" s="2061">
        <f t="shared" si="15"/>
        <v>0</v>
      </c>
      <c r="T13" s="2693">
        <f t="shared" si="7"/>
        <v>0</v>
      </c>
      <c r="U13" s="2064"/>
      <c r="V13" s="2067"/>
      <c r="W13" s="2059"/>
      <c r="X13" s="2061">
        <f t="shared" si="16"/>
        <v>0</v>
      </c>
      <c r="Y13" s="2693" t="e">
        <f t="shared" si="8"/>
        <v>#DIV/0!</v>
      </c>
      <c r="Z13" s="2064"/>
      <c r="AA13" s="2067"/>
      <c r="AB13" s="2059"/>
      <c r="AC13" s="2061">
        <f t="shared" si="17"/>
        <v>0</v>
      </c>
      <c r="AD13" s="2693" t="e">
        <f t="shared" si="9"/>
        <v>#DIV/0!</v>
      </c>
      <c r="AE13" s="2064"/>
      <c r="AF13" s="2059">
        <f t="shared" si="10"/>
        <v>3718</v>
      </c>
      <c r="AG13" s="2059">
        <f t="shared" si="10"/>
        <v>0</v>
      </c>
      <c r="AH13" s="2061">
        <f t="shared" si="11"/>
        <v>3718</v>
      </c>
      <c r="AI13" s="2693">
        <f t="shared" si="12"/>
        <v>4.6859830081718862E-3</v>
      </c>
      <c r="AJ13" s="1449"/>
      <c r="AL13" s="919">
        <v>3718</v>
      </c>
      <c r="AM13" s="919">
        <f t="shared" si="18"/>
        <v>0</v>
      </c>
    </row>
    <row r="14" spans="1:39" s="1411" customFormat="1" ht="24.6" customHeight="1" x14ac:dyDescent="0.25">
      <c r="A14" s="1587"/>
      <c r="B14" s="1439" t="s">
        <v>70</v>
      </c>
      <c r="C14" s="1500">
        <v>2728</v>
      </c>
      <c r="D14" s="1501"/>
      <c r="E14" s="2028">
        <f t="shared" si="4"/>
        <v>2728</v>
      </c>
      <c r="F14" s="1992">
        <f t="shared" si="3"/>
        <v>2.2334039212027301E-3</v>
      </c>
      <c r="G14" s="2067">
        <v>2288</v>
      </c>
      <c r="H14" s="2059"/>
      <c r="I14" s="2061">
        <f t="shared" si="13"/>
        <v>2288</v>
      </c>
      <c r="J14" s="2693">
        <f t="shared" si="5"/>
        <v>6.799626085405984E-2</v>
      </c>
      <c r="K14" s="2064"/>
      <c r="L14" s="2067">
        <v>1906.67</v>
      </c>
      <c r="M14" s="2059"/>
      <c r="N14" s="2061">
        <f t="shared" si="14"/>
        <v>1906.67</v>
      </c>
      <c r="O14" s="2693">
        <f t="shared" si="6"/>
        <v>2.5278801781799215E-3</v>
      </c>
      <c r="P14" s="2064"/>
      <c r="Q14" s="2067"/>
      <c r="R14" s="2059"/>
      <c r="S14" s="2061">
        <f t="shared" si="15"/>
        <v>0</v>
      </c>
      <c r="T14" s="2693">
        <f t="shared" si="7"/>
        <v>0</v>
      </c>
      <c r="U14" s="2064"/>
      <c r="V14" s="2067"/>
      <c r="W14" s="2059"/>
      <c r="X14" s="2061">
        <f t="shared" si="16"/>
        <v>0</v>
      </c>
      <c r="Y14" s="2693" t="e">
        <f t="shared" si="8"/>
        <v>#DIV/0!</v>
      </c>
      <c r="Z14" s="2064"/>
      <c r="AA14" s="2067"/>
      <c r="AB14" s="2059"/>
      <c r="AC14" s="2061">
        <f t="shared" si="17"/>
        <v>0</v>
      </c>
      <c r="AD14" s="2693" t="e">
        <f t="shared" si="9"/>
        <v>#DIV/0!</v>
      </c>
      <c r="AE14" s="2064"/>
      <c r="AF14" s="2059">
        <f t="shared" si="10"/>
        <v>4194.67</v>
      </c>
      <c r="AG14" s="2059">
        <f t="shared" si="10"/>
        <v>0</v>
      </c>
      <c r="AH14" s="2061">
        <f t="shared" si="11"/>
        <v>4194.67</v>
      </c>
      <c r="AI14" s="2693">
        <f t="shared" si="12"/>
        <v>5.2867542616698137E-3</v>
      </c>
      <c r="AJ14" s="1449"/>
      <c r="AL14" s="919">
        <v>4194.67</v>
      </c>
      <c r="AM14" s="919">
        <f t="shared" si="18"/>
        <v>0</v>
      </c>
    </row>
    <row r="15" spans="1:39" s="1411" customFormat="1" ht="24.6" customHeight="1" x14ac:dyDescent="0.25">
      <c r="A15" s="1587"/>
      <c r="B15" s="2768" t="s">
        <v>20</v>
      </c>
      <c r="C15" s="1500"/>
      <c r="D15" s="2695"/>
      <c r="E15" s="2028">
        <f t="shared" si="4"/>
        <v>0</v>
      </c>
      <c r="F15" s="1992">
        <f t="shared" si="3"/>
        <v>0</v>
      </c>
      <c r="G15" s="2067"/>
      <c r="H15" s="2059"/>
      <c r="I15" s="2061">
        <f t="shared" si="13"/>
        <v>0</v>
      </c>
      <c r="J15" s="2693">
        <f t="shared" si="5"/>
        <v>0</v>
      </c>
      <c r="K15" s="2064"/>
      <c r="L15" s="2067"/>
      <c r="M15" s="2059"/>
      <c r="N15" s="2061">
        <f t="shared" si="14"/>
        <v>0</v>
      </c>
      <c r="O15" s="2693">
        <f t="shared" si="6"/>
        <v>0</v>
      </c>
      <c r="P15" s="2064"/>
      <c r="Q15" s="2067"/>
      <c r="R15" s="2059"/>
      <c r="S15" s="2061">
        <f t="shared" si="15"/>
        <v>0</v>
      </c>
      <c r="T15" s="2693">
        <f t="shared" si="7"/>
        <v>0</v>
      </c>
      <c r="U15" s="1630"/>
      <c r="V15" s="2067"/>
      <c r="W15" s="2059"/>
      <c r="X15" s="2061">
        <f t="shared" si="16"/>
        <v>0</v>
      </c>
      <c r="Y15" s="2693" t="e">
        <f t="shared" si="8"/>
        <v>#DIV/0!</v>
      </c>
      <c r="Z15" s="2064"/>
      <c r="AA15" s="2067"/>
      <c r="AB15" s="2059"/>
      <c r="AC15" s="2061">
        <f t="shared" si="17"/>
        <v>0</v>
      </c>
      <c r="AD15" s="2693" t="e">
        <f t="shared" si="9"/>
        <v>#DIV/0!</v>
      </c>
      <c r="AE15" s="2064"/>
      <c r="AF15" s="2059">
        <f t="shared" si="10"/>
        <v>0</v>
      </c>
      <c r="AG15" s="2059">
        <f t="shared" si="10"/>
        <v>0</v>
      </c>
      <c r="AH15" s="2061">
        <f t="shared" si="11"/>
        <v>0</v>
      </c>
      <c r="AI15" s="2693">
        <f t="shared" si="12"/>
        <v>0</v>
      </c>
      <c r="AJ15" s="1449"/>
      <c r="AL15" s="919"/>
      <c r="AM15" s="919"/>
    </row>
    <row r="16" spans="1:39" s="1411" customFormat="1" ht="24.6" customHeight="1" x14ac:dyDescent="0.25">
      <c r="A16" s="1587"/>
      <c r="B16" s="2768" t="s">
        <v>21</v>
      </c>
      <c r="C16" s="1500"/>
      <c r="D16" s="2695">
        <v>404405.4</v>
      </c>
      <c r="E16" s="2028">
        <f t="shared" si="4"/>
        <v>404405.4</v>
      </c>
      <c r="F16" s="1992">
        <f t="shared" si="3"/>
        <v>0.33108526617139244</v>
      </c>
      <c r="G16" s="2067"/>
      <c r="H16" s="2059"/>
      <c r="I16" s="2061">
        <f t="shared" si="13"/>
        <v>0</v>
      </c>
      <c r="J16" s="2693">
        <f t="shared" si="5"/>
        <v>0</v>
      </c>
      <c r="K16" s="2063"/>
      <c r="L16" s="2067"/>
      <c r="M16" s="2059">
        <f>100085+123520</f>
        <v>223605</v>
      </c>
      <c r="N16" s="2061">
        <f t="shared" si="14"/>
        <v>223605</v>
      </c>
      <c r="O16" s="2693">
        <f t="shared" si="6"/>
        <v>0.29645751348787225</v>
      </c>
      <c r="P16" s="2062" t="s">
        <v>1684</v>
      </c>
      <c r="Q16" s="2067"/>
      <c r="R16" s="2059"/>
      <c r="S16" s="2061">
        <f t="shared" si="15"/>
        <v>0</v>
      </c>
      <c r="T16" s="2693">
        <f t="shared" si="7"/>
        <v>0</v>
      </c>
      <c r="U16" s="2062"/>
      <c r="V16" s="2067"/>
      <c r="W16" s="2059"/>
      <c r="X16" s="2061">
        <f t="shared" si="16"/>
        <v>0</v>
      </c>
      <c r="Y16" s="2693" t="e">
        <f t="shared" si="8"/>
        <v>#DIV/0!</v>
      </c>
      <c r="Z16" s="2062"/>
      <c r="AA16" s="2067"/>
      <c r="AB16" s="2059"/>
      <c r="AC16" s="2061">
        <f t="shared" si="17"/>
        <v>0</v>
      </c>
      <c r="AD16" s="2693" t="e">
        <f t="shared" si="9"/>
        <v>#DIV/0!</v>
      </c>
      <c r="AE16" s="2062"/>
      <c r="AF16" s="2059">
        <f t="shared" si="10"/>
        <v>0</v>
      </c>
      <c r="AG16" s="2059">
        <f t="shared" si="10"/>
        <v>223605</v>
      </c>
      <c r="AH16" s="2061">
        <f t="shared" si="11"/>
        <v>223605</v>
      </c>
      <c r="AI16" s="2693">
        <f t="shared" si="12"/>
        <v>0.28182066448151549</v>
      </c>
      <c r="AJ16" s="1449"/>
      <c r="AL16" s="919"/>
      <c r="AM16" s="919"/>
    </row>
    <row r="17" spans="1:39" s="1411" customFormat="1" ht="24.6" customHeight="1" x14ac:dyDescent="0.25">
      <c r="A17" s="1587"/>
      <c r="B17" s="2768" t="s">
        <v>22</v>
      </c>
      <c r="C17" s="1500"/>
      <c r="D17" s="2695"/>
      <c r="E17" s="2028">
        <f t="shared" si="4"/>
        <v>0</v>
      </c>
      <c r="F17" s="1992">
        <f t="shared" si="3"/>
        <v>0</v>
      </c>
      <c r="G17" s="2067"/>
      <c r="H17" s="2059"/>
      <c r="I17" s="2061">
        <f t="shared" si="13"/>
        <v>0</v>
      </c>
      <c r="J17" s="2693">
        <f t="shared" si="5"/>
        <v>0</v>
      </c>
      <c r="K17" s="2065"/>
      <c r="L17" s="2067"/>
      <c r="M17" s="2059"/>
      <c r="N17" s="2061">
        <f t="shared" si="14"/>
        <v>0</v>
      </c>
      <c r="O17" s="2693">
        <f t="shared" si="6"/>
        <v>0</v>
      </c>
      <c r="P17" s="2064"/>
      <c r="Q17" s="2067"/>
      <c r="R17" s="2059"/>
      <c r="S17" s="2061">
        <f t="shared" si="15"/>
        <v>0</v>
      </c>
      <c r="T17" s="2693">
        <f t="shared" si="7"/>
        <v>0</v>
      </c>
      <c r="U17" s="2064"/>
      <c r="V17" s="2067"/>
      <c r="W17" s="2059"/>
      <c r="X17" s="2061">
        <f t="shared" si="16"/>
        <v>0</v>
      </c>
      <c r="Y17" s="2693" t="e">
        <f t="shared" si="8"/>
        <v>#DIV/0!</v>
      </c>
      <c r="Z17" s="2064"/>
      <c r="AA17" s="2067"/>
      <c r="AB17" s="2059"/>
      <c r="AC17" s="2061">
        <f t="shared" si="17"/>
        <v>0</v>
      </c>
      <c r="AD17" s="2693" t="e">
        <f t="shared" si="9"/>
        <v>#DIV/0!</v>
      </c>
      <c r="AE17" s="2064"/>
      <c r="AF17" s="2059">
        <f t="shared" si="10"/>
        <v>0</v>
      </c>
      <c r="AG17" s="2059">
        <f t="shared" si="10"/>
        <v>0</v>
      </c>
      <c r="AH17" s="2061">
        <f t="shared" si="11"/>
        <v>0</v>
      </c>
      <c r="AI17" s="2693">
        <f t="shared" si="12"/>
        <v>0</v>
      </c>
      <c r="AJ17" s="1449"/>
      <c r="AL17" s="919"/>
      <c r="AM17" s="919"/>
    </row>
    <row r="18" spans="1:39" s="1411" customFormat="1" ht="24.6" customHeight="1" x14ac:dyDescent="0.25">
      <c r="A18" s="1587"/>
      <c r="B18" s="2768" t="s">
        <v>0</v>
      </c>
      <c r="C18" s="1500"/>
      <c r="D18" s="2695"/>
      <c r="E18" s="2028">
        <f t="shared" si="4"/>
        <v>0</v>
      </c>
      <c r="F18" s="1992">
        <f t="shared" si="3"/>
        <v>0</v>
      </c>
      <c r="G18" s="2067"/>
      <c r="H18" s="2059"/>
      <c r="I18" s="2061">
        <f t="shared" si="13"/>
        <v>0</v>
      </c>
      <c r="J18" s="2693">
        <f t="shared" si="5"/>
        <v>0</v>
      </c>
      <c r="K18" s="2071"/>
      <c r="L18" s="2067"/>
      <c r="M18" s="2059"/>
      <c r="N18" s="2061">
        <f t="shared" si="14"/>
        <v>0</v>
      </c>
      <c r="O18" s="2693">
        <f t="shared" si="6"/>
        <v>0</v>
      </c>
      <c r="P18" s="2062"/>
      <c r="Q18" s="2067"/>
      <c r="R18" s="2059"/>
      <c r="S18" s="2061">
        <f t="shared" si="15"/>
        <v>0</v>
      </c>
      <c r="T18" s="2693">
        <f t="shared" si="7"/>
        <v>0</v>
      </c>
      <c r="U18" s="2071"/>
      <c r="V18" s="2067"/>
      <c r="W18" s="2059"/>
      <c r="X18" s="2061">
        <f t="shared" si="16"/>
        <v>0</v>
      </c>
      <c r="Y18" s="2693" t="e">
        <f t="shared" si="8"/>
        <v>#DIV/0!</v>
      </c>
      <c r="Z18" s="2062"/>
      <c r="AA18" s="2067"/>
      <c r="AB18" s="2059"/>
      <c r="AC18" s="2061">
        <f t="shared" si="17"/>
        <v>0</v>
      </c>
      <c r="AD18" s="2693" t="e">
        <f t="shared" si="9"/>
        <v>#DIV/0!</v>
      </c>
      <c r="AE18" s="2062"/>
      <c r="AF18" s="2059">
        <f t="shared" si="10"/>
        <v>0</v>
      </c>
      <c r="AG18" s="2059">
        <f t="shared" si="10"/>
        <v>0</v>
      </c>
      <c r="AH18" s="2061">
        <f t="shared" si="11"/>
        <v>0</v>
      </c>
      <c r="AI18" s="2693">
        <f t="shared" si="12"/>
        <v>0</v>
      </c>
      <c r="AJ18" s="1449"/>
      <c r="AL18" s="919"/>
      <c r="AM18" s="919"/>
    </row>
    <row r="19" spans="1:39" s="1411" customFormat="1" ht="24.6" customHeight="1" x14ac:dyDescent="0.25">
      <c r="A19" s="1587"/>
      <c r="B19" s="2768" t="s">
        <v>53</v>
      </c>
      <c r="C19" s="2696"/>
      <c r="D19" s="2695"/>
      <c r="E19" s="2028">
        <f t="shared" si="4"/>
        <v>0</v>
      </c>
      <c r="F19" s="1992">
        <f t="shared" si="3"/>
        <v>0</v>
      </c>
      <c r="G19" s="2067"/>
      <c r="H19" s="2059"/>
      <c r="I19" s="2061">
        <f t="shared" si="13"/>
        <v>0</v>
      </c>
      <c r="J19" s="2693">
        <f t="shared" si="5"/>
        <v>0</v>
      </c>
      <c r="K19" s="2065"/>
      <c r="L19" s="2067"/>
      <c r="M19" s="2059"/>
      <c r="N19" s="2061">
        <f t="shared" si="14"/>
        <v>0</v>
      </c>
      <c r="O19" s="2693">
        <f t="shared" si="6"/>
        <v>0</v>
      </c>
      <c r="P19" s="2064"/>
      <c r="Q19" s="2067"/>
      <c r="R19" s="2059"/>
      <c r="S19" s="2061">
        <f t="shared" si="15"/>
        <v>0</v>
      </c>
      <c r="T19" s="2693">
        <f t="shared" si="7"/>
        <v>0</v>
      </c>
      <c r="U19" s="2064"/>
      <c r="V19" s="2067"/>
      <c r="W19" s="2059"/>
      <c r="X19" s="2061">
        <f t="shared" si="16"/>
        <v>0</v>
      </c>
      <c r="Y19" s="2693" t="e">
        <f t="shared" si="8"/>
        <v>#DIV/0!</v>
      </c>
      <c r="Z19" s="2064"/>
      <c r="AA19" s="2067"/>
      <c r="AB19" s="2059"/>
      <c r="AC19" s="2061">
        <f t="shared" si="17"/>
        <v>0</v>
      </c>
      <c r="AD19" s="2693" t="e">
        <f t="shared" si="9"/>
        <v>#DIV/0!</v>
      </c>
      <c r="AE19" s="2064"/>
      <c r="AF19" s="2059">
        <f t="shared" si="10"/>
        <v>0</v>
      </c>
      <c r="AG19" s="2059">
        <f t="shared" si="10"/>
        <v>0</v>
      </c>
      <c r="AH19" s="2061">
        <f t="shared" si="11"/>
        <v>0</v>
      </c>
      <c r="AI19" s="2693">
        <f t="shared" si="12"/>
        <v>0</v>
      </c>
      <c r="AJ19" s="1449"/>
      <c r="AL19" s="919"/>
      <c r="AM19" s="919"/>
    </row>
    <row r="20" spans="1:39" s="1411" customFormat="1" ht="24.6" customHeight="1" x14ac:dyDescent="0.25">
      <c r="A20" s="1587"/>
      <c r="B20" s="2768" t="s">
        <v>57</v>
      </c>
      <c r="C20" s="2696"/>
      <c r="D20" s="2695"/>
      <c r="E20" s="2028">
        <f t="shared" si="4"/>
        <v>0</v>
      </c>
      <c r="F20" s="1992">
        <f t="shared" si="3"/>
        <v>0</v>
      </c>
      <c r="G20" s="2067"/>
      <c r="H20" s="2059"/>
      <c r="I20" s="2061">
        <f t="shared" si="13"/>
        <v>0</v>
      </c>
      <c r="J20" s="2693">
        <f t="shared" si="5"/>
        <v>0</v>
      </c>
      <c r="K20" s="2065"/>
      <c r="L20" s="2067"/>
      <c r="M20" s="2059"/>
      <c r="N20" s="2061">
        <f t="shared" si="14"/>
        <v>0</v>
      </c>
      <c r="O20" s="2693">
        <f t="shared" si="6"/>
        <v>0</v>
      </c>
      <c r="P20" s="2064"/>
      <c r="Q20" s="2067"/>
      <c r="R20" s="2059"/>
      <c r="S20" s="2061">
        <f t="shared" si="15"/>
        <v>0</v>
      </c>
      <c r="T20" s="2693">
        <f t="shared" si="7"/>
        <v>0</v>
      </c>
      <c r="U20" s="2064"/>
      <c r="V20" s="2067"/>
      <c r="W20" s="2059"/>
      <c r="X20" s="2061">
        <f t="shared" si="16"/>
        <v>0</v>
      </c>
      <c r="Y20" s="2693" t="e">
        <f t="shared" si="8"/>
        <v>#DIV/0!</v>
      </c>
      <c r="Z20" s="2064"/>
      <c r="AA20" s="2067"/>
      <c r="AB20" s="2059"/>
      <c r="AC20" s="2061">
        <f t="shared" si="17"/>
        <v>0</v>
      </c>
      <c r="AD20" s="2693" t="e">
        <f t="shared" si="9"/>
        <v>#DIV/0!</v>
      </c>
      <c r="AE20" s="2064"/>
      <c r="AF20" s="2059">
        <f t="shared" si="10"/>
        <v>0</v>
      </c>
      <c r="AG20" s="2059">
        <f t="shared" si="10"/>
        <v>0</v>
      </c>
      <c r="AH20" s="2061">
        <f t="shared" si="11"/>
        <v>0</v>
      </c>
      <c r="AI20" s="2693">
        <f t="shared" si="12"/>
        <v>0</v>
      </c>
      <c r="AJ20" s="1449"/>
      <c r="AL20" s="919"/>
      <c r="AM20" s="919"/>
    </row>
    <row r="21" spans="1:39" s="1411" customFormat="1" ht="24.6" customHeight="1" x14ac:dyDescent="0.25">
      <c r="A21" s="1587"/>
      <c r="B21" s="2768" t="s">
        <v>58</v>
      </c>
      <c r="C21" s="2696"/>
      <c r="D21" s="2695"/>
      <c r="E21" s="2028">
        <f t="shared" si="4"/>
        <v>0</v>
      </c>
      <c r="F21" s="1992">
        <f t="shared" si="3"/>
        <v>0</v>
      </c>
      <c r="G21" s="2067"/>
      <c r="H21" s="2059"/>
      <c r="I21" s="2061">
        <f t="shared" si="13"/>
        <v>0</v>
      </c>
      <c r="J21" s="2693">
        <f t="shared" si="5"/>
        <v>0</v>
      </c>
      <c r="K21" s="2062"/>
      <c r="L21" s="2067"/>
      <c r="M21" s="2059"/>
      <c r="N21" s="2061">
        <f t="shared" si="14"/>
        <v>0</v>
      </c>
      <c r="O21" s="2693">
        <f t="shared" si="6"/>
        <v>0</v>
      </c>
      <c r="P21" s="2064"/>
      <c r="Q21" s="2067"/>
      <c r="R21" s="2059"/>
      <c r="S21" s="2061">
        <f t="shared" si="15"/>
        <v>0</v>
      </c>
      <c r="T21" s="2693">
        <f t="shared" si="7"/>
        <v>0</v>
      </c>
      <c r="U21" s="2064"/>
      <c r="V21" s="2067"/>
      <c r="W21" s="2059"/>
      <c r="X21" s="2061">
        <f t="shared" si="16"/>
        <v>0</v>
      </c>
      <c r="Y21" s="2693" t="e">
        <f t="shared" si="8"/>
        <v>#DIV/0!</v>
      </c>
      <c r="Z21" s="2064"/>
      <c r="AA21" s="2067"/>
      <c r="AB21" s="2059"/>
      <c r="AC21" s="2061">
        <f t="shared" si="17"/>
        <v>0</v>
      </c>
      <c r="AD21" s="2693" t="e">
        <f t="shared" si="9"/>
        <v>#DIV/0!</v>
      </c>
      <c r="AE21" s="2064"/>
      <c r="AF21" s="2059">
        <f t="shared" si="10"/>
        <v>0</v>
      </c>
      <c r="AG21" s="2059">
        <f t="shared" si="10"/>
        <v>0</v>
      </c>
      <c r="AH21" s="2061">
        <f t="shared" si="11"/>
        <v>0</v>
      </c>
      <c r="AI21" s="2693">
        <f t="shared" si="12"/>
        <v>0</v>
      </c>
      <c r="AJ21" s="1449"/>
      <c r="AL21" s="919"/>
      <c r="AM21" s="919"/>
    </row>
    <row r="22" spans="1:39" s="1411" customFormat="1" ht="24.6" customHeight="1" x14ac:dyDescent="0.25">
      <c r="A22" s="1587"/>
      <c r="B22" s="2768" t="s">
        <v>621</v>
      </c>
      <c r="C22" s="2696">
        <v>9000</v>
      </c>
      <c r="D22" s="2695"/>
      <c r="E22" s="2028">
        <f t="shared" si="4"/>
        <v>9000</v>
      </c>
      <c r="F22" s="1992">
        <f t="shared" si="3"/>
        <v>7.3682680684840803E-3</v>
      </c>
      <c r="G22" s="2067"/>
      <c r="H22" s="2059"/>
      <c r="I22" s="2061">
        <f t="shared" si="13"/>
        <v>0</v>
      </c>
      <c r="J22" s="2693">
        <f t="shared" si="5"/>
        <v>0</v>
      </c>
      <c r="K22" s="2065"/>
      <c r="L22" s="2067"/>
      <c r="M22" s="2059"/>
      <c r="N22" s="2061">
        <f t="shared" si="14"/>
        <v>0</v>
      </c>
      <c r="O22" s="2693">
        <f t="shared" si="6"/>
        <v>0</v>
      </c>
      <c r="P22" s="2064"/>
      <c r="Q22" s="2067"/>
      <c r="R22" s="2059"/>
      <c r="S22" s="2061">
        <f t="shared" si="15"/>
        <v>0</v>
      </c>
      <c r="T22" s="2693">
        <f t="shared" si="7"/>
        <v>0</v>
      </c>
      <c r="U22" s="2064"/>
      <c r="V22" s="2067"/>
      <c r="W22" s="2059"/>
      <c r="X22" s="2061">
        <f t="shared" si="16"/>
        <v>0</v>
      </c>
      <c r="Y22" s="2693" t="e">
        <f t="shared" si="8"/>
        <v>#DIV/0!</v>
      </c>
      <c r="Z22" s="2064"/>
      <c r="AA22" s="2067"/>
      <c r="AB22" s="2059"/>
      <c r="AC22" s="2061">
        <f t="shared" si="17"/>
        <v>0</v>
      </c>
      <c r="AD22" s="2693" t="e">
        <f t="shared" si="9"/>
        <v>#DIV/0!</v>
      </c>
      <c r="AE22" s="2064"/>
      <c r="AF22" s="2059">
        <f t="shared" si="10"/>
        <v>0</v>
      </c>
      <c r="AG22" s="2059">
        <f t="shared" si="10"/>
        <v>0</v>
      </c>
      <c r="AH22" s="2061">
        <f t="shared" si="11"/>
        <v>0</v>
      </c>
      <c r="AI22" s="2693">
        <f t="shared" si="12"/>
        <v>0</v>
      </c>
      <c r="AJ22" s="1449"/>
      <c r="AL22" s="919"/>
      <c r="AM22" s="919"/>
    </row>
    <row r="23" spans="1:39" s="1411" customFormat="1" ht="24.6" customHeight="1" x14ac:dyDescent="0.25">
      <c r="A23" s="1587"/>
      <c r="B23" s="2768" t="s">
        <v>630</v>
      </c>
      <c r="C23" s="2696"/>
      <c r="D23" s="2695"/>
      <c r="E23" s="2028">
        <f t="shared" si="4"/>
        <v>0</v>
      </c>
      <c r="F23" s="1992">
        <f t="shared" si="3"/>
        <v>0</v>
      </c>
      <c r="G23" s="2067"/>
      <c r="H23" s="2059"/>
      <c r="I23" s="2061">
        <f t="shared" si="13"/>
        <v>0</v>
      </c>
      <c r="J23" s="2693">
        <f t="shared" si="5"/>
        <v>0</v>
      </c>
      <c r="K23" s="2065"/>
      <c r="L23" s="2067"/>
      <c r="M23" s="2059"/>
      <c r="N23" s="2061">
        <f t="shared" si="14"/>
        <v>0</v>
      </c>
      <c r="O23" s="2693">
        <f t="shared" si="6"/>
        <v>0</v>
      </c>
      <c r="P23" s="2064"/>
      <c r="Q23" s="2067"/>
      <c r="R23" s="2059"/>
      <c r="S23" s="2061">
        <f t="shared" si="15"/>
        <v>0</v>
      </c>
      <c r="T23" s="2693">
        <f t="shared" si="7"/>
        <v>0</v>
      </c>
      <c r="U23" s="2064"/>
      <c r="V23" s="2067"/>
      <c r="W23" s="2059"/>
      <c r="X23" s="2061">
        <f t="shared" si="16"/>
        <v>0</v>
      </c>
      <c r="Y23" s="2693" t="e">
        <f t="shared" si="8"/>
        <v>#DIV/0!</v>
      </c>
      <c r="Z23" s="2064"/>
      <c r="AA23" s="2067"/>
      <c r="AB23" s="2059"/>
      <c r="AC23" s="2061">
        <f t="shared" si="17"/>
        <v>0</v>
      </c>
      <c r="AD23" s="2693" t="e">
        <f t="shared" si="9"/>
        <v>#DIV/0!</v>
      </c>
      <c r="AE23" s="2064"/>
      <c r="AF23" s="2059">
        <f t="shared" si="10"/>
        <v>0</v>
      </c>
      <c r="AG23" s="2059">
        <f t="shared" si="10"/>
        <v>0</v>
      </c>
      <c r="AH23" s="2061">
        <f t="shared" si="11"/>
        <v>0</v>
      </c>
      <c r="AI23" s="2693">
        <f t="shared" si="12"/>
        <v>0</v>
      </c>
      <c r="AJ23" s="1449"/>
      <c r="AL23" s="919"/>
      <c r="AM23" s="919"/>
    </row>
    <row r="24" spans="1:39" s="1411" customFormat="1" ht="24.6" customHeight="1" x14ac:dyDescent="0.25">
      <c r="A24" s="1587"/>
      <c r="B24" s="2768" t="s">
        <v>23</v>
      </c>
      <c r="C24" s="2696"/>
      <c r="D24" s="2695"/>
      <c r="E24" s="2028">
        <f t="shared" si="4"/>
        <v>0</v>
      </c>
      <c r="F24" s="1992">
        <f t="shared" si="3"/>
        <v>0</v>
      </c>
      <c r="G24" s="2067"/>
      <c r="H24" s="2059"/>
      <c r="I24" s="2061">
        <f t="shared" si="13"/>
        <v>0</v>
      </c>
      <c r="J24" s="2693">
        <f t="shared" si="5"/>
        <v>0</v>
      </c>
      <c r="K24" s="2065"/>
      <c r="L24" s="2067"/>
      <c r="M24" s="2059"/>
      <c r="N24" s="2061">
        <f t="shared" si="14"/>
        <v>0</v>
      </c>
      <c r="O24" s="2693">
        <f t="shared" si="6"/>
        <v>0</v>
      </c>
      <c r="P24" s="2064"/>
      <c r="Q24" s="2067"/>
      <c r="R24" s="2059"/>
      <c r="S24" s="2061">
        <f t="shared" si="15"/>
        <v>0</v>
      </c>
      <c r="T24" s="2693">
        <f t="shared" si="7"/>
        <v>0</v>
      </c>
      <c r="U24" s="2062"/>
      <c r="V24" s="2067"/>
      <c r="W24" s="2059"/>
      <c r="X24" s="2061">
        <f t="shared" si="16"/>
        <v>0</v>
      </c>
      <c r="Y24" s="2693" t="e">
        <f t="shared" si="8"/>
        <v>#DIV/0!</v>
      </c>
      <c r="Z24" s="2064"/>
      <c r="AA24" s="2067"/>
      <c r="AB24" s="2059"/>
      <c r="AC24" s="2061">
        <f t="shared" si="17"/>
        <v>0</v>
      </c>
      <c r="AD24" s="2693" t="e">
        <f t="shared" si="9"/>
        <v>#DIV/0!</v>
      </c>
      <c r="AE24" s="2064"/>
      <c r="AF24" s="2059">
        <f t="shared" si="10"/>
        <v>0</v>
      </c>
      <c r="AG24" s="2059">
        <f t="shared" si="10"/>
        <v>0</v>
      </c>
      <c r="AH24" s="2061">
        <f t="shared" si="11"/>
        <v>0</v>
      </c>
      <c r="AI24" s="2693">
        <f t="shared" si="12"/>
        <v>0</v>
      </c>
      <c r="AJ24" s="1449"/>
      <c r="AL24" s="919"/>
      <c r="AM24" s="919"/>
    </row>
    <row r="25" spans="1:39" s="1411" customFormat="1" ht="24.6" customHeight="1" x14ac:dyDescent="0.25">
      <c r="A25" s="1587"/>
      <c r="B25" s="2768" t="s">
        <v>24</v>
      </c>
      <c r="C25" s="2696">
        <v>22600</v>
      </c>
      <c r="D25" s="2695">
        <v>4000</v>
      </c>
      <c r="E25" s="2028">
        <f t="shared" si="4"/>
        <v>26600</v>
      </c>
      <c r="F25" s="1992">
        <f t="shared" si="3"/>
        <v>2.1777325624630726E-2</v>
      </c>
      <c r="G25" s="2067"/>
      <c r="H25" s="2059"/>
      <c r="I25" s="2061">
        <f t="shared" si="13"/>
        <v>0</v>
      </c>
      <c r="J25" s="2693">
        <f t="shared" si="5"/>
        <v>0</v>
      </c>
      <c r="K25" s="2071"/>
      <c r="L25" s="2067">
        <f>25992.45*1.2</f>
        <v>31190.94</v>
      </c>
      <c r="M25" s="2059">
        <v>3911.5</v>
      </c>
      <c r="N25" s="2061">
        <f t="shared" si="14"/>
        <v>35102.44</v>
      </c>
      <c r="O25" s="2693">
        <f t="shared" si="6"/>
        <v>4.6539129624817092E-2</v>
      </c>
      <c r="P25" s="2062"/>
      <c r="Q25" s="2067"/>
      <c r="R25" s="2059"/>
      <c r="S25" s="2061">
        <f t="shared" si="15"/>
        <v>0</v>
      </c>
      <c r="T25" s="2693">
        <f t="shared" si="7"/>
        <v>0</v>
      </c>
      <c r="U25" s="2062"/>
      <c r="V25" s="2067"/>
      <c r="W25" s="2059"/>
      <c r="X25" s="2061">
        <f t="shared" si="16"/>
        <v>0</v>
      </c>
      <c r="Y25" s="2693" t="e">
        <f t="shared" si="8"/>
        <v>#DIV/0!</v>
      </c>
      <c r="Z25" s="2062"/>
      <c r="AA25" s="2067"/>
      <c r="AB25" s="2059"/>
      <c r="AC25" s="2061">
        <f t="shared" si="17"/>
        <v>0</v>
      </c>
      <c r="AD25" s="2693" t="e">
        <f t="shared" si="9"/>
        <v>#DIV/0!</v>
      </c>
      <c r="AE25" s="2062"/>
      <c r="AF25" s="2059">
        <f t="shared" si="10"/>
        <v>31190.94</v>
      </c>
      <c r="AG25" s="2059">
        <f t="shared" si="10"/>
        <v>3911.5</v>
      </c>
      <c r="AH25" s="2061">
        <f t="shared" si="11"/>
        <v>35102.44</v>
      </c>
      <c r="AI25" s="2693">
        <f t="shared" si="12"/>
        <v>4.424137638121925E-2</v>
      </c>
      <c r="AJ25" s="1449"/>
      <c r="AL25" s="2644">
        <v>43862.46</v>
      </c>
      <c r="AM25" s="2644">
        <f>AH25-AL25</f>
        <v>-8760.0199999999968</v>
      </c>
    </row>
    <row r="26" spans="1:39" s="1411" customFormat="1" ht="24.6" customHeight="1" x14ac:dyDescent="0.25">
      <c r="A26" s="1587"/>
      <c r="B26" s="2768" t="s">
        <v>45</v>
      </c>
      <c r="C26" s="2696">
        <v>467621.94412208005</v>
      </c>
      <c r="D26" s="2695"/>
      <c r="E26" s="2028">
        <f t="shared" si="4"/>
        <v>467621.94412208005</v>
      </c>
      <c r="F26" s="1992">
        <f t="shared" si="3"/>
        <v>0.38284042655524103</v>
      </c>
      <c r="G26" s="2067"/>
      <c r="H26" s="2059"/>
      <c r="I26" s="2061">
        <f t="shared" si="13"/>
        <v>0</v>
      </c>
      <c r="J26" s="2693">
        <f t="shared" si="5"/>
        <v>0</v>
      </c>
      <c r="K26" s="2143"/>
      <c r="L26" s="2067">
        <f>349005.09*1.2</f>
        <v>418806.10800000001</v>
      </c>
      <c r="M26" s="2059"/>
      <c r="N26" s="2061">
        <f t="shared" si="14"/>
        <v>418806.10800000001</v>
      </c>
      <c r="O26" s="2693">
        <f t="shared" si="6"/>
        <v>0.55525689233788722</v>
      </c>
      <c r="P26" s="2064"/>
      <c r="Q26" s="2067"/>
      <c r="R26" s="2059"/>
      <c r="S26" s="2061">
        <f t="shared" si="15"/>
        <v>0</v>
      </c>
      <c r="T26" s="2693">
        <f t="shared" si="7"/>
        <v>0</v>
      </c>
      <c r="U26" s="2064"/>
      <c r="V26" s="2067"/>
      <c r="W26" s="2059"/>
      <c r="X26" s="2061">
        <f t="shared" si="16"/>
        <v>0</v>
      </c>
      <c r="Y26" s="2693" t="e">
        <f t="shared" si="8"/>
        <v>#DIV/0!</v>
      </c>
      <c r="Z26" s="2064"/>
      <c r="AA26" s="2067"/>
      <c r="AB26" s="2059"/>
      <c r="AC26" s="2061">
        <f t="shared" si="17"/>
        <v>0</v>
      </c>
      <c r="AD26" s="2693" t="e">
        <f t="shared" si="9"/>
        <v>#DIV/0!</v>
      </c>
      <c r="AE26" s="2064"/>
      <c r="AF26" s="2059">
        <f t="shared" si="10"/>
        <v>418806.10800000001</v>
      </c>
      <c r="AG26" s="2059">
        <f t="shared" si="10"/>
        <v>0</v>
      </c>
      <c r="AH26" s="2061">
        <f t="shared" si="11"/>
        <v>418806.10800000001</v>
      </c>
      <c r="AI26" s="2693">
        <f t="shared" si="12"/>
        <v>0.52784247063114575</v>
      </c>
      <c r="AJ26" s="1449"/>
      <c r="AL26" s="2644">
        <v>426676.94999999995</v>
      </c>
      <c r="AM26" s="2644">
        <f>AH26-AL26</f>
        <v>-7870.841999999946</v>
      </c>
    </row>
    <row r="27" spans="1:39" s="1411" customFormat="1" ht="24.6" customHeight="1" x14ac:dyDescent="0.25">
      <c r="A27" s="1587"/>
      <c r="B27" s="2768" t="s">
        <v>25</v>
      </c>
      <c r="C27" s="2696">
        <v>1500</v>
      </c>
      <c r="D27" s="2695"/>
      <c r="E27" s="2028">
        <f t="shared" si="4"/>
        <v>1500</v>
      </c>
      <c r="F27" s="1992">
        <f t="shared" si="3"/>
        <v>1.2280446780806801E-3</v>
      </c>
      <c r="G27" s="2067"/>
      <c r="H27" s="2059"/>
      <c r="I27" s="2061">
        <f t="shared" si="13"/>
        <v>0</v>
      </c>
      <c r="J27" s="2693">
        <f t="shared" si="5"/>
        <v>0</v>
      </c>
      <c r="K27" s="2071"/>
      <c r="L27" s="2067"/>
      <c r="M27" s="2059"/>
      <c r="N27" s="2061">
        <f t="shared" si="14"/>
        <v>0</v>
      </c>
      <c r="O27" s="2693">
        <f t="shared" si="6"/>
        <v>0</v>
      </c>
      <c r="P27" s="2062"/>
      <c r="Q27" s="2067"/>
      <c r="R27" s="2059"/>
      <c r="S27" s="2061">
        <f t="shared" si="15"/>
        <v>0</v>
      </c>
      <c r="T27" s="2693">
        <f t="shared" si="7"/>
        <v>0</v>
      </c>
      <c r="U27" s="2062"/>
      <c r="V27" s="2067"/>
      <c r="W27" s="2059"/>
      <c r="X27" s="2061">
        <f t="shared" si="16"/>
        <v>0</v>
      </c>
      <c r="Y27" s="2693" t="e">
        <f t="shared" si="8"/>
        <v>#DIV/0!</v>
      </c>
      <c r="Z27" s="2062"/>
      <c r="AA27" s="2067"/>
      <c r="AB27" s="2059"/>
      <c r="AC27" s="2061">
        <f t="shared" si="17"/>
        <v>0</v>
      </c>
      <c r="AD27" s="2693" t="e">
        <f t="shared" si="9"/>
        <v>#DIV/0!</v>
      </c>
      <c r="AE27" s="2062"/>
      <c r="AF27" s="2059">
        <f t="shared" si="10"/>
        <v>0</v>
      </c>
      <c r="AG27" s="2059">
        <f t="shared" si="10"/>
        <v>0</v>
      </c>
      <c r="AH27" s="2061">
        <f t="shared" si="11"/>
        <v>0</v>
      </c>
      <c r="AI27" s="2693">
        <f t="shared" si="12"/>
        <v>0</v>
      </c>
      <c r="AJ27" s="1449"/>
      <c r="AL27" s="919"/>
      <c r="AM27" s="919"/>
    </row>
    <row r="28" spans="1:39" s="1411" customFormat="1" ht="24.6" customHeight="1" x14ac:dyDescent="0.25">
      <c r="A28" s="1587"/>
      <c r="B28" s="2768" t="s">
        <v>52</v>
      </c>
      <c r="C28" s="2696">
        <f>8000+22870.27</f>
        <v>30870.27</v>
      </c>
      <c r="D28" s="2695"/>
      <c r="E28" s="2028">
        <f t="shared" si="4"/>
        <v>30870.27</v>
      </c>
      <c r="F28" s="1992">
        <f t="shared" si="3"/>
        <v>2.5273380522942451E-2</v>
      </c>
      <c r="G28" s="2067"/>
      <c r="H28" s="2059"/>
      <c r="I28" s="2061">
        <f t="shared" si="13"/>
        <v>0</v>
      </c>
      <c r="J28" s="2693">
        <f t="shared" si="5"/>
        <v>0</v>
      </c>
      <c r="K28" s="2071"/>
      <c r="L28" s="2067"/>
      <c r="M28" s="2059"/>
      <c r="N28" s="2061">
        <f t="shared" si="14"/>
        <v>0</v>
      </c>
      <c r="O28" s="2693">
        <f t="shared" si="6"/>
        <v>0</v>
      </c>
      <c r="P28" s="2062"/>
      <c r="Q28" s="2067">
        <v>4979.7</v>
      </c>
      <c r="R28" s="2059"/>
      <c r="S28" s="2061">
        <f t="shared" si="15"/>
        <v>4979.7</v>
      </c>
      <c r="T28" s="2693">
        <f t="shared" si="7"/>
        <v>0.90134884663838177</v>
      </c>
      <c r="U28" s="2062" t="s">
        <v>1712</v>
      </c>
      <c r="V28" s="2067"/>
      <c r="W28" s="2059"/>
      <c r="X28" s="2061">
        <f t="shared" si="16"/>
        <v>0</v>
      </c>
      <c r="Y28" s="2693" t="e">
        <f t="shared" si="8"/>
        <v>#DIV/0!</v>
      </c>
      <c r="Z28" s="2062"/>
      <c r="AA28" s="2067"/>
      <c r="AB28" s="2059"/>
      <c r="AC28" s="2061">
        <f t="shared" si="17"/>
        <v>0</v>
      </c>
      <c r="AD28" s="2693" t="e">
        <f t="shared" si="9"/>
        <v>#DIV/0!</v>
      </c>
      <c r="AE28" s="2062"/>
      <c r="AF28" s="2059">
        <f t="shared" si="10"/>
        <v>4979.7</v>
      </c>
      <c r="AG28" s="2059">
        <f t="shared" si="10"/>
        <v>0</v>
      </c>
      <c r="AH28" s="2061">
        <f>AF28+AG28*1</f>
        <v>4979.7</v>
      </c>
      <c r="AI28" s="2693">
        <f t="shared" si="12"/>
        <v>6.2761671828384996E-3</v>
      </c>
      <c r="AJ28" s="1449"/>
      <c r="AK28" s="1680"/>
      <c r="AL28" s="919"/>
      <c r="AM28" s="919"/>
    </row>
    <row r="29" spans="1:39" s="1411" customFormat="1" ht="24.6" customHeight="1" x14ac:dyDescent="0.25">
      <c r="A29" s="1587"/>
      <c r="B29" s="2768" t="s">
        <v>31</v>
      </c>
      <c r="C29" s="2696">
        <v>5900</v>
      </c>
      <c r="D29" s="2695"/>
      <c r="E29" s="2028">
        <f t="shared" si="4"/>
        <v>5900</v>
      </c>
      <c r="F29" s="2693">
        <f t="shared" si="3"/>
        <v>4.8303090671173417E-3</v>
      </c>
      <c r="G29" s="2067">
        <v>3120</v>
      </c>
      <c r="H29" s="2059"/>
      <c r="I29" s="2061">
        <f t="shared" si="13"/>
        <v>3120</v>
      </c>
      <c r="J29" s="2693">
        <f t="shared" si="5"/>
        <v>9.2722173891899781E-2</v>
      </c>
      <c r="K29" s="2062" t="s">
        <v>1658</v>
      </c>
      <c r="L29" s="2067">
        <v>2730</v>
      </c>
      <c r="M29" s="2059"/>
      <c r="N29" s="2061">
        <f t="shared" si="14"/>
        <v>2730</v>
      </c>
      <c r="O29" s="2693">
        <f t="shared" si="6"/>
        <v>3.6194584728511938E-3</v>
      </c>
      <c r="P29" s="2062" t="s">
        <v>1658</v>
      </c>
      <c r="Q29" s="2067"/>
      <c r="R29" s="2059"/>
      <c r="S29" s="2061">
        <f t="shared" si="15"/>
        <v>0</v>
      </c>
      <c r="T29" s="2693">
        <f t="shared" si="7"/>
        <v>0</v>
      </c>
      <c r="U29" s="2062"/>
      <c r="V29" s="2067"/>
      <c r="W29" s="2059"/>
      <c r="X29" s="2061">
        <f t="shared" si="16"/>
        <v>0</v>
      </c>
      <c r="Y29" s="2693" t="e">
        <f t="shared" si="8"/>
        <v>#DIV/0!</v>
      </c>
      <c r="Z29" s="2062"/>
      <c r="AA29" s="2067"/>
      <c r="AB29" s="2059"/>
      <c r="AC29" s="2061">
        <f t="shared" si="17"/>
        <v>0</v>
      </c>
      <c r="AD29" s="2693" t="e">
        <f t="shared" si="9"/>
        <v>#DIV/0!</v>
      </c>
      <c r="AE29" s="2062"/>
      <c r="AF29" s="2059">
        <f t="shared" si="10"/>
        <v>5850</v>
      </c>
      <c r="AG29" s="2059">
        <f t="shared" si="10"/>
        <v>0</v>
      </c>
      <c r="AH29" s="2061">
        <f t="shared" si="11"/>
        <v>5850</v>
      </c>
      <c r="AI29" s="2693">
        <f t="shared" si="12"/>
        <v>7.3730501876830383E-3</v>
      </c>
      <c r="AJ29" s="2694"/>
      <c r="AL29" s="919"/>
      <c r="AM29" s="919"/>
    </row>
    <row r="30" spans="1:39" s="1411" customFormat="1" ht="51" customHeight="1" x14ac:dyDescent="0.25">
      <c r="A30" s="1587"/>
      <c r="B30" s="2768" t="s">
        <v>62</v>
      </c>
      <c r="C30" s="2696"/>
      <c r="D30" s="2695">
        <v>33500</v>
      </c>
      <c r="E30" s="2028">
        <f t="shared" si="4"/>
        <v>33500</v>
      </c>
      <c r="F30" s="2693">
        <f t="shared" si="3"/>
        <v>2.7426331143801858E-2</v>
      </c>
      <c r="G30" s="2067"/>
      <c r="H30" s="2059"/>
      <c r="I30" s="2061">
        <f t="shared" si="13"/>
        <v>0</v>
      </c>
      <c r="J30" s="2693">
        <f t="shared" si="5"/>
        <v>0</v>
      </c>
      <c r="K30" s="2062"/>
      <c r="L30" s="2067"/>
      <c r="M30" s="2059">
        <v>3200</v>
      </c>
      <c r="N30" s="2061">
        <f t="shared" si="14"/>
        <v>3200</v>
      </c>
      <c r="O30" s="2693">
        <f t="shared" si="6"/>
        <v>4.242588686125941E-3</v>
      </c>
      <c r="P30" s="2062"/>
      <c r="Q30" s="2067"/>
      <c r="R30" s="2059"/>
      <c r="S30" s="2061">
        <f t="shared" si="15"/>
        <v>0</v>
      </c>
      <c r="T30" s="2693">
        <f t="shared" si="7"/>
        <v>0</v>
      </c>
      <c r="U30" s="2062"/>
      <c r="V30" s="2067"/>
      <c r="W30" s="2059"/>
      <c r="X30" s="2061">
        <f t="shared" si="16"/>
        <v>0</v>
      </c>
      <c r="Y30" s="2693" t="e">
        <f t="shared" si="8"/>
        <v>#DIV/0!</v>
      </c>
      <c r="Z30" s="2062"/>
      <c r="AA30" s="2067"/>
      <c r="AB30" s="2059"/>
      <c r="AC30" s="2061">
        <f t="shared" si="17"/>
        <v>0</v>
      </c>
      <c r="AD30" s="2693" t="e">
        <f t="shared" si="9"/>
        <v>#DIV/0!</v>
      </c>
      <c r="AE30" s="2062"/>
      <c r="AF30" s="2059">
        <f t="shared" si="10"/>
        <v>0</v>
      </c>
      <c r="AG30" s="2059">
        <f t="shared" si="10"/>
        <v>3200</v>
      </c>
      <c r="AH30" s="2061">
        <f t="shared" si="11"/>
        <v>3200</v>
      </c>
      <c r="AI30" s="2693">
        <f t="shared" si="12"/>
        <v>4.0331214701855933E-3</v>
      </c>
      <c r="AJ30" s="2694"/>
      <c r="AL30" s="919"/>
      <c r="AM30" s="919"/>
    </row>
    <row r="31" spans="1:39" s="1411" customFormat="1" ht="24.6" customHeight="1" x14ac:dyDescent="0.25">
      <c r="A31" s="1587"/>
      <c r="B31" s="2768" t="s">
        <v>34</v>
      </c>
      <c r="C31" s="2696">
        <v>36000</v>
      </c>
      <c r="D31" s="2695">
        <v>10000</v>
      </c>
      <c r="E31" s="2028">
        <f t="shared" si="4"/>
        <v>46000</v>
      </c>
      <c r="F31" s="2693">
        <f t="shared" si="3"/>
        <v>3.7660036794474189E-2</v>
      </c>
      <c r="G31" s="2067"/>
      <c r="H31" s="2059"/>
      <c r="I31" s="2061">
        <f t="shared" si="13"/>
        <v>0</v>
      </c>
      <c r="J31" s="2693">
        <f t="shared" si="5"/>
        <v>0</v>
      </c>
      <c r="K31" s="2062"/>
      <c r="L31" s="2067"/>
      <c r="M31" s="2059">
        <v>3895.1</v>
      </c>
      <c r="N31" s="2061">
        <f t="shared" si="14"/>
        <v>3895.1</v>
      </c>
      <c r="O31" s="2693">
        <f t="shared" si="6"/>
        <v>5.1641584972903602E-3</v>
      </c>
      <c r="P31" s="2062"/>
      <c r="Q31" s="2067"/>
      <c r="R31" s="2059"/>
      <c r="S31" s="2061">
        <f t="shared" si="15"/>
        <v>0</v>
      </c>
      <c r="T31" s="2693">
        <f t="shared" si="7"/>
        <v>0</v>
      </c>
      <c r="U31" s="2062"/>
      <c r="V31" s="2067"/>
      <c r="W31" s="2059"/>
      <c r="X31" s="2061">
        <f t="shared" si="16"/>
        <v>0</v>
      </c>
      <c r="Y31" s="2693" t="e">
        <f t="shared" si="8"/>
        <v>#DIV/0!</v>
      </c>
      <c r="Z31" s="2062"/>
      <c r="AA31" s="2067"/>
      <c r="AB31" s="2059"/>
      <c r="AC31" s="2061">
        <f t="shared" si="17"/>
        <v>0</v>
      </c>
      <c r="AD31" s="2693" t="e">
        <f t="shared" si="9"/>
        <v>#DIV/0!</v>
      </c>
      <c r="AE31" s="2062"/>
      <c r="AF31" s="2059">
        <f t="shared" si="10"/>
        <v>0</v>
      </c>
      <c r="AG31" s="2059">
        <f t="shared" si="10"/>
        <v>3895.1</v>
      </c>
      <c r="AH31" s="2061">
        <f t="shared" si="11"/>
        <v>3895.1</v>
      </c>
      <c r="AI31" s="2693">
        <f t="shared" si="12"/>
        <v>4.9091910745374702E-3</v>
      </c>
      <c r="AJ31" s="2694"/>
      <c r="AL31" s="919"/>
      <c r="AM31" s="919"/>
    </row>
    <row r="32" spans="1:39" s="1411" customFormat="1" ht="24.6" customHeight="1" x14ac:dyDescent="0.25">
      <c r="A32" s="1587"/>
      <c r="B32" s="2800" t="s">
        <v>2</v>
      </c>
      <c r="C32" s="2697"/>
      <c r="D32" s="2698"/>
      <c r="E32" s="2028">
        <f t="shared" si="4"/>
        <v>0</v>
      </c>
      <c r="F32" s="2693">
        <f t="shared" si="3"/>
        <v>0</v>
      </c>
      <c r="G32" s="2067"/>
      <c r="H32" s="2059"/>
      <c r="I32" s="2061">
        <f t="shared" si="13"/>
        <v>0</v>
      </c>
      <c r="J32" s="2693">
        <f t="shared" si="5"/>
        <v>0</v>
      </c>
      <c r="K32" s="2062"/>
      <c r="L32" s="2067"/>
      <c r="M32" s="2059"/>
      <c r="N32" s="2061">
        <f t="shared" si="14"/>
        <v>0</v>
      </c>
      <c r="O32" s="2693">
        <f t="shared" si="6"/>
        <v>0</v>
      </c>
      <c r="P32" s="2062"/>
      <c r="Q32" s="2067"/>
      <c r="R32" s="2059"/>
      <c r="S32" s="2061">
        <f t="shared" si="15"/>
        <v>0</v>
      </c>
      <c r="T32" s="2693">
        <f t="shared" si="7"/>
        <v>0</v>
      </c>
      <c r="U32" s="2062"/>
      <c r="V32" s="2067"/>
      <c r="W32" s="2059"/>
      <c r="X32" s="2061">
        <f t="shared" si="16"/>
        <v>0</v>
      </c>
      <c r="Y32" s="2693" t="e">
        <f t="shared" si="8"/>
        <v>#DIV/0!</v>
      </c>
      <c r="Z32" s="2062"/>
      <c r="AA32" s="2067"/>
      <c r="AB32" s="2059"/>
      <c r="AC32" s="2061">
        <f t="shared" si="17"/>
        <v>0</v>
      </c>
      <c r="AD32" s="2693" t="e">
        <f t="shared" si="9"/>
        <v>#DIV/0!</v>
      </c>
      <c r="AE32" s="2062"/>
      <c r="AF32" s="2059">
        <f t="shared" si="10"/>
        <v>0</v>
      </c>
      <c r="AG32" s="2059">
        <f t="shared" si="10"/>
        <v>0</v>
      </c>
      <c r="AH32" s="2061">
        <f t="shared" si="11"/>
        <v>0</v>
      </c>
      <c r="AI32" s="2693">
        <f t="shared" si="12"/>
        <v>0</v>
      </c>
      <c r="AJ32" s="2694"/>
      <c r="AL32" s="919"/>
      <c r="AM32" s="919"/>
    </row>
    <row r="33" spans="1:39" s="1411" customFormat="1" ht="24.6" customHeight="1" thickBot="1" x14ac:dyDescent="0.3">
      <c r="A33" s="1587"/>
      <c r="B33" s="2743" t="s">
        <v>75</v>
      </c>
      <c r="C33" s="2699"/>
      <c r="D33" s="2700"/>
      <c r="E33" s="1643">
        <f t="shared" si="4"/>
        <v>0</v>
      </c>
      <c r="F33" s="2701">
        <f t="shared" si="3"/>
        <v>0</v>
      </c>
      <c r="G33" s="2044"/>
      <c r="H33" s="2041"/>
      <c r="I33" s="2042">
        <f t="shared" si="13"/>
        <v>0</v>
      </c>
      <c r="J33" s="2701">
        <f t="shared" si="5"/>
        <v>0</v>
      </c>
      <c r="K33" s="1690"/>
      <c r="L33" s="2044"/>
      <c r="M33" s="2041"/>
      <c r="N33" s="2042">
        <f t="shared" si="14"/>
        <v>0</v>
      </c>
      <c r="O33" s="2701">
        <f t="shared" si="6"/>
        <v>0</v>
      </c>
      <c r="P33" s="1690"/>
      <c r="Q33" s="2044"/>
      <c r="R33" s="2041"/>
      <c r="S33" s="2042">
        <f t="shared" si="15"/>
        <v>0</v>
      </c>
      <c r="T33" s="2701">
        <f t="shared" si="7"/>
        <v>0</v>
      </c>
      <c r="U33" s="1690"/>
      <c r="V33" s="2044"/>
      <c r="W33" s="2041"/>
      <c r="X33" s="2042">
        <f t="shared" si="16"/>
        <v>0</v>
      </c>
      <c r="Y33" s="2701" t="e">
        <f t="shared" si="8"/>
        <v>#DIV/0!</v>
      </c>
      <c r="Z33" s="1690"/>
      <c r="AA33" s="2044"/>
      <c r="AB33" s="2041"/>
      <c r="AC33" s="2042">
        <f t="shared" si="17"/>
        <v>0</v>
      </c>
      <c r="AD33" s="2701" t="e">
        <f t="shared" si="9"/>
        <v>#DIV/0!</v>
      </c>
      <c r="AE33" s="1690"/>
      <c r="AF33" s="2702">
        <f t="shared" si="10"/>
        <v>0</v>
      </c>
      <c r="AG33" s="2703">
        <f t="shared" si="10"/>
        <v>0</v>
      </c>
      <c r="AH33" s="2704">
        <f t="shared" si="11"/>
        <v>0</v>
      </c>
      <c r="AI33" s="2701">
        <f t="shared" si="12"/>
        <v>0</v>
      </c>
      <c r="AJ33" s="2705"/>
      <c r="AL33" s="919"/>
      <c r="AM33" s="919"/>
    </row>
    <row r="34" spans="1:39" s="1411" customFormat="1" ht="24.6" customHeight="1" x14ac:dyDescent="0.25">
      <c r="A34" s="1587"/>
      <c r="B34" s="1087"/>
      <c r="C34" s="1632"/>
      <c r="D34" s="1633"/>
      <c r="E34" s="2040"/>
      <c r="F34" s="1635"/>
      <c r="G34" s="2067"/>
      <c r="H34" s="2059"/>
      <c r="I34" s="2040"/>
      <c r="J34" s="1992">
        <f t="shared" si="5"/>
        <v>0</v>
      </c>
      <c r="K34" s="2040"/>
      <c r="L34" s="2067"/>
      <c r="M34" s="2059"/>
      <c r="N34" s="2040"/>
      <c r="O34" s="1992"/>
      <c r="P34" s="2040"/>
      <c r="Q34" s="2067"/>
      <c r="R34" s="2059"/>
      <c r="S34" s="2040"/>
      <c r="T34" s="1992"/>
      <c r="U34" s="2040"/>
      <c r="V34" s="2067"/>
      <c r="W34" s="2059"/>
      <c r="X34" s="2040"/>
      <c r="Y34" s="1992" t="e">
        <f>X34/#REF!</f>
        <v>#REF!</v>
      </c>
      <c r="Z34" s="2040"/>
      <c r="AA34" s="2067"/>
      <c r="AB34" s="2059"/>
      <c r="AC34" s="2040"/>
      <c r="AD34" s="1992" t="e">
        <f>AC34/#REF!</f>
        <v>#REF!</v>
      </c>
      <c r="AE34" s="2040"/>
      <c r="AF34" s="2059"/>
      <c r="AG34" s="2059"/>
      <c r="AH34" s="2040"/>
      <c r="AI34" s="2040"/>
      <c r="AJ34" s="2040"/>
      <c r="AL34" s="919"/>
      <c r="AM34" s="919"/>
    </row>
    <row r="35" spans="1:39" s="2483" customFormat="1" ht="24.6" customHeight="1" x14ac:dyDescent="0.25">
      <c r="A35" s="1587"/>
      <c r="B35" s="2706" t="s">
        <v>80</v>
      </c>
      <c r="C35" s="2707">
        <f>C36</f>
        <v>0</v>
      </c>
      <c r="D35" s="2707">
        <f>D36</f>
        <v>0</v>
      </c>
      <c r="E35" s="2708">
        <f>E36</f>
        <v>0</v>
      </c>
      <c r="F35" s="2709">
        <f>E35/$E$89</f>
        <v>0</v>
      </c>
      <c r="G35" s="2707"/>
      <c r="H35" s="2707"/>
      <c r="I35" s="2708">
        <f>I36</f>
        <v>0</v>
      </c>
      <c r="J35" s="2693">
        <f t="shared" si="5"/>
        <v>0</v>
      </c>
      <c r="K35" s="2710"/>
      <c r="L35" s="2707"/>
      <c r="M35" s="2707"/>
      <c r="N35" s="2708">
        <f>N36</f>
        <v>0</v>
      </c>
      <c r="O35" s="2693">
        <f t="shared" si="6"/>
        <v>0</v>
      </c>
      <c r="P35" s="2710"/>
      <c r="Q35" s="2707"/>
      <c r="R35" s="2707"/>
      <c r="S35" s="2708">
        <f>S36</f>
        <v>0</v>
      </c>
      <c r="T35" s="2708">
        <f t="shared" ref="T35:T36" si="19">S35/S$89</f>
        <v>0</v>
      </c>
      <c r="U35" s="2710"/>
      <c r="V35" s="2707"/>
      <c r="W35" s="2707"/>
      <c r="X35" s="2708">
        <f>X36</f>
        <v>0</v>
      </c>
      <c r="Y35" s="2693" t="e">
        <f>X35/#REF!</f>
        <v>#REF!</v>
      </c>
      <c r="Z35" s="2710"/>
      <c r="AA35" s="2707"/>
      <c r="AB35" s="2707"/>
      <c r="AC35" s="2708">
        <f>AC36</f>
        <v>0</v>
      </c>
      <c r="AD35" s="2693" t="e">
        <f>AC35/#REF!</f>
        <v>#REF!</v>
      </c>
      <c r="AE35" s="2710"/>
      <c r="AF35" s="2707">
        <f t="shared" ref="AF35:AH35" si="20">AF36</f>
        <v>0</v>
      </c>
      <c r="AG35" s="2707">
        <f t="shared" si="20"/>
        <v>0</v>
      </c>
      <c r="AH35" s="2707">
        <f t="shared" si="20"/>
        <v>0</v>
      </c>
      <c r="AI35" s="2707">
        <f>AI36</f>
        <v>0</v>
      </c>
      <c r="AJ35" s="2708"/>
      <c r="AL35" s="918"/>
      <c r="AM35" s="918"/>
    </row>
    <row r="36" spans="1:39" s="1579" customFormat="1" ht="24.6" customHeight="1" outlineLevel="1" x14ac:dyDescent="0.25">
      <c r="A36" s="1587"/>
      <c r="B36" s="2711" t="s">
        <v>81</v>
      </c>
      <c r="C36" s="2712"/>
      <c r="D36" s="2713"/>
      <c r="E36" s="2028">
        <f>C36+D36</f>
        <v>0</v>
      </c>
      <c r="F36" s="2714">
        <f>E36/$E$89</f>
        <v>0</v>
      </c>
      <c r="G36" s="2067"/>
      <c r="H36" s="2059"/>
      <c r="I36" s="2028">
        <f>G36+H36*1</f>
        <v>0</v>
      </c>
      <c r="J36" s="2693">
        <f t="shared" si="5"/>
        <v>0</v>
      </c>
      <c r="K36" s="2062"/>
      <c r="L36" s="2067"/>
      <c r="M36" s="2059"/>
      <c r="N36" s="2028">
        <f>L36+M36*1</f>
        <v>0</v>
      </c>
      <c r="O36" s="2693">
        <f t="shared" si="6"/>
        <v>0</v>
      </c>
      <c r="P36" s="2062"/>
      <c r="Q36" s="2067"/>
      <c r="R36" s="2059"/>
      <c r="S36" s="2028">
        <f>Q36+R36*1</f>
        <v>0</v>
      </c>
      <c r="T36" s="2693">
        <f t="shared" si="19"/>
        <v>0</v>
      </c>
      <c r="U36" s="2062"/>
      <c r="V36" s="2067"/>
      <c r="W36" s="2059"/>
      <c r="X36" s="2028">
        <f>V36+W36*1</f>
        <v>0</v>
      </c>
      <c r="Y36" s="2693" t="e">
        <f>X36/$X$89</f>
        <v>#DIV/0!</v>
      </c>
      <c r="Z36" s="2062"/>
      <c r="AA36" s="2067"/>
      <c r="AB36" s="2059"/>
      <c r="AC36" s="2028">
        <f>AA36+AB36*1</f>
        <v>0</v>
      </c>
      <c r="AD36" s="2693" t="e">
        <f>AC36/$X$89</f>
        <v>#DIV/0!</v>
      </c>
      <c r="AE36" s="2062"/>
      <c r="AF36" s="2059">
        <f t="shared" ref="AF36:AG36" si="21">G36+L36+Q36</f>
        <v>0</v>
      </c>
      <c r="AG36" s="2059">
        <f t="shared" si="21"/>
        <v>0</v>
      </c>
      <c r="AH36" s="2028">
        <f>AF36+AG36*1</f>
        <v>0</v>
      </c>
      <c r="AI36" s="2693">
        <f>AH36/$AH$89</f>
        <v>0</v>
      </c>
      <c r="AJ36" s="2715"/>
      <c r="AL36" s="922"/>
      <c r="AM36" s="922"/>
    </row>
    <row r="37" spans="1:39" s="1411" customFormat="1" ht="24.6" customHeight="1" thickBot="1" x14ac:dyDescent="0.3">
      <c r="A37" s="1413"/>
      <c r="B37" s="2716"/>
      <c r="C37" s="2717"/>
      <c r="D37" s="2718"/>
      <c r="E37" s="2719"/>
      <c r="F37" s="2720"/>
      <c r="G37" s="2044"/>
      <c r="H37" s="2041"/>
      <c r="I37" s="2719"/>
      <c r="J37" s="2701">
        <f t="shared" si="5"/>
        <v>0</v>
      </c>
      <c r="K37" s="2721"/>
      <c r="L37" s="2044"/>
      <c r="M37" s="2041"/>
      <c r="N37" s="2719"/>
      <c r="O37" s="2701"/>
      <c r="P37" s="2721"/>
      <c r="Q37" s="2044"/>
      <c r="R37" s="2041"/>
      <c r="S37" s="2719"/>
      <c r="T37" s="2701"/>
      <c r="U37" s="2721"/>
      <c r="V37" s="2044"/>
      <c r="W37" s="2041"/>
      <c r="X37" s="2719"/>
      <c r="Y37" s="2701" t="e">
        <f>X37/#REF!</f>
        <v>#REF!</v>
      </c>
      <c r="Z37" s="2721"/>
      <c r="AA37" s="2044"/>
      <c r="AB37" s="2041"/>
      <c r="AC37" s="2719"/>
      <c r="AD37" s="2701" t="e">
        <f>AC37/#REF!</f>
        <v>#REF!</v>
      </c>
      <c r="AE37" s="2721"/>
      <c r="AF37" s="2059"/>
      <c r="AG37" s="2059"/>
      <c r="AH37" s="2719"/>
      <c r="AI37" s="2719"/>
      <c r="AJ37" s="2719"/>
      <c r="AL37" s="919"/>
      <c r="AM37" s="919"/>
    </row>
    <row r="38" spans="1:39" ht="24.6" customHeight="1" thickBot="1" x14ac:dyDescent="0.3">
      <c r="A38" s="1441"/>
      <c r="B38" s="981" t="s">
        <v>46</v>
      </c>
      <c r="C38" s="2018">
        <f>(C5)-(C8)</f>
        <v>1007840.8624466078</v>
      </c>
      <c r="D38" s="2018">
        <f>(D5)-(D8)</f>
        <v>-471923.4</v>
      </c>
      <c r="E38" s="2018">
        <f>(E5)-(E8)</f>
        <v>535917.46244660765</v>
      </c>
      <c r="F38" s="1545"/>
      <c r="G38" s="2018">
        <f>(G5)-(G8)</f>
        <v>-15808</v>
      </c>
      <c r="H38" s="2018">
        <f>(H5)-(H8)</f>
        <v>-15700</v>
      </c>
      <c r="I38" s="2018">
        <f>(I5)-(I8)</f>
        <v>-31508</v>
      </c>
      <c r="J38" s="2018"/>
      <c r="K38" s="2037"/>
      <c r="L38" s="2018">
        <f>(L5)-(L8)</f>
        <v>1133154.622</v>
      </c>
      <c r="M38" s="2018">
        <f>(M5)-(M8)</f>
        <v>-254111.6</v>
      </c>
      <c r="N38" s="2018">
        <f>(N5)-(N8)</f>
        <v>879043.022</v>
      </c>
      <c r="O38" s="2018"/>
      <c r="P38" s="2037"/>
      <c r="Q38" s="2018">
        <f>(Q5)-(Q8)</f>
        <v>-4979.7</v>
      </c>
      <c r="R38" s="2018">
        <f>(R5)-(R8)</f>
        <v>0</v>
      </c>
      <c r="S38" s="2018">
        <f>(S5)-(S8)</f>
        <v>-4979.7</v>
      </c>
      <c r="T38" s="2018"/>
      <c r="U38" s="2037"/>
      <c r="V38" s="2018">
        <f>(V5)-(V8)</f>
        <v>0</v>
      </c>
      <c r="W38" s="2018">
        <f>(W5)-(W8)</f>
        <v>0</v>
      </c>
      <c r="X38" s="2018">
        <f>(X5)-(X8)</f>
        <v>0</v>
      </c>
      <c r="Y38" s="2018"/>
      <c r="Z38" s="2037"/>
      <c r="AA38" s="2018">
        <f>(AA5)-(AA8)</f>
        <v>0</v>
      </c>
      <c r="AB38" s="2018">
        <f>(AB5)-(AB8)</f>
        <v>0</v>
      </c>
      <c r="AC38" s="2018">
        <f>(AC5)-(AC8)</f>
        <v>0</v>
      </c>
      <c r="AD38" s="2018"/>
      <c r="AE38" s="2037"/>
      <c r="AF38" s="2018">
        <f>(AF5)-(AF8)</f>
        <v>1112366.922</v>
      </c>
      <c r="AG38" s="2018">
        <f>(AG5)-(AG8)</f>
        <v>-269811.59999999998</v>
      </c>
      <c r="AH38" s="2018">
        <f>(AH5)-(AH8)</f>
        <v>842555.32200000004</v>
      </c>
      <c r="AI38" s="2018"/>
      <c r="AJ38" s="2018"/>
    </row>
    <row r="39" spans="1:39" ht="24.6" customHeight="1" x14ac:dyDescent="0.25">
      <c r="A39" s="1580"/>
      <c r="B39" s="982" t="s">
        <v>47</v>
      </c>
      <c r="C39" s="1540">
        <f>C38/(C5)</f>
        <v>0.63129685855716844</v>
      </c>
      <c r="D39" s="1540" t="e">
        <f>D38/(D5)</f>
        <v>#DIV/0!</v>
      </c>
      <c r="E39" s="1541">
        <f>E38/(E5)</f>
        <v>0.33569090428340914</v>
      </c>
      <c r="F39" s="1546"/>
      <c r="G39" s="2019" t="e">
        <f>G38/(G5)</f>
        <v>#DIV/0!</v>
      </c>
      <c r="H39" s="2019" t="e">
        <f>H38/(H5)</f>
        <v>#DIV/0!</v>
      </c>
      <c r="I39" s="2020" t="e">
        <f>I38/(I5)</f>
        <v>#DIV/0!</v>
      </c>
      <c r="J39" s="2020"/>
      <c r="K39" s="2038"/>
      <c r="L39" s="2019">
        <f>L38/(L5)</f>
        <v>0.70979427224823577</v>
      </c>
      <c r="M39" s="2019" t="e">
        <f>M38/(M5)</f>
        <v>#DIV/0!</v>
      </c>
      <c r="N39" s="2020">
        <f>N38/(N5)</f>
        <v>0.55062185686021936</v>
      </c>
      <c r="O39" s="2020"/>
      <c r="P39" s="2038"/>
      <c r="Q39" s="2019" t="e">
        <f>Q38/(Q5)</f>
        <v>#DIV/0!</v>
      </c>
      <c r="R39" s="2019" t="e">
        <f>R38/(R5)</f>
        <v>#DIV/0!</v>
      </c>
      <c r="S39" s="2020" t="e">
        <f>S38/(S5)</f>
        <v>#DIV/0!</v>
      </c>
      <c r="T39" s="2020"/>
      <c r="U39" s="2038"/>
      <c r="V39" s="2019" t="e">
        <f>V38/(V5)</f>
        <v>#DIV/0!</v>
      </c>
      <c r="W39" s="2019" t="e">
        <f>W38/(W5)</f>
        <v>#DIV/0!</v>
      </c>
      <c r="X39" s="2020" t="e">
        <f>X38/(X5)</f>
        <v>#DIV/0!</v>
      </c>
      <c r="Y39" s="2020"/>
      <c r="Z39" s="2038"/>
      <c r="AA39" s="2019" t="e">
        <f>AA38/(AA5)</f>
        <v>#DIV/0!</v>
      </c>
      <c r="AB39" s="2019" t="e">
        <f>AB38/(AB5)</f>
        <v>#DIV/0!</v>
      </c>
      <c r="AC39" s="2020" t="e">
        <f>AC38/(AC5)</f>
        <v>#DIV/0!</v>
      </c>
      <c r="AD39" s="2020"/>
      <c r="AE39" s="2038"/>
      <c r="AF39" s="2019">
        <f>AF38/(AF5)</f>
        <v>0.69677310981660545</v>
      </c>
      <c r="AG39" s="2019" t="e">
        <f>AG38/(AG5)</f>
        <v>#DIV/0!</v>
      </c>
      <c r="AH39" s="2020">
        <f>AH38/(AH5)</f>
        <v>0.5277664053934098</v>
      </c>
      <c r="AI39" s="2020"/>
      <c r="AJ39" s="2020"/>
    </row>
    <row r="40" spans="1:39" ht="24.6" customHeight="1" outlineLevel="1" thickBot="1" x14ac:dyDescent="0.3">
      <c r="A40" s="1582"/>
      <c r="B40" s="2722"/>
      <c r="C40" s="2723"/>
      <c r="D40" s="2724"/>
      <c r="E40" s="2725"/>
      <c r="F40" s="2726"/>
      <c r="G40" s="2727"/>
      <c r="H40" s="2729"/>
      <c r="I40" s="2729"/>
      <c r="J40" s="2729"/>
      <c r="K40" s="2728"/>
      <c r="L40" s="2727"/>
      <c r="M40" s="2729"/>
      <c r="N40" s="2729"/>
      <c r="O40" s="2729"/>
      <c r="P40" s="2728"/>
      <c r="Q40" s="2727"/>
      <c r="R40" s="2729"/>
      <c r="S40" s="2729"/>
      <c r="T40" s="2729"/>
      <c r="U40" s="2728"/>
      <c r="V40" s="2727"/>
      <c r="W40" s="2729"/>
      <c r="X40" s="2729"/>
      <c r="Y40" s="2729"/>
      <c r="Z40" s="2728"/>
      <c r="AA40" s="2727"/>
      <c r="AB40" s="2729"/>
      <c r="AC40" s="2729"/>
      <c r="AD40" s="2729"/>
      <c r="AE40" s="2728"/>
      <c r="AF40" s="2059"/>
      <c r="AG40" s="2059"/>
      <c r="AH40" s="2729"/>
      <c r="AI40" s="2729"/>
      <c r="AJ40" s="2729"/>
    </row>
    <row r="41" spans="1:39" ht="24.6" customHeight="1" outlineLevel="1" x14ac:dyDescent="0.25">
      <c r="A41" s="1420"/>
      <c r="B41" s="2730" t="s">
        <v>26</v>
      </c>
      <c r="C41" s="2731">
        <f>SUM(C42:C48)</f>
        <v>2500</v>
      </c>
      <c r="D41" s="2731">
        <f>SUM(D42:D48)</f>
        <v>1000</v>
      </c>
      <c r="E41" s="2732">
        <f>SUM(E42:E48)</f>
        <v>3500</v>
      </c>
      <c r="F41" s="2733">
        <f t="shared" ref="F41:F48" si="22">E41/$E$89</f>
        <v>2.8654375821882535E-3</v>
      </c>
      <c r="G41" s="2029">
        <f>SUM(G42:G48)</f>
        <v>0</v>
      </c>
      <c r="H41" s="2029">
        <f>SUM(H42:H48)</f>
        <v>0</v>
      </c>
      <c r="I41" s="2030">
        <f>SUM(I42:I48)</f>
        <v>0</v>
      </c>
      <c r="J41" s="2733">
        <f t="shared" ref="J41:J48" si="23">I41/$I$89</f>
        <v>0</v>
      </c>
      <c r="K41" s="2039"/>
      <c r="L41" s="2029">
        <f>SUM(L42:L48)</f>
        <v>0</v>
      </c>
      <c r="M41" s="2029">
        <f>SUM(M42:M48)</f>
        <v>0</v>
      </c>
      <c r="N41" s="2030">
        <f>SUM(N42:N48)</f>
        <v>0</v>
      </c>
      <c r="O41" s="2733">
        <f t="shared" ref="O41:O52" si="24">N41/$N$89</f>
        <v>0</v>
      </c>
      <c r="P41" s="2039"/>
      <c r="Q41" s="2029">
        <f>SUM(Q42:Q48)</f>
        <v>545.02</v>
      </c>
      <c r="R41" s="2029">
        <f>SUM(R42:R48)</f>
        <v>0</v>
      </c>
      <c r="S41" s="2030">
        <f>SUM(S42:S48)</f>
        <v>545.02</v>
      </c>
      <c r="T41" s="2733">
        <f t="shared" ref="T41:T48" si="25">S41/S$89</f>
        <v>9.8651153361618338E-2</v>
      </c>
      <c r="U41" s="2039"/>
      <c r="V41" s="2029">
        <f>SUM(V42:V48)</f>
        <v>0</v>
      </c>
      <c r="W41" s="2029">
        <f>SUM(W42:W48)</f>
        <v>0</v>
      </c>
      <c r="X41" s="2030">
        <f>SUM(X42:X48)</f>
        <v>0</v>
      </c>
      <c r="Y41" s="2733" t="e">
        <f t="shared" ref="Y41:Y48" si="26">X41/$X$89</f>
        <v>#DIV/0!</v>
      </c>
      <c r="Z41" s="2039"/>
      <c r="AA41" s="2029">
        <f>SUM(AA42:AA48)</f>
        <v>0</v>
      </c>
      <c r="AB41" s="2029">
        <f>SUM(AB42:AB48)</f>
        <v>0</v>
      </c>
      <c r="AC41" s="2030">
        <f>SUM(AC42:AC48)</f>
        <v>0</v>
      </c>
      <c r="AD41" s="2733" t="e">
        <f t="shared" ref="AD41:AD48" si="27">AC41/$AC$89</f>
        <v>#DIV/0!</v>
      </c>
      <c r="AE41" s="2039"/>
      <c r="AF41" s="2029">
        <f>SUM(AF42:AF48)</f>
        <v>545.02</v>
      </c>
      <c r="AG41" s="2029">
        <f>SUM(AG42:AG48)</f>
        <v>0</v>
      </c>
      <c r="AH41" s="2030">
        <f>SUM(AH42:AH48)</f>
        <v>545.02</v>
      </c>
      <c r="AI41" s="2733">
        <f t="shared" ref="AI41:AI49" si="28">AH41/$AH$89</f>
        <v>6.8691620740017254E-4</v>
      </c>
      <c r="AJ41" s="2022"/>
    </row>
    <row r="42" spans="1:39" ht="24.6" customHeight="1" outlineLevel="2" x14ac:dyDescent="0.25">
      <c r="A42" s="4015"/>
      <c r="B42" s="2734" t="s">
        <v>7</v>
      </c>
      <c r="C42" s="2695"/>
      <c r="D42" s="2735"/>
      <c r="E42" s="2801">
        <f t="shared" ref="E42:E48" si="29">C42+D42</f>
        <v>0</v>
      </c>
      <c r="F42" s="2693">
        <f t="shared" si="22"/>
        <v>0</v>
      </c>
      <c r="G42" s="2067"/>
      <c r="H42" s="2059"/>
      <c r="I42" s="2028">
        <f t="shared" ref="I42:I48" si="30">G42+H42*1</f>
        <v>0</v>
      </c>
      <c r="J42" s="2693">
        <f t="shared" si="23"/>
        <v>0</v>
      </c>
      <c r="K42" s="2062"/>
      <c r="L42" s="2067"/>
      <c r="M42" s="2059"/>
      <c r="N42" s="2028">
        <f t="shared" ref="N42:N48" si="31">L42+M42*1</f>
        <v>0</v>
      </c>
      <c r="O42" s="2693">
        <f t="shared" si="24"/>
        <v>0</v>
      </c>
      <c r="P42" s="2062"/>
      <c r="Q42" s="2067"/>
      <c r="R42" s="2059"/>
      <c r="S42" s="2028">
        <f t="shared" ref="S42:S48" si="32">Q42+R42*1</f>
        <v>0</v>
      </c>
      <c r="T42" s="2693">
        <f t="shared" si="25"/>
        <v>0</v>
      </c>
      <c r="U42" s="2062"/>
      <c r="V42" s="2067"/>
      <c r="W42" s="2059"/>
      <c r="X42" s="2028">
        <f t="shared" ref="X42:X48" si="33">V42+W42*1</f>
        <v>0</v>
      </c>
      <c r="Y42" s="2693" t="e">
        <f t="shared" si="26"/>
        <v>#DIV/0!</v>
      </c>
      <c r="Z42" s="2062"/>
      <c r="AA42" s="2067"/>
      <c r="AB42" s="2059"/>
      <c r="AC42" s="2028">
        <f t="shared" ref="AC42:AC48" si="34">AA42+AB42*1</f>
        <v>0</v>
      </c>
      <c r="AD42" s="2693" t="e">
        <f t="shared" si="27"/>
        <v>#DIV/0!</v>
      </c>
      <c r="AE42" s="2062"/>
      <c r="AF42" s="2059">
        <f t="shared" ref="AF42:AG48" si="35">G42+L42+Q42</f>
        <v>0</v>
      </c>
      <c r="AG42" s="2059">
        <f t="shared" si="35"/>
        <v>0</v>
      </c>
      <c r="AH42" s="2028">
        <f t="shared" ref="AH42:AH48" si="36">AF42+AG42*1</f>
        <v>0</v>
      </c>
      <c r="AI42" s="2693">
        <f t="shared" si="28"/>
        <v>0</v>
      </c>
      <c r="AJ42" s="2694"/>
    </row>
    <row r="43" spans="1:39" ht="24.6" customHeight="1" outlineLevel="2" x14ac:dyDescent="0.25">
      <c r="A43" s="4015"/>
      <c r="B43" s="2734" t="s">
        <v>27</v>
      </c>
      <c r="C43" s="2695"/>
      <c r="D43" s="2735">
        <v>1000</v>
      </c>
      <c r="E43" s="2801">
        <f t="shared" si="29"/>
        <v>1000</v>
      </c>
      <c r="F43" s="2693">
        <f t="shared" si="22"/>
        <v>8.1869645205378671E-4</v>
      </c>
      <c r="G43" s="2067"/>
      <c r="H43" s="2059"/>
      <c r="I43" s="2028">
        <f t="shared" si="30"/>
        <v>0</v>
      </c>
      <c r="J43" s="2693">
        <f t="shared" si="23"/>
        <v>0</v>
      </c>
      <c r="K43" s="2062"/>
      <c r="L43" s="2067"/>
      <c r="M43" s="2059"/>
      <c r="N43" s="2028">
        <f t="shared" si="31"/>
        <v>0</v>
      </c>
      <c r="O43" s="2693">
        <f t="shared" si="24"/>
        <v>0</v>
      </c>
      <c r="P43" s="2062"/>
      <c r="Q43" s="2067"/>
      <c r="R43" s="2059"/>
      <c r="S43" s="2028">
        <f t="shared" si="32"/>
        <v>0</v>
      </c>
      <c r="T43" s="2693">
        <f t="shared" si="25"/>
        <v>0</v>
      </c>
      <c r="U43" s="2062"/>
      <c r="V43" s="2067"/>
      <c r="W43" s="2059"/>
      <c r="X43" s="2028">
        <f t="shared" si="33"/>
        <v>0</v>
      </c>
      <c r="Y43" s="2693" t="e">
        <f t="shared" si="26"/>
        <v>#DIV/0!</v>
      </c>
      <c r="Z43" s="2062"/>
      <c r="AA43" s="2067"/>
      <c r="AB43" s="2059"/>
      <c r="AC43" s="2028">
        <f t="shared" si="34"/>
        <v>0</v>
      </c>
      <c r="AD43" s="2693" t="e">
        <f t="shared" si="27"/>
        <v>#DIV/0!</v>
      </c>
      <c r="AE43" s="2062"/>
      <c r="AF43" s="2059">
        <f t="shared" si="35"/>
        <v>0</v>
      </c>
      <c r="AG43" s="2059">
        <f t="shared" si="35"/>
        <v>0</v>
      </c>
      <c r="AH43" s="2028">
        <f t="shared" si="36"/>
        <v>0</v>
      </c>
      <c r="AI43" s="2693">
        <f t="shared" si="28"/>
        <v>0</v>
      </c>
      <c r="AJ43" s="2694"/>
    </row>
    <row r="44" spans="1:39" ht="24.6" customHeight="1" outlineLevel="2" x14ac:dyDescent="0.25">
      <c r="A44" s="4015"/>
      <c r="B44" s="2711" t="s">
        <v>28</v>
      </c>
      <c r="C44" s="2695"/>
      <c r="D44" s="2735"/>
      <c r="E44" s="2801">
        <f t="shared" si="29"/>
        <v>0</v>
      </c>
      <c r="F44" s="2693">
        <f t="shared" si="22"/>
        <v>0</v>
      </c>
      <c r="G44" s="2067"/>
      <c r="H44" s="2059"/>
      <c r="I44" s="2028">
        <f t="shared" si="30"/>
        <v>0</v>
      </c>
      <c r="J44" s="2693">
        <f t="shared" si="23"/>
        <v>0</v>
      </c>
      <c r="K44" s="2062"/>
      <c r="L44" s="2067"/>
      <c r="M44" s="2059"/>
      <c r="N44" s="2028">
        <f t="shared" si="31"/>
        <v>0</v>
      </c>
      <c r="O44" s="2693">
        <f t="shared" si="24"/>
        <v>0</v>
      </c>
      <c r="P44" s="2062"/>
      <c r="Q44" s="2067"/>
      <c r="R44" s="2059"/>
      <c r="S44" s="2028">
        <f t="shared" si="32"/>
        <v>0</v>
      </c>
      <c r="T44" s="2693">
        <f t="shared" si="25"/>
        <v>0</v>
      </c>
      <c r="U44" s="2062"/>
      <c r="V44" s="2067"/>
      <c r="W44" s="2059"/>
      <c r="X44" s="2028">
        <f t="shared" si="33"/>
        <v>0</v>
      </c>
      <c r="Y44" s="2693" t="e">
        <f t="shared" si="26"/>
        <v>#DIV/0!</v>
      </c>
      <c r="Z44" s="2062"/>
      <c r="AA44" s="2067"/>
      <c r="AB44" s="2059"/>
      <c r="AC44" s="2028">
        <f t="shared" si="34"/>
        <v>0</v>
      </c>
      <c r="AD44" s="2693" t="e">
        <f t="shared" si="27"/>
        <v>#DIV/0!</v>
      </c>
      <c r="AE44" s="2062"/>
      <c r="AF44" s="2059">
        <f t="shared" si="35"/>
        <v>0</v>
      </c>
      <c r="AG44" s="2059">
        <f t="shared" si="35"/>
        <v>0</v>
      </c>
      <c r="AH44" s="2028">
        <f t="shared" si="36"/>
        <v>0</v>
      </c>
      <c r="AI44" s="2693">
        <f t="shared" si="28"/>
        <v>0</v>
      </c>
      <c r="AJ44" s="2694"/>
    </row>
    <row r="45" spans="1:39" ht="24.6" customHeight="1" outlineLevel="2" x14ac:dyDescent="0.25">
      <c r="A45" s="4015"/>
      <c r="B45" s="2734" t="s">
        <v>8</v>
      </c>
      <c r="C45" s="2695">
        <v>1000</v>
      </c>
      <c r="D45" s="2735"/>
      <c r="E45" s="2801">
        <f t="shared" si="29"/>
        <v>1000</v>
      </c>
      <c r="F45" s="2693">
        <f t="shared" si="22"/>
        <v>8.1869645205378671E-4</v>
      </c>
      <c r="G45" s="2067"/>
      <c r="H45" s="2059"/>
      <c r="I45" s="2028">
        <f t="shared" si="30"/>
        <v>0</v>
      </c>
      <c r="J45" s="2693">
        <f t="shared" si="23"/>
        <v>0</v>
      </c>
      <c r="K45" s="2062"/>
      <c r="L45" s="2067"/>
      <c r="M45" s="2059"/>
      <c r="N45" s="2028">
        <f t="shared" si="31"/>
        <v>0</v>
      </c>
      <c r="O45" s="2693">
        <f t="shared" si="24"/>
        <v>0</v>
      </c>
      <c r="P45" s="2062"/>
      <c r="Q45" s="2067"/>
      <c r="R45" s="2059"/>
      <c r="S45" s="2028">
        <f t="shared" si="32"/>
        <v>0</v>
      </c>
      <c r="T45" s="2693">
        <f t="shared" si="25"/>
        <v>0</v>
      </c>
      <c r="U45" s="2062"/>
      <c r="V45" s="2067"/>
      <c r="W45" s="2059"/>
      <c r="X45" s="2028">
        <f t="shared" si="33"/>
        <v>0</v>
      </c>
      <c r="Y45" s="2693" t="e">
        <f t="shared" si="26"/>
        <v>#DIV/0!</v>
      </c>
      <c r="Z45" s="2062"/>
      <c r="AA45" s="2067"/>
      <c r="AB45" s="2059"/>
      <c r="AC45" s="2028">
        <f t="shared" si="34"/>
        <v>0</v>
      </c>
      <c r="AD45" s="2693" t="e">
        <f t="shared" si="27"/>
        <v>#DIV/0!</v>
      </c>
      <c r="AE45" s="2062"/>
      <c r="AF45" s="2059">
        <f t="shared" si="35"/>
        <v>0</v>
      </c>
      <c r="AG45" s="2059">
        <f t="shared" si="35"/>
        <v>0</v>
      </c>
      <c r="AH45" s="2028">
        <f t="shared" si="36"/>
        <v>0</v>
      </c>
      <c r="AI45" s="2693">
        <f t="shared" si="28"/>
        <v>0</v>
      </c>
      <c r="AJ45" s="2694"/>
    </row>
    <row r="46" spans="1:39" ht="24.6" customHeight="1" outlineLevel="2" x14ac:dyDescent="0.25">
      <c r="A46" s="4015"/>
      <c r="B46" s="2734" t="s">
        <v>29</v>
      </c>
      <c r="C46" s="2695"/>
      <c r="D46" s="2735"/>
      <c r="E46" s="2801">
        <f t="shared" si="29"/>
        <v>0</v>
      </c>
      <c r="F46" s="2693">
        <f t="shared" si="22"/>
        <v>0</v>
      </c>
      <c r="G46" s="2067"/>
      <c r="H46" s="2059"/>
      <c r="I46" s="2028">
        <f t="shared" si="30"/>
        <v>0</v>
      </c>
      <c r="J46" s="2693">
        <f t="shared" si="23"/>
        <v>0</v>
      </c>
      <c r="K46" s="2062"/>
      <c r="L46" s="2067"/>
      <c r="M46" s="2059"/>
      <c r="N46" s="2028">
        <f t="shared" si="31"/>
        <v>0</v>
      </c>
      <c r="O46" s="2693">
        <f t="shared" si="24"/>
        <v>0</v>
      </c>
      <c r="P46" s="2062"/>
      <c r="Q46" s="2067"/>
      <c r="R46" s="2059"/>
      <c r="S46" s="2028">
        <f t="shared" si="32"/>
        <v>0</v>
      </c>
      <c r="T46" s="2693">
        <f t="shared" si="25"/>
        <v>0</v>
      </c>
      <c r="U46" s="2062"/>
      <c r="V46" s="2067"/>
      <c r="W46" s="2059"/>
      <c r="X46" s="2028">
        <f t="shared" si="33"/>
        <v>0</v>
      </c>
      <c r="Y46" s="2693" t="e">
        <f t="shared" si="26"/>
        <v>#DIV/0!</v>
      </c>
      <c r="Z46" s="2062"/>
      <c r="AA46" s="2067"/>
      <c r="AB46" s="2059"/>
      <c r="AC46" s="2028">
        <f t="shared" si="34"/>
        <v>0</v>
      </c>
      <c r="AD46" s="2693" t="e">
        <f t="shared" si="27"/>
        <v>#DIV/0!</v>
      </c>
      <c r="AE46" s="2062"/>
      <c r="AF46" s="2059">
        <f t="shared" si="35"/>
        <v>0</v>
      </c>
      <c r="AG46" s="2059">
        <f t="shared" si="35"/>
        <v>0</v>
      </c>
      <c r="AH46" s="2028">
        <f t="shared" si="36"/>
        <v>0</v>
      </c>
      <c r="AI46" s="2693">
        <f t="shared" si="28"/>
        <v>0</v>
      </c>
      <c r="AJ46" s="2694"/>
    </row>
    <row r="47" spans="1:39" ht="24.6" customHeight="1" outlineLevel="2" x14ac:dyDescent="0.25">
      <c r="A47" s="4015"/>
      <c r="B47" s="2734" t="s">
        <v>30</v>
      </c>
      <c r="C47" s="2695"/>
      <c r="D47" s="2735"/>
      <c r="E47" s="2801">
        <f t="shared" si="29"/>
        <v>0</v>
      </c>
      <c r="F47" s="2693">
        <f t="shared" si="22"/>
        <v>0</v>
      </c>
      <c r="G47" s="2067"/>
      <c r="H47" s="2059"/>
      <c r="I47" s="2028">
        <f t="shared" si="30"/>
        <v>0</v>
      </c>
      <c r="J47" s="2693">
        <f t="shared" si="23"/>
        <v>0</v>
      </c>
      <c r="K47" s="2062"/>
      <c r="L47" s="2067"/>
      <c r="M47" s="2059"/>
      <c r="N47" s="2028">
        <f t="shared" si="31"/>
        <v>0</v>
      </c>
      <c r="O47" s="2693">
        <f t="shared" si="24"/>
        <v>0</v>
      </c>
      <c r="P47" s="2062"/>
      <c r="Q47" s="2067">
        <v>545.02</v>
      </c>
      <c r="R47" s="2059"/>
      <c r="S47" s="2028">
        <f t="shared" si="32"/>
        <v>545.02</v>
      </c>
      <c r="T47" s="2693">
        <f t="shared" si="25"/>
        <v>9.8651153361618338E-2</v>
      </c>
      <c r="U47" s="2062"/>
      <c r="V47" s="2067"/>
      <c r="W47" s="2059"/>
      <c r="X47" s="2028">
        <f t="shared" si="33"/>
        <v>0</v>
      </c>
      <c r="Y47" s="2693" t="e">
        <f t="shared" si="26"/>
        <v>#DIV/0!</v>
      </c>
      <c r="Z47" s="2062"/>
      <c r="AA47" s="2067"/>
      <c r="AB47" s="2059"/>
      <c r="AC47" s="2028">
        <f t="shared" si="34"/>
        <v>0</v>
      </c>
      <c r="AD47" s="2693" t="e">
        <f t="shared" si="27"/>
        <v>#DIV/0!</v>
      </c>
      <c r="AE47" s="2062"/>
      <c r="AF47" s="2059">
        <f t="shared" si="35"/>
        <v>545.02</v>
      </c>
      <c r="AG47" s="2059">
        <f t="shared" si="35"/>
        <v>0</v>
      </c>
      <c r="AH47" s="2028">
        <f t="shared" si="36"/>
        <v>545.02</v>
      </c>
      <c r="AI47" s="2693">
        <f t="shared" si="28"/>
        <v>6.8691620740017254E-4</v>
      </c>
      <c r="AJ47" s="2694"/>
    </row>
    <row r="48" spans="1:39" ht="24.6" customHeight="1" outlineLevel="2" x14ac:dyDescent="0.25">
      <c r="A48" s="4015"/>
      <c r="B48" s="2734" t="s">
        <v>15</v>
      </c>
      <c r="C48" s="2695">
        <v>1500</v>
      </c>
      <c r="D48" s="2735"/>
      <c r="E48" s="2801">
        <f t="shared" si="29"/>
        <v>1500</v>
      </c>
      <c r="F48" s="2693">
        <f t="shared" si="22"/>
        <v>1.2280446780806801E-3</v>
      </c>
      <c r="G48" s="2067"/>
      <c r="H48" s="2059"/>
      <c r="I48" s="2028">
        <f t="shared" si="30"/>
        <v>0</v>
      </c>
      <c r="J48" s="2693">
        <f t="shared" si="23"/>
        <v>0</v>
      </c>
      <c r="K48" s="2736"/>
      <c r="L48" s="2067"/>
      <c r="M48" s="2059"/>
      <c r="N48" s="2028">
        <f t="shared" si="31"/>
        <v>0</v>
      </c>
      <c r="O48" s="2693">
        <f t="shared" si="24"/>
        <v>0</v>
      </c>
      <c r="P48" s="2736"/>
      <c r="Q48" s="2067"/>
      <c r="R48" s="2059"/>
      <c r="S48" s="2028">
        <f t="shared" si="32"/>
        <v>0</v>
      </c>
      <c r="T48" s="2693">
        <f t="shared" si="25"/>
        <v>0</v>
      </c>
      <c r="U48" s="2062"/>
      <c r="V48" s="2067"/>
      <c r="W48" s="2059"/>
      <c r="X48" s="2028">
        <f t="shared" si="33"/>
        <v>0</v>
      </c>
      <c r="Y48" s="2693" t="e">
        <f t="shared" si="26"/>
        <v>#DIV/0!</v>
      </c>
      <c r="Z48" s="2736"/>
      <c r="AA48" s="2067"/>
      <c r="AB48" s="2059"/>
      <c r="AC48" s="2028">
        <f t="shared" si="34"/>
        <v>0</v>
      </c>
      <c r="AD48" s="2693" t="e">
        <f t="shared" si="27"/>
        <v>#DIV/0!</v>
      </c>
      <c r="AE48" s="2062"/>
      <c r="AF48" s="2059">
        <f t="shared" si="35"/>
        <v>0</v>
      </c>
      <c r="AG48" s="2059">
        <f t="shared" si="35"/>
        <v>0</v>
      </c>
      <c r="AH48" s="2028">
        <f t="shared" si="36"/>
        <v>0</v>
      </c>
      <c r="AI48" s="2693">
        <f t="shared" si="28"/>
        <v>0</v>
      </c>
      <c r="AJ48" s="2694"/>
    </row>
    <row r="49" spans="1:39" s="1411" customFormat="1" ht="24.6" customHeight="1" outlineLevel="2" thickBot="1" x14ac:dyDescent="0.3">
      <c r="A49" s="1420"/>
      <c r="B49" s="2737"/>
      <c r="C49" s="2698"/>
      <c r="D49" s="2738"/>
      <c r="E49" s="2739"/>
      <c r="F49" s="2740"/>
      <c r="G49" s="2067"/>
      <c r="H49" s="2059"/>
      <c r="I49" s="2719"/>
      <c r="J49" s="2693"/>
      <c r="K49" s="2741"/>
      <c r="L49" s="2067"/>
      <c r="M49" s="2059"/>
      <c r="N49" s="2719"/>
      <c r="O49" s="2693"/>
      <c r="P49" s="2741"/>
      <c r="Q49" s="2067"/>
      <c r="R49" s="2059"/>
      <c r="S49" s="2719"/>
      <c r="T49" s="2693"/>
      <c r="U49" s="2741"/>
      <c r="V49" s="2067"/>
      <c r="W49" s="2059"/>
      <c r="X49" s="2719"/>
      <c r="Y49" s="2693" t="e">
        <f>X49/#REF!</f>
        <v>#REF!</v>
      </c>
      <c r="Z49" s="2741"/>
      <c r="AA49" s="2067"/>
      <c r="AB49" s="2059"/>
      <c r="AC49" s="2719"/>
      <c r="AD49" s="2693" t="e">
        <f>AC49/#REF!</f>
        <v>#REF!</v>
      </c>
      <c r="AE49" s="2741"/>
      <c r="AF49" s="2059"/>
      <c r="AG49" s="2059"/>
      <c r="AH49" s="2719"/>
      <c r="AI49" s="2693">
        <f t="shared" si="28"/>
        <v>0</v>
      </c>
      <c r="AJ49" s="2719"/>
      <c r="AL49" s="919"/>
      <c r="AM49" s="919"/>
    </row>
    <row r="50" spans="1:39" s="1411" customFormat="1" ht="24.6" customHeight="1" outlineLevel="1" x14ac:dyDescent="0.25">
      <c r="A50" s="1580"/>
      <c r="B50" s="993" t="s">
        <v>59</v>
      </c>
      <c r="C50" s="2031">
        <f>SUM(C51:C52)</f>
        <v>0</v>
      </c>
      <c r="D50" s="2031">
        <f>SUM(D51:D52)</f>
        <v>0</v>
      </c>
      <c r="E50" s="2031">
        <f>SUM(E51:E52)</f>
        <v>0</v>
      </c>
      <c r="F50" s="1549">
        <f>E50/$E$89</f>
        <v>0</v>
      </c>
      <c r="G50" s="2031">
        <f>G52+G51</f>
        <v>0</v>
      </c>
      <c r="H50" s="2031">
        <f>H52+H51</f>
        <v>0</v>
      </c>
      <c r="I50" s="2031">
        <f>SUM(I51:I52)</f>
        <v>0</v>
      </c>
      <c r="J50" s="2022">
        <f>I50/$I$89</f>
        <v>0</v>
      </c>
      <c r="K50" s="2000"/>
      <c r="L50" s="2031">
        <f>L52+L51</f>
        <v>0</v>
      </c>
      <c r="M50" s="2031">
        <f>M52+M51</f>
        <v>0</v>
      </c>
      <c r="N50" s="2031">
        <f>SUM(N51:N52)</f>
        <v>0</v>
      </c>
      <c r="O50" s="2022">
        <f t="shared" si="24"/>
        <v>0</v>
      </c>
      <c r="P50" s="2000"/>
      <c r="Q50" s="2031">
        <f>Q52+Q51</f>
        <v>0</v>
      </c>
      <c r="R50" s="2031">
        <f>R52+R51</f>
        <v>0</v>
      </c>
      <c r="S50" s="2031">
        <f>SUM(S51:S52)</f>
        <v>0</v>
      </c>
      <c r="T50" s="2022">
        <f t="shared" ref="T50:T52" si="37">S50/S$89</f>
        <v>0</v>
      </c>
      <c r="U50" s="2000"/>
      <c r="V50" s="2031">
        <f>V52+V51</f>
        <v>0</v>
      </c>
      <c r="W50" s="2031">
        <f>W52+W51</f>
        <v>0</v>
      </c>
      <c r="X50" s="2031">
        <f>SUM(X51:X52)</f>
        <v>0</v>
      </c>
      <c r="Y50" s="2022" t="e">
        <f>X50/#REF!</f>
        <v>#REF!</v>
      </c>
      <c r="Z50" s="2000"/>
      <c r="AA50" s="2031">
        <f>AA52+AA51</f>
        <v>0</v>
      </c>
      <c r="AB50" s="2031">
        <f>AB52+AB51</f>
        <v>0</v>
      </c>
      <c r="AC50" s="2031">
        <f>SUM(AC51:AC52)</f>
        <v>0</v>
      </c>
      <c r="AD50" s="2022" t="e">
        <f>AC50/#REF!</f>
        <v>#REF!</v>
      </c>
      <c r="AE50" s="2000"/>
      <c r="AF50" s="2031">
        <f>AF52+AF51</f>
        <v>0</v>
      </c>
      <c r="AG50" s="2031">
        <f>AG52+AG51</f>
        <v>0</v>
      </c>
      <c r="AH50" s="2031">
        <f>SUM(AH51:AH52)</f>
        <v>0</v>
      </c>
      <c r="AI50" s="2022"/>
      <c r="AJ50" s="2022"/>
      <c r="AL50" s="919"/>
      <c r="AM50" s="919"/>
    </row>
    <row r="51" spans="1:39" s="1579" customFormat="1" ht="24.6" customHeight="1" outlineLevel="1" x14ac:dyDescent="0.25">
      <c r="A51" s="1583"/>
      <c r="B51" s="2734" t="s">
        <v>60</v>
      </c>
      <c r="C51" s="2695"/>
      <c r="D51" s="2735"/>
      <c r="E51" s="2735">
        <f>C51+D51</f>
        <v>0</v>
      </c>
      <c r="F51" s="2714">
        <f>E51/$E$89</f>
        <v>0</v>
      </c>
      <c r="G51" s="2067"/>
      <c r="H51" s="2059"/>
      <c r="I51" s="2028">
        <f>G51+H51*1</f>
        <v>0</v>
      </c>
      <c r="J51" s="2693">
        <f>I51/$I$89</f>
        <v>0</v>
      </c>
      <c r="K51" s="2742"/>
      <c r="L51" s="2067"/>
      <c r="M51" s="2059"/>
      <c r="N51" s="2028">
        <f>L51+M51*1</f>
        <v>0</v>
      </c>
      <c r="O51" s="2693">
        <f t="shared" si="24"/>
        <v>0</v>
      </c>
      <c r="P51" s="2742"/>
      <c r="Q51" s="2067"/>
      <c r="R51" s="2059"/>
      <c r="S51" s="2028">
        <f>Q51+R51*1</f>
        <v>0</v>
      </c>
      <c r="T51" s="2693">
        <f t="shared" si="37"/>
        <v>0</v>
      </c>
      <c r="U51" s="2742"/>
      <c r="V51" s="2067"/>
      <c r="W51" s="2059"/>
      <c r="X51" s="2028">
        <f>V51+W51*1</f>
        <v>0</v>
      </c>
      <c r="Y51" s="2693" t="e">
        <f>X51/#REF!</f>
        <v>#REF!</v>
      </c>
      <c r="Z51" s="2742"/>
      <c r="AA51" s="2067"/>
      <c r="AB51" s="2059"/>
      <c r="AC51" s="2028">
        <f>AA51+AB51*1</f>
        <v>0</v>
      </c>
      <c r="AD51" s="2693" t="e">
        <f>AC51/#REF!</f>
        <v>#REF!</v>
      </c>
      <c r="AE51" s="2742"/>
      <c r="AF51" s="2059">
        <f t="shared" ref="AF51:AG52" si="38">G51+L51+Q51</f>
        <v>0</v>
      </c>
      <c r="AG51" s="2059">
        <f t="shared" si="38"/>
        <v>0</v>
      </c>
      <c r="AH51" s="2028">
        <f>AF51+AG51*1</f>
        <v>0</v>
      </c>
      <c r="AI51" s="2693">
        <f>AH51/$AH$89</f>
        <v>0</v>
      </c>
      <c r="AJ51" s="2715"/>
      <c r="AL51" s="922"/>
      <c r="AM51" s="922"/>
    </row>
    <row r="52" spans="1:39" s="1584" customFormat="1" ht="24.6" customHeight="1" outlineLevel="2" x14ac:dyDescent="0.25">
      <c r="A52" s="1583"/>
      <c r="B52" s="2734" t="s">
        <v>61</v>
      </c>
      <c r="C52" s="2695"/>
      <c r="D52" s="2735"/>
      <c r="E52" s="2735">
        <f>C52+D52</f>
        <v>0</v>
      </c>
      <c r="F52" s="2714">
        <f>E52/$E$89</f>
        <v>0</v>
      </c>
      <c r="G52" s="2067"/>
      <c r="H52" s="2059"/>
      <c r="I52" s="2028">
        <f>G52+H52*1</f>
        <v>0</v>
      </c>
      <c r="J52" s="2693">
        <f>I52/$I$89</f>
        <v>0</v>
      </c>
      <c r="K52" s="2062"/>
      <c r="L52" s="2067"/>
      <c r="M52" s="2059"/>
      <c r="N52" s="2028">
        <f>L52+M52*1</f>
        <v>0</v>
      </c>
      <c r="O52" s="2693">
        <f t="shared" si="24"/>
        <v>0</v>
      </c>
      <c r="P52" s="2062"/>
      <c r="Q52" s="2067"/>
      <c r="R52" s="2059"/>
      <c r="S52" s="2028">
        <f>Q52+R52*1</f>
        <v>0</v>
      </c>
      <c r="T52" s="2693">
        <f t="shared" si="37"/>
        <v>0</v>
      </c>
      <c r="U52" s="2062"/>
      <c r="V52" s="2067"/>
      <c r="W52" s="2059"/>
      <c r="X52" s="2028">
        <f>V52+W52*1</f>
        <v>0</v>
      </c>
      <c r="Y52" s="2693" t="e">
        <f>X52/#REF!</f>
        <v>#REF!</v>
      </c>
      <c r="Z52" s="2062"/>
      <c r="AA52" s="2067"/>
      <c r="AB52" s="2059"/>
      <c r="AC52" s="2028">
        <f>AA52+AB52*1</f>
        <v>0</v>
      </c>
      <c r="AD52" s="2693" t="e">
        <f>AC52/#REF!</f>
        <v>#REF!</v>
      </c>
      <c r="AE52" s="2062"/>
      <c r="AF52" s="2059">
        <f t="shared" si="38"/>
        <v>0</v>
      </c>
      <c r="AG52" s="2059">
        <f t="shared" si="38"/>
        <v>0</v>
      </c>
      <c r="AH52" s="2028">
        <f>AF52+AG52*1</f>
        <v>0</v>
      </c>
      <c r="AI52" s="2693">
        <f>AH52/$AH$89</f>
        <v>0</v>
      </c>
      <c r="AJ52" s="2715"/>
      <c r="AL52" s="923"/>
      <c r="AM52" s="923"/>
    </row>
    <row r="53" spans="1:39" ht="24.6" customHeight="1" outlineLevel="1" thickBot="1" x14ac:dyDescent="0.3">
      <c r="A53" s="1428"/>
      <c r="B53" s="2743"/>
      <c r="C53" s="2744"/>
      <c r="D53" s="2745"/>
      <c r="E53" s="2746"/>
      <c r="F53" s="2747"/>
      <c r="G53" s="2067"/>
      <c r="H53" s="2059"/>
      <c r="I53" s="2749"/>
      <c r="J53" s="2749"/>
      <c r="K53" s="2748"/>
      <c r="L53" s="2067"/>
      <c r="M53" s="2059"/>
      <c r="N53" s="2749"/>
      <c r="O53" s="2749"/>
      <c r="P53" s="2748"/>
      <c r="Q53" s="2067"/>
      <c r="R53" s="2059"/>
      <c r="S53" s="2749"/>
      <c r="T53" s="2749"/>
      <c r="U53" s="2748"/>
      <c r="V53" s="2067"/>
      <c r="W53" s="2059"/>
      <c r="X53" s="2749"/>
      <c r="Y53" s="2749"/>
      <c r="Z53" s="2748"/>
      <c r="AA53" s="2067"/>
      <c r="AB53" s="2059"/>
      <c r="AC53" s="2749"/>
      <c r="AD53" s="2749"/>
      <c r="AE53" s="2748"/>
      <c r="AF53" s="2059"/>
      <c r="AG53" s="2059"/>
      <c r="AH53" s="2749"/>
      <c r="AI53" s="2749"/>
      <c r="AJ53" s="2749"/>
    </row>
    <row r="54" spans="1:39" ht="24.6" customHeight="1" outlineLevel="1" x14ac:dyDescent="0.25">
      <c r="A54" s="1585"/>
      <c r="B54" s="993" t="s">
        <v>1</v>
      </c>
      <c r="C54" s="2031">
        <f>SUM(C55:C71)</f>
        <v>19480.5</v>
      </c>
      <c r="D54" s="2031">
        <f>SUM(D55:D71)</f>
        <v>16606.5</v>
      </c>
      <c r="E54" s="1991">
        <f>SUM(E55:E71)</f>
        <v>36087</v>
      </c>
      <c r="F54" s="1549">
        <f>E54/$E$89</f>
        <v>2.9544298865265002E-2</v>
      </c>
      <c r="G54" s="2031">
        <f>SUM(G55:G72)</f>
        <v>0</v>
      </c>
      <c r="H54" s="2031">
        <f>SUM(H55:H72)</f>
        <v>0</v>
      </c>
      <c r="I54" s="2031">
        <f>SUM(I55:I72)</f>
        <v>0</v>
      </c>
      <c r="J54" s="2733">
        <f t="shared" ref="J54:J71" si="39">I54/$I$89</f>
        <v>0</v>
      </c>
      <c r="K54" s="2000"/>
      <c r="L54" s="2031">
        <f>SUM(L55:L72)</f>
        <v>10832.01</v>
      </c>
      <c r="M54" s="2031">
        <f>SUM(M55:M72)</f>
        <v>0</v>
      </c>
      <c r="N54" s="2031">
        <f>SUM(N55:N72)</f>
        <v>10832.01</v>
      </c>
      <c r="O54" s="2733">
        <f t="shared" ref="O54:O71" si="40">N54/$N$89</f>
        <v>1.4361175960625956E-2</v>
      </c>
      <c r="P54" s="2000"/>
      <c r="Q54" s="2031">
        <f>SUM(Q55:Q72)</f>
        <v>0</v>
      </c>
      <c r="R54" s="2031">
        <f>SUM(R55:R72)</f>
        <v>0</v>
      </c>
      <c r="S54" s="2031">
        <f>SUM(S55:S72)</f>
        <v>0</v>
      </c>
      <c r="T54" s="2733">
        <f t="shared" ref="T54:T71" si="41">S54/S$89</f>
        <v>0</v>
      </c>
      <c r="U54" s="2000"/>
      <c r="V54" s="2031">
        <f>SUM(V55:V72)</f>
        <v>0</v>
      </c>
      <c r="W54" s="2031">
        <f>SUM(W55:W72)</f>
        <v>0</v>
      </c>
      <c r="X54" s="2031">
        <f>SUM(X55:X72)</f>
        <v>0</v>
      </c>
      <c r="Y54" s="2733" t="e">
        <f t="shared" ref="Y54:Y71" si="42">X54/$X$89</f>
        <v>#DIV/0!</v>
      </c>
      <c r="Z54" s="2000"/>
      <c r="AA54" s="2031">
        <f>SUM(AA55:AA72)</f>
        <v>0</v>
      </c>
      <c r="AB54" s="2031">
        <f>SUM(AB55:AB72)</f>
        <v>0</v>
      </c>
      <c r="AC54" s="2031">
        <f>SUM(AC55:AC72)</f>
        <v>0</v>
      </c>
      <c r="AD54" s="2733" t="e">
        <f t="shared" ref="AD54:AD71" si="43">AC54/$AC$89</f>
        <v>#DIV/0!</v>
      </c>
      <c r="AE54" s="2000"/>
      <c r="AF54" s="2031">
        <f>SUM(AF55:AF72)</f>
        <v>10832.01</v>
      </c>
      <c r="AG54" s="2031">
        <f>SUM(AG55:AG72)</f>
        <v>0</v>
      </c>
      <c r="AH54" s="2031">
        <f>SUM(AH55:AH72)</f>
        <v>10832.01</v>
      </c>
      <c r="AI54" s="2733">
        <f t="shared" ref="AI54:AI71" si="44">AH54/$AH$89</f>
        <v>1.3652128780082829E-2</v>
      </c>
      <c r="AJ54" s="2022"/>
    </row>
    <row r="55" spans="1:39" ht="24.6" customHeight="1" outlineLevel="2" x14ac:dyDescent="0.25">
      <c r="A55" s="1586"/>
      <c r="B55" s="2711" t="s">
        <v>77</v>
      </c>
      <c r="C55" s="2695"/>
      <c r="D55" s="2750"/>
      <c r="E55" s="2801">
        <f t="shared" ref="E55:E71" si="45">C55+D55</f>
        <v>0</v>
      </c>
      <c r="F55" s="2693">
        <f>E55/$E$89</f>
        <v>0</v>
      </c>
      <c r="G55" s="2027"/>
      <c r="H55" s="2061"/>
      <c r="I55" s="2028">
        <f t="shared" ref="I55:I71" si="46">G55+H55*1</f>
        <v>0</v>
      </c>
      <c r="J55" s="2693">
        <f t="shared" si="39"/>
        <v>0</v>
      </c>
      <c r="K55" s="2062"/>
      <c r="L55" s="2027"/>
      <c r="M55" s="2061"/>
      <c r="N55" s="2028">
        <f t="shared" ref="N55:N71" si="47">L55+M55*1</f>
        <v>0</v>
      </c>
      <c r="O55" s="2693">
        <f t="shared" si="40"/>
        <v>0</v>
      </c>
      <c r="P55" s="2062"/>
      <c r="Q55" s="2027"/>
      <c r="R55" s="2061"/>
      <c r="S55" s="2028">
        <f t="shared" ref="S55:S62" si="48">Q55+R55*1</f>
        <v>0</v>
      </c>
      <c r="T55" s="2693">
        <f t="shared" si="41"/>
        <v>0</v>
      </c>
      <c r="U55" s="2062"/>
      <c r="V55" s="2027"/>
      <c r="W55" s="2061"/>
      <c r="X55" s="2028">
        <f t="shared" ref="X55:X71" si="49">V55+W55*1</f>
        <v>0</v>
      </c>
      <c r="Y55" s="2693" t="e">
        <f t="shared" si="42"/>
        <v>#DIV/0!</v>
      </c>
      <c r="Z55" s="2062"/>
      <c r="AA55" s="2027"/>
      <c r="AB55" s="2061"/>
      <c r="AC55" s="2028">
        <f t="shared" ref="AC55:AC71" si="50">AA55+AB55*1</f>
        <v>0</v>
      </c>
      <c r="AD55" s="2693" t="e">
        <f t="shared" si="43"/>
        <v>#DIV/0!</v>
      </c>
      <c r="AE55" s="2062"/>
      <c r="AF55" s="2059">
        <f t="shared" ref="AF55:AG71" si="51">G55+L55+Q55</f>
        <v>0</v>
      </c>
      <c r="AG55" s="2059">
        <f t="shared" si="51"/>
        <v>0</v>
      </c>
      <c r="AH55" s="2028">
        <f t="shared" ref="AH55:AH71" si="52">AF55+AG55*1</f>
        <v>0</v>
      </c>
      <c r="AI55" s="2693">
        <f t="shared" si="44"/>
        <v>0</v>
      </c>
      <c r="AJ55" s="2694"/>
    </row>
    <row r="56" spans="1:39" ht="24.6" customHeight="1" outlineLevel="2" x14ac:dyDescent="0.25">
      <c r="A56" s="1586"/>
      <c r="B56" s="2711" t="s">
        <v>76</v>
      </c>
      <c r="C56" s="2695"/>
      <c r="D56" s="2750"/>
      <c r="E56" s="2801">
        <f t="shared" si="45"/>
        <v>0</v>
      </c>
      <c r="F56" s="2693">
        <f t="shared" ref="F56:F72" si="53">E56/$E$89</f>
        <v>0</v>
      </c>
      <c r="G56" s="2027"/>
      <c r="H56" s="2061"/>
      <c r="I56" s="2028">
        <f t="shared" si="46"/>
        <v>0</v>
      </c>
      <c r="J56" s="2693">
        <f t="shared" si="39"/>
        <v>0</v>
      </c>
      <c r="K56" s="2062"/>
      <c r="L56" s="2027"/>
      <c r="M56" s="2061"/>
      <c r="N56" s="2028">
        <f t="shared" si="47"/>
        <v>0</v>
      </c>
      <c r="O56" s="2693">
        <f t="shared" si="40"/>
        <v>0</v>
      </c>
      <c r="P56" s="2062"/>
      <c r="Q56" s="2027"/>
      <c r="R56" s="2061"/>
      <c r="S56" s="2028">
        <f t="shared" si="48"/>
        <v>0</v>
      </c>
      <c r="T56" s="2693">
        <f t="shared" si="41"/>
        <v>0</v>
      </c>
      <c r="U56" s="2062"/>
      <c r="V56" s="2027"/>
      <c r="W56" s="2061"/>
      <c r="X56" s="2028">
        <f t="shared" si="49"/>
        <v>0</v>
      </c>
      <c r="Y56" s="2693" t="e">
        <f t="shared" si="42"/>
        <v>#DIV/0!</v>
      </c>
      <c r="Z56" s="2062"/>
      <c r="AA56" s="2027"/>
      <c r="AB56" s="2061"/>
      <c r="AC56" s="2028">
        <f t="shared" si="50"/>
        <v>0</v>
      </c>
      <c r="AD56" s="2693" t="e">
        <f t="shared" si="43"/>
        <v>#DIV/0!</v>
      </c>
      <c r="AE56" s="2062"/>
      <c r="AF56" s="2059">
        <f t="shared" si="51"/>
        <v>0</v>
      </c>
      <c r="AG56" s="2059">
        <f t="shared" si="51"/>
        <v>0</v>
      </c>
      <c r="AH56" s="2028">
        <f t="shared" si="52"/>
        <v>0</v>
      </c>
      <c r="AI56" s="2693">
        <f t="shared" si="44"/>
        <v>0</v>
      </c>
      <c r="AJ56" s="2694"/>
    </row>
    <row r="57" spans="1:39" ht="24.6" customHeight="1" outlineLevel="2" x14ac:dyDescent="0.25">
      <c r="A57" s="1586"/>
      <c r="B57" s="2711" t="s">
        <v>68</v>
      </c>
      <c r="C57" s="2695"/>
      <c r="D57" s="2750"/>
      <c r="E57" s="2801">
        <f t="shared" si="45"/>
        <v>0</v>
      </c>
      <c r="F57" s="2693">
        <f t="shared" si="53"/>
        <v>0</v>
      </c>
      <c r="G57" s="2027"/>
      <c r="H57" s="2061"/>
      <c r="I57" s="2028">
        <f t="shared" si="46"/>
        <v>0</v>
      </c>
      <c r="J57" s="2693">
        <f t="shared" si="39"/>
        <v>0</v>
      </c>
      <c r="K57" s="2062"/>
      <c r="L57" s="2027"/>
      <c r="M57" s="2061"/>
      <c r="N57" s="2028">
        <f t="shared" si="47"/>
        <v>0</v>
      </c>
      <c r="O57" s="2693">
        <f t="shared" si="40"/>
        <v>0</v>
      </c>
      <c r="P57" s="2062"/>
      <c r="Q57" s="2027"/>
      <c r="R57" s="2061"/>
      <c r="S57" s="2028">
        <f t="shared" si="48"/>
        <v>0</v>
      </c>
      <c r="T57" s="2693">
        <f t="shared" si="41"/>
        <v>0</v>
      </c>
      <c r="U57" s="2062"/>
      <c r="V57" s="2027"/>
      <c r="W57" s="2061"/>
      <c r="X57" s="2028">
        <f t="shared" si="49"/>
        <v>0</v>
      </c>
      <c r="Y57" s="2693" t="e">
        <f t="shared" si="42"/>
        <v>#DIV/0!</v>
      </c>
      <c r="Z57" s="2062"/>
      <c r="AA57" s="2027"/>
      <c r="AB57" s="2061"/>
      <c r="AC57" s="2028">
        <f t="shared" si="50"/>
        <v>0</v>
      </c>
      <c r="AD57" s="2693" t="e">
        <f t="shared" si="43"/>
        <v>#DIV/0!</v>
      </c>
      <c r="AE57" s="2062"/>
      <c r="AF57" s="2059">
        <f t="shared" si="51"/>
        <v>0</v>
      </c>
      <c r="AG57" s="2059">
        <f t="shared" si="51"/>
        <v>0</v>
      </c>
      <c r="AH57" s="2028">
        <f t="shared" si="52"/>
        <v>0</v>
      </c>
      <c r="AI57" s="2693">
        <f t="shared" si="44"/>
        <v>0</v>
      </c>
      <c r="AJ57" s="2694"/>
    </row>
    <row r="58" spans="1:39" ht="24.6" customHeight="1" outlineLevel="2" x14ac:dyDescent="0.25">
      <c r="A58" s="1586"/>
      <c r="B58" s="2711" t="s">
        <v>67</v>
      </c>
      <c r="C58" s="2695">
        <v>5393.5</v>
      </c>
      <c r="D58" s="2750">
        <v>14606.5</v>
      </c>
      <c r="E58" s="2801">
        <f t="shared" si="45"/>
        <v>20000</v>
      </c>
      <c r="F58" s="2693">
        <f t="shared" si="53"/>
        <v>1.6373929041075735E-2</v>
      </c>
      <c r="G58" s="2027"/>
      <c r="H58" s="2061"/>
      <c r="I58" s="2028">
        <f t="shared" si="46"/>
        <v>0</v>
      </c>
      <c r="J58" s="2693">
        <f t="shared" si="39"/>
        <v>0</v>
      </c>
      <c r="K58" s="2062"/>
      <c r="L58" s="2027"/>
      <c r="M58" s="2061"/>
      <c r="N58" s="2028">
        <f t="shared" si="47"/>
        <v>0</v>
      </c>
      <c r="O58" s="2693">
        <f t="shared" si="40"/>
        <v>0</v>
      </c>
      <c r="P58" s="2062"/>
      <c r="Q58" s="2027"/>
      <c r="R58" s="2061"/>
      <c r="S58" s="2028">
        <f t="shared" si="48"/>
        <v>0</v>
      </c>
      <c r="T58" s="2693">
        <f t="shared" si="41"/>
        <v>0</v>
      </c>
      <c r="U58" s="2062"/>
      <c r="V58" s="2027"/>
      <c r="W58" s="2061"/>
      <c r="X58" s="2028">
        <f t="shared" si="49"/>
        <v>0</v>
      </c>
      <c r="Y58" s="2693" t="e">
        <f t="shared" si="42"/>
        <v>#DIV/0!</v>
      </c>
      <c r="Z58" s="2062"/>
      <c r="AA58" s="2027"/>
      <c r="AB58" s="2061"/>
      <c r="AC58" s="2028">
        <f t="shared" si="50"/>
        <v>0</v>
      </c>
      <c r="AD58" s="2693" t="e">
        <f t="shared" si="43"/>
        <v>#DIV/0!</v>
      </c>
      <c r="AE58" s="2062"/>
      <c r="AF58" s="2059">
        <f t="shared" si="51"/>
        <v>0</v>
      </c>
      <c r="AG58" s="2059">
        <f t="shared" si="51"/>
        <v>0</v>
      </c>
      <c r="AH58" s="2028">
        <f t="shared" si="52"/>
        <v>0</v>
      </c>
      <c r="AI58" s="2693">
        <f t="shared" si="44"/>
        <v>0</v>
      </c>
      <c r="AJ58" s="2694"/>
    </row>
    <row r="59" spans="1:39" ht="24.6" customHeight="1" outlineLevel="2" x14ac:dyDescent="0.25">
      <c r="A59" s="1586"/>
      <c r="B59" s="2711" t="s">
        <v>66</v>
      </c>
      <c r="C59" s="2695">
        <v>2613</v>
      </c>
      <c r="D59" s="2750"/>
      <c r="E59" s="2801">
        <f t="shared" si="45"/>
        <v>2613</v>
      </c>
      <c r="F59" s="2693">
        <f t="shared" si="53"/>
        <v>2.1392538292165446E-3</v>
      </c>
      <c r="G59" s="2027"/>
      <c r="H59" s="2061"/>
      <c r="I59" s="2028">
        <f t="shared" si="46"/>
        <v>0</v>
      </c>
      <c r="J59" s="2693">
        <f t="shared" si="39"/>
        <v>0</v>
      </c>
      <c r="K59" s="2062"/>
      <c r="L59" s="2027"/>
      <c r="M59" s="2061"/>
      <c r="N59" s="2028">
        <f t="shared" si="47"/>
        <v>0</v>
      </c>
      <c r="O59" s="2693">
        <f t="shared" si="40"/>
        <v>0</v>
      </c>
      <c r="P59" s="2062"/>
      <c r="Q59" s="2027"/>
      <c r="R59" s="2061"/>
      <c r="S59" s="2028">
        <f t="shared" si="48"/>
        <v>0</v>
      </c>
      <c r="T59" s="2693">
        <f t="shared" si="41"/>
        <v>0</v>
      </c>
      <c r="U59" s="2062"/>
      <c r="V59" s="2027"/>
      <c r="W59" s="2061"/>
      <c r="X59" s="2028">
        <f t="shared" si="49"/>
        <v>0</v>
      </c>
      <c r="Y59" s="2693" t="e">
        <f t="shared" si="42"/>
        <v>#DIV/0!</v>
      </c>
      <c r="Z59" s="2062"/>
      <c r="AA59" s="2027"/>
      <c r="AB59" s="2061"/>
      <c r="AC59" s="2028">
        <f t="shared" si="50"/>
        <v>0</v>
      </c>
      <c r="AD59" s="2693" t="e">
        <f t="shared" si="43"/>
        <v>#DIV/0!</v>
      </c>
      <c r="AE59" s="2062"/>
      <c r="AF59" s="2059">
        <f t="shared" si="51"/>
        <v>0</v>
      </c>
      <c r="AG59" s="2059">
        <f t="shared" si="51"/>
        <v>0</v>
      </c>
      <c r="AH59" s="2028">
        <f t="shared" si="52"/>
        <v>0</v>
      </c>
      <c r="AI59" s="2693">
        <f t="shared" si="44"/>
        <v>0</v>
      </c>
      <c r="AJ59" s="2694"/>
    </row>
    <row r="60" spans="1:39" ht="24.6" customHeight="1" outlineLevel="2" x14ac:dyDescent="0.25">
      <c r="A60" s="1586"/>
      <c r="B60" s="2711" t="s">
        <v>65</v>
      </c>
      <c r="C60" s="2695">
        <v>1474</v>
      </c>
      <c r="D60" s="2750"/>
      <c r="E60" s="2801">
        <f t="shared" si="45"/>
        <v>1474</v>
      </c>
      <c r="F60" s="2693">
        <f t="shared" si="53"/>
        <v>1.2067585703272818E-3</v>
      </c>
      <c r="G60" s="2027"/>
      <c r="H60" s="2061"/>
      <c r="I60" s="2028">
        <f t="shared" si="46"/>
        <v>0</v>
      </c>
      <c r="J60" s="2693">
        <f t="shared" si="39"/>
        <v>0</v>
      </c>
      <c r="K60" s="2062"/>
      <c r="L60" s="2027"/>
      <c r="M60" s="2061"/>
      <c r="N60" s="2028">
        <f t="shared" si="47"/>
        <v>0</v>
      </c>
      <c r="O60" s="2693">
        <f t="shared" si="40"/>
        <v>0</v>
      </c>
      <c r="P60" s="2062"/>
      <c r="Q60" s="2027"/>
      <c r="R60" s="2061"/>
      <c r="S60" s="2028">
        <f t="shared" si="48"/>
        <v>0</v>
      </c>
      <c r="T60" s="2693">
        <f t="shared" si="41"/>
        <v>0</v>
      </c>
      <c r="U60" s="2062"/>
      <c r="V60" s="2027"/>
      <c r="W60" s="2061"/>
      <c r="X60" s="2028">
        <f t="shared" si="49"/>
        <v>0</v>
      </c>
      <c r="Y60" s="2693" t="e">
        <f t="shared" si="42"/>
        <v>#DIV/0!</v>
      </c>
      <c r="Z60" s="2062"/>
      <c r="AA60" s="2027"/>
      <c r="AB60" s="2061"/>
      <c r="AC60" s="2028">
        <f t="shared" si="50"/>
        <v>0</v>
      </c>
      <c r="AD60" s="2693" t="e">
        <f t="shared" si="43"/>
        <v>#DIV/0!</v>
      </c>
      <c r="AE60" s="2062"/>
      <c r="AF60" s="2059">
        <f t="shared" si="51"/>
        <v>0</v>
      </c>
      <c r="AG60" s="2059">
        <f t="shared" si="51"/>
        <v>0</v>
      </c>
      <c r="AH60" s="2028">
        <f t="shared" si="52"/>
        <v>0</v>
      </c>
      <c r="AI60" s="2693">
        <f t="shared" si="44"/>
        <v>0</v>
      </c>
      <c r="AJ60" s="2694"/>
    </row>
    <row r="61" spans="1:39" ht="24.6" customHeight="1" outlineLevel="2" x14ac:dyDescent="0.25">
      <c r="A61" s="1586"/>
      <c r="B61" s="2711" t="s">
        <v>32</v>
      </c>
      <c r="C61" s="2695"/>
      <c r="D61" s="2750"/>
      <c r="E61" s="2801">
        <f t="shared" si="45"/>
        <v>0</v>
      </c>
      <c r="F61" s="2693">
        <f t="shared" si="53"/>
        <v>0</v>
      </c>
      <c r="G61" s="2027"/>
      <c r="H61" s="2061"/>
      <c r="I61" s="2028">
        <f t="shared" si="46"/>
        <v>0</v>
      </c>
      <c r="J61" s="2693">
        <f t="shared" si="39"/>
        <v>0</v>
      </c>
      <c r="K61" s="2062"/>
      <c r="L61" s="2027"/>
      <c r="M61" s="2061"/>
      <c r="N61" s="2028">
        <f t="shared" si="47"/>
        <v>0</v>
      </c>
      <c r="O61" s="2693">
        <f t="shared" si="40"/>
        <v>0</v>
      </c>
      <c r="P61" s="2062"/>
      <c r="Q61" s="2027"/>
      <c r="R61" s="2061"/>
      <c r="S61" s="2028">
        <f t="shared" si="48"/>
        <v>0</v>
      </c>
      <c r="T61" s="2693">
        <f t="shared" si="41"/>
        <v>0</v>
      </c>
      <c r="U61" s="2062"/>
      <c r="V61" s="2027"/>
      <c r="W61" s="2061"/>
      <c r="X61" s="2028">
        <f t="shared" si="49"/>
        <v>0</v>
      </c>
      <c r="Y61" s="2693" t="e">
        <f t="shared" si="42"/>
        <v>#DIV/0!</v>
      </c>
      <c r="Z61" s="2062"/>
      <c r="AA61" s="2027"/>
      <c r="AB61" s="2061"/>
      <c r="AC61" s="2028">
        <f t="shared" si="50"/>
        <v>0</v>
      </c>
      <c r="AD61" s="2693" t="e">
        <f t="shared" si="43"/>
        <v>#DIV/0!</v>
      </c>
      <c r="AE61" s="2062"/>
      <c r="AF61" s="2059">
        <f t="shared" si="51"/>
        <v>0</v>
      </c>
      <c r="AG61" s="2059">
        <f t="shared" si="51"/>
        <v>0</v>
      </c>
      <c r="AH61" s="2028">
        <f t="shared" si="52"/>
        <v>0</v>
      </c>
      <c r="AI61" s="2693">
        <f t="shared" si="44"/>
        <v>0</v>
      </c>
      <c r="AJ61" s="2694"/>
    </row>
    <row r="62" spans="1:39" ht="24.6" customHeight="1" outlineLevel="2" x14ac:dyDescent="0.25">
      <c r="A62" s="1586"/>
      <c r="B62" s="2711" t="s">
        <v>33</v>
      </c>
      <c r="C62" s="2752"/>
      <c r="D62" s="2750"/>
      <c r="E62" s="2801">
        <f t="shared" si="45"/>
        <v>0</v>
      </c>
      <c r="F62" s="2693">
        <f t="shared" si="53"/>
        <v>0</v>
      </c>
      <c r="G62" s="2027"/>
      <c r="H62" s="2061"/>
      <c r="I62" s="2028">
        <f t="shared" si="46"/>
        <v>0</v>
      </c>
      <c r="J62" s="2693">
        <f t="shared" si="39"/>
        <v>0</v>
      </c>
      <c r="K62" s="2062"/>
      <c r="L62" s="2027"/>
      <c r="M62" s="2061"/>
      <c r="N62" s="2028">
        <f t="shared" si="47"/>
        <v>0</v>
      </c>
      <c r="O62" s="2693">
        <f t="shared" si="40"/>
        <v>0</v>
      </c>
      <c r="P62" s="2062"/>
      <c r="Q62" s="2027"/>
      <c r="R62" s="2061"/>
      <c r="S62" s="2028">
        <f t="shared" si="48"/>
        <v>0</v>
      </c>
      <c r="T62" s="2693">
        <f t="shared" si="41"/>
        <v>0</v>
      </c>
      <c r="U62" s="2062"/>
      <c r="V62" s="2027"/>
      <c r="W62" s="2061"/>
      <c r="X62" s="2028">
        <f t="shared" si="49"/>
        <v>0</v>
      </c>
      <c r="Y62" s="2693" t="e">
        <f t="shared" si="42"/>
        <v>#DIV/0!</v>
      </c>
      <c r="Z62" s="2062"/>
      <c r="AA62" s="2027"/>
      <c r="AB62" s="2061"/>
      <c r="AC62" s="2028">
        <f t="shared" si="50"/>
        <v>0</v>
      </c>
      <c r="AD62" s="2693" t="e">
        <f t="shared" si="43"/>
        <v>#DIV/0!</v>
      </c>
      <c r="AE62" s="2062"/>
      <c r="AF62" s="2059">
        <f t="shared" si="51"/>
        <v>0</v>
      </c>
      <c r="AG62" s="2059">
        <f t="shared" si="51"/>
        <v>0</v>
      </c>
      <c r="AH62" s="2028">
        <f t="shared" si="52"/>
        <v>0</v>
      </c>
      <c r="AI62" s="2693">
        <f t="shared" si="44"/>
        <v>0</v>
      </c>
      <c r="AJ62" s="2694"/>
    </row>
    <row r="63" spans="1:39" ht="24.6" customHeight="1" outlineLevel="2" x14ac:dyDescent="0.25">
      <c r="A63" s="1586"/>
      <c r="B63" s="2711" t="s">
        <v>35</v>
      </c>
      <c r="C63" s="2752">
        <v>10000</v>
      </c>
      <c r="D63" s="2750"/>
      <c r="E63" s="2801">
        <f t="shared" si="45"/>
        <v>10000</v>
      </c>
      <c r="F63" s="2693">
        <f t="shared" si="53"/>
        <v>8.1869645205378677E-3</v>
      </c>
      <c r="G63" s="2027"/>
      <c r="H63" s="2751"/>
      <c r="I63" s="2028">
        <f t="shared" si="46"/>
        <v>0</v>
      </c>
      <c r="J63" s="2693">
        <f t="shared" si="39"/>
        <v>0</v>
      </c>
      <c r="K63" s="2062"/>
      <c r="L63" s="2027">
        <v>10832.01</v>
      </c>
      <c r="M63" s="2751"/>
      <c r="N63" s="2028">
        <f t="shared" si="47"/>
        <v>10832.01</v>
      </c>
      <c r="O63" s="2693">
        <f t="shared" si="40"/>
        <v>1.4361175960625956E-2</v>
      </c>
      <c r="P63" s="2062" t="s">
        <v>1689</v>
      </c>
      <c r="Q63" s="2027"/>
      <c r="R63" s="2751"/>
      <c r="S63" s="2028">
        <f>Q63+R63*1</f>
        <v>0</v>
      </c>
      <c r="T63" s="2693">
        <f t="shared" si="41"/>
        <v>0</v>
      </c>
      <c r="U63" s="2062"/>
      <c r="V63" s="2027"/>
      <c r="W63" s="2751"/>
      <c r="X63" s="2028">
        <f t="shared" si="49"/>
        <v>0</v>
      </c>
      <c r="Y63" s="2693" t="e">
        <f t="shared" si="42"/>
        <v>#DIV/0!</v>
      </c>
      <c r="Z63" s="2062"/>
      <c r="AA63" s="2027"/>
      <c r="AB63" s="2751"/>
      <c r="AC63" s="2028">
        <f t="shared" si="50"/>
        <v>0</v>
      </c>
      <c r="AD63" s="2693" t="e">
        <f t="shared" si="43"/>
        <v>#DIV/0!</v>
      </c>
      <c r="AE63" s="2062"/>
      <c r="AF63" s="2059">
        <f t="shared" si="51"/>
        <v>10832.01</v>
      </c>
      <c r="AG63" s="2059">
        <f t="shared" si="51"/>
        <v>0</v>
      </c>
      <c r="AH63" s="2028">
        <f t="shared" si="52"/>
        <v>10832.01</v>
      </c>
      <c r="AI63" s="2693">
        <f t="shared" si="44"/>
        <v>1.3652128780082829E-2</v>
      </c>
      <c r="AJ63" s="2694"/>
    </row>
    <row r="64" spans="1:39" ht="24.6" customHeight="1" outlineLevel="2" x14ac:dyDescent="0.25">
      <c r="A64" s="1586"/>
      <c r="B64" s="2711" t="s">
        <v>63</v>
      </c>
      <c r="C64" s="2752"/>
      <c r="D64" s="2750"/>
      <c r="E64" s="2801">
        <f t="shared" si="45"/>
        <v>0</v>
      </c>
      <c r="F64" s="2693">
        <f t="shared" si="53"/>
        <v>0</v>
      </c>
      <c r="G64" s="2027"/>
      <c r="H64" s="2061"/>
      <c r="I64" s="2028">
        <f t="shared" si="46"/>
        <v>0</v>
      </c>
      <c r="J64" s="2693">
        <f t="shared" si="39"/>
        <v>0</v>
      </c>
      <c r="K64" s="2062"/>
      <c r="L64" s="2027"/>
      <c r="M64" s="2061"/>
      <c r="N64" s="2028">
        <f t="shared" si="47"/>
        <v>0</v>
      </c>
      <c r="O64" s="2693">
        <f t="shared" si="40"/>
        <v>0</v>
      </c>
      <c r="P64" s="2062"/>
      <c r="Q64" s="2027"/>
      <c r="R64" s="2061"/>
      <c r="S64" s="2028">
        <f>Q64+R64*1</f>
        <v>0</v>
      </c>
      <c r="T64" s="2693">
        <f t="shared" si="41"/>
        <v>0</v>
      </c>
      <c r="U64" s="2062"/>
      <c r="V64" s="2027"/>
      <c r="W64" s="2061"/>
      <c r="X64" s="2028">
        <f t="shared" si="49"/>
        <v>0</v>
      </c>
      <c r="Y64" s="2693" t="e">
        <f t="shared" si="42"/>
        <v>#DIV/0!</v>
      </c>
      <c r="Z64" s="2062"/>
      <c r="AA64" s="2027"/>
      <c r="AB64" s="2061"/>
      <c r="AC64" s="2028">
        <f t="shared" si="50"/>
        <v>0</v>
      </c>
      <c r="AD64" s="2693" t="e">
        <f t="shared" si="43"/>
        <v>#DIV/0!</v>
      </c>
      <c r="AE64" s="2062"/>
      <c r="AF64" s="2059">
        <f t="shared" si="51"/>
        <v>0</v>
      </c>
      <c r="AG64" s="2059">
        <f t="shared" si="51"/>
        <v>0</v>
      </c>
      <c r="AH64" s="2028">
        <f t="shared" si="52"/>
        <v>0</v>
      </c>
      <c r="AI64" s="2693">
        <f t="shared" si="44"/>
        <v>0</v>
      </c>
      <c r="AJ64" s="2694"/>
    </row>
    <row r="65" spans="1:39" ht="24.6" customHeight="1" outlineLevel="2" x14ac:dyDescent="0.25">
      <c r="A65" s="1586"/>
      <c r="B65" s="2711" t="s">
        <v>36</v>
      </c>
      <c r="C65" s="2752"/>
      <c r="D65" s="2750"/>
      <c r="E65" s="2801">
        <f t="shared" si="45"/>
        <v>0</v>
      </c>
      <c r="F65" s="2693">
        <f t="shared" si="53"/>
        <v>0</v>
      </c>
      <c r="G65" s="2067"/>
      <c r="H65" s="2061"/>
      <c r="I65" s="2028">
        <f t="shared" si="46"/>
        <v>0</v>
      </c>
      <c r="J65" s="2693">
        <f t="shared" si="39"/>
        <v>0</v>
      </c>
      <c r="K65" s="2062"/>
      <c r="L65" s="2027"/>
      <c r="M65" s="2061"/>
      <c r="N65" s="2028">
        <f t="shared" si="47"/>
        <v>0</v>
      </c>
      <c r="O65" s="2693">
        <f t="shared" si="40"/>
        <v>0</v>
      </c>
      <c r="P65" s="2062"/>
      <c r="Q65" s="2061"/>
      <c r="R65" s="2061"/>
      <c r="S65" s="2028">
        <f t="shared" ref="S65:S71" si="54">Q65+R65*1</f>
        <v>0</v>
      </c>
      <c r="T65" s="2693">
        <f t="shared" si="41"/>
        <v>0</v>
      </c>
      <c r="U65" s="2062"/>
      <c r="V65" s="2027"/>
      <c r="W65" s="2061"/>
      <c r="X65" s="2028">
        <f t="shared" si="49"/>
        <v>0</v>
      </c>
      <c r="Y65" s="2693" t="e">
        <f t="shared" si="42"/>
        <v>#DIV/0!</v>
      </c>
      <c r="Z65" s="2062"/>
      <c r="AA65" s="2027"/>
      <c r="AB65" s="2061"/>
      <c r="AC65" s="2028">
        <f t="shared" si="50"/>
        <v>0</v>
      </c>
      <c r="AD65" s="2693" t="e">
        <f t="shared" si="43"/>
        <v>#DIV/0!</v>
      </c>
      <c r="AE65" s="2062"/>
      <c r="AF65" s="2059">
        <f t="shared" si="51"/>
        <v>0</v>
      </c>
      <c r="AG65" s="2059">
        <f t="shared" si="51"/>
        <v>0</v>
      </c>
      <c r="AH65" s="2028">
        <f t="shared" si="52"/>
        <v>0</v>
      </c>
      <c r="AI65" s="2693">
        <f t="shared" si="44"/>
        <v>0</v>
      </c>
      <c r="AJ65" s="2694"/>
    </row>
    <row r="66" spans="1:39" s="1411" customFormat="1" ht="24.6" customHeight="1" outlineLevel="2" x14ac:dyDescent="0.25">
      <c r="A66" s="1586"/>
      <c r="B66" s="2711" t="s">
        <v>37</v>
      </c>
      <c r="C66" s="2752"/>
      <c r="D66" s="2750"/>
      <c r="E66" s="2801">
        <f t="shared" si="45"/>
        <v>0</v>
      </c>
      <c r="F66" s="2693">
        <f t="shared" si="53"/>
        <v>0</v>
      </c>
      <c r="G66" s="2067"/>
      <c r="H66" s="2059"/>
      <c r="I66" s="2028">
        <f t="shared" si="46"/>
        <v>0</v>
      </c>
      <c r="J66" s="2693">
        <f t="shared" si="39"/>
        <v>0</v>
      </c>
      <c r="K66" s="2062"/>
      <c r="L66" s="2027"/>
      <c r="M66" s="2061"/>
      <c r="N66" s="2028">
        <f t="shared" si="47"/>
        <v>0</v>
      </c>
      <c r="O66" s="2693">
        <f t="shared" si="40"/>
        <v>0</v>
      </c>
      <c r="P66" s="2062"/>
      <c r="Q66" s="2027"/>
      <c r="R66" s="2059"/>
      <c r="S66" s="2028">
        <f t="shared" si="54"/>
        <v>0</v>
      </c>
      <c r="T66" s="2693">
        <f t="shared" si="41"/>
        <v>0</v>
      </c>
      <c r="U66" s="2062"/>
      <c r="V66" s="2027"/>
      <c r="W66" s="2059"/>
      <c r="X66" s="2028">
        <f t="shared" si="49"/>
        <v>0</v>
      </c>
      <c r="Y66" s="2693" t="e">
        <f t="shared" si="42"/>
        <v>#DIV/0!</v>
      </c>
      <c r="Z66" s="2062"/>
      <c r="AA66" s="2027"/>
      <c r="AB66" s="2059"/>
      <c r="AC66" s="2028">
        <f t="shared" si="50"/>
        <v>0</v>
      </c>
      <c r="AD66" s="2693" t="e">
        <f t="shared" si="43"/>
        <v>#DIV/0!</v>
      </c>
      <c r="AE66" s="2062"/>
      <c r="AF66" s="2059">
        <f t="shared" si="51"/>
        <v>0</v>
      </c>
      <c r="AG66" s="2059">
        <f t="shared" si="51"/>
        <v>0</v>
      </c>
      <c r="AH66" s="2028">
        <f t="shared" si="52"/>
        <v>0</v>
      </c>
      <c r="AI66" s="2693">
        <f t="shared" si="44"/>
        <v>0</v>
      </c>
      <c r="AJ66" s="2694"/>
      <c r="AL66" s="919"/>
      <c r="AM66" s="919"/>
    </row>
    <row r="67" spans="1:39" s="1411" customFormat="1" ht="24.6" customHeight="1" outlineLevel="2" x14ac:dyDescent="0.25">
      <c r="A67" s="1586"/>
      <c r="B67" s="2711" t="s">
        <v>3</v>
      </c>
      <c r="C67" s="2752"/>
      <c r="D67" s="2750"/>
      <c r="E67" s="2801">
        <f t="shared" si="45"/>
        <v>0</v>
      </c>
      <c r="F67" s="2693">
        <f t="shared" si="53"/>
        <v>0</v>
      </c>
      <c r="G67" s="2067"/>
      <c r="H67" s="2067"/>
      <c r="I67" s="2028">
        <f t="shared" si="46"/>
        <v>0</v>
      </c>
      <c r="J67" s="2693">
        <f t="shared" si="39"/>
        <v>0</v>
      </c>
      <c r="K67" s="2062"/>
      <c r="L67" s="2027"/>
      <c r="M67" s="2061"/>
      <c r="N67" s="2028">
        <f t="shared" si="47"/>
        <v>0</v>
      </c>
      <c r="O67" s="2693">
        <f t="shared" si="40"/>
        <v>0</v>
      </c>
      <c r="P67" s="2062"/>
      <c r="Q67" s="2027"/>
      <c r="R67" s="2027"/>
      <c r="S67" s="2028">
        <f t="shared" si="54"/>
        <v>0</v>
      </c>
      <c r="T67" s="2693">
        <f t="shared" si="41"/>
        <v>0</v>
      </c>
      <c r="U67" s="2062"/>
      <c r="V67" s="2027"/>
      <c r="W67" s="2027"/>
      <c r="X67" s="2028">
        <f t="shared" si="49"/>
        <v>0</v>
      </c>
      <c r="Y67" s="2693" t="e">
        <f t="shared" si="42"/>
        <v>#DIV/0!</v>
      </c>
      <c r="Z67" s="2062"/>
      <c r="AA67" s="2027"/>
      <c r="AB67" s="2027"/>
      <c r="AC67" s="2028">
        <f t="shared" si="50"/>
        <v>0</v>
      </c>
      <c r="AD67" s="2693" t="e">
        <f t="shared" si="43"/>
        <v>#DIV/0!</v>
      </c>
      <c r="AE67" s="2062"/>
      <c r="AF67" s="2059">
        <f t="shared" si="51"/>
        <v>0</v>
      </c>
      <c r="AG67" s="2059">
        <f t="shared" si="51"/>
        <v>0</v>
      </c>
      <c r="AH67" s="2028">
        <f t="shared" si="52"/>
        <v>0</v>
      </c>
      <c r="AI67" s="2693">
        <f t="shared" si="44"/>
        <v>0</v>
      </c>
      <c r="AJ67" s="2694"/>
      <c r="AL67" s="919"/>
      <c r="AM67" s="919"/>
    </row>
    <row r="68" spans="1:39" s="1411" customFormat="1" ht="24.6" customHeight="1" outlineLevel="2" x14ac:dyDescent="0.25">
      <c r="A68" s="1586"/>
      <c r="B68" s="2711" t="s">
        <v>5</v>
      </c>
      <c r="C68" s="2752"/>
      <c r="D68" s="2750">
        <v>2000.0000000000002</v>
      </c>
      <c r="E68" s="2801">
        <f t="shared" si="45"/>
        <v>2000.0000000000002</v>
      </c>
      <c r="F68" s="2693">
        <f t="shared" si="53"/>
        <v>1.6373929041075736E-3</v>
      </c>
      <c r="G68" s="2067"/>
      <c r="H68" s="2059"/>
      <c r="I68" s="2028">
        <f t="shared" si="46"/>
        <v>0</v>
      </c>
      <c r="J68" s="2693">
        <f t="shared" si="39"/>
        <v>0</v>
      </c>
      <c r="K68" s="2062"/>
      <c r="L68" s="2027"/>
      <c r="M68" s="2061"/>
      <c r="N68" s="2028">
        <f t="shared" si="47"/>
        <v>0</v>
      </c>
      <c r="O68" s="2693">
        <f t="shared" si="40"/>
        <v>0</v>
      </c>
      <c r="P68" s="2062"/>
      <c r="Q68" s="2027"/>
      <c r="R68" s="2059"/>
      <c r="S68" s="2028">
        <f t="shared" si="54"/>
        <v>0</v>
      </c>
      <c r="T68" s="2693">
        <f t="shared" si="41"/>
        <v>0</v>
      </c>
      <c r="U68" s="2062"/>
      <c r="V68" s="2027"/>
      <c r="W68" s="2059"/>
      <c r="X68" s="2028">
        <f t="shared" si="49"/>
        <v>0</v>
      </c>
      <c r="Y68" s="2693" t="e">
        <f t="shared" si="42"/>
        <v>#DIV/0!</v>
      </c>
      <c r="Z68" s="2062"/>
      <c r="AA68" s="2027"/>
      <c r="AB68" s="2059"/>
      <c r="AC68" s="2028">
        <f t="shared" si="50"/>
        <v>0</v>
      </c>
      <c r="AD68" s="2693" t="e">
        <f t="shared" si="43"/>
        <v>#DIV/0!</v>
      </c>
      <c r="AE68" s="2062"/>
      <c r="AF68" s="2059">
        <f t="shared" si="51"/>
        <v>0</v>
      </c>
      <c r="AG68" s="2059">
        <f t="shared" si="51"/>
        <v>0</v>
      </c>
      <c r="AH68" s="2028">
        <f t="shared" si="52"/>
        <v>0</v>
      </c>
      <c r="AI68" s="2693">
        <f t="shared" si="44"/>
        <v>0</v>
      </c>
      <c r="AJ68" s="2694"/>
      <c r="AL68" s="919"/>
      <c r="AM68" s="919"/>
    </row>
    <row r="69" spans="1:39" s="1411" customFormat="1" ht="24.6" customHeight="1" outlineLevel="2" x14ac:dyDescent="0.25">
      <c r="A69" s="1586"/>
      <c r="B69" s="2711" t="s">
        <v>42</v>
      </c>
      <c r="C69" s="2752"/>
      <c r="D69" s="2750"/>
      <c r="E69" s="2801">
        <f t="shared" si="45"/>
        <v>0</v>
      </c>
      <c r="F69" s="2693">
        <f t="shared" si="53"/>
        <v>0</v>
      </c>
      <c r="G69" s="2067"/>
      <c r="H69" s="2059"/>
      <c r="I69" s="2028">
        <f t="shared" si="46"/>
        <v>0</v>
      </c>
      <c r="J69" s="2693">
        <f t="shared" si="39"/>
        <v>0</v>
      </c>
      <c r="K69" s="2062"/>
      <c r="L69" s="2027"/>
      <c r="M69" s="2061"/>
      <c r="N69" s="2028">
        <f t="shared" si="47"/>
        <v>0</v>
      </c>
      <c r="O69" s="2693">
        <f t="shared" si="40"/>
        <v>0</v>
      </c>
      <c r="P69" s="2062"/>
      <c r="Q69" s="2027"/>
      <c r="R69" s="2059"/>
      <c r="S69" s="2028">
        <f t="shared" si="54"/>
        <v>0</v>
      </c>
      <c r="T69" s="2693">
        <f t="shared" si="41"/>
        <v>0</v>
      </c>
      <c r="U69" s="2754"/>
      <c r="V69" s="2027"/>
      <c r="W69" s="2059"/>
      <c r="X69" s="2028">
        <f t="shared" si="49"/>
        <v>0</v>
      </c>
      <c r="Y69" s="2693" t="e">
        <f t="shared" si="42"/>
        <v>#DIV/0!</v>
      </c>
      <c r="Z69" s="2754"/>
      <c r="AA69" s="2027"/>
      <c r="AB69" s="2059"/>
      <c r="AC69" s="2028">
        <f t="shared" si="50"/>
        <v>0</v>
      </c>
      <c r="AD69" s="2693" t="e">
        <f t="shared" si="43"/>
        <v>#DIV/0!</v>
      </c>
      <c r="AE69" s="2754"/>
      <c r="AF69" s="2059">
        <f t="shared" si="51"/>
        <v>0</v>
      </c>
      <c r="AG69" s="2059">
        <f t="shared" si="51"/>
        <v>0</v>
      </c>
      <c r="AH69" s="2028">
        <f t="shared" si="52"/>
        <v>0</v>
      </c>
      <c r="AI69" s="2693">
        <f t="shared" si="44"/>
        <v>0</v>
      </c>
      <c r="AJ69" s="2694"/>
      <c r="AL69" s="919"/>
      <c r="AM69" s="919"/>
    </row>
    <row r="70" spans="1:39" s="1411" customFormat="1" ht="24.6" customHeight="1" outlineLevel="2" x14ac:dyDescent="0.25">
      <c r="A70" s="1586"/>
      <c r="B70" s="2711" t="s">
        <v>6</v>
      </c>
      <c r="C70" s="2752"/>
      <c r="D70" s="2750"/>
      <c r="E70" s="2801">
        <f t="shared" si="45"/>
        <v>0</v>
      </c>
      <c r="F70" s="2693">
        <f t="shared" si="53"/>
        <v>0</v>
      </c>
      <c r="G70" s="2067"/>
      <c r="H70" s="2067"/>
      <c r="I70" s="2028">
        <f t="shared" si="46"/>
        <v>0</v>
      </c>
      <c r="J70" s="2693">
        <f t="shared" si="39"/>
        <v>0</v>
      </c>
      <c r="K70" s="2062"/>
      <c r="L70" s="2027"/>
      <c r="M70" s="2061"/>
      <c r="N70" s="2028">
        <f t="shared" si="47"/>
        <v>0</v>
      </c>
      <c r="O70" s="2693">
        <f t="shared" si="40"/>
        <v>0</v>
      </c>
      <c r="P70" s="2062"/>
      <c r="Q70" s="2027"/>
      <c r="R70" s="2067"/>
      <c r="S70" s="2028">
        <f t="shared" si="54"/>
        <v>0</v>
      </c>
      <c r="T70" s="2693">
        <f t="shared" si="41"/>
        <v>0</v>
      </c>
      <c r="U70" s="2062"/>
      <c r="V70" s="2027"/>
      <c r="W70" s="2067"/>
      <c r="X70" s="2028">
        <f t="shared" si="49"/>
        <v>0</v>
      </c>
      <c r="Y70" s="2693" t="e">
        <f t="shared" si="42"/>
        <v>#DIV/0!</v>
      </c>
      <c r="Z70" s="2062"/>
      <c r="AA70" s="2027"/>
      <c r="AB70" s="2067"/>
      <c r="AC70" s="2028">
        <f t="shared" si="50"/>
        <v>0</v>
      </c>
      <c r="AD70" s="2693" t="e">
        <f t="shared" si="43"/>
        <v>#DIV/0!</v>
      </c>
      <c r="AE70" s="2062"/>
      <c r="AF70" s="2059">
        <f t="shared" si="51"/>
        <v>0</v>
      </c>
      <c r="AG70" s="2059">
        <f t="shared" si="51"/>
        <v>0</v>
      </c>
      <c r="AH70" s="2028">
        <f t="shared" si="52"/>
        <v>0</v>
      </c>
      <c r="AI70" s="2693">
        <f>AH70/$AH$89</f>
        <v>0</v>
      </c>
      <c r="AJ70" s="2694"/>
      <c r="AL70" s="919"/>
      <c r="AM70" s="919"/>
    </row>
    <row r="71" spans="1:39" s="1411" customFormat="1" ht="24.6" customHeight="1" outlineLevel="2" x14ac:dyDescent="0.25">
      <c r="A71" s="1586"/>
      <c r="B71" s="2711" t="s">
        <v>234</v>
      </c>
      <c r="C71" s="2752"/>
      <c r="D71" s="2750"/>
      <c r="E71" s="2801">
        <f t="shared" si="45"/>
        <v>0</v>
      </c>
      <c r="F71" s="2755">
        <f t="shared" si="53"/>
        <v>0</v>
      </c>
      <c r="G71" s="2067"/>
      <c r="H71" s="2059"/>
      <c r="I71" s="2028">
        <f t="shared" si="46"/>
        <v>0</v>
      </c>
      <c r="J71" s="2693">
        <f t="shared" si="39"/>
        <v>0</v>
      </c>
      <c r="K71" s="2062"/>
      <c r="L71" s="2027"/>
      <c r="M71" s="2061"/>
      <c r="N71" s="2028">
        <f t="shared" si="47"/>
        <v>0</v>
      </c>
      <c r="O71" s="2693">
        <f t="shared" si="40"/>
        <v>0</v>
      </c>
      <c r="P71" s="2062"/>
      <c r="Q71" s="2067"/>
      <c r="R71" s="2059"/>
      <c r="S71" s="2028">
        <f t="shared" si="54"/>
        <v>0</v>
      </c>
      <c r="T71" s="2693">
        <f t="shared" si="41"/>
        <v>0</v>
      </c>
      <c r="U71" s="2062"/>
      <c r="V71" s="2067"/>
      <c r="W71" s="2059"/>
      <c r="X71" s="2028">
        <f t="shared" si="49"/>
        <v>0</v>
      </c>
      <c r="Y71" s="2693" t="e">
        <f t="shared" si="42"/>
        <v>#DIV/0!</v>
      </c>
      <c r="Z71" s="2062"/>
      <c r="AA71" s="2067"/>
      <c r="AB71" s="2059"/>
      <c r="AC71" s="2028">
        <f t="shared" si="50"/>
        <v>0</v>
      </c>
      <c r="AD71" s="2693" t="e">
        <f t="shared" si="43"/>
        <v>#DIV/0!</v>
      </c>
      <c r="AE71" s="2062"/>
      <c r="AF71" s="2059">
        <f t="shared" si="51"/>
        <v>0</v>
      </c>
      <c r="AG71" s="2059">
        <f t="shared" si="51"/>
        <v>0</v>
      </c>
      <c r="AH71" s="2028">
        <f t="shared" si="52"/>
        <v>0</v>
      </c>
      <c r="AI71" s="2693">
        <f t="shared" si="44"/>
        <v>0</v>
      </c>
      <c r="AJ71" s="2694"/>
      <c r="AL71" s="919"/>
      <c r="AM71" s="919"/>
    </row>
    <row r="72" spans="1:39" s="1411" customFormat="1" ht="24.6" customHeight="1" outlineLevel="2" thickBot="1" x14ac:dyDescent="0.3">
      <c r="A72" s="1586"/>
      <c r="B72" s="2756"/>
      <c r="C72" s="2757"/>
      <c r="D72" s="2758"/>
      <c r="E72" s="2759"/>
      <c r="F72" s="2755">
        <f t="shared" si="53"/>
        <v>0</v>
      </c>
      <c r="G72" s="2045"/>
      <c r="H72" s="2043"/>
      <c r="I72" s="2046"/>
      <c r="J72" s="2755"/>
      <c r="K72" s="2760"/>
      <c r="L72" s="2045"/>
      <c r="M72" s="2043"/>
      <c r="N72" s="2046"/>
      <c r="O72" s="2755"/>
      <c r="P72" s="2760"/>
      <c r="Q72" s="2045"/>
      <c r="R72" s="2043"/>
      <c r="S72" s="2046"/>
      <c r="T72" s="2755"/>
      <c r="U72" s="2760"/>
      <c r="V72" s="2045"/>
      <c r="W72" s="2043"/>
      <c r="X72" s="2046"/>
      <c r="Y72" s="2755" t="e">
        <f>X72/#REF!</f>
        <v>#REF!</v>
      </c>
      <c r="Z72" s="2760"/>
      <c r="AA72" s="2045"/>
      <c r="AB72" s="2043"/>
      <c r="AC72" s="2046"/>
      <c r="AD72" s="2755" t="e">
        <f>AC72/#REF!</f>
        <v>#REF!</v>
      </c>
      <c r="AE72" s="2760"/>
      <c r="AF72" s="2059"/>
      <c r="AG72" s="2059"/>
      <c r="AH72" s="2046"/>
      <c r="AI72" s="2755">
        <f>AH72/$AH$89</f>
        <v>0</v>
      </c>
      <c r="AJ72" s="2761"/>
      <c r="AL72" s="919"/>
      <c r="AM72" s="919"/>
    </row>
    <row r="73" spans="1:39" s="1411" customFormat="1" ht="14.4" customHeight="1" outlineLevel="1" thickBot="1" x14ac:dyDescent="0.3">
      <c r="A73" s="1586"/>
      <c r="B73" s="996" t="s">
        <v>4</v>
      </c>
      <c r="C73" s="1599">
        <f>C74</f>
        <v>47893.832297060631</v>
      </c>
      <c r="D73" s="843">
        <f>D74</f>
        <v>0</v>
      </c>
      <c r="E73" s="1599">
        <f>E74</f>
        <v>47893.832297060631</v>
      </c>
      <c r="F73" s="838">
        <f>E73/$E$89</f>
        <v>3.9210510576862603E-2</v>
      </c>
      <c r="G73" s="1599">
        <f>G74</f>
        <v>0</v>
      </c>
      <c r="H73" s="1599">
        <f>H74</f>
        <v>0</v>
      </c>
      <c r="I73" s="1703">
        <f>I74</f>
        <v>0</v>
      </c>
      <c r="J73" s="1704"/>
      <c r="K73" s="1747"/>
      <c r="L73" s="1599">
        <f>L74</f>
        <v>0</v>
      </c>
      <c r="M73" s="1599">
        <f>M74</f>
        <v>0</v>
      </c>
      <c r="N73" s="1703">
        <f>N74</f>
        <v>0</v>
      </c>
      <c r="O73" s="1704"/>
      <c r="P73" s="1747"/>
      <c r="Q73" s="1599">
        <f>Q74</f>
        <v>0</v>
      </c>
      <c r="R73" s="1599">
        <f>R74</f>
        <v>0</v>
      </c>
      <c r="S73" s="1703">
        <f>S74</f>
        <v>0</v>
      </c>
      <c r="T73" s="1704">
        <f t="shared" ref="T73:T74" si="55">S73/S$89</f>
        <v>0</v>
      </c>
      <c r="U73" s="1747"/>
      <c r="V73" s="1599">
        <f>V74</f>
        <v>0</v>
      </c>
      <c r="W73" s="1599">
        <f>W74</f>
        <v>0</v>
      </c>
      <c r="X73" s="1703">
        <f>X74</f>
        <v>0</v>
      </c>
      <c r="Y73" s="1704"/>
      <c r="Z73" s="1747"/>
      <c r="AA73" s="1599">
        <f>AA74</f>
        <v>0</v>
      </c>
      <c r="AB73" s="1599">
        <f>AB74</f>
        <v>0</v>
      </c>
      <c r="AC73" s="1703">
        <f>AC74</f>
        <v>0</v>
      </c>
      <c r="AD73" s="1704" t="e">
        <f>AC73/$AC$89</f>
        <v>#DIV/0!</v>
      </c>
      <c r="AE73" s="1747"/>
      <c r="AF73" s="1599">
        <f>AF74</f>
        <v>0</v>
      </c>
      <c r="AG73" s="1704">
        <f>AG74</f>
        <v>0</v>
      </c>
      <c r="AH73" s="1703">
        <f>AH74</f>
        <v>0</v>
      </c>
      <c r="AI73" s="1704"/>
      <c r="AJ73" s="1704"/>
      <c r="AL73" s="919"/>
      <c r="AM73" s="919"/>
    </row>
    <row r="74" spans="1:39" s="1411" customFormat="1" ht="14.4" customHeight="1" outlineLevel="1" thickBot="1" x14ac:dyDescent="0.3">
      <c r="A74" s="1428"/>
      <c r="B74" s="995" t="s">
        <v>64</v>
      </c>
      <c r="C74" s="304">
        <v>47893.832297060631</v>
      </c>
      <c r="D74" s="305"/>
      <c r="E74" s="306">
        <f>C74+D74</f>
        <v>47893.832297060631</v>
      </c>
      <c r="F74" s="307"/>
      <c r="G74" s="2044"/>
      <c r="H74" s="2041"/>
      <c r="I74" s="1643">
        <f>G74+H74*1</f>
        <v>0</v>
      </c>
      <c r="J74" s="1679">
        <f>I74/$I$89</f>
        <v>0</v>
      </c>
      <c r="K74" s="1690"/>
      <c r="L74" s="2044"/>
      <c r="M74" s="2041"/>
      <c r="N74" s="1643">
        <f>L74+M74*1</f>
        <v>0</v>
      </c>
      <c r="O74" s="2693">
        <f>N74/$N$89</f>
        <v>0</v>
      </c>
      <c r="P74" s="1690"/>
      <c r="Q74" s="2044"/>
      <c r="R74" s="2041"/>
      <c r="S74" s="1643">
        <f>Q74+R74*1</f>
        <v>0</v>
      </c>
      <c r="T74" s="1679">
        <f t="shared" si="55"/>
        <v>0</v>
      </c>
      <c r="U74" s="1690"/>
      <c r="V74" s="2044"/>
      <c r="W74" s="2041"/>
      <c r="X74" s="1643">
        <f>V74+W74*1</f>
        <v>0</v>
      </c>
      <c r="Y74" s="1679" t="e">
        <f>X74/$X$89</f>
        <v>#DIV/0!</v>
      </c>
      <c r="Z74" s="1690"/>
      <c r="AA74" s="2044"/>
      <c r="AB74" s="2041"/>
      <c r="AC74" s="1643">
        <f>AA74+AB74*1</f>
        <v>0</v>
      </c>
      <c r="AD74" s="1679" t="e">
        <f>AC74/$AC$89</f>
        <v>#DIV/0!</v>
      </c>
      <c r="AE74" s="1690"/>
      <c r="AF74" s="2059">
        <f t="shared" ref="AF74:AG74" si="56">G74+L74+Q74</f>
        <v>0</v>
      </c>
      <c r="AG74" s="2059">
        <f t="shared" si="56"/>
        <v>0</v>
      </c>
      <c r="AH74" s="1643">
        <f>AF74+AG74*1</f>
        <v>0</v>
      </c>
      <c r="AI74" s="1679">
        <f>AH74/$AH$89</f>
        <v>0</v>
      </c>
      <c r="AJ74" s="1663"/>
      <c r="AL74" s="919"/>
      <c r="AM74" s="919"/>
    </row>
    <row r="75" spans="1:39" s="1411" customFormat="1" ht="14.4" customHeight="1" thickBot="1" x14ac:dyDescent="0.3">
      <c r="A75" s="1414"/>
      <c r="B75" s="981" t="s">
        <v>48</v>
      </c>
      <c r="C75" s="1974">
        <f>C38-C41-C50-C54</f>
        <v>985860.36244660779</v>
      </c>
      <c r="D75" s="1974">
        <f>D38-D41-D50-D54</f>
        <v>-489529.9</v>
      </c>
      <c r="E75" s="1523">
        <f>E38-E41-E50-E54</f>
        <v>496330.46244660765</v>
      </c>
      <c r="F75" s="1551"/>
      <c r="G75" s="1465">
        <f>G38-G41-G50-G54</f>
        <v>-15808</v>
      </c>
      <c r="H75" s="1465">
        <f>H38-H41-H50-H54</f>
        <v>-15700</v>
      </c>
      <c r="I75" s="1523">
        <f>I38-I41-I50-I54</f>
        <v>-31508</v>
      </c>
      <c r="J75" s="1969"/>
      <c r="K75" s="1675"/>
      <c r="L75" s="1465">
        <f>L38-L41-L50-L54</f>
        <v>1122322.612</v>
      </c>
      <c r="M75" s="1465">
        <f>M38-M41-M50-M54</f>
        <v>-254111.6</v>
      </c>
      <c r="N75" s="1523">
        <f>N38-N41-N50-N54</f>
        <v>868211.01199999999</v>
      </c>
      <c r="O75" s="1969"/>
      <c r="P75" s="1675"/>
      <c r="Q75" s="1465">
        <f>Q38-Q41-Q50-Q54</f>
        <v>-5524.7199999999993</v>
      </c>
      <c r="R75" s="1465">
        <f>R38-R41-R50-R54</f>
        <v>0</v>
      </c>
      <c r="S75" s="1523">
        <f>S38-S41-S50-S54</f>
        <v>-5524.7199999999993</v>
      </c>
      <c r="T75" s="1969"/>
      <c r="U75" s="1675"/>
      <c r="V75" s="1465">
        <f>V38-V41-V50-V54</f>
        <v>0</v>
      </c>
      <c r="W75" s="1465">
        <f>W38-W41-W50-W54</f>
        <v>0</v>
      </c>
      <c r="X75" s="1523">
        <f>X38-X41-X50-X54</f>
        <v>0</v>
      </c>
      <c r="Y75" s="1969"/>
      <c r="Z75" s="1675"/>
      <c r="AA75" s="1465">
        <f>AA38-AA41-AA50-AA54</f>
        <v>0</v>
      </c>
      <c r="AB75" s="1465">
        <f>AB38-AB41-AB50-AB54</f>
        <v>0</v>
      </c>
      <c r="AC75" s="1523">
        <f>AC38-AC41-AC50-AC54</f>
        <v>0</v>
      </c>
      <c r="AD75" s="1969"/>
      <c r="AE75" s="1675"/>
      <c r="AF75" s="1465">
        <f>AF38-AF41-AF50-AF54</f>
        <v>1100989.892</v>
      </c>
      <c r="AG75" s="1465">
        <f>AG38-AG41-AG50-AG54</f>
        <v>-269811.59999999998</v>
      </c>
      <c r="AH75" s="1523">
        <f>AH38-AH41-AH50-AH54</f>
        <v>831178.29200000002</v>
      </c>
      <c r="AI75" s="1969"/>
      <c r="AJ75" s="1969"/>
      <c r="AL75" s="919"/>
      <c r="AM75" s="919"/>
    </row>
    <row r="76" spans="1:39" s="1411" customFormat="1" ht="14.4" customHeight="1" x14ac:dyDescent="0.25">
      <c r="A76" s="1581"/>
      <c r="B76" s="982" t="s">
        <v>49</v>
      </c>
      <c r="C76" s="1540">
        <f>C75/C5</f>
        <v>0.61752859303375007</v>
      </c>
      <c r="D76" s="1540" t="e">
        <f>D75/D5</f>
        <v>#DIV/0!</v>
      </c>
      <c r="E76" s="1541">
        <f>E75/E5</f>
        <v>0.31089418322267065</v>
      </c>
      <c r="F76" s="1546"/>
      <c r="G76" s="2019" t="e">
        <f>G75/G5</f>
        <v>#DIV/0!</v>
      </c>
      <c r="H76" s="2019" t="e">
        <f>H75/H5</f>
        <v>#DIV/0!</v>
      </c>
      <c r="I76" s="2020" t="e">
        <f>I75/I5</f>
        <v>#DIV/0!</v>
      </c>
      <c r="J76" s="2020"/>
      <c r="K76" s="1676"/>
      <c r="L76" s="2019">
        <f>L75/L5</f>
        <v>0.70300923293792039</v>
      </c>
      <c r="M76" s="2019" t="e">
        <f>M75/M5</f>
        <v>#DIV/0!</v>
      </c>
      <c r="N76" s="2020">
        <f>N75/N5</f>
        <v>0.54383681754990387</v>
      </c>
      <c r="O76" s="2020"/>
      <c r="P76" s="1676"/>
      <c r="Q76" s="2019" t="e">
        <f>Q75/Q5</f>
        <v>#DIV/0!</v>
      </c>
      <c r="R76" s="2019" t="e">
        <f>R75/R5</f>
        <v>#DIV/0!</v>
      </c>
      <c r="S76" s="2020" t="e">
        <f>S75/S5</f>
        <v>#DIV/0!</v>
      </c>
      <c r="T76" s="2020"/>
      <c r="U76" s="1676"/>
      <c r="V76" s="2019" t="e">
        <f>V75/V5</f>
        <v>#DIV/0!</v>
      </c>
      <c r="W76" s="2019" t="e">
        <f>W75/W5</f>
        <v>#DIV/0!</v>
      </c>
      <c r="X76" s="2020" t="e">
        <f>X75/X5</f>
        <v>#DIV/0!</v>
      </c>
      <c r="Y76" s="2020"/>
      <c r="Z76" s="1676"/>
      <c r="AA76" s="2019" t="e">
        <f>AA75/AA5</f>
        <v>#DIV/0!</v>
      </c>
      <c r="AB76" s="2019" t="e">
        <f>AB75/AB5</f>
        <v>#DIV/0!</v>
      </c>
      <c r="AC76" s="2020" t="e">
        <f>AC75/AC5</f>
        <v>#DIV/0!</v>
      </c>
      <c r="AD76" s="2020"/>
      <c r="AE76" s="1676"/>
      <c r="AF76" s="2019">
        <f>AF75/AF5</f>
        <v>0.68964667660756696</v>
      </c>
      <c r="AG76" s="2019" t="e">
        <f>AG75/AG5</f>
        <v>#DIV/0!</v>
      </c>
      <c r="AH76" s="2020">
        <f>AH75/AH5</f>
        <v>0.52063997218437119</v>
      </c>
      <c r="AI76" s="2020"/>
      <c r="AJ76" s="2020"/>
      <c r="AL76" s="919"/>
      <c r="AM76" s="919"/>
    </row>
    <row r="77" spans="1:39" s="1411" customFormat="1" ht="14.4" customHeight="1" outlineLevel="1" thickBot="1" x14ac:dyDescent="0.3">
      <c r="A77" s="1581"/>
      <c r="B77" s="2762" t="s">
        <v>9</v>
      </c>
      <c r="C77" s="2763">
        <f>C78-C79</f>
        <v>-73429.485000000001</v>
      </c>
      <c r="D77" s="2763">
        <f>D78-D79</f>
        <v>0</v>
      </c>
      <c r="E77" s="2764">
        <f>E78-E79</f>
        <v>-73429.485000000001</v>
      </c>
      <c r="F77" s="2765"/>
      <c r="G77" s="2763">
        <f>G78-G79</f>
        <v>0</v>
      </c>
      <c r="H77" s="2763">
        <f>H78-H79</f>
        <v>0</v>
      </c>
      <c r="I77" s="2764">
        <f>I78-I79</f>
        <v>-2140.909090909091</v>
      </c>
      <c r="J77" s="2766"/>
      <c r="K77" s="2767"/>
      <c r="L77" s="2763">
        <f>L78-L79</f>
        <v>0</v>
      </c>
      <c r="M77" s="2763">
        <f>M78-M79</f>
        <v>0</v>
      </c>
      <c r="N77" s="2764">
        <f>N78-N79</f>
        <v>-26012.48</v>
      </c>
      <c r="O77" s="2766"/>
      <c r="P77" s="2767"/>
      <c r="Q77" s="2763">
        <f>Q78-Q79</f>
        <v>0</v>
      </c>
      <c r="R77" s="2763">
        <f>R78-R79</f>
        <v>0</v>
      </c>
      <c r="S77" s="2764">
        <f>S78-S79</f>
        <v>0</v>
      </c>
      <c r="T77" s="2766">
        <f t="shared" ref="T77" si="57">S77/S$89</f>
        <v>0</v>
      </c>
      <c r="U77" s="2767"/>
      <c r="V77" s="2763">
        <f>V78-V79</f>
        <v>0</v>
      </c>
      <c r="W77" s="2763">
        <f>W78-W79</f>
        <v>0</v>
      </c>
      <c r="X77" s="2764" t="e">
        <f>X78-X79</f>
        <v>#DIV/0!</v>
      </c>
      <c r="Y77" s="2766"/>
      <c r="Z77" s="2767"/>
      <c r="AA77" s="2763">
        <f>AA78-AA79</f>
        <v>0</v>
      </c>
      <c r="AB77" s="2763">
        <f>AB78-AB79</f>
        <v>0</v>
      </c>
      <c r="AC77" s="2764" t="e">
        <f>AC78-AC79</f>
        <v>#DIV/0!</v>
      </c>
      <c r="AD77" s="2766" t="e">
        <f>AC77/$AC$89</f>
        <v>#DIV/0!</v>
      </c>
      <c r="AE77" s="2767"/>
      <c r="AF77" s="2763">
        <f>AF78-AF79</f>
        <v>0</v>
      </c>
      <c r="AG77" s="2763">
        <f>AG79</f>
        <v>0</v>
      </c>
      <c r="AH77" s="2764">
        <f>AH78-AH79</f>
        <v>-28153.389090909091</v>
      </c>
      <c r="AI77" s="2766"/>
      <c r="AJ77" s="2766"/>
      <c r="AL77" s="919"/>
      <c r="AM77" s="919"/>
    </row>
    <row r="78" spans="1:39" s="1411" customFormat="1" ht="14.4" customHeight="1" outlineLevel="2" x14ac:dyDescent="0.25">
      <c r="A78" s="1420"/>
      <c r="B78" s="1637" t="s">
        <v>43</v>
      </c>
      <c r="C78" s="1525"/>
      <c r="D78" s="1526"/>
      <c r="E78" s="2735">
        <f>C78+D78</f>
        <v>0</v>
      </c>
      <c r="F78" s="1562"/>
      <c r="G78" s="2067"/>
      <c r="H78" s="2059"/>
      <c r="I78" s="1467">
        <f>G78+H78*1.15</f>
        <v>0</v>
      </c>
      <c r="J78" s="2693">
        <f>I78/$I$89</f>
        <v>0</v>
      </c>
      <c r="K78" s="1677"/>
      <c r="L78" s="2067"/>
      <c r="M78" s="2059"/>
      <c r="N78" s="2131">
        <f>L78+M78</f>
        <v>0</v>
      </c>
      <c r="O78" s="2693"/>
      <c r="P78" s="1677"/>
      <c r="Q78" s="2067"/>
      <c r="R78" s="2059"/>
      <c r="S78" s="2131">
        <f>Q78+R78</f>
        <v>0</v>
      </c>
      <c r="T78" s="2693" t="e">
        <f>S78/$AN$89</f>
        <v>#DIV/0!</v>
      </c>
      <c r="U78" s="1677"/>
      <c r="V78" s="2067"/>
      <c r="W78" s="2059"/>
      <c r="X78" s="1467">
        <f>V78+W78*1.15</f>
        <v>0</v>
      </c>
      <c r="Y78" s="2693" t="e">
        <f>X78/#REF!</f>
        <v>#REF!</v>
      </c>
      <c r="Z78" s="1677"/>
      <c r="AA78" s="2067"/>
      <c r="AB78" s="2059"/>
      <c r="AC78" s="1467">
        <f>AA78+AB78*1.15</f>
        <v>0</v>
      </c>
      <c r="AD78" s="2693" t="e">
        <f>AC78/$AC$89</f>
        <v>#DIV/0!</v>
      </c>
      <c r="AE78" s="1677"/>
      <c r="AF78" s="2059">
        <f t="shared" ref="AF78:AG79" si="58">G78+L78+Q78</f>
        <v>0</v>
      </c>
      <c r="AG78" s="2059">
        <f t="shared" si="58"/>
        <v>0</v>
      </c>
      <c r="AH78" s="2028">
        <f>AF78+AG78*1.15</f>
        <v>0</v>
      </c>
      <c r="AI78" s="1467"/>
      <c r="AJ78" s="1467"/>
      <c r="AL78" s="919"/>
      <c r="AM78" s="919"/>
    </row>
    <row r="79" spans="1:39" s="1411" customFormat="1" ht="14.4" customHeight="1" outlineLevel="2" x14ac:dyDescent="0.25">
      <c r="A79" s="1420"/>
      <c r="B79" s="2768" t="s">
        <v>79</v>
      </c>
      <c r="C79" s="2695">
        <v>73429.485000000001</v>
      </c>
      <c r="D79" s="2735"/>
      <c r="E79" s="2735">
        <f>C79+D79</f>
        <v>73429.485000000001</v>
      </c>
      <c r="F79" s="2714">
        <f>E79/$E$89</f>
        <v>6.0116458845636753E-2</v>
      </c>
      <c r="G79" s="2067"/>
      <c r="H79" s="2059">
        <v>0</v>
      </c>
      <c r="I79" s="2131">
        <f>(H8+H41+H50+H54)/(1-'расчет 2022'!E15)*'расчет 2022'!E15</f>
        <v>2140.909090909091</v>
      </c>
      <c r="J79" s="2693">
        <f>I79/$I$89</f>
        <v>6.3624918273724948E-2</v>
      </c>
      <c r="K79" s="2742"/>
      <c r="L79" s="2067"/>
      <c r="M79" s="2059"/>
      <c r="N79" s="2131">
        <f>28153.39-2140.91</f>
        <v>26012.48</v>
      </c>
      <c r="O79" s="2693">
        <f>N79/$N$89</f>
        <v>3.4487579170649166E-2</v>
      </c>
      <c r="P79" s="2742"/>
      <c r="Q79" s="2067"/>
      <c r="R79" s="2059"/>
      <c r="S79" s="2028">
        <f>(R8+R41+R50+R54)/(1-'расчет 2022'!E17)*'расчет 2022'!E17</f>
        <v>0</v>
      </c>
      <c r="T79" s="2693">
        <f t="shared" ref="T79" si="59">S79/S$89</f>
        <v>0</v>
      </c>
      <c r="U79" s="2742"/>
      <c r="V79" s="2067"/>
      <c r="W79" s="2059">
        <v>0</v>
      </c>
      <c r="X79" s="2028" t="e">
        <v>#DIV/0!</v>
      </c>
      <c r="Y79" s="2693" t="e">
        <f>X79/$X$89</f>
        <v>#DIV/0!</v>
      </c>
      <c r="Z79" s="2742"/>
      <c r="AA79" s="2067"/>
      <c r="AB79" s="2059">
        <v>0</v>
      </c>
      <c r="AC79" s="2028" t="e">
        <v>#DIV/0!</v>
      </c>
      <c r="AD79" s="2693" t="e">
        <f>AC79/$AC$89</f>
        <v>#DIV/0!</v>
      </c>
      <c r="AE79" s="2742"/>
      <c r="AF79" s="2059">
        <f t="shared" si="58"/>
        <v>0</v>
      </c>
      <c r="AG79" s="2059">
        <f t="shared" si="58"/>
        <v>0</v>
      </c>
      <c r="AH79" s="2059">
        <f>I79+N79+S79</f>
        <v>28153.389090909091</v>
      </c>
      <c r="AI79" s="2715"/>
      <c r="AJ79" s="2715"/>
      <c r="AL79" s="919"/>
      <c r="AM79" s="919"/>
    </row>
    <row r="80" spans="1:39" ht="14.4" customHeight="1" outlineLevel="2" x14ac:dyDescent="0.25">
      <c r="A80" s="1412"/>
      <c r="B80" s="2769"/>
      <c r="C80" s="2770"/>
      <c r="D80" s="2771"/>
      <c r="E80" s="2772"/>
      <c r="F80" s="2773"/>
      <c r="G80" s="2067"/>
      <c r="H80" s="2059"/>
      <c r="I80" s="2775"/>
      <c r="J80" s="2775"/>
      <c r="K80" s="2774"/>
      <c r="L80" s="2067"/>
      <c r="M80" s="2059"/>
      <c r="N80" s="2775"/>
      <c r="O80" s="2775"/>
      <c r="P80" s="2774"/>
      <c r="Q80" s="2067"/>
      <c r="R80" s="2059"/>
      <c r="S80" s="2775"/>
      <c r="T80" s="2775"/>
      <c r="U80" s="2774"/>
      <c r="V80" s="2067"/>
      <c r="W80" s="2059"/>
      <c r="X80" s="2775"/>
      <c r="Y80" s="2775"/>
      <c r="Z80" s="2774"/>
      <c r="AA80" s="2067"/>
      <c r="AB80" s="2059"/>
      <c r="AC80" s="2775"/>
      <c r="AD80" s="2775"/>
      <c r="AE80" s="2774"/>
      <c r="AF80" s="2059"/>
      <c r="AG80" s="2059"/>
      <c r="AH80" s="2775"/>
      <c r="AI80" s="2775"/>
      <c r="AJ80" s="2775"/>
    </row>
    <row r="81" spans="1:39" s="1411" customFormat="1" ht="14.4" customHeight="1" outlineLevel="1" thickBot="1" x14ac:dyDescent="0.3">
      <c r="A81" s="1434"/>
      <c r="B81" s="2762" t="s">
        <v>12</v>
      </c>
      <c r="C81" s="2763">
        <f>(C75+C78)-C79</f>
        <v>912430.8774466078</v>
      </c>
      <c r="D81" s="2763">
        <f>(D75+D78)-D79</f>
        <v>-489529.9</v>
      </c>
      <c r="E81" s="2764">
        <f>(E75+E78)-E79</f>
        <v>422900.97744660766</v>
      </c>
      <c r="F81" s="2765"/>
      <c r="G81" s="2763">
        <f>(G75+G78)-G79</f>
        <v>-15808</v>
      </c>
      <c r="H81" s="2763">
        <f>(H75+H78)-H79</f>
        <v>-15700</v>
      </c>
      <c r="I81" s="2764">
        <f>(I75+I78)-I79</f>
        <v>-33648.909090909088</v>
      </c>
      <c r="J81" s="2766"/>
      <c r="K81" s="2767"/>
      <c r="L81" s="2763">
        <f>(L75+L78)-L79</f>
        <v>1122322.612</v>
      </c>
      <c r="M81" s="2763">
        <f>(M75+M78)-M79</f>
        <v>-254111.6</v>
      </c>
      <c r="N81" s="2764">
        <f>(N75+N78)-N79</f>
        <v>842198.53200000001</v>
      </c>
      <c r="O81" s="2766"/>
      <c r="P81" s="2767"/>
      <c r="Q81" s="2763">
        <f>(Q75+Q78)-Q79</f>
        <v>-5524.7199999999993</v>
      </c>
      <c r="R81" s="2763">
        <f>(R75+R78)-R79</f>
        <v>0</v>
      </c>
      <c r="S81" s="2764">
        <f>(S75+S78)-S79</f>
        <v>-5524.7199999999993</v>
      </c>
      <c r="T81" s="2766"/>
      <c r="U81" s="2767"/>
      <c r="V81" s="2763">
        <f>(V75+V78)-V79</f>
        <v>0</v>
      </c>
      <c r="W81" s="2763">
        <f>(W75+W78)-W79</f>
        <v>0</v>
      </c>
      <c r="X81" s="2764" t="e">
        <f>(X75+X78)-X79</f>
        <v>#DIV/0!</v>
      </c>
      <c r="Y81" s="2766"/>
      <c r="Z81" s="2767"/>
      <c r="AA81" s="2763">
        <f>(AA75+AA78)-AA79</f>
        <v>0</v>
      </c>
      <c r="AB81" s="2763">
        <f>(AB75+AB78)-AB79</f>
        <v>0</v>
      </c>
      <c r="AC81" s="2764" t="e">
        <f>(AC75+AC78)-AC79</f>
        <v>#DIV/0!</v>
      </c>
      <c r="AD81" s="2766"/>
      <c r="AE81" s="2767"/>
      <c r="AF81" s="2764">
        <f>(AF75+AF78)-AF79</f>
        <v>1100989.892</v>
      </c>
      <c r="AG81" s="2764">
        <f>(AG75+AG78)-AG79</f>
        <v>-269811.59999999998</v>
      </c>
      <c r="AH81" s="2764">
        <f>(AH75+AH78)-AH79</f>
        <v>803024.90290909098</v>
      </c>
      <c r="AI81" s="2766"/>
      <c r="AJ81" s="2766"/>
      <c r="AL81" s="919"/>
      <c r="AM81" s="919"/>
    </row>
    <row r="82" spans="1:39" s="1411" customFormat="1" ht="14.4" customHeight="1" outlineLevel="2" x14ac:dyDescent="0.25">
      <c r="A82" s="1580"/>
      <c r="B82" s="1637" t="s">
        <v>38</v>
      </c>
      <c r="C82" s="1525"/>
      <c r="D82" s="1526"/>
      <c r="E82" s="1530">
        <f>C82+D82</f>
        <v>0</v>
      </c>
      <c r="F82" s="2714">
        <f>E82/$E$89</f>
        <v>0</v>
      </c>
      <c r="G82" s="2067"/>
      <c r="H82" s="2059"/>
      <c r="I82" s="1530">
        <f>G82+H82</f>
        <v>0</v>
      </c>
      <c r="J82" s="1491"/>
      <c r="K82" s="2062"/>
      <c r="L82" s="2067"/>
      <c r="M82" s="2059"/>
      <c r="N82" s="1530">
        <f>L82+M82</f>
        <v>0</v>
      </c>
      <c r="O82" s="1491"/>
      <c r="P82" s="2062"/>
      <c r="Q82" s="2067"/>
      <c r="R82" s="2059"/>
      <c r="S82" s="1530">
        <f>Q82+R82</f>
        <v>0</v>
      </c>
      <c r="T82" s="1491"/>
      <c r="U82" s="2062"/>
      <c r="V82" s="2067"/>
      <c r="W82" s="2059"/>
      <c r="X82" s="1530">
        <f>V82+W82</f>
        <v>0</v>
      </c>
      <c r="Y82" s="1491"/>
      <c r="Z82" s="2062"/>
      <c r="AA82" s="2067"/>
      <c r="AB82" s="2059"/>
      <c r="AC82" s="1530">
        <f>AA82+AB82</f>
        <v>0</v>
      </c>
      <c r="AD82" s="1491"/>
      <c r="AE82" s="2062"/>
      <c r="AF82" s="2059">
        <f t="shared" ref="AF82:AG82" si="60">G82+L82+Q82</f>
        <v>0</v>
      </c>
      <c r="AG82" s="2059">
        <f t="shared" si="60"/>
        <v>0</v>
      </c>
      <c r="AH82" s="1530">
        <f>AF82+AG82</f>
        <v>0</v>
      </c>
      <c r="AI82" s="1491"/>
      <c r="AJ82" s="1491"/>
      <c r="AL82" s="919"/>
      <c r="AM82" s="919"/>
    </row>
    <row r="83" spans="1:39" s="1411" customFormat="1" ht="14.4" customHeight="1" outlineLevel="1" x14ac:dyDescent="0.25">
      <c r="A83" s="1420"/>
      <c r="B83" s="2776" t="s">
        <v>13</v>
      </c>
      <c r="C83" s="2777">
        <f>(C81)-C36</f>
        <v>912430.8774466078</v>
      </c>
      <c r="D83" s="2777">
        <f>(D81)-D36</f>
        <v>-489529.9</v>
      </c>
      <c r="E83" s="2777">
        <f>(E81)-E36</f>
        <v>422900.97744660766</v>
      </c>
      <c r="F83" s="2778"/>
      <c r="G83" s="2777">
        <f>(G81)-G36</f>
        <v>-15808</v>
      </c>
      <c r="H83" s="2777">
        <f>(H81)-H36</f>
        <v>-15700</v>
      </c>
      <c r="I83" s="2779">
        <f>(I81)-I36</f>
        <v>-33648.909090909088</v>
      </c>
      <c r="J83" s="2780"/>
      <c r="K83" s="2781"/>
      <c r="L83" s="2777">
        <f>(L81)-L36</f>
        <v>1122322.612</v>
      </c>
      <c r="M83" s="2777">
        <f>(M81)-M36</f>
        <v>-254111.6</v>
      </c>
      <c r="N83" s="2779">
        <f>(N81)-N36</f>
        <v>842198.53200000001</v>
      </c>
      <c r="O83" s="2780"/>
      <c r="P83" s="2781"/>
      <c r="Q83" s="2777">
        <f>(Q81+Q7)-Q36</f>
        <v>-5524.7199999999993</v>
      </c>
      <c r="R83" s="2777">
        <f>(R81+R7)-R36</f>
        <v>0</v>
      </c>
      <c r="S83" s="2779">
        <f>(S81+S7)-S36</f>
        <v>-5524.7199999999993</v>
      </c>
      <c r="T83" s="2780"/>
      <c r="U83" s="2781"/>
      <c r="V83" s="2777">
        <f>(V81+V7)-V36</f>
        <v>0</v>
      </c>
      <c r="W83" s="2777">
        <f>(W81+W7)-W36</f>
        <v>0</v>
      </c>
      <c r="X83" s="2779" t="e">
        <f>(X81+X7)-X36</f>
        <v>#DIV/0!</v>
      </c>
      <c r="Y83" s="2780"/>
      <c r="Z83" s="2781"/>
      <c r="AA83" s="2777">
        <f>(AA81+AA7)-AA36</f>
        <v>0</v>
      </c>
      <c r="AB83" s="2777">
        <f>(AB81+AB7)-AB36</f>
        <v>0</v>
      </c>
      <c r="AC83" s="2779" t="e">
        <f>(AC81+AC7)-AC36</f>
        <v>#DIV/0!</v>
      </c>
      <c r="AD83" s="2780"/>
      <c r="AE83" s="2781"/>
      <c r="AF83" s="2777">
        <f>(AF81)-AF36</f>
        <v>1100989.892</v>
      </c>
      <c r="AG83" s="2777">
        <f>(AG81)-AG36</f>
        <v>-269811.59999999998</v>
      </c>
      <c r="AH83" s="2779">
        <f>(AH81)-AH36</f>
        <v>803024.90290909098</v>
      </c>
      <c r="AI83" s="2780"/>
      <c r="AJ83" s="2780"/>
      <c r="AL83" s="919"/>
      <c r="AM83" s="919"/>
    </row>
    <row r="84" spans="1:39" s="1411" customFormat="1" ht="14.4" customHeight="1" outlineLevel="1" thickBot="1" x14ac:dyDescent="0.3">
      <c r="A84" s="1420"/>
      <c r="B84" s="2782" t="s">
        <v>14</v>
      </c>
      <c r="C84" s="2783">
        <f>C83-C73-C82</f>
        <v>864537.04514954716</v>
      </c>
      <c r="D84" s="2783">
        <f>D83-D73-D82</f>
        <v>-489529.9</v>
      </c>
      <c r="E84" s="2783">
        <f>E83-E73-E82</f>
        <v>375007.14514954702</v>
      </c>
      <c r="F84" s="2784"/>
      <c r="G84" s="2785">
        <f>G83-G73-G82</f>
        <v>-15808</v>
      </c>
      <c r="H84" s="2785">
        <f>H83-H73-H82</f>
        <v>-15700</v>
      </c>
      <c r="I84" s="2785">
        <f>I83-I73-I82</f>
        <v>-33648.909090909088</v>
      </c>
      <c r="J84" s="2786"/>
      <c r="K84" s="2787"/>
      <c r="L84" s="2785">
        <f>L83-L73-L82</f>
        <v>1122322.612</v>
      </c>
      <c r="M84" s="2785">
        <f>M83-M73-M82</f>
        <v>-254111.6</v>
      </c>
      <c r="N84" s="2785">
        <f>N83-N73-N82</f>
        <v>842198.53200000001</v>
      </c>
      <c r="O84" s="2786"/>
      <c r="P84" s="2787"/>
      <c r="Q84" s="2785">
        <f>Q83-Q73-Q82</f>
        <v>-5524.7199999999993</v>
      </c>
      <c r="R84" s="2785">
        <f>R83-R73-R82</f>
        <v>0</v>
      </c>
      <c r="S84" s="2785">
        <f>S83-S73-S82</f>
        <v>-5524.7199999999993</v>
      </c>
      <c r="T84" s="2786"/>
      <c r="U84" s="2787"/>
      <c r="V84" s="2785">
        <f>V83-V73-V82</f>
        <v>0</v>
      </c>
      <c r="W84" s="2785">
        <f>W83-W73-W82</f>
        <v>0</v>
      </c>
      <c r="X84" s="2785" t="e">
        <f>X83-X73-X82</f>
        <v>#DIV/0!</v>
      </c>
      <c r="Y84" s="2786"/>
      <c r="Z84" s="2787"/>
      <c r="AA84" s="2785">
        <f>AA83-AA73-AA82</f>
        <v>0</v>
      </c>
      <c r="AB84" s="2785">
        <f>AB83-AB73-AB82</f>
        <v>0</v>
      </c>
      <c r="AC84" s="2785" t="e">
        <f>AC83-AC73-AC82</f>
        <v>#DIV/0!</v>
      </c>
      <c r="AD84" s="2786"/>
      <c r="AE84" s="2787"/>
      <c r="AF84" s="2785">
        <f>AF83-AF73-AF82</f>
        <v>1100989.892</v>
      </c>
      <c r="AG84" s="2785">
        <f>AG83-AG73-AG82</f>
        <v>-269811.59999999998</v>
      </c>
      <c r="AH84" s="2785">
        <f>AH83-AH73-AH82</f>
        <v>803024.90290909098</v>
      </c>
      <c r="AI84" s="2786"/>
      <c r="AJ84" s="2786"/>
      <c r="AL84" s="919"/>
      <c r="AM84" s="919"/>
    </row>
    <row r="85" spans="1:39" s="1411" customFormat="1" ht="14.4" customHeight="1" outlineLevel="3" x14ac:dyDescent="0.25">
      <c r="A85" s="1580"/>
      <c r="B85" s="1439" t="s">
        <v>44</v>
      </c>
      <c r="C85" s="1501"/>
      <c r="D85" s="1101"/>
      <c r="E85" s="1102">
        <f>C85+D85</f>
        <v>0</v>
      </c>
      <c r="F85" s="1602">
        <f>E85/$E$89</f>
        <v>0</v>
      </c>
      <c r="G85" s="2067"/>
      <c r="H85" s="2059"/>
      <c r="I85" s="2028">
        <f>G85+H85*1</f>
        <v>0</v>
      </c>
      <c r="J85" s="1491"/>
      <c r="K85" s="1763"/>
      <c r="L85" s="2067"/>
      <c r="M85" s="2059"/>
      <c r="N85" s="2028">
        <f>L85+M85*1</f>
        <v>0</v>
      </c>
      <c r="O85" s="1491"/>
      <c r="P85" s="1763"/>
      <c r="Q85" s="2067"/>
      <c r="R85" s="2059"/>
      <c r="S85" s="2028">
        <f>Q85+R85*1</f>
        <v>0</v>
      </c>
      <c r="T85" s="1491"/>
      <c r="U85" s="1763"/>
      <c r="V85" s="2067"/>
      <c r="W85" s="2059"/>
      <c r="X85" s="2028">
        <f>V85+W85*1</f>
        <v>0</v>
      </c>
      <c r="Y85" s="1491"/>
      <c r="Z85" s="1763"/>
      <c r="AA85" s="2067"/>
      <c r="AB85" s="2059"/>
      <c r="AC85" s="2028">
        <f>AA85+AB85*1</f>
        <v>0</v>
      </c>
      <c r="AD85" s="1491"/>
      <c r="AE85" s="1763"/>
      <c r="AF85" s="2059">
        <f t="shared" ref="AF85" si="61">G85+L85+Q85</f>
        <v>0</v>
      </c>
      <c r="AG85" s="2059">
        <f>H85+M85+R85</f>
        <v>0</v>
      </c>
      <c r="AH85" s="2028">
        <f>AF85+AG85*1.15</f>
        <v>0</v>
      </c>
      <c r="AI85" s="1491"/>
      <c r="AJ85" s="1491"/>
      <c r="AL85" s="919"/>
      <c r="AM85" s="919"/>
    </row>
    <row r="86" spans="1:39" s="1411" customFormat="1" ht="14.4" customHeight="1" x14ac:dyDescent="0.25">
      <c r="A86" s="1420"/>
      <c r="B86" s="2788" t="s">
        <v>50</v>
      </c>
      <c r="C86" s="2789">
        <f>C84-C85</f>
        <v>864537.04514954716</v>
      </c>
      <c r="D86" s="2789">
        <f>D84-D85</f>
        <v>-489529.9</v>
      </c>
      <c r="E86" s="2790">
        <f>E84-E85</f>
        <v>375007.14514954702</v>
      </c>
      <c r="F86" s="2791"/>
      <c r="G86" s="2790">
        <f>G84-G85</f>
        <v>-15808</v>
      </c>
      <c r="H86" s="2790">
        <f>H84-H85</f>
        <v>-15700</v>
      </c>
      <c r="I86" s="2790">
        <f>I84-I85</f>
        <v>-33648.909090909088</v>
      </c>
      <c r="J86" s="2792"/>
      <c r="K86" s="2781"/>
      <c r="L86" s="2790">
        <f>L84-L85</f>
        <v>1122322.612</v>
      </c>
      <c r="M86" s="2790">
        <f>M84-M85</f>
        <v>-254111.6</v>
      </c>
      <c r="N86" s="2790">
        <f>N84-N85</f>
        <v>842198.53200000001</v>
      </c>
      <c r="O86" s="2792"/>
      <c r="P86" s="2781"/>
      <c r="Q86" s="2790">
        <f>Q84-Q85</f>
        <v>-5524.7199999999993</v>
      </c>
      <c r="R86" s="2790">
        <f>R84-R85</f>
        <v>0</v>
      </c>
      <c r="S86" s="2790">
        <f>S84-S85</f>
        <v>-5524.7199999999993</v>
      </c>
      <c r="T86" s="2792"/>
      <c r="U86" s="2781"/>
      <c r="V86" s="2790">
        <f>V84-V85</f>
        <v>0</v>
      </c>
      <c r="W86" s="2790">
        <f>W84-W85</f>
        <v>0</v>
      </c>
      <c r="X86" s="2790" t="e">
        <f>X84-X85</f>
        <v>#DIV/0!</v>
      </c>
      <c r="Y86" s="2792"/>
      <c r="Z86" s="2781"/>
      <c r="AA86" s="2790">
        <f>AA84-AA85</f>
        <v>0</v>
      </c>
      <c r="AB86" s="2790">
        <f>AB84-AB85</f>
        <v>0</v>
      </c>
      <c r="AC86" s="2790" t="e">
        <f>AC84-AC85</f>
        <v>#DIV/0!</v>
      </c>
      <c r="AD86" s="2792"/>
      <c r="AE86" s="2781"/>
      <c r="AF86" s="2790">
        <f>AF84-AF85</f>
        <v>1100989.892</v>
      </c>
      <c r="AG86" s="2790">
        <f>AG84-AG85</f>
        <v>-269811.59999999998</v>
      </c>
      <c r="AH86" s="2790">
        <f>AH84-AH85</f>
        <v>803024.90290909098</v>
      </c>
      <c r="AI86" s="2792"/>
      <c r="AJ86" s="2792"/>
      <c r="AL86" s="919"/>
      <c r="AM86" s="919"/>
    </row>
    <row r="87" spans="1:39" s="1411" customFormat="1" ht="14.4" customHeight="1" thickBot="1" x14ac:dyDescent="0.3">
      <c r="A87" s="1582"/>
      <c r="B87" s="2793" t="s">
        <v>51</v>
      </c>
      <c r="C87" s="2794">
        <f>C86/C5</f>
        <v>0.54153343156208822</v>
      </c>
      <c r="D87" s="2795" t="e">
        <f>D86/D5</f>
        <v>#DIV/0!</v>
      </c>
      <c r="E87" s="2796">
        <f>E86/E5</f>
        <v>0.23489902175100874</v>
      </c>
      <c r="F87" s="2797"/>
      <c r="G87" s="2794" t="e">
        <f>G86/G5</f>
        <v>#DIV/0!</v>
      </c>
      <c r="H87" s="2795" t="e">
        <f>H86/H5</f>
        <v>#DIV/0!</v>
      </c>
      <c r="I87" s="2796" t="e">
        <f>I86/I5</f>
        <v>#DIV/0!</v>
      </c>
      <c r="J87" s="2798"/>
      <c r="K87" s="2799"/>
      <c r="L87" s="2794">
        <f>L86/L5</f>
        <v>0.70300923293792039</v>
      </c>
      <c r="M87" s="2795" t="e">
        <f>M86/M5</f>
        <v>#DIV/0!</v>
      </c>
      <c r="N87" s="2796">
        <f>N86/N5</f>
        <v>0.52754291647717655</v>
      </c>
      <c r="O87" s="2798"/>
      <c r="P87" s="2799"/>
      <c r="Q87" s="2794" t="e">
        <f>Q86/Q5</f>
        <v>#DIV/0!</v>
      </c>
      <c r="R87" s="2795" t="e">
        <f>R86/R5</f>
        <v>#DIV/0!</v>
      </c>
      <c r="S87" s="2796" t="e">
        <f>S86/S5</f>
        <v>#DIV/0!</v>
      </c>
      <c r="T87" s="2798"/>
      <c r="U87" s="2799"/>
      <c r="V87" s="2794" t="e">
        <f>V86/V5</f>
        <v>#DIV/0!</v>
      </c>
      <c r="W87" s="2795" t="e">
        <f>W86/W5</f>
        <v>#DIV/0!</v>
      </c>
      <c r="X87" s="2796" t="e">
        <f>X86/X5</f>
        <v>#DIV/0!</v>
      </c>
      <c r="Y87" s="2798"/>
      <c r="Z87" s="2799"/>
      <c r="AA87" s="2794" t="e">
        <f>AA86/AA5</f>
        <v>#DIV/0!</v>
      </c>
      <c r="AB87" s="2795" t="e">
        <f>AB86/AB5</f>
        <v>#DIV/0!</v>
      </c>
      <c r="AC87" s="2796" t="e">
        <f>AC86/AC5</f>
        <v>#DIV/0!</v>
      </c>
      <c r="AD87" s="2798"/>
      <c r="AE87" s="2799"/>
      <c r="AF87" s="2794">
        <f>AF86/AF5</f>
        <v>0.68964667660756696</v>
      </c>
      <c r="AG87" s="2795" t="e">
        <f>AG86/AG5</f>
        <v>#DIV/0!</v>
      </c>
      <c r="AH87" s="2796">
        <f>AH86/AH5</f>
        <v>0.50300503169775579</v>
      </c>
      <c r="AI87" s="2798"/>
      <c r="AJ87" s="2798"/>
      <c r="AL87" s="919"/>
      <c r="AM87" s="919"/>
    </row>
    <row r="88" spans="1:39" ht="13.8" x14ac:dyDescent="0.25">
      <c r="A88" s="1438"/>
      <c r="B88" s="1438"/>
      <c r="C88" s="1536"/>
      <c r="D88" s="1536"/>
      <c r="E88" s="1536"/>
      <c r="F88" s="1564"/>
      <c r="G88" s="1970"/>
      <c r="H88" s="1970"/>
      <c r="I88" s="1970"/>
      <c r="J88" s="1970"/>
      <c r="K88" s="1620"/>
      <c r="L88" s="1970"/>
      <c r="M88" s="1970"/>
      <c r="N88" s="1970"/>
      <c r="O88" s="1970"/>
      <c r="P88" s="1620"/>
      <c r="Q88" s="1970"/>
      <c r="R88" s="1970"/>
      <c r="S88" s="1970"/>
      <c r="T88" s="1970"/>
      <c r="U88" s="1620"/>
      <c r="V88" s="1970"/>
      <c r="W88" s="1970"/>
      <c r="X88" s="1970"/>
      <c r="Y88" s="1970"/>
      <c r="Z88" s="1620"/>
      <c r="AA88" s="1970"/>
      <c r="AB88" s="1970"/>
      <c r="AC88" s="1970"/>
      <c r="AD88" s="1970"/>
      <c r="AE88" s="1620"/>
      <c r="AF88" s="1970"/>
      <c r="AG88" s="1970"/>
      <c r="AH88" s="1970"/>
      <c r="AI88" s="1970"/>
      <c r="AJ88" s="1970"/>
    </row>
    <row r="89" spans="1:39" x14ac:dyDescent="0.25">
      <c r="B89" s="1577" t="s">
        <v>56</v>
      </c>
      <c r="C89" s="1537"/>
      <c r="D89" s="1537"/>
      <c r="E89" s="1976">
        <f>E8+E36+E41+E50+E54+E73+E79+E82+E85</f>
        <v>1221453.9314191409</v>
      </c>
      <c r="F89" s="189"/>
      <c r="I89" s="1976">
        <f>I8+I36+I41+I50+I54+I73+I79+I82+I85</f>
        <v>33648.909090909088</v>
      </c>
      <c r="K89" s="1621"/>
      <c r="N89" s="1976">
        <f>N8+N36+N41+N50+N54+N73+N79+N82+N85</f>
        <v>754256.478</v>
      </c>
      <c r="P89" s="1621"/>
      <c r="S89" s="1976">
        <f>S8+S36+S41+S50+S54+S73+S79+S82+S85</f>
        <v>5524.7199999999993</v>
      </c>
      <c r="U89" s="1621"/>
      <c r="X89" s="1976" t="e">
        <f>X8+X36+X41+X50+X54+X73+X79+X82+X85</f>
        <v>#DIV/0!</v>
      </c>
      <c r="Z89" s="1621"/>
      <c r="AC89" s="1976" t="e">
        <f>AC8+AC36+AC41+AC50+AC54+AC73+AC79+AC82+AC85</f>
        <v>#DIV/0!</v>
      </c>
      <c r="AE89" s="1621"/>
      <c r="AH89" s="1976">
        <f>AH8+AH36+AH41+AH50+AH54+AH73+AH79+AH82+AH85-AH78</f>
        <v>793430.10709090903</v>
      </c>
    </row>
    <row r="90" spans="1:39" s="2487" customFormat="1" ht="13.95" customHeight="1" x14ac:dyDescent="0.25">
      <c r="A90" s="1349"/>
      <c r="B90" s="1349"/>
      <c r="C90" s="1354"/>
      <c r="D90" s="1354"/>
      <c r="E90" s="1354"/>
      <c r="F90" s="2485"/>
      <c r="G90" s="2485"/>
      <c r="H90" s="2485"/>
      <c r="I90" s="2485"/>
      <c r="J90" s="2485"/>
      <c r="K90" s="1872"/>
      <c r="L90" s="2485"/>
      <c r="M90" s="2485"/>
      <c r="N90" s="2485"/>
      <c r="O90" s="2485"/>
      <c r="P90" s="1872"/>
      <c r="Q90" s="2485"/>
      <c r="R90" s="2485"/>
      <c r="S90" s="2485"/>
      <c r="T90" s="2485"/>
      <c r="U90" s="1872"/>
      <c r="V90" s="2485"/>
      <c r="W90" s="2485"/>
      <c r="X90" s="2485"/>
      <c r="Y90" s="2485"/>
      <c r="Z90" s="1872"/>
      <c r="AA90" s="2485"/>
      <c r="AB90" s="2485"/>
      <c r="AC90" s="2485"/>
      <c r="AD90" s="2485"/>
      <c r="AE90" s="1872"/>
      <c r="AF90" s="2485"/>
      <c r="AG90" s="2485"/>
      <c r="AH90" s="1607" t="b">
        <f>(I89+N89+S89)=AH89</f>
        <v>1</v>
      </c>
      <c r="AI90" s="2485"/>
      <c r="AJ90" s="2485"/>
      <c r="AL90" s="2645"/>
      <c r="AM90" s="2645"/>
    </row>
    <row r="91" spans="1:39" s="2486" customFormat="1" x14ac:dyDescent="0.25">
      <c r="A91" s="1349"/>
      <c r="B91" s="1349"/>
      <c r="C91" s="1354"/>
      <c r="D91" s="1354"/>
      <c r="E91" s="1354"/>
      <c r="F91" s="2485"/>
      <c r="G91" s="2485"/>
      <c r="H91" s="2485"/>
      <c r="I91" s="2485"/>
      <c r="J91" s="2485"/>
      <c r="K91" s="1872"/>
      <c r="L91" s="2485"/>
      <c r="M91" s="2485"/>
      <c r="N91" s="2485"/>
      <c r="O91" s="2485"/>
      <c r="P91" s="1872"/>
      <c r="Q91" s="2485"/>
      <c r="R91" s="1601"/>
      <c r="S91" s="1601"/>
      <c r="T91" s="1601"/>
      <c r="U91" s="1872"/>
      <c r="V91" s="2485"/>
      <c r="W91" s="2485"/>
      <c r="X91" s="2485"/>
      <c r="Y91" s="2485"/>
      <c r="Z91" s="1872"/>
      <c r="AA91" s="2485"/>
      <c r="AB91" s="2485"/>
      <c r="AC91" s="2485"/>
      <c r="AD91" s="2485"/>
      <c r="AE91" s="1872"/>
      <c r="AF91" s="2485"/>
      <c r="AG91" s="2485"/>
      <c r="AH91" s="2485"/>
      <c r="AI91" s="2485"/>
      <c r="AJ91" s="2485"/>
      <c r="AL91" s="2646"/>
      <c r="AM91" s="2646"/>
    </row>
    <row r="92" spans="1:39" x14ac:dyDescent="0.25">
      <c r="C92" s="1968"/>
      <c r="D92" s="1968"/>
      <c r="G92" s="1621"/>
      <c r="H92" s="1621"/>
      <c r="I92" s="1621"/>
      <c r="J92" s="1621"/>
      <c r="K92" s="1621"/>
      <c r="L92" s="1621"/>
      <c r="M92" s="1621"/>
      <c r="N92" s="1621"/>
      <c r="O92" s="1621"/>
      <c r="P92" s="1621"/>
      <c r="Q92" s="1355"/>
      <c r="R92" s="1230"/>
      <c r="S92" s="1230"/>
      <c r="T92" s="1230"/>
      <c r="U92" s="1355"/>
      <c r="V92" s="1621"/>
      <c r="W92" s="1621"/>
      <c r="X92" s="1621"/>
      <c r="Y92" s="1621"/>
      <c r="Z92" s="1621"/>
      <c r="AA92" s="1621"/>
      <c r="AB92" s="1621"/>
      <c r="AC92" s="1621"/>
      <c r="AD92" s="1621"/>
      <c r="AE92" s="1621"/>
      <c r="AG92" s="1968" t="s">
        <v>1666</v>
      </c>
      <c r="AH92" s="1968">
        <v>739496.32970000012</v>
      </c>
    </row>
    <row r="93" spans="1:39" s="1411" customFormat="1" x14ac:dyDescent="0.25">
      <c r="A93" s="1417"/>
      <c r="B93" s="1417"/>
      <c r="C93" s="1968"/>
      <c r="D93" s="1968"/>
      <c r="E93" s="1968"/>
      <c r="F93" s="1968"/>
      <c r="G93" s="1621"/>
      <c r="H93" s="1621"/>
      <c r="I93" s="1621"/>
      <c r="J93" s="1621"/>
      <c r="K93" s="1621"/>
      <c r="L93" s="1621"/>
      <c r="M93" s="1621"/>
      <c r="N93" s="1621"/>
      <c r="O93" s="1621"/>
      <c r="P93" s="1621"/>
      <c r="Q93" s="1046"/>
      <c r="R93" s="1230"/>
      <c r="S93" s="1230"/>
      <c r="T93" s="1230"/>
      <c r="U93" s="1046"/>
      <c r="V93" s="1621"/>
      <c r="W93" s="1621"/>
      <c r="X93" s="1621"/>
      <c r="Y93" s="1621"/>
      <c r="Z93" s="1621"/>
      <c r="AA93" s="1621"/>
      <c r="AB93" s="1621"/>
      <c r="AC93" s="1621"/>
      <c r="AD93" s="1621"/>
      <c r="AE93" s="1621"/>
      <c r="AF93" s="1968"/>
      <c r="AG93" s="1968" t="s">
        <v>1665</v>
      </c>
      <c r="AH93" s="1968">
        <f>AH86-AH92</f>
        <v>63528.573209090857</v>
      </c>
      <c r="AI93" s="1968"/>
      <c r="AJ93" s="1968"/>
      <c r="AL93" s="919"/>
      <c r="AM93" s="919"/>
    </row>
    <row r="94" spans="1:39" s="1411" customFormat="1" x14ac:dyDescent="0.25">
      <c r="A94" s="1417"/>
      <c r="B94" s="1417"/>
      <c r="C94" s="1968"/>
      <c r="D94" s="1968"/>
      <c r="E94" s="1968"/>
      <c r="F94" s="1968"/>
      <c r="G94" s="1979"/>
      <c r="H94" s="1979"/>
      <c r="I94" s="1979"/>
      <c r="J94" s="1979"/>
      <c r="K94" s="1979"/>
      <c r="L94" s="1979"/>
      <c r="M94" s="1979"/>
      <c r="N94" s="1979"/>
      <c r="O94" s="1979"/>
      <c r="P94" s="1979"/>
      <c r="Q94" s="1979"/>
      <c r="R94" s="1979"/>
      <c r="S94" s="1979"/>
      <c r="T94" s="1979"/>
      <c r="U94" s="1979"/>
      <c r="V94" s="1979"/>
      <c r="W94" s="1979"/>
      <c r="X94" s="1979"/>
      <c r="Y94" s="1979"/>
      <c r="Z94" s="1979"/>
      <c r="AA94" s="1979"/>
      <c r="AB94" s="1979"/>
      <c r="AC94" s="1979"/>
      <c r="AD94" s="1979"/>
      <c r="AE94" s="1979"/>
      <c r="AF94" s="1968"/>
      <c r="AG94" s="1968"/>
      <c r="AI94" s="1968"/>
      <c r="AJ94" s="1968"/>
      <c r="AL94" s="919"/>
      <c r="AM94" s="919"/>
    </row>
    <row r="95" spans="1:39" s="1411" customFormat="1" x14ac:dyDescent="0.25">
      <c r="A95" s="1417"/>
      <c r="B95" s="1417"/>
      <c r="C95" s="1968"/>
      <c r="D95" s="1968"/>
      <c r="E95" s="1968"/>
      <c r="F95" s="1968"/>
      <c r="G95" s="1979"/>
      <c r="H95" s="1979"/>
      <c r="I95" s="1979"/>
      <c r="J95" s="1979"/>
      <c r="K95" s="1979"/>
      <c r="L95" s="1979"/>
      <c r="M95" s="1979"/>
      <c r="N95" s="1979"/>
      <c r="O95" s="1979"/>
      <c r="P95" s="1979"/>
      <c r="Q95" s="1979"/>
      <c r="R95" s="1979"/>
      <c r="S95" s="1979"/>
      <c r="T95" s="1979"/>
      <c r="U95" s="1979"/>
      <c r="V95" s="1979"/>
      <c r="W95" s="1979"/>
      <c r="X95" s="1979"/>
      <c r="Y95" s="1979"/>
      <c r="Z95" s="1979"/>
      <c r="AA95" s="1979"/>
      <c r="AB95" s="1979"/>
      <c r="AC95" s="1979"/>
      <c r="AD95" s="1979"/>
      <c r="AE95" s="1979"/>
      <c r="AF95" s="1968"/>
      <c r="AH95" s="1968"/>
      <c r="AI95" s="1968"/>
      <c r="AJ95" s="1968"/>
      <c r="AL95" s="919"/>
      <c r="AM95" s="919"/>
    </row>
    <row r="96" spans="1:39" s="1411" customFormat="1" x14ac:dyDescent="0.25">
      <c r="A96" s="1417"/>
      <c r="B96" s="1417"/>
      <c r="C96" s="1968"/>
      <c r="D96" s="1968"/>
      <c r="E96" s="1968"/>
      <c r="F96" s="1968"/>
      <c r="G96" s="1979"/>
      <c r="H96" s="1979"/>
      <c r="I96" s="1979"/>
      <c r="J96" s="1979"/>
      <c r="K96" s="1979"/>
      <c r="L96" s="1979"/>
      <c r="M96" s="1979"/>
      <c r="N96" s="1979"/>
      <c r="O96" s="1979"/>
      <c r="P96" s="1979"/>
      <c r="Q96" s="1979"/>
      <c r="R96" s="1979"/>
      <c r="S96" s="1979"/>
      <c r="T96" s="1979"/>
      <c r="U96" s="1979"/>
      <c r="V96" s="1979"/>
      <c r="W96" s="1979"/>
      <c r="X96" s="1979"/>
      <c r="Y96" s="1979"/>
      <c r="Z96" s="1979"/>
      <c r="AA96" s="1979"/>
      <c r="AB96" s="1979"/>
      <c r="AC96" s="1979"/>
      <c r="AD96" s="1979"/>
      <c r="AE96" s="1979"/>
      <c r="AF96" s="1968"/>
      <c r="AG96" s="1968" t="s">
        <v>1666</v>
      </c>
      <c r="AH96" s="1968">
        <f>AH92</f>
        <v>739496.32970000012</v>
      </c>
      <c r="AI96" s="1968"/>
      <c r="AJ96" s="1968"/>
      <c r="AL96" s="919"/>
      <c r="AM96" s="919"/>
    </row>
    <row r="97" spans="1:39" x14ac:dyDescent="0.25">
      <c r="C97" s="1968"/>
      <c r="D97" s="1968"/>
      <c r="G97" s="1979"/>
      <c r="H97" s="1979"/>
      <c r="I97" s="1979"/>
      <c r="J97" s="1979"/>
      <c r="K97" s="1979"/>
      <c r="L97" s="1979"/>
      <c r="M97" s="1979"/>
      <c r="N97" s="1979"/>
      <c r="O97" s="1979"/>
      <c r="P97" s="1979"/>
      <c r="Q97" s="1979"/>
      <c r="R97" s="1979"/>
      <c r="S97" s="1979"/>
      <c r="T97" s="1979"/>
      <c r="U97" s="1979"/>
      <c r="V97" s="1979"/>
      <c r="W97" s="1979"/>
      <c r="X97" s="1979"/>
      <c r="Y97" s="1979"/>
      <c r="Z97" s="1979"/>
      <c r="AA97" s="1979"/>
      <c r="AB97" s="1979"/>
      <c r="AC97" s="1979"/>
      <c r="AD97" s="1979"/>
      <c r="AE97" s="1979"/>
      <c r="AG97" s="1075" t="s">
        <v>1663</v>
      </c>
      <c r="AH97" s="1968">
        <v>47893.650300000001</v>
      </c>
    </row>
    <row r="98" spans="1:39" s="1411" customFormat="1" x14ac:dyDescent="0.25">
      <c r="A98" s="1417"/>
      <c r="B98" s="1417"/>
      <c r="C98" s="1968"/>
      <c r="D98" s="1968"/>
      <c r="E98" s="1968"/>
      <c r="F98" s="1968"/>
      <c r="G98" s="1968"/>
      <c r="H98" s="1968"/>
      <c r="I98" s="1968"/>
      <c r="J98" s="1968"/>
      <c r="K98" s="1968"/>
      <c r="L98" s="1968"/>
      <c r="M98" s="1968"/>
      <c r="N98" s="1968"/>
      <c r="O98" s="1968"/>
      <c r="P98" s="1968"/>
      <c r="Q98" s="1968"/>
      <c r="R98" s="1601"/>
      <c r="S98" s="1601"/>
      <c r="T98" s="1601"/>
      <c r="U98" s="1968"/>
      <c r="V98" s="1968"/>
      <c r="W98" s="1968"/>
      <c r="X98" s="1968"/>
      <c r="Y98" s="1968"/>
      <c r="Z98" s="1968"/>
      <c r="AA98" s="1968"/>
      <c r="AB98" s="1968"/>
      <c r="AC98" s="1968"/>
      <c r="AD98" s="1968"/>
      <c r="AE98" s="1968"/>
      <c r="AF98" s="1968"/>
      <c r="AG98" s="1075" t="s">
        <v>1717</v>
      </c>
      <c r="AH98" s="1968">
        <f>14330*1.2</f>
        <v>17196</v>
      </c>
      <c r="AI98" s="1968"/>
      <c r="AJ98" s="1968"/>
      <c r="AL98" s="919"/>
      <c r="AM98" s="919"/>
    </row>
    <row r="99" spans="1:39" x14ac:dyDescent="0.25">
      <c r="R99" s="1601"/>
      <c r="S99" s="1601"/>
      <c r="T99" s="1601"/>
    </row>
    <row r="100" spans="1:39" x14ac:dyDescent="0.25">
      <c r="R100" s="1601"/>
      <c r="S100" s="1601"/>
      <c r="T100" s="1601"/>
      <c r="AG100" s="1968" t="s">
        <v>1666</v>
      </c>
      <c r="AH100" s="1968">
        <f>SUM(AH96:AH98)</f>
        <v>804585.9800000001</v>
      </c>
    </row>
    <row r="101" spans="1:39" x14ac:dyDescent="0.25">
      <c r="R101" s="1601"/>
      <c r="S101" s="1601"/>
      <c r="T101" s="1601"/>
    </row>
    <row r="102" spans="1:39" x14ac:dyDescent="0.25">
      <c r="R102" s="1601"/>
      <c r="S102" s="1601"/>
      <c r="T102" s="1601"/>
      <c r="AG102" s="1968" t="s">
        <v>1690</v>
      </c>
      <c r="AH102" s="1968">
        <f>AH100-AH86</f>
        <v>1561.0770909091225</v>
      </c>
    </row>
    <row r="105" spans="1:39" x14ac:dyDescent="0.25">
      <c r="AG105" s="1075"/>
    </row>
    <row r="110" spans="1:39" x14ac:dyDescent="0.25">
      <c r="R110" s="1410"/>
      <c r="S110" s="1410"/>
      <c r="T110" s="1410"/>
    </row>
    <row r="111" spans="1:39" x14ac:dyDescent="0.25">
      <c r="R111" s="1410"/>
      <c r="S111" s="1410"/>
      <c r="T111" s="1410"/>
    </row>
    <row r="112" spans="1:39" x14ac:dyDescent="0.25">
      <c r="R112" s="1410"/>
      <c r="S112" s="1410"/>
      <c r="T112" s="1410"/>
    </row>
    <row r="113" spans="18:21" x14ac:dyDescent="0.25">
      <c r="R113" s="1410"/>
      <c r="S113" s="1410"/>
      <c r="T113" s="1410"/>
    </row>
    <row r="114" spans="18:21" x14ac:dyDescent="0.25">
      <c r="R114" s="1410"/>
      <c r="S114" s="1410"/>
      <c r="T114" s="1410"/>
    </row>
    <row r="115" spans="18:21" x14ac:dyDescent="0.25">
      <c r="R115" s="1410"/>
      <c r="S115" s="1410"/>
      <c r="T115" s="1410"/>
      <c r="U115" s="1410"/>
    </row>
  </sheetData>
  <mergeCells count="9">
    <mergeCell ref="AF2:AJ3"/>
    <mergeCell ref="A3:F3"/>
    <mergeCell ref="A42:A48"/>
    <mergeCell ref="A2:F2"/>
    <mergeCell ref="G2:K3"/>
    <mergeCell ref="L2:P3"/>
    <mergeCell ref="Q2:U3"/>
    <mergeCell ref="V2:Z3"/>
    <mergeCell ref="AA2:AE3"/>
  </mergeCells>
  <pageMargins left="0.7" right="0.7" top="0.75" bottom="0.75" header="0.3" footer="0.3"/>
  <pageSetup paperSize="9" orientation="portrait"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177D7"/>
  </sheetPr>
  <dimension ref="A1:AQ118"/>
  <sheetViews>
    <sheetView zoomScale="70" zoomScaleNormal="70" workbookViewId="0">
      <pane xSplit="6" ySplit="4" topLeftCell="AF71" activePane="bottomRight" state="frozen"/>
      <selection pane="topRight" activeCell="G1" sqref="G1"/>
      <selection pane="bottomLeft" activeCell="A5" sqref="A5"/>
      <selection pane="bottomRight" activeCell="AI90" sqref="AI90"/>
    </sheetView>
  </sheetViews>
  <sheetFormatPr defaultColWidth="7.44140625" defaultRowHeight="13.2" outlineLevelRow="3" outlineLevelCol="1" x14ac:dyDescent="0.25"/>
  <cols>
    <col min="1" max="1" width="4.44140625" style="1417" customWidth="1"/>
    <col min="2" max="2" width="55" style="1417" customWidth="1"/>
    <col min="3" max="3" width="15" style="1474" customWidth="1" outlineLevel="1"/>
    <col min="4" max="4" width="15.5546875" style="1474" customWidth="1" outlineLevel="1"/>
    <col min="5" max="5" width="16.33203125" style="1968" customWidth="1" outlineLevel="1"/>
    <col min="6" max="6" width="9.5546875" style="1968" customWidth="1" outlineLevel="1"/>
    <col min="7" max="11" width="16.6640625" style="1968" customWidth="1" outlineLevel="1"/>
    <col min="12" max="12" width="16.88671875" style="1968" customWidth="1" outlineLevel="1" collapsed="1"/>
    <col min="13" max="16" width="16.88671875" style="1968" customWidth="1" outlineLevel="1"/>
    <col min="17" max="17" width="16.6640625" style="1968" customWidth="1" outlineLevel="1" collapsed="1"/>
    <col min="18" max="20" width="16.6640625" style="1968" customWidth="1" outlineLevel="1"/>
    <col min="21" max="21" width="17.88671875" style="1968" customWidth="1" outlineLevel="1"/>
    <col min="22" max="26" width="16.6640625" style="1968" customWidth="1" outlineLevel="1"/>
    <col min="27" max="27" width="16.6640625" style="1968" customWidth="1" outlineLevel="1" collapsed="1"/>
    <col min="28" max="30" width="16.6640625" style="1968" customWidth="1" outlineLevel="1"/>
    <col min="31" max="31" width="13.109375" style="1968" customWidth="1" outlineLevel="1"/>
    <col min="32" max="35" width="16.6640625" style="1968" customWidth="1" outlineLevel="1"/>
    <col min="36" max="36" width="17.88671875" style="1968" customWidth="1" outlineLevel="1"/>
    <col min="37" max="41" width="16.6640625" style="1968" customWidth="1"/>
    <col min="42" max="42" width="9.5546875" style="1410" bestFit="1" customWidth="1"/>
    <col min="43" max="43" width="15.6640625" style="1410" bestFit="1" customWidth="1"/>
    <col min="44" max="16384" width="7.44140625" style="1410"/>
  </cols>
  <sheetData>
    <row r="1" spans="1:43" ht="13.8" thickBot="1" x14ac:dyDescent="0.3">
      <c r="C1" s="1968"/>
      <c r="D1" s="1968"/>
    </row>
    <row r="2" spans="1:43" ht="22.2" customHeight="1" thickBot="1" x14ac:dyDescent="0.3">
      <c r="A2" s="4016" t="s">
        <v>1659</v>
      </c>
      <c r="B2" s="4017"/>
      <c r="C2" s="4017"/>
      <c r="D2" s="4017"/>
      <c r="E2" s="4017"/>
      <c r="F2" s="4018"/>
      <c r="G2" s="4172" t="s">
        <v>1627</v>
      </c>
      <c r="H2" s="4173"/>
      <c r="I2" s="4173"/>
      <c r="J2" s="4173"/>
      <c r="K2" s="4174"/>
      <c r="L2" s="4019" t="s">
        <v>1657</v>
      </c>
      <c r="M2" s="4020"/>
      <c r="N2" s="4020"/>
      <c r="O2" s="4020"/>
      <c r="P2" s="4041"/>
      <c r="Q2" s="4071" t="s">
        <v>1698</v>
      </c>
      <c r="R2" s="4072"/>
      <c r="S2" s="4072"/>
      <c r="T2" s="4072"/>
      <c r="U2" s="4073"/>
      <c r="V2" s="4047" t="s">
        <v>1758</v>
      </c>
      <c r="W2" s="4048"/>
      <c r="X2" s="4048"/>
      <c r="Y2" s="4048"/>
      <c r="Z2" s="4049"/>
      <c r="AA2" s="4043" t="s">
        <v>1915</v>
      </c>
      <c r="AB2" s="4044"/>
      <c r="AC2" s="4044"/>
      <c r="AD2" s="4044"/>
      <c r="AE2" s="4146"/>
      <c r="AF2" s="4148" t="s">
        <v>2040</v>
      </c>
      <c r="AG2" s="4149"/>
      <c r="AH2" s="4149"/>
      <c r="AI2" s="4149"/>
      <c r="AJ2" s="4150"/>
      <c r="AK2" s="4089" t="s">
        <v>469</v>
      </c>
      <c r="AL2" s="4090"/>
      <c r="AM2" s="4090"/>
      <c r="AN2" s="4090"/>
      <c r="AO2" s="4091"/>
      <c r="AP2" s="1968"/>
      <c r="AQ2" s="1968"/>
    </row>
    <row r="3" spans="1:43" ht="14.4" customHeight="1" thickBot="1" x14ac:dyDescent="0.3">
      <c r="A3" s="4016" t="s">
        <v>54</v>
      </c>
      <c r="B3" s="4017"/>
      <c r="C3" s="4017"/>
      <c r="D3" s="4017"/>
      <c r="E3" s="4017"/>
      <c r="F3" s="4018"/>
      <c r="G3" s="4175"/>
      <c r="H3" s="4176"/>
      <c r="I3" s="4176"/>
      <c r="J3" s="4176"/>
      <c r="K3" s="4177"/>
      <c r="L3" s="4021"/>
      <c r="M3" s="4022"/>
      <c r="N3" s="4022"/>
      <c r="O3" s="4022"/>
      <c r="P3" s="4042"/>
      <c r="Q3" s="4074"/>
      <c r="R3" s="4075"/>
      <c r="S3" s="4075"/>
      <c r="T3" s="4075"/>
      <c r="U3" s="4076"/>
      <c r="V3" s="4050"/>
      <c r="W3" s="4051"/>
      <c r="X3" s="4051"/>
      <c r="Y3" s="4051"/>
      <c r="Z3" s="4052"/>
      <c r="AA3" s="4045"/>
      <c r="AB3" s="4046"/>
      <c r="AC3" s="4046"/>
      <c r="AD3" s="4046"/>
      <c r="AE3" s="4147"/>
      <c r="AF3" s="4151"/>
      <c r="AG3" s="4152"/>
      <c r="AH3" s="4152"/>
      <c r="AI3" s="4152"/>
      <c r="AJ3" s="4153"/>
      <c r="AK3" s="4092"/>
      <c r="AL3" s="4093"/>
      <c r="AM3" s="4093"/>
      <c r="AN3" s="4093"/>
      <c r="AO3" s="4094"/>
      <c r="AP3" s="1968"/>
      <c r="AQ3" s="1968"/>
    </row>
    <row r="4" spans="1:43" ht="41.4" thickBot="1" x14ac:dyDescent="0.3">
      <c r="A4" s="1486"/>
      <c r="B4" s="1489" t="s">
        <v>11</v>
      </c>
      <c r="C4" s="1588" t="s">
        <v>55</v>
      </c>
      <c r="D4" s="1588" t="s">
        <v>18</v>
      </c>
      <c r="E4" s="1589" t="s">
        <v>39</v>
      </c>
      <c r="F4" s="1978" t="s">
        <v>40</v>
      </c>
      <c r="G4" s="1972" t="s">
        <v>55</v>
      </c>
      <c r="H4" s="1972" t="s">
        <v>18</v>
      </c>
      <c r="I4" s="1489" t="s">
        <v>39</v>
      </c>
      <c r="J4" s="1978" t="s">
        <v>40</v>
      </c>
      <c r="K4" s="1489" t="s">
        <v>19</v>
      </c>
      <c r="L4" s="1972" t="s">
        <v>55</v>
      </c>
      <c r="M4" s="1972" t="s">
        <v>18</v>
      </c>
      <c r="N4" s="1489" t="s">
        <v>39</v>
      </c>
      <c r="O4" s="1978" t="s">
        <v>40</v>
      </c>
      <c r="P4" s="1489" t="s">
        <v>19</v>
      </c>
      <c r="Q4" s="1972" t="s">
        <v>55</v>
      </c>
      <c r="R4" s="1972" t="s">
        <v>18</v>
      </c>
      <c r="S4" s="1489" t="s">
        <v>39</v>
      </c>
      <c r="T4" s="1978" t="s">
        <v>40</v>
      </c>
      <c r="U4" s="1489" t="s">
        <v>19</v>
      </c>
      <c r="V4" s="1972" t="s">
        <v>55</v>
      </c>
      <c r="W4" s="1972" t="s">
        <v>18</v>
      </c>
      <c r="X4" s="1489" t="s">
        <v>39</v>
      </c>
      <c r="Y4" s="1978" t="s">
        <v>40</v>
      </c>
      <c r="Z4" s="1489" t="s">
        <v>19</v>
      </c>
      <c r="AA4" s="1972" t="s">
        <v>55</v>
      </c>
      <c r="AB4" s="1972" t="s">
        <v>18</v>
      </c>
      <c r="AC4" s="1489" t="s">
        <v>39</v>
      </c>
      <c r="AD4" s="1978" t="s">
        <v>40</v>
      </c>
      <c r="AE4" s="1489" t="s">
        <v>19</v>
      </c>
      <c r="AF4" s="1972" t="s">
        <v>55</v>
      </c>
      <c r="AG4" s="1972" t="s">
        <v>18</v>
      </c>
      <c r="AH4" s="1489" t="s">
        <v>39</v>
      </c>
      <c r="AI4" s="1978" t="s">
        <v>40</v>
      </c>
      <c r="AJ4" s="1489" t="s">
        <v>19</v>
      </c>
      <c r="AK4" s="1972" t="s">
        <v>55</v>
      </c>
      <c r="AL4" s="1972" t="s">
        <v>18</v>
      </c>
      <c r="AM4" s="1489" t="s">
        <v>39</v>
      </c>
      <c r="AN4" s="1978" t="s">
        <v>40</v>
      </c>
      <c r="AO4" s="1489" t="s">
        <v>19</v>
      </c>
      <c r="AP4" s="1968"/>
      <c r="AQ4" s="1968"/>
    </row>
    <row r="5" spans="1:43" s="2483" customFormat="1" ht="24.6" customHeight="1" thickBot="1" x14ac:dyDescent="0.3">
      <c r="A5" s="1477"/>
      <c r="B5" s="977" t="s">
        <v>10</v>
      </c>
      <c r="C5" s="1479">
        <f t="shared" ref="C5:E5" si="0">C6+C7</f>
        <v>922000</v>
      </c>
      <c r="D5" s="1479">
        <f t="shared" si="0"/>
        <v>0</v>
      </c>
      <c r="E5" s="1971">
        <f t="shared" si="0"/>
        <v>922000</v>
      </c>
      <c r="F5" s="1481"/>
      <c r="G5" s="1971">
        <f t="shared" ref="G5:I5" si="1">G6+G7</f>
        <v>0</v>
      </c>
      <c r="H5" s="1481">
        <f t="shared" si="1"/>
        <v>0</v>
      </c>
      <c r="I5" s="1481">
        <f t="shared" si="1"/>
        <v>0</v>
      </c>
      <c r="J5" s="1481"/>
      <c r="K5" s="1481"/>
      <c r="L5" s="1971">
        <f t="shared" ref="L5:N5" si="2">L6+L7</f>
        <v>0</v>
      </c>
      <c r="M5" s="1481">
        <f t="shared" si="2"/>
        <v>0</v>
      </c>
      <c r="N5" s="1481">
        <f t="shared" si="2"/>
        <v>0</v>
      </c>
      <c r="O5" s="1481"/>
      <c r="P5" s="1481"/>
      <c r="Q5" s="1971">
        <f>SUM(Q6:Q7)</f>
        <v>389430</v>
      </c>
      <c r="R5" s="1971">
        <f>SUM(R6:R7)</f>
        <v>0</v>
      </c>
      <c r="S5" s="1971">
        <f>SUM(S6:S7)</f>
        <v>389430</v>
      </c>
      <c r="T5" s="1481"/>
      <c r="U5" s="1481"/>
      <c r="V5" s="1971">
        <f>V6</f>
        <v>0</v>
      </c>
      <c r="W5" s="1481">
        <f>W6</f>
        <v>0</v>
      </c>
      <c r="X5" s="1481">
        <f>X6</f>
        <v>0</v>
      </c>
      <c r="Y5" s="1481"/>
      <c r="Z5" s="1481"/>
      <c r="AA5" s="1971">
        <f>AA6</f>
        <v>450000</v>
      </c>
      <c r="AB5" s="1481">
        <f>AB6</f>
        <v>0</v>
      </c>
      <c r="AC5" s="1481">
        <f>AC6</f>
        <v>450000</v>
      </c>
      <c r="AD5" s="1481"/>
      <c r="AE5" s="1481"/>
      <c r="AF5" s="1971">
        <f>SUM(AF6:AF7)</f>
        <v>0</v>
      </c>
      <c r="AG5" s="1971">
        <f>SUM(AG6:AG7)</f>
        <v>0</v>
      </c>
      <c r="AH5" s="1971">
        <f>SUM(AH6:AH7)</f>
        <v>0</v>
      </c>
      <c r="AI5" s="1481"/>
      <c r="AJ5" s="1481"/>
      <c r="AK5" s="1481">
        <f>AK6+AK7</f>
        <v>839430</v>
      </c>
      <c r="AL5" s="1481">
        <f>AL6+AL7</f>
        <v>0</v>
      </c>
      <c r="AM5" s="1481">
        <f>AM6+AM7</f>
        <v>839430</v>
      </c>
      <c r="AN5" s="1481"/>
      <c r="AO5" s="1481"/>
      <c r="AP5" s="2643"/>
      <c r="AQ5" s="2643"/>
    </row>
    <row r="6" spans="1:43" s="1411" customFormat="1" ht="24.6" customHeight="1" outlineLevel="1" x14ac:dyDescent="0.25">
      <c r="A6" s="1587"/>
      <c r="B6" s="1439" t="s">
        <v>17</v>
      </c>
      <c r="C6" s="1990">
        <v>922000</v>
      </c>
      <c r="D6" s="2027"/>
      <c r="E6" s="3102">
        <f>C6+D6</f>
        <v>922000</v>
      </c>
      <c r="F6" s="2059"/>
      <c r="G6" s="2067"/>
      <c r="H6" s="2059"/>
      <c r="I6" s="3102">
        <f>G6+H6</f>
        <v>0</v>
      </c>
      <c r="J6" s="2059"/>
      <c r="K6" s="2062"/>
      <c r="L6" s="2067"/>
      <c r="M6" s="2059"/>
      <c r="N6" s="3102">
        <f>L6+M6</f>
        <v>0</v>
      </c>
      <c r="O6" s="2059"/>
      <c r="P6" s="2062"/>
      <c r="Q6" s="2067">
        <f>316360+3720+69350</f>
        <v>389430</v>
      </c>
      <c r="R6" s="2059"/>
      <c r="S6" s="3102">
        <f>Q6+R6</f>
        <v>389430</v>
      </c>
      <c r="T6" s="2059"/>
      <c r="U6" s="2071" t="s">
        <v>2078</v>
      </c>
      <c r="V6" s="2067"/>
      <c r="W6" s="2059"/>
      <c r="X6" s="3102">
        <f>V6+W6</f>
        <v>0</v>
      </c>
      <c r="Y6" s="2059"/>
      <c r="Z6" s="2059"/>
      <c r="AA6" s="2067">
        <f>45000+180000+225000</f>
        <v>450000</v>
      </c>
      <c r="AB6" s="2059"/>
      <c r="AC6" s="3102">
        <f>AA6+AB6</f>
        <v>450000</v>
      </c>
      <c r="AD6" s="2059"/>
      <c r="AE6" s="2062" t="s">
        <v>1926</v>
      </c>
      <c r="AF6" s="2067"/>
      <c r="AG6" s="2059"/>
      <c r="AH6" s="3102">
        <f>AF6+AG6</f>
        <v>0</v>
      </c>
      <c r="AI6" s="2059"/>
      <c r="AJ6" s="2059"/>
      <c r="AK6" s="2059">
        <f>G6+L6+Q6+V6+AA6+AF6</f>
        <v>839430</v>
      </c>
      <c r="AL6" s="2059">
        <f>H6+M6+R6+W6+AB6+AG6</f>
        <v>0</v>
      </c>
      <c r="AM6" s="3209">
        <f>AK6+AL6</f>
        <v>839430</v>
      </c>
      <c r="AN6" s="2059"/>
      <c r="AO6" s="2059"/>
      <c r="AP6" s="920"/>
      <c r="AQ6" s="920"/>
    </row>
    <row r="7" spans="1:43" s="1411" customFormat="1" ht="24.6" customHeight="1" outlineLevel="1" collapsed="1" thickBot="1" x14ac:dyDescent="0.3">
      <c r="A7" s="1587"/>
      <c r="B7" s="3177" t="s">
        <v>41</v>
      </c>
      <c r="C7" s="2805"/>
      <c r="D7" s="2806"/>
      <c r="E7" s="3102">
        <f>C7+D7</f>
        <v>0</v>
      </c>
      <c r="F7" s="2807"/>
      <c r="G7" s="2067"/>
      <c r="H7" s="2059"/>
      <c r="I7" s="3102">
        <f>G7+H7</f>
        <v>0</v>
      </c>
      <c r="J7" s="2807"/>
      <c r="K7" s="2808"/>
      <c r="L7" s="2067"/>
      <c r="M7" s="2059"/>
      <c r="N7" s="3102">
        <f>L7+M7</f>
        <v>0</v>
      </c>
      <c r="O7" s="2807"/>
      <c r="P7" s="2808"/>
      <c r="Q7" s="2067"/>
      <c r="R7" s="2059"/>
      <c r="S7" s="3102">
        <f>Q7+R7</f>
        <v>0</v>
      </c>
      <c r="T7" s="2807"/>
      <c r="U7" s="2071"/>
      <c r="V7" s="2067"/>
      <c r="W7" s="2059"/>
      <c r="X7" s="3102">
        <f>V7+W7</f>
        <v>0</v>
      </c>
      <c r="Y7" s="2807"/>
      <c r="Z7" s="2808"/>
      <c r="AA7" s="2067"/>
      <c r="AB7" s="2059"/>
      <c r="AC7" s="3102">
        <f>AA7+AB7</f>
        <v>0</v>
      </c>
      <c r="AD7" s="2807"/>
      <c r="AE7" s="2808"/>
      <c r="AF7" s="2067"/>
      <c r="AG7" s="2059"/>
      <c r="AH7" s="3102">
        <f>AF7+AG7</f>
        <v>0</v>
      </c>
      <c r="AI7" s="2807"/>
      <c r="AJ7" s="2071"/>
      <c r="AK7" s="2059">
        <f>G7+L7+Q7+V7+AA7+AF7</f>
        <v>0</v>
      </c>
      <c r="AL7" s="2059">
        <f>H7+M7+R7+W7+AB7+AG7</f>
        <v>0</v>
      </c>
      <c r="AM7" s="3102">
        <f>AK7+AL7</f>
        <v>0</v>
      </c>
      <c r="AN7" s="2807"/>
      <c r="AO7" s="2807"/>
      <c r="AP7" s="920"/>
      <c r="AQ7" s="920"/>
    </row>
    <row r="8" spans="1:43" s="2483" customFormat="1" ht="24.6" customHeight="1" thickBot="1" x14ac:dyDescent="0.3">
      <c r="A8" s="1587"/>
      <c r="B8" s="977" t="s">
        <v>16</v>
      </c>
      <c r="C8" s="1973">
        <f>SUM(C9:C33)</f>
        <v>278100</v>
      </c>
      <c r="D8" s="1973">
        <f>SUM(D9:D33)</f>
        <v>30000</v>
      </c>
      <c r="E8" s="1499">
        <f>SUM(E9:E33)</f>
        <v>308100</v>
      </c>
      <c r="F8" s="1543">
        <f t="shared" ref="F8:F33" si="3">E8/$E$89</f>
        <v>0.98560460652591175</v>
      </c>
      <c r="G8" s="1973">
        <f>SUM(G9:G33)</f>
        <v>0</v>
      </c>
      <c r="H8" s="1973">
        <f>SUM(H9:H33)</f>
        <v>8000</v>
      </c>
      <c r="I8" s="1499">
        <f>SUM(I9:I33)</f>
        <v>8000</v>
      </c>
      <c r="J8" s="1543">
        <f>I8/$I$89</f>
        <v>0.8928571428571429</v>
      </c>
      <c r="K8" s="1615"/>
      <c r="L8" s="1973">
        <f>SUM(L9:L33)</f>
        <v>0</v>
      </c>
      <c r="M8" s="1973">
        <f>SUM(M9:M33)</f>
        <v>13500</v>
      </c>
      <c r="N8" s="1499">
        <f>SUM(N9:N33)</f>
        <v>13500</v>
      </c>
      <c r="O8" s="1543">
        <f>N8/N$89</f>
        <v>0.9121479868893928</v>
      </c>
      <c r="P8" s="1615"/>
      <c r="Q8" s="1973">
        <f>SUM(Q9:Q33)</f>
        <v>49321.4</v>
      </c>
      <c r="R8" s="1973">
        <f>SUM(R9:R33)</f>
        <v>0</v>
      </c>
      <c r="S8" s="1499">
        <f>SUM(S9:S33)</f>
        <v>49321.4</v>
      </c>
      <c r="T8" s="1543">
        <f>S8/S$89</f>
        <v>0.99888590523288345</v>
      </c>
      <c r="U8" s="1615"/>
      <c r="V8" s="1973">
        <f>SUM(V9:V33)</f>
        <v>0</v>
      </c>
      <c r="W8" s="1973">
        <f>SUM(W9:W33)</f>
        <v>0</v>
      </c>
      <c r="X8" s="1499">
        <f>SUM(X9:X33)</f>
        <v>0</v>
      </c>
      <c r="Y8" s="1543">
        <f>X8/X$89</f>
        <v>0</v>
      </c>
      <c r="Z8" s="1615"/>
      <c r="AA8" s="1973">
        <f>SUM(AA9:AA33)</f>
        <v>0</v>
      </c>
      <c r="AB8" s="1973">
        <f>SUM(AB9:AB33)</f>
        <v>0</v>
      </c>
      <c r="AC8" s="1499">
        <f>SUM(AC9:AC33)</f>
        <v>0</v>
      </c>
      <c r="AD8" s="1543">
        <f>AC8/AC$89</f>
        <v>0</v>
      </c>
      <c r="AE8" s="1615"/>
      <c r="AF8" s="1973">
        <f>SUM(AF9:AF33)</f>
        <v>0</v>
      </c>
      <c r="AG8" s="1973">
        <f>SUM(AG9:AG33)</f>
        <v>0</v>
      </c>
      <c r="AH8" s="1499">
        <f>SUM(AH9:AH33)</f>
        <v>0</v>
      </c>
      <c r="AI8" s="1543" t="e">
        <f>AH8/AH$89</f>
        <v>#DIV/0!</v>
      </c>
      <c r="AJ8" s="1615"/>
      <c r="AK8" s="1973">
        <f>SUM(AK9:AK33)</f>
        <v>49321.4</v>
      </c>
      <c r="AL8" s="1973">
        <f>SUM(AL9:AL33)</f>
        <v>21500</v>
      </c>
      <c r="AM8" s="1499">
        <f>SUM(AM9:AM33)</f>
        <v>70821.399999999994</v>
      </c>
      <c r="AN8" s="1543">
        <f>AM8/$AM$89</f>
        <v>0.89803907495941959</v>
      </c>
      <c r="AO8" s="1481"/>
      <c r="AP8" s="2643"/>
      <c r="AQ8" s="2643"/>
    </row>
    <row r="9" spans="1:43" s="1411" customFormat="1" ht="24.6" customHeight="1" x14ac:dyDescent="0.25">
      <c r="A9" s="1587"/>
      <c r="B9" s="1439" t="s">
        <v>74</v>
      </c>
      <c r="C9" s="1500"/>
      <c r="D9" s="1501"/>
      <c r="E9" s="3102">
        <f>C9+D9*1.15</f>
        <v>0</v>
      </c>
      <c r="F9" s="1992">
        <f t="shared" si="3"/>
        <v>0</v>
      </c>
      <c r="G9" s="2067"/>
      <c r="H9" s="2059"/>
      <c r="I9" s="2061">
        <f>G9+H9*1</f>
        <v>0</v>
      </c>
      <c r="J9" s="2809">
        <f t="shared" ref="J9:J37" si="4">I9/$I$89</f>
        <v>0</v>
      </c>
      <c r="K9" s="1449"/>
      <c r="L9" s="2067"/>
      <c r="M9" s="2059"/>
      <c r="N9" s="2061">
        <f>L9+M9*1</f>
        <v>0</v>
      </c>
      <c r="O9" s="2809">
        <f t="shared" ref="O9:O33" si="5">N9/N$89</f>
        <v>0</v>
      </c>
      <c r="P9" s="1449"/>
      <c r="Q9" s="1710"/>
      <c r="R9" s="2484"/>
      <c r="S9" s="1576">
        <f>Q9+R9*1</f>
        <v>0</v>
      </c>
      <c r="T9" s="1574">
        <f t="shared" ref="T9:T33" si="6">S9/S$89</f>
        <v>0</v>
      </c>
      <c r="U9" s="1595"/>
      <c r="V9" s="2067"/>
      <c r="W9" s="2059"/>
      <c r="X9" s="2061">
        <f>V9+W9*1</f>
        <v>0</v>
      </c>
      <c r="Y9" s="2809">
        <f t="shared" ref="Y9:Y33" si="7">X9/X$89</f>
        <v>0</v>
      </c>
      <c r="Z9" s="1449"/>
      <c r="AA9" s="2067"/>
      <c r="AB9" s="2059"/>
      <c r="AC9" s="2061">
        <f>AA9+AB9*1</f>
        <v>0</v>
      </c>
      <c r="AD9" s="2809">
        <f t="shared" ref="AD9:AD33" si="8">AC9/AC$89</f>
        <v>0</v>
      </c>
      <c r="AE9" s="1449"/>
      <c r="AF9" s="1710"/>
      <c r="AG9" s="2484"/>
      <c r="AH9" s="1576">
        <f>AF9+AG9*1</f>
        <v>0</v>
      </c>
      <c r="AI9" s="1574" t="e">
        <f t="shared" ref="AI9:AI33" si="9">AH9/AH$89</f>
        <v>#DIV/0!</v>
      </c>
      <c r="AJ9" s="1595"/>
      <c r="AK9" s="2059">
        <f t="shared" ref="AK9:AL33" si="10">G9+L9+Q9+V9+AA9+AF9</f>
        <v>0</v>
      </c>
      <c r="AL9" s="2059">
        <f t="shared" si="10"/>
        <v>0</v>
      </c>
      <c r="AM9" s="2061">
        <f t="shared" ref="AM9:AM33" si="11">AK9+AL9*1</f>
        <v>0</v>
      </c>
      <c r="AN9" s="2809">
        <f t="shared" ref="AN9:AN33" si="12">AM9/$AM$89</f>
        <v>0</v>
      </c>
      <c r="AO9" s="1449"/>
      <c r="AP9" s="920"/>
      <c r="AQ9" s="920"/>
    </row>
    <row r="10" spans="1:43" s="1411" customFormat="1" ht="24.6" customHeight="1" x14ac:dyDescent="0.25">
      <c r="A10" s="1587"/>
      <c r="B10" s="1439" t="s">
        <v>72</v>
      </c>
      <c r="C10" s="1500"/>
      <c r="D10" s="1501"/>
      <c r="E10" s="3102">
        <f t="shared" ref="E10:E32" si="13">C10+D10*1.15</f>
        <v>0</v>
      </c>
      <c r="F10" s="1992">
        <f t="shared" si="3"/>
        <v>0</v>
      </c>
      <c r="G10" s="2067"/>
      <c r="H10" s="2059"/>
      <c r="I10" s="2061">
        <f t="shared" ref="I10:I33" si="14">G10+H10*1</f>
        <v>0</v>
      </c>
      <c r="J10" s="2809">
        <f t="shared" si="4"/>
        <v>0</v>
      </c>
      <c r="K10" s="1630"/>
      <c r="L10" s="2067"/>
      <c r="M10" s="2059"/>
      <c r="N10" s="2061">
        <f t="shared" ref="N10:N33" si="15">L10+M10*1</f>
        <v>0</v>
      </c>
      <c r="O10" s="2809">
        <f t="shared" si="5"/>
        <v>0</v>
      </c>
      <c r="P10" s="1630"/>
      <c r="Q10" s="2067"/>
      <c r="R10" s="2059"/>
      <c r="S10" s="2061">
        <f t="shared" ref="S10:S33" si="16">Q10+R10*1</f>
        <v>0</v>
      </c>
      <c r="T10" s="2809">
        <f t="shared" si="6"/>
        <v>0</v>
      </c>
      <c r="U10" s="1630"/>
      <c r="V10" s="2067"/>
      <c r="W10" s="2059"/>
      <c r="X10" s="2061">
        <f t="shared" ref="X10:X33" si="17">V10+W10*1</f>
        <v>0</v>
      </c>
      <c r="Y10" s="2809">
        <f t="shared" si="7"/>
        <v>0</v>
      </c>
      <c r="Z10" s="1630"/>
      <c r="AA10" s="2067"/>
      <c r="AB10" s="2059"/>
      <c r="AC10" s="2061">
        <f t="shared" ref="AC10:AC33" si="18">AA10+AB10*1</f>
        <v>0</v>
      </c>
      <c r="AD10" s="2809">
        <f t="shared" si="8"/>
        <v>0</v>
      </c>
      <c r="AE10" s="1630"/>
      <c r="AF10" s="2067"/>
      <c r="AG10" s="2059"/>
      <c r="AH10" s="2061">
        <f t="shared" ref="AH10:AH33" si="19">AF10+AG10*1</f>
        <v>0</v>
      </c>
      <c r="AI10" s="2809" t="e">
        <f t="shared" si="9"/>
        <v>#DIV/0!</v>
      </c>
      <c r="AJ10" s="1630"/>
      <c r="AK10" s="2059">
        <f t="shared" si="10"/>
        <v>0</v>
      </c>
      <c r="AL10" s="2059">
        <f t="shared" si="10"/>
        <v>0</v>
      </c>
      <c r="AM10" s="2061">
        <f t="shared" si="11"/>
        <v>0</v>
      </c>
      <c r="AN10" s="2809">
        <f t="shared" si="12"/>
        <v>0</v>
      </c>
      <c r="AO10" s="1449"/>
      <c r="AP10" s="920"/>
      <c r="AQ10" s="920"/>
    </row>
    <row r="11" spans="1:43" s="1411" customFormat="1" ht="24.6" customHeight="1" x14ac:dyDescent="0.25">
      <c r="A11" s="1587"/>
      <c r="B11" s="1439" t="s">
        <v>69</v>
      </c>
      <c r="C11" s="1500"/>
      <c r="D11" s="1501"/>
      <c r="E11" s="3102">
        <f t="shared" si="13"/>
        <v>0</v>
      </c>
      <c r="F11" s="1992">
        <f t="shared" si="3"/>
        <v>0</v>
      </c>
      <c r="G11" s="2067"/>
      <c r="H11" s="2059"/>
      <c r="I11" s="2061">
        <f t="shared" si="14"/>
        <v>0</v>
      </c>
      <c r="J11" s="2809">
        <f t="shared" si="4"/>
        <v>0</v>
      </c>
      <c r="K11" s="1630"/>
      <c r="L11" s="2067"/>
      <c r="M11" s="2059"/>
      <c r="N11" s="2061">
        <f t="shared" si="15"/>
        <v>0</v>
      </c>
      <c r="O11" s="2809">
        <f t="shared" si="5"/>
        <v>0</v>
      </c>
      <c r="P11" s="1630"/>
      <c r="Q11" s="2067"/>
      <c r="R11" s="2059"/>
      <c r="S11" s="2061">
        <f t="shared" si="16"/>
        <v>0</v>
      </c>
      <c r="T11" s="2809">
        <f t="shared" si="6"/>
        <v>0</v>
      </c>
      <c r="U11" s="1630"/>
      <c r="V11" s="2067"/>
      <c r="W11" s="2059"/>
      <c r="X11" s="2061">
        <f t="shared" si="17"/>
        <v>0</v>
      </c>
      <c r="Y11" s="2809">
        <f t="shared" si="7"/>
        <v>0</v>
      </c>
      <c r="Z11" s="1630"/>
      <c r="AA11" s="2067"/>
      <c r="AB11" s="2059"/>
      <c r="AC11" s="2061">
        <f t="shared" si="18"/>
        <v>0</v>
      </c>
      <c r="AD11" s="2809">
        <f t="shared" si="8"/>
        <v>0</v>
      </c>
      <c r="AE11" s="1630"/>
      <c r="AF11" s="2067"/>
      <c r="AG11" s="2059"/>
      <c r="AH11" s="2061">
        <f t="shared" si="19"/>
        <v>0</v>
      </c>
      <c r="AI11" s="2809" t="e">
        <f t="shared" si="9"/>
        <v>#DIV/0!</v>
      </c>
      <c r="AJ11" s="1630"/>
      <c r="AK11" s="2059">
        <f t="shared" si="10"/>
        <v>0</v>
      </c>
      <c r="AL11" s="2059">
        <f t="shared" si="10"/>
        <v>0</v>
      </c>
      <c r="AM11" s="2061">
        <f t="shared" si="11"/>
        <v>0</v>
      </c>
      <c r="AN11" s="2809">
        <f t="shared" si="12"/>
        <v>0</v>
      </c>
      <c r="AO11" s="1449"/>
      <c r="AP11" s="920"/>
      <c r="AQ11" s="920"/>
    </row>
    <row r="12" spans="1:43" s="1411" customFormat="1" ht="24.6" customHeight="1" x14ac:dyDescent="0.25">
      <c r="A12" s="1587"/>
      <c r="B12" s="1439" t="s">
        <v>73</v>
      </c>
      <c r="C12" s="1500"/>
      <c r="D12" s="1501"/>
      <c r="E12" s="3102">
        <f t="shared" si="13"/>
        <v>0</v>
      </c>
      <c r="F12" s="1992">
        <f t="shared" si="3"/>
        <v>0</v>
      </c>
      <c r="G12" s="2067"/>
      <c r="H12" s="2059"/>
      <c r="I12" s="2061">
        <f t="shared" si="14"/>
        <v>0</v>
      </c>
      <c r="J12" s="2809">
        <f t="shared" si="4"/>
        <v>0</v>
      </c>
      <c r="K12" s="2065"/>
      <c r="L12" s="2067"/>
      <c r="M12" s="2059"/>
      <c r="N12" s="2061">
        <f t="shared" si="15"/>
        <v>0</v>
      </c>
      <c r="O12" s="2809">
        <f t="shared" si="5"/>
        <v>0</v>
      </c>
      <c r="P12" s="2065"/>
      <c r="Q12" s="2067"/>
      <c r="R12" s="2059"/>
      <c r="S12" s="2061">
        <f t="shared" si="16"/>
        <v>0</v>
      </c>
      <c r="T12" s="2809">
        <f t="shared" si="6"/>
        <v>0</v>
      </c>
      <c r="U12" s="2064"/>
      <c r="V12" s="2067"/>
      <c r="W12" s="2059"/>
      <c r="X12" s="2061">
        <f t="shared" si="17"/>
        <v>0</v>
      </c>
      <c r="Y12" s="2809">
        <f t="shared" si="7"/>
        <v>0</v>
      </c>
      <c r="Z12" s="2064"/>
      <c r="AA12" s="2067"/>
      <c r="AB12" s="2059"/>
      <c r="AC12" s="2061">
        <f t="shared" si="18"/>
        <v>0</v>
      </c>
      <c r="AD12" s="2809">
        <f t="shared" si="8"/>
        <v>0</v>
      </c>
      <c r="AE12" s="2064"/>
      <c r="AF12" s="2067"/>
      <c r="AG12" s="2059"/>
      <c r="AH12" s="2061">
        <f t="shared" si="19"/>
        <v>0</v>
      </c>
      <c r="AI12" s="2809" t="e">
        <f t="shared" si="9"/>
        <v>#DIV/0!</v>
      </c>
      <c r="AJ12" s="2064"/>
      <c r="AK12" s="2059">
        <f t="shared" si="10"/>
        <v>0</v>
      </c>
      <c r="AL12" s="2059">
        <f t="shared" si="10"/>
        <v>0</v>
      </c>
      <c r="AM12" s="2061">
        <f t="shared" si="11"/>
        <v>0</v>
      </c>
      <c r="AN12" s="2809">
        <f t="shared" si="12"/>
        <v>0</v>
      </c>
      <c r="AO12" s="1449"/>
      <c r="AP12" s="920"/>
      <c r="AQ12" s="920"/>
    </row>
    <row r="13" spans="1:43" s="1411" customFormat="1" ht="24.6" customHeight="1" x14ac:dyDescent="0.25">
      <c r="A13" s="1587"/>
      <c r="B13" s="1439" t="s">
        <v>71</v>
      </c>
      <c r="C13" s="1500"/>
      <c r="D13" s="1501"/>
      <c r="E13" s="3102">
        <f t="shared" si="13"/>
        <v>0</v>
      </c>
      <c r="F13" s="1992">
        <f t="shared" si="3"/>
        <v>0</v>
      </c>
      <c r="G13" s="2067"/>
      <c r="H13" s="2059"/>
      <c r="I13" s="2061">
        <f t="shared" si="14"/>
        <v>0</v>
      </c>
      <c r="J13" s="2809">
        <f t="shared" si="4"/>
        <v>0</v>
      </c>
      <c r="K13" s="2064"/>
      <c r="L13" s="2067"/>
      <c r="M13" s="2067"/>
      <c r="N13" s="2061">
        <f t="shared" si="15"/>
        <v>0</v>
      </c>
      <c r="O13" s="2809">
        <f t="shared" si="5"/>
        <v>0</v>
      </c>
      <c r="P13" s="2064"/>
      <c r="Q13" s="2067"/>
      <c r="R13" s="2059"/>
      <c r="S13" s="2061">
        <f t="shared" si="16"/>
        <v>0</v>
      </c>
      <c r="T13" s="2809">
        <f t="shared" si="6"/>
        <v>0</v>
      </c>
      <c r="U13" s="2064"/>
      <c r="V13" s="2067"/>
      <c r="W13" s="2059"/>
      <c r="X13" s="2061">
        <f t="shared" si="17"/>
        <v>0</v>
      </c>
      <c r="Y13" s="2809">
        <f t="shared" si="7"/>
        <v>0</v>
      </c>
      <c r="Z13" s="2064"/>
      <c r="AA13" s="2067"/>
      <c r="AB13" s="2059"/>
      <c r="AC13" s="2061">
        <f t="shared" si="18"/>
        <v>0</v>
      </c>
      <c r="AD13" s="2809">
        <f t="shared" si="8"/>
        <v>0</v>
      </c>
      <c r="AE13" s="2064"/>
      <c r="AF13" s="2067"/>
      <c r="AG13" s="2059"/>
      <c r="AH13" s="2061">
        <f t="shared" si="19"/>
        <v>0</v>
      </c>
      <c r="AI13" s="2809" t="e">
        <f t="shared" si="9"/>
        <v>#DIV/0!</v>
      </c>
      <c r="AJ13" s="2064"/>
      <c r="AK13" s="2059">
        <f t="shared" si="10"/>
        <v>0</v>
      </c>
      <c r="AL13" s="2059">
        <f t="shared" si="10"/>
        <v>0</v>
      </c>
      <c r="AM13" s="2061">
        <f t="shared" si="11"/>
        <v>0</v>
      </c>
      <c r="AN13" s="2809">
        <f t="shared" si="12"/>
        <v>0</v>
      </c>
      <c r="AO13" s="1449"/>
      <c r="AP13" s="920"/>
      <c r="AQ13" s="920"/>
    </row>
    <row r="14" spans="1:43" s="1411" customFormat="1" ht="24.6" customHeight="1" x14ac:dyDescent="0.25">
      <c r="A14" s="1587"/>
      <c r="B14" s="1439" t="s">
        <v>70</v>
      </c>
      <c r="C14" s="1500"/>
      <c r="D14" s="1501"/>
      <c r="E14" s="3102">
        <f t="shared" si="13"/>
        <v>0</v>
      </c>
      <c r="F14" s="1992">
        <f t="shared" si="3"/>
        <v>0</v>
      </c>
      <c r="G14" s="2067"/>
      <c r="H14" s="2059"/>
      <c r="I14" s="2061">
        <f t="shared" si="14"/>
        <v>0</v>
      </c>
      <c r="J14" s="2809">
        <f t="shared" si="4"/>
        <v>0</v>
      </c>
      <c r="K14" s="2064"/>
      <c r="L14" s="2067"/>
      <c r="M14" s="2059"/>
      <c r="N14" s="2061">
        <f t="shared" si="15"/>
        <v>0</v>
      </c>
      <c r="O14" s="2809">
        <f t="shared" si="5"/>
        <v>0</v>
      </c>
      <c r="P14" s="2064"/>
      <c r="Q14" s="2067"/>
      <c r="R14" s="2059"/>
      <c r="S14" s="2061">
        <f t="shared" si="16"/>
        <v>0</v>
      </c>
      <c r="T14" s="2809">
        <f t="shared" si="6"/>
        <v>0</v>
      </c>
      <c r="U14" s="2064"/>
      <c r="V14" s="2067"/>
      <c r="W14" s="2059"/>
      <c r="X14" s="2061">
        <f t="shared" si="17"/>
        <v>0</v>
      </c>
      <c r="Y14" s="2809">
        <f t="shared" si="7"/>
        <v>0</v>
      </c>
      <c r="Z14" s="2064"/>
      <c r="AA14" s="2067"/>
      <c r="AB14" s="2059"/>
      <c r="AC14" s="2061">
        <f t="shared" si="18"/>
        <v>0</v>
      </c>
      <c r="AD14" s="2809">
        <f t="shared" si="8"/>
        <v>0</v>
      </c>
      <c r="AE14" s="2064"/>
      <c r="AF14" s="2067"/>
      <c r="AG14" s="2059"/>
      <c r="AH14" s="2061">
        <f t="shared" si="19"/>
        <v>0</v>
      </c>
      <c r="AI14" s="2809" t="e">
        <f t="shared" si="9"/>
        <v>#DIV/0!</v>
      </c>
      <c r="AJ14" s="2064"/>
      <c r="AK14" s="2059">
        <f t="shared" si="10"/>
        <v>0</v>
      </c>
      <c r="AL14" s="2059">
        <f t="shared" si="10"/>
        <v>0</v>
      </c>
      <c r="AM14" s="2061">
        <f t="shared" si="11"/>
        <v>0</v>
      </c>
      <c r="AN14" s="2809">
        <f t="shared" si="12"/>
        <v>0</v>
      </c>
      <c r="AO14" s="1449"/>
      <c r="AP14" s="920"/>
      <c r="AQ14" s="920"/>
    </row>
    <row r="15" spans="1:43" s="1411" customFormat="1" ht="24.6" customHeight="1" x14ac:dyDescent="0.25">
      <c r="A15" s="1587"/>
      <c r="B15" s="2810" t="s">
        <v>20</v>
      </c>
      <c r="C15" s="1500"/>
      <c r="D15" s="2811"/>
      <c r="E15" s="3102">
        <f t="shared" si="13"/>
        <v>0</v>
      </c>
      <c r="F15" s="1992">
        <f t="shared" si="3"/>
        <v>0</v>
      </c>
      <c r="G15" s="2067"/>
      <c r="H15" s="2059"/>
      <c r="I15" s="2061">
        <f t="shared" si="14"/>
        <v>0</v>
      </c>
      <c r="J15" s="2809">
        <f t="shared" si="4"/>
        <v>0</v>
      </c>
      <c r="K15" s="2064"/>
      <c r="L15" s="2067"/>
      <c r="M15" s="2059"/>
      <c r="N15" s="2061">
        <f t="shared" si="15"/>
        <v>0</v>
      </c>
      <c r="O15" s="2809">
        <f t="shared" si="5"/>
        <v>0</v>
      </c>
      <c r="P15" s="2064"/>
      <c r="Q15" s="2067"/>
      <c r="R15" s="2059"/>
      <c r="S15" s="2061">
        <f t="shared" si="16"/>
        <v>0</v>
      </c>
      <c r="T15" s="2809">
        <f t="shared" si="6"/>
        <v>0</v>
      </c>
      <c r="U15" s="1630"/>
      <c r="V15" s="2067"/>
      <c r="W15" s="2059"/>
      <c r="X15" s="2061">
        <f t="shared" si="17"/>
        <v>0</v>
      </c>
      <c r="Y15" s="2809">
        <f t="shared" si="7"/>
        <v>0</v>
      </c>
      <c r="Z15" s="2064"/>
      <c r="AA15" s="2067"/>
      <c r="AB15" s="2059"/>
      <c r="AC15" s="2061">
        <f t="shared" si="18"/>
        <v>0</v>
      </c>
      <c r="AD15" s="2809">
        <f t="shared" si="8"/>
        <v>0</v>
      </c>
      <c r="AE15" s="2064"/>
      <c r="AF15" s="2067"/>
      <c r="AG15" s="2059"/>
      <c r="AH15" s="2061">
        <f t="shared" si="19"/>
        <v>0</v>
      </c>
      <c r="AI15" s="2809" t="e">
        <f t="shared" si="9"/>
        <v>#DIV/0!</v>
      </c>
      <c r="AJ15" s="1630"/>
      <c r="AK15" s="2059">
        <f t="shared" si="10"/>
        <v>0</v>
      </c>
      <c r="AL15" s="2059">
        <f t="shared" si="10"/>
        <v>0</v>
      </c>
      <c r="AM15" s="2061">
        <f t="shared" si="11"/>
        <v>0</v>
      </c>
      <c r="AN15" s="2809">
        <f t="shared" si="12"/>
        <v>0</v>
      </c>
      <c r="AO15" s="1449"/>
      <c r="AP15" s="920"/>
      <c r="AQ15" s="920"/>
    </row>
    <row r="16" spans="1:43" s="1411" customFormat="1" ht="24.6" customHeight="1" x14ac:dyDescent="0.25">
      <c r="A16" s="1587"/>
      <c r="B16" s="2810" t="s">
        <v>21</v>
      </c>
      <c r="C16" s="1500"/>
      <c r="D16" s="2811"/>
      <c r="E16" s="3102">
        <f t="shared" si="13"/>
        <v>0</v>
      </c>
      <c r="F16" s="1992">
        <f t="shared" si="3"/>
        <v>0</v>
      </c>
      <c r="G16" s="2067"/>
      <c r="H16" s="2059"/>
      <c r="I16" s="2061">
        <f t="shared" si="14"/>
        <v>0</v>
      </c>
      <c r="J16" s="2809">
        <f t="shared" si="4"/>
        <v>0</v>
      </c>
      <c r="K16" s="2063"/>
      <c r="L16" s="2067"/>
      <c r="M16" s="2059"/>
      <c r="N16" s="2061">
        <f t="shared" si="15"/>
        <v>0</v>
      </c>
      <c r="O16" s="2809">
        <f t="shared" si="5"/>
        <v>0</v>
      </c>
      <c r="P16" s="2062"/>
      <c r="Q16" s="2067"/>
      <c r="R16" s="2059"/>
      <c r="S16" s="2061">
        <f t="shared" si="16"/>
        <v>0</v>
      </c>
      <c r="T16" s="2809">
        <f t="shared" si="6"/>
        <v>0</v>
      </c>
      <c r="U16" s="2062"/>
      <c r="V16" s="2067"/>
      <c r="W16" s="2059"/>
      <c r="X16" s="2061">
        <f t="shared" si="17"/>
        <v>0</v>
      </c>
      <c r="Y16" s="2809">
        <f t="shared" si="7"/>
        <v>0</v>
      </c>
      <c r="Z16" s="2062"/>
      <c r="AA16" s="2067"/>
      <c r="AB16" s="2059"/>
      <c r="AC16" s="2061">
        <f t="shared" si="18"/>
        <v>0</v>
      </c>
      <c r="AD16" s="2809">
        <f t="shared" si="8"/>
        <v>0</v>
      </c>
      <c r="AE16" s="2062"/>
      <c r="AF16" s="2067"/>
      <c r="AG16" s="2059"/>
      <c r="AH16" s="2061">
        <f t="shared" si="19"/>
        <v>0</v>
      </c>
      <c r="AI16" s="2809" t="e">
        <f t="shared" si="9"/>
        <v>#DIV/0!</v>
      </c>
      <c r="AJ16" s="2062"/>
      <c r="AK16" s="2059">
        <f t="shared" si="10"/>
        <v>0</v>
      </c>
      <c r="AL16" s="2059">
        <f t="shared" si="10"/>
        <v>0</v>
      </c>
      <c r="AM16" s="2061">
        <f t="shared" si="11"/>
        <v>0</v>
      </c>
      <c r="AN16" s="2809">
        <f t="shared" si="12"/>
        <v>0</v>
      </c>
      <c r="AO16" s="1449"/>
      <c r="AP16" s="920"/>
      <c r="AQ16" s="920"/>
    </row>
    <row r="17" spans="1:43" s="1411" customFormat="1" ht="24.6" customHeight="1" x14ac:dyDescent="0.25">
      <c r="A17" s="1587"/>
      <c r="B17" s="2810" t="s">
        <v>22</v>
      </c>
      <c r="C17" s="1500"/>
      <c r="D17" s="2811"/>
      <c r="E17" s="3102">
        <f t="shared" si="13"/>
        <v>0</v>
      </c>
      <c r="F17" s="1992">
        <f t="shared" si="3"/>
        <v>0</v>
      </c>
      <c r="G17" s="2067"/>
      <c r="H17" s="2059"/>
      <c r="I17" s="2061">
        <f t="shared" si="14"/>
        <v>0</v>
      </c>
      <c r="J17" s="2809">
        <f t="shared" si="4"/>
        <v>0</v>
      </c>
      <c r="K17" s="2065"/>
      <c r="L17" s="2067"/>
      <c r="M17" s="2059"/>
      <c r="N17" s="2061">
        <f t="shared" si="15"/>
        <v>0</v>
      </c>
      <c r="O17" s="2809">
        <f t="shared" si="5"/>
        <v>0</v>
      </c>
      <c r="P17" s="2064"/>
      <c r="Q17" s="2067"/>
      <c r="R17" s="2059"/>
      <c r="S17" s="2061">
        <f t="shared" si="16"/>
        <v>0</v>
      </c>
      <c r="T17" s="2809">
        <f t="shared" si="6"/>
        <v>0</v>
      </c>
      <c r="U17" s="2064"/>
      <c r="V17" s="2067"/>
      <c r="W17" s="2059"/>
      <c r="X17" s="2061">
        <f t="shared" si="17"/>
        <v>0</v>
      </c>
      <c r="Y17" s="2809">
        <f t="shared" si="7"/>
        <v>0</v>
      </c>
      <c r="Z17" s="2064"/>
      <c r="AA17" s="2067"/>
      <c r="AB17" s="2059"/>
      <c r="AC17" s="2061">
        <f t="shared" si="18"/>
        <v>0</v>
      </c>
      <c r="AD17" s="2809">
        <f t="shared" si="8"/>
        <v>0</v>
      </c>
      <c r="AE17" s="2064"/>
      <c r="AF17" s="2067"/>
      <c r="AG17" s="2059"/>
      <c r="AH17" s="2061">
        <f t="shared" si="19"/>
        <v>0</v>
      </c>
      <c r="AI17" s="2809" t="e">
        <f t="shared" si="9"/>
        <v>#DIV/0!</v>
      </c>
      <c r="AJ17" s="2064"/>
      <c r="AK17" s="2059">
        <f t="shared" si="10"/>
        <v>0</v>
      </c>
      <c r="AL17" s="2059">
        <f t="shared" si="10"/>
        <v>0</v>
      </c>
      <c r="AM17" s="2061">
        <f t="shared" si="11"/>
        <v>0</v>
      </c>
      <c r="AN17" s="2809">
        <f t="shared" si="12"/>
        <v>0</v>
      </c>
      <c r="AO17" s="1449"/>
      <c r="AP17" s="920"/>
      <c r="AQ17" s="920"/>
    </row>
    <row r="18" spans="1:43" s="1411" customFormat="1" ht="27.6" customHeight="1" x14ac:dyDescent="0.25">
      <c r="A18" s="1587"/>
      <c r="B18" s="2810" t="s">
        <v>0</v>
      </c>
      <c r="C18" s="1500">
        <v>278100</v>
      </c>
      <c r="D18" s="2811"/>
      <c r="E18" s="3102">
        <f t="shared" si="13"/>
        <v>278100</v>
      </c>
      <c r="F18" s="1992">
        <f t="shared" si="3"/>
        <v>0.88963531669865648</v>
      </c>
      <c r="G18" s="2067"/>
      <c r="H18" s="2059"/>
      <c r="I18" s="2061">
        <f t="shared" si="14"/>
        <v>0</v>
      </c>
      <c r="J18" s="2809">
        <f t="shared" si="4"/>
        <v>0</v>
      </c>
      <c r="K18" s="2071"/>
      <c r="L18" s="2067"/>
      <c r="M18" s="2059">
        <v>7500</v>
      </c>
      <c r="N18" s="2061">
        <f t="shared" si="15"/>
        <v>7500</v>
      </c>
      <c r="O18" s="2809">
        <f t="shared" si="5"/>
        <v>0.50674888160521825</v>
      </c>
      <c r="P18" s="2062" t="s">
        <v>1681</v>
      </c>
      <c r="Q18" s="2067">
        <f>30000+16000+3321.4</f>
        <v>49321.4</v>
      </c>
      <c r="R18" s="2059"/>
      <c r="S18" s="2061">
        <f t="shared" si="16"/>
        <v>49321.4</v>
      </c>
      <c r="T18" s="2809">
        <f t="shared" si="6"/>
        <v>0.99888590523288345</v>
      </c>
      <c r="U18" s="2071" t="s">
        <v>1715</v>
      </c>
      <c r="V18" s="2067"/>
      <c r="W18" s="2059"/>
      <c r="X18" s="2061">
        <f t="shared" si="17"/>
        <v>0</v>
      </c>
      <c r="Y18" s="2809">
        <f t="shared" si="7"/>
        <v>0</v>
      </c>
      <c r="Z18" s="2062"/>
      <c r="AA18" s="2067"/>
      <c r="AB18" s="2059"/>
      <c r="AC18" s="2061">
        <f t="shared" si="18"/>
        <v>0</v>
      </c>
      <c r="AD18" s="2809">
        <f t="shared" si="8"/>
        <v>0</v>
      </c>
      <c r="AE18" s="2062"/>
      <c r="AF18" s="1633"/>
      <c r="AG18" s="2059"/>
      <c r="AH18" s="2061">
        <f t="shared" si="19"/>
        <v>0</v>
      </c>
      <c r="AI18" s="2809" t="e">
        <f t="shared" si="9"/>
        <v>#DIV/0!</v>
      </c>
      <c r="AJ18" s="2071"/>
      <c r="AK18" s="2059">
        <f t="shared" si="10"/>
        <v>49321.4</v>
      </c>
      <c r="AL18" s="2059">
        <f t="shared" si="10"/>
        <v>7500</v>
      </c>
      <c r="AM18" s="1888">
        <f t="shared" si="11"/>
        <v>56821.4</v>
      </c>
      <c r="AN18" s="2809">
        <f t="shared" si="12"/>
        <v>0.72051438539621038</v>
      </c>
      <c r="AO18" s="1449"/>
      <c r="AP18" s="920"/>
      <c r="AQ18" s="920"/>
    </row>
    <row r="19" spans="1:43" s="1411" customFormat="1" ht="24.6" customHeight="1" x14ac:dyDescent="0.25">
      <c r="A19" s="1587"/>
      <c r="B19" s="2810" t="s">
        <v>53</v>
      </c>
      <c r="C19" s="2696"/>
      <c r="D19" s="2811"/>
      <c r="E19" s="3102">
        <f t="shared" si="13"/>
        <v>0</v>
      </c>
      <c r="F19" s="1992">
        <f t="shared" si="3"/>
        <v>0</v>
      </c>
      <c r="G19" s="2067"/>
      <c r="H19" s="2059"/>
      <c r="I19" s="2061">
        <f t="shared" si="14"/>
        <v>0</v>
      </c>
      <c r="J19" s="2809">
        <f t="shared" si="4"/>
        <v>0</v>
      </c>
      <c r="K19" s="2065"/>
      <c r="L19" s="2067"/>
      <c r="M19" s="2059"/>
      <c r="N19" s="2061">
        <f t="shared" si="15"/>
        <v>0</v>
      </c>
      <c r="O19" s="2809">
        <f t="shared" si="5"/>
        <v>0</v>
      </c>
      <c r="P19" s="2064"/>
      <c r="Q19" s="2067"/>
      <c r="R19" s="2059"/>
      <c r="S19" s="2061">
        <f t="shared" si="16"/>
        <v>0</v>
      </c>
      <c r="T19" s="2809">
        <f t="shared" si="6"/>
        <v>0</v>
      </c>
      <c r="U19" s="2064"/>
      <c r="V19" s="2067"/>
      <c r="W19" s="2059"/>
      <c r="X19" s="2061">
        <f t="shared" si="17"/>
        <v>0</v>
      </c>
      <c r="Y19" s="2809">
        <f t="shared" si="7"/>
        <v>0</v>
      </c>
      <c r="Z19" s="2064"/>
      <c r="AA19" s="2067"/>
      <c r="AB19" s="2059"/>
      <c r="AC19" s="2061">
        <f t="shared" si="18"/>
        <v>0</v>
      </c>
      <c r="AD19" s="2809">
        <f t="shared" si="8"/>
        <v>0</v>
      </c>
      <c r="AE19" s="2064"/>
      <c r="AF19" s="2067"/>
      <c r="AG19" s="2059"/>
      <c r="AH19" s="2061">
        <f t="shared" si="19"/>
        <v>0</v>
      </c>
      <c r="AI19" s="2809" t="e">
        <f t="shared" si="9"/>
        <v>#DIV/0!</v>
      </c>
      <c r="AJ19" s="2064"/>
      <c r="AK19" s="2059">
        <f t="shared" si="10"/>
        <v>0</v>
      </c>
      <c r="AL19" s="2059">
        <f t="shared" si="10"/>
        <v>0</v>
      </c>
      <c r="AM19" s="2061">
        <f t="shared" si="11"/>
        <v>0</v>
      </c>
      <c r="AN19" s="2809">
        <f t="shared" si="12"/>
        <v>0</v>
      </c>
      <c r="AO19" s="1449"/>
      <c r="AP19" s="920"/>
      <c r="AQ19" s="920"/>
    </row>
    <row r="20" spans="1:43" s="1411" customFormat="1" ht="24.6" customHeight="1" x14ac:dyDescent="0.25">
      <c r="A20" s="1587"/>
      <c r="B20" s="2810" t="s">
        <v>57</v>
      </c>
      <c r="C20" s="2696"/>
      <c r="D20" s="2811"/>
      <c r="E20" s="3102">
        <f t="shared" si="13"/>
        <v>0</v>
      </c>
      <c r="F20" s="1992">
        <f t="shared" si="3"/>
        <v>0</v>
      </c>
      <c r="G20" s="2067"/>
      <c r="H20" s="2059"/>
      <c r="I20" s="2061">
        <f t="shared" si="14"/>
        <v>0</v>
      </c>
      <c r="J20" s="2809">
        <f t="shared" si="4"/>
        <v>0</v>
      </c>
      <c r="K20" s="2065"/>
      <c r="L20" s="2067"/>
      <c r="M20" s="2059"/>
      <c r="N20" s="2061">
        <f t="shared" si="15"/>
        <v>0</v>
      </c>
      <c r="O20" s="2809">
        <f t="shared" si="5"/>
        <v>0</v>
      </c>
      <c r="P20" s="2064"/>
      <c r="Q20" s="2067"/>
      <c r="R20" s="2059"/>
      <c r="S20" s="2061">
        <f t="shared" si="16"/>
        <v>0</v>
      </c>
      <c r="T20" s="2809">
        <f t="shared" si="6"/>
        <v>0</v>
      </c>
      <c r="U20" s="2064"/>
      <c r="V20" s="2067"/>
      <c r="W20" s="2059"/>
      <c r="X20" s="2061">
        <f t="shared" si="17"/>
        <v>0</v>
      </c>
      <c r="Y20" s="2809">
        <f t="shared" si="7"/>
        <v>0</v>
      </c>
      <c r="Z20" s="2064"/>
      <c r="AA20" s="2067"/>
      <c r="AB20" s="2059"/>
      <c r="AC20" s="2061">
        <f t="shared" si="18"/>
        <v>0</v>
      </c>
      <c r="AD20" s="2809">
        <f t="shared" si="8"/>
        <v>0</v>
      </c>
      <c r="AE20" s="2064"/>
      <c r="AF20" s="2067"/>
      <c r="AG20" s="2059"/>
      <c r="AH20" s="2061">
        <f t="shared" si="19"/>
        <v>0</v>
      </c>
      <c r="AI20" s="2809" t="e">
        <f t="shared" si="9"/>
        <v>#DIV/0!</v>
      </c>
      <c r="AJ20" s="2064"/>
      <c r="AK20" s="2059">
        <f t="shared" si="10"/>
        <v>0</v>
      </c>
      <c r="AL20" s="2059">
        <f t="shared" si="10"/>
        <v>0</v>
      </c>
      <c r="AM20" s="2061">
        <f t="shared" si="11"/>
        <v>0</v>
      </c>
      <c r="AN20" s="2809">
        <f t="shared" si="12"/>
        <v>0</v>
      </c>
      <c r="AO20" s="1449"/>
      <c r="AP20" s="920"/>
      <c r="AQ20" s="920"/>
    </row>
    <row r="21" spans="1:43" s="1411" customFormat="1" ht="24.6" customHeight="1" x14ac:dyDescent="0.25">
      <c r="A21" s="1587"/>
      <c r="B21" s="2810" t="s">
        <v>58</v>
      </c>
      <c r="C21" s="2696"/>
      <c r="D21" s="2811"/>
      <c r="E21" s="3102">
        <f t="shared" si="13"/>
        <v>0</v>
      </c>
      <c r="F21" s="1992">
        <f t="shared" si="3"/>
        <v>0</v>
      </c>
      <c r="G21" s="2067"/>
      <c r="H21" s="2059"/>
      <c r="I21" s="2061">
        <f t="shared" si="14"/>
        <v>0</v>
      </c>
      <c r="J21" s="2809">
        <f t="shared" si="4"/>
        <v>0</v>
      </c>
      <c r="K21" s="2062"/>
      <c r="L21" s="2067"/>
      <c r="M21" s="2059"/>
      <c r="N21" s="2061">
        <f t="shared" si="15"/>
        <v>0</v>
      </c>
      <c r="O21" s="2809">
        <f t="shared" si="5"/>
        <v>0</v>
      </c>
      <c r="P21" s="2064"/>
      <c r="Q21" s="2067"/>
      <c r="R21" s="2059"/>
      <c r="S21" s="2061">
        <f t="shared" si="16"/>
        <v>0</v>
      </c>
      <c r="T21" s="2809">
        <f t="shared" si="6"/>
        <v>0</v>
      </c>
      <c r="U21" s="2064"/>
      <c r="V21" s="2067"/>
      <c r="W21" s="2059"/>
      <c r="X21" s="2061">
        <f t="shared" si="17"/>
        <v>0</v>
      </c>
      <c r="Y21" s="2809">
        <f t="shared" si="7"/>
        <v>0</v>
      </c>
      <c r="Z21" s="2064"/>
      <c r="AA21" s="2067"/>
      <c r="AB21" s="2059"/>
      <c r="AC21" s="2061">
        <f t="shared" si="18"/>
        <v>0</v>
      </c>
      <c r="AD21" s="2809">
        <f t="shared" si="8"/>
        <v>0</v>
      </c>
      <c r="AE21" s="2064"/>
      <c r="AF21" s="2067"/>
      <c r="AG21" s="2059"/>
      <c r="AH21" s="2061">
        <f t="shared" si="19"/>
        <v>0</v>
      </c>
      <c r="AI21" s="2809" t="e">
        <f t="shared" si="9"/>
        <v>#DIV/0!</v>
      </c>
      <c r="AJ21" s="2064"/>
      <c r="AK21" s="2059">
        <f t="shared" si="10"/>
        <v>0</v>
      </c>
      <c r="AL21" s="2059">
        <f t="shared" si="10"/>
        <v>0</v>
      </c>
      <c r="AM21" s="2061">
        <f t="shared" si="11"/>
        <v>0</v>
      </c>
      <c r="AN21" s="2809">
        <f t="shared" si="12"/>
        <v>0</v>
      </c>
      <c r="AO21" s="1449"/>
      <c r="AP21" s="920"/>
      <c r="AQ21" s="920"/>
    </row>
    <row r="22" spans="1:43" s="1411" customFormat="1" ht="24.6" customHeight="1" x14ac:dyDescent="0.25">
      <c r="A22" s="1587"/>
      <c r="B22" s="2810" t="s">
        <v>621</v>
      </c>
      <c r="C22" s="2696"/>
      <c r="D22" s="2811"/>
      <c r="E22" s="3102">
        <f t="shared" si="13"/>
        <v>0</v>
      </c>
      <c r="F22" s="1992">
        <f t="shared" si="3"/>
        <v>0</v>
      </c>
      <c r="G22" s="2067"/>
      <c r="H22" s="2059"/>
      <c r="I22" s="2061">
        <f t="shared" si="14"/>
        <v>0</v>
      </c>
      <c r="J22" s="2809">
        <f t="shared" si="4"/>
        <v>0</v>
      </c>
      <c r="K22" s="2065"/>
      <c r="L22" s="2067"/>
      <c r="M22" s="2059"/>
      <c r="N22" s="2061">
        <f t="shared" si="15"/>
        <v>0</v>
      </c>
      <c r="O22" s="2809">
        <f t="shared" si="5"/>
        <v>0</v>
      </c>
      <c r="P22" s="2064"/>
      <c r="Q22" s="2067"/>
      <c r="R22" s="2059"/>
      <c r="S22" s="2061">
        <f t="shared" si="16"/>
        <v>0</v>
      </c>
      <c r="T22" s="2809">
        <f t="shared" si="6"/>
        <v>0</v>
      </c>
      <c r="U22" s="2064"/>
      <c r="V22" s="2067"/>
      <c r="W22" s="2059"/>
      <c r="X22" s="2061">
        <f t="shared" si="17"/>
        <v>0</v>
      </c>
      <c r="Y22" s="2809">
        <f t="shared" si="7"/>
        <v>0</v>
      </c>
      <c r="Z22" s="2064"/>
      <c r="AA22" s="2067"/>
      <c r="AB22" s="2059"/>
      <c r="AC22" s="2061">
        <f t="shared" si="18"/>
        <v>0</v>
      </c>
      <c r="AD22" s="2809">
        <f t="shared" si="8"/>
        <v>0</v>
      </c>
      <c r="AE22" s="2064"/>
      <c r="AF22" s="2067"/>
      <c r="AG22" s="2059"/>
      <c r="AH22" s="2061">
        <f t="shared" si="19"/>
        <v>0</v>
      </c>
      <c r="AI22" s="2809" t="e">
        <f t="shared" si="9"/>
        <v>#DIV/0!</v>
      </c>
      <c r="AJ22" s="2064"/>
      <c r="AK22" s="2059">
        <f t="shared" si="10"/>
        <v>0</v>
      </c>
      <c r="AL22" s="2059">
        <f t="shared" si="10"/>
        <v>0</v>
      </c>
      <c r="AM22" s="2061">
        <f t="shared" si="11"/>
        <v>0</v>
      </c>
      <c r="AN22" s="2809">
        <f t="shared" si="12"/>
        <v>0</v>
      </c>
      <c r="AO22" s="1449"/>
      <c r="AP22" s="920"/>
      <c r="AQ22" s="920"/>
    </row>
    <row r="23" spans="1:43" s="1411" customFormat="1" ht="24.6" customHeight="1" x14ac:dyDescent="0.25">
      <c r="A23" s="1587"/>
      <c r="B23" s="2810" t="s">
        <v>630</v>
      </c>
      <c r="C23" s="2696"/>
      <c r="D23" s="2811"/>
      <c r="E23" s="3102">
        <f t="shared" si="13"/>
        <v>0</v>
      </c>
      <c r="F23" s="1992">
        <f t="shared" si="3"/>
        <v>0</v>
      </c>
      <c r="G23" s="2067"/>
      <c r="H23" s="2059"/>
      <c r="I23" s="2061">
        <f t="shared" si="14"/>
        <v>0</v>
      </c>
      <c r="J23" s="2809">
        <f t="shared" si="4"/>
        <v>0</v>
      </c>
      <c r="K23" s="2065"/>
      <c r="L23" s="2067"/>
      <c r="M23" s="2059"/>
      <c r="N23" s="2061">
        <f t="shared" si="15"/>
        <v>0</v>
      </c>
      <c r="O23" s="2809">
        <f t="shared" si="5"/>
        <v>0</v>
      </c>
      <c r="P23" s="2064"/>
      <c r="Q23" s="2067"/>
      <c r="R23" s="2059"/>
      <c r="S23" s="2061">
        <f t="shared" si="16"/>
        <v>0</v>
      </c>
      <c r="T23" s="2809">
        <f t="shared" si="6"/>
        <v>0</v>
      </c>
      <c r="U23" s="2064"/>
      <c r="V23" s="2067"/>
      <c r="W23" s="2059"/>
      <c r="X23" s="2061">
        <f t="shared" si="17"/>
        <v>0</v>
      </c>
      <c r="Y23" s="2809">
        <f t="shared" si="7"/>
        <v>0</v>
      </c>
      <c r="Z23" s="2064"/>
      <c r="AA23" s="2067"/>
      <c r="AB23" s="2059"/>
      <c r="AC23" s="2061">
        <f t="shared" si="18"/>
        <v>0</v>
      </c>
      <c r="AD23" s="2809">
        <f t="shared" si="8"/>
        <v>0</v>
      </c>
      <c r="AE23" s="2064"/>
      <c r="AF23" s="2067"/>
      <c r="AG23" s="2059"/>
      <c r="AH23" s="2061">
        <f t="shared" si="19"/>
        <v>0</v>
      </c>
      <c r="AI23" s="2809" t="e">
        <f t="shared" si="9"/>
        <v>#DIV/0!</v>
      </c>
      <c r="AJ23" s="2064"/>
      <c r="AK23" s="2059">
        <f t="shared" si="10"/>
        <v>0</v>
      </c>
      <c r="AL23" s="2059">
        <f t="shared" si="10"/>
        <v>0</v>
      </c>
      <c r="AM23" s="2061">
        <f t="shared" si="11"/>
        <v>0</v>
      </c>
      <c r="AN23" s="2809">
        <f t="shared" si="12"/>
        <v>0</v>
      </c>
      <c r="AO23" s="1449"/>
      <c r="AP23" s="920"/>
      <c r="AQ23" s="920"/>
    </row>
    <row r="24" spans="1:43" s="1411" customFormat="1" ht="24.6" customHeight="1" x14ac:dyDescent="0.25">
      <c r="A24" s="1587"/>
      <c r="B24" s="2810" t="s">
        <v>23</v>
      </c>
      <c r="C24" s="2696"/>
      <c r="D24" s="2811"/>
      <c r="E24" s="3102">
        <f t="shared" si="13"/>
        <v>0</v>
      </c>
      <c r="F24" s="1992">
        <f t="shared" si="3"/>
        <v>0</v>
      </c>
      <c r="G24" s="2067"/>
      <c r="H24" s="2059"/>
      <c r="I24" s="2061">
        <f t="shared" si="14"/>
        <v>0</v>
      </c>
      <c r="J24" s="2809">
        <f t="shared" si="4"/>
        <v>0</v>
      </c>
      <c r="K24" s="2065"/>
      <c r="L24" s="2067"/>
      <c r="M24" s="2059"/>
      <c r="N24" s="2061">
        <f t="shared" si="15"/>
        <v>0</v>
      </c>
      <c r="O24" s="2809">
        <f t="shared" si="5"/>
        <v>0</v>
      </c>
      <c r="P24" s="2064"/>
      <c r="Q24" s="2067"/>
      <c r="R24" s="2059"/>
      <c r="S24" s="2061">
        <f t="shared" si="16"/>
        <v>0</v>
      </c>
      <c r="T24" s="2809">
        <f t="shared" si="6"/>
        <v>0</v>
      </c>
      <c r="U24" s="2062"/>
      <c r="V24" s="2067"/>
      <c r="W24" s="2059"/>
      <c r="X24" s="2061">
        <f t="shared" si="17"/>
        <v>0</v>
      </c>
      <c r="Y24" s="2809">
        <f t="shared" si="7"/>
        <v>0</v>
      </c>
      <c r="Z24" s="2064"/>
      <c r="AA24" s="2067"/>
      <c r="AB24" s="2059"/>
      <c r="AC24" s="2061">
        <f t="shared" si="18"/>
        <v>0</v>
      </c>
      <c r="AD24" s="2809">
        <f t="shared" si="8"/>
        <v>0</v>
      </c>
      <c r="AE24" s="2064"/>
      <c r="AF24" s="2067"/>
      <c r="AG24" s="2059"/>
      <c r="AH24" s="2061">
        <f t="shared" si="19"/>
        <v>0</v>
      </c>
      <c r="AI24" s="2809" t="e">
        <f t="shared" si="9"/>
        <v>#DIV/0!</v>
      </c>
      <c r="AJ24" s="2062"/>
      <c r="AK24" s="2059">
        <f t="shared" si="10"/>
        <v>0</v>
      </c>
      <c r="AL24" s="2059">
        <f t="shared" si="10"/>
        <v>0</v>
      </c>
      <c r="AM24" s="2061">
        <f t="shared" si="11"/>
        <v>0</v>
      </c>
      <c r="AN24" s="2809">
        <f t="shared" si="12"/>
        <v>0</v>
      </c>
      <c r="AO24" s="1449"/>
      <c r="AP24" s="920"/>
      <c r="AQ24" s="920"/>
    </row>
    <row r="25" spans="1:43" s="1411" customFormat="1" ht="24.6" customHeight="1" x14ac:dyDescent="0.25">
      <c r="A25" s="1587"/>
      <c r="B25" s="2810" t="s">
        <v>24</v>
      </c>
      <c r="C25" s="2696"/>
      <c r="D25" s="2811"/>
      <c r="E25" s="3102">
        <f t="shared" si="13"/>
        <v>0</v>
      </c>
      <c r="F25" s="1992">
        <f t="shared" si="3"/>
        <v>0</v>
      </c>
      <c r="G25" s="2067"/>
      <c r="H25" s="2059"/>
      <c r="I25" s="2061">
        <f t="shared" si="14"/>
        <v>0</v>
      </c>
      <c r="J25" s="2809">
        <f t="shared" si="4"/>
        <v>0</v>
      </c>
      <c r="K25" s="2071"/>
      <c r="L25" s="2067"/>
      <c r="M25" s="2059"/>
      <c r="N25" s="2061">
        <f t="shared" si="15"/>
        <v>0</v>
      </c>
      <c r="O25" s="2809">
        <f t="shared" si="5"/>
        <v>0</v>
      </c>
      <c r="P25" s="2062"/>
      <c r="Q25" s="2067"/>
      <c r="R25" s="2059"/>
      <c r="S25" s="2061">
        <f t="shared" si="16"/>
        <v>0</v>
      </c>
      <c r="T25" s="2809">
        <f t="shared" si="6"/>
        <v>0</v>
      </c>
      <c r="U25" s="2062"/>
      <c r="V25" s="2067"/>
      <c r="W25" s="2059"/>
      <c r="X25" s="2061">
        <f t="shared" si="17"/>
        <v>0</v>
      </c>
      <c r="Y25" s="2809">
        <f t="shared" si="7"/>
        <v>0</v>
      </c>
      <c r="Z25" s="2062"/>
      <c r="AA25" s="2067"/>
      <c r="AB25" s="2059"/>
      <c r="AC25" s="2061">
        <f t="shared" si="18"/>
        <v>0</v>
      </c>
      <c r="AD25" s="2809">
        <f t="shared" si="8"/>
        <v>0</v>
      </c>
      <c r="AE25" s="2062"/>
      <c r="AF25" s="2067"/>
      <c r="AG25" s="2059"/>
      <c r="AH25" s="2061">
        <f t="shared" si="19"/>
        <v>0</v>
      </c>
      <c r="AI25" s="2809" t="e">
        <f t="shared" si="9"/>
        <v>#DIV/0!</v>
      </c>
      <c r="AJ25" s="2062"/>
      <c r="AK25" s="2059">
        <f t="shared" si="10"/>
        <v>0</v>
      </c>
      <c r="AL25" s="2059">
        <f t="shared" si="10"/>
        <v>0</v>
      </c>
      <c r="AM25" s="2061">
        <f t="shared" si="11"/>
        <v>0</v>
      </c>
      <c r="AN25" s="2809">
        <f t="shared" si="12"/>
        <v>0</v>
      </c>
      <c r="AO25" s="1449"/>
      <c r="AP25" s="920"/>
      <c r="AQ25" s="920"/>
    </row>
    <row r="26" spans="1:43" s="1411" customFormat="1" ht="24.6" customHeight="1" x14ac:dyDescent="0.25">
      <c r="A26" s="1587"/>
      <c r="B26" s="2810" t="s">
        <v>45</v>
      </c>
      <c r="C26" s="2696"/>
      <c r="D26" s="2811"/>
      <c r="E26" s="3102">
        <f t="shared" si="13"/>
        <v>0</v>
      </c>
      <c r="F26" s="1992">
        <f t="shared" si="3"/>
        <v>0</v>
      </c>
      <c r="G26" s="2067"/>
      <c r="H26" s="2059"/>
      <c r="I26" s="2061">
        <f t="shared" si="14"/>
        <v>0</v>
      </c>
      <c r="J26" s="2809">
        <f t="shared" si="4"/>
        <v>0</v>
      </c>
      <c r="K26" s="2143"/>
      <c r="L26" s="2067"/>
      <c r="M26" s="2059"/>
      <c r="N26" s="2061">
        <f t="shared" si="15"/>
        <v>0</v>
      </c>
      <c r="O26" s="2809">
        <f t="shared" si="5"/>
        <v>0</v>
      </c>
      <c r="P26" s="2064"/>
      <c r="Q26" s="2067"/>
      <c r="R26" s="2059"/>
      <c r="S26" s="2061">
        <f t="shared" si="16"/>
        <v>0</v>
      </c>
      <c r="T26" s="2809">
        <f t="shared" si="6"/>
        <v>0</v>
      </c>
      <c r="U26" s="2064"/>
      <c r="V26" s="2067"/>
      <c r="W26" s="2059"/>
      <c r="X26" s="2061">
        <f t="shared" si="17"/>
        <v>0</v>
      </c>
      <c r="Y26" s="2809">
        <f t="shared" si="7"/>
        <v>0</v>
      </c>
      <c r="Z26" s="2064"/>
      <c r="AA26" s="2067"/>
      <c r="AB26" s="2059"/>
      <c r="AC26" s="2061">
        <f t="shared" si="18"/>
        <v>0</v>
      </c>
      <c r="AD26" s="2809">
        <f t="shared" si="8"/>
        <v>0</v>
      </c>
      <c r="AE26" s="2064"/>
      <c r="AF26" s="2067"/>
      <c r="AG26" s="2059"/>
      <c r="AH26" s="2061">
        <f t="shared" si="19"/>
        <v>0</v>
      </c>
      <c r="AI26" s="2809" t="e">
        <f t="shared" si="9"/>
        <v>#DIV/0!</v>
      </c>
      <c r="AJ26" s="2064"/>
      <c r="AK26" s="2059">
        <f t="shared" si="10"/>
        <v>0</v>
      </c>
      <c r="AL26" s="2059">
        <f t="shared" si="10"/>
        <v>0</v>
      </c>
      <c r="AM26" s="2061">
        <f t="shared" si="11"/>
        <v>0</v>
      </c>
      <c r="AN26" s="2809">
        <f t="shared" si="12"/>
        <v>0</v>
      </c>
      <c r="AO26" s="1449"/>
      <c r="AP26" s="920"/>
      <c r="AQ26" s="920"/>
    </row>
    <row r="27" spans="1:43" s="1411" customFormat="1" ht="24.6" customHeight="1" x14ac:dyDescent="0.25">
      <c r="A27" s="1587"/>
      <c r="B27" s="2810" t="s">
        <v>25</v>
      </c>
      <c r="C27" s="2696"/>
      <c r="D27" s="2811"/>
      <c r="E27" s="3102">
        <f t="shared" si="13"/>
        <v>0</v>
      </c>
      <c r="F27" s="1992">
        <f t="shared" si="3"/>
        <v>0</v>
      </c>
      <c r="G27" s="2067"/>
      <c r="H27" s="2059"/>
      <c r="I27" s="2061">
        <f t="shared" si="14"/>
        <v>0</v>
      </c>
      <c r="J27" s="2809">
        <f t="shared" si="4"/>
        <v>0</v>
      </c>
      <c r="K27" s="2071"/>
      <c r="L27" s="2067"/>
      <c r="M27" s="2059"/>
      <c r="N27" s="2061">
        <f t="shared" si="15"/>
        <v>0</v>
      </c>
      <c r="O27" s="2809">
        <f t="shared" si="5"/>
        <v>0</v>
      </c>
      <c r="P27" s="2062"/>
      <c r="Q27" s="2067"/>
      <c r="R27" s="2059"/>
      <c r="S27" s="2061">
        <f t="shared" si="16"/>
        <v>0</v>
      </c>
      <c r="T27" s="2809">
        <f t="shared" si="6"/>
        <v>0</v>
      </c>
      <c r="U27" s="2062"/>
      <c r="V27" s="2067"/>
      <c r="W27" s="2059"/>
      <c r="X27" s="2061">
        <f t="shared" si="17"/>
        <v>0</v>
      </c>
      <c r="Y27" s="2809">
        <f t="shared" si="7"/>
        <v>0</v>
      </c>
      <c r="Z27" s="2062"/>
      <c r="AA27" s="2067"/>
      <c r="AB27" s="2059"/>
      <c r="AC27" s="2061">
        <f t="shared" si="18"/>
        <v>0</v>
      </c>
      <c r="AD27" s="2809">
        <f t="shared" si="8"/>
        <v>0</v>
      </c>
      <c r="AE27" s="2062"/>
      <c r="AF27" s="2067"/>
      <c r="AG27" s="2059"/>
      <c r="AH27" s="2061">
        <f t="shared" si="19"/>
        <v>0</v>
      </c>
      <c r="AI27" s="2809" t="e">
        <f t="shared" si="9"/>
        <v>#DIV/0!</v>
      </c>
      <c r="AJ27" s="2062"/>
      <c r="AK27" s="2059">
        <f t="shared" si="10"/>
        <v>0</v>
      </c>
      <c r="AL27" s="2059">
        <f t="shared" si="10"/>
        <v>0</v>
      </c>
      <c r="AM27" s="2061">
        <f t="shared" si="11"/>
        <v>0</v>
      </c>
      <c r="AN27" s="2809">
        <f t="shared" si="12"/>
        <v>0</v>
      </c>
      <c r="AO27" s="1449"/>
      <c r="AP27" s="920"/>
      <c r="AQ27" s="920"/>
    </row>
    <row r="28" spans="1:43" s="1411" customFormat="1" ht="24.6" customHeight="1" x14ac:dyDescent="0.25">
      <c r="A28" s="1587"/>
      <c r="B28" s="2810" t="s">
        <v>52</v>
      </c>
      <c r="C28" s="2696"/>
      <c r="D28" s="2811"/>
      <c r="E28" s="3102">
        <f t="shared" si="13"/>
        <v>0</v>
      </c>
      <c r="F28" s="1992">
        <f t="shared" si="3"/>
        <v>0</v>
      </c>
      <c r="G28" s="2067"/>
      <c r="H28" s="2059"/>
      <c r="I28" s="2061">
        <f t="shared" si="14"/>
        <v>0</v>
      </c>
      <c r="J28" s="2809">
        <f t="shared" si="4"/>
        <v>0</v>
      </c>
      <c r="K28" s="2071"/>
      <c r="L28" s="2067"/>
      <c r="M28" s="2059"/>
      <c r="N28" s="2061">
        <f t="shared" si="15"/>
        <v>0</v>
      </c>
      <c r="O28" s="2809">
        <f t="shared" si="5"/>
        <v>0</v>
      </c>
      <c r="P28" s="2062"/>
      <c r="Q28" s="2067"/>
      <c r="R28" s="2059"/>
      <c r="S28" s="2061">
        <f t="shared" si="16"/>
        <v>0</v>
      </c>
      <c r="T28" s="2809">
        <f t="shared" si="6"/>
        <v>0</v>
      </c>
      <c r="U28" s="2062"/>
      <c r="V28" s="2067"/>
      <c r="W28" s="2059"/>
      <c r="X28" s="2061">
        <f t="shared" si="17"/>
        <v>0</v>
      </c>
      <c r="Y28" s="2809">
        <f t="shared" si="7"/>
        <v>0</v>
      </c>
      <c r="Z28" s="2062"/>
      <c r="AA28" s="2067"/>
      <c r="AB28" s="2059"/>
      <c r="AC28" s="2061">
        <f t="shared" si="18"/>
        <v>0</v>
      </c>
      <c r="AD28" s="2809">
        <f t="shared" si="8"/>
        <v>0</v>
      </c>
      <c r="AE28" s="2062"/>
      <c r="AF28" s="2067"/>
      <c r="AG28" s="2059"/>
      <c r="AH28" s="2061">
        <f t="shared" si="19"/>
        <v>0</v>
      </c>
      <c r="AI28" s="2809" t="e">
        <f t="shared" si="9"/>
        <v>#DIV/0!</v>
      </c>
      <c r="AJ28" s="2062"/>
      <c r="AK28" s="2059">
        <f t="shared" si="10"/>
        <v>0</v>
      </c>
      <c r="AL28" s="2059">
        <f t="shared" si="10"/>
        <v>0</v>
      </c>
      <c r="AM28" s="2061">
        <f>AK28+AL28*1</f>
        <v>0</v>
      </c>
      <c r="AN28" s="2809">
        <f t="shared" si="12"/>
        <v>0</v>
      </c>
      <c r="AO28" s="1449"/>
      <c r="AP28" s="921"/>
      <c r="AQ28" s="920"/>
    </row>
    <row r="29" spans="1:43" s="1411" customFormat="1" ht="24.6" customHeight="1" x14ac:dyDescent="0.25">
      <c r="A29" s="1587"/>
      <c r="B29" s="2810" t="s">
        <v>31</v>
      </c>
      <c r="C29" s="2696"/>
      <c r="D29" s="2811"/>
      <c r="E29" s="3102">
        <f t="shared" si="13"/>
        <v>0</v>
      </c>
      <c r="F29" s="2809">
        <f t="shared" si="3"/>
        <v>0</v>
      </c>
      <c r="G29" s="2067"/>
      <c r="H29" s="2059"/>
      <c r="I29" s="2061">
        <f t="shared" si="14"/>
        <v>0</v>
      </c>
      <c r="J29" s="2809">
        <f t="shared" si="4"/>
        <v>0</v>
      </c>
      <c r="K29" s="2062"/>
      <c r="L29" s="2067"/>
      <c r="M29" s="2059"/>
      <c r="N29" s="2061">
        <f t="shared" si="15"/>
        <v>0</v>
      </c>
      <c r="O29" s="2809">
        <f t="shared" si="5"/>
        <v>0</v>
      </c>
      <c r="P29" s="2062"/>
      <c r="Q29" s="2067"/>
      <c r="R29" s="2059"/>
      <c r="S29" s="2061">
        <f t="shared" si="16"/>
        <v>0</v>
      </c>
      <c r="T29" s="2809">
        <f t="shared" si="6"/>
        <v>0</v>
      </c>
      <c r="U29" s="2062"/>
      <c r="V29" s="2067"/>
      <c r="W29" s="2059"/>
      <c r="X29" s="2061">
        <f t="shared" si="17"/>
        <v>0</v>
      </c>
      <c r="Y29" s="2809">
        <f t="shared" si="7"/>
        <v>0</v>
      </c>
      <c r="Z29" s="2062"/>
      <c r="AA29" s="2067"/>
      <c r="AB29" s="2059"/>
      <c r="AC29" s="2061">
        <f t="shared" si="18"/>
        <v>0</v>
      </c>
      <c r="AD29" s="2809">
        <f t="shared" si="8"/>
        <v>0</v>
      </c>
      <c r="AE29" s="2062"/>
      <c r="AF29" s="2067"/>
      <c r="AG29" s="2059"/>
      <c r="AH29" s="2061">
        <f t="shared" si="19"/>
        <v>0</v>
      </c>
      <c r="AI29" s="2809" t="e">
        <f t="shared" si="9"/>
        <v>#DIV/0!</v>
      </c>
      <c r="AJ29" s="2062"/>
      <c r="AK29" s="2059">
        <f t="shared" si="10"/>
        <v>0</v>
      </c>
      <c r="AL29" s="2059">
        <f t="shared" si="10"/>
        <v>0</v>
      </c>
      <c r="AM29" s="2061">
        <f t="shared" si="11"/>
        <v>0</v>
      </c>
      <c r="AN29" s="2809">
        <f t="shared" si="12"/>
        <v>0</v>
      </c>
      <c r="AO29" s="2813"/>
      <c r="AP29" s="920"/>
      <c r="AQ29" s="920"/>
    </row>
    <row r="30" spans="1:43" s="1411" customFormat="1" ht="51" customHeight="1" x14ac:dyDescent="0.25">
      <c r="A30" s="1587"/>
      <c r="B30" s="2810" t="s">
        <v>62</v>
      </c>
      <c r="C30" s="2696"/>
      <c r="D30" s="2811"/>
      <c r="E30" s="3102">
        <f t="shared" si="13"/>
        <v>0</v>
      </c>
      <c r="F30" s="2809">
        <f t="shared" si="3"/>
        <v>0</v>
      </c>
      <c r="G30" s="2067"/>
      <c r="H30" s="2059"/>
      <c r="I30" s="2061">
        <f t="shared" si="14"/>
        <v>0</v>
      </c>
      <c r="J30" s="2809">
        <f t="shared" si="4"/>
        <v>0</v>
      </c>
      <c r="K30" s="2062"/>
      <c r="L30" s="2067"/>
      <c r="M30" s="2059"/>
      <c r="N30" s="2061">
        <f t="shared" si="15"/>
        <v>0</v>
      </c>
      <c r="O30" s="2809">
        <f t="shared" si="5"/>
        <v>0</v>
      </c>
      <c r="P30" s="2062"/>
      <c r="Q30" s="2067"/>
      <c r="R30" s="2059"/>
      <c r="S30" s="2061">
        <f t="shared" si="16"/>
        <v>0</v>
      </c>
      <c r="T30" s="2809">
        <f t="shared" si="6"/>
        <v>0</v>
      </c>
      <c r="U30" s="2062"/>
      <c r="V30" s="2067"/>
      <c r="W30" s="2059"/>
      <c r="X30" s="2061">
        <f t="shared" si="17"/>
        <v>0</v>
      </c>
      <c r="Y30" s="2809">
        <f t="shared" si="7"/>
        <v>0</v>
      </c>
      <c r="Z30" s="2062"/>
      <c r="AA30" s="2067"/>
      <c r="AB30" s="2059"/>
      <c r="AC30" s="2061">
        <f t="shared" si="18"/>
        <v>0</v>
      </c>
      <c r="AD30" s="2809">
        <f t="shared" si="8"/>
        <v>0</v>
      </c>
      <c r="AE30" s="2062"/>
      <c r="AF30" s="2067"/>
      <c r="AG30" s="2059"/>
      <c r="AH30" s="2061">
        <f t="shared" si="19"/>
        <v>0</v>
      </c>
      <c r="AI30" s="2809" t="e">
        <f t="shared" si="9"/>
        <v>#DIV/0!</v>
      </c>
      <c r="AJ30" s="2062"/>
      <c r="AK30" s="2059">
        <f t="shared" si="10"/>
        <v>0</v>
      </c>
      <c r="AL30" s="2059">
        <f t="shared" si="10"/>
        <v>0</v>
      </c>
      <c r="AM30" s="2061">
        <f t="shared" si="11"/>
        <v>0</v>
      </c>
      <c r="AN30" s="2809">
        <f t="shared" si="12"/>
        <v>0</v>
      </c>
      <c r="AO30" s="2813"/>
      <c r="AP30" s="920"/>
      <c r="AQ30" s="920"/>
    </row>
    <row r="31" spans="1:43" s="1411" customFormat="1" ht="24.6" customHeight="1" x14ac:dyDescent="0.25">
      <c r="A31" s="1587"/>
      <c r="B31" s="2810" t="s">
        <v>34</v>
      </c>
      <c r="C31" s="2696"/>
      <c r="D31" s="2811"/>
      <c r="E31" s="3102">
        <f t="shared" si="13"/>
        <v>0</v>
      </c>
      <c r="F31" s="2809">
        <f t="shared" si="3"/>
        <v>0</v>
      </c>
      <c r="G31" s="2067"/>
      <c r="H31" s="2059"/>
      <c r="I31" s="2061">
        <f t="shared" si="14"/>
        <v>0</v>
      </c>
      <c r="J31" s="2809">
        <f t="shared" si="4"/>
        <v>0</v>
      </c>
      <c r="K31" s="2062"/>
      <c r="L31" s="2067"/>
      <c r="M31" s="2059"/>
      <c r="N31" s="2061">
        <f t="shared" si="15"/>
        <v>0</v>
      </c>
      <c r="O31" s="2809">
        <f t="shared" si="5"/>
        <v>0</v>
      </c>
      <c r="P31" s="2062"/>
      <c r="Q31" s="2067"/>
      <c r="R31" s="2059"/>
      <c r="S31" s="2061">
        <f t="shared" si="16"/>
        <v>0</v>
      </c>
      <c r="T31" s="2809">
        <f t="shared" si="6"/>
        <v>0</v>
      </c>
      <c r="U31" s="2062"/>
      <c r="V31" s="2067"/>
      <c r="W31" s="2059"/>
      <c r="X31" s="2061">
        <f t="shared" si="17"/>
        <v>0</v>
      </c>
      <c r="Y31" s="2809">
        <f t="shared" si="7"/>
        <v>0</v>
      </c>
      <c r="Z31" s="2062"/>
      <c r="AA31" s="2067"/>
      <c r="AB31" s="2059"/>
      <c r="AC31" s="2061">
        <f t="shared" si="18"/>
        <v>0</v>
      </c>
      <c r="AD31" s="2809">
        <f t="shared" si="8"/>
        <v>0</v>
      </c>
      <c r="AE31" s="2062"/>
      <c r="AF31" s="2067"/>
      <c r="AG31" s="2059"/>
      <c r="AH31" s="2061">
        <f t="shared" si="19"/>
        <v>0</v>
      </c>
      <c r="AI31" s="2809" t="e">
        <f t="shared" si="9"/>
        <v>#DIV/0!</v>
      </c>
      <c r="AJ31" s="2062"/>
      <c r="AK31" s="2059">
        <f t="shared" si="10"/>
        <v>0</v>
      </c>
      <c r="AL31" s="2059">
        <f t="shared" si="10"/>
        <v>0</v>
      </c>
      <c r="AM31" s="2061">
        <f t="shared" si="11"/>
        <v>0</v>
      </c>
      <c r="AN31" s="2809">
        <f t="shared" si="12"/>
        <v>0</v>
      </c>
      <c r="AO31" s="2813"/>
      <c r="AP31" s="920"/>
      <c r="AQ31" s="920"/>
    </row>
    <row r="32" spans="1:43" s="1411" customFormat="1" ht="24.6" customHeight="1" x14ac:dyDescent="0.25">
      <c r="A32" s="1587"/>
      <c r="B32" s="2815" t="s">
        <v>2</v>
      </c>
      <c r="C32" s="2816"/>
      <c r="D32" s="2817"/>
      <c r="E32" s="3102">
        <f t="shared" si="13"/>
        <v>0</v>
      </c>
      <c r="F32" s="2809">
        <f t="shared" si="3"/>
        <v>0</v>
      </c>
      <c r="G32" s="2067"/>
      <c r="H32" s="2059"/>
      <c r="I32" s="2061">
        <f t="shared" si="14"/>
        <v>0</v>
      </c>
      <c r="J32" s="2809">
        <f t="shared" si="4"/>
        <v>0</v>
      </c>
      <c r="K32" s="2062"/>
      <c r="L32" s="2067"/>
      <c r="M32" s="2059"/>
      <c r="N32" s="2061">
        <f t="shared" si="15"/>
        <v>0</v>
      </c>
      <c r="O32" s="2809">
        <f t="shared" si="5"/>
        <v>0</v>
      </c>
      <c r="P32" s="2062"/>
      <c r="Q32" s="2067"/>
      <c r="R32" s="2059"/>
      <c r="S32" s="2061">
        <f t="shared" si="16"/>
        <v>0</v>
      </c>
      <c r="T32" s="2809">
        <f t="shared" si="6"/>
        <v>0</v>
      </c>
      <c r="U32" s="2062"/>
      <c r="V32" s="2067"/>
      <c r="W32" s="2059"/>
      <c r="X32" s="2061">
        <f t="shared" si="17"/>
        <v>0</v>
      </c>
      <c r="Y32" s="2809">
        <f t="shared" si="7"/>
        <v>0</v>
      </c>
      <c r="Z32" s="2062"/>
      <c r="AA32" s="2067"/>
      <c r="AB32" s="2059"/>
      <c r="AC32" s="2061">
        <f t="shared" si="18"/>
        <v>0</v>
      </c>
      <c r="AD32" s="2809">
        <f t="shared" si="8"/>
        <v>0</v>
      </c>
      <c r="AE32" s="2062"/>
      <c r="AF32" s="2067"/>
      <c r="AG32" s="2059"/>
      <c r="AH32" s="2061">
        <f t="shared" si="19"/>
        <v>0</v>
      </c>
      <c r="AI32" s="2809" t="e">
        <f t="shared" si="9"/>
        <v>#DIV/0!</v>
      </c>
      <c r="AJ32" s="2062"/>
      <c r="AK32" s="2059">
        <f t="shared" si="10"/>
        <v>0</v>
      </c>
      <c r="AL32" s="2059">
        <f t="shared" si="10"/>
        <v>0</v>
      </c>
      <c r="AM32" s="2061">
        <f t="shared" si="11"/>
        <v>0</v>
      </c>
      <c r="AN32" s="2809">
        <f t="shared" si="12"/>
        <v>0</v>
      </c>
      <c r="AO32" s="2813"/>
      <c r="AP32" s="920"/>
      <c r="AQ32" s="920"/>
    </row>
    <row r="33" spans="1:43" s="1411" customFormat="1" ht="24.6" customHeight="1" thickBot="1" x14ac:dyDescent="0.3">
      <c r="A33" s="1587"/>
      <c r="B33" s="2855" t="s">
        <v>75</v>
      </c>
      <c r="C33" s="2908"/>
      <c r="D33" s="2909">
        <v>30000</v>
      </c>
      <c r="E33" s="3111">
        <f>C33+D33</f>
        <v>30000</v>
      </c>
      <c r="F33" s="2910">
        <f t="shared" si="3"/>
        <v>9.5969289827255277E-2</v>
      </c>
      <c r="G33" s="2044"/>
      <c r="H33" s="2041">
        <v>8000</v>
      </c>
      <c r="I33" s="2042">
        <f t="shared" si="14"/>
        <v>8000</v>
      </c>
      <c r="J33" s="2910">
        <f t="shared" si="4"/>
        <v>0.8928571428571429</v>
      </c>
      <c r="K33" s="1690"/>
      <c r="L33" s="2044"/>
      <c r="M33" s="2041">
        <v>6000</v>
      </c>
      <c r="N33" s="2042">
        <f t="shared" si="15"/>
        <v>6000</v>
      </c>
      <c r="O33" s="2910">
        <f t="shared" si="5"/>
        <v>0.40539910528417461</v>
      </c>
      <c r="P33" s="1690"/>
      <c r="Q33" s="2044"/>
      <c r="R33" s="2041"/>
      <c r="S33" s="2042">
        <f t="shared" si="16"/>
        <v>0</v>
      </c>
      <c r="T33" s="2910">
        <f t="shared" si="6"/>
        <v>0</v>
      </c>
      <c r="U33" s="1690"/>
      <c r="V33" s="2044"/>
      <c r="W33" s="2041"/>
      <c r="X33" s="2042">
        <f t="shared" si="17"/>
        <v>0</v>
      </c>
      <c r="Y33" s="2910">
        <f t="shared" si="7"/>
        <v>0</v>
      </c>
      <c r="Z33" s="1690"/>
      <c r="AA33" s="2044"/>
      <c r="AB33" s="2041"/>
      <c r="AC33" s="2042">
        <f t="shared" si="18"/>
        <v>0</v>
      </c>
      <c r="AD33" s="2910">
        <f t="shared" si="8"/>
        <v>0</v>
      </c>
      <c r="AE33" s="1690"/>
      <c r="AF33" s="2044"/>
      <c r="AG33" s="2041"/>
      <c r="AH33" s="2042">
        <f t="shared" si="19"/>
        <v>0</v>
      </c>
      <c r="AI33" s="2910" t="e">
        <f t="shared" si="9"/>
        <v>#DIV/0!</v>
      </c>
      <c r="AJ33" s="1690"/>
      <c r="AK33" s="2857">
        <f t="shared" si="10"/>
        <v>0</v>
      </c>
      <c r="AL33" s="2913">
        <f t="shared" si="10"/>
        <v>14000</v>
      </c>
      <c r="AM33" s="3210">
        <f t="shared" si="11"/>
        <v>14000</v>
      </c>
      <c r="AN33" s="2910">
        <f t="shared" si="12"/>
        <v>0.17752468956320938</v>
      </c>
      <c r="AO33" s="2914"/>
      <c r="AP33" s="920"/>
      <c r="AQ33" s="920"/>
    </row>
    <row r="34" spans="1:43" s="1411" customFormat="1" ht="24.6" customHeight="1" x14ac:dyDescent="0.25">
      <c r="A34" s="1587"/>
      <c r="B34" s="1087"/>
      <c r="C34" s="1632"/>
      <c r="D34" s="1633"/>
      <c r="E34" s="2040"/>
      <c r="F34" s="1635"/>
      <c r="G34" s="2067"/>
      <c r="H34" s="2059"/>
      <c r="I34" s="2040"/>
      <c r="J34" s="1992">
        <f t="shared" si="4"/>
        <v>0</v>
      </c>
      <c r="K34" s="2040"/>
      <c r="L34" s="2067"/>
      <c r="M34" s="2059"/>
      <c r="N34" s="2040"/>
      <c r="O34" s="1992"/>
      <c r="P34" s="2040"/>
      <c r="Q34" s="2067"/>
      <c r="R34" s="2059"/>
      <c r="S34" s="2040"/>
      <c r="T34" s="1992"/>
      <c r="U34" s="2040"/>
      <c r="V34" s="2067"/>
      <c r="W34" s="2059"/>
      <c r="X34" s="2040"/>
      <c r="Y34" s="1992"/>
      <c r="Z34" s="2040"/>
      <c r="AA34" s="2067"/>
      <c r="AB34" s="2059"/>
      <c r="AC34" s="2040"/>
      <c r="AD34" s="1992"/>
      <c r="AE34" s="2040"/>
      <c r="AF34" s="2067"/>
      <c r="AG34" s="2059"/>
      <c r="AH34" s="2040"/>
      <c r="AI34" s="1992"/>
      <c r="AJ34" s="2040"/>
      <c r="AK34" s="2059"/>
      <c r="AL34" s="2059"/>
      <c r="AM34" s="2040"/>
      <c r="AN34" s="2040"/>
      <c r="AO34" s="2040"/>
      <c r="AP34" s="920"/>
      <c r="AQ34" s="920"/>
    </row>
    <row r="35" spans="1:43" s="2483" customFormat="1" ht="24.6" customHeight="1" x14ac:dyDescent="0.25">
      <c r="A35" s="1587"/>
      <c r="B35" s="3112" t="s">
        <v>80</v>
      </c>
      <c r="C35" s="2818">
        <f>C36</f>
        <v>0</v>
      </c>
      <c r="D35" s="2818">
        <f>D36</f>
        <v>0</v>
      </c>
      <c r="E35" s="2819">
        <f>E36</f>
        <v>0</v>
      </c>
      <c r="F35" s="2820">
        <f>E35/$E$89</f>
        <v>0</v>
      </c>
      <c r="G35" s="2818"/>
      <c r="H35" s="2818"/>
      <c r="I35" s="2819">
        <f>I36</f>
        <v>0</v>
      </c>
      <c r="J35" s="2809">
        <f t="shared" si="4"/>
        <v>0</v>
      </c>
      <c r="K35" s="2821"/>
      <c r="L35" s="2818"/>
      <c r="M35" s="2818"/>
      <c r="N35" s="2819">
        <f>N36</f>
        <v>0</v>
      </c>
      <c r="O35" s="2809">
        <f t="shared" ref="O35:O36" si="20">N35/N$89</f>
        <v>0</v>
      </c>
      <c r="P35" s="2821"/>
      <c r="Q35" s="2818"/>
      <c r="R35" s="2818"/>
      <c r="S35" s="2819">
        <f>S36</f>
        <v>0</v>
      </c>
      <c r="T35" s="2819">
        <f t="shared" ref="T35:T36" si="21">S35/S$89</f>
        <v>0</v>
      </c>
      <c r="U35" s="2821"/>
      <c r="V35" s="2818"/>
      <c r="W35" s="2818"/>
      <c r="X35" s="2819">
        <f>X36</f>
        <v>0</v>
      </c>
      <c r="Y35" s="2809">
        <f t="shared" ref="Y35:Y36" si="22">X35/X$89</f>
        <v>0</v>
      </c>
      <c r="Z35" s="2821"/>
      <c r="AA35" s="2818"/>
      <c r="AB35" s="2818"/>
      <c r="AC35" s="2819">
        <f>AC36</f>
        <v>0</v>
      </c>
      <c r="AD35" s="2809">
        <f t="shared" ref="AD35:AD36" si="23">AC35/AC$89</f>
        <v>0</v>
      </c>
      <c r="AE35" s="2821"/>
      <c r="AF35" s="2818"/>
      <c r="AG35" s="2818"/>
      <c r="AH35" s="2819">
        <f>AH36</f>
        <v>0</v>
      </c>
      <c r="AI35" s="2819" t="e">
        <f t="shared" ref="AI35:AI36" si="24">AH35/AH$89</f>
        <v>#DIV/0!</v>
      </c>
      <c r="AJ35" s="2821"/>
      <c r="AK35" s="2818">
        <f t="shared" ref="AK35:AM35" si="25">AK36</f>
        <v>0</v>
      </c>
      <c r="AL35" s="2818">
        <f t="shared" si="25"/>
        <v>0</v>
      </c>
      <c r="AM35" s="2818">
        <f t="shared" si="25"/>
        <v>0</v>
      </c>
      <c r="AN35" s="2818">
        <f>AN36</f>
        <v>0</v>
      </c>
      <c r="AO35" s="2819"/>
      <c r="AP35" s="2643"/>
      <c r="AQ35" s="2643"/>
    </row>
    <row r="36" spans="1:43" s="1579" customFormat="1" ht="24.6" customHeight="1" outlineLevel="1" x14ac:dyDescent="0.25">
      <c r="A36" s="1587"/>
      <c r="B36" s="3113" t="s">
        <v>81</v>
      </c>
      <c r="C36" s="2822"/>
      <c r="D36" s="2823"/>
      <c r="E36" s="3211">
        <f>C36+D36*1.15</f>
        <v>0</v>
      </c>
      <c r="F36" s="2831">
        <f>E36/$E$89</f>
        <v>0</v>
      </c>
      <c r="G36" s="2067"/>
      <c r="H36" s="2059"/>
      <c r="I36" s="3102">
        <f>G36+H36*1</f>
        <v>0</v>
      </c>
      <c r="J36" s="2809">
        <f t="shared" si="4"/>
        <v>0</v>
      </c>
      <c r="K36" s="2062"/>
      <c r="L36" s="2067"/>
      <c r="M36" s="2059"/>
      <c r="N36" s="3102">
        <f>L36+M36*1</f>
        <v>0</v>
      </c>
      <c r="O36" s="2809">
        <f t="shared" si="20"/>
        <v>0</v>
      </c>
      <c r="P36" s="2062"/>
      <c r="Q36" s="2067"/>
      <c r="R36" s="2059"/>
      <c r="S36" s="3102">
        <f>Q36+R36*1</f>
        <v>0</v>
      </c>
      <c r="T36" s="2809">
        <f t="shared" si="21"/>
        <v>0</v>
      </c>
      <c r="U36" s="2062"/>
      <c r="V36" s="2067"/>
      <c r="W36" s="2059"/>
      <c r="X36" s="3102">
        <f>V36+W36*1</f>
        <v>0</v>
      </c>
      <c r="Y36" s="2809">
        <f t="shared" si="22"/>
        <v>0</v>
      </c>
      <c r="Z36" s="2062"/>
      <c r="AA36" s="2067"/>
      <c r="AB36" s="2059"/>
      <c r="AC36" s="3102">
        <f>AA36+AB36*1</f>
        <v>0</v>
      </c>
      <c r="AD36" s="2809">
        <f t="shared" si="23"/>
        <v>0</v>
      </c>
      <c r="AE36" s="2062"/>
      <c r="AF36" s="2067"/>
      <c r="AG36" s="2059"/>
      <c r="AH36" s="3102">
        <f>AF36+AG36*1</f>
        <v>0</v>
      </c>
      <c r="AI36" s="2809" t="e">
        <f t="shared" si="24"/>
        <v>#DIV/0!</v>
      </c>
      <c r="AJ36" s="2062"/>
      <c r="AK36" s="2059">
        <f>G36+L36+Q36+V36+AA36+AF36</f>
        <v>0</v>
      </c>
      <c r="AL36" s="2059">
        <f>H36+M36+R36+W36+AB36+AG36</f>
        <v>0</v>
      </c>
      <c r="AM36" s="3102">
        <f>AK36+AL36*1</f>
        <v>0</v>
      </c>
      <c r="AN36" s="2809">
        <f>AM36/$AM$89</f>
        <v>0</v>
      </c>
      <c r="AO36" s="2824"/>
      <c r="AP36" s="925"/>
      <c r="AQ36" s="925"/>
    </row>
    <row r="37" spans="1:43" s="1411" customFormat="1" ht="24.6" customHeight="1" thickBot="1" x14ac:dyDescent="0.3">
      <c r="A37" s="1413"/>
      <c r="B37" s="2858"/>
      <c r="C37" s="2927"/>
      <c r="D37" s="2860"/>
      <c r="E37" s="2929"/>
      <c r="F37" s="2930"/>
      <c r="G37" s="2044"/>
      <c r="H37" s="2041"/>
      <c r="I37" s="2929"/>
      <c r="J37" s="2910">
        <f t="shared" si="4"/>
        <v>0</v>
      </c>
      <c r="K37" s="2931"/>
      <c r="L37" s="2044"/>
      <c r="M37" s="2041"/>
      <c r="N37" s="2929"/>
      <c r="O37" s="2910"/>
      <c r="P37" s="2931"/>
      <c r="Q37" s="2044"/>
      <c r="R37" s="2041"/>
      <c r="S37" s="2929"/>
      <c r="T37" s="2910"/>
      <c r="U37" s="2931"/>
      <c r="V37" s="2044"/>
      <c r="W37" s="2041"/>
      <c r="X37" s="2929"/>
      <c r="Y37" s="2910"/>
      <c r="Z37" s="2931"/>
      <c r="AA37" s="2044"/>
      <c r="AB37" s="2041"/>
      <c r="AC37" s="2929"/>
      <c r="AD37" s="2910"/>
      <c r="AE37" s="2931"/>
      <c r="AF37" s="2044"/>
      <c r="AG37" s="2041"/>
      <c r="AH37" s="2929"/>
      <c r="AI37" s="2910" t="e">
        <f t="shared" ref="AI37" si="26">AH37/$AN$89</f>
        <v>#DIV/0!</v>
      </c>
      <c r="AJ37" s="2931"/>
      <c r="AK37" s="2059"/>
      <c r="AL37" s="2059"/>
      <c r="AM37" s="2929"/>
      <c r="AN37" s="2929"/>
      <c r="AO37" s="2929"/>
      <c r="AP37" s="920"/>
      <c r="AQ37" s="920"/>
    </row>
    <row r="38" spans="1:43" ht="24.6" customHeight="1" thickBot="1" x14ac:dyDescent="0.3">
      <c r="A38" s="1441"/>
      <c r="B38" s="981" t="s">
        <v>46</v>
      </c>
      <c r="C38" s="2018">
        <f>(C5)-(C8)</f>
        <v>643900</v>
      </c>
      <c r="D38" s="2018">
        <f>(D5)-(D8)</f>
        <v>-30000</v>
      </c>
      <c r="E38" s="2018">
        <f>(E5)-(E8)</f>
        <v>613900</v>
      </c>
      <c r="F38" s="1545"/>
      <c r="G38" s="2018">
        <f>(G5)-(G8)</f>
        <v>0</v>
      </c>
      <c r="H38" s="2018">
        <f>(H5)-(H8)</f>
        <v>-8000</v>
      </c>
      <c r="I38" s="2018">
        <f>(I5)-(I8)</f>
        <v>-8000</v>
      </c>
      <c r="J38" s="2018"/>
      <c r="K38" s="2037"/>
      <c r="L38" s="2018">
        <f>(L5)-(L8)</f>
        <v>0</v>
      </c>
      <c r="M38" s="2018">
        <f>(M5)-(M8)</f>
        <v>-13500</v>
      </c>
      <c r="N38" s="2018">
        <f>(N5)-(N8)</f>
        <v>-13500</v>
      </c>
      <c r="O38" s="2018"/>
      <c r="P38" s="2037"/>
      <c r="Q38" s="2018">
        <f>(Q5)-(Q8)</f>
        <v>340108.6</v>
      </c>
      <c r="R38" s="2018">
        <f>(R5)-(R8)</f>
        <v>0</v>
      </c>
      <c r="S38" s="2018">
        <f>(S5)-(S8)</f>
        <v>340108.6</v>
      </c>
      <c r="T38" s="2018"/>
      <c r="U38" s="2037"/>
      <c r="V38" s="2018">
        <f>(V5)-(V8)</f>
        <v>0</v>
      </c>
      <c r="W38" s="2018">
        <f>(W5)-(W8)</f>
        <v>0</v>
      </c>
      <c r="X38" s="2018">
        <f>(X5)-(X8)</f>
        <v>0</v>
      </c>
      <c r="Y38" s="2018"/>
      <c r="Z38" s="2037"/>
      <c r="AA38" s="2018">
        <f>(AA5)-(AA8)</f>
        <v>450000</v>
      </c>
      <c r="AB38" s="2018">
        <f>(AB5)-(AB8)</f>
        <v>0</v>
      </c>
      <c r="AC38" s="2018">
        <f>(AC5)-(AC8)</f>
        <v>450000</v>
      </c>
      <c r="AD38" s="2018"/>
      <c r="AE38" s="2037"/>
      <c r="AF38" s="2018">
        <f>(AF5)-(AF8)</f>
        <v>0</v>
      </c>
      <c r="AG38" s="2018">
        <f>(AG5)-(AG8)</f>
        <v>0</v>
      </c>
      <c r="AH38" s="2018">
        <f>(AH5)-(AH8)</f>
        <v>0</v>
      </c>
      <c r="AI38" s="2018"/>
      <c r="AJ38" s="2037"/>
      <c r="AK38" s="2018">
        <f>(AK5)-(AK8)</f>
        <v>790108.6</v>
      </c>
      <c r="AL38" s="2018">
        <f>(AL5)-(AL8)</f>
        <v>-21500</v>
      </c>
      <c r="AM38" s="2018">
        <f>(AM5)-(AM8)</f>
        <v>768608.6</v>
      </c>
      <c r="AN38" s="2018"/>
      <c r="AO38" s="2018"/>
      <c r="AP38" s="1968"/>
      <c r="AQ38" s="1968"/>
    </row>
    <row r="39" spans="1:43" ht="24.6" customHeight="1" x14ac:dyDescent="0.25">
      <c r="A39" s="1580"/>
      <c r="B39" s="982" t="s">
        <v>47</v>
      </c>
      <c r="C39" s="1540">
        <f>C38/(C5)</f>
        <v>0.69837310195227764</v>
      </c>
      <c r="D39" s="1540" t="e">
        <f>D38/(D5)</f>
        <v>#DIV/0!</v>
      </c>
      <c r="E39" s="1541">
        <f>E38/(E5)</f>
        <v>0.66583514099783081</v>
      </c>
      <c r="F39" s="1546"/>
      <c r="G39" s="2019" t="e">
        <f>G38/(G5)</f>
        <v>#DIV/0!</v>
      </c>
      <c r="H39" s="2019" t="e">
        <f>H38/(H5)</f>
        <v>#DIV/0!</v>
      </c>
      <c r="I39" s="2020" t="e">
        <f>I38/(I5)</f>
        <v>#DIV/0!</v>
      </c>
      <c r="J39" s="2020"/>
      <c r="K39" s="2038"/>
      <c r="L39" s="2019" t="e">
        <f>L38/(L5)</f>
        <v>#DIV/0!</v>
      </c>
      <c r="M39" s="2019" t="e">
        <f>M38/(M5)</f>
        <v>#DIV/0!</v>
      </c>
      <c r="N39" s="2020" t="e">
        <f>N38/(N5)</f>
        <v>#DIV/0!</v>
      </c>
      <c r="O39" s="2020"/>
      <c r="P39" s="2038"/>
      <c r="Q39" s="2019">
        <f>Q38/(Q5)</f>
        <v>0.87334976760906957</v>
      </c>
      <c r="R39" s="2019" t="e">
        <f>R38/(R5)</f>
        <v>#DIV/0!</v>
      </c>
      <c r="S39" s="2020">
        <f>S38/(S5)</f>
        <v>0.87334976760906957</v>
      </c>
      <c r="T39" s="2020"/>
      <c r="U39" s="2038"/>
      <c r="V39" s="2019" t="e">
        <f>V38/(V5)</f>
        <v>#DIV/0!</v>
      </c>
      <c r="W39" s="2019" t="e">
        <f>W38/(W5)</f>
        <v>#DIV/0!</v>
      </c>
      <c r="X39" s="2020" t="e">
        <f>X38/(X5)</f>
        <v>#DIV/0!</v>
      </c>
      <c r="Y39" s="2020"/>
      <c r="Z39" s="2038"/>
      <c r="AA39" s="2019">
        <f>AA38/(AA5)</f>
        <v>1</v>
      </c>
      <c r="AB39" s="2019" t="e">
        <f>AB38/(AB5)</f>
        <v>#DIV/0!</v>
      </c>
      <c r="AC39" s="2020">
        <f>AC38/(AC5)</f>
        <v>1</v>
      </c>
      <c r="AD39" s="2020"/>
      <c r="AE39" s="2038"/>
      <c r="AF39" s="2019" t="e">
        <f>AF38/(AF5)</f>
        <v>#DIV/0!</v>
      </c>
      <c r="AG39" s="2019" t="e">
        <f>AG38/(AG5)</f>
        <v>#DIV/0!</v>
      </c>
      <c r="AH39" s="2020" t="e">
        <f>AH38/(AH5)</f>
        <v>#DIV/0!</v>
      </c>
      <c r="AI39" s="2020"/>
      <c r="AJ39" s="2038"/>
      <c r="AK39" s="2019">
        <f>AK38/(AK5)</f>
        <v>0.94124417759670254</v>
      </c>
      <c r="AL39" s="2019" t="e">
        <f>AL38/(AL5)</f>
        <v>#DIV/0!</v>
      </c>
      <c r="AM39" s="2020">
        <f>AM38/(AM5)</f>
        <v>0.91563155951062025</v>
      </c>
      <c r="AN39" s="2020"/>
      <c r="AO39" s="2020"/>
      <c r="AP39" s="1968"/>
      <c r="AQ39" s="1968"/>
    </row>
    <row r="40" spans="1:43" ht="24.6" customHeight="1" outlineLevel="1" thickBot="1" x14ac:dyDescent="0.3">
      <c r="A40" s="1582"/>
      <c r="B40" s="3188"/>
      <c r="C40" s="3189"/>
      <c r="D40" s="3190"/>
      <c r="E40" s="3191"/>
      <c r="F40" s="3192"/>
      <c r="G40" s="2861"/>
      <c r="H40" s="2935"/>
      <c r="I40" s="2935"/>
      <c r="J40" s="2935"/>
      <c r="K40" s="2937"/>
      <c r="L40" s="2861"/>
      <c r="M40" s="2935"/>
      <c r="N40" s="2935"/>
      <c r="O40" s="2935"/>
      <c r="P40" s="2937"/>
      <c r="Q40" s="2861"/>
      <c r="R40" s="2935"/>
      <c r="S40" s="2935"/>
      <c r="T40" s="2935"/>
      <c r="U40" s="2937"/>
      <c r="V40" s="2861"/>
      <c r="W40" s="2935"/>
      <c r="X40" s="2935"/>
      <c r="Y40" s="2935"/>
      <c r="Z40" s="2937"/>
      <c r="AA40" s="2861"/>
      <c r="AB40" s="2935"/>
      <c r="AC40" s="2935"/>
      <c r="AD40" s="2935"/>
      <c r="AE40" s="2937"/>
      <c r="AF40" s="2861"/>
      <c r="AG40" s="2935"/>
      <c r="AH40" s="2935"/>
      <c r="AI40" s="2935"/>
      <c r="AJ40" s="2937"/>
      <c r="AK40" s="2059"/>
      <c r="AL40" s="2059"/>
      <c r="AM40" s="2935"/>
      <c r="AN40" s="2935"/>
      <c r="AO40" s="2935"/>
      <c r="AP40" s="1968"/>
      <c r="AQ40" s="1968"/>
    </row>
    <row r="41" spans="1:43" ht="24.6" customHeight="1" outlineLevel="1" x14ac:dyDescent="0.25">
      <c r="A41" s="1420"/>
      <c r="B41" s="3115" t="s">
        <v>26</v>
      </c>
      <c r="C41" s="3116">
        <f>SUM(C42:C48)</f>
        <v>0</v>
      </c>
      <c r="D41" s="3116">
        <f>SUM(D42:D48)</f>
        <v>0</v>
      </c>
      <c r="E41" s="3117">
        <f>SUM(E42:E48)</f>
        <v>0</v>
      </c>
      <c r="F41" s="2825">
        <f t="shared" ref="F41:F48" si="27">E41/$E$89</f>
        <v>0</v>
      </c>
      <c r="G41" s="2029">
        <f>SUM(G42:G48)</f>
        <v>0</v>
      </c>
      <c r="H41" s="2029">
        <f>SUM(H42:H48)</f>
        <v>0</v>
      </c>
      <c r="I41" s="2030">
        <f>SUM(I42:I48)</f>
        <v>0</v>
      </c>
      <c r="J41" s="2825">
        <f t="shared" ref="J41:J48" si="28">I41/$I$89</f>
        <v>0</v>
      </c>
      <c r="K41" s="2039"/>
      <c r="L41" s="2029">
        <f>SUM(L42:L48)</f>
        <v>165.03</v>
      </c>
      <c r="M41" s="2029">
        <f>SUM(M42:M48)</f>
        <v>0</v>
      </c>
      <c r="N41" s="2030">
        <f>SUM(N42:N48)</f>
        <v>165.03</v>
      </c>
      <c r="O41" s="2825">
        <f t="shared" ref="O41:O48" si="29">N41/N$89</f>
        <v>1.1150502390841222E-2</v>
      </c>
      <c r="P41" s="2039"/>
      <c r="Q41" s="2029">
        <f>SUM(Q42:Q48)</f>
        <v>55.01</v>
      </c>
      <c r="R41" s="2029">
        <f>SUM(R42:R48)</f>
        <v>0</v>
      </c>
      <c r="S41" s="2030">
        <f>SUM(S42:S48)</f>
        <v>55.01</v>
      </c>
      <c r="T41" s="2825">
        <f t="shared" ref="T41:T48" si="30">S41/S$89</f>
        <v>1.1140947671165237E-3</v>
      </c>
      <c r="U41" s="2039"/>
      <c r="V41" s="2029">
        <f>SUM(V42:V48)</f>
        <v>0</v>
      </c>
      <c r="W41" s="2029">
        <f>SUM(W42:W48)</f>
        <v>0</v>
      </c>
      <c r="X41" s="2030">
        <f>SUM(X42:X48)</f>
        <v>0</v>
      </c>
      <c r="Y41" s="2825">
        <f t="shared" ref="Y41:Y48" si="31">X41/X$89</f>
        <v>0</v>
      </c>
      <c r="Z41" s="2039"/>
      <c r="AA41" s="2029">
        <f>SUM(AA42:AA48)</f>
        <v>165.03</v>
      </c>
      <c r="AB41" s="2029">
        <f>SUM(AB42:AB48)</f>
        <v>0</v>
      </c>
      <c r="AC41" s="2030">
        <f>SUM(AC42:AC48)</f>
        <v>165.03</v>
      </c>
      <c r="AD41" s="2825">
        <f t="shared" ref="AD41:AD48" si="32">AC41/AC$89</f>
        <v>1</v>
      </c>
      <c r="AE41" s="2039"/>
      <c r="AF41" s="2029">
        <f>SUM(AF42:AF48)</f>
        <v>0</v>
      </c>
      <c r="AG41" s="2029">
        <f>SUM(AG42:AG48)</f>
        <v>0</v>
      </c>
      <c r="AH41" s="2030">
        <f>SUM(AH42:AH48)</f>
        <v>0</v>
      </c>
      <c r="AI41" s="2825" t="e">
        <f t="shared" ref="AI41:AI48" si="33">AH41/AH$89</f>
        <v>#DIV/0!</v>
      </c>
      <c r="AJ41" s="2039"/>
      <c r="AK41" s="2029">
        <f>SUM(AK42:AK48)</f>
        <v>385.07</v>
      </c>
      <c r="AL41" s="2029">
        <f>SUM(AL42:AL48)</f>
        <v>0</v>
      </c>
      <c r="AM41" s="2030">
        <f>SUM(AM42:AM48)</f>
        <v>385.07</v>
      </c>
      <c r="AN41" s="2825">
        <f t="shared" ref="AN41:AN49" si="34">AM41/$AM$89</f>
        <v>4.8828165864360732E-3</v>
      </c>
      <c r="AO41" s="2022"/>
      <c r="AP41" s="1968"/>
      <c r="AQ41" s="1968"/>
    </row>
    <row r="42" spans="1:43" ht="24.6" customHeight="1" outlineLevel="2" x14ac:dyDescent="0.25">
      <c r="A42" s="4015"/>
      <c r="B42" s="2812" t="s">
        <v>7</v>
      </c>
      <c r="C42" s="2811"/>
      <c r="D42" s="2826"/>
      <c r="E42" s="3129">
        <f t="shared" ref="E42:E48" si="35">C42+D42*1.15</f>
        <v>0</v>
      </c>
      <c r="F42" s="2809">
        <f t="shared" si="27"/>
        <v>0</v>
      </c>
      <c r="G42" s="2067"/>
      <c r="H42" s="2059"/>
      <c r="I42" s="3102">
        <f t="shared" ref="I42:I48" si="36">G42+H42*1</f>
        <v>0</v>
      </c>
      <c r="J42" s="2809">
        <f t="shared" si="28"/>
        <v>0</v>
      </c>
      <c r="K42" s="2062"/>
      <c r="L42" s="2067"/>
      <c r="M42" s="2059"/>
      <c r="N42" s="3102">
        <f t="shared" ref="N42:N48" si="37">L42+M42*1</f>
        <v>0</v>
      </c>
      <c r="O42" s="2809">
        <f t="shared" si="29"/>
        <v>0</v>
      </c>
      <c r="P42" s="2062"/>
      <c r="Q42" s="2067"/>
      <c r="R42" s="2059"/>
      <c r="S42" s="3102">
        <f t="shared" ref="S42:S48" si="38">Q42+R42*1</f>
        <v>0</v>
      </c>
      <c r="T42" s="2809">
        <f t="shared" si="30"/>
        <v>0</v>
      </c>
      <c r="U42" s="2062"/>
      <c r="V42" s="2067"/>
      <c r="W42" s="2059"/>
      <c r="X42" s="3102">
        <f t="shared" ref="X42:X48" si="39">V42+W42*1</f>
        <v>0</v>
      </c>
      <c r="Y42" s="2809">
        <f t="shared" si="31"/>
        <v>0</v>
      </c>
      <c r="Z42" s="2062"/>
      <c r="AA42" s="2067"/>
      <c r="AB42" s="2059"/>
      <c r="AC42" s="3102">
        <f t="shared" ref="AC42:AC48" si="40">AA42+AB42*1</f>
        <v>0</v>
      </c>
      <c r="AD42" s="2809">
        <f t="shared" si="32"/>
        <v>0</v>
      </c>
      <c r="AE42" s="2062"/>
      <c r="AF42" s="2067"/>
      <c r="AG42" s="2059"/>
      <c r="AH42" s="3102">
        <f t="shared" ref="AH42:AH48" si="41">AF42+AG42*1</f>
        <v>0</v>
      </c>
      <c r="AI42" s="2809" t="e">
        <f t="shared" si="33"/>
        <v>#DIV/0!</v>
      </c>
      <c r="AJ42" s="2062"/>
      <c r="AK42" s="2059">
        <f t="shared" ref="AK42:AL48" si="42">G42+L42+Q42+V42+AA42+AF42</f>
        <v>0</v>
      </c>
      <c r="AL42" s="2059">
        <f t="shared" si="42"/>
        <v>0</v>
      </c>
      <c r="AM42" s="3102">
        <f t="shared" ref="AM42:AM48" si="43">AK42+AL42*1</f>
        <v>0</v>
      </c>
      <c r="AN42" s="2809">
        <f t="shared" si="34"/>
        <v>0</v>
      </c>
      <c r="AO42" s="2813"/>
      <c r="AP42" s="1968"/>
      <c r="AQ42" s="1968"/>
    </row>
    <row r="43" spans="1:43" ht="24.6" customHeight="1" outlineLevel="2" x14ac:dyDescent="0.25">
      <c r="A43" s="4015"/>
      <c r="B43" s="2812" t="s">
        <v>27</v>
      </c>
      <c r="C43" s="2811"/>
      <c r="D43" s="2826"/>
      <c r="E43" s="3129">
        <f t="shared" si="35"/>
        <v>0</v>
      </c>
      <c r="F43" s="2809">
        <f t="shared" si="27"/>
        <v>0</v>
      </c>
      <c r="G43" s="2067"/>
      <c r="H43" s="2059"/>
      <c r="I43" s="3102">
        <f t="shared" si="36"/>
        <v>0</v>
      </c>
      <c r="J43" s="2809">
        <f t="shared" si="28"/>
        <v>0</v>
      </c>
      <c r="K43" s="2062"/>
      <c r="L43" s="2067"/>
      <c r="M43" s="2059"/>
      <c r="N43" s="3102">
        <f t="shared" si="37"/>
        <v>0</v>
      </c>
      <c r="O43" s="2809">
        <f t="shared" si="29"/>
        <v>0</v>
      </c>
      <c r="P43" s="2062"/>
      <c r="Q43" s="2067"/>
      <c r="R43" s="2059"/>
      <c r="S43" s="3102">
        <f t="shared" si="38"/>
        <v>0</v>
      </c>
      <c r="T43" s="2809">
        <f t="shared" si="30"/>
        <v>0</v>
      </c>
      <c r="U43" s="2062"/>
      <c r="V43" s="2067"/>
      <c r="W43" s="2059"/>
      <c r="X43" s="3102">
        <f t="shared" si="39"/>
        <v>0</v>
      </c>
      <c r="Y43" s="2809">
        <f t="shared" si="31"/>
        <v>0</v>
      </c>
      <c r="Z43" s="2062"/>
      <c r="AA43" s="2067"/>
      <c r="AB43" s="2059"/>
      <c r="AC43" s="3102">
        <f t="shared" si="40"/>
        <v>0</v>
      </c>
      <c r="AD43" s="2809">
        <f t="shared" si="32"/>
        <v>0</v>
      </c>
      <c r="AE43" s="2062"/>
      <c r="AF43" s="2067"/>
      <c r="AG43" s="2059"/>
      <c r="AH43" s="3102">
        <f t="shared" si="41"/>
        <v>0</v>
      </c>
      <c r="AI43" s="2809" t="e">
        <f t="shared" si="33"/>
        <v>#DIV/0!</v>
      </c>
      <c r="AJ43" s="2062"/>
      <c r="AK43" s="2059">
        <f t="shared" si="42"/>
        <v>0</v>
      </c>
      <c r="AL43" s="2059">
        <f t="shared" si="42"/>
        <v>0</v>
      </c>
      <c r="AM43" s="3102">
        <f t="shared" si="43"/>
        <v>0</v>
      </c>
      <c r="AN43" s="2809">
        <f t="shared" si="34"/>
        <v>0</v>
      </c>
      <c r="AO43" s="2813"/>
      <c r="AP43" s="1968"/>
      <c r="AQ43" s="1968"/>
    </row>
    <row r="44" spans="1:43" ht="24.6" customHeight="1" outlineLevel="2" x14ac:dyDescent="0.25">
      <c r="A44" s="4015"/>
      <c r="B44" s="3113" t="s">
        <v>28</v>
      </c>
      <c r="C44" s="2811"/>
      <c r="D44" s="2826"/>
      <c r="E44" s="3129">
        <f t="shared" si="35"/>
        <v>0</v>
      </c>
      <c r="F44" s="2809">
        <f t="shared" si="27"/>
        <v>0</v>
      </c>
      <c r="G44" s="2067"/>
      <c r="H44" s="2059"/>
      <c r="I44" s="3102">
        <f t="shared" si="36"/>
        <v>0</v>
      </c>
      <c r="J44" s="2809">
        <f t="shared" si="28"/>
        <v>0</v>
      </c>
      <c r="K44" s="2062"/>
      <c r="L44" s="2067"/>
      <c r="M44" s="2059"/>
      <c r="N44" s="3102">
        <f t="shared" si="37"/>
        <v>0</v>
      </c>
      <c r="O44" s="2809">
        <f t="shared" si="29"/>
        <v>0</v>
      </c>
      <c r="P44" s="2062"/>
      <c r="Q44" s="2067"/>
      <c r="R44" s="2059"/>
      <c r="S44" s="3102">
        <f t="shared" si="38"/>
        <v>0</v>
      </c>
      <c r="T44" s="2809">
        <f t="shared" si="30"/>
        <v>0</v>
      </c>
      <c r="U44" s="2062"/>
      <c r="V44" s="2067"/>
      <c r="W44" s="2059"/>
      <c r="X44" s="3102">
        <f t="shared" si="39"/>
        <v>0</v>
      </c>
      <c r="Y44" s="2809">
        <f t="shared" si="31"/>
        <v>0</v>
      </c>
      <c r="Z44" s="2062"/>
      <c r="AA44" s="2067"/>
      <c r="AB44" s="2059"/>
      <c r="AC44" s="3102">
        <f t="shared" si="40"/>
        <v>0</v>
      </c>
      <c r="AD44" s="2809">
        <f t="shared" si="32"/>
        <v>0</v>
      </c>
      <c r="AE44" s="2062"/>
      <c r="AF44" s="2067"/>
      <c r="AG44" s="2059"/>
      <c r="AH44" s="3102">
        <f t="shared" si="41"/>
        <v>0</v>
      </c>
      <c r="AI44" s="2809" t="e">
        <f t="shared" si="33"/>
        <v>#DIV/0!</v>
      </c>
      <c r="AJ44" s="2062"/>
      <c r="AK44" s="2059">
        <f t="shared" si="42"/>
        <v>0</v>
      </c>
      <c r="AL44" s="2059">
        <f t="shared" si="42"/>
        <v>0</v>
      </c>
      <c r="AM44" s="3102">
        <f t="shared" si="43"/>
        <v>0</v>
      </c>
      <c r="AN44" s="2809">
        <f t="shared" si="34"/>
        <v>0</v>
      </c>
      <c r="AO44" s="2813"/>
      <c r="AP44" s="1968"/>
      <c r="AQ44" s="1968"/>
    </row>
    <row r="45" spans="1:43" ht="24.6" customHeight="1" outlineLevel="2" x14ac:dyDescent="0.25">
      <c r="A45" s="4015"/>
      <c r="B45" s="2812" t="s">
        <v>8</v>
      </c>
      <c r="C45" s="2811"/>
      <c r="D45" s="2826"/>
      <c r="E45" s="3129">
        <f t="shared" si="35"/>
        <v>0</v>
      </c>
      <c r="F45" s="2809">
        <f t="shared" si="27"/>
        <v>0</v>
      </c>
      <c r="G45" s="2067"/>
      <c r="H45" s="2059"/>
      <c r="I45" s="3102">
        <f t="shared" si="36"/>
        <v>0</v>
      </c>
      <c r="J45" s="2809">
        <f t="shared" si="28"/>
        <v>0</v>
      </c>
      <c r="K45" s="2062"/>
      <c r="L45" s="2067"/>
      <c r="M45" s="2059"/>
      <c r="N45" s="3102">
        <f t="shared" si="37"/>
        <v>0</v>
      </c>
      <c r="O45" s="2809">
        <f t="shared" si="29"/>
        <v>0</v>
      </c>
      <c r="P45" s="2062"/>
      <c r="Q45" s="2067"/>
      <c r="R45" s="2059"/>
      <c r="S45" s="3102">
        <f t="shared" si="38"/>
        <v>0</v>
      </c>
      <c r="T45" s="2809">
        <f t="shared" si="30"/>
        <v>0</v>
      </c>
      <c r="U45" s="2062"/>
      <c r="V45" s="2067"/>
      <c r="W45" s="2059"/>
      <c r="X45" s="3102">
        <f t="shared" si="39"/>
        <v>0</v>
      </c>
      <c r="Y45" s="2809">
        <f t="shared" si="31"/>
        <v>0</v>
      </c>
      <c r="Z45" s="2062"/>
      <c r="AA45" s="2067"/>
      <c r="AB45" s="2059"/>
      <c r="AC45" s="3102">
        <f t="shared" si="40"/>
        <v>0</v>
      </c>
      <c r="AD45" s="2809">
        <f t="shared" si="32"/>
        <v>0</v>
      </c>
      <c r="AE45" s="2062"/>
      <c r="AF45" s="2067"/>
      <c r="AG45" s="2059"/>
      <c r="AH45" s="3102">
        <f t="shared" si="41"/>
        <v>0</v>
      </c>
      <c r="AI45" s="2809" t="e">
        <f t="shared" si="33"/>
        <v>#DIV/0!</v>
      </c>
      <c r="AJ45" s="2062"/>
      <c r="AK45" s="2059">
        <f t="shared" si="42"/>
        <v>0</v>
      </c>
      <c r="AL45" s="2059">
        <f t="shared" si="42"/>
        <v>0</v>
      </c>
      <c r="AM45" s="3102">
        <f t="shared" si="43"/>
        <v>0</v>
      </c>
      <c r="AN45" s="2809">
        <f t="shared" si="34"/>
        <v>0</v>
      </c>
      <c r="AO45" s="2813"/>
      <c r="AP45" s="1968"/>
      <c r="AQ45" s="1968"/>
    </row>
    <row r="46" spans="1:43" ht="24.6" customHeight="1" outlineLevel="2" x14ac:dyDescent="0.25">
      <c r="A46" s="4015"/>
      <c r="B46" s="2812" t="s">
        <v>29</v>
      </c>
      <c r="C46" s="2811"/>
      <c r="D46" s="2826"/>
      <c r="E46" s="3129">
        <f t="shared" si="35"/>
        <v>0</v>
      </c>
      <c r="F46" s="2809">
        <f t="shared" si="27"/>
        <v>0</v>
      </c>
      <c r="G46" s="2067"/>
      <c r="H46" s="2059"/>
      <c r="I46" s="3102">
        <f t="shared" si="36"/>
        <v>0</v>
      </c>
      <c r="J46" s="2809">
        <f t="shared" si="28"/>
        <v>0</v>
      </c>
      <c r="K46" s="2062"/>
      <c r="L46" s="2067"/>
      <c r="M46" s="2059"/>
      <c r="N46" s="3102">
        <f t="shared" si="37"/>
        <v>0</v>
      </c>
      <c r="O46" s="2809">
        <f t="shared" si="29"/>
        <v>0</v>
      </c>
      <c r="P46" s="2062"/>
      <c r="Q46" s="2067"/>
      <c r="R46" s="2059"/>
      <c r="S46" s="3102">
        <f t="shared" si="38"/>
        <v>0</v>
      </c>
      <c r="T46" s="2809">
        <f t="shared" si="30"/>
        <v>0</v>
      </c>
      <c r="U46" s="2062"/>
      <c r="V46" s="2067"/>
      <c r="W46" s="2059"/>
      <c r="X46" s="3102">
        <f t="shared" si="39"/>
        <v>0</v>
      </c>
      <c r="Y46" s="2809">
        <f t="shared" si="31"/>
        <v>0</v>
      </c>
      <c r="Z46" s="2062"/>
      <c r="AA46" s="2067"/>
      <c r="AB46" s="2059"/>
      <c r="AC46" s="3102">
        <f t="shared" si="40"/>
        <v>0</v>
      </c>
      <c r="AD46" s="2809">
        <f t="shared" si="32"/>
        <v>0</v>
      </c>
      <c r="AE46" s="2062"/>
      <c r="AF46" s="2067"/>
      <c r="AG46" s="2059"/>
      <c r="AH46" s="3102">
        <f t="shared" si="41"/>
        <v>0</v>
      </c>
      <c r="AI46" s="2809" t="e">
        <f t="shared" si="33"/>
        <v>#DIV/0!</v>
      </c>
      <c r="AJ46" s="2062"/>
      <c r="AK46" s="2059">
        <f t="shared" si="42"/>
        <v>0</v>
      </c>
      <c r="AL46" s="2059">
        <f t="shared" si="42"/>
        <v>0</v>
      </c>
      <c r="AM46" s="3102">
        <f t="shared" si="43"/>
        <v>0</v>
      </c>
      <c r="AN46" s="2809">
        <f t="shared" si="34"/>
        <v>0</v>
      </c>
      <c r="AO46" s="2813"/>
      <c r="AP46" s="1968"/>
      <c r="AQ46" s="1968"/>
    </row>
    <row r="47" spans="1:43" ht="24.6" customHeight="1" outlineLevel="2" x14ac:dyDescent="0.25">
      <c r="A47" s="4015"/>
      <c r="B47" s="2812" t="s">
        <v>30</v>
      </c>
      <c r="C47" s="2811"/>
      <c r="D47" s="2826"/>
      <c r="E47" s="3129">
        <f t="shared" si="35"/>
        <v>0</v>
      </c>
      <c r="F47" s="2809">
        <f t="shared" si="27"/>
        <v>0</v>
      </c>
      <c r="G47" s="2067"/>
      <c r="H47" s="2059"/>
      <c r="I47" s="3102">
        <f t="shared" si="36"/>
        <v>0</v>
      </c>
      <c r="J47" s="2809">
        <f t="shared" si="28"/>
        <v>0</v>
      </c>
      <c r="K47" s="2062"/>
      <c r="L47" s="2067">
        <v>165.03</v>
      </c>
      <c r="M47" s="2059"/>
      <c r="N47" s="3102">
        <f t="shared" si="37"/>
        <v>165.03</v>
      </c>
      <c r="O47" s="2809">
        <f t="shared" si="29"/>
        <v>1.1150502390841222E-2</v>
      </c>
      <c r="P47" s="2062" t="s">
        <v>486</v>
      </c>
      <c r="Q47" s="2067">
        <v>55.01</v>
      </c>
      <c r="R47" s="2059"/>
      <c r="S47" s="3102">
        <f t="shared" si="38"/>
        <v>55.01</v>
      </c>
      <c r="T47" s="2809">
        <f t="shared" si="30"/>
        <v>1.1140947671165237E-3</v>
      </c>
      <c r="U47" s="2062" t="s">
        <v>486</v>
      </c>
      <c r="V47" s="2067"/>
      <c r="W47" s="2059"/>
      <c r="X47" s="3102">
        <f t="shared" si="39"/>
        <v>0</v>
      </c>
      <c r="Y47" s="2809">
        <f t="shared" si="31"/>
        <v>0</v>
      </c>
      <c r="Z47" s="2062"/>
      <c r="AA47" s="2067">
        <v>165.03</v>
      </c>
      <c r="AB47" s="2059"/>
      <c r="AC47" s="3102">
        <f t="shared" si="40"/>
        <v>165.03</v>
      </c>
      <c r="AD47" s="2809">
        <f t="shared" si="32"/>
        <v>1</v>
      </c>
      <c r="AE47" s="2062"/>
      <c r="AF47" s="2067"/>
      <c r="AG47" s="2059"/>
      <c r="AH47" s="3102">
        <f t="shared" si="41"/>
        <v>0</v>
      </c>
      <c r="AI47" s="2809" t="e">
        <f t="shared" si="33"/>
        <v>#DIV/0!</v>
      </c>
      <c r="AJ47" s="2062"/>
      <c r="AK47" s="2059">
        <f t="shared" si="42"/>
        <v>385.07</v>
      </c>
      <c r="AL47" s="2059">
        <f t="shared" si="42"/>
        <v>0</v>
      </c>
      <c r="AM47" s="3209">
        <f t="shared" si="43"/>
        <v>385.07</v>
      </c>
      <c r="AN47" s="2809">
        <f t="shared" si="34"/>
        <v>4.8828165864360732E-3</v>
      </c>
      <c r="AO47" s="2813"/>
      <c r="AP47" s="920"/>
      <c r="AQ47" s="920"/>
    </row>
    <row r="48" spans="1:43" ht="24.6" customHeight="1" outlineLevel="2" x14ac:dyDescent="0.25">
      <c r="A48" s="4015"/>
      <c r="B48" s="2812" t="s">
        <v>15</v>
      </c>
      <c r="C48" s="2811"/>
      <c r="D48" s="2826"/>
      <c r="E48" s="3129">
        <f t="shared" si="35"/>
        <v>0</v>
      </c>
      <c r="F48" s="2809">
        <f t="shared" si="27"/>
        <v>0</v>
      </c>
      <c r="G48" s="2067"/>
      <c r="H48" s="2059"/>
      <c r="I48" s="3102">
        <f t="shared" si="36"/>
        <v>0</v>
      </c>
      <c r="J48" s="2809">
        <f t="shared" si="28"/>
        <v>0</v>
      </c>
      <c r="K48" s="2827"/>
      <c r="L48" s="2067"/>
      <c r="M48" s="2059"/>
      <c r="N48" s="3102">
        <f t="shared" si="37"/>
        <v>0</v>
      </c>
      <c r="O48" s="2809">
        <f t="shared" si="29"/>
        <v>0</v>
      </c>
      <c r="P48" s="2827"/>
      <c r="Q48" s="2067"/>
      <c r="R48" s="2059"/>
      <c r="S48" s="3102">
        <f t="shared" si="38"/>
        <v>0</v>
      </c>
      <c r="T48" s="2809">
        <f t="shared" si="30"/>
        <v>0</v>
      </c>
      <c r="U48" s="2062"/>
      <c r="V48" s="2067"/>
      <c r="W48" s="2059"/>
      <c r="X48" s="3102">
        <f t="shared" si="39"/>
        <v>0</v>
      </c>
      <c r="Y48" s="2809">
        <f t="shared" si="31"/>
        <v>0</v>
      </c>
      <c r="Z48" s="2827"/>
      <c r="AA48" s="2067"/>
      <c r="AB48" s="2059"/>
      <c r="AC48" s="3102">
        <f t="shared" si="40"/>
        <v>0</v>
      </c>
      <c r="AD48" s="2809">
        <f t="shared" si="32"/>
        <v>0</v>
      </c>
      <c r="AE48" s="2062"/>
      <c r="AF48" s="2067"/>
      <c r="AG48" s="2059"/>
      <c r="AH48" s="3102">
        <f t="shared" si="41"/>
        <v>0</v>
      </c>
      <c r="AI48" s="2809" t="e">
        <f t="shared" si="33"/>
        <v>#DIV/0!</v>
      </c>
      <c r="AJ48" s="2062"/>
      <c r="AK48" s="2059">
        <f t="shared" si="42"/>
        <v>0</v>
      </c>
      <c r="AL48" s="2059">
        <f t="shared" si="42"/>
        <v>0</v>
      </c>
      <c r="AM48" s="3102">
        <f t="shared" si="43"/>
        <v>0</v>
      </c>
      <c r="AN48" s="2809">
        <f t="shared" si="34"/>
        <v>0</v>
      </c>
      <c r="AO48" s="2813"/>
      <c r="AP48" s="1968"/>
      <c r="AQ48" s="1968"/>
    </row>
    <row r="49" spans="1:43" s="1411" customFormat="1" ht="24.6" customHeight="1" outlineLevel="2" thickBot="1" x14ac:dyDescent="0.3">
      <c r="A49" s="1420"/>
      <c r="B49" s="3195"/>
      <c r="C49" s="2817"/>
      <c r="D49" s="2828"/>
      <c r="E49" s="2829"/>
      <c r="F49" s="2830"/>
      <c r="G49" s="2067"/>
      <c r="H49" s="2059"/>
      <c r="I49" s="2929"/>
      <c r="J49" s="2809"/>
      <c r="K49" s="2948"/>
      <c r="L49" s="2067"/>
      <c r="M49" s="2059"/>
      <c r="N49" s="2929"/>
      <c r="O49" s="2809"/>
      <c r="P49" s="2948"/>
      <c r="Q49" s="2067"/>
      <c r="R49" s="2059"/>
      <c r="S49" s="2929"/>
      <c r="T49" s="2809"/>
      <c r="U49" s="2948"/>
      <c r="V49" s="2067"/>
      <c r="W49" s="2059"/>
      <c r="X49" s="2929"/>
      <c r="Y49" s="2809"/>
      <c r="Z49" s="2948"/>
      <c r="AA49" s="2067"/>
      <c r="AB49" s="2059"/>
      <c r="AC49" s="2929"/>
      <c r="AD49" s="2809"/>
      <c r="AE49" s="2948"/>
      <c r="AF49" s="2067"/>
      <c r="AG49" s="2059"/>
      <c r="AH49" s="2929"/>
      <c r="AI49" s="2809"/>
      <c r="AJ49" s="2948"/>
      <c r="AK49" s="2059"/>
      <c r="AL49" s="2059"/>
      <c r="AM49" s="2929"/>
      <c r="AN49" s="2809">
        <f t="shared" si="34"/>
        <v>0</v>
      </c>
      <c r="AO49" s="2929"/>
      <c r="AP49" s="920"/>
      <c r="AQ49" s="920"/>
    </row>
    <row r="50" spans="1:43" s="1411" customFormat="1" ht="24.6" customHeight="1" outlineLevel="1" x14ac:dyDescent="0.25">
      <c r="A50" s="1580"/>
      <c r="B50" s="993" t="s">
        <v>59</v>
      </c>
      <c r="C50" s="2031">
        <f>SUM(C51:C52)</f>
        <v>0</v>
      </c>
      <c r="D50" s="2031">
        <f>SUM(D51:D52)</f>
        <v>0</v>
      </c>
      <c r="E50" s="2031">
        <f>SUM(E51:E52)</f>
        <v>0</v>
      </c>
      <c r="F50" s="1549">
        <f>E50/$E$89</f>
        <v>0</v>
      </c>
      <c r="G50" s="2031">
        <f>G52+G51</f>
        <v>0</v>
      </c>
      <c r="H50" s="2031">
        <f>H52+H51</f>
        <v>0</v>
      </c>
      <c r="I50" s="2031">
        <f>SUM(I51:I52)</f>
        <v>0</v>
      </c>
      <c r="J50" s="2022">
        <f>I50/$I$89</f>
        <v>0</v>
      </c>
      <c r="K50" s="2000"/>
      <c r="L50" s="2031">
        <f>L52+L51</f>
        <v>0</v>
      </c>
      <c r="M50" s="2031">
        <f>M52+M51</f>
        <v>0</v>
      </c>
      <c r="N50" s="2031">
        <f>SUM(N51:N52)</f>
        <v>0</v>
      </c>
      <c r="O50" s="2022">
        <f t="shared" ref="O50:O52" si="44">N50/N$89</f>
        <v>0</v>
      </c>
      <c r="P50" s="2000"/>
      <c r="Q50" s="2031">
        <f>Q52+Q51</f>
        <v>0</v>
      </c>
      <c r="R50" s="2031">
        <f>R52+R51</f>
        <v>0</v>
      </c>
      <c r="S50" s="2031">
        <f>SUM(S51:S52)</f>
        <v>0</v>
      </c>
      <c r="T50" s="2022">
        <f t="shared" ref="T50:T52" si="45">S50/S$89</f>
        <v>0</v>
      </c>
      <c r="U50" s="2000"/>
      <c r="V50" s="2031">
        <f>V52+V51</f>
        <v>0</v>
      </c>
      <c r="W50" s="2031">
        <f>W52+W51</f>
        <v>0</v>
      </c>
      <c r="X50" s="2031">
        <f>SUM(X51:X52)</f>
        <v>0</v>
      </c>
      <c r="Y50" s="2022">
        <f t="shared" ref="Y50:Y52" si="46">X50/X$89</f>
        <v>0</v>
      </c>
      <c r="Z50" s="2000"/>
      <c r="AA50" s="2031">
        <f>AA52+AA51</f>
        <v>0</v>
      </c>
      <c r="AB50" s="2031">
        <f>AB52+AB51</f>
        <v>0</v>
      </c>
      <c r="AC50" s="2031">
        <f>SUM(AC51:AC52)</f>
        <v>0</v>
      </c>
      <c r="AD50" s="2022">
        <f t="shared" ref="AD50:AD52" si="47">AC50/AC$89</f>
        <v>0</v>
      </c>
      <c r="AE50" s="2000"/>
      <c r="AF50" s="2031">
        <f>AF52+AF51</f>
        <v>0</v>
      </c>
      <c r="AG50" s="2031">
        <f>AG52+AG51</f>
        <v>0</v>
      </c>
      <c r="AH50" s="2031">
        <f>SUM(AH51:AH52)</f>
        <v>0</v>
      </c>
      <c r="AI50" s="2022" t="e">
        <f t="shared" ref="AI50:AI52" si="48">AH50/AH$89</f>
        <v>#DIV/0!</v>
      </c>
      <c r="AJ50" s="2000"/>
      <c r="AK50" s="2031">
        <f>AK52+AK51</f>
        <v>0</v>
      </c>
      <c r="AL50" s="2031">
        <f>AL52+AL51</f>
        <v>0</v>
      </c>
      <c r="AM50" s="2031">
        <f>SUM(AM51:AM52)</f>
        <v>0</v>
      </c>
      <c r="AN50" s="2022"/>
      <c r="AO50" s="2022"/>
      <c r="AP50" s="920"/>
      <c r="AQ50" s="920"/>
    </row>
    <row r="51" spans="1:43" s="1579" customFormat="1" ht="24.6" customHeight="1" outlineLevel="1" x14ac:dyDescent="0.25">
      <c r="A51" s="1583"/>
      <c r="B51" s="2812" t="s">
        <v>60</v>
      </c>
      <c r="C51" s="2811"/>
      <c r="D51" s="2826"/>
      <c r="E51" s="2826">
        <f>C51+D51*1.15</f>
        <v>0</v>
      </c>
      <c r="F51" s="2831">
        <f>E51/$E$89</f>
        <v>0</v>
      </c>
      <c r="G51" s="2067"/>
      <c r="H51" s="2059"/>
      <c r="I51" s="3102">
        <f>G51+H51*1</f>
        <v>0</v>
      </c>
      <c r="J51" s="2809">
        <f>I51/$I$89</f>
        <v>0</v>
      </c>
      <c r="K51" s="2832"/>
      <c r="L51" s="2067"/>
      <c r="M51" s="2059"/>
      <c r="N51" s="3102">
        <f>L51+M51*1</f>
        <v>0</v>
      </c>
      <c r="O51" s="2809">
        <f t="shared" si="44"/>
        <v>0</v>
      </c>
      <c r="P51" s="2832"/>
      <c r="Q51" s="2067"/>
      <c r="R51" s="2059"/>
      <c r="S51" s="3102">
        <f>Q51+R51*1</f>
        <v>0</v>
      </c>
      <c r="T51" s="2809">
        <f t="shared" si="45"/>
        <v>0</v>
      </c>
      <c r="U51" s="2832"/>
      <c r="V51" s="2067"/>
      <c r="W51" s="2059"/>
      <c r="X51" s="3102">
        <f>V51+W51*1</f>
        <v>0</v>
      </c>
      <c r="Y51" s="2809">
        <f t="shared" si="46"/>
        <v>0</v>
      </c>
      <c r="Z51" s="2832"/>
      <c r="AA51" s="2067"/>
      <c r="AB51" s="2059"/>
      <c r="AC51" s="3102">
        <f>AA51+AB51*1</f>
        <v>0</v>
      </c>
      <c r="AD51" s="2809">
        <f t="shared" si="47"/>
        <v>0</v>
      </c>
      <c r="AE51" s="2832"/>
      <c r="AF51" s="2067"/>
      <c r="AG51" s="2059"/>
      <c r="AH51" s="3102">
        <f>AF51+AG51*1</f>
        <v>0</v>
      </c>
      <c r="AI51" s="2809" t="e">
        <f t="shared" si="48"/>
        <v>#DIV/0!</v>
      </c>
      <c r="AJ51" s="2832"/>
      <c r="AK51" s="2059">
        <f t="shared" ref="AK51:AL52" si="49">G51+L51+Q51+V51+AA51+AF51</f>
        <v>0</v>
      </c>
      <c r="AL51" s="2059">
        <f t="shared" si="49"/>
        <v>0</v>
      </c>
      <c r="AM51" s="3102">
        <f>AK51+AL51*1</f>
        <v>0</v>
      </c>
      <c r="AN51" s="2809">
        <f>AM51/$AM$89</f>
        <v>0</v>
      </c>
      <c r="AO51" s="2824"/>
      <c r="AP51" s="925"/>
      <c r="AQ51" s="925"/>
    </row>
    <row r="52" spans="1:43" s="1584" customFormat="1" ht="24.6" customHeight="1" outlineLevel="2" x14ac:dyDescent="0.25">
      <c r="A52" s="1583"/>
      <c r="B52" s="2812" t="s">
        <v>61</v>
      </c>
      <c r="C52" s="2811"/>
      <c r="D52" s="2826"/>
      <c r="E52" s="2826">
        <f>C52+D52*1.15</f>
        <v>0</v>
      </c>
      <c r="F52" s="2831">
        <f>E52/$E$89</f>
        <v>0</v>
      </c>
      <c r="G52" s="2067"/>
      <c r="H52" s="2059"/>
      <c r="I52" s="3102">
        <f>G52+H52*1</f>
        <v>0</v>
      </c>
      <c r="J52" s="2809">
        <f>I52/$I$89</f>
        <v>0</v>
      </c>
      <c r="K52" s="2062"/>
      <c r="L52" s="2067"/>
      <c r="M52" s="2059"/>
      <c r="N52" s="3102">
        <f>L52+M52*1</f>
        <v>0</v>
      </c>
      <c r="O52" s="2809">
        <f t="shared" si="44"/>
        <v>0</v>
      </c>
      <c r="P52" s="2062"/>
      <c r="Q52" s="2067"/>
      <c r="R52" s="2059"/>
      <c r="S52" s="3102">
        <f>Q52+R52*1</f>
        <v>0</v>
      </c>
      <c r="T52" s="2809">
        <f t="shared" si="45"/>
        <v>0</v>
      </c>
      <c r="U52" s="2062"/>
      <c r="V52" s="2067"/>
      <c r="W52" s="2059"/>
      <c r="X52" s="3102">
        <f>V52+W52*1</f>
        <v>0</v>
      </c>
      <c r="Y52" s="2809">
        <f t="shared" si="46"/>
        <v>0</v>
      </c>
      <c r="Z52" s="2062"/>
      <c r="AA52" s="2067"/>
      <c r="AB52" s="2059"/>
      <c r="AC52" s="3102">
        <f>AA52+AB52*1</f>
        <v>0</v>
      </c>
      <c r="AD52" s="2809">
        <f t="shared" si="47"/>
        <v>0</v>
      </c>
      <c r="AE52" s="2062"/>
      <c r="AF52" s="2067"/>
      <c r="AG52" s="2059"/>
      <c r="AH52" s="3102">
        <f>AF52+AG52*1</f>
        <v>0</v>
      </c>
      <c r="AI52" s="2809" t="e">
        <f t="shared" si="48"/>
        <v>#DIV/0!</v>
      </c>
      <c r="AJ52" s="2062"/>
      <c r="AK52" s="2059">
        <f t="shared" si="49"/>
        <v>0</v>
      </c>
      <c r="AL52" s="2059">
        <f t="shared" si="49"/>
        <v>0</v>
      </c>
      <c r="AM52" s="3102">
        <f>AK52+AL52*1</f>
        <v>0</v>
      </c>
      <c r="AN52" s="2809">
        <f>AM52/$AM$89</f>
        <v>0</v>
      </c>
      <c r="AO52" s="2824"/>
      <c r="AP52" s="1693"/>
      <c r="AQ52" s="1693"/>
    </row>
    <row r="53" spans="1:43" ht="24.6" customHeight="1" outlineLevel="1" thickBot="1" x14ac:dyDescent="0.3">
      <c r="A53" s="1428"/>
      <c r="B53" s="2855"/>
      <c r="C53" s="2952"/>
      <c r="D53" s="2863"/>
      <c r="E53" s="2954"/>
      <c r="F53" s="2955"/>
      <c r="G53" s="2067"/>
      <c r="H53" s="2059"/>
      <c r="I53" s="2956"/>
      <c r="J53" s="2956"/>
      <c r="K53" s="2957"/>
      <c r="L53" s="2067"/>
      <c r="M53" s="2059"/>
      <c r="N53" s="2956"/>
      <c r="O53" s="2956"/>
      <c r="P53" s="2957"/>
      <c r="Q53" s="2067"/>
      <c r="R53" s="2059"/>
      <c r="S53" s="2956"/>
      <c r="T53" s="2956"/>
      <c r="U53" s="2957"/>
      <c r="V53" s="2067"/>
      <c r="W53" s="2059"/>
      <c r="X53" s="2956"/>
      <c r="Y53" s="2956"/>
      <c r="Z53" s="2957"/>
      <c r="AA53" s="2067"/>
      <c r="AB53" s="2059"/>
      <c r="AC53" s="2956"/>
      <c r="AD53" s="2956"/>
      <c r="AE53" s="2957"/>
      <c r="AF53" s="2067"/>
      <c r="AG53" s="2059"/>
      <c r="AH53" s="2956"/>
      <c r="AI53" s="2956"/>
      <c r="AJ53" s="2957"/>
      <c r="AK53" s="2059"/>
      <c r="AL53" s="2059"/>
      <c r="AM53" s="2956"/>
      <c r="AN53" s="2956"/>
      <c r="AO53" s="2956"/>
      <c r="AP53" s="1968"/>
      <c r="AQ53" s="1968"/>
    </row>
    <row r="54" spans="1:43" ht="24.6" customHeight="1" outlineLevel="1" x14ac:dyDescent="0.25">
      <c r="A54" s="1585"/>
      <c r="B54" s="993" t="s">
        <v>1</v>
      </c>
      <c r="C54" s="2031">
        <f>SUM(C55:C71)</f>
        <v>0</v>
      </c>
      <c r="D54" s="2031">
        <f>SUM(D55:D71)</f>
        <v>0</v>
      </c>
      <c r="E54" s="1991">
        <f>SUM(E55:E71)</f>
        <v>0</v>
      </c>
      <c r="F54" s="1549">
        <f>E54/$E$89</f>
        <v>0</v>
      </c>
      <c r="G54" s="2031">
        <f>SUM(G55:G72)</f>
        <v>0</v>
      </c>
      <c r="H54" s="2031">
        <f>SUM(H55:H72)</f>
        <v>0</v>
      </c>
      <c r="I54" s="2031">
        <f>SUM(I55:I72)</f>
        <v>0</v>
      </c>
      <c r="J54" s="2825">
        <f t="shared" ref="J54:J71" si="50">I54/$I$89</f>
        <v>0</v>
      </c>
      <c r="K54" s="2000"/>
      <c r="L54" s="2031">
        <f>SUM(L55:L72)</f>
        <v>0</v>
      </c>
      <c r="M54" s="2031">
        <f>SUM(M55:M72)</f>
        <v>210</v>
      </c>
      <c r="N54" s="2031">
        <f>SUM(N55:N72)</f>
        <v>210</v>
      </c>
      <c r="O54" s="2825">
        <f t="shared" ref="O54:O71" si="51">N54/N$89</f>
        <v>1.4188968684946112E-2</v>
      </c>
      <c r="P54" s="2000"/>
      <c r="Q54" s="2031">
        <f>SUM(Q55:Q72)</f>
        <v>0</v>
      </c>
      <c r="R54" s="2031">
        <f>SUM(R55:R72)</f>
        <v>0</v>
      </c>
      <c r="S54" s="2031">
        <f>SUM(S55:S72)</f>
        <v>0</v>
      </c>
      <c r="T54" s="2825">
        <f t="shared" ref="T54:T71" si="52">S54/S$89</f>
        <v>0</v>
      </c>
      <c r="U54" s="2000"/>
      <c r="V54" s="2031">
        <f>SUM(V55:V72)</f>
        <v>0</v>
      </c>
      <c r="W54" s="2031">
        <f>SUM(W55:W72)</f>
        <v>0</v>
      </c>
      <c r="X54" s="2031">
        <f>SUM(X55:X72)</f>
        <v>0</v>
      </c>
      <c r="Y54" s="2825">
        <f t="shared" ref="Y54:Y71" si="53">X54/X$89</f>
        <v>0</v>
      </c>
      <c r="Z54" s="2000"/>
      <c r="AA54" s="2031">
        <f>SUM(AA55:AA72)</f>
        <v>0</v>
      </c>
      <c r="AB54" s="2031">
        <f>SUM(AB55:AB72)</f>
        <v>0</v>
      </c>
      <c r="AC54" s="2031">
        <f>SUM(AC55:AC72)</f>
        <v>0</v>
      </c>
      <c r="AD54" s="2825">
        <f t="shared" ref="AD54:AD71" si="54">AC54/AC$89</f>
        <v>0</v>
      </c>
      <c r="AE54" s="2000"/>
      <c r="AF54" s="2031">
        <f>SUM(AF55:AF72)</f>
        <v>0</v>
      </c>
      <c r="AG54" s="2031">
        <f>SUM(AG55:AG72)</f>
        <v>0</v>
      </c>
      <c r="AH54" s="2031">
        <f>SUM(AH55:AH72)</f>
        <v>0</v>
      </c>
      <c r="AI54" s="2825" t="e">
        <f t="shared" ref="AI54:AI71" si="55">AH54/AH$89</f>
        <v>#DIV/0!</v>
      </c>
      <c r="AJ54" s="2000"/>
      <c r="AK54" s="2031">
        <f>SUM(AK55:AK72)</f>
        <v>0</v>
      </c>
      <c r="AL54" s="2031">
        <f>SUM(AL55:AL72)</f>
        <v>210</v>
      </c>
      <c r="AM54" s="2031">
        <f>SUM(AM55:AM72)</f>
        <v>210</v>
      </c>
      <c r="AN54" s="2825">
        <f t="shared" ref="AN54:AN71" si="56">AM54/$AM$89</f>
        <v>2.6628703434481405E-3</v>
      </c>
      <c r="AO54" s="2022"/>
      <c r="AP54" s="1968"/>
      <c r="AQ54" s="1968"/>
    </row>
    <row r="55" spans="1:43" ht="24.6" customHeight="1" outlineLevel="2" x14ac:dyDescent="0.25">
      <c r="A55" s="1586"/>
      <c r="B55" s="3113" t="s">
        <v>77</v>
      </c>
      <c r="C55" s="2811"/>
      <c r="D55" s="2814"/>
      <c r="E55" s="3129">
        <f t="shared" ref="E55:E70" si="57">C55+D55*1.15</f>
        <v>0</v>
      </c>
      <c r="F55" s="2809">
        <f>E55/$E$89</f>
        <v>0</v>
      </c>
      <c r="G55" s="2027"/>
      <c r="H55" s="2061"/>
      <c r="I55" s="3102">
        <f t="shared" ref="I55:I71" si="58">G55+H55*1</f>
        <v>0</v>
      </c>
      <c r="J55" s="2809">
        <f t="shared" si="50"/>
        <v>0</v>
      </c>
      <c r="K55" s="2062"/>
      <c r="L55" s="2027"/>
      <c r="M55" s="2061"/>
      <c r="N55" s="3102">
        <f t="shared" ref="N55:N71" si="59">L55+M55*1</f>
        <v>0</v>
      </c>
      <c r="O55" s="2809">
        <f t="shared" si="51"/>
        <v>0</v>
      </c>
      <c r="P55" s="2062"/>
      <c r="Q55" s="2027"/>
      <c r="R55" s="2061"/>
      <c r="S55" s="3102">
        <f t="shared" ref="S55:S62" si="60">Q55+R55*1</f>
        <v>0</v>
      </c>
      <c r="T55" s="2809">
        <f t="shared" si="52"/>
        <v>0</v>
      </c>
      <c r="U55" s="2062"/>
      <c r="V55" s="2027"/>
      <c r="W55" s="2061"/>
      <c r="X55" s="3102">
        <f t="shared" ref="X55:X71" si="61">V55+W55*1</f>
        <v>0</v>
      </c>
      <c r="Y55" s="2809">
        <f t="shared" si="53"/>
        <v>0</v>
      </c>
      <c r="Z55" s="2062"/>
      <c r="AA55" s="2027"/>
      <c r="AB55" s="2061"/>
      <c r="AC55" s="3102">
        <f t="shared" ref="AC55:AC71" si="62">AA55+AB55*1</f>
        <v>0</v>
      </c>
      <c r="AD55" s="2809">
        <f t="shared" si="54"/>
        <v>0</v>
      </c>
      <c r="AE55" s="2062"/>
      <c r="AF55" s="2027"/>
      <c r="AG55" s="2061"/>
      <c r="AH55" s="3102">
        <f t="shared" ref="AH55:AH62" si="63">AF55+AG55*1</f>
        <v>0</v>
      </c>
      <c r="AI55" s="2809" t="e">
        <f t="shared" si="55"/>
        <v>#DIV/0!</v>
      </c>
      <c r="AJ55" s="2062"/>
      <c r="AK55" s="2059">
        <f t="shared" ref="AK55:AL71" si="64">G55+L55+Q55+V55+AA55+AF55</f>
        <v>0</v>
      </c>
      <c r="AL55" s="2059">
        <f t="shared" si="64"/>
        <v>0</v>
      </c>
      <c r="AM55" s="3102">
        <f t="shared" ref="AM55:AM71" si="65">AK55+AL55*1</f>
        <v>0</v>
      </c>
      <c r="AN55" s="2809">
        <f t="shared" si="56"/>
        <v>0</v>
      </c>
      <c r="AO55" s="2813"/>
      <c r="AP55" s="1968"/>
      <c r="AQ55" s="1968"/>
    </row>
    <row r="56" spans="1:43" ht="24.6" customHeight="1" outlineLevel="2" x14ac:dyDescent="0.25">
      <c r="A56" s="1586"/>
      <c r="B56" s="3113" t="s">
        <v>76</v>
      </c>
      <c r="C56" s="2811"/>
      <c r="D56" s="2814"/>
      <c r="E56" s="3129">
        <f t="shared" si="57"/>
        <v>0</v>
      </c>
      <c r="F56" s="2809">
        <f t="shared" ref="F56:F72" si="66">E56/$E$89</f>
        <v>0</v>
      </c>
      <c r="G56" s="2027"/>
      <c r="H56" s="2061"/>
      <c r="I56" s="3102">
        <f t="shared" si="58"/>
        <v>0</v>
      </c>
      <c r="J56" s="2809">
        <f t="shared" si="50"/>
        <v>0</v>
      </c>
      <c r="K56" s="2062"/>
      <c r="L56" s="2027"/>
      <c r="M56" s="2061"/>
      <c r="N56" s="3102">
        <f t="shared" si="59"/>
        <v>0</v>
      </c>
      <c r="O56" s="2809">
        <f t="shared" si="51"/>
        <v>0</v>
      </c>
      <c r="P56" s="2062"/>
      <c r="Q56" s="2027"/>
      <c r="R56" s="2061"/>
      <c r="S56" s="3102">
        <f t="shared" si="60"/>
        <v>0</v>
      </c>
      <c r="T56" s="2809">
        <f t="shared" si="52"/>
        <v>0</v>
      </c>
      <c r="U56" s="2062"/>
      <c r="V56" s="2027"/>
      <c r="W56" s="2061"/>
      <c r="X56" s="3102">
        <f t="shared" si="61"/>
        <v>0</v>
      </c>
      <c r="Y56" s="2809">
        <f t="shared" si="53"/>
        <v>0</v>
      </c>
      <c r="Z56" s="2062"/>
      <c r="AA56" s="2027"/>
      <c r="AB56" s="2061"/>
      <c r="AC56" s="3102">
        <f t="shared" si="62"/>
        <v>0</v>
      </c>
      <c r="AD56" s="2809">
        <f t="shared" si="54"/>
        <v>0</v>
      </c>
      <c r="AE56" s="2062"/>
      <c r="AF56" s="2027"/>
      <c r="AG56" s="2061"/>
      <c r="AH56" s="3102">
        <f t="shared" si="63"/>
        <v>0</v>
      </c>
      <c r="AI56" s="2809" t="e">
        <f t="shared" si="55"/>
        <v>#DIV/0!</v>
      </c>
      <c r="AJ56" s="2062"/>
      <c r="AK56" s="2059">
        <f t="shared" si="64"/>
        <v>0</v>
      </c>
      <c r="AL56" s="2059">
        <f t="shared" si="64"/>
        <v>0</v>
      </c>
      <c r="AM56" s="3102">
        <f t="shared" si="65"/>
        <v>0</v>
      </c>
      <c r="AN56" s="2809">
        <f t="shared" si="56"/>
        <v>0</v>
      </c>
      <c r="AO56" s="2813"/>
      <c r="AP56" s="1968"/>
      <c r="AQ56" s="1968"/>
    </row>
    <row r="57" spans="1:43" ht="24.6" customHeight="1" outlineLevel="2" x14ac:dyDescent="0.25">
      <c r="A57" s="1586"/>
      <c r="B57" s="3113" t="s">
        <v>68</v>
      </c>
      <c r="C57" s="2811"/>
      <c r="D57" s="2814"/>
      <c r="E57" s="3129">
        <f t="shared" si="57"/>
        <v>0</v>
      </c>
      <c r="F57" s="2809">
        <f t="shared" si="66"/>
        <v>0</v>
      </c>
      <c r="G57" s="2027"/>
      <c r="H57" s="2061"/>
      <c r="I57" s="3102">
        <f t="shared" si="58"/>
        <v>0</v>
      </c>
      <c r="J57" s="2809">
        <f t="shared" si="50"/>
        <v>0</v>
      </c>
      <c r="K57" s="2062"/>
      <c r="L57" s="2027"/>
      <c r="M57" s="2061"/>
      <c r="N57" s="3102">
        <f t="shared" si="59"/>
        <v>0</v>
      </c>
      <c r="O57" s="2809">
        <f t="shared" si="51"/>
        <v>0</v>
      </c>
      <c r="P57" s="2062"/>
      <c r="Q57" s="2027"/>
      <c r="R57" s="2061"/>
      <c r="S57" s="3102">
        <f t="shared" si="60"/>
        <v>0</v>
      </c>
      <c r="T57" s="2809">
        <f t="shared" si="52"/>
        <v>0</v>
      </c>
      <c r="U57" s="2062"/>
      <c r="V57" s="2027"/>
      <c r="W57" s="2061"/>
      <c r="X57" s="3102">
        <f t="shared" si="61"/>
        <v>0</v>
      </c>
      <c r="Y57" s="2809">
        <f t="shared" si="53"/>
        <v>0</v>
      </c>
      <c r="Z57" s="2062"/>
      <c r="AA57" s="2027"/>
      <c r="AB57" s="2061"/>
      <c r="AC57" s="3102">
        <f t="shared" si="62"/>
        <v>0</v>
      </c>
      <c r="AD57" s="2809">
        <f t="shared" si="54"/>
        <v>0</v>
      </c>
      <c r="AE57" s="2062"/>
      <c r="AF57" s="2027"/>
      <c r="AG57" s="2061"/>
      <c r="AH57" s="3102">
        <f t="shared" si="63"/>
        <v>0</v>
      </c>
      <c r="AI57" s="2809" t="e">
        <f t="shared" si="55"/>
        <v>#DIV/0!</v>
      </c>
      <c r="AJ57" s="2062"/>
      <c r="AK57" s="2059">
        <f t="shared" si="64"/>
        <v>0</v>
      </c>
      <c r="AL57" s="2059">
        <f t="shared" si="64"/>
        <v>0</v>
      </c>
      <c r="AM57" s="3102">
        <f t="shared" si="65"/>
        <v>0</v>
      </c>
      <c r="AN57" s="2809">
        <f t="shared" si="56"/>
        <v>0</v>
      </c>
      <c r="AO57" s="2813"/>
      <c r="AP57" s="1968"/>
      <c r="AQ57" s="1968"/>
    </row>
    <row r="58" spans="1:43" ht="24.6" customHeight="1" outlineLevel="2" x14ac:dyDescent="0.25">
      <c r="A58" s="1586"/>
      <c r="B58" s="3113" t="s">
        <v>67</v>
      </c>
      <c r="C58" s="2811"/>
      <c r="D58" s="2814"/>
      <c r="E58" s="3129">
        <f t="shared" si="57"/>
        <v>0</v>
      </c>
      <c r="F58" s="2809">
        <f t="shared" si="66"/>
        <v>0</v>
      </c>
      <c r="G58" s="2027"/>
      <c r="H58" s="2061"/>
      <c r="I58" s="3102">
        <f t="shared" si="58"/>
        <v>0</v>
      </c>
      <c r="J58" s="2809">
        <f t="shared" si="50"/>
        <v>0</v>
      </c>
      <c r="K58" s="2062"/>
      <c r="L58" s="2027"/>
      <c r="M58" s="2061"/>
      <c r="N58" s="3102">
        <f t="shared" si="59"/>
        <v>0</v>
      </c>
      <c r="O58" s="2809">
        <f t="shared" si="51"/>
        <v>0</v>
      </c>
      <c r="P58" s="2062"/>
      <c r="Q58" s="2027"/>
      <c r="R58" s="2061"/>
      <c r="S58" s="3102">
        <f t="shared" si="60"/>
        <v>0</v>
      </c>
      <c r="T58" s="2809">
        <f t="shared" si="52"/>
        <v>0</v>
      </c>
      <c r="U58" s="2062"/>
      <c r="V58" s="2027"/>
      <c r="W58" s="2061"/>
      <c r="X58" s="3102">
        <f t="shared" si="61"/>
        <v>0</v>
      </c>
      <c r="Y58" s="2809">
        <f t="shared" si="53"/>
        <v>0</v>
      </c>
      <c r="Z58" s="2062"/>
      <c r="AA58" s="2027"/>
      <c r="AB58" s="2061"/>
      <c r="AC58" s="3102">
        <f t="shared" si="62"/>
        <v>0</v>
      </c>
      <c r="AD58" s="2809">
        <f t="shared" si="54"/>
        <v>0</v>
      </c>
      <c r="AE58" s="2062"/>
      <c r="AF58" s="2027"/>
      <c r="AG58" s="2061"/>
      <c r="AH58" s="3102">
        <f t="shared" si="63"/>
        <v>0</v>
      </c>
      <c r="AI58" s="2809" t="e">
        <f t="shared" si="55"/>
        <v>#DIV/0!</v>
      </c>
      <c r="AJ58" s="2062"/>
      <c r="AK58" s="2059">
        <f t="shared" si="64"/>
        <v>0</v>
      </c>
      <c r="AL58" s="2059">
        <f t="shared" si="64"/>
        <v>0</v>
      </c>
      <c r="AM58" s="3102">
        <f t="shared" si="65"/>
        <v>0</v>
      </c>
      <c r="AN58" s="2809">
        <f t="shared" si="56"/>
        <v>0</v>
      </c>
      <c r="AO58" s="2813"/>
      <c r="AP58" s="1968"/>
      <c r="AQ58" s="1968"/>
    </row>
    <row r="59" spans="1:43" ht="24.6" customHeight="1" outlineLevel="2" x14ac:dyDescent="0.25">
      <c r="A59" s="1586"/>
      <c r="B59" s="3113" t="s">
        <v>66</v>
      </c>
      <c r="C59" s="2811"/>
      <c r="D59" s="2814"/>
      <c r="E59" s="3129">
        <f t="shared" si="57"/>
        <v>0</v>
      </c>
      <c r="F59" s="2809">
        <f t="shared" si="66"/>
        <v>0</v>
      </c>
      <c r="G59" s="2027"/>
      <c r="H59" s="2061"/>
      <c r="I59" s="3102">
        <f t="shared" si="58"/>
        <v>0</v>
      </c>
      <c r="J59" s="2809">
        <f t="shared" si="50"/>
        <v>0</v>
      </c>
      <c r="K59" s="2062"/>
      <c r="L59" s="2027"/>
      <c r="M59" s="2061"/>
      <c r="N59" s="3102">
        <f t="shared" si="59"/>
        <v>0</v>
      </c>
      <c r="O59" s="2809">
        <f t="shared" si="51"/>
        <v>0</v>
      </c>
      <c r="P59" s="2062"/>
      <c r="Q59" s="2027"/>
      <c r="R59" s="2061"/>
      <c r="S59" s="3102">
        <f t="shared" si="60"/>
        <v>0</v>
      </c>
      <c r="T59" s="2809">
        <f t="shared" si="52"/>
        <v>0</v>
      </c>
      <c r="U59" s="2062"/>
      <c r="V59" s="2027"/>
      <c r="W59" s="2061"/>
      <c r="X59" s="3102">
        <f t="shared" si="61"/>
        <v>0</v>
      </c>
      <c r="Y59" s="2809">
        <f t="shared" si="53"/>
        <v>0</v>
      </c>
      <c r="Z59" s="2062"/>
      <c r="AA59" s="2027"/>
      <c r="AB59" s="2061"/>
      <c r="AC59" s="3102">
        <f t="shared" si="62"/>
        <v>0</v>
      </c>
      <c r="AD59" s="2809">
        <f t="shared" si="54"/>
        <v>0</v>
      </c>
      <c r="AE59" s="2062"/>
      <c r="AF59" s="2027"/>
      <c r="AG59" s="2061"/>
      <c r="AH59" s="3102">
        <f t="shared" si="63"/>
        <v>0</v>
      </c>
      <c r="AI59" s="2809" t="e">
        <f t="shared" si="55"/>
        <v>#DIV/0!</v>
      </c>
      <c r="AJ59" s="2062"/>
      <c r="AK59" s="2059">
        <f t="shared" si="64"/>
        <v>0</v>
      </c>
      <c r="AL59" s="2059">
        <f t="shared" si="64"/>
        <v>0</v>
      </c>
      <c r="AM59" s="3102">
        <f t="shared" si="65"/>
        <v>0</v>
      </c>
      <c r="AN59" s="2809">
        <f t="shared" si="56"/>
        <v>0</v>
      </c>
      <c r="AO59" s="2813"/>
      <c r="AP59" s="1968"/>
      <c r="AQ59" s="1968"/>
    </row>
    <row r="60" spans="1:43" ht="24.6" customHeight="1" outlineLevel="2" x14ac:dyDescent="0.25">
      <c r="A60" s="1586"/>
      <c r="B60" s="3113" t="s">
        <v>65</v>
      </c>
      <c r="C60" s="2811"/>
      <c r="D60" s="2814"/>
      <c r="E60" s="3129">
        <f t="shared" si="57"/>
        <v>0</v>
      </c>
      <c r="F60" s="2809">
        <f t="shared" si="66"/>
        <v>0</v>
      </c>
      <c r="G60" s="2027"/>
      <c r="H60" s="2061"/>
      <c r="I60" s="3102">
        <f t="shared" si="58"/>
        <v>0</v>
      </c>
      <c r="J60" s="2809">
        <f t="shared" si="50"/>
        <v>0</v>
      </c>
      <c r="K60" s="2062"/>
      <c r="L60" s="2027"/>
      <c r="M60" s="2061"/>
      <c r="N60" s="3102">
        <f t="shared" si="59"/>
        <v>0</v>
      </c>
      <c r="O60" s="2809">
        <f t="shared" si="51"/>
        <v>0</v>
      </c>
      <c r="P60" s="2062"/>
      <c r="Q60" s="2027"/>
      <c r="R60" s="2061"/>
      <c r="S60" s="3102">
        <f t="shared" si="60"/>
        <v>0</v>
      </c>
      <c r="T60" s="2809">
        <f t="shared" si="52"/>
        <v>0</v>
      </c>
      <c r="U60" s="2062"/>
      <c r="V60" s="2027"/>
      <c r="W60" s="2061"/>
      <c r="X60" s="3102">
        <f t="shared" si="61"/>
        <v>0</v>
      </c>
      <c r="Y60" s="2809">
        <f t="shared" si="53"/>
        <v>0</v>
      </c>
      <c r="Z60" s="2062"/>
      <c r="AA60" s="2027"/>
      <c r="AB60" s="2061"/>
      <c r="AC60" s="3102">
        <f t="shared" si="62"/>
        <v>0</v>
      </c>
      <c r="AD60" s="2809">
        <f t="shared" si="54"/>
        <v>0</v>
      </c>
      <c r="AE60" s="2062"/>
      <c r="AF60" s="2027"/>
      <c r="AG60" s="2061"/>
      <c r="AH60" s="3102">
        <f t="shared" si="63"/>
        <v>0</v>
      </c>
      <c r="AI60" s="2809" t="e">
        <f t="shared" si="55"/>
        <v>#DIV/0!</v>
      </c>
      <c r="AJ60" s="2062"/>
      <c r="AK60" s="2059">
        <f t="shared" si="64"/>
        <v>0</v>
      </c>
      <c r="AL60" s="2059">
        <f t="shared" si="64"/>
        <v>0</v>
      </c>
      <c r="AM60" s="3102">
        <f t="shared" si="65"/>
        <v>0</v>
      </c>
      <c r="AN60" s="2809">
        <f t="shared" si="56"/>
        <v>0</v>
      </c>
      <c r="AO60" s="2813"/>
      <c r="AP60" s="1968"/>
      <c r="AQ60" s="1968"/>
    </row>
    <row r="61" spans="1:43" ht="24.6" customHeight="1" outlineLevel="2" x14ac:dyDescent="0.25">
      <c r="A61" s="1586"/>
      <c r="B61" s="3113" t="s">
        <v>32</v>
      </c>
      <c r="C61" s="2811"/>
      <c r="D61" s="2814"/>
      <c r="E61" s="3129">
        <f t="shared" si="57"/>
        <v>0</v>
      </c>
      <c r="F61" s="2809">
        <f t="shared" si="66"/>
        <v>0</v>
      </c>
      <c r="G61" s="2027"/>
      <c r="H61" s="2061"/>
      <c r="I61" s="3102">
        <f t="shared" si="58"/>
        <v>0</v>
      </c>
      <c r="J61" s="2809">
        <f t="shared" si="50"/>
        <v>0</v>
      </c>
      <c r="K61" s="2062"/>
      <c r="L61" s="2027"/>
      <c r="M61" s="2061"/>
      <c r="N61" s="3102">
        <f t="shared" si="59"/>
        <v>0</v>
      </c>
      <c r="O61" s="2809">
        <f t="shared" si="51"/>
        <v>0</v>
      </c>
      <c r="P61" s="2062"/>
      <c r="Q61" s="2027"/>
      <c r="R61" s="2061"/>
      <c r="S61" s="3102">
        <f t="shared" si="60"/>
        <v>0</v>
      </c>
      <c r="T61" s="2809">
        <f t="shared" si="52"/>
        <v>0</v>
      </c>
      <c r="U61" s="2062"/>
      <c r="V61" s="2027"/>
      <c r="W61" s="2061"/>
      <c r="X61" s="3102">
        <f t="shared" si="61"/>
        <v>0</v>
      </c>
      <c r="Y61" s="2809">
        <f t="shared" si="53"/>
        <v>0</v>
      </c>
      <c r="Z61" s="2062"/>
      <c r="AA61" s="2027"/>
      <c r="AB61" s="2061"/>
      <c r="AC61" s="3102">
        <f t="shared" si="62"/>
        <v>0</v>
      </c>
      <c r="AD61" s="2809">
        <f t="shared" si="54"/>
        <v>0</v>
      </c>
      <c r="AE61" s="2062"/>
      <c r="AF61" s="2027"/>
      <c r="AG61" s="2061"/>
      <c r="AH61" s="3102">
        <f t="shared" si="63"/>
        <v>0</v>
      </c>
      <c r="AI61" s="2809" t="e">
        <f t="shared" si="55"/>
        <v>#DIV/0!</v>
      </c>
      <c r="AJ61" s="2062"/>
      <c r="AK61" s="2059">
        <f t="shared" si="64"/>
        <v>0</v>
      </c>
      <c r="AL61" s="2059">
        <f t="shared" si="64"/>
        <v>0</v>
      </c>
      <c r="AM61" s="3102">
        <f t="shared" si="65"/>
        <v>0</v>
      </c>
      <c r="AN61" s="2809">
        <f t="shared" si="56"/>
        <v>0</v>
      </c>
      <c r="AO61" s="2813"/>
      <c r="AP61" s="1968"/>
      <c r="AQ61" s="1968"/>
    </row>
    <row r="62" spans="1:43" ht="24.6" customHeight="1" outlineLevel="2" x14ac:dyDescent="0.25">
      <c r="A62" s="1586"/>
      <c r="B62" s="3113" t="s">
        <v>33</v>
      </c>
      <c r="C62" s="2833"/>
      <c r="D62" s="2814"/>
      <c r="E62" s="3129">
        <f t="shared" si="57"/>
        <v>0</v>
      </c>
      <c r="F62" s="2809">
        <f t="shared" si="66"/>
        <v>0</v>
      </c>
      <c r="G62" s="2027"/>
      <c r="H62" s="2061"/>
      <c r="I62" s="3102">
        <f t="shared" si="58"/>
        <v>0</v>
      </c>
      <c r="J62" s="2809">
        <f t="shared" si="50"/>
        <v>0</v>
      </c>
      <c r="K62" s="2062"/>
      <c r="L62" s="2027"/>
      <c r="M62" s="2061"/>
      <c r="N62" s="3102">
        <f t="shared" si="59"/>
        <v>0</v>
      </c>
      <c r="O62" s="2809">
        <f t="shared" si="51"/>
        <v>0</v>
      </c>
      <c r="P62" s="2062"/>
      <c r="Q62" s="2027"/>
      <c r="R62" s="2061"/>
      <c r="S62" s="3102">
        <f t="shared" si="60"/>
        <v>0</v>
      </c>
      <c r="T62" s="2809">
        <f t="shared" si="52"/>
        <v>0</v>
      </c>
      <c r="U62" s="2062"/>
      <c r="V62" s="2027"/>
      <c r="W62" s="2061"/>
      <c r="X62" s="3102">
        <f t="shared" si="61"/>
        <v>0</v>
      </c>
      <c r="Y62" s="2809">
        <f t="shared" si="53"/>
        <v>0</v>
      </c>
      <c r="Z62" s="2062"/>
      <c r="AA62" s="2027"/>
      <c r="AB62" s="2061"/>
      <c r="AC62" s="3102">
        <f t="shared" si="62"/>
        <v>0</v>
      </c>
      <c r="AD62" s="2809">
        <f t="shared" si="54"/>
        <v>0</v>
      </c>
      <c r="AE62" s="2062"/>
      <c r="AF62" s="2027"/>
      <c r="AG62" s="2061"/>
      <c r="AH62" s="3102">
        <f t="shared" si="63"/>
        <v>0</v>
      </c>
      <c r="AI62" s="2809" t="e">
        <f t="shared" si="55"/>
        <v>#DIV/0!</v>
      </c>
      <c r="AJ62" s="2062"/>
      <c r="AK62" s="2059">
        <f t="shared" si="64"/>
        <v>0</v>
      </c>
      <c r="AL62" s="2059">
        <f t="shared" si="64"/>
        <v>0</v>
      </c>
      <c r="AM62" s="3102">
        <f t="shared" si="65"/>
        <v>0</v>
      </c>
      <c r="AN62" s="2809">
        <f t="shared" si="56"/>
        <v>0</v>
      </c>
      <c r="AO62" s="2813"/>
      <c r="AP62" s="1968"/>
      <c r="AQ62" s="1968"/>
    </row>
    <row r="63" spans="1:43" ht="24.6" customHeight="1" outlineLevel="2" x14ac:dyDescent="0.25">
      <c r="A63" s="1586"/>
      <c r="B63" s="3113" t="s">
        <v>35</v>
      </c>
      <c r="C63" s="2833"/>
      <c r="D63" s="2814"/>
      <c r="E63" s="3129">
        <f t="shared" si="57"/>
        <v>0</v>
      </c>
      <c r="F63" s="2809">
        <f t="shared" si="66"/>
        <v>0</v>
      </c>
      <c r="G63" s="2027"/>
      <c r="H63" s="2961"/>
      <c r="I63" s="3102">
        <f t="shared" si="58"/>
        <v>0</v>
      </c>
      <c r="J63" s="2809">
        <f t="shared" si="50"/>
        <v>0</v>
      </c>
      <c r="K63" s="2062"/>
      <c r="L63" s="2027"/>
      <c r="M63" s="2961"/>
      <c r="N63" s="3102">
        <f t="shared" si="59"/>
        <v>0</v>
      </c>
      <c r="O63" s="2809">
        <f t="shared" si="51"/>
        <v>0</v>
      </c>
      <c r="P63" s="2062"/>
      <c r="Q63" s="2027"/>
      <c r="R63" s="2961"/>
      <c r="S63" s="3102">
        <f>Q63+R63*1</f>
        <v>0</v>
      </c>
      <c r="T63" s="2809">
        <f t="shared" si="52"/>
        <v>0</v>
      </c>
      <c r="U63" s="2062"/>
      <c r="V63" s="2027"/>
      <c r="W63" s="2961"/>
      <c r="X63" s="3102">
        <f t="shared" si="61"/>
        <v>0</v>
      </c>
      <c r="Y63" s="2809">
        <f t="shared" si="53"/>
        <v>0</v>
      </c>
      <c r="Z63" s="2062"/>
      <c r="AA63" s="2027"/>
      <c r="AB63" s="2961"/>
      <c r="AC63" s="3102">
        <f t="shared" si="62"/>
        <v>0</v>
      </c>
      <c r="AD63" s="2809">
        <f t="shared" si="54"/>
        <v>0</v>
      </c>
      <c r="AE63" s="2062"/>
      <c r="AF63" s="2027"/>
      <c r="AG63" s="2961"/>
      <c r="AH63" s="3102">
        <f>AF63+AG63*1</f>
        <v>0</v>
      </c>
      <c r="AI63" s="2809" t="e">
        <f t="shared" si="55"/>
        <v>#DIV/0!</v>
      </c>
      <c r="AJ63" s="2062"/>
      <c r="AK63" s="2059">
        <f t="shared" si="64"/>
        <v>0</v>
      </c>
      <c r="AL63" s="2059">
        <f t="shared" si="64"/>
        <v>0</v>
      </c>
      <c r="AM63" s="3102">
        <f t="shared" si="65"/>
        <v>0</v>
      </c>
      <c r="AN63" s="2809">
        <f t="shared" si="56"/>
        <v>0</v>
      </c>
      <c r="AO63" s="2813"/>
      <c r="AP63" s="1968"/>
      <c r="AQ63" s="1968"/>
    </row>
    <row r="64" spans="1:43" ht="24.6" customHeight="1" outlineLevel="2" x14ac:dyDescent="0.25">
      <c r="A64" s="1586"/>
      <c r="B64" s="3113" t="s">
        <v>63</v>
      </c>
      <c r="C64" s="2833"/>
      <c r="D64" s="2814"/>
      <c r="E64" s="3129">
        <f t="shared" si="57"/>
        <v>0</v>
      </c>
      <c r="F64" s="2809">
        <f t="shared" si="66"/>
        <v>0</v>
      </c>
      <c r="G64" s="2027"/>
      <c r="H64" s="2061"/>
      <c r="I64" s="3102">
        <f t="shared" si="58"/>
        <v>0</v>
      </c>
      <c r="J64" s="2809">
        <f t="shared" si="50"/>
        <v>0</v>
      </c>
      <c r="K64" s="2062"/>
      <c r="L64" s="2027"/>
      <c r="M64" s="2061"/>
      <c r="N64" s="3102">
        <f t="shared" si="59"/>
        <v>0</v>
      </c>
      <c r="O64" s="2809">
        <f t="shared" si="51"/>
        <v>0</v>
      </c>
      <c r="P64" s="2062"/>
      <c r="Q64" s="2027"/>
      <c r="R64" s="2061"/>
      <c r="S64" s="3102">
        <f>Q64+R64*1</f>
        <v>0</v>
      </c>
      <c r="T64" s="2809">
        <f t="shared" si="52"/>
        <v>0</v>
      </c>
      <c r="U64" s="2062"/>
      <c r="V64" s="2027"/>
      <c r="W64" s="2061"/>
      <c r="X64" s="3102">
        <f t="shared" si="61"/>
        <v>0</v>
      </c>
      <c r="Y64" s="2809">
        <f t="shared" si="53"/>
        <v>0</v>
      </c>
      <c r="Z64" s="2062"/>
      <c r="AA64" s="2027"/>
      <c r="AB64" s="2061"/>
      <c r="AC64" s="3102">
        <f t="shared" si="62"/>
        <v>0</v>
      </c>
      <c r="AD64" s="2809">
        <f t="shared" si="54"/>
        <v>0</v>
      </c>
      <c r="AE64" s="2062"/>
      <c r="AF64" s="2027"/>
      <c r="AG64" s="2061"/>
      <c r="AH64" s="3102">
        <f>AF64+AG64*1</f>
        <v>0</v>
      </c>
      <c r="AI64" s="2809" t="e">
        <f t="shared" si="55"/>
        <v>#DIV/0!</v>
      </c>
      <c r="AJ64" s="2062"/>
      <c r="AK64" s="2059">
        <f t="shared" si="64"/>
        <v>0</v>
      </c>
      <c r="AL64" s="2059">
        <f t="shared" si="64"/>
        <v>0</v>
      </c>
      <c r="AM64" s="3102">
        <f t="shared" si="65"/>
        <v>0</v>
      </c>
      <c r="AN64" s="2809">
        <f t="shared" si="56"/>
        <v>0</v>
      </c>
      <c r="AO64" s="2813"/>
      <c r="AP64" s="1968"/>
      <c r="AQ64" s="1968"/>
    </row>
    <row r="65" spans="1:43" ht="24.6" customHeight="1" outlineLevel="2" x14ac:dyDescent="0.25">
      <c r="A65" s="1586"/>
      <c r="B65" s="3113" t="s">
        <v>36</v>
      </c>
      <c r="C65" s="2833"/>
      <c r="D65" s="2814"/>
      <c r="E65" s="3129">
        <f t="shared" si="57"/>
        <v>0</v>
      </c>
      <c r="F65" s="2809">
        <f t="shared" si="66"/>
        <v>0</v>
      </c>
      <c r="G65" s="2067"/>
      <c r="H65" s="2061"/>
      <c r="I65" s="3102">
        <f t="shared" si="58"/>
        <v>0</v>
      </c>
      <c r="J65" s="2809">
        <f t="shared" si="50"/>
        <v>0</v>
      </c>
      <c r="K65" s="2062"/>
      <c r="L65" s="2027"/>
      <c r="M65" s="2061"/>
      <c r="N65" s="3102">
        <f t="shared" si="59"/>
        <v>0</v>
      </c>
      <c r="O65" s="2809">
        <f t="shared" si="51"/>
        <v>0</v>
      </c>
      <c r="P65" s="2062"/>
      <c r="Q65" s="2061"/>
      <c r="R65" s="2061"/>
      <c r="S65" s="3102">
        <f t="shared" ref="S65:S71" si="67">Q65+R65*1</f>
        <v>0</v>
      </c>
      <c r="T65" s="2809">
        <f t="shared" si="52"/>
        <v>0</v>
      </c>
      <c r="U65" s="2062"/>
      <c r="V65" s="2027"/>
      <c r="W65" s="2061"/>
      <c r="X65" s="3102">
        <f t="shared" si="61"/>
        <v>0</v>
      </c>
      <c r="Y65" s="2809">
        <f t="shared" si="53"/>
        <v>0</v>
      </c>
      <c r="Z65" s="2062"/>
      <c r="AA65" s="2027"/>
      <c r="AB65" s="2061"/>
      <c r="AC65" s="3102">
        <f t="shared" si="62"/>
        <v>0</v>
      </c>
      <c r="AD65" s="2809">
        <f t="shared" si="54"/>
        <v>0</v>
      </c>
      <c r="AE65" s="2062"/>
      <c r="AF65" s="2061"/>
      <c r="AG65" s="2061"/>
      <c r="AH65" s="3102">
        <f t="shared" ref="AH65:AH71" si="68">AF65+AG65*1</f>
        <v>0</v>
      </c>
      <c r="AI65" s="2809" t="e">
        <f t="shared" si="55"/>
        <v>#DIV/0!</v>
      </c>
      <c r="AJ65" s="2062"/>
      <c r="AK65" s="2059">
        <f t="shared" si="64"/>
        <v>0</v>
      </c>
      <c r="AL65" s="2059">
        <f t="shared" si="64"/>
        <v>0</v>
      </c>
      <c r="AM65" s="3102">
        <f t="shared" si="65"/>
        <v>0</v>
      </c>
      <c r="AN65" s="2809">
        <f t="shared" si="56"/>
        <v>0</v>
      </c>
      <c r="AO65" s="2813"/>
      <c r="AP65" s="1968"/>
      <c r="AQ65" s="1968"/>
    </row>
    <row r="66" spans="1:43" s="1411" customFormat="1" ht="24.6" customHeight="1" outlineLevel="2" x14ac:dyDescent="0.25">
      <c r="A66" s="1586"/>
      <c r="B66" s="3113" t="s">
        <v>37</v>
      </c>
      <c r="C66" s="2833"/>
      <c r="D66" s="2814"/>
      <c r="E66" s="3129">
        <f t="shared" si="57"/>
        <v>0</v>
      </c>
      <c r="F66" s="2809">
        <f t="shared" si="66"/>
        <v>0</v>
      </c>
      <c r="G66" s="2067"/>
      <c r="H66" s="2059"/>
      <c r="I66" s="3102">
        <f t="shared" si="58"/>
        <v>0</v>
      </c>
      <c r="J66" s="2809">
        <f t="shared" si="50"/>
        <v>0</v>
      </c>
      <c r="K66" s="2062"/>
      <c r="L66" s="2027"/>
      <c r="M66" s="2061">
        <v>210</v>
      </c>
      <c r="N66" s="3102">
        <f t="shared" si="59"/>
        <v>210</v>
      </c>
      <c r="O66" s="2809">
        <f t="shared" si="51"/>
        <v>1.4188968684946112E-2</v>
      </c>
      <c r="P66" s="2062" t="s">
        <v>1682</v>
      </c>
      <c r="Q66" s="2027"/>
      <c r="R66" s="2059"/>
      <c r="S66" s="3102">
        <f t="shared" si="67"/>
        <v>0</v>
      </c>
      <c r="T66" s="2809">
        <f t="shared" si="52"/>
        <v>0</v>
      </c>
      <c r="U66" s="2062"/>
      <c r="V66" s="2027"/>
      <c r="W66" s="2059"/>
      <c r="X66" s="3102">
        <f t="shared" si="61"/>
        <v>0</v>
      </c>
      <c r="Y66" s="2809">
        <f t="shared" si="53"/>
        <v>0</v>
      </c>
      <c r="Z66" s="2062"/>
      <c r="AA66" s="2027"/>
      <c r="AB66" s="2059"/>
      <c r="AC66" s="3102">
        <f t="shared" si="62"/>
        <v>0</v>
      </c>
      <c r="AD66" s="2809">
        <f t="shared" si="54"/>
        <v>0</v>
      </c>
      <c r="AE66" s="2062"/>
      <c r="AF66" s="2027"/>
      <c r="AG66" s="2059"/>
      <c r="AH66" s="3102">
        <f t="shared" si="68"/>
        <v>0</v>
      </c>
      <c r="AI66" s="2809" t="e">
        <f t="shared" si="55"/>
        <v>#DIV/0!</v>
      </c>
      <c r="AJ66" s="2062"/>
      <c r="AK66" s="2059">
        <f t="shared" si="64"/>
        <v>0</v>
      </c>
      <c r="AL66" s="2059">
        <f t="shared" si="64"/>
        <v>210</v>
      </c>
      <c r="AM66" s="3209">
        <f t="shared" si="65"/>
        <v>210</v>
      </c>
      <c r="AN66" s="2809">
        <f t="shared" si="56"/>
        <v>2.6628703434481405E-3</v>
      </c>
      <c r="AO66" s="2813"/>
      <c r="AP66" s="920"/>
      <c r="AQ66" s="920"/>
    </row>
    <row r="67" spans="1:43" s="1411" customFormat="1" ht="24.6" customHeight="1" outlineLevel="2" x14ac:dyDescent="0.25">
      <c r="A67" s="1586"/>
      <c r="B67" s="3113" t="s">
        <v>3</v>
      </c>
      <c r="C67" s="2833"/>
      <c r="D67" s="2814"/>
      <c r="E67" s="3129">
        <f t="shared" si="57"/>
        <v>0</v>
      </c>
      <c r="F67" s="2809">
        <f t="shared" si="66"/>
        <v>0</v>
      </c>
      <c r="G67" s="2067"/>
      <c r="H67" s="2067"/>
      <c r="I67" s="3102">
        <f t="shared" si="58"/>
        <v>0</v>
      </c>
      <c r="J67" s="2809">
        <f t="shared" si="50"/>
        <v>0</v>
      </c>
      <c r="K67" s="2062"/>
      <c r="L67" s="2027"/>
      <c r="M67" s="2061"/>
      <c r="N67" s="3102">
        <f t="shared" si="59"/>
        <v>0</v>
      </c>
      <c r="O67" s="2809">
        <f t="shared" si="51"/>
        <v>0</v>
      </c>
      <c r="P67" s="2062"/>
      <c r="Q67" s="2027"/>
      <c r="R67" s="2027"/>
      <c r="S67" s="3102">
        <f t="shared" si="67"/>
        <v>0</v>
      </c>
      <c r="T67" s="2809">
        <f t="shared" si="52"/>
        <v>0</v>
      </c>
      <c r="U67" s="2062"/>
      <c r="V67" s="2027"/>
      <c r="W67" s="2027"/>
      <c r="X67" s="3102">
        <f t="shared" si="61"/>
        <v>0</v>
      </c>
      <c r="Y67" s="2809">
        <f t="shared" si="53"/>
        <v>0</v>
      </c>
      <c r="Z67" s="2062"/>
      <c r="AA67" s="2027"/>
      <c r="AB67" s="2027"/>
      <c r="AC67" s="3102">
        <f t="shared" si="62"/>
        <v>0</v>
      </c>
      <c r="AD67" s="2809">
        <f t="shared" si="54"/>
        <v>0</v>
      </c>
      <c r="AE67" s="2062"/>
      <c r="AF67" s="2027"/>
      <c r="AG67" s="2027"/>
      <c r="AH67" s="3102">
        <f t="shared" si="68"/>
        <v>0</v>
      </c>
      <c r="AI67" s="2809" t="e">
        <f t="shared" si="55"/>
        <v>#DIV/0!</v>
      </c>
      <c r="AJ67" s="2062"/>
      <c r="AK67" s="2059">
        <f t="shared" si="64"/>
        <v>0</v>
      </c>
      <c r="AL67" s="2059">
        <f t="shared" si="64"/>
        <v>0</v>
      </c>
      <c r="AM67" s="3102">
        <f t="shared" si="65"/>
        <v>0</v>
      </c>
      <c r="AN67" s="2809">
        <f t="shared" si="56"/>
        <v>0</v>
      </c>
      <c r="AO67" s="2813"/>
      <c r="AP67" s="920"/>
      <c r="AQ67" s="920"/>
    </row>
    <row r="68" spans="1:43" s="1411" customFormat="1" ht="24.6" customHeight="1" outlineLevel="2" x14ac:dyDescent="0.25">
      <c r="A68" s="1586"/>
      <c r="B68" s="3113" t="s">
        <v>5</v>
      </c>
      <c r="C68" s="2833"/>
      <c r="D68" s="2814"/>
      <c r="E68" s="3129">
        <f t="shared" si="57"/>
        <v>0</v>
      </c>
      <c r="F68" s="2809">
        <f t="shared" si="66"/>
        <v>0</v>
      </c>
      <c r="G68" s="2067"/>
      <c r="H68" s="2059"/>
      <c r="I68" s="3102">
        <f t="shared" si="58"/>
        <v>0</v>
      </c>
      <c r="J68" s="2809">
        <f t="shared" si="50"/>
        <v>0</v>
      </c>
      <c r="K68" s="2062"/>
      <c r="L68" s="2027"/>
      <c r="M68" s="2061"/>
      <c r="N68" s="3102">
        <f t="shared" si="59"/>
        <v>0</v>
      </c>
      <c r="O68" s="2809">
        <f t="shared" si="51"/>
        <v>0</v>
      </c>
      <c r="P68" s="2062"/>
      <c r="Q68" s="2027"/>
      <c r="R68" s="2059"/>
      <c r="S68" s="3102">
        <f t="shared" si="67"/>
        <v>0</v>
      </c>
      <c r="T68" s="2809">
        <f t="shared" si="52"/>
        <v>0</v>
      </c>
      <c r="U68" s="2062"/>
      <c r="V68" s="2027"/>
      <c r="W68" s="2059"/>
      <c r="X68" s="3102">
        <f t="shared" si="61"/>
        <v>0</v>
      </c>
      <c r="Y68" s="2809">
        <f t="shared" si="53"/>
        <v>0</v>
      </c>
      <c r="Z68" s="2062"/>
      <c r="AA68" s="2027"/>
      <c r="AB68" s="2059"/>
      <c r="AC68" s="3102">
        <f t="shared" si="62"/>
        <v>0</v>
      </c>
      <c r="AD68" s="2809">
        <f t="shared" si="54"/>
        <v>0</v>
      </c>
      <c r="AE68" s="2062"/>
      <c r="AF68" s="2059"/>
      <c r="AG68" s="2059"/>
      <c r="AH68" s="3102">
        <f t="shared" si="68"/>
        <v>0</v>
      </c>
      <c r="AI68" s="2809" t="e">
        <f t="shared" si="55"/>
        <v>#DIV/0!</v>
      </c>
      <c r="AJ68" s="2062"/>
      <c r="AK68" s="2059">
        <f t="shared" si="64"/>
        <v>0</v>
      </c>
      <c r="AL68" s="2059">
        <f t="shared" si="64"/>
        <v>0</v>
      </c>
      <c r="AM68" s="3102">
        <f t="shared" si="65"/>
        <v>0</v>
      </c>
      <c r="AN68" s="2809">
        <f t="shared" si="56"/>
        <v>0</v>
      </c>
      <c r="AO68" s="2813"/>
      <c r="AP68" s="920"/>
      <c r="AQ68" s="920"/>
    </row>
    <row r="69" spans="1:43" s="1411" customFormat="1" ht="24.6" customHeight="1" outlineLevel="2" x14ac:dyDescent="0.25">
      <c r="A69" s="1586"/>
      <c r="B69" s="3113" t="s">
        <v>42</v>
      </c>
      <c r="C69" s="2833"/>
      <c r="D69" s="2814"/>
      <c r="E69" s="3129">
        <f t="shared" si="57"/>
        <v>0</v>
      </c>
      <c r="F69" s="2809">
        <f t="shared" si="66"/>
        <v>0</v>
      </c>
      <c r="G69" s="2067"/>
      <c r="H69" s="2059"/>
      <c r="I69" s="3102">
        <f t="shared" si="58"/>
        <v>0</v>
      </c>
      <c r="J69" s="2809">
        <f t="shared" si="50"/>
        <v>0</v>
      </c>
      <c r="K69" s="2062"/>
      <c r="L69" s="2027"/>
      <c r="M69" s="2061"/>
      <c r="N69" s="3102">
        <f t="shared" si="59"/>
        <v>0</v>
      </c>
      <c r="O69" s="2809">
        <f t="shared" si="51"/>
        <v>0</v>
      </c>
      <c r="P69" s="2062"/>
      <c r="Q69" s="2027"/>
      <c r="R69" s="2059"/>
      <c r="S69" s="3102">
        <f t="shared" si="67"/>
        <v>0</v>
      </c>
      <c r="T69" s="2809">
        <f t="shared" si="52"/>
        <v>0</v>
      </c>
      <c r="U69" s="2834"/>
      <c r="V69" s="2027"/>
      <c r="W69" s="2059"/>
      <c r="X69" s="3102">
        <f t="shared" si="61"/>
        <v>0</v>
      </c>
      <c r="Y69" s="2809">
        <f t="shared" si="53"/>
        <v>0</v>
      </c>
      <c r="Z69" s="2834"/>
      <c r="AA69" s="2027"/>
      <c r="AB69" s="2059"/>
      <c r="AC69" s="3102">
        <f t="shared" si="62"/>
        <v>0</v>
      </c>
      <c r="AD69" s="2809">
        <f t="shared" si="54"/>
        <v>0</v>
      </c>
      <c r="AE69" s="2834"/>
      <c r="AF69" s="2027"/>
      <c r="AG69" s="2059"/>
      <c r="AH69" s="3102">
        <f t="shared" si="68"/>
        <v>0</v>
      </c>
      <c r="AI69" s="2809" t="e">
        <f t="shared" si="55"/>
        <v>#DIV/0!</v>
      </c>
      <c r="AJ69" s="2834"/>
      <c r="AK69" s="2059">
        <f t="shared" si="64"/>
        <v>0</v>
      </c>
      <c r="AL69" s="2059">
        <f t="shared" si="64"/>
        <v>0</v>
      </c>
      <c r="AM69" s="3102">
        <f t="shared" si="65"/>
        <v>0</v>
      </c>
      <c r="AN69" s="2809">
        <f t="shared" si="56"/>
        <v>0</v>
      </c>
      <c r="AO69" s="2813"/>
      <c r="AP69" s="920"/>
      <c r="AQ69" s="920"/>
    </row>
    <row r="70" spans="1:43" s="1411" customFormat="1" ht="24.6" customHeight="1" outlineLevel="2" x14ac:dyDescent="0.25">
      <c r="A70" s="1586"/>
      <c r="B70" s="3113" t="s">
        <v>6</v>
      </c>
      <c r="C70" s="2833"/>
      <c r="D70" s="2814"/>
      <c r="E70" s="3129">
        <f t="shared" si="57"/>
        <v>0</v>
      </c>
      <c r="F70" s="2809">
        <f t="shared" si="66"/>
        <v>0</v>
      </c>
      <c r="G70" s="2067"/>
      <c r="H70" s="2067"/>
      <c r="I70" s="3102">
        <f t="shared" si="58"/>
        <v>0</v>
      </c>
      <c r="J70" s="2809">
        <f t="shared" si="50"/>
        <v>0</v>
      </c>
      <c r="K70" s="2062"/>
      <c r="L70" s="2027"/>
      <c r="M70" s="2061"/>
      <c r="N70" s="3102">
        <f t="shared" si="59"/>
        <v>0</v>
      </c>
      <c r="O70" s="2809">
        <f t="shared" si="51"/>
        <v>0</v>
      </c>
      <c r="P70" s="2062"/>
      <c r="Q70" s="2027"/>
      <c r="R70" s="2067"/>
      <c r="S70" s="3102">
        <f t="shared" si="67"/>
        <v>0</v>
      </c>
      <c r="T70" s="2809">
        <f t="shared" si="52"/>
        <v>0</v>
      </c>
      <c r="U70" s="2062"/>
      <c r="V70" s="2027"/>
      <c r="W70" s="2067"/>
      <c r="X70" s="3102">
        <f t="shared" si="61"/>
        <v>0</v>
      </c>
      <c r="Y70" s="2809">
        <f t="shared" si="53"/>
        <v>0</v>
      </c>
      <c r="Z70" s="2062"/>
      <c r="AA70" s="2027"/>
      <c r="AB70" s="2067"/>
      <c r="AC70" s="3102">
        <f t="shared" si="62"/>
        <v>0</v>
      </c>
      <c r="AD70" s="2809">
        <f t="shared" si="54"/>
        <v>0</v>
      </c>
      <c r="AE70" s="2062"/>
      <c r="AF70" s="2027"/>
      <c r="AG70" s="2067"/>
      <c r="AH70" s="3102">
        <f t="shared" si="68"/>
        <v>0</v>
      </c>
      <c r="AI70" s="2809" t="e">
        <f t="shared" si="55"/>
        <v>#DIV/0!</v>
      </c>
      <c r="AJ70" s="2062"/>
      <c r="AK70" s="2059">
        <f t="shared" si="64"/>
        <v>0</v>
      </c>
      <c r="AL70" s="2059">
        <f t="shared" si="64"/>
        <v>0</v>
      </c>
      <c r="AM70" s="3102">
        <f t="shared" si="65"/>
        <v>0</v>
      </c>
      <c r="AN70" s="2809">
        <f>AM70/$AM$89</f>
        <v>0</v>
      </c>
      <c r="AO70" s="2813"/>
      <c r="AP70" s="920"/>
      <c r="AQ70" s="920"/>
    </row>
    <row r="71" spans="1:43" s="1411" customFormat="1" ht="24.6" customHeight="1" outlineLevel="2" x14ac:dyDescent="0.25">
      <c r="A71" s="1586"/>
      <c r="B71" s="3113" t="s">
        <v>234</v>
      </c>
      <c r="C71" s="2833"/>
      <c r="D71" s="2814"/>
      <c r="E71" s="3129">
        <f>C71+D71*1.15</f>
        <v>0</v>
      </c>
      <c r="F71" s="2835">
        <f t="shared" si="66"/>
        <v>0</v>
      </c>
      <c r="G71" s="2067"/>
      <c r="H71" s="2059"/>
      <c r="I71" s="3102">
        <f t="shared" si="58"/>
        <v>0</v>
      </c>
      <c r="J71" s="2809">
        <f t="shared" si="50"/>
        <v>0</v>
      </c>
      <c r="K71" s="2062"/>
      <c r="L71" s="2027"/>
      <c r="M71" s="2061"/>
      <c r="N71" s="3102">
        <f t="shared" si="59"/>
        <v>0</v>
      </c>
      <c r="O71" s="2809">
        <f t="shared" si="51"/>
        <v>0</v>
      </c>
      <c r="P71" s="2062"/>
      <c r="Q71" s="2067"/>
      <c r="R71" s="2059"/>
      <c r="S71" s="3102">
        <f t="shared" si="67"/>
        <v>0</v>
      </c>
      <c r="T71" s="2809">
        <f t="shared" si="52"/>
        <v>0</v>
      </c>
      <c r="U71" s="2062"/>
      <c r="V71" s="2067"/>
      <c r="W71" s="2059"/>
      <c r="X71" s="3102">
        <f t="shared" si="61"/>
        <v>0</v>
      </c>
      <c r="Y71" s="2809">
        <f t="shared" si="53"/>
        <v>0</v>
      </c>
      <c r="Z71" s="2062"/>
      <c r="AA71" s="2067"/>
      <c r="AB71" s="2059"/>
      <c r="AC71" s="3102">
        <f t="shared" si="62"/>
        <v>0</v>
      </c>
      <c r="AD71" s="2809">
        <f t="shared" si="54"/>
        <v>0</v>
      </c>
      <c r="AE71" s="2062"/>
      <c r="AF71" s="2067"/>
      <c r="AG71" s="2059"/>
      <c r="AH71" s="3102">
        <f t="shared" si="68"/>
        <v>0</v>
      </c>
      <c r="AI71" s="2809" t="e">
        <f t="shared" si="55"/>
        <v>#DIV/0!</v>
      </c>
      <c r="AJ71" s="2062"/>
      <c r="AK71" s="2059">
        <f t="shared" si="64"/>
        <v>0</v>
      </c>
      <c r="AL71" s="2059">
        <f t="shared" si="64"/>
        <v>0</v>
      </c>
      <c r="AM71" s="3102">
        <f t="shared" si="65"/>
        <v>0</v>
      </c>
      <c r="AN71" s="2809">
        <f t="shared" si="56"/>
        <v>0</v>
      </c>
      <c r="AO71" s="2813"/>
      <c r="AP71" s="920"/>
      <c r="AQ71" s="920"/>
    </row>
    <row r="72" spans="1:43" s="1411" customFormat="1" ht="24.6" customHeight="1" outlineLevel="2" thickBot="1" x14ac:dyDescent="0.3">
      <c r="A72" s="1586"/>
      <c r="B72" s="3199"/>
      <c r="C72" s="2836"/>
      <c r="D72" s="2837"/>
      <c r="E72" s="3200"/>
      <c r="F72" s="2835">
        <f t="shared" si="66"/>
        <v>0</v>
      </c>
      <c r="G72" s="2045"/>
      <c r="H72" s="2043"/>
      <c r="I72" s="3125"/>
      <c r="J72" s="2835"/>
      <c r="K72" s="2838"/>
      <c r="L72" s="2045"/>
      <c r="M72" s="2043"/>
      <c r="N72" s="3125"/>
      <c r="O72" s="2835"/>
      <c r="P72" s="2838"/>
      <c r="Q72" s="2045"/>
      <c r="R72" s="2043"/>
      <c r="S72" s="3125"/>
      <c r="T72" s="2835"/>
      <c r="U72" s="2838"/>
      <c r="V72" s="2045"/>
      <c r="W72" s="2043"/>
      <c r="X72" s="3125"/>
      <c r="Y72" s="2835"/>
      <c r="Z72" s="2838"/>
      <c r="AA72" s="2045"/>
      <c r="AB72" s="2043"/>
      <c r="AC72" s="3125"/>
      <c r="AD72" s="2835"/>
      <c r="AE72" s="2838"/>
      <c r="AF72" s="2045"/>
      <c r="AG72" s="2043"/>
      <c r="AH72" s="3125"/>
      <c r="AI72" s="2835"/>
      <c r="AJ72" s="2838"/>
      <c r="AK72" s="2059"/>
      <c r="AL72" s="2059"/>
      <c r="AM72" s="3125"/>
      <c r="AN72" s="2835">
        <f>AM72/$AM$89</f>
        <v>0</v>
      </c>
      <c r="AO72" s="2839"/>
      <c r="AP72" s="920"/>
      <c r="AQ72" s="920"/>
    </row>
    <row r="73" spans="1:43" s="1411" customFormat="1" ht="14.4" customHeight="1" outlineLevel="1" thickBot="1" x14ac:dyDescent="0.3">
      <c r="A73" s="1586"/>
      <c r="B73" s="996" t="s">
        <v>4</v>
      </c>
      <c r="C73" s="1599">
        <f>C74</f>
        <v>0</v>
      </c>
      <c r="D73" s="843">
        <f>D74</f>
        <v>0</v>
      </c>
      <c r="E73" s="1599">
        <f>E74</f>
        <v>0</v>
      </c>
      <c r="F73" s="838">
        <f>E73/$E$89</f>
        <v>0</v>
      </c>
      <c r="G73" s="1599">
        <f>G74</f>
        <v>0</v>
      </c>
      <c r="H73" s="1599">
        <f>H74</f>
        <v>0</v>
      </c>
      <c r="I73" s="1703">
        <f>I74</f>
        <v>0</v>
      </c>
      <c r="J73" s="1704"/>
      <c r="K73" s="1747"/>
      <c r="L73" s="1599">
        <f>L74</f>
        <v>0</v>
      </c>
      <c r="M73" s="1599">
        <f>M74</f>
        <v>0</v>
      </c>
      <c r="N73" s="1703">
        <f>N74</f>
        <v>0</v>
      </c>
      <c r="O73" s="1704">
        <f t="shared" ref="O73:O74" si="69">N73/N$89</f>
        <v>0</v>
      </c>
      <c r="P73" s="1747"/>
      <c r="Q73" s="1599">
        <f>Q74</f>
        <v>0</v>
      </c>
      <c r="R73" s="1599">
        <f>R74</f>
        <v>0</v>
      </c>
      <c r="S73" s="1703">
        <f>S74</f>
        <v>0</v>
      </c>
      <c r="T73" s="1704">
        <f t="shared" ref="T73:T74" si="70">S73/S$89</f>
        <v>0</v>
      </c>
      <c r="U73" s="1747"/>
      <c r="V73" s="1599">
        <f>V74</f>
        <v>5560.6</v>
      </c>
      <c r="W73" s="1599">
        <f>W74</f>
        <v>0</v>
      </c>
      <c r="X73" s="1703">
        <f>X74</f>
        <v>5560.6</v>
      </c>
      <c r="Y73" s="1704">
        <f t="shared" ref="Y73:Y74" si="71">X73/X$89</f>
        <v>1</v>
      </c>
      <c r="Z73" s="1747"/>
      <c r="AA73" s="1599">
        <f>AA74</f>
        <v>0</v>
      </c>
      <c r="AB73" s="1599">
        <f>AB74</f>
        <v>0</v>
      </c>
      <c r="AC73" s="1703">
        <f>AC74</f>
        <v>0</v>
      </c>
      <c r="AD73" s="1704">
        <f t="shared" ref="AD73:AD74" si="72">AC73/AC$89</f>
        <v>0</v>
      </c>
      <c r="AE73" s="1747"/>
      <c r="AF73" s="1599">
        <f>AF74</f>
        <v>0</v>
      </c>
      <c r="AG73" s="1599">
        <f>AG74</f>
        <v>0</v>
      </c>
      <c r="AH73" s="1703">
        <f>AH74</f>
        <v>0</v>
      </c>
      <c r="AI73" s="1704" t="e">
        <f t="shared" ref="AI73:AI74" si="73">AH73/AH$89</f>
        <v>#DIV/0!</v>
      </c>
      <c r="AJ73" s="1747"/>
      <c r="AK73" s="1599">
        <f>AK74</f>
        <v>5560.6</v>
      </c>
      <c r="AL73" s="1704">
        <f>AL74</f>
        <v>0</v>
      </c>
      <c r="AM73" s="1703">
        <f>AM74</f>
        <v>5560.6</v>
      </c>
      <c r="AN73" s="1704"/>
      <c r="AO73" s="1704"/>
      <c r="AP73" s="920"/>
      <c r="AQ73" s="920"/>
    </row>
    <row r="74" spans="1:43" s="1411" customFormat="1" ht="14.4" customHeight="1" outlineLevel="1" thickBot="1" x14ac:dyDescent="0.3">
      <c r="A74" s="1428"/>
      <c r="B74" s="995" t="s">
        <v>64</v>
      </c>
      <c r="C74" s="304"/>
      <c r="D74" s="305"/>
      <c r="E74" s="306">
        <f>C74+D74</f>
        <v>0</v>
      </c>
      <c r="F74" s="307"/>
      <c r="G74" s="2044"/>
      <c r="H74" s="2041"/>
      <c r="I74" s="3111">
        <f>G74+H74*1</f>
        <v>0</v>
      </c>
      <c r="J74" s="1679">
        <f>I74/$I$89</f>
        <v>0</v>
      </c>
      <c r="K74" s="1690"/>
      <c r="L74" s="2044"/>
      <c r="M74" s="2041"/>
      <c r="N74" s="3111">
        <f>L74+M74*1</f>
        <v>0</v>
      </c>
      <c r="O74" s="2809">
        <f t="shared" si="69"/>
        <v>0</v>
      </c>
      <c r="P74" s="1690"/>
      <c r="Q74" s="2044"/>
      <c r="R74" s="2041"/>
      <c r="S74" s="3111">
        <f>Q74+R74*1</f>
        <v>0</v>
      </c>
      <c r="T74" s="1679">
        <f t="shared" si="70"/>
        <v>0</v>
      </c>
      <c r="U74" s="1690"/>
      <c r="V74" s="2044">
        <v>5560.6</v>
      </c>
      <c r="W74" s="2041"/>
      <c r="X74" s="3111">
        <f>V74+W74*1</f>
        <v>5560.6</v>
      </c>
      <c r="Y74" s="1679">
        <f t="shared" si="71"/>
        <v>1</v>
      </c>
      <c r="Z74" s="1690"/>
      <c r="AA74" s="2044"/>
      <c r="AB74" s="2041"/>
      <c r="AC74" s="3111">
        <f>AA74+AB74*1</f>
        <v>0</v>
      </c>
      <c r="AD74" s="1679">
        <f t="shared" si="72"/>
        <v>0</v>
      </c>
      <c r="AE74" s="1690"/>
      <c r="AF74" s="2044"/>
      <c r="AG74" s="2041"/>
      <c r="AH74" s="3111">
        <f>AF74+AG74*1</f>
        <v>0</v>
      </c>
      <c r="AI74" s="1679" t="e">
        <f t="shared" si="73"/>
        <v>#DIV/0!</v>
      </c>
      <c r="AJ74" s="1690"/>
      <c r="AK74" s="2059">
        <f>G74+L74+Q74+V74+AA74+AF74</f>
        <v>5560.6</v>
      </c>
      <c r="AL74" s="2059">
        <f>H74+M74+R74+W74+AB74+AG74</f>
        <v>0</v>
      </c>
      <c r="AM74" s="3212">
        <f>AK74+AL74*1</f>
        <v>5560.6</v>
      </c>
      <c r="AN74" s="1679">
        <f>AM74/$AM$89</f>
        <v>7.0510270627513E-2</v>
      </c>
      <c r="AO74" s="1663"/>
      <c r="AP74" s="920"/>
      <c r="AQ74" s="920"/>
    </row>
    <row r="75" spans="1:43" s="1411" customFormat="1" ht="14.4" customHeight="1" thickBot="1" x14ac:dyDescent="0.3">
      <c r="A75" s="1414"/>
      <c r="B75" s="981" t="s">
        <v>48</v>
      </c>
      <c r="C75" s="1974">
        <f>C38-C41-C50-C54</f>
        <v>643900</v>
      </c>
      <c r="D75" s="1974">
        <f>D38-D41-D50-D54</f>
        <v>-30000</v>
      </c>
      <c r="E75" s="1523">
        <f>E38-E41-E50-E54</f>
        <v>613900</v>
      </c>
      <c r="F75" s="1551"/>
      <c r="G75" s="1465">
        <f>G38-G41-G50-G54</f>
        <v>0</v>
      </c>
      <c r="H75" s="1465">
        <f>H38-H41-H50-H54</f>
        <v>-8000</v>
      </c>
      <c r="I75" s="1523">
        <f>I38-I41-I50-I54</f>
        <v>-8000</v>
      </c>
      <c r="J75" s="1969"/>
      <c r="K75" s="1675"/>
      <c r="L75" s="1465">
        <f>L38-L41-L50-L54</f>
        <v>-165.03</v>
      </c>
      <c r="M75" s="1465">
        <f>M38-M41-M50-M54</f>
        <v>-13710</v>
      </c>
      <c r="N75" s="1523">
        <f>N38-N41-N50-N54</f>
        <v>-13875.03</v>
      </c>
      <c r="O75" s="1969"/>
      <c r="P75" s="1675"/>
      <c r="Q75" s="1465">
        <f>Q38-Q41-Q50-Q54</f>
        <v>340053.58999999997</v>
      </c>
      <c r="R75" s="1465">
        <f>R38-R41-R50-R54</f>
        <v>0</v>
      </c>
      <c r="S75" s="1523">
        <f>S38-S41-S50-S54</f>
        <v>340053.58999999997</v>
      </c>
      <c r="T75" s="1969"/>
      <c r="U75" s="1675"/>
      <c r="V75" s="1465">
        <f>V38-V41-V50-V54</f>
        <v>0</v>
      </c>
      <c r="W75" s="1465">
        <f>W38-W41-W50-W54</f>
        <v>0</v>
      </c>
      <c r="X75" s="1523">
        <f>X38-X41-X50-X54</f>
        <v>0</v>
      </c>
      <c r="Y75" s="1969"/>
      <c r="Z75" s="1675"/>
      <c r="AA75" s="1465">
        <f>AA38-AA41-AA50-AA54</f>
        <v>449834.97</v>
      </c>
      <c r="AB75" s="1465">
        <f>AB38-AB41-AB50-AB54</f>
        <v>0</v>
      </c>
      <c r="AC75" s="1523">
        <f>AC38-AC41-AC50-AC54</f>
        <v>449834.97</v>
      </c>
      <c r="AD75" s="1969"/>
      <c r="AE75" s="1675"/>
      <c r="AF75" s="1465">
        <f>AF38-AF41-AF50-AF54</f>
        <v>0</v>
      </c>
      <c r="AG75" s="1465">
        <f>AG38-AG41-AG50-AG54</f>
        <v>0</v>
      </c>
      <c r="AH75" s="1523">
        <f>AH38-AH41-AH50-AH54</f>
        <v>0</v>
      </c>
      <c r="AI75" s="1969"/>
      <c r="AJ75" s="1675"/>
      <c r="AK75" s="1465">
        <f>AK38-AK41-AK50-AK54</f>
        <v>789723.53</v>
      </c>
      <c r="AL75" s="1465">
        <f>AL38-AL41-AL50-AL54</f>
        <v>-21710</v>
      </c>
      <c r="AM75" s="1523">
        <f>AM38-AM41-AM50-AM54</f>
        <v>768013.53</v>
      </c>
      <c r="AN75" s="1969"/>
      <c r="AO75" s="1969"/>
      <c r="AP75" s="920"/>
      <c r="AQ75" s="920"/>
    </row>
    <row r="76" spans="1:43" s="1411" customFormat="1" ht="14.4" customHeight="1" x14ac:dyDescent="0.25">
      <c r="A76" s="1581"/>
      <c r="B76" s="982" t="s">
        <v>49</v>
      </c>
      <c r="C76" s="1540">
        <f>C75/C5</f>
        <v>0.69837310195227764</v>
      </c>
      <c r="D76" s="1540" t="e">
        <f>D75/D5</f>
        <v>#DIV/0!</v>
      </c>
      <c r="E76" s="1541">
        <f>E75/E5</f>
        <v>0.66583514099783081</v>
      </c>
      <c r="F76" s="1546"/>
      <c r="G76" s="2019" t="e">
        <f>G75/G5</f>
        <v>#DIV/0!</v>
      </c>
      <c r="H76" s="2019" t="e">
        <f>H75/H5</f>
        <v>#DIV/0!</v>
      </c>
      <c r="I76" s="2020" t="e">
        <f>I75/I5</f>
        <v>#DIV/0!</v>
      </c>
      <c r="J76" s="2020"/>
      <c r="K76" s="1676"/>
      <c r="L76" s="2019" t="e">
        <f>L75/L5</f>
        <v>#DIV/0!</v>
      </c>
      <c r="M76" s="2019" t="e">
        <f>M75/M5</f>
        <v>#DIV/0!</v>
      </c>
      <c r="N76" s="2020" t="e">
        <f>N75/N5</f>
        <v>#DIV/0!</v>
      </c>
      <c r="O76" s="2020"/>
      <c r="P76" s="1676"/>
      <c r="Q76" s="2019">
        <f>Q75/Q5</f>
        <v>0.87320850987340459</v>
      </c>
      <c r="R76" s="2019" t="e">
        <f>R75/R5</f>
        <v>#DIV/0!</v>
      </c>
      <c r="S76" s="2020">
        <f>S75/S5</f>
        <v>0.87320850987340459</v>
      </c>
      <c r="T76" s="2020"/>
      <c r="U76" s="1676"/>
      <c r="V76" s="2019" t="e">
        <f>V75/V5</f>
        <v>#DIV/0!</v>
      </c>
      <c r="W76" s="2019" t="e">
        <f>W75/W5</f>
        <v>#DIV/0!</v>
      </c>
      <c r="X76" s="2020" t="e">
        <f>X75/X5</f>
        <v>#DIV/0!</v>
      </c>
      <c r="Y76" s="2020"/>
      <c r="Z76" s="1676"/>
      <c r="AA76" s="2019">
        <f>AA75/AA5</f>
        <v>0.99963326666666663</v>
      </c>
      <c r="AB76" s="2019" t="e">
        <f>AB75/AB5</f>
        <v>#DIV/0!</v>
      </c>
      <c r="AC76" s="2020">
        <f>AC75/AC5</f>
        <v>0.99963326666666663</v>
      </c>
      <c r="AD76" s="2020"/>
      <c r="AE76" s="1676"/>
      <c r="AF76" s="2019" t="e">
        <f>AF75/AF5</f>
        <v>#DIV/0!</v>
      </c>
      <c r="AG76" s="2019" t="e">
        <f>AG75/AG5</f>
        <v>#DIV/0!</v>
      </c>
      <c r="AH76" s="2020" t="e">
        <f>AH75/AH5</f>
        <v>#DIV/0!</v>
      </c>
      <c r="AI76" s="2020"/>
      <c r="AJ76" s="1676"/>
      <c r="AK76" s="2019">
        <f>AK75/AK5</f>
        <v>0.94078544965035804</v>
      </c>
      <c r="AL76" s="2019" t="e">
        <f>AL75/AL5</f>
        <v>#DIV/0!</v>
      </c>
      <c r="AM76" s="2020">
        <f>AM75/AM5</f>
        <v>0.91492266180622572</v>
      </c>
      <c r="AN76" s="2020"/>
      <c r="AO76" s="2020"/>
      <c r="AP76" s="920"/>
      <c r="AQ76" s="920"/>
    </row>
    <row r="77" spans="1:43" s="1411" customFormat="1" ht="14.4" customHeight="1" outlineLevel="1" thickBot="1" x14ac:dyDescent="0.3">
      <c r="A77" s="1581"/>
      <c r="B77" s="2864" t="s">
        <v>9</v>
      </c>
      <c r="C77" s="2974">
        <f>C78-C79</f>
        <v>-4500</v>
      </c>
      <c r="D77" s="2974">
        <f>D78-D79</f>
        <v>0</v>
      </c>
      <c r="E77" s="2866">
        <f>E78-E79</f>
        <v>-4500</v>
      </c>
      <c r="F77" s="2867"/>
      <c r="G77" s="2974">
        <f>G78-G79</f>
        <v>0</v>
      </c>
      <c r="H77" s="2974">
        <f>H78-H79</f>
        <v>0</v>
      </c>
      <c r="I77" s="2866">
        <f>I78-I79</f>
        <v>-960</v>
      </c>
      <c r="J77" s="2868"/>
      <c r="K77" s="2869"/>
      <c r="L77" s="2974">
        <f>L78-L79</f>
        <v>0</v>
      </c>
      <c r="M77" s="2974">
        <f>M78-M79</f>
        <v>0</v>
      </c>
      <c r="N77" s="2866">
        <f>N78-N79</f>
        <v>-925.2</v>
      </c>
      <c r="O77" s="2868"/>
      <c r="P77" s="2869"/>
      <c r="Q77" s="2974">
        <f>Q78-Q79</f>
        <v>0</v>
      </c>
      <c r="R77" s="2974">
        <f>R78-R79</f>
        <v>0</v>
      </c>
      <c r="S77" s="2866">
        <f>S78-S79</f>
        <v>0</v>
      </c>
      <c r="T77" s="2868">
        <f t="shared" ref="T77" si="74">S77/S$89</f>
        <v>0</v>
      </c>
      <c r="U77" s="2869"/>
      <c r="V77" s="2974">
        <f>V78-V79</f>
        <v>0</v>
      </c>
      <c r="W77" s="2974">
        <f>W78-W79</f>
        <v>0</v>
      </c>
      <c r="X77" s="2866">
        <f>X78-X79</f>
        <v>0</v>
      </c>
      <c r="Y77" s="2868"/>
      <c r="Z77" s="2869"/>
      <c r="AA77" s="2974">
        <f>AA78-AA79</f>
        <v>0</v>
      </c>
      <c r="AB77" s="2974">
        <f>AB78-AB79</f>
        <v>0</v>
      </c>
      <c r="AC77" s="2866">
        <f>AC78-AC79</f>
        <v>0</v>
      </c>
      <c r="AD77" s="2868"/>
      <c r="AE77" s="2869"/>
      <c r="AF77" s="2974">
        <f>AF78-AF79</f>
        <v>0</v>
      </c>
      <c r="AG77" s="2974">
        <f>AG78-AG79</f>
        <v>0</v>
      </c>
      <c r="AH77" s="2866">
        <f>AH78-AH79</f>
        <v>0</v>
      </c>
      <c r="AI77" s="2868" t="e">
        <f t="shared" ref="AI77" si="75">AH77/AH$89</f>
        <v>#DIV/0!</v>
      </c>
      <c r="AJ77" s="2869"/>
      <c r="AK77" s="2974">
        <f>AK78-AK79</f>
        <v>0</v>
      </c>
      <c r="AL77" s="2974">
        <f>AL79</f>
        <v>0</v>
      </c>
      <c r="AM77" s="2866">
        <f>AM78-AM79</f>
        <v>-1885.2</v>
      </c>
      <c r="AN77" s="2868"/>
      <c r="AO77" s="2868"/>
      <c r="AP77" s="920"/>
      <c r="AQ77" s="920"/>
    </row>
    <row r="78" spans="1:43" s="1411" customFormat="1" ht="14.4" customHeight="1" outlineLevel="2" x14ac:dyDescent="0.25">
      <c r="A78" s="1420"/>
      <c r="B78" s="1637" t="s">
        <v>43</v>
      </c>
      <c r="C78" s="1525"/>
      <c r="D78" s="1526"/>
      <c r="E78" s="2826">
        <f>C78+D78*1.15</f>
        <v>0</v>
      </c>
      <c r="F78" s="1562"/>
      <c r="G78" s="2067"/>
      <c r="H78" s="2059"/>
      <c r="I78" s="1467">
        <f>G78+H78*1.15</f>
        <v>0</v>
      </c>
      <c r="J78" s="2809">
        <f>I78/$I$89</f>
        <v>0</v>
      </c>
      <c r="K78" s="1677"/>
      <c r="L78" s="2067"/>
      <c r="M78" s="2059"/>
      <c r="N78" s="3213">
        <f>L78+M78</f>
        <v>0</v>
      </c>
      <c r="O78" s="2809"/>
      <c r="P78" s="1677"/>
      <c r="Q78" s="2067"/>
      <c r="R78" s="2059"/>
      <c r="S78" s="3213">
        <f>Q78+R78</f>
        <v>0</v>
      </c>
      <c r="T78" s="2809" t="e">
        <f>S78/$AS$89</f>
        <v>#DIV/0!</v>
      </c>
      <c r="U78" s="1677"/>
      <c r="V78" s="2067"/>
      <c r="W78" s="2059"/>
      <c r="X78" s="1467">
        <f>V78+W78*1.15</f>
        <v>0</v>
      </c>
      <c r="Y78" s="2809"/>
      <c r="Z78" s="1677"/>
      <c r="AA78" s="2067"/>
      <c r="AB78" s="2059"/>
      <c r="AC78" s="1467">
        <f>AA78+AB78*1.15</f>
        <v>0</v>
      </c>
      <c r="AD78" s="2809"/>
      <c r="AE78" s="1677"/>
      <c r="AF78" s="1633"/>
      <c r="AG78" s="1689"/>
      <c r="AH78" s="1467">
        <f>AF78+AG78*1.15</f>
        <v>0</v>
      </c>
      <c r="AI78" s="2809" t="e">
        <f>AH78/$AN$89</f>
        <v>#DIV/0!</v>
      </c>
      <c r="AJ78" s="1677"/>
      <c r="AK78" s="2059">
        <f t="shared" ref="AK78:AM79" si="76">G78+L78+Q78+V78+AA78+AF78</f>
        <v>0</v>
      </c>
      <c r="AL78" s="2059">
        <f t="shared" si="76"/>
        <v>0</v>
      </c>
      <c r="AM78" s="3102">
        <f>AK78+AL78*1.15</f>
        <v>0</v>
      </c>
      <c r="AN78" s="1467"/>
      <c r="AO78" s="1467"/>
      <c r="AP78" s="920"/>
      <c r="AQ78" s="920"/>
    </row>
    <row r="79" spans="1:43" s="1411" customFormat="1" ht="14.4" customHeight="1" outlineLevel="2" x14ac:dyDescent="0.25">
      <c r="A79" s="1420"/>
      <c r="B79" s="2810" t="s">
        <v>79</v>
      </c>
      <c r="C79" s="2811">
        <v>4500</v>
      </c>
      <c r="D79" s="2826"/>
      <c r="E79" s="2826">
        <f>C79+D79*1.15</f>
        <v>4500</v>
      </c>
      <c r="F79" s="2831">
        <f>E79/$E$89</f>
        <v>1.4395393474088292E-2</v>
      </c>
      <c r="G79" s="2067"/>
      <c r="H79" s="2059">
        <v>0</v>
      </c>
      <c r="I79" s="3213">
        <v>960</v>
      </c>
      <c r="J79" s="2809">
        <f>I79/$I$89</f>
        <v>0.10714285714285714</v>
      </c>
      <c r="K79" s="2832"/>
      <c r="L79" s="2067"/>
      <c r="M79" s="2059"/>
      <c r="N79" s="3213">
        <v>925.2</v>
      </c>
      <c r="O79" s="2809">
        <f>N79/N$89</f>
        <v>6.2512542034819721E-2</v>
      </c>
      <c r="P79" s="2832"/>
      <c r="Q79" s="2067"/>
      <c r="R79" s="2059"/>
      <c r="S79" s="3102">
        <f t="shared" ref="S79" si="77">Q79+R79*1</f>
        <v>0</v>
      </c>
      <c r="T79" s="2809">
        <f t="shared" ref="T79" si="78">S79/S$89</f>
        <v>0</v>
      </c>
      <c r="U79" s="2832"/>
      <c r="V79" s="2067"/>
      <c r="W79" s="2059">
        <v>0</v>
      </c>
      <c r="X79" s="3102">
        <f t="shared" ref="X79" si="79">V79+W79*1</f>
        <v>0</v>
      </c>
      <c r="Y79" s="2809">
        <f>X79/X$89</f>
        <v>0</v>
      </c>
      <c r="Z79" s="2832"/>
      <c r="AA79" s="2067"/>
      <c r="AB79" s="2059">
        <v>0</v>
      </c>
      <c r="AC79" s="3102">
        <f t="shared" ref="AC79" si="80">AA79+AB79*1</f>
        <v>0</v>
      </c>
      <c r="AD79" s="2809">
        <f>AC79/AC$89</f>
        <v>0</v>
      </c>
      <c r="AE79" s="2832"/>
      <c r="AF79" s="1633"/>
      <c r="AG79" s="1689"/>
      <c r="AH79" s="3102">
        <f t="shared" ref="AH79" si="81">AF79+AG79*1</f>
        <v>0</v>
      </c>
      <c r="AI79" s="2809" t="e">
        <f t="shared" ref="AI79" si="82">AH79/AH$89</f>
        <v>#DIV/0!</v>
      </c>
      <c r="AJ79" s="3214" t="s">
        <v>1710</v>
      </c>
      <c r="AK79" s="2059">
        <f t="shared" si="76"/>
        <v>0</v>
      </c>
      <c r="AL79" s="2059">
        <f t="shared" si="76"/>
        <v>0</v>
      </c>
      <c r="AM79" s="1887">
        <f t="shared" si="76"/>
        <v>1885.2</v>
      </c>
      <c r="AN79" s="2824"/>
      <c r="AO79" s="2824"/>
      <c r="AP79" s="920"/>
      <c r="AQ79" s="920"/>
    </row>
    <row r="80" spans="1:43" ht="14.4" customHeight="1" outlineLevel="2" x14ac:dyDescent="0.25">
      <c r="A80" s="1412"/>
      <c r="B80" s="3130"/>
      <c r="C80" s="2840"/>
      <c r="D80" s="2841"/>
      <c r="E80" s="2842"/>
      <c r="F80" s="2843"/>
      <c r="G80" s="2067"/>
      <c r="H80" s="2059"/>
      <c r="I80" s="2844"/>
      <c r="J80" s="2844"/>
      <c r="K80" s="2845"/>
      <c r="L80" s="2067"/>
      <c r="M80" s="2059"/>
      <c r="N80" s="2844"/>
      <c r="O80" s="2844"/>
      <c r="P80" s="2845"/>
      <c r="Q80" s="2067"/>
      <c r="R80" s="2059"/>
      <c r="S80" s="2844"/>
      <c r="T80" s="2844"/>
      <c r="U80" s="2845"/>
      <c r="V80" s="2067"/>
      <c r="W80" s="2059"/>
      <c r="X80" s="2844"/>
      <c r="Y80" s="2844"/>
      <c r="Z80" s="2845"/>
      <c r="AA80" s="2067"/>
      <c r="AB80" s="2059"/>
      <c r="AC80" s="2844"/>
      <c r="AD80" s="2844"/>
      <c r="AE80" s="2845"/>
      <c r="AF80" s="2067"/>
      <c r="AG80" s="2059"/>
      <c r="AH80" s="2844"/>
      <c r="AI80" s="2844"/>
      <c r="AJ80" s="2845"/>
      <c r="AK80" s="2059"/>
      <c r="AL80" s="2059"/>
      <c r="AM80" s="2844"/>
      <c r="AN80" s="2844"/>
      <c r="AO80" s="2844"/>
      <c r="AP80" s="1968"/>
      <c r="AQ80" s="1968"/>
    </row>
    <row r="81" spans="1:43" s="1411" customFormat="1" ht="14.4" customHeight="1" outlineLevel="1" thickBot="1" x14ac:dyDescent="0.3">
      <c r="A81" s="1434"/>
      <c r="B81" s="2864" t="s">
        <v>12</v>
      </c>
      <c r="C81" s="2974">
        <f>(C75+C78)-C79</f>
        <v>639400</v>
      </c>
      <c r="D81" s="2974">
        <f>(D75+D78)-D79</f>
        <v>-30000</v>
      </c>
      <c r="E81" s="2866">
        <f>(E75+E78)-E79</f>
        <v>609400</v>
      </c>
      <c r="F81" s="2867"/>
      <c r="G81" s="2974">
        <f>(G75+G78)-G79</f>
        <v>0</v>
      </c>
      <c r="H81" s="2974">
        <f>(H75+H78)-H79</f>
        <v>-8000</v>
      </c>
      <c r="I81" s="2866">
        <f>(I75+I78)-I79</f>
        <v>-8960</v>
      </c>
      <c r="J81" s="2868"/>
      <c r="K81" s="2869"/>
      <c r="L81" s="2974">
        <f>(L75+L78)-L79</f>
        <v>-165.03</v>
      </c>
      <c r="M81" s="2974">
        <f>(M75+M78)-M79</f>
        <v>-13710</v>
      </c>
      <c r="N81" s="2866">
        <f>(N75+N78)-N79</f>
        <v>-14800.230000000001</v>
      </c>
      <c r="O81" s="2868"/>
      <c r="P81" s="2869"/>
      <c r="Q81" s="2974">
        <f>(Q75+Q78)-Q79</f>
        <v>340053.58999999997</v>
      </c>
      <c r="R81" s="2974">
        <f>(R75+R78)-R79</f>
        <v>0</v>
      </c>
      <c r="S81" s="2866">
        <f>(S75+S78)-S79</f>
        <v>340053.58999999997</v>
      </c>
      <c r="T81" s="2868"/>
      <c r="U81" s="2869"/>
      <c r="V81" s="2974">
        <f>(V75+V78)-V79</f>
        <v>0</v>
      </c>
      <c r="W81" s="2974">
        <f>(W75+W78)-W79</f>
        <v>0</v>
      </c>
      <c r="X81" s="2866">
        <f>(X75+X78)-X79</f>
        <v>0</v>
      </c>
      <c r="Y81" s="2868"/>
      <c r="Z81" s="2869"/>
      <c r="AA81" s="2974">
        <f>(AA75+AA78)-AA79</f>
        <v>449834.97</v>
      </c>
      <c r="AB81" s="2974">
        <f>(AB75+AB78)-AB79</f>
        <v>0</v>
      </c>
      <c r="AC81" s="2866">
        <f>(AC75+AC78)-AC79</f>
        <v>449834.97</v>
      </c>
      <c r="AD81" s="2868"/>
      <c r="AE81" s="2869"/>
      <c r="AF81" s="2974">
        <f>(AF75+AF78)-AF79</f>
        <v>0</v>
      </c>
      <c r="AG81" s="2974">
        <f>(AG75+AG78)-AG79</f>
        <v>0</v>
      </c>
      <c r="AH81" s="2866">
        <f>(AH75+AH78)-AH79</f>
        <v>0</v>
      </c>
      <c r="AI81" s="2868"/>
      <c r="AJ81" s="2869"/>
      <c r="AK81" s="2866">
        <f>(AK75+AK78)-AK79</f>
        <v>789723.53</v>
      </c>
      <c r="AL81" s="2866">
        <f>(AL75+AL78)-AL79</f>
        <v>-21710</v>
      </c>
      <c r="AM81" s="2866">
        <f>(AM75+AM78)-AM79</f>
        <v>766128.33000000007</v>
      </c>
      <c r="AN81" s="2868"/>
      <c r="AO81" s="2868"/>
      <c r="AP81" s="920"/>
      <c r="AQ81" s="920"/>
    </row>
    <row r="82" spans="1:43" s="1411" customFormat="1" ht="14.4" customHeight="1" outlineLevel="2" x14ac:dyDescent="0.25">
      <c r="A82" s="1580"/>
      <c r="B82" s="1637" t="s">
        <v>38</v>
      </c>
      <c r="C82" s="1525"/>
      <c r="D82" s="1526"/>
      <c r="E82" s="1530">
        <f>C82+D82</f>
        <v>0</v>
      </c>
      <c r="F82" s="2831">
        <f>E82/$E$89</f>
        <v>0</v>
      </c>
      <c r="G82" s="2067"/>
      <c r="H82" s="2059"/>
      <c r="I82" s="1530">
        <f>G82+H82</f>
        <v>0</v>
      </c>
      <c r="J82" s="1491"/>
      <c r="K82" s="2062"/>
      <c r="L82" s="2067"/>
      <c r="M82" s="2059"/>
      <c r="N82" s="1530">
        <f>L82+M82</f>
        <v>0</v>
      </c>
      <c r="O82" s="1491"/>
      <c r="P82" s="2062"/>
      <c r="Q82" s="2067"/>
      <c r="R82" s="2059"/>
      <c r="S82" s="1530">
        <f>Q82+R82</f>
        <v>0</v>
      </c>
      <c r="T82" s="1491"/>
      <c r="U82" s="2062"/>
      <c r="V82" s="2067"/>
      <c r="W82" s="2059"/>
      <c r="X82" s="1530">
        <f>V82+W82</f>
        <v>0</v>
      </c>
      <c r="Y82" s="1491"/>
      <c r="Z82" s="2062"/>
      <c r="AA82" s="2067"/>
      <c r="AB82" s="2059"/>
      <c r="AC82" s="1530">
        <f>AA82+AB82</f>
        <v>0</v>
      </c>
      <c r="AD82" s="1491"/>
      <c r="AE82" s="2062"/>
      <c r="AF82" s="2067"/>
      <c r="AG82" s="2059"/>
      <c r="AH82" s="1530">
        <f>AF82+AG82</f>
        <v>0</v>
      </c>
      <c r="AI82" s="1491"/>
      <c r="AJ82" s="2062"/>
      <c r="AK82" s="2059">
        <f t="shared" ref="AK82:AL82" si="83">G82+L82+Q82+V82+AA82+AF82</f>
        <v>0</v>
      </c>
      <c r="AL82" s="2059">
        <f t="shared" si="83"/>
        <v>0</v>
      </c>
      <c r="AM82" s="1530">
        <f>AK82+AL82</f>
        <v>0</v>
      </c>
      <c r="AN82" s="1491"/>
      <c r="AO82" s="1491"/>
      <c r="AP82" s="920"/>
      <c r="AQ82" s="920"/>
    </row>
    <row r="83" spans="1:43" s="1411" customFormat="1" ht="14.4" customHeight="1" outlineLevel="1" x14ac:dyDescent="0.25">
      <c r="A83" s="1420"/>
      <c r="B83" s="3131" t="s">
        <v>13</v>
      </c>
      <c r="C83" s="2846">
        <f t="shared" ref="C83:E83" si="84">(C81)-C36</f>
        <v>639400</v>
      </c>
      <c r="D83" s="2846">
        <f t="shared" si="84"/>
        <v>-30000</v>
      </c>
      <c r="E83" s="2846">
        <f t="shared" si="84"/>
        <v>609400</v>
      </c>
      <c r="F83" s="2847"/>
      <c r="G83" s="2846">
        <f t="shared" ref="G83:I83" si="85">(G81)-G36</f>
        <v>0</v>
      </c>
      <c r="H83" s="2846">
        <f t="shared" si="85"/>
        <v>-8000</v>
      </c>
      <c r="I83" s="2848">
        <f t="shared" si="85"/>
        <v>-8960</v>
      </c>
      <c r="J83" s="2849"/>
      <c r="K83" s="2849"/>
      <c r="L83" s="2846">
        <f t="shared" ref="L83:N83" si="86">(L81)-L36</f>
        <v>-165.03</v>
      </c>
      <c r="M83" s="2846">
        <f t="shared" si="86"/>
        <v>-13710</v>
      </c>
      <c r="N83" s="2848">
        <f t="shared" si="86"/>
        <v>-14800.230000000001</v>
      </c>
      <c r="O83" s="2849"/>
      <c r="P83" s="2849"/>
      <c r="Q83" s="2846">
        <f>(Q81+Q7)-Q36</f>
        <v>340053.58999999997</v>
      </c>
      <c r="R83" s="2846">
        <f>(R81+R7)-R36</f>
        <v>0</v>
      </c>
      <c r="S83" s="2848">
        <f>(S81+S7)-S36</f>
        <v>340053.58999999997</v>
      </c>
      <c r="T83" s="2849"/>
      <c r="U83" s="2850"/>
      <c r="V83" s="2846">
        <f>(V81+V7)-V36</f>
        <v>0</v>
      </c>
      <c r="W83" s="2846">
        <f>(W81+W7)-W36</f>
        <v>0</v>
      </c>
      <c r="X83" s="2848">
        <f>(X81+X7)-X36</f>
        <v>0</v>
      </c>
      <c r="Y83" s="2849"/>
      <c r="Z83" s="2850"/>
      <c r="AA83" s="2846">
        <f>(AA81+AA7)-AA36</f>
        <v>449834.97</v>
      </c>
      <c r="AB83" s="2846">
        <f>(AB81+AB7)-AB36</f>
        <v>0</v>
      </c>
      <c r="AC83" s="2848">
        <f>(AC81+AC7)-AC36</f>
        <v>449834.97</v>
      </c>
      <c r="AD83" s="2849"/>
      <c r="AE83" s="2850"/>
      <c r="AF83" s="2846">
        <f>(AF81+AF7)-AF36</f>
        <v>0</v>
      </c>
      <c r="AG83" s="2846">
        <f>(AG81+AG7)-AG36</f>
        <v>0</v>
      </c>
      <c r="AH83" s="2848">
        <f>(AH81+AH7)-AH36</f>
        <v>0</v>
      </c>
      <c r="AI83" s="2849"/>
      <c r="AJ83" s="2850"/>
      <c r="AK83" s="2846">
        <f>(AK81)-AK36</f>
        <v>789723.53</v>
      </c>
      <c r="AL83" s="2846">
        <f>(AL81)-AL36</f>
        <v>-21710</v>
      </c>
      <c r="AM83" s="2848">
        <f>(AM81)-AM36</f>
        <v>766128.33000000007</v>
      </c>
      <c r="AN83" s="2849"/>
      <c r="AO83" s="2849"/>
      <c r="AP83" s="920"/>
      <c r="AQ83" s="920"/>
    </row>
    <row r="84" spans="1:43" s="1411" customFormat="1" ht="14.4" customHeight="1" outlineLevel="1" thickBot="1" x14ac:dyDescent="0.3">
      <c r="A84" s="1420"/>
      <c r="B84" s="2870" t="s">
        <v>14</v>
      </c>
      <c r="C84" s="2997">
        <f>C83-C73-C82</f>
        <v>639400</v>
      </c>
      <c r="D84" s="2997">
        <f>D83-D73-D82</f>
        <v>-30000</v>
      </c>
      <c r="E84" s="2997">
        <f>E83-E73-E82</f>
        <v>609400</v>
      </c>
      <c r="F84" s="2872"/>
      <c r="G84" s="2873">
        <f>G83-G73-G82</f>
        <v>0</v>
      </c>
      <c r="H84" s="2873">
        <f>H83-H73-H82</f>
        <v>-8000</v>
      </c>
      <c r="I84" s="2873">
        <f>I83-I73-I82</f>
        <v>-8960</v>
      </c>
      <c r="J84" s="2874"/>
      <c r="K84" s="2875"/>
      <c r="L84" s="2873">
        <f>L83-L73-L82</f>
        <v>-165.03</v>
      </c>
      <c r="M84" s="2873">
        <f>M83-M73-M82</f>
        <v>-13710</v>
      </c>
      <c r="N84" s="2873">
        <f>N83-N73-N82</f>
        <v>-14800.230000000001</v>
      </c>
      <c r="O84" s="2874"/>
      <c r="P84" s="2875"/>
      <c r="Q84" s="2873">
        <f>Q83-Q73-Q82</f>
        <v>340053.58999999997</v>
      </c>
      <c r="R84" s="2873">
        <f>R83-R73-R82</f>
        <v>0</v>
      </c>
      <c r="S84" s="2873">
        <f>S83-S73-S82</f>
        <v>340053.58999999997</v>
      </c>
      <c r="T84" s="2874"/>
      <c r="U84" s="2875"/>
      <c r="V84" s="2873">
        <f>V83-V73-V82</f>
        <v>-5560.6</v>
      </c>
      <c r="W84" s="2873">
        <f>W83-W73-W82</f>
        <v>0</v>
      </c>
      <c r="X84" s="2873">
        <f>X83-X73-X82</f>
        <v>-5560.6</v>
      </c>
      <c r="Y84" s="2874"/>
      <c r="Z84" s="2875"/>
      <c r="AA84" s="2873">
        <f>AA83-AA73-AA82</f>
        <v>449834.97</v>
      </c>
      <c r="AB84" s="2873">
        <f>AB83-AB73-AB82</f>
        <v>0</v>
      </c>
      <c r="AC84" s="2873">
        <f>AC83-AC73-AC82</f>
        <v>449834.97</v>
      </c>
      <c r="AD84" s="2874"/>
      <c r="AE84" s="2875"/>
      <c r="AF84" s="2873">
        <f>AF83-AF73-AF82</f>
        <v>0</v>
      </c>
      <c r="AG84" s="2873">
        <f>AG83-AG73-AG82</f>
        <v>0</v>
      </c>
      <c r="AH84" s="2873">
        <f>AH83-AH73-AH82</f>
        <v>0</v>
      </c>
      <c r="AI84" s="2874"/>
      <c r="AJ84" s="2875"/>
      <c r="AK84" s="2873">
        <f>AK83-AK73-AK82</f>
        <v>784162.93</v>
      </c>
      <c r="AL84" s="2873">
        <f>AL83-AL73-AL82</f>
        <v>-21710</v>
      </c>
      <c r="AM84" s="2873">
        <f>AM83-AM73-AM82</f>
        <v>760567.7300000001</v>
      </c>
      <c r="AN84" s="2874"/>
      <c r="AO84" s="2874"/>
      <c r="AP84" s="920"/>
      <c r="AQ84" s="920"/>
    </row>
    <row r="85" spans="1:43" s="1411" customFormat="1" ht="14.4" customHeight="1" outlineLevel="3" x14ac:dyDescent="0.25">
      <c r="A85" s="1580"/>
      <c r="B85" s="1439" t="s">
        <v>44</v>
      </c>
      <c r="C85" s="1501"/>
      <c r="D85" s="1101"/>
      <c r="E85" s="1102">
        <f>C85+D85</f>
        <v>0</v>
      </c>
      <c r="F85" s="1602">
        <f>E85/$E$89</f>
        <v>0</v>
      </c>
      <c r="G85" s="2067"/>
      <c r="H85" s="2059"/>
      <c r="I85" s="3102">
        <f>G85+H85*1</f>
        <v>0</v>
      </c>
      <c r="J85" s="1491"/>
      <c r="K85" s="1763"/>
      <c r="L85" s="2067"/>
      <c r="M85" s="2059"/>
      <c r="N85" s="3102">
        <f>L85+M85*1</f>
        <v>0</v>
      </c>
      <c r="O85" s="1491"/>
      <c r="P85" s="1763"/>
      <c r="Q85" s="2067"/>
      <c r="R85" s="2059"/>
      <c r="S85" s="3102">
        <f>Q85+R85*1</f>
        <v>0</v>
      </c>
      <c r="T85" s="1491"/>
      <c r="U85" s="1763"/>
      <c r="V85" s="2067"/>
      <c r="W85" s="2059"/>
      <c r="X85" s="3102">
        <f>V85+W85*1</f>
        <v>0</v>
      </c>
      <c r="Y85" s="1491"/>
      <c r="Z85" s="1763"/>
      <c r="AA85" s="2067"/>
      <c r="AB85" s="2059"/>
      <c r="AC85" s="3102">
        <f>AA85+AB85*1</f>
        <v>0</v>
      </c>
      <c r="AD85" s="1491"/>
      <c r="AE85" s="1763"/>
      <c r="AF85" s="2067"/>
      <c r="AG85" s="2059"/>
      <c r="AH85" s="3102">
        <f>AF85+AG85*1</f>
        <v>0</v>
      </c>
      <c r="AI85" s="1491"/>
      <c r="AJ85" s="1763"/>
      <c r="AK85" s="2059">
        <f t="shared" ref="AK85:AL85" si="87">G85+L85+Q85+V85+AA85+AF85</f>
        <v>0</v>
      </c>
      <c r="AL85" s="2059">
        <f t="shared" si="87"/>
        <v>0</v>
      </c>
      <c r="AM85" s="3102">
        <f>AK85+AL85*1.15</f>
        <v>0</v>
      </c>
      <c r="AN85" s="1491"/>
      <c r="AO85" s="1491"/>
      <c r="AP85" s="920"/>
      <c r="AQ85" s="920"/>
    </row>
    <row r="86" spans="1:43" s="1411" customFormat="1" ht="14.4" customHeight="1" x14ac:dyDescent="0.25">
      <c r="A86" s="1420"/>
      <c r="B86" s="3132" t="s">
        <v>50</v>
      </c>
      <c r="C86" s="2851">
        <f>C84-C85</f>
        <v>639400</v>
      </c>
      <c r="D86" s="2851">
        <f>D84-D85</f>
        <v>-30000</v>
      </c>
      <c r="E86" s="2852">
        <f>E84-E85</f>
        <v>609400</v>
      </c>
      <c r="F86" s="2853"/>
      <c r="G86" s="2852">
        <f>G84-G85</f>
        <v>0</v>
      </c>
      <c r="H86" s="2852">
        <f>H84-H85</f>
        <v>-8000</v>
      </c>
      <c r="I86" s="2852">
        <f>I84-I85</f>
        <v>-8960</v>
      </c>
      <c r="J86" s="2854"/>
      <c r="K86" s="2850"/>
      <c r="L86" s="2852">
        <f>L84-L85</f>
        <v>-165.03</v>
      </c>
      <c r="M86" s="2852">
        <f>M84-M85</f>
        <v>-13710</v>
      </c>
      <c r="N86" s="2852">
        <f>N84-N85</f>
        <v>-14800.230000000001</v>
      </c>
      <c r="O86" s="2854"/>
      <c r="P86" s="2850"/>
      <c r="Q86" s="2852">
        <f>Q84-Q85</f>
        <v>340053.58999999997</v>
      </c>
      <c r="R86" s="2852">
        <f>R84-R85</f>
        <v>0</v>
      </c>
      <c r="S86" s="2852">
        <f>S84-S85</f>
        <v>340053.58999999997</v>
      </c>
      <c r="T86" s="2854"/>
      <c r="U86" s="2850"/>
      <c r="V86" s="2852">
        <f>V84-V85</f>
        <v>-5560.6</v>
      </c>
      <c r="W86" s="2852">
        <f>W84-W85</f>
        <v>0</v>
      </c>
      <c r="X86" s="2852">
        <f>X84-X85</f>
        <v>-5560.6</v>
      </c>
      <c r="Y86" s="2854"/>
      <c r="Z86" s="2850"/>
      <c r="AA86" s="2852">
        <f>AA84-AA85</f>
        <v>449834.97</v>
      </c>
      <c r="AB86" s="2852">
        <f>AB84-AB85</f>
        <v>0</v>
      </c>
      <c r="AC86" s="2852">
        <f>AC84-AC85</f>
        <v>449834.97</v>
      </c>
      <c r="AD86" s="2854"/>
      <c r="AE86" s="2850"/>
      <c r="AF86" s="2852">
        <f>AF84</f>
        <v>0</v>
      </c>
      <c r="AG86" s="2852">
        <f t="shared" ref="AG86" si="88">AG84</f>
        <v>0</v>
      </c>
      <c r="AH86" s="2852">
        <f>AH84</f>
        <v>0</v>
      </c>
      <c r="AI86" s="2854"/>
      <c r="AJ86" s="2850"/>
      <c r="AK86" s="2852">
        <f>AK84-AK85</f>
        <v>784162.93</v>
      </c>
      <c r="AL86" s="2852">
        <f>AL84-AL85</f>
        <v>-21710</v>
      </c>
      <c r="AM86" s="2852">
        <f>AM84-AM85</f>
        <v>760567.7300000001</v>
      </c>
      <c r="AN86" s="2854"/>
      <c r="AO86" s="2854"/>
      <c r="AP86" s="920"/>
      <c r="AQ86" s="920"/>
    </row>
    <row r="87" spans="1:43" s="1411" customFormat="1" ht="14.4" customHeight="1" thickBot="1" x14ac:dyDescent="0.3">
      <c r="A87" s="1582"/>
      <c r="B87" s="2876" t="s">
        <v>51</v>
      </c>
      <c r="C87" s="3010">
        <f>C86/C5</f>
        <v>0.69349240780911059</v>
      </c>
      <c r="D87" s="3011" t="e">
        <f>D86/D5</f>
        <v>#DIV/0!</v>
      </c>
      <c r="E87" s="2879">
        <f>E86/E5</f>
        <v>0.66095444685466376</v>
      </c>
      <c r="F87" s="2880"/>
      <c r="G87" s="3010" t="e">
        <f>G86/G5</f>
        <v>#DIV/0!</v>
      </c>
      <c r="H87" s="3011" t="e">
        <f>H86/H5</f>
        <v>#DIV/0!</v>
      </c>
      <c r="I87" s="2879" t="e">
        <f>I86/I5</f>
        <v>#DIV/0!</v>
      </c>
      <c r="J87" s="2881"/>
      <c r="K87" s="2882"/>
      <c r="L87" s="3010" t="e">
        <f>L86/L5</f>
        <v>#DIV/0!</v>
      </c>
      <c r="M87" s="3011" t="e">
        <f>M86/M5</f>
        <v>#DIV/0!</v>
      </c>
      <c r="N87" s="2879" t="e">
        <f>N86/N5</f>
        <v>#DIV/0!</v>
      </c>
      <c r="O87" s="2881"/>
      <c r="P87" s="2882"/>
      <c r="Q87" s="3010">
        <f>Q86/Q5</f>
        <v>0.87320850987340459</v>
      </c>
      <c r="R87" s="3011" t="e">
        <f>R86/R5</f>
        <v>#DIV/0!</v>
      </c>
      <c r="S87" s="2879">
        <f>S86/S5</f>
        <v>0.87320850987340459</v>
      </c>
      <c r="T87" s="2881"/>
      <c r="U87" s="2882"/>
      <c r="V87" s="3010" t="e">
        <f>V86/V5</f>
        <v>#DIV/0!</v>
      </c>
      <c r="W87" s="3011" t="e">
        <f>W86/W5</f>
        <v>#DIV/0!</v>
      </c>
      <c r="X87" s="2879" t="e">
        <f>X86/X5</f>
        <v>#DIV/0!</v>
      </c>
      <c r="Y87" s="2881"/>
      <c r="Z87" s="2882"/>
      <c r="AA87" s="3010">
        <f>AA86/AA5</f>
        <v>0.99963326666666663</v>
      </c>
      <c r="AB87" s="3011" t="e">
        <f>AB86/AB5</f>
        <v>#DIV/0!</v>
      </c>
      <c r="AC87" s="2879">
        <f>AC86/AC5</f>
        <v>0.99963326666666663</v>
      </c>
      <c r="AD87" s="2881"/>
      <c r="AE87" s="2882"/>
      <c r="AF87" s="3010" t="e">
        <f>AF86/AF5</f>
        <v>#DIV/0!</v>
      </c>
      <c r="AG87" s="3011" t="e">
        <f>AG86/AG5</f>
        <v>#DIV/0!</v>
      </c>
      <c r="AH87" s="2879" t="e">
        <f>AH86/AH5</f>
        <v>#DIV/0!</v>
      </c>
      <c r="AI87" s="2881"/>
      <c r="AJ87" s="2882"/>
      <c r="AK87" s="3010">
        <f>AK86/AK5</f>
        <v>0.93416119271410369</v>
      </c>
      <c r="AL87" s="3011" t="e">
        <f>AL86/AL5</f>
        <v>#DIV/0!</v>
      </c>
      <c r="AM87" s="2879">
        <f>AM86/AM5</f>
        <v>0.90605259521341874</v>
      </c>
      <c r="AN87" s="2881"/>
      <c r="AO87" s="2881"/>
      <c r="AP87" s="920"/>
      <c r="AQ87" s="920"/>
    </row>
    <row r="88" spans="1:43" ht="13.8" x14ac:dyDescent="0.25">
      <c r="A88" s="1438"/>
      <c r="B88" s="1438"/>
      <c r="C88" s="1536"/>
      <c r="D88" s="1536"/>
      <c r="E88" s="1536"/>
      <c r="F88" s="1564"/>
      <c r="G88" s="1970"/>
      <c r="H88" s="1970"/>
      <c r="I88" s="1970"/>
      <c r="J88" s="1970"/>
      <c r="K88" s="1620"/>
      <c r="L88" s="1970"/>
      <c r="M88" s="1970"/>
      <c r="N88" s="1970"/>
      <c r="O88" s="1970"/>
      <c r="P88" s="1620"/>
      <c r="Q88" s="1970"/>
      <c r="R88" s="1970"/>
      <c r="S88" s="1970"/>
      <c r="T88" s="1970"/>
      <c r="U88" s="1620"/>
      <c r="V88" s="1970"/>
      <c r="W88" s="1970"/>
      <c r="X88" s="1970"/>
      <c r="Y88" s="1970"/>
      <c r="Z88" s="1620"/>
      <c r="AA88" s="1970"/>
      <c r="AB88" s="1970"/>
      <c r="AC88" s="1970"/>
      <c r="AD88" s="1970"/>
      <c r="AE88" s="1620"/>
      <c r="AF88" s="1970"/>
      <c r="AG88" s="1970"/>
      <c r="AH88" s="1970"/>
      <c r="AI88" s="1970"/>
      <c r="AJ88" s="1620"/>
      <c r="AK88" s="1970"/>
      <c r="AL88" s="1970"/>
      <c r="AM88" s="1970"/>
      <c r="AN88" s="1970"/>
      <c r="AO88" s="1970"/>
      <c r="AP88" s="1968"/>
      <c r="AQ88" s="1968"/>
    </row>
    <row r="89" spans="1:43" x14ac:dyDescent="0.25">
      <c r="B89" s="1577" t="s">
        <v>56</v>
      </c>
      <c r="C89" s="1537"/>
      <c r="D89" s="1537"/>
      <c r="E89" s="3133">
        <f>E8+E36+E41+E50+E54+E73+E79+E82+E85</f>
        <v>312600</v>
      </c>
      <c r="F89" s="189"/>
      <c r="I89" s="3133">
        <f>I8+I36+I41+I50+I54+I73+I79+I82+I85</f>
        <v>8960</v>
      </c>
      <c r="K89" s="1621"/>
      <c r="N89" s="3133">
        <f>N8+N36+N41+N50+N54+N73+N79+N82+N85</f>
        <v>14800.230000000001</v>
      </c>
      <c r="P89" s="1621"/>
      <c r="S89" s="3133">
        <f>S8+S36+S41+S50+S54+S73+S79+S82+S85</f>
        <v>49376.41</v>
      </c>
      <c r="U89" s="1621"/>
      <c r="X89" s="3133">
        <f>X8+X36+X41+X50+X54+X73+X79+X82+X85</f>
        <v>5560.6</v>
      </c>
      <c r="Z89" s="1621"/>
      <c r="AC89" s="3133">
        <f>AC8+AC36+AC41+AC50+AC54+AC73+AC79+AC82+AC85</f>
        <v>165.03</v>
      </c>
      <c r="AE89" s="1621"/>
      <c r="AH89" s="3133">
        <f>AH8+AH36+AH41+AH50+AH54+AH73+AH79+AH82+AH85</f>
        <v>0</v>
      </c>
      <c r="AJ89" s="1621"/>
      <c r="AM89" s="3133">
        <f>AM8+AM36+AM41+AM50+AM54+AM73+AM79+AM82+AM85-AM78</f>
        <v>78862.27</v>
      </c>
      <c r="AP89" s="1968"/>
      <c r="AQ89" s="1968"/>
    </row>
    <row r="90" spans="1:43" s="2487" customFormat="1" ht="13.95" customHeight="1" x14ac:dyDescent="0.25">
      <c r="A90" s="1349"/>
      <c r="B90" s="1349"/>
      <c r="C90" s="1354"/>
      <c r="D90" s="1354"/>
      <c r="E90" s="1354"/>
      <c r="F90" s="2485"/>
      <c r="G90" s="2485"/>
      <c r="H90" s="2485"/>
      <c r="I90" s="2485"/>
      <c r="J90" s="2485"/>
      <c r="K90" s="1872"/>
      <c r="L90" s="2485"/>
      <c r="M90" s="2485"/>
      <c r="N90" s="2485"/>
      <c r="O90" s="2485"/>
      <c r="P90" s="1872"/>
      <c r="Q90" s="2485"/>
      <c r="R90" s="2485"/>
      <c r="S90" s="2485"/>
      <c r="T90" s="2485"/>
      <c r="U90" s="1872"/>
      <c r="V90" s="2485"/>
      <c r="W90" s="2485"/>
      <c r="X90" s="2485"/>
      <c r="Y90" s="2485"/>
      <c r="Z90" s="1872"/>
      <c r="AA90" s="2485"/>
      <c r="AB90" s="2485"/>
      <c r="AC90" s="2485"/>
      <c r="AD90" s="2485"/>
      <c r="AE90" s="1872"/>
      <c r="AF90" s="2485"/>
      <c r="AG90" s="2485"/>
      <c r="AH90" s="2485"/>
      <c r="AI90" s="2485"/>
      <c r="AJ90" s="1872"/>
      <c r="AK90" s="2485"/>
      <c r="AL90" s="2485"/>
      <c r="AM90" s="1607" t="b">
        <f>(I89+N89+S89+X89+AC89+AH89)=AM89</f>
        <v>1</v>
      </c>
      <c r="AN90" s="2485"/>
      <c r="AO90" s="2485"/>
      <c r="AP90" s="2485"/>
      <c r="AQ90" s="2485"/>
    </row>
    <row r="91" spans="1:43" s="2486" customFormat="1" x14ac:dyDescent="0.25">
      <c r="A91" s="1349"/>
      <c r="B91" s="1349"/>
      <c r="C91" s="1354"/>
      <c r="D91" s="1354"/>
      <c r="E91" s="1354"/>
      <c r="F91" s="2485"/>
      <c r="G91" s="2485"/>
      <c r="H91" s="2485"/>
      <c r="I91" s="2485"/>
      <c r="J91" s="2485"/>
      <c r="K91" s="1872"/>
      <c r="L91" s="2485"/>
      <c r="M91" s="2485"/>
      <c r="N91" s="2485"/>
      <c r="O91" s="2485"/>
      <c r="P91" s="1872"/>
      <c r="Q91" s="2485"/>
      <c r="R91" s="1601"/>
      <c r="S91" s="1601"/>
      <c r="T91" s="1601"/>
      <c r="U91" s="1872"/>
      <c r="V91" s="2485"/>
      <c r="W91" s="2485"/>
      <c r="X91" s="2485"/>
      <c r="Y91" s="2485"/>
      <c r="Z91" s="1872"/>
      <c r="AA91" s="2485"/>
      <c r="AB91" s="2485"/>
      <c r="AC91" s="2485"/>
      <c r="AD91" s="2485"/>
      <c r="AE91" s="1872"/>
      <c r="AF91" s="2485"/>
      <c r="AG91" s="1601"/>
      <c r="AH91" s="1601"/>
      <c r="AI91" s="1601"/>
      <c r="AJ91" s="1872"/>
      <c r="AK91" s="2485"/>
      <c r="AL91" s="2485"/>
      <c r="AM91" s="2485"/>
      <c r="AN91" s="2485"/>
      <c r="AO91" s="2485"/>
    </row>
    <row r="92" spans="1:43" x14ac:dyDescent="0.25">
      <c r="C92" s="1968"/>
      <c r="D92" s="1968"/>
      <c r="G92" s="1621"/>
      <c r="H92" s="1621"/>
      <c r="I92" s="1621"/>
      <c r="J92" s="1621"/>
      <c r="K92" s="1621"/>
      <c r="L92" s="1621"/>
      <c r="M92" s="1621"/>
      <c r="N92" s="1621"/>
      <c r="O92" s="1621"/>
      <c r="P92" s="1621"/>
      <c r="Q92" s="1355"/>
      <c r="R92" s="1230"/>
      <c r="S92" s="1230"/>
      <c r="T92" s="1230"/>
      <c r="U92" s="1355"/>
      <c r="V92" s="1621"/>
      <c r="W92" s="1621"/>
      <c r="X92" s="1621"/>
      <c r="Y92" s="1621"/>
      <c r="Z92" s="1621"/>
      <c r="AA92" s="1621"/>
      <c r="AB92" s="1621"/>
      <c r="AC92" s="1621"/>
      <c r="AD92" s="1621"/>
      <c r="AE92" s="1621"/>
      <c r="AF92" s="2485"/>
      <c r="AG92" s="1230"/>
      <c r="AH92" s="1230"/>
      <c r="AI92" s="1230"/>
      <c r="AJ92" s="1355"/>
      <c r="AL92" s="1968" t="s">
        <v>1666</v>
      </c>
      <c r="AM92" s="1968">
        <v>740945.43</v>
      </c>
    </row>
    <row r="93" spans="1:43" s="1411" customFormat="1" x14ac:dyDescent="0.25">
      <c r="A93" s="1417"/>
      <c r="B93" s="1417"/>
      <c r="C93" s="1968"/>
      <c r="D93" s="1968"/>
      <c r="E93" s="1968"/>
      <c r="F93" s="1968"/>
      <c r="G93" s="1621"/>
      <c r="H93" s="1621"/>
      <c r="I93" s="1621"/>
      <c r="J93" s="1621"/>
      <c r="K93" s="1621"/>
      <c r="L93" s="1621"/>
      <c r="M93" s="1621"/>
      <c r="N93" s="1621"/>
      <c r="O93" s="1621"/>
      <c r="P93" s="1621"/>
      <c r="Q93" s="1046"/>
      <c r="R93" s="1230"/>
      <c r="S93" s="1230"/>
      <c r="T93" s="1230"/>
      <c r="U93" s="1046"/>
      <c r="V93" s="1621"/>
      <c r="W93" s="1621"/>
      <c r="X93" s="1621"/>
      <c r="Y93" s="1621"/>
      <c r="Z93" s="1621"/>
      <c r="AA93" s="1621"/>
      <c r="AB93" s="1621"/>
      <c r="AC93" s="1621"/>
      <c r="AD93" s="1621"/>
      <c r="AE93" s="1621"/>
      <c r="AF93" s="2485"/>
      <c r="AG93" s="1230"/>
      <c r="AH93" s="1230"/>
      <c r="AI93" s="1230"/>
      <c r="AJ93" s="1046"/>
      <c r="AK93" s="1968"/>
      <c r="AL93" s="1968" t="s">
        <v>1665</v>
      </c>
      <c r="AM93" s="1968">
        <f>AM92-AM86</f>
        <v>-19622.300000000047</v>
      </c>
      <c r="AN93" s="1968"/>
      <c r="AO93" s="1968"/>
    </row>
    <row r="94" spans="1:43" s="1411" customFormat="1" x14ac:dyDescent="0.25">
      <c r="A94" s="1417"/>
      <c r="B94" s="1417"/>
      <c r="C94" s="1968"/>
      <c r="D94" s="1968"/>
      <c r="E94" s="1968"/>
      <c r="F94" s="1968"/>
      <c r="G94" s="1979"/>
      <c r="H94" s="1979"/>
      <c r="I94" s="1979"/>
      <c r="J94" s="1979"/>
      <c r="K94" s="1979"/>
      <c r="L94" s="1979"/>
      <c r="M94" s="1979"/>
      <c r="N94" s="1979"/>
      <c r="O94" s="1979"/>
      <c r="P94" s="1979"/>
      <c r="Q94" s="1979"/>
      <c r="R94" s="1979"/>
      <c r="S94" s="1979"/>
      <c r="T94" s="1979"/>
      <c r="U94" s="1979"/>
      <c r="V94" s="1979"/>
      <c r="W94" s="1979"/>
      <c r="X94" s="1979"/>
      <c r="Y94" s="1979"/>
      <c r="Z94" s="1979"/>
      <c r="AA94" s="1979"/>
      <c r="AB94" s="1979"/>
      <c r="AC94" s="1979"/>
      <c r="AD94" s="1979"/>
      <c r="AE94" s="1979"/>
      <c r="AF94" s="1979"/>
      <c r="AG94" s="1979"/>
      <c r="AH94" s="1979"/>
      <c r="AI94" s="1979"/>
      <c r="AJ94" s="1979"/>
      <c r="AK94" s="1968"/>
      <c r="AL94" s="1968"/>
      <c r="AM94" s="1968"/>
      <c r="AN94" s="1968"/>
      <c r="AO94" s="1968"/>
    </row>
    <row r="95" spans="1:43" s="1411" customFormat="1" x14ac:dyDescent="0.25">
      <c r="A95" s="1417"/>
      <c r="B95" s="1417"/>
      <c r="C95" s="1968"/>
      <c r="D95" s="1968"/>
      <c r="E95" s="1968"/>
      <c r="F95" s="1968"/>
      <c r="G95" s="1979"/>
      <c r="H95" s="1979"/>
      <c r="I95" s="1979"/>
      <c r="J95" s="1979"/>
      <c r="K95" s="1979"/>
      <c r="L95" s="1979"/>
      <c r="M95" s="1979"/>
      <c r="N95" s="1979"/>
      <c r="O95" s="1979"/>
      <c r="P95" s="1979"/>
      <c r="Q95" s="1979"/>
      <c r="R95" s="1979"/>
      <c r="S95" s="1979"/>
      <c r="T95" s="1979"/>
      <c r="U95" s="1979"/>
      <c r="V95" s="1979"/>
      <c r="W95" s="1979"/>
      <c r="X95" s="1979"/>
      <c r="Y95" s="1979"/>
      <c r="Z95" s="1979"/>
      <c r="AA95" s="1979"/>
      <c r="AB95" s="1979"/>
      <c r="AC95" s="1979"/>
      <c r="AD95" s="1979"/>
      <c r="AE95" s="1979"/>
      <c r="AF95" s="1979"/>
      <c r="AG95" s="1979"/>
      <c r="AH95" s="1979"/>
      <c r="AI95" s="1979"/>
      <c r="AJ95" s="1979"/>
      <c r="AK95" s="1968"/>
      <c r="AL95" s="1968" t="s">
        <v>1663</v>
      </c>
      <c r="AM95" s="1968">
        <v>25182.899999999998</v>
      </c>
      <c r="AN95" s="1968"/>
      <c r="AO95" s="1968"/>
    </row>
    <row r="96" spans="1:43" s="1411" customFormat="1" x14ac:dyDescent="0.25">
      <c r="A96" s="1417"/>
      <c r="B96" s="1417"/>
      <c r="C96" s="1968"/>
      <c r="D96" s="1968"/>
      <c r="E96" s="1968"/>
      <c r="F96" s="1968"/>
      <c r="G96" s="1979"/>
      <c r="H96" s="1979"/>
      <c r="I96" s="1979"/>
      <c r="J96" s="1979"/>
      <c r="K96" s="1979"/>
      <c r="L96" s="1979"/>
      <c r="M96" s="1979"/>
      <c r="N96" s="1979"/>
      <c r="O96" s="1979"/>
      <c r="P96" s="1979"/>
      <c r="Q96" s="1979"/>
      <c r="R96" s="1979"/>
      <c r="S96" s="1979"/>
      <c r="T96" s="1979"/>
      <c r="U96" s="1979"/>
      <c r="V96" s="1979"/>
      <c r="W96" s="1979"/>
      <c r="X96" s="1979"/>
      <c r="Y96" s="1979"/>
      <c r="Z96" s="1979"/>
      <c r="AA96" s="1979"/>
      <c r="AB96" s="1979"/>
      <c r="AC96" s="1979"/>
      <c r="AD96" s="1979"/>
      <c r="AE96" s="1979"/>
      <c r="AF96" s="1979"/>
      <c r="AG96" s="1979"/>
      <c r="AH96" s="1979"/>
      <c r="AI96" s="1979"/>
      <c r="AJ96" s="1979"/>
      <c r="AK96" s="1968"/>
      <c r="AL96" s="828" t="s">
        <v>1938</v>
      </c>
      <c r="AM96" s="1968">
        <f>-AM74</f>
        <v>-5560.6</v>
      </c>
      <c r="AN96" s="1968"/>
      <c r="AO96" s="1968"/>
    </row>
    <row r="97" spans="1:42" x14ac:dyDescent="0.25">
      <c r="C97" s="1968"/>
      <c r="D97" s="1968"/>
      <c r="G97" s="1979"/>
      <c r="H97" s="1979"/>
      <c r="I97" s="1979"/>
      <c r="J97" s="1979"/>
      <c r="K97" s="1979"/>
      <c r="L97" s="1979"/>
      <c r="M97" s="1979"/>
      <c r="N97" s="1979"/>
      <c r="O97" s="1979"/>
      <c r="P97" s="1979"/>
      <c r="Q97" s="1979"/>
      <c r="R97" s="1979"/>
      <c r="S97" s="1979"/>
      <c r="T97" s="1979"/>
      <c r="U97" s="1979"/>
      <c r="V97" s="1979"/>
      <c r="W97" s="1979"/>
      <c r="X97" s="1979"/>
      <c r="Y97" s="1979"/>
      <c r="Z97" s="1979"/>
      <c r="AA97" s="1979"/>
      <c r="AB97" s="1979"/>
      <c r="AC97" s="1979"/>
      <c r="AD97" s="1979"/>
      <c r="AE97" s="1979"/>
      <c r="AF97" s="1979"/>
      <c r="AG97" s="1979"/>
      <c r="AH97" s="1979"/>
      <c r="AI97" s="1979"/>
      <c r="AJ97" s="1979"/>
    </row>
    <row r="98" spans="1:42" s="1411" customFormat="1" x14ac:dyDescent="0.25">
      <c r="A98" s="1417"/>
      <c r="B98" s="1417"/>
      <c r="C98" s="1968"/>
      <c r="D98" s="1968"/>
      <c r="E98" s="1968"/>
      <c r="F98" s="1968"/>
      <c r="G98" s="1968"/>
      <c r="H98" s="1968"/>
      <c r="I98" s="1968"/>
      <c r="J98" s="1968"/>
      <c r="K98" s="1968"/>
      <c r="L98" s="1968"/>
      <c r="M98" s="1968"/>
      <c r="N98" s="1968"/>
      <c r="O98" s="1968"/>
      <c r="P98" s="1968"/>
      <c r="Q98" s="1968"/>
      <c r="R98" s="1601"/>
      <c r="S98" s="1601"/>
      <c r="T98" s="1601"/>
      <c r="U98" s="1968"/>
      <c r="V98" s="1968"/>
      <c r="W98" s="1968"/>
      <c r="X98" s="1968"/>
      <c r="Y98" s="1968"/>
      <c r="Z98" s="1968"/>
      <c r="AA98" s="1968"/>
      <c r="AB98" s="1968"/>
      <c r="AC98" s="1968"/>
      <c r="AD98" s="1968"/>
      <c r="AE98" s="1968"/>
      <c r="AF98" s="1968"/>
      <c r="AG98" s="1601"/>
      <c r="AH98" s="1601"/>
      <c r="AI98" s="1601"/>
      <c r="AJ98" s="1968"/>
      <c r="AK98" s="1968"/>
      <c r="AL98" s="1968"/>
      <c r="AM98" s="1968"/>
      <c r="AN98" s="1968"/>
      <c r="AO98" s="1968"/>
    </row>
    <row r="99" spans="1:42" x14ac:dyDescent="0.25">
      <c r="C99" s="1968"/>
      <c r="D99" s="1968"/>
      <c r="R99" s="1601"/>
      <c r="S99" s="1601"/>
      <c r="T99" s="1601"/>
      <c r="AG99" s="1601"/>
      <c r="AH99" s="1601"/>
      <c r="AI99" s="1601"/>
      <c r="AL99" s="1968" t="s">
        <v>1936</v>
      </c>
      <c r="AM99" s="1968">
        <f>SUM(AM93:AM97)</f>
        <v>-4.9112713895738125E-11</v>
      </c>
      <c r="AP99" s="1411"/>
    </row>
    <row r="100" spans="1:42" x14ac:dyDescent="0.25">
      <c r="R100" s="1601"/>
      <c r="S100" s="1601"/>
      <c r="T100" s="1601"/>
      <c r="AG100" s="1601"/>
      <c r="AH100" s="1601"/>
      <c r="AI100" s="1601"/>
    </row>
    <row r="101" spans="1:42" x14ac:dyDescent="0.25">
      <c r="R101" s="1601"/>
      <c r="S101" s="1601"/>
      <c r="T101" s="1601"/>
      <c r="AG101" s="1601"/>
      <c r="AH101" s="1601"/>
      <c r="AI101" s="1601"/>
    </row>
    <row r="102" spans="1:42" x14ac:dyDescent="0.25">
      <c r="R102" s="1601"/>
      <c r="S102" s="1601"/>
      <c r="T102" s="1601"/>
      <c r="AG102" s="1601"/>
      <c r="AH102" s="1601"/>
      <c r="AI102" s="1601"/>
    </row>
    <row r="103" spans="1:42" x14ac:dyDescent="0.25">
      <c r="R103" s="1601"/>
      <c r="S103" s="1601"/>
      <c r="T103" s="1601"/>
      <c r="AG103" s="1601"/>
      <c r="AH103" s="1601"/>
      <c r="AI103" s="1601"/>
    </row>
    <row r="104" spans="1:42" x14ac:dyDescent="0.25">
      <c r="R104" s="1601"/>
      <c r="S104" s="1601"/>
      <c r="T104" s="1601"/>
      <c r="AG104" s="1601"/>
      <c r="AH104" s="1601"/>
      <c r="AI104" s="1601"/>
    </row>
    <row r="105" spans="1:42" x14ac:dyDescent="0.25">
      <c r="R105" s="1601"/>
      <c r="S105" s="1601"/>
      <c r="T105" s="1601"/>
      <c r="AG105" s="1601"/>
      <c r="AH105" s="1601"/>
      <c r="AI105" s="1601"/>
    </row>
    <row r="113" spans="18:36" x14ac:dyDescent="0.25">
      <c r="R113" s="1410"/>
      <c r="S113" s="1410"/>
      <c r="T113" s="1410"/>
      <c r="AF113" s="1410"/>
      <c r="AG113" s="1410"/>
      <c r="AH113" s="1410"/>
      <c r="AI113" s="1410"/>
      <c r="AJ113" s="1410"/>
    </row>
    <row r="114" spans="18:36" x14ac:dyDescent="0.25">
      <c r="R114" s="1410"/>
      <c r="S114" s="1410"/>
      <c r="T114" s="1410"/>
      <c r="AF114" s="1410"/>
      <c r="AG114" s="1410"/>
      <c r="AH114" s="1410"/>
      <c r="AI114" s="1410"/>
      <c r="AJ114" s="1410"/>
    </row>
    <row r="115" spans="18:36" x14ac:dyDescent="0.25">
      <c r="R115" s="1410"/>
      <c r="S115" s="1410"/>
      <c r="T115" s="1410"/>
      <c r="AF115" s="1410"/>
      <c r="AG115" s="1410"/>
      <c r="AH115" s="1410"/>
      <c r="AI115" s="1410"/>
      <c r="AJ115" s="1410"/>
    </row>
    <row r="116" spans="18:36" x14ac:dyDescent="0.25">
      <c r="R116" s="1410"/>
      <c r="S116" s="1410"/>
      <c r="T116" s="1410"/>
      <c r="AF116" s="1410"/>
      <c r="AG116" s="1410"/>
      <c r="AH116" s="1410"/>
      <c r="AI116" s="1410"/>
      <c r="AJ116" s="1410"/>
    </row>
    <row r="117" spans="18:36" x14ac:dyDescent="0.25">
      <c r="R117" s="1410"/>
      <c r="S117" s="1410"/>
      <c r="T117" s="1410"/>
      <c r="AF117" s="1410"/>
      <c r="AG117" s="1410"/>
      <c r="AH117" s="1410"/>
      <c r="AI117" s="1410"/>
      <c r="AJ117" s="1410"/>
    </row>
    <row r="118" spans="18:36" x14ac:dyDescent="0.25">
      <c r="R118" s="1410"/>
      <c r="S118" s="1410"/>
      <c r="T118" s="1410"/>
      <c r="U118" s="1410"/>
      <c r="AF118" s="1410"/>
      <c r="AG118" s="1410"/>
      <c r="AH118" s="1410"/>
      <c r="AI118" s="1410"/>
      <c r="AJ118" s="1410"/>
    </row>
  </sheetData>
  <mergeCells count="10">
    <mergeCell ref="AK2:AO3"/>
    <mergeCell ref="A3:F3"/>
    <mergeCell ref="A42:A48"/>
    <mergeCell ref="A2:F2"/>
    <mergeCell ref="G2:K3"/>
    <mergeCell ref="L2:P3"/>
    <mergeCell ref="Q2:U3"/>
    <mergeCell ref="V2:Z3"/>
    <mergeCell ref="AA2:AE3"/>
    <mergeCell ref="AF2:AJ3"/>
  </mergeCells>
  <pageMargins left="0.7" right="0.7" top="0.75" bottom="0.75" header="0.3" footer="0.3"/>
  <pageSetup paperSize="9" orientation="portrait"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F177D7"/>
  </sheetPr>
  <dimension ref="A1:CA118"/>
  <sheetViews>
    <sheetView zoomScale="70" zoomScaleNormal="70" workbookViewId="0">
      <pane xSplit="2" ySplit="5" topLeftCell="BK84" activePane="bottomRight" state="frozen"/>
      <selection activeCell="C26" sqref="C25:C26"/>
      <selection pane="topRight" activeCell="C26" sqref="C25:C26"/>
      <selection pane="bottomLeft" activeCell="C26" sqref="C25:C26"/>
      <selection pane="bottomRight" activeCell="BQ97" sqref="BQ97"/>
    </sheetView>
  </sheetViews>
  <sheetFormatPr defaultColWidth="7.44140625" defaultRowHeight="13.2" outlineLevelCol="1" x14ac:dyDescent="0.25"/>
  <cols>
    <col min="1" max="1" width="5.5546875" style="1417" customWidth="1"/>
    <col min="2" max="2" width="47.44140625" style="1417" customWidth="1"/>
    <col min="3" max="3" width="14.6640625" style="1474" customWidth="1"/>
    <col min="4" max="4" width="15.44140625" style="1474" customWidth="1"/>
    <col min="5" max="5" width="15.33203125" style="1968" customWidth="1"/>
    <col min="6" max="6" width="9.5546875" style="1968" customWidth="1"/>
    <col min="7" max="7" width="14.5546875" style="1968" hidden="1" customWidth="1" outlineLevel="1"/>
    <col min="8" max="8" width="13" style="1968" hidden="1" customWidth="1" outlineLevel="1"/>
    <col min="9" max="9" width="13.109375" style="1968" hidden="1" customWidth="1" outlineLevel="1"/>
    <col min="10" max="11" width="9.5546875" style="1968" hidden="1" customWidth="1" outlineLevel="1"/>
    <col min="12" max="16" width="16.6640625" style="1968" hidden="1" customWidth="1" outlineLevel="1"/>
    <col min="17" max="17" width="3.5546875" style="1968" customWidth="1" collapsed="1"/>
    <col min="18" max="22" width="15.109375" style="1968" hidden="1" customWidth="1" outlineLevel="1"/>
    <col min="23" max="23" width="16.6640625" style="1968" hidden="1" customWidth="1" outlineLevel="1" collapsed="1"/>
    <col min="24" max="37" width="16.6640625" style="1968" hidden="1" customWidth="1" outlineLevel="1"/>
    <col min="38" max="38" width="16.6640625" style="1968" hidden="1" customWidth="1" outlineLevel="1" collapsed="1"/>
    <col min="39" max="46" width="16.6640625" style="1968" hidden="1" customWidth="1" outlineLevel="1"/>
    <col min="47" max="47" width="17.88671875" style="1968" hidden="1" customWidth="1" outlineLevel="1"/>
    <col min="48" max="48" width="16.6640625" style="1968" hidden="1" customWidth="1" outlineLevel="1" collapsed="1"/>
    <col min="49" max="51" width="16.6640625" style="1968" hidden="1" customWidth="1" outlineLevel="1"/>
    <col min="52" max="52" width="17.88671875" style="1968" hidden="1" customWidth="1" outlineLevel="1"/>
    <col min="53" max="56" width="16.6640625" style="1968" hidden="1" customWidth="1" outlineLevel="1"/>
    <col min="57" max="57" width="17.88671875" style="1968" hidden="1" customWidth="1" outlineLevel="1"/>
    <col min="58" max="61" width="16.6640625" style="1968" hidden="1" customWidth="1" outlineLevel="1"/>
    <col min="62" max="62" width="17.88671875" style="1968" hidden="1" customWidth="1" outlineLevel="1"/>
    <col min="63" max="63" width="16.6640625" style="1968" customWidth="1" collapsed="1"/>
    <col min="64" max="66" width="16.6640625" style="1968" customWidth="1"/>
    <col min="67" max="67" width="17.88671875" style="1968" customWidth="1"/>
    <col min="68" max="68" width="16.6640625" style="1968" customWidth="1" collapsed="1"/>
    <col min="69" max="71" width="16.6640625" style="1968" customWidth="1"/>
    <col min="72" max="72" width="17.88671875" style="1968" customWidth="1"/>
    <col min="73" max="77" width="15.109375" style="1968" customWidth="1"/>
    <col min="78" max="78" width="10.109375" style="1410" bestFit="1" customWidth="1"/>
    <col min="79" max="79" width="12.44140625" style="1410" bestFit="1" customWidth="1"/>
    <col min="80" max="16384" width="7.44140625" style="1410"/>
  </cols>
  <sheetData>
    <row r="1" spans="1:79" ht="13.8" thickBot="1" x14ac:dyDescent="0.3">
      <c r="C1" s="1968"/>
      <c r="D1" s="1968"/>
    </row>
    <row r="2" spans="1:79" ht="14.4" customHeight="1" x14ac:dyDescent="0.25">
      <c r="A2" s="4016" t="s">
        <v>937</v>
      </c>
      <c r="B2" s="4017"/>
      <c r="C2" s="4017"/>
      <c r="D2" s="4017"/>
      <c r="E2" s="4017"/>
      <c r="F2" s="4018"/>
      <c r="G2" s="4016" t="s">
        <v>1685</v>
      </c>
      <c r="H2" s="4017"/>
      <c r="I2" s="4017"/>
      <c r="J2" s="4017"/>
      <c r="K2" s="4018"/>
      <c r="L2" s="4230" t="s">
        <v>1680</v>
      </c>
      <c r="M2" s="4231"/>
      <c r="N2" s="4231"/>
      <c r="O2" s="4231"/>
      <c r="P2" s="4232"/>
      <c r="Q2" s="2626"/>
      <c r="R2" s="4065" t="s">
        <v>1554</v>
      </c>
      <c r="S2" s="4066"/>
      <c r="T2" s="4066"/>
      <c r="U2" s="4066"/>
      <c r="V2" s="4067"/>
      <c r="W2" s="4185" t="s">
        <v>1579</v>
      </c>
      <c r="X2" s="4186"/>
      <c r="Y2" s="4186"/>
      <c r="Z2" s="4186"/>
      <c r="AA2" s="4187"/>
      <c r="AB2" s="4071" t="s">
        <v>1606</v>
      </c>
      <c r="AC2" s="4072"/>
      <c r="AD2" s="4072"/>
      <c r="AE2" s="4072"/>
      <c r="AF2" s="4073"/>
      <c r="AG2" s="4019" t="s">
        <v>1627</v>
      </c>
      <c r="AH2" s="4020"/>
      <c r="AI2" s="4020"/>
      <c r="AJ2" s="4020"/>
      <c r="AK2" s="4041"/>
      <c r="AL2" s="4236" t="s">
        <v>1657</v>
      </c>
      <c r="AM2" s="4237"/>
      <c r="AN2" s="4237"/>
      <c r="AO2" s="4237"/>
      <c r="AP2" s="4238"/>
      <c r="AQ2" s="4154" t="s">
        <v>1698</v>
      </c>
      <c r="AR2" s="4155"/>
      <c r="AS2" s="4155"/>
      <c r="AT2" s="4155"/>
      <c r="AU2" s="4156"/>
      <c r="AV2" s="4071" t="s">
        <v>1758</v>
      </c>
      <c r="AW2" s="4072"/>
      <c r="AX2" s="4072"/>
      <c r="AY2" s="4072"/>
      <c r="AZ2" s="4073"/>
      <c r="BA2" s="4043" t="s">
        <v>1915</v>
      </c>
      <c r="BB2" s="4044"/>
      <c r="BC2" s="4044"/>
      <c r="BD2" s="4044"/>
      <c r="BE2" s="4146"/>
      <c r="BF2" s="4148" t="s">
        <v>2040</v>
      </c>
      <c r="BG2" s="4149"/>
      <c r="BH2" s="4149"/>
      <c r="BI2" s="4149"/>
      <c r="BJ2" s="4150"/>
      <c r="BK2" s="4077" t="s">
        <v>2052</v>
      </c>
      <c r="BL2" s="4078"/>
      <c r="BM2" s="4078"/>
      <c r="BN2" s="4078"/>
      <c r="BO2" s="4079"/>
      <c r="BP2" s="4101">
        <v>45231</v>
      </c>
      <c r="BQ2" s="4102"/>
      <c r="BR2" s="4102"/>
      <c r="BS2" s="4102"/>
      <c r="BT2" s="4103"/>
      <c r="BU2" s="4089" t="s">
        <v>469</v>
      </c>
      <c r="BV2" s="4090"/>
      <c r="BW2" s="4090"/>
      <c r="BX2" s="4090"/>
      <c r="BY2" s="4091"/>
    </row>
    <row r="3" spans="1:79" ht="15" customHeight="1" thickBot="1" x14ac:dyDescent="0.3">
      <c r="A3" s="4035" t="s">
        <v>54</v>
      </c>
      <c r="B3" s="4036"/>
      <c r="C3" s="4036"/>
      <c r="D3" s="4036"/>
      <c r="E3" s="4036"/>
      <c r="F3" s="4037"/>
      <c r="G3" s="4209"/>
      <c r="H3" s="4210"/>
      <c r="I3" s="4210"/>
      <c r="J3" s="4210"/>
      <c r="K3" s="4211"/>
      <c r="L3" s="4233"/>
      <c r="M3" s="4234"/>
      <c r="N3" s="4234"/>
      <c r="O3" s="4234"/>
      <c r="P3" s="4235"/>
      <c r="Q3" s="2627"/>
      <c r="R3" s="4068"/>
      <c r="S3" s="4069"/>
      <c r="T3" s="4069"/>
      <c r="U3" s="4069"/>
      <c r="V3" s="4070"/>
      <c r="W3" s="4188"/>
      <c r="X3" s="4189"/>
      <c r="Y3" s="4189"/>
      <c r="Z3" s="4189"/>
      <c r="AA3" s="4190"/>
      <c r="AB3" s="4074"/>
      <c r="AC3" s="4075"/>
      <c r="AD3" s="4075"/>
      <c r="AE3" s="4075"/>
      <c r="AF3" s="4076"/>
      <c r="AG3" s="4021"/>
      <c r="AH3" s="4022"/>
      <c r="AI3" s="4022"/>
      <c r="AJ3" s="4022"/>
      <c r="AK3" s="4042"/>
      <c r="AL3" s="4239"/>
      <c r="AM3" s="4240"/>
      <c r="AN3" s="4240"/>
      <c r="AO3" s="4240"/>
      <c r="AP3" s="4241"/>
      <c r="AQ3" s="4157"/>
      <c r="AR3" s="4158"/>
      <c r="AS3" s="4158"/>
      <c r="AT3" s="4158"/>
      <c r="AU3" s="4159"/>
      <c r="AV3" s="4074"/>
      <c r="AW3" s="4075"/>
      <c r="AX3" s="4075"/>
      <c r="AY3" s="4075"/>
      <c r="AZ3" s="4076"/>
      <c r="BA3" s="4045"/>
      <c r="BB3" s="4046"/>
      <c r="BC3" s="4046"/>
      <c r="BD3" s="4046"/>
      <c r="BE3" s="4147"/>
      <c r="BF3" s="4151"/>
      <c r="BG3" s="4152"/>
      <c r="BH3" s="4152"/>
      <c r="BI3" s="4152"/>
      <c r="BJ3" s="4153"/>
      <c r="BK3" s="4080"/>
      <c r="BL3" s="4081"/>
      <c r="BM3" s="4081"/>
      <c r="BN3" s="4081"/>
      <c r="BO3" s="4082"/>
      <c r="BP3" s="4104"/>
      <c r="BQ3" s="4105"/>
      <c r="BR3" s="4105"/>
      <c r="BS3" s="4105"/>
      <c r="BT3" s="4106"/>
      <c r="BU3" s="4092"/>
      <c r="BV3" s="4093"/>
      <c r="BW3" s="4093"/>
      <c r="BX3" s="4093"/>
      <c r="BY3" s="4094"/>
    </row>
    <row r="4" spans="1:79" ht="41.4" thickBot="1" x14ac:dyDescent="0.3">
      <c r="A4" s="1486"/>
      <c r="B4" s="1487" t="s">
        <v>11</v>
      </c>
      <c r="C4" s="1588" t="s">
        <v>55</v>
      </c>
      <c r="D4" s="1588" t="s">
        <v>18</v>
      </c>
      <c r="E4" s="1589" t="s">
        <v>39</v>
      </c>
      <c r="F4" s="1978" t="s">
        <v>40</v>
      </c>
      <c r="G4" s="1590" t="s">
        <v>968</v>
      </c>
      <c r="H4" s="1590" t="s">
        <v>18</v>
      </c>
      <c r="I4" s="1590" t="s">
        <v>39</v>
      </c>
      <c r="J4" s="1590" t="s">
        <v>40</v>
      </c>
      <c r="K4" s="1590"/>
      <c r="L4" s="1972" t="s">
        <v>55</v>
      </c>
      <c r="M4" s="1972" t="s">
        <v>18</v>
      </c>
      <c r="N4" s="1489" t="s">
        <v>39</v>
      </c>
      <c r="O4" s="1978" t="s">
        <v>40</v>
      </c>
      <c r="P4" s="1489" t="s">
        <v>19</v>
      </c>
      <c r="Q4" s="2628"/>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55</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row>
    <row r="5" spans="1:79" s="2483" customFormat="1" ht="14.4" thickBot="1" x14ac:dyDescent="0.3">
      <c r="A5" s="1477"/>
      <c r="B5" s="1478" t="s">
        <v>10</v>
      </c>
      <c r="C5" s="1479">
        <f>C6</f>
        <v>6235578.7528207581</v>
      </c>
      <c r="D5" s="1479">
        <f>D6</f>
        <v>0</v>
      </c>
      <c r="E5" s="1971">
        <f>E6</f>
        <v>6235578.7528207581</v>
      </c>
      <c r="F5" s="1481"/>
      <c r="G5" s="1481">
        <f>SUM(G6:G7)</f>
        <v>3244767.73</v>
      </c>
      <c r="H5" s="1481">
        <f t="shared" ref="H5:I5" si="0">SUM(H6:H7)</f>
        <v>0</v>
      </c>
      <c r="I5" s="1481">
        <f t="shared" si="0"/>
        <v>3244767.73</v>
      </c>
      <c r="J5" s="1481"/>
      <c r="K5" s="1481"/>
      <c r="L5" s="1971">
        <f t="shared" ref="L5:N5" si="1">SUM(L6:L7)</f>
        <v>4500288.3800000008</v>
      </c>
      <c r="M5" s="1971">
        <f t="shared" si="1"/>
        <v>0</v>
      </c>
      <c r="N5" s="1971">
        <f t="shared" si="1"/>
        <v>4500288.3800000008</v>
      </c>
      <c r="O5" s="1481"/>
      <c r="P5" s="1481"/>
      <c r="Q5" s="1971"/>
      <c r="R5" s="1971">
        <f t="shared" ref="R5:T5" si="2">SUM(R6:R7)</f>
        <v>0</v>
      </c>
      <c r="S5" s="1971">
        <f t="shared" si="2"/>
        <v>0</v>
      </c>
      <c r="T5" s="1971">
        <f t="shared" si="2"/>
        <v>0</v>
      </c>
      <c r="U5" s="1481"/>
      <c r="V5" s="1481"/>
      <c r="W5" s="1971">
        <f t="shared" ref="W5:Y5" si="3">SUM(W6:W7)</f>
        <v>331192.69</v>
      </c>
      <c r="X5" s="1971">
        <f t="shared" si="3"/>
        <v>0</v>
      </c>
      <c r="Y5" s="1971">
        <f t="shared" si="3"/>
        <v>331192.69</v>
      </c>
      <c r="Z5" s="1481"/>
      <c r="AA5" s="1481"/>
      <c r="AB5" s="1971">
        <f t="shared" ref="AB5:AD5" si="4">SUM(AB6:AB7)</f>
        <v>110882.83</v>
      </c>
      <c r="AC5" s="1971">
        <f t="shared" si="4"/>
        <v>0</v>
      </c>
      <c r="AD5" s="1971">
        <f t="shared" si="4"/>
        <v>110882.83</v>
      </c>
      <c r="AE5" s="1481"/>
      <c r="AF5" s="1481"/>
      <c r="AG5" s="1971">
        <f t="shared" ref="AG5:AI5" si="5">SUM(AG6:AG7)</f>
        <v>0</v>
      </c>
      <c r="AH5" s="1971">
        <f t="shared" si="5"/>
        <v>0</v>
      </c>
      <c r="AI5" s="1971">
        <f t="shared" si="5"/>
        <v>0</v>
      </c>
      <c r="AJ5" s="1481"/>
      <c r="AK5" s="1481"/>
      <c r="AL5" s="1971">
        <f t="shared" ref="AL5:AN5" si="6">SUM(AL6:AL7)</f>
        <v>35464.44</v>
      </c>
      <c r="AM5" s="1971">
        <f t="shared" si="6"/>
        <v>0</v>
      </c>
      <c r="AN5" s="1971">
        <f t="shared" si="6"/>
        <v>35464.44</v>
      </c>
      <c r="AO5" s="1481"/>
      <c r="AP5" s="1481"/>
      <c r="AQ5" s="1971">
        <f>SUM(AQ6:AQ7)</f>
        <v>0</v>
      </c>
      <c r="AR5" s="1971">
        <f>SUM(AR6:AR7)</f>
        <v>0</v>
      </c>
      <c r="AS5" s="1971">
        <f>SUM(AS6:AS7)</f>
        <v>0</v>
      </c>
      <c r="AT5" s="1481"/>
      <c r="AU5" s="1481"/>
      <c r="AV5" s="1971">
        <f>SUM(AV6:AV7)</f>
        <v>189235</v>
      </c>
      <c r="AW5" s="1971">
        <f>SUM(AW6:AW7)</f>
        <v>0</v>
      </c>
      <c r="AX5" s="1971">
        <f>SUM(AX6:AX7)</f>
        <v>189235</v>
      </c>
      <c r="AY5" s="1481"/>
      <c r="AZ5" s="1481"/>
      <c r="BA5" s="1971">
        <f>SUM(BA6:BA7)</f>
        <v>0</v>
      </c>
      <c r="BB5" s="1971">
        <f>SUM(BB6:BB7)</f>
        <v>0</v>
      </c>
      <c r="BC5" s="1971">
        <f>SUM(BC6:BC7)</f>
        <v>0</v>
      </c>
      <c r="BD5" s="1481"/>
      <c r="BE5" s="1481"/>
      <c r="BF5" s="1971">
        <f>SUM(BF6:BF7)</f>
        <v>0</v>
      </c>
      <c r="BG5" s="1971">
        <f>SUM(BG6:BG7)</f>
        <v>0</v>
      </c>
      <c r="BH5" s="1971">
        <f>SUM(BH6:BH7)</f>
        <v>0</v>
      </c>
      <c r="BI5" s="1481"/>
      <c r="BJ5" s="1481"/>
      <c r="BK5" s="1971">
        <f>SUM(BK6:BK7)</f>
        <v>0</v>
      </c>
      <c r="BL5" s="1971">
        <f>SUM(BL6:BL7)</f>
        <v>0</v>
      </c>
      <c r="BM5" s="1971">
        <f>SUM(BM6:BM7)</f>
        <v>0</v>
      </c>
      <c r="BN5" s="1481"/>
      <c r="BO5" s="1481"/>
      <c r="BP5" s="1971">
        <f>SUM(BP6:BP7)</f>
        <v>0</v>
      </c>
      <c r="BQ5" s="1971">
        <f>SUM(BQ6:BQ7)</f>
        <v>0</v>
      </c>
      <c r="BR5" s="1971">
        <f>SUM(BR6:BR7)</f>
        <v>0</v>
      </c>
      <c r="BS5" s="1481"/>
      <c r="BT5" s="1481"/>
      <c r="BU5" s="1971">
        <f t="shared" ref="BU5:BW5" si="7">SUM(BU6:BU7)</f>
        <v>8411831.0700000022</v>
      </c>
      <c r="BV5" s="1971">
        <f t="shared" si="7"/>
        <v>0</v>
      </c>
      <c r="BW5" s="1971">
        <f t="shared" si="7"/>
        <v>8411831.0700000022</v>
      </c>
      <c r="BX5" s="1481"/>
      <c r="BY5" s="1481"/>
    </row>
    <row r="6" spans="1:79" s="1411" customFormat="1" ht="42.6" customHeight="1" x14ac:dyDescent="0.25">
      <c r="A6" s="331"/>
      <c r="B6" s="1418" t="s">
        <v>17</v>
      </c>
      <c r="C6" s="1990">
        <v>6235578.7528207581</v>
      </c>
      <c r="D6" s="2027"/>
      <c r="E6" s="2028">
        <f>C6+D6</f>
        <v>6235578.7528207581</v>
      </c>
      <c r="F6" s="2059"/>
      <c r="G6" s="2059">
        <v>3244767.73</v>
      </c>
      <c r="H6" s="2059">
        <v>0</v>
      </c>
      <c r="I6" s="2059">
        <v>3244767.73</v>
      </c>
      <c r="J6" s="2059"/>
      <c r="K6" s="2059"/>
      <c r="L6" s="2067">
        <v>4500288.3800000008</v>
      </c>
      <c r="M6" s="2067">
        <v>0</v>
      </c>
      <c r="N6" s="2028">
        <f>L6+M6</f>
        <v>4500288.3800000008</v>
      </c>
      <c r="O6" s="2059"/>
      <c r="P6" s="2062"/>
      <c r="Q6" s="2067"/>
      <c r="R6" s="2067"/>
      <c r="S6" s="2059"/>
      <c r="T6" s="2028">
        <f>R6+S6</f>
        <v>0</v>
      </c>
      <c r="U6" s="2059"/>
      <c r="V6" s="1764"/>
      <c r="W6" s="2067">
        <f>170714.08+35355.09+125123.52</f>
        <v>331192.69</v>
      </c>
      <c r="X6" s="2059"/>
      <c r="Y6" s="2028">
        <f>W6+X6</f>
        <v>331192.69</v>
      </c>
      <c r="Z6" s="2059"/>
      <c r="AA6" s="2062" t="s">
        <v>1592</v>
      </c>
      <c r="AB6" s="2067">
        <f>55678.46+55204.37</f>
        <v>110882.83</v>
      </c>
      <c r="AC6" s="2059"/>
      <c r="AD6" s="2028">
        <f>AB6+AC6</f>
        <v>110882.83</v>
      </c>
      <c r="AE6" s="2059"/>
      <c r="AF6" s="2062" t="s">
        <v>1614</v>
      </c>
      <c r="AG6" s="2067"/>
      <c r="AH6" s="2059"/>
      <c r="AI6" s="2028">
        <f>AG6+AH6</f>
        <v>0</v>
      </c>
      <c r="AJ6" s="2059"/>
      <c r="AK6" s="2062"/>
      <c r="AL6" s="2067">
        <v>33484.44</v>
      </c>
      <c r="AM6" s="2059"/>
      <c r="AN6" s="2028">
        <f>AL6+AM6</f>
        <v>33484.44</v>
      </c>
      <c r="AO6" s="2059"/>
      <c r="AP6" s="2062" t="s">
        <v>1686</v>
      </c>
      <c r="AQ6" s="2067"/>
      <c r="AR6" s="2059"/>
      <c r="AS6" s="2028">
        <f>AQ6+AR6</f>
        <v>0</v>
      </c>
      <c r="AT6" s="2059"/>
      <c r="AU6" s="2059"/>
      <c r="AV6" s="2067">
        <f>149899+7236+32100</f>
        <v>189235</v>
      </c>
      <c r="AW6" s="2059"/>
      <c r="AX6" s="2028">
        <f>AV6+AW6</f>
        <v>189235</v>
      </c>
      <c r="AY6" s="2059"/>
      <c r="AZ6" s="2062" t="s">
        <v>1771</v>
      </c>
      <c r="BA6" s="2067"/>
      <c r="BB6" s="2059"/>
      <c r="BC6" s="2028">
        <f>BA6+BB6</f>
        <v>0</v>
      </c>
      <c r="BD6" s="2059"/>
      <c r="BE6" s="2204"/>
      <c r="BF6" s="2067"/>
      <c r="BG6" s="2059"/>
      <c r="BH6" s="2028">
        <f>BF6+BG6</f>
        <v>0</v>
      </c>
      <c r="BI6" s="2059"/>
      <c r="BJ6" s="2059"/>
      <c r="BK6" s="2067"/>
      <c r="BL6" s="2059"/>
      <c r="BM6" s="2028">
        <f>BK6+BL6</f>
        <v>0</v>
      </c>
      <c r="BN6" s="2059"/>
      <c r="BO6" s="2059"/>
      <c r="BP6" s="2067"/>
      <c r="BQ6" s="2059"/>
      <c r="BR6" s="2028">
        <f>BP6+BQ6</f>
        <v>0</v>
      </c>
      <c r="BS6" s="2059"/>
      <c r="BT6" s="2059"/>
      <c r="BU6" s="2059">
        <f>G6+L6+R6+W6+AB6+AG6+AL6+AQ6+AV6+BA6+BF6+BK6+BP6</f>
        <v>8409851.0700000022</v>
      </c>
      <c r="BV6" s="2059">
        <f>H6+M6+S6+X6+AC6+AH6+AM6+AR6+AW6+BB6+BG6+BL6+BQ6</f>
        <v>0</v>
      </c>
      <c r="BW6" s="2028">
        <f>BU6+BV6</f>
        <v>8409851.0700000022</v>
      </c>
      <c r="BX6" s="2059"/>
      <c r="BY6" s="2059"/>
      <c r="BZ6" s="2886">
        <v>8422193.6200000029</v>
      </c>
      <c r="CA6" s="842">
        <f>BU6-BZ6</f>
        <v>-12342.550000000745</v>
      </c>
    </row>
    <row r="7" spans="1:79" s="1411" customFormat="1" ht="30.6" customHeight="1" thickBot="1" x14ac:dyDescent="0.3">
      <c r="A7" s="1587"/>
      <c r="B7" s="2887" t="s">
        <v>41</v>
      </c>
      <c r="C7" s="2888"/>
      <c r="D7" s="2889"/>
      <c r="E7" s="2028">
        <f>C7+D7</f>
        <v>0</v>
      </c>
      <c r="F7" s="2890"/>
      <c r="G7" s="2043">
        <v>0</v>
      </c>
      <c r="H7" s="2043">
        <v>0</v>
      </c>
      <c r="I7" s="2043">
        <v>0</v>
      </c>
      <c r="J7" s="2043"/>
      <c r="K7" s="2043"/>
      <c r="L7" s="2067">
        <v>0</v>
      </c>
      <c r="M7" s="2059">
        <v>0</v>
      </c>
      <c r="N7" s="2028">
        <f>L7+M7</f>
        <v>0</v>
      </c>
      <c r="O7" s="2890"/>
      <c r="P7" s="2891"/>
      <c r="Q7" s="2045"/>
      <c r="R7" s="2067"/>
      <c r="S7" s="2059"/>
      <c r="T7" s="2028">
        <f>R7+S7</f>
        <v>0</v>
      </c>
      <c r="U7" s="2890"/>
      <c r="V7" s="2890"/>
      <c r="W7" s="2067"/>
      <c r="X7" s="2059"/>
      <c r="Y7" s="2028">
        <f>W7+X7</f>
        <v>0</v>
      </c>
      <c r="Z7" s="2890"/>
      <c r="AA7" s="2891"/>
      <c r="AB7" s="2067"/>
      <c r="AC7" s="2059"/>
      <c r="AD7" s="2028">
        <f>AB7+AC7</f>
        <v>0</v>
      </c>
      <c r="AE7" s="2890"/>
      <c r="AF7" s="2891"/>
      <c r="AG7" s="2067"/>
      <c r="AH7" s="2059"/>
      <c r="AI7" s="2028">
        <f>AG7+AH7</f>
        <v>0</v>
      </c>
      <c r="AJ7" s="2890"/>
      <c r="AK7" s="2891"/>
      <c r="AL7" s="2067">
        <v>1980</v>
      </c>
      <c r="AM7" s="2059"/>
      <c r="AN7" s="2028">
        <f>AL7+AM7</f>
        <v>1980</v>
      </c>
      <c r="AO7" s="2890"/>
      <c r="AP7" s="2891" t="s">
        <v>1687</v>
      </c>
      <c r="AQ7" s="2067"/>
      <c r="AR7" s="2059"/>
      <c r="AS7" s="2028">
        <f>AQ7+AR7</f>
        <v>0</v>
      </c>
      <c r="AT7" s="2890"/>
      <c r="AU7" s="2071"/>
      <c r="AV7" s="2067"/>
      <c r="AW7" s="2059"/>
      <c r="AX7" s="2028">
        <f>AV7+AW7</f>
        <v>0</v>
      </c>
      <c r="AY7" s="2890"/>
      <c r="AZ7" s="2071"/>
      <c r="BA7" s="2067"/>
      <c r="BB7" s="2059"/>
      <c r="BC7" s="2028">
        <f>BA7+BB7</f>
        <v>0</v>
      </c>
      <c r="BD7" s="2890"/>
      <c r="BE7" s="2071"/>
      <c r="BF7" s="2067"/>
      <c r="BG7" s="2059"/>
      <c r="BH7" s="2028">
        <f>BF7+BG7</f>
        <v>0</v>
      </c>
      <c r="BI7" s="1921"/>
      <c r="BJ7" s="2071"/>
      <c r="BK7" s="2067"/>
      <c r="BL7" s="2059"/>
      <c r="BM7" s="2028">
        <f>BK7+BL7</f>
        <v>0</v>
      </c>
      <c r="BN7" s="1921"/>
      <c r="BO7" s="2071"/>
      <c r="BP7" s="2067"/>
      <c r="BQ7" s="2059"/>
      <c r="BR7" s="2028">
        <f>BP7+BQ7</f>
        <v>0</v>
      </c>
      <c r="BS7" s="1921"/>
      <c r="BT7" s="2071"/>
      <c r="BU7" s="2059">
        <f>G7+L7+R7+W7+AB7+AG7+AL7+AQ7+AV7+BA7+BF7+BK7+BP7</f>
        <v>1980</v>
      </c>
      <c r="BV7" s="2059">
        <f>H7+M7+S7+X7+AC7+AH7+AM7+AR7+AW7+BB7+BG7+BL7+BQ7</f>
        <v>0</v>
      </c>
      <c r="BW7" s="2028">
        <f>BU7+BV7</f>
        <v>1980</v>
      </c>
      <c r="BX7" s="2890"/>
      <c r="BY7" s="2890"/>
    </row>
    <row r="8" spans="1:79" s="2483" customFormat="1" ht="14.4" thickBot="1" x14ac:dyDescent="0.3">
      <c r="A8" s="1587"/>
      <c r="B8" s="1478" t="s">
        <v>16</v>
      </c>
      <c r="C8" s="1973">
        <f>SUM(C9:C33)</f>
        <v>3490825.0325189997</v>
      </c>
      <c r="D8" s="1973">
        <f>SUM(D9:D33)</f>
        <v>1192084.6782608696</v>
      </c>
      <c r="E8" s="1499">
        <f>SUM(E9:E33)</f>
        <v>4682909.7107798699</v>
      </c>
      <c r="F8" s="1543">
        <f t="shared" ref="F8:F21" si="8">E8/$E$89</f>
        <v>0.91298282834799305</v>
      </c>
      <c r="G8" s="1973">
        <f>SUM(G9:G33)</f>
        <v>2315001.3459999999</v>
      </c>
      <c r="H8" s="1973">
        <f t="shared" ref="H8:I8" si="9">SUM(H9:H33)</f>
        <v>776164.24</v>
      </c>
      <c r="I8" s="1499">
        <f t="shared" si="9"/>
        <v>3091165.5860000001</v>
      </c>
      <c r="J8" s="1543">
        <v>0.92642776169933672</v>
      </c>
      <c r="K8" s="1591"/>
      <c r="L8" s="1973">
        <f t="shared" ref="L8:N8" si="10">SUM(L9:L33)</f>
        <v>2819017.5444</v>
      </c>
      <c r="M8" s="1973">
        <f t="shared" si="10"/>
        <v>669025.35000000009</v>
      </c>
      <c r="N8" s="1499">
        <f t="shared" si="10"/>
        <v>3488042.8943999996</v>
      </c>
      <c r="O8" s="1543">
        <f>N8/N$89</f>
        <v>0.93955694253533339</v>
      </c>
      <c r="P8" s="1615"/>
      <c r="Q8" s="2629"/>
      <c r="R8" s="1973">
        <f>SUM(R9:R33)</f>
        <v>0</v>
      </c>
      <c r="S8" s="1973">
        <f>SUM(S9:S33)</f>
        <v>5000</v>
      </c>
      <c r="T8" s="1499">
        <f>SUM(T9:T33)</f>
        <v>5000</v>
      </c>
      <c r="U8" s="1543">
        <f>T8/$T$89</f>
        <v>0.79336051377489003</v>
      </c>
      <c r="V8" s="1481"/>
      <c r="W8" s="1973">
        <f>SUM(W9:W33)</f>
        <v>89069.724000000002</v>
      </c>
      <c r="X8" s="1973">
        <f>SUM(X9:X33)</f>
        <v>41575</v>
      </c>
      <c r="Y8" s="1499">
        <f>SUM(Y9:Y33)</f>
        <v>130644.724</v>
      </c>
      <c r="Z8" s="1543">
        <f t="shared" ref="Z8:Z33" si="11">Y8/$Y$89</f>
        <v>0.96029022237566353</v>
      </c>
      <c r="AA8" s="1615"/>
      <c r="AB8" s="1973">
        <f>SUM(AB9:AB33)</f>
        <v>66333.432000000001</v>
      </c>
      <c r="AC8" s="1973">
        <f>SUM(AC9:AC33)</f>
        <v>19480</v>
      </c>
      <c r="AD8" s="1499">
        <f>SUM(AD9:AD33)</f>
        <v>85813.432000000001</v>
      </c>
      <c r="AE8" s="1543">
        <f>AD8/$AD$89</f>
        <v>0.96870271194269986</v>
      </c>
      <c r="AF8" s="1615"/>
      <c r="AG8" s="1973">
        <f>SUM(AG9:AG33)</f>
        <v>12053.6</v>
      </c>
      <c r="AH8" s="1973">
        <f>SUM(AH9:AH33)</f>
        <v>0</v>
      </c>
      <c r="AI8" s="1499">
        <f>SUM(AI9:AI33)</f>
        <v>12053.6</v>
      </c>
      <c r="AJ8" s="1543">
        <f>AI8/AI$89</f>
        <v>0.93254189998160797</v>
      </c>
      <c r="AK8" s="1615"/>
      <c r="AL8" s="1973">
        <f>SUM(AL9:AL33)</f>
        <v>42368.724000000002</v>
      </c>
      <c r="AM8" s="1973">
        <f>SUM(AM9:AM33)</f>
        <v>55080</v>
      </c>
      <c r="AN8" s="1499">
        <f>SUM(AN9:AN33)</f>
        <v>97448.724000000002</v>
      </c>
      <c r="AO8" s="1543">
        <f>AN8/AN$89</f>
        <v>0.9295565638689347</v>
      </c>
      <c r="AP8" s="1615"/>
      <c r="AQ8" s="1973">
        <f>SUM(AQ9:AQ33)</f>
        <v>0</v>
      </c>
      <c r="AR8" s="1973">
        <f>SUM(AR9:AR33)</f>
        <v>500</v>
      </c>
      <c r="AS8" s="1499">
        <f>SUM(AS9:AS33)</f>
        <v>500</v>
      </c>
      <c r="AT8" s="1543">
        <f>AS8/AS$89</f>
        <v>0.8761268888996403</v>
      </c>
      <c r="AU8" s="1615"/>
      <c r="AV8" s="1973">
        <f>SUM(AV9:AV33)</f>
        <v>2240.172</v>
      </c>
      <c r="AW8" s="1973">
        <f>SUM(AW9:AW33)</f>
        <v>22394.7</v>
      </c>
      <c r="AX8" s="1499">
        <f>SUM(AX9:AX33)</f>
        <v>24634.872000000003</v>
      </c>
      <c r="AY8" s="1543">
        <f>AX8/AX$89</f>
        <v>0.89991955579299321</v>
      </c>
      <c r="AZ8" s="1615"/>
      <c r="BA8" s="1973">
        <f>SUM(BA9:BA33)</f>
        <v>0</v>
      </c>
      <c r="BB8" s="1973">
        <f>SUM(BB9:BB33)</f>
        <v>0</v>
      </c>
      <c r="BC8" s="1499">
        <f>SUM(BC9:BC33)</f>
        <v>0</v>
      </c>
      <c r="BD8" s="1543" t="e">
        <f>BC8/BC$89</f>
        <v>#DIV/0!</v>
      </c>
      <c r="BE8" s="1615"/>
      <c r="BF8" s="1973">
        <f>SUM(BF9:BF33)</f>
        <v>477.59999999999997</v>
      </c>
      <c r="BG8" s="1973">
        <f>SUM(BG9:BG33)</f>
        <v>0</v>
      </c>
      <c r="BH8" s="1499">
        <f>SUM(BH9:BH33)</f>
        <v>477.59999999999997</v>
      </c>
      <c r="BI8" s="1543">
        <f>BH8/BH$89</f>
        <v>1</v>
      </c>
      <c r="BJ8" s="1615"/>
      <c r="BK8" s="1973">
        <f>SUM(BK9:BK33)</f>
        <v>0</v>
      </c>
      <c r="BL8" s="1973">
        <f>SUM(BL9:BL33)</f>
        <v>10390</v>
      </c>
      <c r="BM8" s="1499">
        <f>SUM(BM9:BM33)</f>
        <v>10390</v>
      </c>
      <c r="BN8" s="1543">
        <f>BM8/BM$89</f>
        <v>0.88420929298391926</v>
      </c>
      <c r="BO8" s="1615"/>
      <c r="BP8" s="1973">
        <f>SUM(BP9:BP33)</f>
        <v>0</v>
      </c>
      <c r="BQ8" s="1973">
        <f>SUM(BQ9:BQ33)</f>
        <v>0</v>
      </c>
      <c r="BR8" s="1499">
        <f>SUM(BR9:BR33)</f>
        <v>0</v>
      </c>
      <c r="BS8" s="1543">
        <f>BR8/BR$89</f>
        <v>0</v>
      </c>
      <c r="BT8" s="1615"/>
      <c r="BU8" s="1973">
        <f>SUM(BU9:BU33)</f>
        <v>5346562.1423999993</v>
      </c>
      <c r="BV8" s="1973">
        <f>SUM(BV9:BV33)</f>
        <v>1599609.29</v>
      </c>
      <c r="BW8" s="1499">
        <f>SUM(BW9:BW33)</f>
        <v>6946171.4324000003</v>
      </c>
      <c r="BX8" s="1543">
        <f t="shared" ref="BX8:BX33" si="12">BW8/$BW$89</f>
        <v>0.93484001974822895</v>
      </c>
      <c r="BY8" s="1481"/>
    </row>
    <row r="9" spans="1:79" s="1411" customFormat="1" ht="33.6" customHeight="1" x14ac:dyDescent="0.25">
      <c r="A9" s="1587"/>
      <c r="B9" s="1637" t="s">
        <v>74</v>
      </c>
      <c r="C9" s="1980"/>
      <c r="D9" s="1525"/>
      <c r="E9" s="2141">
        <f t="shared" ref="E9:E33" si="13">C9+D9</f>
        <v>0</v>
      </c>
      <c r="F9" s="1574">
        <f t="shared" si="8"/>
        <v>0</v>
      </c>
      <c r="G9" s="2484">
        <v>44770.18</v>
      </c>
      <c r="H9" s="2484">
        <v>0</v>
      </c>
      <c r="I9" s="1576">
        <f>G9+H9*1</f>
        <v>44770.18</v>
      </c>
      <c r="J9" s="1574">
        <v>1.3861404278330585E-2</v>
      </c>
      <c r="K9" s="1574"/>
      <c r="L9" s="2067">
        <v>51723.05</v>
      </c>
      <c r="M9" s="2059">
        <v>0</v>
      </c>
      <c r="N9" s="2061">
        <f>L9+M9*1</f>
        <v>51723.05</v>
      </c>
      <c r="O9" s="2892">
        <f t="shared" ref="O9:O33" si="14">N9/N$89</f>
        <v>1.3932383341564845E-2</v>
      </c>
      <c r="P9" s="1449"/>
      <c r="Q9" s="2630"/>
      <c r="R9" s="2099"/>
      <c r="S9" s="2011"/>
      <c r="T9" s="2012">
        <f>R9+S9*1</f>
        <v>0</v>
      </c>
      <c r="U9" s="2015">
        <f t="shared" ref="U9:U33" si="15">T9/$T$89</f>
        <v>0</v>
      </c>
      <c r="V9" s="2014"/>
      <c r="W9" s="2067"/>
      <c r="X9" s="2059"/>
      <c r="Y9" s="2061">
        <f>W9+X9*1</f>
        <v>0</v>
      </c>
      <c r="Z9" s="2892">
        <f t="shared" si="11"/>
        <v>0</v>
      </c>
      <c r="AA9" s="1449"/>
      <c r="AB9" s="2067"/>
      <c r="AC9" s="2059"/>
      <c r="AD9" s="2061">
        <f>AB9+AC9*1</f>
        <v>0</v>
      </c>
      <c r="AE9" s="2892">
        <f t="shared" ref="AE9:AE33" si="16">AD9/$AD$89</f>
        <v>0</v>
      </c>
      <c r="AF9" s="1449"/>
      <c r="AG9" s="2067">
        <v>7953.4</v>
      </c>
      <c r="AH9" s="2059"/>
      <c r="AI9" s="2061">
        <f>AG9+AH9*1</f>
        <v>7953.4</v>
      </c>
      <c r="AJ9" s="2892">
        <f t="shared" ref="AJ9:AJ33" si="17">AI9/AI$89</f>
        <v>0.61532477826655274</v>
      </c>
      <c r="AK9" s="1449" t="s">
        <v>1639</v>
      </c>
      <c r="AL9" s="2067"/>
      <c r="AM9" s="2059"/>
      <c r="AN9" s="2061">
        <f>AL9+AM9*1</f>
        <v>0</v>
      </c>
      <c r="AO9" s="2892">
        <f t="shared" ref="AO9:AO33" si="18">AN9/AN$89</f>
        <v>0</v>
      </c>
      <c r="AP9" s="1449"/>
      <c r="AQ9" s="1710"/>
      <c r="AR9" s="2484"/>
      <c r="AS9" s="1576">
        <f>AQ9+AR9*1</f>
        <v>0</v>
      </c>
      <c r="AT9" s="1574">
        <f t="shared" ref="AT9:AT33" si="19">AS9/AS$89</f>
        <v>0</v>
      </c>
      <c r="AU9" s="1595"/>
      <c r="AV9" s="1710"/>
      <c r="AW9" s="2484"/>
      <c r="AX9" s="1576">
        <f>AV9+AW9*1</f>
        <v>0</v>
      </c>
      <c r="AY9" s="1574">
        <f t="shared" ref="AY9:AY33" si="20">AX9/AX$89</f>
        <v>0</v>
      </c>
      <c r="AZ9" s="1595"/>
      <c r="BA9" s="1710"/>
      <c r="BB9" s="2484"/>
      <c r="BC9" s="1576">
        <f>BA9+BB9*1</f>
        <v>0</v>
      </c>
      <c r="BD9" s="1574" t="e">
        <f t="shared" ref="BD9:BD33" si="21">BC9/BC$89</f>
        <v>#DIV/0!</v>
      </c>
      <c r="BE9" s="1595"/>
      <c r="BF9" s="1710"/>
      <c r="BG9" s="2484"/>
      <c r="BH9" s="1576">
        <f>BF9+BG9*1</f>
        <v>0</v>
      </c>
      <c r="BI9" s="1574">
        <f t="shared" ref="BI9:BI33" si="22">BH9/BH$89</f>
        <v>0</v>
      </c>
      <c r="BJ9" s="1595"/>
      <c r="BK9" s="1710"/>
      <c r="BL9" s="2484"/>
      <c r="BM9" s="1576">
        <f>BK9+BL9*1</f>
        <v>0</v>
      </c>
      <c r="BN9" s="1574">
        <f t="shared" ref="BN9:BN33" si="23">BM9/BM$89</f>
        <v>0</v>
      </c>
      <c r="BO9" s="1595"/>
      <c r="BP9" s="1710"/>
      <c r="BQ9" s="2484"/>
      <c r="BR9" s="1576">
        <f>BP9+BQ9*1</f>
        <v>0</v>
      </c>
      <c r="BS9" s="1574">
        <f t="shared" ref="BS9:BS33" si="24">BR9/BR$89</f>
        <v>0</v>
      </c>
      <c r="BT9" s="1595"/>
      <c r="BU9" s="2059">
        <f t="shared" ref="BU9:BU32" si="25">G9+L9+R9+W9+AB9+AG9+AL9+AQ9+AV9+BA9+BF9+BK9+BP9</f>
        <v>104446.63</v>
      </c>
      <c r="BV9" s="2059">
        <f t="shared" ref="BV9:BV32" si="26">H9+M9+S9+X9+AC9+AH9+AM9+AR9+AW9+BB9+BG9+BL9+BQ9</f>
        <v>0</v>
      </c>
      <c r="BW9" s="1576">
        <f>BU9+BV9*1</f>
        <v>104446.63</v>
      </c>
      <c r="BX9" s="1574">
        <f t="shared" si="12"/>
        <v>1.4056792378661415E-2</v>
      </c>
      <c r="BY9" s="1595"/>
    </row>
    <row r="10" spans="1:79" s="1411" customFormat="1" ht="16.2" customHeight="1" x14ac:dyDescent="0.25">
      <c r="A10" s="1587"/>
      <c r="B10" s="1439" t="s">
        <v>72</v>
      </c>
      <c r="C10" s="1500"/>
      <c r="D10" s="1501"/>
      <c r="E10" s="2028">
        <f t="shared" si="13"/>
        <v>0</v>
      </c>
      <c r="F10" s="1992">
        <f t="shared" si="8"/>
        <v>0</v>
      </c>
      <c r="G10" s="2059">
        <v>18037.25</v>
      </c>
      <c r="H10" s="2059">
        <v>0</v>
      </c>
      <c r="I10" s="2061">
        <f t="shared" ref="I10:I33" si="27">G10+H10*1</f>
        <v>18037.25</v>
      </c>
      <c r="J10" s="2892">
        <v>5.58455682597922E-3</v>
      </c>
      <c r="K10" s="1992"/>
      <c r="L10" s="2067">
        <v>14334.100000000002</v>
      </c>
      <c r="M10" s="2059">
        <v>0</v>
      </c>
      <c r="N10" s="2061">
        <f t="shared" ref="N10:N33" si="28">L10+M10*1</f>
        <v>14334.100000000002</v>
      </c>
      <c r="O10" s="2892">
        <f t="shared" si="14"/>
        <v>3.8611059490174047E-3</v>
      </c>
      <c r="P10" s="1630"/>
      <c r="Q10" s="2631"/>
      <c r="R10" s="2016"/>
      <c r="S10" s="2009"/>
      <c r="T10" s="2013">
        <f t="shared" ref="T10:T33" si="29">R10+S10*1</f>
        <v>0</v>
      </c>
      <c r="U10" s="2893">
        <f t="shared" si="15"/>
        <v>0</v>
      </c>
      <c r="V10" s="2010"/>
      <c r="W10" s="2067"/>
      <c r="X10" s="2059"/>
      <c r="Y10" s="2061">
        <f t="shared" ref="Y10:Y33" si="30">W10+X10*1</f>
        <v>0</v>
      </c>
      <c r="Z10" s="2892">
        <f t="shared" si="11"/>
        <v>0</v>
      </c>
      <c r="AA10" s="1630"/>
      <c r="AB10" s="2067"/>
      <c r="AC10" s="2059"/>
      <c r="AD10" s="2061">
        <f t="shared" ref="AD10:AD33" si="31">AB10+AC10*1</f>
        <v>0</v>
      </c>
      <c r="AE10" s="2892">
        <f t="shared" si="16"/>
        <v>0</v>
      </c>
      <c r="AF10" s="1630"/>
      <c r="AG10" s="2067">
        <v>1926.6</v>
      </c>
      <c r="AH10" s="2059"/>
      <c r="AI10" s="2061">
        <f t="shared" ref="AI10:AI33" si="32">AG10+AH10*1</f>
        <v>1926.6</v>
      </c>
      <c r="AJ10" s="2892">
        <f t="shared" si="17"/>
        <v>0.14905382827574881</v>
      </c>
      <c r="AK10" s="1630"/>
      <c r="AL10" s="2067"/>
      <c r="AM10" s="2059"/>
      <c r="AN10" s="2061">
        <f t="shared" ref="AN10:AN33" si="33">AL10+AM10*1</f>
        <v>0</v>
      </c>
      <c r="AO10" s="2892">
        <f t="shared" si="18"/>
        <v>0</v>
      </c>
      <c r="AP10" s="1630"/>
      <c r="AQ10" s="2067"/>
      <c r="AR10" s="2059"/>
      <c r="AS10" s="2061">
        <f t="shared" ref="AS10:AS33" si="34">AQ10+AR10*1</f>
        <v>0</v>
      </c>
      <c r="AT10" s="2892">
        <f t="shared" si="19"/>
        <v>0</v>
      </c>
      <c r="AU10" s="1630"/>
      <c r="AV10" s="2067"/>
      <c r="AW10" s="2059"/>
      <c r="AX10" s="2061">
        <f t="shared" ref="AX10:AX33" si="35">AV10+AW10*1</f>
        <v>0</v>
      </c>
      <c r="AY10" s="2892">
        <f t="shared" si="20"/>
        <v>0</v>
      </c>
      <c r="AZ10" s="1630"/>
      <c r="BA10" s="2067"/>
      <c r="BB10" s="2059"/>
      <c r="BC10" s="2061">
        <f t="shared" ref="BC10:BC33" si="36">BA10+BB10*1</f>
        <v>0</v>
      </c>
      <c r="BD10" s="2892" t="e">
        <f t="shared" si="21"/>
        <v>#DIV/0!</v>
      </c>
      <c r="BE10" s="1630"/>
      <c r="BF10" s="2067"/>
      <c r="BG10" s="2059"/>
      <c r="BH10" s="2061">
        <f t="shared" ref="BH10:BH33" si="37">BF10+BG10*1</f>
        <v>0</v>
      </c>
      <c r="BI10" s="2155">
        <f t="shared" si="22"/>
        <v>0</v>
      </c>
      <c r="BJ10" s="1630"/>
      <c r="BK10" s="2067"/>
      <c r="BL10" s="2059"/>
      <c r="BM10" s="2061">
        <f t="shared" ref="BM10:BM33" si="38">BK10+BL10*1</f>
        <v>0</v>
      </c>
      <c r="BN10" s="2155">
        <f t="shared" si="23"/>
        <v>0</v>
      </c>
      <c r="BO10" s="1630"/>
      <c r="BP10" s="2067"/>
      <c r="BQ10" s="2059"/>
      <c r="BR10" s="2061">
        <f t="shared" ref="BR10:BR33" si="39">BP10+BQ10*1</f>
        <v>0</v>
      </c>
      <c r="BS10" s="2155">
        <f t="shared" si="24"/>
        <v>0</v>
      </c>
      <c r="BT10" s="1630"/>
      <c r="BU10" s="2059">
        <f t="shared" si="25"/>
        <v>34297.950000000004</v>
      </c>
      <c r="BV10" s="2059">
        <f t="shared" si="26"/>
        <v>0</v>
      </c>
      <c r="BW10" s="2061">
        <f t="shared" ref="BW10:BW33" si="40">BU10+BV10*1</f>
        <v>34297.950000000004</v>
      </c>
      <c r="BX10" s="2892">
        <f t="shared" si="12"/>
        <v>4.615937940397984E-3</v>
      </c>
      <c r="BY10" s="1449"/>
    </row>
    <row r="11" spans="1:79" s="1411" customFormat="1" ht="16.2" customHeight="1" x14ac:dyDescent="0.25">
      <c r="A11" s="1587"/>
      <c r="B11" s="1439" t="s">
        <v>69</v>
      </c>
      <c r="C11" s="1500"/>
      <c r="D11" s="1501"/>
      <c r="E11" s="2028">
        <f t="shared" si="13"/>
        <v>0</v>
      </c>
      <c r="F11" s="1992">
        <f t="shared" si="8"/>
        <v>0</v>
      </c>
      <c r="G11" s="2059">
        <v>20349.730000000003</v>
      </c>
      <c r="H11" s="2059">
        <v>0</v>
      </c>
      <c r="I11" s="2061">
        <f t="shared" si="27"/>
        <v>20349.730000000003</v>
      </c>
      <c r="J11" s="2892">
        <v>6.3005293810494464E-3</v>
      </c>
      <c r="K11" s="1992"/>
      <c r="L11" s="2067">
        <v>16171.81</v>
      </c>
      <c r="M11" s="2059">
        <v>0</v>
      </c>
      <c r="N11" s="2061">
        <f t="shared" si="28"/>
        <v>16171.81</v>
      </c>
      <c r="O11" s="2892">
        <f t="shared" si="14"/>
        <v>4.3561208445161634E-3</v>
      </c>
      <c r="P11" s="1630"/>
      <c r="Q11" s="2631"/>
      <c r="R11" s="2016"/>
      <c r="S11" s="2009"/>
      <c r="T11" s="2013">
        <f t="shared" si="29"/>
        <v>0</v>
      </c>
      <c r="U11" s="2893">
        <f t="shared" si="15"/>
        <v>0</v>
      </c>
      <c r="V11" s="2010"/>
      <c r="W11" s="2067"/>
      <c r="X11" s="2059"/>
      <c r="Y11" s="2061">
        <f t="shared" si="30"/>
        <v>0</v>
      </c>
      <c r="Z11" s="2892">
        <f t="shared" si="11"/>
        <v>0</v>
      </c>
      <c r="AA11" s="1630"/>
      <c r="AB11" s="2067"/>
      <c r="AC11" s="2059"/>
      <c r="AD11" s="2061">
        <f t="shared" si="31"/>
        <v>0</v>
      </c>
      <c r="AE11" s="2892">
        <f t="shared" si="16"/>
        <v>0</v>
      </c>
      <c r="AF11" s="1630"/>
      <c r="AG11" s="2067">
        <v>2173.6</v>
      </c>
      <c r="AH11" s="2059"/>
      <c r="AI11" s="2061">
        <f t="shared" si="32"/>
        <v>2173.6</v>
      </c>
      <c r="AJ11" s="2892">
        <f t="shared" si="17"/>
        <v>0.16816329343930633</v>
      </c>
      <c r="AK11" s="1630"/>
      <c r="AL11" s="2067"/>
      <c r="AM11" s="2059"/>
      <c r="AN11" s="2061">
        <f t="shared" si="33"/>
        <v>0</v>
      </c>
      <c r="AO11" s="2892">
        <f t="shared" si="18"/>
        <v>0</v>
      </c>
      <c r="AP11" s="1630"/>
      <c r="AQ11" s="2067"/>
      <c r="AR11" s="2059"/>
      <c r="AS11" s="2061">
        <f t="shared" si="34"/>
        <v>0</v>
      </c>
      <c r="AT11" s="2892">
        <f t="shared" si="19"/>
        <v>0</v>
      </c>
      <c r="AU11" s="1630"/>
      <c r="AV11" s="2067"/>
      <c r="AW11" s="2059"/>
      <c r="AX11" s="2061">
        <f t="shared" si="35"/>
        <v>0</v>
      </c>
      <c r="AY11" s="2892">
        <f t="shared" si="20"/>
        <v>0</v>
      </c>
      <c r="AZ11" s="1630"/>
      <c r="BA11" s="2067"/>
      <c r="BB11" s="2059"/>
      <c r="BC11" s="2061">
        <f t="shared" si="36"/>
        <v>0</v>
      </c>
      <c r="BD11" s="2892" t="e">
        <f t="shared" si="21"/>
        <v>#DIV/0!</v>
      </c>
      <c r="BE11" s="1630"/>
      <c r="BF11" s="2067"/>
      <c r="BG11" s="2059"/>
      <c r="BH11" s="2061">
        <f t="shared" si="37"/>
        <v>0</v>
      </c>
      <c r="BI11" s="2155">
        <f t="shared" si="22"/>
        <v>0</v>
      </c>
      <c r="BJ11" s="1630"/>
      <c r="BK11" s="2067"/>
      <c r="BL11" s="2059"/>
      <c r="BM11" s="2061">
        <f t="shared" si="38"/>
        <v>0</v>
      </c>
      <c r="BN11" s="2155">
        <f t="shared" si="23"/>
        <v>0</v>
      </c>
      <c r="BO11" s="1630"/>
      <c r="BP11" s="2067"/>
      <c r="BQ11" s="2059"/>
      <c r="BR11" s="2061">
        <f t="shared" si="39"/>
        <v>0</v>
      </c>
      <c r="BS11" s="2155">
        <f t="shared" si="24"/>
        <v>0</v>
      </c>
      <c r="BT11" s="1630"/>
      <c r="BU11" s="2059">
        <f t="shared" si="25"/>
        <v>38695.14</v>
      </c>
      <c r="BV11" s="2059">
        <f t="shared" si="26"/>
        <v>0</v>
      </c>
      <c r="BW11" s="2061">
        <f t="shared" si="40"/>
        <v>38695.14</v>
      </c>
      <c r="BX11" s="2892">
        <f t="shared" si="12"/>
        <v>5.2077271334004405E-3</v>
      </c>
      <c r="BY11" s="1449"/>
    </row>
    <row r="12" spans="1:79" s="1411" customFormat="1" ht="37.950000000000003" customHeight="1" x14ac:dyDescent="0.25">
      <c r="A12" s="1587"/>
      <c r="B12" s="1439" t="s">
        <v>73</v>
      </c>
      <c r="C12" s="1500">
        <v>64722</v>
      </c>
      <c r="D12" s="1501">
        <v>139600</v>
      </c>
      <c r="E12" s="2028">
        <f t="shared" si="13"/>
        <v>204322</v>
      </c>
      <c r="F12" s="1992">
        <f t="shared" si="8"/>
        <v>3.983473715589804E-2</v>
      </c>
      <c r="G12" s="2059">
        <v>44517.94</v>
      </c>
      <c r="H12" s="2059">
        <v>92755.58</v>
      </c>
      <c r="I12" s="2061">
        <f t="shared" si="27"/>
        <v>137273.52000000002</v>
      </c>
      <c r="J12" s="2892">
        <v>4.2501588276605079E-2</v>
      </c>
      <c r="K12" s="1992"/>
      <c r="L12" s="2067">
        <v>34909.32</v>
      </c>
      <c r="M12" s="2059">
        <v>42876</v>
      </c>
      <c r="N12" s="2061">
        <f t="shared" si="28"/>
        <v>77785.320000000007</v>
      </c>
      <c r="O12" s="2892">
        <f t="shared" si="14"/>
        <v>2.0952648704712713E-2</v>
      </c>
      <c r="P12" s="2064"/>
      <c r="Q12" s="2631"/>
      <c r="R12" s="2016"/>
      <c r="S12" s="2009"/>
      <c r="T12" s="2013">
        <f t="shared" si="29"/>
        <v>0</v>
      </c>
      <c r="U12" s="2893">
        <f t="shared" si="15"/>
        <v>0</v>
      </c>
      <c r="V12" s="2010"/>
      <c r="W12" s="2067"/>
      <c r="X12" s="2059"/>
      <c r="Y12" s="2061">
        <f t="shared" si="30"/>
        <v>0</v>
      </c>
      <c r="Z12" s="2892">
        <f t="shared" si="11"/>
        <v>0</v>
      </c>
      <c r="AA12" s="2064"/>
      <c r="AB12" s="2067"/>
      <c r="AC12" s="2059"/>
      <c r="AD12" s="2061">
        <f t="shared" si="31"/>
        <v>0</v>
      </c>
      <c r="AE12" s="2892">
        <f t="shared" si="16"/>
        <v>0</v>
      </c>
      <c r="AF12" s="2064"/>
      <c r="AG12" s="2067"/>
      <c r="AH12" s="2059"/>
      <c r="AI12" s="2061">
        <f t="shared" si="32"/>
        <v>0</v>
      </c>
      <c r="AJ12" s="2892">
        <f t="shared" si="17"/>
        <v>0</v>
      </c>
      <c r="AK12" s="2064"/>
      <c r="AL12" s="2067"/>
      <c r="AM12" s="2059"/>
      <c r="AN12" s="2061">
        <f t="shared" si="33"/>
        <v>0</v>
      </c>
      <c r="AO12" s="2892">
        <f t="shared" si="18"/>
        <v>0</v>
      </c>
      <c r="AP12" s="2064"/>
      <c r="AQ12" s="2067"/>
      <c r="AR12" s="2059"/>
      <c r="AS12" s="2061">
        <f t="shared" si="34"/>
        <v>0</v>
      </c>
      <c r="AT12" s="2892">
        <f t="shared" si="19"/>
        <v>0</v>
      </c>
      <c r="AU12" s="2064"/>
      <c r="AV12" s="2067"/>
      <c r="AW12" s="2059"/>
      <c r="AX12" s="2061">
        <f t="shared" si="35"/>
        <v>0</v>
      </c>
      <c r="AY12" s="2892">
        <f t="shared" si="20"/>
        <v>0</v>
      </c>
      <c r="AZ12" s="2064"/>
      <c r="BA12" s="2067"/>
      <c r="BB12" s="2059"/>
      <c r="BC12" s="2061">
        <f t="shared" si="36"/>
        <v>0</v>
      </c>
      <c r="BD12" s="2892" t="e">
        <f t="shared" si="21"/>
        <v>#DIV/0!</v>
      </c>
      <c r="BE12" s="2064"/>
      <c r="BF12" s="2067"/>
      <c r="BG12" s="2059"/>
      <c r="BH12" s="2061">
        <f t="shared" si="37"/>
        <v>0</v>
      </c>
      <c r="BI12" s="2155">
        <f t="shared" si="22"/>
        <v>0</v>
      </c>
      <c r="BJ12" s="2064"/>
      <c r="BK12" s="2067"/>
      <c r="BL12" s="2059"/>
      <c r="BM12" s="2061">
        <f t="shared" si="38"/>
        <v>0</v>
      </c>
      <c r="BN12" s="2155">
        <f t="shared" si="23"/>
        <v>0</v>
      </c>
      <c r="BO12" s="2064"/>
      <c r="BP12" s="2067"/>
      <c r="BQ12" s="2059"/>
      <c r="BR12" s="2061">
        <f t="shared" si="39"/>
        <v>0</v>
      </c>
      <c r="BS12" s="2155">
        <f t="shared" si="24"/>
        <v>0</v>
      </c>
      <c r="BT12" s="2064"/>
      <c r="BU12" s="2059">
        <f t="shared" si="25"/>
        <v>79427.260000000009</v>
      </c>
      <c r="BV12" s="2059">
        <f t="shared" si="26"/>
        <v>135631.58000000002</v>
      </c>
      <c r="BW12" s="2061">
        <f t="shared" si="40"/>
        <v>215058.84000000003</v>
      </c>
      <c r="BX12" s="2892">
        <f t="shared" si="12"/>
        <v>2.8943370054886067E-2</v>
      </c>
      <c r="BY12" s="1449"/>
    </row>
    <row r="13" spans="1:79" s="1411" customFormat="1" ht="16.2" customHeight="1" x14ac:dyDescent="0.25">
      <c r="A13" s="1587"/>
      <c r="B13" s="1439" t="s">
        <v>71</v>
      </c>
      <c r="C13" s="1500">
        <v>15678</v>
      </c>
      <c r="D13" s="1501">
        <v>0</v>
      </c>
      <c r="E13" s="2028">
        <f t="shared" si="13"/>
        <v>15678</v>
      </c>
      <c r="F13" s="1992">
        <f t="shared" si="8"/>
        <v>3.0565920905735529E-3</v>
      </c>
      <c r="G13" s="2059">
        <v>11992.85</v>
      </c>
      <c r="H13" s="2059">
        <v>0</v>
      </c>
      <c r="I13" s="2061">
        <f t="shared" si="27"/>
        <v>11992.85</v>
      </c>
      <c r="J13" s="2892">
        <v>3.713135446392598E-3</v>
      </c>
      <c r="K13" s="1992"/>
      <c r="L13" s="2067">
        <v>8456.31</v>
      </c>
      <c r="M13" s="2059">
        <v>0</v>
      </c>
      <c r="N13" s="2061">
        <f t="shared" si="28"/>
        <v>8456.31</v>
      </c>
      <c r="O13" s="2892">
        <f t="shared" si="14"/>
        <v>2.2778345935730434E-3</v>
      </c>
      <c r="P13" s="2064"/>
      <c r="Q13" s="2631"/>
      <c r="R13" s="2016"/>
      <c r="S13" s="2009"/>
      <c r="T13" s="2013">
        <f t="shared" si="29"/>
        <v>0</v>
      </c>
      <c r="U13" s="2893">
        <f t="shared" si="15"/>
        <v>0</v>
      </c>
      <c r="V13" s="2010"/>
      <c r="W13" s="2067"/>
      <c r="X13" s="2059"/>
      <c r="Y13" s="2061">
        <f t="shared" si="30"/>
        <v>0</v>
      </c>
      <c r="Z13" s="2892">
        <f t="shared" si="11"/>
        <v>0</v>
      </c>
      <c r="AA13" s="2064"/>
      <c r="AB13" s="2067"/>
      <c r="AC13" s="2059"/>
      <c r="AD13" s="2061">
        <f t="shared" si="31"/>
        <v>0</v>
      </c>
      <c r="AE13" s="2892">
        <f t="shared" si="16"/>
        <v>0</v>
      </c>
      <c r="AF13" s="2064"/>
      <c r="AG13" s="2067"/>
      <c r="AH13" s="2059"/>
      <c r="AI13" s="2061">
        <f t="shared" si="32"/>
        <v>0</v>
      </c>
      <c r="AJ13" s="2892">
        <f t="shared" si="17"/>
        <v>0</v>
      </c>
      <c r="AK13" s="2064"/>
      <c r="AL13" s="2067"/>
      <c r="AM13" s="2059"/>
      <c r="AN13" s="2061">
        <f t="shared" si="33"/>
        <v>0</v>
      </c>
      <c r="AO13" s="2892">
        <f t="shared" si="18"/>
        <v>0</v>
      </c>
      <c r="AP13" s="2064"/>
      <c r="AQ13" s="2067"/>
      <c r="AR13" s="2059"/>
      <c r="AS13" s="2061">
        <f t="shared" si="34"/>
        <v>0</v>
      </c>
      <c r="AT13" s="2892">
        <f t="shared" si="19"/>
        <v>0</v>
      </c>
      <c r="AU13" s="2064"/>
      <c r="AV13" s="2067"/>
      <c r="AW13" s="2059"/>
      <c r="AX13" s="2061">
        <f t="shared" si="35"/>
        <v>0</v>
      </c>
      <c r="AY13" s="2892">
        <f t="shared" si="20"/>
        <v>0</v>
      </c>
      <c r="AZ13" s="2064"/>
      <c r="BA13" s="2067"/>
      <c r="BB13" s="2059"/>
      <c r="BC13" s="2061">
        <f t="shared" si="36"/>
        <v>0</v>
      </c>
      <c r="BD13" s="2892" t="e">
        <f t="shared" si="21"/>
        <v>#DIV/0!</v>
      </c>
      <c r="BE13" s="2064"/>
      <c r="BF13" s="2067"/>
      <c r="BG13" s="2059"/>
      <c r="BH13" s="2061">
        <f t="shared" si="37"/>
        <v>0</v>
      </c>
      <c r="BI13" s="2155">
        <f t="shared" si="22"/>
        <v>0</v>
      </c>
      <c r="BJ13" s="2064"/>
      <c r="BK13" s="2067"/>
      <c r="BL13" s="2059"/>
      <c r="BM13" s="2061">
        <f t="shared" si="38"/>
        <v>0</v>
      </c>
      <c r="BN13" s="2155">
        <f t="shared" si="23"/>
        <v>0</v>
      </c>
      <c r="BO13" s="2064"/>
      <c r="BP13" s="2067"/>
      <c r="BQ13" s="2059"/>
      <c r="BR13" s="2061">
        <f t="shared" si="39"/>
        <v>0</v>
      </c>
      <c r="BS13" s="2155">
        <f t="shared" si="24"/>
        <v>0</v>
      </c>
      <c r="BT13" s="2064"/>
      <c r="BU13" s="2059">
        <f t="shared" si="25"/>
        <v>20449.16</v>
      </c>
      <c r="BV13" s="2059">
        <f t="shared" si="26"/>
        <v>0</v>
      </c>
      <c r="BW13" s="2061">
        <f t="shared" si="40"/>
        <v>20449.16</v>
      </c>
      <c r="BX13" s="2892">
        <f t="shared" si="12"/>
        <v>2.7521193976103187E-3</v>
      </c>
      <c r="BY13" s="1449"/>
    </row>
    <row r="14" spans="1:79" s="1411" customFormat="1" ht="16.2" customHeight="1" x14ac:dyDescent="0.25">
      <c r="A14" s="1587"/>
      <c r="B14" s="1439" t="s">
        <v>70</v>
      </c>
      <c r="C14" s="1500">
        <v>17688</v>
      </c>
      <c r="D14" s="1501">
        <v>0</v>
      </c>
      <c r="E14" s="2028">
        <f t="shared" si="13"/>
        <v>17688</v>
      </c>
      <c r="F14" s="1992">
        <f t="shared" si="8"/>
        <v>3.4484628714163161E-3</v>
      </c>
      <c r="G14" s="2059">
        <v>13530.39</v>
      </c>
      <c r="H14" s="2059">
        <v>0</v>
      </c>
      <c r="I14" s="2061">
        <f t="shared" si="27"/>
        <v>13530.39</v>
      </c>
      <c r="J14" s="2892">
        <v>4.1891769439721116E-3</v>
      </c>
      <c r="K14" s="1992"/>
      <c r="L14" s="2067">
        <v>9540.44</v>
      </c>
      <c r="M14" s="2059">
        <v>0</v>
      </c>
      <c r="N14" s="2061">
        <f t="shared" si="28"/>
        <v>9540.44</v>
      </c>
      <c r="O14" s="2892">
        <f t="shared" si="14"/>
        <v>2.5698613544096667E-3</v>
      </c>
      <c r="P14" s="2064"/>
      <c r="Q14" s="2631"/>
      <c r="R14" s="2016"/>
      <c r="S14" s="2009"/>
      <c r="T14" s="2013">
        <f t="shared" si="29"/>
        <v>0</v>
      </c>
      <c r="U14" s="2893">
        <f t="shared" si="15"/>
        <v>0</v>
      </c>
      <c r="V14" s="2010"/>
      <c r="W14" s="2067"/>
      <c r="X14" s="2059"/>
      <c r="Y14" s="2061">
        <f t="shared" si="30"/>
        <v>0</v>
      </c>
      <c r="Z14" s="2892">
        <f t="shared" si="11"/>
        <v>0</v>
      </c>
      <c r="AA14" s="2064"/>
      <c r="AB14" s="2067"/>
      <c r="AC14" s="2059"/>
      <c r="AD14" s="2061">
        <f t="shared" si="31"/>
        <v>0</v>
      </c>
      <c r="AE14" s="2892">
        <f t="shared" si="16"/>
        <v>0</v>
      </c>
      <c r="AF14" s="2064"/>
      <c r="AG14" s="2067"/>
      <c r="AH14" s="2059"/>
      <c r="AI14" s="2061">
        <f t="shared" si="32"/>
        <v>0</v>
      </c>
      <c r="AJ14" s="2892">
        <f t="shared" si="17"/>
        <v>0</v>
      </c>
      <c r="AK14" s="2064"/>
      <c r="AL14" s="2067"/>
      <c r="AM14" s="2059"/>
      <c r="AN14" s="2061">
        <f t="shared" si="33"/>
        <v>0</v>
      </c>
      <c r="AO14" s="2892">
        <f t="shared" si="18"/>
        <v>0</v>
      </c>
      <c r="AP14" s="2064"/>
      <c r="AQ14" s="2067"/>
      <c r="AR14" s="2059"/>
      <c r="AS14" s="2061">
        <f t="shared" si="34"/>
        <v>0</v>
      </c>
      <c r="AT14" s="2892">
        <f t="shared" si="19"/>
        <v>0</v>
      </c>
      <c r="AU14" s="2064"/>
      <c r="AV14" s="2067"/>
      <c r="AW14" s="2059"/>
      <c r="AX14" s="2061">
        <f t="shared" si="35"/>
        <v>0</v>
      </c>
      <c r="AY14" s="2892">
        <f t="shared" si="20"/>
        <v>0</v>
      </c>
      <c r="AZ14" s="2064"/>
      <c r="BA14" s="2067"/>
      <c r="BB14" s="2059"/>
      <c r="BC14" s="2061">
        <f t="shared" si="36"/>
        <v>0</v>
      </c>
      <c r="BD14" s="2892" t="e">
        <f t="shared" si="21"/>
        <v>#DIV/0!</v>
      </c>
      <c r="BE14" s="2064"/>
      <c r="BF14" s="2067"/>
      <c r="BG14" s="2059"/>
      <c r="BH14" s="2061">
        <f t="shared" si="37"/>
        <v>0</v>
      </c>
      <c r="BI14" s="2155">
        <f t="shared" si="22"/>
        <v>0</v>
      </c>
      <c r="BJ14" s="2064"/>
      <c r="BK14" s="2067"/>
      <c r="BL14" s="2059"/>
      <c r="BM14" s="2061">
        <f t="shared" si="38"/>
        <v>0</v>
      </c>
      <c r="BN14" s="2155">
        <f t="shared" si="23"/>
        <v>0</v>
      </c>
      <c r="BO14" s="2064"/>
      <c r="BP14" s="2067"/>
      <c r="BQ14" s="2059"/>
      <c r="BR14" s="2061">
        <f t="shared" si="39"/>
        <v>0</v>
      </c>
      <c r="BS14" s="2155">
        <f t="shared" si="24"/>
        <v>0</v>
      </c>
      <c r="BT14" s="2064"/>
      <c r="BU14" s="2059">
        <f t="shared" si="25"/>
        <v>23070.83</v>
      </c>
      <c r="BV14" s="2059">
        <f t="shared" si="26"/>
        <v>0</v>
      </c>
      <c r="BW14" s="2061">
        <f t="shared" si="40"/>
        <v>23070.83</v>
      </c>
      <c r="BX14" s="2892">
        <f t="shared" si="12"/>
        <v>3.1049529057413641E-3</v>
      </c>
      <c r="BY14" s="1449"/>
    </row>
    <row r="15" spans="1:79" s="1411" customFormat="1" ht="16.2" customHeight="1" x14ac:dyDescent="0.25">
      <c r="A15" s="1587"/>
      <c r="B15" s="2894" t="s">
        <v>20</v>
      </c>
      <c r="C15" s="1500"/>
      <c r="D15" s="2895"/>
      <c r="E15" s="2028">
        <f t="shared" si="13"/>
        <v>0</v>
      </c>
      <c r="F15" s="1992">
        <f t="shared" si="8"/>
        <v>0</v>
      </c>
      <c r="G15" s="2059">
        <v>0</v>
      </c>
      <c r="H15" s="2059">
        <v>0</v>
      </c>
      <c r="I15" s="2061">
        <f t="shared" si="27"/>
        <v>0</v>
      </c>
      <c r="J15" s="2892">
        <v>0</v>
      </c>
      <c r="K15" s="1992"/>
      <c r="L15" s="2067">
        <v>0</v>
      </c>
      <c r="M15" s="2059">
        <v>3500</v>
      </c>
      <c r="N15" s="2061">
        <f t="shared" si="28"/>
        <v>3500</v>
      </c>
      <c r="O15" s="2892">
        <f t="shared" si="14"/>
        <v>9.4277776920496676E-4</v>
      </c>
      <c r="P15" s="2064"/>
      <c r="Q15" s="2631"/>
      <c r="R15" s="2016"/>
      <c r="S15" s="2009"/>
      <c r="T15" s="2013">
        <f t="shared" si="29"/>
        <v>0</v>
      </c>
      <c r="U15" s="2893">
        <f t="shared" si="15"/>
        <v>0</v>
      </c>
      <c r="V15" s="2010"/>
      <c r="W15" s="2067"/>
      <c r="X15" s="2059"/>
      <c r="Y15" s="2061">
        <f t="shared" si="30"/>
        <v>0</v>
      </c>
      <c r="Z15" s="2892">
        <f t="shared" si="11"/>
        <v>0</v>
      </c>
      <c r="AA15" s="2064"/>
      <c r="AB15" s="2067"/>
      <c r="AC15" s="2059"/>
      <c r="AD15" s="2061">
        <f t="shared" si="31"/>
        <v>0</v>
      </c>
      <c r="AE15" s="2892">
        <f t="shared" si="16"/>
        <v>0</v>
      </c>
      <c r="AF15" s="2064"/>
      <c r="AG15" s="2067"/>
      <c r="AH15" s="2059"/>
      <c r="AI15" s="2061">
        <f t="shared" si="32"/>
        <v>0</v>
      </c>
      <c r="AJ15" s="2892">
        <f t="shared" si="17"/>
        <v>0</v>
      </c>
      <c r="AK15" s="2064"/>
      <c r="AL15" s="2067"/>
      <c r="AM15" s="2059"/>
      <c r="AN15" s="2061">
        <f t="shared" si="33"/>
        <v>0</v>
      </c>
      <c r="AO15" s="2892">
        <f t="shared" si="18"/>
        <v>0</v>
      </c>
      <c r="AP15" s="2064"/>
      <c r="AQ15" s="2067"/>
      <c r="AR15" s="2059"/>
      <c r="AS15" s="2061">
        <f t="shared" si="34"/>
        <v>0</v>
      </c>
      <c r="AT15" s="2892">
        <f t="shared" si="19"/>
        <v>0</v>
      </c>
      <c r="AU15" s="1630"/>
      <c r="AV15" s="2067"/>
      <c r="AW15" s="2059"/>
      <c r="AX15" s="2061">
        <f t="shared" si="35"/>
        <v>0</v>
      </c>
      <c r="AY15" s="2892">
        <f t="shared" si="20"/>
        <v>0</v>
      </c>
      <c r="AZ15" s="1630"/>
      <c r="BA15" s="2067"/>
      <c r="BB15" s="2059"/>
      <c r="BC15" s="2061">
        <f t="shared" si="36"/>
        <v>0</v>
      </c>
      <c r="BD15" s="2892" t="e">
        <f t="shared" si="21"/>
        <v>#DIV/0!</v>
      </c>
      <c r="BE15" s="1630"/>
      <c r="BF15" s="2067"/>
      <c r="BG15" s="2059"/>
      <c r="BH15" s="2061">
        <f t="shared" si="37"/>
        <v>0</v>
      </c>
      <c r="BI15" s="2155">
        <f t="shared" si="22"/>
        <v>0</v>
      </c>
      <c r="BJ15" s="1630"/>
      <c r="BK15" s="2067"/>
      <c r="BL15" s="2059"/>
      <c r="BM15" s="2061">
        <f t="shared" si="38"/>
        <v>0</v>
      </c>
      <c r="BN15" s="2155">
        <f t="shared" si="23"/>
        <v>0</v>
      </c>
      <c r="BO15" s="1630"/>
      <c r="BP15" s="2067"/>
      <c r="BQ15" s="2059"/>
      <c r="BR15" s="2061">
        <f t="shared" si="39"/>
        <v>0</v>
      </c>
      <c r="BS15" s="2155">
        <f t="shared" si="24"/>
        <v>0</v>
      </c>
      <c r="BT15" s="1630"/>
      <c r="BU15" s="2059">
        <f t="shared" si="25"/>
        <v>0</v>
      </c>
      <c r="BV15" s="2059">
        <f t="shared" si="26"/>
        <v>3500</v>
      </c>
      <c r="BW15" s="2061">
        <f t="shared" si="40"/>
        <v>3500</v>
      </c>
      <c r="BX15" s="2892">
        <f t="shared" si="12"/>
        <v>4.7104222822043134E-4</v>
      </c>
      <c r="BY15" s="1449"/>
    </row>
    <row r="16" spans="1:79" s="1411" customFormat="1" ht="96" customHeight="1" x14ac:dyDescent="0.25">
      <c r="A16" s="1598"/>
      <c r="B16" s="2894" t="s">
        <v>21</v>
      </c>
      <c r="C16" s="1500"/>
      <c r="D16" s="2895">
        <v>634937.2869565218</v>
      </c>
      <c r="E16" s="2028">
        <f t="shared" si="13"/>
        <v>634937.2869565218</v>
      </c>
      <c r="F16" s="1992">
        <f t="shared" si="8"/>
        <v>0.12378774648051631</v>
      </c>
      <c r="G16" s="2059">
        <v>0</v>
      </c>
      <c r="H16" s="2059">
        <v>448853.66</v>
      </c>
      <c r="I16" s="2061">
        <f t="shared" si="27"/>
        <v>448853.66</v>
      </c>
      <c r="J16" s="2892">
        <v>0.13897067295839197</v>
      </c>
      <c r="K16" s="1992"/>
      <c r="L16" s="2067">
        <v>0</v>
      </c>
      <c r="M16" s="2059">
        <f>428199.46+5942</f>
        <v>434141.46</v>
      </c>
      <c r="N16" s="2061">
        <f t="shared" si="28"/>
        <v>434141.46</v>
      </c>
      <c r="O16" s="2892">
        <f t="shared" si="14"/>
        <v>0.11694254776519637</v>
      </c>
      <c r="P16" s="2063"/>
      <c r="Q16" s="2631"/>
      <c r="R16" s="2016"/>
      <c r="S16" s="2009"/>
      <c r="T16" s="2013">
        <f t="shared" si="29"/>
        <v>0</v>
      </c>
      <c r="U16" s="2893">
        <f t="shared" si="15"/>
        <v>0</v>
      </c>
      <c r="V16" s="2010"/>
      <c r="W16" s="2067"/>
      <c r="X16" s="2059">
        <v>40075</v>
      </c>
      <c r="Y16" s="2061">
        <f t="shared" si="30"/>
        <v>40075</v>
      </c>
      <c r="Z16" s="2892">
        <f t="shared" si="11"/>
        <v>0.29456704781820897</v>
      </c>
      <c r="AA16" s="2063" t="s">
        <v>1640</v>
      </c>
      <c r="AB16" s="2067"/>
      <c r="AC16" s="2059">
        <f>6400+13080</f>
        <v>19480</v>
      </c>
      <c r="AD16" s="2061">
        <f t="shared" si="31"/>
        <v>19480</v>
      </c>
      <c r="AE16" s="2892">
        <f t="shared" si="16"/>
        <v>0.21989947714296981</v>
      </c>
      <c r="AF16" s="2063" t="s">
        <v>1615</v>
      </c>
      <c r="AG16" s="2067"/>
      <c r="AH16" s="2059"/>
      <c r="AI16" s="2061">
        <f t="shared" si="32"/>
        <v>0</v>
      </c>
      <c r="AJ16" s="2892">
        <f t="shared" si="17"/>
        <v>0</v>
      </c>
      <c r="AK16" s="2063"/>
      <c r="AL16" s="2067"/>
      <c r="AM16" s="2059">
        <v>55080</v>
      </c>
      <c r="AN16" s="2061">
        <f t="shared" si="33"/>
        <v>55080</v>
      </c>
      <c r="AO16" s="2892">
        <f t="shared" si="18"/>
        <v>0.52540426838119425</v>
      </c>
      <c r="AP16" s="2063" t="s">
        <v>1701</v>
      </c>
      <c r="AQ16" s="2067"/>
      <c r="AR16" s="2059"/>
      <c r="AS16" s="2061">
        <f t="shared" si="34"/>
        <v>0</v>
      </c>
      <c r="AT16" s="2892">
        <f t="shared" si="19"/>
        <v>0</v>
      </c>
      <c r="AU16" s="2062"/>
      <c r="AV16" s="2067"/>
      <c r="AW16" s="2059">
        <f>4394.7+18000</f>
        <v>22394.7</v>
      </c>
      <c r="AX16" s="2061">
        <f t="shared" si="35"/>
        <v>22394.7</v>
      </c>
      <c r="AY16" s="2892">
        <f t="shared" si="20"/>
        <v>0.81808537410372351</v>
      </c>
      <c r="AZ16" s="2062" t="s">
        <v>1928</v>
      </c>
      <c r="BA16" s="2067"/>
      <c r="BB16" s="2059"/>
      <c r="BC16" s="2061">
        <f t="shared" si="36"/>
        <v>0</v>
      </c>
      <c r="BD16" s="2892" t="e">
        <f t="shared" si="21"/>
        <v>#DIV/0!</v>
      </c>
      <c r="BE16" s="2062"/>
      <c r="BF16" s="2067"/>
      <c r="BG16" s="2059"/>
      <c r="BH16" s="2061">
        <f t="shared" si="37"/>
        <v>0</v>
      </c>
      <c r="BI16" s="2155">
        <f t="shared" si="22"/>
        <v>0</v>
      </c>
      <c r="BJ16" s="2062"/>
      <c r="BK16" s="2067"/>
      <c r="BL16" s="2059">
        <f>4830+5560</f>
        <v>10390</v>
      </c>
      <c r="BM16" s="2061">
        <f t="shared" si="38"/>
        <v>10390</v>
      </c>
      <c r="BN16" s="2155">
        <f t="shared" si="23"/>
        <v>0.88420929298391926</v>
      </c>
      <c r="BO16" s="2062" t="s">
        <v>2083</v>
      </c>
      <c r="BP16" s="2067"/>
      <c r="BQ16" s="2059"/>
      <c r="BR16" s="2061">
        <f t="shared" si="39"/>
        <v>0</v>
      </c>
      <c r="BS16" s="2155">
        <f t="shared" si="24"/>
        <v>0</v>
      </c>
      <c r="BT16" s="2062"/>
      <c r="BU16" s="2059">
        <f t="shared" si="25"/>
        <v>0</v>
      </c>
      <c r="BV16" s="2059">
        <f t="shared" si="26"/>
        <v>1030414.82</v>
      </c>
      <c r="BW16" s="2061">
        <f t="shared" si="40"/>
        <v>1030414.82</v>
      </c>
      <c r="BX16" s="2892">
        <f t="shared" si="12"/>
        <v>0.13867682651547275</v>
      </c>
      <c r="BY16" s="1449"/>
      <c r="BZ16" s="2896">
        <v>1002024.84</v>
      </c>
      <c r="CA16" s="933">
        <f>BZ16-BW16</f>
        <v>-28389.979999999981</v>
      </c>
    </row>
    <row r="17" spans="1:79" s="1411" customFormat="1" ht="34.950000000000003" customHeight="1" x14ac:dyDescent="0.25">
      <c r="A17" s="1587"/>
      <c r="B17" s="2894" t="s">
        <v>22</v>
      </c>
      <c r="C17" s="1500"/>
      <c r="D17" s="2895"/>
      <c r="E17" s="2028">
        <f t="shared" si="13"/>
        <v>0</v>
      </c>
      <c r="F17" s="1992">
        <f t="shared" si="8"/>
        <v>0</v>
      </c>
      <c r="G17" s="2059">
        <v>0</v>
      </c>
      <c r="H17" s="2059">
        <v>0</v>
      </c>
      <c r="I17" s="2061">
        <f t="shared" si="27"/>
        <v>0</v>
      </c>
      <c r="J17" s="2892">
        <v>0</v>
      </c>
      <c r="K17" s="1992"/>
      <c r="L17" s="2067">
        <v>0</v>
      </c>
      <c r="M17" s="2059">
        <v>0</v>
      </c>
      <c r="N17" s="2061">
        <f t="shared" si="28"/>
        <v>0</v>
      </c>
      <c r="O17" s="2892">
        <f t="shared" si="14"/>
        <v>0</v>
      </c>
      <c r="P17" s="2064"/>
      <c r="Q17" s="2631"/>
      <c r="R17" s="2067"/>
      <c r="S17" s="2059"/>
      <c r="T17" s="2061">
        <f t="shared" si="29"/>
        <v>0</v>
      </c>
      <c r="U17" s="2892">
        <f t="shared" si="15"/>
        <v>0</v>
      </c>
      <c r="V17" s="2062"/>
      <c r="W17" s="2067"/>
      <c r="X17" s="2059"/>
      <c r="Y17" s="2061">
        <f t="shared" si="30"/>
        <v>0</v>
      </c>
      <c r="Z17" s="2892">
        <f t="shared" si="11"/>
        <v>0</v>
      </c>
      <c r="AA17" s="2064"/>
      <c r="AB17" s="2067"/>
      <c r="AC17" s="2059"/>
      <c r="AD17" s="2061">
        <f t="shared" si="31"/>
        <v>0</v>
      </c>
      <c r="AE17" s="2892">
        <f t="shared" si="16"/>
        <v>0</v>
      </c>
      <c r="AF17" s="2064"/>
      <c r="AG17" s="2067"/>
      <c r="AH17" s="2059"/>
      <c r="AI17" s="2061">
        <f t="shared" si="32"/>
        <v>0</v>
      </c>
      <c r="AJ17" s="2892">
        <f t="shared" si="17"/>
        <v>0</v>
      </c>
      <c r="AK17" s="2064"/>
      <c r="AL17" s="2067"/>
      <c r="AM17" s="2059"/>
      <c r="AN17" s="2061">
        <f t="shared" si="33"/>
        <v>0</v>
      </c>
      <c r="AO17" s="2892">
        <f t="shared" si="18"/>
        <v>0</v>
      </c>
      <c r="AP17" s="2064"/>
      <c r="AQ17" s="2067"/>
      <c r="AR17" s="2059"/>
      <c r="AS17" s="2061">
        <f t="shared" si="34"/>
        <v>0</v>
      </c>
      <c r="AT17" s="2892">
        <f t="shared" si="19"/>
        <v>0</v>
      </c>
      <c r="AU17" s="2064"/>
      <c r="AV17" s="2067"/>
      <c r="AW17" s="2059"/>
      <c r="AX17" s="2061">
        <f t="shared" si="35"/>
        <v>0</v>
      </c>
      <c r="AY17" s="2892">
        <f t="shared" si="20"/>
        <v>0</v>
      </c>
      <c r="AZ17" s="2064"/>
      <c r="BA17" s="2067"/>
      <c r="BB17" s="2059"/>
      <c r="BC17" s="2061">
        <f t="shared" si="36"/>
        <v>0</v>
      </c>
      <c r="BD17" s="2892" t="e">
        <f t="shared" si="21"/>
        <v>#DIV/0!</v>
      </c>
      <c r="BE17" s="2064"/>
      <c r="BF17" s="2067"/>
      <c r="BG17" s="2059"/>
      <c r="BH17" s="2061">
        <f t="shared" si="37"/>
        <v>0</v>
      </c>
      <c r="BI17" s="2155">
        <f t="shared" si="22"/>
        <v>0</v>
      </c>
      <c r="BJ17" s="2064"/>
      <c r="BK17" s="2067"/>
      <c r="BL17" s="2059"/>
      <c r="BM17" s="2061">
        <f t="shared" si="38"/>
        <v>0</v>
      </c>
      <c r="BN17" s="2155">
        <f t="shared" si="23"/>
        <v>0</v>
      </c>
      <c r="BO17" s="2064"/>
      <c r="BP17" s="2067"/>
      <c r="BQ17" s="2059"/>
      <c r="BR17" s="2061">
        <f t="shared" si="39"/>
        <v>0</v>
      </c>
      <c r="BS17" s="2155">
        <f t="shared" si="24"/>
        <v>0</v>
      </c>
      <c r="BT17" s="2064"/>
      <c r="BU17" s="2059">
        <f t="shared" si="25"/>
        <v>0</v>
      </c>
      <c r="BV17" s="2059">
        <f t="shared" si="26"/>
        <v>0</v>
      </c>
      <c r="BW17" s="2061">
        <f t="shared" si="40"/>
        <v>0</v>
      </c>
      <c r="BX17" s="2892">
        <f t="shared" si="12"/>
        <v>0</v>
      </c>
      <c r="BY17" s="1449"/>
    </row>
    <row r="18" spans="1:79" s="1411" customFormat="1" ht="28.95" customHeight="1" x14ac:dyDescent="0.25">
      <c r="A18" s="1587"/>
      <c r="B18" s="2894" t="s">
        <v>0</v>
      </c>
      <c r="C18" s="1500"/>
      <c r="D18" s="2895">
        <v>173697.39130434784</v>
      </c>
      <c r="E18" s="2028">
        <f t="shared" si="13"/>
        <v>173697.39130434784</v>
      </c>
      <c r="F18" s="1992">
        <f t="shared" si="8"/>
        <v>3.3864145453127249E-2</v>
      </c>
      <c r="G18" s="2059">
        <v>262848.96999999997</v>
      </c>
      <c r="H18" s="2059">
        <v>5000</v>
      </c>
      <c r="I18" s="2061">
        <f t="shared" si="27"/>
        <v>267848.96999999997</v>
      </c>
      <c r="J18" s="2892">
        <v>8.2929370815673295E-2</v>
      </c>
      <c r="K18" s="1992"/>
      <c r="L18" s="2067">
        <v>61543.607999999993</v>
      </c>
      <c r="M18" s="2059">
        <v>0</v>
      </c>
      <c r="N18" s="2061">
        <f t="shared" si="28"/>
        <v>61543.607999999993</v>
      </c>
      <c r="O18" s="2892">
        <f t="shared" si="14"/>
        <v>1.6577698702589981E-2</v>
      </c>
      <c r="P18" s="2071"/>
      <c r="Q18" s="2631"/>
      <c r="R18" s="2067"/>
      <c r="S18" s="2059"/>
      <c r="T18" s="2061">
        <f t="shared" si="29"/>
        <v>0</v>
      </c>
      <c r="U18" s="2892">
        <f t="shared" si="15"/>
        <v>0</v>
      </c>
      <c r="V18" s="2062"/>
      <c r="W18" s="2067"/>
      <c r="X18" s="2059"/>
      <c r="Y18" s="2061">
        <f t="shared" si="30"/>
        <v>0</v>
      </c>
      <c r="Z18" s="2892">
        <f t="shared" si="11"/>
        <v>0</v>
      </c>
      <c r="AA18" s="2062"/>
      <c r="AB18" s="2067">
        <v>6930.36</v>
      </c>
      <c r="AC18" s="2059"/>
      <c r="AD18" s="2061">
        <f t="shared" si="31"/>
        <v>6930.36</v>
      </c>
      <c r="AE18" s="2892" t="e">
        <f>AD18/#REF!</f>
        <v>#REF!</v>
      </c>
      <c r="AF18" s="2071" t="s">
        <v>1616</v>
      </c>
      <c r="AG18" s="2067"/>
      <c r="AH18" s="2059"/>
      <c r="AI18" s="2061">
        <f t="shared" si="32"/>
        <v>0</v>
      </c>
      <c r="AJ18" s="2892">
        <f t="shared" si="17"/>
        <v>0</v>
      </c>
      <c r="AK18" s="2071"/>
      <c r="AL18" s="2067"/>
      <c r="AM18" s="2059"/>
      <c r="AN18" s="2061">
        <f t="shared" si="33"/>
        <v>0</v>
      </c>
      <c r="AO18" s="2892">
        <f t="shared" si="18"/>
        <v>0</v>
      </c>
      <c r="AP18" s="2071"/>
      <c r="AQ18" s="2067"/>
      <c r="AR18" s="2059"/>
      <c r="AS18" s="2061">
        <f t="shared" si="34"/>
        <v>0</v>
      </c>
      <c r="AT18" s="2892">
        <f t="shared" si="19"/>
        <v>0</v>
      </c>
      <c r="AU18" s="2071"/>
      <c r="AV18" s="2067"/>
      <c r="AW18" s="2059"/>
      <c r="AX18" s="2061">
        <f t="shared" si="35"/>
        <v>0</v>
      </c>
      <c r="AY18" s="2892">
        <f t="shared" si="20"/>
        <v>0</v>
      </c>
      <c r="AZ18" s="2071"/>
      <c r="BA18" s="2067"/>
      <c r="BB18" s="2059"/>
      <c r="BC18" s="2061">
        <f t="shared" si="36"/>
        <v>0</v>
      </c>
      <c r="BD18" s="2892" t="e">
        <f t="shared" si="21"/>
        <v>#DIV/0!</v>
      </c>
      <c r="BE18" s="2071"/>
      <c r="BF18" s="1633"/>
      <c r="BG18" s="2059"/>
      <c r="BH18" s="2061">
        <f t="shared" si="37"/>
        <v>0</v>
      </c>
      <c r="BI18" s="2155">
        <f t="shared" si="22"/>
        <v>0</v>
      </c>
      <c r="BJ18" s="2071"/>
      <c r="BK18" s="1633"/>
      <c r="BL18" s="2059"/>
      <c r="BM18" s="2061">
        <f t="shared" si="38"/>
        <v>0</v>
      </c>
      <c r="BN18" s="2155">
        <f t="shared" si="23"/>
        <v>0</v>
      </c>
      <c r="BO18" s="2071"/>
      <c r="BP18" s="1633"/>
      <c r="BQ18" s="2059"/>
      <c r="BR18" s="2061">
        <f t="shared" si="39"/>
        <v>0</v>
      </c>
      <c r="BS18" s="2155">
        <f t="shared" si="24"/>
        <v>0</v>
      </c>
      <c r="BT18" s="2071"/>
      <c r="BU18" s="2059">
        <f t="shared" si="25"/>
        <v>331322.93799999997</v>
      </c>
      <c r="BV18" s="2059">
        <f t="shared" si="26"/>
        <v>5000</v>
      </c>
      <c r="BW18" s="2061">
        <f t="shared" si="40"/>
        <v>336322.93799999997</v>
      </c>
      <c r="BX18" s="2892">
        <f t="shared" si="12"/>
        <v>4.5263516033474845E-2</v>
      </c>
      <c r="BY18" s="1449"/>
      <c r="BZ18" s="2897">
        <v>-294769.56</v>
      </c>
      <c r="CA18" s="920">
        <f>BZ18+BW18</f>
        <v>41553.377999999968</v>
      </c>
    </row>
    <row r="19" spans="1:79" s="1411" customFormat="1" ht="16.2" customHeight="1" x14ac:dyDescent="0.25">
      <c r="A19" s="1587"/>
      <c r="B19" s="2894" t="s">
        <v>53</v>
      </c>
      <c r="C19" s="2898"/>
      <c r="D19" s="2895"/>
      <c r="E19" s="2028">
        <f t="shared" si="13"/>
        <v>0</v>
      </c>
      <c r="F19" s="1992">
        <f t="shared" si="8"/>
        <v>0</v>
      </c>
      <c r="G19" s="2059">
        <v>0</v>
      </c>
      <c r="H19" s="2059">
        <v>0</v>
      </c>
      <c r="I19" s="2061">
        <f t="shared" si="27"/>
        <v>0</v>
      </c>
      <c r="J19" s="2892">
        <v>0</v>
      </c>
      <c r="K19" s="1992"/>
      <c r="L19" s="2067">
        <v>0</v>
      </c>
      <c r="M19" s="2059">
        <v>0</v>
      </c>
      <c r="N19" s="2061">
        <f t="shared" si="28"/>
        <v>0</v>
      </c>
      <c r="O19" s="2892">
        <f t="shared" si="14"/>
        <v>0</v>
      </c>
      <c r="P19" s="2064"/>
      <c r="Q19" s="2631"/>
      <c r="R19" s="2067"/>
      <c r="S19" s="2059"/>
      <c r="T19" s="2061">
        <f t="shared" si="29"/>
        <v>0</v>
      </c>
      <c r="U19" s="2892">
        <f t="shared" si="15"/>
        <v>0</v>
      </c>
      <c r="V19" s="2062"/>
      <c r="W19" s="2067"/>
      <c r="X19" s="2059"/>
      <c r="Y19" s="2061">
        <f t="shared" si="30"/>
        <v>0</v>
      </c>
      <c r="Z19" s="2892">
        <f t="shared" si="11"/>
        <v>0</v>
      </c>
      <c r="AA19" s="2064"/>
      <c r="AB19" s="2067"/>
      <c r="AC19" s="2059"/>
      <c r="AD19" s="2061">
        <f t="shared" si="31"/>
        <v>0</v>
      </c>
      <c r="AE19" s="2892">
        <f t="shared" si="16"/>
        <v>0</v>
      </c>
      <c r="AF19" s="2064"/>
      <c r="AG19" s="2067"/>
      <c r="AH19" s="2059"/>
      <c r="AI19" s="2061">
        <f t="shared" si="32"/>
        <v>0</v>
      </c>
      <c r="AJ19" s="2892">
        <f t="shared" si="17"/>
        <v>0</v>
      </c>
      <c r="AK19" s="2064"/>
      <c r="AL19" s="2067"/>
      <c r="AM19" s="2059"/>
      <c r="AN19" s="2061">
        <f t="shared" si="33"/>
        <v>0</v>
      </c>
      <c r="AO19" s="2892">
        <f t="shared" si="18"/>
        <v>0</v>
      </c>
      <c r="AP19" s="2064"/>
      <c r="AQ19" s="2067"/>
      <c r="AR19" s="2059">
        <v>500</v>
      </c>
      <c r="AS19" s="2061">
        <f t="shared" si="34"/>
        <v>500</v>
      </c>
      <c r="AT19" s="2892">
        <f t="shared" si="19"/>
        <v>0.8761268888996403</v>
      </c>
      <c r="AU19" s="2064" t="s">
        <v>1709</v>
      </c>
      <c r="AV19" s="2067"/>
      <c r="AW19" s="2059"/>
      <c r="AX19" s="2061">
        <f t="shared" si="35"/>
        <v>0</v>
      </c>
      <c r="AY19" s="2892">
        <f t="shared" si="20"/>
        <v>0</v>
      </c>
      <c r="AZ19" s="2064"/>
      <c r="BA19" s="2067"/>
      <c r="BB19" s="2059"/>
      <c r="BC19" s="2061">
        <f t="shared" si="36"/>
        <v>0</v>
      </c>
      <c r="BD19" s="2892" t="e">
        <f t="shared" si="21"/>
        <v>#DIV/0!</v>
      </c>
      <c r="BE19" s="2064"/>
      <c r="BF19" s="2067"/>
      <c r="BG19" s="2059"/>
      <c r="BH19" s="2061">
        <f t="shared" si="37"/>
        <v>0</v>
      </c>
      <c r="BI19" s="2155">
        <f t="shared" si="22"/>
        <v>0</v>
      </c>
      <c r="BJ19" s="2064"/>
      <c r="BK19" s="2067"/>
      <c r="BL19" s="2059"/>
      <c r="BM19" s="2061">
        <f t="shared" si="38"/>
        <v>0</v>
      </c>
      <c r="BN19" s="2155">
        <f t="shared" si="23"/>
        <v>0</v>
      </c>
      <c r="BO19" s="2064"/>
      <c r="BP19" s="2067"/>
      <c r="BQ19" s="2059"/>
      <c r="BR19" s="2061">
        <f t="shared" si="39"/>
        <v>0</v>
      </c>
      <c r="BS19" s="2155">
        <f t="shared" si="24"/>
        <v>0</v>
      </c>
      <c r="BT19" s="2064"/>
      <c r="BU19" s="2059">
        <f t="shared" si="25"/>
        <v>0</v>
      </c>
      <c r="BV19" s="2059">
        <f t="shared" si="26"/>
        <v>500</v>
      </c>
      <c r="BW19" s="2061">
        <f t="shared" si="40"/>
        <v>500</v>
      </c>
      <c r="BX19" s="2892">
        <f t="shared" si="12"/>
        <v>6.7291746888633043E-5</v>
      </c>
      <c r="BY19" s="1449"/>
    </row>
    <row r="20" spans="1:79" s="1411" customFormat="1" ht="52.2" customHeight="1" x14ac:dyDescent="0.25">
      <c r="A20" s="1587"/>
      <c r="B20" s="2894" t="s">
        <v>57</v>
      </c>
      <c r="C20" s="2898"/>
      <c r="D20" s="2895"/>
      <c r="E20" s="2028">
        <f t="shared" si="13"/>
        <v>0</v>
      </c>
      <c r="F20" s="1992">
        <f t="shared" si="8"/>
        <v>0</v>
      </c>
      <c r="G20" s="2059">
        <v>0</v>
      </c>
      <c r="H20" s="2059">
        <v>0</v>
      </c>
      <c r="I20" s="2061">
        <f t="shared" si="27"/>
        <v>0</v>
      </c>
      <c r="J20" s="2892">
        <v>0</v>
      </c>
      <c r="K20" s="1992"/>
      <c r="L20" s="2067">
        <v>45900.504000000001</v>
      </c>
      <c r="M20" s="2059">
        <v>0</v>
      </c>
      <c r="N20" s="2061">
        <f t="shared" si="28"/>
        <v>45900.504000000001</v>
      </c>
      <c r="O20" s="2892">
        <f t="shared" si="14"/>
        <v>1.2363992790429615E-2</v>
      </c>
      <c r="P20" s="2064"/>
      <c r="Q20" s="2631"/>
      <c r="R20" s="2067"/>
      <c r="S20" s="2059"/>
      <c r="T20" s="2061">
        <f t="shared" si="29"/>
        <v>0</v>
      </c>
      <c r="U20" s="2892">
        <f t="shared" si="15"/>
        <v>0</v>
      </c>
      <c r="V20" s="2062"/>
      <c r="W20" s="2067"/>
      <c r="X20" s="2059"/>
      <c r="Y20" s="2061">
        <f t="shared" si="30"/>
        <v>0</v>
      </c>
      <c r="Z20" s="2892">
        <f t="shared" si="11"/>
        <v>0</v>
      </c>
      <c r="AA20" s="2064"/>
      <c r="AB20" s="2067"/>
      <c r="AC20" s="2059"/>
      <c r="AD20" s="2061">
        <f t="shared" si="31"/>
        <v>0</v>
      </c>
      <c r="AE20" s="2892">
        <f t="shared" si="16"/>
        <v>0</v>
      </c>
      <c r="AF20" s="2064"/>
      <c r="AG20" s="2067"/>
      <c r="AH20" s="2059"/>
      <c r="AI20" s="2061">
        <f t="shared" si="32"/>
        <v>0</v>
      </c>
      <c r="AJ20" s="2892">
        <f t="shared" si="17"/>
        <v>0</v>
      </c>
      <c r="AK20" s="2064"/>
      <c r="AL20" s="2067"/>
      <c r="AM20" s="2059"/>
      <c r="AN20" s="2061">
        <f t="shared" si="33"/>
        <v>0</v>
      </c>
      <c r="AO20" s="2892">
        <f t="shared" si="18"/>
        <v>0</v>
      </c>
      <c r="AP20" s="2064"/>
      <c r="AQ20" s="2067"/>
      <c r="AR20" s="2059"/>
      <c r="AS20" s="2061">
        <f t="shared" si="34"/>
        <v>0</v>
      </c>
      <c r="AT20" s="2892">
        <f t="shared" si="19"/>
        <v>0</v>
      </c>
      <c r="AU20" s="2064"/>
      <c r="AV20" s="2067"/>
      <c r="AW20" s="2059"/>
      <c r="AX20" s="2061">
        <f t="shared" si="35"/>
        <v>0</v>
      </c>
      <c r="AY20" s="2892">
        <f t="shared" si="20"/>
        <v>0</v>
      </c>
      <c r="AZ20" s="2064"/>
      <c r="BA20" s="2067"/>
      <c r="BB20" s="2059"/>
      <c r="BC20" s="2061">
        <f t="shared" si="36"/>
        <v>0</v>
      </c>
      <c r="BD20" s="2892" t="e">
        <f t="shared" si="21"/>
        <v>#DIV/0!</v>
      </c>
      <c r="BE20" s="2064"/>
      <c r="BF20" s="2067"/>
      <c r="BG20" s="2059"/>
      <c r="BH20" s="2061">
        <f t="shared" si="37"/>
        <v>0</v>
      </c>
      <c r="BI20" s="2155">
        <f t="shared" si="22"/>
        <v>0</v>
      </c>
      <c r="BJ20" s="2064"/>
      <c r="BK20" s="2067"/>
      <c r="BL20" s="2059"/>
      <c r="BM20" s="2061">
        <f t="shared" si="38"/>
        <v>0</v>
      </c>
      <c r="BN20" s="2155">
        <f t="shared" si="23"/>
        <v>0</v>
      </c>
      <c r="BO20" s="2064"/>
      <c r="BP20" s="2067"/>
      <c r="BQ20" s="2059"/>
      <c r="BR20" s="2061">
        <f t="shared" si="39"/>
        <v>0</v>
      </c>
      <c r="BS20" s="2155">
        <f t="shared" si="24"/>
        <v>0</v>
      </c>
      <c r="BT20" s="2064"/>
      <c r="BU20" s="2059">
        <f t="shared" si="25"/>
        <v>45900.504000000001</v>
      </c>
      <c r="BV20" s="2059">
        <f t="shared" si="26"/>
        <v>0</v>
      </c>
      <c r="BW20" s="2061">
        <f t="shared" si="40"/>
        <v>45900.504000000001</v>
      </c>
      <c r="BX20" s="2892">
        <f t="shared" si="12"/>
        <v>6.1774501944573774E-3</v>
      </c>
      <c r="BY20" s="1449"/>
    </row>
    <row r="21" spans="1:79" s="1411" customFormat="1" ht="51.6" customHeight="1" x14ac:dyDescent="0.25">
      <c r="A21" s="1587"/>
      <c r="B21" s="2894" t="s">
        <v>58</v>
      </c>
      <c r="C21" s="2898">
        <v>645640.25999999989</v>
      </c>
      <c r="D21" s="2895"/>
      <c r="E21" s="2028">
        <f t="shared" si="13"/>
        <v>645640.25999999989</v>
      </c>
      <c r="F21" s="1992">
        <f t="shared" si="8"/>
        <v>0.12587440439289782</v>
      </c>
      <c r="G21" s="2059">
        <v>362526.95999999996</v>
      </c>
      <c r="H21" s="2059">
        <v>0</v>
      </c>
      <c r="I21" s="2061">
        <f t="shared" si="27"/>
        <v>362526.95999999996</v>
      </c>
      <c r="J21" s="2892">
        <v>0.11224285348761565</v>
      </c>
      <c r="K21" s="1992"/>
      <c r="L21" s="2067">
        <v>472452.51999999996</v>
      </c>
      <c r="M21" s="2059">
        <v>0</v>
      </c>
      <c r="N21" s="2061">
        <f t="shared" si="28"/>
        <v>472452.51999999996</v>
      </c>
      <c r="O21" s="2892">
        <f t="shared" si="14"/>
        <v>0.12726220938881855</v>
      </c>
      <c r="P21" s="2064"/>
      <c r="Q21" s="2631"/>
      <c r="R21" s="2067"/>
      <c r="S21" s="2059"/>
      <c r="T21" s="2061">
        <f t="shared" si="29"/>
        <v>0</v>
      </c>
      <c r="U21" s="2892">
        <f t="shared" si="15"/>
        <v>0</v>
      </c>
      <c r="V21" s="2062"/>
      <c r="W21" s="2067"/>
      <c r="X21" s="2059"/>
      <c r="Y21" s="2061">
        <f t="shared" si="30"/>
        <v>0</v>
      </c>
      <c r="Z21" s="2892">
        <f t="shared" si="11"/>
        <v>0</v>
      </c>
      <c r="AA21" s="2064"/>
      <c r="AB21" s="2067"/>
      <c r="AC21" s="2059"/>
      <c r="AD21" s="2061">
        <f t="shared" si="31"/>
        <v>0</v>
      </c>
      <c r="AE21" s="2892">
        <f t="shared" si="16"/>
        <v>0</v>
      </c>
      <c r="AF21" s="2064"/>
      <c r="AG21" s="2067"/>
      <c r="AH21" s="2059"/>
      <c r="AI21" s="2061">
        <f t="shared" si="32"/>
        <v>0</v>
      </c>
      <c r="AJ21" s="2892">
        <f t="shared" si="17"/>
        <v>0</v>
      </c>
      <c r="AK21" s="2064"/>
      <c r="AL21" s="2067"/>
      <c r="AM21" s="2059"/>
      <c r="AN21" s="2061">
        <f t="shared" si="33"/>
        <v>0</v>
      </c>
      <c r="AO21" s="2892">
        <f t="shared" si="18"/>
        <v>0</v>
      </c>
      <c r="AP21" s="2064"/>
      <c r="AQ21" s="2067"/>
      <c r="AR21" s="2059"/>
      <c r="AS21" s="2061">
        <f t="shared" si="34"/>
        <v>0</v>
      </c>
      <c r="AT21" s="2892">
        <f t="shared" si="19"/>
        <v>0</v>
      </c>
      <c r="AU21" s="2064"/>
      <c r="AV21" s="2067"/>
      <c r="AW21" s="2059"/>
      <c r="AX21" s="2061">
        <f t="shared" si="35"/>
        <v>0</v>
      </c>
      <c r="AY21" s="2892">
        <f t="shared" si="20"/>
        <v>0</v>
      </c>
      <c r="AZ21" s="2064"/>
      <c r="BA21" s="2067"/>
      <c r="BB21" s="2059"/>
      <c r="BC21" s="2061">
        <f t="shared" si="36"/>
        <v>0</v>
      </c>
      <c r="BD21" s="2892" t="e">
        <f t="shared" si="21"/>
        <v>#DIV/0!</v>
      </c>
      <c r="BE21" s="2064"/>
      <c r="BF21" s="2067"/>
      <c r="BG21" s="2059"/>
      <c r="BH21" s="2061">
        <f t="shared" si="37"/>
        <v>0</v>
      </c>
      <c r="BI21" s="2155">
        <f t="shared" si="22"/>
        <v>0</v>
      </c>
      <c r="BJ21" s="2064"/>
      <c r="BK21" s="2067"/>
      <c r="BL21" s="2059"/>
      <c r="BM21" s="2061">
        <f t="shared" si="38"/>
        <v>0</v>
      </c>
      <c r="BN21" s="2155">
        <f t="shared" si="23"/>
        <v>0</v>
      </c>
      <c r="BO21" s="2064"/>
      <c r="BP21" s="2067"/>
      <c r="BQ21" s="2059"/>
      <c r="BR21" s="2061">
        <f t="shared" si="39"/>
        <v>0</v>
      </c>
      <c r="BS21" s="2155">
        <f t="shared" si="24"/>
        <v>0</v>
      </c>
      <c r="BT21" s="2064"/>
      <c r="BU21" s="2059">
        <f t="shared" si="25"/>
        <v>834979.48</v>
      </c>
      <c r="BV21" s="2059">
        <f t="shared" si="26"/>
        <v>0</v>
      </c>
      <c r="BW21" s="2061">
        <f t="shared" si="40"/>
        <v>834979.48</v>
      </c>
      <c r="BX21" s="2892">
        <f t="shared" si="12"/>
        <v>0.11237445565072487</v>
      </c>
      <c r="BY21" s="1449"/>
      <c r="BZ21" s="2897">
        <v>-834979.12</v>
      </c>
      <c r="CA21" s="920">
        <f>BZ21+BW21</f>
        <v>0.35999999998603016</v>
      </c>
    </row>
    <row r="22" spans="1:79" s="1411" customFormat="1" ht="42.6" customHeight="1" x14ac:dyDescent="0.25">
      <c r="A22" s="1587"/>
      <c r="B22" s="2894" t="s">
        <v>621</v>
      </c>
      <c r="C22" s="2898">
        <v>124795.3</v>
      </c>
      <c r="D22" s="2895"/>
      <c r="E22" s="2028">
        <f t="shared" si="13"/>
        <v>124795.3</v>
      </c>
      <c r="F22" s="1992"/>
      <c r="G22" s="2059">
        <f>33550+48948</f>
        <v>82498</v>
      </c>
      <c r="H22" s="2059">
        <v>0</v>
      </c>
      <c r="I22" s="2061">
        <f t="shared" si="27"/>
        <v>82498</v>
      </c>
      <c r="J22" s="2892">
        <v>1.0387497069209708E-2</v>
      </c>
      <c r="K22" s="1992"/>
      <c r="L22" s="2067">
        <f>55650</f>
        <v>55650</v>
      </c>
      <c r="M22" s="2059">
        <v>600</v>
      </c>
      <c r="N22" s="2061">
        <f t="shared" si="28"/>
        <v>56250</v>
      </c>
      <c r="O22" s="2892">
        <f t="shared" si="14"/>
        <v>1.5151785576508394E-2</v>
      </c>
      <c r="P22" s="2062"/>
      <c r="Q22" s="2631"/>
      <c r="R22" s="2067"/>
      <c r="S22" s="2059"/>
      <c r="T22" s="2061">
        <f t="shared" si="29"/>
        <v>0</v>
      </c>
      <c r="U22" s="2892">
        <f t="shared" si="15"/>
        <v>0</v>
      </c>
      <c r="V22" s="2062"/>
      <c r="W22" s="2067"/>
      <c r="X22" s="2059"/>
      <c r="Y22" s="2061">
        <f t="shared" si="30"/>
        <v>0</v>
      </c>
      <c r="Z22" s="2892">
        <f t="shared" si="11"/>
        <v>0</v>
      </c>
      <c r="AA22" s="2062"/>
      <c r="AB22" s="2067"/>
      <c r="AC22" s="2059"/>
      <c r="AD22" s="2061">
        <f t="shared" si="31"/>
        <v>0</v>
      </c>
      <c r="AE22" s="2892">
        <f t="shared" si="16"/>
        <v>0</v>
      </c>
      <c r="AF22" s="2062"/>
      <c r="AG22" s="2067"/>
      <c r="AH22" s="2059"/>
      <c r="AI22" s="2061">
        <f t="shared" si="32"/>
        <v>0</v>
      </c>
      <c r="AJ22" s="2892">
        <f t="shared" si="17"/>
        <v>0</v>
      </c>
      <c r="AK22" s="2062"/>
      <c r="AL22" s="2067"/>
      <c r="AM22" s="2059"/>
      <c r="AN22" s="2061">
        <f t="shared" si="33"/>
        <v>0</v>
      </c>
      <c r="AO22" s="2892">
        <f t="shared" si="18"/>
        <v>0</v>
      </c>
      <c r="AP22" s="2062"/>
      <c r="AQ22" s="2067"/>
      <c r="AR22" s="2059"/>
      <c r="AS22" s="2061">
        <f t="shared" si="34"/>
        <v>0</v>
      </c>
      <c r="AT22" s="2892">
        <f t="shared" si="19"/>
        <v>0</v>
      </c>
      <c r="AU22" s="2064"/>
      <c r="AV22" s="2067"/>
      <c r="AW22" s="2059"/>
      <c r="AX22" s="2061">
        <f t="shared" si="35"/>
        <v>0</v>
      </c>
      <c r="AY22" s="2892">
        <f t="shared" si="20"/>
        <v>0</v>
      </c>
      <c r="AZ22" s="2064"/>
      <c r="BA22" s="2067"/>
      <c r="BB22" s="2059"/>
      <c r="BC22" s="2061">
        <f t="shared" si="36"/>
        <v>0</v>
      </c>
      <c r="BD22" s="2892" t="e">
        <f t="shared" si="21"/>
        <v>#DIV/0!</v>
      </c>
      <c r="BE22" s="2064"/>
      <c r="BF22" s="2067"/>
      <c r="BG22" s="2059"/>
      <c r="BH22" s="2061">
        <f t="shared" si="37"/>
        <v>0</v>
      </c>
      <c r="BI22" s="2155">
        <f t="shared" si="22"/>
        <v>0</v>
      </c>
      <c r="BJ22" s="2064"/>
      <c r="BK22" s="2067"/>
      <c r="BL22" s="2059"/>
      <c r="BM22" s="2061">
        <f t="shared" si="38"/>
        <v>0</v>
      </c>
      <c r="BN22" s="2155">
        <f t="shared" si="23"/>
        <v>0</v>
      </c>
      <c r="BO22" s="2064"/>
      <c r="BP22" s="2067"/>
      <c r="BQ22" s="2059"/>
      <c r="BR22" s="2061">
        <f t="shared" si="39"/>
        <v>0</v>
      </c>
      <c r="BS22" s="2155">
        <f t="shared" si="24"/>
        <v>0</v>
      </c>
      <c r="BT22" s="2064"/>
      <c r="BU22" s="2059">
        <f t="shared" si="25"/>
        <v>138148</v>
      </c>
      <c r="BV22" s="2059">
        <f t="shared" si="26"/>
        <v>600</v>
      </c>
      <c r="BW22" s="2061">
        <f t="shared" si="40"/>
        <v>138748</v>
      </c>
      <c r="BX22" s="2892">
        <f t="shared" si="12"/>
        <v>1.8673190594608115E-2</v>
      </c>
      <c r="BY22" s="1449"/>
      <c r="BZ22" s="2897"/>
      <c r="CA22" s="920"/>
    </row>
    <row r="23" spans="1:79" s="1411" customFormat="1" ht="16.2" customHeight="1" x14ac:dyDescent="0.25">
      <c r="A23" s="1587"/>
      <c r="B23" s="2894" t="s">
        <v>630</v>
      </c>
      <c r="C23" s="2898"/>
      <c r="D23" s="2895"/>
      <c r="E23" s="2028">
        <f t="shared" si="13"/>
        <v>0</v>
      </c>
      <c r="F23" s="1992"/>
      <c r="G23" s="2059">
        <v>0</v>
      </c>
      <c r="H23" s="2059">
        <v>0</v>
      </c>
      <c r="I23" s="2061"/>
      <c r="J23" s="2892">
        <v>0</v>
      </c>
      <c r="K23" s="1992"/>
      <c r="L23" s="2067">
        <v>0</v>
      </c>
      <c r="M23" s="2059">
        <v>0</v>
      </c>
      <c r="N23" s="2061">
        <f t="shared" si="28"/>
        <v>0</v>
      </c>
      <c r="O23" s="2892">
        <f t="shared" si="14"/>
        <v>0</v>
      </c>
      <c r="P23" s="2064"/>
      <c r="Q23" s="2631"/>
      <c r="R23" s="2067"/>
      <c r="S23" s="2059"/>
      <c r="T23" s="2061">
        <f t="shared" si="29"/>
        <v>0</v>
      </c>
      <c r="U23" s="2892">
        <f t="shared" si="15"/>
        <v>0</v>
      </c>
      <c r="V23" s="2062"/>
      <c r="W23" s="2067"/>
      <c r="X23" s="2059"/>
      <c r="Y23" s="2061">
        <f t="shared" si="30"/>
        <v>0</v>
      </c>
      <c r="Z23" s="2892">
        <f t="shared" si="11"/>
        <v>0</v>
      </c>
      <c r="AA23" s="2064"/>
      <c r="AB23" s="2067"/>
      <c r="AC23" s="2059"/>
      <c r="AD23" s="2061">
        <f t="shared" si="31"/>
        <v>0</v>
      </c>
      <c r="AE23" s="2892">
        <f t="shared" si="16"/>
        <v>0</v>
      </c>
      <c r="AF23" s="2064"/>
      <c r="AG23" s="2067"/>
      <c r="AH23" s="2059"/>
      <c r="AI23" s="2061">
        <f t="shared" si="32"/>
        <v>0</v>
      </c>
      <c r="AJ23" s="2892">
        <f t="shared" si="17"/>
        <v>0</v>
      </c>
      <c r="AK23" s="2064"/>
      <c r="AL23" s="2067"/>
      <c r="AM23" s="2059"/>
      <c r="AN23" s="2061">
        <f t="shared" si="33"/>
        <v>0</v>
      </c>
      <c r="AO23" s="2892">
        <f t="shared" si="18"/>
        <v>0</v>
      </c>
      <c r="AP23" s="2064"/>
      <c r="AQ23" s="2067"/>
      <c r="AR23" s="2059"/>
      <c r="AS23" s="2061">
        <f t="shared" si="34"/>
        <v>0</v>
      </c>
      <c r="AT23" s="2892">
        <f t="shared" si="19"/>
        <v>0</v>
      </c>
      <c r="AU23" s="2064"/>
      <c r="AV23" s="2067"/>
      <c r="AW23" s="2059"/>
      <c r="AX23" s="2061">
        <f t="shared" si="35"/>
        <v>0</v>
      </c>
      <c r="AY23" s="2892">
        <f t="shared" si="20"/>
        <v>0</v>
      </c>
      <c r="AZ23" s="2064"/>
      <c r="BA23" s="2067"/>
      <c r="BB23" s="2059"/>
      <c r="BC23" s="2061">
        <f t="shared" si="36"/>
        <v>0</v>
      </c>
      <c r="BD23" s="2892" t="e">
        <f t="shared" si="21"/>
        <v>#DIV/0!</v>
      </c>
      <c r="BE23" s="2064"/>
      <c r="BF23" s="2067"/>
      <c r="BG23" s="2059"/>
      <c r="BH23" s="2061">
        <f t="shared" si="37"/>
        <v>0</v>
      </c>
      <c r="BI23" s="2155">
        <f t="shared" si="22"/>
        <v>0</v>
      </c>
      <c r="BJ23" s="2064"/>
      <c r="BK23" s="2067"/>
      <c r="BL23" s="2059"/>
      <c r="BM23" s="2061">
        <f t="shared" si="38"/>
        <v>0</v>
      </c>
      <c r="BN23" s="2155">
        <f t="shared" si="23"/>
        <v>0</v>
      </c>
      <c r="BO23" s="2064"/>
      <c r="BP23" s="2067"/>
      <c r="BQ23" s="2059"/>
      <c r="BR23" s="2061">
        <f t="shared" si="39"/>
        <v>0</v>
      </c>
      <c r="BS23" s="2155">
        <f t="shared" si="24"/>
        <v>0</v>
      </c>
      <c r="BT23" s="2064"/>
      <c r="BU23" s="2059">
        <f t="shared" si="25"/>
        <v>0</v>
      </c>
      <c r="BV23" s="2059">
        <f t="shared" si="26"/>
        <v>0</v>
      </c>
      <c r="BW23" s="2061">
        <f t="shared" si="40"/>
        <v>0</v>
      </c>
      <c r="BX23" s="2892">
        <f t="shared" si="12"/>
        <v>0</v>
      </c>
      <c r="BY23" s="1449"/>
    </row>
    <row r="24" spans="1:79" s="1411" customFormat="1" ht="51.6" customHeight="1" x14ac:dyDescent="0.25">
      <c r="A24" s="1587"/>
      <c r="B24" s="2894" t="s">
        <v>23</v>
      </c>
      <c r="C24" s="2898">
        <v>159993.60000000001</v>
      </c>
      <c r="D24" s="2895"/>
      <c r="E24" s="2028">
        <f t="shared" si="13"/>
        <v>159993.60000000001</v>
      </c>
      <c r="F24" s="1992">
        <f t="shared" ref="F24:F33" si="41">E24/$E$89</f>
        <v>3.1192446249673988E-2</v>
      </c>
      <c r="G24" s="2059">
        <v>128799.988</v>
      </c>
      <c r="H24" s="2059">
        <v>0</v>
      </c>
      <c r="I24" s="2061">
        <f t="shared" si="27"/>
        <v>128799.988</v>
      </c>
      <c r="J24" s="2892">
        <v>3.9878077432615372E-2</v>
      </c>
      <c r="K24" s="1992"/>
      <c r="L24" s="2067">
        <v>36240</v>
      </c>
      <c r="M24" s="2059">
        <v>0</v>
      </c>
      <c r="N24" s="2061">
        <f t="shared" si="28"/>
        <v>36240</v>
      </c>
      <c r="O24" s="2892">
        <f t="shared" si="14"/>
        <v>9.7617903874251417E-3</v>
      </c>
      <c r="P24" s="2064"/>
      <c r="Q24" s="2631"/>
      <c r="R24" s="2067"/>
      <c r="S24" s="2059"/>
      <c r="T24" s="2061">
        <f t="shared" si="29"/>
        <v>0</v>
      </c>
      <c r="U24" s="2892">
        <f t="shared" si="15"/>
        <v>0</v>
      </c>
      <c r="V24" s="2059"/>
      <c r="W24" s="2067"/>
      <c r="X24" s="2059"/>
      <c r="Y24" s="2061">
        <f t="shared" si="30"/>
        <v>0</v>
      </c>
      <c r="Z24" s="2892">
        <f t="shared" si="11"/>
        <v>0</v>
      </c>
      <c r="AA24" s="2064"/>
      <c r="AB24" s="2067"/>
      <c r="AC24" s="2059"/>
      <c r="AD24" s="2061">
        <f t="shared" si="31"/>
        <v>0</v>
      </c>
      <c r="AE24" s="2892">
        <f t="shared" si="16"/>
        <v>0</v>
      </c>
      <c r="AF24" s="2064"/>
      <c r="AG24" s="2067"/>
      <c r="AH24" s="2059"/>
      <c r="AI24" s="2061">
        <f t="shared" si="32"/>
        <v>0</v>
      </c>
      <c r="AJ24" s="2892">
        <f t="shared" si="17"/>
        <v>0</v>
      </c>
      <c r="AK24" s="2064"/>
      <c r="AL24" s="2067"/>
      <c r="AM24" s="2059"/>
      <c r="AN24" s="2061">
        <f t="shared" si="33"/>
        <v>0</v>
      </c>
      <c r="AO24" s="2892">
        <f t="shared" si="18"/>
        <v>0</v>
      </c>
      <c r="AP24" s="2064"/>
      <c r="AQ24" s="2067"/>
      <c r="AR24" s="2059"/>
      <c r="AS24" s="2061">
        <f t="shared" si="34"/>
        <v>0</v>
      </c>
      <c r="AT24" s="2892">
        <f t="shared" si="19"/>
        <v>0</v>
      </c>
      <c r="AU24" s="2062"/>
      <c r="AV24" s="2067"/>
      <c r="AW24" s="2059"/>
      <c r="AX24" s="2061">
        <f t="shared" si="35"/>
        <v>0</v>
      </c>
      <c r="AY24" s="2892">
        <f t="shared" si="20"/>
        <v>0</v>
      </c>
      <c r="AZ24" s="2062"/>
      <c r="BA24" s="2067"/>
      <c r="BB24" s="2059"/>
      <c r="BC24" s="2061">
        <f t="shared" si="36"/>
        <v>0</v>
      </c>
      <c r="BD24" s="2892" t="e">
        <f t="shared" si="21"/>
        <v>#DIV/0!</v>
      </c>
      <c r="BE24" s="2062"/>
      <c r="BF24" s="2067"/>
      <c r="BG24" s="2059"/>
      <c r="BH24" s="2061">
        <f t="shared" si="37"/>
        <v>0</v>
      </c>
      <c r="BI24" s="2155">
        <f t="shared" si="22"/>
        <v>0</v>
      </c>
      <c r="BJ24" s="2062"/>
      <c r="BK24" s="2067"/>
      <c r="BL24" s="2059"/>
      <c r="BM24" s="2061">
        <f t="shared" si="38"/>
        <v>0</v>
      </c>
      <c r="BN24" s="2155">
        <f t="shared" si="23"/>
        <v>0</v>
      </c>
      <c r="BO24" s="2062"/>
      <c r="BP24" s="2067"/>
      <c r="BQ24" s="2059"/>
      <c r="BR24" s="2061">
        <f t="shared" si="39"/>
        <v>0</v>
      </c>
      <c r="BS24" s="2155">
        <f t="shared" si="24"/>
        <v>0</v>
      </c>
      <c r="BT24" s="2062"/>
      <c r="BU24" s="2059">
        <f t="shared" si="25"/>
        <v>165039.98800000001</v>
      </c>
      <c r="BV24" s="2059">
        <f t="shared" si="26"/>
        <v>0</v>
      </c>
      <c r="BW24" s="2061">
        <f t="shared" si="40"/>
        <v>165039.98800000001</v>
      </c>
      <c r="BX24" s="2892">
        <f t="shared" si="12"/>
        <v>2.2211658197998072E-2</v>
      </c>
      <c r="BY24" s="1449"/>
      <c r="BZ24" s="2897"/>
      <c r="CA24" s="920"/>
    </row>
    <row r="25" spans="1:79" s="1411" customFormat="1" ht="51.6" customHeight="1" x14ac:dyDescent="0.25">
      <c r="A25" s="1587"/>
      <c r="B25" s="2894" t="s">
        <v>24</v>
      </c>
      <c r="C25" s="2898">
        <v>275446.44999999995</v>
      </c>
      <c r="D25" s="2895"/>
      <c r="E25" s="2028">
        <f t="shared" si="13"/>
        <v>275446.44999999995</v>
      </c>
      <c r="F25" s="1992">
        <f t="shared" si="41"/>
        <v>5.3701201712371693E-2</v>
      </c>
      <c r="G25" s="2059">
        <f>96859.88</f>
        <v>96859.88</v>
      </c>
      <c r="H25" s="2059">
        <v>5639</v>
      </c>
      <c r="I25" s="2061">
        <f t="shared" si="27"/>
        <v>102498.88</v>
      </c>
      <c r="J25" s="2892">
        <v>1.6254305875910348E-2</v>
      </c>
      <c r="K25" s="1992"/>
      <c r="L25" s="2067">
        <v>16501.166399999998</v>
      </c>
      <c r="M25" s="2059">
        <v>1012.32</v>
      </c>
      <c r="N25" s="2061">
        <f t="shared" si="28"/>
        <v>17513.486399999998</v>
      </c>
      <c r="O25" s="2892">
        <f t="shared" si="14"/>
        <v>4.7175216111981491E-3</v>
      </c>
      <c r="P25" s="2062"/>
      <c r="Q25" s="2631"/>
      <c r="R25" s="2067"/>
      <c r="S25" s="2059"/>
      <c r="T25" s="2061">
        <f t="shared" si="29"/>
        <v>0</v>
      </c>
      <c r="U25" s="2892">
        <f t="shared" si="15"/>
        <v>0</v>
      </c>
      <c r="V25" s="2062"/>
      <c r="W25" s="2067"/>
      <c r="X25" s="2059"/>
      <c r="Y25" s="2061">
        <f t="shared" si="30"/>
        <v>0</v>
      </c>
      <c r="Z25" s="2892">
        <f t="shared" si="11"/>
        <v>0</v>
      </c>
      <c r="AA25" s="2062"/>
      <c r="AB25" s="2067">
        <f>511.08*1.2</f>
        <v>613.29599999999994</v>
      </c>
      <c r="AC25" s="2059"/>
      <c r="AD25" s="2061">
        <f t="shared" si="31"/>
        <v>613.29599999999994</v>
      </c>
      <c r="AE25" s="2892">
        <f t="shared" si="16"/>
        <v>6.9231760643672889E-3</v>
      </c>
      <c r="AF25" s="2062"/>
      <c r="AG25" s="2067"/>
      <c r="AH25" s="2059"/>
      <c r="AI25" s="2061">
        <f t="shared" si="32"/>
        <v>0</v>
      </c>
      <c r="AJ25" s="2892">
        <f t="shared" si="17"/>
        <v>0</v>
      </c>
      <c r="AK25" s="2062"/>
      <c r="AL25" s="2067">
        <f>121.5*1.2</f>
        <v>145.79999999999998</v>
      </c>
      <c r="AM25" s="2059"/>
      <c r="AN25" s="2061">
        <f t="shared" si="33"/>
        <v>145.79999999999998</v>
      </c>
      <c r="AO25" s="2892">
        <f t="shared" si="18"/>
        <v>1.3907760045384551E-3</v>
      </c>
      <c r="AP25" s="2062"/>
      <c r="AQ25" s="2067"/>
      <c r="AR25" s="2059"/>
      <c r="AS25" s="2061">
        <f t="shared" si="34"/>
        <v>0</v>
      </c>
      <c r="AT25" s="2892">
        <f t="shared" si="19"/>
        <v>0</v>
      </c>
      <c r="AU25" s="2062"/>
      <c r="AV25" s="2067">
        <f>49.6*1.2</f>
        <v>59.519999999999996</v>
      </c>
      <c r="AW25" s="2059"/>
      <c r="AX25" s="2061">
        <f t="shared" si="35"/>
        <v>59.519999999999996</v>
      </c>
      <c r="AY25" s="2892">
        <f t="shared" si="20"/>
        <v>2.1742841594954887E-3</v>
      </c>
      <c r="AZ25" s="2062"/>
      <c r="BA25" s="2067"/>
      <c r="BB25" s="2059"/>
      <c r="BC25" s="2061">
        <f t="shared" si="36"/>
        <v>0</v>
      </c>
      <c r="BD25" s="2892" t="e">
        <f t="shared" si="21"/>
        <v>#DIV/0!</v>
      </c>
      <c r="BE25" s="2062"/>
      <c r="BF25" s="2067"/>
      <c r="BG25" s="2059"/>
      <c r="BH25" s="2061">
        <f t="shared" si="37"/>
        <v>0</v>
      </c>
      <c r="BI25" s="2155">
        <f t="shared" si="22"/>
        <v>0</v>
      </c>
      <c r="BJ25" s="2062"/>
      <c r="BK25" s="2067"/>
      <c r="BL25" s="2059"/>
      <c r="BM25" s="2061">
        <f t="shared" si="38"/>
        <v>0</v>
      </c>
      <c r="BN25" s="2155">
        <f t="shared" si="23"/>
        <v>0</v>
      </c>
      <c r="BO25" s="2062"/>
      <c r="BP25" s="2067"/>
      <c r="BQ25" s="2059"/>
      <c r="BR25" s="2061">
        <f t="shared" si="39"/>
        <v>0</v>
      </c>
      <c r="BS25" s="2155">
        <f t="shared" si="24"/>
        <v>0</v>
      </c>
      <c r="BT25" s="2062"/>
      <c r="BU25" s="2059">
        <f t="shared" si="25"/>
        <v>114179.66240000002</v>
      </c>
      <c r="BV25" s="2059">
        <f t="shared" si="26"/>
        <v>6651.32</v>
      </c>
      <c r="BW25" s="2061">
        <f t="shared" si="40"/>
        <v>120830.98240000001</v>
      </c>
      <c r="BX25" s="2892">
        <f t="shared" si="12"/>
        <v>1.6261855767931349E-2</v>
      </c>
      <c r="BY25" s="1449"/>
      <c r="BZ25" s="2897"/>
      <c r="CA25" s="920"/>
    </row>
    <row r="26" spans="1:79" s="1411" customFormat="1" ht="51.6" customHeight="1" x14ac:dyDescent="0.25">
      <c r="A26" s="1587"/>
      <c r="B26" s="2894" t="s">
        <v>45</v>
      </c>
      <c r="C26" s="2898">
        <v>2026892.63</v>
      </c>
      <c r="D26" s="2895"/>
      <c r="E26" s="2028">
        <f t="shared" si="13"/>
        <v>2026892.63</v>
      </c>
      <c r="F26" s="1992">
        <f t="shared" si="41"/>
        <v>0.39516417791171238</v>
      </c>
      <c r="G26" s="2059">
        <v>1177833.2879999999</v>
      </c>
      <c r="H26" s="2059">
        <v>0</v>
      </c>
      <c r="I26" s="2061">
        <f t="shared" si="27"/>
        <v>1177833.2879999999</v>
      </c>
      <c r="J26" s="2892">
        <v>0.36467182793197123</v>
      </c>
      <c r="K26" s="1992"/>
      <c r="L26" s="2067">
        <v>1960608.3359999997</v>
      </c>
      <c r="M26" s="2059">
        <v>0</v>
      </c>
      <c r="N26" s="2061">
        <f t="shared" si="28"/>
        <v>1960608.3359999997</v>
      </c>
      <c r="O26" s="2892">
        <f t="shared" si="14"/>
        <v>0.52811941522821182</v>
      </c>
      <c r="P26" s="2062"/>
      <c r="Q26" s="2631"/>
      <c r="R26" s="2067"/>
      <c r="S26" s="2059"/>
      <c r="T26" s="2061">
        <f t="shared" si="29"/>
        <v>0</v>
      </c>
      <c r="U26" s="2892">
        <f t="shared" si="15"/>
        <v>0</v>
      </c>
      <c r="V26" s="2062"/>
      <c r="W26" s="2067">
        <f>74224.77*1.2</f>
        <v>89069.724000000002</v>
      </c>
      <c r="X26" s="2059"/>
      <c r="Y26" s="2061">
        <f t="shared" si="30"/>
        <v>89069.724000000002</v>
      </c>
      <c r="Z26" s="2892">
        <f t="shared" si="11"/>
        <v>0.65469758324797689</v>
      </c>
      <c r="AA26" s="2062" t="s">
        <v>1593</v>
      </c>
      <c r="AB26" s="2067">
        <f>45592.98*1.2+3398.5*1.2</f>
        <v>58789.775999999998</v>
      </c>
      <c r="AC26" s="2059"/>
      <c r="AD26" s="2061">
        <f t="shared" si="31"/>
        <v>58789.775999999998</v>
      </c>
      <c r="AE26" s="2892">
        <f t="shared" si="16"/>
        <v>0.66364686877578616</v>
      </c>
      <c r="AF26" s="2062" t="s">
        <v>1617</v>
      </c>
      <c r="AG26" s="2067"/>
      <c r="AH26" s="2059"/>
      <c r="AI26" s="2061">
        <f t="shared" si="32"/>
        <v>0</v>
      </c>
      <c r="AJ26" s="2892">
        <f t="shared" si="17"/>
        <v>0</v>
      </c>
      <c r="AK26" s="2062"/>
      <c r="AL26" s="2067">
        <f>31585.77*1.2+4320</f>
        <v>42222.923999999999</v>
      </c>
      <c r="AM26" s="2059"/>
      <c r="AN26" s="2061">
        <f t="shared" si="33"/>
        <v>42222.923999999999</v>
      </c>
      <c r="AO26" s="2892">
        <f t="shared" si="18"/>
        <v>0.40276151948320199</v>
      </c>
      <c r="AP26" s="2062" t="s">
        <v>1688</v>
      </c>
      <c r="AQ26" s="2067"/>
      <c r="AR26" s="2059"/>
      <c r="AS26" s="2061">
        <f t="shared" si="34"/>
        <v>0</v>
      </c>
      <c r="AT26" s="2892">
        <f t="shared" si="19"/>
        <v>0</v>
      </c>
      <c r="AU26" s="2064"/>
      <c r="AV26" s="2067">
        <f>1817.21*1.2</f>
        <v>2180.652</v>
      </c>
      <c r="AW26" s="2059"/>
      <c r="AX26" s="2061">
        <f t="shared" si="35"/>
        <v>2180.652</v>
      </c>
      <c r="AY26" s="2892">
        <f t="shared" si="20"/>
        <v>7.9659897529774135E-2</v>
      </c>
      <c r="AZ26" s="2064"/>
      <c r="BA26" s="2067"/>
      <c r="BB26" s="2059"/>
      <c r="BC26" s="2061">
        <f t="shared" si="36"/>
        <v>0</v>
      </c>
      <c r="BD26" s="2892" t="e">
        <f t="shared" si="21"/>
        <v>#DIV/0!</v>
      </c>
      <c r="BE26" s="2064"/>
      <c r="BF26" s="2067">
        <f>398*1.2</f>
        <v>477.59999999999997</v>
      </c>
      <c r="BG26" s="2059"/>
      <c r="BH26" s="2061">
        <f t="shared" si="37"/>
        <v>477.59999999999997</v>
      </c>
      <c r="BI26" s="2155">
        <f t="shared" si="22"/>
        <v>1</v>
      </c>
      <c r="BJ26" s="3084" t="s">
        <v>2041</v>
      </c>
      <c r="BK26" s="2067"/>
      <c r="BL26" s="2059"/>
      <c r="BM26" s="2061">
        <f t="shared" si="38"/>
        <v>0</v>
      </c>
      <c r="BN26" s="2155">
        <f t="shared" si="23"/>
        <v>0</v>
      </c>
      <c r="BO26" s="3084"/>
      <c r="BP26" s="2067"/>
      <c r="BQ26" s="2059"/>
      <c r="BR26" s="2061">
        <f t="shared" si="39"/>
        <v>0</v>
      </c>
      <c r="BS26" s="2155">
        <f t="shared" si="24"/>
        <v>0</v>
      </c>
      <c r="BT26" s="3084"/>
      <c r="BU26" s="2059">
        <f t="shared" si="25"/>
        <v>3331182.3</v>
      </c>
      <c r="BV26" s="2059">
        <f t="shared" si="26"/>
        <v>0</v>
      </c>
      <c r="BW26" s="2061">
        <f t="shared" si="40"/>
        <v>3331182.3</v>
      </c>
      <c r="BX26" s="2892">
        <f t="shared" si="12"/>
        <v>0.44832215234298894</v>
      </c>
      <c r="BY26" s="1449"/>
      <c r="BZ26" s="2899">
        <v>-3464727.59</v>
      </c>
      <c r="CA26" s="920">
        <f>BZ26+BW26</f>
        <v>-133545.29000000004</v>
      </c>
    </row>
    <row r="27" spans="1:79" s="1411" customFormat="1" ht="51.6" customHeight="1" x14ac:dyDescent="0.25">
      <c r="A27" s="1587"/>
      <c r="B27" s="2894" t="s">
        <v>25</v>
      </c>
      <c r="C27" s="2898"/>
      <c r="D27" s="2895"/>
      <c r="E27" s="2028">
        <f t="shared" si="13"/>
        <v>0</v>
      </c>
      <c r="F27" s="1992">
        <f t="shared" si="41"/>
        <v>0</v>
      </c>
      <c r="G27" s="2059">
        <v>0</v>
      </c>
      <c r="H27" s="2059">
        <v>416</v>
      </c>
      <c r="I27" s="2061">
        <f t="shared" si="27"/>
        <v>416</v>
      </c>
      <c r="J27" s="2892">
        <v>1.2879877140957493E-4</v>
      </c>
      <c r="K27" s="1992"/>
      <c r="L27" s="2067">
        <v>0</v>
      </c>
      <c r="M27" s="2059">
        <v>2061</v>
      </c>
      <c r="N27" s="2061">
        <f t="shared" si="28"/>
        <v>2061</v>
      </c>
      <c r="O27" s="2892">
        <f t="shared" si="14"/>
        <v>5.5516142352326754E-4</v>
      </c>
      <c r="P27" s="2062"/>
      <c r="Q27" s="2631"/>
      <c r="R27" s="2067"/>
      <c r="S27" s="2059"/>
      <c r="T27" s="2061">
        <f t="shared" si="29"/>
        <v>0</v>
      </c>
      <c r="U27" s="2892">
        <f t="shared" si="15"/>
        <v>0</v>
      </c>
      <c r="V27" s="2062"/>
      <c r="W27" s="2067"/>
      <c r="X27" s="2059"/>
      <c r="Y27" s="2061">
        <f t="shared" si="30"/>
        <v>0</v>
      </c>
      <c r="Z27" s="2892">
        <f t="shared" si="11"/>
        <v>0</v>
      </c>
      <c r="AA27" s="2062"/>
      <c r="AB27" s="2067"/>
      <c r="AC27" s="2059"/>
      <c r="AD27" s="2061">
        <f t="shared" si="31"/>
        <v>0</v>
      </c>
      <c r="AE27" s="2892">
        <f t="shared" si="16"/>
        <v>0</v>
      </c>
      <c r="AF27" s="2062"/>
      <c r="AG27" s="2067"/>
      <c r="AH27" s="2059"/>
      <c r="AI27" s="2061">
        <f t="shared" si="32"/>
        <v>0</v>
      </c>
      <c r="AJ27" s="2892">
        <f t="shared" si="17"/>
        <v>0</v>
      </c>
      <c r="AK27" s="2062"/>
      <c r="AL27" s="2067"/>
      <c r="AM27" s="2059"/>
      <c r="AN27" s="2061">
        <f t="shared" si="33"/>
        <v>0</v>
      </c>
      <c r="AO27" s="2892">
        <f t="shared" si="18"/>
        <v>0</v>
      </c>
      <c r="AP27" s="2062"/>
      <c r="AQ27" s="2067"/>
      <c r="AR27" s="2059"/>
      <c r="AS27" s="2061">
        <f t="shared" si="34"/>
        <v>0</v>
      </c>
      <c r="AT27" s="2892">
        <f t="shared" si="19"/>
        <v>0</v>
      </c>
      <c r="AU27" s="2062"/>
      <c r="AV27" s="2067"/>
      <c r="AW27" s="2059"/>
      <c r="AX27" s="2061">
        <f t="shared" si="35"/>
        <v>0</v>
      </c>
      <c r="AY27" s="2892">
        <f t="shared" si="20"/>
        <v>0</v>
      </c>
      <c r="AZ27" s="2062"/>
      <c r="BA27" s="2067"/>
      <c r="BB27" s="2059"/>
      <c r="BC27" s="2061">
        <f t="shared" si="36"/>
        <v>0</v>
      </c>
      <c r="BD27" s="2892" t="e">
        <f t="shared" si="21"/>
        <v>#DIV/0!</v>
      </c>
      <c r="BE27" s="2062"/>
      <c r="BF27" s="2067"/>
      <c r="BG27" s="2059"/>
      <c r="BH27" s="2061">
        <f t="shared" si="37"/>
        <v>0</v>
      </c>
      <c r="BI27" s="2155">
        <f t="shared" si="22"/>
        <v>0</v>
      </c>
      <c r="BJ27" s="2062"/>
      <c r="BK27" s="2067"/>
      <c r="BL27" s="2059"/>
      <c r="BM27" s="2061">
        <f t="shared" si="38"/>
        <v>0</v>
      </c>
      <c r="BN27" s="2155">
        <f t="shared" si="23"/>
        <v>0</v>
      </c>
      <c r="BO27" s="2062"/>
      <c r="BP27" s="2067"/>
      <c r="BQ27" s="2059"/>
      <c r="BR27" s="2061">
        <f t="shared" si="39"/>
        <v>0</v>
      </c>
      <c r="BS27" s="2155">
        <f t="shared" si="24"/>
        <v>0</v>
      </c>
      <c r="BT27" s="2062"/>
      <c r="BU27" s="2059">
        <f t="shared" si="25"/>
        <v>0</v>
      </c>
      <c r="BV27" s="2059">
        <f t="shared" si="26"/>
        <v>2477</v>
      </c>
      <c r="BW27" s="2061">
        <f t="shared" si="40"/>
        <v>2477</v>
      </c>
      <c r="BX27" s="2892">
        <f t="shared" si="12"/>
        <v>3.3336331408628811E-4</v>
      </c>
      <c r="BY27" s="1449"/>
    </row>
    <row r="28" spans="1:79" s="1579" customFormat="1" ht="51.6" customHeight="1" x14ac:dyDescent="0.25">
      <c r="A28" s="1587"/>
      <c r="B28" s="2900" t="s">
        <v>52</v>
      </c>
      <c r="C28" s="2898">
        <v>144368.79251899998</v>
      </c>
      <c r="D28" s="2895"/>
      <c r="E28" s="2028">
        <f t="shared" si="13"/>
        <v>144368.79251899998</v>
      </c>
      <c r="F28" s="1992">
        <f t="shared" si="41"/>
        <v>2.8146224603854422E-2</v>
      </c>
      <c r="G28" s="2059">
        <v>0</v>
      </c>
      <c r="H28" s="2059">
        <v>1760</v>
      </c>
      <c r="I28" s="2061">
        <f t="shared" si="27"/>
        <v>1760</v>
      </c>
      <c r="J28" s="2892">
        <v>5.4491787904050934E-4</v>
      </c>
      <c r="K28" s="1992"/>
      <c r="L28" s="2067">
        <v>4539.41</v>
      </c>
      <c r="M28" s="2059">
        <v>2837</v>
      </c>
      <c r="N28" s="2061">
        <f t="shared" si="28"/>
        <v>7376.41</v>
      </c>
      <c r="O28" s="2892">
        <f t="shared" si="14"/>
        <v>1.9869472470117741E-3</v>
      </c>
      <c r="P28" s="2062"/>
      <c r="Q28" s="2631"/>
      <c r="R28" s="2067"/>
      <c r="S28" s="2059"/>
      <c r="T28" s="2061">
        <f t="shared" si="29"/>
        <v>0</v>
      </c>
      <c r="U28" s="2892">
        <f t="shared" si="15"/>
        <v>0</v>
      </c>
      <c r="V28" s="2062"/>
      <c r="W28" s="2067"/>
      <c r="X28" s="2059">
        <v>1500</v>
      </c>
      <c r="Y28" s="2061">
        <f t="shared" si="30"/>
        <v>1500</v>
      </c>
      <c r="Z28" s="2892">
        <f t="shared" si="11"/>
        <v>1.1025591309477566E-2</v>
      </c>
      <c r="AA28" s="2062" t="s">
        <v>1594</v>
      </c>
      <c r="AB28" s="2067"/>
      <c r="AC28" s="2059"/>
      <c r="AD28" s="2061">
        <f t="shared" si="31"/>
        <v>0</v>
      </c>
      <c r="AE28" s="2892">
        <f t="shared" si="16"/>
        <v>0</v>
      </c>
      <c r="AF28" s="2062"/>
      <c r="AG28" s="2067"/>
      <c r="AH28" s="2059"/>
      <c r="AI28" s="2061">
        <f t="shared" si="32"/>
        <v>0</v>
      </c>
      <c r="AJ28" s="2892">
        <f t="shared" si="17"/>
        <v>0</v>
      </c>
      <c r="AK28" s="2062"/>
      <c r="AL28" s="2067"/>
      <c r="AM28" s="2059"/>
      <c r="AN28" s="2061">
        <f t="shared" si="33"/>
        <v>0</v>
      </c>
      <c r="AO28" s="2892">
        <f t="shared" si="18"/>
        <v>0</v>
      </c>
      <c r="AP28" s="2062"/>
      <c r="AQ28" s="2067"/>
      <c r="AR28" s="2059"/>
      <c r="AS28" s="2061">
        <f t="shared" si="34"/>
        <v>0</v>
      </c>
      <c r="AT28" s="2892">
        <f t="shared" si="19"/>
        <v>0</v>
      </c>
      <c r="AU28" s="2062"/>
      <c r="AV28" s="2067"/>
      <c r="AW28" s="2059"/>
      <c r="AX28" s="2061">
        <f t="shared" si="35"/>
        <v>0</v>
      </c>
      <c r="AY28" s="2892">
        <f t="shared" si="20"/>
        <v>0</v>
      </c>
      <c r="AZ28" s="2062"/>
      <c r="BA28" s="2067"/>
      <c r="BB28" s="2059"/>
      <c r="BC28" s="2061">
        <f t="shared" si="36"/>
        <v>0</v>
      </c>
      <c r="BD28" s="2892" t="e">
        <f t="shared" si="21"/>
        <v>#DIV/0!</v>
      </c>
      <c r="BE28" s="2062"/>
      <c r="BF28" s="2067"/>
      <c r="BG28" s="2059"/>
      <c r="BH28" s="2061">
        <f t="shared" si="37"/>
        <v>0</v>
      </c>
      <c r="BI28" s="2155">
        <f t="shared" si="22"/>
        <v>0</v>
      </c>
      <c r="BJ28" s="2062"/>
      <c r="BK28" s="2067"/>
      <c r="BL28" s="2059"/>
      <c r="BM28" s="2061">
        <f t="shared" si="38"/>
        <v>0</v>
      </c>
      <c r="BN28" s="2155">
        <f t="shared" si="23"/>
        <v>0</v>
      </c>
      <c r="BO28" s="2062"/>
      <c r="BP28" s="2067"/>
      <c r="BQ28" s="2059"/>
      <c r="BR28" s="2061">
        <f t="shared" si="39"/>
        <v>0</v>
      </c>
      <c r="BS28" s="2155">
        <f t="shared" si="24"/>
        <v>0</v>
      </c>
      <c r="BT28" s="2062"/>
      <c r="BU28" s="2059">
        <f t="shared" si="25"/>
        <v>4539.41</v>
      </c>
      <c r="BV28" s="2059">
        <f t="shared" si="26"/>
        <v>6097</v>
      </c>
      <c r="BW28" s="2061">
        <f t="shared" si="40"/>
        <v>10636.41</v>
      </c>
      <c r="BX28" s="2892">
        <f t="shared" si="12"/>
        <v>1.4314852190474509E-3</v>
      </c>
      <c r="BY28" s="1449"/>
    </row>
    <row r="29" spans="1:79" s="1411" customFormat="1" ht="51.6" customHeight="1" x14ac:dyDescent="0.25">
      <c r="A29" s="1587"/>
      <c r="B29" s="2894" t="s">
        <v>31</v>
      </c>
      <c r="C29" s="2898">
        <v>15600</v>
      </c>
      <c r="D29" s="2895">
        <f>35200+98000</f>
        <v>133200</v>
      </c>
      <c r="E29" s="2028">
        <f t="shared" si="13"/>
        <v>148800</v>
      </c>
      <c r="F29" s="2892">
        <f t="shared" si="41"/>
        <v>2.9010135417613513E-2</v>
      </c>
      <c r="G29" s="2059">
        <v>31790</v>
      </c>
      <c r="H29" s="2059">
        <v>41540</v>
      </c>
      <c r="I29" s="2061">
        <f t="shared" si="27"/>
        <v>73330</v>
      </c>
      <c r="J29" s="2892">
        <v>2.270387958525031E-2</v>
      </c>
      <c r="K29" s="1992"/>
      <c r="L29" s="2067">
        <v>17302</v>
      </c>
      <c r="M29" s="2059">
        <v>39180</v>
      </c>
      <c r="N29" s="2061">
        <f t="shared" si="28"/>
        <v>56482</v>
      </c>
      <c r="O29" s="2892">
        <f t="shared" si="14"/>
        <v>1.5214278274352837E-2</v>
      </c>
      <c r="P29" s="2062"/>
      <c r="Q29" s="2631"/>
      <c r="R29" s="2067"/>
      <c r="S29" s="2059"/>
      <c r="T29" s="2061">
        <f t="shared" si="29"/>
        <v>0</v>
      </c>
      <c r="U29" s="2892">
        <f t="shared" si="15"/>
        <v>0</v>
      </c>
      <c r="V29" s="2062"/>
      <c r="W29" s="2067"/>
      <c r="X29" s="2059"/>
      <c r="Y29" s="2061">
        <f t="shared" si="30"/>
        <v>0</v>
      </c>
      <c r="Z29" s="2892">
        <f t="shared" si="11"/>
        <v>0</v>
      </c>
      <c r="AA29" s="2062"/>
      <c r="AB29" s="2067"/>
      <c r="AC29" s="2059"/>
      <c r="AD29" s="2061">
        <f t="shared" si="31"/>
        <v>0</v>
      </c>
      <c r="AE29" s="2892">
        <f t="shared" si="16"/>
        <v>0</v>
      </c>
      <c r="AF29" s="2062"/>
      <c r="AG29" s="2067"/>
      <c r="AH29" s="2059"/>
      <c r="AI29" s="2061">
        <f t="shared" si="32"/>
        <v>0</v>
      </c>
      <c r="AJ29" s="2892">
        <f t="shared" si="17"/>
        <v>0</v>
      </c>
      <c r="AK29" s="2062"/>
      <c r="AL29" s="2067"/>
      <c r="AM29" s="2059"/>
      <c r="AN29" s="2061">
        <f t="shared" si="33"/>
        <v>0</v>
      </c>
      <c r="AO29" s="2892">
        <f t="shared" si="18"/>
        <v>0</v>
      </c>
      <c r="AP29" s="2062"/>
      <c r="AQ29" s="2067"/>
      <c r="AR29" s="2059"/>
      <c r="AS29" s="2061">
        <f t="shared" si="34"/>
        <v>0</v>
      </c>
      <c r="AT29" s="2892">
        <f t="shared" si="19"/>
        <v>0</v>
      </c>
      <c r="AU29" s="2062"/>
      <c r="AV29" s="2067"/>
      <c r="AW29" s="2059"/>
      <c r="AX29" s="2061">
        <f t="shared" si="35"/>
        <v>0</v>
      </c>
      <c r="AY29" s="2892">
        <f t="shared" si="20"/>
        <v>0</v>
      </c>
      <c r="AZ29" s="2062"/>
      <c r="BA29" s="2067"/>
      <c r="BB29" s="2059"/>
      <c r="BC29" s="2061">
        <f t="shared" si="36"/>
        <v>0</v>
      </c>
      <c r="BD29" s="2892" t="e">
        <f t="shared" si="21"/>
        <v>#DIV/0!</v>
      </c>
      <c r="BE29" s="2062"/>
      <c r="BF29" s="2067"/>
      <c r="BG29" s="2059"/>
      <c r="BH29" s="2061">
        <f t="shared" si="37"/>
        <v>0</v>
      </c>
      <c r="BI29" s="2155">
        <f t="shared" si="22"/>
        <v>0</v>
      </c>
      <c r="BJ29" s="2062"/>
      <c r="BK29" s="2067"/>
      <c r="BL29" s="2059"/>
      <c r="BM29" s="2061">
        <f t="shared" si="38"/>
        <v>0</v>
      </c>
      <c r="BN29" s="2155">
        <f t="shared" si="23"/>
        <v>0</v>
      </c>
      <c r="BO29" s="2062"/>
      <c r="BP29" s="2067"/>
      <c r="BQ29" s="2059"/>
      <c r="BR29" s="2061">
        <f t="shared" si="39"/>
        <v>0</v>
      </c>
      <c r="BS29" s="2155">
        <f t="shared" si="24"/>
        <v>0</v>
      </c>
      <c r="BT29" s="2062"/>
      <c r="BU29" s="2059">
        <f t="shared" si="25"/>
        <v>49092</v>
      </c>
      <c r="BV29" s="2059">
        <f t="shared" si="26"/>
        <v>80720</v>
      </c>
      <c r="BW29" s="2061">
        <f t="shared" si="40"/>
        <v>129812</v>
      </c>
      <c r="BX29" s="2892">
        <f t="shared" si="12"/>
        <v>1.7470552494214465E-2</v>
      </c>
      <c r="BY29" s="2901"/>
    </row>
    <row r="30" spans="1:79" s="1411" customFormat="1" ht="51.6" customHeight="1" x14ac:dyDescent="0.25">
      <c r="A30" s="1587"/>
      <c r="B30" s="2894" t="s">
        <v>62</v>
      </c>
      <c r="C30" s="2898"/>
      <c r="D30" s="2895">
        <v>110650</v>
      </c>
      <c r="E30" s="2028">
        <f t="shared" si="13"/>
        <v>110650</v>
      </c>
      <c r="F30" s="2892">
        <f t="shared" si="41"/>
        <v>2.1572389005100372E-2</v>
      </c>
      <c r="G30" s="2059">
        <v>0</v>
      </c>
      <c r="H30" s="2059">
        <v>154660</v>
      </c>
      <c r="I30" s="2061">
        <f t="shared" si="27"/>
        <v>154660</v>
      </c>
      <c r="J30" s="2892">
        <v>4.7884658620684757E-2</v>
      </c>
      <c r="K30" s="1992"/>
      <c r="L30" s="2067">
        <v>0</v>
      </c>
      <c r="M30" s="2059">
        <v>129367.55</v>
      </c>
      <c r="N30" s="2061">
        <f t="shared" si="28"/>
        <v>129367.55</v>
      </c>
      <c r="O30" s="2892">
        <f t="shared" si="14"/>
        <v>3.4847100056146288E-2</v>
      </c>
      <c r="P30" s="2062"/>
      <c r="Q30" s="2631"/>
      <c r="R30" s="2067"/>
      <c r="S30" s="2059">
        <v>5000</v>
      </c>
      <c r="T30" s="2061">
        <f t="shared" si="29"/>
        <v>5000</v>
      </c>
      <c r="U30" s="2892">
        <f t="shared" si="15"/>
        <v>0.79336051377489003</v>
      </c>
      <c r="V30" s="2062" t="s">
        <v>1568</v>
      </c>
      <c r="W30" s="2067"/>
      <c r="X30" s="2059"/>
      <c r="Y30" s="2061">
        <f t="shared" si="30"/>
        <v>0</v>
      </c>
      <c r="Z30" s="2892">
        <f t="shared" si="11"/>
        <v>0</v>
      </c>
      <c r="AA30" s="2062"/>
      <c r="AB30" s="2067"/>
      <c r="AC30" s="2059"/>
      <c r="AD30" s="2061">
        <f t="shared" si="31"/>
        <v>0</v>
      </c>
      <c r="AE30" s="2892">
        <f t="shared" si="16"/>
        <v>0</v>
      </c>
      <c r="AF30" s="2062"/>
      <c r="AG30" s="2067"/>
      <c r="AH30" s="2059"/>
      <c r="AI30" s="2061">
        <f t="shared" si="32"/>
        <v>0</v>
      </c>
      <c r="AJ30" s="2892">
        <f t="shared" si="17"/>
        <v>0</v>
      </c>
      <c r="AK30" s="2062"/>
      <c r="AL30" s="2067"/>
      <c r="AM30" s="2059"/>
      <c r="AN30" s="2061">
        <f t="shared" si="33"/>
        <v>0</v>
      </c>
      <c r="AO30" s="2892">
        <f t="shared" si="18"/>
        <v>0</v>
      </c>
      <c r="AP30" s="2062"/>
      <c r="AQ30" s="2067"/>
      <c r="AR30" s="2059"/>
      <c r="AS30" s="2061">
        <f t="shared" si="34"/>
        <v>0</v>
      </c>
      <c r="AT30" s="2892">
        <f t="shared" si="19"/>
        <v>0</v>
      </c>
      <c r="AU30" s="2062"/>
      <c r="AV30" s="2067"/>
      <c r="AW30" s="2059"/>
      <c r="AX30" s="2061">
        <f t="shared" si="35"/>
        <v>0</v>
      </c>
      <c r="AY30" s="2892">
        <f t="shared" si="20"/>
        <v>0</v>
      </c>
      <c r="AZ30" s="2062"/>
      <c r="BA30" s="2067"/>
      <c r="BB30" s="2059"/>
      <c r="BC30" s="2061">
        <f t="shared" si="36"/>
        <v>0</v>
      </c>
      <c r="BD30" s="2892" t="e">
        <f t="shared" si="21"/>
        <v>#DIV/0!</v>
      </c>
      <c r="BE30" s="2062"/>
      <c r="BF30" s="2067"/>
      <c r="BG30" s="2059"/>
      <c r="BH30" s="2061">
        <f t="shared" si="37"/>
        <v>0</v>
      </c>
      <c r="BI30" s="2155">
        <f t="shared" si="22"/>
        <v>0</v>
      </c>
      <c r="BJ30" s="2062"/>
      <c r="BK30" s="2067"/>
      <c r="BL30" s="2059"/>
      <c r="BM30" s="2061">
        <f t="shared" si="38"/>
        <v>0</v>
      </c>
      <c r="BN30" s="2155">
        <f t="shared" si="23"/>
        <v>0</v>
      </c>
      <c r="BO30" s="2062"/>
      <c r="BP30" s="2067"/>
      <c r="BQ30" s="2059"/>
      <c r="BR30" s="2061">
        <f t="shared" si="39"/>
        <v>0</v>
      </c>
      <c r="BS30" s="2155">
        <f t="shared" si="24"/>
        <v>0</v>
      </c>
      <c r="BT30" s="2062"/>
      <c r="BU30" s="2059">
        <f t="shared" si="25"/>
        <v>0</v>
      </c>
      <c r="BV30" s="2059">
        <f t="shared" si="26"/>
        <v>289027.55</v>
      </c>
      <c r="BW30" s="2061">
        <f t="shared" si="40"/>
        <v>289027.55</v>
      </c>
      <c r="BX30" s="2892">
        <f t="shared" si="12"/>
        <v>3.8898337476883461E-2</v>
      </c>
      <c r="BY30" s="2901"/>
    </row>
    <row r="31" spans="1:79" s="1411" customFormat="1" ht="51.6" customHeight="1" x14ac:dyDescent="0.25">
      <c r="A31" s="1587"/>
      <c r="B31" s="2894" t="s">
        <v>34</v>
      </c>
      <c r="C31" s="2898"/>
      <c r="D31" s="2902"/>
      <c r="E31" s="2028">
        <f t="shared" si="13"/>
        <v>0</v>
      </c>
      <c r="F31" s="2892">
        <f t="shared" si="41"/>
        <v>0</v>
      </c>
      <c r="G31" s="2059">
        <v>18645.919999999998</v>
      </c>
      <c r="H31" s="2059">
        <v>25540</v>
      </c>
      <c r="I31" s="2061">
        <f t="shared" si="27"/>
        <v>44185.919999999998</v>
      </c>
      <c r="J31" s="2892">
        <v>1.3680510119235011E-2</v>
      </c>
      <c r="K31" s="1992"/>
      <c r="L31" s="2067">
        <v>13144.970000000001</v>
      </c>
      <c r="M31" s="2059">
        <v>13450.02</v>
      </c>
      <c r="N31" s="2061">
        <f t="shared" si="28"/>
        <v>26594.99</v>
      </c>
      <c r="O31" s="2892">
        <f t="shared" si="14"/>
        <v>7.1637615269224001E-3</v>
      </c>
      <c r="P31" s="2062"/>
      <c r="Q31" s="2631"/>
      <c r="R31" s="2067"/>
      <c r="S31" s="2059"/>
      <c r="T31" s="2061">
        <f t="shared" si="29"/>
        <v>0</v>
      </c>
      <c r="U31" s="2892">
        <f t="shared" si="15"/>
        <v>0</v>
      </c>
      <c r="V31" s="2062"/>
      <c r="W31" s="2067"/>
      <c r="X31" s="2059"/>
      <c r="Y31" s="2061">
        <f t="shared" si="30"/>
        <v>0</v>
      </c>
      <c r="Z31" s="2892">
        <f t="shared" si="11"/>
        <v>0</v>
      </c>
      <c r="AA31" s="2062"/>
      <c r="AB31" s="2067"/>
      <c r="AC31" s="2059"/>
      <c r="AD31" s="2061">
        <f t="shared" si="31"/>
        <v>0</v>
      </c>
      <c r="AE31" s="2892">
        <f t="shared" si="16"/>
        <v>0</v>
      </c>
      <c r="AF31" s="2062"/>
      <c r="AG31" s="2067"/>
      <c r="AH31" s="2059"/>
      <c r="AI31" s="2061">
        <f t="shared" si="32"/>
        <v>0</v>
      </c>
      <c r="AJ31" s="2892">
        <f t="shared" si="17"/>
        <v>0</v>
      </c>
      <c r="AK31" s="2062"/>
      <c r="AL31" s="2067"/>
      <c r="AM31" s="2059"/>
      <c r="AN31" s="2061">
        <f t="shared" si="33"/>
        <v>0</v>
      </c>
      <c r="AO31" s="2892">
        <f t="shared" si="18"/>
        <v>0</v>
      </c>
      <c r="AP31" s="2062"/>
      <c r="AQ31" s="2067"/>
      <c r="AR31" s="2059"/>
      <c r="AS31" s="2061">
        <f t="shared" si="34"/>
        <v>0</v>
      </c>
      <c r="AT31" s="2892">
        <f t="shared" si="19"/>
        <v>0</v>
      </c>
      <c r="AU31" s="2062"/>
      <c r="AV31" s="2067"/>
      <c r="AW31" s="2059"/>
      <c r="AX31" s="2061">
        <f t="shared" si="35"/>
        <v>0</v>
      </c>
      <c r="AY31" s="2892">
        <f t="shared" si="20"/>
        <v>0</v>
      </c>
      <c r="AZ31" s="2062"/>
      <c r="BA31" s="2067"/>
      <c r="BB31" s="2059"/>
      <c r="BC31" s="2061">
        <f t="shared" si="36"/>
        <v>0</v>
      </c>
      <c r="BD31" s="2892" t="e">
        <f t="shared" si="21"/>
        <v>#DIV/0!</v>
      </c>
      <c r="BE31" s="2062"/>
      <c r="BF31" s="2067"/>
      <c r="BG31" s="2059"/>
      <c r="BH31" s="2061">
        <f t="shared" si="37"/>
        <v>0</v>
      </c>
      <c r="BI31" s="2155">
        <f t="shared" si="22"/>
        <v>0</v>
      </c>
      <c r="BJ31" s="2062"/>
      <c r="BK31" s="2067"/>
      <c r="BL31" s="2059"/>
      <c r="BM31" s="2061">
        <f t="shared" si="38"/>
        <v>0</v>
      </c>
      <c r="BN31" s="2155">
        <f t="shared" si="23"/>
        <v>0</v>
      </c>
      <c r="BO31" s="2062"/>
      <c r="BP31" s="2067"/>
      <c r="BQ31" s="2059"/>
      <c r="BR31" s="2061">
        <f t="shared" si="39"/>
        <v>0</v>
      </c>
      <c r="BS31" s="2155">
        <f t="shared" si="24"/>
        <v>0</v>
      </c>
      <c r="BT31" s="2062"/>
      <c r="BU31" s="2059">
        <f t="shared" si="25"/>
        <v>31790.89</v>
      </c>
      <c r="BV31" s="2059">
        <f t="shared" si="26"/>
        <v>38990.020000000004</v>
      </c>
      <c r="BW31" s="2061">
        <f t="shared" si="40"/>
        <v>70780.91</v>
      </c>
      <c r="BX31" s="2892">
        <f t="shared" si="12"/>
        <v>9.5259421605342325E-3</v>
      </c>
      <c r="BY31" s="2901"/>
    </row>
    <row r="32" spans="1:79" s="1411" customFormat="1" ht="16.2" customHeight="1" x14ac:dyDescent="0.25">
      <c r="A32" s="1587"/>
      <c r="B32" s="2903" t="s">
        <v>2</v>
      </c>
      <c r="C32" s="2904"/>
      <c r="D32" s="2905"/>
      <c r="E32" s="2028">
        <f t="shared" si="13"/>
        <v>0</v>
      </c>
      <c r="F32" s="2892">
        <f t="shared" si="41"/>
        <v>0</v>
      </c>
      <c r="G32" s="2059">
        <v>0</v>
      </c>
      <c r="H32" s="2059">
        <v>0</v>
      </c>
      <c r="I32" s="2061">
        <f t="shared" si="27"/>
        <v>0</v>
      </c>
      <c r="J32" s="2892">
        <v>0</v>
      </c>
      <c r="K32" s="1992"/>
      <c r="L32" s="2067">
        <v>0</v>
      </c>
      <c r="M32" s="2059">
        <v>0</v>
      </c>
      <c r="N32" s="2061">
        <f t="shared" si="28"/>
        <v>0</v>
      </c>
      <c r="O32" s="2892">
        <f t="shared" si="14"/>
        <v>0</v>
      </c>
      <c r="P32" s="2062"/>
      <c r="Q32" s="2631"/>
      <c r="R32" s="2067"/>
      <c r="S32" s="2059"/>
      <c r="T32" s="2061">
        <f t="shared" si="29"/>
        <v>0</v>
      </c>
      <c r="U32" s="2892">
        <f t="shared" si="15"/>
        <v>0</v>
      </c>
      <c r="V32" s="2906"/>
      <c r="W32" s="2067"/>
      <c r="X32" s="2059"/>
      <c r="Y32" s="2061">
        <f t="shared" si="30"/>
        <v>0</v>
      </c>
      <c r="Z32" s="2892">
        <f t="shared" si="11"/>
        <v>0</v>
      </c>
      <c r="AA32" s="2062"/>
      <c r="AB32" s="2067"/>
      <c r="AC32" s="2059"/>
      <c r="AD32" s="2061">
        <f t="shared" si="31"/>
        <v>0</v>
      </c>
      <c r="AE32" s="2892">
        <f t="shared" si="16"/>
        <v>0</v>
      </c>
      <c r="AF32" s="2062"/>
      <c r="AG32" s="2067"/>
      <c r="AH32" s="2059"/>
      <c r="AI32" s="2061">
        <f t="shared" si="32"/>
        <v>0</v>
      </c>
      <c r="AJ32" s="2892">
        <f t="shared" si="17"/>
        <v>0</v>
      </c>
      <c r="AK32" s="2062"/>
      <c r="AL32" s="2067"/>
      <c r="AM32" s="2059"/>
      <c r="AN32" s="2061">
        <f t="shared" si="33"/>
        <v>0</v>
      </c>
      <c r="AO32" s="2892">
        <f t="shared" si="18"/>
        <v>0</v>
      </c>
      <c r="AP32" s="2062"/>
      <c r="AQ32" s="2067"/>
      <c r="AR32" s="2059"/>
      <c r="AS32" s="2061">
        <f t="shared" si="34"/>
        <v>0</v>
      </c>
      <c r="AT32" s="2892">
        <f t="shared" si="19"/>
        <v>0</v>
      </c>
      <c r="AU32" s="2062"/>
      <c r="AV32" s="2067"/>
      <c r="AW32" s="2059"/>
      <c r="AX32" s="2061">
        <f t="shared" si="35"/>
        <v>0</v>
      </c>
      <c r="AY32" s="2892">
        <f t="shared" si="20"/>
        <v>0</v>
      </c>
      <c r="AZ32" s="2062"/>
      <c r="BA32" s="2067"/>
      <c r="BB32" s="2059"/>
      <c r="BC32" s="2061">
        <f t="shared" si="36"/>
        <v>0</v>
      </c>
      <c r="BD32" s="2892" t="e">
        <f t="shared" si="21"/>
        <v>#DIV/0!</v>
      </c>
      <c r="BE32" s="2062"/>
      <c r="BF32" s="2067"/>
      <c r="BG32" s="2059"/>
      <c r="BH32" s="2061">
        <f t="shared" si="37"/>
        <v>0</v>
      </c>
      <c r="BI32" s="2155">
        <f t="shared" si="22"/>
        <v>0</v>
      </c>
      <c r="BJ32" s="2062"/>
      <c r="BK32" s="2067"/>
      <c r="BL32" s="2059"/>
      <c r="BM32" s="2061">
        <f t="shared" si="38"/>
        <v>0</v>
      </c>
      <c r="BN32" s="2155">
        <f t="shared" si="23"/>
        <v>0</v>
      </c>
      <c r="BO32" s="2062"/>
      <c r="BP32" s="2067"/>
      <c r="BQ32" s="2059"/>
      <c r="BR32" s="2061">
        <f t="shared" si="39"/>
        <v>0</v>
      </c>
      <c r="BS32" s="2155">
        <f t="shared" si="24"/>
        <v>0</v>
      </c>
      <c r="BT32" s="2062"/>
      <c r="BU32" s="2059">
        <f t="shared" si="25"/>
        <v>0</v>
      </c>
      <c r="BV32" s="2059">
        <f t="shared" si="26"/>
        <v>0</v>
      </c>
      <c r="BW32" s="2061">
        <f t="shared" si="40"/>
        <v>0</v>
      </c>
      <c r="BX32" s="2892">
        <f t="shared" si="12"/>
        <v>0</v>
      </c>
      <c r="BY32" s="2901"/>
    </row>
    <row r="33" spans="1:77" s="1411" customFormat="1" ht="16.2" customHeight="1" thickBot="1" x14ac:dyDescent="0.3">
      <c r="A33" s="1587"/>
      <c r="B33" s="2907" t="s">
        <v>75</v>
      </c>
      <c r="C33" s="2908"/>
      <c r="D33" s="2909"/>
      <c r="E33" s="1643">
        <f t="shared" si="13"/>
        <v>0</v>
      </c>
      <c r="F33" s="2910">
        <f t="shared" si="41"/>
        <v>0</v>
      </c>
      <c r="G33" s="2041">
        <v>0</v>
      </c>
      <c r="H33" s="2041">
        <v>0</v>
      </c>
      <c r="I33" s="2042">
        <f t="shared" si="27"/>
        <v>0</v>
      </c>
      <c r="J33" s="2910">
        <v>0</v>
      </c>
      <c r="K33" s="1679"/>
      <c r="L33" s="2044">
        <v>0</v>
      </c>
      <c r="M33" s="2041">
        <v>0</v>
      </c>
      <c r="N33" s="2042">
        <f t="shared" si="28"/>
        <v>0</v>
      </c>
      <c r="O33" s="2910">
        <f t="shared" si="14"/>
        <v>0</v>
      </c>
      <c r="P33" s="2911"/>
      <c r="Q33" s="2632"/>
      <c r="R33" s="2044"/>
      <c r="S33" s="2041"/>
      <c r="T33" s="2042">
        <f t="shared" si="29"/>
        <v>0</v>
      </c>
      <c r="U33" s="2910">
        <f t="shared" si="15"/>
        <v>0</v>
      </c>
      <c r="V33" s="2911"/>
      <c r="W33" s="2044"/>
      <c r="X33" s="2041"/>
      <c r="Y33" s="2042">
        <f t="shared" si="30"/>
        <v>0</v>
      </c>
      <c r="Z33" s="2910">
        <f t="shared" si="11"/>
        <v>0</v>
      </c>
      <c r="AA33" s="2911"/>
      <c r="AB33" s="2044"/>
      <c r="AC33" s="2041"/>
      <c r="AD33" s="2042">
        <f t="shared" si="31"/>
        <v>0</v>
      </c>
      <c r="AE33" s="2910">
        <f t="shared" si="16"/>
        <v>0</v>
      </c>
      <c r="AF33" s="2911"/>
      <c r="AG33" s="2044"/>
      <c r="AH33" s="2041"/>
      <c r="AI33" s="2042">
        <f t="shared" si="32"/>
        <v>0</v>
      </c>
      <c r="AJ33" s="2910">
        <f t="shared" si="17"/>
        <v>0</v>
      </c>
      <c r="AK33" s="2911"/>
      <c r="AL33" s="2044"/>
      <c r="AM33" s="2041"/>
      <c r="AN33" s="2042">
        <f t="shared" si="33"/>
        <v>0</v>
      </c>
      <c r="AO33" s="2910">
        <f t="shared" si="18"/>
        <v>0</v>
      </c>
      <c r="AP33" s="2911"/>
      <c r="AQ33" s="2044"/>
      <c r="AR33" s="2041"/>
      <c r="AS33" s="2042">
        <f t="shared" si="34"/>
        <v>0</v>
      </c>
      <c r="AT33" s="2910">
        <f t="shared" si="19"/>
        <v>0</v>
      </c>
      <c r="AU33" s="1690"/>
      <c r="AV33" s="2044"/>
      <c r="AW33" s="2041"/>
      <c r="AX33" s="2042">
        <f t="shared" si="35"/>
        <v>0</v>
      </c>
      <c r="AY33" s="2910">
        <f t="shared" si="20"/>
        <v>0</v>
      </c>
      <c r="AZ33" s="1690"/>
      <c r="BA33" s="2044"/>
      <c r="BB33" s="2041"/>
      <c r="BC33" s="2042">
        <f t="shared" si="36"/>
        <v>0</v>
      </c>
      <c r="BD33" s="2910" t="e">
        <f t="shared" si="21"/>
        <v>#DIV/0!</v>
      </c>
      <c r="BE33" s="1690"/>
      <c r="BF33" s="2044"/>
      <c r="BG33" s="2041"/>
      <c r="BH33" s="2042">
        <f t="shared" si="37"/>
        <v>0</v>
      </c>
      <c r="BI33" s="2524">
        <f t="shared" si="22"/>
        <v>0</v>
      </c>
      <c r="BJ33" s="1690"/>
      <c r="BK33" s="2044"/>
      <c r="BL33" s="2041"/>
      <c r="BM33" s="2042">
        <f t="shared" si="38"/>
        <v>0</v>
      </c>
      <c r="BN33" s="2524">
        <f t="shared" si="23"/>
        <v>0</v>
      </c>
      <c r="BO33" s="1690"/>
      <c r="BP33" s="2044"/>
      <c r="BQ33" s="2041"/>
      <c r="BR33" s="2042">
        <f t="shared" si="39"/>
        <v>0</v>
      </c>
      <c r="BS33" s="2524">
        <f t="shared" si="24"/>
        <v>0</v>
      </c>
      <c r="BT33" s="1690"/>
      <c r="BU33" s="2912">
        <f>G33+L33+R33+W33+AB33+AG33+AL33+AQ33+AV33+BA33+BF33+BK33+BP33</f>
        <v>0</v>
      </c>
      <c r="BV33" s="2913">
        <f>H33+M33+S33+X33+AC33+AH33+AM33+AR33+AW33+BB33+BG33+BL33+BQ33</f>
        <v>0</v>
      </c>
      <c r="BW33" s="2042">
        <f t="shared" si="40"/>
        <v>0</v>
      </c>
      <c r="BX33" s="2910">
        <f t="shared" si="12"/>
        <v>0</v>
      </c>
      <c r="BY33" s="2914"/>
    </row>
    <row r="34" spans="1:77" s="1411" customFormat="1" ht="16.2" customHeight="1" x14ac:dyDescent="0.25">
      <c r="A34" s="1587"/>
      <c r="B34" s="1631"/>
      <c r="C34" s="1632"/>
      <c r="D34" s="1633"/>
      <c r="E34" s="2040"/>
      <c r="F34" s="1635"/>
      <c r="G34" s="2059"/>
      <c r="H34" s="2059"/>
      <c r="I34" s="2040"/>
      <c r="J34" s="2040"/>
      <c r="K34" s="1635"/>
      <c r="L34" s="2067"/>
      <c r="M34" s="2059"/>
      <c r="N34" s="2040"/>
      <c r="O34" s="1992"/>
      <c r="P34" s="2040"/>
      <c r="Q34" s="2633"/>
      <c r="R34" s="2067"/>
      <c r="S34" s="2059"/>
      <c r="T34" s="2040"/>
      <c r="U34" s="2040"/>
      <c r="V34" s="2040"/>
      <c r="W34" s="2067"/>
      <c r="X34" s="2059"/>
      <c r="Y34" s="2040"/>
      <c r="Z34" s="1992"/>
      <c r="AA34" s="2040"/>
      <c r="AB34" s="2067"/>
      <c r="AC34" s="2059"/>
      <c r="AD34" s="2040"/>
      <c r="AE34" s="1992"/>
      <c r="AF34" s="2040"/>
      <c r="AG34" s="2067"/>
      <c r="AH34" s="2059"/>
      <c r="AI34" s="2040"/>
      <c r="AJ34" s="1992"/>
      <c r="AK34" s="2040"/>
      <c r="AL34" s="2067"/>
      <c r="AM34" s="2059"/>
      <c r="AN34" s="2040"/>
      <c r="AO34" s="1992"/>
      <c r="AP34" s="2040"/>
      <c r="AQ34" s="2067"/>
      <c r="AR34" s="2059"/>
      <c r="AS34" s="2040"/>
      <c r="AT34" s="1992"/>
      <c r="AU34" s="2040"/>
      <c r="AV34" s="2067"/>
      <c r="AW34" s="2059"/>
      <c r="AX34" s="2040"/>
      <c r="AY34" s="1992"/>
      <c r="AZ34" s="2040"/>
      <c r="BA34" s="2067"/>
      <c r="BB34" s="2059"/>
      <c r="BC34" s="2040"/>
      <c r="BD34" s="1992"/>
      <c r="BE34" s="2040"/>
      <c r="BF34" s="2067"/>
      <c r="BG34" s="2059"/>
      <c r="BH34" s="2040"/>
      <c r="BI34" s="1992"/>
      <c r="BJ34" s="2040"/>
      <c r="BK34" s="2067"/>
      <c r="BL34" s="2059"/>
      <c r="BM34" s="2040"/>
      <c r="BN34" s="1992"/>
      <c r="BO34" s="2040"/>
      <c r="BP34" s="2067"/>
      <c r="BQ34" s="2059"/>
      <c r="BR34" s="2040"/>
      <c r="BS34" s="1992"/>
      <c r="BT34" s="2040"/>
      <c r="BU34" s="2059"/>
      <c r="BV34" s="2059"/>
      <c r="BW34" s="2040"/>
      <c r="BX34" s="2040"/>
      <c r="BY34" s="2040"/>
    </row>
    <row r="35" spans="1:77" s="2483" customFormat="1" ht="16.2" customHeight="1" x14ac:dyDescent="0.25">
      <c r="A35" s="1587"/>
      <c r="B35" s="2915" t="s">
        <v>80</v>
      </c>
      <c r="C35" s="2916">
        <f>C36</f>
        <v>0</v>
      </c>
      <c r="D35" s="2916">
        <f>D36</f>
        <v>0</v>
      </c>
      <c r="E35" s="2917">
        <f>E36</f>
        <v>0</v>
      </c>
      <c r="F35" s="2918">
        <f>E35/$E$89</f>
        <v>0</v>
      </c>
      <c r="G35" s="2916">
        <v>0</v>
      </c>
      <c r="H35" s="2916">
        <v>0</v>
      </c>
      <c r="I35" s="2917">
        <v>0</v>
      </c>
      <c r="J35" s="2917"/>
      <c r="K35" s="2919"/>
      <c r="L35" s="2916"/>
      <c r="M35" s="2916"/>
      <c r="N35" s="2917">
        <f>N36</f>
        <v>0</v>
      </c>
      <c r="O35" s="2892">
        <f t="shared" ref="O35:O36" si="42">N35/N$89</f>
        <v>0</v>
      </c>
      <c r="P35" s="2920"/>
      <c r="Q35" s="2918"/>
      <c r="R35" s="2916">
        <f>R36</f>
        <v>0</v>
      </c>
      <c r="S35" s="2916">
        <f>S36</f>
        <v>0</v>
      </c>
      <c r="T35" s="2917">
        <f>T36</f>
        <v>0</v>
      </c>
      <c r="U35" s="2917"/>
      <c r="V35" s="2920"/>
      <c r="W35" s="2916"/>
      <c r="X35" s="2916"/>
      <c r="Y35" s="2917">
        <f>Y36</f>
        <v>0</v>
      </c>
      <c r="Z35" s="2892">
        <f>Y35/$Y$89</f>
        <v>0</v>
      </c>
      <c r="AA35" s="2920"/>
      <c r="AB35" s="2916"/>
      <c r="AC35" s="2916"/>
      <c r="AD35" s="2917">
        <f>AD36</f>
        <v>0</v>
      </c>
      <c r="AE35" s="2892">
        <f>AD35/$AD$89</f>
        <v>0</v>
      </c>
      <c r="AF35" s="2920"/>
      <c r="AG35" s="2916"/>
      <c r="AH35" s="2916"/>
      <c r="AI35" s="2917">
        <f>AI36</f>
        <v>0</v>
      </c>
      <c r="AJ35" s="2892">
        <f t="shared" ref="AJ35:AJ36" si="43">AI35/AI$89</f>
        <v>0</v>
      </c>
      <c r="AK35" s="2920"/>
      <c r="AL35" s="2916"/>
      <c r="AM35" s="2916"/>
      <c r="AN35" s="2917">
        <f>AN36</f>
        <v>0</v>
      </c>
      <c r="AO35" s="2892">
        <f t="shared" ref="AO35:AO36" si="44">AN35/AN$89</f>
        <v>0</v>
      </c>
      <c r="AP35" s="2920"/>
      <c r="AQ35" s="2916"/>
      <c r="AR35" s="2916"/>
      <c r="AS35" s="2917">
        <f>AS36</f>
        <v>0</v>
      </c>
      <c r="AT35" s="2917">
        <f t="shared" ref="AT35:AT36" si="45">AS35/AS$89</f>
        <v>0</v>
      </c>
      <c r="AU35" s="2920"/>
      <c r="AV35" s="2916"/>
      <c r="AW35" s="2916"/>
      <c r="AX35" s="2917">
        <f>AX36</f>
        <v>0</v>
      </c>
      <c r="AY35" s="2917">
        <f t="shared" ref="AY35:AY36" si="46">AX35/AX$89</f>
        <v>0</v>
      </c>
      <c r="AZ35" s="2920"/>
      <c r="BA35" s="2916"/>
      <c r="BB35" s="2916"/>
      <c r="BC35" s="2917">
        <f>BC36</f>
        <v>0</v>
      </c>
      <c r="BD35" s="2917" t="e">
        <f t="shared" ref="BD35:BD36" si="47">BC35/BC$89</f>
        <v>#DIV/0!</v>
      </c>
      <c r="BE35" s="2920"/>
      <c r="BF35" s="2515"/>
      <c r="BG35" s="2515"/>
      <c r="BH35" s="2526">
        <f>BH36</f>
        <v>0</v>
      </c>
      <c r="BI35" s="2526">
        <f t="shared" ref="BI35:BI36" si="48">BH35/BH$89</f>
        <v>0</v>
      </c>
      <c r="BJ35" s="2527"/>
      <c r="BK35" s="2515"/>
      <c r="BL35" s="2515"/>
      <c r="BM35" s="2526">
        <f>BM36</f>
        <v>0</v>
      </c>
      <c r="BN35" s="2526">
        <f t="shared" ref="BN35:BN36" si="49">BM35/BM$89</f>
        <v>0</v>
      </c>
      <c r="BO35" s="2527"/>
      <c r="BP35" s="2515"/>
      <c r="BQ35" s="2515"/>
      <c r="BR35" s="2526">
        <f>BR36</f>
        <v>0</v>
      </c>
      <c r="BS35" s="2526">
        <f t="shared" ref="BS35:BS36" si="50">BR35/BR$89</f>
        <v>0</v>
      </c>
      <c r="BT35" s="2527"/>
      <c r="BU35" s="2916">
        <f>BU36</f>
        <v>0</v>
      </c>
      <c r="BV35" s="2916">
        <f>BV36</f>
        <v>0</v>
      </c>
      <c r="BW35" s="2917">
        <f>BW36</f>
        <v>0</v>
      </c>
      <c r="BX35" s="2917"/>
      <c r="BY35" s="2917"/>
    </row>
    <row r="36" spans="1:77" s="1579" customFormat="1" ht="16.2" customHeight="1" x14ac:dyDescent="0.25">
      <c r="A36" s="1587"/>
      <c r="B36" s="2921" t="s">
        <v>81</v>
      </c>
      <c r="C36" s="2922"/>
      <c r="D36" s="2923"/>
      <c r="E36" s="2028">
        <f>C36+D36</f>
        <v>0</v>
      </c>
      <c r="F36" s="2892">
        <f>E36/$E$89</f>
        <v>0</v>
      </c>
      <c r="G36" s="2059">
        <v>0</v>
      </c>
      <c r="H36" s="2059">
        <v>0</v>
      </c>
      <c r="I36" s="2028">
        <v>0</v>
      </c>
      <c r="J36" s="2892">
        <v>0</v>
      </c>
      <c r="K36" s="1992"/>
      <c r="L36" s="2067"/>
      <c r="M36" s="2059"/>
      <c r="N36" s="2028">
        <f>L36+M36*1</f>
        <v>0</v>
      </c>
      <c r="O36" s="2892">
        <f t="shared" si="42"/>
        <v>0</v>
      </c>
      <c r="P36" s="2062"/>
      <c r="Q36" s="2631"/>
      <c r="R36" s="2067"/>
      <c r="S36" s="2059"/>
      <c r="T36" s="2028">
        <f>R36+S36*1</f>
        <v>0</v>
      </c>
      <c r="U36" s="2892">
        <f>T36/$T$89</f>
        <v>0</v>
      </c>
      <c r="V36" s="2924"/>
      <c r="W36" s="2067"/>
      <c r="X36" s="2059"/>
      <c r="Y36" s="2028">
        <f>W36+X36*1</f>
        <v>0</v>
      </c>
      <c r="Z36" s="2892">
        <f>Y36/$Y$89</f>
        <v>0</v>
      </c>
      <c r="AA36" s="2062"/>
      <c r="AB36" s="2067"/>
      <c r="AC36" s="2059"/>
      <c r="AD36" s="2028">
        <f>AB36+AC36*1</f>
        <v>0</v>
      </c>
      <c r="AE36" s="2892">
        <f>AD36/$AD$89</f>
        <v>0</v>
      </c>
      <c r="AF36" s="2062"/>
      <c r="AG36" s="2067"/>
      <c r="AH36" s="2059"/>
      <c r="AI36" s="2028">
        <f>AG36+AH36*1</f>
        <v>0</v>
      </c>
      <c r="AJ36" s="2892">
        <f t="shared" si="43"/>
        <v>0</v>
      </c>
      <c r="AK36" s="2062"/>
      <c r="AL36" s="2067"/>
      <c r="AM36" s="2059"/>
      <c r="AN36" s="2028">
        <f>AL36+AM36*1</f>
        <v>0</v>
      </c>
      <c r="AO36" s="2892">
        <f t="shared" si="44"/>
        <v>0</v>
      </c>
      <c r="AP36" s="2062"/>
      <c r="AQ36" s="2067"/>
      <c r="AR36" s="2059"/>
      <c r="AS36" s="2028">
        <f>AQ36+AR36*1</f>
        <v>0</v>
      </c>
      <c r="AT36" s="2892">
        <f t="shared" si="45"/>
        <v>0</v>
      </c>
      <c r="AU36" s="2062"/>
      <c r="AV36" s="2067"/>
      <c r="AW36" s="2059"/>
      <c r="AX36" s="2028">
        <f>AV36+AW36*1</f>
        <v>0</v>
      </c>
      <c r="AY36" s="2892">
        <f t="shared" si="46"/>
        <v>0</v>
      </c>
      <c r="AZ36" s="2062"/>
      <c r="BA36" s="2067"/>
      <c r="BB36" s="2059"/>
      <c r="BC36" s="2028">
        <f>BA36+BB36*1</f>
        <v>0</v>
      </c>
      <c r="BD36" s="2892" t="e">
        <f t="shared" si="47"/>
        <v>#DIV/0!</v>
      </c>
      <c r="BE36" s="2062"/>
      <c r="BF36" s="2067"/>
      <c r="BG36" s="2059"/>
      <c r="BH36" s="2028">
        <f>BF36+BG36*1</f>
        <v>0</v>
      </c>
      <c r="BI36" s="2155">
        <f t="shared" si="48"/>
        <v>0</v>
      </c>
      <c r="BJ36" s="2062"/>
      <c r="BK36" s="2067"/>
      <c r="BL36" s="2059"/>
      <c r="BM36" s="2028">
        <f>BK36+BL36*1</f>
        <v>0</v>
      </c>
      <c r="BN36" s="2155">
        <f t="shared" si="49"/>
        <v>0</v>
      </c>
      <c r="BO36" s="2062"/>
      <c r="BP36" s="2067"/>
      <c r="BQ36" s="2059"/>
      <c r="BR36" s="2028">
        <f>BP36+BQ36*1</f>
        <v>0</v>
      </c>
      <c r="BS36" s="2155">
        <f t="shared" si="50"/>
        <v>0</v>
      </c>
      <c r="BT36" s="2062"/>
      <c r="BU36" s="2059">
        <f>G36+L36+R36+W36+AB36+AG36+AL36+AQ36+AV36+BA36+BF36+BK36+BP36</f>
        <v>0</v>
      </c>
      <c r="BV36" s="2059">
        <f>H36+M36+S36+X36+AC36+AH36+AM36+AR36+AW36+BB36+BG36+BL36+BQ36</f>
        <v>0</v>
      </c>
      <c r="BW36" s="2028">
        <f>BU36+BV36*1</f>
        <v>0</v>
      </c>
      <c r="BX36" s="2892">
        <f>BW36/$BW$89</f>
        <v>0</v>
      </c>
      <c r="BY36" s="2925"/>
    </row>
    <row r="37" spans="1:77" s="1411" customFormat="1" ht="16.2" customHeight="1" thickBot="1" x14ac:dyDescent="0.3">
      <c r="A37" s="1413"/>
      <c r="B37" s="2926"/>
      <c r="C37" s="2927"/>
      <c r="D37" s="2928"/>
      <c r="E37" s="2929"/>
      <c r="F37" s="2930"/>
      <c r="G37" s="2059"/>
      <c r="H37" s="2059"/>
      <c r="I37" s="2929"/>
      <c r="J37" s="2929"/>
      <c r="K37" s="1723"/>
      <c r="L37" s="2044"/>
      <c r="M37" s="2041"/>
      <c r="N37" s="2929"/>
      <c r="O37" s="2910"/>
      <c r="P37" s="2931"/>
      <c r="Q37" s="2634"/>
      <c r="R37" s="2067"/>
      <c r="S37" s="2059"/>
      <c r="T37" s="2929"/>
      <c r="U37" s="2929"/>
      <c r="V37" s="2931"/>
      <c r="W37" s="2044"/>
      <c r="X37" s="2041"/>
      <c r="Y37" s="2929"/>
      <c r="Z37" s="2910"/>
      <c r="AA37" s="2931"/>
      <c r="AB37" s="2044"/>
      <c r="AC37" s="2041"/>
      <c r="AD37" s="2929"/>
      <c r="AE37" s="2910"/>
      <c r="AF37" s="2931"/>
      <c r="AG37" s="2044"/>
      <c r="AH37" s="2041"/>
      <c r="AI37" s="2929"/>
      <c r="AJ37" s="2910"/>
      <c r="AK37" s="2931"/>
      <c r="AL37" s="2044"/>
      <c r="AM37" s="2041"/>
      <c r="AN37" s="2929"/>
      <c r="AO37" s="2910"/>
      <c r="AP37" s="2931"/>
      <c r="AQ37" s="2044"/>
      <c r="AR37" s="2041"/>
      <c r="AS37" s="2929"/>
      <c r="AT37" s="2910"/>
      <c r="AU37" s="2931"/>
      <c r="AV37" s="2044"/>
      <c r="AW37" s="2041"/>
      <c r="AX37" s="2929"/>
      <c r="AY37" s="2910"/>
      <c r="AZ37" s="2931"/>
      <c r="BA37" s="2044"/>
      <c r="BB37" s="2041"/>
      <c r="BC37" s="2929"/>
      <c r="BD37" s="2910"/>
      <c r="BE37" s="2931"/>
      <c r="BF37" s="2044"/>
      <c r="BG37" s="2041"/>
      <c r="BH37" s="2528"/>
      <c r="BI37" s="2524">
        <f t="shared" ref="BI37" si="51">BH37/$AN$89</f>
        <v>0</v>
      </c>
      <c r="BJ37" s="2529"/>
      <c r="BK37" s="2044"/>
      <c r="BL37" s="2041"/>
      <c r="BM37" s="2528"/>
      <c r="BN37" s="2524">
        <f t="shared" ref="BN37" si="52">BM37/$AN$89</f>
        <v>0</v>
      </c>
      <c r="BO37" s="2529"/>
      <c r="BP37" s="2044"/>
      <c r="BQ37" s="2041"/>
      <c r="BR37" s="2528"/>
      <c r="BS37" s="2524">
        <f t="shared" ref="BS37" si="53">BR37/$AN$89</f>
        <v>0</v>
      </c>
      <c r="BT37" s="2529"/>
      <c r="BU37" s="2059"/>
      <c r="BV37" s="2059"/>
      <c r="BW37" s="2929"/>
      <c r="BX37" s="2929"/>
      <c r="BY37" s="2929"/>
    </row>
    <row r="38" spans="1:77" ht="16.2" customHeight="1" thickBot="1" x14ac:dyDescent="0.3">
      <c r="A38" s="1441"/>
      <c r="B38" s="1442" t="s">
        <v>46</v>
      </c>
      <c r="C38" s="2018">
        <f>(C5)-(C8)</f>
        <v>2744753.7203017585</v>
      </c>
      <c r="D38" s="2018">
        <f>(D5)-(D8)</f>
        <v>-1192084.6782608696</v>
      </c>
      <c r="E38" s="2018">
        <f>(E5)-(E8)</f>
        <v>1552669.0420408882</v>
      </c>
      <c r="F38" s="1545"/>
      <c r="G38" s="2018">
        <f>(G5)-(G8)</f>
        <v>929766.38400000008</v>
      </c>
      <c r="H38" s="2018">
        <f>(H5)-(H8)</f>
        <v>-776164.24</v>
      </c>
      <c r="I38" s="2018">
        <f>(I5)-(I8)</f>
        <v>153602.14399999985</v>
      </c>
      <c r="J38" s="2018"/>
      <c r="K38" s="1545"/>
      <c r="L38" s="2018">
        <f>(L5)-(L8)</f>
        <v>1681270.8356000008</v>
      </c>
      <c r="M38" s="2018">
        <f>(M5)-(M8)</f>
        <v>-669025.35000000009</v>
      </c>
      <c r="N38" s="2018">
        <f>(N5)-(N8)</f>
        <v>1012245.4856000012</v>
      </c>
      <c r="O38" s="2018"/>
      <c r="P38" s="2037"/>
      <c r="Q38" s="1545"/>
      <c r="R38" s="2018">
        <f>(R5)-(R8)</f>
        <v>0</v>
      </c>
      <c r="S38" s="2018">
        <f>(S5)-(S8)</f>
        <v>-5000</v>
      </c>
      <c r="T38" s="2018">
        <f>(T5)-(T8)</f>
        <v>-5000</v>
      </c>
      <c r="U38" s="2018"/>
      <c r="V38" s="2037"/>
      <c r="W38" s="2018">
        <f>(W5)-(W8)</f>
        <v>242122.96600000001</v>
      </c>
      <c r="X38" s="2018">
        <f>(X5)-(X8)</f>
        <v>-41575</v>
      </c>
      <c r="Y38" s="2018">
        <f>(Y5)-(Y8)</f>
        <v>200547.96600000001</v>
      </c>
      <c r="Z38" s="2018"/>
      <c r="AA38" s="2037"/>
      <c r="AB38" s="2018">
        <f>(AB5)-(AB8)</f>
        <v>44549.398000000001</v>
      </c>
      <c r="AC38" s="2018">
        <f>(AC5)-(AC8)</f>
        <v>-19480</v>
      </c>
      <c r="AD38" s="2018">
        <f>(AD5)-(AD8)</f>
        <v>25069.398000000001</v>
      </c>
      <c r="AE38" s="2018"/>
      <c r="AF38" s="2037"/>
      <c r="AG38" s="2018">
        <f>(AG5)-(AG8)</f>
        <v>-12053.6</v>
      </c>
      <c r="AH38" s="2018">
        <f>(AH5)-(AH8)</f>
        <v>0</v>
      </c>
      <c r="AI38" s="2018">
        <f>(AI5)-(AI8)</f>
        <v>-12053.6</v>
      </c>
      <c r="AJ38" s="2018"/>
      <c r="AK38" s="2037"/>
      <c r="AL38" s="2018">
        <f>(AL5)-(AL8)</f>
        <v>-6904.2839999999997</v>
      </c>
      <c r="AM38" s="2018">
        <f>(AM5)-(AM8)</f>
        <v>-55080</v>
      </c>
      <c r="AN38" s="2018">
        <f>(AN5)-(AN8)</f>
        <v>-61984.284</v>
      </c>
      <c r="AO38" s="2018"/>
      <c r="AP38" s="2037"/>
      <c r="AQ38" s="2018">
        <f>(AQ5)-(AQ8)</f>
        <v>0</v>
      </c>
      <c r="AR38" s="2018">
        <f>(AR5)-(AR8)</f>
        <v>-500</v>
      </c>
      <c r="AS38" s="2018">
        <f>(AS5)-(AS8)</f>
        <v>-500</v>
      </c>
      <c r="AT38" s="2018"/>
      <c r="AU38" s="2037"/>
      <c r="AV38" s="2018">
        <f>(AV5)-(AV8)</f>
        <v>186994.82800000001</v>
      </c>
      <c r="AW38" s="2018">
        <f>(AW5)-(AW8)</f>
        <v>-22394.7</v>
      </c>
      <c r="AX38" s="2018">
        <f>(AX5)-(AX8)</f>
        <v>164600.128</v>
      </c>
      <c r="AY38" s="2018"/>
      <c r="AZ38" s="2037"/>
      <c r="BA38" s="2018">
        <f>(BA5)-(BA8)</f>
        <v>0</v>
      </c>
      <c r="BB38" s="2018">
        <f>(BB5)-(BB8)</f>
        <v>0</v>
      </c>
      <c r="BC38" s="2018">
        <f>(BC5)-(BC8)</f>
        <v>0</v>
      </c>
      <c r="BD38" s="2018"/>
      <c r="BE38" s="2037"/>
      <c r="BF38" s="2018">
        <f>(BF5)-(BF8)</f>
        <v>-477.59999999999997</v>
      </c>
      <c r="BG38" s="2018">
        <f>(BG5)-(BG8)</f>
        <v>0</v>
      </c>
      <c r="BH38" s="2018">
        <f>(BH5)-(BH8)</f>
        <v>-477.59999999999997</v>
      </c>
      <c r="BI38" s="2018"/>
      <c r="BJ38" s="2037"/>
      <c r="BK38" s="2018">
        <f>(BK5)-(BK8)</f>
        <v>0</v>
      </c>
      <c r="BL38" s="2018">
        <f>(BL5)-(BL8)</f>
        <v>-10390</v>
      </c>
      <c r="BM38" s="2018">
        <f>(BM5)-(BM8)</f>
        <v>-10390</v>
      </c>
      <c r="BN38" s="2018"/>
      <c r="BO38" s="2037"/>
      <c r="BP38" s="2018">
        <f>(BP5)-(BP8)</f>
        <v>0</v>
      </c>
      <c r="BQ38" s="2018">
        <f>(BQ5)-(BQ8)</f>
        <v>0</v>
      </c>
      <c r="BR38" s="2018">
        <f>(BR5)-(BR8)</f>
        <v>0</v>
      </c>
      <c r="BS38" s="2018"/>
      <c r="BT38" s="2037"/>
      <c r="BU38" s="2018">
        <f>(BU5)-(BU8)</f>
        <v>3065268.9276000028</v>
      </c>
      <c r="BV38" s="2018">
        <f>(BV5)-(BV8)</f>
        <v>-1599609.29</v>
      </c>
      <c r="BW38" s="2018">
        <f>(BW5)-(BW8)</f>
        <v>1465659.6376000019</v>
      </c>
      <c r="BX38" s="2018"/>
      <c r="BY38" s="2018"/>
    </row>
    <row r="39" spans="1:77" ht="16.2" customHeight="1" x14ac:dyDescent="0.25">
      <c r="A39" s="1580"/>
      <c r="B39" s="1423" t="s">
        <v>47</v>
      </c>
      <c r="C39" s="1540">
        <f>C38/(C5)</f>
        <v>0.44017625774674529</v>
      </c>
      <c r="D39" s="1540" t="e">
        <f>D38/(D5)</f>
        <v>#DIV/0!</v>
      </c>
      <c r="E39" s="1541">
        <f>E38/(E5)</f>
        <v>0.24900159288959584</v>
      </c>
      <c r="F39" s="1546"/>
      <c r="G39" s="2019">
        <v>0.31703791137000742</v>
      </c>
      <c r="H39" s="2019" t="e">
        <v>#DIV/0!</v>
      </c>
      <c r="I39" s="2020">
        <v>7.7833042305311739E-2</v>
      </c>
      <c r="J39" s="2020"/>
      <c r="K39" s="1724"/>
      <c r="L39" s="2019">
        <f>L38/(L5)</f>
        <v>0.37359179982150398</v>
      </c>
      <c r="M39" s="2019" t="e">
        <f>M38/(M5)</f>
        <v>#DIV/0!</v>
      </c>
      <c r="N39" s="2020">
        <f>N38/(N5)</f>
        <v>0.22492902679272322</v>
      </c>
      <c r="O39" s="2020"/>
      <c r="P39" s="2038"/>
      <c r="Q39" s="2635"/>
      <c r="R39" s="2019" t="e">
        <f>R38/(R5)</f>
        <v>#DIV/0!</v>
      </c>
      <c r="S39" s="2019" t="e">
        <f>S38/(S5)</f>
        <v>#DIV/0!</v>
      </c>
      <c r="T39" s="2020" t="e">
        <f>T38/(T5)</f>
        <v>#DIV/0!</v>
      </c>
      <c r="U39" s="2020"/>
      <c r="V39" s="2038"/>
      <c r="W39" s="2019">
        <f>W38/(W5)</f>
        <v>0.73106373815195014</v>
      </c>
      <c r="X39" s="2019" t="e">
        <f>X38/(X5)</f>
        <v>#DIV/0!</v>
      </c>
      <c r="Y39" s="2020">
        <f>Y38/(Y5)</f>
        <v>0.60553258587923553</v>
      </c>
      <c r="Z39" s="2020"/>
      <c r="AA39" s="2038"/>
      <c r="AB39" s="2019">
        <f>AB38/(AB5)</f>
        <v>0.40177003058092942</v>
      </c>
      <c r="AC39" s="2019" t="e">
        <f>AC38/(AC5)</f>
        <v>#DIV/0!</v>
      </c>
      <c r="AD39" s="2020">
        <f>AD38/(AD5)</f>
        <v>0.22608908881564441</v>
      </c>
      <c r="AE39" s="2020"/>
      <c r="AF39" s="2038"/>
      <c r="AG39" s="2019" t="e">
        <f>AG38/(AG5)</f>
        <v>#DIV/0!</v>
      </c>
      <c r="AH39" s="2019" t="e">
        <f>AH38/(AH5)</f>
        <v>#DIV/0!</v>
      </c>
      <c r="AI39" s="2020" t="e">
        <f>AI38/(AI5)</f>
        <v>#DIV/0!</v>
      </c>
      <c r="AJ39" s="2020"/>
      <c r="AK39" s="2038"/>
      <c r="AL39" s="2019">
        <f>AL38/(AL5)</f>
        <v>-0.19468188416340423</v>
      </c>
      <c r="AM39" s="2019" t="e">
        <f>AM38/(AM5)</f>
        <v>#DIV/0!</v>
      </c>
      <c r="AN39" s="2020">
        <f>AN38/(AN5)</f>
        <v>-1.7477869099300594</v>
      </c>
      <c r="AO39" s="2020"/>
      <c r="AP39" s="2038"/>
      <c r="AQ39" s="2019" t="e">
        <f>AQ38/(AQ5)</f>
        <v>#DIV/0!</v>
      </c>
      <c r="AR39" s="2019" t="e">
        <f>AR38/(AR5)</f>
        <v>#DIV/0!</v>
      </c>
      <c r="AS39" s="2020" t="e">
        <f>AS38/(AS5)</f>
        <v>#DIV/0!</v>
      </c>
      <c r="AT39" s="2020"/>
      <c r="AU39" s="2038"/>
      <c r="AV39" s="2019">
        <f>AV38/(AV5)</f>
        <v>0.98816195735461199</v>
      </c>
      <c r="AW39" s="2019" t="e">
        <f>AW38/(AW5)</f>
        <v>#DIV/0!</v>
      </c>
      <c r="AX39" s="2020">
        <f>AX38/(AX5)</f>
        <v>0.86981862763230899</v>
      </c>
      <c r="AY39" s="2020"/>
      <c r="AZ39" s="2038"/>
      <c r="BA39" s="2019" t="e">
        <f>BA38/(BA5)</f>
        <v>#DIV/0!</v>
      </c>
      <c r="BB39" s="2019" t="e">
        <f>BB38/(BB5)</f>
        <v>#DIV/0!</v>
      </c>
      <c r="BC39" s="2020" t="e">
        <f>BC38/(BC5)</f>
        <v>#DIV/0!</v>
      </c>
      <c r="BD39" s="2020"/>
      <c r="BE39" s="2038"/>
      <c r="BF39" s="2019" t="e">
        <f>BF38/(BF5)</f>
        <v>#DIV/0!</v>
      </c>
      <c r="BG39" s="2019" t="e">
        <f>BG38/(BG5)</f>
        <v>#DIV/0!</v>
      </c>
      <c r="BH39" s="2020" t="e">
        <f>BH38/(BH5)</f>
        <v>#DIV/0!</v>
      </c>
      <c r="BI39" s="2020"/>
      <c r="BJ39" s="2038"/>
      <c r="BK39" s="2019" t="e">
        <f>BK38/(BK5)</f>
        <v>#DIV/0!</v>
      </c>
      <c r="BL39" s="2019" t="e">
        <f>BL38/(BL5)</f>
        <v>#DIV/0!</v>
      </c>
      <c r="BM39" s="2020" t="e">
        <f>BM38/(BM5)</f>
        <v>#DIV/0!</v>
      </c>
      <c r="BN39" s="2020"/>
      <c r="BO39" s="2038"/>
      <c r="BP39" s="2019" t="e">
        <f>BP38/(BP5)</f>
        <v>#DIV/0!</v>
      </c>
      <c r="BQ39" s="2019" t="e">
        <f>BQ38/(BQ5)</f>
        <v>#DIV/0!</v>
      </c>
      <c r="BR39" s="2020" t="e">
        <f>BR38/(BR5)</f>
        <v>#DIV/0!</v>
      </c>
      <c r="BS39" s="2020"/>
      <c r="BT39" s="2038"/>
      <c r="BU39" s="2019">
        <f>BU38/(BU5)</f>
        <v>0.36439972487464634</v>
      </c>
      <c r="BV39" s="2019" t="e">
        <f>BV38/(BV5)</f>
        <v>#DIV/0!</v>
      </c>
      <c r="BW39" s="2020">
        <f>BW38/(BW5)</f>
        <v>0.17423788297736245</v>
      </c>
      <c r="BX39" s="2020"/>
      <c r="BY39" s="2020"/>
    </row>
    <row r="40" spans="1:77" ht="16.2" customHeight="1" thickBot="1" x14ac:dyDescent="0.3">
      <c r="A40" s="1582"/>
      <c r="B40" s="2932"/>
      <c r="C40" s="2933"/>
      <c r="D40" s="2934"/>
      <c r="E40" s="2935"/>
      <c r="F40" s="2936"/>
      <c r="G40" s="2935"/>
      <c r="H40" s="2935"/>
      <c r="I40" s="2935"/>
      <c r="J40" s="2935"/>
      <c r="K40" s="2936"/>
      <c r="L40" s="2934"/>
      <c r="M40" s="2935"/>
      <c r="N40" s="2935"/>
      <c r="O40" s="2935"/>
      <c r="P40" s="2937"/>
      <c r="Q40" s="2938"/>
      <c r="R40" s="2934"/>
      <c r="S40" s="2935"/>
      <c r="T40" s="2935"/>
      <c r="U40" s="2935"/>
      <c r="V40" s="2937"/>
      <c r="W40" s="2934"/>
      <c r="X40" s="2935"/>
      <c r="Y40" s="2935"/>
      <c r="Z40" s="2935"/>
      <c r="AA40" s="2937"/>
      <c r="AB40" s="2934"/>
      <c r="AC40" s="2935"/>
      <c r="AD40" s="2935"/>
      <c r="AE40" s="2935"/>
      <c r="AF40" s="2937"/>
      <c r="AG40" s="2934"/>
      <c r="AH40" s="2935"/>
      <c r="AI40" s="2935"/>
      <c r="AJ40" s="2935"/>
      <c r="AK40" s="2937"/>
      <c r="AL40" s="2934"/>
      <c r="AM40" s="2935"/>
      <c r="AN40" s="2935"/>
      <c r="AO40" s="2935"/>
      <c r="AP40" s="2937"/>
      <c r="AQ40" s="2934"/>
      <c r="AR40" s="2935"/>
      <c r="AS40" s="2935"/>
      <c r="AT40" s="2935"/>
      <c r="AU40" s="2937"/>
      <c r="AV40" s="2934"/>
      <c r="AW40" s="2935"/>
      <c r="AX40" s="2935"/>
      <c r="AY40" s="2935"/>
      <c r="AZ40" s="2937"/>
      <c r="BA40" s="2934"/>
      <c r="BB40" s="2935"/>
      <c r="BC40" s="2935"/>
      <c r="BD40" s="2935"/>
      <c r="BE40" s="2937"/>
      <c r="BF40" s="2530"/>
      <c r="BG40" s="2516"/>
      <c r="BH40" s="2516"/>
      <c r="BI40" s="2516"/>
      <c r="BJ40" s="2531"/>
      <c r="BK40" s="2530"/>
      <c r="BL40" s="2516"/>
      <c r="BM40" s="2516"/>
      <c r="BN40" s="2516"/>
      <c r="BO40" s="2531"/>
      <c r="BP40" s="2530"/>
      <c r="BQ40" s="2516"/>
      <c r="BR40" s="2516"/>
      <c r="BS40" s="2516"/>
      <c r="BT40" s="2531"/>
      <c r="BU40" s="2935"/>
      <c r="BV40" s="2935"/>
      <c r="BW40" s="2935"/>
      <c r="BX40" s="2935"/>
      <c r="BY40" s="2935"/>
    </row>
    <row r="41" spans="1:77" ht="16.2" customHeight="1" x14ac:dyDescent="0.25">
      <c r="A41" s="1420"/>
      <c r="B41" s="1430" t="s">
        <v>26</v>
      </c>
      <c r="C41" s="2029">
        <f>SUM(C42:C48)</f>
        <v>0</v>
      </c>
      <c r="D41" s="2029">
        <f>SUM(D42:D48)</f>
        <v>0</v>
      </c>
      <c r="E41" s="2030">
        <f>SUM(E42:E48)</f>
        <v>0</v>
      </c>
      <c r="F41" s="2939">
        <f t="shared" ref="F41:F48" si="54">E41/$E$89</f>
        <v>0</v>
      </c>
      <c r="G41" s="2029">
        <f>SUM(G42:G48)</f>
        <v>13865.04</v>
      </c>
      <c r="H41" s="2029">
        <f t="shared" ref="H41:I41" si="55">SUM(H42:H48)</f>
        <v>800</v>
      </c>
      <c r="I41" s="2030">
        <f t="shared" si="55"/>
        <v>14665.04</v>
      </c>
      <c r="J41" s="2939">
        <v>4.54047868911604E-3</v>
      </c>
      <c r="K41" s="1592"/>
      <c r="L41" s="2029">
        <f>SUM(L42:L48)</f>
        <v>13680.957999999999</v>
      </c>
      <c r="M41" s="2029">
        <f>SUM(M42:M48)</f>
        <v>2830</v>
      </c>
      <c r="N41" s="2030">
        <f>SUM(N42:N48)</f>
        <v>16510.957999999999</v>
      </c>
      <c r="O41" s="2939">
        <f t="shared" ref="O41:O48" si="56">N41/N$89</f>
        <v>4.4474754716219709E-3</v>
      </c>
      <c r="P41" s="2039"/>
      <c r="Q41" s="2636"/>
      <c r="R41" s="2029">
        <f>SUM(R42:R48)</f>
        <v>0</v>
      </c>
      <c r="S41" s="2029">
        <f>SUM(S42:S48)</f>
        <v>0</v>
      </c>
      <c r="T41" s="2030">
        <f>SUM(T42:T48)</f>
        <v>0</v>
      </c>
      <c r="U41" s="2939">
        <f t="shared" ref="U41:U49" si="57">T41/$T$89</f>
        <v>0</v>
      </c>
      <c r="V41" s="2039"/>
      <c r="W41" s="2029">
        <f>SUM(W42:W48)</f>
        <v>0</v>
      </c>
      <c r="X41" s="2029">
        <f>SUM(X42:X48)</f>
        <v>0</v>
      </c>
      <c r="Y41" s="2030">
        <f>SUM(Y42:Y48)</f>
        <v>0</v>
      </c>
      <c r="Z41" s="2939">
        <f t="shared" ref="Z41:Z48" si="58">Y41/$Y$89</f>
        <v>0</v>
      </c>
      <c r="AA41" s="2039"/>
      <c r="AB41" s="2029">
        <f>SUM(AB42:AB48)</f>
        <v>241.2</v>
      </c>
      <c r="AC41" s="2029">
        <f>SUM(AC42:AC48)</f>
        <v>0</v>
      </c>
      <c r="AD41" s="2030">
        <f>SUM(AD42:AD48)</f>
        <v>241.2</v>
      </c>
      <c r="AE41" s="2939">
        <f t="shared" ref="AE41:AE48" si="59">AD41/$AD$89</f>
        <v>2.7227799736593591E-3</v>
      </c>
      <c r="AF41" s="2039"/>
      <c r="AG41" s="2029">
        <f>SUM(AG42:AG48)</f>
        <v>0</v>
      </c>
      <c r="AH41" s="2029">
        <f>SUM(AH42:AH48)</f>
        <v>0</v>
      </c>
      <c r="AI41" s="2030">
        <f>SUM(AI42:AI48)</f>
        <v>0</v>
      </c>
      <c r="AJ41" s="2939">
        <f t="shared" ref="AJ41:AJ48" si="60">AI41/AI$89</f>
        <v>0</v>
      </c>
      <c r="AK41" s="2039"/>
      <c r="AL41" s="2029">
        <f>SUM(AL42:AL48)</f>
        <v>0</v>
      </c>
      <c r="AM41" s="2029">
        <f>SUM(AM42:AM48)</f>
        <v>0</v>
      </c>
      <c r="AN41" s="2030">
        <f>SUM(AN42:AN48)</f>
        <v>0</v>
      </c>
      <c r="AO41" s="2939">
        <f t="shared" ref="AO41:AO48" si="61">AN41/AN$89</f>
        <v>0</v>
      </c>
      <c r="AP41" s="2039"/>
      <c r="AQ41" s="2029">
        <f>SUM(AQ42:AQ48)</f>
        <v>0</v>
      </c>
      <c r="AR41" s="2029">
        <f>SUM(AR42:AR48)</f>
        <v>0</v>
      </c>
      <c r="AS41" s="2030">
        <f>SUM(AS42:AS48)</f>
        <v>0</v>
      </c>
      <c r="AT41" s="2939">
        <f t="shared" ref="AT41:AT48" si="62">AS41/AS$89</f>
        <v>0</v>
      </c>
      <c r="AU41" s="2039"/>
      <c r="AV41" s="2029">
        <f>SUM(AV42:AV48)</f>
        <v>0</v>
      </c>
      <c r="AW41" s="2029">
        <f>SUM(AW42:AW48)</f>
        <v>0</v>
      </c>
      <c r="AX41" s="2030">
        <f>SUM(AX42:AX48)</f>
        <v>0</v>
      </c>
      <c r="AY41" s="2939">
        <f t="shared" ref="AY41:AY48" si="63">AX41/AX$89</f>
        <v>0</v>
      </c>
      <c r="AZ41" s="2039"/>
      <c r="BA41" s="2029">
        <f>SUM(BA42:BA48)</f>
        <v>0</v>
      </c>
      <c r="BB41" s="2029">
        <f>SUM(BB42:BB48)</f>
        <v>0</v>
      </c>
      <c r="BC41" s="2030">
        <f>SUM(BC42:BC48)</f>
        <v>0</v>
      </c>
      <c r="BD41" s="2939" t="e">
        <f t="shared" ref="BD41:BD48" si="64">BC41/BC$89</f>
        <v>#DIV/0!</v>
      </c>
      <c r="BE41" s="2039"/>
      <c r="BF41" s="2029">
        <f>SUM(BF42:BF48)</f>
        <v>0</v>
      </c>
      <c r="BG41" s="2029">
        <f>SUM(BG42:BG48)</f>
        <v>0</v>
      </c>
      <c r="BH41" s="2030">
        <f>SUM(BH42:BH48)</f>
        <v>0</v>
      </c>
      <c r="BI41" s="2481">
        <f t="shared" ref="BI41:BI48" si="65">BH41/BH$89</f>
        <v>0</v>
      </c>
      <c r="BJ41" s="2039"/>
      <c r="BK41" s="2029">
        <f>SUM(BK42:BK48)</f>
        <v>0</v>
      </c>
      <c r="BL41" s="2029">
        <f>SUM(BL42:BL48)</f>
        <v>0</v>
      </c>
      <c r="BM41" s="2030">
        <f>SUM(BM42:BM48)</f>
        <v>0</v>
      </c>
      <c r="BN41" s="2481">
        <f t="shared" ref="BN41:BN48" si="66">BM41/BM$89</f>
        <v>0</v>
      </c>
      <c r="BO41" s="2039"/>
      <c r="BP41" s="2029">
        <f>SUM(BP42:BP48)</f>
        <v>0</v>
      </c>
      <c r="BQ41" s="2029">
        <f>SUM(BQ42:BQ48)</f>
        <v>0</v>
      </c>
      <c r="BR41" s="2030">
        <f>SUM(BR42:BR48)</f>
        <v>0</v>
      </c>
      <c r="BS41" s="2481">
        <f t="shared" ref="BS41:BS48" si="67">BR41/BR$89</f>
        <v>0</v>
      </c>
      <c r="BT41" s="2039"/>
      <c r="BU41" s="2029">
        <f>SUM(BU42:BU48)</f>
        <v>27787.198</v>
      </c>
      <c r="BV41" s="2029">
        <f>SUM(BV42:BV48)</f>
        <v>3630</v>
      </c>
      <c r="BW41" s="2030">
        <f>SUM(BW42:BW48)</f>
        <v>31417.198</v>
      </c>
      <c r="BX41" s="2939">
        <f>BW41/$BW$89</f>
        <v>4.2282362715321369E-3</v>
      </c>
      <c r="BY41" s="2022"/>
    </row>
    <row r="42" spans="1:77" ht="16.2" customHeight="1" x14ac:dyDescent="0.25">
      <c r="A42" s="4015"/>
      <c r="B42" s="2940" t="s">
        <v>7</v>
      </c>
      <c r="C42" s="2895"/>
      <c r="D42" s="2941"/>
      <c r="E42" s="2942">
        <f t="shared" ref="E42:E48" si="68">C42+D42</f>
        <v>0</v>
      </c>
      <c r="F42" s="2892">
        <f t="shared" si="54"/>
        <v>0</v>
      </c>
      <c r="G42" s="2059">
        <v>0</v>
      </c>
      <c r="H42" s="2059">
        <v>0</v>
      </c>
      <c r="I42" s="2028">
        <v>0</v>
      </c>
      <c r="J42" s="2892">
        <v>0</v>
      </c>
      <c r="K42" s="1992"/>
      <c r="L42" s="2067">
        <v>0</v>
      </c>
      <c r="M42" s="2059">
        <v>0</v>
      </c>
      <c r="N42" s="2028">
        <f t="shared" ref="N42:N48" si="69">L42+M42*1</f>
        <v>0</v>
      </c>
      <c r="O42" s="2892">
        <f t="shared" si="56"/>
        <v>0</v>
      </c>
      <c r="P42" s="2062"/>
      <c r="Q42" s="2631"/>
      <c r="R42" s="2067"/>
      <c r="S42" s="2059"/>
      <c r="T42" s="2028">
        <f t="shared" ref="T42:T48" si="70">R42+S42*1</f>
        <v>0</v>
      </c>
      <c r="U42" s="2892">
        <f t="shared" si="57"/>
        <v>0</v>
      </c>
      <c r="V42" s="2906"/>
      <c r="W42" s="2067"/>
      <c r="X42" s="2059"/>
      <c r="Y42" s="2028">
        <f t="shared" ref="Y42:Y48" si="71">W42+X42*1</f>
        <v>0</v>
      </c>
      <c r="Z42" s="2892">
        <f t="shared" si="58"/>
        <v>0</v>
      </c>
      <c r="AA42" s="2062"/>
      <c r="AB42" s="2067"/>
      <c r="AC42" s="2059"/>
      <c r="AD42" s="2028">
        <f t="shared" ref="AD42:AD48" si="72">AB42+AC42*1</f>
        <v>0</v>
      </c>
      <c r="AE42" s="2892">
        <f t="shared" si="59"/>
        <v>0</v>
      </c>
      <c r="AF42" s="2062"/>
      <c r="AG42" s="2067"/>
      <c r="AH42" s="2059"/>
      <c r="AI42" s="2028">
        <f t="shared" ref="AI42:AI48" si="73">AG42+AH42*1</f>
        <v>0</v>
      </c>
      <c r="AJ42" s="2892">
        <f t="shared" si="60"/>
        <v>0</v>
      </c>
      <c r="AK42" s="2062"/>
      <c r="AL42" s="2067"/>
      <c r="AM42" s="2059"/>
      <c r="AN42" s="2028">
        <f t="shared" ref="AN42:AN48" si="74">AL42+AM42*1</f>
        <v>0</v>
      </c>
      <c r="AO42" s="2892">
        <f t="shared" si="61"/>
        <v>0</v>
      </c>
      <c r="AP42" s="2062"/>
      <c r="AQ42" s="2067"/>
      <c r="AR42" s="2059"/>
      <c r="AS42" s="2028">
        <f t="shared" ref="AS42:AS48" si="75">AQ42+AR42*1</f>
        <v>0</v>
      </c>
      <c r="AT42" s="2892">
        <f t="shared" si="62"/>
        <v>0</v>
      </c>
      <c r="AU42" s="2062"/>
      <c r="AV42" s="2067"/>
      <c r="AW42" s="2059"/>
      <c r="AX42" s="2028">
        <f t="shared" ref="AX42:AX48" si="76">AV42+AW42*1</f>
        <v>0</v>
      </c>
      <c r="AY42" s="2892">
        <f t="shared" si="63"/>
        <v>0</v>
      </c>
      <c r="AZ42" s="2062"/>
      <c r="BA42" s="2067"/>
      <c r="BB42" s="2059"/>
      <c r="BC42" s="2028">
        <f t="shared" ref="BC42:BC48" si="77">BA42+BB42*1</f>
        <v>0</v>
      </c>
      <c r="BD42" s="2892" t="e">
        <f t="shared" si="64"/>
        <v>#DIV/0!</v>
      </c>
      <c r="BE42" s="2062"/>
      <c r="BF42" s="2067"/>
      <c r="BG42" s="2059"/>
      <c r="BH42" s="2028">
        <f t="shared" ref="BH42:BH48" si="78">BF42+BG42*1</f>
        <v>0</v>
      </c>
      <c r="BI42" s="2155">
        <f t="shared" si="65"/>
        <v>0</v>
      </c>
      <c r="BJ42" s="2062"/>
      <c r="BK42" s="2067"/>
      <c r="BL42" s="2059"/>
      <c r="BM42" s="2028">
        <f t="shared" ref="BM42:BM48" si="79">BK42+BL42*1</f>
        <v>0</v>
      </c>
      <c r="BN42" s="2155">
        <f t="shared" si="66"/>
        <v>0</v>
      </c>
      <c r="BO42" s="2062"/>
      <c r="BP42" s="2067"/>
      <c r="BQ42" s="2059"/>
      <c r="BR42" s="2028">
        <f t="shared" ref="BR42:BR48" si="80">BP42+BQ42*1</f>
        <v>0</v>
      </c>
      <c r="BS42" s="2155">
        <f t="shared" si="67"/>
        <v>0</v>
      </c>
      <c r="BT42" s="2062"/>
      <c r="BU42" s="2059">
        <f t="shared" ref="BU42:BU48" si="81">G42+L42+R42+W42+AB42+AG42+AL42+AQ42+AV42+BA42+BF42+BK42+BP42</f>
        <v>0</v>
      </c>
      <c r="BV42" s="2059">
        <f t="shared" ref="BV42:BV48" si="82">H42+M42+S42+X42+AC42+AH42+AM42+AR42+AW42+BB42+BG42+BL42+BQ42</f>
        <v>0</v>
      </c>
      <c r="BW42" s="2028">
        <f t="shared" ref="BW42:BW48" si="83">BU42+BV42*1</f>
        <v>0</v>
      </c>
      <c r="BX42" s="2892">
        <f t="shared" ref="BX42:BX72" si="84">BW42/$BW$89</f>
        <v>0</v>
      </c>
      <c r="BY42" s="2901"/>
    </row>
    <row r="43" spans="1:77" ht="16.2" customHeight="1" x14ac:dyDescent="0.25">
      <c r="A43" s="4015"/>
      <c r="B43" s="2940" t="s">
        <v>27</v>
      </c>
      <c r="C43" s="2895"/>
      <c r="D43" s="2941"/>
      <c r="E43" s="2942">
        <f t="shared" si="68"/>
        <v>0</v>
      </c>
      <c r="F43" s="2892">
        <f t="shared" si="54"/>
        <v>0</v>
      </c>
      <c r="G43" s="2059">
        <v>0</v>
      </c>
      <c r="H43" s="2059">
        <v>800</v>
      </c>
      <c r="I43" s="2028">
        <v>800</v>
      </c>
      <c r="J43" s="2892">
        <v>2.4768994501841334E-4</v>
      </c>
      <c r="K43" s="1992"/>
      <c r="L43" s="2067">
        <v>0</v>
      </c>
      <c r="M43" s="2059">
        <v>2100</v>
      </c>
      <c r="N43" s="2028">
        <f t="shared" si="69"/>
        <v>2100</v>
      </c>
      <c r="O43" s="2892">
        <f t="shared" si="56"/>
        <v>5.6566666152297999E-4</v>
      </c>
      <c r="P43" s="2062"/>
      <c r="Q43" s="2631"/>
      <c r="R43" s="2067"/>
      <c r="S43" s="2059"/>
      <c r="T43" s="2028">
        <f t="shared" si="70"/>
        <v>0</v>
      </c>
      <c r="U43" s="2892">
        <f t="shared" si="57"/>
        <v>0</v>
      </c>
      <c r="V43" s="2906"/>
      <c r="W43" s="2067"/>
      <c r="X43" s="2059"/>
      <c r="Y43" s="2028">
        <f t="shared" si="71"/>
        <v>0</v>
      </c>
      <c r="Z43" s="2892">
        <f t="shared" si="58"/>
        <v>0</v>
      </c>
      <c r="AA43" s="2062"/>
      <c r="AB43" s="2067"/>
      <c r="AC43" s="2059"/>
      <c r="AD43" s="2028">
        <f t="shared" si="72"/>
        <v>0</v>
      </c>
      <c r="AE43" s="2892">
        <f t="shared" si="59"/>
        <v>0</v>
      </c>
      <c r="AF43" s="2062"/>
      <c r="AG43" s="2067"/>
      <c r="AH43" s="2059"/>
      <c r="AI43" s="2028">
        <f t="shared" si="73"/>
        <v>0</v>
      </c>
      <c r="AJ43" s="2892">
        <f t="shared" si="60"/>
        <v>0</v>
      </c>
      <c r="AK43" s="2062"/>
      <c r="AL43" s="2067"/>
      <c r="AM43" s="2059"/>
      <c r="AN43" s="2028">
        <f t="shared" si="74"/>
        <v>0</v>
      </c>
      <c r="AO43" s="2892">
        <f t="shared" si="61"/>
        <v>0</v>
      </c>
      <c r="AP43" s="2062"/>
      <c r="AQ43" s="2067"/>
      <c r="AR43" s="2059"/>
      <c r="AS43" s="2028">
        <f t="shared" si="75"/>
        <v>0</v>
      </c>
      <c r="AT43" s="2892">
        <f t="shared" si="62"/>
        <v>0</v>
      </c>
      <c r="AU43" s="2062"/>
      <c r="AV43" s="2067"/>
      <c r="AW43" s="2059"/>
      <c r="AX43" s="2028">
        <f t="shared" si="76"/>
        <v>0</v>
      </c>
      <c r="AY43" s="2892">
        <f t="shared" si="63"/>
        <v>0</v>
      </c>
      <c r="AZ43" s="2062"/>
      <c r="BA43" s="2067"/>
      <c r="BB43" s="2059"/>
      <c r="BC43" s="2028">
        <f t="shared" si="77"/>
        <v>0</v>
      </c>
      <c r="BD43" s="2892" t="e">
        <f t="shared" si="64"/>
        <v>#DIV/0!</v>
      </c>
      <c r="BE43" s="2062"/>
      <c r="BF43" s="2067"/>
      <c r="BG43" s="2059"/>
      <c r="BH43" s="2028">
        <f t="shared" si="78"/>
        <v>0</v>
      </c>
      <c r="BI43" s="2155">
        <f t="shared" si="65"/>
        <v>0</v>
      </c>
      <c r="BJ43" s="2062"/>
      <c r="BK43" s="2067"/>
      <c r="BL43" s="2059"/>
      <c r="BM43" s="2028">
        <f t="shared" si="79"/>
        <v>0</v>
      </c>
      <c r="BN43" s="2155">
        <f t="shared" si="66"/>
        <v>0</v>
      </c>
      <c r="BO43" s="2062"/>
      <c r="BP43" s="2067"/>
      <c r="BQ43" s="2059"/>
      <c r="BR43" s="2028">
        <f t="shared" si="80"/>
        <v>0</v>
      </c>
      <c r="BS43" s="2155">
        <f t="shared" si="67"/>
        <v>0</v>
      </c>
      <c r="BT43" s="2062"/>
      <c r="BU43" s="2059">
        <f t="shared" si="81"/>
        <v>0</v>
      </c>
      <c r="BV43" s="2059">
        <f t="shared" si="82"/>
        <v>2900</v>
      </c>
      <c r="BW43" s="2028">
        <f t="shared" si="83"/>
        <v>2900</v>
      </c>
      <c r="BX43" s="2892">
        <f t="shared" si="84"/>
        <v>3.9029213195407168E-4</v>
      </c>
      <c r="BY43" s="2901"/>
    </row>
    <row r="44" spans="1:77" ht="16.2" customHeight="1" x14ac:dyDescent="0.25">
      <c r="A44" s="4015"/>
      <c r="B44" s="2921" t="s">
        <v>28</v>
      </c>
      <c r="C44" s="2895"/>
      <c r="D44" s="2941"/>
      <c r="E44" s="2942">
        <f t="shared" si="68"/>
        <v>0</v>
      </c>
      <c r="F44" s="2892">
        <f t="shared" si="54"/>
        <v>0</v>
      </c>
      <c r="G44" s="2059">
        <v>0</v>
      </c>
      <c r="H44" s="2059">
        <v>0</v>
      </c>
      <c r="I44" s="2028">
        <v>0</v>
      </c>
      <c r="J44" s="2892">
        <v>0</v>
      </c>
      <c r="K44" s="1992"/>
      <c r="L44" s="2067">
        <v>0</v>
      </c>
      <c r="M44" s="2059">
        <v>520</v>
      </c>
      <c r="N44" s="2028">
        <f t="shared" si="69"/>
        <v>520</v>
      </c>
      <c r="O44" s="2892">
        <f t="shared" si="56"/>
        <v>1.400698399961665E-4</v>
      </c>
      <c r="P44" s="2062"/>
      <c r="Q44" s="2631"/>
      <c r="R44" s="2067"/>
      <c r="S44" s="2059"/>
      <c r="T44" s="2028">
        <f t="shared" si="70"/>
        <v>0</v>
      </c>
      <c r="U44" s="2892">
        <f t="shared" si="57"/>
        <v>0</v>
      </c>
      <c r="V44" s="2906"/>
      <c r="W44" s="2067"/>
      <c r="X44" s="2059"/>
      <c r="Y44" s="2028">
        <f t="shared" si="71"/>
        <v>0</v>
      </c>
      <c r="Z44" s="2892">
        <f t="shared" si="58"/>
        <v>0</v>
      </c>
      <c r="AA44" s="2062"/>
      <c r="AB44" s="2067"/>
      <c r="AC44" s="2059"/>
      <c r="AD44" s="2028">
        <f t="shared" si="72"/>
        <v>0</v>
      </c>
      <c r="AE44" s="2892">
        <f t="shared" si="59"/>
        <v>0</v>
      </c>
      <c r="AF44" s="2062"/>
      <c r="AG44" s="2067"/>
      <c r="AH44" s="2059"/>
      <c r="AI44" s="2028">
        <f t="shared" si="73"/>
        <v>0</v>
      </c>
      <c r="AJ44" s="2892">
        <f t="shared" si="60"/>
        <v>0</v>
      </c>
      <c r="AK44" s="2062"/>
      <c r="AL44" s="2067"/>
      <c r="AM44" s="2059"/>
      <c r="AN44" s="2028">
        <f t="shared" si="74"/>
        <v>0</v>
      </c>
      <c r="AO44" s="2892">
        <f t="shared" si="61"/>
        <v>0</v>
      </c>
      <c r="AP44" s="2062"/>
      <c r="AQ44" s="2067"/>
      <c r="AR44" s="2059"/>
      <c r="AS44" s="2028">
        <f t="shared" si="75"/>
        <v>0</v>
      </c>
      <c r="AT44" s="2892">
        <f t="shared" si="62"/>
        <v>0</v>
      </c>
      <c r="AU44" s="2062"/>
      <c r="AV44" s="2067"/>
      <c r="AW44" s="2059"/>
      <c r="AX44" s="2028">
        <f t="shared" si="76"/>
        <v>0</v>
      </c>
      <c r="AY44" s="2892">
        <f t="shared" si="63"/>
        <v>0</v>
      </c>
      <c r="AZ44" s="2062"/>
      <c r="BA44" s="2067"/>
      <c r="BB44" s="2059"/>
      <c r="BC44" s="2028">
        <f t="shared" si="77"/>
        <v>0</v>
      </c>
      <c r="BD44" s="2892" t="e">
        <f t="shared" si="64"/>
        <v>#DIV/0!</v>
      </c>
      <c r="BE44" s="2062"/>
      <c r="BF44" s="2067"/>
      <c r="BG44" s="2059"/>
      <c r="BH44" s="2028">
        <f t="shared" si="78"/>
        <v>0</v>
      </c>
      <c r="BI44" s="2155">
        <f t="shared" si="65"/>
        <v>0</v>
      </c>
      <c r="BJ44" s="2062"/>
      <c r="BK44" s="2067"/>
      <c r="BL44" s="2059"/>
      <c r="BM44" s="2028">
        <f t="shared" si="79"/>
        <v>0</v>
      </c>
      <c r="BN44" s="2155">
        <f t="shared" si="66"/>
        <v>0</v>
      </c>
      <c r="BO44" s="2062"/>
      <c r="BP44" s="2067"/>
      <c r="BQ44" s="2059"/>
      <c r="BR44" s="2028">
        <f t="shared" si="80"/>
        <v>0</v>
      </c>
      <c r="BS44" s="2155">
        <f t="shared" si="67"/>
        <v>0</v>
      </c>
      <c r="BT44" s="2062"/>
      <c r="BU44" s="2059">
        <f t="shared" si="81"/>
        <v>0</v>
      </c>
      <c r="BV44" s="2059">
        <f t="shared" si="82"/>
        <v>520</v>
      </c>
      <c r="BW44" s="2028">
        <f t="shared" si="83"/>
        <v>520</v>
      </c>
      <c r="BX44" s="2892">
        <f t="shared" si="84"/>
        <v>6.9983416764178368E-5</v>
      </c>
      <c r="BY44" s="2901"/>
    </row>
    <row r="45" spans="1:77" ht="16.2" customHeight="1" x14ac:dyDescent="0.25">
      <c r="A45" s="4015"/>
      <c r="B45" s="2940" t="s">
        <v>8</v>
      </c>
      <c r="C45" s="2895"/>
      <c r="D45" s="2941"/>
      <c r="E45" s="2942">
        <f t="shared" si="68"/>
        <v>0</v>
      </c>
      <c r="F45" s="2892">
        <f t="shared" si="54"/>
        <v>0</v>
      </c>
      <c r="G45" s="2059">
        <v>235</v>
      </c>
      <c r="H45" s="2059">
        <v>0</v>
      </c>
      <c r="I45" s="2028">
        <v>235</v>
      </c>
      <c r="J45" s="2892">
        <v>7.275892134915891E-5</v>
      </c>
      <c r="K45" s="1992"/>
      <c r="L45" s="2067">
        <v>141</v>
      </c>
      <c r="M45" s="2059">
        <v>0</v>
      </c>
      <c r="N45" s="2028">
        <f t="shared" si="69"/>
        <v>141</v>
      </c>
      <c r="O45" s="2892">
        <f t="shared" si="56"/>
        <v>3.7980475845114375E-5</v>
      </c>
      <c r="P45" s="2062"/>
      <c r="Q45" s="2631"/>
      <c r="R45" s="2067"/>
      <c r="S45" s="2059"/>
      <c r="T45" s="2028">
        <f t="shared" si="70"/>
        <v>0</v>
      </c>
      <c r="U45" s="2892">
        <f t="shared" si="57"/>
        <v>0</v>
      </c>
      <c r="V45" s="2906"/>
      <c r="W45" s="2067"/>
      <c r="X45" s="2059"/>
      <c r="Y45" s="2028">
        <f t="shared" si="71"/>
        <v>0</v>
      </c>
      <c r="Z45" s="2892">
        <f t="shared" si="58"/>
        <v>0</v>
      </c>
      <c r="AA45" s="2062"/>
      <c r="AB45" s="2067">
        <f>201*1.2</f>
        <v>241.2</v>
      </c>
      <c r="AC45" s="2059"/>
      <c r="AD45" s="2028">
        <f t="shared" si="72"/>
        <v>241.2</v>
      </c>
      <c r="AE45" s="2892">
        <f t="shared" si="59"/>
        <v>2.7227799736593591E-3</v>
      </c>
      <c r="AF45" s="2062"/>
      <c r="AG45" s="2067"/>
      <c r="AH45" s="2059"/>
      <c r="AI45" s="2028">
        <f t="shared" si="73"/>
        <v>0</v>
      </c>
      <c r="AJ45" s="2892">
        <f t="shared" si="60"/>
        <v>0</v>
      </c>
      <c r="AK45" s="2062"/>
      <c r="AL45" s="2067"/>
      <c r="AM45" s="2059"/>
      <c r="AN45" s="2028">
        <f t="shared" si="74"/>
        <v>0</v>
      </c>
      <c r="AO45" s="2892">
        <f t="shared" si="61"/>
        <v>0</v>
      </c>
      <c r="AP45" s="2062"/>
      <c r="AQ45" s="2067"/>
      <c r="AR45" s="2059"/>
      <c r="AS45" s="2028">
        <f t="shared" si="75"/>
        <v>0</v>
      </c>
      <c r="AT45" s="2892">
        <f t="shared" si="62"/>
        <v>0</v>
      </c>
      <c r="AU45" s="2062"/>
      <c r="AV45" s="2067"/>
      <c r="AW45" s="2059"/>
      <c r="AX45" s="2028">
        <f t="shared" si="76"/>
        <v>0</v>
      </c>
      <c r="AY45" s="2892">
        <f t="shared" si="63"/>
        <v>0</v>
      </c>
      <c r="AZ45" s="2062"/>
      <c r="BA45" s="2067"/>
      <c r="BB45" s="2059"/>
      <c r="BC45" s="2028">
        <f t="shared" si="77"/>
        <v>0</v>
      </c>
      <c r="BD45" s="2892" t="e">
        <f t="shared" si="64"/>
        <v>#DIV/0!</v>
      </c>
      <c r="BE45" s="2062"/>
      <c r="BF45" s="2067"/>
      <c r="BG45" s="2059"/>
      <c r="BH45" s="2028">
        <f t="shared" si="78"/>
        <v>0</v>
      </c>
      <c r="BI45" s="2155">
        <f t="shared" si="65"/>
        <v>0</v>
      </c>
      <c r="BJ45" s="2062"/>
      <c r="BK45" s="2067"/>
      <c r="BL45" s="2059"/>
      <c r="BM45" s="2028">
        <f t="shared" si="79"/>
        <v>0</v>
      </c>
      <c r="BN45" s="2155">
        <f t="shared" si="66"/>
        <v>0</v>
      </c>
      <c r="BO45" s="2062"/>
      <c r="BP45" s="2067"/>
      <c r="BQ45" s="2059"/>
      <c r="BR45" s="2028">
        <f t="shared" si="80"/>
        <v>0</v>
      </c>
      <c r="BS45" s="2155">
        <f t="shared" si="67"/>
        <v>0</v>
      </c>
      <c r="BT45" s="2062"/>
      <c r="BU45" s="2059">
        <f t="shared" si="81"/>
        <v>617.20000000000005</v>
      </c>
      <c r="BV45" s="2059">
        <f t="shared" si="82"/>
        <v>0</v>
      </c>
      <c r="BW45" s="2028">
        <f t="shared" si="83"/>
        <v>617.20000000000005</v>
      </c>
      <c r="BX45" s="2892">
        <f t="shared" si="84"/>
        <v>8.3064932359328634E-5</v>
      </c>
      <c r="BY45" s="2901"/>
    </row>
    <row r="46" spans="1:77" ht="16.2" customHeight="1" x14ac:dyDescent="0.25">
      <c r="A46" s="4015"/>
      <c r="B46" s="2940" t="s">
        <v>29</v>
      </c>
      <c r="C46" s="2895"/>
      <c r="D46" s="2941"/>
      <c r="E46" s="2942">
        <f t="shared" si="68"/>
        <v>0</v>
      </c>
      <c r="F46" s="2892">
        <f t="shared" si="54"/>
        <v>0</v>
      </c>
      <c r="G46" s="2059">
        <v>0</v>
      </c>
      <c r="H46" s="2059">
        <v>0</v>
      </c>
      <c r="I46" s="2028">
        <v>0</v>
      </c>
      <c r="J46" s="2892">
        <v>0</v>
      </c>
      <c r="K46" s="1992"/>
      <c r="L46" s="2067">
        <v>0</v>
      </c>
      <c r="M46" s="2059">
        <v>0</v>
      </c>
      <c r="N46" s="2028">
        <f t="shared" si="69"/>
        <v>0</v>
      </c>
      <c r="O46" s="2892">
        <f t="shared" si="56"/>
        <v>0</v>
      </c>
      <c r="P46" s="2062"/>
      <c r="Q46" s="2631"/>
      <c r="R46" s="2067"/>
      <c r="S46" s="2059"/>
      <c r="T46" s="2028">
        <f t="shared" si="70"/>
        <v>0</v>
      </c>
      <c r="U46" s="2892">
        <f t="shared" si="57"/>
        <v>0</v>
      </c>
      <c r="V46" s="2906"/>
      <c r="W46" s="2067"/>
      <c r="X46" s="2059"/>
      <c r="Y46" s="2028">
        <f t="shared" si="71"/>
        <v>0</v>
      </c>
      <c r="Z46" s="2892">
        <f t="shared" si="58"/>
        <v>0</v>
      </c>
      <c r="AA46" s="2062"/>
      <c r="AB46" s="2067"/>
      <c r="AC46" s="2059"/>
      <c r="AD46" s="2028">
        <f t="shared" si="72"/>
        <v>0</v>
      </c>
      <c r="AE46" s="2892">
        <f t="shared" si="59"/>
        <v>0</v>
      </c>
      <c r="AF46" s="2062"/>
      <c r="AG46" s="2067"/>
      <c r="AH46" s="2059"/>
      <c r="AI46" s="2028">
        <f t="shared" si="73"/>
        <v>0</v>
      </c>
      <c r="AJ46" s="2892">
        <f t="shared" si="60"/>
        <v>0</v>
      </c>
      <c r="AK46" s="2062"/>
      <c r="AL46" s="2067"/>
      <c r="AM46" s="2059"/>
      <c r="AN46" s="2028">
        <f t="shared" si="74"/>
        <v>0</v>
      </c>
      <c r="AO46" s="2892">
        <f t="shared" si="61"/>
        <v>0</v>
      </c>
      <c r="AP46" s="2062"/>
      <c r="AQ46" s="2067"/>
      <c r="AR46" s="2059"/>
      <c r="AS46" s="2028">
        <f t="shared" si="75"/>
        <v>0</v>
      </c>
      <c r="AT46" s="2892">
        <f t="shared" si="62"/>
        <v>0</v>
      </c>
      <c r="AU46" s="2062"/>
      <c r="AV46" s="2067"/>
      <c r="AW46" s="2059"/>
      <c r="AX46" s="2028">
        <f t="shared" si="76"/>
        <v>0</v>
      </c>
      <c r="AY46" s="2892">
        <f t="shared" si="63"/>
        <v>0</v>
      </c>
      <c r="AZ46" s="2062"/>
      <c r="BA46" s="2067"/>
      <c r="BB46" s="2059"/>
      <c r="BC46" s="2028">
        <f t="shared" si="77"/>
        <v>0</v>
      </c>
      <c r="BD46" s="2892" t="e">
        <f t="shared" si="64"/>
        <v>#DIV/0!</v>
      </c>
      <c r="BE46" s="2062"/>
      <c r="BF46" s="2067"/>
      <c r="BG46" s="2059"/>
      <c r="BH46" s="2028">
        <f t="shared" si="78"/>
        <v>0</v>
      </c>
      <c r="BI46" s="2155">
        <f t="shared" si="65"/>
        <v>0</v>
      </c>
      <c r="BJ46" s="2062"/>
      <c r="BK46" s="2067"/>
      <c r="BL46" s="2059"/>
      <c r="BM46" s="2028">
        <f t="shared" si="79"/>
        <v>0</v>
      </c>
      <c r="BN46" s="2155">
        <f t="shared" si="66"/>
        <v>0</v>
      </c>
      <c r="BO46" s="2062"/>
      <c r="BP46" s="2067"/>
      <c r="BQ46" s="2059"/>
      <c r="BR46" s="2028">
        <f t="shared" si="80"/>
        <v>0</v>
      </c>
      <c r="BS46" s="2155">
        <f t="shared" si="67"/>
        <v>0</v>
      </c>
      <c r="BT46" s="2062"/>
      <c r="BU46" s="2059">
        <f t="shared" si="81"/>
        <v>0</v>
      </c>
      <c r="BV46" s="2059">
        <f t="shared" si="82"/>
        <v>0</v>
      </c>
      <c r="BW46" s="2028">
        <f t="shared" si="83"/>
        <v>0</v>
      </c>
      <c r="BX46" s="2892">
        <f t="shared" si="84"/>
        <v>0</v>
      </c>
      <c r="BY46" s="2901"/>
    </row>
    <row r="47" spans="1:77" ht="16.2" customHeight="1" x14ac:dyDescent="0.25">
      <c r="A47" s="4015"/>
      <c r="B47" s="2940" t="s">
        <v>30</v>
      </c>
      <c r="C47" s="2895"/>
      <c r="D47" s="2941"/>
      <c r="E47" s="2942">
        <f t="shared" si="68"/>
        <v>0</v>
      </c>
      <c r="F47" s="2892">
        <f t="shared" si="54"/>
        <v>0</v>
      </c>
      <c r="G47" s="2059">
        <v>12748.04</v>
      </c>
      <c r="H47" s="2059">
        <v>0</v>
      </c>
      <c r="I47" s="2028">
        <v>12748.04</v>
      </c>
      <c r="J47" s="2892">
        <v>3.9469516583656673E-3</v>
      </c>
      <c r="K47" s="1992"/>
      <c r="L47" s="2067">
        <v>11346.417999999998</v>
      </c>
      <c r="M47" s="2059">
        <v>210</v>
      </c>
      <c r="N47" s="2028">
        <f t="shared" si="69"/>
        <v>11556.417999999998</v>
      </c>
      <c r="O47" s="2892">
        <f t="shared" si="56"/>
        <v>3.1128954234400348E-3</v>
      </c>
      <c r="P47" s="2062"/>
      <c r="Q47" s="2631"/>
      <c r="R47" s="2067"/>
      <c r="S47" s="2059"/>
      <c r="T47" s="2028">
        <f t="shared" si="70"/>
        <v>0</v>
      </c>
      <c r="U47" s="2892">
        <f t="shared" si="57"/>
        <v>0</v>
      </c>
      <c r="V47" s="2906"/>
      <c r="W47" s="2067"/>
      <c r="X47" s="2059"/>
      <c r="Y47" s="2028">
        <f t="shared" si="71"/>
        <v>0</v>
      </c>
      <c r="Z47" s="2892">
        <f t="shared" si="58"/>
        <v>0</v>
      </c>
      <c r="AA47" s="2062"/>
      <c r="AB47" s="2067"/>
      <c r="AC47" s="2059"/>
      <c r="AD47" s="2028">
        <f t="shared" si="72"/>
        <v>0</v>
      </c>
      <c r="AE47" s="2892">
        <f t="shared" si="59"/>
        <v>0</v>
      </c>
      <c r="AF47" s="2062"/>
      <c r="AG47" s="2067"/>
      <c r="AH47" s="2059"/>
      <c r="AI47" s="2028">
        <f t="shared" si="73"/>
        <v>0</v>
      </c>
      <c r="AJ47" s="2892">
        <f t="shared" si="60"/>
        <v>0</v>
      </c>
      <c r="AK47" s="2062"/>
      <c r="AL47" s="2067"/>
      <c r="AM47" s="2059"/>
      <c r="AN47" s="2028">
        <f t="shared" si="74"/>
        <v>0</v>
      </c>
      <c r="AO47" s="2892">
        <f t="shared" si="61"/>
        <v>0</v>
      </c>
      <c r="AP47" s="2062"/>
      <c r="AQ47" s="2067"/>
      <c r="AR47" s="2059"/>
      <c r="AS47" s="2028">
        <f t="shared" si="75"/>
        <v>0</v>
      </c>
      <c r="AT47" s="2892">
        <f t="shared" si="62"/>
        <v>0</v>
      </c>
      <c r="AU47" s="2062"/>
      <c r="AV47" s="2067"/>
      <c r="AW47" s="2059"/>
      <c r="AX47" s="2028">
        <f t="shared" si="76"/>
        <v>0</v>
      </c>
      <c r="AY47" s="2892">
        <f t="shared" si="63"/>
        <v>0</v>
      </c>
      <c r="AZ47" s="2062"/>
      <c r="BA47" s="2067"/>
      <c r="BB47" s="2059"/>
      <c r="BC47" s="2028">
        <f t="shared" si="77"/>
        <v>0</v>
      </c>
      <c r="BD47" s="2892" t="e">
        <f t="shared" si="64"/>
        <v>#DIV/0!</v>
      </c>
      <c r="BE47" s="2062"/>
      <c r="BF47" s="2067"/>
      <c r="BG47" s="2059"/>
      <c r="BH47" s="2028">
        <f t="shared" si="78"/>
        <v>0</v>
      </c>
      <c r="BI47" s="2155">
        <f t="shared" si="65"/>
        <v>0</v>
      </c>
      <c r="BJ47" s="2062"/>
      <c r="BK47" s="2067"/>
      <c r="BL47" s="2059"/>
      <c r="BM47" s="2028">
        <f t="shared" si="79"/>
        <v>0</v>
      </c>
      <c r="BN47" s="2155">
        <f t="shared" si="66"/>
        <v>0</v>
      </c>
      <c r="BO47" s="2062"/>
      <c r="BP47" s="2067"/>
      <c r="BQ47" s="2059"/>
      <c r="BR47" s="2028">
        <f t="shared" si="80"/>
        <v>0</v>
      </c>
      <c r="BS47" s="2155">
        <f t="shared" si="67"/>
        <v>0</v>
      </c>
      <c r="BT47" s="2062"/>
      <c r="BU47" s="2059">
        <f t="shared" si="81"/>
        <v>24094.457999999999</v>
      </c>
      <c r="BV47" s="2059">
        <f t="shared" si="82"/>
        <v>210</v>
      </c>
      <c r="BW47" s="2028">
        <f t="shared" si="83"/>
        <v>24304.457999999999</v>
      </c>
      <c r="BX47" s="2892">
        <f t="shared" si="84"/>
        <v>3.2709788720028249E-3</v>
      </c>
      <c r="BY47" s="2901"/>
    </row>
    <row r="48" spans="1:77" ht="16.2" customHeight="1" x14ac:dyDescent="0.25">
      <c r="A48" s="4015"/>
      <c r="B48" s="2940" t="s">
        <v>15</v>
      </c>
      <c r="C48" s="2895"/>
      <c r="D48" s="2941"/>
      <c r="E48" s="2942">
        <f t="shared" si="68"/>
        <v>0</v>
      </c>
      <c r="F48" s="2892">
        <f t="shared" si="54"/>
        <v>0</v>
      </c>
      <c r="G48" s="2059">
        <v>882</v>
      </c>
      <c r="H48" s="2059">
        <v>0</v>
      </c>
      <c r="I48" s="2028">
        <v>882</v>
      </c>
      <c r="J48" s="2892">
        <v>2.7307816438280067E-4</v>
      </c>
      <c r="K48" s="1992"/>
      <c r="L48" s="2067">
        <v>2193.54</v>
      </c>
      <c r="M48" s="2059">
        <v>0</v>
      </c>
      <c r="N48" s="2028">
        <f t="shared" si="69"/>
        <v>2193.54</v>
      </c>
      <c r="O48" s="2892">
        <f t="shared" si="56"/>
        <v>5.9086307081767503E-4</v>
      </c>
      <c r="P48" s="2943"/>
      <c r="Q48" s="2631"/>
      <c r="R48" s="2067"/>
      <c r="S48" s="2059"/>
      <c r="T48" s="2028">
        <f t="shared" si="70"/>
        <v>0</v>
      </c>
      <c r="U48" s="2892">
        <f t="shared" si="57"/>
        <v>0</v>
      </c>
      <c r="V48" s="2906"/>
      <c r="W48" s="2067"/>
      <c r="X48" s="2059"/>
      <c r="Y48" s="2028">
        <f t="shared" si="71"/>
        <v>0</v>
      </c>
      <c r="Z48" s="2892">
        <f t="shared" si="58"/>
        <v>0</v>
      </c>
      <c r="AA48" s="2943"/>
      <c r="AB48" s="2067"/>
      <c r="AC48" s="2059"/>
      <c r="AD48" s="2028">
        <f t="shared" si="72"/>
        <v>0</v>
      </c>
      <c r="AE48" s="2892">
        <f t="shared" si="59"/>
        <v>0</v>
      </c>
      <c r="AF48" s="2943"/>
      <c r="AG48" s="2067"/>
      <c r="AH48" s="2059"/>
      <c r="AI48" s="2028">
        <f t="shared" si="73"/>
        <v>0</v>
      </c>
      <c r="AJ48" s="2892">
        <f t="shared" si="60"/>
        <v>0</v>
      </c>
      <c r="AK48" s="2943"/>
      <c r="AL48" s="2067"/>
      <c r="AM48" s="2059"/>
      <c r="AN48" s="2028">
        <f t="shared" si="74"/>
        <v>0</v>
      </c>
      <c r="AO48" s="2892">
        <f t="shared" si="61"/>
        <v>0</v>
      </c>
      <c r="AP48" s="2943"/>
      <c r="AQ48" s="2067"/>
      <c r="AR48" s="2059"/>
      <c r="AS48" s="2028">
        <f t="shared" si="75"/>
        <v>0</v>
      </c>
      <c r="AT48" s="2892">
        <f t="shared" si="62"/>
        <v>0</v>
      </c>
      <c r="AU48" s="2062"/>
      <c r="AV48" s="2067"/>
      <c r="AW48" s="2059"/>
      <c r="AX48" s="2028">
        <f t="shared" si="76"/>
        <v>0</v>
      </c>
      <c r="AY48" s="2892">
        <f t="shared" si="63"/>
        <v>0</v>
      </c>
      <c r="AZ48" s="2062"/>
      <c r="BA48" s="2067"/>
      <c r="BB48" s="2059"/>
      <c r="BC48" s="2028">
        <f t="shared" si="77"/>
        <v>0</v>
      </c>
      <c r="BD48" s="2892" t="e">
        <f t="shared" si="64"/>
        <v>#DIV/0!</v>
      </c>
      <c r="BE48" s="2062"/>
      <c r="BF48" s="2067"/>
      <c r="BG48" s="2059"/>
      <c r="BH48" s="2028">
        <f t="shared" si="78"/>
        <v>0</v>
      </c>
      <c r="BI48" s="2155">
        <f t="shared" si="65"/>
        <v>0</v>
      </c>
      <c r="BJ48" s="2062"/>
      <c r="BK48" s="2067"/>
      <c r="BL48" s="2059"/>
      <c r="BM48" s="2028">
        <f t="shared" si="79"/>
        <v>0</v>
      </c>
      <c r="BN48" s="2155">
        <f t="shared" si="66"/>
        <v>0</v>
      </c>
      <c r="BO48" s="2062"/>
      <c r="BP48" s="2067"/>
      <c r="BQ48" s="2059"/>
      <c r="BR48" s="2028">
        <f t="shared" si="80"/>
        <v>0</v>
      </c>
      <c r="BS48" s="2155">
        <f t="shared" si="67"/>
        <v>0</v>
      </c>
      <c r="BT48" s="2062"/>
      <c r="BU48" s="2059">
        <f t="shared" si="81"/>
        <v>3075.54</v>
      </c>
      <c r="BV48" s="2059">
        <f t="shared" si="82"/>
        <v>0</v>
      </c>
      <c r="BW48" s="2028">
        <f t="shared" si="83"/>
        <v>3075.54</v>
      </c>
      <c r="BX48" s="2892">
        <f t="shared" si="84"/>
        <v>4.1391691845173297E-4</v>
      </c>
      <c r="BY48" s="2901"/>
    </row>
    <row r="49" spans="1:77" s="1411" customFormat="1" ht="14.4" thickBot="1" x14ac:dyDescent="0.3">
      <c r="A49" s="1420"/>
      <c r="B49" s="2944"/>
      <c r="C49" s="2905"/>
      <c r="D49" s="2945"/>
      <c r="E49" s="2946"/>
      <c r="F49" s="2947"/>
      <c r="G49" s="2059"/>
      <c r="H49" s="2059"/>
      <c r="I49" s="2929"/>
      <c r="J49" s="2892">
        <v>0</v>
      </c>
      <c r="K49" s="1723"/>
      <c r="L49" s="2067"/>
      <c r="M49" s="2059"/>
      <c r="N49" s="2929"/>
      <c r="O49" s="2892"/>
      <c r="P49" s="2948"/>
      <c r="Q49" s="2634"/>
      <c r="R49" s="2067"/>
      <c r="S49" s="2059"/>
      <c r="T49" s="2929"/>
      <c r="U49" s="2892">
        <f t="shared" si="57"/>
        <v>0</v>
      </c>
      <c r="V49" s="2931"/>
      <c r="W49" s="2067"/>
      <c r="X49" s="2059"/>
      <c r="Y49" s="2929"/>
      <c r="Z49" s="2892"/>
      <c r="AA49" s="2948"/>
      <c r="AB49" s="2067"/>
      <c r="AC49" s="2059"/>
      <c r="AD49" s="2929"/>
      <c r="AE49" s="2892"/>
      <c r="AF49" s="2948"/>
      <c r="AG49" s="2067"/>
      <c r="AH49" s="2059"/>
      <c r="AI49" s="2929"/>
      <c r="AJ49" s="2892"/>
      <c r="AK49" s="2948"/>
      <c r="AL49" s="2067"/>
      <c r="AM49" s="2059"/>
      <c r="AN49" s="2929"/>
      <c r="AO49" s="2892"/>
      <c r="AP49" s="2948"/>
      <c r="AQ49" s="2067"/>
      <c r="AR49" s="2059"/>
      <c r="AS49" s="2929"/>
      <c r="AT49" s="2892"/>
      <c r="AU49" s="2948"/>
      <c r="AV49" s="2067"/>
      <c r="AW49" s="2059"/>
      <c r="AX49" s="2929"/>
      <c r="AY49" s="2892"/>
      <c r="AZ49" s="2948"/>
      <c r="BA49" s="2067"/>
      <c r="BB49" s="2059"/>
      <c r="BC49" s="2929"/>
      <c r="BD49" s="2892"/>
      <c r="BE49" s="2948"/>
      <c r="BF49" s="2067"/>
      <c r="BG49" s="2059"/>
      <c r="BH49" s="2528"/>
      <c r="BI49" s="2155"/>
      <c r="BJ49" s="2532"/>
      <c r="BK49" s="2067"/>
      <c r="BL49" s="2059"/>
      <c r="BM49" s="2528"/>
      <c r="BN49" s="2155"/>
      <c r="BO49" s="2532"/>
      <c r="BP49" s="2067"/>
      <c r="BQ49" s="2059"/>
      <c r="BR49" s="2528"/>
      <c r="BS49" s="2155"/>
      <c r="BT49" s="2532"/>
      <c r="BU49" s="2059"/>
      <c r="BV49" s="2059"/>
      <c r="BW49" s="2929"/>
      <c r="BX49" s="2892">
        <f t="shared" si="84"/>
        <v>0</v>
      </c>
      <c r="BY49" s="2929"/>
    </row>
    <row r="50" spans="1:77" s="1411" customFormat="1" ht="13.8" x14ac:dyDescent="0.25">
      <c r="A50" s="1580"/>
      <c r="B50" s="1425" t="s">
        <v>59</v>
      </c>
      <c r="C50" s="2031"/>
      <c r="D50" s="2031"/>
      <c r="E50" s="2031">
        <f>SUM(E51:E52)</f>
        <v>0</v>
      </c>
      <c r="F50" s="1549">
        <f>E50/$E$89</f>
        <v>0</v>
      </c>
      <c r="G50" s="2031">
        <v>0</v>
      </c>
      <c r="H50" s="2031">
        <v>0</v>
      </c>
      <c r="I50" s="2031">
        <v>0</v>
      </c>
      <c r="J50" s="2022"/>
      <c r="K50" s="1593"/>
      <c r="L50" s="2031">
        <f>L52+L51</f>
        <v>0</v>
      </c>
      <c r="M50" s="2031">
        <f>M52+M51</f>
        <v>0</v>
      </c>
      <c r="N50" s="2031">
        <f>SUM(N51:N52)</f>
        <v>0</v>
      </c>
      <c r="O50" s="2022">
        <f t="shared" ref="O50:O52" si="85">N50/N$89</f>
        <v>0</v>
      </c>
      <c r="P50" s="2000"/>
      <c r="Q50" s="2637"/>
      <c r="R50" s="2031">
        <f>R52+R51</f>
        <v>0</v>
      </c>
      <c r="S50" s="2031">
        <f>S52+S51</f>
        <v>0</v>
      </c>
      <c r="T50" s="2031">
        <f>SUM(T51:T52)</f>
        <v>0</v>
      </c>
      <c r="U50" s="2022">
        <f>T50/$T$89</f>
        <v>0</v>
      </c>
      <c r="V50" s="2039"/>
      <c r="W50" s="2031">
        <f>W52+W51</f>
        <v>0</v>
      </c>
      <c r="X50" s="2031">
        <f>X52+X51</f>
        <v>0</v>
      </c>
      <c r="Y50" s="2031">
        <f>SUM(Y51:Y52)</f>
        <v>0</v>
      </c>
      <c r="Z50" s="2022">
        <f>Y50/$Y$89</f>
        <v>0</v>
      </c>
      <c r="AA50" s="2000"/>
      <c r="AB50" s="2031">
        <f>AB52+AB51</f>
        <v>0</v>
      </c>
      <c r="AC50" s="2031">
        <f>AC52+AC51</f>
        <v>0</v>
      </c>
      <c r="AD50" s="2031">
        <f>SUM(AD51:AD52)</f>
        <v>0</v>
      </c>
      <c r="AE50" s="2022">
        <f>AD50/$AD$89</f>
        <v>0</v>
      </c>
      <c r="AF50" s="2000"/>
      <c r="AG50" s="2031">
        <f>AG52+AG51</f>
        <v>0</v>
      </c>
      <c r="AH50" s="2031">
        <f>AH52+AH51</f>
        <v>0</v>
      </c>
      <c r="AI50" s="2031">
        <f>SUM(AI51:AI52)</f>
        <v>0</v>
      </c>
      <c r="AJ50" s="2022">
        <f t="shared" ref="AJ50:AJ52" si="86">AI50/AI$89</f>
        <v>0</v>
      </c>
      <c r="AK50" s="2000"/>
      <c r="AL50" s="2031">
        <f>AL52+AL51</f>
        <v>0</v>
      </c>
      <c r="AM50" s="2031">
        <f>AM52+AM51</f>
        <v>0</v>
      </c>
      <c r="AN50" s="2031">
        <f>SUM(AN51:AN52)</f>
        <v>0</v>
      </c>
      <c r="AO50" s="2022">
        <f t="shared" ref="AO50:AO52" si="87">AN50/AN$89</f>
        <v>0</v>
      </c>
      <c r="AP50" s="2000"/>
      <c r="AQ50" s="2031">
        <f>AQ52+AQ51</f>
        <v>0</v>
      </c>
      <c r="AR50" s="2031">
        <f>AR52+AR51</f>
        <v>0</v>
      </c>
      <c r="AS50" s="2031">
        <f>SUM(AS51:AS52)</f>
        <v>0</v>
      </c>
      <c r="AT50" s="2022">
        <f t="shared" ref="AT50:AT52" si="88">AS50/AS$89</f>
        <v>0</v>
      </c>
      <c r="AU50" s="2000"/>
      <c r="AV50" s="2031">
        <f>AV52+AV51</f>
        <v>0</v>
      </c>
      <c r="AW50" s="2031">
        <f>AW52+AW51</f>
        <v>0</v>
      </c>
      <c r="AX50" s="2031">
        <f>SUM(AX51:AX52)</f>
        <v>0</v>
      </c>
      <c r="AY50" s="2022">
        <f t="shared" ref="AY50:AY52" si="89">AX50/AX$89</f>
        <v>0</v>
      </c>
      <c r="AZ50" s="2000"/>
      <c r="BA50" s="2031">
        <f>BA52+BA51</f>
        <v>0</v>
      </c>
      <c r="BB50" s="2031">
        <f>BB52+BB51</f>
        <v>0</v>
      </c>
      <c r="BC50" s="2031">
        <f>SUM(BC51:BC52)</f>
        <v>0</v>
      </c>
      <c r="BD50" s="2022" t="e">
        <f t="shared" ref="BD50:BD52" si="90">BC50/BC$89</f>
        <v>#DIV/0!</v>
      </c>
      <c r="BE50" s="2000"/>
      <c r="BF50" s="2031">
        <f>BF52+BF51</f>
        <v>0</v>
      </c>
      <c r="BG50" s="2031">
        <f>BG52+BG51</f>
        <v>0</v>
      </c>
      <c r="BH50" s="2031">
        <f>SUM(BH51:BH52)</f>
        <v>0</v>
      </c>
      <c r="BI50" s="2022">
        <f t="shared" ref="BI50:BI52" si="91">BH50/BH$89</f>
        <v>0</v>
      </c>
      <c r="BJ50" s="2000"/>
      <c r="BK50" s="2031">
        <f>BK52+BK51</f>
        <v>0</v>
      </c>
      <c r="BL50" s="2031">
        <f>BL52+BL51</f>
        <v>0</v>
      </c>
      <c r="BM50" s="2031">
        <f>SUM(BM51:BM52)</f>
        <v>0</v>
      </c>
      <c r="BN50" s="2022">
        <f t="shared" ref="BN50:BN52" si="92">BM50/BM$89</f>
        <v>0</v>
      </c>
      <c r="BO50" s="2000"/>
      <c r="BP50" s="2031">
        <f>BP52+BP51</f>
        <v>0</v>
      </c>
      <c r="BQ50" s="2031">
        <f>BQ52+BQ51</f>
        <v>0</v>
      </c>
      <c r="BR50" s="2031">
        <f>SUM(BR51:BR52)</f>
        <v>0</v>
      </c>
      <c r="BS50" s="2022">
        <f t="shared" ref="BS50:BS52" si="93">BR50/BR$89</f>
        <v>0</v>
      </c>
      <c r="BT50" s="2000"/>
      <c r="BU50" s="2031">
        <f>BU52+BU51</f>
        <v>0</v>
      </c>
      <c r="BV50" s="2031">
        <f>BV52+BV51</f>
        <v>0</v>
      </c>
      <c r="BW50" s="2031">
        <f>SUM(BW51:BW52)</f>
        <v>0</v>
      </c>
      <c r="BX50" s="2022"/>
      <c r="BY50" s="2022"/>
    </row>
    <row r="51" spans="1:77" s="1579" customFormat="1" ht="13.8" x14ac:dyDescent="0.25">
      <c r="A51" s="1583"/>
      <c r="B51" s="2940" t="s">
        <v>60</v>
      </c>
      <c r="C51" s="2895"/>
      <c r="D51" s="2941"/>
      <c r="E51" s="2941">
        <f>C51+D51</f>
        <v>0</v>
      </c>
      <c r="F51" s="2949">
        <f>E51/$E$89</f>
        <v>0</v>
      </c>
      <c r="G51" s="2059">
        <v>0</v>
      </c>
      <c r="H51" s="2059">
        <v>0</v>
      </c>
      <c r="I51" s="2028">
        <v>0</v>
      </c>
      <c r="J51" s="2892">
        <v>0</v>
      </c>
      <c r="K51" s="1602"/>
      <c r="L51" s="2067">
        <v>0</v>
      </c>
      <c r="M51" s="2059">
        <v>0</v>
      </c>
      <c r="N51" s="2028">
        <f>L51+M51*1</f>
        <v>0</v>
      </c>
      <c r="O51" s="2892">
        <f t="shared" si="85"/>
        <v>0</v>
      </c>
      <c r="P51" s="2950"/>
      <c r="Q51" s="2638"/>
      <c r="R51" s="2067"/>
      <c r="S51" s="2059"/>
      <c r="T51" s="2028">
        <f>R51+S51*1</f>
        <v>0</v>
      </c>
      <c r="U51" s="2892">
        <f>T51/$T$89</f>
        <v>0</v>
      </c>
      <c r="V51" s="2924"/>
      <c r="W51" s="2067"/>
      <c r="X51" s="2059"/>
      <c r="Y51" s="2028">
        <f>W51+X51*1</f>
        <v>0</v>
      </c>
      <c r="Z51" s="2892">
        <f>Y51/$Y$89</f>
        <v>0</v>
      </c>
      <c r="AA51" s="2950"/>
      <c r="AB51" s="2067"/>
      <c r="AC51" s="2059"/>
      <c r="AD51" s="2028">
        <f>AB51+AC51*1</f>
        <v>0</v>
      </c>
      <c r="AE51" s="2892">
        <f>AD51/$AD$89</f>
        <v>0</v>
      </c>
      <c r="AF51" s="2950"/>
      <c r="AG51" s="2067"/>
      <c r="AH51" s="2059"/>
      <c r="AI51" s="2028">
        <f>AG51+AH51*1</f>
        <v>0</v>
      </c>
      <c r="AJ51" s="2892">
        <f t="shared" si="86"/>
        <v>0</v>
      </c>
      <c r="AK51" s="2950"/>
      <c r="AL51" s="2067"/>
      <c r="AM51" s="2059"/>
      <c r="AN51" s="2028">
        <f>AL51+AM51*1</f>
        <v>0</v>
      </c>
      <c r="AO51" s="2892">
        <f t="shared" si="87"/>
        <v>0</v>
      </c>
      <c r="AP51" s="2950"/>
      <c r="AQ51" s="2067"/>
      <c r="AR51" s="2059"/>
      <c r="AS51" s="2028">
        <f>AQ51+AR51*1</f>
        <v>0</v>
      </c>
      <c r="AT51" s="2892">
        <f t="shared" si="88"/>
        <v>0</v>
      </c>
      <c r="AU51" s="2950"/>
      <c r="AV51" s="2067"/>
      <c r="AW51" s="2059"/>
      <c r="AX51" s="2028">
        <f>AV51+AW51*1</f>
        <v>0</v>
      </c>
      <c r="AY51" s="2892">
        <f t="shared" si="89"/>
        <v>0</v>
      </c>
      <c r="AZ51" s="2950"/>
      <c r="BA51" s="2067"/>
      <c r="BB51" s="2059"/>
      <c r="BC51" s="2028">
        <f>BA51+BB51*1</f>
        <v>0</v>
      </c>
      <c r="BD51" s="2892" t="e">
        <f t="shared" si="90"/>
        <v>#DIV/0!</v>
      </c>
      <c r="BE51" s="2950"/>
      <c r="BF51" s="2067"/>
      <c r="BG51" s="2059"/>
      <c r="BH51" s="2028">
        <f>BF51+BG51*1</f>
        <v>0</v>
      </c>
      <c r="BI51" s="2155">
        <f t="shared" si="91"/>
        <v>0</v>
      </c>
      <c r="BJ51" s="2533"/>
      <c r="BK51" s="2067"/>
      <c r="BL51" s="2059"/>
      <c r="BM51" s="2028">
        <f>BK51+BL51*1</f>
        <v>0</v>
      </c>
      <c r="BN51" s="2155">
        <f t="shared" si="92"/>
        <v>0</v>
      </c>
      <c r="BO51" s="2533"/>
      <c r="BP51" s="2067"/>
      <c r="BQ51" s="2059"/>
      <c r="BR51" s="2028">
        <f>BP51+BQ51*1</f>
        <v>0</v>
      </c>
      <c r="BS51" s="2155">
        <f t="shared" si="93"/>
        <v>0</v>
      </c>
      <c r="BT51" s="2533"/>
      <c r="BU51" s="2059">
        <f t="shared" ref="BU51:BU52" si="94">G51+L51+R51+W51+AB51+AG51+AL51+AQ51+AV51+BA51+BF51+BK51+BP51</f>
        <v>0</v>
      </c>
      <c r="BV51" s="2059">
        <f t="shared" ref="BV51:BV52" si="95">H51+M51+S51+X51+AC51+AH51+AM51+AR51+AW51+BB51+BG51+BL51+BQ51</f>
        <v>0</v>
      </c>
      <c r="BW51" s="2028">
        <f>BU51+BV51*1</f>
        <v>0</v>
      </c>
      <c r="BX51" s="2892">
        <f t="shared" si="84"/>
        <v>0</v>
      </c>
      <c r="BY51" s="2925"/>
    </row>
    <row r="52" spans="1:77" s="1584" customFormat="1" ht="13.8" x14ac:dyDescent="0.25">
      <c r="A52" s="1583"/>
      <c r="B52" s="2940" t="s">
        <v>61</v>
      </c>
      <c r="C52" s="2895"/>
      <c r="D52" s="2941"/>
      <c r="E52" s="2941">
        <f>C52+D52</f>
        <v>0</v>
      </c>
      <c r="F52" s="2949">
        <f>E52/$E$89</f>
        <v>0</v>
      </c>
      <c r="G52" s="2059">
        <v>0</v>
      </c>
      <c r="H52" s="2059">
        <v>0</v>
      </c>
      <c r="I52" s="2028">
        <v>0</v>
      </c>
      <c r="J52" s="2892">
        <v>0</v>
      </c>
      <c r="K52" s="1602"/>
      <c r="L52" s="2067">
        <v>0</v>
      </c>
      <c r="M52" s="2059">
        <v>0</v>
      </c>
      <c r="N52" s="2028">
        <f>L52+M52*1</f>
        <v>0</v>
      </c>
      <c r="O52" s="2892">
        <f t="shared" si="85"/>
        <v>0</v>
      </c>
      <c r="P52" s="2062"/>
      <c r="Q52" s="2638"/>
      <c r="R52" s="2067"/>
      <c r="S52" s="2059"/>
      <c r="T52" s="2028">
        <f>R52+S52*1</f>
        <v>0</v>
      </c>
      <c r="U52" s="2892">
        <f>T52/$T$89</f>
        <v>0</v>
      </c>
      <c r="V52" s="2924"/>
      <c r="W52" s="2067"/>
      <c r="X52" s="2059"/>
      <c r="Y52" s="2028">
        <f>W52+X52*1</f>
        <v>0</v>
      </c>
      <c r="Z52" s="2892">
        <f>Y52/$Y$89</f>
        <v>0</v>
      </c>
      <c r="AA52" s="2062"/>
      <c r="AB52" s="2067"/>
      <c r="AC52" s="2059"/>
      <c r="AD52" s="2028">
        <f>AB52+AC52*1</f>
        <v>0</v>
      </c>
      <c r="AE52" s="2892">
        <f>AD52/$AD$89</f>
        <v>0</v>
      </c>
      <c r="AF52" s="2062"/>
      <c r="AG52" s="2067"/>
      <c r="AH52" s="2059"/>
      <c r="AI52" s="2028">
        <f>AG52+AH52*1</f>
        <v>0</v>
      </c>
      <c r="AJ52" s="2892">
        <f t="shared" si="86"/>
        <v>0</v>
      </c>
      <c r="AK52" s="2062"/>
      <c r="AL52" s="2067"/>
      <c r="AM52" s="2059"/>
      <c r="AN52" s="2028">
        <f>AL52+AM52*1</f>
        <v>0</v>
      </c>
      <c r="AO52" s="2892">
        <f t="shared" si="87"/>
        <v>0</v>
      </c>
      <c r="AP52" s="2062"/>
      <c r="AQ52" s="2067"/>
      <c r="AR52" s="2059"/>
      <c r="AS52" s="2028">
        <f>AQ52+AR52*1</f>
        <v>0</v>
      </c>
      <c r="AT52" s="2892">
        <f t="shared" si="88"/>
        <v>0</v>
      </c>
      <c r="AU52" s="2062"/>
      <c r="AV52" s="2067"/>
      <c r="AW52" s="2059"/>
      <c r="AX52" s="2028">
        <f>AV52+AW52*1</f>
        <v>0</v>
      </c>
      <c r="AY52" s="2892">
        <f t="shared" si="89"/>
        <v>0</v>
      </c>
      <c r="AZ52" s="2062"/>
      <c r="BA52" s="2067"/>
      <c r="BB52" s="2059"/>
      <c r="BC52" s="2028">
        <f>BA52+BB52*1</f>
        <v>0</v>
      </c>
      <c r="BD52" s="2892" t="e">
        <f t="shared" si="90"/>
        <v>#DIV/0!</v>
      </c>
      <c r="BE52" s="2062"/>
      <c r="BF52" s="2067"/>
      <c r="BG52" s="2059"/>
      <c r="BH52" s="2028">
        <f>BF52+BG52*1</f>
        <v>0</v>
      </c>
      <c r="BI52" s="2155">
        <f t="shared" si="91"/>
        <v>0</v>
      </c>
      <c r="BJ52" s="2062"/>
      <c r="BK52" s="2067"/>
      <c r="BL52" s="2059"/>
      <c r="BM52" s="2028">
        <f>BK52+BL52*1</f>
        <v>0</v>
      </c>
      <c r="BN52" s="2155">
        <f t="shared" si="92"/>
        <v>0</v>
      </c>
      <c r="BO52" s="2062"/>
      <c r="BP52" s="2067"/>
      <c r="BQ52" s="2059"/>
      <c r="BR52" s="2028">
        <f>BP52+BQ52*1</f>
        <v>0</v>
      </c>
      <c r="BS52" s="2155">
        <f t="shared" si="93"/>
        <v>0</v>
      </c>
      <c r="BT52" s="2062"/>
      <c r="BU52" s="2059">
        <f t="shared" si="94"/>
        <v>0</v>
      </c>
      <c r="BV52" s="2059">
        <f t="shared" si="95"/>
        <v>0</v>
      </c>
      <c r="BW52" s="2028">
        <f>BU52+BV52*1</f>
        <v>0</v>
      </c>
      <c r="BX52" s="2892">
        <f t="shared" si="84"/>
        <v>0</v>
      </c>
      <c r="BY52" s="2925"/>
    </row>
    <row r="53" spans="1:77" ht="14.4" thickBot="1" x14ac:dyDescent="0.3">
      <c r="A53" s="1428"/>
      <c r="B53" s="2951"/>
      <c r="C53" s="2952"/>
      <c r="D53" s="2953"/>
      <c r="E53" s="2954"/>
      <c r="F53" s="2955"/>
      <c r="G53" s="2059"/>
      <c r="H53" s="2059"/>
      <c r="I53" s="2956"/>
      <c r="J53" s="2956"/>
      <c r="K53" s="1725"/>
      <c r="L53" s="2067"/>
      <c r="M53" s="2059"/>
      <c r="N53" s="2956"/>
      <c r="O53" s="2956"/>
      <c r="P53" s="2957"/>
      <c r="Q53" s="2639"/>
      <c r="R53" s="2067"/>
      <c r="S53" s="2059"/>
      <c r="T53" s="2956"/>
      <c r="U53" s="2956"/>
      <c r="V53" s="2956"/>
      <c r="W53" s="2067"/>
      <c r="X53" s="2059"/>
      <c r="Y53" s="2956"/>
      <c r="Z53" s="2956"/>
      <c r="AA53" s="2957"/>
      <c r="AB53" s="2067"/>
      <c r="AC53" s="2059"/>
      <c r="AD53" s="2956"/>
      <c r="AE53" s="2956"/>
      <c r="AF53" s="2957"/>
      <c r="AG53" s="2067"/>
      <c r="AH53" s="2059"/>
      <c r="AI53" s="2956"/>
      <c r="AJ53" s="2956"/>
      <c r="AK53" s="2957"/>
      <c r="AL53" s="2067"/>
      <c r="AM53" s="2059"/>
      <c r="AN53" s="2956"/>
      <c r="AO53" s="2956"/>
      <c r="AP53" s="2957"/>
      <c r="AQ53" s="2067"/>
      <c r="AR53" s="2059"/>
      <c r="AS53" s="2956"/>
      <c r="AT53" s="2956"/>
      <c r="AU53" s="2957"/>
      <c r="AV53" s="2067"/>
      <c r="AW53" s="2059"/>
      <c r="AX53" s="2956"/>
      <c r="AY53" s="2956"/>
      <c r="AZ53" s="2957"/>
      <c r="BA53" s="2067"/>
      <c r="BB53" s="2059"/>
      <c r="BC53" s="2956"/>
      <c r="BD53" s="2956"/>
      <c r="BE53" s="2957"/>
      <c r="BF53" s="2067"/>
      <c r="BG53" s="2059"/>
      <c r="BH53" s="2534"/>
      <c r="BI53" s="2534"/>
      <c r="BJ53" s="2535"/>
      <c r="BK53" s="2067"/>
      <c r="BL53" s="2059"/>
      <c r="BM53" s="2534"/>
      <c r="BN53" s="2534"/>
      <c r="BO53" s="2535"/>
      <c r="BP53" s="2067"/>
      <c r="BQ53" s="2059"/>
      <c r="BR53" s="2534"/>
      <c r="BS53" s="2534"/>
      <c r="BT53" s="2535"/>
      <c r="BU53" s="2059"/>
      <c r="BV53" s="2059"/>
      <c r="BW53" s="2956"/>
      <c r="BX53" s="2956"/>
      <c r="BY53" s="2956"/>
    </row>
    <row r="54" spans="1:77" ht="13.8" x14ac:dyDescent="0.25">
      <c r="A54" s="1585"/>
      <c r="B54" s="1425" t="s">
        <v>1</v>
      </c>
      <c r="C54" s="2031">
        <f>SUM(C55:C71)</f>
        <v>46857.102208083787</v>
      </c>
      <c r="D54" s="2031">
        <f>SUM(D55:D71)</f>
        <v>29213</v>
      </c>
      <c r="E54" s="1991">
        <f>SUM(E55:E71)</f>
        <v>76070.102208083787</v>
      </c>
      <c r="F54" s="1549">
        <f>E54/$E$89</f>
        <v>1.4830671816453034E-2</v>
      </c>
      <c r="G54" s="2031">
        <f>SUM(G55:G72)</f>
        <v>41505.306080000002</v>
      </c>
      <c r="H54" s="2031">
        <f>SUM(H55:H72)</f>
        <v>58520.63</v>
      </c>
      <c r="I54" s="2031">
        <f>SUM(I55:I72)</f>
        <v>100025.93608</v>
      </c>
      <c r="J54" s="2939">
        <v>3.0969273260088158E-2</v>
      </c>
      <c r="K54" s="1593"/>
      <c r="L54" s="2031">
        <f>SUM(L55:L72)</f>
        <v>72109.73</v>
      </c>
      <c r="M54" s="2031">
        <f>SUM(M55:M72)</f>
        <v>33900.18</v>
      </c>
      <c r="N54" s="2031">
        <f>SUM(N55:N72)</f>
        <v>106009.91</v>
      </c>
      <c r="O54" s="2939">
        <f t="shared" ref="O54:O71" si="96">N54/N$89</f>
        <v>2.8555367560976944E-2</v>
      </c>
      <c r="P54" s="2000"/>
      <c r="Q54" s="2637"/>
      <c r="R54" s="2031">
        <f>SUM(R55:R72)</f>
        <v>0</v>
      </c>
      <c r="S54" s="2031">
        <f>SUM(S55:S72)</f>
        <v>577.54</v>
      </c>
      <c r="T54" s="2031">
        <f>SUM(T55:T72)</f>
        <v>577.54</v>
      </c>
      <c r="U54" s="2939">
        <f t="shared" ref="U54:U71" si="97">T54/$T$89</f>
        <v>9.1639486225109992E-2</v>
      </c>
      <c r="V54" s="2039"/>
      <c r="W54" s="2031">
        <f>SUM(W55:W72)</f>
        <v>0</v>
      </c>
      <c r="X54" s="2031">
        <f>SUM(X55:X72)</f>
        <v>0</v>
      </c>
      <c r="Y54" s="2031">
        <f>SUM(Y55:Y72)</f>
        <v>0</v>
      </c>
      <c r="Z54" s="2939">
        <f t="shared" ref="Z54:Z71" si="98">Y54/$Y$89</f>
        <v>0</v>
      </c>
      <c r="AA54" s="2000"/>
      <c r="AB54" s="2031">
        <f>SUM(AB55:AB72)</f>
        <v>0</v>
      </c>
      <c r="AC54" s="2031">
        <f>SUM(AC55:AC72)</f>
        <v>0</v>
      </c>
      <c r="AD54" s="2031">
        <f>SUM(AD55:AD72)</f>
        <v>0</v>
      </c>
      <c r="AE54" s="2939">
        <f t="shared" ref="AE54:AE71" si="99">AD54/$AD$89</f>
        <v>0</v>
      </c>
      <c r="AF54" s="2000"/>
      <c r="AG54" s="2031">
        <f>SUM(AG55:AG72)</f>
        <v>0</v>
      </c>
      <c r="AH54" s="2031">
        <f>SUM(AH55:AH72)</f>
        <v>767.3</v>
      </c>
      <c r="AI54" s="2031">
        <f>SUM(AI55:AI72)</f>
        <v>767.3</v>
      </c>
      <c r="AJ54" s="2939">
        <f t="shared" ref="AJ54:AJ71" si="100">AI54/AI$89</f>
        <v>5.936312801618502E-2</v>
      </c>
      <c r="AK54" s="2000"/>
      <c r="AL54" s="2031">
        <f>SUM(AL55:AL72)</f>
        <v>0</v>
      </c>
      <c r="AM54" s="2031">
        <f>SUM(AM55:AM72)</f>
        <v>0</v>
      </c>
      <c r="AN54" s="2031">
        <f>SUM(AN55:AN72)</f>
        <v>0</v>
      </c>
      <c r="AO54" s="2939">
        <f t="shared" ref="AO54:AO71" si="101">AN54/AN$89</f>
        <v>0</v>
      </c>
      <c r="AP54" s="2000"/>
      <c r="AQ54" s="2031">
        <f>SUM(AQ55:AQ72)</f>
        <v>0</v>
      </c>
      <c r="AR54" s="2031">
        <f>SUM(AR55:AR72)</f>
        <v>0</v>
      </c>
      <c r="AS54" s="2031">
        <f>SUM(AS55:AS72)</f>
        <v>0</v>
      </c>
      <c r="AT54" s="2939">
        <f t="shared" ref="AT54:AT71" si="102">AS54/AS$89</f>
        <v>0</v>
      </c>
      <c r="AU54" s="2000"/>
      <c r="AV54" s="2031">
        <f>SUM(AV55:AV72)</f>
        <v>0</v>
      </c>
      <c r="AW54" s="2031">
        <f>SUM(AW55:AW72)</f>
        <v>0</v>
      </c>
      <c r="AX54" s="2031">
        <f>SUM(AX55:AX72)</f>
        <v>0</v>
      </c>
      <c r="AY54" s="2939">
        <f t="shared" ref="AY54:AY71" si="103">AX54/AX$89</f>
        <v>0</v>
      </c>
      <c r="AZ54" s="2000"/>
      <c r="BA54" s="2031">
        <f>SUM(BA55:BA72)</f>
        <v>0</v>
      </c>
      <c r="BB54" s="2031">
        <f>SUM(BB55:BB72)</f>
        <v>0</v>
      </c>
      <c r="BC54" s="2031">
        <f>SUM(BC55:BC72)</f>
        <v>0</v>
      </c>
      <c r="BD54" s="2939" t="e">
        <f t="shared" ref="BD54:BD71" si="104">BC54/BC$89</f>
        <v>#DIV/0!</v>
      </c>
      <c r="BE54" s="2000"/>
      <c r="BF54" s="2031">
        <f>SUM(BF55:BF72)</f>
        <v>0</v>
      </c>
      <c r="BG54" s="2031">
        <f>SUM(BG55:BG72)</f>
        <v>0</v>
      </c>
      <c r="BH54" s="2031">
        <f>SUM(BH55:BH72)</f>
        <v>0</v>
      </c>
      <c r="BI54" s="2481">
        <f t="shared" ref="BI54:BI71" si="105">BH54/BH$89</f>
        <v>0</v>
      </c>
      <c r="BJ54" s="2000"/>
      <c r="BK54" s="2031">
        <f>SUM(BK55:BK72)</f>
        <v>0</v>
      </c>
      <c r="BL54" s="2031">
        <f>SUM(BL55:BL72)</f>
        <v>0</v>
      </c>
      <c r="BM54" s="2031">
        <f>SUM(BM55:BM72)</f>
        <v>0</v>
      </c>
      <c r="BN54" s="2481">
        <f t="shared" ref="BN54:BN71" si="106">BM54/BM$89</f>
        <v>0</v>
      </c>
      <c r="BO54" s="2000"/>
      <c r="BP54" s="2031">
        <f>SUM(BP55:BP72)</f>
        <v>0</v>
      </c>
      <c r="BQ54" s="2031">
        <f>SUM(BQ55:BQ72)</f>
        <v>237.6</v>
      </c>
      <c r="BR54" s="2031">
        <f>SUM(BR55:BR72)</f>
        <v>237.6</v>
      </c>
      <c r="BS54" s="2481">
        <f t="shared" ref="BS54:BS71" si="107">BR54/BR$89</f>
        <v>1</v>
      </c>
      <c r="BT54" s="2000"/>
      <c r="BU54" s="2031">
        <f>SUM(BU55:BU72)</f>
        <v>113615.03607999999</v>
      </c>
      <c r="BV54" s="2031">
        <f>SUM(BV55:BV72)</f>
        <v>94003.25</v>
      </c>
      <c r="BW54" s="2031">
        <f>SUM(BW55:BW72)</f>
        <v>207618.28608000002</v>
      </c>
      <c r="BX54" s="2939">
        <f t="shared" si="84"/>
        <v>2.7941994312694333E-2</v>
      </c>
      <c r="BY54" s="2022"/>
    </row>
    <row r="55" spans="1:77" ht="13.8" x14ac:dyDescent="0.25">
      <c r="A55" s="1586"/>
      <c r="B55" s="2921" t="s">
        <v>77</v>
      </c>
      <c r="C55" s="2895"/>
      <c r="D55" s="2902"/>
      <c r="E55" s="2942">
        <f t="shared" ref="E55:E71" si="108">C55+D55</f>
        <v>0</v>
      </c>
      <c r="F55" s="2892">
        <f>E55/$E$89</f>
        <v>0</v>
      </c>
      <c r="G55" s="2061">
        <v>0</v>
      </c>
      <c r="H55" s="2061">
        <v>0</v>
      </c>
      <c r="I55" s="2028">
        <v>0</v>
      </c>
      <c r="J55" s="2892">
        <v>0</v>
      </c>
      <c r="K55" s="1992"/>
      <c r="L55" s="2027">
        <v>0</v>
      </c>
      <c r="M55" s="2061">
        <v>0</v>
      </c>
      <c r="N55" s="2028">
        <f t="shared" ref="N55:N71" si="109">L55+M55*1</f>
        <v>0</v>
      </c>
      <c r="O55" s="2892">
        <f t="shared" si="96"/>
        <v>0</v>
      </c>
      <c r="P55" s="2062"/>
      <c r="Q55" s="2631"/>
      <c r="R55" s="2027"/>
      <c r="S55" s="2061"/>
      <c r="T55" s="2028">
        <f t="shared" ref="T55:T71" si="110">R55+S55*1</f>
        <v>0</v>
      </c>
      <c r="U55" s="2892">
        <f t="shared" si="97"/>
        <v>0</v>
      </c>
      <c r="V55" s="2906"/>
      <c r="W55" s="2027"/>
      <c r="X55" s="2061"/>
      <c r="Y55" s="2028">
        <f t="shared" ref="Y55:Y71" si="111">W55+X55*1</f>
        <v>0</v>
      </c>
      <c r="Z55" s="2892">
        <f t="shared" si="98"/>
        <v>0</v>
      </c>
      <c r="AA55" s="2062"/>
      <c r="AB55" s="2027"/>
      <c r="AC55" s="2061"/>
      <c r="AD55" s="2028">
        <f t="shared" ref="AD55:AD71" si="112">AB55+AC55*1</f>
        <v>0</v>
      </c>
      <c r="AE55" s="2892">
        <f t="shared" si="99"/>
        <v>0</v>
      </c>
      <c r="AF55" s="2062"/>
      <c r="AG55" s="2027"/>
      <c r="AH55" s="2061"/>
      <c r="AI55" s="2028">
        <f t="shared" ref="AI55:AI71" si="113">AG55+AH55*1</f>
        <v>0</v>
      </c>
      <c r="AJ55" s="2892">
        <f t="shared" si="100"/>
        <v>0</v>
      </c>
      <c r="AK55" s="2062"/>
      <c r="AL55" s="2027"/>
      <c r="AM55" s="2061"/>
      <c r="AN55" s="2028">
        <f t="shared" ref="AN55:AN71" si="114">AL55+AM55*1</f>
        <v>0</v>
      </c>
      <c r="AO55" s="2892">
        <f t="shared" si="101"/>
        <v>0</v>
      </c>
      <c r="AP55" s="2062"/>
      <c r="AQ55" s="2027"/>
      <c r="AR55" s="2061"/>
      <c r="AS55" s="2028">
        <f t="shared" ref="AS55:AS62" si="115">AQ55+AR55*1</f>
        <v>0</v>
      </c>
      <c r="AT55" s="2892">
        <f t="shared" si="102"/>
        <v>0</v>
      </c>
      <c r="AU55" s="2062"/>
      <c r="AV55" s="2027"/>
      <c r="AW55" s="2061"/>
      <c r="AX55" s="2028">
        <f t="shared" ref="AX55:AX62" si="116">AV55+AW55*1</f>
        <v>0</v>
      </c>
      <c r="AY55" s="2892">
        <f t="shared" si="103"/>
        <v>0</v>
      </c>
      <c r="AZ55" s="2062"/>
      <c r="BA55" s="2027"/>
      <c r="BB55" s="2061"/>
      <c r="BC55" s="2028">
        <f t="shared" ref="BC55:BC62" si="117">BA55+BB55*1</f>
        <v>0</v>
      </c>
      <c r="BD55" s="2892" t="e">
        <f t="shared" si="104"/>
        <v>#DIV/0!</v>
      </c>
      <c r="BE55" s="2062"/>
      <c r="BF55" s="2027"/>
      <c r="BG55" s="2061"/>
      <c r="BH55" s="2028">
        <f t="shared" ref="BH55:BH62" si="118">BF55+BG55*1</f>
        <v>0</v>
      </c>
      <c r="BI55" s="2155">
        <f t="shared" si="105"/>
        <v>0</v>
      </c>
      <c r="BJ55" s="2062"/>
      <c r="BK55" s="2027"/>
      <c r="BL55" s="2061"/>
      <c r="BM55" s="2028">
        <f t="shared" ref="BM55:BM62" si="119">BK55+BL55*1</f>
        <v>0</v>
      </c>
      <c r="BN55" s="2155">
        <f t="shared" si="106"/>
        <v>0</v>
      </c>
      <c r="BO55" s="2062"/>
      <c r="BP55" s="2027"/>
      <c r="BQ55" s="2061"/>
      <c r="BR55" s="2028">
        <f t="shared" ref="BR55:BR62" si="120">BP55+BQ55*1</f>
        <v>0</v>
      </c>
      <c r="BS55" s="2155">
        <f t="shared" si="107"/>
        <v>0</v>
      </c>
      <c r="BT55" s="2062"/>
      <c r="BU55" s="2059">
        <f t="shared" ref="BU55:BU71" si="121">G55+L55+R55+W55+AB55+AG55+AL55+AQ55+AV55+BA55+BF55+BK55+BP55</f>
        <v>0</v>
      </c>
      <c r="BV55" s="2059">
        <f t="shared" ref="BV55:BV71" si="122">H55+M55+S55+X55+AC55+AH55+AM55+AR55+AW55+BB55+BG55+BL55+BQ55</f>
        <v>0</v>
      </c>
      <c r="BW55" s="2028">
        <f t="shared" ref="BW55:BW71" si="123">BU55+BV55*1</f>
        <v>0</v>
      </c>
      <c r="BX55" s="2892">
        <f t="shared" si="84"/>
        <v>0</v>
      </c>
      <c r="BY55" s="2901"/>
    </row>
    <row r="56" spans="1:77" ht="13.8" x14ac:dyDescent="0.25">
      <c r="A56" s="1586"/>
      <c r="B56" s="2921" t="s">
        <v>76</v>
      </c>
      <c r="C56" s="2895"/>
      <c r="D56" s="2902"/>
      <c r="E56" s="2942">
        <f t="shared" si="108"/>
        <v>0</v>
      </c>
      <c r="F56" s="2892">
        <f t="shared" ref="F56:F72" si="124">E56/$E$89</f>
        <v>0</v>
      </c>
      <c r="G56" s="2061">
        <v>0</v>
      </c>
      <c r="H56" s="2061">
        <v>0</v>
      </c>
      <c r="I56" s="2028">
        <v>0</v>
      </c>
      <c r="J56" s="2892">
        <v>0</v>
      </c>
      <c r="K56" s="1992"/>
      <c r="L56" s="2027">
        <v>0</v>
      </c>
      <c r="M56" s="2061">
        <v>0</v>
      </c>
      <c r="N56" s="2028">
        <f t="shared" si="109"/>
        <v>0</v>
      </c>
      <c r="O56" s="2892">
        <f t="shared" si="96"/>
        <v>0</v>
      </c>
      <c r="P56" s="2062"/>
      <c r="Q56" s="2631"/>
      <c r="R56" s="2027"/>
      <c r="S56" s="2061"/>
      <c r="T56" s="2028">
        <f t="shared" si="110"/>
        <v>0</v>
      </c>
      <c r="U56" s="2892">
        <f t="shared" si="97"/>
        <v>0</v>
      </c>
      <c r="V56" s="2906"/>
      <c r="W56" s="2027"/>
      <c r="X56" s="2061"/>
      <c r="Y56" s="2028">
        <f t="shared" si="111"/>
        <v>0</v>
      </c>
      <c r="Z56" s="2892">
        <f t="shared" si="98"/>
        <v>0</v>
      </c>
      <c r="AA56" s="2062"/>
      <c r="AB56" s="2027"/>
      <c r="AC56" s="2061"/>
      <c r="AD56" s="2028">
        <f t="shared" si="112"/>
        <v>0</v>
      </c>
      <c r="AE56" s="2892">
        <f t="shared" si="99"/>
        <v>0</v>
      </c>
      <c r="AF56" s="2062"/>
      <c r="AG56" s="2027"/>
      <c r="AH56" s="2061"/>
      <c r="AI56" s="2028">
        <f t="shared" si="113"/>
        <v>0</v>
      </c>
      <c r="AJ56" s="2892">
        <f t="shared" si="100"/>
        <v>0</v>
      </c>
      <c r="AK56" s="2062"/>
      <c r="AL56" s="2027"/>
      <c r="AM56" s="2061"/>
      <c r="AN56" s="2028">
        <f t="shared" si="114"/>
        <v>0</v>
      </c>
      <c r="AO56" s="2892">
        <f t="shared" si="101"/>
        <v>0</v>
      </c>
      <c r="AP56" s="2062"/>
      <c r="AQ56" s="2027"/>
      <c r="AR56" s="2061"/>
      <c r="AS56" s="2028">
        <f t="shared" si="115"/>
        <v>0</v>
      </c>
      <c r="AT56" s="2892">
        <f t="shared" si="102"/>
        <v>0</v>
      </c>
      <c r="AU56" s="2062"/>
      <c r="AV56" s="2027"/>
      <c r="AW56" s="2061"/>
      <c r="AX56" s="2028">
        <f t="shared" si="116"/>
        <v>0</v>
      </c>
      <c r="AY56" s="2892">
        <f t="shared" si="103"/>
        <v>0</v>
      </c>
      <c r="AZ56" s="2062"/>
      <c r="BA56" s="2027"/>
      <c r="BB56" s="2061"/>
      <c r="BC56" s="2028">
        <f t="shared" si="117"/>
        <v>0</v>
      </c>
      <c r="BD56" s="2892" t="e">
        <f t="shared" si="104"/>
        <v>#DIV/0!</v>
      </c>
      <c r="BE56" s="2062"/>
      <c r="BF56" s="2027"/>
      <c r="BG56" s="2061"/>
      <c r="BH56" s="2028">
        <f t="shared" si="118"/>
        <v>0</v>
      </c>
      <c r="BI56" s="2155">
        <f t="shared" si="105"/>
        <v>0</v>
      </c>
      <c r="BJ56" s="2062"/>
      <c r="BK56" s="2027"/>
      <c r="BL56" s="2061"/>
      <c r="BM56" s="2028">
        <f t="shared" si="119"/>
        <v>0</v>
      </c>
      <c r="BN56" s="2155">
        <f t="shared" si="106"/>
        <v>0</v>
      </c>
      <c r="BO56" s="2062"/>
      <c r="BP56" s="2027"/>
      <c r="BQ56" s="2061"/>
      <c r="BR56" s="2028">
        <f t="shared" si="120"/>
        <v>0</v>
      </c>
      <c r="BS56" s="2155">
        <f t="shared" si="107"/>
        <v>0</v>
      </c>
      <c r="BT56" s="2062"/>
      <c r="BU56" s="2059">
        <f t="shared" si="121"/>
        <v>0</v>
      </c>
      <c r="BV56" s="2059">
        <f t="shared" si="122"/>
        <v>0</v>
      </c>
      <c r="BW56" s="2028">
        <f t="shared" si="123"/>
        <v>0</v>
      </c>
      <c r="BX56" s="2892">
        <f t="shared" si="84"/>
        <v>0</v>
      </c>
      <c r="BY56" s="2901"/>
    </row>
    <row r="57" spans="1:77" ht="13.8" x14ac:dyDescent="0.25">
      <c r="A57" s="1586"/>
      <c r="B57" s="2958" t="s">
        <v>68</v>
      </c>
      <c r="C57" s="2895"/>
      <c r="D57" s="2902"/>
      <c r="E57" s="2942">
        <f t="shared" si="108"/>
        <v>0</v>
      </c>
      <c r="F57" s="2892">
        <f t="shared" si="124"/>
        <v>0</v>
      </c>
      <c r="G57" s="2061">
        <v>0</v>
      </c>
      <c r="H57" s="2061">
        <v>0</v>
      </c>
      <c r="I57" s="2028">
        <v>0</v>
      </c>
      <c r="J57" s="2892">
        <v>0</v>
      </c>
      <c r="K57" s="1992"/>
      <c r="L57" s="2027">
        <v>0</v>
      </c>
      <c r="M57" s="2061">
        <v>0</v>
      </c>
      <c r="N57" s="2028">
        <f t="shared" si="109"/>
        <v>0</v>
      </c>
      <c r="O57" s="2892">
        <f t="shared" si="96"/>
        <v>0</v>
      </c>
      <c r="P57" s="2062"/>
      <c r="Q57" s="2631"/>
      <c r="R57" s="2027"/>
      <c r="S57" s="2061"/>
      <c r="T57" s="2028">
        <f t="shared" si="110"/>
        <v>0</v>
      </c>
      <c r="U57" s="2892">
        <f t="shared" si="97"/>
        <v>0</v>
      </c>
      <c r="V57" s="2906"/>
      <c r="W57" s="2027"/>
      <c r="X57" s="2061"/>
      <c r="Y57" s="2028">
        <f t="shared" si="111"/>
        <v>0</v>
      </c>
      <c r="Z57" s="2892">
        <f t="shared" si="98"/>
        <v>0</v>
      </c>
      <c r="AA57" s="2062"/>
      <c r="AB57" s="2027"/>
      <c r="AC57" s="2061"/>
      <c r="AD57" s="2028">
        <f t="shared" si="112"/>
        <v>0</v>
      </c>
      <c r="AE57" s="2892">
        <f t="shared" si="99"/>
        <v>0</v>
      </c>
      <c r="AF57" s="2062"/>
      <c r="AG57" s="2027"/>
      <c r="AH57" s="2061"/>
      <c r="AI57" s="2028">
        <f t="shared" si="113"/>
        <v>0</v>
      </c>
      <c r="AJ57" s="2892">
        <f t="shared" si="100"/>
        <v>0</v>
      </c>
      <c r="AK57" s="2062"/>
      <c r="AL57" s="2027"/>
      <c r="AM57" s="2061"/>
      <c r="AN57" s="2028">
        <f t="shared" si="114"/>
        <v>0</v>
      </c>
      <c r="AO57" s="2892">
        <f t="shared" si="101"/>
        <v>0</v>
      </c>
      <c r="AP57" s="2062"/>
      <c r="AQ57" s="2027"/>
      <c r="AR57" s="2061"/>
      <c r="AS57" s="2028">
        <f t="shared" si="115"/>
        <v>0</v>
      </c>
      <c r="AT57" s="2892">
        <f t="shared" si="102"/>
        <v>0</v>
      </c>
      <c r="AU57" s="2062"/>
      <c r="AV57" s="2027"/>
      <c r="AW57" s="2061"/>
      <c r="AX57" s="2028">
        <f t="shared" si="116"/>
        <v>0</v>
      </c>
      <c r="AY57" s="2892">
        <f t="shared" si="103"/>
        <v>0</v>
      </c>
      <c r="AZ57" s="2062"/>
      <c r="BA57" s="2027"/>
      <c r="BB57" s="2061"/>
      <c r="BC57" s="2028">
        <f t="shared" si="117"/>
        <v>0</v>
      </c>
      <c r="BD57" s="2892" t="e">
        <f t="shared" si="104"/>
        <v>#DIV/0!</v>
      </c>
      <c r="BE57" s="2062"/>
      <c r="BF57" s="2027"/>
      <c r="BG57" s="2061"/>
      <c r="BH57" s="2028">
        <f t="shared" si="118"/>
        <v>0</v>
      </c>
      <c r="BI57" s="2155">
        <f t="shared" si="105"/>
        <v>0</v>
      </c>
      <c r="BJ57" s="2062"/>
      <c r="BK57" s="2027"/>
      <c r="BL57" s="2061"/>
      <c r="BM57" s="2028">
        <f t="shared" si="119"/>
        <v>0</v>
      </c>
      <c r="BN57" s="2155">
        <f t="shared" si="106"/>
        <v>0</v>
      </c>
      <c r="BO57" s="2062"/>
      <c r="BP57" s="2027"/>
      <c r="BQ57" s="2061"/>
      <c r="BR57" s="2028">
        <f t="shared" si="120"/>
        <v>0</v>
      </c>
      <c r="BS57" s="2155">
        <f t="shared" si="107"/>
        <v>0</v>
      </c>
      <c r="BT57" s="2062"/>
      <c r="BU57" s="2059">
        <f t="shared" si="121"/>
        <v>0</v>
      </c>
      <c r="BV57" s="2059">
        <f t="shared" si="122"/>
        <v>0</v>
      </c>
      <c r="BW57" s="2028">
        <f t="shared" si="123"/>
        <v>0</v>
      </c>
      <c r="BX57" s="2892">
        <f t="shared" si="84"/>
        <v>0</v>
      </c>
      <c r="BY57" s="2901"/>
    </row>
    <row r="58" spans="1:77" ht="13.8" x14ac:dyDescent="0.25">
      <c r="A58" s="1586"/>
      <c r="B58" s="2958" t="s">
        <v>67</v>
      </c>
      <c r="C58" s="2895">
        <v>10787</v>
      </c>
      <c r="D58" s="2902">
        <v>29213</v>
      </c>
      <c r="E58" s="2942">
        <f t="shared" si="108"/>
        <v>40000</v>
      </c>
      <c r="F58" s="2892">
        <f t="shared" si="124"/>
        <v>7.7984234993584717E-3</v>
      </c>
      <c r="G58" s="2061">
        <v>16180.5</v>
      </c>
      <c r="H58" s="2061">
        <v>56511</v>
      </c>
      <c r="I58" s="2028">
        <v>72691.5</v>
      </c>
      <c r="J58" s="2892">
        <v>2.2506192047882491E-2</v>
      </c>
      <c r="K58" s="1992"/>
      <c r="L58" s="2027">
        <v>40841</v>
      </c>
      <c r="M58" s="2061">
        <v>29213</v>
      </c>
      <c r="N58" s="2028">
        <f t="shared" si="109"/>
        <v>70054</v>
      </c>
      <c r="O58" s="2892">
        <f t="shared" si="96"/>
        <v>1.8870101098252781E-2</v>
      </c>
      <c r="P58" s="2062"/>
      <c r="Q58" s="2631"/>
      <c r="R58" s="2027"/>
      <c r="S58" s="2061"/>
      <c r="T58" s="2028">
        <f t="shared" si="110"/>
        <v>0</v>
      </c>
      <c r="U58" s="2892">
        <f t="shared" si="97"/>
        <v>0</v>
      </c>
      <c r="V58" s="2959"/>
      <c r="W58" s="2027"/>
      <c r="X58" s="2061"/>
      <c r="Y58" s="2028">
        <f t="shared" si="111"/>
        <v>0</v>
      </c>
      <c r="Z58" s="2892">
        <f t="shared" si="98"/>
        <v>0</v>
      </c>
      <c r="AA58" s="2062"/>
      <c r="AB58" s="2027"/>
      <c r="AC58" s="2061"/>
      <c r="AD58" s="2028">
        <f t="shared" si="112"/>
        <v>0</v>
      </c>
      <c r="AE58" s="2892">
        <f t="shared" si="99"/>
        <v>0</v>
      </c>
      <c r="AF58" s="2062"/>
      <c r="AG58" s="2027"/>
      <c r="AH58" s="2061"/>
      <c r="AI58" s="2028">
        <f t="shared" si="113"/>
        <v>0</v>
      </c>
      <c r="AJ58" s="2892">
        <f t="shared" si="100"/>
        <v>0</v>
      </c>
      <c r="AK58" s="2062"/>
      <c r="AL58" s="2027"/>
      <c r="AM58" s="2061"/>
      <c r="AN58" s="2028">
        <f t="shared" si="114"/>
        <v>0</v>
      </c>
      <c r="AO58" s="2892">
        <f t="shared" si="101"/>
        <v>0</v>
      </c>
      <c r="AP58" s="2062"/>
      <c r="AQ58" s="2027"/>
      <c r="AR58" s="2061"/>
      <c r="AS58" s="2028">
        <f t="shared" si="115"/>
        <v>0</v>
      </c>
      <c r="AT58" s="2892">
        <f t="shared" si="102"/>
        <v>0</v>
      </c>
      <c r="AU58" s="2062"/>
      <c r="AV58" s="2027"/>
      <c r="AW58" s="2061"/>
      <c r="AX58" s="2028">
        <f t="shared" si="116"/>
        <v>0</v>
      </c>
      <c r="AY58" s="2892">
        <f t="shared" si="103"/>
        <v>0</v>
      </c>
      <c r="AZ58" s="2062"/>
      <c r="BA58" s="2027"/>
      <c r="BB58" s="2061"/>
      <c r="BC58" s="2028">
        <f t="shared" si="117"/>
        <v>0</v>
      </c>
      <c r="BD58" s="2892" t="e">
        <f t="shared" si="104"/>
        <v>#DIV/0!</v>
      </c>
      <c r="BE58" s="2062"/>
      <c r="BF58" s="2027"/>
      <c r="BG58" s="2061"/>
      <c r="BH58" s="2028">
        <f t="shared" si="118"/>
        <v>0</v>
      </c>
      <c r="BI58" s="2155">
        <f t="shared" si="105"/>
        <v>0</v>
      </c>
      <c r="BJ58" s="2062"/>
      <c r="BK58" s="2027"/>
      <c r="BL58" s="2061"/>
      <c r="BM58" s="2028">
        <f t="shared" si="119"/>
        <v>0</v>
      </c>
      <c r="BN58" s="2155">
        <f t="shared" si="106"/>
        <v>0</v>
      </c>
      <c r="BO58" s="2062"/>
      <c r="BP58" s="2027"/>
      <c r="BQ58" s="2061"/>
      <c r="BR58" s="2028">
        <f t="shared" si="120"/>
        <v>0</v>
      </c>
      <c r="BS58" s="2155">
        <f t="shared" si="107"/>
        <v>0</v>
      </c>
      <c r="BT58" s="2062"/>
      <c r="BU58" s="2059">
        <f t="shared" si="121"/>
        <v>57021.5</v>
      </c>
      <c r="BV58" s="2059">
        <f t="shared" si="122"/>
        <v>85724</v>
      </c>
      <c r="BW58" s="2028">
        <f t="shared" si="123"/>
        <v>142745.5</v>
      </c>
      <c r="BX58" s="2892">
        <f t="shared" si="84"/>
        <v>1.9211188110982737E-2</v>
      </c>
      <c r="BY58" s="2901"/>
    </row>
    <row r="59" spans="1:77" ht="13.8" x14ac:dyDescent="0.25">
      <c r="A59" s="1586"/>
      <c r="B59" s="2958" t="s">
        <v>66</v>
      </c>
      <c r="C59" s="2895">
        <v>2613</v>
      </c>
      <c r="D59" s="2902">
        <v>0</v>
      </c>
      <c r="E59" s="2942">
        <f t="shared" si="108"/>
        <v>2613</v>
      </c>
      <c r="F59" s="2892">
        <f t="shared" si="124"/>
        <v>5.0943201509559219E-4</v>
      </c>
      <c r="G59" s="2061">
        <v>3919.5</v>
      </c>
      <c r="H59" s="2061">
        <v>0</v>
      </c>
      <c r="I59" s="2028">
        <v>3919.5</v>
      </c>
      <c r="J59" s="2892">
        <v>1.2135259243745888E-3</v>
      </c>
      <c r="K59" s="1992"/>
      <c r="L59" s="2027">
        <v>5242.45</v>
      </c>
      <c r="M59" s="2061">
        <v>0</v>
      </c>
      <c r="N59" s="2028">
        <f t="shared" si="109"/>
        <v>5242.45</v>
      </c>
      <c r="O59" s="2892">
        <f t="shared" si="96"/>
        <v>1.4121329474767366E-3</v>
      </c>
      <c r="P59" s="2062"/>
      <c r="Q59" s="2631"/>
      <c r="R59" s="2027"/>
      <c r="S59" s="2061"/>
      <c r="T59" s="2028">
        <f t="shared" si="110"/>
        <v>0</v>
      </c>
      <c r="U59" s="2892">
        <f t="shared" si="97"/>
        <v>0</v>
      </c>
      <c r="V59" s="2906"/>
      <c r="W59" s="2027"/>
      <c r="X59" s="2061"/>
      <c r="Y59" s="2028">
        <f t="shared" si="111"/>
        <v>0</v>
      </c>
      <c r="Z59" s="2892">
        <f t="shared" si="98"/>
        <v>0</v>
      </c>
      <c r="AA59" s="2062"/>
      <c r="AB59" s="2027"/>
      <c r="AC59" s="2061"/>
      <c r="AD59" s="2028">
        <f t="shared" si="112"/>
        <v>0</v>
      </c>
      <c r="AE59" s="2892">
        <f t="shared" si="99"/>
        <v>0</v>
      </c>
      <c r="AF59" s="2062"/>
      <c r="AG59" s="2027"/>
      <c r="AH59" s="2061"/>
      <c r="AI59" s="2028">
        <f t="shared" si="113"/>
        <v>0</v>
      </c>
      <c r="AJ59" s="2892">
        <f t="shared" si="100"/>
        <v>0</v>
      </c>
      <c r="AK59" s="2062"/>
      <c r="AL59" s="2027"/>
      <c r="AM59" s="2061"/>
      <c r="AN59" s="2028">
        <f t="shared" si="114"/>
        <v>0</v>
      </c>
      <c r="AO59" s="2892">
        <f t="shared" si="101"/>
        <v>0</v>
      </c>
      <c r="AP59" s="2062"/>
      <c r="AQ59" s="2027"/>
      <c r="AR59" s="2061"/>
      <c r="AS59" s="2028">
        <f t="shared" si="115"/>
        <v>0</v>
      </c>
      <c r="AT59" s="2892">
        <f t="shared" si="102"/>
        <v>0</v>
      </c>
      <c r="AU59" s="2062"/>
      <c r="AV59" s="2027"/>
      <c r="AW59" s="2061"/>
      <c r="AX59" s="2028">
        <f t="shared" si="116"/>
        <v>0</v>
      </c>
      <c r="AY59" s="2892">
        <f t="shared" si="103"/>
        <v>0</v>
      </c>
      <c r="AZ59" s="2062"/>
      <c r="BA59" s="2027"/>
      <c r="BB59" s="2061"/>
      <c r="BC59" s="2028">
        <f t="shared" si="117"/>
        <v>0</v>
      </c>
      <c r="BD59" s="2892" t="e">
        <f t="shared" si="104"/>
        <v>#DIV/0!</v>
      </c>
      <c r="BE59" s="2062"/>
      <c r="BF59" s="2027"/>
      <c r="BG59" s="2061"/>
      <c r="BH59" s="2028">
        <f t="shared" si="118"/>
        <v>0</v>
      </c>
      <c r="BI59" s="2155">
        <f t="shared" si="105"/>
        <v>0</v>
      </c>
      <c r="BJ59" s="2062"/>
      <c r="BK59" s="2027"/>
      <c r="BL59" s="2061"/>
      <c r="BM59" s="2028">
        <f t="shared" si="119"/>
        <v>0</v>
      </c>
      <c r="BN59" s="2155">
        <f t="shared" si="106"/>
        <v>0</v>
      </c>
      <c r="BO59" s="2062"/>
      <c r="BP59" s="2027"/>
      <c r="BQ59" s="2061"/>
      <c r="BR59" s="2028">
        <f t="shared" si="120"/>
        <v>0</v>
      </c>
      <c r="BS59" s="2155">
        <f t="shared" si="107"/>
        <v>0</v>
      </c>
      <c r="BT59" s="2062"/>
      <c r="BU59" s="2059">
        <f t="shared" si="121"/>
        <v>9161.9500000000007</v>
      </c>
      <c r="BV59" s="2059">
        <f t="shared" si="122"/>
        <v>0</v>
      </c>
      <c r="BW59" s="2028">
        <f t="shared" si="123"/>
        <v>9161.9500000000007</v>
      </c>
      <c r="BX59" s="2892">
        <f t="shared" si="84"/>
        <v>1.2330472408126232E-3</v>
      </c>
      <c r="BY59" s="2901"/>
    </row>
    <row r="60" spans="1:77" ht="13.8" x14ac:dyDescent="0.25">
      <c r="A60" s="1586"/>
      <c r="B60" s="2958" t="s">
        <v>65</v>
      </c>
      <c r="C60" s="2895">
        <v>2948</v>
      </c>
      <c r="D60" s="2902">
        <v>0</v>
      </c>
      <c r="E60" s="2942">
        <f t="shared" si="108"/>
        <v>2948</v>
      </c>
      <c r="F60" s="2892">
        <f t="shared" si="124"/>
        <v>5.7474381190271938E-4</v>
      </c>
      <c r="G60" s="2061">
        <v>4422</v>
      </c>
      <c r="H60" s="2061">
        <v>0</v>
      </c>
      <c r="I60" s="2028">
        <v>4422</v>
      </c>
      <c r="J60" s="2892">
        <v>1.3691061710892796E-3</v>
      </c>
      <c r="K60" s="1992"/>
      <c r="L60" s="2027">
        <v>5914.5599999999995</v>
      </c>
      <c r="M60" s="2061">
        <v>0</v>
      </c>
      <c r="N60" s="2028">
        <f t="shared" si="109"/>
        <v>5914.5599999999995</v>
      </c>
      <c r="O60" s="2892">
        <f t="shared" si="96"/>
        <v>1.5931759093225507E-3</v>
      </c>
      <c r="P60" s="2062"/>
      <c r="Q60" s="2631"/>
      <c r="R60" s="2027"/>
      <c r="S60" s="2061"/>
      <c r="T60" s="2028">
        <f t="shared" si="110"/>
        <v>0</v>
      </c>
      <c r="U60" s="2892">
        <f t="shared" si="97"/>
        <v>0</v>
      </c>
      <c r="V60" s="2906"/>
      <c r="W60" s="2027"/>
      <c r="X60" s="2061"/>
      <c r="Y60" s="2028">
        <f t="shared" si="111"/>
        <v>0</v>
      </c>
      <c r="Z60" s="2892">
        <f t="shared" si="98"/>
        <v>0</v>
      </c>
      <c r="AA60" s="2062"/>
      <c r="AB60" s="2027"/>
      <c r="AC60" s="2061"/>
      <c r="AD60" s="2028">
        <f t="shared" si="112"/>
        <v>0</v>
      </c>
      <c r="AE60" s="2892">
        <f t="shared" si="99"/>
        <v>0</v>
      </c>
      <c r="AF60" s="2062"/>
      <c r="AG60" s="2027"/>
      <c r="AH60" s="2061"/>
      <c r="AI60" s="2028">
        <f t="shared" si="113"/>
        <v>0</v>
      </c>
      <c r="AJ60" s="2892">
        <f t="shared" si="100"/>
        <v>0</v>
      </c>
      <c r="AK60" s="2062"/>
      <c r="AL60" s="2027"/>
      <c r="AM60" s="2061"/>
      <c r="AN60" s="2028">
        <f t="shared" si="114"/>
        <v>0</v>
      </c>
      <c r="AO60" s="2892">
        <f t="shared" si="101"/>
        <v>0</v>
      </c>
      <c r="AP60" s="2062"/>
      <c r="AQ60" s="2027"/>
      <c r="AR60" s="2061"/>
      <c r="AS60" s="2028">
        <f t="shared" si="115"/>
        <v>0</v>
      </c>
      <c r="AT60" s="2892">
        <f t="shared" si="102"/>
        <v>0</v>
      </c>
      <c r="AU60" s="2062"/>
      <c r="AV60" s="2027"/>
      <c r="AW60" s="2061"/>
      <c r="AX60" s="2028">
        <f t="shared" si="116"/>
        <v>0</v>
      </c>
      <c r="AY60" s="2892">
        <f t="shared" si="103"/>
        <v>0</v>
      </c>
      <c r="AZ60" s="2062"/>
      <c r="BA60" s="2027"/>
      <c r="BB60" s="2061"/>
      <c r="BC60" s="2028">
        <f t="shared" si="117"/>
        <v>0</v>
      </c>
      <c r="BD60" s="2892" t="e">
        <f t="shared" si="104"/>
        <v>#DIV/0!</v>
      </c>
      <c r="BE60" s="2062"/>
      <c r="BF60" s="2027"/>
      <c r="BG60" s="2061"/>
      <c r="BH60" s="2028">
        <f t="shared" si="118"/>
        <v>0</v>
      </c>
      <c r="BI60" s="2155">
        <f t="shared" si="105"/>
        <v>0</v>
      </c>
      <c r="BJ60" s="2062"/>
      <c r="BK60" s="2027"/>
      <c r="BL60" s="2061"/>
      <c r="BM60" s="2028">
        <f t="shared" si="119"/>
        <v>0</v>
      </c>
      <c r="BN60" s="2155">
        <f t="shared" si="106"/>
        <v>0</v>
      </c>
      <c r="BO60" s="2062"/>
      <c r="BP60" s="2027"/>
      <c r="BQ60" s="2061"/>
      <c r="BR60" s="2028">
        <f t="shared" si="120"/>
        <v>0</v>
      </c>
      <c r="BS60" s="2155">
        <f t="shared" si="107"/>
        <v>0</v>
      </c>
      <c r="BT60" s="2062"/>
      <c r="BU60" s="2059">
        <f t="shared" si="121"/>
        <v>10336.56</v>
      </c>
      <c r="BV60" s="2059">
        <f t="shared" si="122"/>
        <v>0</v>
      </c>
      <c r="BW60" s="2028">
        <f t="shared" si="123"/>
        <v>10336.56</v>
      </c>
      <c r="BX60" s="2892">
        <f t="shared" si="84"/>
        <v>1.3911303584383376E-3</v>
      </c>
      <c r="BY60" s="2901"/>
    </row>
    <row r="61" spans="1:77" ht="13.8" x14ac:dyDescent="0.25">
      <c r="A61" s="1586"/>
      <c r="B61" s="2958" t="s">
        <v>32</v>
      </c>
      <c r="C61" s="2895"/>
      <c r="D61" s="2902"/>
      <c r="E61" s="2942">
        <f t="shared" si="108"/>
        <v>0</v>
      </c>
      <c r="F61" s="2892">
        <f t="shared" si="124"/>
        <v>0</v>
      </c>
      <c r="G61" s="2061">
        <v>0</v>
      </c>
      <c r="H61" s="2061">
        <v>0</v>
      </c>
      <c r="I61" s="2028">
        <v>0</v>
      </c>
      <c r="J61" s="2892">
        <v>0</v>
      </c>
      <c r="K61" s="1992"/>
      <c r="L61" s="2027">
        <v>0</v>
      </c>
      <c r="M61" s="2061">
        <v>0</v>
      </c>
      <c r="N61" s="2028">
        <f t="shared" si="109"/>
        <v>0</v>
      </c>
      <c r="O61" s="2892">
        <f t="shared" si="96"/>
        <v>0</v>
      </c>
      <c r="P61" s="2062"/>
      <c r="Q61" s="2631"/>
      <c r="R61" s="2027"/>
      <c r="S61" s="2061"/>
      <c r="T61" s="2028">
        <f t="shared" si="110"/>
        <v>0</v>
      </c>
      <c r="U61" s="2892">
        <f t="shared" si="97"/>
        <v>0</v>
      </c>
      <c r="V61" s="2906"/>
      <c r="W61" s="2027"/>
      <c r="X61" s="2061"/>
      <c r="Y61" s="2028">
        <f t="shared" si="111"/>
        <v>0</v>
      </c>
      <c r="Z61" s="2892">
        <f t="shared" si="98"/>
        <v>0</v>
      </c>
      <c r="AA61" s="2062"/>
      <c r="AB61" s="2027"/>
      <c r="AC61" s="2061"/>
      <c r="AD61" s="2028">
        <f t="shared" si="112"/>
        <v>0</v>
      </c>
      <c r="AE61" s="2892">
        <f t="shared" si="99"/>
        <v>0</v>
      </c>
      <c r="AF61" s="2062"/>
      <c r="AG61" s="2027"/>
      <c r="AH61" s="2061"/>
      <c r="AI61" s="2028">
        <f t="shared" si="113"/>
        <v>0</v>
      </c>
      <c r="AJ61" s="2892">
        <f t="shared" si="100"/>
        <v>0</v>
      </c>
      <c r="AK61" s="2062"/>
      <c r="AL61" s="2027"/>
      <c r="AM61" s="2061"/>
      <c r="AN61" s="2028">
        <f t="shared" si="114"/>
        <v>0</v>
      </c>
      <c r="AO61" s="2892">
        <f t="shared" si="101"/>
        <v>0</v>
      </c>
      <c r="AP61" s="2062"/>
      <c r="AQ61" s="2027"/>
      <c r="AR61" s="2061"/>
      <c r="AS61" s="2028">
        <f t="shared" si="115"/>
        <v>0</v>
      </c>
      <c r="AT61" s="2892">
        <f t="shared" si="102"/>
        <v>0</v>
      </c>
      <c r="AU61" s="2062"/>
      <c r="AV61" s="2027"/>
      <c r="AW61" s="2061"/>
      <c r="AX61" s="2028">
        <f t="shared" si="116"/>
        <v>0</v>
      </c>
      <c r="AY61" s="2892">
        <f t="shared" si="103"/>
        <v>0</v>
      </c>
      <c r="AZ61" s="2062"/>
      <c r="BA61" s="2027"/>
      <c r="BB61" s="2061"/>
      <c r="BC61" s="2028">
        <f t="shared" si="117"/>
        <v>0</v>
      </c>
      <c r="BD61" s="2892" t="e">
        <f t="shared" si="104"/>
        <v>#DIV/0!</v>
      </c>
      <c r="BE61" s="2062"/>
      <c r="BF61" s="2027"/>
      <c r="BG61" s="2061"/>
      <c r="BH61" s="2028">
        <f t="shared" si="118"/>
        <v>0</v>
      </c>
      <c r="BI61" s="2155">
        <f t="shared" si="105"/>
        <v>0</v>
      </c>
      <c r="BJ61" s="2062"/>
      <c r="BK61" s="2027"/>
      <c r="BL61" s="2061"/>
      <c r="BM61" s="2028">
        <f t="shared" si="119"/>
        <v>0</v>
      </c>
      <c r="BN61" s="2155">
        <f t="shared" si="106"/>
        <v>0</v>
      </c>
      <c r="BO61" s="2062"/>
      <c r="BP61" s="2027"/>
      <c r="BQ61" s="2061"/>
      <c r="BR61" s="2028">
        <f t="shared" si="120"/>
        <v>0</v>
      </c>
      <c r="BS61" s="2155">
        <f t="shared" si="107"/>
        <v>0</v>
      </c>
      <c r="BT61" s="2062"/>
      <c r="BU61" s="2059">
        <f t="shared" si="121"/>
        <v>0</v>
      </c>
      <c r="BV61" s="2059">
        <f t="shared" si="122"/>
        <v>0</v>
      </c>
      <c r="BW61" s="2028">
        <f t="shared" si="123"/>
        <v>0</v>
      </c>
      <c r="BX61" s="2892">
        <f t="shared" si="84"/>
        <v>0</v>
      </c>
      <c r="BY61" s="2901"/>
    </row>
    <row r="62" spans="1:77" ht="13.8" x14ac:dyDescent="0.25">
      <c r="A62" s="1586"/>
      <c r="B62" s="2958" t="s">
        <v>33</v>
      </c>
      <c r="C62" s="2960"/>
      <c r="D62" s="2902"/>
      <c r="E62" s="2942">
        <f t="shared" si="108"/>
        <v>0</v>
      </c>
      <c r="F62" s="2892">
        <f t="shared" si="124"/>
        <v>0</v>
      </c>
      <c r="G62" s="2061">
        <v>0</v>
      </c>
      <c r="H62" s="2061">
        <v>0</v>
      </c>
      <c r="I62" s="2028">
        <v>0</v>
      </c>
      <c r="J62" s="2892">
        <v>0</v>
      </c>
      <c r="K62" s="1992"/>
      <c r="L62" s="2027">
        <v>0</v>
      </c>
      <c r="M62" s="2061">
        <v>0</v>
      </c>
      <c r="N62" s="2028">
        <f t="shared" si="109"/>
        <v>0</v>
      </c>
      <c r="O62" s="2892">
        <f t="shared" si="96"/>
        <v>0</v>
      </c>
      <c r="P62" s="2062"/>
      <c r="Q62" s="2631"/>
      <c r="R62" s="2027"/>
      <c r="S62" s="2061"/>
      <c r="T62" s="2028">
        <f t="shared" si="110"/>
        <v>0</v>
      </c>
      <c r="U62" s="2892">
        <f t="shared" si="97"/>
        <v>0</v>
      </c>
      <c r="V62" s="2906"/>
      <c r="W62" s="2027"/>
      <c r="X62" s="2061"/>
      <c r="Y62" s="2028">
        <f t="shared" si="111"/>
        <v>0</v>
      </c>
      <c r="Z62" s="2892">
        <f t="shared" si="98"/>
        <v>0</v>
      </c>
      <c r="AA62" s="2062"/>
      <c r="AB62" s="2027"/>
      <c r="AC62" s="2061"/>
      <c r="AD62" s="2028">
        <f t="shared" si="112"/>
        <v>0</v>
      </c>
      <c r="AE62" s="2892">
        <f t="shared" si="99"/>
        <v>0</v>
      </c>
      <c r="AF62" s="2062"/>
      <c r="AG62" s="2027"/>
      <c r="AH62" s="2061"/>
      <c r="AI62" s="2028">
        <f t="shared" si="113"/>
        <v>0</v>
      </c>
      <c r="AJ62" s="2892">
        <f t="shared" si="100"/>
        <v>0</v>
      </c>
      <c r="AK62" s="2062"/>
      <c r="AL62" s="2027"/>
      <c r="AM62" s="2061"/>
      <c r="AN62" s="2028">
        <f t="shared" si="114"/>
        <v>0</v>
      </c>
      <c r="AO62" s="2892">
        <f t="shared" si="101"/>
        <v>0</v>
      </c>
      <c r="AP62" s="2062"/>
      <c r="AQ62" s="2027"/>
      <c r="AR62" s="2061"/>
      <c r="AS62" s="2028">
        <f t="shared" si="115"/>
        <v>0</v>
      </c>
      <c r="AT62" s="2892">
        <f t="shared" si="102"/>
        <v>0</v>
      </c>
      <c r="AU62" s="2062"/>
      <c r="AV62" s="2027"/>
      <c r="AW62" s="2061"/>
      <c r="AX62" s="2028">
        <f t="shared" si="116"/>
        <v>0</v>
      </c>
      <c r="AY62" s="2892">
        <f t="shared" si="103"/>
        <v>0</v>
      </c>
      <c r="AZ62" s="2062"/>
      <c r="BA62" s="2027"/>
      <c r="BB62" s="2061"/>
      <c r="BC62" s="2028">
        <f t="shared" si="117"/>
        <v>0</v>
      </c>
      <c r="BD62" s="2892" t="e">
        <f t="shared" si="104"/>
        <v>#DIV/0!</v>
      </c>
      <c r="BE62" s="2062"/>
      <c r="BF62" s="2027"/>
      <c r="BG62" s="2061"/>
      <c r="BH62" s="2028">
        <f t="shared" si="118"/>
        <v>0</v>
      </c>
      <c r="BI62" s="2155">
        <f t="shared" si="105"/>
        <v>0</v>
      </c>
      <c r="BJ62" s="2062"/>
      <c r="BK62" s="2027"/>
      <c r="BL62" s="2061"/>
      <c r="BM62" s="2028">
        <f t="shared" si="119"/>
        <v>0</v>
      </c>
      <c r="BN62" s="2155">
        <f t="shared" si="106"/>
        <v>0</v>
      </c>
      <c r="BO62" s="2062"/>
      <c r="BP62" s="2027"/>
      <c r="BQ62" s="2061"/>
      <c r="BR62" s="2028">
        <f t="shared" si="120"/>
        <v>0</v>
      </c>
      <c r="BS62" s="2155">
        <f t="shared" si="107"/>
        <v>0</v>
      </c>
      <c r="BT62" s="2062"/>
      <c r="BU62" s="2059">
        <f t="shared" si="121"/>
        <v>0</v>
      </c>
      <c r="BV62" s="2059">
        <f t="shared" si="122"/>
        <v>0</v>
      </c>
      <c r="BW62" s="2028">
        <f t="shared" si="123"/>
        <v>0</v>
      </c>
      <c r="BX62" s="2892">
        <f t="shared" si="84"/>
        <v>0</v>
      </c>
      <c r="BY62" s="2901"/>
    </row>
    <row r="63" spans="1:77" ht="13.8" x14ac:dyDescent="0.25">
      <c r="A63" s="1586"/>
      <c r="B63" s="2958" t="s">
        <v>35</v>
      </c>
      <c r="C63" s="2960"/>
      <c r="D63" s="2902"/>
      <c r="E63" s="2942">
        <f t="shared" si="108"/>
        <v>0</v>
      </c>
      <c r="F63" s="2892">
        <f t="shared" si="124"/>
        <v>0</v>
      </c>
      <c r="G63" s="2061">
        <v>9608.3060800000003</v>
      </c>
      <c r="H63" s="2061">
        <v>0</v>
      </c>
      <c r="I63" s="2028">
        <v>9608.3060800000003</v>
      </c>
      <c r="J63" s="2892">
        <v>2.9748510058441083E-3</v>
      </c>
      <c r="K63" s="1992"/>
      <c r="L63" s="2027">
        <v>18331.72</v>
      </c>
      <c r="M63" s="2061">
        <v>0</v>
      </c>
      <c r="N63" s="2028">
        <f t="shared" si="109"/>
        <v>18331.72</v>
      </c>
      <c r="O63" s="2892">
        <f t="shared" si="96"/>
        <v>4.9379251677971643E-3</v>
      </c>
      <c r="P63" s="2062"/>
      <c r="Q63" s="2631"/>
      <c r="R63" s="2067"/>
      <c r="S63" s="2061"/>
      <c r="T63" s="2028">
        <f t="shared" si="110"/>
        <v>0</v>
      </c>
      <c r="U63" s="2892">
        <f t="shared" si="97"/>
        <v>0</v>
      </c>
      <c r="V63" s="2959"/>
      <c r="W63" s="2027"/>
      <c r="X63" s="2061"/>
      <c r="Y63" s="2028">
        <f t="shared" si="111"/>
        <v>0</v>
      </c>
      <c r="Z63" s="2892">
        <f t="shared" si="98"/>
        <v>0</v>
      </c>
      <c r="AA63" s="2062"/>
      <c r="AB63" s="2027"/>
      <c r="AC63" s="2061"/>
      <c r="AD63" s="2028">
        <f t="shared" si="112"/>
        <v>0</v>
      </c>
      <c r="AE63" s="2892">
        <f t="shared" si="99"/>
        <v>0</v>
      </c>
      <c r="AF63" s="2062"/>
      <c r="AG63" s="2027"/>
      <c r="AH63" s="2061"/>
      <c r="AI63" s="2028">
        <f t="shared" si="113"/>
        <v>0</v>
      </c>
      <c r="AJ63" s="2892">
        <f t="shared" si="100"/>
        <v>0</v>
      </c>
      <c r="AK63" s="2062"/>
      <c r="AL63" s="2027"/>
      <c r="AM63" s="2061"/>
      <c r="AN63" s="2028">
        <f t="shared" si="114"/>
        <v>0</v>
      </c>
      <c r="AO63" s="2892">
        <f t="shared" si="101"/>
        <v>0</v>
      </c>
      <c r="AP63" s="2062"/>
      <c r="AQ63" s="2027"/>
      <c r="AR63" s="2961"/>
      <c r="AS63" s="2028">
        <f>AQ63+AR63*1</f>
        <v>0</v>
      </c>
      <c r="AT63" s="2892">
        <f t="shared" si="102"/>
        <v>0</v>
      </c>
      <c r="AU63" s="2062"/>
      <c r="AV63" s="2027"/>
      <c r="AW63" s="2961"/>
      <c r="AX63" s="2028">
        <f>AV63+AW63*1</f>
        <v>0</v>
      </c>
      <c r="AY63" s="2892">
        <f t="shared" si="103"/>
        <v>0</v>
      </c>
      <c r="AZ63" s="2062"/>
      <c r="BA63" s="2027"/>
      <c r="BB63" s="2961"/>
      <c r="BC63" s="2028">
        <f>BA63+BB63*1</f>
        <v>0</v>
      </c>
      <c r="BD63" s="2892" t="e">
        <f t="shared" si="104"/>
        <v>#DIV/0!</v>
      </c>
      <c r="BE63" s="2062"/>
      <c r="BF63" s="2027"/>
      <c r="BG63" s="1967"/>
      <c r="BH63" s="2028">
        <f>BF63+BG63*1</f>
        <v>0</v>
      </c>
      <c r="BI63" s="2155">
        <f t="shared" si="105"/>
        <v>0</v>
      </c>
      <c r="BJ63" s="2062"/>
      <c r="BK63" s="2027"/>
      <c r="BL63" s="1967"/>
      <c r="BM63" s="2028">
        <f>BK63+BL63*1</f>
        <v>0</v>
      </c>
      <c r="BN63" s="2155">
        <f t="shared" si="106"/>
        <v>0</v>
      </c>
      <c r="BO63" s="2062"/>
      <c r="BP63" s="2027"/>
      <c r="BQ63" s="1967"/>
      <c r="BR63" s="2028">
        <f>BP63+BQ63*1</f>
        <v>0</v>
      </c>
      <c r="BS63" s="2155">
        <f t="shared" si="107"/>
        <v>0</v>
      </c>
      <c r="BT63" s="2062"/>
      <c r="BU63" s="2059">
        <f t="shared" si="121"/>
        <v>27940.026080000003</v>
      </c>
      <c r="BV63" s="2059">
        <f t="shared" si="122"/>
        <v>0</v>
      </c>
      <c r="BW63" s="2028">
        <f t="shared" si="123"/>
        <v>27940.026080000003</v>
      </c>
      <c r="BX63" s="2892">
        <f t="shared" si="84"/>
        <v>3.7602663260743329E-3</v>
      </c>
      <c r="BY63" s="2901"/>
    </row>
    <row r="64" spans="1:77" ht="13.8" x14ac:dyDescent="0.25">
      <c r="A64" s="1586"/>
      <c r="B64" s="2958" t="s">
        <v>63</v>
      </c>
      <c r="C64" s="2960"/>
      <c r="D64" s="2902"/>
      <c r="E64" s="2942">
        <f t="shared" si="108"/>
        <v>0</v>
      </c>
      <c r="F64" s="2892">
        <f t="shared" si="124"/>
        <v>0</v>
      </c>
      <c r="G64" s="2061">
        <v>0</v>
      </c>
      <c r="H64" s="2061">
        <v>0</v>
      </c>
      <c r="I64" s="2028">
        <v>0</v>
      </c>
      <c r="J64" s="2892">
        <v>0</v>
      </c>
      <c r="K64" s="1992"/>
      <c r="L64" s="2027">
        <v>0</v>
      </c>
      <c r="M64" s="2061">
        <v>0</v>
      </c>
      <c r="N64" s="2028">
        <f t="shared" si="109"/>
        <v>0</v>
      </c>
      <c r="O64" s="2892">
        <f t="shared" si="96"/>
        <v>0</v>
      </c>
      <c r="P64" s="2062"/>
      <c r="Q64" s="2631"/>
      <c r="R64" s="2027"/>
      <c r="S64" s="2061"/>
      <c r="T64" s="2028">
        <f t="shared" si="110"/>
        <v>0</v>
      </c>
      <c r="U64" s="2892">
        <f t="shared" si="97"/>
        <v>0</v>
      </c>
      <c r="V64" s="2906"/>
      <c r="W64" s="2027"/>
      <c r="X64" s="2061"/>
      <c r="Y64" s="2028">
        <f t="shared" si="111"/>
        <v>0</v>
      </c>
      <c r="Z64" s="2892">
        <f t="shared" si="98"/>
        <v>0</v>
      </c>
      <c r="AA64" s="2062"/>
      <c r="AB64" s="2027"/>
      <c r="AC64" s="2061"/>
      <c r="AD64" s="2028">
        <f t="shared" si="112"/>
        <v>0</v>
      </c>
      <c r="AE64" s="2892">
        <f t="shared" si="99"/>
        <v>0</v>
      </c>
      <c r="AF64" s="2062"/>
      <c r="AG64" s="2027"/>
      <c r="AH64" s="2061"/>
      <c r="AI64" s="2028">
        <f t="shared" si="113"/>
        <v>0</v>
      </c>
      <c r="AJ64" s="2892">
        <f t="shared" si="100"/>
        <v>0</v>
      </c>
      <c r="AK64" s="2062"/>
      <c r="AL64" s="2027"/>
      <c r="AM64" s="2061"/>
      <c r="AN64" s="2028">
        <f t="shared" si="114"/>
        <v>0</v>
      </c>
      <c r="AO64" s="2892">
        <f t="shared" si="101"/>
        <v>0</v>
      </c>
      <c r="AP64" s="2062"/>
      <c r="AQ64" s="2027"/>
      <c r="AR64" s="2061"/>
      <c r="AS64" s="2028">
        <f>AQ64+AR64*1</f>
        <v>0</v>
      </c>
      <c r="AT64" s="2892">
        <f t="shared" si="102"/>
        <v>0</v>
      </c>
      <c r="AU64" s="2062"/>
      <c r="AV64" s="2027"/>
      <c r="AW64" s="2061"/>
      <c r="AX64" s="2028">
        <f>AV64+AW64*1</f>
        <v>0</v>
      </c>
      <c r="AY64" s="2892">
        <f t="shared" si="103"/>
        <v>0</v>
      </c>
      <c r="AZ64" s="2062"/>
      <c r="BA64" s="2027"/>
      <c r="BB64" s="2061"/>
      <c r="BC64" s="2028">
        <f>BA64+BB64*1</f>
        <v>0</v>
      </c>
      <c r="BD64" s="2892" t="e">
        <f t="shared" si="104"/>
        <v>#DIV/0!</v>
      </c>
      <c r="BE64" s="2062"/>
      <c r="BF64" s="2027"/>
      <c r="BG64" s="2061"/>
      <c r="BH64" s="2028">
        <f>BF64+BG64*1</f>
        <v>0</v>
      </c>
      <c r="BI64" s="2155">
        <f t="shared" si="105"/>
        <v>0</v>
      </c>
      <c r="BJ64" s="2062"/>
      <c r="BK64" s="2027"/>
      <c r="BL64" s="2061"/>
      <c r="BM64" s="2028">
        <f>BK64+BL64*1</f>
        <v>0</v>
      </c>
      <c r="BN64" s="2155">
        <f t="shared" si="106"/>
        <v>0</v>
      </c>
      <c r="BO64" s="2062"/>
      <c r="BP64" s="2027"/>
      <c r="BQ64" s="2061"/>
      <c r="BR64" s="2028">
        <f>BP64+BQ64*1</f>
        <v>0</v>
      </c>
      <c r="BS64" s="2155">
        <f t="shared" si="107"/>
        <v>0</v>
      </c>
      <c r="BT64" s="2062"/>
      <c r="BU64" s="2059">
        <f t="shared" si="121"/>
        <v>0</v>
      </c>
      <c r="BV64" s="2059">
        <f t="shared" si="122"/>
        <v>0</v>
      </c>
      <c r="BW64" s="2028">
        <f t="shared" si="123"/>
        <v>0</v>
      </c>
      <c r="BX64" s="2892">
        <f t="shared" si="84"/>
        <v>0</v>
      </c>
      <c r="BY64" s="2901"/>
    </row>
    <row r="65" spans="1:79" ht="27.6" x14ac:dyDescent="0.25">
      <c r="A65" s="1586"/>
      <c r="B65" s="2958" t="s">
        <v>36</v>
      </c>
      <c r="C65" s="2960"/>
      <c r="D65" s="2902"/>
      <c r="E65" s="2942">
        <f t="shared" si="108"/>
        <v>0</v>
      </c>
      <c r="F65" s="2892">
        <f t="shared" si="124"/>
        <v>0</v>
      </c>
      <c r="G65" s="2059">
        <v>1960</v>
      </c>
      <c r="H65" s="2059">
        <v>0</v>
      </c>
      <c r="I65" s="2028">
        <v>1960</v>
      </c>
      <c r="J65" s="2892">
        <v>6.0684036529511261E-4</v>
      </c>
      <c r="K65" s="1992"/>
      <c r="L65" s="2027">
        <v>1780</v>
      </c>
      <c r="M65" s="2061">
        <v>0</v>
      </c>
      <c r="N65" s="2028">
        <f t="shared" si="109"/>
        <v>1780</v>
      </c>
      <c r="O65" s="2892">
        <f t="shared" si="96"/>
        <v>4.7946983690995453E-4</v>
      </c>
      <c r="P65" s="2062"/>
      <c r="Q65" s="2631"/>
      <c r="R65" s="2067"/>
      <c r="S65" s="2059"/>
      <c r="T65" s="2028">
        <f t="shared" si="110"/>
        <v>0</v>
      </c>
      <c r="U65" s="2892">
        <f t="shared" si="97"/>
        <v>0</v>
      </c>
      <c r="V65" s="2906"/>
      <c r="W65" s="2027"/>
      <c r="X65" s="2061"/>
      <c r="Y65" s="2028">
        <f t="shared" si="111"/>
        <v>0</v>
      </c>
      <c r="Z65" s="2892">
        <f t="shared" si="98"/>
        <v>0</v>
      </c>
      <c r="AA65" s="2062"/>
      <c r="AB65" s="2027"/>
      <c r="AC65" s="2061"/>
      <c r="AD65" s="2028">
        <f t="shared" si="112"/>
        <v>0</v>
      </c>
      <c r="AE65" s="2892">
        <f t="shared" si="99"/>
        <v>0</v>
      </c>
      <c r="AF65" s="2062"/>
      <c r="AG65" s="2027"/>
      <c r="AH65" s="2061"/>
      <c r="AI65" s="2028">
        <f t="shared" si="113"/>
        <v>0</v>
      </c>
      <c r="AJ65" s="2892">
        <f t="shared" si="100"/>
        <v>0</v>
      </c>
      <c r="AK65" s="2062"/>
      <c r="AL65" s="2027"/>
      <c r="AM65" s="2061"/>
      <c r="AN65" s="2028">
        <f t="shared" si="114"/>
        <v>0</v>
      </c>
      <c r="AO65" s="2892">
        <f t="shared" si="101"/>
        <v>0</v>
      </c>
      <c r="AP65" s="2062"/>
      <c r="AQ65" s="2061"/>
      <c r="AR65" s="2061"/>
      <c r="AS65" s="2028">
        <f t="shared" ref="AS65:AS71" si="125">AQ65+AR65*1</f>
        <v>0</v>
      </c>
      <c r="AT65" s="2892">
        <f t="shared" si="102"/>
        <v>0</v>
      </c>
      <c r="AU65" s="2062"/>
      <c r="AV65" s="2061"/>
      <c r="AW65" s="2061"/>
      <c r="AX65" s="2028">
        <f t="shared" ref="AX65:AX71" si="126">AV65+AW65*1</f>
        <v>0</v>
      </c>
      <c r="AY65" s="2892">
        <f t="shared" si="103"/>
        <v>0</v>
      </c>
      <c r="AZ65" s="2062"/>
      <c r="BA65" s="2061"/>
      <c r="BB65" s="2061"/>
      <c r="BC65" s="2028">
        <f t="shared" ref="BC65:BC71" si="127">BA65+BB65*1</f>
        <v>0</v>
      </c>
      <c r="BD65" s="2892" t="e">
        <f t="shared" si="104"/>
        <v>#DIV/0!</v>
      </c>
      <c r="BE65" s="2062"/>
      <c r="BF65" s="2061"/>
      <c r="BG65" s="2061"/>
      <c r="BH65" s="2028">
        <f t="shared" ref="BH65:BH71" si="128">BF65+BG65*1</f>
        <v>0</v>
      </c>
      <c r="BI65" s="2155">
        <f t="shared" si="105"/>
        <v>0</v>
      </c>
      <c r="BJ65" s="2062"/>
      <c r="BK65" s="2061"/>
      <c r="BL65" s="2061"/>
      <c r="BM65" s="2028">
        <f t="shared" ref="BM65:BM71" si="129">BK65+BL65*1</f>
        <v>0</v>
      </c>
      <c r="BN65" s="2155">
        <f t="shared" si="106"/>
        <v>0</v>
      </c>
      <c r="BO65" s="2062"/>
      <c r="BP65" s="2061"/>
      <c r="BQ65" s="2061"/>
      <c r="BR65" s="2028">
        <f t="shared" ref="BR65:BR71" si="130">BP65+BQ65*1</f>
        <v>0</v>
      </c>
      <c r="BS65" s="2155">
        <f t="shared" si="107"/>
        <v>0</v>
      </c>
      <c r="BT65" s="2062"/>
      <c r="BU65" s="2059">
        <f t="shared" si="121"/>
        <v>3740</v>
      </c>
      <c r="BV65" s="2059">
        <f t="shared" si="122"/>
        <v>0</v>
      </c>
      <c r="BW65" s="2028">
        <f t="shared" si="123"/>
        <v>3740</v>
      </c>
      <c r="BX65" s="2892">
        <f t="shared" si="84"/>
        <v>5.0334226672697519E-4</v>
      </c>
      <c r="BY65" s="2901"/>
    </row>
    <row r="66" spans="1:79" s="1411" customFormat="1" ht="13.8" x14ac:dyDescent="0.25">
      <c r="A66" s="1586"/>
      <c r="B66" s="2958" t="s">
        <v>37</v>
      </c>
      <c r="C66" s="2960"/>
      <c r="D66" s="2902"/>
      <c r="E66" s="2942">
        <f t="shared" si="108"/>
        <v>0</v>
      </c>
      <c r="F66" s="2892">
        <f t="shared" si="124"/>
        <v>0</v>
      </c>
      <c r="G66" s="2059">
        <v>0</v>
      </c>
      <c r="H66" s="2059">
        <v>0</v>
      </c>
      <c r="I66" s="2028">
        <v>0</v>
      </c>
      <c r="J66" s="2892">
        <v>0</v>
      </c>
      <c r="K66" s="1992"/>
      <c r="L66" s="2027">
        <v>0</v>
      </c>
      <c r="M66" s="2061">
        <v>0</v>
      </c>
      <c r="N66" s="2028">
        <f t="shared" si="109"/>
        <v>0</v>
      </c>
      <c r="O66" s="2892">
        <f t="shared" si="96"/>
        <v>0</v>
      </c>
      <c r="P66" s="2062"/>
      <c r="Q66" s="2631"/>
      <c r="R66" s="2067"/>
      <c r="S66" s="2059"/>
      <c r="T66" s="2028">
        <f t="shared" si="110"/>
        <v>0</v>
      </c>
      <c r="U66" s="2892">
        <f t="shared" si="97"/>
        <v>0</v>
      </c>
      <c r="V66" s="2906"/>
      <c r="W66" s="2027"/>
      <c r="X66" s="2061"/>
      <c r="Y66" s="2028">
        <f t="shared" si="111"/>
        <v>0</v>
      </c>
      <c r="Z66" s="2892">
        <f t="shared" si="98"/>
        <v>0</v>
      </c>
      <c r="AA66" s="2062"/>
      <c r="AB66" s="2027"/>
      <c r="AC66" s="2061"/>
      <c r="AD66" s="2028">
        <f t="shared" si="112"/>
        <v>0</v>
      </c>
      <c r="AE66" s="2892">
        <f t="shared" si="99"/>
        <v>0</v>
      </c>
      <c r="AF66" s="2062"/>
      <c r="AG66" s="2027"/>
      <c r="AH66" s="2061"/>
      <c r="AI66" s="2028">
        <f t="shared" si="113"/>
        <v>0</v>
      </c>
      <c r="AJ66" s="2892">
        <f t="shared" si="100"/>
        <v>0</v>
      </c>
      <c r="AK66" s="2062"/>
      <c r="AL66" s="2027"/>
      <c r="AM66" s="2061"/>
      <c r="AN66" s="2028">
        <f t="shared" si="114"/>
        <v>0</v>
      </c>
      <c r="AO66" s="2892">
        <f t="shared" si="101"/>
        <v>0</v>
      </c>
      <c r="AP66" s="2062"/>
      <c r="AQ66" s="2027"/>
      <c r="AR66" s="2059"/>
      <c r="AS66" s="2028">
        <f t="shared" si="125"/>
        <v>0</v>
      </c>
      <c r="AT66" s="2892">
        <f t="shared" si="102"/>
        <v>0</v>
      </c>
      <c r="AU66" s="2062"/>
      <c r="AV66" s="2027"/>
      <c r="AW66" s="2059"/>
      <c r="AX66" s="2028">
        <f t="shared" si="126"/>
        <v>0</v>
      </c>
      <c r="AY66" s="2892">
        <f t="shared" si="103"/>
        <v>0</v>
      </c>
      <c r="AZ66" s="2062"/>
      <c r="BA66" s="2027"/>
      <c r="BB66" s="2059"/>
      <c r="BC66" s="2028">
        <f t="shared" si="127"/>
        <v>0</v>
      </c>
      <c r="BD66" s="2892" t="e">
        <f t="shared" si="104"/>
        <v>#DIV/0!</v>
      </c>
      <c r="BE66" s="2062"/>
      <c r="BF66" s="2027"/>
      <c r="BG66" s="2059"/>
      <c r="BH66" s="2028">
        <f t="shared" si="128"/>
        <v>0</v>
      </c>
      <c r="BI66" s="2155">
        <f t="shared" si="105"/>
        <v>0</v>
      </c>
      <c r="BJ66" s="2062"/>
      <c r="BK66" s="2027"/>
      <c r="BL66" s="2059"/>
      <c r="BM66" s="2028">
        <f t="shared" si="129"/>
        <v>0</v>
      </c>
      <c r="BN66" s="2155">
        <f t="shared" si="106"/>
        <v>0</v>
      </c>
      <c r="BO66" s="2062"/>
      <c r="BP66" s="2027"/>
      <c r="BQ66" s="2059"/>
      <c r="BR66" s="2028">
        <f t="shared" si="130"/>
        <v>0</v>
      </c>
      <c r="BS66" s="2155">
        <f t="shared" si="107"/>
        <v>0</v>
      </c>
      <c r="BT66" s="2062"/>
      <c r="BU66" s="2059">
        <f t="shared" si="121"/>
        <v>0</v>
      </c>
      <c r="BV66" s="2059">
        <f t="shared" si="122"/>
        <v>0</v>
      </c>
      <c r="BW66" s="2028">
        <f t="shared" si="123"/>
        <v>0</v>
      </c>
      <c r="BX66" s="2892">
        <f t="shared" si="84"/>
        <v>0</v>
      </c>
      <c r="BY66" s="2901"/>
    </row>
    <row r="67" spans="1:79" s="1411" customFormat="1" ht="13.8" x14ac:dyDescent="0.25">
      <c r="A67" s="1586"/>
      <c r="B67" s="2958" t="s">
        <v>3</v>
      </c>
      <c r="C67" s="2960"/>
      <c r="D67" s="2902"/>
      <c r="E67" s="2942">
        <f t="shared" si="108"/>
        <v>0</v>
      </c>
      <c r="F67" s="2892">
        <f t="shared" si="124"/>
        <v>0</v>
      </c>
      <c r="G67" s="2059">
        <v>0</v>
      </c>
      <c r="H67" s="2059">
        <v>0</v>
      </c>
      <c r="I67" s="2028">
        <v>0</v>
      </c>
      <c r="J67" s="2892">
        <v>0</v>
      </c>
      <c r="K67" s="1992"/>
      <c r="L67" s="2027">
        <v>0</v>
      </c>
      <c r="M67" s="2061">
        <v>0</v>
      </c>
      <c r="N67" s="2028">
        <f t="shared" si="109"/>
        <v>0</v>
      </c>
      <c r="O67" s="2892">
        <f t="shared" si="96"/>
        <v>0</v>
      </c>
      <c r="P67" s="2062"/>
      <c r="Q67" s="2631"/>
      <c r="R67" s="2067"/>
      <c r="S67" s="2059"/>
      <c r="T67" s="2028">
        <f t="shared" si="110"/>
        <v>0</v>
      </c>
      <c r="U67" s="2892">
        <f t="shared" si="97"/>
        <v>0</v>
      </c>
      <c r="V67" s="2906"/>
      <c r="W67" s="2027"/>
      <c r="X67" s="2061"/>
      <c r="Y67" s="2028">
        <f t="shared" si="111"/>
        <v>0</v>
      </c>
      <c r="Z67" s="2892">
        <f t="shared" si="98"/>
        <v>0</v>
      </c>
      <c r="AA67" s="2062"/>
      <c r="AB67" s="2027"/>
      <c r="AC67" s="2061"/>
      <c r="AD67" s="2028">
        <f t="shared" si="112"/>
        <v>0</v>
      </c>
      <c r="AE67" s="2892">
        <f t="shared" si="99"/>
        <v>0</v>
      </c>
      <c r="AF67" s="2062"/>
      <c r="AG67" s="2027"/>
      <c r="AH67" s="2061"/>
      <c r="AI67" s="2028">
        <f t="shared" si="113"/>
        <v>0</v>
      </c>
      <c r="AJ67" s="2892">
        <f t="shared" si="100"/>
        <v>0</v>
      </c>
      <c r="AK67" s="2062"/>
      <c r="AL67" s="2027"/>
      <c r="AM67" s="2061"/>
      <c r="AN67" s="2028">
        <f t="shared" si="114"/>
        <v>0</v>
      </c>
      <c r="AO67" s="2892">
        <f t="shared" si="101"/>
        <v>0</v>
      </c>
      <c r="AP67" s="2062"/>
      <c r="AQ67" s="2027"/>
      <c r="AR67" s="2027"/>
      <c r="AS67" s="2028">
        <f t="shared" si="125"/>
        <v>0</v>
      </c>
      <c r="AT67" s="2892">
        <f t="shared" si="102"/>
        <v>0</v>
      </c>
      <c r="AU67" s="2062"/>
      <c r="AV67" s="2027"/>
      <c r="AW67" s="2027"/>
      <c r="AX67" s="2028">
        <f t="shared" si="126"/>
        <v>0</v>
      </c>
      <c r="AY67" s="2892">
        <f t="shared" si="103"/>
        <v>0</v>
      </c>
      <c r="AZ67" s="2062"/>
      <c r="BA67" s="2027"/>
      <c r="BB67" s="2027"/>
      <c r="BC67" s="2028">
        <f t="shared" si="127"/>
        <v>0</v>
      </c>
      <c r="BD67" s="2892" t="e">
        <f t="shared" si="104"/>
        <v>#DIV/0!</v>
      </c>
      <c r="BE67" s="2062"/>
      <c r="BF67" s="2027"/>
      <c r="BG67" s="2027"/>
      <c r="BH67" s="2028">
        <f t="shared" si="128"/>
        <v>0</v>
      </c>
      <c r="BI67" s="2155">
        <f t="shared" si="105"/>
        <v>0</v>
      </c>
      <c r="BJ67" s="2062"/>
      <c r="BK67" s="2027"/>
      <c r="BL67" s="2027"/>
      <c r="BM67" s="2028">
        <f t="shared" si="129"/>
        <v>0</v>
      </c>
      <c r="BN67" s="2155">
        <f t="shared" si="106"/>
        <v>0</v>
      </c>
      <c r="BO67" s="2062"/>
      <c r="BP67" s="2027"/>
      <c r="BQ67" s="2027"/>
      <c r="BR67" s="2028">
        <f t="shared" si="130"/>
        <v>0</v>
      </c>
      <c r="BS67" s="2155">
        <f t="shared" si="107"/>
        <v>0</v>
      </c>
      <c r="BT67" s="2062"/>
      <c r="BU67" s="2059">
        <f t="shared" si="121"/>
        <v>0</v>
      </c>
      <c r="BV67" s="2059">
        <f t="shared" si="122"/>
        <v>0</v>
      </c>
      <c r="BW67" s="2028">
        <f t="shared" si="123"/>
        <v>0</v>
      </c>
      <c r="BX67" s="2892">
        <f t="shared" si="84"/>
        <v>0</v>
      </c>
      <c r="BY67" s="2901"/>
    </row>
    <row r="68" spans="1:79" s="1411" customFormat="1" ht="55.2" x14ac:dyDescent="0.25">
      <c r="A68" s="1586"/>
      <c r="B68" s="2958" t="s">
        <v>5</v>
      </c>
      <c r="C68" s="2960"/>
      <c r="D68" s="2902"/>
      <c r="E68" s="2942">
        <f t="shared" si="108"/>
        <v>0</v>
      </c>
      <c r="F68" s="2892">
        <f t="shared" si="124"/>
        <v>0</v>
      </c>
      <c r="G68" s="2059">
        <v>0</v>
      </c>
      <c r="H68" s="2059">
        <v>2009.63</v>
      </c>
      <c r="I68" s="2028">
        <v>2009.63</v>
      </c>
      <c r="J68" s="2892">
        <v>6.2220643025919246E-4</v>
      </c>
      <c r="K68" s="1992"/>
      <c r="L68" s="2067">
        <v>0</v>
      </c>
      <c r="M68" s="2059">
        <v>4687.18</v>
      </c>
      <c r="N68" s="2028">
        <f t="shared" si="109"/>
        <v>4687.18</v>
      </c>
      <c r="O68" s="2892">
        <f t="shared" si="96"/>
        <v>1.2625626012177532E-3</v>
      </c>
      <c r="P68" s="2062"/>
      <c r="Q68" s="2631"/>
      <c r="R68" s="2067"/>
      <c r="S68" s="2059">
        <v>577.54</v>
      </c>
      <c r="T68" s="2028">
        <f t="shared" si="110"/>
        <v>577.54</v>
      </c>
      <c r="U68" s="2892">
        <f t="shared" si="97"/>
        <v>9.1639486225109992E-2</v>
      </c>
      <c r="V68" s="2962" t="s">
        <v>1567</v>
      </c>
      <c r="W68" s="2067"/>
      <c r="X68" s="2059"/>
      <c r="Y68" s="2028">
        <f t="shared" si="111"/>
        <v>0</v>
      </c>
      <c r="Z68" s="2892">
        <f t="shared" si="98"/>
        <v>0</v>
      </c>
      <c r="AA68" s="2062"/>
      <c r="AB68" s="2067"/>
      <c r="AC68" s="2059"/>
      <c r="AD68" s="2028">
        <f t="shared" si="112"/>
        <v>0</v>
      </c>
      <c r="AE68" s="2892">
        <f t="shared" si="99"/>
        <v>0</v>
      </c>
      <c r="AF68" s="2062"/>
      <c r="AG68" s="2067"/>
      <c r="AH68" s="2059">
        <v>767.3</v>
      </c>
      <c r="AI68" s="2028">
        <f t="shared" si="113"/>
        <v>767.3</v>
      </c>
      <c r="AJ68" s="2892">
        <f t="shared" si="100"/>
        <v>5.936312801618502E-2</v>
      </c>
      <c r="AK68" s="2062" t="s">
        <v>562</v>
      </c>
      <c r="AL68" s="2067"/>
      <c r="AM68" s="2059"/>
      <c r="AN68" s="2028">
        <f t="shared" si="114"/>
        <v>0</v>
      </c>
      <c r="AO68" s="2892">
        <f t="shared" si="101"/>
        <v>0</v>
      </c>
      <c r="AP68" s="2062"/>
      <c r="AQ68" s="2027"/>
      <c r="AR68" s="2059"/>
      <c r="AS68" s="2028">
        <f t="shared" si="125"/>
        <v>0</v>
      </c>
      <c r="AT68" s="2892">
        <f t="shared" si="102"/>
        <v>0</v>
      </c>
      <c r="AU68" s="2062"/>
      <c r="AV68" s="2027"/>
      <c r="AW68" s="2059"/>
      <c r="AX68" s="2028">
        <f t="shared" si="126"/>
        <v>0</v>
      </c>
      <c r="AY68" s="2892">
        <f t="shared" si="103"/>
        <v>0</v>
      </c>
      <c r="AZ68" s="2062"/>
      <c r="BA68" s="2027"/>
      <c r="BB68" s="2059"/>
      <c r="BC68" s="2028">
        <f t="shared" si="127"/>
        <v>0</v>
      </c>
      <c r="BD68" s="2892" t="e">
        <f t="shared" si="104"/>
        <v>#DIV/0!</v>
      </c>
      <c r="BE68" s="2062"/>
      <c r="BF68" s="2059"/>
      <c r="BG68" s="2059"/>
      <c r="BH68" s="2028">
        <f t="shared" si="128"/>
        <v>0</v>
      </c>
      <c r="BI68" s="2155">
        <f t="shared" si="105"/>
        <v>0</v>
      </c>
      <c r="BJ68" s="2062"/>
      <c r="BK68" s="2059"/>
      <c r="BL68" s="2059"/>
      <c r="BM68" s="2028">
        <f t="shared" si="129"/>
        <v>0</v>
      </c>
      <c r="BN68" s="2155">
        <f t="shared" si="106"/>
        <v>0</v>
      </c>
      <c r="BO68" s="2062"/>
      <c r="BP68" s="2059"/>
      <c r="BQ68" s="2059">
        <v>237.6</v>
      </c>
      <c r="BR68" s="2028">
        <f t="shared" si="130"/>
        <v>237.6</v>
      </c>
      <c r="BS68" s="2155">
        <f t="shared" si="107"/>
        <v>1</v>
      </c>
      <c r="BT68" s="2062" t="s">
        <v>562</v>
      </c>
      <c r="BU68" s="2059">
        <f t="shared" si="121"/>
        <v>0</v>
      </c>
      <c r="BV68" s="2059">
        <f t="shared" si="122"/>
        <v>8279.25</v>
      </c>
      <c r="BW68" s="2028">
        <f t="shared" si="123"/>
        <v>8279.25</v>
      </c>
      <c r="BX68" s="2892">
        <f t="shared" si="84"/>
        <v>1.1142503908554303E-3</v>
      </c>
      <c r="BY68" s="2901"/>
    </row>
    <row r="69" spans="1:79" s="1411" customFormat="1" ht="13.8" x14ac:dyDescent="0.25">
      <c r="A69" s="1586"/>
      <c r="B69" s="2958" t="s">
        <v>42</v>
      </c>
      <c r="C69" s="2960">
        <v>30509.10220808379</v>
      </c>
      <c r="D69" s="2902"/>
      <c r="E69" s="2942">
        <f t="shared" si="108"/>
        <v>30509.10220808379</v>
      </c>
      <c r="F69" s="2892">
        <f t="shared" si="124"/>
        <v>5.9480724900962513E-3</v>
      </c>
      <c r="G69" s="2059">
        <v>5415</v>
      </c>
      <c r="H69" s="2059">
        <v>0</v>
      </c>
      <c r="I69" s="2028">
        <v>5415</v>
      </c>
      <c r="J69" s="2892">
        <v>1.6765513153433852E-3</v>
      </c>
      <c r="K69" s="1992"/>
      <c r="L69" s="2067">
        <v>0</v>
      </c>
      <c r="M69" s="2059">
        <v>0</v>
      </c>
      <c r="N69" s="2028">
        <f t="shared" si="109"/>
        <v>0</v>
      </c>
      <c r="O69" s="2892">
        <f t="shared" si="96"/>
        <v>0</v>
      </c>
      <c r="P69" s="2062"/>
      <c r="Q69" s="2631"/>
      <c r="R69" s="2067"/>
      <c r="S69" s="2059"/>
      <c r="T69" s="2028">
        <f t="shared" si="110"/>
        <v>0</v>
      </c>
      <c r="U69" s="2892">
        <f t="shared" si="97"/>
        <v>0</v>
      </c>
      <c r="V69" s="2959"/>
      <c r="W69" s="2067"/>
      <c r="X69" s="2059"/>
      <c r="Y69" s="2028">
        <f t="shared" si="111"/>
        <v>0</v>
      </c>
      <c r="Z69" s="2892">
        <f t="shared" si="98"/>
        <v>0</v>
      </c>
      <c r="AA69" s="2062"/>
      <c r="AB69" s="2067"/>
      <c r="AC69" s="2059"/>
      <c r="AD69" s="2028">
        <f t="shared" si="112"/>
        <v>0</v>
      </c>
      <c r="AE69" s="2892">
        <f t="shared" si="99"/>
        <v>0</v>
      </c>
      <c r="AF69" s="2062"/>
      <c r="AG69" s="2067"/>
      <c r="AH69" s="2059"/>
      <c r="AI69" s="2028">
        <f t="shared" si="113"/>
        <v>0</v>
      </c>
      <c r="AJ69" s="2892">
        <f t="shared" si="100"/>
        <v>0</v>
      </c>
      <c r="AK69" s="2062"/>
      <c r="AL69" s="2067"/>
      <c r="AM69" s="2059"/>
      <c r="AN69" s="2028">
        <f t="shared" si="114"/>
        <v>0</v>
      </c>
      <c r="AO69" s="2892">
        <f t="shared" si="101"/>
        <v>0</v>
      </c>
      <c r="AP69" s="2062"/>
      <c r="AQ69" s="2027"/>
      <c r="AR69" s="2059"/>
      <c r="AS69" s="2028">
        <f t="shared" si="125"/>
        <v>0</v>
      </c>
      <c r="AT69" s="2892">
        <f t="shared" si="102"/>
        <v>0</v>
      </c>
      <c r="AU69" s="2963"/>
      <c r="AV69" s="2027"/>
      <c r="AW69" s="2059"/>
      <c r="AX69" s="2028">
        <f t="shared" si="126"/>
        <v>0</v>
      </c>
      <c r="AY69" s="2892">
        <f t="shared" si="103"/>
        <v>0</v>
      </c>
      <c r="AZ69" s="2963"/>
      <c r="BA69" s="2027"/>
      <c r="BB69" s="2059"/>
      <c r="BC69" s="2028">
        <f t="shared" si="127"/>
        <v>0</v>
      </c>
      <c r="BD69" s="2892" t="e">
        <f t="shared" si="104"/>
        <v>#DIV/0!</v>
      </c>
      <c r="BE69" s="2963"/>
      <c r="BF69" s="2027"/>
      <c r="BG69" s="2059"/>
      <c r="BH69" s="2028">
        <f t="shared" si="128"/>
        <v>0</v>
      </c>
      <c r="BI69" s="2155">
        <f t="shared" si="105"/>
        <v>0</v>
      </c>
      <c r="BJ69" s="2505"/>
      <c r="BK69" s="2027"/>
      <c r="BL69" s="2059"/>
      <c r="BM69" s="2028">
        <f t="shared" si="129"/>
        <v>0</v>
      </c>
      <c r="BN69" s="2155">
        <f t="shared" si="106"/>
        <v>0</v>
      </c>
      <c r="BO69" s="2505"/>
      <c r="BP69" s="2027"/>
      <c r="BQ69" s="2059"/>
      <c r="BR69" s="2028">
        <f t="shared" si="130"/>
        <v>0</v>
      </c>
      <c r="BS69" s="2155">
        <f t="shared" si="107"/>
        <v>0</v>
      </c>
      <c r="BT69" s="2505"/>
      <c r="BU69" s="2059">
        <f t="shared" si="121"/>
        <v>5415</v>
      </c>
      <c r="BV69" s="2059">
        <f t="shared" si="122"/>
        <v>0</v>
      </c>
      <c r="BW69" s="2028">
        <f t="shared" si="123"/>
        <v>5415</v>
      </c>
      <c r="BX69" s="2892">
        <f t="shared" si="84"/>
        <v>7.2876961880389592E-4</v>
      </c>
      <c r="BY69" s="2901"/>
    </row>
    <row r="70" spans="1:79" s="1411" customFormat="1" ht="13.8" x14ac:dyDescent="0.25">
      <c r="A70" s="1586"/>
      <c r="B70" s="2958" t="s">
        <v>6</v>
      </c>
      <c r="C70" s="2960"/>
      <c r="D70" s="2902"/>
      <c r="E70" s="2942">
        <f t="shared" si="108"/>
        <v>0</v>
      </c>
      <c r="F70" s="2892">
        <f t="shared" si="124"/>
        <v>0</v>
      </c>
      <c r="G70" s="2059">
        <v>0</v>
      </c>
      <c r="H70" s="2059">
        <v>0</v>
      </c>
      <c r="I70" s="2028">
        <v>0</v>
      </c>
      <c r="J70" s="2892">
        <v>0</v>
      </c>
      <c r="K70" s="1992"/>
      <c r="L70" s="2067">
        <v>0</v>
      </c>
      <c r="M70" s="2059">
        <v>0</v>
      </c>
      <c r="N70" s="2028">
        <f t="shared" si="109"/>
        <v>0</v>
      </c>
      <c r="O70" s="2892">
        <f t="shared" si="96"/>
        <v>0</v>
      </c>
      <c r="P70" s="2062"/>
      <c r="Q70" s="2631"/>
      <c r="R70" s="2067"/>
      <c r="S70" s="2059"/>
      <c r="T70" s="2028">
        <f t="shared" si="110"/>
        <v>0</v>
      </c>
      <c r="U70" s="2892">
        <f t="shared" si="97"/>
        <v>0</v>
      </c>
      <c r="V70" s="2906"/>
      <c r="W70" s="2067"/>
      <c r="X70" s="2059"/>
      <c r="Y70" s="2028">
        <f t="shared" si="111"/>
        <v>0</v>
      </c>
      <c r="Z70" s="2892">
        <f t="shared" si="98"/>
        <v>0</v>
      </c>
      <c r="AA70" s="2062"/>
      <c r="AB70" s="2067"/>
      <c r="AC70" s="2059"/>
      <c r="AD70" s="2028">
        <f t="shared" si="112"/>
        <v>0</v>
      </c>
      <c r="AE70" s="2892">
        <f t="shared" si="99"/>
        <v>0</v>
      </c>
      <c r="AF70" s="2062"/>
      <c r="AG70" s="2067"/>
      <c r="AH70" s="2059"/>
      <c r="AI70" s="2028">
        <f t="shared" si="113"/>
        <v>0</v>
      </c>
      <c r="AJ70" s="2892">
        <f t="shared" si="100"/>
        <v>0</v>
      </c>
      <c r="AK70" s="2062"/>
      <c r="AL70" s="2067"/>
      <c r="AM70" s="2059"/>
      <c r="AN70" s="2028">
        <f t="shared" si="114"/>
        <v>0</v>
      </c>
      <c r="AO70" s="2892">
        <f t="shared" si="101"/>
        <v>0</v>
      </c>
      <c r="AP70" s="2062"/>
      <c r="AQ70" s="2027"/>
      <c r="AR70" s="2067"/>
      <c r="AS70" s="2028">
        <f t="shared" si="125"/>
        <v>0</v>
      </c>
      <c r="AT70" s="2892">
        <f t="shared" si="102"/>
        <v>0</v>
      </c>
      <c r="AU70" s="2062"/>
      <c r="AV70" s="2027"/>
      <c r="AW70" s="2067"/>
      <c r="AX70" s="2028">
        <f t="shared" si="126"/>
        <v>0</v>
      </c>
      <c r="AY70" s="2892">
        <f t="shared" si="103"/>
        <v>0</v>
      </c>
      <c r="AZ70" s="2062"/>
      <c r="BA70" s="2027"/>
      <c r="BB70" s="2067"/>
      <c r="BC70" s="2028">
        <f t="shared" si="127"/>
        <v>0</v>
      </c>
      <c r="BD70" s="2892" t="e">
        <f t="shared" si="104"/>
        <v>#DIV/0!</v>
      </c>
      <c r="BE70" s="2062"/>
      <c r="BF70" s="2027"/>
      <c r="BG70" s="2067"/>
      <c r="BH70" s="2028">
        <f t="shared" si="128"/>
        <v>0</v>
      </c>
      <c r="BI70" s="2155">
        <f t="shared" si="105"/>
        <v>0</v>
      </c>
      <c r="BJ70" s="2062"/>
      <c r="BK70" s="2027"/>
      <c r="BL70" s="2067"/>
      <c r="BM70" s="2028">
        <f t="shared" si="129"/>
        <v>0</v>
      </c>
      <c r="BN70" s="2155">
        <f t="shared" si="106"/>
        <v>0</v>
      </c>
      <c r="BO70" s="2062"/>
      <c r="BP70" s="2027"/>
      <c r="BQ70" s="2067"/>
      <c r="BR70" s="2028">
        <f t="shared" si="130"/>
        <v>0</v>
      </c>
      <c r="BS70" s="2155">
        <f t="shared" si="107"/>
        <v>0</v>
      </c>
      <c r="BT70" s="2062"/>
      <c r="BU70" s="2059">
        <f t="shared" si="121"/>
        <v>0</v>
      </c>
      <c r="BV70" s="2059">
        <f t="shared" si="122"/>
        <v>0</v>
      </c>
      <c r="BW70" s="2028">
        <f t="shared" si="123"/>
        <v>0</v>
      </c>
      <c r="BX70" s="2892">
        <f t="shared" si="84"/>
        <v>0</v>
      </c>
      <c r="BY70" s="2901"/>
    </row>
    <row r="71" spans="1:79" s="1411" customFormat="1" ht="13.8" x14ac:dyDescent="0.25">
      <c r="A71" s="1586"/>
      <c r="B71" s="2958" t="s">
        <v>78</v>
      </c>
      <c r="C71" s="2960"/>
      <c r="D71" s="2902"/>
      <c r="E71" s="2942">
        <f t="shared" si="108"/>
        <v>0</v>
      </c>
      <c r="F71" s="2964">
        <f t="shared" si="124"/>
        <v>0</v>
      </c>
      <c r="G71" s="2059">
        <v>0</v>
      </c>
      <c r="H71" s="2059">
        <v>0</v>
      </c>
      <c r="I71" s="2028">
        <v>0</v>
      </c>
      <c r="J71" s="2892">
        <v>0</v>
      </c>
      <c r="K71" s="1705"/>
      <c r="L71" s="2067">
        <v>0</v>
      </c>
      <c r="M71" s="2059">
        <v>0</v>
      </c>
      <c r="N71" s="2028">
        <f t="shared" si="109"/>
        <v>0</v>
      </c>
      <c r="O71" s="2892">
        <f t="shared" si="96"/>
        <v>0</v>
      </c>
      <c r="P71" s="2062"/>
      <c r="Q71" s="2965"/>
      <c r="R71" s="2067"/>
      <c r="S71" s="2059"/>
      <c r="T71" s="2028">
        <f t="shared" si="110"/>
        <v>0</v>
      </c>
      <c r="U71" s="2892">
        <f t="shared" si="97"/>
        <v>0</v>
      </c>
      <c r="V71" s="2906"/>
      <c r="W71" s="2067"/>
      <c r="X71" s="2059"/>
      <c r="Y71" s="2028">
        <f t="shared" si="111"/>
        <v>0</v>
      </c>
      <c r="Z71" s="2892">
        <f t="shared" si="98"/>
        <v>0</v>
      </c>
      <c r="AA71" s="2062"/>
      <c r="AB71" s="2067"/>
      <c r="AC71" s="2059"/>
      <c r="AD71" s="2028">
        <f t="shared" si="112"/>
        <v>0</v>
      </c>
      <c r="AE71" s="2892">
        <f t="shared" si="99"/>
        <v>0</v>
      </c>
      <c r="AF71" s="2062"/>
      <c r="AG71" s="2067"/>
      <c r="AH71" s="2059"/>
      <c r="AI71" s="2028">
        <f t="shared" si="113"/>
        <v>0</v>
      </c>
      <c r="AJ71" s="2892">
        <f t="shared" si="100"/>
        <v>0</v>
      </c>
      <c r="AK71" s="2062"/>
      <c r="AL71" s="2067"/>
      <c r="AM71" s="2059"/>
      <c r="AN71" s="2028">
        <f t="shared" si="114"/>
        <v>0</v>
      </c>
      <c r="AO71" s="2892">
        <f t="shared" si="101"/>
        <v>0</v>
      </c>
      <c r="AP71" s="2062"/>
      <c r="AQ71" s="2067"/>
      <c r="AR71" s="2059"/>
      <c r="AS71" s="2028">
        <f t="shared" si="125"/>
        <v>0</v>
      </c>
      <c r="AT71" s="2892">
        <f t="shared" si="102"/>
        <v>0</v>
      </c>
      <c r="AU71" s="2062"/>
      <c r="AV71" s="2067"/>
      <c r="AW71" s="2059"/>
      <c r="AX71" s="2028">
        <f t="shared" si="126"/>
        <v>0</v>
      </c>
      <c r="AY71" s="2892">
        <f t="shared" si="103"/>
        <v>0</v>
      </c>
      <c r="AZ71" s="2062"/>
      <c r="BA71" s="2067"/>
      <c r="BB71" s="2059"/>
      <c r="BC71" s="2028">
        <f t="shared" si="127"/>
        <v>0</v>
      </c>
      <c r="BD71" s="2892" t="e">
        <f t="shared" si="104"/>
        <v>#DIV/0!</v>
      </c>
      <c r="BE71" s="2062"/>
      <c r="BF71" s="2067"/>
      <c r="BG71" s="2059"/>
      <c r="BH71" s="2028">
        <f t="shared" si="128"/>
        <v>0</v>
      </c>
      <c r="BI71" s="2155">
        <f t="shared" si="105"/>
        <v>0</v>
      </c>
      <c r="BJ71" s="2062"/>
      <c r="BK71" s="2067"/>
      <c r="BL71" s="2059"/>
      <c r="BM71" s="2028">
        <f t="shared" si="129"/>
        <v>0</v>
      </c>
      <c r="BN71" s="2155">
        <f t="shared" si="106"/>
        <v>0</v>
      </c>
      <c r="BO71" s="2062"/>
      <c r="BP71" s="2067"/>
      <c r="BQ71" s="2059"/>
      <c r="BR71" s="2028">
        <f t="shared" si="130"/>
        <v>0</v>
      </c>
      <c r="BS71" s="2155">
        <f t="shared" si="107"/>
        <v>0</v>
      </c>
      <c r="BT71" s="2062"/>
      <c r="BU71" s="2059">
        <f t="shared" si="121"/>
        <v>0</v>
      </c>
      <c r="BV71" s="2059">
        <f t="shared" si="122"/>
        <v>0</v>
      </c>
      <c r="BW71" s="2028">
        <f t="shared" si="123"/>
        <v>0</v>
      </c>
      <c r="BX71" s="2892">
        <f t="shared" si="84"/>
        <v>0</v>
      </c>
      <c r="BY71" s="2901"/>
    </row>
    <row r="72" spans="1:79" s="1411" customFormat="1" ht="14.4" thickBot="1" x14ac:dyDescent="0.3">
      <c r="A72" s="1586"/>
      <c r="B72" s="2966"/>
      <c r="C72" s="2967"/>
      <c r="D72" s="2968"/>
      <c r="E72" s="2969"/>
      <c r="F72" s="2964">
        <f t="shared" si="124"/>
        <v>0</v>
      </c>
      <c r="G72" s="2043"/>
      <c r="H72" s="2043"/>
      <c r="I72" s="2046"/>
      <c r="J72" s="2964">
        <v>0</v>
      </c>
      <c r="K72" s="1705"/>
      <c r="L72" s="2045"/>
      <c r="M72" s="2043"/>
      <c r="N72" s="2046"/>
      <c r="O72" s="2964"/>
      <c r="P72" s="2970"/>
      <c r="Q72" s="2640"/>
      <c r="R72" s="2045"/>
      <c r="S72" s="2043"/>
      <c r="T72" s="2046"/>
      <c r="U72" s="2964"/>
      <c r="V72" s="2971"/>
      <c r="W72" s="2045"/>
      <c r="X72" s="2043"/>
      <c r="Y72" s="2046"/>
      <c r="Z72" s="2964"/>
      <c r="AA72" s="2970"/>
      <c r="AB72" s="2045"/>
      <c r="AC72" s="2043"/>
      <c r="AD72" s="2046"/>
      <c r="AE72" s="2964"/>
      <c r="AF72" s="2970"/>
      <c r="AG72" s="2045"/>
      <c r="AH72" s="2043"/>
      <c r="AI72" s="2046"/>
      <c r="AJ72" s="2964"/>
      <c r="AK72" s="2970"/>
      <c r="AL72" s="2045"/>
      <c r="AM72" s="2043"/>
      <c r="AN72" s="2046"/>
      <c r="AO72" s="2964"/>
      <c r="AP72" s="2970"/>
      <c r="AQ72" s="2045"/>
      <c r="AR72" s="2043"/>
      <c r="AS72" s="2046"/>
      <c r="AT72" s="2964"/>
      <c r="AU72" s="2970"/>
      <c r="AV72" s="2045"/>
      <c r="AW72" s="2043"/>
      <c r="AX72" s="2046"/>
      <c r="AY72" s="2964"/>
      <c r="AZ72" s="2970"/>
      <c r="BA72" s="2045"/>
      <c r="BB72" s="2043"/>
      <c r="BC72" s="2046"/>
      <c r="BD72" s="2964"/>
      <c r="BE72" s="2970"/>
      <c r="BF72" s="2045"/>
      <c r="BG72" s="2043"/>
      <c r="BH72" s="2046"/>
      <c r="BI72" s="2033"/>
      <c r="BJ72" s="2006"/>
      <c r="BK72" s="2045"/>
      <c r="BL72" s="2043"/>
      <c r="BM72" s="2046"/>
      <c r="BN72" s="2033"/>
      <c r="BO72" s="2006"/>
      <c r="BP72" s="2045"/>
      <c r="BQ72" s="2043"/>
      <c r="BR72" s="2046"/>
      <c r="BS72" s="2033"/>
      <c r="BT72" s="2006"/>
      <c r="BU72" s="2043"/>
      <c r="BV72" s="2043"/>
      <c r="BW72" s="2046"/>
      <c r="BX72" s="2964">
        <f t="shared" si="84"/>
        <v>0</v>
      </c>
      <c r="BY72" s="2972"/>
    </row>
    <row r="73" spans="1:79" s="1411" customFormat="1" ht="14.4" thickBot="1" x14ac:dyDescent="0.3">
      <c r="A73" s="1586"/>
      <c r="B73" s="903" t="s">
        <v>4</v>
      </c>
      <c r="C73" s="1599">
        <f>C74</f>
        <v>187067.36258462275</v>
      </c>
      <c r="D73" s="843">
        <f>D74</f>
        <v>0</v>
      </c>
      <c r="E73" s="1599">
        <f>E74</f>
        <v>187067.36258462275</v>
      </c>
      <c r="F73" s="838">
        <f>E73/$E$89</f>
        <v>3.6470762908573345E-2</v>
      </c>
      <c r="G73" s="1599">
        <v>0</v>
      </c>
      <c r="H73" s="1704">
        <v>0</v>
      </c>
      <c r="I73" s="1703">
        <v>0</v>
      </c>
      <c r="J73" s="1704"/>
      <c r="K73" s="969"/>
      <c r="L73" s="1599">
        <f>L74</f>
        <v>0</v>
      </c>
      <c r="M73" s="1599">
        <f>M74</f>
        <v>0</v>
      </c>
      <c r="N73" s="1703">
        <f>N74</f>
        <v>0</v>
      </c>
      <c r="O73" s="1704">
        <f t="shared" ref="O73:O74" si="131">N73/N$89</f>
        <v>0</v>
      </c>
      <c r="P73" s="1747"/>
      <c r="Q73" s="2641"/>
      <c r="R73" s="1599">
        <f>R74</f>
        <v>0</v>
      </c>
      <c r="S73" s="1704">
        <f>S74</f>
        <v>0</v>
      </c>
      <c r="T73" s="1703">
        <f>T74</f>
        <v>0</v>
      </c>
      <c r="U73" s="1704"/>
      <c r="V73" s="1712"/>
      <c r="W73" s="1599">
        <f>W74</f>
        <v>0</v>
      </c>
      <c r="X73" s="1599">
        <f>X74</f>
        <v>0</v>
      </c>
      <c r="Y73" s="1703">
        <f>Y74</f>
        <v>0</v>
      </c>
      <c r="Z73" s="1704">
        <f>Y73/$Y$89</f>
        <v>0</v>
      </c>
      <c r="AA73" s="1747"/>
      <c r="AB73" s="1599">
        <f>AB74</f>
        <v>0</v>
      </c>
      <c r="AC73" s="1599">
        <f>AC74</f>
        <v>0</v>
      </c>
      <c r="AD73" s="1703">
        <f>AD74</f>
        <v>0</v>
      </c>
      <c r="AE73" s="1704">
        <f>AD73/$AD$89</f>
        <v>0</v>
      </c>
      <c r="AF73" s="1747"/>
      <c r="AG73" s="1599">
        <f>AG74</f>
        <v>0</v>
      </c>
      <c r="AH73" s="1599">
        <f>AH74</f>
        <v>0</v>
      </c>
      <c r="AI73" s="1703">
        <f>AI74</f>
        <v>0</v>
      </c>
      <c r="AJ73" s="1704">
        <f t="shared" ref="AJ73:AJ74" si="132">AI73/AI$89</f>
        <v>0</v>
      </c>
      <c r="AK73" s="1747"/>
      <c r="AL73" s="1599">
        <f>AL74</f>
        <v>0</v>
      </c>
      <c r="AM73" s="1599">
        <f>AM74</f>
        <v>0</v>
      </c>
      <c r="AN73" s="1703">
        <f>AN74</f>
        <v>0</v>
      </c>
      <c r="AO73" s="1704">
        <f t="shared" ref="AO73:AO74" si="133">AN73/AN$89</f>
        <v>0</v>
      </c>
      <c r="AP73" s="1747"/>
      <c r="AQ73" s="1599">
        <f>AQ74</f>
        <v>0</v>
      </c>
      <c r="AR73" s="1599">
        <f>AR74</f>
        <v>0</v>
      </c>
      <c r="AS73" s="1703">
        <f>AS74</f>
        <v>0</v>
      </c>
      <c r="AT73" s="1704">
        <f t="shared" ref="AT73:AT74" si="134">AS73/AS$89</f>
        <v>0</v>
      </c>
      <c r="AU73" s="1747"/>
      <c r="AV73" s="1599">
        <f>AV74</f>
        <v>0</v>
      </c>
      <c r="AW73" s="1599">
        <f>AW74</f>
        <v>0</v>
      </c>
      <c r="AX73" s="1703">
        <f>AX74</f>
        <v>0</v>
      </c>
      <c r="AY73" s="1704">
        <f t="shared" ref="AY73:AY74" si="135">AX73/AX$89</f>
        <v>0</v>
      </c>
      <c r="AZ73" s="1747"/>
      <c r="BA73" s="1599">
        <f>BA74</f>
        <v>0</v>
      </c>
      <c r="BB73" s="1599">
        <f>BB74</f>
        <v>0</v>
      </c>
      <c r="BC73" s="1703">
        <f>BC74</f>
        <v>0</v>
      </c>
      <c r="BD73" s="1704" t="e">
        <f t="shared" ref="BD73:BD74" si="136">BC73/BC$89</f>
        <v>#DIV/0!</v>
      </c>
      <c r="BE73" s="1747"/>
      <c r="BF73" s="1599">
        <f>BF74</f>
        <v>0</v>
      </c>
      <c r="BG73" s="1599">
        <f>BG74</f>
        <v>0</v>
      </c>
      <c r="BH73" s="1703">
        <f>BH74</f>
        <v>0</v>
      </c>
      <c r="BI73" s="1704">
        <f t="shared" ref="BI73:BI74" si="137">BH73/BH$89</f>
        <v>0</v>
      </c>
      <c r="BJ73" s="1747"/>
      <c r="BK73" s="1599">
        <f>BK74</f>
        <v>0</v>
      </c>
      <c r="BL73" s="1599">
        <f>BL74</f>
        <v>0</v>
      </c>
      <c r="BM73" s="1703">
        <f>BM74</f>
        <v>0</v>
      </c>
      <c r="BN73" s="1704">
        <f t="shared" ref="BN73:BN74" si="138">BM73/BM$89</f>
        <v>0</v>
      </c>
      <c r="BO73" s="1747"/>
      <c r="BP73" s="1599">
        <f>BP74</f>
        <v>0</v>
      </c>
      <c r="BQ73" s="1599">
        <f>BQ74</f>
        <v>0</v>
      </c>
      <c r="BR73" s="1703">
        <f>BR74</f>
        <v>0</v>
      </c>
      <c r="BS73" s="1704">
        <f t="shared" ref="BS73:BS74" si="139">BR73/BR$89</f>
        <v>0</v>
      </c>
      <c r="BT73" s="1747"/>
      <c r="BU73" s="1599">
        <f>BU74</f>
        <v>0</v>
      </c>
      <c r="BV73" s="1704">
        <f>BV74</f>
        <v>0</v>
      </c>
      <c r="BW73" s="1703">
        <f>BW74</f>
        <v>0</v>
      </c>
      <c r="BX73" s="1704"/>
      <c r="BY73" s="1704"/>
    </row>
    <row r="74" spans="1:79" s="1411" customFormat="1" ht="14.4" thickBot="1" x14ac:dyDescent="0.3">
      <c r="A74" s="1428"/>
      <c r="B74" s="1080" t="s">
        <v>64</v>
      </c>
      <c r="C74" s="1109">
        <v>187067.36258462275</v>
      </c>
      <c r="D74" s="305"/>
      <c r="E74" s="306">
        <f>C74+D74</f>
        <v>187067.36258462275</v>
      </c>
      <c r="F74" s="307"/>
      <c r="G74" s="2059">
        <v>0</v>
      </c>
      <c r="H74" s="2059">
        <v>0</v>
      </c>
      <c r="I74" s="1663">
        <v>0</v>
      </c>
      <c r="J74" s="1663"/>
      <c r="K74" s="1727"/>
      <c r="L74" s="2044"/>
      <c r="M74" s="2041"/>
      <c r="N74" s="1643">
        <f>L74+M74*1</f>
        <v>0</v>
      </c>
      <c r="O74" s="1679">
        <f t="shared" si="131"/>
        <v>0</v>
      </c>
      <c r="P74" s="1690"/>
      <c r="Q74" s="2642"/>
      <c r="R74" s="2067"/>
      <c r="S74" s="2059"/>
      <c r="T74" s="841">
        <f>R74+S74*1</f>
        <v>0</v>
      </c>
      <c r="U74" s="1663"/>
      <c r="V74" s="1663"/>
      <c r="W74" s="2044"/>
      <c r="X74" s="2041"/>
      <c r="Y74" s="1643">
        <f>W74+X74*1</f>
        <v>0</v>
      </c>
      <c r="Z74" s="1679">
        <f>Y74/$Y$89</f>
        <v>0</v>
      </c>
      <c r="AA74" s="1690"/>
      <c r="AB74" s="2044"/>
      <c r="AC74" s="2041"/>
      <c r="AD74" s="1643">
        <f>AB74+AC74*1</f>
        <v>0</v>
      </c>
      <c r="AE74" s="1679">
        <f>AD74/$AD$89</f>
        <v>0</v>
      </c>
      <c r="AF74" s="1690"/>
      <c r="AG74" s="2044"/>
      <c r="AH74" s="2041"/>
      <c r="AI74" s="1643">
        <f>AG74+AH74*1</f>
        <v>0</v>
      </c>
      <c r="AJ74" s="1679">
        <f t="shared" si="132"/>
        <v>0</v>
      </c>
      <c r="AK74" s="1690"/>
      <c r="AL74" s="2044"/>
      <c r="AM74" s="2041"/>
      <c r="AN74" s="1643">
        <f>AL74+AM74*1</f>
        <v>0</v>
      </c>
      <c r="AO74" s="1679">
        <f t="shared" si="133"/>
        <v>0</v>
      </c>
      <c r="AP74" s="1690"/>
      <c r="AQ74" s="2044"/>
      <c r="AR74" s="2041"/>
      <c r="AS74" s="1643">
        <f>AQ74+AR74*1</f>
        <v>0</v>
      </c>
      <c r="AT74" s="1679">
        <f t="shared" si="134"/>
        <v>0</v>
      </c>
      <c r="AU74" s="1690"/>
      <c r="AV74" s="2044"/>
      <c r="AW74" s="2041"/>
      <c r="AX74" s="1643">
        <f>AV74+AW74*1</f>
        <v>0</v>
      </c>
      <c r="AY74" s="1679">
        <f t="shared" si="135"/>
        <v>0</v>
      </c>
      <c r="AZ74" s="1690"/>
      <c r="BA74" s="2044"/>
      <c r="BB74" s="2041"/>
      <c r="BC74" s="1643">
        <f>BA74+BB74*1</f>
        <v>0</v>
      </c>
      <c r="BD74" s="1679" t="e">
        <f t="shared" si="136"/>
        <v>#DIV/0!</v>
      </c>
      <c r="BE74" s="1690"/>
      <c r="BF74" s="2044"/>
      <c r="BG74" s="2041"/>
      <c r="BH74" s="1643">
        <f>BF74+BG74*1</f>
        <v>0</v>
      </c>
      <c r="BI74" s="1679">
        <f t="shared" si="137"/>
        <v>0</v>
      </c>
      <c r="BJ74" s="1690"/>
      <c r="BK74" s="2044"/>
      <c r="BL74" s="2041"/>
      <c r="BM74" s="1643">
        <f>BK74+BL74*1</f>
        <v>0</v>
      </c>
      <c r="BN74" s="1679">
        <f t="shared" si="138"/>
        <v>0</v>
      </c>
      <c r="BO74" s="1690"/>
      <c r="BP74" s="2044"/>
      <c r="BQ74" s="2041"/>
      <c r="BR74" s="1643">
        <f>BP74+BQ74*1</f>
        <v>0</v>
      </c>
      <c r="BS74" s="1679">
        <f t="shared" si="139"/>
        <v>0</v>
      </c>
      <c r="BT74" s="1690"/>
      <c r="BU74" s="2059">
        <f>G74+L74+R74+W74+AB74+AG74+AL74+AQ74+AV74+BA74+BF74+BK74+BP74</f>
        <v>0</v>
      </c>
      <c r="BV74" s="2059">
        <f>H74+M74+S74+X74+AC74+AH74+AM74+AR74+AW74+BB74+BG74+BL74+BQ74</f>
        <v>0</v>
      </c>
      <c r="BW74" s="841">
        <f>BU74+BV74*1</f>
        <v>0</v>
      </c>
      <c r="BX74" s="1663"/>
      <c r="BY74" s="1663"/>
    </row>
    <row r="75" spans="1:79" s="1411" customFormat="1" ht="14.4" thickBot="1" x14ac:dyDescent="0.3">
      <c r="A75" s="1414"/>
      <c r="B75" s="1431" t="s">
        <v>48</v>
      </c>
      <c r="C75" s="1974">
        <f>C38-C41-C50-C54</f>
        <v>2697896.6180936745</v>
      </c>
      <c r="D75" s="1974">
        <f>D38-D41-D50-D54</f>
        <v>-1221297.6782608696</v>
      </c>
      <c r="E75" s="1523">
        <f>E38-E41-E50-E54</f>
        <v>1476598.9398328045</v>
      </c>
      <c r="F75" s="1551"/>
      <c r="G75" s="1465">
        <f t="shared" ref="G75:I75" si="140">G38-G41-G50-G54</f>
        <v>874396.03792000003</v>
      </c>
      <c r="H75" s="1465">
        <f t="shared" si="140"/>
        <v>-835484.87</v>
      </c>
      <c r="I75" s="1523">
        <f t="shared" si="140"/>
        <v>38911.167919999847</v>
      </c>
      <c r="J75" s="1969"/>
      <c r="K75" s="1728"/>
      <c r="L75" s="1465">
        <f t="shared" ref="L75:N75" si="141">L38-L41-L50-L54</f>
        <v>1595480.1476000007</v>
      </c>
      <c r="M75" s="1465">
        <f t="shared" si="141"/>
        <v>-705755.53000000014</v>
      </c>
      <c r="N75" s="1523">
        <f t="shared" si="141"/>
        <v>889724.61760000116</v>
      </c>
      <c r="O75" s="1969"/>
      <c r="P75" s="1675"/>
      <c r="Q75" s="1551"/>
      <c r="R75" s="1465">
        <f t="shared" ref="R75:T75" si="142">R38-R41-R50-R54</f>
        <v>0</v>
      </c>
      <c r="S75" s="1465">
        <f t="shared" si="142"/>
        <v>-5577.54</v>
      </c>
      <c r="T75" s="1523">
        <f t="shared" si="142"/>
        <v>-5577.54</v>
      </c>
      <c r="U75" s="1969"/>
      <c r="V75" s="1614"/>
      <c r="W75" s="1465">
        <f t="shared" ref="W75:Y75" si="143">W38-W41-W50-W54</f>
        <v>242122.96600000001</v>
      </c>
      <c r="X75" s="1465">
        <f t="shared" si="143"/>
        <v>-41575</v>
      </c>
      <c r="Y75" s="1523">
        <f t="shared" si="143"/>
        <v>200547.96600000001</v>
      </c>
      <c r="Z75" s="1969"/>
      <c r="AA75" s="1675"/>
      <c r="AB75" s="1465">
        <f t="shared" ref="AB75:AD75" si="144">AB38-AB41-AB50-AB54</f>
        <v>44308.198000000004</v>
      </c>
      <c r="AC75" s="1465">
        <f t="shared" si="144"/>
        <v>-19480</v>
      </c>
      <c r="AD75" s="1523">
        <f t="shared" si="144"/>
        <v>24828.198</v>
      </c>
      <c r="AE75" s="1969"/>
      <c r="AF75" s="1675"/>
      <c r="AG75" s="1465">
        <f t="shared" ref="AG75:AI75" si="145">AG38-AG41-AG50-AG54</f>
        <v>-12053.6</v>
      </c>
      <c r="AH75" s="1465">
        <f t="shared" si="145"/>
        <v>-767.3</v>
      </c>
      <c r="AI75" s="1523">
        <f t="shared" si="145"/>
        <v>-12820.9</v>
      </c>
      <c r="AJ75" s="1969"/>
      <c r="AK75" s="1675"/>
      <c r="AL75" s="1465">
        <f t="shared" ref="AL75:AN75" si="146">AL38-AL41-AL50-AL54</f>
        <v>-6904.2839999999997</v>
      </c>
      <c r="AM75" s="1465">
        <f t="shared" si="146"/>
        <v>-55080</v>
      </c>
      <c r="AN75" s="1523">
        <f t="shared" si="146"/>
        <v>-61984.284</v>
      </c>
      <c r="AO75" s="1969"/>
      <c r="AP75" s="1675"/>
      <c r="AQ75" s="1465">
        <f>AQ38-AQ41-AQ50-AQ54</f>
        <v>0</v>
      </c>
      <c r="AR75" s="1465">
        <f>AR38-AR41-AR50-AR54</f>
        <v>-500</v>
      </c>
      <c r="AS75" s="1523">
        <f>AS38-AS41-AS50-AS54</f>
        <v>-500</v>
      </c>
      <c r="AT75" s="1969"/>
      <c r="AU75" s="1675"/>
      <c r="AV75" s="1465">
        <f>AV38-AV41-AV50-AV54</f>
        <v>186994.82800000001</v>
      </c>
      <c r="AW75" s="1465">
        <f>AW38-AW41-AW50-AW54</f>
        <v>-22394.7</v>
      </c>
      <c r="AX75" s="1523">
        <f>AX38-AX41-AX50-AX54</f>
        <v>164600.128</v>
      </c>
      <c r="AY75" s="1969"/>
      <c r="AZ75" s="1675"/>
      <c r="BA75" s="1465">
        <f>BA38-BA41-BA50-BA54</f>
        <v>0</v>
      </c>
      <c r="BB75" s="1465">
        <f>BB38-BB41-BB50-BB54</f>
        <v>0</v>
      </c>
      <c r="BC75" s="1523">
        <f>BC38-BC41-BC50-BC54</f>
        <v>0</v>
      </c>
      <c r="BD75" s="1969"/>
      <c r="BE75" s="1675"/>
      <c r="BF75" s="1465">
        <f>BF38-BF41-BF50-BF54</f>
        <v>-477.59999999999997</v>
      </c>
      <c r="BG75" s="1465">
        <f>BG38-BG41-BG50-BG54</f>
        <v>0</v>
      </c>
      <c r="BH75" s="1523">
        <f>BH38-BH41-BH50-BH54</f>
        <v>-477.59999999999997</v>
      </c>
      <c r="BI75" s="1969"/>
      <c r="BJ75" s="1675"/>
      <c r="BK75" s="1465">
        <f>BK38-BK41-BK50-BK54</f>
        <v>0</v>
      </c>
      <c r="BL75" s="1465">
        <f>BL38-BL41-BL50-BL54</f>
        <v>-10390</v>
      </c>
      <c r="BM75" s="1523">
        <f>BM38-BM41-BM50-BM54</f>
        <v>-10390</v>
      </c>
      <c r="BN75" s="1969"/>
      <c r="BO75" s="1675"/>
      <c r="BP75" s="1465">
        <f>BP38-BP41-BP50-BP54</f>
        <v>0</v>
      </c>
      <c r="BQ75" s="1465">
        <f>BQ38-BQ41-BQ50-BQ54</f>
        <v>-237.6</v>
      </c>
      <c r="BR75" s="1523">
        <f>BR38-BR41-BR50-BR54</f>
        <v>-237.6</v>
      </c>
      <c r="BS75" s="1969"/>
      <c r="BT75" s="1675"/>
      <c r="BU75" s="1465">
        <f>BU38-BU41-BU50-BU54</f>
        <v>2923866.693520003</v>
      </c>
      <c r="BV75" s="1465">
        <f>BV38-BV41-BV50-BV54</f>
        <v>-1697242.54</v>
      </c>
      <c r="BW75" s="1523">
        <f>BW38-BW41-BW50-BW54</f>
        <v>1226624.1535200018</v>
      </c>
      <c r="BX75" s="1969"/>
      <c r="BY75" s="1969"/>
    </row>
    <row r="76" spans="1:79" s="1411" customFormat="1" ht="13.8" x14ac:dyDescent="0.25">
      <c r="A76" s="1581"/>
      <c r="B76" s="1444" t="s">
        <v>49</v>
      </c>
      <c r="C76" s="1540">
        <f>C75/C5</f>
        <v>0.43266178249665121</v>
      </c>
      <c r="D76" s="1540" t="e">
        <f>D75/D5</f>
        <v>#DIV/0!</v>
      </c>
      <c r="E76" s="1541">
        <f>E75/E5</f>
        <v>0.23680222772663126</v>
      </c>
      <c r="F76" s="1546"/>
      <c r="G76" s="2019">
        <v>0.29997340916602372</v>
      </c>
      <c r="H76" s="2019" t="e">
        <v>#DIV/0!</v>
      </c>
      <c r="I76" s="2020">
        <v>4.2486605942669529E-2</v>
      </c>
      <c r="J76" s="2020"/>
      <c r="K76" s="1724"/>
      <c r="L76" s="2019">
        <f>L75/L5</f>
        <v>0.35452842415400954</v>
      </c>
      <c r="M76" s="2019" t="e">
        <f>M75/M5</f>
        <v>#DIV/0!</v>
      </c>
      <c r="N76" s="2020">
        <f>N75/N5</f>
        <v>0.19770391194352771</v>
      </c>
      <c r="O76" s="2020"/>
      <c r="P76" s="1676"/>
      <c r="Q76" s="2635"/>
      <c r="R76" s="2019" t="e">
        <f>R75/R5</f>
        <v>#DIV/0!</v>
      </c>
      <c r="S76" s="2019" t="e">
        <f>S75/S5</f>
        <v>#DIV/0!</v>
      </c>
      <c r="T76" s="2020" t="e">
        <f>T75/T5</f>
        <v>#DIV/0!</v>
      </c>
      <c r="U76" s="2020"/>
      <c r="V76" s="2038"/>
      <c r="W76" s="2019">
        <f>W75/W5</f>
        <v>0.73106373815195014</v>
      </c>
      <c r="X76" s="2019" t="e">
        <f>X75/X5</f>
        <v>#DIV/0!</v>
      </c>
      <c r="Y76" s="2020">
        <f>Y75/Y5</f>
        <v>0.60553258587923553</v>
      </c>
      <c r="Z76" s="2020"/>
      <c r="AA76" s="1676"/>
      <c r="AB76" s="2019">
        <f>AB75/AB5</f>
        <v>0.3995947614251909</v>
      </c>
      <c r="AC76" s="2019" t="e">
        <f>AC75/AC5</f>
        <v>#DIV/0!</v>
      </c>
      <c r="AD76" s="2020">
        <f>AD75/AD5</f>
        <v>0.22391381965990587</v>
      </c>
      <c r="AE76" s="2020"/>
      <c r="AF76" s="1676"/>
      <c r="AG76" s="2019" t="e">
        <f>AG75/AG5</f>
        <v>#DIV/0!</v>
      </c>
      <c r="AH76" s="2019" t="e">
        <f>AH75/AH5</f>
        <v>#DIV/0!</v>
      </c>
      <c r="AI76" s="2020" t="e">
        <f>AI75/AI5</f>
        <v>#DIV/0!</v>
      </c>
      <c r="AJ76" s="2020"/>
      <c r="AK76" s="1676"/>
      <c r="AL76" s="2019">
        <f>AL75/AL5</f>
        <v>-0.19468188416340423</v>
      </c>
      <c r="AM76" s="2019" t="e">
        <f>AM75/AM5</f>
        <v>#DIV/0!</v>
      </c>
      <c r="AN76" s="2020">
        <f>AN75/AN5</f>
        <v>-1.7477869099300594</v>
      </c>
      <c r="AO76" s="2020"/>
      <c r="AP76" s="1676"/>
      <c r="AQ76" s="2019" t="e">
        <f>AQ75/AQ5</f>
        <v>#DIV/0!</v>
      </c>
      <c r="AR76" s="2019" t="e">
        <f>AR75/AR5</f>
        <v>#DIV/0!</v>
      </c>
      <c r="AS76" s="2020" t="e">
        <f>AS75/AS5</f>
        <v>#DIV/0!</v>
      </c>
      <c r="AT76" s="2020"/>
      <c r="AU76" s="1676"/>
      <c r="AV76" s="2019">
        <f>AV75/AV5</f>
        <v>0.98816195735461199</v>
      </c>
      <c r="AW76" s="2019" t="e">
        <f>AW75/AW5</f>
        <v>#DIV/0!</v>
      </c>
      <c r="AX76" s="2020">
        <f>AX75/AX5</f>
        <v>0.86981862763230899</v>
      </c>
      <c r="AY76" s="2020"/>
      <c r="AZ76" s="1676"/>
      <c r="BA76" s="2019" t="e">
        <f>BA75/BA5</f>
        <v>#DIV/0!</v>
      </c>
      <c r="BB76" s="2019" t="e">
        <f>BB75/BB5</f>
        <v>#DIV/0!</v>
      </c>
      <c r="BC76" s="2020" t="e">
        <f>BC75/BC5</f>
        <v>#DIV/0!</v>
      </c>
      <c r="BD76" s="2020"/>
      <c r="BE76" s="1676"/>
      <c r="BF76" s="2019" t="e">
        <f>BF75/BF5</f>
        <v>#DIV/0!</v>
      </c>
      <c r="BG76" s="2019" t="e">
        <f>BG75/BG5</f>
        <v>#DIV/0!</v>
      </c>
      <c r="BH76" s="2020" t="e">
        <f>BH75/BH5</f>
        <v>#DIV/0!</v>
      </c>
      <c r="BI76" s="2020"/>
      <c r="BJ76" s="1676"/>
      <c r="BK76" s="2019" t="e">
        <f>BK75/BK5</f>
        <v>#DIV/0!</v>
      </c>
      <c r="BL76" s="2019" t="e">
        <f>BL75/BL5</f>
        <v>#DIV/0!</v>
      </c>
      <c r="BM76" s="2020" t="e">
        <f>BM75/BM5</f>
        <v>#DIV/0!</v>
      </c>
      <c r="BN76" s="2020"/>
      <c r="BO76" s="1676"/>
      <c r="BP76" s="2019" t="e">
        <f>BP75/BP5</f>
        <v>#DIV/0!</v>
      </c>
      <c r="BQ76" s="2019" t="e">
        <f>BQ75/BQ5</f>
        <v>#DIV/0!</v>
      </c>
      <c r="BR76" s="2020" t="e">
        <f>BR75/BR5</f>
        <v>#DIV/0!</v>
      </c>
      <c r="BS76" s="2020"/>
      <c r="BT76" s="1676"/>
      <c r="BU76" s="2019">
        <f>BU75/BU5</f>
        <v>0.34758980169581583</v>
      </c>
      <c r="BV76" s="2019" t="e">
        <f>BV75/BV5</f>
        <v>#DIV/0!</v>
      </c>
      <c r="BW76" s="2020">
        <f>BW75/BW5</f>
        <v>0.14582130136857366</v>
      </c>
      <c r="BX76" s="2020"/>
      <c r="BY76" s="2020"/>
    </row>
    <row r="77" spans="1:79" s="1411" customFormat="1" ht="14.4" thickBot="1" x14ac:dyDescent="0.3">
      <c r="A77" s="1581"/>
      <c r="B77" s="2973" t="s">
        <v>9</v>
      </c>
      <c r="C77" s="2974">
        <f>C78-C79</f>
        <v>-183194.65173913044</v>
      </c>
      <c r="D77" s="2974">
        <f>D78-D79</f>
        <v>0</v>
      </c>
      <c r="E77" s="2975">
        <f>E78-E79</f>
        <v>-183194.65173913044</v>
      </c>
      <c r="F77" s="2976"/>
      <c r="G77" s="2974">
        <v>0</v>
      </c>
      <c r="H77" s="2974">
        <v>0</v>
      </c>
      <c r="I77" s="2975">
        <v>-122935.91118082579</v>
      </c>
      <c r="J77" s="2977"/>
      <c r="K77" s="2978"/>
      <c r="L77" s="2974" t="e">
        <f>#REF!+#REF!+#REF!+#REF!+#REF!+#REF!+#REF!+#REF!</f>
        <v>#REF!</v>
      </c>
      <c r="M77" s="2974" t="e">
        <f>#REF!+#REF!+#REF!+#REF!+#REF!+#REF!+#REF!+#REF!</f>
        <v>#REF!</v>
      </c>
      <c r="N77" s="2975">
        <f>N78-N79</f>
        <v>-101869.97789863721</v>
      </c>
      <c r="O77" s="2977">
        <f t="shared" ref="O77:O79" si="147">N77/N$89</f>
        <v>-2.744021443206756E-2</v>
      </c>
      <c r="P77" s="2979"/>
      <c r="Q77" s="2976"/>
      <c r="R77" s="2974">
        <f>R78-R79</f>
        <v>0</v>
      </c>
      <c r="S77" s="2974">
        <f>S78-S79</f>
        <v>0</v>
      </c>
      <c r="T77" s="2975">
        <f>T78-T79</f>
        <v>-724.76508474576269</v>
      </c>
      <c r="U77" s="2977"/>
      <c r="V77" s="2980"/>
      <c r="W77" s="2974">
        <f>W78-W79</f>
        <v>0</v>
      </c>
      <c r="X77" s="2974">
        <f>X78-X79</f>
        <v>0</v>
      </c>
      <c r="Y77" s="2975">
        <f>Y78-Y79</f>
        <v>-5402.4010834959145</v>
      </c>
      <c r="Z77" s="2977">
        <f>Y77/$Y$89</f>
        <v>-3.9709777624336494E-2</v>
      </c>
      <c r="AA77" s="2979"/>
      <c r="AB77" s="2974">
        <f>AB78-AB79</f>
        <v>0</v>
      </c>
      <c r="AC77" s="2974">
        <f>AC78-AC79</f>
        <v>0</v>
      </c>
      <c r="AD77" s="2975">
        <f>AD78-AD79</f>
        <v>-2531.2994132651938</v>
      </c>
      <c r="AE77" s="2977">
        <f>AD77/$AD$89</f>
        <v>-2.857450808364078E-2</v>
      </c>
      <c r="AF77" s="2979"/>
      <c r="AG77" s="2974">
        <f>AG78-AG79</f>
        <v>0</v>
      </c>
      <c r="AH77" s="2974">
        <f>AH78-AH79</f>
        <v>0</v>
      </c>
      <c r="AI77" s="2975">
        <f>AI78-AI79</f>
        <v>-104.63181818181818</v>
      </c>
      <c r="AJ77" s="2977">
        <f t="shared" ref="AJ77:AJ78" si="148">AI77/AI$89</f>
        <v>-8.0949720022070477E-3</v>
      </c>
      <c r="AK77" s="2979"/>
      <c r="AL77" s="2974">
        <f>AL78-AL79</f>
        <v>0</v>
      </c>
      <c r="AM77" s="2974">
        <f>AM78-AM79</f>
        <v>0</v>
      </c>
      <c r="AN77" s="2975">
        <f>AN78-AN79</f>
        <v>-7384.8362025182887</v>
      </c>
      <c r="AO77" s="2977">
        <f t="shared" ref="AO77:AO79" si="149">AN77/AN$89</f>
        <v>-7.0443436131065323E-2</v>
      </c>
      <c r="AP77" s="2979"/>
      <c r="AQ77" s="2974">
        <f>AQ78-AQ79</f>
        <v>0</v>
      </c>
      <c r="AR77" s="2974">
        <f>AR78-AR79</f>
        <v>0</v>
      </c>
      <c r="AS77" s="2975">
        <f>AS78-AS79</f>
        <v>-70.693590545963261</v>
      </c>
      <c r="AT77" s="2977">
        <f t="shared" ref="AT77" si="150">AS77/AS$89</f>
        <v>-0.12387311110035963</v>
      </c>
      <c r="AU77" s="2979"/>
      <c r="AV77" s="2974">
        <f>AV78-AV79</f>
        <v>0</v>
      </c>
      <c r="AW77" s="2974">
        <f>AW78-AW79</f>
        <v>0</v>
      </c>
      <c r="AX77" s="2975">
        <f>AX78-AX79</f>
        <v>-2739.6548023342229</v>
      </c>
      <c r="AY77" s="2977">
        <f t="shared" ref="AY77" si="151">AX77/AX$89</f>
        <v>-0.10008044420700681</v>
      </c>
      <c r="AZ77" s="2979"/>
      <c r="BA77" s="2974">
        <f>BA78-BA79</f>
        <v>0</v>
      </c>
      <c r="BB77" s="2974">
        <f>BB78-BB79</f>
        <v>0</v>
      </c>
      <c r="BC77" s="2975">
        <f>BC78-BC79</f>
        <v>0</v>
      </c>
      <c r="BD77" s="2977" t="e">
        <f t="shared" ref="BD77" si="152">BC77/BC$89</f>
        <v>#DIV/0!</v>
      </c>
      <c r="BE77" s="2979"/>
      <c r="BF77" s="2536">
        <f>BF78-BF79</f>
        <v>0</v>
      </c>
      <c r="BG77" s="2536">
        <f>BG78-BG79</f>
        <v>0</v>
      </c>
      <c r="BH77" s="2537">
        <f>BH78-BH79</f>
        <v>0</v>
      </c>
      <c r="BI77" s="2538">
        <f t="shared" ref="BI77" si="153">BH77/BH$89</f>
        <v>0</v>
      </c>
      <c r="BJ77" s="2539"/>
      <c r="BK77" s="2536">
        <f>BK78-BK79</f>
        <v>0</v>
      </c>
      <c r="BL77" s="2536">
        <f>BL78-BL79</f>
        <v>0</v>
      </c>
      <c r="BM77" s="2537">
        <f>BM78-BM79</f>
        <v>-1360.6116283138406</v>
      </c>
      <c r="BN77" s="2538">
        <f t="shared" ref="BN77" si="154">BM77/BM$89</f>
        <v>-0.11579070701608085</v>
      </c>
      <c r="BO77" s="2539"/>
      <c r="BP77" s="2536">
        <f>BP78-BP79</f>
        <v>0</v>
      </c>
      <c r="BQ77" s="2536">
        <f>BQ78-BQ79</f>
        <v>0</v>
      </c>
      <c r="BR77" s="2537">
        <f>BR78-BR79</f>
        <v>0</v>
      </c>
      <c r="BS77" s="2538">
        <f t="shared" ref="BS77" si="155">BR77/BR$89</f>
        <v>0</v>
      </c>
      <c r="BT77" s="2539"/>
      <c r="BU77" s="2974">
        <f>BU78-BU79</f>
        <v>0</v>
      </c>
      <c r="BV77" s="2974">
        <f>BV78-BV79</f>
        <v>0</v>
      </c>
      <c r="BW77" s="2975">
        <f>BW78-BW79</f>
        <v>-245124.78270286421</v>
      </c>
      <c r="BX77" s="2977"/>
      <c r="BY77" s="2977"/>
    </row>
    <row r="78" spans="1:79" s="1411" customFormat="1" ht="13.8" x14ac:dyDescent="0.25">
      <c r="A78" s="1420"/>
      <c r="B78" s="1415" t="s">
        <v>43</v>
      </c>
      <c r="C78" s="1525"/>
      <c r="D78" s="1526"/>
      <c r="E78" s="2941">
        <f>C78+D78</f>
        <v>0</v>
      </c>
      <c r="F78" s="1562"/>
      <c r="G78" s="2059">
        <v>0</v>
      </c>
      <c r="H78" s="2059">
        <v>0</v>
      </c>
      <c r="I78" s="1467">
        <v>0</v>
      </c>
      <c r="J78" s="1467"/>
      <c r="K78" s="1730"/>
      <c r="L78" s="2067">
        <v>0</v>
      </c>
      <c r="M78" s="2059">
        <v>0</v>
      </c>
      <c r="N78" s="2028"/>
      <c r="O78" s="2892">
        <f t="shared" si="147"/>
        <v>0</v>
      </c>
      <c r="P78" s="1677"/>
      <c r="Q78" s="2638"/>
      <c r="R78" s="2067"/>
      <c r="S78" s="2059"/>
      <c r="T78" s="1467">
        <f>R78+S78*1.15</f>
        <v>0</v>
      </c>
      <c r="U78" s="1467"/>
      <c r="V78" s="1451"/>
      <c r="W78" s="2067"/>
      <c r="X78" s="2059"/>
      <c r="Y78" s="2028">
        <f>W78+X78*1.15</f>
        <v>0</v>
      </c>
      <c r="Z78" s="2892">
        <f>Y78/$Y$89</f>
        <v>0</v>
      </c>
      <c r="AA78" s="1677"/>
      <c r="AB78" s="2067"/>
      <c r="AC78" s="2059"/>
      <c r="AD78" s="2028">
        <f>AB78+AC78*1.15</f>
        <v>0</v>
      </c>
      <c r="AE78" s="2892">
        <f>AD78/$AD$89</f>
        <v>0</v>
      </c>
      <c r="AF78" s="1677"/>
      <c r="AG78" s="2067"/>
      <c r="AH78" s="2059"/>
      <c r="AI78" s="2028">
        <f>AG78+AH78*1.15</f>
        <v>0</v>
      </c>
      <c r="AJ78" s="2892">
        <f t="shared" si="148"/>
        <v>0</v>
      </c>
      <c r="AK78" s="1677"/>
      <c r="AL78" s="2067"/>
      <c r="AM78" s="2059"/>
      <c r="AN78" s="2028">
        <f>AL78+AM78</f>
        <v>0</v>
      </c>
      <c r="AO78" s="2892">
        <f t="shared" si="149"/>
        <v>0</v>
      </c>
      <c r="AP78" s="1677"/>
      <c r="AQ78" s="2067"/>
      <c r="AR78" s="2059"/>
      <c r="AS78" s="2028">
        <f>AQ78+AR78</f>
        <v>0</v>
      </c>
      <c r="AT78" s="2892">
        <f>AS78/$AN$89</f>
        <v>0</v>
      </c>
      <c r="AU78" s="1677"/>
      <c r="AV78" s="2067"/>
      <c r="AW78" s="2059"/>
      <c r="AX78" s="2028">
        <f>AV78+AW78</f>
        <v>0</v>
      </c>
      <c r="AY78" s="2892">
        <f>AX78/$AN$89</f>
        <v>0</v>
      </c>
      <c r="AZ78" s="1677"/>
      <c r="BA78" s="2067"/>
      <c r="BB78" s="2059"/>
      <c r="BC78" s="2028">
        <f>BA78+BB78</f>
        <v>0</v>
      </c>
      <c r="BD78" s="2892">
        <f>BC78/$AN$89</f>
        <v>0</v>
      </c>
      <c r="BE78" s="1677"/>
      <c r="BF78" s="1633"/>
      <c r="BG78" s="1689"/>
      <c r="BH78" s="2028">
        <f>BF78+BG78*1.15</f>
        <v>0</v>
      </c>
      <c r="BI78" s="2155">
        <f>BH78/$AN$89</f>
        <v>0</v>
      </c>
      <c r="BJ78" s="1677"/>
      <c r="BK78" s="1633"/>
      <c r="BL78" s="1689"/>
      <c r="BM78" s="2028">
        <f>BK78+BL78*1.15</f>
        <v>0</v>
      </c>
      <c r="BN78" s="2155">
        <f>BM78/$AN$89</f>
        <v>0</v>
      </c>
      <c r="BO78" s="1677"/>
      <c r="BP78" s="1633"/>
      <c r="BQ78" s="1689"/>
      <c r="BR78" s="2028">
        <f>BP78+BQ78*1.15</f>
        <v>0</v>
      </c>
      <c r="BS78" s="2155">
        <f>BR78/$AN$89</f>
        <v>0</v>
      </c>
      <c r="BT78" s="1677"/>
      <c r="BU78" s="2059">
        <f t="shared" ref="BU78:BU79" si="156">G78+L78+R78+W78+AB78+AG78+AL78+AQ78+AV78+BA78+BF78+BK78+BP78</f>
        <v>0</v>
      </c>
      <c r="BV78" s="2059">
        <f t="shared" ref="BV78:BW79" si="157">H78+M78+S78+X78+AC78+AH78+AM78+AR78+AW78+BB78+BG78+BL78+BQ78</f>
        <v>0</v>
      </c>
      <c r="BW78" s="2028">
        <f t="shared" ref="BW78" si="158">BU78+BV78*1</f>
        <v>0</v>
      </c>
      <c r="BX78" s="1467"/>
      <c r="BY78" s="1467"/>
    </row>
    <row r="79" spans="1:79" s="1411" customFormat="1" ht="13.8" x14ac:dyDescent="0.25">
      <c r="A79" s="1420"/>
      <c r="B79" s="2981" t="s">
        <v>79</v>
      </c>
      <c r="C79" s="2895">
        <v>183194.65173913044</v>
      </c>
      <c r="D79" s="2941"/>
      <c r="E79" s="2941">
        <f>C79+D79</f>
        <v>183194.65173913044</v>
      </c>
      <c r="F79" s="2949">
        <f>E79/$E$89</f>
        <v>3.571573692698065E-2</v>
      </c>
      <c r="G79" s="2059">
        <v>0</v>
      </c>
      <c r="H79" s="2059">
        <v>0</v>
      </c>
      <c r="I79" s="2028">
        <f>122935.911180826</f>
        <v>122935.91118082601</v>
      </c>
      <c r="J79" s="2901"/>
      <c r="K79" s="1602"/>
      <c r="L79" s="2067">
        <v>0</v>
      </c>
      <c r="M79" s="2059">
        <v>0</v>
      </c>
      <c r="N79" s="2059">
        <v>101869.97789863721</v>
      </c>
      <c r="O79" s="2901">
        <f t="shared" si="147"/>
        <v>2.744021443206756E-2</v>
      </c>
      <c r="P79" s="2950"/>
      <c r="Q79" s="2638"/>
      <c r="R79" s="2067"/>
      <c r="S79" s="2059"/>
      <c r="T79" s="2049">
        <f>(S8+S41+S50+S54)/(1-'расчет 2022'!E11)*'расчет 2022'!E11</f>
        <v>724.76508474576269</v>
      </c>
      <c r="U79" s="2693" t="e">
        <f>T79/$O$89</f>
        <v>#DIV/0!</v>
      </c>
      <c r="V79" s="2742"/>
      <c r="W79" s="2067"/>
      <c r="X79" s="2059">
        <v>0</v>
      </c>
      <c r="Y79" s="2049">
        <f>(X8+X41+X50+X54)/(1-'расчет 2022'!E13)*'расчет 2022'!E13</f>
        <v>5402.4010834959145</v>
      </c>
      <c r="Z79" s="2693">
        <f>Y79/$T$89</f>
        <v>0.85721033984406825</v>
      </c>
      <c r="AA79" s="2742"/>
      <c r="AB79" s="2067"/>
      <c r="AC79" s="2059">
        <v>0</v>
      </c>
      <c r="AD79" s="2049">
        <f>(AC8+AC41+AC50+AC54)/(1-'расчет 2022'!E13)*'расчет 2022'!E13</f>
        <v>2531.2994132651938</v>
      </c>
      <c r="AE79" s="2693">
        <f>AD79/$Y$89</f>
        <v>1.8606048541721588E-2</v>
      </c>
      <c r="AF79" s="2742"/>
      <c r="AG79" s="2067"/>
      <c r="AH79" s="2059">
        <v>0</v>
      </c>
      <c r="AI79" s="2049">
        <f>(AH8+AH41+AH50+AH54)/(1-'расчет 2022'!E15)*'расчет 2022'!E15</f>
        <v>104.63181818181818</v>
      </c>
      <c r="AJ79" s="2693">
        <f>AI79/$AD$89</f>
        <v>1.1811335785780338E-3</v>
      </c>
      <c r="AK79" s="2742"/>
      <c r="AL79" s="2067"/>
      <c r="AM79" s="2059">
        <v>0</v>
      </c>
      <c r="AN79" s="2049">
        <f>(AM8+AM41+AM50+AM54)/(1-'расчет 2022'!E16)*'расчет 2022'!E16</f>
        <v>7384.8362025182887</v>
      </c>
      <c r="AO79" s="2693">
        <f t="shared" si="149"/>
        <v>7.0443436131065323E-2</v>
      </c>
      <c r="AP79" s="2742"/>
      <c r="AQ79" s="2067"/>
      <c r="AR79" s="2059">
        <v>0</v>
      </c>
      <c r="AS79" s="2049">
        <f>(AR8+AR41+AR50+AR54)/(1-'расчет 2022'!E17)*'расчет 2022'!E17</f>
        <v>70.693590545963261</v>
      </c>
      <c r="AT79" s="2693">
        <f t="shared" ref="AT79" si="159">AS79/AS$89</f>
        <v>0.12387311110035963</v>
      </c>
      <c r="AU79" s="2742"/>
      <c r="AV79" s="2067"/>
      <c r="AW79" s="2059">
        <v>0</v>
      </c>
      <c r="AX79" s="2049">
        <f>(AW8+AW41+AW50+AW54)/(1-'расчет 2022'!E18)*'расчет 2022'!E18</f>
        <v>2739.6548023342229</v>
      </c>
      <c r="AY79" s="2892">
        <f t="shared" ref="AY79" si="160">AX79/AX$89</f>
        <v>0.10008044420700681</v>
      </c>
      <c r="AZ79" s="2950"/>
      <c r="BA79" s="2067"/>
      <c r="BB79" s="2059">
        <v>0</v>
      </c>
      <c r="BC79" s="2049">
        <f>(BB8+BB41+BB50+BB54)/(1-'расчет 2022'!E18)*'расчет 2022'!E18</f>
        <v>0</v>
      </c>
      <c r="BD79" s="2892" t="e">
        <f t="shared" ref="BD79" si="161">BC79/BC$89</f>
        <v>#DIV/0!</v>
      </c>
      <c r="BE79" s="2950"/>
      <c r="BF79" s="1633"/>
      <c r="BG79" s="1689"/>
      <c r="BH79" s="2028">
        <f>(BG8+BG41+BG50+BG54)/(1-'расчет 2022'!E20)*'расчет 2022'!E20</f>
        <v>0</v>
      </c>
      <c r="BI79" s="2155">
        <f t="shared" ref="BI79" si="162">BH79/BH$89</f>
        <v>0</v>
      </c>
      <c r="BJ79" s="2654"/>
      <c r="BK79" s="1633"/>
      <c r="BL79" s="1689"/>
      <c r="BM79" s="2028">
        <f>(BL8+BL41+BL50+BL54)/(1-'расчет 2022'!E21)*'расчет 2022'!E21</f>
        <v>1360.6116283138406</v>
      </c>
      <c r="BN79" s="2155">
        <f t="shared" ref="BN79" si="163">BM79/BM$89</f>
        <v>0.11579070701608085</v>
      </c>
      <c r="BO79" s="2654"/>
      <c r="BP79" s="1633"/>
      <c r="BQ79" s="1689"/>
      <c r="BR79" s="2028">
        <f>(BQ8+BQ41+BQ50+BQ54)/(1-'расчет 2022'!J21)*'расчет 2022'!J21</f>
        <v>0</v>
      </c>
      <c r="BS79" s="2155">
        <f t="shared" ref="BS79" si="164">BR79/BR$89</f>
        <v>0</v>
      </c>
      <c r="BT79" s="2654"/>
      <c r="BU79" s="2059">
        <f t="shared" si="156"/>
        <v>0</v>
      </c>
      <c r="BV79" s="2059">
        <f t="shared" si="157"/>
        <v>0</v>
      </c>
      <c r="BW79" s="2059">
        <f t="shared" si="157"/>
        <v>245124.78270286421</v>
      </c>
      <c r="BX79" s="2925"/>
      <c r="BY79" s="2925"/>
      <c r="BZ79" s="2897">
        <v>-188832.4</v>
      </c>
      <c r="CA79" s="842">
        <f>BW79+BZ79</f>
        <v>56292.382702864212</v>
      </c>
    </row>
    <row r="80" spans="1:79" ht="13.8" x14ac:dyDescent="0.25">
      <c r="A80" s="1412"/>
      <c r="B80" s="2982"/>
      <c r="C80" s="2983"/>
      <c r="D80" s="2984"/>
      <c r="E80" s="2985"/>
      <c r="F80" s="2986"/>
      <c r="G80" s="2059"/>
      <c r="H80" s="2059"/>
      <c r="I80" s="2987"/>
      <c r="J80" s="2987"/>
      <c r="K80" s="1635"/>
      <c r="L80" s="2067"/>
      <c r="M80" s="2059"/>
      <c r="N80" s="2987"/>
      <c r="O80" s="2987"/>
      <c r="P80" s="2988"/>
      <c r="Q80" s="2633"/>
      <c r="R80" s="2067"/>
      <c r="S80" s="2059"/>
      <c r="T80" s="2987"/>
      <c r="U80" s="2987"/>
      <c r="V80" s="2987"/>
      <c r="W80" s="2067"/>
      <c r="X80" s="2059"/>
      <c r="Y80" s="2987"/>
      <c r="Z80" s="2987"/>
      <c r="AA80" s="2988"/>
      <c r="AB80" s="2067"/>
      <c r="AC80" s="2059"/>
      <c r="AD80" s="2987"/>
      <c r="AE80" s="2987"/>
      <c r="AF80" s="2988"/>
      <c r="AG80" s="2067"/>
      <c r="AH80" s="2059"/>
      <c r="AI80" s="2987"/>
      <c r="AJ80" s="2987"/>
      <c r="AK80" s="2988"/>
      <c r="AL80" s="2067"/>
      <c r="AM80" s="2059"/>
      <c r="AN80" s="2987"/>
      <c r="AO80" s="2987"/>
      <c r="AP80" s="2988"/>
      <c r="AQ80" s="2067"/>
      <c r="AR80" s="2059"/>
      <c r="AS80" s="2987"/>
      <c r="AT80" s="2987"/>
      <c r="AU80" s="2988"/>
      <c r="AV80" s="2067"/>
      <c r="AW80" s="2059"/>
      <c r="AX80" s="2987"/>
      <c r="AY80" s="2987"/>
      <c r="AZ80" s="2988"/>
      <c r="BA80" s="2067"/>
      <c r="BB80" s="2059"/>
      <c r="BC80" s="2987"/>
      <c r="BD80" s="2987"/>
      <c r="BE80" s="2988"/>
      <c r="BF80" s="2067"/>
      <c r="BG80" s="2059"/>
      <c r="BH80" s="2482"/>
      <c r="BI80" s="2482"/>
      <c r="BJ80" s="2540"/>
      <c r="BK80" s="2067"/>
      <c r="BL80" s="2059"/>
      <c r="BM80" s="2482"/>
      <c r="BN80" s="2482"/>
      <c r="BO80" s="2540"/>
      <c r="BP80" s="2067"/>
      <c r="BQ80" s="2059"/>
      <c r="BR80" s="2482"/>
      <c r="BS80" s="2482"/>
      <c r="BT80" s="2540"/>
      <c r="BU80" s="2059"/>
      <c r="BV80" s="2059"/>
      <c r="BW80" s="2987"/>
      <c r="BX80" s="2987"/>
      <c r="BY80" s="2987"/>
    </row>
    <row r="81" spans="1:77" s="1411" customFormat="1" ht="14.4" thickBot="1" x14ac:dyDescent="0.3">
      <c r="A81" s="1434"/>
      <c r="B81" s="2973" t="s">
        <v>12</v>
      </c>
      <c r="C81" s="2974">
        <f>(C75+C78)-C79</f>
        <v>2514701.9663545443</v>
      </c>
      <c r="D81" s="2974">
        <f>(D75+D78)-D79</f>
        <v>-1221297.6782608696</v>
      </c>
      <c r="E81" s="2975">
        <f>(E75+E78)-E79</f>
        <v>1293404.288093674</v>
      </c>
      <c r="F81" s="2976"/>
      <c r="G81" s="2974">
        <f>(G75+G78)-G79</f>
        <v>874396.03792000003</v>
      </c>
      <c r="H81" s="2974">
        <f>(H75+H78)-H79</f>
        <v>-835484.87</v>
      </c>
      <c r="I81" s="2975">
        <f>(I75+I78)-I79</f>
        <v>-84024.743260826159</v>
      </c>
      <c r="J81" s="2977"/>
      <c r="K81" s="2978"/>
      <c r="L81" s="2974">
        <f>(L75+L78)-L79</f>
        <v>1595480.1476000007</v>
      </c>
      <c r="M81" s="2974">
        <f>(M75+M78)-M79</f>
        <v>-705755.53000000014</v>
      </c>
      <c r="N81" s="2975">
        <f>(N75+N78)-N79</f>
        <v>787854.63970136398</v>
      </c>
      <c r="O81" s="2977"/>
      <c r="P81" s="2979"/>
      <c r="Q81" s="2976"/>
      <c r="R81" s="2974">
        <f>(R75+R78)-R79</f>
        <v>0</v>
      </c>
      <c r="S81" s="2974">
        <f>(S75+S78)-S79</f>
        <v>-5577.54</v>
      </c>
      <c r="T81" s="2975">
        <f>(T75+T78)-T79</f>
        <v>-6302.3050847457625</v>
      </c>
      <c r="U81" s="2977"/>
      <c r="V81" s="2980"/>
      <c r="W81" s="2974">
        <f>(W75+W78)-W79</f>
        <v>242122.96600000001</v>
      </c>
      <c r="X81" s="2974">
        <f>(X75+X78)-X79</f>
        <v>-41575</v>
      </c>
      <c r="Y81" s="2975">
        <f>(Y75+Y78)-Y79</f>
        <v>195145.56491650411</v>
      </c>
      <c r="Z81" s="2977"/>
      <c r="AA81" s="2979"/>
      <c r="AB81" s="2974">
        <f>(AB75+AB78)-AB79</f>
        <v>44308.198000000004</v>
      </c>
      <c r="AC81" s="2974">
        <f>(AC75+AC78)-AC79</f>
        <v>-19480</v>
      </c>
      <c r="AD81" s="2975">
        <f>(AD75+AD78)-AD79</f>
        <v>22296.898586734806</v>
      </c>
      <c r="AE81" s="2977"/>
      <c r="AF81" s="2979"/>
      <c r="AG81" s="2974">
        <f>(AG75+AG78)-AG79</f>
        <v>-12053.6</v>
      </c>
      <c r="AH81" s="2974">
        <f>(AH75+AH78)-AH79</f>
        <v>-767.3</v>
      </c>
      <c r="AI81" s="2975">
        <f>(AI75+AI78)-AI79</f>
        <v>-12925.531818181818</v>
      </c>
      <c r="AJ81" s="2977"/>
      <c r="AK81" s="2979"/>
      <c r="AL81" s="2974">
        <f>(AL75+AL78)-AL79</f>
        <v>-6904.2839999999997</v>
      </c>
      <c r="AM81" s="2974">
        <f>(AM75+AM78)-AM79</f>
        <v>-55080</v>
      </c>
      <c r="AN81" s="2975">
        <f>(AN75+AN78)-AN79</f>
        <v>-69369.120202518287</v>
      </c>
      <c r="AO81" s="2977"/>
      <c r="AP81" s="2979"/>
      <c r="AQ81" s="2974">
        <f>(AQ75+AQ78)-AQ79</f>
        <v>0</v>
      </c>
      <c r="AR81" s="2974">
        <f>(AR75+AR78)-AR79</f>
        <v>-500</v>
      </c>
      <c r="AS81" s="2975">
        <f>(AS75+AS78)-AS79</f>
        <v>-570.69359054596327</v>
      </c>
      <c r="AT81" s="2977"/>
      <c r="AU81" s="2979"/>
      <c r="AV81" s="2974">
        <f>(AV75+AV78)-AV79</f>
        <v>186994.82800000001</v>
      </c>
      <c r="AW81" s="2974">
        <f>(AW75+AW78)-AW79</f>
        <v>-22394.7</v>
      </c>
      <c r="AX81" s="2975">
        <f>(AX75+AX78)-AX79</f>
        <v>161860.47319766576</v>
      </c>
      <c r="AY81" s="2977"/>
      <c r="AZ81" s="2979"/>
      <c r="BA81" s="2974">
        <f>(BA75+BA78)-BA79</f>
        <v>0</v>
      </c>
      <c r="BB81" s="2974">
        <f>(BB75+BB78)-BB79</f>
        <v>0</v>
      </c>
      <c r="BC81" s="2975">
        <f>(BC75+BC78)-BC79</f>
        <v>0</v>
      </c>
      <c r="BD81" s="2977"/>
      <c r="BE81" s="2979"/>
      <c r="BF81" s="2536">
        <f>(BF75+BF78)-BF79</f>
        <v>-477.59999999999997</v>
      </c>
      <c r="BG81" s="2536">
        <f>(BG75+BG78)-BG79</f>
        <v>0</v>
      </c>
      <c r="BH81" s="2537">
        <f>(BH75+BH78)-BH79</f>
        <v>-477.59999999999997</v>
      </c>
      <c r="BI81" s="2538"/>
      <c r="BJ81" s="2539"/>
      <c r="BK81" s="2536">
        <f>(BK75+BK78)-BK79</f>
        <v>0</v>
      </c>
      <c r="BL81" s="2536">
        <f>(BL75+BL78)-BL79</f>
        <v>-10390</v>
      </c>
      <c r="BM81" s="2537">
        <f>(BM75+BM78)-BM79</f>
        <v>-11750.61162831384</v>
      </c>
      <c r="BN81" s="2538"/>
      <c r="BO81" s="2539"/>
      <c r="BP81" s="2536">
        <f>(BP75+BP78)-BP79</f>
        <v>0</v>
      </c>
      <c r="BQ81" s="2536">
        <f>(BQ75+BQ78)-BQ79</f>
        <v>-237.6</v>
      </c>
      <c r="BR81" s="2537">
        <f>(BR75+BR78)-BR79</f>
        <v>-237.6</v>
      </c>
      <c r="BS81" s="2538"/>
      <c r="BT81" s="2539"/>
      <c r="BU81" s="2974">
        <f>(BU75+BU78)-BU79</f>
        <v>2923866.693520003</v>
      </c>
      <c r="BV81" s="2974">
        <f>(BV75+BV78)-BV79</f>
        <v>-1697242.54</v>
      </c>
      <c r="BW81" s="2975">
        <f>(BW75+BW78)-BW79</f>
        <v>981499.37081713765</v>
      </c>
      <c r="BX81" s="2977"/>
      <c r="BY81" s="2977"/>
    </row>
    <row r="82" spans="1:77" s="1411" customFormat="1" ht="13.8" x14ac:dyDescent="0.25">
      <c r="A82" s="1580"/>
      <c r="B82" s="1415" t="s">
        <v>38</v>
      </c>
      <c r="C82" s="1525"/>
      <c r="D82" s="1526"/>
      <c r="E82" s="1530">
        <f>C82+D82</f>
        <v>0</v>
      </c>
      <c r="F82" s="2949">
        <f>E82/$E$89</f>
        <v>0</v>
      </c>
      <c r="G82" s="2059">
        <v>0</v>
      </c>
      <c r="H82" s="2059">
        <v>0</v>
      </c>
      <c r="I82" s="1530">
        <v>0</v>
      </c>
      <c r="J82" s="1491"/>
      <c r="K82" s="1602"/>
      <c r="L82" s="2067">
        <v>0</v>
      </c>
      <c r="M82" s="2059">
        <v>0</v>
      </c>
      <c r="N82" s="1530">
        <v>0</v>
      </c>
      <c r="O82" s="1491"/>
      <c r="P82" s="1763"/>
      <c r="Q82" s="2638"/>
      <c r="R82" s="2067"/>
      <c r="S82" s="2059"/>
      <c r="T82" s="1530">
        <f>R82+S82</f>
        <v>0</v>
      </c>
      <c r="U82" s="1491"/>
      <c r="V82" s="1627"/>
      <c r="W82" s="2067"/>
      <c r="X82" s="2059"/>
      <c r="Y82" s="1530">
        <f>W82+X82</f>
        <v>0</v>
      </c>
      <c r="Z82" s="1491"/>
      <c r="AA82" s="1763"/>
      <c r="AB82" s="2067"/>
      <c r="AC82" s="2059"/>
      <c r="AD82" s="1530">
        <f>AB82+AC82</f>
        <v>0</v>
      </c>
      <c r="AE82" s="1491"/>
      <c r="AF82" s="1763"/>
      <c r="AG82" s="2067"/>
      <c r="AH82" s="2059"/>
      <c r="AI82" s="1530">
        <f>AG82+AH82</f>
        <v>0</v>
      </c>
      <c r="AJ82" s="1491"/>
      <c r="AK82" s="1763"/>
      <c r="AL82" s="2067"/>
      <c r="AM82" s="2059"/>
      <c r="AN82" s="1530">
        <f>AL82+AM82</f>
        <v>0</v>
      </c>
      <c r="AO82" s="1491"/>
      <c r="AP82" s="1763"/>
      <c r="AQ82" s="2067"/>
      <c r="AR82" s="2059"/>
      <c r="AS82" s="1530">
        <f>AQ82+AR82</f>
        <v>0</v>
      </c>
      <c r="AT82" s="1491"/>
      <c r="AU82" s="2062"/>
      <c r="AV82" s="2067"/>
      <c r="AW82" s="2059"/>
      <c r="AX82" s="1530">
        <f>AV82+AW82</f>
        <v>0</v>
      </c>
      <c r="AY82" s="1491"/>
      <c r="AZ82" s="2062"/>
      <c r="BA82" s="2067"/>
      <c r="BB82" s="2059"/>
      <c r="BC82" s="1530">
        <f>BA82+BB82</f>
        <v>0</v>
      </c>
      <c r="BD82" s="1491"/>
      <c r="BE82" s="2062"/>
      <c r="BF82" s="2067"/>
      <c r="BG82" s="2059"/>
      <c r="BH82" s="1530">
        <f>BF82+BG82</f>
        <v>0</v>
      </c>
      <c r="BI82" s="1491"/>
      <c r="BJ82" s="2062"/>
      <c r="BK82" s="2067"/>
      <c r="BL82" s="2059"/>
      <c r="BM82" s="1530">
        <f>BK82+BL82</f>
        <v>0</v>
      </c>
      <c r="BN82" s="1491"/>
      <c r="BO82" s="2062"/>
      <c r="BP82" s="2067"/>
      <c r="BQ82" s="2059"/>
      <c r="BR82" s="1530">
        <f>BP82+BQ82</f>
        <v>0</v>
      </c>
      <c r="BS82" s="1491"/>
      <c r="BT82" s="2062"/>
      <c r="BU82" s="2059">
        <f>G82+L82+R82+W82+AB82+AG82+AL82+AQ82+AV82+BA82+BF82+BK82+BP82</f>
        <v>0</v>
      </c>
      <c r="BV82" s="2059">
        <f>H82+M82+S82+X82+AC82+AH82+AM82+AR82+AW82+BB82+BG82+BL82+BQ82</f>
        <v>0</v>
      </c>
      <c r="BW82" s="2028">
        <f t="shared" ref="BW82" si="165">BU82+BV82*1</f>
        <v>0</v>
      </c>
      <c r="BX82" s="1491"/>
      <c r="BY82" s="1491"/>
    </row>
    <row r="83" spans="1:77" s="1411" customFormat="1" ht="13.8" x14ac:dyDescent="0.25">
      <c r="A83" s="1420"/>
      <c r="B83" s="2989" t="s">
        <v>13</v>
      </c>
      <c r="C83" s="2990">
        <f>(C81+C7)-C36</f>
        <v>2514701.9663545443</v>
      </c>
      <c r="D83" s="2990">
        <f>(D81+D7)-D36</f>
        <v>-1221297.6782608696</v>
      </c>
      <c r="E83" s="2990">
        <f>(E81+E7)-E36</f>
        <v>1293404.288093674</v>
      </c>
      <c r="F83" s="2991"/>
      <c r="G83" s="2990">
        <f t="shared" ref="G83:I83" si="166">(G81)-G36</f>
        <v>874396.03792000003</v>
      </c>
      <c r="H83" s="2990">
        <f t="shared" si="166"/>
        <v>-835484.87</v>
      </c>
      <c r="I83" s="2992">
        <f t="shared" si="166"/>
        <v>-84024.743260826159</v>
      </c>
      <c r="J83" s="2993"/>
      <c r="K83" s="2994"/>
      <c r="L83" s="2990">
        <f t="shared" ref="L83:N83" si="167">(L81)-L36</f>
        <v>1595480.1476000007</v>
      </c>
      <c r="M83" s="2990">
        <f t="shared" si="167"/>
        <v>-705755.53000000014</v>
      </c>
      <c r="N83" s="2990">
        <f t="shared" si="167"/>
        <v>787854.63970136398</v>
      </c>
      <c r="O83" s="2993"/>
      <c r="P83" s="2995"/>
      <c r="Q83" s="2991"/>
      <c r="R83" s="2990">
        <f t="shared" ref="R83:AN83" si="168">(R81)-R36</f>
        <v>0</v>
      </c>
      <c r="S83" s="2990">
        <f t="shared" si="168"/>
        <v>-5577.54</v>
      </c>
      <c r="T83" s="2990">
        <f t="shared" si="168"/>
        <v>-6302.3050847457625</v>
      </c>
      <c r="U83" s="2993"/>
      <c r="V83" s="2995"/>
      <c r="W83" s="2990">
        <f t="shared" ref="W83" si="169">(W81)-W36</f>
        <v>242122.96600000001</v>
      </c>
      <c r="X83" s="2990">
        <f t="shared" si="168"/>
        <v>-41575</v>
      </c>
      <c r="Y83" s="2990">
        <f t="shared" si="168"/>
        <v>195145.56491650411</v>
      </c>
      <c r="Z83" s="2993"/>
      <c r="AA83" s="2995"/>
      <c r="AB83" s="2990">
        <f t="shared" ref="AB83" si="170">(AB81)-AB36</f>
        <v>44308.198000000004</v>
      </c>
      <c r="AC83" s="2990">
        <f t="shared" si="168"/>
        <v>-19480</v>
      </c>
      <c r="AD83" s="2990">
        <f t="shared" si="168"/>
        <v>22296.898586734806</v>
      </c>
      <c r="AE83" s="2993"/>
      <c r="AF83" s="2995"/>
      <c r="AG83" s="2990">
        <f t="shared" ref="AG83" si="171">(AG81)-AG36</f>
        <v>-12053.6</v>
      </c>
      <c r="AH83" s="2990">
        <f t="shared" si="168"/>
        <v>-767.3</v>
      </c>
      <c r="AI83" s="2990">
        <f t="shared" si="168"/>
        <v>-12925.531818181818</v>
      </c>
      <c r="AJ83" s="2993"/>
      <c r="AK83" s="2995"/>
      <c r="AL83" s="2990">
        <f t="shared" ref="AL83" si="172">(AL81)-AL36</f>
        <v>-6904.2839999999997</v>
      </c>
      <c r="AM83" s="2990">
        <f t="shared" si="168"/>
        <v>-55080</v>
      </c>
      <c r="AN83" s="2990">
        <f t="shared" si="168"/>
        <v>-69369.120202518287</v>
      </c>
      <c r="AO83" s="2993"/>
      <c r="AP83" s="2995"/>
      <c r="AQ83" s="2990">
        <f>(AQ81+AQ7)-AQ36</f>
        <v>0</v>
      </c>
      <c r="AR83" s="2990">
        <f>(AR81+AR7)-AR36</f>
        <v>-500</v>
      </c>
      <c r="AS83" s="2992">
        <f>(AS81+AS7)-AS36</f>
        <v>-570.69359054596327</v>
      </c>
      <c r="AT83" s="2993"/>
      <c r="AU83" s="2995"/>
      <c r="AV83" s="2990">
        <f>(AV81+AV7)-AV36</f>
        <v>186994.82800000001</v>
      </c>
      <c r="AW83" s="2990">
        <f>(AW81+AW7)-AW36</f>
        <v>-22394.7</v>
      </c>
      <c r="AX83" s="2992">
        <f>(AX81+AX7)-AX36</f>
        <v>161860.47319766576</v>
      </c>
      <c r="AY83" s="2993"/>
      <c r="AZ83" s="2995"/>
      <c r="BA83" s="2990">
        <f>(BA81+BA7)-BA36</f>
        <v>0</v>
      </c>
      <c r="BB83" s="2990">
        <f>(BB81+BB7)-BB36</f>
        <v>0</v>
      </c>
      <c r="BC83" s="2992">
        <f>(BC81+BC7)-BC36</f>
        <v>0</v>
      </c>
      <c r="BD83" s="2993"/>
      <c r="BE83" s="2995"/>
      <c r="BF83" s="2541">
        <f>(BF81+BF7)-BF36</f>
        <v>-477.59999999999997</v>
      </c>
      <c r="BG83" s="2541">
        <f>(BG81+BG7)-BG36</f>
        <v>0</v>
      </c>
      <c r="BH83" s="2542">
        <f>(BH81+BH7)-BH36</f>
        <v>-477.59999999999997</v>
      </c>
      <c r="BI83" s="2543"/>
      <c r="BJ83" s="2544"/>
      <c r="BK83" s="2541">
        <f>(BK81+BK7)-BK36</f>
        <v>0</v>
      </c>
      <c r="BL83" s="2541">
        <f>(BL81+BL7)-BL36</f>
        <v>-10390</v>
      </c>
      <c r="BM83" s="2542">
        <f>(BM81+BM7)-BM36</f>
        <v>-11750.61162831384</v>
      </c>
      <c r="BN83" s="2543"/>
      <c r="BO83" s="2544"/>
      <c r="BP83" s="2541">
        <f>(BP81+BP7)-BP36</f>
        <v>0</v>
      </c>
      <c r="BQ83" s="2541">
        <f>(BQ81+BQ7)-BQ36</f>
        <v>-237.6</v>
      </c>
      <c r="BR83" s="2542">
        <f>(BR81+BR7)-BR36</f>
        <v>-237.6</v>
      </c>
      <c r="BS83" s="2543"/>
      <c r="BT83" s="2544"/>
      <c r="BU83" s="2990">
        <f t="shared" ref="BU83:BW83" si="173">(BU81)-BU36</f>
        <v>2923866.693520003</v>
      </c>
      <c r="BV83" s="2990">
        <f t="shared" si="173"/>
        <v>-1697242.54</v>
      </c>
      <c r="BW83" s="2990">
        <f t="shared" si="173"/>
        <v>981499.37081713765</v>
      </c>
      <c r="BX83" s="2993"/>
      <c r="BY83" s="2995"/>
    </row>
    <row r="84" spans="1:77" s="1411" customFormat="1" ht="14.4" thickBot="1" x14ac:dyDescent="0.3">
      <c r="A84" s="822"/>
      <c r="B84" s="2996" t="s">
        <v>14</v>
      </c>
      <c r="C84" s="2997">
        <f>C83-C73-C82</f>
        <v>2327634.6037699217</v>
      </c>
      <c r="D84" s="2997">
        <f>D83-D73-D82</f>
        <v>-1221297.6782608696</v>
      </c>
      <c r="E84" s="2997">
        <f>E83-E73-E82</f>
        <v>1106336.9255090512</v>
      </c>
      <c r="F84" s="2998"/>
      <c r="G84" s="2999">
        <f>G83-G73-G82</f>
        <v>874396.03792000003</v>
      </c>
      <c r="H84" s="2999">
        <f>H83-H73-H82</f>
        <v>-835484.87</v>
      </c>
      <c r="I84" s="2999">
        <f>I83-I73-I82</f>
        <v>-84024.743260826159</v>
      </c>
      <c r="J84" s="3000"/>
      <c r="K84" s="2998"/>
      <c r="L84" s="2999">
        <f>L83-L73-L82</f>
        <v>1595480.1476000007</v>
      </c>
      <c r="M84" s="2999">
        <f>M83-M73-M82</f>
        <v>-705755.53000000014</v>
      </c>
      <c r="N84" s="2999">
        <f>N83-N73-N82</f>
        <v>787854.63970136398</v>
      </c>
      <c r="O84" s="3000"/>
      <c r="P84" s="3001"/>
      <c r="Q84" s="2998"/>
      <c r="R84" s="2999">
        <f>R83-R73-R82</f>
        <v>0</v>
      </c>
      <c r="S84" s="2999">
        <f>S83-S73-S82</f>
        <v>-5577.54</v>
      </c>
      <c r="T84" s="2999">
        <f>T83-T73-T82</f>
        <v>-6302.3050847457625</v>
      </c>
      <c r="U84" s="3000"/>
      <c r="V84" s="3002"/>
      <c r="W84" s="2999">
        <f>W83-W73-W82</f>
        <v>242122.96600000001</v>
      </c>
      <c r="X84" s="2999">
        <f>X83-X73-X82</f>
        <v>-41575</v>
      </c>
      <c r="Y84" s="2999">
        <f>Y83-Y73-Y82</f>
        <v>195145.56491650411</v>
      </c>
      <c r="Z84" s="3000"/>
      <c r="AA84" s="3001"/>
      <c r="AB84" s="2999">
        <f>AB83-AB73-AB82</f>
        <v>44308.198000000004</v>
      </c>
      <c r="AC84" s="2999">
        <f>AC83-AC73-AC82</f>
        <v>-19480</v>
      </c>
      <c r="AD84" s="2999">
        <f>AD83-AD73-AD82</f>
        <v>22296.898586734806</v>
      </c>
      <c r="AE84" s="3000"/>
      <c r="AF84" s="3001"/>
      <c r="AG84" s="2999">
        <f>AG83-AG73-AG82</f>
        <v>-12053.6</v>
      </c>
      <c r="AH84" s="2999">
        <f>AH83-AH73-AH82</f>
        <v>-767.3</v>
      </c>
      <c r="AI84" s="2999">
        <f>AI83-AI73-AI82</f>
        <v>-12925.531818181818</v>
      </c>
      <c r="AJ84" s="3000"/>
      <c r="AK84" s="3001"/>
      <c r="AL84" s="2999">
        <f>AL83-AL73-AL82</f>
        <v>-6904.2839999999997</v>
      </c>
      <c r="AM84" s="2999">
        <f>AM83-AM73-AM82</f>
        <v>-55080</v>
      </c>
      <c r="AN84" s="2999">
        <f>AN83-AN73-AN82</f>
        <v>-69369.120202518287</v>
      </c>
      <c r="AO84" s="3000"/>
      <c r="AP84" s="3001"/>
      <c r="AQ84" s="2999">
        <f>AQ83-AQ73-AQ82</f>
        <v>0</v>
      </c>
      <c r="AR84" s="2999">
        <f>AR83-AR73-AR82</f>
        <v>-500</v>
      </c>
      <c r="AS84" s="2999">
        <f>AS83-AS73-AS82</f>
        <v>-570.69359054596327</v>
      </c>
      <c r="AT84" s="3000"/>
      <c r="AU84" s="3001"/>
      <c r="AV84" s="2999">
        <f>AV83-AV73-AV82</f>
        <v>186994.82800000001</v>
      </c>
      <c r="AW84" s="2999">
        <f>AW83-AW73-AW82</f>
        <v>-22394.7</v>
      </c>
      <c r="AX84" s="2999">
        <f>AX83-AX73-AX82</f>
        <v>161860.47319766576</v>
      </c>
      <c r="AY84" s="3000"/>
      <c r="AZ84" s="3001"/>
      <c r="BA84" s="2999">
        <f>BA83-BA73-BA82</f>
        <v>0</v>
      </c>
      <c r="BB84" s="2999">
        <f>BB83-BB73-BB82</f>
        <v>0</v>
      </c>
      <c r="BC84" s="2999">
        <f>BC83-BC73-BC82</f>
        <v>0</v>
      </c>
      <c r="BD84" s="3000"/>
      <c r="BE84" s="3001"/>
      <c r="BF84" s="2518">
        <f>BF83-BF73-BF82</f>
        <v>-477.59999999999997</v>
      </c>
      <c r="BG84" s="2518">
        <f>BG83-BG73-BG82</f>
        <v>0</v>
      </c>
      <c r="BH84" s="2518">
        <f>BH83-BH73-BH82</f>
        <v>-477.59999999999997</v>
      </c>
      <c r="BI84" s="2519"/>
      <c r="BJ84" s="2545"/>
      <c r="BK84" s="2518">
        <f>BK83-BK73-BK82</f>
        <v>0</v>
      </c>
      <c r="BL84" s="2518">
        <f>BL83-BL73-BL82</f>
        <v>-10390</v>
      </c>
      <c r="BM84" s="2518">
        <f>BM83-BM73-BM82</f>
        <v>-11750.61162831384</v>
      </c>
      <c r="BN84" s="2519"/>
      <c r="BO84" s="2545"/>
      <c r="BP84" s="2518">
        <f>BP83-BP73-BP82</f>
        <v>0</v>
      </c>
      <c r="BQ84" s="2518">
        <f>BQ83-BQ73-BQ82</f>
        <v>-237.6</v>
      </c>
      <c r="BR84" s="2518">
        <f>BR83-BR73-BR82</f>
        <v>-237.6</v>
      </c>
      <c r="BS84" s="2519"/>
      <c r="BT84" s="2545"/>
      <c r="BU84" s="2999">
        <f>BU83-BU73-BU82</f>
        <v>2923866.693520003</v>
      </c>
      <c r="BV84" s="2999">
        <f>BV83-BV73-BV82</f>
        <v>-1697242.54</v>
      </c>
      <c r="BW84" s="2999">
        <f>BW83-BW73-BW82</f>
        <v>981499.37081713765</v>
      </c>
      <c r="BX84" s="3000"/>
      <c r="BY84" s="3000"/>
    </row>
    <row r="85" spans="1:77" s="1411" customFormat="1" ht="13.8" x14ac:dyDescent="0.25">
      <c r="A85" s="1581"/>
      <c r="B85" s="1418" t="s">
        <v>44</v>
      </c>
      <c r="C85" s="1501"/>
      <c r="D85" s="1101"/>
      <c r="E85" s="1102">
        <f>C85+D85</f>
        <v>0</v>
      </c>
      <c r="F85" s="1602">
        <f>E85/$E$89</f>
        <v>0</v>
      </c>
      <c r="G85" s="2059">
        <v>0</v>
      </c>
      <c r="H85" s="2059">
        <v>0</v>
      </c>
      <c r="I85" s="2028">
        <v>0</v>
      </c>
      <c r="J85" s="1491"/>
      <c r="K85" s="1602"/>
      <c r="L85" s="2067"/>
      <c r="M85" s="2059"/>
      <c r="N85" s="2028">
        <f>L85+M85*1.15</f>
        <v>0</v>
      </c>
      <c r="O85" s="1491"/>
      <c r="P85" s="1763"/>
      <c r="Q85" s="2638"/>
      <c r="R85" s="2067"/>
      <c r="S85" s="2059"/>
      <c r="T85" s="2028">
        <f>R85+S85*1.15</f>
        <v>0</v>
      </c>
      <c r="U85" s="1491"/>
      <c r="V85" s="1627"/>
      <c r="W85" s="2067"/>
      <c r="X85" s="2059"/>
      <c r="Y85" s="2028">
        <f>W85+X85*1</f>
        <v>0</v>
      </c>
      <c r="Z85" s="1491"/>
      <c r="AA85" s="1763"/>
      <c r="AB85" s="2067"/>
      <c r="AC85" s="2059"/>
      <c r="AD85" s="2028">
        <f>AB85+AC85*1</f>
        <v>0</v>
      </c>
      <c r="AE85" s="1491"/>
      <c r="AF85" s="1763"/>
      <c r="AG85" s="2067"/>
      <c r="AH85" s="2059"/>
      <c r="AI85" s="2028">
        <f>AG85+AH85*1</f>
        <v>0</v>
      </c>
      <c r="AJ85" s="1491"/>
      <c r="AK85" s="1763"/>
      <c r="AL85" s="2067"/>
      <c r="AM85" s="2059"/>
      <c r="AN85" s="2028">
        <f>AL85+AM85*1</f>
        <v>0</v>
      </c>
      <c r="AO85" s="1491"/>
      <c r="AP85" s="1763"/>
      <c r="AQ85" s="2067"/>
      <c r="AR85" s="2059"/>
      <c r="AS85" s="2028">
        <f>AQ85+AR85*1</f>
        <v>0</v>
      </c>
      <c r="AT85" s="1491"/>
      <c r="AU85" s="1763"/>
      <c r="AV85" s="2067"/>
      <c r="AW85" s="2059"/>
      <c r="AX85" s="2028">
        <f>AV85+AW85*1</f>
        <v>0</v>
      </c>
      <c r="AY85" s="1491"/>
      <c r="AZ85" s="1763"/>
      <c r="BA85" s="2067"/>
      <c r="BB85" s="2059"/>
      <c r="BC85" s="2028">
        <f>BA85+BB85*1</f>
        <v>0</v>
      </c>
      <c r="BD85" s="1491"/>
      <c r="BE85" s="1763"/>
      <c r="BF85" s="2067"/>
      <c r="BG85" s="2059"/>
      <c r="BH85" s="2028">
        <f>BF85+BG85*1</f>
        <v>0</v>
      </c>
      <c r="BI85" s="1491"/>
      <c r="BJ85" s="1763"/>
      <c r="BK85" s="2067"/>
      <c r="BL85" s="2059"/>
      <c r="BM85" s="2028">
        <f>BK85+BL85*1</f>
        <v>0</v>
      </c>
      <c r="BN85" s="1491"/>
      <c r="BO85" s="1763"/>
      <c r="BP85" s="2067"/>
      <c r="BQ85" s="2059"/>
      <c r="BR85" s="2028">
        <f>BP85+BQ85*1</f>
        <v>0</v>
      </c>
      <c r="BS85" s="1491"/>
      <c r="BT85" s="1763"/>
      <c r="BU85" s="2059">
        <f>G85+L85+R85+W85+AB85+AG85+AL85+AQ85+AV85+BA85+BF85+BK85+BP85</f>
        <v>0</v>
      </c>
      <c r="BV85" s="2059">
        <f>H85+M85+S85+X85+AC85+AH85+AM85+AR85+AW85+BB85+BG85+BL85+BQ85</f>
        <v>0</v>
      </c>
      <c r="BW85" s="2028">
        <f>BU85+BV85*1.15</f>
        <v>0</v>
      </c>
      <c r="BX85" s="1491"/>
      <c r="BY85" s="1491"/>
    </row>
    <row r="86" spans="1:77" s="1411" customFormat="1" ht="27.6" x14ac:dyDescent="0.25">
      <c r="A86" s="1420"/>
      <c r="B86" s="3003" t="s">
        <v>50</v>
      </c>
      <c r="C86" s="3004">
        <f>C84-C85</f>
        <v>2327634.6037699217</v>
      </c>
      <c r="D86" s="3004">
        <f>D84-D85</f>
        <v>-1221297.6782608696</v>
      </c>
      <c r="E86" s="3005">
        <f>E84-E85</f>
        <v>1106336.9255090512</v>
      </c>
      <c r="F86" s="3006"/>
      <c r="G86" s="3005">
        <f>G84-G85</f>
        <v>874396.03792000003</v>
      </c>
      <c r="H86" s="3005">
        <f>H84-H85</f>
        <v>-835484.87</v>
      </c>
      <c r="I86" s="3005">
        <f>I84-I85</f>
        <v>-84024.743260826159</v>
      </c>
      <c r="J86" s="3007"/>
      <c r="K86" s="3006"/>
      <c r="L86" s="3005">
        <f>L84-L85</f>
        <v>1595480.1476000007</v>
      </c>
      <c r="M86" s="3005">
        <f>M84-M85</f>
        <v>-705755.53000000014</v>
      </c>
      <c r="N86" s="3005">
        <f>N84-N85</f>
        <v>787854.63970136398</v>
      </c>
      <c r="O86" s="3007"/>
      <c r="P86" s="2995"/>
      <c r="Q86" s="3006"/>
      <c r="R86" s="3005">
        <f>R84-R85</f>
        <v>0</v>
      </c>
      <c r="S86" s="3005">
        <f>S84-S85</f>
        <v>-5577.54</v>
      </c>
      <c r="T86" s="3005">
        <f>T84-T85</f>
        <v>-6302.3050847457625</v>
      </c>
      <c r="U86" s="3007"/>
      <c r="V86" s="3008"/>
      <c r="W86" s="3005">
        <f>W84-W85</f>
        <v>242122.96600000001</v>
      </c>
      <c r="X86" s="3005">
        <f>X84-X85</f>
        <v>-41575</v>
      </c>
      <c r="Y86" s="3005">
        <f>Y84-Y85</f>
        <v>195145.56491650411</v>
      </c>
      <c r="Z86" s="3007"/>
      <c r="AA86" s="2995"/>
      <c r="AB86" s="3005">
        <f>AB84-AB85</f>
        <v>44308.198000000004</v>
      </c>
      <c r="AC86" s="3005">
        <f>AC84-AC85</f>
        <v>-19480</v>
      </c>
      <c r="AD86" s="3005">
        <f>AD84-AD85</f>
        <v>22296.898586734806</v>
      </c>
      <c r="AE86" s="3007"/>
      <c r="AF86" s="2995"/>
      <c r="AG86" s="3005">
        <f>AG84-AG85</f>
        <v>-12053.6</v>
      </c>
      <c r="AH86" s="3005">
        <f>AH84-AH85</f>
        <v>-767.3</v>
      </c>
      <c r="AI86" s="3005">
        <f>AI84-AI85</f>
        <v>-12925.531818181818</v>
      </c>
      <c r="AJ86" s="3007"/>
      <c r="AK86" s="2995"/>
      <c r="AL86" s="3005">
        <f>AL84-AL85</f>
        <v>-6904.2839999999997</v>
      </c>
      <c r="AM86" s="3005">
        <f>AM84-AM85</f>
        <v>-55080</v>
      </c>
      <c r="AN86" s="3005">
        <f>AN84-AN85</f>
        <v>-69369.120202518287</v>
      </c>
      <c r="AO86" s="3007"/>
      <c r="AP86" s="2995"/>
      <c r="AQ86" s="3005">
        <f>AQ84-AQ85</f>
        <v>0</v>
      </c>
      <c r="AR86" s="3005">
        <f>AR84-AR85</f>
        <v>-500</v>
      </c>
      <c r="AS86" s="3005">
        <f>AS84-AS85</f>
        <v>-570.69359054596327</v>
      </c>
      <c r="AT86" s="3007"/>
      <c r="AU86" s="2995"/>
      <c r="AV86" s="3005">
        <f>AV84-AV85</f>
        <v>186994.82800000001</v>
      </c>
      <c r="AW86" s="3005">
        <f>AW84-AW85</f>
        <v>-22394.7</v>
      </c>
      <c r="AX86" s="3005">
        <f>AX84-AX85</f>
        <v>161860.47319766576</v>
      </c>
      <c r="AY86" s="3007"/>
      <c r="AZ86" s="2995"/>
      <c r="BA86" s="3005">
        <f>BA84-BA85</f>
        <v>0</v>
      </c>
      <c r="BB86" s="3005">
        <f>BB84-BB85</f>
        <v>0</v>
      </c>
      <c r="BC86" s="3005">
        <f>BC84-BC85</f>
        <v>0</v>
      </c>
      <c r="BD86" s="3007"/>
      <c r="BE86" s="2995"/>
      <c r="BF86" s="2546">
        <f>BF84</f>
        <v>-477.59999999999997</v>
      </c>
      <c r="BG86" s="2546">
        <f t="shared" ref="BG86" si="174">BG84</f>
        <v>0</v>
      </c>
      <c r="BH86" s="2546">
        <f>BH84</f>
        <v>-477.59999999999997</v>
      </c>
      <c r="BI86" s="2547"/>
      <c r="BJ86" s="2544"/>
      <c r="BK86" s="2546">
        <f>BK84</f>
        <v>0</v>
      </c>
      <c r="BL86" s="2546">
        <f t="shared" ref="BL86" si="175">BL84</f>
        <v>-10390</v>
      </c>
      <c r="BM86" s="2546">
        <f>BM84</f>
        <v>-11750.61162831384</v>
      </c>
      <c r="BN86" s="2547"/>
      <c r="BO86" s="2544"/>
      <c r="BP86" s="2546">
        <f>BP84</f>
        <v>0</v>
      </c>
      <c r="BQ86" s="2546">
        <f t="shared" ref="BQ86" si="176">BQ84</f>
        <v>-237.6</v>
      </c>
      <c r="BR86" s="2546">
        <f>BR84</f>
        <v>-237.6</v>
      </c>
      <c r="BS86" s="2547"/>
      <c r="BT86" s="2544"/>
      <c r="BU86" s="3005">
        <f>BU84-BU85</f>
        <v>2923866.693520003</v>
      </c>
      <c r="BV86" s="3005">
        <f>BV84-BV85</f>
        <v>-1697242.54</v>
      </c>
      <c r="BW86" s="3005">
        <f>BW84-BW85</f>
        <v>981499.37081713765</v>
      </c>
      <c r="BX86" s="3007"/>
      <c r="BY86" s="3007"/>
    </row>
    <row r="87" spans="1:77" s="1411" customFormat="1" ht="14.4" thickBot="1" x14ac:dyDescent="0.3">
      <c r="A87" s="1582"/>
      <c r="B87" s="3009" t="s">
        <v>51</v>
      </c>
      <c r="C87" s="3010">
        <f>C86/C5</f>
        <v>0.3732828492811483</v>
      </c>
      <c r="D87" s="3011" t="e">
        <f>D86/D5</f>
        <v>#DIV/0!</v>
      </c>
      <c r="E87" s="3012">
        <f>E86/E5</f>
        <v>0.17742329451112826</v>
      </c>
      <c r="F87" s="3013"/>
      <c r="G87" s="3010">
        <v>0.29997340916602372</v>
      </c>
      <c r="H87" s="3011" t="e">
        <v>#DIV/0!</v>
      </c>
      <c r="I87" s="3012">
        <v>4.5991756516804792E-3</v>
      </c>
      <c r="J87" s="3014"/>
      <c r="K87" s="3015"/>
      <c r="L87" s="3010">
        <f>L86/L5</f>
        <v>0.35452842415400954</v>
      </c>
      <c r="M87" s="3011" t="e">
        <f>M86/M5</f>
        <v>#DIV/0!</v>
      </c>
      <c r="N87" s="3012">
        <f>N86/N5</f>
        <v>0.1750675897132983</v>
      </c>
      <c r="O87" s="3014"/>
      <c r="P87" s="3016"/>
      <c r="Q87" s="3017"/>
      <c r="R87" s="3010" t="e">
        <f>R86/R5</f>
        <v>#DIV/0!</v>
      </c>
      <c r="S87" s="3011" t="e">
        <f>S86/S5</f>
        <v>#DIV/0!</v>
      </c>
      <c r="T87" s="3012" t="e">
        <f>T86/T5</f>
        <v>#DIV/0!</v>
      </c>
      <c r="U87" s="3014"/>
      <c r="V87" s="3018"/>
      <c r="W87" s="3010">
        <f>W86/W5</f>
        <v>0.73106373815195014</v>
      </c>
      <c r="X87" s="3011" t="e">
        <f>X86/X5</f>
        <v>#DIV/0!</v>
      </c>
      <c r="Y87" s="3012">
        <f>Y86/Y5</f>
        <v>0.5892206283795216</v>
      </c>
      <c r="Z87" s="3014"/>
      <c r="AA87" s="3016"/>
      <c r="AB87" s="3010">
        <f>AB86/AB5</f>
        <v>0.3995947614251909</v>
      </c>
      <c r="AC87" s="3011" t="e">
        <f>AC86/AC5</f>
        <v>#DIV/0!</v>
      </c>
      <c r="AD87" s="3012">
        <f>AD86/AD5</f>
        <v>0.20108522290362543</v>
      </c>
      <c r="AE87" s="3014"/>
      <c r="AF87" s="3016"/>
      <c r="AG87" s="3010" t="e">
        <f>AG86/AG5</f>
        <v>#DIV/0!</v>
      </c>
      <c r="AH87" s="3011" t="e">
        <f>AH86/AH5</f>
        <v>#DIV/0!</v>
      </c>
      <c r="AI87" s="3012" t="e">
        <f>AI86/AI5</f>
        <v>#DIV/0!</v>
      </c>
      <c r="AJ87" s="3014"/>
      <c r="AK87" s="3016"/>
      <c r="AL87" s="3010">
        <f>AL86/AL5</f>
        <v>-0.19468188416340423</v>
      </c>
      <c r="AM87" s="3011" t="e">
        <f>AM86/AM5</f>
        <v>#DIV/0!</v>
      </c>
      <c r="AN87" s="3012">
        <f>AN86/AN5</f>
        <v>-1.9560190490112992</v>
      </c>
      <c r="AO87" s="3014"/>
      <c r="AP87" s="3016"/>
      <c r="AQ87" s="3010" t="e">
        <f>AQ86/AQ5</f>
        <v>#DIV/0!</v>
      </c>
      <c r="AR87" s="3011" t="e">
        <f>AR86/AR5</f>
        <v>#DIV/0!</v>
      </c>
      <c r="AS87" s="3012" t="e">
        <f>AS86/AS5</f>
        <v>#DIV/0!</v>
      </c>
      <c r="AT87" s="3014"/>
      <c r="AU87" s="3016"/>
      <c r="AV87" s="3010">
        <f>AV86/AV5</f>
        <v>0.98816195735461199</v>
      </c>
      <c r="AW87" s="3011" t="e">
        <f>AW86/AW5</f>
        <v>#DIV/0!</v>
      </c>
      <c r="AX87" s="3012">
        <f>AX86/AX5</f>
        <v>0.85534110073541236</v>
      </c>
      <c r="AY87" s="3014"/>
      <c r="AZ87" s="3016"/>
      <c r="BA87" s="3010" t="e">
        <f>BA86/BA5</f>
        <v>#DIV/0!</v>
      </c>
      <c r="BB87" s="3011" t="e">
        <f>BB86/BB5</f>
        <v>#DIV/0!</v>
      </c>
      <c r="BC87" s="3012" t="e">
        <f>BC86/BC5</f>
        <v>#DIV/0!</v>
      </c>
      <c r="BD87" s="3014"/>
      <c r="BE87" s="3016"/>
      <c r="BF87" s="2548" t="e">
        <f>BF86/BF5</f>
        <v>#DIV/0!</v>
      </c>
      <c r="BG87" s="2549" t="e">
        <f>BG86/BG5</f>
        <v>#DIV/0!</v>
      </c>
      <c r="BH87" s="2550" t="e">
        <f>BH86/BH5</f>
        <v>#DIV/0!</v>
      </c>
      <c r="BI87" s="2551"/>
      <c r="BJ87" s="2552"/>
      <c r="BK87" s="2548" t="e">
        <f>BK86/BK5</f>
        <v>#DIV/0!</v>
      </c>
      <c r="BL87" s="2549" t="e">
        <f>BL86/BL5</f>
        <v>#DIV/0!</v>
      </c>
      <c r="BM87" s="2550" t="e">
        <f>BM86/BM5</f>
        <v>#DIV/0!</v>
      </c>
      <c r="BN87" s="2551"/>
      <c r="BO87" s="2552"/>
      <c r="BP87" s="2548" t="e">
        <f>BP86/BP5</f>
        <v>#DIV/0!</v>
      </c>
      <c r="BQ87" s="2549" t="e">
        <f>BQ86/BQ5</f>
        <v>#DIV/0!</v>
      </c>
      <c r="BR87" s="2550" t="e">
        <f>BR86/BR5</f>
        <v>#DIV/0!</v>
      </c>
      <c r="BS87" s="2551"/>
      <c r="BT87" s="2552"/>
      <c r="BU87" s="3010">
        <f>BU86/BU5</f>
        <v>0.34758980169581583</v>
      </c>
      <c r="BV87" s="3011" t="e">
        <f>BV86/BV5</f>
        <v>#DIV/0!</v>
      </c>
      <c r="BW87" s="3012">
        <f>BW86/BW5</f>
        <v>0.11668082283743929</v>
      </c>
      <c r="BX87" s="3014"/>
      <c r="BY87" s="3014"/>
    </row>
    <row r="88" spans="1:77" ht="13.8" x14ac:dyDescent="0.25">
      <c r="A88" s="1438"/>
      <c r="B88" s="1438"/>
      <c r="C88" s="1536"/>
      <c r="D88" s="1536"/>
      <c r="E88" s="1536"/>
      <c r="F88" s="1564"/>
      <c r="G88" s="1970"/>
      <c r="H88" s="1970"/>
      <c r="I88" s="1970"/>
      <c r="J88" s="1970"/>
      <c r="K88" s="1564"/>
      <c r="L88" s="1970"/>
      <c r="M88" s="1970"/>
      <c r="N88" s="1970"/>
      <c r="O88" s="1970"/>
      <c r="P88" s="1620"/>
      <c r="Q88" s="1564"/>
      <c r="R88" s="1970"/>
      <c r="S88" s="1970"/>
      <c r="T88" s="1970"/>
      <c r="U88" s="1970"/>
      <c r="V88" s="1628"/>
      <c r="W88" s="1970"/>
      <c r="X88" s="1970"/>
      <c r="Y88" s="1970"/>
      <c r="Z88" s="1970"/>
      <c r="AA88" s="1620"/>
      <c r="AB88" s="1970"/>
      <c r="AC88" s="1970"/>
      <c r="AD88" s="1970"/>
      <c r="AE88" s="1970"/>
      <c r="AF88" s="1620"/>
      <c r="AG88" s="1970"/>
      <c r="AH88" s="1970"/>
      <c r="AI88" s="1970"/>
      <c r="AJ88" s="1970"/>
      <c r="AK88" s="1620"/>
      <c r="AL88" s="1970"/>
      <c r="AM88" s="1970"/>
      <c r="AN88" s="1970"/>
      <c r="AO88" s="1970"/>
      <c r="AP88" s="1620"/>
      <c r="AQ88" s="1970"/>
      <c r="AR88" s="1970"/>
      <c r="AS88" s="1970"/>
      <c r="AT88" s="1970"/>
      <c r="AU88" s="1620"/>
      <c r="AV88" s="1970"/>
      <c r="AW88" s="1970"/>
      <c r="AX88" s="1970"/>
      <c r="AY88" s="1970"/>
      <c r="AZ88" s="1620"/>
      <c r="BA88" s="1970"/>
      <c r="BB88" s="1970"/>
      <c r="BC88" s="1970"/>
      <c r="BD88" s="1970"/>
      <c r="BE88" s="1620"/>
      <c r="BF88" s="1970"/>
      <c r="BG88" s="1970"/>
      <c r="BH88" s="1970"/>
      <c r="BI88" s="1970"/>
      <c r="BJ88" s="1620"/>
      <c r="BK88" s="1970"/>
      <c r="BL88" s="1970"/>
      <c r="BM88" s="1970"/>
      <c r="BN88" s="1970"/>
      <c r="BO88" s="1620"/>
      <c r="BP88" s="1970"/>
      <c r="BQ88" s="1970"/>
      <c r="BR88" s="1970"/>
      <c r="BS88" s="1970"/>
      <c r="BT88" s="1620"/>
      <c r="BU88" s="1970"/>
      <c r="BV88" s="1970"/>
      <c r="BW88" s="1970"/>
      <c r="BX88" s="1970"/>
      <c r="BY88" s="1970"/>
    </row>
    <row r="89" spans="1:77" x14ac:dyDescent="0.25">
      <c r="B89" s="1577" t="s">
        <v>56</v>
      </c>
      <c r="C89" s="1537"/>
      <c r="D89" s="1537"/>
      <c r="E89" s="1976">
        <f>E8+E36+E41+E50+E54+E73+E79+E82+E85</f>
        <v>5129241.8273117067</v>
      </c>
      <c r="F89" s="189"/>
      <c r="I89" s="1976">
        <f>I8+I36+I41+I50+I54+I73+I79+I82+I85</f>
        <v>3328792.473260826</v>
      </c>
      <c r="K89" s="189"/>
      <c r="N89" s="1976">
        <f>N8+N36+N41+N50+N54+N73+N79+N82+N85</f>
        <v>3712433.7402986372</v>
      </c>
      <c r="P89" s="1621"/>
      <c r="Q89" s="189"/>
      <c r="T89" s="1976">
        <f>T8+T36+T41+T50+T54+T73+T79+T82+T85</f>
        <v>6302.3050847457625</v>
      </c>
      <c r="V89" s="1607"/>
      <c r="Y89" s="1976">
        <f>Y8+Y36+Y41+Y50+Y54+Y73+Y79+Y82+Y85</f>
        <v>136047.12508349592</v>
      </c>
      <c r="AA89" s="1621"/>
      <c r="AD89" s="1976">
        <f>AD8+AD36+AD41+AD50+AD54+AD73+AD79+AD82+AD85</f>
        <v>88585.931413265193</v>
      </c>
      <c r="AF89" s="1621"/>
      <c r="AI89" s="1976">
        <f>AI8+AI36+AI41+AI50+AI54+AI73+AI79+AI82+AI85</f>
        <v>12925.531818181818</v>
      </c>
      <c r="AK89" s="1621"/>
      <c r="AN89" s="1976">
        <f>AN8+AN36+AN41+AN50+AN54+AN73+AN79+AN82+AN85</f>
        <v>104833.56020251829</v>
      </c>
      <c r="AP89" s="1621"/>
      <c r="AS89" s="1976">
        <f>AS8+AS36+AS41+AS50+AS54+AS73+AS79+AS82+AS85</f>
        <v>570.69359054596327</v>
      </c>
      <c r="AU89" s="1621"/>
      <c r="AX89" s="1976">
        <f>AX8+AX36+AX41+AX50+AX54+AX73+AX79+AX82+AX85</f>
        <v>27374.526802334225</v>
      </c>
      <c r="AZ89" s="1621"/>
      <c r="BC89" s="1976">
        <f>BC8+BC36+BC41+BC50+BC54+BC73+BC79+BC82+BC85</f>
        <v>0</v>
      </c>
      <c r="BE89" s="1621"/>
      <c r="BH89" s="1976">
        <f>BH8+BH36+BH41+BH50+BH54+BH73+BH79+BH82+BH85</f>
        <v>477.59999999999997</v>
      </c>
      <c r="BJ89" s="1621"/>
      <c r="BM89" s="1976">
        <f>BM8+BM36+BM41+BM50+BM54+BM73+BM79+BM82+BM85</f>
        <v>11750.61162831384</v>
      </c>
      <c r="BO89" s="1621"/>
      <c r="BR89" s="1976">
        <f>BR8+BR36+BR41+BR50+BR54+BR73+BR79+BR82+BR85</f>
        <v>237.6</v>
      </c>
      <c r="BT89" s="1621"/>
      <c r="BU89" s="1621"/>
      <c r="BV89" s="1621"/>
      <c r="BW89" s="1976">
        <f>BW8+BW36+BW41+BW50+BW54+BW73+BW79+BW82+BW85</f>
        <v>7430331.6991828643</v>
      </c>
    </row>
    <row r="90" spans="1:77" s="2487" customFormat="1" x14ac:dyDescent="0.25">
      <c r="A90" s="1349"/>
      <c r="B90" s="1349"/>
      <c r="C90" s="1354"/>
      <c r="D90" s="1354"/>
      <c r="E90" s="1354"/>
      <c r="F90" s="2485"/>
      <c r="G90" s="2485"/>
      <c r="H90" s="2485"/>
      <c r="I90" s="2485"/>
      <c r="J90" s="2485"/>
      <c r="K90" s="2485"/>
      <c r="L90" s="2485"/>
      <c r="M90" s="2485"/>
      <c r="N90" s="2485"/>
      <c r="O90" s="2485"/>
      <c r="P90" s="1872"/>
      <c r="Q90" s="2485"/>
      <c r="R90" s="2485"/>
      <c r="S90" s="2485"/>
      <c r="T90" s="2485"/>
      <c r="U90" s="2485"/>
      <c r="V90" s="2485"/>
      <c r="W90" s="2485"/>
      <c r="X90" s="2485"/>
      <c r="Y90" s="2485"/>
      <c r="Z90" s="2485"/>
      <c r="AA90" s="1872"/>
      <c r="AB90" s="2485"/>
      <c r="AC90" s="2485"/>
      <c r="AD90" s="2485"/>
      <c r="AE90" s="2485"/>
      <c r="AF90" s="1872"/>
      <c r="AG90" s="2485"/>
      <c r="AH90" s="2485"/>
      <c r="AI90" s="2485"/>
      <c r="AJ90" s="2485"/>
      <c r="AK90" s="1872"/>
      <c r="AL90" s="2485"/>
      <c r="AM90" s="2485"/>
      <c r="AN90" s="2485"/>
      <c r="AO90" s="2485"/>
      <c r="AP90" s="1872"/>
      <c r="AQ90" s="2485"/>
      <c r="AR90" s="2485"/>
      <c r="AS90" s="2485"/>
      <c r="AT90" s="2485"/>
      <c r="AU90" s="1872"/>
      <c r="AV90" s="2485"/>
      <c r="AW90" s="2485"/>
      <c r="AX90" s="2485"/>
      <c r="AY90" s="2485"/>
      <c r="AZ90" s="1872"/>
      <c r="BA90" s="2485"/>
      <c r="BB90" s="2485"/>
      <c r="BC90" s="2485"/>
      <c r="BD90" s="2485"/>
      <c r="BE90" s="1872"/>
      <c r="BF90" s="2485"/>
      <c r="BG90" s="2485"/>
      <c r="BH90" s="2485"/>
      <c r="BI90" s="2485"/>
      <c r="BJ90" s="1872"/>
      <c r="BK90" s="2485"/>
      <c r="BL90" s="2485"/>
      <c r="BM90" s="2485"/>
      <c r="BN90" s="2485"/>
      <c r="BO90" s="1872"/>
      <c r="BP90" s="2485"/>
      <c r="BQ90" s="2485"/>
      <c r="BR90" s="2485"/>
      <c r="BS90" s="2485"/>
      <c r="BT90" s="1872"/>
      <c r="BU90" s="1621"/>
      <c r="BV90" s="1621"/>
      <c r="BW90" s="1621">
        <f>(I89+N89+T89+Y89+AD89+AI89+AN89+AS89+AX89+BC89+BH89+BM89+BR89)-BW89</f>
        <v>0</v>
      </c>
      <c r="BX90" s="2485"/>
      <c r="BY90" s="2485"/>
    </row>
    <row r="91" spans="1:77" s="1411" customFormat="1" x14ac:dyDescent="0.25">
      <c r="A91" s="1417"/>
      <c r="B91" s="1417"/>
      <c r="C91" s="1537"/>
      <c r="D91" s="1537"/>
      <c r="E91" s="1537"/>
      <c r="F91" s="1968"/>
      <c r="G91" s="1968"/>
      <c r="H91" s="1968"/>
      <c r="I91" s="1968"/>
      <c r="J91" s="1968"/>
      <c r="K91" s="1968"/>
      <c r="L91" s="1601"/>
      <c r="M91" s="1601"/>
      <c r="N91" s="1601"/>
      <c r="O91" s="1601"/>
      <c r="P91" s="1979"/>
      <c r="Q91" s="1968"/>
      <c r="R91" s="1607"/>
      <c r="S91" s="1607"/>
      <c r="T91" s="1607"/>
      <c r="U91" s="1607"/>
      <c r="V91" s="1607"/>
      <c r="W91" s="1601" t="s">
        <v>1595</v>
      </c>
      <c r="X91" s="1601"/>
      <c r="Y91" s="1601"/>
      <c r="Z91" s="2485"/>
      <c r="AA91" s="1872"/>
      <c r="AB91" s="1601" t="s">
        <v>1618</v>
      </c>
      <c r="AC91" s="1601"/>
      <c r="AD91" s="1601"/>
      <c r="AE91" s="2485"/>
      <c r="AF91" s="1872"/>
      <c r="AG91" s="1601"/>
      <c r="AH91" s="1601"/>
      <c r="AI91" s="1601"/>
      <c r="AJ91" s="2485"/>
      <c r="AK91" s="1872"/>
      <c r="AL91" s="1601"/>
      <c r="AM91" s="1601"/>
      <c r="AN91" s="1601"/>
      <c r="AO91" s="2485"/>
      <c r="AP91" s="1872"/>
      <c r="AQ91" s="2485"/>
      <c r="AR91" s="1601"/>
      <c r="AS91" s="1601"/>
      <c r="AT91" s="1601"/>
      <c r="AU91" s="1872"/>
      <c r="AV91" s="2485"/>
      <c r="AW91" s="1601"/>
      <c r="AX91" s="1601"/>
      <c r="AY91" s="1601"/>
      <c r="AZ91" s="1872"/>
      <c r="BA91" s="2485"/>
      <c r="BB91" s="1601"/>
      <c r="BC91" s="1601"/>
      <c r="BD91" s="1601"/>
      <c r="BE91" s="1872"/>
      <c r="BF91" s="2485"/>
      <c r="BG91" s="1601"/>
      <c r="BH91" s="1601"/>
      <c r="BI91" s="1601"/>
      <c r="BJ91" s="1872"/>
      <c r="BK91" s="2485"/>
      <c r="BL91" s="1601"/>
      <c r="BM91" s="1601"/>
      <c r="BN91" s="1601"/>
      <c r="BO91" s="1872"/>
      <c r="BP91" s="2485"/>
      <c r="BQ91" s="1601"/>
      <c r="BR91" s="1601"/>
      <c r="BS91" s="1601"/>
      <c r="BT91" s="1872"/>
      <c r="BU91" s="1968"/>
      <c r="BV91" s="1621"/>
      <c r="BW91" s="1968"/>
      <c r="BX91" s="1968"/>
      <c r="BY91" s="1968"/>
    </row>
    <row r="92" spans="1:77" x14ac:dyDescent="0.25">
      <c r="C92" s="1968"/>
      <c r="D92" s="1968"/>
      <c r="L92" s="1979"/>
      <c r="M92" s="1979"/>
      <c r="N92" s="1979"/>
      <c r="O92" s="1979"/>
      <c r="P92" s="1979"/>
      <c r="R92" s="1607"/>
      <c r="S92" s="1607"/>
      <c r="T92" s="1607"/>
      <c r="U92" s="1607"/>
      <c r="V92" s="1607"/>
      <c r="W92" s="1979" t="s">
        <v>1596</v>
      </c>
      <c r="X92" s="1979">
        <f>13786.37*1.2</f>
        <v>16543.644</v>
      </c>
      <c r="Y92" s="1979"/>
      <c r="Z92" s="1621"/>
      <c r="AA92" s="1621"/>
      <c r="AB92" s="1979" t="s">
        <v>1596</v>
      </c>
      <c r="AC92" s="1979">
        <f>13786.37*1.2</f>
        <v>16543.644</v>
      </c>
      <c r="AD92" s="1979"/>
      <c r="AE92" s="1621"/>
      <c r="AF92" s="1621"/>
      <c r="AG92" s="1979"/>
      <c r="AH92" s="1979"/>
      <c r="AI92" s="1979"/>
      <c r="AJ92" s="1621"/>
      <c r="AK92" s="1621"/>
      <c r="AL92" s="1979"/>
      <c r="AM92" s="1979"/>
      <c r="AN92" s="1979"/>
      <c r="AO92" s="1621"/>
      <c r="AP92" s="1621"/>
      <c r="AQ92" s="1355"/>
      <c r="AR92" s="1230"/>
      <c r="AS92" s="1230"/>
      <c r="AT92" s="1230"/>
      <c r="AU92" s="1355"/>
      <c r="AV92" s="1355"/>
      <c r="AW92" s="1230"/>
      <c r="AX92" s="1230"/>
      <c r="AY92" s="1230"/>
      <c r="AZ92" s="1355"/>
      <c r="BA92" s="1355"/>
      <c r="BB92" s="1230"/>
      <c r="BC92" s="1230"/>
      <c r="BD92" s="1230"/>
      <c r="BE92" s="1355"/>
      <c r="BF92" s="2485"/>
      <c r="BG92" s="1230"/>
      <c r="BH92" s="1230"/>
      <c r="BI92" s="1230"/>
      <c r="BJ92" s="1355"/>
      <c r="BK92" s="2485"/>
      <c r="BL92" s="1230"/>
      <c r="BM92" s="1230"/>
      <c r="BN92" s="1230"/>
      <c r="BO92" s="1355"/>
      <c r="BP92" s="2485"/>
      <c r="BQ92" s="1230"/>
      <c r="BR92" s="1230"/>
      <c r="BS92" s="1230"/>
      <c r="BT92" s="1355"/>
      <c r="BV92" s="1968" t="s">
        <v>1666</v>
      </c>
      <c r="BW92" s="1968">
        <v>550965.06789999735</v>
      </c>
    </row>
    <row r="93" spans="1:77" s="1411" customFormat="1" x14ac:dyDescent="0.25">
      <c r="A93" s="1417"/>
      <c r="B93" s="1670"/>
      <c r="C93" s="1968"/>
      <c r="D93" s="1968"/>
      <c r="E93" s="1968"/>
      <c r="F93" s="1968"/>
      <c r="G93" s="1968"/>
      <c r="H93" s="1968"/>
      <c r="I93" s="1968"/>
      <c r="J93" s="1968"/>
      <c r="K93" s="1968"/>
      <c r="L93" s="1979"/>
      <c r="M93" s="1979"/>
      <c r="N93" s="1979"/>
      <c r="O93" s="1979"/>
      <c r="P93" s="1979"/>
      <c r="Q93" s="1968"/>
      <c r="R93" s="1607"/>
      <c r="S93" s="1607"/>
      <c r="T93" s="687"/>
      <c r="U93" s="1607"/>
      <c r="V93" s="1607"/>
      <c r="W93" s="1979" t="s">
        <v>1597</v>
      </c>
      <c r="X93" s="1979">
        <f>3886.27*1.2</f>
        <v>4663.5239999999994</v>
      </c>
      <c r="Y93" s="1979"/>
      <c r="Z93" s="1621"/>
      <c r="AA93" s="1621"/>
      <c r="AB93" s="1979"/>
      <c r="AC93" s="1979"/>
      <c r="AD93" s="1979"/>
      <c r="AE93" s="1621"/>
      <c r="AF93" s="1621"/>
      <c r="AG93" s="1979"/>
      <c r="AH93" s="1979"/>
      <c r="AI93" s="1979"/>
      <c r="AJ93" s="1621"/>
      <c r="AK93" s="1621"/>
      <c r="AL93" s="1979"/>
      <c r="AM93" s="1979"/>
      <c r="AN93" s="1979"/>
      <c r="AO93" s="1621"/>
      <c r="AP93" s="1621"/>
      <c r="AQ93" s="1046"/>
      <c r="AR93" s="1230"/>
      <c r="AS93" s="1230"/>
      <c r="AT93" s="1230"/>
      <c r="AU93" s="1046"/>
      <c r="AV93" s="1046"/>
      <c r="AW93" s="1230"/>
      <c r="AX93" s="1230"/>
      <c r="AY93" s="1230"/>
      <c r="AZ93" s="1046"/>
      <c r="BA93" s="1046"/>
      <c r="BB93" s="1230"/>
      <c r="BC93" s="1230"/>
      <c r="BD93" s="1230"/>
      <c r="BE93" s="1046"/>
      <c r="BF93" s="2485"/>
      <c r="BG93" s="1230"/>
      <c r="BH93" s="1230"/>
      <c r="BI93" s="1230"/>
      <c r="BJ93" s="1046"/>
      <c r="BK93" s="2485"/>
      <c r="BL93" s="1230"/>
      <c r="BM93" s="1230"/>
      <c r="BN93" s="1230"/>
      <c r="BO93" s="1046"/>
      <c r="BP93" s="2485"/>
      <c r="BQ93" s="1230"/>
      <c r="BR93" s="1230"/>
      <c r="BS93" s="1230"/>
      <c r="BT93" s="1046"/>
      <c r="BU93" s="1968"/>
      <c r="BV93" s="1968" t="s">
        <v>1665</v>
      </c>
      <c r="BW93" s="1968">
        <f>BW92-BW84</f>
        <v>-430534.3029171403</v>
      </c>
    </row>
    <row r="94" spans="1:77" s="1411" customFormat="1" x14ac:dyDescent="0.25">
      <c r="A94" s="1417"/>
      <c r="B94" s="1670"/>
      <c r="C94" s="1968"/>
      <c r="D94" s="1968"/>
      <c r="E94" s="1968"/>
      <c r="F94" s="1968"/>
      <c r="G94" s="1968"/>
      <c r="H94" s="1968"/>
      <c r="I94" s="1968"/>
      <c r="J94" s="1968"/>
      <c r="K94" s="1968"/>
      <c r="L94" s="2127"/>
      <c r="M94" s="2127"/>
      <c r="N94" s="1979"/>
      <c r="O94" s="1979"/>
      <c r="P94" s="1979"/>
      <c r="Q94" s="1968"/>
      <c r="R94" s="1607"/>
      <c r="S94" s="1607"/>
      <c r="T94" s="1607"/>
      <c r="U94" s="1607"/>
      <c r="V94" s="1607"/>
      <c r="W94" s="2127" t="s">
        <v>1598</v>
      </c>
      <c r="X94" s="2127">
        <f>SUM(X92:X93)</f>
        <v>21207.167999999998</v>
      </c>
      <c r="Y94" s="1979"/>
      <c r="Z94" s="1979"/>
      <c r="AA94" s="1979"/>
      <c r="AB94" s="2127" t="s">
        <v>1598</v>
      </c>
      <c r="AC94" s="2127">
        <f>SUM(AC92:AC93)</f>
        <v>16543.644</v>
      </c>
      <c r="AD94" s="1979"/>
      <c r="AE94" s="1979"/>
      <c r="AF94" s="1979"/>
      <c r="AG94" s="2127"/>
      <c r="AH94" s="2127"/>
      <c r="AI94" s="1979"/>
      <c r="AJ94" s="1979"/>
      <c r="AK94" s="1979"/>
      <c r="AL94" s="2127"/>
      <c r="AM94" s="2127"/>
      <c r="AN94" s="1979"/>
      <c r="AO94" s="1621"/>
      <c r="AP94" s="1979"/>
      <c r="AQ94" s="1979"/>
      <c r="AR94" s="1979"/>
      <c r="AS94" s="1979"/>
      <c r="AT94" s="1979"/>
      <c r="AU94" s="1979"/>
      <c r="AV94" s="1979"/>
      <c r="AW94" s="1979"/>
      <c r="AX94" s="1979"/>
      <c r="AY94" s="1979"/>
      <c r="AZ94" s="1979"/>
      <c r="BA94" s="1979"/>
      <c r="BB94" s="1979"/>
      <c r="BC94" s="1979"/>
      <c r="BD94" s="1979"/>
      <c r="BE94" s="1979"/>
      <c r="BF94" s="1979"/>
      <c r="BG94" s="1979"/>
      <c r="BH94" s="1979"/>
      <c r="BI94" s="1979"/>
      <c r="BJ94" s="1979"/>
      <c r="BK94" s="1979"/>
      <c r="BL94" s="1979"/>
      <c r="BM94" s="1979"/>
      <c r="BN94" s="1979"/>
      <c r="BO94" s="1979"/>
      <c r="BP94" s="1979"/>
      <c r="BQ94" s="1979"/>
      <c r="BR94" s="1979"/>
      <c r="BS94" s="1979"/>
      <c r="BT94" s="1979"/>
      <c r="BU94" s="1669"/>
      <c r="BV94" s="1233"/>
      <c r="BW94" s="1968"/>
    </row>
    <row r="95" spans="1:77" s="1411" customFormat="1" x14ac:dyDescent="0.25">
      <c r="A95" s="1417"/>
      <c r="B95" s="1670"/>
      <c r="C95" s="1968"/>
      <c r="D95" s="1968"/>
      <c r="E95" s="1968"/>
      <c r="F95" s="1968"/>
      <c r="G95" s="1968"/>
      <c r="H95" s="1968"/>
      <c r="I95" s="1968"/>
      <c r="J95" s="1968"/>
      <c r="K95" s="1968"/>
      <c r="L95" s="1979"/>
      <c r="M95" s="1979"/>
      <c r="N95" s="1979"/>
      <c r="O95" s="1979"/>
      <c r="P95" s="1979"/>
      <c r="Q95" s="1968"/>
      <c r="R95" s="1607"/>
      <c r="S95" s="1607"/>
      <c r="T95" s="1607"/>
      <c r="U95" s="1607"/>
      <c r="V95" s="1607"/>
      <c r="W95" s="1979"/>
      <c r="X95" s="1979"/>
      <c r="Y95" s="1979"/>
      <c r="Z95" s="1979"/>
      <c r="AA95" s="1979"/>
      <c r="AB95" s="1979"/>
      <c r="AC95" s="1979"/>
      <c r="AD95" s="1979"/>
      <c r="AE95" s="1979"/>
      <c r="AF95" s="1979"/>
      <c r="AG95" s="1979"/>
      <c r="AH95" s="1979"/>
      <c r="AI95" s="1979"/>
      <c r="AJ95" s="1979"/>
      <c r="AK95" s="1979"/>
      <c r="AL95" s="1979"/>
      <c r="AM95" s="1979"/>
      <c r="AN95" s="1979"/>
      <c r="AO95" s="1621"/>
      <c r="AP95" s="1979"/>
      <c r="AQ95" s="1979"/>
      <c r="AR95" s="1979"/>
      <c r="AS95" s="1979"/>
      <c r="AT95" s="1979"/>
      <c r="AU95" s="1979"/>
      <c r="AV95" s="1979"/>
      <c r="AW95" s="1979"/>
      <c r="AX95" s="1979"/>
      <c r="AY95" s="1979"/>
      <c r="AZ95" s="1979"/>
      <c r="BA95" s="1979"/>
      <c r="BB95" s="1979"/>
      <c r="BC95" s="1979"/>
      <c r="BD95" s="1979"/>
      <c r="BE95" s="1979"/>
      <c r="BF95" s="1979"/>
      <c r="BG95" s="1979"/>
      <c r="BH95" s="1979"/>
      <c r="BI95" s="1979"/>
      <c r="BJ95" s="1979"/>
      <c r="BK95" s="1979"/>
      <c r="BL95" s="1979"/>
      <c r="BM95" s="1979"/>
      <c r="BN95" s="1979"/>
      <c r="BO95" s="1979"/>
      <c r="BP95" s="1979"/>
      <c r="BQ95" s="1979"/>
      <c r="BR95" s="1979"/>
      <c r="BS95" s="1979"/>
      <c r="BT95" s="1979"/>
      <c r="BU95" s="1968"/>
      <c r="BV95" s="1075" t="s">
        <v>1692</v>
      </c>
      <c r="BW95" s="1968">
        <v>252295.53209999995</v>
      </c>
    </row>
    <row r="96" spans="1:77" s="1411" customFormat="1" x14ac:dyDescent="0.25">
      <c r="A96" s="1417"/>
      <c r="B96" s="1670"/>
      <c r="C96" s="1968"/>
      <c r="D96" s="1968"/>
      <c r="E96" s="1968"/>
      <c r="F96" s="1968"/>
      <c r="G96" s="1968"/>
      <c r="H96" s="1968"/>
      <c r="I96" s="1968"/>
      <c r="J96" s="1968"/>
      <c r="K96" s="1968"/>
      <c r="L96" s="1979"/>
      <c r="M96" s="1979"/>
      <c r="N96" s="1979"/>
      <c r="O96" s="1979"/>
      <c r="P96" s="1979"/>
      <c r="Q96" s="1968"/>
      <c r="R96" s="1607"/>
      <c r="S96" s="1607"/>
      <c r="T96" s="1607"/>
      <c r="U96" s="1607"/>
      <c r="V96" s="1607"/>
      <c r="W96" s="1979"/>
      <c r="X96" s="1979"/>
      <c r="Y96" s="1979"/>
      <c r="Z96" s="1979"/>
      <c r="AA96" s="1979"/>
      <c r="AB96" s="1979"/>
      <c r="AC96" s="1979"/>
      <c r="AD96" s="1979"/>
      <c r="AE96" s="1979"/>
      <c r="AF96" s="1979"/>
      <c r="AG96" s="1979"/>
      <c r="AH96" s="1979"/>
      <c r="AI96" s="1979"/>
      <c r="AJ96" s="1979"/>
      <c r="AK96" s="1979"/>
      <c r="AL96" s="1979"/>
      <c r="AM96" s="1979"/>
      <c r="AN96" s="1979"/>
      <c r="AO96" s="1621"/>
      <c r="AP96" s="1979"/>
      <c r="AQ96" s="1979"/>
      <c r="AR96" s="1979"/>
      <c r="AS96" s="1979"/>
      <c r="AT96" s="1979"/>
      <c r="AU96" s="1979"/>
      <c r="AV96" s="1979"/>
      <c r="AW96" s="1979"/>
      <c r="AX96" s="1979"/>
      <c r="AY96" s="1979"/>
      <c r="AZ96" s="1979"/>
      <c r="BA96" s="1979"/>
      <c r="BB96" s="1979"/>
      <c r="BC96" s="1979"/>
      <c r="BD96" s="1979"/>
      <c r="BE96" s="1979"/>
      <c r="BF96" s="1979"/>
      <c r="BG96" s="1979"/>
      <c r="BH96" s="1979"/>
      <c r="BI96" s="1979"/>
      <c r="BJ96" s="1979"/>
      <c r="BK96" s="1979"/>
      <c r="BL96" s="1979"/>
      <c r="BM96" s="1979"/>
      <c r="BN96" s="1979"/>
      <c r="BO96" s="1979"/>
      <c r="BP96" s="1979"/>
      <c r="BQ96" s="1979"/>
      <c r="BR96" s="1979"/>
      <c r="BS96" s="1979"/>
      <c r="BT96" s="1979"/>
      <c r="BU96" s="1968"/>
      <c r="BV96" s="1075" t="s">
        <v>1693</v>
      </c>
      <c r="BW96" s="1968"/>
    </row>
    <row r="97" spans="1:79" x14ac:dyDescent="0.25">
      <c r="C97" s="1968"/>
      <c r="D97" s="1968"/>
      <c r="L97" s="1979"/>
      <c r="M97" s="1979"/>
      <c r="N97" s="1979"/>
      <c r="O97" s="1979"/>
      <c r="P97" s="1979"/>
      <c r="R97" s="1607"/>
      <c r="S97" s="1607"/>
      <c r="T97" s="1607"/>
      <c r="U97" s="1607"/>
      <c r="V97" s="1607"/>
      <c r="W97" s="1979"/>
      <c r="X97" s="1979"/>
      <c r="Y97" s="1979"/>
      <c r="Z97" s="1979"/>
      <c r="AA97" s="1979"/>
      <c r="AB97" s="1979"/>
      <c r="AC97" s="1979"/>
      <c r="AD97" s="1979"/>
      <c r="AE97" s="1979"/>
      <c r="AF97" s="1979"/>
      <c r="AG97" s="1979"/>
      <c r="AH97" s="1979"/>
      <c r="AI97" s="1979"/>
      <c r="AJ97" s="1979"/>
      <c r="AK97" s="1979"/>
      <c r="AL97" s="1979"/>
      <c r="AM97" s="1979"/>
      <c r="AN97" s="1979"/>
      <c r="AO97" s="1621"/>
      <c r="AP97" s="1979"/>
      <c r="AQ97" s="1979"/>
      <c r="AR97" s="1979"/>
      <c r="AS97" s="1979"/>
      <c r="AT97" s="1979"/>
      <c r="AU97" s="1979"/>
      <c r="AV97" s="1979"/>
      <c r="AW97" s="1979"/>
      <c r="AX97" s="1979"/>
      <c r="AY97" s="1979"/>
      <c r="AZ97" s="1979"/>
      <c r="BA97" s="1979"/>
      <c r="BB97" s="1979"/>
      <c r="BC97" s="1979"/>
      <c r="BD97" s="1979"/>
      <c r="BE97" s="1979"/>
      <c r="BF97" s="1979"/>
      <c r="BG97" s="1979"/>
      <c r="BH97" s="1979"/>
      <c r="BI97" s="1979"/>
      <c r="BJ97" s="1979"/>
      <c r="BK97" s="1979"/>
      <c r="BL97" s="1979"/>
      <c r="BM97" s="1979"/>
      <c r="BN97" s="1979"/>
      <c r="BO97" s="1979"/>
      <c r="BP97" s="1979"/>
      <c r="BQ97" s="1979"/>
      <c r="BR97" s="1979"/>
      <c r="BS97" s="1979"/>
      <c r="BT97" s="1979"/>
      <c r="BV97" s="1075" t="s">
        <v>1696</v>
      </c>
      <c r="BW97" s="1968">
        <f>CA6</f>
        <v>-12342.550000000745</v>
      </c>
      <c r="BY97" s="1411"/>
      <c r="BZ97" s="1411"/>
      <c r="CA97" s="1411"/>
    </row>
    <row r="98" spans="1:79" s="1411" customFormat="1" x14ac:dyDescent="0.25">
      <c r="A98" s="1417"/>
      <c r="B98" s="1417"/>
      <c r="C98" s="1968"/>
      <c r="D98" s="1968"/>
      <c r="E98" s="1968"/>
      <c r="F98" s="1968"/>
      <c r="G98" s="1968"/>
      <c r="H98" s="1968"/>
      <c r="I98" s="1968"/>
      <c r="J98" s="1968"/>
      <c r="K98" s="1968"/>
      <c r="L98" s="1601"/>
      <c r="M98" s="1601"/>
      <c r="N98" s="1979"/>
      <c r="O98" s="1601"/>
      <c r="P98" s="1601"/>
      <c r="Q98" s="1968"/>
      <c r="R98" s="1607"/>
      <c r="S98" s="1607"/>
      <c r="T98" s="1607"/>
      <c r="U98" s="1607"/>
      <c r="V98" s="1607"/>
      <c r="W98" s="1601"/>
      <c r="X98" s="1601"/>
      <c r="Y98" s="1601"/>
      <c r="Z98" s="1968"/>
      <c r="AA98" s="1968"/>
      <c r="AB98" s="1601"/>
      <c r="AC98" s="1601"/>
      <c r="AD98" s="1601"/>
      <c r="AE98" s="1968"/>
      <c r="AF98" s="1968"/>
      <c r="AG98" s="1601"/>
      <c r="AH98" s="1601"/>
      <c r="AI98" s="1979"/>
      <c r="AJ98" s="1968"/>
      <c r="AK98" s="1968"/>
      <c r="AL98" s="1601"/>
      <c r="AM98" s="1601"/>
      <c r="AN98" s="1979"/>
      <c r="AO98" s="1621"/>
      <c r="AP98" s="1968"/>
      <c r="AQ98" s="1968"/>
      <c r="AR98" s="1601"/>
      <c r="AS98" s="1601"/>
      <c r="AT98" s="1601"/>
      <c r="AU98" s="1968"/>
      <c r="AV98" s="1968"/>
      <c r="AW98" s="1601"/>
      <c r="AX98" s="1601"/>
      <c r="AY98" s="1601"/>
      <c r="AZ98" s="1968"/>
      <c r="BA98" s="1968"/>
      <c r="BB98" s="1601"/>
      <c r="BC98" s="1601"/>
      <c r="BD98" s="1601"/>
      <c r="BE98" s="1968"/>
      <c r="BF98" s="1968"/>
      <c r="BG98" s="1601"/>
      <c r="BH98" s="1601"/>
      <c r="BI98" s="1601"/>
      <c r="BJ98" s="1968"/>
      <c r="BK98" s="1968"/>
      <c r="BL98" s="1601"/>
      <c r="BM98" s="1601"/>
      <c r="BN98" s="1601"/>
      <c r="BO98" s="1968"/>
      <c r="BP98" s="1968"/>
      <c r="BQ98" s="1601"/>
      <c r="BR98" s="1601"/>
      <c r="BS98" s="1601"/>
      <c r="BT98" s="1968"/>
      <c r="BU98" s="1968"/>
      <c r="BV98" s="1075" t="s">
        <v>1667</v>
      </c>
      <c r="BW98" s="1968">
        <f>-CA26</f>
        <v>133545.29000000004</v>
      </c>
      <c r="BX98" s="842"/>
    </row>
    <row r="99" spans="1:79" x14ac:dyDescent="0.25">
      <c r="C99" s="1968"/>
      <c r="D99" s="1968"/>
      <c r="L99" s="1601"/>
      <c r="M99" s="1601"/>
      <c r="N99" s="1601"/>
      <c r="O99" s="1601"/>
      <c r="P99" s="1601"/>
      <c r="AO99" s="1621"/>
      <c r="AR99" s="1601"/>
      <c r="AS99" s="1601"/>
      <c r="AT99" s="1601"/>
      <c r="AW99" s="1601"/>
      <c r="AX99" s="1601"/>
      <c r="AY99" s="1601"/>
      <c r="BB99" s="1601"/>
      <c r="BC99" s="1601"/>
      <c r="BD99" s="1601"/>
      <c r="BG99" s="1601"/>
      <c r="BH99" s="1601"/>
      <c r="BI99" s="1601"/>
      <c r="BL99" s="1601"/>
      <c r="BM99" s="1601"/>
      <c r="BN99" s="1601"/>
      <c r="BQ99" s="1601"/>
      <c r="BR99" s="1601"/>
      <c r="BS99" s="1601"/>
      <c r="BV99" s="1075" t="s">
        <v>1694</v>
      </c>
      <c r="BW99" s="1968">
        <f>CA79</f>
        <v>56292.382702864212</v>
      </c>
      <c r="BY99" s="1411"/>
      <c r="BZ99" s="1411"/>
      <c r="CA99" s="1411"/>
    </row>
    <row r="100" spans="1:79" x14ac:dyDescent="0.25">
      <c r="L100" s="1601"/>
      <c r="M100" s="1601"/>
      <c r="N100" s="1601"/>
      <c r="O100" s="1601"/>
      <c r="P100" s="1601"/>
      <c r="AO100" s="1621"/>
      <c r="AR100" s="1601"/>
      <c r="AS100" s="1601"/>
      <c r="AT100" s="1601"/>
      <c r="AW100" s="1601"/>
      <c r="AX100" s="1601"/>
      <c r="AY100" s="1601"/>
      <c r="BB100" s="1601"/>
      <c r="BC100" s="1601"/>
      <c r="BD100" s="1601"/>
      <c r="BG100" s="1601"/>
      <c r="BH100" s="1601"/>
      <c r="BI100" s="1601"/>
      <c r="BL100" s="1601"/>
      <c r="BM100" s="1601"/>
      <c r="BN100" s="1601"/>
      <c r="BQ100" s="1601"/>
      <c r="BR100" s="1601"/>
      <c r="BS100" s="1601"/>
      <c r="BV100" s="1075"/>
      <c r="BY100" s="1411"/>
      <c r="BZ100" s="1411"/>
      <c r="CA100" s="1411"/>
    </row>
    <row r="101" spans="1:79" x14ac:dyDescent="0.25">
      <c r="L101" s="1601"/>
      <c r="M101" s="1601"/>
      <c r="N101" s="1601"/>
      <c r="O101" s="1601"/>
      <c r="P101" s="1601"/>
      <c r="AO101" s="1621"/>
      <c r="AR101" s="1601"/>
      <c r="AS101" s="1601"/>
      <c r="AT101" s="1601"/>
      <c r="AW101" s="1601"/>
      <c r="AX101" s="1601"/>
      <c r="AY101" s="1601"/>
      <c r="BB101" s="1601"/>
      <c r="BC101" s="1601"/>
      <c r="BD101" s="1601"/>
      <c r="BG101" s="1601"/>
      <c r="BH101" s="1601"/>
      <c r="BI101" s="1601"/>
      <c r="BL101" s="1601"/>
      <c r="BM101" s="1601"/>
      <c r="BN101" s="1601"/>
      <c r="BQ101" s="1601"/>
      <c r="BR101" s="1601"/>
      <c r="BS101" s="1601"/>
      <c r="BV101" s="1075"/>
      <c r="BY101" s="1411"/>
      <c r="BZ101" s="1411"/>
      <c r="CA101" s="1411"/>
    </row>
    <row r="102" spans="1:79" x14ac:dyDescent="0.25">
      <c r="L102" s="1601"/>
      <c r="M102" s="1601"/>
      <c r="N102" s="1601"/>
      <c r="O102" s="1601"/>
      <c r="P102" s="1601"/>
      <c r="AO102" s="1621"/>
      <c r="AR102" s="1601"/>
      <c r="AS102" s="1601"/>
      <c r="AT102" s="1601"/>
      <c r="AW102" s="1601"/>
      <c r="AX102" s="1601"/>
      <c r="AY102" s="1601"/>
      <c r="BB102" s="1601"/>
      <c r="BC102" s="1601"/>
      <c r="BD102" s="1601"/>
      <c r="BG102" s="1601"/>
      <c r="BH102" s="1601"/>
      <c r="BI102" s="1601"/>
      <c r="BL102" s="1601"/>
      <c r="BM102" s="1601"/>
      <c r="BN102" s="1601"/>
      <c r="BQ102" s="1601"/>
      <c r="BR102" s="1601"/>
      <c r="BS102" s="1601"/>
      <c r="BY102" s="1411"/>
      <c r="BZ102" s="1411"/>
      <c r="CA102" s="1411"/>
    </row>
    <row r="103" spans="1:79" x14ac:dyDescent="0.25">
      <c r="AR103" s="1601"/>
      <c r="AS103" s="1601"/>
      <c r="AT103" s="1601"/>
      <c r="AW103" s="1601"/>
      <c r="AX103" s="1601"/>
      <c r="AY103" s="1601"/>
      <c r="BB103" s="1601"/>
      <c r="BC103" s="1601"/>
      <c r="BD103" s="1601"/>
      <c r="BG103" s="1601"/>
      <c r="BH103" s="1601"/>
      <c r="BI103" s="1601"/>
      <c r="BL103" s="1601"/>
      <c r="BM103" s="1601"/>
      <c r="BN103" s="1601"/>
      <c r="BQ103" s="1601"/>
      <c r="BR103" s="1601"/>
      <c r="BS103" s="1601"/>
      <c r="BY103" s="1411"/>
      <c r="BZ103" s="1411"/>
      <c r="CA103" s="1411"/>
    </row>
    <row r="104" spans="1:79" x14ac:dyDescent="0.25">
      <c r="AR104" s="1601"/>
      <c r="AS104" s="1601"/>
      <c r="AT104" s="1601"/>
      <c r="AW104" s="1601"/>
      <c r="AX104" s="1601"/>
      <c r="AY104" s="1601"/>
      <c r="BB104" s="1601"/>
      <c r="BC104" s="1601"/>
      <c r="BD104" s="1601"/>
      <c r="BG104" s="1601"/>
      <c r="BH104" s="1601"/>
      <c r="BI104" s="1601"/>
      <c r="BL104" s="1601"/>
      <c r="BM104" s="1601"/>
      <c r="BN104" s="1601"/>
      <c r="BQ104" s="1601"/>
      <c r="BR104" s="1601"/>
      <c r="BS104" s="1601"/>
      <c r="BV104" s="1968" t="s">
        <v>1695</v>
      </c>
      <c r="BW104" s="1968">
        <f>SUM(BW93:BW103)</f>
        <v>-743.64811427684617</v>
      </c>
      <c r="BY104" s="1411"/>
      <c r="BZ104" s="1411"/>
      <c r="CA104" s="1411"/>
    </row>
    <row r="105" spans="1:79" x14ac:dyDescent="0.25">
      <c r="AR105" s="1601"/>
      <c r="AS105" s="1601"/>
      <c r="AT105" s="1601"/>
      <c r="AW105" s="1601"/>
      <c r="AX105" s="1601"/>
      <c r="AY105" s="1601"/>
      <c r="BB105" s="1601"/>
      <c r="BC105" s="1601"/>
      <c r="BD105" s="1601"/>
      <c r="BG105" s="1601"/>
      <c r="BH105" s="1601"/>
      <c r="BI105" s="1601"/>
      <c r="BL105" s="1601"/>
      <c r="BM105" s="1601"/>
      <c r="BN105" s="1601"/>
      <c r="BQ105" s="1601"/>
      <c r="BR105" s="1601"/>
      <c r="BS105" s="1601"/>
      <c r="BY105" s="1411"/>
      <c r="BZ105" s="1411"/>
      <c r="CA105" s="1411"/>
    </row>
    <row r="106" spans="1:79" x14ac:dyDescent="0.25">
      <c r="BY106" s="1411"/>
      <c r="BZ106" s="1411"/>
      <c r="CA106" s="1411"/>
    </row>
    <row r="107" spans="1:79" x14ac:dyDescent="0.25">
      <c r="BY107" s="1411"/>
      <c r="BZ107" s="1411"/>
      <c r="CA107" s="1411"/>
    </row>
    <row r="108" spans="1:79" x14ac:dyDescent="0.25">
      <c r="BY108" s="1411"/>
      <c r="BZ108" s="1411"/>
      <c r="CA108" s="1411"/>
    </row>
    <row r="113" spans="47:57" s="1410" customFormat="1" x14ac:dyDescent="0.25">
      <c r="AU113" s="1968"/>
      <c r="AV113" s="1968"/>
      <c r="AZ113" s="1968"/>
      <c r="BA113" s="1968"/>
      <c r="BE113" s="1968"/>
    </row>
    <row r="114" spans="47:57" s="1410" customFormat="1" x14ac:dyDescent="0.25">
      <c r="AU114" s="1968"/>
      <c r="AV114" s="1968"/>
      <c r="AZ114" s="1968"/>
      <c r="BA114" s="1968"/>
      <c r="BE114" s="1968"/>
    </row>
    <row r="115" spans="47:57" s="1410" customFormat="1" x14ac:dyDescent="0.25">
      <c r="AU115" s="1968"/>
      <c r="AV115" s="1968"/>
      <c r="AZ115" s="1968"/>
      <c r="BA115" s="1968"/>
      <c r="BE115" s="1968"/>
    </row>
    <row r="116" spans="47:57" s="1410" customFormat="1" x14ac:dyDescent="0.25">
      <c r="AU116" s="1968"/>
      <c r="AV116" s="1968"/>
      <c r="AZ116" s="1968"/>
      <c r="BA116" s="1968"/>
      <c r="BE116" s="1968"/>
    </row>
    <row r="117" spans="47:57" s="1410" customFormat="1" x14ac:dyDescent="0.25">
      <c r="AU117" s="1968"/>
      <c r="AV117" s="1968"/>
      <c r="AZ117" s="1968"/>
      <c r="BA117" s="1968"/>
      <c r="BE117" s="1968"/>
    </row>
    <row r="118" spans="47:57" s="1410" customFormat="1" x14ac:dyDescent="0.25">
      <c r="AV118" s="1968"/>
      <c r="BA118" s="1968"/>
    </row>
  </sheetData>
  <mergeCells count="17">
    <mergeCell ref="BU2:BY3"/>
    <mergeCell ref="W2:AA3"/>
    <mergeCell ref="A3:F3"/>
    <mergeCell ref="AB2:AF3"/>
    <mergeCell ref="AG2:AK3"/>
    <mergeCell ref="AL2:AP3"/>
    <mergeCell ref="AQ2:AU3"/>
    <mergeCell ref="AV2:AZ3"/>
    <mergeCell ref="BA2:BE3"/>
    <mergeCell ref="BF2:BJ3"/>
    <mergeCell ref="BK2:BO3"/>
    <mergeCell ref="BP2:BT3"/>
    <mergeCell ref="A42:A48"/>
    <mergeCell ref="A2:F2"/>
    <mergeCell ref="L2:P3"/>
    <mergeCell ref="G2:K3"/>
    <mergeCell ref="R2:V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177D7"/>
  </sheetPr>
  <dimension ref="A1:AC118"/>
  <sheetViews>
    <sheetView zoomScale="85" zoomScaleNormal="85" workbookViewId="0">
      <pane xSplit="6" ySplit="4" topLeftCell="S83" activePane="bottomRight" state="frozen"/>
      <selection pane="topRight" activeCell="G1" sqref="G1"/>
      <selection pane="bottomLeft" activeCell="A5" sqref="A5"/>
      <selection pane="bottomRight" activeCell="X92" sqref="X92"/>
    </sheetView>
  </sheetViews>
  <sheetFormatPr defaultColWidth="7.44140625" defaultRowHeight="13.2" outlineLevelRow="3" outlineLevelCol="1" x14ac:dyDescent="0.25"/>
  <cols>
    <col min="1" max="1" width="4.44140625" style="1417" customWidth="1"/>
    <col min="2" max="2" width="55" style="1417" customWidth="1"/>
    <col min="3" max="3" width="15" style="1474" hidden="1" customWidth="1" outlineLevel="1"/>
    <col min="4" max="4" width="15.6640625" style="1474" hidden="1" customWidth="1" outlineLevel="1"/>
    <col min="5" max="5" width="15" style="1968" hidden="1" customWidth="1" outlineLevel="1"/>
    <col min="6" max="6" width="11" style="1968" hidden="1" customWidth="1" outlineLevel="1"/>
    <col min="7" max="7" width="16.6640625" style="1968" hidden="1" customWidth="1" outlineLevel="1" collapsed="1"/>
    <col min="8" max="10" width="16.6640625" style="1968" hidden="1" customWidth="1" outlineLevel="1"/>
    <col min="11" max="11" width="17.88671875" style="1968" hidden="1" customWidth="1" outlineLevel="1"/>
    <col min="12" max="12" width="16.6640625" style="1968" hidden="1" customWidth="1" outlineLevel="1" collapsed="1"/>
    <col min="13" max="15" width="16.6640625" style="1968" hidden="1" customWidth="1" outlineLevel="1"/>
    <col min="16" max="16" width="17.88671875" style="1968" hidden="1" customWidth="1" outlineLevel="1"/>
    <col min="17" max="17" width="16.6640625" style="1968" customWidth="1" collapsed="1"/>
    <col min="18" max="20" width="16.6640625" style="1968" customWidth="1"/>
    <col min="21" max="21" width="17.88671875" style="1968" customWidth="1"/>
    <col min="22" max="26" width="16.6640625" style="1968" customWidth="1"/>
    <col min="27" max="27" width="15.6640625" style="1410" bestFit="1" customWidth="1"/>
    <col min="28" max="28" width="16.6640625" style="1410" bestFit="1" customWidth="1"/>
    <col min="29" max="16384" width="7.44140625" style="1410"/>
  </cols>
  <sheetData>
    <row r="1" spans="1:28" ht="13.8" thickBot="1" x14ac:dyDescent="0.3">
      <c r="C1" s="1968"/>
      <c r="D1" s="1968"/>
      <c r="AA1" s="928"/>
    </row>
    <row r="2" spans="1:28" ht="22.2" customHeight="1" thickBot="1" x14ac:dyDescent="0.3">
      <c r="A2" s="4016" t="s">
        <v>2079</v>
      </c>
      <c r="B2" s="4017"/>
      <c r="C2" s="4017"/>
      <c r="D2" s="4017"/>
      <c r="E2" s="4017"/>
      <c r="F2" s="4018"/>
      <c r="G2" s="4071" t="s">
        <v>2052</v>
      </c>
      <c r="H2" s="4072"/>
      <c r="I2" s="4072"/>
      <c r="J2" s="4072"/>
      <c r="K2" s="4073"/>
      <c r="L2" s="4101">
        <v>45231</v>
      </c>
      <c r="M2" s="4102"/>
      <c r="N2" s="4102"/>
      <c r="O2" s="4102"/>
      <c r="P2" s="4103"/>
      <c r="Q2" s="4119" t="s">
        <v>2097</v>
      </c>
      <c r="R2" s="4120"/>
      <c r="S2" s="4120"/>
      <c r="T2" s="4120"/>
      <c r="U2" s="4121"/>
      <c r="V2" s="4089" t="s">
        <v>469</v>
      </c>
      <c r="W2" s="4090"/>
      <c r="X2" s="4090"/>
      <c r="Y2" s="4090"/>
      <c r="Z2" s="4091"/>
      <c r="AA2" s="928"/>
    </row>
    <row r="3" spans="1:28" ht="14.4" customHeight="1" thickBot="1" x14ac:dyDescent="0.3">
      <c r="A3" s="4016" t="s">
        <v>54</v>
      </c>
      <c r="B3" s="4017"/>
      <c r="C3" s="4017"/>
      <c r="D3" s="4017"/>
      <c r="E3" s="4017"/>
      <c r="F3" s="4018"/>
      <c r="G3" s="4074"/>
      <c r="H3" s="4075"/>
      <c r="I3" s="4075"/>
      <c r="J3" s="4075"/>
      <c r="K3" s="4076"/>
      <c r="L3" s="4104"/>
      <c r="M3" s="4105"/>
      <c r="N3" s="4105"/>
      <c r="O3" s="4105"/>
      <c r="P3" s="4106"/>
      <c r="Q3" s="4122"/>
      <c r="R3" s="4123"/>
      <c r="S3" s="4123"/>
      <c r="T3" s="4123"/>
      <c r="U3" s="4124"/>
      <c r="V3" s="4092"/>
      <c r="W3" s="4093"/>
      <c r="X3" s="4093"/>
      <c r="Y3" s="4093"/>
      <c r="Z3" s="4094"/>
      <c r="AA3" s="928"/>
    </row>
    <row r="4" spans="1:28" ht="31.2" thickBot="1" x14ac:dyDescent="0.3">
      <c r="A4" s="1486"/>
      <c r="B4" s="1489" t="s">
        <v>11</v>
      </c>
      <c r="C4" s="1588" t="s">
        <v>55</v>
      </c>
      <c r="D4" s="1588" t="s">
        <v>18</v>
      </c>
      <c r="E4" s="1589" t="s">
        <v>39</v>
      </c>
      <c r="F4" s="1978" t="s">
        <v>40</v>
      </c>
      <c r="G4" s="1972" t="s">
        <v>55</v>
      </c>
      <c r="H4" s="1972" t="s">
        <v>18</v>
      </c>
      <c r="I4" s="1489" t="s">
        <v>39</v>
      </c>
      <c r="J4" s="1978" t="s">
        <v>40</v>
      </c>
      <c r="K4" s="1489" t="s">
        <v>19</v>
      </c>
      <c r="L4" s="1972" t="s">
        <v>55</v>
      </c>
      <c r="M4" s="1972" t="s">
        <v>18</v>
      </c>
      <c r="N4" s="1489" t="s">
        <v>39</v>
      </c>
      <c r="O4" s="1978" t="s">
        <v>40</v>
      </c>
      <c r="P4" s="1489" t="s">
        <v>19</v>
      </c>
      <c r="Q4" s="1972" t="s">
        <v>55</v>
      </c>
      <c r="R4" s="1972" t="s">
        <v>18</v>
      </c>
      <c r="S4" s="1489" t="s">
        <v>39</v>
      </c>
      <c r="T4" s="1978" t="s">
        <v>40</v>
      </c>
      <c r="U4" s="1489" t="s">
        <v>19</v>
      </c>
      <c r="V4" s="1972" t="s">
        <v>55</v>
      </c>
      <c r="W4" s="1972" t="s">
        <v>18</v>
      </c>
      <c r="X4" s="1489" t="s">
        <v>39</v>
      </c>
      <c r="Y4" s="1978" t="s">
        <v>40</v>
      </c>
      <c r="Z4" s="1489" t="s">
        <v>19</v>
      </c>
      <c r="AA4" s="928"/>
    </row>
    <row r="5" spans="1:28" s="2483" customFormat="1" ht="24.6" customHeight="1" thickBot="1" x14ac:dyDescent="0.3">
      <c r="A5" s="1477"/>
      <c r="B5" s="977" t="s">
        <v>10</v>
      </c>
      <c r="C5" s="1479">
        <f>C6</f>
        <v>0</v>
      </c>
      <c r="D5" s="1479">
        <f>D6</f>
        <v>0</v>
      </c>
      <c r="E5" s="1971">
        <f>E6</f>
        <v>0</v>
      </c>
      <c r="F5" s="1481"/>
      <c r="G5" s="1971">
        <f>SUM(G6:G7)</f>
        <v>122000</v>
      </c>
      <c r="H5" s="1971">
        <f>SUM(H6:H7)</f>
        <v>0</v>
      </c>
      <c r="I5" s="1971">
        <f>SUM(I6:I7)</f>
        <v>122000</v>
      </c>
      <c r="J5" s="1481"/>
      <c r="K5" s="1481"/>
      <c r="L5" s="1971">
        <f>SUM(L6:L7)</f>
        <v>0</v>
      </c>
      <c r="M5" s="1971">
        <f>SUM(M6:M7)</f>
        <v>0</v>
      </c>
      <c r="N5" s="1971">
        <f>SUM(N6:N7)</f>
        <v>0</v>
      </c>
      <c r="O5" s="1481"/>
      <c r="P5" s="1481"/>
      <c r="Q5" s="1971">
        <f>SUM(Q6:Q7)</f>
        <v>0</v>
      </c>
      <c r="R5" s="1971">
        <f>SUM(R6:R7)</f>
        <v>0</v>
      </c>
      <c r="S5" s="1971">
        <f>SUM(S6:S7)</f>
        <v>0</v>
      </c>
      <c r="T5" s="1481"/>
      <c r="U5" s="1481"/>
      <c r="V5" s="1481">
        <f>V6+V7</f>
        <v>122000</v>
      </c>
      <c r="W5" s="1481">
        <f>W6+W7</f>
        <v>0</v>
      </c>
      <c r="X5" s="1481">
        <f>X6+X7</f>
        <v>122000</v>
      </c>
      <c r="Y5" s="1481"/>
      <c r="Z5" s="1481"/>
      <c r="AA5" s="929">
        <v>122000</v>
      </c>
      <c r="AB5" s="929">
        <f>X5-AA5</f>
        <v>0</v>
      </c>
    </row>
    <row r="6" spans="1:28" s="1411" customFormat="1" ht="24.6" customHeight="1" outlineLevel="1" x14ac:dyDescent="0.25">
      <c r="A6" s="1587"/>
      <c r="B6" s="1439" t="s">
        <v>17</v>
      </c>
      <c r="C6" s="1990"/>
      <c r="D6" s="2027"/>
      <c r="E6" s="2028">
        <f>C6+D6</f>
        <v>0</v>
      </c>
      <c r="F6" s="2059"/>
      <c r="G6" s="2067">
        <v>122000</v>
      </c>
      <c r="H6" s="2059"/>
      <c r="I6" s="2028">
        <f>G6+H6</f>
        <v>122000</v>
      </c>
      <c r="J6" s="2059"/>
      <c r="K6" s="2062" t="s">
        <v>2080</v>
      </c>
      <c r="L6" s="2067"/>
      <c r="M6" s="2059"/>
      <c r="N6" s="2028">
        <f>L6+M6</f>
        <v>0</v>
      </c>
      <c r="O6" s="2059"/>
      <c r="P6" s="2062"/>
      <c r="Q6" s="2067"/>
      <c r="R6" s="2059"/>
      <c r="S6" s="2028">
        <f>Q6+R6</f>
        <v>0</v>
      </c>
      <c r="T6" s="2059"/>
      <c r="U6" s="2059"/>
      <c r="V6" s="2059">
        <f>G6+L6+Q6</f>
        <v>122000</v>
      </c>
      <c r="W6" s="2059">
        <f>H6+M6+R6</f>
        <v>0</v>
      </c>
      <c r="X6" s="2028">
        <f>V6+W6</f>
        <v>122000</v>
      </c>
      <c r="Y6" s="2059"/>
      <c r="Z6" s="2059"/>
      <c r="AA6" s="3167"/>
      <c r="AB6" s="3168"/>
    </row>
    <row r="7" spans="1:28" s="1411" customFormat="1" ht="24.6" customHeight="1" outlineLevel="1" collapsed="1" thickBot="1" x14ac:dyDescent="0.3">
      <c r="A7" s="1587"/>
      <c r="B7" s="2606" t="s">
        <v>41</v>
      </c>
      <c r="C7" s="2495"/>
      <c r="D7" s="2496"/>
      <c r="E7" s="2028">
        <f>C7+D7</f>
        <v>0</v>
      </c>
      <c r="F7" s="1921"/>
      <c r="G7" s="2067"/>
      <c r="H7" s="2059"/>
      <c r="I7" s="2028">
        <f>G7+H7</f>
        <v>0</v>
      </c>
      <c r="J7" s="1921"/>
      <c r="K7" s="2071"/>
      <c r="L7" s="2067"/>
      <c r="M7" s="2059"/>
      <c r="N7" s="2028">
        <f>L7+M7</f>
        <v>0</v>
      </c>
      <c r="O7" s="1921"/>
      <c r="P7" s="2071"/>
      <c r="Q7" s="2067"/>
      <c r="R7" s="2059"/>
      <c r="S7" s="2028">
        <f>Q7+R7</f>
        <v>0</v>
      </c>
      <c r="T7" s="1921"/>
      <c r="U7" s="2071"/>
      <c r="V7" s="2059">
        <f>G7+L7+Q7</f>
        <v>0</v>
      </c>
      <c r="W7" s="2059">
        <f>H7+M7+R7</f>
        <v>0</v>
      </c>
      <c r="X7" s="2028">
        <f>V7+W7</f>
        <v>0</v>
      </c>
      <c r="Y7" s="1921"/>
      <c r="Z7" s="1921"/>
      <c r="AA7" s="842"/>
    </row>
    <row r="8" spans="1:28" s="2483" customFormat="1" ht="24.6" customHeight="1" thickBot="1" x14ac:dyDescent="0.3">
      <c r="A8" s="1587"/>
      <c r="B8" s="977" t="s">
        <v>16</v>
      </c>
      <c r="C8" s="1973">
        <f>SUM(C9:C33)</f>
        <v>0</v>
      </c>
      <c r="D8" s="1973">
        <f>SUM(D9:D33)</f>
        <v>0</v>
      </c>
      <c r="E8" s="1499">
        <f>SUM(E9:E33)</f>
        <v>0</v>
      </c>
      <c r="F8" s="1543" t="e">
        <f t="shared" ref="F8:F33" si="0">E8/$E$89</f>
        <v>#DIV/0!</v>
      </c>
      <c r="G8" s="1973">
        <f>SUM(G9:G33)</f>
        <v>54672</v>
      </c>
      <c r="H8" s="1973">
        <f>SUM(H9:H33)</f>
        <v>0</v>
      </c>
      <c r="I8" s="1499">
        <f>SUM(I9:I33)</f>
        <v>54672</v>
      </c>
      <c r="J8" s="1543">
        <f>I8/I$89</f>
        <v>1</v>
      </c>
      <c r="K8" s="1615"/>
      <c r="L8" s="1973">
        <f>SUM(L9:L33)</f>
        <v>0</v>
      </c>
      <c r="M8" s="1973">
        <f>SUM(M9:M33)</f>
        <v>0</v>
      </c>
      <c r="N8" s="1499">
        <f>SUM(N9:N33)</f>
        <v>0</v>
      </c>
      <c r="O8" s="1543" t="e">
        <f>N8/N$89</f>
        <v>#DIV/0!</v>
      </c>
      <c r="P8" s="1615"/>
      <c r="Q8" s="1973">
        <f>SUM(Q9:Q33)</f>
        <v>0</v>
      </c>
      <c r="R8" s="1973">
        <f>SUM(R9:R33)</f>
        <v>0</v>
      </c>
      <c r="S8" s="1499">
        <f>SUM(S9:S33)</f>
        <v>0</v>
      </c>
      <c r="T8" s="1543" t="e">
        <f>S8/S$89</f>
        <v>#DIV/0!</v>
      </c>
      <c r="U8" s="1615"/>
      <c r="V8" s="1973">
        <f>SUM(V9:V33)</f>
        <v>54672</v>
      </c>
      <c r="W8" s="1973">
        <f>SUM(W9:W33)</f>
        <v>0</v>
      </c>
      <c r="X8" s="1499">
        <f>SUM(X9:X33)</f>
        <v>54672</v>
      </c>
      <c r="Y8" s="1543">
        <f>X8/$X$89</f>
        <v>1</v>
      </c>
      <c r="Z8" s="1481"/>
      <c r="AA8" s="929"/>
    </row>
    <row r="9" spans="1:28" s="1411" customFormat="1" ht="24.6" customHeight="1" x14ac:dyDescent="0.25">
      <c r="A9" s="1587"/>
      <c r="B9" s="1439" t="s">
        <v>74</v>
      </c>
      <c r="C9" s="1500"/>
      <c r="D9" s="1501"/>
      <c r="E9" s="2591">
        <f t="shared" ref="E9:E33" si="1">C9+D9</f>
        <v>0</v>
      </c>
      <c r="F9" s="1992" t="e">
        <f t="shared" si="0"/>
        <v>#DIV/0!</v>
      </c>
      <c r="G9" s="1710"/>
      <c r="H9" s="2484"/>
      <c r="I9" s="1576">
        <f>G9+H9*1</f>
        <v>0</v>
      </c>
      <c r="J9" s="1574">
        <f t="shared" ref="J9:J33" si="2">I9/I$89</f>
        <v>0</v>
      </c>
      <c r="K9" s="1595"/>
      <c r="L9" s="1710"/>
      <c r="M9" s="2484"/>
      <c r="N9" s="1576">
        <f>L9+M9*1</f>
        <v>0</v>
      </c>
      <c r="O9" s="1574" t="e">
        <f t="shared" ref="O9:O33" si="3">N9/N$89</f>
        <v>#DIV/0!</v>
      </c>
      <c r="P9" s="1595"/>
      <c r="Q9" s="1710"/>
      <c r="R9" s="2484"/>
      <c r="S9" s="1576">
        <f>Q9+R9*1</f>
        <v>0</v>
      </c>
      <c r="T9" s="1574" t="e">
        <f t="shared" ref="T9:T33" si="4">S9/S$89</f>
        <v>#DIV/0!</v>
      </c>
      <c r="U9" s="1595"/>
      <c r="V9" s="2059">
        <f t="shared" ref="V9:V33" si="5">G9+L9+Q9</f>
        <v>0</v>
      </c>
      <c r="W9" s="2059">
        <f t="shared" ref="W9:W33" si="6">H9+M9+R9</f>
        <v>0</v>
      </c>
      <c r="X9" s="2061">
        <f t="shared" ref="X9:X33" si="7">V9+W9*1</f>
        <v>0</v>
      </c>
      <c r="Y9" s="2155">
        <f t="shared" ref="Y9:Y33" si="8">X9/$X$89</f>
        <v>0</v>
      </c>
      <c r="Z9" s="1449"/>
      <c r="AA9" s="3167"/>
      <c r="AB9" s="3168"/>
    </row>
    <row r="10" spans="1:28" s="1411" customFormat="1" ht="24.6" customHeight="1" x14ac:dyDescent="0.25">
      <c r="A10" s="1587"/>
      <c r="B10" s="1439" t="s">
        <v>72</v>
      </c>
      <c r="C10" s="1500"/>
      <c r="D10" s="1501"/>
      <c r="E10" s="2591">
        <f t="shared" si="1"/>
        <v>0</v>
      </c>
      <c r="F10" s="1992" t="e">
        <f t="shared" si="0"/>
        <v>#DIV/0!</v>
      </c>
      <c r="G10" s="2067"/>
      <c r="H10" s="2059"/>
      <c r="I10" s="2061">
        <f t="shared" ref="I10:I33" si="9">G10+H10*1</f>
        <v>0</v>
      </c>
      <c r="J10" s="2155">
        <f t="shared" si="2"/>
        <v>0</v>
      </c>
      <c r="K10" s="1630"/>
      <c r="L10" s="2067"/>
      <c r="M10" s="2059"/>
      <c r="N10" s="2061">
        <f t="shared" ref="N10:N33" si="10">L10+M10*1</f>
        <v>0</v>
      </c>
      <c r="O10" s="2155" t="e">
        <f t="shared" si="3"/>
        <v>#DIV/0!</v>
      </c>
      <c r="P10" s="1630"/>
      <c r="Q10" s="2067"/>
      <c r="R10" s="2059"/>
      <c r="S10" s="2061">
        <f t="shared" ref="S10:S33" si="11">Q10+R10*1</f>
        <v>0</v>
      </c>
      <c r="T10" s="2155" t="e">
        <f t="shared" si="4"/>
        <v>#DIV/0!</v>
      </c>
      <c r="U10" s="1630"/>
      <c r="V10" s="2059">
        <f t="shared" si="5"/>
        <v>0</v>
      </c>
      <c r="W10" s="2059">
        <f t="shared" si="6"/>
        <v>0</v>
      </c>
      <c r="X10" s="2061">
        <f t="shared" si="7"/>
        <v>0</v>
      </c>
      <c r="Y10" s="2155">
        <f t="shared" si="8"/>
        <v>0</v>
      </c>
      <c r="Z10" s="1449"/>
      <c r="AA10" s="3167"/>
      <c r="AB10" s="3168"/>
    </row>
    <row r="11" spans="1:28" s="1411" customFormat="1" ht="24.6" customHeight="1" x14ac:dyDescent="0.25">
      <c r="A11" s="1587"/>
      <c r="B11" s="1439" t="s">
        <v>69</v>
      </c>
      <c r="C11" s="1500"/>
      <c r="D11" s="1501"/>
      <c r="E11" s="2591">
        <f t="shared" si="1"/>
        <v>0</v>
      </c>
      <c r="F11" s="1992" t="e">
        <f t="shared" si="0"/>
        <v>#DIV/0!</v>
      </c>
      <c r="G11" s="2067"/>
      <c r="H11" s="2059"/>
      <c r="I11" s="2061">
        <f t="shared" si="9"/>
        <v>0</v>
      </c>
      <c r="J11" s="2155">
        <f t="shared" si="2"/>
        <v>0</v>
      </c>
      <c r="K11" s="1630"/>
      <c r="L11" s="2067"/>
      <c r="M11" s="2059"/>
      <c r="N11" s="2061">
        <f t="shared" si="10"/>
        <v>0</v>
      </c>
      <c r="O11" s="2155" t="e">
        <f t="shared" si="3"/>
        <v>#DIV/0!</v>
      </c>
      <c r="P11" s="1630"/>
      <c r="Q11" s="2067"/>
      <c r="R11" s="2059"/>
      <c r="S11" s="2061">
        <f t="shared" si="11"/>
        <v>0</v>
      </c>
      <c r="T11" s="2155" t="e">
        <f t="shared" si="4"/>
        <v>#DIV/0!</v>
      </c>
      <c r="U11" s="1630"/>
      <c r="V11" s="2059">
        <f t="shared" si="5"/>
        <v>0</v>
      </c>
      <c r="W11" s="2059">
        <f t="shared" si="6"/>
        <v>0</v>
      </c>
      <c r="X11" s="2061">
        <f t="shared" si="7"/>
        <v>0</v>
      </c>
      <c r="Y11" s="2155">
        <f t="shared" si="8"/>
        <v>0</v>
      </c>
      <c r="Z11" s="1449"/>
      <c r="AA11" s="3167"/>
      <c r="AB11" s="3168"/>
    </row>
    <row r="12" spans="1:28" s="1411" customFormat="1" ht="24.6" customHeight="1" x14ac:dyDescent="0.25">
      <c r="A12" s="1587"/>
      <c r="B12" s="1439" t="s">
        <v>73</v>
      </c>
      <c r="C12" s="1500"/>
      <c r="D12" s="1501"/>
      <c r="E12" s="2591">
        <f t="shared" si="1"/>
        <v>0</v>
      </c>
      <c r="F12" s="1992" t="e">
        <f t="shared" si="0"/>
        <v>#DIV/0!</v>
      </c>
      <c r="G12" s="2067"/>
      <c r="H12" s="2059"/>
      <c r="I12" s="2061">
        <f t="shared" si="9"/>
        <v>0</v>
      </c>
      <c r="J12" s="2155">
        <f t="shared" si="2"/>
        <v>0</v>
      </c>
      <c r="K12" s="3084"/>
      <c r="L12" s="2067"/>
      <c r="M12" s="2059"/>
      <c r="N12" s="2061">
        <f t="shared" si="10"/>
        <v>0</v>
      </c>
      <c r="O12" s="2155" t="e">
        <f t="shared" si="3"/>
        <v>#DIV/0!</v>
      </c>
      <c r="P12" s="3084"/>
      <c r="Q12" s="2067"/>
      <c r="R12" s="2059"/>
      <c r="S12" s="2061">
        <f t="shared" si="11"/>
        <v>0</v>
      </c>
      <c r="T12" s="2155" t="e">
        <f t="shared" si="4"/>
        <v>#DIV/0!</v>
      </c>
      <c r="U12" s="2064"/>
      <c r="V12" s="2059">
        <f t="shared" si="5"/>
        <v>0</v>
      </c>
      <c r="W12" s="2059">
        <f t="shared" si="6"/>
        <v>0</v>
      </c>
      <c r="X12" s="2061">
        <f t="shared" si="7"/>
        <v>0</v>
      </c>
      <c r="Y12" s="2155">
        <f t="shared" si="8"/>
        <v>0</v>
      </c>
      <c r="Z12" s="1449"/>
      <c r="AA12" s="3167"/>
      <c r="AB12" s="3168"/>
    </row>
    <row r="13" spans="1:28" s="1411" customFormat="1" ht="24.6" customHeight="1" x14ac:dyDescent="0.25">
      <c r="A13" s="1587"/>
      <c r="B13" s="1439" t="s">
        <v>71</v>
      </c>
      <c r="C13" s="1500"/>
      <c r="D13" s="1501"/>
      <c r="E13" s="2591">
        <f t="shared" si="1"/>
        <v>0</v>
      </c>
      <c r="F13" s="1992" t="e">
        <f t="shared" si="0"/>
        <v>#DIV/0!</v>
      </c>
      <c r="G13" s="2067"/>
      <c r="H13" s="2059"/>
      <c r="I13" s="2061">
        <f t="shared" si="9"/>
        <v>0</v>
      </c>
      <c r="J13" s="2155">
        <f t="shared" si="2"/>
        <v>0</v>
      </c>
      <c r="K13" s="2064"/>
      <c r="L13" s="2067"/>
      <c r="M13" s="2059"/>
      <c r="N13" s="2061">
        <f t="shared" si="10"/>
        <v>0</v>
      </c>
      <c r="O13" s="2155" t="e">
        <f t="shared" si="3"/>
        <v>#DIV/0!</v>
      </c>
      <c r="P13" s="2064"/>
      <c r="Q13" s="2067"/>
      <c r="R13" s="2059"/>
      <c r="S13" s="2061">
        <f t="shared" si="11"/>
        <v>0</v>
      </c>
      <c r="T13" s="2155" t="e">
        <f t="shared" si="4"/>
        <v>#DIV/0!</v>
      </c>
      <c r="U13" s="2064"/>
      <c r="V13" s="2059">
        <f t="shared" si="5"/>
        <v>0</v>
      </c>
      <c r="W13" s="2059">
        <f t="shared" si="6"/>
        <v>0</v>
      </c>
      <c r="X13" s="2061">
        <f t="shared" si="7"/>
        <v>0</v>
      </c>
      <c r="Y13" s="2155">
        <f t="shared" si="8"/>
        <v>0</v>
      </c>
      <c r="Z13" s="1449"/>
      <c r="AA13" s="3167"/>
      <c r="AB13" s="3168"/>
    </row>
    <row r="14" spans="1:28" s="1411" customFormat="1" ht="24.6" customHeight="1" x14ac:dyDescent="0.25">
      <c r="A14" s="1587"/>
      <c r="B14" s="1439" t="s">
        <v>70</v>
      </c>
      <c r="C14" s="1500"/>
      <c r="D14" s="1501"/>
      <c r="E14" s="2591">
        <f t="shared" si="1"/>
        <v>0</v>
      </c>
      <c r="F14" s="1992" t="e">
        <f t="shared" si="0"/>
        <v>#DIV/0!</v>
      </c>
      <c r="G14" s="2067"/>
      <c r="H14" s="2059"/>
      <c r="I14" s="2061">
        <f t="shared" si="9"/>
        <v>0</v>
      </c>
      <c r="J14" s="2155">
        <f t="shared" si="2"/>
        <v>0</v>
      </c>
      <c r="K14" s="2064"/>
      <c r="L14" s="2067"/>
      <c r="M14" s="2059"/>
      <c r="N14" s="2061">
        <f t="shared" si="10"/>
        <v>0</v>
      </c>
      <c r="O14" s="2155" t="e">
        <f t="shared" si="3"/>
        <v>#DIV/0!</v>
      </c>
      <c r="P14" s="2064"/>
      <c r="Q14" s="2067"/>
      <c r="R14" s="2059"/>
      <c r="S14" s="2061">
        <f t="shared" si="11"/>
        <v>0</v>
      </c>
      <c r="T14" s="2155" t="e">
        <f t="shared" si="4"/>
        <v>#DIV/0!</v>
      </c>
      <c r="U14" s="2064"/>
      <c r="V14" s="2059">
        <f t="shared" si="5"/>
        <v>0</v>
      </c>
      <c r="W14" s="2059">
        <f t="shared" si="6"/>
        <v>0</v>
      </c>
      <c r="X14" s="2061">
        <f t="shared" si="7"/>
        <v>0</v>
      </c>
      <c r="Y14" s="2155">
        <f t="shared" si="8"/>
        <v>0</v>
      </c>
      <c r="Z14" s="1449"/>
      <c r="AA14" s="3167"/>
      <c r="AB14" s="3168"/>
    </row>
    <row r="15" spans="1:28" s="1411" customFormat="1" ht="24.6" customHeight="1" x14ac:dyDescent="0.25">
      <c r="A15" s="1587"/>
      <c r="B15" s="2577" t="s">
        <v>20</v>
      </c>
      <c r="C15" s="1500"/>
      <c r="D15" s="2578"/>
      <c r="E15" s="2591">
        <f t="shared" si="1"/>
        <v>0</v>
      </c>
      <c r="F15" s="1992" t="e">
        <f t="shared" si="0"/>
        <v>#DIV/0!</v>
      </c>
      <c r="G15" s="2067"/>
      <c r="H15" s="2059"/>
      <c r="I15" s="2061">
        <f t="shared" si="9"/>
        <v>0</v>
      </c>
      <c r="J15" s="2155">
        <f t="shared" si="2"/>
        <v>0</v>
      </c>
      <c r="K15" s="1630"/>
      <c r="L15" s="2067"/>
      <c r="M15" s="2059"/>
      <c r="N15" s="2061">
        <f t="shared" si="10"/>
        <v>0</v>
      </c>
      <c r="O15" s="2155" t="e">
        <f t="shared" si="3"/>
        <v>#DIV/0!</v>
      </c>
      <c r="P15" s="1630"/>
      <c r="Q15" s="2067"/>
      <c r="R15" s="2059"/>
      <c r="S15" s="2061">
        <f t="shared" si="11"/>
        <v>0</v>
      </c>
      <c r="T15" s="2155" t="e">
        <f t="shared" si="4"/>
        <v>#DIV/0!</v>
      </c>
      <c r="U15" s="1630"/>
      <c r="V15" s="2059">
        <f t="shared" si="5"/>
        <v>0</v>
      </c>
      <c r="W15" s="2059">
        <f t="shared" si="6"/>
        <v>0</v>
      </c>
      <c r="X15" s="2061">
        <f t="shared" si="7"/>
        <v>0</v>
      </c>
      <c r="Y15" s="2155">
        <f t="shared" si="8"/>
        <v>0</v>
      </c>
      <c r="Z15" s="1449"/>
      <c r="AA15" s="3167"/>
      <c r="AB15" s="3168"/>
    </row>
    <row r="16" spans="1:28" s="1411" customFormat="1" ht="24.6" customHeight="1" x14ac:dyDescent="0.25">
      <c r="A16" s="1587"/>
      <c r="B16" s="2577" t="s">
        <v>21</v>
      </c>
      <c r="C16" s="1500"/>
      <c r="D16" s="2578"/>
      <c r="E16" s="2591">
        <f t="shared" si="1"/>
        <v>0</v>
      </c>
      <c r="F16" s="1992" t="e">
        <f t="shared" si="0"/>
        <v>#DIV/0!</v>
      </c>
      <c r="G16" s="2067"/>
      <c r="H16" s="2059"/>
      <c r="I16" s="2061">
        <f t="shared" si="9"/>
        <v>0</v>
      </c>
      <c r="J16" s="2155">
        <f t="shared" si="2"/>
        <v>0</v>
      </c>
      <c r="K16" s="2062"/>
      <c r="L16" s="2067"/>
      <c r="M16" s="2059"/>
      <c r="N16" s="2061">
        <f t="shared" si="10"/>
        <v>0</v>
      </c>
      <c r="O16" s="2155" t="e">
        <f t="shared" si="3"/>
        <v>#DIV/0!</v>
      </c>
      <c r="P16" s="2062"/>
      <c r="Q16" s="2067"/>
      <c r="R16" s="2059"/>
      <c r="S16" s="2061">
        <f t="shared" si="11"/>
        <v>0</v>
      </c>
      <c r="T16" s="2155" t="e">
        <f t="shared" si="4"/>
        <v>#DIV/0!</v>
      </c>
      <c r="U16" s="2062"/>
      <c r="V16" s="2059">
        <f t="shared" si="5"/>
        <v>0</v>
      </c>
      <c r="W16" s="2059">
        <f t="shared" si="6"/>
        <v>0</v>
      </c>
      <c r="X16" s="2061">
        <f t="shared" si="7"/>
        <v>0</v>
      </c>
      <c r="Y16" s="2155">
        <f t="shared" si="8"/>
        <v>0</v>
      </c>
      <c r="Z16" s="1449"/>
      <c r="AA16" s="3167"/>
      <c r="AB16" s="3168"/>
    </row>
    <row r="17" spans="1:29" s="1411" customFormat="1" ht="24.6" customHeight="1" x14ac:dyDescent="0.25">
      <c r="A17" s="1587"/>
      <c r="B17" s="2577" t="s">
        <v>22</v>
      </c>
      <c r="C17" s="1500"/>
      <c r="D17" s="2578"/>
      <c r="E17" s="2591">
        <f t="shared" si="1"/>
        <v>0</v>
      </c>
      <c r="F17" s="1992" t="e">
        <f t="shared" si="0"/>
        <v>#DIV/0!</v>
      </c>
      <c r="G17" s="2067"/>
      <c r="H17" s="2059"/>
      <c r="I17" s="2061">
        <f t="shared" si="9"/>
        <v>0</v>
      </c>
      <c r="J17" s="2155">
        <f t="shared" si="2"/>
        <v>0</v>
      </c>
      <c r="K17" s="2064"/>
      <c r="L17" s="2067"/>
      <c r="M17" s="2059"/>
      <c r="N17" s="2061">
        <f t="shared" si="10"/>
        <v>0</v>
      </c>
      <c r="O17" s="2155" t="e">
        <f t="shared" si="3"/>
        <v>#DIV/0!</v>
      </c>
      <c r="P17" s="2064"/>
      <c r="Q17" s="2067"/>
      <c r="R17" s="2059"/>
      <c r="S17" s="2061">
        <f t="shared" si="11"/>
        <v>0</v>
      </c>
      <c r="T17" s="2155" t="e">
        <f t="shared" si="4"/>
        <v>#DIV/0!</v>
      </c>
      <c r="U17" s="2064"/>
      <c r="V17" s="2059">
        <f t="shared" si="5"/>
        <v>0</v>
      </c>
      <c r="W17" s="2059">
        <f t="shared" si="6"/>
        <v>0</v>
      </c>
      <c r="X17" s="2061">
        <f t="shared" si="7"/>
        <v>0</v>
      </c>
      <c r="Y17" s="2155">
        <f t="shared" si="8"/>
        <v>0</v>
      </c>
      <c r="Z17" s="1449"/>
      <c r="AA17" s="842"/>
    </row>
    <row r="18" spans="1:29" s="1411" customFormat="1" ht="24.6" customHeight="1" x14ac:dyDescent="0.25">
      <c r="A18" s="1587"/>
      <c r="B18" s="2577" t="s">
        <v>0</v>
      </c>
      <c r="C18" s="1500"/>
      <c r="D18" s="2578"/>
      <c r="E18" s="2591">
        <f t="shared" si="1"/>
        <v>0</v>
      </c>
      <c r="F18" s="1992" t="e">
        <f t="shared" si="0"/>
        <v>#DIV/0!</v>
      </c>
      <c r="G18" s="2067">
        <f>54672</f>
        <v>54672</v>
      </c>
      <c r="H18" s="2059"/>
      <c r="I18" s="2061">
        <f t="shared" si="9"/>
        <v>54672</v>
      </c>
      <c r="J18" s="2155">
        <f t="shared" si="2"/>
        <v>1</v>
      </c>
      <c r="K18" s="2062" t="s">
        <v>2084</v>
      </c>
      <c r="L18" s="2067"/>
      <c r="M18" s="2059"/>
      <c r="N18" s="2061">
        <f t="shared" si="10"/>
        <v>0</v>
      </c>
      <c r="O18" s="2155" t="e">
        <f t="shared" si="3"/>
        <v>#DIV/0!</v>
      </c>
      <c r="P18" s="2062"/>
      <c r="Q18" s="1633"/>
      <c r="R18" s="2059"/>
      <c r="S18" s="2061">
        <f t="shared" si="11"/>
        <v>0</v>
      </c>
      <c r="T18" s="2155" t="e">
        <f t="shared" si="4"/>
        <v>#DIV/0!</v>
      </c>
      <c r="U18" s="2071"/>
      <c r="V18" s="2059">
        <f t="shared" si="5"/>
        <v>54672</v>
      </c>
      <c r="W18" s="2059">
        <f t="shared" si="6"/>
        <v>0</v>
      </c>
      <c r="X18" s="2061">
        <f t="shared" si="7"/>
        <v>54672</v>
      </c>
      <c r="Y18" s="2155">
        <f t="shared" si="8"/>
        <v>1</v>
      </c>
      <c r="Z18" s="1449"/>
      <c r="AA18" s="3167">
        <v>54672</v>
      </c>
      <c r="AB18" s="3168">
        <f>AA18-X18</f>
        <v>0</v>
      </c>
    </row>
    <row r="19" spans="1:29" s="1411" customFormat="1" ht="24.6" customHeight="1" x14ac:dyDescent="0.25">
      <c r="A19" s="1587"/>
      <c r="B19" s="2577" t="s">
        <v>53</v>
      </c>
      <c r="C19" s="2156"/>
      <c r="D19" s="2578"/>
      <c r="E19" s="2591">
        <f t="shared" si="1"/>
        <v>0</v>
      </c>
      <c r="F19" s="1992" t="e">
        <f t="shared" si="0"/>
        <v>#DIV/0!</v>
      </c>
      <c r="G19" s="2067"/>
      <c r="H19" s="2059"/>
      <c r="I19" s="2061">
        <f t="shared" si="9"/>
        <v>0</v>
      </c>
      <c r="J19" s="2155">
        <f t="shared" si="2"/>
        <v>0</v>
      </c>
      <c r="K19" s="2064"/>
      <c r="L19" s="2067"/>
      <c r="M19" s="2059"/>
      <c r="N19" s="2061">
        <f t="shared" si="10"/>
        <v>0</v>
      </c>
      <c r="O19" s="2155" t="e">
        <f t="shared" si="3"/>
        <v>#DIV/0!</v>
      </c>
      <c r="P19" s="2064"/>
      <c r="Q19" s="2067"/>
      <c r="R19" s="2059"/>
      <c r="S19" s="2061">
        <f t="shared" si="11"/>
        <v>0</v>
      </c>
      <c r="T19" s="2155" t="e">
        <f t="shared" si="4"/>
        <v>#DIV/0!</v>
      </c>
      <c r="U19" s="2064"/>
      <c r="V19" s="2059">
        <f t="shared" si="5"/>
        <v>0</v>
      </c>
      <c r="W19" s="2059">
        <f t="shared" si="6"/>
        <v>0</v>
      </c>
      <c r="X19" s="2061">
        <f t="shared" si="7"/>
        <v>0</v>
      </c>
      <c r="Y19" s="2155">
        <f t="shared" si="8"/>
        <v>0</v>
      </c>
      <c r="Z19" s="1449"/>
      <c r="AA19" s="3167"/>
      <c r="AB19" s="3168"/>
    </row>
    <row r="20" spans="1:29" s="1411" customFormat="1" ht="24.6" customHeight="1" x14ac:dyDescent="0.25">
      <c r="A20" s="1587"/>
      <c r="B20" s="2577" t="s">
        <v>57</v>
      </c>
      <c r="C20" s="2156"/>
      <c r="D20" s="2578"/>
      <c r="E20" s="2591">
        <f t="shared" si="1"/>
        <v>0</v>
      </c>
      <c r="F20" s="1992" t="e">
        <f t="shared" si="0"/>
        <v>#DIV/0!</v>
      </c>
      <c r="G20" s="2067"/>
      <c r="H20" s="2059"/>
      <c r="I20" s="2061">
        <f t="shared" si="9"/>
        <v>0</v>
      </c>
      <c r="J20" s="2155">
        <f t="shared" si="2"/>
        <v>0</v>
      </c>
      <c r="K20" s="2062"/>
      <c r="L20" s="2067"/>
      <c r="M20" s="2059"/>
      <c r="N20" s="2061">
        <f t="shared" si="10"/>
        <v>0</v>
      </c>
      <c r="O20" s="2155" t="e">
        <f t="shared" si="3"/>
        <v>#DIV/0!</v>
      </c>
      <c r="P20" s="2062"/>
      <c r="Q20" s="2067"/>
      <c r="R20" s="2059"/>
      <c r="S20" s="2061">
        <f t="shared" si="11"/>
        <v>0</v>
      </c>
      <c r="T20" s="2155" t="e">
        <f t="shared" si="4"/>
        <v>#DIV/0!</v>
      </c>
      <c r="U20" s="2064"/>
      <c r="V20" s="2059">
        <f t="shared" si="5"/>
        <v>0</v>
      </c>
      <c r="W20" s="2059">
        <f t="shared" si="6"/>
        <v>0</v>
      </c>
      <c r="X20" s="2061">
        <f t="shared" si="7"/>
        <v>0</v>
      </c>
      <c r="Y20" s="2155">
        <f t="shared" si="8"/>
        <v>0</v>
      </c>
      <c r="Z20" s="1449"/>
      <c r="AA20" s="3167"/>
      <c r="AB20" s="3168"/>
    </row>
    <row r="21" spans="1:29" s="1411" customFormat="1" ht="24.6" customHeight="1" x14ac:dyDescent="0.25">
      <c r="A21" s="1587"/>
      <c r="B21" s="2577" t="s">
        <v>58</v>
      </c>
      <c r="C21" s="2156"/>
      <c r="D21" s="2578"/>
      <c r="E21" s="2591">
        <f t="shared" si="1"/>
        <v>0</v>
      </c>
      <c r="F21" s="1992" t="e">
        <f t="shared" si="0"/>
        <v>#DIV/0!</v>
      </c>
      <c r="G21" s="2067"/>
      <c r="H21" s="2059"/>
      <c r="I21" s="2061">
        <f t="shared" si="9"/>
        <v>0</v>
      </c>
      <c r="J21" s="2155">
        <f t="shared" si="2"/>
        <v>0</v>
      </c>
      <c r="K21" s="2062"/>
      <c r="L21" s="2067"/>
      <c r="M21" s="2059"/>
      <c r="N21" s="2061">
        <f t="shared" si="10"/>
        <v>0</v>
      </c>
      <c r="O21" s="2155" t="e">
        <f t="shared" si="3"/>
        <v>#DIV/0!</v>
      </c>
      <c r="P21" s="2062"/>
      <c r="Q21" s="2067"/>
      <c r="R21" s="2059"/>
      <c r="S21" s="2061">
        <f t="shared" si="11"/>
        <v>0</v>
      </c>
      <c r="T21" s="2155" t="e">
        <f t="shared" si="4"/>
        <v>#DIV/0!</v>
      </c>
      <c r="U21" s="2064"/>
      <c r="V21" s="2059">
        <f t="shared" si="5"/>
        <v>0</v>
      </c>
      <c r="W21" s="2059">
        <f t="shared" si="6"/>
        <v>0</v>
      </c>
      <c r="X21" s="2061">
        <f t="shared" si="7"/>
        <v>0</v>
      </c>
      <c r="Y21" s="2155">
        <f t="shared" si="8"/>
        <v>0</v>
      </c>
      <c r="Z21" s="1449"/>
      <c r="AA21" s="3167"/>
      <c r="AB21" s="3168"/>
      <c r="AC21" s="3169"/>
    </row>
    <row r="22" spans="1:29" s="1411" customFormat="1" ht="24.6" customHeight="1" x14ac:dyDescent="0.25">
      <c r="A22" s="1587"/>
      <c r="B22" s="2577" t="s">
        <v>621</v>
      </c>
      <c r="C22" s="2156"/>
      <c r="D22" s="2578"/>
      <c r="E22" s="2591">
        <f t="shared" si="1"/>
        <v>0</v>
      </c>
      <c r="F22" s="1992" t="e">
        <f t="shared" si="0"/>
        <v>#DIV/0!</v>
      </c>
      <c r="G22" s="2067"/>
      <c r="H22" s="2059"/>
      <c r="I22" s="2061">
        <f t="shared" si="9"/>
        <v>0</v>
      </c>
      <c r="J22" s="2155">
        <f t="shared" si="2"/>
        <v>0</v>
      </c>
      <c r="K22" s="2062"/>
      <c r="L22" s="2067"/>
      <c r="M22" s="2059"/>
      <c r="N22" s="2061">
        <f t="shared" si="10"/>
        <v>0</v>
      </c>
      <c r="O22" s="2155" t="e">
        <f t="shared" si="3"/>
        <v>#DIV/0!</v>
      </c>
      <c r="P22" s="2062"/>
      <c r="Q22" s="2067"/>
      <c r="R22" s="2059"/>
      <c r="S22" s="2061">
        <f t="shared" si="11"/>
        <v>0</v>
      </c>
      <c r="T22" s="2155" t="e">
        <f t="shared" si="4"/>
        <v>#DIV/0!</v>
      </c>
      <c r="U22" s="2064"/>
      <c r="V22" s="2059">
        <f t="shared" si="5"/>
        <v>0</v>
      </c>
      <c r="W22" s="2059">
        <f t="shared" si="6"/>
        <v>0</v>
      </c>
      <c r="X22" s="2061">
        <f t="shared" si="7"/>
        <v>0</v>
      </c>
      <c r="Y22" s="2155">
        <f t="shared" si="8"/>
        <v>0</v>
      </c>
      <c r="Z22" s="1449"/>
      <c r="AA22" s="3167"/>
      <c r="AB22" s="3168"/>
    </row>
    <row r="23" spans="1:29" s="1411" customFormat="1" ht="24.6" customHeight="1" x14ac:dyDescent="0.25">
      <c r="A23" s="1587"/>
      <c r="B23" s="2577" t="s">
        <v>630</v>
      </c>
      <c r="C23" s="2156"/>
      <c r="D23" s="2578"/>
      <c r="E23" s="2591">
        <f t="shared" si="1"/>
        <v>0</v>
      </c>
      <c r="F23" s="1992" t="e">
        <f t="shared" si="0"/>
        <v>#DIV/0!</v>
      </c>
      <c r="G23" s="2067"/>
      <c r="H23" s="2059"/>
      <c r="I23" s="2061">
        <f t="shared" si="9"/>
        <v>0</v>
      </c>
      <c r="J23" s="2155">
        <f t="shared" si="2"/>
        <v>0</v>
      </c>
      <c r="K23" s="2064"/>
      <c r="L23" s="2067"/>
      <c r="M23" s="2059"/>
      <c r="N23" s="2061">
        <f t="shared" si="10"/>
        <v>0</v>
      </c>
      <c r="O23" s="2155" t="e">
        <f t="shared" si="3"/>
        <v>#DIV/0!</v>
      </c>
      <c r="P23" s="2064"/>
      <c r="Q23" s="2067"/>
      <c r="R23" s="2059"/>
      <c r="S23" s="2061">
        <f t="shared" si="11"/>
        <v>0</v>
      </c>
      <c r="T23" s="2155" t="e">
        <f t="shared" si="4"/>
        <v>#DIV/0!</v>
      </c>
      <c r="U23" s="2064"/>
      <c r="V23" s="2059">
        <f t="shared" si="5"/>
        <v>0</v>
      </c>
      <c r="W23" s="2059">
        <f t="shared" si="6"/>
        <v>0</v>
      </c>
      <c r="X23" s="2061">
        <f t="shared" si="7"/>
        <v>0</v>
      </c>
      <c r="Y23" s="2155">
        <f t="shared" si="8"/>
        <v>0</v>
      </c>
      <c r="Z23" s="1449"/>
      <c r="AA23" s="3167"/>
      <c r="AB23" s="3168"/>
    </row>
    <row r="24" spans="1:29" s="1411" customFormat="1" ht="24.6" customHeight="1" x14ac:dyDescent="0.25">
      <c r="A24" s="1587"/>
      <c r="B24" s="2577" t="s">
        <v>23</v>
      </c>
      <c r="C24" s="2156"/>
      <c r="D24" s="2578"/>
      <c r="E24" s="2591">
        <f t="shared" si="1"/>
        <v>0</v>
      </c>
      <c r="F24" s="1992" t="e">
        <f t="shared" si="0"/>
        <v>#DIV/0!</v>
      </c>
      <c r="G24" s="2067"/>
      <c r="H24" s="2059"/>
      <c r="I24" s="2061">
        <f t="shared" si="9"/>
        <v>0</v>
      </c>
      <c r="J24" s="2155">
        <f t="shared" si="2"/>
        <v>0</v>
      </c>
      <c r="K24" s="2062"/>
      <c r="L24" s="2067"/>
      <c r="M24" s="2059"/>
      <c r="N24" s="2061">
        <f t="shared" si="10"/>
        <v>0</v>
      </c>
      <c r="O24" s="2155" t="e">
        <f t="shared" si="3"/>
        <v>#DIV/0!</v>
      </c>
      <c r="P24" s="2062"/>
      <c r="Q24" s="2067"/>
      <c r="R24" s="2059"/>
      <c r="S24" s="2061">
        <f t="shared" si="11"/>
        <v>0</v>
      </c>
      <c r="T24" s="2155" t="e">
        <f t="shared" si="4"/>
        <v>#DIV/0!</v>
      </c>
      <c r="U24" s="2062"/>
      <c r="V24" s="2059">
        <f t="shared" si="5"/>
        <v>0</v>
      </c>
      <c r="W24" s="2059">
        <f t="shared" si="6"/>
        <v>0</v>
      </c>
      <c r="X24" s="2061">
        <f t="shared" si="7"/>
        <v>0</v>
      </c>
      <c r="Y24" s="2155">
        <f t="shared" si="8"/>
        <v>0</v>
      </c>
      <c r="Z24" s="1449"/>
      <c r="AA24" s="3167"/>
      <c r="AB24" s="3168"/>
    </row>
    <row r="25" spans="1:29" s="1411" customFormat="1" ht="24.6" customHeight="1" x14ac:dyDescent="0.25">
      <c r="A25" s="1587"/>
      <c r="B25" s="2577" t="s">
        <v>24</v>
      </c>
      <c r="C25" s="2156"/>
      <c r="D25" s="2578"/>
      <c r="E25" s="2591">
        <f t="shared" si="1"/>
        <v>0</v>
      </c>
      <c r="F25" s="1992" t="e">
        <f t="shared" si="0"/>
        <v>#DIV/0!</v>
      </c>
      <c r="G25" s="2067"/>
      <c r="H25" s="2059"/>
      <c r="I25" s="2061">
        <f t="shared" si="9"/>
        <v>0</v>
      </c>
      <c r="J25" s="2155">
        <f t="shared" si="2"/>
        <v>0</v>
      </c>
      <c r="K25" s="2062"/>
      <c r="L25" s="2067"/>
      <c r="M25" s="2059"/>
      <c r="N25" s="2061">
        <f t="shared" si="10"/>
        <v>0</v>
      </c>
      <c r="O25" s="2155" t="e">
        <f t="shared" si="3"/>
        <v>#DIV/0!</v>
      </c>
      <c r="P25" s="2062"/>
      <c r="Q25" s="2067"/>
      <c r="R25" s="2059"/>
      <c r="S25" s="2061">
        <f t="shared" si="11"/>
        <v>0</v>
      </c>
      <c r="T25" s="2155" t="e">
        <f t="shared" si="4"/>
        <v>#DIV/0!</v>
      </c>
      <c r="U25" s="2062"/>
      <c r="V25" s="2059">
        <f t="shared" si="5"/>
        <v>0</v>
      </c>
      <c r="W25" s="2059">
        <f t="shared" si="6"/>
        <v>0</v>
      </c>
      <c r="X25" s="2061">
        <f t="shared" si="7"/>
        <v>0</v>
      </c>
      <c r="Y25" s="2155">
        <f t="shared" si="8"/>
        <v>0</v>
      </c>
      <c r="Z25" s="1449"/>
      <c r="AA25" s="3167"/>
      <c r="AB25" s="3168"/>
    </row>
    <row r="26" spans="1:29" s="1411" customFormat="1" ht="24.6" customHeight="1" x14ac:dyDescent="0.25">
      <c r="A26" s="1587"/>
      <c r="B26" s="2577" t="s">
        <v>45</v>
      </c>
      <c r="C26" s="2156"/>
      <c r="D26" s="2578"/>
      <c r="E26" s="2591">
        <f t="shared" si="1"/>
        <v>0</v>
      </c>
      <c r="F26" s="1992" t="e">
        <f t="shared" si="0"/>
        <v>#DIV/0!</v>
      </c>
      <c r="G26" s="2067"/>
      <c r="H26" s="2059"/>
      <c r="I26" s="2061">
        <f t="shared" si="9"/>
        <v>0</v>
      </c>
      <c r="J26" s="2155">
        <f t="shared" si="2"/>
        <v>0</v>
      </c>
      <c r="K26" s="2064"/>
      <c r="L26" s="2067"/>
      <c r="M26" s="2059"/>
      <c r="N26" s="2061">
        <f t="shared" si="10"/>
        <v>0</v>
      </c>
      <c r="O26" s="2155" t="e">
        <f t="shared" si="3"/>
        <v>#DIV/0!</v>
      </c>
      <c r="P26" s="2064"/>
      <c r="Q26" s="2067"/>
      <c r="R26" s="2059"/>
      <c r="S26" s="2061">
        <f t="shared" si="11"/>
        <v>0</v>
      </c>
      <c r="T26" s="2155" t="e">
        <f t="shared" si="4"/>
        <v>#DIV/0!</v>
      </c>
      <c r="U26" s="2064"/>
      <c r="V26" s="2059">
        <f t="shared" si="5"/>
        <v>0</v>
      </c>
      <c r="W26" s="2059">
        <f t="shared" si="6"/>
        <v>0</v>
      </c>
      <c r="X26" s="2061">
        <f t="shared" si="7"/>
        <v>0</v>
      </c>
      <c r="Y26" s="2155">
        <f t="shared" si="8"/>
        <v>0</v>
      </c>
      <c r="Z26" s="1449"/>
      <c r="AA26" s="3167"/>
      <c r="AB26" s="3168"/>
    </row>
    <row r="27" spans="1:29" s="1411" customFormat="1" ht="24.6" customHeight="1" x14ac:dyDescent="0.25">
      <c r="A27" s="1587"/>
      <c r="B27" s="2577" t="s">
        <v>25</v>
      </c>
      <c r="C27" s="2156"/>
      <c r="D27" s="2578"/>
      <c r="E27" s="2591">
        <f t="shared" si="1"/>
        <v>0</v>
      </c>
      <c r="F27" s="1992" t="e">
        <f t="shared" si="0"/>
        <v>#DIV/0!</v>
      </c>
      <c r="G27" s="2067"/>
      <c r="H27" s="2059"/>
      <c r="I27" s="2061">
        <f t="shared" si="9"/>
        <v>0</v>
      </c>
      <c r="J27" s="2155">
        <f t="shared" si="2"/>
        <v>0</v>
      </c>
      <c r="K27" s="2062"/>
      <c r="L27" s="2067"/>
      <c r="M27" s="2059"/>
      <c r="N27" s="2061">
        <f t="shared" si="10"/>
        <v>0</v>
      </c>
      <c r="O27" s="2155" t="e">
        <f t="shared" si="3"/>
        <v>#DIV/0!</v>
      </c>
      <c r="P27" s="2062"/>
      <c r="Q27" s="2067"/>
      <c r="R27" s="2059"/>
      <c r="S27" s="2061">
        <f t="shared" si="11"/>
        <v>0</v>
      </c>
      <c r="T27" s="2155" t="e">
        <f t="shared" si="4"/>
        <v>#DIV/0!</v>
      </c>
      <c r="U27" s="2062"/>
      <c r="V27" s="2059">
        <f t="shared" si="5"/>
        <v>0</v>
      </c>
      <c r="W27" s="2059">
        <f t="shared" si="6"/>
        <v>0</v>
      </c>
      <c r="X27" s="2061">
        <f t="shared" si="7"/>
        <v>0</v>
      </c>
      <c r="Y27" s="2155">
        <f t="shared" si="8"/>
        <v>0</v>
      </c>
      <c r="Z27" s="1449"/>
      <c r="AA27" s="842"/>
    </row>
    <row r="28" spans="1:29" s="1411" customFormat="1" ht="24.6" customHeight="1" x14ac:dyDescent="0.25">
      <c r="A28" s="1587"/>
      <c r="B28" s="2577" t="s">
        <v>52</v>
      </c>
      <c r="C28" s="2156"/>
      <c r="D28" s="2578"/>
      <c r="E28" s="2591">
        <f t="shared" si="1"/>
        <v>0</v>
      </c>
      <c r="F28" s="1992" t="e">
        <f t="shared" si="0"/>
        <v>#DIV/0!</v>
      </c>
      <c r="G28" s="2067"/>
      <c r="H28" s="2059"/>
      <c r="I28" s="2061">
        <f t="shared" si="9"/>
        <v>0</v>
      </c>
      <c r="J28" s="2155">
        <f t="shared" si="2"/>
        <v>0</v>
      </c>
      <c r="K28" s="2062"/>
      <c r="L28" s="2067"/>
      <c r="M28" s="2059"/>
      <c r="N28" s="2061">
        <f t="shared" si="10"/>
        <v>0</v>
      </c>
      <c r="O28" s="2155" t="e">
        <f t="shared" si="3"/>
        <v>#DIV/0!</v>
      </c>
      <c r="P28" s="2062"/>
      <c r="Q28" s="2067"/>
      <c r="R28" s="2059"/>
      <c r="S28" s="2061">
        <f t="shared" si="11"/>
        <v>0</v>
      </c>
      <c r="T28" s="2155" t="e">
        <f t="shared" si="4"/>
        <v>#DIV/0!</v>
      </c>
      <c r="U28" s="2062"/>
      <c r="V28" s="2059">
        <f t="shared" si="5"/>
        <v>0</v>
      </c>
      <c r="W28" s="2059">
        <f t="shared" si="6"/>
        <v>0</v>
      </c>
      <c r="X28" s="2061">
        <f>V28+W28*1</f>
        <v>0</v>
      </c>
      <c r="Y28" s="2155">
        <f t="shared" si="8"/>
        <v>0</v>
      </c>
      <c r="Z28" s="1449"/>
      <c r="AA28" s="1680"/>
    </row>
    <row r="29" spans="1:29" s="1411" customFormat="1" ht="24.6" customHeight="1" x14ac:dyDescent="0.25">
      <c r="A29" s="1587"/>
      <c r="B29" s="2577" t="s">
        <v>31</v>
      </c>
      <c r="C29" s="2156"/>
      <c r="D29" s="2578"/>
      <c r="E29" s="2591">
        <f t="shared" si="1"/>
        <v>0</v>
      </c>
      <c r="F29" s="2155" t="e">
        <f t="shared" si="0"/>
        <v>#DIV/0!</v>
      </c>
      <c r="G29" s="2067"/>
      <c r="H29" s="2059"/>
      <c r="I29" s="2061">
        <f t="shared" si="9"/>
        <v>0</v>
      </c>
      <c r="J29" s="2155">
        <f t="shared" si="2"/>
        <v>0</v>
      </c>
      <c r="K29" s="2062"/>
      <c r="L29" s="2067"/>
      <c r="M29" s="2059"/>
      <c r="N29" s="2061">
        <f t="shared" si="10"/>
        <v>0</v>
      </c>
      <c r="O29" s="2155" t="e">
        <f t="shared" si="3"/>
        <v>#DIV/0!</v>
      </c>
      <c r="P29" s="2062"/>
      <c r="Q29" s="2067"/>
      <c r="R29" s="2059"/>
      <c r="S29" s="2061">
        <f t="shared" si="11"/>
        <v>0</v>
      </c>
      <c r="T29" s="2155" t="e">
        <f t="shared" si="4"/>
        <v>#DIV/0!</v>
      </c>
      <c r="U29" s="2062"/>
      <c r="V29" s="2059">
        <f t="shared" si="5"/>
        <v>0</v>
      </c>
      <c r="W29" s="2059">
        <f t="shared" si="6"/>
        <v>0</v>
      </c>
      <c r="X29" s="2061">
        <f t="shared" si="7"/>
        <v>0</v>
      </c>
      <c r="Y29" s="2155">
        <f t="shared" si="8"/>
        <v>0</v>
      </c>
      <c r="Z29" s="2157"/>
    </row>
    <row r="30" spans="1:29" s="1411" customFormat="1" ht="13.8" x14ac:dyDescent="0.25">
      <c r="A30" s="1587"/>
      <c r="B30" s="2577" t="s">
        <v>62</v>
      </c>
      <c r="C30" s="2156"/>
      <c r="D30" s="2578"/>
      <c r="E30" s="2591">
        <f t="shared" si="1"/>
        <v>0</v>
      </c>
      <c r="F30" s="2155" t="e">
        <f t="shared" si="0"/>
        <v>#DIV/0!</v>
      </c>
      <c r="G30" s="2067"/>
      <c r="H30" s="2059"/>
      <c r="I30" s="2061">
        <f t="shared" si="9"/>
        <v>0</v>
      </c>
      <c r="J30" s="2155">
        <f t="shared" si="2"/>
        <v>0</v>
      </c>
      <c r="K30" s="2062"/>
      <c r="L30" s="2067"/>
      <c r="M30" s="2059"/>
      <c r="N30" s="2061">
        <f t="shared" si="10"/>
        <v>0</v>
      </c>
      <c r="O30" s="2155" t="e">
        <f t="shared" si="3"/>
        <v>#DIV/0!</v>
      </c>
      <c r="P30" s="2062"/>
      <c r="Q30" s="2067"/>
      <c r="R30" s="2059"/>
      <c r="S30" s="2061">
        <f t="shared" si="11"/>
        <v>0</v>
      </c>
      <c r="T30" s="2155" t="e">
        <f t="shared" si="4"/>
        <v>#DIV/0!</v>
      </c>
      <c r="U30" s="2062"/>
      <c r="V30" s="2059">
        <f t="shared" si="5"/>
        <v>0</v>
      </c>
      <c r="W30" s="2059">
        <f t="shared" si="6"/>
        <v>0</v>
      </c>
      <c r="X30" s="2061">
        <f t="shared" si="7"/>
        <v>0</v>
      </c>
      <c r="Y30" s="2155">
        <f t="shared" si="8"/>
        <v>0</v>
      </c>
      <c r="Z30" s="2157"/>
    </row>
    <row r="31" spans="1:29" s="1411" customFormat="1" ht="24.6" customHeight="1" x14ac:dyDescent="0.25">
      <c r="A31" s="1587"/>
      <c r="B31" s="2577" t="s">
        <v>34</v>
      </c>
      <c r="C31" s="2156"/>
      <c r="D31" s="2578"/>
      <c r="E31" s="2591">
        <f t="shared" si="1"/>
        <v>0</v>
      </c>
      <c r="F31" s="2155" t="e">
        <f t="shared" si="0"/>
        <v>#DIV/0!</v>
      </c>
      <c r="G31" s="2067"/>
      <c r="H31" s="2059"/>
      <c r="I31" s="2061">
        <f t="shared" si="9"/>
        <v>0</v>
      </c>
      <c r="J31" s="2155">
        <f t="shared" si="2"/>
        <v>0</v>
      </c>
      <c r="K31" s="2062"/>
      <c r="L31" s="2067"/>
      <c r="M31" s="2059"/>
      <c r="N31" s="2061">
        <f t="shared" si="10"/>
        <v>0</v>
      </c>
      <c r="O31" s="2155" t="e">
        <f t="shared" si="3"/>
        <v>#DIV/0!</v>
      </c>
      <c r="P31" s="2062"/>
      <c r="Q31" s="2067"/>
      <c r="R31" s="2059"/>
      <c r="S31" s="2061">
        <f t="shared" si="11"/>
        <v>0</v>
      </c>
      <c r="T31" s="2155" t="e">
        <f t="shared" si="4"/>
        <v>#DIV/0!</v>
      </c>
      <c r="U31" s="2062"/>
      <c r="V31" s="2059">
        <f t="shared" si="5"/>
        <v>0</v>
      </c>
      <c r="W31" s="2059">
        <f t="shared" si="6"/>
        <v>0</v>
      </c>
      <c r="X31" s="2061">
        <f t="shared" si="7"/>
        <v>0</v>
      </c>
      <c r="Y31" s="2155">
        <f t="shared" si="8"/>
        <v>0</v>
      </c>
      <c r="Z31" s="2157"/>
    </row>
    <row r="32" spans="1:29" s="1411" customFormat="1" ht="24.6" customHeight="1" x14ac:dyDescent="0.25">
      <c r="A32" s="1587"/>
      <c r="B32" s="2581" t="s">
        <v>2</v>
      </c>
      <c r="C32" s="2158"/>
      <c r="D32" s="2499"/>
      <c r="E32" s="2591">
        <f t="shared" si="1"/>
        <v>0</v>
      </c>
      <c r="F32" s="2155" t="e">
        <f t="shared" si="0"/>
        <v>#DIV/0!</v>
      </c>
      <c r="G32" s="2067"/>
      <c r="H32" s="2059"/>
      <c r="I32" s="2061">
        <f t="shared" si="9"/>
        <v>0</v>
      </c>
      <c r="J32" s="2155">
        <f t="shared" si="2"/>
        <v>0</v>
      </c>
      <c r="K32" s="2062"/>
      <c r="L32" s="2067"/>
      <c r="M32" s="2059"/>
      <c r="N32" s="2061">
        <f t="shared" si="10"/>
        <v>0</v>
      </c>
      <c r="O32" s="2155" t="e">
        <f t="shared" si="3"/>
        <v>#DIV/0!</v>
      </c>
      <c r="P32" s="2062"/>
      <c r="Q32" s="2067"/>
      <c r="R32" s="2059"/>
      <c r="S32" s="2061">
        <f t="shared" si="11"/>
        <v>0</v>
      </c>
      <c r="T32" s="2155" t="e">
        <f t="shared" si="4"/>
        <v>#DIV/0!</v>
      </c>
      <c r="U32" s="2062"/>
      <c r="V32" s="2059">
        <f t="shared" si="5"/>
        <v>0</v>
      </c>
      <c r="W32" s="2059">
        <f t="shared" si="6"/>
        <v>0</v>
      </c>
      <c r="X32" s="2061">
        <f t="shared" si="7"/>
        <v>0</v>
      </c>
      <c r="Y32" s="2155">
        <f t="shared" si="8"/>
        <v>0</v>
      </c>
      <c r="Z32" s="2157"/>
      <c r="AB32" s="933"/>
    </row>
    <row r="33" spans="1:26" s="1411" customFormat="1" ht="24.6" customHeight="1" thickBot="1" x14ac:dyDescent="0.3">
      <c r="A33" s="1587"/>
      <c r="B33" s="2582" t="s">
        <v>75</v>
      </c>
      <c r="C33" s="2161"/>
      <c r="D33" s="2583"/>
      <c r="E33" s="3215">
        <f t="shared" si="1"/>
        <v>0</v>
      </c>
      <c r="F33" s="2524" t="e">
        <f t="shared" si="0"/>
        <v>#DIV/0!</v>
      </c>
      <c r="G33" s="2044"/>
      <c r="H33" s="2041"/>
      <c r="I33" s="2042">
        <f t="shared" si="9"/>
        <v>0</v>
      </c>
      <c r="J33" s="2524">
        <f t="shared" si="2"/>
        <v>0</v>
      </c>
      <c r="K33" s="1690"/>
      <c r="L33" s="2044"/>
      <c r="M33" s="2041"/>
      <c r="N33" s="2042">
        <f t="shared" si="10"/>
        <v>0</v>
      </c>
      <c r="O33" s="2524" t="e">
        <f t="shared" si="3"/>
        <v>#DIV/0!</v>
      </c>
      <c r="P33" s="1690"/>
      <c r="Q33" s="2044"/>
      <c r="R33" s="2041"/>
      <c r="S33" s="2042">
        <f t="shared" si="11"/>
        <v>0</v>
      </c>
      <c r="T33" s="2524" t="e">
        <f t="shared" si="4"/>
        <v>#DIV/0!</v>
      </c>
      <c r="U33" s="1690"/>
      <c r="V33" s="2521">
        <f t="shared" si="5"/>
        <v>0</v>
      </c>
      <c r="W33" s="2522">
        <f t="shared" si="6"/>
        <v>0</v>
      </c>
      <c r="X33" s="2558">
        <f t="shared" si="7"/>
        <v>0</v>
      </c>
      <c r="Y33" s="2524">
        <f t="shared" si="8"/>
        <v>0</v>
      </c>
      <c r="Z33" s="2525"/>
    </row>
    <row r="34" spans="1:26" s="1411" customFormat="1" ht="24.6" customHeight="1" x14ac:dyDescent="0.25">
      <c r="A34" s="1587"/>
      <c r="B34" s="1087"/>
      <c r="C34" s="1632"/>
      <c r="D34" s="1633"/>
      <c r="E34" s="2040"/>
      <c r="F34" s="1635"/>
      <c r="G34" s="2067"/>
      <c r="H34" s="2059"/>
      <c r="I34" s="2040"/>
      <c r="J34" s="1992"/>
      <c r="K34" s="2040"/>
      <c r="L34" s="2067"/>
      <c r="M34" s="2059"/>
      <c r="N34" s="2040"/>
      <c r="O34" s="1992"/>
      <c r="P34" s="2040"/>
      <c r="Q34" s="2067"/>
      <c r="R34" s="2059"/>
      <c r="S34" s="2040"/>
      <c r="T34" s="1992"/>
      <c r="U34" s="2040"/>
      <c r="V34" s="2059"/>
      <c r="W34" s="2059"/>
      <c r="X34" s="2040"/>
      <c r="Y34" s="2040"/>
      <c r="Z34" s="2040"/>
    </row>
    <row r="35" spans="1:26" s="2483" customFormat="1" ht="24.6" customHeight="1" x14ac:dyDescent="0.25">
      <c r="A35" s="1587"/>
      <c r="B35" s="2607" t="s">
        <v>80</v>
      </c>
      <c r="C35" s="2515">
        <f>C36</f>
        <v>0</v>
      </c>
      <c r="D35" s="2515">
        <f>D36</f>
        <v>0</v>
      </c>
      <c r="E35" s="2526">
        <f>E36</f>
        <v>0</v>
      </c>
      <c r="F35" s="2564" t="e">
        <f>E35/$E$89</f>
        <v>#DIV/0!</v>
      </c>
      <c r="G35" s="2515"/>
      <c r="H35" s="2515"/>
      <c r="I35" s="2526">
        <f>I36</f>
        <v>0</v>
      </c>
      <c r="J35" s="2526">
        <f t="shared" ref="J35:J36" si="12">I35/I$89</f>
        <v>0</v>
      </c>
      <c r="K35" s="2527"/>
      <c r="L35" s="2515"/>
      <c r="M35" s="2515"/>
      <c r="N35" s="2526">
        <f>N36</f>
        <v>0</v>
      </c>
      <c r="O35" s="2526" t="e">
        <f t="shared" ref="O35:O36" si="13">N35/N$89</f>
        <v>#DIV/0!</v>
      </c>
      <c r="P35" s="2527"/>
      <c r="Q35" s="2515"/>
      <c r="R35" s="2515"/>
      <c r="S35" s="2526">
        <f>S36</f>
        <v>0</v>
      </c>
      <c r="T35" s="2526" t="e">
        <f t="shared" ref="T35:T36" si="14">S35/S$89</f>
        <v>#DIV/0!</v>
      </c>
      <c r="U35" s="2527"/>
      <c r="V35" s="2515">
        <f t="shared" ref="V35:W35" si="15">V36</f>
        <v>0</v>
      </c>
      <c r="W35" s="2515">
        <f t="shared" si="15"/>
        <v>0</v>
      </c>
      <c r="X35" s="2526">
        <f>X36</f>
        <v>0</v>
      </c>
      <c r="Y35" s="2515">
        <f>Y36</f>
        <v>0</v>
      </c>
      <c r="Z35" s="2526"/>
    </row>
    <row r="36" spans="1:26" s="1579" customFormat="1" ht="24.6" customHeight="1" outlineLevel="1" x14ac:dyDescent="0.25">
      <c r="A36" s="1587"/>
      <c r="B36" s="2608" t="s">
        <v>81</v>
      </c>
      <c r="C36" s="2584"/>
      <c r="D36" s="2585"/>
      <c r="E36" s="2591">
        <f>C36+D36</f>
        <v>0</v>
      </c>
      <c r="F36" s="2504" t="e">
        <f>E36/$E$89</f>
        <v>#DIV/0!</v>
      </c>
      <c r="G36" s="2067"/>
      <c r="H36" s="2059"/>
      <c r="I36" s="2028">
        <f>G36+H36*1</f>
        <v>0</v>
      </c>
      <c r="J36" s="2155">
        <f t="shared" si="12"/>
        <v>0</v>
      </c>
      <c r="K36" s="2062"/>
      <c r="L36" s="2067"/>
      <c r="M36" s="2059"/>
      <c r="N36" s="2028">
        <f>L36+M36*1</f>
        <v>0</v>
      </c>
      <c r="O36" s="2155" t="e">
        <f t="shared" si="13"/>
        <v>#DIV/0!</v>
      </c>
      <c r="P36" s="2062"/>
      <c r="Q36" s="2067"/>
      <c r="R36" s="2059"/>
      <c r="S36" s="2028">
        <f>Q36+R36*1</f>
        <v>0</v>
      </c>
      <c r="T36" s="2155" t="e">
        <f t="shared" si="14"/>
        <v>#DIV/0!</v>
      </c>
      <c r="U36" s="2062"/>
      <c r="V36" s="2059">
        <f>G36+L36+Q36</f>
        <v>0</v>
      </c>
      <c r="W36" s="2059">
        <f>H36+M36+R36</f>
        <v>0</v>
      </c>
      <c r="X36" s="2028">
        <f>V36+W36*1</f>
        <v>0</v>
      </c>
      <c r="Y36" s="2155">
        <f>X36/$X$89</f>
        <v>0</v>
      </c>
      <c r="Z36" s="2164"/>
    </row>
    <row r="37" spans="1:26" s="1411" customFormat="1" ht="24.6" customHeight="1" thickBot="1" x14ac:dyDescent="0.3">
      <c r="A37" s="1413"/>
      <c r="B37" s="2609"/>
      <c r="C37" s="2586"/>
      <c r="D37" s="2587"/>
      <c r="E37" s="2528"/>
      <c r="F37" s="2588"/>
      <c r="G37" s="2044"/>
      <c r="H37" s="2041"/>
      <c r="I37" s="2528"/>
      <c r="J37" s="2524" t="e">
        <f t="shared" ref="J37" si="16">I37/$AS$89</f>
        <v>#DIV/0!</v>
      </c>
      <c r="K37" s="2529"/>
      <c r="L37" s="2044"/>
      <c r="M37" s="2041"/>
      <c r="N37" s="2528"/>
      <c r="O37" s="2524"/>
      <c r="P37" s="2529"/>
      <c r="Q37" s="2044"/>
      <c r="R37" s="2041"/>
      <c r="S37" s="2528"/>
      <c r="T37" s="2524" t="e">
        <f t="shared" ref="T37" si="17">S37/$BC$89</f>
        <v>#DIV/0!</v>
      </c>
      <c r="U37" s="2529"/>
      <c r="V37" s="2059"/>
      <c r="W37" s="2059"/>
      <c r="X37" s="2528"/>
      <c r="Y37" s="2528"/>
      <c r="Z37" s="2528"/>
    </row>
    <row r="38" spans="1:26" ht="24.6" customHeight="1" thickBot="1" x14ac:dyDescent="0.3">
      <c r="A38" s="1441"/>
      <c r="B38" s="981" t="s">
        <v>46</v>
      </c>
      <c r="C38" s="2018">
        <f>(C5)-(C8)</f>
        <v>0</v>
      </c>
      <c r="D38" s="2018">
        <f>(D5)-(D8)</f>
        <v>0</v>
      </c>
      <c r="E38" s="2018">
        <f>(E5)-(E8)</f>
        <v>0</v>
      </c>
      <c r="F38" s="1545"/>
      <c r="G38" s="2018">
        <f>(G5)-(G8)</f>
        <v>67328</v>
      </c>
      <c r="H38" s="2018">
        <f>(H5)-(H8)</f>
        <v>0</v>
      </c>
      <c r="I38" s="2018">
        <f>(I5)-(I8)</f>
        <v>67328</v>
      </c>
      <c r="J38" s="2018"/>
      <c r="K38" s="2037"/>
      <c r="L38" s="2018">
        <f>(L5)-(L8)</f>
        <v>0</v>
      </c>
      <c r="M38" s="2018">
        <f>(M5)-(M8)</f>
        <v>0</v>
      </c>
      <c r="N38" s="2018">
        <f>(N5)-(N8)</f>
        <v>0</v>
      </c>
      <c r="O38" s="2018"/>
      <c r="P38" s="2037"/>
      <c r="Q38" s="2018">
        <f>(Q5)-(Q8)</f>
        <v>0</v>
      </c>
      <c r="R38" s="2018">
        <f>(R5)-(R8)</f>
        <v>0</v>
      </c>
      <c r="S38" s="2018">
        <f>(S5)-(S8)</f>
        <v>0</v>
      </c>
      <c r="T38" s="2018"/>
      <c r="U38" s="2037"/>
      <c r="V38" s="2018">
        <f>(V5)-(V8)</f>
        <v>67328</v>
      </c>
      <c r="W38" s="2018">
        <f>(W5)-(W8)</f>
        <v>0</v>
      </c>
      <c r="X38" s="2018">
        <f>(X5)-(X8)</f>
        <v>67328</v>
      </c>
      <c r="Y38" s="2018"/>
      <c r="Z38" s="2018"/>
    </row>
    <row r="39" spans="1:26" ht="24.6" customHeight="1" x14ac:dyDescent="0.25">
      <c r="A39" s="1580"/>
      <c r="B39" s="982" t="s">
        <v>47</v>
      </c>
      <c r="C39" s="1540" t="e">
        <f>C38/(C5)</f>
        <v>#DIV/0!</v>
      </c>
      <c r="D39" s="1540" t="e">
        <f>D38/(D5)</f>
        <v>#DIV/0!</v>
      </c>
      <c r="E39" s="1541" t="e">
        <f>E38/(E5)</f>
        <v>#DIV/0!</v>
      </c>
      <c r="F39" s="1546"/>
      <c r="G39" s="2019">
        <f>G38/(G5)</f>
        <v>0.5518688524590164</v>
      </c>
      <c r="H39" s="2019" t="e">
        <f>H38/(H5)</f>
        <v>#DIV/0!</v>
      </c>
      <c r="I39" s="2020">
        <f>I38/(I5)</f>
        <v>0.5518688524590164</v>
      </c>
      <c r="J39" s="2020"/>
      <c r="K39" s="2038"/>
      <c r="L39" s="2019" t="e">
        <f>L38/(L5)</f>
        <v>#DIV/0!</v>
      </c>
      <c r="M39" s="2019" t="e">
        <f>M38/(M5)</f>
        <v>#DIV/0!</v>
      </c>
      <c r="N39" s="2020" t="e">
        <f>N38/(N5)</f>
        <v>#DIV/0!</v>
      </c>
      <c r="O39" s="2020"/>
      <c r="P39" s="2038"/>
      <c r="Q39" s="2019" t="e">
        <f>Q38/(Q5)</f>
        <v>#DIV/0!</v>
      </c>
      <c r="R39" s="2019" t="e">
        <f>R38/(R5)</f>
        <v>#DIV/0!</v>
      </c>
      <c r="S39" s="2020" t="e">
        <f>S38/(S5)</f>
        <v>#DIV/0!</v>
      </c>
      <c r="T39" s="2020"/>
      <c r="U39" s="2038"/>
      <c r="V39" s="2019">
        <f>V38/(V5)</f>
        <v>0.5518688524590164</v>
      </c>
      <c r="W39" s="2019" t="e">
        <f>W38/(W5)</f>
        <v>#DIV/0!</v>
      </c>
      <c r="X39" s="2020">
        <f>X38/(X5)</f>
        <v>0.5518688524590164</v>
      </c>
      <c r="Y39" s="2020"/>
      <c r="Z39" s="2020"/>
    </row>
    <row r="40" spans="1:26" ht="24.6" customHeight="1" outlineLevel="1" thickBot="1" x14ac:dyDescent="0.3">
      <c r="A40" s="1582"/>
      <c r="B40" s="2610"/>
      <c r="C40" s="2611"/>
      <c r="D40" s="2612"/>
      <c r="E40" s="2106"/>
      <c r="F40" s="2144"/>
      <c r="G40" s="2530"/>
      <c r="H40" s="2516"/>
      <c r="I40" s="2516"/>
      <c r="J40" s="2516"/>
      <c r="K40" s="2531"/>
      <c r="L40" s="2530"/>
      <c r="M40" s="2516"/>
      <c r="N40" s="2516"/>
      <c r="O40" s="2516"/>
      <c r="P40" s="2531"/>
      <c r="Q40" s="2530"/>
      <c r="R40" s="2516"/>
      <c r="S40" s="2516"/>
      <c r="T40" s="2516"/>
      <c r="U40" s="2531"/>
      <c r="V40" s="2059"/>
      <c r="W40" s="2059"/>
      <c r="X40" s="2516"/>
      <c r="Y40" s="2516"/>
      <c r="Z40" s="2516"/>
    </row>
    <row r="41" spans="1:26" ht="24.6" customHeight="1" outlineLevel="1" x14ac:dyDescent="0.25">
      <c r="A41" s="1420"/>
      <c r="B41" s="2613" t="s">
        <v>26</v>
      </c>
      <c r="C41" s="2614">
        <f>SUM(C42:C48)</f>
        <v>0</v>
      </c>
      <c r="D41" s="2614">
        <f>SUM(D42:D48)</f>
        <v>0</v>
      </c>
      <c r="E41" s="2615">
        <f>SUM(E42:E48)</f>
        <v>0</v>
      </c>
      <c r="F41" s="2481" t="e">
        <f t="shared" ref="F41:F48" si="18">E41/$E$89</f>
        <v>#DIV/0!</v>
      </c>
      <c r="G41" s="2029">
        <f>SUM(G42:G48)</f>
        <v>0</v>
      </c>
      <c r="H41" s="2029">
        <f>SUM(H42:H48)</f>
        <v>0</v>
      </c>
      <c r="I41" s="2030">
        <f>SUM(I42:I48)</f>
        <v>0</v>
      </c>
      <c r="J41" s="2481">
        <f t="shared" ref="J41:J48" si="19">I41/I$89</f>
        <v>0</v>
      </c>
      <c r="K41" s="2039"/>
      <c r="L41" s="2029">
        <f>SUM(L42:L48)</f>
        <v>0</v>
      </c>
      <c r="M41" s="2029">
        <f>SUM(M42:M48)</f>
        <v>0</v>
      </c>
      <c r="N41" s="2030">
        <f>SUM(N42:N48)</f>
        <v>0</v>
      </c>
      <c r="O41" s="2481" t="e">
        <f t="shared" ref="O41:O48" si="20">N41/N$89</f>
        <v>#DIV/0!</v>
      </c>
      <c r="P41" s="2039"/>
      <c r="Q41" s="2029">
        <f>SUM(Q42:Q48)</f>
        <v>0</v>
      </c>
      <c r="R41" s="2029">
        <f>SUM(R42:R48)</f>
        <v>0</v>
      </c>
      <c r="S41" s="2030">
        <f>SUM(S42:S48)</f>
        <v>0</v>
      </c>
      <c r="T41" s="2481" t="e">
        <f t="shared" ref="T41:T48" si="21">S41/S$89</f>
        <v>#DIV/0!</v>
      </c>
      <c r="U41" s="2039"/>
      <c r="V41" s="2029">
        <f>SUM(V42:V48)</f>
        <v>0</v>
      </c>
      <c r="W41" s="2029">
        <f>SUM(W42:W48)</f>
        <v>0</v>
      </c>
      <c r="X41" s="2030">
        <f>SUM(X42:X48)</f>
        <v>0</v>
      </c>
      <c r="Y41" s="2481">
        <f t="shared" ref="Y41:Y49" si="22">X41/$X$89</f>
        <v>0</v>
      </c>
      <c r="Z41" s="2022"/>
    </row>
    <row r="42" spans="1:26" ht="24.6" customHeight="1" outlineLevel="2" x14ac:dyDescent="0.25">
      <c r="A42" s="4015"/>
      <c r="B42" s="2579" t="s">
        <v>7</v>
      </c>
      <c r="C42" s="2578"/>
      <c r="D42" s="2523"/>
      <c r="E42" s="2591">
        <f t="shared" ref="E42:E48" si="23">C42+D42</f>
        <v>0</v>
      </c>
      <c r="F42" s="2155" t="e">
        <f t="shared" si="18"/>
        <v>#DIV/0!</v>
      </c>
      <c r="G42" s="2067"/>
      <c r="H42" s="2059"/>
      <c r="I42" s="2028">
        <f t="shared" ref="I42:I48" si="24">G42+H42*1</f>
        <v>0</v>
      </c>
      <c r="J42" s="2155">
        <f t="shared" si="19"/>
        <v>0</v>
      </c>
      <c r="K42" s="2062"/>
      <c r="L42" s="2067"/>
      <c r="M42" s="2059"/>
      <c r="N42" s="2028">
        <f t="shared" ref="N42:N48" si="25">L42+M42*1</f>
        <v>0</v>
      </c>
      <c r="O42" s="2155" t="e">
        <f t="shared" si="20"/>
        <v>#DIV/0!</v>
      </c>
      <c r="P42" s="2062"/>
      <c r="Q42" s="2067"/>
      <c r="R42" s="2059"/>
      <c r="S42" s="2028">
        <f t="shared" ref="S42:S48" si="26">Q42+R42*1</f>
        <v>0</v>
      </c>
      <c r="T42" s="2155" t="e">
        <f t="shared" si="21"/>
        <v>#DIV/0!</v>
      </c>
      <c r="U42" s="2062"/>
      <c r="V42" s="2059">
        <f t="shared" ref="V42:V48" si="27">G42+L42+Q42</f>
        <v>0</v>
      </c>
      <c r="W42" s="2059">
        <f t="shared" ref="W42:W48" si="28">H42+M42+R42</f>
        <v>0</v>
      </c>
      <c r="X42" s="2028">
        <f t="shared" ref="X42:X48" si="29">V42+W42*1</f>
        <v>0</v>
      </c>
      <c r="Y42" s="2155">
        <f t="shared" si="22"/>
        <v>0</v>
      </c>
      <c r="Z42" s="2157"/>
    </row>
    <row r="43" spans="1:26" ht="24.6" customHeight="1" outlineLevel="2" x14ac:dyDescent="0.25">
      <c r="A43" s="4015"/>
      <c r="B43" s="2579" t="s">
        <v>27</v>
      </c>
      <c r="C43" s="2578"/>
      <c r="D43" s="2523"/>
      <c r="E43" s="2591">
        <f t="shared" si="23"/>
        <v>0</v>
      </c>
      <c r="F43" s="2155" t="e">
        <f t="shared" si="18"/>
        <v>#DIV/0!</v>
      </c>
      <c r="G43" s="2067"/>
      <c r="H43" s="2059"/>
      <c r="I43" s="2028">
        <f t="shared" si="24"/>
        <v>0</v>
      </c>
      <c r="J43" s="2155">
        <f t="shared" si="19"/>
        <v>0</v>
      </c>
      <c r="K43" s="2062"/>
      <c r="L43" s="2067"/>
      <c r="M43" s="2059"/>
      <c r="N43" s="2028">
        <f t="shared" si="25"/>
        <v>0</v>
      </c>
      <c r="O43" s="2155" t="e">
        <f t="shared" si="20"/>
        <v>#DIV/0!</v>
      </c>
      <c r="P43" s="2062"/>
      <c r="Q43" s="2067"/>
      <c r="R43" s="2059"/>
      <c r="S43" s="2028">
        <f t="shared" si="26"/>
        <v>0</v>
      </c>
      <c r="T43" s="2155" t="e">
        <f t="shared" si="21"/>
        <v>#DIV/0!</v>
      </c>
      <c r="U43" s="2062"/>
      <c r="V43" s="2059">
        <f t="shared" si="27"/>
        <v>0</v>
      </c>
      <c r="W43" s="2059">
        <f t="shared" si="28"/>
        <v>0</v>
      </c>
      <c r="X43" s="2028">
        <f t="shared" si="29"/>
        <v>0</v>
      </c>
      <c r="Y43" s="2155">
        <f t="shared" si="22"/>
        <v>0</v>
      </c>
      <c r="Z43" s="2157"/>
    </row>
    <row r="44" spans="1:26" ht="24.6" customHeight="1" outlineLevel="2" x14ac:dyDescent="0.25">
      <c r="A44" s="4015"/>
      <c r="B44" s="2608" t="s">
        <v>28</v>
      </c>
      <c r="C44" s="2578"/>
      <c r="D44" s="2523"/>
      <c r="E44" s="2591">
        <f t="shared" si="23"/>
        <v>0</v>
      </c>
      <c r="F44" s="2155" t="e">
        <f t="shared" si="18"/>
        <v>#DIV/0!</v>
      </c>
      <c r="G44" s="2067"/>
      <c r="H44" s="2059"/>
      <c r="I44" s="2028">
        <f t="shared" si="24"/>
        <v>0</v>
      </c>
      <c r="J44" s="2155">
        <f t="shared" si="19"/>
        <v>0</v>
      </c>
      <c r="K44" s="2062"/>
      <c r="L44" s="2067"/>
      <c r="M44" s="2059"/>
      <c r="N44" s="2028">
        <f t="shared" si="25"/>
        <v>0</v>
      </c>
      <c r="O44" s="2155" t="e">
        <f t="shared" si="20"/>
        <v>#DIV/0!</v>
      </c>
      <c r="P44" s="2062"/>
      <c r="Q44" s="2067"/>
      <c r="R44" s="2059"/>
      <c r="S44" s="2028">
        <f t="shared" si="26"/>
        <v>0</v>
      </c>
      <c r="T44" s="2155" t="e">
        <f t="shared" si="21"/>
        <v>#DIV/0!</v>
      </c>
      <c r="U44" s="2062"/>
      <c r="V44" s="2059">
        <f t="shared" si="27"/>
        <v>0</v>
      </c>
      <c r="W44" s="2059">
        <f t="shared" si="28"/>
        <v>0</v>
      </c>
      <c r="X44" s="2028">
        <f t="shared" si="29"/>
        <v>0</v>
      </c>
      <c r="Y44" s="2155">
        <f t="shared" si="22"/>
        <v>0</v>
      </c>
      <c r="Z44" s="2157"/>
    </row>
    <row r="45" spans="1:26" ht="24.6" customHeight="1" outlineLevel="2" x14ac:dyDescent="0.25">
      <c r="A45" s="4015"/>
      <c r="B45" s="2579" t="s">
        <v>8</v>
      </c>
      <c r="C45" s="2578"/>
      <c r="D45" s="2523"/>
      <c r="E45" s="2591">
        <f t="shared" si="23"/>
        <v>0</v>
      </c>
      <c r="F45" s="2155" t="e">
        <f t="shared" si="18"/>
        <v>#DIV/0!</v>
      </c>
      <c r="G45" s="2067"/>
      <c r="H45" s="2059"/>
      <c r="I45" s="2028">
        <f t="shared" si="24"/>
        <v>0</v>
      </c>
      <c r="J45" s="2155">
        <f t="shared" si="19"/>
        <v>0</v>
      </c>
      <c r="K45" s="2062"/>
      <c r="L45" s="2067"/>
      <c r="M45" s="2059"/>
      <c r="N45" s="2028">
        <f t="shared" si="25"/>
        <v>0</v>
      </c>
      <c r="O45" s="2155" t="e">
        <f t="shared" si="20"/>
        <v>#DIV/0!</v>
      </c>
      <c r="P45" s="2062"/>
      <c r="Q45" s="2067"/>
      <c r="R45" s="2059"/>
      <c r="S45" s="2028">
        <f t="shared" si="26"/>
        <v>0</v>
      </c>
      <c r="T45" s="2155" t="e">
        <f t="shared" si="21"/>
        <v>#DIV/0!</v>
      </c>
      <c r="U45" s="2062"/>
      <c r="V45" s="2059">
        <f t="shared" si="27"/>
        <v>0</v>
      </c>
      <c r="W45" s="2059">
        <f t="shared" si="28"/>
        <v>0</v>
      </c>
      <c r="X45" s="2028">
        <f t="shared" si="29"/>
        <v>0</v>
      </c>
      <c r="Y45" s="2155">
        <f t="shared" si="22"/>
        <v>0</v>
      </c>
      <c r="Z45" s="2157"/>
    </row>
    <row r="46" spans="1:26" ht="24.6" customHeight="1" outlineLevel="2" x14ac:dyDescent="0.25">
      <c r="A46" s="4015"/>
      <c r="B46" s="2579" t="s">
        <v>29</v>
      </c>
      <c r="C46" s="2578"/>
      <c r="D46" s="2523"/>
      <c r="E46" s="2591">
        <f t="shared" si="23"/>
        <v>0</v>
      </c>
      <c r="F46" s="2155" t="e">
        <f t="shared" si="18"/>
        <v>#DIV/0!</v>
      </c>
      <c r="G46" s="2067"/>
      <c r="H46" s="2059"/>
      <c r="I46" s="2028">
        <f t="shared" si="24"/>
        <v>0</v>
      </c>
      <c r="J46" s="2155">
        <f t="shared" si="19"/>
        <v>0</v>
      </c>
      <c r="K46" s="2062"/>
      <c r="L46" s="2067"/>
      <c r="M46" s="2059"/>
      <c r="N46" s="2028">
        <f t="shared" si="25"/>
        <v>0</v>
      </c>
      <c r="O46" s="2155" t="e">
        <f t="shared" si="20"/>
        <v>#DIV/0!</v>
      </c>
      <c r="P46" s="2062"/>
      <c r="Q46" s="2067"/>
      <c r="R46" s="2059"/>
      <c r="S46" s="2028">
        <f t="shared" si="26"/>
        <v>0</v>
      </c>
      <c r="T46" s="2155" t="e">
        <f t="shared" si="21"/>
        <v>#DIV/0!</v>
      </c>
      <c r="U46" s="2062"/>
      <c r="V46" s="2059">
        <f t="shared" si="27"/>
        <v>0</v>
      </c>
      <c r="W46" s="2059">
        <f t="shared" si="28"/>
        <v>0</v>
      </c>
      <c r="X46" s="2028">
        <f t="shared" si="29"/>
        <v>0</v>
      </c>
      <c r="Y46" s="2155">
        <f t="shared" si="22"/>
        <v>0</v>
      </c>
      <c r="Z46" s="2157"/>
    </row>
    <row r="47" spans="1:26" ht="24.6" customHeight="1" outlineLevel="2" x14ac:dyDescent="0.25">
      <c r="A47" s="4015"/>
      <c r="B47" s="2579" t="s">
        <v>30</v>
      </c>
      <c r="C47" s="2578"/>
      <c r="D47" s="2523"/>
      <c r="E47" s="2591">
        <f t="shared" si="23"/>
        <v>0</v>
      </c>
      <c r="F47" s="2155" t="e">
        <f t="shared" si="18"/>
        <v>#DIV/0!</v>
      </c>
      <c r="G47" s="2067"/>
      <c r="H47" s="2059"/>
      <c r="I47" s="2028">
        <f t="shared" si="24"/>
        <v>0</v>
      </c>
      <c r="J47" s="2155">
        <f t="shared" si="19"/>
        <v>0</v>
      </c>
      <c r="K47" s="2062" t="s">
        <v>486</v>
      </c>
      <c r="L47" s="2067"/>
      <c r="M47" s="2059"/>
      <c r="N47" s="2028">
        <f t="shared" si="25"/>
        <v>0</v>
      </c>
      <c r="O47" s="2155" t="e">
        <f t="shared" si="20"/>
        <v>#DIV/0!</v>
      </c>
      <c r="P47" s="2062" t="s">
        <v>486</v>
      </c>
      <c r="Q47" s="2067"/>
      <c r="R47" s="2059"/>
      <c r="S47" s="2028">
        <f t="shared" si="26"/>
        <v>0</v>
      </c>
      <c r="T47" s="2155" t="e">
        <f t="shared" si="21"/>
        <v>#DIV/0!</v>
      </c>
      <c r="U47" s="2062"/>
      <c r="V47" s="2059">
        <f t="shared" si="27"/>
        <v>0</v>
      </c>
      <c r="W47" s="2059">
        <f t="shared" si="28"/>
        <v>0</v>
      </c>
      <c r="X47" s="2028">
        <f t="shared" si="29"/>
        <v>0</v>
      </c>
      <c r="Y47" s="2155">
        <f t="shared" si="22"/>
        <v>0</v>
      </c>
      <c r="Z47" s="2157"/>
    </row>
    <row r="48" spans="1:26" ht="24.6" customHeight="1" outlineLevel="2" x14ac:dyDescent="0.25">
      <c r="A48" s="4015"/>
      <c r="B48" s="2579" t="s">
        <v>15</v>
      </c>
      <c r="C48" s="2578"/>
      <c r="D48" s="2523"/>
      <c r="E48" s="2591">
        <f t="shared" si="23"/>
        <v>0</v>
      </c>
      <c r="F48" s="2155" t="e">
        <f t="shared" si="18"/>
        <v>#DIV/0!</v>
      </c>
      <c r="G48" s="2067"/>
      <c r="H48" s="2059"/>
      <c r="I48" s="2028">
        <f t="shared" si="24"/>
        <v>0</v>
      </c>
      <c r="J48" s="2155">
        <f t="shared" si="19"/>
        <v>0</v>
      </c>
      <c r="K48" s="2062"/>
      <c r="L48" s="2067"/>
      <c r="M48" s="2059"/>
      <c r="N48" s="2028">
        <f t="shared" si="25"/>
        <v>0</v>
      </c>
      <c r="O48" s="2155" t="e">
        <f t="shared" si="20"/>
        <v>#DIV/0!</v>
      </c>
      <c r="P48" s="2062"/>
      <c r="Q48" s="2067"/>
      <c r="R48" s="2059"/>
      <c r="S48" s="2028">
        <f t="shared" si="26"/>
        <v>0</v>
      </c>
      <c r="T48" s="2155" t="e">
        <f t="shared" si="21"/>
        <v>#DIV/0!</v>
      </c>
      <c r="U48" s="2062"/>
      <c r="V48" s="2059">
        <f t="shared" si="27"/>
        <v>0</v>
      </c>
      <c r="W48" s="2059">
        <f t="shared" si="28"/>
        <v>0</v>
      </c>
      <c r="X48" s="2028">
        <f t="shared" si="29"/>
        <v>0</v>
      </c>
      <c r="Y48" s="2155">
        <f t="shared" si="22"/>
        <v>0</v>
      </c>
      <c r="Z48" s="2157"/>
    </row>
    <row r="49" spans="1:28" s="1411" customFormat="1" ht="24.6" customHeight="1" outlineLevel="2" thickBot="1" x14ac:dyDescent="0.3">
      <c r="A49" s="1420"/>
      <c r="B49" s="2616"/>
      <c r="C49" s="2499"/>
      <c r="D49" s="2503"/>
      <c r="E49" s="2145"/>
      <c r="F49" s="2146"/>
      <c r="G49" s="2067"/>
      <c r="H49" s="2059"/>
      <c r="I49" s="2528"/>
      <c r="J49" s="2155"/>
      <c r="K49" s="2532"/>
      <c r="L49" s="2067"/>
      <c r="M49" s="2059"/>
      <c r="N49" s="2528"/>
      <c r="O49" s="2155"/>
      <c r="P49" s="2532"/>
      <c r="Q49" s="2067"/>
      <c r="R49" s="2059"/>
      <c r="S49" s="2528"/>
      <c r="T49" s="2155"/>
      <c r="U49" s="2532"/>
      <c r="V49" s="2059"/>
      <c r="W49" s="2059"/>
      <c r="X49" s="2528"/>
      <c r="Y49" s="2155">
        <f t="shared" si="22"/>
        <v>0</v>
      </c>
      <c r="Z49" s="2528"/>
    </row>
    <row r="50" spans="1:28" s="1411" customFormat="1" ht="24.6" customHeight="1" outlineLevel="1" x14ac:dyDescent="0.25">
      <c r="A50" s="1580"/>
      <c r="B50" s="993" t="s">
        <v>59</v>
      </c>
      <c r="C50" s="2031">
        <f>SUM(C51:C52)</f>
        <v>0</v>
      </c>
      <c r="D50" s="2031">
        <f>SUM(D51:D52)</f>
        <v>0</v>
      </c>
      <c r="E50" s="2031">
        <f>SUM(E51:E52)</f>
        <v>0</v>
      </c>
      <c r="F50" s="1549" t="e">
        <f>E50/$E$89</f>
        <v>#DIV/0!</v>
      </c>
      <c r="G50" s="2031">
        <f>G52+G51</f>
        <v>0</v>
      </c>
      <c r="H50" s="2031">
        <f>H52+H51</f>
        <v>0</v>
      </c>
      <c r="I50" s="2031">
        <f>SUM(I51:I52)</f>
        <v>0</v>
      </c>
      <c r="J50" s="2022">
        <f t="shared" ref="J50:J52" si="30">I50/I$89</f>
        <v>0</v>
      </c>
      <c r="K50" s="2000"/>
      <c r="L50" s="2031">
        <f>L52+L51</f>
        <v>0</v>
      </c>
      <c r="M50" s="2031">
        <f>M52+M51</f>
        <v>0</v>
      </c>
      <c r="N50" s="2031">
        <f>SUM(N51:N52)</f>
        <v>0</v>
      </c>
      <c r="O50" s="2022" t="e">
        <f t="shared" ref="O50:O52" si="31">N50/N$89</f>
        <v>#DIV/0!</v>
      </c>
      <c r="P50" s="2000"/>
      <c r="Q50" s="2031">
        <f>Q52+Q51</f>
        <v>0</v>
      </c>
      <c r="R50" s="2031">
        <f>R52+R51</f>
        <v>0</v>
      </c>
      <c r="S50" s="2031">
        <f>SUM(S51:S52)</f>
        <v>0</v>
      </c>
      <c r="T50" s="2022" t="e">
        <f t="shared" ref="T50:T52" si="32">S50/S$89</f>
        <v>#DIV/0!</v>
      </c>
      <c r="U50" s="2000"/>
      <c r="V50" s="2031">
        <f>V52+V51</f>
        <v>0</v>
      </c>
      <c r="W50" s="2031">
        <f>W52+W51</f>
        <v>0</v>
      </c>
      <c r="X50" s="2031">
        <f>SUM(X51:X52)</f>
        <v>0</v>
      </c>
      <c r="Y50" s="2022"/>
      <c r="Z50" s="2022"/>
    </row>
    <row r="51" spans="1:28" s="1579" customFormat="1" ht="24.6" customHeight="1" outlineLevel="1" x14ac:dyDescent="0.25">
      <c r="A51" s="1583"/>
      <c r="B51" s="2579" t="s">
        <v>60</v>
      </c>
      <c r="C51" s="2578"/>
      <c r="D51" s="2523"/>
      <c r="E51" s="2591">
        <f>C51+D51</f>
        <v>0</v>
      </c>
      <c r="F51" s="2504" t="e">
        <f>E51/$E$89</f>
        <v>#DIV/0!</v>
      </c>
      <c r="G51" s="2067"/>
      <c r="H51" s="2059"/>
      <c r="I51" s="2028">
        <f>G51+H51*1</f>
        <v>0</v>
      </c>
      <c r="J51" s="2155">
        <f t="shared" si="30"/>
        <v>0</v>
      </c>
      <c r="K51" s="2533"/>
      <c r="L51" s="2067"/>
      <c r="M51" s="2059"/>
      <c r="N51" s="2028">
        <f>L51+M51*1</f>
        <v>0</v>
      </c>
      <c r="O51" s="2155" t="e">
        <f t="shared" si="31"/>
        <v>#DIV/0!</v>
      </c>
      <c r="P51" s="2533"/>
      <c r="Q51" s="2067"/>
      <c r="R51" s="2059"/>
      <c r="S51" s="2028">
        <f>Q51+R51*1</f>
        <v>0</v>
      </c>
      <c r="T51" s="2155" t="e">
        <f t="shared" si="32"/>
        <v>#DIV/0!</v>
      </c>
      <c r="U51" s="2533"/>
      <c r="V51" s="2059">
        <f t="shared" ref="V51:V52" si="33">G51+L51+Q51</f>
        <v>0</v>
      </c>
      <c r="W51" s="2059">
        <f t="shared" ref="W51:W52" si="34">H51+M51+R51</f>
        <v>0</v>
      </c>
      <c r="X51" s="2028">
        <f>V51+W51*1</f>
        <v>0</v>
      </c>
      <c r="Y51" s="2155">
        <f>X51/$X$89</f>
        <v>0</v>
      </c>
      <c r="Z51" s="2164"/>
    </row>
    <row r="52" spans="1:28" s="1584" customFormat="1" ht="24.6" customHeight="1" outlineLevel="2" x14ac:dyDescent="0.25">
      <c r="A52" s="1583"/>
      <c r="B52" s="2579" t="s">
        <v>61</v>
      </c>
      <c r="C52" s="2578"/>
      <c r="D52" s="2523"/>
      <c r="E52" s="2591">
        <f>C52+D52</f>
        <v>0</v>
      </c>
      <c r="F52" s="2504" t="e">
        <f>E52/$E$89</f>
        <v>#DIV/0!</v>
      </c>
      <c r="G52" s="2067"/>
      <c r="H52" s="2059"/>
      <c r="I52" s="2028">
        <f>G52+H52*1</f>
        <v>0</v>
      </c>
      <c r="J52" s="2155">
        <f t="shared" si="30"/>
        <v>0</v>
      </c>
      <c r="K52" s="2062"/>
      <c r="L52" s="2067"/>
      <c r="M52" s="2059"/>
      <c r="N52" s="2028">
        <f>L52+M52*1</f>
        <v>0</v>
      </c>
      <c r="O52" s="2155" t="e">
        <f t="shared" si="31"/>
        <v>#DIV/0!</v>
      </c>
      <c r="P52" s="2062"/>
      <c r="Q52" s="2067"/>
      <c r="R52" s="2059"/>
      <c r="S52" s="2028">
        <f>Q52+R52*1</f>
        <v>0</v>
      </c>
      <c r="T52" s="2155" t="e">
        <f t="shared" si="32"/>
        <v>#DIV/0!</v>
      </c>
      <c r="U52" s="2062"/>
      <c r="V52" s="2059">
        <f t="shared" si="33"/>
        <v>0</v>
      </c>
      <c r="W52" s="2059">
        <f t="shared" si="34"/>
        <v>0</v>
      </c>
      <c r="X52" s="2028">
        <f>V52+W52*1</f>
        <v>0</v>
      </c>
      <c r="Y52" s="2155">
        <f>X52/$X$89</f>
        <v>0</v>
      </c>
      <c r="Z52" s="2164"/>
    </row>
    <row r="53" spans="1:28" ht="24.6" customHeight="1" outlineLevel="1" thickBot="1" x14ac:dyDescent="0.3">
      <c r="A53" s="1428"/>
      <c r="B53" s="2582"/>
      <c r="C53" s="2593"/>
      <c r="D53" s="2594"/>
      <c r="E53" s="2595"/>
      <c r="F53" s="2596"/>
      <c r="G53" s="2067"/>
      <c r="H53" s="2059"/>
      <c r="I53" s="2534"/>
      <c r="J53" s="2534"/>
      <c r="K53" s="2535"/>
      <c r="L53" s="2067"/>
      <c r="M53" s="2059"/>
      <c r="N53" s="2534"/>
      <c r="O53" s="2534"/>
      <c r="P53" s="2535"/>
      <c r="Q53" s="2067"/>
      <c r="R53" s="2059"/>
      <c r="S53" s="2534"/>
      <c r="T53" s="2534"/>
      <c r="U53" s="2535"/>
      <c r="V53" s="2059"/>
      <c r="W53" s="2059"/>
      <c r="X53" s="2534"/>
      <c r="Y53" s="2534"/>
      <c r="Z53" s="2534"/>
    </row>
    <row r="54" spans="1:28" ht="24.6" customHeight="1" outlineLevel="1" x14ac:dyDescent="0.25">
      <c r="A54" s="1585"/>
      <c r="B54" s="993" t="s">
        <v>1</v>
      </c>
      <c r="C54" s="2031">
        <f>SUM(C55:C71)</f>
        <v>0</v>
      </c>
      <c r="D54" s="2031">
        <f>SUM(D55:D71)</f>
        <v>0</v>
      </c>
      <c r="E54" s="1991">
        <f>SUM(E55:E71)</f>
        <v>0</v>
      </c>
      <c r="F54" s="1549" t="e">
        <f>E54/$E$89</f>
        <v>#DIV/0!</v>
      </c>
      <c r="G54" s="2031">
        <f>SUM(G55:G72)</f>
        <v>0</v>
      </c>
      <c r="H54" s="2031">
        <f>SUM(H55:H72)</f>
        <v>0</v>
      </c>
      <c r="I54" s="2031">
        <f>SUM(I55:I72)</f>
        <v>0</v>
      </c>
      <c r="J54" s="2481">
        <f t="shared" ref="J54:J71" si="35">I54/I$89</f>
        <v>0</v>
      </c>
      <c r="K54" s="2000"/>
      <c r="L54" s="2031">
        <f>SUM(L55:L72)</f>
        <v>0</v>
      </c>
      <c r="M54" s="2031">
        <f>SUM(M55:M72)</f>
        <v>0</v>
      </c>
      <c r="N54" s="2031">
        <f>SUM(N55:N72)</f>
        <v>0</v>
      </c>
      <c r="O54" s="2481" t="e">
        <f t="shared" ref="O54:O71" si="36">N54/N$89</f>
        <v>#DIV/0!</v>
      </c>
      <c r="P54" s="2000"/>
      <c r="Q54" s="2031">
        <f>SUM(Q55:Q72)</f>
        <v>0</v>
      </c>
      <c r="R54" s="2031">
        <f>SUM(R55:R72)</f>
        <v>0</v>
      </c>
      <c r="S54" s="2031">
        <f>SUM(S55:S72)</f>
        <v>0</v>
      </c>
      <c r="T54" s="2481" t="e">
        <f t="shared" ref="T54:T71" si="37">S54/S$89</f>
        <v>#DIV/0!</v>
      </c>
      <c r="U54" s="2000"/>
      <c r="V54" s="2031">
        <f>SUM(V55:V72)</f>
        <v>0</v>
      </c>
      <c r="W54" s="2031">
        <f>SUM(W55:W72)</f>
        <v>0</v>
      </c>
      <c r="X54" s="2031">
        <f>SUM(X55:X72)</f>
        <v>0</v>
      </c>
      <c r="Y54" s="2481">
        <f t="shared" ref="Y54:Y71" si="38">X54/$X$89</f>
        <v>0</v>
      </c>
      <c r="Z54" s="2022"/>
    </row>
    <row r="55" spans="1:28" ht="24.6" customHeight="1" outlineLevel="2" x14ac:dyDescent="0.25">
      <c r="A55" s="1586"/>
      <c r="B55" s="2608" t="s">
        <v>77</v>
      </c>
      <c r="C55" s="2578"/>
      <c r="D55" s="2580"/>
      <c r="E55" s="2591">
        <f>C55+D55</f>
        <v>0</v>
      </c>
      <c r="F55" s="2155" t="e">
        <f>E55/$E$89</f>
        <v>#DIV/0!</v>
      </c>
      <c r="G55" s="2027"/>
      <c r="H55" s="2061"/>
      <c r="I55" s="2028">
        <f t="shared" ref="I55:I62" si="39">G55+H55*1</f>
        <v>0</v>
      </c>
      <c r="J55" s="2155">
        <f t="shared" si="35"/>
        <v>0</v>
      </c>
      <c r="K55" s="2062"/>
      <c r="L55" s="2027"/>
      <c r="M55" s="2061"/>
      <c r="N55" s="2028">
        <f t="shared" ref="N55:N62" si="40">L55+M55*1</f>
        <v>0</v>
      </c>
      <c r="O55" s="2155" t="e">
        <f t="shared" si="36"/>
        <v>#DIV/0!</v>
      </c>
      <c r="P55" s="2062"/>
      <c r="Q55" s="2027"/>
      <c r="R55" s="2061"/>
      <c r="S55" s="2028">
        <f t="shared" ref="S55:S62" si="41">Q55+R55*1</f>
        <v>0</v>
      </c>
      <c r="T55" s="2155" t="e">
        <f t="shared" si="37"/>
        <v>#DIV/0!</v>
      </c>
      <c r="U55" s="2062"/>
      <c r="V55" s="2059">
        <f t="shared" ref="V55:V71" si="42">G55+L55+Q55</f>
        <v>0</v>
      </c>
      <c r="W55" s="2059">
        <f t="shared" ref="W55:W71" si="43">H55+M55+R55</f>
        <v>0</v>
      </c>
      <c r="X55" s="2028">
        <f t="shared" ref="X55:X71" si="44">V55+W55*1</f>
        <v>0</v>
      </c>
      <c r="Y55" s="2155">
        <f t="shared" si="38"/>
        <v>0</v>
      </c>
      <c r="Z55" s="2157"/>
    </row>
    <row r="56" spans="1:28" ht="24.6" customHeight="1" outlineLevel="2" x14ac:dyDescent="0.25">
      <c r="A56" s="1586"/>
      <c r="B56" s="2608" t="s">
        <v>76</v>
      </c>
      <c r="C56" s="2578"/>
      <c r="D56" s="2580"/>
      <c r="E56" s="2591">
        <f t="shared" ref="E56:E71" si="45">C56+D56</f>
        <v>0</v>
      </c>
      <c r="F56" s="2155" t="e">
        <f t="shared" ref="F56:F72" si="46">E56/$E$89</f>
        <v>#DIV/0!</v>
      </c>
      <c r="G56" s="2027"/>
      <c r="H56" s="2061"/>
      <c r="I56" s="2028">
        <f t="shared" si="39"/>
        <v>0</v>
      </c>
      <c r="J56" s="2155">
        <f t="shared" si="35"/>
        <v>0</v>
      </c>
      <c r="K56" s="2062"/>
      <c r="L56" s="2027"/>
      <c r="M56" s="2061"/>
      <c r="N56" s="2028">
        <f t="shared" si="40"/>
        <v>0</v>
      </c>
      <c r="O56" s="2155" t="e">
        <f t="shared" si="36"/>
        <v>#DIV/0!</v>
      </c>
      <c r="P56" s="2062"/>
      <c r="Q56" s="2027"/>
      <c r="R56" s="2061"/>
      <c r="S56" s="2028">
        <f t="shared" si="41"/>
        <v>0</v>
      </c>
      <c r="T56" s="2155" t="e">
        <f t="shared" si="37"/>
        <v>#DIV/0!</v>
      </c>
      <c r="U56" s="2062"/>
      <c r="V56" s="2059">
        <f t="shared" si="42"/>
        <v>0</v>
      </c>
      <c r="W56" s="2059">
        <f t="shared" si="43"/>
        <v>0</v>
      </c>
      <c r="X56" s="2028">
        <f t="shared" si="44"/>
        <v>0</v>
      </c>
      <c r="Y56" s="2155">
        <f t="shared" si="38"/>
        <v>0</v>
      </c>
      <c r="Z56" s="2157"/>
    </row>
    <row r="57" spans="1:28" ht="24.6" customHeight="1" outlineLevel="2" x14ac:dyDescent="0.25">
      <c r="A57" s="1586"/>
      <c r="B57" s="2608" t="s">
        <v>68</v>
      </c>
      <c r="C57" s="2578"/>
      <c r="D57" s="2580"/>
      <c r="E57" s="2591">
        <f t="shared" si="45"/>
        <v>0</v>
      </c>
      <c r="F57" s="2155" t="e">
        <f t="shared" si="46"/>
        <v>#DIV/0!</v>
      </c>
      <c r="G57" s="2027"/>
      <c r="H57" s="2061"/>
      <c r="I57" s="2028">
        <f t="shared" si="39"/>
        <v>0</v>
      </c>
      <c r="J57" s="2155">
        <f t="shared" si="35"/>
        <v>0</v>
      </c>
      <c r="K57" s="2062"/>
      <c r="L57" s="2027"/>
      <c r="M57" s="2061"/>
      <c r="N57" s="2028">
        <f t="shared" si="40"/>
        <v>0</v>
      </c>
      <c r="O57" s="2155" t="e">
        <f t="shared" si="36"/>
        <v>#DIV/0!</v>
      </c>
      <c r="P57" s="2062"/>
      <c r="Q57" s="2027"/>
      <c r="R57" s="2061"/>
      <c r="S57" s="2028">
        <f t="shared" si="41"/>
        <v>0</v>
      </c>
      <c r="T57" s="2155" t="e">
        <f t="shared" si="37"/>
        <v>#DIV/0!</v>
      </c>
      <c r="U57" s="2062"/>
      <c r="V57" s="2059">
        <f t="shared" si="42"/>
        <v>0</v>
      </c>
      <c r="W57" s="2059">
        <f t="shared" si="43"/>
        <v>0</v>
      </c>
      <c r="X57" s="2028">
        <f t="shared" si="44"/>
        <v>0</v>
      </c>
      <c r="Y57" s="2155">
        <f t="shared" si="38"/>
        <v>0</v>
      </c>
      <c r="Z57" s="2157"/>
    </row>
    <row r="58" spans="1:28" ht="24.6" customHeight="1" outlineLevel="2" x14ac:dyDescent="0.25">
      <c r="A58" s="1586"/>
      <c r="B58" s="2608" t="s">
        <v>67</v>
      </c>
      <c r="C58" s="2578"/>
      <c r="D58" s="2580"/>
      <c r="E58" s="2591">
        <f t="shared" si="45"/>
        <v>0</v>
      </c>
      <c r="F58" s="2155" t="e">
        <f t="shared" si="46"/>
        <v>#DIV/0!</v>
      </c>
      <c r="G58" s="2027"/>
      <c r="H58" s="2061"/>
      <c r="I58" s="2028">
        <f t="shared" si="39"/>
        <v>0</v>
      </c>
      <c r="J58" s="2155">
        <f t="shared" si="35"/>
        <v>0</v>
      </c>
      <c r="K58" s="2062"/>
      <c r="L58" s="2027"/>
      <c r="M58" s="2061"/>
      <c r="N58" s="2028">
        <f t="shared" si="40"/>
        <v>0</v>
      </c>
      <c r="O58" s="2155" t="e">
        <f t="shared" si="36"/>
        <v>#DIV/0!</v>
      </c>
      <c r="P58" s="2062"/>
      <c r="Q58" s="2027"/>
      <c r="R58" s="2061"/>
      <c r="S58" s="2028">
        <f t="shared" si="41"/>
        <v>0</v>
      </c>
      <c r="T58" s="2155" t="e">
        <f t="shared" si="37"/>
        <v>#DIV/0!</v>
      </c>
      <c r="U58" s="2062"/>
      <c r="V58" s="2059">
        <f t="shared" si="42"/>
        <v>0</v>
      </c>
      <c r="W58" s="2059">
        <f t="shared" si="43"/>
        <v>0</v>
      </c>
      <c r="X58" s="2028">
        <f t="shared" si="44"/>
        <v>0</v>
      </c>
      <c r="Y58" s="2155">
        <f t="shared" si="38"/>
        <v>0</v>
      </c>
      <c r="Z58" s="2157"/>
      <c r="AA58" s="3167"/>
      <c r="AB58" s="3168"/>
    </row>
    <row r="59" spans="1:28" ht="24.6" customHeight="1" outlineLevel="2" x14ac:dyDescent="0.25">
      <c r="A59" s="1586"/>
      <c r="B59" s="2608" t="s">
        <v>66</v>
      </c>
      <c r="C59" s="2578"/>
      <c r="D59" s="2580"/>
      <c r="E59" s="2591">
        <f t="shared" si="45"/>
        <v>0</v>
      </c>
      <c r="F59" s="2155" t="e">
        <f t="shared" si="46"/>
        <v>#DIV/0!</v>
      </c>
      <c r="G59" s="2027"/>
      <c r="H59" s="2061"/>
      <c r="I59" s="2028">
        <f t="shared" si="39"/>
        <v>0</v>
      </c>
      <c r="J59" s="2155">
        <f t="shared" si="35"/>
        <v>0</v>
      </c>
      <c r="K59" s="2062"/>
      <c r="L59" s="2027"/>
      <c r="M59" s="2061"/>
      <c r="N59" s="2028">
        <f t="shared" si="40"/>
        <v>0</v>
      </c>
      <c r="O59" s="2155" t="e">
        <f t="shared" si="36"/>
        <v>#DIV/0!</v>
      </c>
      <c r="P59" s="2062"/>
      <c r="Q59" s="2027"/>
      <c r="R59" s="2061"/>
      <c r="S59" s="2028">
        <f t="shared" si="41"/>
        <v>0</v>
      </c>
      <c r="T59" s="2155" t="e">
        <f t="shared" si="37"/>
        <v>#DIV/0!</v>
      </c>
      <c r="U59" s="2062"/>
      <c r="V59" s="2059">
        <f t="shared" si="42"/>
        <v>0</v>
      </c>
      <c r="W59" s="2059">
        <f t="shared" si="43"/>
        <v>0</v>
      </c>
      <c r="X59" s="2028">
        <f t="shared" si="44"/>
        <v>0</v>
      </c>
      <c r="Y59" s="2155">
        <f t="shared" si="38"/>
        <v>0</v>
      </c>
      <c r="Z59" s="2157"/>
      <c r="AA59" s="3167"/>
      <c r="AB59" s="3168"/>
    </row>
    <row r="60" spans="1:28" ht="24.6" customHeight="1" outlineLevel="2" x14ac:dyDescent="0.25">
      <c r="A60" s="1586"/>
      <c r="B60" s="2608" t="s">
        <v>65</v>
      </c>
      <c r="C60" s="2578"/>
      <c r="D60" s="2580"/>
      <c r="E60" s="2591">
        <f t="shared" si="45"/>
        <v>0</v>
      </c>
      <c r="F60" s="2155" t="e">
        <f t="shared" si="46"/>
        <v>#DIV/0!</v>
      </c>
      <c r="G60" s="2027"/>
      <c r="H60" s="2061"/>
      <c r="I60" s="2028">
        <f t="shared" si="39"/>
        <v>0</v>
      </c>
      <c r="J60" s="2155">
        <f t="shared" si="35"/>
        <v>0</v>
      </c>
      <c r="K60" s="2062"/>
      <c r="L60" s="2027"/>
      <c r="M60" s="2061"/>
      <c r="N60" s="2028">
        <f t="shared" si="40"/>
        <v>0</v>
      </c>
      <c r="O60" s="2155" t="e">
        <f t="shared" si="36"/>
        <v>#DIV/0!</v>
      </c>
      <c r="P60" s="2062"/>
      <c r="Q60" s="2027"/>
      <c r="R60" s="2061"/>
      <c r="S60" s="2028">
        <f t="shared" si="41"/>
        <v>0</v>
      </c>
      <c r="T60" s="2155" t="e">
        <f t="shared" si="37"/>
        <v>#DIV/0!</v>
      </c>
      <c r="U60" s="2062"/>
      <c r="V60" s="2059">
        <f t="shared" si="42"/>
        <v>0</v>
      </c>
      <c r="W60" s="2059">
        <f t="shared" si="43"/>
        <v>0</v>
      </c>
      <c r="X60" s="2028">
        <f t="shared" si="44"/>
        <v>0</v>
      </c>
      <c r="Y60" s="2155">
        <f t="shared" si="38"/>
        <v>0</v>
      </c>
      <c r="Z60" s="2157"/>
      <c r="AA60" s="3167"/>
      <c r="AB60" s="3168"/>
    </row>
    <row r="61" spans="1:28" ht="24.6" customHeight="1" outlineLevel="2" x14ac:dyDescent="0.25">
      <c r="A61" s="1586"/>
      <c r="B61" s="2608" t="s">
        <v>32</v>
      </c>
      <c r="C61" s="2578"/>
      <c r="D61" s="2580"/>
      <c r="E61" s="2591">
        <f t="shared" si="45"/>
        <v>0</v>
      </c>
      <c r="F61" s="2155" t="e">
        <f t="shared" si="46"/>
        <v>#DIV/0!</v>
      </c>
      <c r="G61" s="2027"/>
      <c r="H61" s="2061"/>
      <c r="I61" s="2028">
        <f t="shared" si="39"/>
        <v>0</v>
      </c>
      <c r="J61" s="2155">
        <f t="shared" si="35"/>
        <v>0</v>
      </c>
      <c r="K61" s="2062"/>
      <c r="L61" s="2027"/>
      <c r="M61" s="2061"/>
      <c r="N61" s="2028">
        <f t="shared" si="40"/>
        <v>0</v>
      </c>
      <c r="O61" s="2155" t="e">
        <f t="shared" si="36"/>
        <v>#DIV/0!</v>
      </c>
      <c r="P61" s="2062"/>
      <c r="Q61" s="2027"/>
      <c r="R61" s="2061"/>
      <c r="S61" s="2028">
        <f t="shared" si="41"/>
        <v>0</v>
      </c>
      <c r="T61" s="2155" t="e">
        <f t="shared" si="37"/>
        <v>#DIV/0!</v>
      </c>
      <c r="U61" s="2062"/>
      <c r="V61" s="2059">
        <f t="shared" si="42"/>
        <v>0</v>
      </c>
      <c r="W61" s="2059">
        <f t="shared" si="43"/>
        <v>0</v>
      </c>
      <c r="X61" s="2028">
        <f t="shared" si="44"/>
        <v>0</v>
      </c>
      <c r="Y61" s="2155">
        <f t="shared" si="38"/>
        <v>0</v>
      </c>
      <c r="Z61" s="2157"/>
    </row>
    <row r="62" spans="1:28" ht="24.6" customHeight="1" outlineLevel="2" x14ac:dyDescent="0.25">
      <c r="A62" s="1586"/>
      <c r="B62" s="2608" t="s">
        <v>33</v>
      </c>
      <c r="C62" s="2578"/>
      <c r="D62" s="2580"/>
      <c r="E62" s="2591">
        <f t="shared" si="45"/>
        <v>0</v>
      </c>
      <c r="F62" s="2155" t="e">
        <f t="shared" si="46"/>
        <v>#DIV/0!</v>
      </c>
      <c r="G62" s="2027"/>
      <c r="H62" s="2061"/>
      <c r="I62" s="2028">
        <f t="shared" si="39"/>
        <v>0</v>
      </c>
      <c r="J62" s="2155">
        <f t="shared" si="35"/>
        <v>0</v>
      </c>
      <c r="K62" s="2062"/>
      <c r="L62" s="2027"/>
      <c r="M62" s="2061"/>
      <c r="N62" s="2028">
        <f t="shared" si="40"/>
        <v>0</v>
      </c>
      <c r="O62" s="2155" t="e">
        <f t="shared" si="36"/>
        <v>#DIV/0!</v>
      </c>
      <c r="P62" s="2062"/>
      <c r="Q62" s="2027"/>
      <c r="R62" s="2061"/>
      <c r="S62" s="2028">
        <f t="shared" si="41"/>
        <v>0</v>
      </c>
      <c r="T62" s="2155" t="e">
        <f t="shared" si="37"/>
        <v>#DIV/0!</v>
      </c>
      <c r="U62" s="2062"/>
      <c r="V62" s="2059">
        <f t="shared" si="42"/>
        <v>0</v>
      </c>
      <c r="W62" s="2059">
        <f t="shared" si="43"/>
        <v>0</v>
      </c>
      <c r="X62" s="2028">
        <f t="shared" si="44"/>
        <v>0</v>
      </c>
      <c r="Y62" s="2155">
        <f t="shared" si="38"/>
        <v>0</v>
      </c>
      <c r="Z62" s="2157"/>
    </row>
    <row r="63" spans="1:28" ht="24.6" customHeight="1" outlineLevel="2" x14ac:dyDescent="0.25">
      <c r="A63" s="1586"/>
      <c r="B63" s="2608" t="s">
        <v>35</v>
      </c>
      <c r="C63" s="2578"/>
      <c r="D63" s="2580"/>
      <c r="E63" s="2591">
        <f t="shared" si="45"/>
        <v>0</v>
      </c>
      <c r="F63" s="2155" t="e">
        <f t="shared" si="46"/>
        <v>#DIV/0!</v>
      </c>
      <c r="G63" s="2027"/>
      <c r="H63" s="1967"/>
      <c r="I63" s="2028">
        <f>G63+H63*1</f>
        <v>0</v>
      </c>
      <c r="J63" s="2155">
        <f t="shared" si="35"/>
        <v>0</v>
      </c>
      <c r="K63" s="2062"/>
      <c r="L63" s="2027"/>
      <c r="M63" s="1967"/>
      <c r="N63" s="2028">
        <f>L63+M63*1</f>
        <v>0</v>
      </c>
      <c r="O63" s="2155" t="e">
        <f t="shared" si="36"/>
        <v>#DIV/0!</v>
      </c>
      <c r="P63" s="2062"/>
      <c r="Q63" s="2027"/>
      <c r="R63" s="1967"/>
      <c r="S63" s="2028">
        <f>Q63+R63*1</f>
        <v>0</v>
      </c>
      <c r="T63" s="2155" t="e">
        <f t="shared" si="37"/>
        <v>#DIV/0!</v>
      </c>
      <c r="U63" s="2062"/>
      <c r="V63" s="2059">
        <f t="shared" si="42"/>
        <v>0</v>
      </c>
      <c r="W63" s="2059">
        <f t="shared" si="43"/>
        <v>0</v>
      </c>
      <c r="X63" s="2028">
        <f t="shared" si="44"/>
        <v>0</v>
      </c>
      <c r="Y63" s="2155">
        <f t="shared" si="38"/>
        <v>0</v>
      </c>
      <c r="Z63" s="2157"/>
    </row>
    <row r="64" spans="1:28" ht="24.6" customHeight="1" outlineLevel="2" x14ac:dyDescent="0.25">
      <c r="A64" s="1586"/>
      <c r="B64" s="2608" t="s">
        <v>63</v>
      </c>
      <c r="C64" s="2578"/>
      <c r="D64" s="2580"/>
      <c r="E64" s="2591">
        <f t="shared" si="45"/>
        <v>0</v>
      </c>
      <c r="F64" s="2155" t="e">
        <f t="shared" si="46"/>
        <v>#DIV/0!</v>
      </c>
      <c r="G64" s="2027"/>
      <c r="H64" s="2061"/>
      <c r="I64" s="2028">
        <f>G64+H64*1</f>
        <v>0</v>
      </c>
      <c r="J64" s="2155">
        <f t="shared" si="35"/>
        <v>0</v>
      </c>
      <c r="K64" s="2062"/>
      <c r="L64" s="2027"/>
      <c r="M64" s="2061"/>
      <c r="N64" s="2028">
        <f>L64+M64*1</f>
        <v>0</v>
      </c>
      <c r="O64" s="2155" t="e">
        <f t="shared" si="36"/>
        <v>#DIV/0!</v>
      </c>
      <c r="P64" s="2062"/>
      <c r="Q64" s="2027"/>
      <c r="R64" s="2061"/>
      <c r="S64" s="2028">
        <f>Q64+R64*1</f>
        <v>0</v>
      </c>
      <c r="T64" s="2155" t="e">
        <f t="shared" si="37"/>
        <v>#DIV/0!</v>
      </c>
      <c r="U64" s="2062"/>
      <c r="V64" s="2059">
        <f t="shared" si="42"/>
        <v>0</v>
      </c>
      <c r="W64" s="2059">
        <f t="shared" si="43"/>
        <v>0</v>
      </c>
      <c r="X64" s="2028">
        <f t="shared" si="44"/>
        <v>0</v>
      </c>
      <c r="Y64" s="2155">
        <f t="shared" si="38"/>
        <v>0</v>
      </c>
      <c r="Z64" s="2157"/>
    </row>
    <row r="65" spans="1:28" ht="24.6" customHeight="1" outlineLevel="2" x14ac:dyDescent="0.25">
      <c r="A65" s="1586"/>
      <c r="B65" s="2608" t="s">
        <v>36</v>
      </c>
      <c r="C65" s="2578"/>
      <c r="D65" s="2580"/>
      <c r="E65" s="2591">
        <f t="shared" si="45"/>
        <v>0</v>
      </c>
      <c r="F65" s="2155" t="e">
        <f t="shared" si="46"/>
        <v>#DIV/0!</v>
      </c>
      <c r="G65" s="2061"/>
      <c r="H65" s="2061"/>
      <c r="I65" s="2028">
        <f t="shared" ref="I65:I71" si="47">G65+H65*1</f>
        <v>0</v>
      </c>
      <c r="J65" s="2155">
        <f t="shared" si="35"/>
        <v>0</v>
      </c>
      <c r="K65" s="2062"/>
      <c r="L65" s="2061"/>
      <c r="M65" s="2061"/>
      <c r="N65" s="2028">
        <f t="shared" ref="N65:N71" si="48">L65+M65*1</f>
        <v>0</v>
      </c>
      <c r="O65" s="2155" t="e">
        <f t="shared" si="36"/>
        <v>#DIV/0!</v>
      </c>
      <c r="P65" s="2062"/>
      <c r="Q65" s="2061"/>
      <c r="R65" s="2061"/>
      <c r="S65" s="2028">
        <f t="shared" ref="S65:S71" si="49">Q65+R65*1</f>
        <v>0</v>
      </c>
      <c r="T65" s="2155" t="e">
        <f t="shared" si="37"/>
        <v>#DIV/0!</v>
      </c>
      <c r="U65" s="2062"/>
      <c r="V65" s="2059">
        <f t="shared" si="42"/>
        <v>0</v>
      </c>
      <c r="W65" s="2059">
        <f t="shared" si="43"/>
        <v>0</v>
      </c>
      <c r="X65" s="2028">
        <f t="shared" si="44"/>
        <v>0</v>
      </c>
      <c r="Y65" s="2155">
        <f t="shared" si="38"/>
        <v>0</v>
      </c>
      <c r="Z65" s="2157"/>
    </row>
    <row r="66" spans="1:28" s="1411" customFormat="1" ht="24.6" customHeight="1" outlineLevel="2" x14ac:dyDescent="0.25">
      <c r="A66" s="1586"/>
      <c r="B66" s="2608" t="s">
        <v>37</v>
      </c>
      <c r="C66" s="2578"/>
      <c r="D66" s="2580"/>
      <c r="E66" s="2591">
        <f t="shared" si="45"/>
        <v>0</v>
      </c>
      <c r="F66" s="2155" t="e">
        <f t="shared" si="46"/>
        <v>#DIV/0!</v>
      </c>
      <c r="G66" s="2027"/>
      <c r="H66" s="2059"/>
      <c r="I66" s="2028">
        <f t="shared" si="47"/>
        <v>0</v>
      </c>
      <c r="J66" s="2155">
        <f t="shared" si="35"/>
        <v>0</v>
      </c>
      <c r="K66" s="2062"/>
      <c r="L66" s="2027"/>
      <c r="M66" s="2059"/>
      <c r="N66" s="2028">
        <f t="shared" si="48"/>
        <v>0</v>
      </c>
      <c r="O66" s="2155" t="e">
        <f t="shared" si="36"/>
        <v>#DIV/0!</v>
      </c>
      <c r="P66" s="2062"/>
      <c r="Q66" s="2027"/>
      <c r="R66" s="2059"/>
      <c r="S66" s="2028">
        <f t="shared" si="49"/>
        <v>0</v>
      </c>
      <c r="T66" s="2155" t="e">
        <f t="shared" si="37"/>
        <v>#DIV/0!</v>
      </c>
      <c r="U66" s="2062"/>
      <c r="V66" s="2059">
        <f t="shared" si="42"/>
        <v>0</v>
      </c>
      <c r="W66" s="2059">
        <f t="shared" si="43"/>
        <v>0</v>
      </c>
      <c r="X66" s="2028">
        <f t="shared" si="44"/>
        <v>0</v>
      </c>
      <c r="Y66" s="2155">
        <f t="shared" si="38"/>
        <v>0</v>
      </c>
      <c r="Z66" s="2157"/>
    </row>
    <row r="67" spans="1:28" s="1411" customFormat="1" ht="24.6" customHeight="1" outlineLevel="2" x14ac:dyDescent="0.25">
      <c r="A67" s="1586"/>
      <c r="B67" s="2608" t="s">
        <v>3</v>
      </c>
      <c r="C67" s="2578"/>
      <c r="D67" s="2580"/>
      <c r="E67" s="2591">
        <f t="shared" si="45"/>
        <v>0</v>
      </c>
      <c r="F67" s="2155" t="e">
        <f t="shared" si="46"/>
        <v>#DIV/0!</v>
      </c>
      <c r="G67" s="2027"/>
      <c r="H67" s="2027"/>
      <c r="I67" s="2028">
        <f t="shared" si="47"/>
        <v>0</v>
      </c>
      <c r="J67" s="2155">
        <f t="shared" si="35"/>
        <v>0</v>
      </c>
      <c r="K67" s="2062"/>
      <c r="L67" s="2027"/>
      <c r="M67" s="2027"/>
      <c r="N67" s="2028">
        <f t="shared" si="48"/>
        <v>0</v>
      </c>
      <c r="O67" s="2155" t="e">
        <f t="shared" si="36"/>
        <v>#DIV/0!</v>
      </c>
      <c r="P67" s="2062"/>
      <c r="Q67" s="2027"/>
      <c r="R67" s="2027"/>
      <c r="S67" s="2028">
        <f t="shared" si="49"/>
        <v>0</v>
      </c>
      <c r="T67" s="2155" t="e">
        <f t="shared" si="37"/>
        <v>#DIV/0!</v>
      </c>
      <c r="U67" s="2062"/>
      <c r="V67" s="2059">
        <f t="shared" si="42"/>
        <v>0</v>
      </c>
      <c r="W67" s="2059">
        <f t="shared" si="43"/>
        <v>0</v>
      </c>
      <c r="X67" s="2028">
        <f t="shared" si="44"/>
        <v>0</v>
      </c>
      <c r="Y67" s="2155">
        <f t="shared" si="38"/>
        <v>0</v>
      </c>
      <c r="Z67" s="2157"/>
    </row>
    <row r="68" spans="1:28" s="1411" customFormat="1" ht="24.6" customHeight="1" outlineLevel="2" x14ac:dyDescent="0.25">
      <c r="A68" s="1586"/>
      <c r="B68" s="2608" t="s">
        <v>5</v>
      </c>
      <c r="C68" s="2578"/>
      <c r="D68" s="2580"/>
      <c r="E68" s="2591">
        <f t="shared" si="45"/>
        <v>0</v>
      </c>
      <c r="F68" s="2155" t="e">
        <f t="shared" si="46"/>
        <v>#DIV/0!</v>
      </c>
      <c r="G68" s="2059"/>
      <c r="H68" s="2059"/>
      <c r="I68" s="2028">
        <f t="shared" si="47"/>
        <v>0</v>
      </c>
      <c r="J68" s="2155">
        <f t="shared" si="35"/>
        <v>0</v>
      </c>
      <c r="K68" s="2062"/>
      <c r="L68" s="2059"/>
      <c r="M68" s="2059"/>
      <c r="N68" s="2028">
        <f t="shared" si="48"/>
        <v>0</v>
      </c>
      <c r="O68" s="2155" t="e">
        <f t="shared" si="36"/>
        <v>#DIV/0!</v>
      </c>
      <c r="P68" s="2062"/>
      <c r="Q68" s="2059"/>
      <c r="R68" s="2059"/>
      <c r="S68" s="2028">
        <f t="shared" si="49"/>
        <v>0</v>
      </c>
      <c r="T68" s="2155" t="e">
        <f t="shared" si="37"/>
        <v>#DIV/0!</v>
      </c>
      <c r="U68" s="2062"/>
      <c r="V68" s="2059">
        <f t="shared" si="42"/>
        <v>0</v>
      </c>
      <c r="W68" s="2059">
        <f t="shared" si="43"/>
        <v>0</v>
      </c>
      <c r="X68" s="2028">
        <f t="shared" si="44"/>
        <v>0</v>
      </c>
      <c r="Y68" s="2155">
        <f t="shared" si="38"/>
        <v>0</v>
      </c>
      <c r="Z68" s="2157"/>
    </row>
    <row r="69" spans="1:28" s="1411" customFormat="1" ht="24.6" customHeight="1" outlineLevel="2" x14ac:dyDescent="0.25">
      <c r="A69" s="1586"/>
      <c r="B69" s="2608" t="s">
        <v>42</v>
      </c>
      <c r="C69" s="2578"/>
      <c r="D69" s="2580"/>
      <c r="E69" s="2591">
        <f t="shared" si="45"/>
        <v>0</v>
      </c>
      <c r="F69" s="2155" t="e">
        <f t="shared" si="46"/>
        <v>#DIV/0!</v>
      </c>
      <c r="G69" s="2027"/>
      <c r="H69" s="2059"/>
      <c r="I69" s="2028">
        <f t="shared" si="47"/>
        <v>0</v>
      </c>
      <c r="J69" s="2155">
        <f t="shared" si="35"/>
        <v>0</v>
      </c>
      <c r="K69" s="2505"/>
      <c r="L69" s="2027"/>
      <c r="M69" s="2059"/>
      <c r="N69" s="2028">
        <f t="shared" si="48"/>
        <v>0</v>
      </c>
      <c r="O69" s="2155" t="e">
        <f t="shared" si="36"/>
        <v>#DIV/0!</v>
      </c>
      <c r="P69" s="2505"/>
      <c r="Q69" s="2027"/>
      <c r="R69" s="2059"/>
      <c r="S69" s="2028">
        <f t="shared" si="49"/>
        <v>0</v>
      </c>
      <c r="T69" s="2155" t="e">
        <f t="shared" si="37"/>
        <v>#DIV/0!</v>
      </c>
      <c r="U69" s="2505"/>
      <c r="V69" s="2059">
        <f t="shared" si="42"/>
        <v>0</v>
      </c>
      <c r="W69" s="2059">
        <f t="shared" si="43"/>
        <v>0</v>
      </c>
      <c r="X69" s="2028">
        <f t="shared" si="44"/>
        <v>0</v>
      </c>
      <c r="Y69" s="2155">
        <f t="shared" si="38"/>
        <v>0</v>
      </c>
      <c r="Z69" s="2157"/>
    </row>
    <row r="70" spans="1:28" s="1411" customFormat="1" ht="24.6" customHeight="1" outlineLevel="2" x14ac:dyDescent="0.25">
      <c r="A70" s="1586"/>
      <c r="B70" s="2608" t="s">
        <v>6</v>
      </c>
      <c r="C70" s="2597"/>
      <c r="D70" s="2580"/>
      <c r="E70" s="2591">
        <f t="shared" si="45"/>
        <v>0</v>
      </c>
      <c r="F70" s="2155" t="e">
        <f t="shared" si="46"/>
        <v>#DIV/0!</v>
      </c>
      <c r="G70" s="2027"/>
      <c r="H70" s="2067"/>
      <c r="I70" s="2028">
        <f t="shared" si="47"/>
        <v>0</v>
      </c>
      <c r="J70" s="2155">
        <f t="shared" si="35"/>
        <v>0</v>
      </c>
      <c r="K70" s="2062"/>
      <c r="L70" s="2027"/>
      <c r="M70" s="2067"/>
      <c r="N70" s="2028">
        <f t="shared" si="48"/>
        <v>0</v>
      </c>
      <c r="O70" s="2155" t="e">
        <f t="shared" si="36"/>
        <v>#DIV/0!</v>
      </c>
      <c r="P70" s="2062"/>
      <c r="Q70" s="2027"/>
      <c r="R70" s="2067"/>
      <c r="S70" s="2028">
        <f t="shared" si="49"/>
        <v>0</v>
      </c>
      <c r="T70" s="2155" t="e">
        <f t="shared" si="37"/>
        <v>#DIV/0!</v>
      </c>
      <c r="U70" s="2062"/>
      <c r="V70" s="2059">
        <f t="shared" si="42"/>
        <v>0</v>
      </c>
      <c r="W70" s="2059">
        <f t="shared" si="43"/>
        <v>0</v>
      </c>
      <c r="X70" s="2028">
        <f t="shared" si="44"/>
        <v>0</v>
      </c>
      <c r="Y70" s="2155">
        <f>X70/$X$89</f>
        <v>0</v>
      </c>
      <c r="Z70" s="2157"/>
    </row>
    <row r="71" spans="1:28" s="1411" customFormat="1" ht="24.6" customHeight="1" outlineLevel="2" x14ac:dyDescent="0.25">
      <c r="A71" s="1586"/>
      <c r="B71" s="2608" t="s">
        <v>234</v>
      </c>
      <c r="C71" s="2597"/>
      <c r="D71" s="2580"/>
      <c r="E71" s="2591">
        <f t="shared" si="45"/>
        <v>0</v>
      </c>
      <c r="F71" s="2033" t="e">
        <f t="shared" si="46"/>
        <v>#DIV/0!</v>
      </c>
      <c r="G71" s="2067"/>
      <c r="H71" s="2059"/>
      <c r="I71" s="2028">
        <f t="shared" si="47"/>
        <v>0</v>
      </c>
      <c r="J71" s="2155">
        <f t="shared" si="35"/>
        <v>0</v>
      </c>
      <c r="K71" s="2062"/>
      <c r="L71" s="2067"/>
      <c r="M71" s="2059"/>
      <c r="N71" s="2028">
        <f t="shared" si="48"/>
        <v>0</v>
      </c>
      <c r="O71" s="2155" t="e">
        <f t="shared" si="36"/>
        <v>#DIV/0!</v>
      </c>
      <c r="P71" s="2062"/>
      <c r="Q71" s="2067"/>
      <c r="R71" s="2059"/>
      <c r="S71" s="2028">
        <f t="shared" si="49"/>
        <v>0</v>
      </c>
      <c r="T71" s="2155" t="e">
        <f t="shared" si="37"/>
        <v>#DIV/0!</v>
      </c>
      <c r="U71" s="2062"/>
      <c r="V71" s="2059">
        <f t="shared" si="42"/>
        <v>0</v>
      </c>
      <c r="W71" s="2059">
        <f t="shared" si="43"/>
        <v>0</v>
      </c>
      <c r="X71" s="2028">
        <f t="shared" si="44"/>
        <v>0</v>
      </c>
      <c r="Y71" s="2155">
        <f t="shared" si="38"/>
        <v>0</v>
      </c>
      <c r="Z71" s="2157"/>
    </row>
    <row r="72" spans="1:28" s="1411" customFormat="1" ht="24.6" customHeight="1" outlineLevel="2" thickBot="1" x14ac:dyDescent="0.3">
      <c r="A72" s="1586"/>
      <c r="B72" s="2617"/>
      <c r="C72" s="2508"/>
      <c r="D72" s="2509"/>
      <c r="E72" s="2591"/>
      <c r="F72" s="2033" t="e">
        <f t="shared" si="46"/>
        <v>#DIV/0!</v>
      </c>
      <c r="G72" s="2045"/>
      <c r="H72" s="2043"/>
      <c r="I72" s="2046"/>
      <c r="J72" s="2033"/>
      <c r="K72" s="2006"/>
      <c r="L72" s="2045"/>
      <c r="M72" s="2043"/>
      <c r="N72" s="2046"/>
      <c r="O72" s="2033"/>
      <c r="P72" s="2006"/>
      <c r="Q72" s="2045"/>
      <c r="R72" s="2043"/>
      <c r="S72" s="2046"/>
      <c r="T72" s="2033"/>
      <c r="U72" s="2006"/>
      <c r="V72" s="2059"/>
      <c r="W72" s="2059"/>
      <c r="X72" s="2046"/>
      <c r="Y72" s="2033">
        <f>X72/$X$89</f>
        <v>0</v>
      </c>
      <c r="Z72" s="1944"/>
    </row>
    <row r="73" spans="1:28" s="1411" customFormat="1" ht="14.4" customHeight="1" outlineLevel="1" thickBot="1" x14ac:dyDescent="0.3">
      <c r="A73" s="1586"/>
      <c r="B73" s="996" t="s">
        <v>4</v>
      </c>
      <c r="C73" s="1599">
        <f>C74</f>
        <v>0</v>
      </c>
      <c r="D73" s="843">
        <f>D74</f>
        <v>0</v>
      </c>
      <c r="E73" s="1599">
        <f>E74</f>
        <v>0</v>
      </c>
      <c r="F73" s="838" t="e">
        <f>E73/$E$89</f>
        <v>#DIV/0!</v>
      </c>
      <c r="G73" s="1599">
        <f>G74</f>
        <v>0</v>
      </c>
      <c r="H73" s="1599">
        <f>H74</f>
        <v>0</v>
      </c>
      <c r="I73" s="1703">
        <f>I74</f>
        <v>0</v>
      </c>
      <c r="J73" s="1704">
        <f t="shared" ref="J73:J74" si="50">I73/I$89</f>
        <v>0</v>
      </c>
      <c r="K73" s="1747"/>
      <c r="L73" s="1599">
        <f>L74</f>
        <v>0</v>
      </c>
      <c r="M73" s="1599">
        <f>M74</f>
        <v>0</v>
      </c>
      <c r="N73" s="1703">
        <f>N74</f>
        <v>0</v>
      </c>
      <c r="O73" s="1704" t="e">
        <f t="shared" ref="O73:O74" si="51">N73/N$89</f>
        <v>#DIV/0!</v>
      </c>
      <c r="P73" s="1747"/>
      <c r="Q73" s="1599">
        <f>Q74</f>
        <v>0</v>
      </c>
      <c r="R73" s="1599">
        <f>R74</f>
        <v>0</v>
      </c>
      <c r="S73" s="1703">
        <f>S74</f>
        <v>0</v>
      </c>
      <c r="T73" s="1704" t="e">
        <f t="shared" ref="T73:T74" si="52">S73/S$89</f>
        <v>#DIV/0!</v>
      </c>
      <c r="U73" s="1747"/>
      <c r="V73" s="1599">
        <f>V74</f>
        <v>0</v>
      </c>
      <c r="W73" s="1704">
        <f>W74</f>
        <v>0</v>
      </c>
      <c r="X73" s="1703">
        <f>X74</f>
        <v>0</v>
      </c>
      <c r="Y73" s="1704"/>
      <c r="Z73" s="1704"/>
    </row>
    <row r="74" spans="1:28" s="1411" customFormat="1" ht="14.4" customHeight="1" outlineLevel="1" thickBot="1" x14ac:dyDescent="0.3">
      <c r="A74" s="1428"/>
      <c r="B74" s="995" t="s">
        <v>64</v>
      </c>
      <c r="C74" s="304"/>
      <c r="D74" s="305"/>
      <c r="E74" s="306">
        <f>C74+D74</f>
        <v>0</v>
      </c>
      <c r="F74" s="307"/>
      <c r="G74" s="2044"/>
      <c r="H74" s="2041"/>
      <c r="I74" s="1643">
        <f>G74+H74*1</f>
        <v>0</v>
      </c>
      <c r="J74" s="1679">
        <f t="shared" si="50"/>
        <v>0</v>
      </c>
      <c r="K74" s="1690"/>
      <c r="L74" s="2044"/>
      <c r="M74" s="2041"/>
      <c r="N74" s="1643">
        <f>L74+M74*1</f>
        <v>0</v>
      </c>
      <c r="O74" s="1679" t="e">
        <f t="shared" si="51"/>
        <v>#DIV/0!</v>
      </c>
      <c r="P74" s="1690"/>
      <c r="Q74" s="2044"/>
      <c r="R74" s="2041"/>
      <c r="S74" s="1643">
        <f>Q74+R74*1</f>
        <v>0</v>
      </c>
      <c r="T74" s="1679" t="e">
        <f t="shared" si="52"/>
        <v>#DIV/0!</v>
      </c>
      <c r="U74" s="1690"/>
      <c r="V74" s="2059">
        <f t="shared" ref="V74" si="53">G74+L74+Q74</f>
        <v>0</v>
      </c>
      <c r="W74" s="2059">
        <f t="shared" ref="W74" si="54">H74+M74+R74</f>
        <v>0</v>
      </c>
      <c r="X74" s="1643">
        <f>V74+W74*1</f>
        <v>0</v>
      </c>
      <c r="Y74" s="1679">
        <f>X74/$X$89</f>
        <v>0</v>
      </c>
      <c r="Z74" s="1663"/>
    </row>
    <row r="75" spans="1:28" s="1411" customFormat="1" ht="14.4" customHeight="1" thickBot="1" x14ac:dyDescent="0.3">
      <c r="A75" s="1414"/>
      <c r="B75" s="981" t="s">
        <v>48</v>
      </c>
      <c r="C75" s="1974">
        <f>C38-C41-C50-C54</f>
        <v>0</v>
      </c>
      <c r="D75" s="1974">
        <f>D38-D41-D50-D54</f>
        <v>0</v>
      </c>
      <c r="E75" s="1523">
        <f>E38-E41-E50-E54</f>
        <v>0</v>
      </c>
      <c r="F75" s="1551"/>
      <c r="G75" s="1465">
        <f>G38-G41-G50-G54</f>
        <v>67328</v>
      </c>
      <c r="H75" s="1465">
        <f>H38-H41-H50-H54</f>
        <v>0</v>
      </c>
      <c r="I75" s="1523">
        <f>I38-I41-I50-I54</f>
        <v>67328</v>
      </c>
      <c r="J75" s="1969"/>
      <c r="K75" s="1675"/>
      <c r="L75" s="1465">
        <f>L38-L41-L50-L54</f>
        <v>0</v>
      </c>
      <c r="M75" s="1465">
        <f>M38-M41-M50-M54</f>
        <v>0</v>
      </c>
      <c r="N75" s="1523">
        <f>N38-N41-N50-N54</f>
        <v>0</v>
      </c>
      <c r="O75" s="1969"/>
      <c r="P75" s="1675"/>
      <c r="Q75" s="1465">
        <f>Q38-Q41-Q50-Q54</f>
        <v>0</v>
      </c>
      <c r="R75" s="1465">
        <f>R38-R41-R50-R54</f>
        <v>0</v>
      </c>
      <c r="S75" s="1523">
        <f>S38-S41-S50-S54</f>
        <v>0</v>
      </c>
      <c r="T75" s="1969"/>
      <c r="U75" s="1675"/>
      <c r="V75" s="1465">
        <f>V38-V41-V50-V54</f>
        <v>67328</v>
      </c>
      <c r="W75" s="1465">
        <f>W38-W41-W50-W54</f>
        <v>0</v>
      </c>
      <c r="X75" s="1523">
        <f>X38-X41-X50-X54</f>
        <v>67328</v>
      </c>
      <c r="Y75" s="1969"/>
      <c r="Z75" s="1969"/>
    </row>
    <row r="76" spans="1:28" s="1411" customFormat="1" ht="14.4" customHeight="1" x14ac:dyDescent="0.25">
      <c r="A76" s="1581"/>
      <c r="B76" s="982" t="s">
        <v>49</v>
      </c>
      <c r="C76" s="1540" t="e">
        <f>C75/C5</f>
        <v>#DIV/0!</v>
      </c>
      <c r="D76" s="1540" t="e">
        <f>D75/D5</f>
        <v>#DIV/0!</v>
      </c>
      <c r="E76" s="1541" t="e">
        <f>E75/E5</f>
        <v>#DIV/0!</v>
      </c>
      <c r="F76" s="1546"/>
      <c r="G76" s="2019">
        <f>G75/G5</f>
        <v>0.5518688524590164</v>
      </c>
      <c r="H76" s="2019" t="e">
        <f>H75/H5</f>
        <v>#DIV/0!</v>
      </c>
      <c r="I76" s="2020">
        <f>I75/I5</f>
        <v>0.5518688524590164</v>
      </c>
      <c r="J76" s="2020"/>
      <c r="K76" s="1676"/>
      <c r="L76" s="2019" t="e">
        <f>L75/L5</f>
        <v>#DIV/0!</v>
      </c>
      <c r="M76" s="2019" t="e">
        <f>M75/M5</f>
        <v>#DIV/0!</v>
      </c>
      <c r="N76" s="2020" t="e">
        <f>N75/N5</f>
        <v>#DIV/0!</v>
      </c>
      <c r="O76" s="2020"/>
      <c r="P76" s="1676"/>
      <c r="Q76" s="2019" t="e">
        <f>Q75/Q5</f>
        <v>#DIV/0!</v>
      </c>
      <c r="R76" s="2019" t="e">
        <f>R75/R5</f>
        <v>#DIV/0!</v>
      </c>
      <c r="S76" s="2020" t="e">
        <f>S75/S5</f>
        <v>#DIV/0!</v>
      </c>
      <c r="T76" s="2020"/>
      <c r="U76" s="1676"/>
      <c r="V76" s="2019">
        <f>V75/V5</f>
        <v>0.5518688524590164</v>
      </c>
      <c r="W76" s="2019" t="e">
        <f>W75/W5</f>
        <v>#DIV/0!</v>
      </c>
      <c r="X76" s="2020">
        <f>X75/X5</f>
        <v>0.5518688524590164</v>
      </c>
      <c r="Y76" s="2020"/>
      <c r="Z76" s="2020"/>
    </row>
    <row r="77" spans="1:28" s="1411" customFormat="1" ht="14.4" customHeight="1" outlineLevel="1" thickBot="1" x14ac:dyDescent="0.3">
      <c r="A77" s="1581"/>
      <c r="B77" s="2618" t="s">
        <v>9</v>
      </c>
      <c r="C77" s="2536">
        <f>C78-C79</f>
        <v>0</v>
      </c>
      <c r="D77" s="2536">
        <f>D78-D79</f>
        <v>0</v>
      </c>
      <c r="E77" s="2537">
        <f>E78-E79</f>
        <v>0</v>
      </c>
      <c r="F77" s="2567"/>
      <c r="G77" s="2536">
        <f>G78-G79</f>
        <v>0</v>
      </c>
      <c r="H77" s="2536">
        <f>H78-H79</f>
        <v>0</v>
      </c>
      <c r="I77" s="2537">
        <f>I78-I79</f>
        <v>0</v>
      </c>
      <c r="J77" s="2538">
        <f t="shared" ref="J77" si="55">I77/I$89</f>
        <v>0</v>
      </c>
      <c r="K77" s="2539"/>
      <c r="L77" s="2536">
        <f>L78-L79</f>
        <v>0</v>
      </c>
      <c r="M77" s="2536">
        <f>M78-M79</f>
        <v>0</v>
      </c>
      <c r="N77" s="2537">
        <f>N78-N79</f>
        <v>0</v>
      </c>
      <c r="O77" s="2538" t="e">
        <f t="shared" ref="O77" si="56">N77/N$89</f>
        <v>#DIV/0!</v>
      </c>
      <c r="P77" s="2539"/>
      <c r="Q77" s="2536">
        <f>Q78-Q79</f>
        <v>0</v>
      </c>
      <c r="R77" s="2536">
        <f>R78-R79</f>
        <v>0</v>
      </c>
      <c r="S77" s="2537">
        <f>S78-S79</f>
        <v>0</v>
      </c>
      <c r="T77" s="2538" t="e">
        <f t="shared" ref="T77" si="57">S77/S$89</f>
        <v>#DIV/0!</v>
      </c>
      <c r="U77" s="2539"/>
      <c r="V77" s="2536">
        <f>V78-V79</f>
        <v>0</v>
      </c>
      <c r="W77" s="2536">
        <f>W79</f>
        <v>0</v>
      </c>
      <c r="X77" s="2537">
        <f>X78-X79</f>
        <v>0</v>
      </c>
      <c r="Y77" s="2538"/>
      <c r="Z77" s="2538"/>
    </row>
    <row r="78" spans="1:28" s="1411" customFormat="1" ht="14.4" customHeight="1" outlineLevel="2" x14ac:dyDescent="0.25">
      <c r="A78" s="1420"/>
      <c r="B78" s="1637" t="s">
        <v>43</v>
      </c>
      <c r="C78" s="1525"/>
      <c r="D78" s="1526"/>
      <c r="E78" s="2523">
        <f>C78+D78*1.15</f>
        <v>0</v>
      </c>
      <c r="F78" s="1562"/>
      <c r="G78" s="1633"/>
      <c r="H78" s="1689"/>
      <c r="I78" s="2028">
        <f>G78+H78*1.15</f>
        <v>0</v>
      </c>
      <c r="J78" s="2155" t="e">
        <f>I78/$AS$89</f>
        <v>#DIV/0!</v>
      </c>
      <c r="K78" s="1677"/>
      <c r="L78" s="1633"/>
      <c r="M78" s="1689"/>
      <c r="N78" s="2028">
        <f>L78+M78*1.15</f>
        <v>0</v>
      </c>
      <c r="O78" s="2155" t="e">
        <f>N78/$AS$89</f>
        <v>#DIV/0!</v>
      </c>
      <c r="P78" s="1677"/>
      <c r="Q78" s="1633"/>
      <c r="R78" s="1689"/>
      <c r="S78" s="2028">
        <f>Q78+R78*1.15</f>
        <v>0</v>
      </c>
      <c r="T78" s="2155" t="e">
        <f>S78/$BC$89</f>
        <v>#DIV/0!</v>
      </c>
      <c r="U78" s="1677"/>
      <c r="V78" s="2059">
        <f t="shared" ref="V78:V79" si="58">G78+L78+Q78</f>
        <v>0</v>
      </c>
      <c r="W78" s="2059">
        <f t="shared" ref="W78:W79" si="59">H78+M78+R78</f>
        <v>0</v>
      </c>
      <c r="X78" s="2028">
        <f>V78+W78*1</f>
        <v>0</v>
      </c>
      <c r="Y78" s="1467"/>
      <c r="Z78" s="1467"/>
    </row>
    <row r="79" spans="1:28" s="1411" customFormat="1" ht="14.4" customHeight="1" outlineLevel="2" x14ac:dyDescent="0.25">
      <c r="A79" s="1420"/>
      <c r="B79" s="2577" t="s">
        <v>79</v>
      </c>
      <c r="C79" s="2578"/>
      <c r="D79" s="2523"/>
      <c r="E79" s="2523">
        <f>C79+D79</f>
        <v>0</v>
      </c>
      <c r="F79" s="2504" t="e">
        <f>E79/$E$89</f>
        <v>#DIV/0!</v>
      </c>
      <c r="G79" s="1633"/>
      <c r="H79" s="1689"/>
      <c r="I79" s="2028">
        <f>(H8+H41+H50+H54)/(1-'расчет 2022'!E21)*'расчет 2022'!E21</f>
        <v>0</v>
      </c>
      <c r="J79" s="2155">
        <f t="shared" ref="J79" si="60">I79/I$89</f>
        <v>0</v>
      </c>
      <c r="K79" s="2654"/>
      <c r="L79" s="1633"/>
      <c r="M79" s="1689"/>
      <c r="N79" s="2028">
        <f>(M8+M41+M50+M54)/(1-'расчет 2022'!E22)*'расчет 2022'!E22</f>
        <v>0</v>
      </c>
      <c r="O79" s="2155" t="e">
        <f t="shared" ref="O79" si="61">N79/N$89</f>
        <v>#DIV/0!</v>
      </c>
      <c r="P79" s="2654"/>
      <c r="Q79" s="1633"/>
      <c r="R79" s="1689"/>
      <c r="S79" s="2028">
        <f>(R8+R41+R50+R54)/(1-'расчет 2022'!E23)*'расчет 2022'!E23</f>
        <v>0</v>
      </c>
      <c r="T79" s="2155" t="e">
        <f t="shared" ref="T79" si="62">S79/S$89</f>
        <v>#DIV/0!</v>
      </c>
      <c r="U79" s="2654"/>
      <c r="V79" s="2059">
        <f t="shared" si="58"/>
        <v>0</v>
      </c>
      <c r="W79" s="2059">
        <f t="shared" si="59"/>
        <v>0</v>
      </c>
      <c r="X79" s="2059">
        <f t="shared" ref="X79" si="63">I79+N79</f>
        <v>0</v>
      </c>
      <c r="Y79" s="2164"/>
      <c r="Z79" s="2164"/>
      <c r="AA79" s="3167"/>
      <c r="AB79" s="3168"/>
    </row>
    <row r="80" spans="1:28" ht="14.4" customHeight="1" outlineLevel="2" x14ac:dyDescent="0.25">
      <c r="A80" s="1412"/>
      <c r="B80" s="2619"/>
      <c r="C80" s="2602"/>
      <c r="D80" s="2603"/>
      <c r="E80" s="2511"/>
      <c r="F80" s="2512"/>
      <c r="G80" s="2067"/>
      <c r="H80" s="2059"/>
      <c r="I80" s="2482"/>
      <c r="J80" s="2482"/>
      <c r="K80" s="2540"/>
      <c r="L80" s="2067"/>
      <c r="M80" s="2059"/>
      <c r="N80" s="2482"/>
      <c r="O80" s="2482"/>
      <c r="P80" s="2540"/>
      <c r="Q80" s="1633"/>
      <c r="R80" s="1689"/>
      <c r="S80" s="2482"/>
      <c r="T80" s="2482"/>
      <c r="U80" s="2540"/>
      <c r="V80" s="2059"/>
      <c r="W80" s="2059"/>
      <c r="X80" s="2482"/>
      <c r="Y80" s="2482"/>
      <c r="Z80" s="2482"/>
      <c r="AA80" s="3167"/>
      <c r="AB80" s="3168"/>
    </row>
    <row r="81" spans="1:26" s="1411" customFormat="1" ht="14.4" customHeight="1" outlineLevel="1" thickBot="1" x14ac:dyDescent="0.3">
      <c r="A81" s="1434"/>
      <c r="B81" s="2618" t="s">
        <v>12</v>
      </c>
      <c r="C81" s="2536">
        <f>(C75+C78)-C79</f>
        <v>0</v>
      </c>
      <c r="D81" s="2536">
        <f>(D75+D78)-D79</f>
        <v>0</v>
      </c>
      <c r="E81" s="2537">
        <f>(E75+E78)-E79</f>
        <v>0</v>
      </c>
      <c r="F81" s="2567"/>
      <c r="G81" s="2536">
        <f>(G75+G78)-G79</f>
        <v>67328</v>
      </c>
      <c r="H81" s="2536">
        <f>(H75+H78)-H79</f>
        <v>0</v>
      </c>
      <c r="I81" s="2537">
        <f>(I75+I78)-I79</f>
        <v>67328</v>
      </c>
      <c r="J81" s="2538"/>
      <c r="K81" s="2539"/>
      <c r="L81" s="2536">
        <f>(L75+L78)-L79</f>
        <v>0</v>
      </c>
      <c r="M81" s="2536">
        <f>(M75+M78)-M79</f>
        <v>0</v>
      </c>
      <c r="N81" s="2537">
        <f>(N75+N78)-N79</f>
        <v>0</v>
      </c>
      <c r="O81" s="2538"/>
      <c r="P81" s="2539"/>
      <c r="Q81" s="2536">
        <f>(Q75+Q78)-Q79</f>
        <v>0</v>
      </c>
      <c r="R81" s="2536">
        <f>(R75+R78)-R79</f>
        <v>0</v>
      </c>
      <c r="S81" s="2537">
        <f>(S75+S78)-S79</f>
        <v>0</v>
      </c>
      <c r="T81" s="2538"/>
      <c r="U81" s="2539"/>
      <c r="V81" s="2537">
        <f>(V75+V78)-V79</f>
        <v>67328</v>
      </c>
      <c r="W81" s="2537">
        <f>(W75+W78)-W79</f>
        <v>0</v>
      </c>
      <c r="X81" s="2537">
        <f>(X75+X78)-X79</f>
        <v>67328</v>
      </c>
      <c r="Y81" s="2538"/>
      <c r="Z81" s="2538"/>
    </row>
    <row r="82" spans="1:26" s="1411" customFormat="1" ht="14.4" customHeight="1" outlineLevel="2" x14ac:dyDescent="0.25">
      <c r="A82" s="1580"/>
      <c r="B82" s="1637" t="s">
        <v>38</v>
      </c>
      <c r="C82" s="1525"/>
      <c r="D82" s="1526"/>
      <c r="E82" s="1530">
        <f>C82+D82</f>
        <v>0</v>
      </c>
      <c r="F82" s="2504" t="e">
        <f>E82/$E$89</f>
        <v>#DIV/0!</v>
      </c>
      <c r="G82" s="2067"/>
      <c r="H82" s="2059"/>
      <c r="I82" s="1530">
        <f>G82+H82</f>
        <v>0</v>
      </c>
      <c r="J82" s="1491"/>
      <c r="K82" s="2062"/>
      <c r="L82" s="2067"/>
      <c r="M82" s="2059"/>
      <c r="N82" s="1530">
        <f>L82+M82</f>
        <v>0</v>
      </c>
      <c r="O82" s="1491"/>
      <c r="P82" s="2062"/>
      <c r="Q82" s="2067"/>
      <c r="R82" s="2059"/>
      <c r="S82" s="1530">
        <f>Q82+R82</f>
        <v>0</v>
      </c>
      <c r="T82" s="1491"/>
      <c r="U82" s="2062"/>
      <c r="V82" s="2059">
        <f t="shared" ref="V82" si="64">G82+L82+Q82</f>
        <v>0</v>
      </c>
      <c r="W82" s="2059">
        <f t="shared" ref="W82" si="65">H82+M82+R82</f>
        <v>0</v>
      </c>
      <c r="X82" s="1530">
        <f>V82+W82</f>
        <v>0</v>
      </c>
      <c r="Y82" s="1491"/>
      <c r="Z82" s="1491"/>
    </row>
    <row r="83" spans="1:26" s="1411" customFormat="1" ht="14.4" customHeight="1" outlineLevel="1" x14ac:dyDescent="0.25">
      <c r="A83" s="1420"/>
      <c r="B83" s="2620" t="s">
        <v>13</v>
      </c>
      <c r="C83" s="2541">
        <f t="shared" ref="C83:E83" si="66">(C81)-C36</f>
        <v>0</v>
      </c>
      <c r="D83" s="2541">
        <f t="shared" si="66"/>
        <v>0</v>
      </c>
      <c r="E83" s="2541">
        <f t="shared" si="66"/>
        <v>0</v>
      </c>
      <c r="F83" s="2570"/>
      <c r="G83" s="2541">
        <f>(G81+G7)-G36</f>
        <v>67328</v>
      </c>
      <c r="H83" s="2541">
        <f>(H81+H7)-H36</f>
        <v>0</v>
      </c>
      <c r="I83" s="2542">
        <f>(I81+I7)-I36</f>
        <v>67328</v>
      </c>
      <c r="J83" s="2543"/>
      <c r="K83" s="2544"/>
      <c r="L83" s="2541">
        <f>(L81+L7)-L36</f>
        <v>0</v>
      </c>
      <c r="M83" s="2541">
        <f>(M81+M7)-M36</f>
        <v>0</v>
      </c>
      <c r="N83" s="2542">
        <f>(N81+N7)-N36</f>
        <v>0</v>
      </c>
      <c r="O83" s="2543"/>
      <c r="P83" s="2544"/>
      <c r="Q83" s="2541">
        <f>(Q81+Q7)-Q36</f>
        <v>0</v>
      </c>
      <c r="R83" s="2541">
        <f>(R81+R7)-R36</f>
        <v>0</v>
      </c>
      <c r="S83" s="2542">
        <f>(S81+S7)-S36</f>
        <v>0</v>
      </c>
      <c r="T83" s="2543"/>
      <c r="U83" s="2544"/>
      <c r="V83" s="2541">
        <f>(V81)-V36</f>
        <v>67328</v>
      </c>
      <c r="W83" s="2541">
        <f>(W81)-W36</f>
        <v>0</v>
      </c>
      <c r="X83" s="2542">
        <f>(X81)-X36</f>
        <v>67328</v>
      </c>
      <c r="Y83" s="2543"/>
      <c r="Z83" s="2543"/>
    </row>
    <row r="84" spans="1:26" s="1411" customFormat="1" ht="14.4" customHeight="1" outlineLevel="1" thickBot="1" x14ac:dyDescent="0.3">
      <c r="A84" s="1420"/>
      <c r="B84" s="2621" t="s">
        <v>14</v>
      </c>
      <c r="C84" s="2560">
        <f>C83-C73-C82</f>
        <v>0</v>
      </c>
      <c r="D84" s="2560">
        <f>D83-D73-D82</f>
        <v>0</v>
      </c>
      <c r="E84" s="2560">
        <f>E83-E73-E82</f>
        <v>0</v>
      </c>
      <c r="F84" s="2571"/>
      <c r="G84" s="2518">
        <f>G83-G73-G82</f>
        <v>67328</v>
      </c>
      <c r="H84" s="2518">
        <f>H83-H73-H82</f>
        <v>0</v>
      </c>
      <c r="I84" s="2518">
        <f>I83-I73-I82</f>
        <v>67328</v>
      </c>
      <c r="J84" s="2519"/>
      <c r="K84" s="2545"/>
      <c r="L84" s="2518">
        <f>L83-L73-L82</f>
        <v>0</v>
      </c>
      <c r="M84" s="2518">
        <f>M83-M73-M82</f>
        <v>0</v>
      </c>
      <c r="N84" s="2518">
        <f>N83-N73-N82</f>
        <v>0</v>
      </c>
      <c r="O84" s="2519"/>
      <c r="P84" s="2545"/>
      <c r="Q84" s="2518">
        <f>Q83-Q73-Q82</f>
        <v>0</v>
      </c>
      <c r="R84" s="2518">
        <f>R83-R73-R82</f>
        <v>0</v>
      </c>
      <c r="S84" s="2518">
        <f>S83-S73-S82</f>
        <v>0</v>
      </c>
      <c r="T84" s="2519"/>
      <c r="U84" s="2545"/>
      <c r="V84" s="2518">
        <f>V83-V73-V82</f>
        <v>67328</v>
      </c>
      <c r="W84" s="2518">
        <f>W83-W73-W82</f>
        <v>0</v>
      </c>
      <c r="X84" s="2518">
        <f>X83-X73-X82</f>
        <v>67328</v>
      </c>
      <c r="Y84" s="2519"/>
      <c r="Z84" s="2519"/>
    </row>
    <row r="85" spans="1:26" s="1411" customFormat="1" ht="14.4" customHeight="1" outlineLevel="3" x14ac:dyDescent="0.25">
      <c r="A85" s="1580"/>
      <c r="B85" s="1439" t="s">
        <v>44</v>
      </c>
      <c r="C85" s="1501"/>
      <c r="D85" s="1101"/>
      <c r="E85" s="1102">
        <f>C85+D85</f>
        <v>0</v>
      </c>
      <c r="F85" s="1602" t="e">
        <f>E85/$E$89</f>
        <v>#DIV/0!</v>
      </c>
      <c r="G85" s="2067"/>
      <c r="H85" s="2059"/>
      <c r="I85" s="2028">
        <f>G85+H85*1</f>
        <v>0</v>
      </c>
      <c r="J85" s="1491"/>
      <c r="K85" s="1763"/>
      <c r="L85" s="2067"/>
      <c r="M85" s="2059"/>
      <c r="N85" s="2028">
        <f>L85+M85*1</f>
        <v>0</v>
      </c>
      <c r="O85" s="1491"/>
      <c r="P85" s="1763"/>
      <c r="Q85" s="2067"/>
      <c r="R85" s="2059"/>
      <c r="S85" s="2028">
        <f>Q85+R85*1</f>
        <v>0</v>
      </c>
      <c r="T85" s="1491"/>
      <c r="U85" s="1763"/>
      <c r="V85" s="2059">
        <f t="shared" ref="V85" si="67">G85+L85+Q85</f>
        <v>0</v>
      </c>
      <c r="W85" s="2059">
        <f t="shared" ref="W85" si="68">H85+M85+R85</f>
        <v>0</v>
      </c>
      <c r="X85" s="2028">
        <f>V85+W85*1.15</f>
        <v>0</v>
      </c>
      <c r="Y85" s="1491"/>
      <c r="Z85" s="1491"/>
    </row>
    <row r="86" spans="1:26" s="1411" customFormat="1" ht="14.4" customHeight="1" x14ac:dyDescent="0.25">
      <c r="A86" s="1420"/>
      <c r="B86" s="2622" t="s">
        <v>50</v>
      </c>
      <c r="C86" s="2561">
        <f>C84-C85</f>
        <v>0</v>
      </c>
      <c r="D86" s="2561">
        <f>D84-D85</f>
        <v>0</v>
      </c>
      <c r="E86" s="2546">
        <f>E84-E85</f>
        <v>0</v>
      </c>
      <c r="F86" s="2573"/>
      <c r="G86" s="2546">
        <f>G84</f>
        <v>67328</v>
      </c>
      <c r="H86" s="2546">
        <f t="shared" ref="H86" si="69">H84</f>
        <v>0</v>
      </c>
      <c r="I86" s="2546">
        <f>I84</f>
        <v>67328</v>
      </c>
      <c r="J86" s="2547"/>
      <c r="K86" s="2544"/>
      <c r="L86" s="2546">
        <f>L84</f>
        <v>0</v>
      </c>
      <c r="M86" s="2546">
        <f t="shared" ref="M86" si="70">M84</f>
        <v>0</v>
      </c>
      <c r="N86" s="2546">
        <f>N84</f>
        <v>0</v>
      </c>
      <c r="O86" s="2547"/>
      <c r="P86" s="2544"/>
      <c r="Q86" s="2546">
        <f>Q84</f>
        <v>0</v>
      </c>
      <c r="R86" s="2546">
        <f t="shared" ref="R86" si="71">R84</f>
        <v>0</v>
      </c>
      <c r="S86" s="2546">
        <f>S84</f>
        <v>0</v>
      </c>
      <c r="T86" s="2547"/>
      <c r="U86" s="2544"/>
      <c r="V86" s="2546">
        <f>V84-V85</f>
        <v>67328</v>
      </c>
      <c r="W86" s="2546">
        <f>W84-W85</f>
        <v>0</v>
      </c>
      <c r="X86" s="2546">
        <f>X84-X85</f>
        <v>67328</v>
      </c>
      <c r="Y86" s="2547"/>
      <c r="Z86" s="2547"/>
    </row>
    <row r="87" spans="1:26" s="1411" customFormat="1" ht="14.4" customHeight="1" thickBot="1" x14ac:dyDescent="0.3">
      <c r="A87" s="1582"/>
      <c r="B87" s="2623" t="s">
        <v>51</v>
      </c>
      <c r="C87" s="2548" t="e">
        <f>C86/C5</f>
        <v>#DIV/0!</v>
      </c>
      <c r="D87" s="2549" t="e">
        <f>D86/D5</f>
        <v>#DIV/0!</v>
      </c>
      <c r="E87" s="2550" t="e">
        <f>E86/E5</f>
        <v>#DIV/0!</v>
      </c>
      <c r="F87" s="2575"/>
      <c r="G87" s="2548">
        <f>G86/G5</f>
        <v>0.5518688524590164</v>
      </c>
      <c r="H87" s="2549" t="e">
        <f>H86/H5</f>
        <v>#DIV/0!</v>
      </c>
      <c r="I87" s="2550">
        <f>I86/I5</f>
        <v>0.5518688524590164</v>
      </c>
      <c r="J87" s="2551"/>
      <c r="K87" s="2552"/>
      <c r="L87" s="2548" t="e">
        <f>L86/L5</f>
        <v>#DIV/0!</v>
      </c>
      <c r="M87" s="2549" t="e">
        <f>M86/M5</f>
        <v>#DIV/0!</v>
      </c>
      <c r="N87" s="2550" t="e">
        <f>N86/N5</f>
        <v>#DIV/0!</v>
      </c>
      <c r="O87" s="2551"/>
      <c r="P87" s="2552"/>
      <c r="Q87" s="2548" t="e">
        <f>Q86/Q5</f>
        <v>#DIV/0!</v>
      </c>
      <c r="R87" s="2549" t="e">
        <f>R86/R5</f>
        <v>#DIV/0!</v>
      </c>
      <c r="S87" s="2550" t="e">
        <f>S86/S5</f>
        <v>#DIV/0!</v>
      </c>
      <c r="T87" s="2551"/>
      <c r="U87" s="2552"/>
      <c r="V87" s="2548">
        <f>V86/V5</f>
        <v>0.5518688524590164</v>
      </c>
      <c r="W87" s="2549" t="e">
        <f>W86/W5</f>
        <v>#DIV/0!</v>
      </c>
      <c r="X87" s="2550">
        <f>X86/X5</f>
        <v>0.5518688524590164</v>
      </c>
      <c r="Y87" s="2551"/>
      <c r="Z87" s="2551"/>
    </row>
    <row r="88" spans="1:26" ht="13.8" x14ac:dyDescent="0.25">
      <c r="A88" s="1438"/>
      <c r="B88" s="1438"/>
      <c r="C88" s="1536"/>
      <c r="D88" s="1536"/>
      <c r="E88" s="1536"/>
      <c r="F88" s="1564"/>
      <c r="G88" s="1970"/>
      <c r="H88" s="1970"/>
      <c r="I88" s="1970"/>
      <c r="J88" s="1970"/>
      <c r="K88" s="1620"/>
      <c r="L88" s="1970"/>
      <c r="M88" s="1970"/>
      <c r="N88" s="1970"/>
      <c r="O88" s="1970"/>
      <c r="P88" s="1620"/>
      <c r="Q88" s="1970"/>
      <c r="R88" s="1970"/>
      <c r="S88" s="1970"/>
      <c r="T88" s="1970"/>
      <c r="U88" s="1620"/>
      <c r="V88" s="1970"/>
      <c r="W88" s="1970"/>
      <c r="X88" s="1970"/>
      <c r="Y88" s="1970"/>
      <c r="Z88" s="1970"/>
    </row>
    <row r="89" spans="1:26" x14ac:dyDescent="0.25">
      <c r="B89" s="1577" t="s">
        <v>56</v>
      </c>
      <c r="C89" s="1537"/>
      <c r="D89" s="1537"/>
      <c r="E89" s="1976">
        <f>E8+E36+E41+E50+E54+E73+E79+E82+E85</f>
        <v>0</v>
      </c>
      <c r="F89" s="189"/>
      <c r="I89" s="1976">
        <f>I8+I36+I41+I50+I54+I73+I79+I82+I85</f>
        <v>54672</v>
      </c>
      <c r="K89" s="1621"/>
      <c r="N89" s="1976">
        <f>N8+N36+N41+N50+N54+N73+N79+N82+N85</f>
        <v>0</v>
      </c>
      <c r="P89" s="1621"/>
      <c r="S89" s="1976">
        <f>S8+S36+S41+S50+S54+S73+S79+S82+S85</f>
        <v>0</v>
      </c>
      <c r="U89" s="1621"/>
      <c r="X89" s="1976">
        <f>X8+X36+X41+X50+X54+X73+X79+X82+X85-X78</f>
        <v>54672</v>
      </c>
    </row>
    <row r="90" spans="1:26" s="2487" customFormat="1" ht="13.95" customHeight="1" x14ac:dyDescent="0.25">
      <c r="A90" s="1349"/>
      <c r="B90" s="1349"/>
      <c r="C90" s="1354"/>
      <c r="D90" s="1354"/>
      <c r="E90" s="1354"/>
      <c r="F90" s="2485"/>
      <c r="G90" s="2485"/>
      <c r="H90" s="2485"/>
      <c r="I90" s="2485"/>
      <c r="J90" s="2485"/>
      <c r="K90" s="1872"/>
      <c r="L90" s="2485"/>
      <c r="M90" s="2485"/>
      <c r="N90" s="2485"/>
      <c r="O90" s="2485"/>
      <c r="P90" s="1872"/>
      <c r="Q90" s="2485"/>
      <c r="R90" s="2485"/>
      <c r="S90" s="2485"/>
      <c r="T90" s="2485"/>
      <c r="U90" s="1872"/>
      <c r="V90" s="2485"/>
      <c r="W90" s="2485"/>
      <c r="X90" s="1607">
        <f>(I89+N89)-X89</f>
        <v>0</v>
      </c>
      <c r="Y90" s="2485"/>
      <c r="Z90" s="2485"/>
    </row>
    <row r="91" spans="1:26" s="2486" customFormat="1" x14ac:dyDescent="0.25">
      <c r="A91" s="1349"/>
      <c r="B91" s="1349"/>
      <c r="C91" s="1349"/>
      <c r="D91" s="1349"/>
      <c r="E91" s="1349"/>
      <c r="F91" s="2485"/>
      <c r="G91" s="2485"/>
      <c r="H91" s="1601"/>
      <c r="I91" s="1601"/>
      <c r="J91" s="1601"/>
      <c r="K91" s="1872"/>
      <c r="L91" s="2485"/>
      <c r="M91" s="1601"/>
      <c r="N91" s="1601"/>
      <c r="O91" s="1601"/>
      <c r="P91" s="1872"/>
      <c r="Q91" s="2485"/>
      <c r="R91" s="1601"/>
      <c r="S91" s="1601"/>
      <c r="T91" s="1601"/>
      <c r="U91" s="1872"/>
      <c r="V91" s="2485"/>
      <c r="W91" s="2485"/>
      <c r="X91" s="2485"/>
      <c r="Y91" s="2485"/>
      <c r="Z91" s="2485"/>
    </row>
    <row r="92" spans="1:26" x14ac:dyDescent="0.25">
      <c r="C92" s="1417"/>
      <c r="D92" s="1417"/>
      <c r="E92" s="1417"/>
      <c r="G92" s="2485"/>
      <c r="H92" s="1230"/>
      <c r="I92" s="1230"/>
      <c r="J92" s="1230"/>
      <c r="K92" s="1355"/>
      <c r="L92" s="2485"/>
      <c r="M92" s="1230"/>
      <c r="N92" s="1230"/>
      <c r="O92" s="1230"/>
      <c r="P92" s="1355"/>
      <c r="Q92" s="2485"/>
      <c r="R92" s="1230"/>
      <c r="S92" s="1230"/>
      <c r="T92" s="1230"/>
      <c r="U92" s="1355"/>
      <c r="W92" s="1075" t="s">
        <v>1666</v>
      </c>
      <c r="X92" s="1968">
        <v>63668</v>
      </c>
    </row>
    <row r="93" spans="1:26" s="1411" customFormat="1" x14ac:dyDescent="0.25">
      <c r="A93" s="1417"/>
      <c r="B93" s="1417"/>
      <c r="C93" s="1417"/>
      <c r="D93" s="1417"/>
      <c r="E93" s="1417"/>
      <c r="F93" s="1968"/>
      <c r="G93" s="2485"/>
      <c r="H93" s="1230"/>
      <c r="I93" s="1230"/>
      <c r="J93" s="1230"/>
      <c r="K93" s="1046"/>
      <c r="L93" s="2485"/>
      <c r="M93" s="1230"/>
      <c r="N93" s="1230"/>
      <c r="O93" s="1230"/>
      <c r="P93" s="1046"/>
      <c r="Q93" s="2485"/>
      <c r="R93" s="1230"/>
      <c r="S93" s="1230"/>
      <c r="T93" s="1230"/>
      <c r="U93" s="1046"/>
      <c r="V93" s="1968"/>
      <c r="W93" s="1075" t="s">
        <v>1665</v>
      </c>
      <c r="X93" s="1968">
        <f>X92-X86</f>
        <v>-3660</v>
      </c>
      <c r="Y93" s="1968"/>
      <c r="Z93" s="1968"/>
    </row>
    <row r="94" spans="1:26" s="1411" customFormat="1" x14ac:dyDescent="0.25">
      <c r="A94" s="1417"/>
      <c r="B94" s="1417"/>
      <c r="C94" s="1417"/>
      <c r="D94" s="1417"/>
      <c r="E94" s="1417"/>
      <c r="F94" s="1968"/>
      <c r="G94" s="1979"/>
      <c r="H94" s="1979"/>
      <c r="I94" s="1979"/>
      <c r="J94" s="1979"/>
      <c r="K94" s="1979"/>
      <c r="L94" s="1979"/>
      <c r="M94" s="1979"/>
      <c r="N94" s="1979"/>
      <c r="O94" s="1979"/>
      <c r="P94" s="1979"/>
      <c r="Q94" s="1979"/>
      <c r="R94" s="1979"/>
      <c r="S94" s="1979"/>
      <c r="T94" s="1979"/>
      <c r="U94" s="1979"/>
      <c r="V94" s="1968"/>
      <c r="W94" s="1075"/>
      <c r="X94" s="1968"/>
      <c r="Y94" s="1968"/>
      <c r="Z94" s="1968"/>
    </row>
    <row r="95" spans="1:26" s="1411" customFormat="1" x14ac:dyDescent="0.25">
      <c r="A95" s="1417"/>
      <c r="B95" s="1417"/>
      <c r="C95" s="1417"/>
      <c r="D95" s="1417"/>
      <c r="E95" s="1417"/>
      <c r="F95" s="1968"/>
      <c r="G95" s="1979"/>
      <c r="H95" s="1979"/>
      <c r="I95" s="1979"/>
      <c r="J95" s="1979"/>
      <c r="K95" s="1979"/>
      <c r="L95" s="1979"/>
      <c r="M95" s="1979"/>
      <c r="N95" s="1979"/>
      <c r="O95" s="1979"/>
      <c r="P95" s="1979"/>
      <c r="Q95" s="1979"/>
      <c r="R95" s="1979"/>
      <c r="S95" s="1979"/>
      <c r="T95" s="1979"/>
      <c r="U95" s="1979"/>
      <c r="V95" s="1968"/>
      <c r="W95" s="1075" t="s">
        <v>1692</v>
      </c>
      <c r="X95" s="1968">
        <v>3660</v>
      </c>
      <c r="Y95" s="1968"/>
      <c r="Z95" s="1968"/>
    </row>
    <row r="96" spans="1:26" x14ac:dyDescent="0.25">
      <c r="H96" s="1601"/>
      <c r="I96" s="1601"/>
      <c r="J96" s="1601"/>
      <c r="M96" s="1601"/>
      <c r="N96" s="1601"/>
      <c r="O96" s="1601"/>
      <c r="Q96" s="1979"/>
      <c r="R96" s="1979"/>
      <c r="S96" s="1979"/>
      <c r="T96" s="1979"/>
      <c r="U96" s="1979"/>
    </row>
    <row r="97" spans="7:24" x14ac:dyDescent="0.25">
      <c r="H97" s="1601"/>
      <c r="I97" s="1601"/>
      <c r="J97" s="1601"/>
      <c r="M97" s="1601"/>
      <c r="N97" s="1601"/>
      <c r="O97" s="1601"/>
      <c r="Q97" s="1979"/>
      <c r="R97" s="1979"/>
      <c r="S97" s="1979"/>
      <c r="T97" s="1979"/>
      <c r="U97" s="1979"/>
      <c r="W97" s="756" t="s">
        <v>1750</v>
      </c>
      <c r="X97" s="756">
        <f>SUM(X93:X96)</f>
        <v>0</v>
      </c>
    </row>
    <row r="98" spans="7:24" x14ac:dyDescent="0.25">
      <c r="H98" s="1601"/>
      <c r="I98" s="1601"/>
      <c r="J98" s="1601"/>
      <c r="M98" s="1601"/>
      <c r="N98" s="1601"/>
      <c r="O98" s="1601"/>
      <c r="R98" s="1601"/>
      <c r="S98" s="1601"/>
      <c r="T98" s="1601"/>
    </row>
    <row r="99" spans="7:24" x14ac:dyDescent="0.25">
      <c r="G99" s="1410"/>
      <c r="H99" s="1410"/>
      <c r="I99" s="1410"/>
      <c r="J99" s="1601"/>
      <c r="L99" s="1410"/>
      <c r="M99" s="1410"/>
      <c r="N99" s="1410"/>
      <c r="O99" s="1601"/>
      <c r="R99" s="1601"/>
      <c r="S99" s="1601"/>
      <c r="T99" s="1601"/>
    </row>
    <row r="100" spans="7:24" x14ac:dyDescent="0.25">
      <c r="G100" s="1410"/>
      <c r="H100" s="1410"/>
      <c r="I100" s="1410"/>
      <c r="J100" s="1601"/>
      <c r="L100" s="1410"/>
      <c r="M100" s="1410"/>
      <c r="N100" s="1410"/>
      <c r="O100" s="1601"/>
      <c r="R100" s="1601"/>
      <c r="S100" s="1601"/>
      <c r="T100" s="1601"/>
    </row>
    <row r="101" spans="7:24" x14ac:dyDescent="0.25">
      <c r="G101" s="1410"/>
      <c r="H101" s="1410"/>
      <c r="I101" s="1410"/>
      <c r="L101" s="1410"/>
      <c r="M101" s="1410"/>
      <c r="N101" s="1410"/>
      <c r="R101" s="1601"/>
      <c r="S101" s="1601"/>
      <c r="T101" s="1601"/>
    </row>
    <row r="102" spans="7:24" x14ac:dyDescent="0.25">
      <c r="I102" s="1410"/>
      <c r="N102" s="1410"/>
      <c r="R102" s="1601"/>
      <c r="S102" s="1601"/>
      <c r="T102" s="1601"/>
    </row>
    <row r="103" spans="7:24" x14ac:dyDescent="0.25">
      <c r="I103" s="1410"/>
      <c r="N103" s="1410"/>
      <c r="R103" s="1601"/>
      <c r="S103" s="1601"/>
      <c r="T103" s="1601"/>
    </row>
    <row r="104" spans="7:24" x14ac:dyDescent="0.25">
      <c r="I104" s="1410"/>
      <c r="N104" s="1410"/>
      <c r="R104" s="1601"/>
      <c r="S104" s="1601"/>
      <c r="T104" s="1601"/>
    </row>
    <row r="105" spans="7:24" x14ac:dyDescent="0.25">
      <c r="R105" s="1601"/>
      <c r="S105" s="1601"/>
      <c r="T105" s="1601"/>
    </row>
    <row r="108" spans="7:24" x14ac:dyDescent="0.25">
      <c r="J108" s="1410"/>
      <c r="K108" s="1410"/>
      <c r="O108" s="1410"/>
      <c r="P108" s="1410"/>
    </row>
    <row r="109" spans="7:24" x14ac:dyDescent="0.25">
      <c r="J109" s="1410"/>
      <c r="K109" s="1410"/>
      <c r="O109" s="1410"/>
      <c r="P109" s="1410"/>
    </row>
    <row r="110" spans="7:24" x14ac:dyDescent="0.25">
      <c r="J110" s="1410"/>
      <c r="K110" s="1410"/>
      <c r="O110" s="1410"/>
      <c r="P110" s="1410"/>
    </row>
    <row r="111" spans="7:24" x14ac:dyDescent="0.25">
      <c r="J111" s="1410"/>
      <c r="K111" s="1410"/>
      <c r="O111" s="1410"/>
      <c r="P111" s="1410"/>
    </row>
    <row r="112" spans="7:24" x14ac:dyDescent="0.25">
      <c r="J112" s="1410"/>
      <c r="K112" s="1410"/>
      <c r="O112" s="1410"/>
      <c r="P112" s="1410"/>
    </row>
    <row r="113" spans="10:21" x14ac:dyDescent="0.25">
      <c r="J113" s="1410"/>
      <c r="K113" s="1410"/>
      <c r="O113" s="1410"/>
      <c r="P113" s="1410"/>
      <c r="Q113" s="1410"/>
      <c r="R113" s="1410"/>
      <c r="S113" s="1410"/>
      <c r="T113" s="1410"/>
      <c r="U113" s="1410"/>
    </row>
    <row r="114" spans="10:21" x14ac:dyDescent="0.25">
      <c r="Q114" s="1410"/>
      <c r="R114" s="1410"/>
      <c r="S114" s="1410"/>
      <c r="T114" s="1410"/>
      <c r="U114" s="1410"/>
    </row>
    <row r="115" spans="10:21" x14ac:dyDescent="0.25">
      <c r="Q115" s="1410"/>
      <c r="R115" s="1410"/>
      <c r="S115" s="1410"/>
      <c r="T115" s="1410"/>
      <c r="U115" s="1410"/>
    </row>
    <row r="116" spans="10:21" x14ac:dyDescent="0.25">
      <c r="Q116" s="1410"/>
      <c r="R116" s="1410"/>
      <c r="S116" s="1410"/>
      <c r="T116" s="1410"/>
      <c r="U116" s="1410"/>
    </row>
    <row r="117" spans="10:21" x14ac:dyDescent="0.25">
      <c r="Q117" s="1410"/>
      <c r="R117" s="1410"/>
      <c r="S117" s="1410"/>
      <c r="T117" s="1410"/>
      <c r="U117" s="1410"/>
    </row>
    <row r="118" spans="10:21" x14ac:dyDescent="0.25">
      <c r="Q118" s="1410"/>
      <c r="R118" s="1410"/>
      <c r="S118" s="1410"/>
      <c r="T118" s="1410"/>
      <c r="U118" s="1410"/>
    </row>
  </sheetData>
  <mergeCells count="7">
    <mergeCell ref="A2:F2"/>
    <mergeCell ref="G2:K3"/>
    <mergeCell ref="V2:Z3"/>
    <mergeCell ref="A3:F3"/>
    <mergeCell ref="A42:A48"/>
    <mergeCell ref="L2:P3"/>
    <mergeCell ref="Q2:U3"/>
  </mergeCells>
  <pageMargins left="0.7" right="0.7" top="0.75" bottom="0.75" header="0.3" footer="0.3"/>
  <pageSetup paperSize="9" orientation="portrait"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177D7"/>
  </sheetPr>
  <dimension ref="A1:CK118"/>
  <sheetViews>
    <sheetView zoomScale="85" zoomScaleNormal="85" workbookViewId="0">
      <pane xSplit="2" ySplit="5" topLeftCell="F33" activePane="bottomRight" state="frozen"/>
      <selection activeCell="C26" sqref="C25:C26"/>
      <selection pane="topRight" activeCell="C26" sqref="C25:C26"/>
      <selection pane="bottomLeft" activeCell="C26" sqref="C25:C26"/>
      <selection pane="bottomRight" activeCell="BV47" sqref="BV47"/>
    </sheetView>
  </sheetViews>
  <sheetFormatPr defaultColWidth="7.44140625" defaultRowHeight="13.2" outlineLevelCol="1" x14ac:dyDescent="0.25"/>
  <cols>
    <col min="1" max="1" width="5.5546875" style="1417" customWidth="1"/>
    <col min="2" max="2" width="47.44140625" style="1417" customWidth="1"/>
    <col min="3" max="3" width="14.6640625" style="1474" customWidth="1"/>
    <col min="4" max="4" width="15.44140625" style="1474" customWidth="1"/>
    <col min="5" max="5" width="15.33203125" style="1968" customWidth="1"/>
    <col min="6" max="6" width="9.5546875" style="1968" customWidth="1"/>
    <col min="7" max="7" width="14.5546875" style="1968" hidden="1" customWidth="1" outlineLevel="1"/>
    <col min="8" max="8" width="13.33203125" style="1968" hidden="1" customWidth="1" outlineLevel="1"/>
    <col min="9" max="9" width="14.5546875" style="1968" hidden="1" customWidth="1" outlineLevel="1"/>
    <col min="10" max="11" width="9.5546875" style="1968" hidden="1" customWidth="1" outlineLevel="1"/>
    <col min="12" max="15" width="15.33203125" style="1968" hidden="1" customWidth="1" outlineLevel="1"/>
    <col min="16" max="16" width="8.88671875" style="1968" hidden="1" customWidth="1" outlineLevel="1"/>
    <col min="17" max="17" width="4" style="1968" customWidth="1" collapsed="1"/>
    <col min="18" max="18" width="18.33203125" style="1968" hidden="1" customWidth="1" outlineLevel="1"/>
    <col min="19" max="19" width="18.6640625" style="1968" hidden="1" customWidth="1" outlineLevel="1"/>
    <col min="20" max="20" width="19.6640625" style="1968" hidden="1" customWidth="1" outlineLevel="1"/>
    <col min="21" max="21" width="9.6640625" style="1968" hidden="1" customWidth="1" outlineLevel="1"/>
    <col min="22" max="22" width="29.6640625" style="1968" hidden="1" customWidth="1" outlineLevel="1"/>
    <col min="23" max="23" width="15.33203125" style="1968" hidden="1" customWidth="1" outlineLevel="1" collapsed="1"/>
    <col min="24" max="31" width="15.33203125" style="1968" hidden="1" customWidth="1" outlineLevel="1"/>
    <col min="32" max="32" width="24.109375" style="1968" hidden="1" customWidth="1" outlineLevel="1"/>
    <col min="33" max="36" width="15.33203125" style="1968" hidden="1" customWidth="1" outlineLevel="1"/>
    <col min="37" max="37" width="24.109375" style="1968" hidden="1" customWidth="1" outlineLevel="1"/>
    <col min="38" max="41" width="15.33203125" style="1968" hidden="1" customWidth="1" outlineLevel="1"/>
    <col min="42" max="42" width="24.109375" style="1968" hidden="1" customWidth="1" outlineLevel="1"/>
    <col min="43" max="43" width="16.6640625" style="1968" hidden="1" customWidth="1" outlineLevel="1" collapsed="1"/>
    <col min="44" max="46" width="16.6640625" style="1968" hidden="1" customWidth="1" outlineLevel="1"/>
    <col min="47" max="47" width="17.88671875" style="1968" hidden="1" customWidth="1" outlineLevel="1"/>
    <col min="48" max="48" width="16.6640625" style="1968" hidden="1" customWidth="1" outlineLevel="1" collapsed="1"/>
    <col min="49" max="51" width="16.6640625" style="1968" hidden="1" customWidth="1" outlineLevel="1"/>
    <col min="52" max="52" width="17.88671875" style="1968" hidden="1" customWidth="1" outlineLevel="1"/>
    <col min="53" max="56" width="16.6640625" style="1968" hidden="1" customWidth="1" outlineLevel="1"/>
    <col min="57" max="57" width="17.88671875" style="1968" hidden="1" customWidth="1" outlineLevel="1"/>
    <col min="58" max="61" width="16.6640625" style="1968" hidden="1" customWidth="1" outlineLevel="1"/>
    <col min="62" max="62" width="17.88671875" style="1968" hidden="1" customWidth="1" outlineLevel="1"/>
    <col min="63" max="63" width="16.6640625" style="1968" hidden="1" customWidth="1" outlineLevel="1" collapsed="1"/>
    <col min="64" max="66" width="16.6640625" style="1968" hidden="1" customWidth="1" outlineLevel="1"/>
    <col min="67" max="67" width="17.88671875" style="1968" hidden="1" customWidth="1" outlineLevel="1"/>
    <col min="68" max="71" width="16.6640625" style="1968" hidden="1" customWidth="1" outlineLevel="1"/>
    <col min="72" max="72" width="17.88671875" style="1968" hidden="1" customWidth="1" outlineLevel="1"/>
    <col min="73" max="73" width="16.6640625" style="1968" customWidth="1" collapsed="1"/>
    <col min="74" max="76" width="16.6640625" style="1968" customWidth="1"/>
    <col min="77" max="77" width="17.88671875" style="1968" customWidth="1"/>
    <col min="78" max="82" width="15.33203125" style="1968" customWidth="1"/>
    <col min="83" max="83" width="15" style="928" bestFit="1" customWidth="1"/>
    <col min="84" max="84" width="16.6640625" style="928" bestFit="1" customWidth="1"/>
    <col min="85" max="85" width="16.6640625" style="1410" bestFit="1" customWidth="1"/>
    <col min="86" max="86" width="16.33203125" style="1410" customWidth="1"/>
    <col min="87" max="87" width="15.6640625" style="1410" bestFit="1" customWidth="1"/>
    <col min="88" max="16384" width="7.44140625" style="1410"/>
  </cols>
  <sheetData>
    <row r="1" spans="1:85" ht="13.8" thickBot="1" x14ac:dyDescent="0.3">
      <c r="C1" s="1968"/>
      <c r="D1" s="1968"/>
    </row>
    <row r="2" spans="1:85" ht="14.4" customHeight="1" x14ac:dyDescent="0.25">
      <c r="A2" s="4016" t="s">
        <v>894</v>
      </c>
      <c r="B2" s="4017"/>
      <c r="C2" s="4017"/>
      <c r="D2" s="4017"/>
      <c r="E2" s="4017"/>
      <c r="F2" s="4018"/>
      <c r="G2" s="4016" t="s">
        <v>1685</v>
      </c>
      <c r="H2" s="4017"/>
      <c r="I2" s="4017"/>
      <c r="J2" s="4017"/>
      <c r="K2" s="4018"/>
      <c r="L2" s="4230" t="s">
        <v>1680</v>
      </c>
      <c r="M2" s="4231"/>
      <c r="N2" s="4231"/>
      <c r="O2" s="4231"/>
      <c r="P2" s="4232"/>
      <c r="Q2" s="2563"/>
      <c r="R2" s="4077" t="s">
        <v>1554</v>
      </c>
      <c r="S2" s="4078"/>
      <c r="T2" s="4078"/>
      <c r="U2" s="4078"/>
      <c r="V2" s="4079"/>
      <c r="W2" s="4077" t="s">
        <v>1579</v>
      </c>
      <c r="X2" s="4078"/>
      <c r="Y2" s="4078"/>
      <c r="Z2" s="4078"/>
      <c r="AA2" s="4079"/>
      <c r="AB2" s="4071" t="s">
        <v>1606</v>
      </c>
      <c r="AC2" s="4072"/>
      <c r="AD2" s="4072"/>
      <c r="AE2" s="4072"/>
      <c r="AF2" s="4073"/>
      <c r="AG2" s="4019" t="s">
        <v>1627</v>
      </c>
      <c r="AH2" s="4020"/>
      <c r="AI2" s="4020"/>
      <c r="AJ2" s="4020"/>
      <c r="AK2" s="4041"/>
      <c r="AL2" s="4065" t="s">
        <v>1657</v>
      </c>
      <c r="AM2" s="4066"/>
      <c r="AN2" s="4066"/>
      <c r="AO2" s="4066"/>
      <c r="AP2" s="4067"/>
      <c r="AQ2" s="4071" t="s">
        <v>1698</v>
      </c>
      <c r="AR2" s="4072"/>
      <c r="AS2" s="4072"/>
      <c r="AT2" s="4072"/>
      <c r="AU2" s="4073"/>
      <c r="AV2" s="4154" t="s">
        <v>1758</v>
      </c>
      <c r="AW2" s="4155"/>
      <c r="AX2" s="4155"/>
      <c r="AY2" s="4155"/>
      <c r="AZ2" s="4156"/>
      <c r="BA2" s="4043" t="s">
        <v>1915</v>
      </c>
      <c r="BB2" s="4044"/>
      <c r="BC2" s="4044"/>
      <c r="BD2" s="4044"/>
      <c r="BE2" s="4146"/>
      <c r="BF2" s="4148" t="s">
        <v>2040</v>
      </c>
      <c r="BG2" s="4149"/>
      <c r="BH2" s="4149"/>
      <c r="BI2" s="4149"/>
      <c r="BJ2" s="4150"/>
      <c r="BK2" s="4077" t="s">
        <v>2052</v>
      </c>
      <c r="BL2" s="4078"/>
      <c r="BM2" s="4078"/>
      <c r="BN2" s="4078"/>
      <c r="BO2" s="4079"/>
      <c r="BP2" s="4101">
        <v>45231</v>
      </c>
      <c r="BQ2" s="4102"/>
      <c r="BR2" s="4102"/>
      <c r="BS2" s="4102"/>
      <c r="BT2" s="4103"/>
      <c r="BU2" s="4119" t="s">
        <v>2097</v>
      </c>
      <c r="BV2" s="4120"/>
      <c r="BW2" s="4120"/>
      <c r="BX2" s="4120"/>
      <c r="BY2" s="4121"/>
      <c r="BZ2" s="4212" t="s">
        <v>469</v>
      </c>
      <c r="CA2" s="4213"/>
      <c r="CB2" s="4213"/>
      <c r="CC2" s="4213"/>
      <c r="CD2" s="1603"/>
    </row>
    <row r="3" spans="1:85" ht="15" customHeight="1" thickBot="1" x14ac:dyDescent="0.3">
      <c r="A3" s="4035" t="s">
        <v>54</v>
      </c>
      <c r="B3" s="4036"/>
      <c r="C3" s="4036"/>
      <c r="D3" s="4036"/>
      <c r="E3" s="4036"/>
      <c r="F3" s="4037"/>
      <c r="G3" s="4209"/>
      <c r="H3" s="4210"/>
      <c r="I3" s="4210"/>
      <c r="J3" s="4210"/>
      <c r="K3" s="4211"/>
      <c r="L3" s="4233"/>
      <c r="M3" s="4234"/>
      <c r="N3" s="4234"/>
      <c r="O3" s="4234"/>
      <c r="P3" s="4235"/>
      <c r="Q3" s="2624"/>
      <c r="R3" s="4080"/>
      <c r="S3" s="4081"/>
      <c r="T3" s="4081"/>
      <c r="U3" s="4081"/>
      <c r="V3" s="4082"/>
      <c r="W3" s="4080"/>
      <c r="X3" s="4081"/>
      <c r="Y3" s="4081"/>
      <c r="Z3" s="4081"/>
      <c r="AA3" s="4082"/>
      <c r="AB3" s="4074"/>
      <c r="AC3" s="4075"/>
      <c r="AD3" s="4075"/>
      <c r="AE3" s="4075"/>
      <c r="AF3" s="4076"/>
      <c r="AG3" s="4021"/>
      <c r="AH3" s="4022"/>
      <c r="AI3" s="4022"/>
      <c r="AJ3" s="4022"/>
      <c r="AK3" s="4042"/>
      <c r="AL3" s="4068"/>
      <c r="AM3" s="4069"/>
      <c r="AN3" s="4069"/>
      <c r="AO3" s="4069"/>
      <c r="AP3" s="4070"/>
      <c r="AQ3" s="4074"/>
      <c r="AR3" s="4075"/>
      <c r="AS3" s="4075"/>
      <c r="AT3" s="4075"/>
      <c r="AU3" s="4076"/>
      <c r="AV3" s="4157"/>
      <c r="AW3" s="4158"/>
      <c r="AX3" s="4158"/>
      <c r="AY3" s="4158"/>
      <c r="AZ3" s="4159"/>
      <c r="BA3" s="4045"/>
      <c r="BB3" s="4046"/>
      <c r="BC3" s="4046"/>
      <c r="BD3" s="4046"/>
      <c r="BE3" s="4147"/>
      <c r="BF3" s="4151"/>
      <c r="BG3" s="4152"/>
      <c r="BH3" s="4152"/>
      <c r="BI3" s="4152"/>
      <c r="BJ3" s="4153"/>
      <c r="BK3" s="4080"/>
      <c r="BL3" s="4081"/>
      <c r="BM3" s="4081"/>
      <c r="BN3" s="4081"/>
      <c r="BO3" s="4082"/>
      <c r="BP3" s="4104"/>
      <c r="BQ3" s="4105"/>
      <c r="BR3" s="4105"/>
      <c r="BS3" s="4105"/>
      <c r="BT3" s="4106"/>
      <c r="BU3" s="4122"/>
      <c r="BV3" s="4123"/>
      <c r="BW3" s="4123"/>
      <c r="BX3" s="4123"/>
      <c r="BY3" s="4124"/>
      <c r="BZ3" s="4214"/>
      <c r="CA3" s="4215"/>
      <c r="CB3" s="4215"/>
      <c r="CC3" s="4215"/>
      <c r="CD3" s="1604"/>
    </row>
    <row r="4" spans="1:85" ht="41.4" thickBot="1" x14ac:dyDescent="0.3">
      <c r="A4" s="1486"/>
      <c r="B4" s="1487" t="s">
        <v>11</v>
      </c>
      <c r="C4" s="1588" t="s">
        <v>55</v>
      </c>
      <c r="D4" s="1588" t="s">
        <v>18</v>
      </c>
      <c r="E4" s="1589" t="s">
        <v>39</v>
      </c>
      <c r="F4" s="1978" t="s">
        <v>40</v>
      </c>
      <c r="G4" s="1590" t="s">
        <v>968</v>
      </c>
      <c r="H4" s="1590" t="s">
        <v>18</v>
      </c>
      <c r="I4" s="1590" t="s">
        <v>39</v>
      </c>
      <c r="J4" s="1590" t="s">
        <v>40</v>
      </c>
      <c r="K4" s="1590"/>
      <c r="L4" s="1972" t="s">
        <v>55</v>
      </c>
      <c r="M4" s="1972" t="s">
        <v>18</v>
      </c>
      <c r="N4" s="1489" t="s">
        <v>39</v>
      </c>
      <c r="O4" s="1978" t="s">
        <v>40</v>
      </c>
      <c r="P4" s="1489" t="s">
        <v>19</v>
      </c>
      <c r="Q4" s="1978"/>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55</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row>
    <row r="5" spans="1:85" s="2483" customFormat="1" ht="14.4" customHeight="1" thickBot="1" x14ac:dyDescent="0.3">
      <c r="A5" s="1477"/>
      <c r="B5" s="1478" t="s">
        <v>10</v>
      </c>
      <c r="C5" s="1479">
        <f>C6</f>
        <v>0</v>
      </c>
      <c r="D5" s="1479">
        <f>D6</f>
        <v>0</v>
      </c>
      <c r="E5" s="1971">
        <f>E6</f>
        <v>0</v>
      </c>
      <c r="F5" s="1481"/>
      <c r="G5" s="1481">
        <v>13040759.33</v>
      </c>
      <c r="H5" s="1481">
        <v>0</v>
      </c>
      <c r="I5" s="1481">
        <v>13040759.33</v>
      </c>
      <c r="J5" s="1481"/>
      <c r="K5" s="1481"/>
      <c r="L5" s="1481">
        <f>L6+L7</f>
        <v>11762423.530000001</v>
      </c>
      <c r="M5" s="1481">
        <f>M6+M7</f>
        <v>0</v>
      </c>
      <c r="N5" s="1481">
        <f>N6+N7</f>
        <v>11762423.530000001</v>
      </c>
      <c r="O5" s="1481"/>
      <c r="P5" s="1481"/>
      <c r="Q5" s="1971"/>
      <c r="R5" s="1481">
        <f>R6</f>
        <v>0</v>
      </c>
      <c r="S5" s="1481">
        <f>S6</f>
        <v>0</v>
      </c>
      <c r="T5" s="1481">
        <f>T6</f>
        <v>0</v>
      </c>
      <c r="U5" s="1481"/>
      <c r="V5" s="1481"/>
      <c r="W5" s="1481">
        <f>W6+W7</f>
        <v>0</v>
      </c>
      <c r="X5" s="1481">
        <f>X6+X7</f>
        <v>0</v>
      </c>
      <c r="Y5" s="1481">
        <f>Y6+Y7</f>
        <v>0</v>
      </c>
      <c r="Z5" s="1481"/>
      <c r="AA5" s="1481"/>
      <c r="AB5" s="1481">
        <f>AB6+AB7</f>
        <v>0</v>
      </c>
      <c r="AC5" s="1481">
        <f>AC6+AC7</f>
        <v>0</v>
      </c>
      <c r="AD5" s="1481">
        <f>AD6+AD7</f>
        <v>0</v>
      </c>
      <c r="AE5" s="1481"/>
      <c r="AF5" s="1481"/>
      <c r="AG5" s="1481">
        <f>AG6+AG7</f>
        <v>0</v>
      </c>
      <c r="AH5" s="1481">
        <f>AH6+AH7</f>
        <v>0</v>
      </c>
      <c r="AI5" s="1481">
        <f>AI6+AI7</f>
        <v>0</v>
      </c>
      <c r="AJ5" s="1481"/>
      <c r="AK5" s="1481"/>
      <c r="AL5" s="1481">
        <f>AL6+AL7</f>
        <v>10323962.52</v>
      </c>
      <c r="AM5" s="1481">
        <f>AM6+AM7</f>
        <v>0</v>
      </c>
      <c r="AN5" s="1481">
        <f>AN6+AN7</f>
        <v>10323962.52</v>
      </c>
      <c r="AO5" s="1481"/>
      <c r="AP5" s="1481"/>
      <c r="AQ5" s="1971">
        <f>SUM(AQ6:AQ7)</f>
        <v>0</v>
      </c>
      <c r="AR5" s="1971">
        <f>SUM(AR6:AR7)</f>
        <v>0</v>
      </c>
      <c r="AS5" s="1971">
        <f>SUM(AS6:AS7)</f>
        <v>0</v>
      </c>
      <c r="AT5" s="1481"/>
      <c r="AU5" s="1481"/>
      <c r="AV5" s="1971">
        <f>SUM(AV6:AV7)</f>
        <v>837468.26</v>
      </c>
      <c r="AW5" s="1971">
        <f>SUM(AW6:AW7)</f>
        <v>0</v>
      </c>
      <c r="AX5" s="1971">
        <f>SUM(AX6:AX7)</f>
        <v>837468.26</v>
      </c>
      <c r="AY5" s="1481"/>
      <c r="AZ5" s="1481"/>
      <c r="BA5" s="1971">
        <f>SUM(BA6:BA7)</f>
        <v>0</v>
      </c>
      <c r="BB5" s="1971">
        <f>SUM(BB6:BB7)</f>
        <v>0</v>
      </c>
      <c r="BC5" s="1971">
        <f>SUM(BC6:BC7)</f>
        <v>0</v>
      </c>
      <c r="BD5" s="1481"/>
      <c r="BE5" s="1481"/>
      <c r="BF5" s="1971">
        <f>SUM(BF6:BF7)</f>
        <v>0</v>
      </c>
      <c r="BG5" s="1971">
        <f>SUM(BG6:BG7)</f>
        <v>0</v>
      </c>
      <c r="BH5" s="1971">
        <f>SUM(BH6:BH7)</f>
        <v>0</v>
      </c>
      <c r="BI5" s="1481"/>
      <c r="BJ5" s="1481"/>
      <c r="BK5" s="1971">
        <f>SUM(BK6:BK7)</f>
        <v>0</v>
      </c>
      <c r="BL5" s="1971">
        <f>SUM(BL6:BL7)</f>
        <v>0</v>
      </c>
      <c r="BM5" s="1971">
        <f>SUM(BM6:BM7)</f>
        <v>0</v>
      </c>
      <c r="BN5" s="1481"/>
      <c r="BO5" s="1481"/>
      <c r="BP5" s="1971">
        <f>SUM(BP6:BP7)</f>
        <v>0</v>
      </c>
      <c r="BQ5" s="1971">
        <f>SUM(BQ6:BQ7)</f>
        <v>0</v>
      </c>
      <c r="BR5" s="1971">
        <f>SUM(BR6:BR7)</f>
        <v>0</v>
      </c>
      <c r="BS5" s="1481"/>
      <c r="BT5" s="1481"/>
      <c r="BU5" s="1971">
        <f>SUM(BU6:BU7)</f>
        <v>0</v>
      </c>
      <c r="BV5" s="1971">
        <f>SUM(BV6:BV7)</f>
        <v>0</v>
      </c>
      <c r="BW5" s="1971">
        <f>SUM(BW6:BW7)</f>
        <v>0</v>
      </c>
      <c r="BX5" s="1481"/>
      <c r="BY5" s="1481"/>
      <c r="BZ5" s="1971">
        <f>BZ6+BZ7</f>
        <v>43802501.659999996</v>
      </c>
      <c r="CA5" s="1971">
        <f>CA6+CA7</f>
        <v>0</v>
      </c>
      <c r="CB5" s="1971">
        <f>CB6+CB7</f>
        <v>43802501.659999996</v>
      </c>
      <c r="CC5" s="1481"/>
      <c r="CD5" s="1481"/>
      <c r="CE5" s="929"/>
      <c r="CF5" s="929"/>
    </row>
    <row r="6" spans="1:85" s="1411" customFormat="1" ht="19.95" customHeight="1" thickBot="1" x14ac:dyDescent="0.3">
      <c r="A6" s="331">
        <v>0</v>
      </c>
      <c r="B6" s="1415" t="s">
        <v>17</v>
      </c>
      <c r="C6" s="1024"/>
      <c r="D6" s="1682"/>
      <c r="E6" s="2141">
        <f>C6+D6</f>
        <v>0</v>
      </c>
      <c r="F6" s="2484"/>
      <c r="G6" s="2484">
        <v>13040759.33</v>
      </c>
      <c r="H6" s="2484">
        <v>0</v>
      </c>
      <c r="I6" s="2484">
        <v>13040759.33</v>
      </c>
      <c r="J6" s="2484"/>
      <c r="K6" s="2484"/>
      <c r="L6" s="2059">
        <v>9391557.9900000002</v>
      </c>
      <c r="M6" s="2059">
        <v>0</v>
      </c>
      <c r="N6" s="2028">
        <f>L6+M6</f>
        <v>9391557.9900000002</v>
      </c>
      <c r="O6" s="2059"/>
      <c r="P6" s="2059"/>
      <c r="Q6" s="1710"/>
      <c r="R6" s="2484"/>
      <c r="S6" s="2484"/>
      <c r="T6" s="2141">
        <f>R6+S6</f>
        <v>0</v>
      </c>
      <c r="U6" s="2484"/>
      <c r="V6" s="2484"/>
      <c r="W6" s="1156"/>
      <c r="X6" s="2059"/>
      <c r="Y6" s="2028">
        <f>W6+X6</f>
        <v>0</v>
      </c>
      <c r="Z6" s="2059"/>
      <c r="AA6" s="2059"/>
      <c r="AB6" s="2059"/>
      <c r="AC6" s="2059"/>
      <c r="AD6" s="2028">
        <f>AB6+AC6</f>
        <v>0</v>
      </c>
      <c r="AE6" s="2059"/>
      <c r="AF6" s="2059"/>
      <c r="AG6" s="2059"/>
      <c r="AH6" s="2059"/>
      <c r="AI6" s="2028">
        <f>AG6+AH6</f>
        <v>0</v>
      </c>
      <c r="AJ6" s="2059"/>
      <c r="AK6" s="2059"/>
      <c r="AL6" s="2059">
        <f>(1565332.8+3547773.32+125312.33+47010.52+97233.49+4530.67+580258.56+745256.44+2331990.71+505717.75+577062.43+196483.5)</f>
        <v>10323962.52</v>
      </c>
      <c r="AM6" s="2059"/>
      <c r="AN6" s="2028">
        <f>AL6+AM6</f>
        <v>10323962.52</v>
      </c>
      <c r="AO6" s="2059"/>
      <c r="AP6" s="2059"/>
      <c r="AQ6" s="2067"/>
      <c r="AR6" s="2059"/>
      <c r="AS6" s="2028">
        <f>AQ6+AR6</f>
        <v>0</v>
      </c>
      <c r="AT6" s="2059"/>
      <c r="AU6" s="2059"/>
      <c r="AV6" s="2067">
        <f>46922.66+463500+327045.6</f>
        <v>837468.26</v>
      </c>
      <c r="AW6" s="2059"/>
      <c r="AX6" s="2028">
        <f>AV6+AW6</f>
        <v>837468.26</v>
      </c>
      <c r="AY6" s="2059"/>
      <c r="AZ6" s="2059"/>
      <c r="BA6" s="2067"/>
      <c r="BB6" s="2059"/>
      <c r="BC6" s="2028">
        <f>BA6+BB6</f>
        <v>0</v>
      </c>
      <c r="BD6" s="2059"/>
      <c r="BE6" s="2059"/>
      <c r="BF6" s="2067"/>
      <c r="BG6" s="2059"/>
      <c r="BH6" s="2028">
        <f>BF6+BG6</f>
        <v>0</v>
      </c>
      <c r="BI6" s="2059"/>
      <c r="BJ6" s="2059"/>
      <c r="BK6" s="2067"/>
      <c r="BL6" s="2059"/>
      <c r="BM6" s="2028">
        <f>BK6+BL6</f>
        <v>0</v>
      </c>
      <c r="BN6" s="2059"/>
      <c r="BO6" s="2059"/>
      <c r="BP6" s="2067"/>
      <c r="BQ6" s="2059"/>
      <c r="BR6" s="2028">
        <f>BP6+BQ6</f>
        <v>0</v>
      </c>
      <c r="BS6" s="2059"/>
      <c r="BT6" s="2059"/>
      <c r="BU6" s="2067"/>
      <c r="BV6" s="2059"/>
      <c r="BW6" s="2028">
        <f>BU6+BV6</f>
        <v>0</v>
      </c>
      <c r="BX6" s="2059"/>
      <c r="BY6" s="2059"/>
      <c r="BZ6" s="1710">
        <f>G6+L6+R6+W6+AB6+AG6+AL6+AQ6+AV6+BA6+BF6+BK6+BP6+BU6</f>
        <v>33593748.100000001</v>
      </c>
      <c r="CA6" s="1710">
        <f>H6+M6+S6+X6+AC6+AH6+AM6+AR6+AW6+BB6+BG6+BL6+BQ6+BV6</f>
        <v>0</v>
      </c>
      <c r="CB6" s="2141">
        <f>BZ6+CA6</f>
        <v>33593748.100000001</v>
      </c>
      <c r="CC6" s="2484"/>
      <c r="CD6" s="2484"/>
      <c r="CE6" s="842"/>
      <c r="CF6" s="842"/>
      <c r="CG6" s="842"/>
    </row>
    <row r="7" spans="1:85" s="1411" customFormat="1" ht="14.4" customHeight="1" thickBot="1" x14ac:dyDescent="0.3">
      <c r="A7" s="1587"/>
      <c r="B7" s="3892" t="s">
        <v>41</v>
      </c>
      <c r="C7" s="3847"/>
      <c r="D7" s="3848"/>
      <c r="E7" s="2046">
        <f>C7+D7</f>
        <v>0</v>
      </c>
      <c r="F7" s="3849"/>
      <c r="G7" s="2043">
        <v>0</v>
      </c>
      <c r="H7" s="2043">
        <v>0</v>
      </c>
      <c r="I7" s="2043">
        <v>0</v>
      </c>
      <c r="J7" s="2043"/>
      <c r="K7" s="2043"/>
      <c r="L7" s="2059">
        <v>2370865.54</v>
      </c>
      <c r="M7" s="2059">
        <v>0</v>
      </c>
      <c r="N7" s="2028">
        <f>L7+M7</f>
        <v>2370865.54</v>
      </c>
      <c r="O7" s="3849"/>
      <c r="P7" s="3893"/>
      <c r="Q7" s="2045"/>
      <c r="R7" s="2043">
        <v>7837888.0199999996</v>
      </c>
      <c r="S7" s="2043"/>
      <c r="T7" s="2046">
        <f>R7+S7</f>
        <v>7837888.0199999996</v>
      </c>
      <c r="U7" s="3849"/>
      <c r="V7" s="3893" t="s">
        <v>1570</v>
      </c>
      <c r="W7" s="2059"/>
      <c r="X7" s="2059"/>
      <c r="Y7" s="2028">
        <f>W7+X7</f>
        <v>0</v>
      </c>
      <c r="Z7" s="3849"/>
      <c r="AA7" s="3849"/>
      <c r="AB7" s="2059">
        <f>(463500+1565332.8+3547773.32+327045.6+97233.49+580258.56+745256.44+2327781.91+125312.33+47010.52)*0</f>
        <v>0</v>
      </c>
      <c r="AC7" s="2059"/>
      <c r="AD7" s="2028">
        <f>AB7+AC7</f>
        <v>0</v>
      </c>
      <c r="AE7" s="3849"/>
      <c r="AF7" s="3893" t="s">
        <v>1609</v>
      </c>
      <c r="AG7" s="2059"/>
      <c r="AH7" s="2059"/>
      <c r="AI7" s="2028">
        <f>AG7+AH7</f>
        <v>0</v>
      </c>
      <c r="AJ7" s="3849"/>
      <c r="AK7" s="3893" t="s">
        <v>1653</v>
      </c>
      <c r="AL7" s="2059"/>
      <c r="AM7" s="2059"/>
      <c r="AN7" s="2028">
        <f>AL7+AM7</f>
        <v>0</v>
      </c>
      <c r="AO7" s="3849"/>
      <c r="AP7" s="3893"/>
      <c r="AQ7" s="2067"/>
      <c r="AR7" s="2059"/>
      <c r="AS7" s="2028">
        <f>AQ7+AR7</f>
        <v>0</v>
      </c>
      <c r="AT7" s="3849"/>
      <c r="AU7" s="2071"/>
      <c r="AV7" s="2067"/>
      <c r="AW7" s="2059"/>
      <c r="AX7" s="2028">
        <f>AV7+AW7</f>
        <v>0</v>
      </c>
      <c r="AY7" s="3849"/>
      <c r="AZ7" s="2071"/>
      <c r="BA7" s="2067"/>
      <c r="BB7" s="2059"/>
      <c r="BC7" s="2028">
        <f>BA7+BB7</f>
        <v>0</v>
      </c>
      <c r="BD7" s="3849"/>
      <c r="BE7" s="2071"/>
      <c r="BF7" s="2067"/>
      <c r="BG7" s="2059"/>
      <c r="BH7" s="2028">
        <f>BF7+BG7</f>
        <v>0</v>
      </c>
      <c r="BI7" s="3849"/>
      <c r="BJ7" s="2071"/>
      <c r="BK7" s="2067"/>
      <c r="BL7" s="2059"/>
      <c r="BM7" s="2028">
        <f>BK7+BL7</f>
        <v>0</v>
      </c>
      <c r="BN7" s="3849"/>
      <c r="BO7" s="2071"/>
      <c r="BP7" s="2067"/>
      <c r="BQ7" s="2059"/>
      <c r="BR7" s="2028">
        <f>BP7+BQ7</f>
        <v>0</v>
      </c>
      <c r="BS7" s="3849"/>
      <c r="BT7" s="2071"/>
      <c r="BU7" s="2067"/>
      <c r="BV7" s="2059"/>
      <c r="BW7" s="2028">
        <f>BU7+BV7</f>
        <v>0</v>
      </c>
      <c r="BX7" s="3849"/>
      <c r="BY7" s="2071"/>
      <c r="BZ7" s="1710">
        <f>G7+L7+R7+W7+AB7+AG7+AL7+AQ7+AV7+BA7+BF7+BK7+BP7+BU7</f>
        <v>10208753.559999999</v>
      </c>
      <c r="CA7" s="1710">
        <f>H7+M7+S7+X7+AC7+AH7+AM7+AR7+AW7+BB7+BG7+BL7+BQ7+BV7</f>
        <v>0</v>
      </c>
      <c r="CB7" s="2046">
        <f>BZ7+CA7</f>
        <v>10208753.559999999</v>
      </c>
      <c r="CC7" s="3849"/>
      <c r="CD7" s="3849"/>
      <c r="CE7" s="842"/>
      <c r="CF7" s="842"/>
    </row>
    <row r="8" spans="1:85" s="2483" customFormat="1" ht="14.4" customHeight="1" thickBot="1" x14ac:dyDescent="0.3">
      <c r="A8" s="1014"/>
      <c r="B8" s="1478" t="s">
        <v>16</v>
      </c>
      <c r="C8" s="1973">
        <f>SUM(C9:C33)</f>
        <v>0</v>
      </c>
      <c r="D8" s="1973">
        <f>SUM(D9:D33)</f>
        <v>0</v>
      </c>
      <c r="E8" s="1499">
        <f>SUM(E9:E33)</f>
        <v>0</v>
      </c>
      <c r="F8" s="1543" t="e">
        <f t="shared" ref="F8:F21" si="0">E8/$E$89</f>
        <v>#DIV/0!</v>
      </c>
      <c r="G8" s="1973">
        <f>SUM(G9:G33)</f>
        <v>12022123.852107069</v>
      </c>
      <c r="H8" s="1973">
        <f>SUM(H9:H33)</f>
        <v>885539.92419090902</v>
      </c>
      <c r="I8" s="1499">
        <f>SUM(I9:I33)</f>
        <v>12907663.776297977</v>
      </c>
      <c r="J8" s="1591">
        <v>0.94332731344179099</v>
      </c>
      <c r="K8" s="1591"/>
      <c r="L8" s="1973">
        <f>SUM(L9:L33)</f>
        <v>2073966.3287599999</v>
      </c>
      <c r="M8" s="1973">
        <f>SUM(M9:M33)</f>
        <v>1329954.73</v>
      </c>
      <c r="N8" s="1499">
        <f>SUM(N9:N33)</f>
        <v>3403921.0587599999</v>
      </c>
      <c r="O8" s="1543">
        <f>N8/N$89</f>
        <v>0.91050192030013632</v>
      </c>
      <c r="P8" s="1481"/>
      <c r="Q8" s="1985"/>
      <c r="R8" s="1973">
        <f>SUM(R9:R33)</f>
        <v>5977252.04</v>
      </c>
      <c r="S8" s="1973">
        <f>SUM(S9:S33)</f>
        <v>0</v>
      </c>
      <c r="T8" s="1499">
        <f>SUM(T9:T33)</f>
        <v>5977252.04</v>
      </c>
      <c r="U8" s="1543">
        <f t="shared" ref="U8:U33" si="1">T8/$T$89</f>
        <v>1</v>
      </c>
      <c r="V8" s="1481"/>
      <c r="W8" s="1973">
        <f>SUM(W9:W33)</f>
        <v>27000</v>
      </c>
      <c r="X8" s="1973">
        <f>SUM(X9:X33)</f>
        <v>0</v>
      </c>
      <c r="Y8" s="1499">
        <f>SUM(Y9:Y33)</f>
        <v>27000</v>
      </c>
      <c r="Z8" s="1543">
        <f t="shared" ref="Z8:Z36" si="2">Y8/$Y$89</f>
        <v>1</v>
      </c>
      <c r="AA8" s="1481"/>
      <c r="AB8" s="1973">
        <f>SUM(AB9:AB33)</f>
        <v>0</v>
      </c>
      <c r="AC8" s="1973">
        <f>SUM(AC9:AC33)</f>
        <v>0</v>
      </c>
      <c r="AD8" s="1499">
        <f>SUM(AD9:AD33)</f>
        <v>0</v>
      </c>
      <c r="AE8" s="1543">
        <f t="shared" ref="AE8:AE33" si="3">AD8/$AD$89</f>
        <v>0</v>
      </c>
      <c r="AF8" s="1481"/>
      <c r="AG8" s="1973">
        <f>SUM(AG9:AG33)</f>
        <v>0</v>
      </c>
      <c r="AH8" s="1973">
        <f>SUM(AH9:AH33)</f>
        <v>0</v>
      </c>
      <c r="AI8" s="1499">
        <f>SUM(AI9:AI33)</f>
        <v>0</v>
      </c>
      <c r="AJ8" s="1543" t="e">
        <f>AI8/AI$89</f>
        <v>#DIV/0!</v>
      </c>
      <c r="AK8" s="1481"/>
      <c r="AL8" s="1973">
        <f>SUM(AL9:AL33)</f>
        <v>9112217.0399999991</v>
      </c>
      <c r="AM8" s="1973">
        <f>SUM(AM9:AM33)</f>
        <v>0</v>
      </c>
      <c r="AN8" s="1499">
        <f>SUM(AN9:AN33)</f>
        <v>9112217.0399999991</v>
      </c>
      <c r="AO8" s="1543">
        <f>AN8/AN$89</f>
        <v>1</v>
      </c>
      <c r="AP8" s="1481"/>
      <c r="AQ8" s="1973">
        <f>SUM(AQ9:AQ33)</f>
        <v>0</v>
      </c>
      <c r="AR8" s="1973">
        <f>SUM(AR9:AR33)</f>
        <v>0</v>
      </c>
      <c r="AS8" s="1499">
        <f>SUM(AS9:AS33)</f>
        <v>0</v>
      </c>
      <c r="AT8" s="1543" t="e">
        <f>AS8/AS$89</f>
        <v>#DIV/0!</v>
      </c>
      <c r="AU8" s="1615"/>
      <c r="AV8" s="1973">
        <f>SUM(AV9:AV33)</f>
        <v>832347</v>
      </c>
      <c r="AW8" s="1973">
        <f>SUM(AW9:AW33)</f>
        <v>0</v>
      </c>
      <c r="AX8" s="1499">
        <f>SUM(AX9:AX33)</f>
        <v>832347</v>
      </c>
      <c r="AY8" s="1543">
        <f>AX8/AX$89</f>
        <v>1</v>
      </c>
      <c r="AZ8" s="1615"/>
      <c r="BA8" s="1973">
        <f>SUM(BA9:BA33)</f>
        <v>0</v>
      </c>
      <c r="BB8" s="1973">
        <f>SUM(BB9:BB33)</f>
        <v>0</v>
      </c>
      <c r="BC8" s="1499">
        <f>SUM(BC9:BC33)</f>
        <v>0</v>
      </c>
      <c r="BD8" s="1543">
        <f>BC8/BC$89</f>
        <v>0</v>
      </c>
      <c r="BE8" s="1615"/>
      <c r="BF8" s="1973">
        <f>SUM(BF9:BF33)</f>
        <v>0</v>
      </c>
      <c r="BG8" s="1973">
        <f>SUM(BG9:BG33)</f>
        <v>0</v>
      </c>
      <c r="BH8" s="1499">
        <f>SUM(BH9:BH33)</f>
        <v>0</v>
      </c>
      <c r="BI8" s="1543">
        <f>BH8/BH$89</f>
        <v>0</v>
      </c>
      <c r="BJ8" s="1615"/>
      <c r="BK8" s="1973">
        <f>SUM(BK9:BK33)</f>
        <v>0</v>
      </c>
      <c r="BL8" s="1973">
        <f>SUM(BL9:BL33)</f>
        <v>0</v>
      </c>
      <c r="BM8" s="1499">
        <f>SUM(BM9:BM33)</f>
        <v>0</v>
      </c>
      <c r="BN8" s="1543">
        <f>BM8/BM$89</f>
        <v>0</v>
      </c>
      <c r="BO8" s="1615"/>
      <c r="BP8" s="1973">
        <f>SUM(BP9:BP33)</f>
        <v>0</v>
      </c>
      <c r="BQ8" s="1973">
        <f>SUM(BQ9:BQ33)</f>
        <v>0</v>
      </c>
      <c r="BR8" s="1499">
        <f>SUM(BR9:BR33)</f>
        <v>0</v>
      </c>
      <c r="BS8" s="1543">
        <f>BR8/BR$89</f>
        <v>0</v>
      </c>
      <c r="BT8" s="1615"/>
      <c r="BU8" s="1973">
        <f>SUM(BU9:BU33)</f>
        <v>0</v>
      </c>
      <c r="BV8" s="1973">
        <f>SUM(BV9:BV33)</f>
        <v>0</v>
      </c>
      <c r="BW8" s="1499">
        <f>SUM(BW9:BW33)</f>
        <v>0</v>
      </c>
      <c r="BX8" s="1543">
        <f>BW8/BW$89</f>
        <v>0</v>
      </c>
      <c r="BY8" s="1615"/>
      <c r="BZ8" s="1973">
        <f>SUM(BZ9:BZ33)</f>
        <v>30044906.260867067</v>
      </c>
      <c r="CA8" s="1973">
        <f>SUM(CA9:CA33)</f>
        <v>2215494.6541909091</v>
      </c>
      <c r="CB8" s="1499">
        <f>SUM(CB9:CB33)</f>
        <v>32260400.91505798</v>
      </c>
      <c r="CC8" s="1543">
        <f t="shared" ref="CC8:CC33" si="4">CB8/$CB$89</f>
        <v>0.97614298157632806</v>
      </c>
      <c r="CD8" s="1481"/>
      <c r="CE8" s="929"/>
      <c r="CF8" s="929"/>
    </row>
    <row r="9" spans="1:85" s="1411" customFormat="1" ht="12" customHeight="1" x14ac:dyDescent="0.25">
      <c r="A9" s="1587"/>
      <c r="B9" s="1163" t="s">
        <v>74</v>
      </c>
      <c r="C9" s="1500"/>
      <c r="D9" s="1501"/>
      <c r="E9" s="2028">
        <f t="shared" ref="E9:E33" si="5">C9+D9</f>
        <v>0</v>
      </c>
      <c r="F9" s="1992" t="e">
        <f t="shared" si="0"/>
        <v>#DIV/0!</v>
      </c>
      <c r="G9" s="2059">
        <v>37307.4</v>
      </c>
      <c r="H9" s="2059">
        <v>0</v>
      </c>
      <c r="I9" s="2061">
        <f>G9+H9</f>
        <v>37307.4</v>
      </c>
      <c r="J9" s="1992">
        <v>4.6904414022065216E-3</v>
      </c>
      <c r="K9" s="1992"/>
      <c r="L9" s="2484">
        <v>19933.440000000002</v>
      </c>
      <c r="M9" s="2484">
        <v>2660</v>
      </c>
      <c r="N9" s="1576">
        <f>L9+M9*1</f>
        <v>22593.440000000002</v>
      </c>
      <c r="O9" s="1574">
        <f t="shared" ref="O9:O71" si="6">N9/N$89</f>
        <v>6.0434334848175862E-3</v>
      </c>
      <c r="P9" s="1742"/>
      <c r="Q9" s="2002"/>
      <c r="R9" s="2059"/>
      <c r="S9" s="2059"/>
      <c r="T9" s="2061">
        <f>R9+S9*1</f>
        <v>0</v>
      </c>
      <c r="U9" s="1992">
        <f t="shared" si="1"/>
        <v>0</v>
      </c>
      <c r="V9" s="2062"/>
      <c r="W9" s="2484"/>
      <c r="X9" s="2484"/>
      <c r="Y9" s="1576">
        <f>W9+X9*1</f>
        <v>0</v>
      </c>
      <c r="Z9" s="1574">
        <f t="shared" si="2"/>
        <v>0</v>
      </c>
      <c r="AA9" s="1742"/>
      <c r="AB9" s="2484"/>
      <c r="AC9" s="2484"/>
      <c r="AD9" s="1576">
        <f>AB9+AC9*1</f>
        <v>0</v>
      </c>
      <c r="AE9" s="1574">
        <f t="shared" si="3"/>
        <v>0</v>
      </c>
      <c r="AF9" s="1742"/>
      <c r="AG9" s="2484"/>
      <c r="AH9" s="2484"/>
      <c r="AI9" s="1576">
        <f>AG9+AH9*1</f>
        <v>0</v>
      </c>
      <c r="AJ9" s="1574" t="e">
        <f t="shared" ref="AJ9:AJ71" si="7">AI9/AI$89</f>
        <v>#DIV/0!</v>
      </c>
      <c r="AK9" s="1742"/>
      <c r="AL9" s="2484"/>
      <c r="AM9" s="2484"/>
      <c r="AN9" s="1576">
        <f>AL9+AM9*1</f>
        <v>0</v>
      </c>
      <c r="AO9" s="1574">
        <f t="shared" ref="AO9:AO71" si="8">AN9/AN$89</f>
        <v>0</v>
      </c>
      <c r="AP9" s="1742"/>
      <c r="AQ9" s="1710"/>
      <c r="AR9" s="2484"/>
      <c r="AS9" s="1576">
        <f>AQ9+AR9*1</f>
        <v>0</v>
      </c>
      <c r="AT9" s="1574" t="e">
        <f t="shared" ref="AT9:AT33" si="9">AS9/AS$89</f>
        <v>#DIV/0!</v>
      </c>
      <c r="AU9" s="1595"/>
      <c r="AV9" s="1710"/>
      <c r="AW9" s="2484"/>
      <c r="AX9" s="1576">
        <f>AV9+AW9*1</f>
        <v>0</v>
      </c>
      <c r="AY9" s="1574">
        <f t="shared" ref="AY9:AY33" si="10">AX9/AX$89</f>
        <v>0</v>
      </c>
      <c r="AZ9" s="1595"/>
      <c r="BA9" s="1710"/>
      <c r="BB9" s="2484"/>
      <c r="BC9" s="1576">
        <f>BA9+BB9*1</f>
        <v>0</v>
      </c>
      <c r="BD9" s="1574">
        <f t="shared" ref="BD9:BD33" si="11">BC9/BC$89</f>
        <v>0</v>
      </c>
      <c r="BE9" s="1595"/>
      <c r="BF9" s="1710"/>
      <c r="BG9" s="2484"/>
      <c r="BH9" s="1576">
        <f>BF9+BG9*1</f>
        <v>0</v>
      </c>
      <c r="BI9" s="1574">
        <f t="shared" ref="BI9:BI33" si="12">BH9/BH$89</f>
        <v>0</v>
      </c>
      <c r="BJ9" s="1595"/>
      <c r="BK9" s="1710"/>
      <c r="BL9" s="2484"/>
      <c r="BM9" s="1576">
        <f>BK9+BL9*1</f>
        <v>0</v>
      </c>
      <c r="BN9" s="1574">
        <f t="shared" ref="BN9:BN33" si="13">BM9/BM$89</f>
        <v>0</v>
      </c>
      <c r="BO9" s="1595"/>
      <c r="BP9" s="1710"/>
      <c r="BQ9" s="2484"/>
      <c r="BR9" s="1576">
        <f>BP9+BQ9*1</f>
        <v>0</v>
      </c>
      <c r="BS9" s="1574">
        <f t="shared" ref="BS9:BS33" si="14">BR9/BR$89</f>
        <v>0</v>
      </c>
      <c r="BT9" s="1595"/>
      <c r="BU9" s="1710"/>
      <c r="BV9" s="2484"/>
      <c r="BW9" s="1576">
        <f>BU9+BV9*1</f>
        <v>0</v>
      </c>
      <c r="BX9" s="1574">
        <f t="shared" ref="BX9:BX33" si="15">BW9/BW$89</f>
        <v>0</v>
      </c>
      <c r="BY9" s="1595"/>
      <c r="BZ9" s="2059">
        <f t="shared" ref="BZ9:CA33" si="16">G9+L9+R9+W9+AB9+AG9+AL9+AQ9+AV9+BA9+BF9+BK9+BP9+BU9</f>
        <v>57240.840000000004</v>
      </c>
      <c r="CA9" s="2059">
        <f t="shared" si="16"/>
        <v>2660</v>
      </c>
      <c r="CB9" s="2061">
        <f>BZ9+CA9*1</f>
        <v>59900.840000000004</v>
      </c>
      <c r="CC9" s="1992">
        <f t="shared" si="4"/>
        <v>1.8124940452687952E-3</v>
      </c>
      <c r="CD9" s="1449"/>
      <c r="CE9" s="842"/>
      <c r="CF9" s="842"/>
    </row>
    <row r="10" spans="1:85" s="1411" customFormat="1" ht="12" customHeight="1" x14ac:dyDescent="0.25">
      <c r="A10" s="1587"/>
      <c r="B10" s="1163" t="s">
        <v>72</v>
      </c>
      <c r="C10" s="1500"/>
      <c r="D10" s="1501"/>
      <c r="E10" s="2028">
        <f t="shared" si="5"/>
        <v>0</v>
      </c>
      <c r="F10" s="1992" t="e">
        <f t="shared" si="0"/>
        <v>#DIV/0!</v>
      </c>
      <c r="G10" s="2059">
        <v>10787.740000000002</v>
      </c>
      <c r="H10" s="2059">
        <v>0</v>
      </c>
      <c r="I10" s="2061">
        <f t="shared" ref="I10:I33" si="17">G10+H10</f>
        <v>10787.740000000002</v>
      </c>
      <c r="J10" s="1992">
        <v>1.3562795137758029E-3</v>
      </c>
      <c r="K10" s="1992"/>
      <c r="L10" s="2059">
        <v>5111</v>
      </c>
      <c r="M10" s="2059">
        <v>0</v>
      </c>
      <c r="N10" s="1998">
        <f t="shared" ref="N10:N33" si="18">L10+M10*1</f>
        <v>5111</v>
      </c>
      <c r="O10" s="3284">
        <f t="shared" si="6"/>
        <v>1.3671219850055008E-3</v>
      </c>
      <c r="P10" s="3894"/>
      <c r="Q10" s="2002"/>
      <c r="R10" s="2059"/>
      <c r="S10" s="2059"/>
      <c r="T10" s="2061">
        <f t="shared" ref="T10:T33" si="19">R10+S10*1</f>
        <v>0</v>
      </c>
      <c r="U10" s="3284">
        <f t="shared" si="1"/>
        <v>0</v>
      </c>
      <c r="V10" s="2062"/>
      <c r="W10" s="2059"/>
      <c r="X10" s="2059"/>
      <c r="Y10" s="1998">
        <f t="shared" ref="Y10:Y33" si="20">W10+X10*1</f>
        <v>0</v>
      </c>
      <c r="Z10" s="3284">
        <f t="shared" si="2"/>
        <v>0</v>
      </c>
      <c r="AA10" s="3894"/>
      <c r="AB10" s="2059"/>
      <c r="AC10" s="2059"/>
      <c r="AD10" s="1998">
        <f t="shared" ref="AD10:AD33" si="21">AB10+AC10*1</f>
        <v>0</v>
      </c>
      <c r="AE10" s="3284">
        <f t="shared" si="3"/>
        <v>0</v>
      </c>
      <c r="AF10" s="3894"/>
      <c r="AG10" s="2059"/>
      <c r="AH10" s="2059"/>
      <c r="AI10" s="1998">
        <f t="shared" ref="AI10:AI33" si="22">AG10+AH10*1</f>
        <v>0</v>
      </c>
      <c r="AJ10" s="3284" t="e">
        <f t="shared" si="7"/>
        <v>#DIV/0!</v>
      </c>
      <c r="AK10" s="3894"/>
      <c r="AL10" s="2059"/>
      <c r="AM10" s="2059"/>
      <c r="AN10" s="1998">
        <f t="shared" ref="AN10:AN33" si="23">AL10+AM10*1</f>
        <v>0</v>
      </c>
      <c r="AO10" s="3284">
        <f t="shared" si="8"/>
        <v>0</v>
      </c>
      <c r="AP10" s="3894"/>
      <c r="AQ10" s="2067"/>
      <c r="AR10" s="2059"/>
      <c r="AS10" s="2061">
        <f t="shared" ref="AS10:AS33" si="24">AQ10+AR10*1</f>
        <v>0</v>
      </c>
      <c r="AT10" s="3284" t="e">
        <f t="shared" si="9"/>
        <v>#DIV/0!</v>
      </c>
      <c r="AU10" s="1630"/>
      <c r="AV10" s="2067"/>
      <c r="AW10" s="2059"/>
      <c r="AX10" s="2061">
        <f t="shared" ref="AX10:AX33" si="25">AV10+AW10*1</f>
        <v>0</v>
      </c>
      <c r="AY10" s="3284">
        <f t="shared" si="10"/>
        <v>0</v>
      </c>
      <c r="AZ10" s="1630"/>
      <c r="BA10" s="2067"/>
      <c r="BB10" s="2059"/>
      <c r="BC10" s="2061">
        <f t="shared" ref="BC10:BC33" si="26">BA10+BB10*1</f>
        <v>0</v>
      </c>
      <c r="BD10" s="3284">
        <f t="shared" si="11"/>
        <v>0</v>
      </c>
      <c r="BE10" s="1630"/>
      <c r="BF10" s="2067"/>
      <c r="BG10" s="2059"/>
      <c r="BH10" s="2061">
        <f t="shared" ref="BH10:BH33" si="27">BF10+BG10*1</f>
        <v>0</v>
      </c>
      <c r="BI10" s="3284">
        <f t="shared" si="12"/>
        <v>0</v>
      </c>
      <c r="BJ10" s="1630"/>
      <c r="BK10" s="2067"/>
      <c r="BL10" s="2059"/>
      <c r="BM10" s="2061">
        <f t="shared" ref="BM10:BM33" si="28">BK10+BL10*1</f>
        <v>0</v>
      </c>
      <c r="BN10" s="3284">
        <f t="shared" si="13"/>
        <v>0</v>
      </c>
      <c r="BO10" s="1630"/>
      <c r="BP10" s="2067"/>
      <c r="BQ10" s="2059"/>
      <c r="BR10" s="2061">
        <f t="shared" ref="BR10:BR33" si="29">BP10+BQ10*1</f>
        <v>0</v>
      </c>
      <c r="BS10" s="3284">
        <f t="shared" si="14"/>
        <v>0</v>
      </c>
      <c r="BT10" s="1630"/>
      <c r="BU10" s="2067"/>
      <c r="BV10" s="2059"/>
      <c r="BW10" s="2061">
        <f t="shared" ref="BW10:BW33" si="30">BU10+BV10*1</f>
        <v>0</v>
      </c>
      <c r="BX10" s="3284">
        <f t="shared" si="15"/>
        <v>0</v>
      </c>
      <c r="BY10" s="1630"/>
      <c r="BZ10" s="2059">
        <f t="shared" si="16"/>
        <v>15898.740000000002</v>
      </c>
      <c r="CA10" s="2059">
        <f t="shared" si="16"/>
        <v>0</v>
      </c>
      <c r="CB10" s="2061">
        <f t="shared" ref="CB10:CB33" si="31">BZ10+CA10*1</f>
        <v>15898.740000000002</v>
      </c>
      <c r="CC10" s="3284">
        <f t="shared" si="4"/>
        <v>4.8106790451146937E-4</v>
      </c>
      <c r="CD10" s="1449"/>
      <c r="CE10" s="842"/>
      <c r="CF10" s="842"/>
    </row>
    <row r="11" spans="1:85" s="1411" customFormat="1" ht="12" customHeight="1" x14ac:dyDescent="0.25">
      <c r="A11" s="1587"/>
      <c r="B11" s="1163" t="s">
        <v>69</v>
      </c>
      <c r="C11" s="1500"/>
      <c r="D11" s="1501"/>
      <c r="E11" s="2028">
        <f t="shared" si="5"/>
        <v>0</v>
      </c>
      <c r="F11" s="1992" t="e">
        <f t="shared" si="0"/>
        <v>#DIV/0!</v>
      </c>
      <c r="G11" s="2059">
        <v>12169.8</v>
      </c>
      <c r="H11" s="2059">
        <v>0</v>
      </c>
      <c r="I11" s="2061">
        <f t="shared" si="17"/>
        <v>12169.8</v>
      </c>
      <c r="J11" s="1992">
        <v>1.5300378417304054E-3</v>
      </c>
      <c r="K11" s="1992"/>
      <c r="L11" s="2059">
        <v>5766</v>
      </c>
      <c r="M11" s="2059">
        <v>0</v>
      </c>
      <c r="N11" s="2061">
        <f t="shared" si="18"/>
        <v>5766</v>
      </c>
      <c r="O11" s="3284">
        <f t="shared" si="6"/>
        <v>1.542325448159209E-3</v>
      </c>
      <c r="P11" s="3894"/>
      <c r="Q11" s="2002"/>
      <c r="R11" s="2059"/>
      <c r="S11" s="2059"/>
      <c r="T11" s="2061">
        <f t="shared" si="19"/>
        <v>0</v>
      </c>
      <c r="U11" s="3284">
        <f t="shared" si="1"/>
        <v>0</v>
      </c>
      <c r="V11" s="2062"/>
      <c r="W11" s="2059"/>
      <c r="X11" s="2059"/>
      <c r="Y11" s="2061">
        <f t="shared" si="20"/>
        <v>0</v>
      </c>
      <c r="Z11" s="3284">
        <f t="shared" si="2"/>
        <v>0</v>
      </c>
      <c r="AA11" s="3894"/>
      <c r="AB11" s="2059"/>
      <c r="AC11" s="2059"/>
      <c r="AD11" s="2061">
        <f t="shared" si="21"/>
        <v>0</v>
      </c>
      <c r="AE11" s="3284">
        <f t="shared" si="3"/>
        <v>0</v>
      </c>
      <c r="AF11" s="3894"/>
      <c r="AG11" s="2059"/>
      <c r="AH11" s="2059"/>
      <c r="AI11" s="2061">
        <f t="shared" si="22"/>
        <v>0</v>
      </c>
      <c r="AJ11" s="3284" t="e">
        <f t="shared" si="7"/>
        <v>#DIV/0!</v>
      </c>
      <c r="AK11" s="3894"/>
      <c r="AL11" s="2059"/>
      <c r="AM11" s="2059"/>
      <c r="AN11" s="2061">
        <f t="shared" si="23"/>
        <v>0</v>
      </c>
      <c r="AO11" s="3284">
        <f t="shared" si="8"/>
        <v>0</v>
      </c>
      <c r="AP11" s="3894"/>
      <c r="AQ11" s="2067"/>
      <c r="AR11" s="2059"/>
      <c r="AS11" s="2061">
        <f t="shared" si="24"/>
        <v>0</v>
      </c>
      <c r="AT11" s="3284" t="e">
        <f t="shared" si="9"/>
        <v>#DIV/0!</v>
      </c>
      <c r="AU11" s="1630"/>
      <c r="AV11" s="2067"/>
      <c r="AW11" s="2059"/>
      <c r="AX11" s="2061">
        <f t="shared" si="25"/>
        <v>0</v>
      </c>
      <c r="AY11" s="3284">
        <f t="shared" si="10"/>
        <v>0</v>
      </c>
      <c r="AZ11" s="1630"/>
      <c r="BA11" s="2067"/>
      <c r="BB11" s="2059"/>
      <c r="BC11" s="2061">
        <f t="shared" si="26"/>
        <v>0</v>
      </c>
      <c r="BD11" s="3284">
        <f t="shared" si="11"/>
        <v>0</v>
      </c>
      <c r="BE11" s="1630"/>
      <c r="BF11" s="2067"/>
      <c r="BG11" s="2059"/>
      <c r="BH11" s="2061">
        <f t="shared" si="27"/>
        <v>0</v>
      </c>
      <c r="BI11" s="3284">
        <f t="shared" si="12"/>
        <v>0</v>
      </c>
      <c r="BJ11" s="1630"/>
      <c r="BK11" s="2067"/>
      <c r="BL11" s="2059"/>
      <c r="BM11" s="2061">
        <f t="shared" si="28"/>
        <v>0</v>
      </c>
      <c r="BN11" s="3284">
        <f t="shared" si="13"/>
        <v>0</v>
      </c>
      <c r="BO11" s="1630"/>
      <c r="BP11" s="2067"/>
      <c r="BQ11" s="2059"/>
      <c r="BR11" s="2061">
        <f t="shared" si="29"/>
        <v>0</v>
      </c>
      <c r="BS11" s="3284">
        <f t="shared" si="14"/>
        <v>0</v>
      </c>
      <c r="BT11" s="1630"/>
      <c r="BU11" s="2067"/>
      <c r="BV11" s="2059"/>
      <c r="BW11" s="2061">
        <f t="shared" si="30"/>
        <v>0</v>
      </c>
      <c r="BX11" s="3284">
        <f t="shared" si="15"/>
        <v>0</v>
      </c>
      <c r="BY11" s="1630"/>
      <c r="BZ11" s="2059">
        <f t="shared" si="16"/>
        <v>17935.8</v>
      </c>
      <c r="CA11" s="2059">
        <f t="shared" si="16"/>
        <v>0</v>
      </c>
      <c r="CB11" s="2061">
        <f t="shared" si="31"/>
        <v>17935.8</v>
      </c>
      <c r="CC11" s="3284">
        <f t="shared" si="4"/>
        <v>5.4270575666605099E-4</v>
      </c>
      <c r="CD11" s="1449"/>
      <c r="CE11" s="842"/>
      <c r="CF11" s="842"/>
    </row>
    <row r="12" spans="1:85" s="1411" customFormat="1" ht="12" customHeight="1" x14ac:dyDescent="0.25">
      <c r="A12" s="1587"/>
      <c r="B12" s="1163" t="s">
        <v>73</v>
      </c>
      <c r="C12" s="1500"/>
      <c r="D12" s="1501"/>
      <c r="E12" s="2028">
        <f t="shared" si="5"/>
        <v>0</v>
      </c>
      <c r="F12" s="1992" t="e">
        <f t="shared" si="0"/>
        <v>#DIV/0!</v>
      </c>
      <c r="G12" s="2059">
        <v>68424.23</v>
      </c>
      <c r="H12" s="2059">
        <f>98099.6741909091+8000</f>
        <v>106099.67419090911</v>
      </c>
      <c r="I12" s="2061">
        <f t="shared" si="17"/>
        <v>174523.90419090912</v>
      </c>
      <c r="J12" s="1992">
        <v>2.0936077418263189E-2</v>
      </c>
      <c r="K12" s="1992"/>
      <c r="L12" s="2059">
        <v>75480.58</v>
      </c>
      <c r="M12" s="2059">
        <v>36036</v>
      </c>
      <c r="N12" s="2061">
        <f t="shared" si="18"/>
        <v>111516.58</v>
      </c>
      <c r="O12" s="3895">
        <f t="shared" si="6"/>
        <v>2.9829146587874139E-2</v>
      </c>
      <c r="P12" s="3894"/>
      <c r="Q12" s="2002"/>
      <c r="R12" s="2059"/>
      <c r="S12" s="2059"/>
      <c r="T12" s="2061">
        <f t="shared" si="19"/>
        <v>0</v>
      </c>
      <c r="U12" s="3284">
        <f t="shared" si="1"/>
        <v>0</v>
      </c>
      <c r="V12" s="2062"/>
      <c r="W12" s="2059"/>
      <c r="X12" s="2059"/>
      <c r="Y12" s="2061">
        <f t="shared" si="20"/>
        <v>0</v>
      </c>
      <c r="Z12" s="3516">
        <f t="shared" si="2"/>
        <v>0</v>
      </c>
      <c r="AA12" s="3894"/>
      <c r="AB12" s="2059"/>
      <c r="AC12" s="2059"/>
      <c r="AD12" s="2061">
        <f t="shared" si="21"/>
        <v>0</v>
      </c>
      <c r="AE12" s="3516">
        <f t="shared" si="3"/>
        <v>0</v>
      </c>
      <c r="AF12" s="3894"/>
      <c r="AG12" s="2059"/>
      <c r="AH12" s="2059"/>
      <c r="AI12" s="2061">
        <f t="shared" si="22"/>
        <v>0</v>
      </c>
      <c r="AJ12" s="3895" t="e">
        <f t="shared" si="7"/>
        <v>#DIV/0!</v>
      </c>
      <c r="AK12" s="3894"/>
      <c r="AL12" s="2059"/>
      <c r="AM12" s="2059"/>
      <c r="AN12" s="2061">
        <f t="shared" si="23"/>
        <v>0</v>
      </c>
      <c r="AO12" s="3895">
        <f t="shared" si="8"/>
        <v>0</v>
      </c>
      <c r="AP12" s="3894"/>
      <c r="AQ12" s="2067"/>
      <c r="AR12" s="2059"/>
      <c r="AS12" s="2061">
        <f t="shared" si="24"/>
        <v>0</v>
      </c>
      <c r="AT12" s="3284" t="e">
        <f t="shared" si="9"/>
        <v>#DIV/0!</v>
      </c>
      <c r="AU12" s="2064"/>
      <c r="AV12" s="2067"/>
      <c r="AW12" s="2059"/>
      <c r="AX12" s="2061">
        <f t="shared" si="25"/>
        <v>0</v>
      </c>
      <c r="AY12" s="3284">
        <f t="shared" si="10"/>
        <v>0</v>
      </c>
      <c r="AZ12" s="2064"/>
      <c r="BA12" s="2067"/>
      <c r="BB12" s="2059"/>
      <c r="BC12" s="2061">
        <f t="shared" si="26"/>
        <v>0</v>
      </c>
      <c r="BD12" s="3284">
        <f t="shared" si="11"/>
        <v>0</v>
      </c>
      <c r="BE12" s="2064"/>
      <c r="BF12" s="2067"/>
      <c r="BG12" s="2059"/>
      <c r="BH12" s="2061">
        <f t="shared" si="27"/>
        <v>0</v>
      </c>
      <c r="BI12" s="3284">
        <f t="shared" si="12"/>
        <v>0</v>
      </c>
      <c r="BJ12" s="2064"/>
      <c r="BK12" s="2067"/>
      <c r="BL12" s="2059"/>
      <c r="BM12" s="2061">
        <f t="shared" si="28"/>
        <v>0</v>
      </c>
      <c r="BN12" s="3284">
        <f t="shared" si="13"/>
        <v>0</v>
      </c>
      <c r="BO12" s="2064"/>
      <c r="BP12" s="2067"/>
      <c r="BQ12" s="2059"/>
      <c r="BR12" s="2061">
        <f t="shared" si="29"/>
        <v>0</v>
      </c>
      <c r="BS12" s="3284">
        <f t="shared" si="14"/>
        <v>0</v>
      </c>
      <c r="BT12" s="2064"/>
      <c r="BU12" s="2067"/>
      <c r="BV12" s="2059"/>
      <c r="BW12" s="2061">
        <f t="shared" si="30"/>
        <v>0</v>
      </c>
      <c r="BX12" s="3284">
        <f t="shared" si="15"/>
        <v>0</v>
      </c>
      <c r="BY12" s="2064"/>
      <c r="BZ12" s="2059">
        <f t="shared" si="16"/>
        <v>143904.81</v>
      </c>
      <c r="CA12" s="2059">
        <f t="shared" si="16"/>
        <v>142135.67419090911</v>
      </c>
      <c r="CB12" s="2061">
        <f t="shared" si="31"/>
        <v>286040.48419090908</v>
      </c>
      <c r="CC12" s="3284">
        <f t="shared" si="4"/>
        <v>8.6550818703347993E-3</v>
      </c>
      <c r="CD12" s="1449"/>
      <c r="CE12" s="842"/>
      <c r="CF12" s="842"/>
    </row>
    <row r="13" spans="1:85" s="1411" customFormat="1" ht="12" customHeight="1" x14ac:dyDescent="0.25">
      <c r="A13" s="1587"/>
      <c r="B13" s="1163" t="s">
        <v>71</v>
      </c>
      <c r="C13" s="1500"/>
      <c r="D13" s="1501"/>
      <c r="E13" s="2028">
        <f t="shared" si="5"/>
        <v>0</v>
      </c>
      <c r="F13" s="1992" t="e">
        <f t="shared" si="0"/>
        <v>#DIV/0!</v>
      </c>
      <c r="G13" s="2059">
        <v>15019.84</v>
      </c>
      <c r="H13" s="2059">
        <v>0</v>
      </c>
      <c r="I13" s="2061">
        <f t="shared" si="17"/>
        <v>15019.84</v>
      </c>
      <c r="J13" s="1992">
        <v>1.8883567171799054E-3</v>
      </c>
      <c r="K13" s="1992"/>
      <c r="L13" s="2059">
        <v>9376.39</v>
      </c>
      <c r="M13" s="2059">
        <v>0</v>
      </c>
      <c r="N13" s="2061">
        <f t="shared" si="18"/>
        <v>9376.39</v>
      </c>
      <c r="O13" s="3895">
        <f t="shared" si="6"/>
        <v>2.5080549616485477E-3</v>
      </c>
      <c r="P13" s="3894"/>
      <c r="Q13" s="2002"/>
      <c r="R13" s="2059"/>
      <c r="S13" s="2059"/>
      <c r="T13" s="2061">
        <f t="shared" si="19"/>
        <v>0</v>
      </c>
      <c r="U13" s="3284">
        <f t="shared" si="1"/>
        <v>0</v>
      </c>
      <c r="V13" s="2062"/>
      <c r="W13" s="2059"/>
      <c r="X13" s="2059"/>
      <c r="Y13" s="2061">
        <f t="shared" si="20"/>
        <v>0</v>
      </c>
      <c r="Z13" s="3516">
        <f t="shared" si="2"/>
        <v>0</v>
      </c>
      <c r="AA13" s="3894"/>
      <c r="AB13" s="2059"/>
      <c r="AC13" s="2059"/>
      <c r="AD13" s="2061">
        <f t="shared" si="21"/>
        <v>0</v>
      </c>
      <c r="AE13" s="3516">
        <f t="shared" si="3"/>
        <v>0</v>
      </c>
      <c r="AF13" s="3894"/>
      <c r="AG13" s="2059"/>
      <c r="AH13" s="2059"/>
      <c r="AI13" s="2061">
        <f t="shared" si="22"/>
        <v>0</v>
      </c>
      <c r="AJ13" s="3895" t="e">
        <f t="shared" si="7"/>
        <v>#DIV/0!</v>
      </c>
      <c r="AK13" s="3894"/>
      <c r="AL13" s="2059"/>
      <c r="AM13" s="2059"/>
      <c r="AN13" s="2061">
        <f t="shared" si="23"/>
        <v>0</v>
      </c>
      <c r="AO13" s="3895">
        <f t="shared" si="8"/>
        <v>0</v>
      </c>
      <c r="AP13" s="3894"/>
      <c r="AQ13" s="2067"/>
      <c r="AR13" s="2059"/>
      <c r="AS13" s="2061">
        <f t="shared" si="24"/>
        <v>0</v>
      </c>
      <c r="AT13" s="3284" t="e">
        <f t="shared" si="9"/>
        <v>#DIV/0!</v>
      </c>
      <c r="AU13" s="2064"/>
      <c r="AV13" s="2067"/>
      <c r="AW13" s="2059"/>
      <c r="AX13" s="2061">
        <f t="shared" si="25"/>
        <v>0</v>
      </c>
      <c r="AY13" s="3284">
        <f t="shared" si="10"/>
        <v>0</v>
      </c>
      <c r="AZ13" s="2064"/>
      <c r="BA13" s="2067"/>
      <c r="BB13" s="2059"/>
      <c r="BC13" s="2061">
        <f t="shared" si="26"/>
        <v>0</v>
      </c>
      <c r="BD13" s="3284">
        <f t="shared" si="11"/>
        <v>0</v>
      </c>
      <c r="BE13" s="2064"/>
      <c r="BF13" s="2067"/>
      <c r="BG13" s="2059"/>
      <c r="BH13" s="2061">
        <f t="shared" si="27"/>
        <v>0</v>
      </c>
      <c r="BI13" s="3284">
        <f t="shared" si="12"/>
        <v>0</v>
      </c>
      <c r="BJ13" s="2064"/>
      <c r="BK13" s="2067"/>
      <c r="BL13" s="2059"/>
      <c r="BM13" s="2061">
        <f t="shared" si="28"/>
        <v>0</v>
      </c>
      <c r="BN13" s="3284">
        <f t="shared" si="13"/>
        <v>0</v>
      </c>
      <c r="BO13" s="2064"/>
      <c r="BP13" s="2067"/>
      <c r="BQ13" s="2059"/>
      <c r="BR13" s="2061">
        <f t="shared" si="29"/>
        <v>0</v>
      </c>
      <c r="BS13" s="3284">
        <f t="shared" si="14"/>
        <v>0</v>
      </c>
      <c r="BT13" s="2064"/>
      <c r="BU13" s="2067"/>
      <c r="BV13" s="2059"/>
      <c r="BW13" s="2061">
        <f t="shared" si="30"/>
        <v>0</v>
      </c>
      <c r="BX13" s="3284">
        <f t="shared" si="15"/>
        <v>0</v>
      </c>
      <c r="BY13" s="2064"/>
      <c r="BZ13" s="2059">
        <f t="shared" si="16"/>
        <v>24396.23</v>
      </c>
      <c r="CA13" s="2059">
        <f t="shared" si="16"/>
        <v>0</v>
      </c>
      <c r="CB13" s="2061">
        <f t="shared" si="31"/>
        <v>24396.23</v>
      </c>
      <c r="CC13" s="3284">
        <f t="shared" si="4"/>
        <v>7.3818700375500473E-4</v>
      </c>
      <c r="CD13" s="1449"/>
      <c r="CE13" s="842"/>
      <c r="CF13" s="842"/>
    </row>
    <row r="14" spans="1:85" s="1411" customFormat="1" ht="12" customHeight="1" x14ac:dyDescent="0.25">
      <c r="A14" s="1587"/>
      <c r="B14" s="1163" t="s">
        <v>70</v>
      </c>
      <c r="C14" s="1500"/>
      <c r="D14" s="1501"/>
      <c r="E14" s="2028">
        <f t="shared" si="5"/>
        <v>0</v>
      </c>
      <c r="F14" s="1992" t="e">
        <f t="shared" si="0"/>
        <v>#DIV/0!</v>
      </c>
      <c r="G14" s="2059">
        <v>15845.490000000002</v>
      </c>
      <c r="H14" s="2059">
        <v>0</v>
      </c>
      <c r="I14" s="2061">
        <f t="shared" si="17"/>
        <v>15845.490000000002</v>
      </c>
      <c r="J14" s="1992">
        <v>1.9921608671268818E-3</v>
      </c>
      <c r="K14" s="1992"/>
      <c r="L14" s="2059">
        <v>7413.84</v>
      </c>
      <c r="M14" s="2059">
        <v>0</v>
      </c>
      <c r="N14" s="2061">
        <f t="shared" si="18"/>
        <v>7413.84</v>
      </c>
      <c r="O14" s="3895">
        <f t="shared" si="6"/>
        <v>1.9830999133854787E-3</v>
      </c>
      <c r="P14" s="3894"/>
      <c r="Q14" s="2002"/>
      <c r="R14" s="2059"/>
      <c r="S14" s="2059"/>
      <c r="T14" s="2061">
        <f t="shared" si="19"/>
        <v>0</v>
      </c>
      <c r="U14" s="3284">
        <f t="shared" si="1"/>
        <v>0</v>
      </c>
      <c r="V14" s="2062"/>
      <c r="W14" s="2059"/>
      <c r="X14" s="2059"/>
      <c r="Y14" s="2061">
        <f t="shared" si="20"/>
        <v>0</v>
      </c>
      <c r="Z14" s="3516">
        <f t="shared" si="2"/>
        <v>0</v>
      </c>
      <c r="AA14" s="3894"/>
      <c r="AB14" s="2059"/>
      <c r="AC14" s="2059"/>
      <c r="AD14" s="2061">
        <f t="shared" si="21"/>
        <v>0</v>
      </c>
      <c r="AE14" s="3516">
        <f t="shared" si="3"/>
        <v>0</v>
      </c>
      <c r="AF14" s="3894"/>
      <c r="AG14" s="2059"/>
      <c r="AH14" s="2059"/>
      <c r="AI14" s="2061">
        <f t="shared" si="22"/>
        <v>0</v>
      </c>
      <c r="AJ14" s="3895" t="e">
        <f t="shared" si="7"/>
        <v>#DIV/0!</v>
      </c>
      <c r="AK14" s="3894"/>
      <c r="AL14" s="2059"/>
      <c r="AM14" s="2059"/>
      <c r="AN14" s="2061">
        <f t="shared" si="23"/>
        <v>0</v>
      </c>
      <c r="AO14" s="3895">
        <f t="shared" si="8"/>
        <v>0</v>
      </c>
      <c r="AP14" s="3894"/>
      <c r="AQ14" s="2067"/>
      <c r="AR14" s="2059"/>
      <c r="AS14" s="2061">
        <f t="shared" si="24"/>
        <v>0</v>
      </c>
      <c r="AT14" s="3284" t="e">
        <f t="shared" si="9"/>
        <v>#DIV/0!</v>
      </c>
      <c r="AU14" s="2064"/>
      <c r="AV14" s="2067"/>
      <c r="AW14" s="2059"/>
      <c r="AX14" s="2061">
        <f t="shared" si="25"/>
        <v>0</v>
      </c>
      <c r="AY14" s="3284">
        <f t="shared" si="10"/>
        <v>0</v>
      </c>
      <c r="AZ14" s="2064"/>
      <c r="BA14" s="2067"/>
      <c r="BB14" s="2059"/>
      <c r="BC14" s="2061">
        <f t="shared" si="26"/>
        <v>0</v>
      </c>
      <c r="BD14" s="3284">
        <f t="shared" si="11"/>
        <v>0</v>
      </c>
      <c r="BE14" s="2064"/>
      <c r="BF14" s="2067"/>
      <c r="BG14" s="2059"/>
      <c r="BH14" s="2061">
        <f t="shared" si="27"/>
        <v>0</v>
      </c>
      <c r="BI14" s="3284">
        <f t="shared" si="12"/>
        <v>0</v>
      </c>
      <c r="BJ14" s="2064"/>
      <c r="BK14" s="2067"/>
      <c r="BL14" s="2059"/>
      <c r="BM14" s="2061">
        <f t="shared" si="28"/>
        <v>0</v>
      </c>
      <c r="BN14" s="3284">
        <f t="shared" si="13"/>
        <v>0</v>
      </c>
      <c r="BO14" s="2064"/>
      <c r="BP14" s="2067"/>
      <c r="BQ14" s="2059"/>
      <c r="BR14" s="2061">
        <f t="shared" si="29"/>
        <v>0</v>
      </c>
      <c r="BS14" s="3284">
        <f t="shared" si="14"/>
        <v>0</v>
      </c>
      <c r="BT14" s="2064"/>
      <c r="BU14" s="2067"/>
      <c r="BV14" s="2059"/>
      <c r="BW14" s="2061">
        <f t="shared" si="30"/>
        <v>0</v>
      </c>
      <c r="BX14" s="3284">
        <f t="shared" si="15"/>
        <v>0</v>
      </c>
      <c r="BY14" s="2064"/>
      <c r="BZ14" s="2059">
        <f t="shared" si="16"/>
        <v>23259.33</v>
      </c>
      <c r="CA14" s="2059">
        <f t="shared" si="16"/>
        <v>0</v>
      </c>
      <c r="CB14" s="2061">
        <f t="shared" si="31"/>
        <v>23259.33</v>
      </c>
      <c r="CC14" s="3284">
        <f t="shared" si="4"/>
        <v>7.0378640970547069E-4</v>
      </c>
      <c r="CD14" s="1449"/>
      <c r="CE14" s="842"/>
      <c r="CF14" s="842"/>
    </row>
    <row r="15" spans="1:85" s="1411" customFormat="1" ht="12" customHeight="1" x14ac:dyDescent="0.25">
      <c r="A15" s="1587"/>
      <c r="B15" s="3896" t="s">
        <v>20</v>
      </c>
      <c r="C15" s="1500"/>
      <c r="D15" s="3850"/>
      <c r="E15" s="2028">
        <f t="shared" si="5"/>
        <v>0</v>
      </c>
      <c r="F15" s="1992" t="e">
        <f t="shared" si="0"/>
        <v>#DIV/0!</v>
      </c>
      <c r="G15" s="2059">
        <v>0</v>
      </c>
      <c r="H15" s="2059">
        <v>62750</v>
      </c>
      <c r="I15" s="2061">
        <f t="shared" si="17"/>
        <v>62750</v>
      </c>
      <c r="J15" s="1992">
        <v>7.8891908304641774E-3</v>
      </c>
      <c r="K15" s="1992"/>
      <c r="L15" s="2059">
        <v>0</v>
      </c>
      <c r="M15" s="2059">
        <v>33500</v>
      </c>
      <c r="N15" s="2061">
        <f t="shared" si="18"/>
        <v>33500</v>
      </c>
      <c r="O15" s="3895">
        <f t="shared" si="6"/>
        <v>8.9607878101514923E-3</v>
      </c>
      <c r="P15" s="3894"/>
      <c r="Q15" s="2002"/>
      <c r="R15" s="2059"/>
      <c r="S15" s="2059"/>
      <c r="T15" s="2061">
        <f t="shared" si="19"/>
        <v>0</v>
      </c>
      <c r="U15" s="3284">
        <f t="shared" si="1"/>
        <v>0</v>
      </c>
      <c r="V15" s="2062"/>
      <c r="W15" s="2059"/>
      <c r="X15" s="2059"/>
      <c r="Y15" s="2061">
        <f t="shared" si="20"/>
        <v>0</v>
      </c>
      <c r="Z15" s="3516">
        <f t="shared" si="2"/>
        <v>0</v>
      </c>
      <c r="AA15" s="3894"/>
      <c r="AB15" s="2059"/>
      <c r="AC15" s="2059"/>
      <c r="AD15" s="2061">
        <f t="shared" si="21"/>
        <v>0</v>
      </c>
      <c r="AE15" s="3516">
        <f t="shared" si="3"/>
        <v>0</v>
      </c>
      <c r="AF15" s="3894"/>
      <c r="AG15" s="2059"/>
      <c r="AH15" s="2059"/>
      <c r="AI15" s="2061">
        <f t="shared" si="22"/>
        <v>0</v>
      </c>
      <c r="AJ15" s="3895" t="e">
        <f t="shared" si="7"/>
        <v>#DIV/0!</v>
      </c>
      <c r="AK15" s="3894"/>
      <c r="AL15" s="2059"/>
      <c r="AM15" s="2059"/>
      <c r="AN15" s="2061">
        <f t="shared" si="23"/>
        <v>0</v>
      </c>
      <c r="AO15" s="3895">
        <f t="shared" si="8"/>
        <v>0</v>
      </c>
      <c r="AP15" s="3894"/>
      <c r="AQ15" s="2067"/>
      <c r="AR15" s="2059"/>
      <c r="AS15" s="2061">
        <f t="shared" si="24"/>
        <v>0</v>
      </c>
      <c r="AT15" s="3284" t="e">
        <f t="shared" si="9"/>
        <v>#DIV/0!</v>
      </c>
      <c r="AU15" s="1630"/>
      <c r="AV15" s="2067"/>
      <c r="AW15" s="2059"/>
      <c r="AX15" s="2061">
        <f t="shared" si="25"/>
        <v>0</v>
      </c>
      <c r="AY15" s="3284">
        <f t="shared" si="10"/>
        <v>0</v>
      </c>
      <c r="AZ15" s="1630"/>
      <c r="BA15" s="2067"/>
      <c r="BB15" s="2059"/>
      <c r="BC15" s="2061">
        <f t="shared" si="26"/>
        <v>0</v>
      </c>
      <c r="BD15" s="3284">
        <f t="shared" si="11"/>
        <v>0</v>
      </c>
      <c r="BE15" s="1630"/>
      <c r="BF15" s="2067"/>
      <c r="BG15" s="2059"/>
      <c r="BH15" s="2061">
        <f t="shared" si="27"/>
        <v>0</v>
      </c>
      <c r="BI15" s="3284">
        <f t="shared" si="12"/>
        <v>0</v>
      </c>
      <c r="BJ15" s="1630"/>
      <c r="BK15" s="2067"/>
      <c r="BL15" s="2059"/>
      <c r="BM15" s="2061">
        <f t="shared" si="28"/>
        <v>0</v>
      </c>
      <c r="BN15" s="3284">
        <f t="shared" si="13"/>
        <v>0</v>
      </c>
      <c r="BO15" s="1630"/>
      <c r="BP15" s="2067"/>
      <c r="BQ15" s="2059"/>
      <c r="BR15" s="2061">
        <f t="shared" si="29"/>
        <v>0</v>
      </c>
      <c r="BS15" s="3284">
        <f t="shared" si="14"/>
        <v>0</v>
      </c>
      <c r="BT15" s="1630"/>
      <c r="BU15" s="2067"/>
      <c r="BV15" s="2059"/>
      <c r="BW15" s="2061">
        <f t="shared" si="30"/>
        <v>0</v>
      </c>
      <c r="BX15" s="3284">
        <f t="shared" si="15"/>
        <v>0</v>
      </c>
      <c r="BY15" s="1630"/>
      <c r="BZ15" s="2059">
        <f t="shared" si="16"/>
        <v>0</v>
      </c>
      <c r="CA15" s="2059">
        <f t="shared" si="16"/>
        <v>96250</v>
      </c>
      <c r="CB15" s="2061">
        <f t="shared" si="31"/>
        <v>96250</v>
      </c>
      <c r="CC15" s="3284">
        <f t="shared" si="4"/>
        <v>2.9123556841126356E-3</v>
      </c>
      <c r="CD15" s="1449"/>
      <c r="CE15" s="842"/>
      <c r="CF15" s="842"/>
    </row>
    <row r="16" spans="1:85" s="1411" customFormat="1" ht="12" customHeight="1" x14ac:dyDescent="0.25">
      <c r="A16" s="1598"/>
      <c r="B16" s="3896" t="s">
        <v>21</v>
      </c>
      <c r="C16" s="1500"/>
      <c r="D16" s="3850"/>
      <c r="E16" s="2028">
        <f t="shared" si="5"/>
        <v>0</v>
      </c>
      <c r="F16" s="1992" t="e">
        <f t="shared" si="0"/>
        <v>#DIV/0!</v>
      </c>
      <c r="G16" s="2059">
        <v>0</v>
      </c>
      <c r="H16" s="2059">
        <f>272828.78+135447.2</f>
        <v>408275.98000000004</v>
      </c>
      <c r="I16" s="2061">
        <f t="shared" si="17"/>
        <v>408275.98000000004</v>
      </c>
      <c r="J16" s="1992">
        <v>3.4301168278290495E-2</v>
      </c>
      <c r="K16" s="1992"/>
      <c r="L16" s="1767">
        <v>0</v>
      </c>
      <c r="M16" s="1767">
        <v>545300.19999999995</v>
      </c>
      <c r="N16" s="1768">
        <f t="shared" si="18"/>
        <v>545300.19999999995</v>
      </c>
      <c r="O16" s="3897">
        <f t="shared" si="6"/>
        <v>0.14586028015024388</v>
      </c>
      <c r="P16" s="3894"/>
      <c r="Q16" s="2002"/>
      <c r="R16" s="2059"/>
      <c r="S16" s="2059"/>
      <c r="T16" s="2061">
        <f t="shared" si="19"/>
        <v>0</v>
      </c>
      <c r="U16" s="3284">
        <f t="shared" si="1"/>
        <v>0</v>
      </c>
      <c r="V16" s="2062"/>
      <c r="W16" s="1767"/>
      <c r="X16" s="1767"/>
      <c r="Y16" s="1768">
        <f t="shared" si="20"/>
        <v>0</v>
      </c>
      <c r="Z16" s="3898">
        <f t="shared" si="2"/>
        <v>0</v>
      </c>
      <c r="AA16" s="3899"/>
      <c r="AB16" s="1767"/>
      <c r="AC16" s="1767"/>
      <c r="AD16" s="1768">
        <f t="shared" si="21"/>
        <v>0</v>
      </c>
      <c r="AE16" s="3898">
        <f t="shared" si="3"/>
        <v>0</v>
      </c>
      <c r="AF16" s="3894"/>
      <c r="AG16" s="1767"/>
      <c r="AH16" s="1767"/>
      <c r="AI16" s="1768">
        <f t="shared" si="22"/>
        <v>0</v>
      </c>
      <c r="AJ16" s="3897" t="e">
        <f t="shared" si="7"/>
        <v>#DIV/0!</v>
      </c>
      <c r="AK16" s="3894"/>
      <c r="AL16" s="1767"/>
      <c r="AM16" s="1767"/>
      <c r="AN16" s="1768">
        <f t="shared" si="23"/>
        <v>0</v>
      </c>
      <c r="AO16" s="3897">
        <f t="shared" si="8"/>
        <v>0</v>
      </c>
      <c r="AP16" s="3894"/>
      <c r="AQ16" s="2067"/>
      <c r="AR16" s="2059"/>
      <c r="AS16" s="2061">
        <f t="shared" si="24"/>
        <v>0</v>
      </c>
      <c r="AT16" s="3284" t="e">
        <f t="shared" si="9"/>
        <v>#DIV/0!</v>
      </c>
      <c r="AU16" s="2062"/>
      <c r="AV16" s="2067"/>
      <c r="AW16" s="2059"/>
      <c r="AX16" s="2061">
        <f t="shared" si="25"/>
        <v>0</v>
      </c>
      <c r="AY16" s="3284">
        <f t="shared" si="10"/>
        <v>0</v>
      </c>
      <c r="AZ16" s="2062"/>
      <c r="BA16" s="2067"/>
      <c r="BB16" s="2059"/>
      <c r="BC16" s="2061">
        <f t="shared" si="26"/>
        <v>0</v>
      </c>
      <c r="BD16" s="3284">
        <f t="shared" si="11"/>
        <v>0</v>
      </c>
      <c r="BE16" s="2062"/>
      <c r="BF16" s="2067"/>
      <c r="BG16" s="2059"/>
      <c r="BH16" s="2061">
        <f t="shared" si="27"/>
        <v>0</v>
      </c>
      <c r="BI16" s="3284">
        <f t="shared" si="12"/>
        <v>0</v>
      </c>
      <c r="BJ16" s="2062"/>
      <c r="BK16" s="2067"/>
      <c r="BL16" s="2059"/>
      <c r="BM16" s="2061">
        <f t="shared" si="28"/>
        <v>0</v>
      </c>
      <c r="BN16" s="3284">
        <f t="shared" si="13"/>
        <v>0</v>
      </c>
      <c r="BO16" s="2062"/>
      <c r="BP16" s="2067"/>
      <c r="BQ16" s="2059"/>
      <c r="BR16" s="2061">
        <f t="shared" si="29"/>
        <v>0</v>
      </c>
      <c r="BS16" s="3284">
        <f t="shared" si="14"/>
        <v>0</v>
      </c>
      <c r="BT16" s="2062"/>
      <c r="BU16" s="2067"/>
      <c r="BV16" s="2059"/>
      <c r="BW16" s="2061">
        <f t="shared" si="30"/>
        <v>0</v>
      </c>
      <c r="BX16" s="3284">
        <f t="shared" si="15"/>
        <v>0</v>
      </c>
      <c r="BY16" s="2062"/>
      <c r="BZ16" s="2059">
        <f t="shared" si="16"/>
        <v>0</v>
      </c>
      <c r="CA16" s="2059">
        <f t="shared" si="16"/>
        <v>953576.17999999993</v>
      </c>
      <c r="CB16" s="2061">
        <f t="shared" si="31"/>
        <v>953576.17999999993</v>
      </c>
      <c r="CC16" s="3284">
        <f t="shared" si="4"/>
        <v>2.8853537746051049E-2</v>
      </c>
      <c r="CD16" s="1449"/>
      <c r="CE16" s="842"/>
      <c r="CF16" s="842"/>
    </row>
    <row r="17" spans="1:89" s="1411" customFormat="1" ht="12" customHeight="1" x14ac:dyDescent="0.25">
      <c r="A17" s="1587"/>
      <c r="B17" s="3451" t="s">
        <v>22</v>
      </c>
      <c r="C17" s="1500"/>
      <c r="D17" s="3850"/>
      <c r="E17" s="2028">
        <f t="shared" si="5"/>
        <v>0</v>
      </c>
      <c r="F17" s="1992" t="e">
        <f t="shared" si="0"/>
        <v>#DIV/0!</v>
      </c>
      <c r="G17" s="2059">
        <v>0</v>
      </c>
      <c r="H17" s="2059">
        <v>28000</v>
      </c>
      <c r="I17" s="2061">
        <f t="shared" si="17"/>
        <v>28000</v>
      </c>
      <c r="J17" s="1992">
        <v>3.5202763865019434E-3</v>
      </c>
      <c r="K17" s="1992"/>
      <c r="L17" s="2059">
        <v>0</v>
      </c>
      <c r="M17" s="2059">
        <v>0</v>
      </c>
      <c r="N17" s="2061">
        <f t="shared" si="18"/>
        <v>0</v>
      </c>
      <c r="O17" s="3895">
        <f t="shared" si="6"/>
        <v>0</v>
      </c>
      <c r="P17" s="3894"/>
      <c r="Q17" s="2002"/>
      <c r="R17" s="2059"/>
      <c r="S17" s="2059"/>
      <c r="T17" s="2061">
        <f t="shared" si="19"/>
        <v>0</v>
      </c>
      <c r="U17" s="3284">
        <f t="shared" si="1"/>
        <v>0</v>
      </c>
      <c r="V17" s="2062"/>
      <c r="W17" s="2059"/>
      <c r="X17" s="2059"/>
      <c r="Y17" s="2061">
        <f t="shared" si="20"/>
        <v>0</v>
      </c>
      <c r="Z17" s="3516">
        <f t="shared" si="2"/>
        <v>0</v>
      </c>
      <c r="AA17" s="3894"/>
      <c r="AB17" s="2059"/>
      <c r="AC17" s="2059"/>
      <c r="AD17" s="2061">
        <f t="shared" si="21"/>
        <v>0</v>
      </c>
      <c r="AE17" s="3516">
        <f t="shared" si="3"/>
        <v>0</v>
      </c>
      <c r="AF17" s="3894"/>
      <c r="AG17" s="2059"/>
      <c r="AH17" s="2059"/>
      <c r="AI17" s="2061">
        <f t="shared" si="22"/>
        <v>0</v>
      </c>
      <c r="AJ17" s="3895" t="e">
        <f t="shared" si="7"/>
        <v>#DIV/0!</v>
      </c>
      <c r="AK17" s="3894"/>
      <c r="AL17" s="2059"/>
      <c r="AM17" s="2059"/>
      <c r="AN17" s="2061">
        <f t="shared" si="23"/>
        <v>0</v>
      </c>
      <c r="AO17" s="3895">
        <f t="shared" si="8"/>
        <v>0</v>
      </c>
      <c r="AP17" s="3894"/>
      <c r="AQ17" s="2067"/>
      <c r="AR17" s="2059"/>
      <c r="AS17" s="2061">
        <f t="shared" si="24"/>
        <v>0</v>
      </c>
      <c r="AT17" s="3284" t="e">
        <f t="shared" si="9"/>
        <v>#DIV/0!</v>
      </c>
      <c r="AU17" s="2064"/>
      <c r="AV17" s="2067"/>
      <c r="AW17" s="2059"/>
      <c r="AX17" s="2061">
        <f t="shared" si="25"/>
        <v>0</v>
      </c>
      <c r="AY17" s="3284">
        <f t="shared" si="10"/>
        <v>0</v>
      </c>
      <c r="AZ17" s="2064"/>
      <c r="BA17" s="2067"/>
      <c r="BB17" s="2059"/>
      <c r="BC17" s="2061">
        <f t="shared" si="26"/>
        <v>0</v>
      </c>
      <c r="BD17" s="3284">
        <f t="shared" si="11"/>
        <v>0</v>
      </c>
      <c r="BE17" s="2064"/>
      <c r="BF17" s="2067"/>
      <c r="BG17" s="2059"/>
      <c r="BH17" s="2061">
        <f t="shared" si="27"/>
        <v>0</v>
      </c>
      <c r="BI17" s="3284">
        <f t="shared" si="12"/>
        <v>0</v>
      </c>
      <c r="BJ17" s="2064"/>
      <c r="BK17" s="2067"/>
      <c r="BL17" s="2059"/>
      <c r="BM17" s="2061">
        <f t="shared" si="28"/>
        <v>0</v>
      </c>
      <c r="BN17" s="3284">
        <f t="shared" si="13"/>
        <v>0</v>
      </c>
      <c r="BO17" s="2064"/>
      <c r="BP17" s="2067"/>
      <c r="BQ17" s="2059"/>
      <c r="BR17" s="2061">
        <f t="shared" si="29"/>
        <v>0</v>
      </c>
      <c r="BS17" s="3284">
        <f t="shared" si="14"/>
        <v>0</v>
      </c>
      <c r="BT17" s="2064"/>
      <c r="BU17" s="2067"/>
      <c r="BV17" s="2059"/>
      <c r="BW17" s="2061">
        <f t="shared" si="30"/>
        <v>0</v>
      </c>
      <c r="BX17" s="3284">
        <f t="shared" si="15"/>
        <v>0</v>
      </c>
      <c r="BY17" s="2064"/>
      <c r="BZ17" s="2059">
        <f t="shared" si="16"/>
        <v>0</v>
      </c>
      <c r="CA17" s="2059">
        <f t="shared" si="16"/>
        <v>28000</v>
      </c>
      <c r="CB17" s="2061">
        <f t="shared" si="31"/>
        <v>28000</v>
      </c>
      <c r="CC17" s="3284">
        <f t="shared" si="4"/>
        <v>8.4723074446913036E-4</v>
      </c>
      <c r="CD17" s="1449"/>
      <c r="CE17" s="842"/>
      <c r="CF17" s="842"/>
    </row>
    <row r="18" spans="1:89" s="1411" customFormat="1" ht="12" customHeight="1" x14ac:dyDescent="0.25">
      <c r="A18" s="1587"/>
      <c r="B18" s="3451" t="s">
        <v>0</v>
      </c>
      <c r="C18" s="1500"/>
      <c r="D18" s="3850"/>
      <c r="E18" s="2028">
        <f t="shared" si="5"/>
        <v>0</v>
      </c>
      <c r="F18" s="1992" t="e">
        <f t="shared" si="0"/>
        <v>#DIV/0!</v>
      </c>
      <c r="G18" s="2059">
        <v>2718467.9559999998</v>
      </c>
      <c r="H18" s="2059">
        <v>51050</v>
      </c>
      <c r="I18" s="2061">
        <f t="shared" si="17"/>
        <v>2769517.9559999998</v>
      </c>
      <c r="J18" s="1992">
        <v>0.20989873704813539</v>
      </c>
      <c r="K18" s="1992"/>
      <c r="L18" s="2059">
        <v>63782.256000000001</v>
      </c>
      <c r="M18" s="2059">
        <v>2700</v>
      </c>
      <c r="N18" s="2061">
        <f t="shared" si="18"/>
        <v>66482.255999999994</v>
      </c>
      <c r="O18" s="3895">
        <f t="shared" si="6"/>
        <v>1.7783086243467788E-2</v>
      </c>
      <c r="P18" s="3894"/>
      <c r="Q18" s="2002"/>
      <c r="R18" s="2059"/>
      <c r="S18" s="2059"/>
      <c r="T18" s="2061">
        <f t="shared" si="19"/>
        <v>0</v>
      </c>
      <c r="U18" s="3284">
        <f t="shared" si="1"/>
        <v>0</v>
      </c>
      <c r="V18" s="2062"/>
      <c r="W18" s="2059"/>
      <c r="X18" s="2059"/>
      <c r="Y18" s="2061">
        <f t="shared" si="20"/>
        <v>0</v>
      </c>
      <c r="Z18" s="3516">
        <f t="shared" si="2"/>
        <v>0</v>
      </c>
      <c r="AA18" s="3894"/>
      <c r="AB18" s="2059"/>
      <c r="AC18" s="2059"/>
      <c r="AD18" s="2061">
        <f t="shared" si="21"/>
        <v>0</v>
      </c>
      <c r="AE18" s="3516">
        <f t="shared" si="3"/>
        <v>0</v>
      </c>
      <c r="AF18" s="3894"/>
      <c r="AG18" s="2059"/>
      <c r="AH18" s="2059"/>
      <c r="AI18" s="2061">
        <f t="shared" si="22"/>
        <v>0</v>
      </c>
      <c r="AJ18" s="3895" t="e">
        <f t="shared" si="7"/>
        <v>#DIV/0!</v>
      </c>
      <c r="AK18" s="3894"/>
      <c r="AL18" s="2059"/>
      <c r="AM18" s="2059"/>
      <c r="AN18" s="2061">
        <f t="shared" si="23"/>
        <v>0</v>
      </c>
      <c r="AO18" s="3895">
        <f t="shared" si="8"/>
        <v>0</v>
      </c>
      <c r="AP18" s="3894"/>
      <c r="AQ18" s="2067"/>
      <c r="AR18" s="2059"/>
      <c r="AS18" s="2061">
        <f t="shared" si="24"/>
        <v>0</v>
      </c>
      <c r="AT18" s="3284" t="e">
        <f t="shared" si="9"/>
        <v>#DIV/0!</v>
      </c>
      <c r="AU18" s="2071"/>
      <c r="AV18" s="2067"/>
      <c r="AW18" s="2059"/>
      <c r="AX18" s="2061">
        <f t="shared" si="25"/>
        <v>0</v>
      </c>
      <c r="AY18" s="3284">
        <f t="shared" si="10"/>
        <v>0</v>
      </c>
      <c r="AZ18" s="2071"/>
      <c r="BA18" s="2067"/>
      <c r="BB18" s="2059"/>
      <c r="BC18" s="2061">
        <f t="shared" si="26"/>
        <v>0</v>
      </c>
      <c r="BD18" s="3284">
        <f t="shared" si="11"/>
        <v>0</v>
      </c>
      <c r="BE18" s="2071"/>
      <c r="BF18" s="1633"/>
      <c r="BG18" s="2059"/>
      <c r="BH18" s="2061">
        <f t="shared" si="27"/>
        <v>0</v>
      </c>
      <c r="BI18" s="3284">
        <f t="shared" si="12"/>
        <v>0</v>
      </c>
      <c r="BJ18" s="2071"/>
      <c r="BK18" s="1633"/>
      <c r="BL18" s="2059"/>
      <c r="BM18" s="2061">
        <f t="shared" si="28"/>
        <v>0</v>
      </c>
      <c r="BN18" s="3284">
        <f t="shared" si="13"/>
        <v>0</v>
      </c>
      <c r="BO18" s="2071"/>
      <c r="BP18" s="1633"/>
      <c r="BQ18" s="2059"/>
      <c r="BR18" s="2061">
        <f t="shared" si="29"/>
        <v>0</v>
      </c>
      <c r="BS18" s="3284">
        <f t="shared" si="14"/>
        <v>0</v>
      </c>
      <c r="BT18" s="2071"/>
      <c r="BU18" s="1633"/>
      <c r="BV18" s="2059"/>
      <c r="BW18" s="2061">
        <f t="shared" si="30"/>
        <v>0</v>
      </c>
      <c r="BX18" s="3284">
        <f t="shared" si="15"/>
        <v>0</v>
      </c>
      <c r="BY18" s="2071"/>
      <c r="BZ18" s="2059">
        <f t="shared" si="16"/>
        <v>2782250.2119999998</v>
      </c>
      <c r="CA18" s="2059">
        <f t="shared" si="16"/>
        <v>53750</v>
      </c>
      <c r="CB18" s="2061">
        <f t="shared" si="31"/>
        <v>2836000.2119999998</v>
      </c>
      <c r="CC18" s="3284">
        <f t="shared" si="4"/>
        <v>8.5812377533120404E-2</v>
      </c>
      <c r="CD18" s="1449"/>
      <c r="CE18" s="842"/>
      <c r="CF18" s="842"/>
      <c r="CG18" s="842"/>
    </row>
    <row r="19" spans="1:89" s="1411" customFormat="1" ht="12" customHeight="1" x14ac:dyDescent="0.25">
      <c r="A19" s="1587"/>
      <c r="B19" s="3451" t="s">
        <v>53</v>
      </c>
      <c r="C19" s="3851"/>
      <c r="D19" s="3850"/>
      <c r="E19" s="2028">
        <f t="shared" si="5"/>
        <v>0</v>
      </c>
      <c r="F19" s="1992" t="e">
        <f t="shared" si="0"/>
        <v>#DIV/0!</v>
      </c>
      <c r="G19" s="2059">
        <v>33146.004000000001</v>
      </c>
      <c r="H19" s="2059">
        <v>1950</v>
      </c>
      <c r="I19" s="2061">
        <f t="shared" si="17"/>
        <v>35096.004000000001</v>
      </c>
      <c r="J19" s="1992">
        <v>4.4124155050634913E-3</v>
      </c>
      <c r="K19" s="1992"/>
      <c r="L19" s="2059">
        <v>7179.5999999999995</v>
      </c>
      <c r="M19" s="2059">
        <v>2400</v>
      </c>
      <c r="N19" s="2061">
        <f t="shared" si="18"/>
        <v>9579.5999999999985</v>
      </c>
      <c r="O19" s="3895">
        <f t="shared" si="6"/>
        <v>2.5624108330187228E-3</v>
      </c>
      <c r="P19" s="3894"/>
      <c r="Q19" s="2002"/>
      <c r="R19" s="2059"/>
      <c r="S19" s="2059"/>
      <c r="T19" s="2061">
        <f t="shared" si="19"/>
        <v>0</v>
      </c>
      <c r="U19" s="3284">
        <f t="shared" si="1"/>
        <v>0</v>
      </c>
      <c r="V19" s="2062"/>
      <c r="W19" s="2059"/>
      <c r="X19" s="2059"/>
      <c r="Y19" s="2061">
        <f t="shared" si="20"/>
        <v>0</v>
      </c>
      <c r="Z19" s="3516">
        <f t="shared" si="2"/>
        <v>0</v>
      </c>
      <c r="AA19" s="3894"/>
      <c r="AB19" s="2059"/>
      <c r="AC19" s="2059"/>
      <c r="AD19" s="2061">
        <f t="shared" si="21"/>
        <v>0</v>
      </c>
      <c r="AE19" s="3516">
        <f t="shared" si="3"/>
        <v>0</v>
      </c>
      <c r="AF19" s="3894"/>
      <c r="AG19" s="2059"/>
      <c r="AH19" s="2059"/>
      <c r="AI19" s="2061">
        <f t="shared" si="22"/>
        <v>0</v>
      </c>
      <c r="AJ19" s="3895" t="e">
        <f t="shared" si="7"/>
        <v>#DIV/0!</v>
      </c>
      <c r="AK19" s="3894"/>
      <c r="AL19" s="2059"/>
      <c r="AM19" s="2059"/>
      <c r="AN19" s="2061">
        <f t="shared" si="23"/>
        <v>0</v>
      </c>
      <c r="AO19" s="3895">
        <f t="shared" si="8"/>
        <v>0</v>
      </c>
      <c r="AP19" s="3894"/>
      <c r="AQ19" s="2067"/>
      <c r="AR19" s="2059"/>
      <c r="AS19" s="2061">
        <f t="shared" si="24"/>
        <v>0</v>
      </c>
      <c r="AT19" s="3284" t="e">
        <f t="shared" si="9"/>
        <v>#DIV/0!</v>
      </c>
      <c r="AU19" s="2064"/>
      <c r="AV19" s="2067"/>
      <c r="AW19" s="2059"/>
      <c r="AX19" s="2061">
        <f t="shared" si="25"/>
        <v>0</v>
      </c>
      <c r="AY19" s="3284">
        <f t="shared" si="10"/>
        <v>0</v>
      </c>
      <c r="AZ19" s="2064"/>
      <c r="BA19" s="2067"/>
      <c r="BB19" s="2059"/>
      <c r="BC19" s="2061">
        <f t="shared" si="26"/>
        <v>0</v>
      </c>
      <c r="BD19" s="3284">
        <f t="shared" si="11"/>
        <v>0</v>
      </c>
      <c r="BE19" s="2064"/>
      <c r="BF19" s="2067"/>
      <c r="BG19" s="2059"/>
      <c r="BH19" s="2061">
        <f t="shared" si="27"/>
        <v>0</v>
      </c>
      <c r="BI19" s="3284">
        <f t="shared" si="12"/>
        <v>0</v>
      </c>
      <c r="BJ19" s="2064"/>
      <c r="BK19" s="2067"/>
      <c r="BL19" s="2059"/>
      <c r="BM19" s="2061">
        <f t="shared" si="28"/>
        <v>0</v>
      </c>
      <c r="BN19" s="3284">
        <f t="shared" si="13"/>
        <v>0</v>
      </c>
      <c r="BO19" s="2064"/>
      <c r="BP19" s="2067"/>
      <c r="BQ19" s="2059"/>
      <c r="BR19" s="2061">
        <f t="shared" si="29"/>
        <v>0</v>
      </c>
      <c r="BS19" s="3284">
        <f t="shared" si="14"/>
        <v>0</v>
      </c>
      <c r="BT19" s="2064"/>
      <c r="BU19" s="2067"/>
      <c r="BV19" s="2059"/>
      <c r="BW19" s="2061">
        <f t="shared" si="30"/>
        <v>0</v>
      </c>
      <c r="BX19" s="3284">
        <f t="shared" si="15"/>
        <v>0</v>
      </c>
      <c r="BY19" s="2064"/>
      <c r="BZ19" s="2059">
        <f t="shared" si="16"/>
        <v>40325.603999999999</v>
      </c>
      <c r="CA19" s="2059">
        <f t="shared" si="16"/>
        <v>4350</v>
      </c>
      <c r="CB19" s="2061">
        <f t="shared" si="31"/>
        <v>44675.603999999999</v>
      </c>
      <c r="CC19" s="3284">
        <f t="shared" si="4"/>
        <v>1.3518051870188591E-3</v>
      </c>
      <c r="CD19" s="1449"/>
      <c r="CE19" s="842"/>
      <c r="CF19" s="842"/>
    </row>
    <row r="20" spans="1:89" s="1411" customFormat="1" ht="12" customHeight="1" x14ac:dyDescent="0.25">
      <c r="A20" s="1587"/>
      <c r="B20" s="3451" t="s">
        <v>57</v>
      </c>
      <c r="C20" s="3851"/>
      <c r="D20" s="3850"/>
      <c r="E20" s="2028">
        <f t="shared" si="5"/>
        <v>0</v>
      </c>
      <c r="F20" s="1992" t="e">
        <f t="shared" si="0"/>
        <v>#DIV/0!</v>
      </c>
      <c r="G20" s="2059">
        <v>0</v>
      </c>
      <c r="H20" s="2059">
        <v>0</v>
      </c>
      <c r="I20" s="2061">
        <f t="shared" si="17"/>
        <v>0</v>
      </c>
      <c r="J20" s="1992">
        <v>0</v>
      </c>
      <c r="K20" s="1992"/>
      <c r="L20" s="2059">
        <v>4730.4719999999998</v>
      </c>
      <c r="M20" s="2059">
        <v>0</v>
      </c>
      <c r="N20" s="2061">
        <f t="shared" si="18"/>
        <v>4730.4719999999998</v>
      </c>
      <c r="O20" s="3895">
        <f t="shared" si="6"/>
        <v>1.2653359950406849E-3</v>
      </c>
      <c r="P20" s="3894"/>
      <c r="Q20" s="2002"/>
      <c r="R20" s="2059"/>
      <c r="S20" s="2059"/>
      <c r="T20" s="2061">
        <f t="shared" si="19"/>
        <v>0</v>
      </c>
      <c r="U20" s="3284">
        <f t="shared" si="1"/>
        <v>0</v>
      </c>
      <c r="V20" s="2062"/>
      <c r="W20" s="2059"/>
      <c r="X20" s="2059"/>
      <c r="Y20" s="2061">
        <f t="shared" si="20"/>
        <v>0</v>
      </c>
      <c r="Z20" s="3516">
        <f t="shared" si="2"/>
        <v>0</v>
      </c>
      <c r="AA20" s="3894"/>
      <c r="AB20" s="2059"/>
      <c r="AC20" s="2059"/>
      <c r="AD20" s="2061">
        <f t="shared" si="21"/>
        <v>0</v>
      </c>
      <c r="AE20" s="3516">
        <f t="shared" si="3"/>
        <v>0</v>
      </c>
      <c r="AF20" s="3894"/>
      <c r="AG20" s="2059"/>
      <c r="AH20" s="2059"/>
      <c r="AI20" s="2061">
        <f t="shared" si="22"/>
        <v>0</v>
      </c>
      <c r="AJ20" s="3895" t="e">
        <f t="shared" si="7"/>
        <v>#DIV/0!</v>
      </c>
      <c r="AK20" s="3894"/>
      <c r="AL20" s="2059"/>
      <c r="AM20" s="2059"/>
      <c r="AN20" s="2061">
        <f t="shared" si="23"/>
        <v>0</v>
      </c>
      <c r="AO20" s="3895">
        <f t="shared" si="8"/>
        <v>0</v>
      </c>
      <c r="AP20" s="3894"/>
      <c r="AQ20" s="2067"/>
      <c r="AR20" s="2059"/>
      <c r="AS20" s="2061">
        <f t="shared" si="24"/>
        <v>0</v>
      </c>
      <c r="AT20" s="3284" t="e">
        <f t="shared" si="9"/>
        <v>#DIV/0!</v>
      </c>
      <c r="AU20" s="2064"/>
      <c r="AV20" s="2067"/>
      <c r="AW20" s="2059"/>
      <c r="AX20" s="2061">
        <f t="shared" si="25"/>
        <v>0</v>
      </c>
      <c r="AY20" s="3284">
        <f t="shared" si="10"/>
        <v>0</v>
      </c>
      <c r="AZ20" s="2064"/>
      <c r="BA20" s="2067"/>
      <c r="BB20" s="2059"/>
      <c r="BC20" s="2061">
        <f t="shared" si="26"/>
        <v>0</v>
      </c>
      <c r="BD20" s="3284">
        <f t="shared" si="11"/>
        <v>0</v>
      </c>
      <c r="BE20" s="2064"/>
      <c r="BF20" s="2067"/>
      <c r="BG20" s="2059"/>
      <c r="BH20" s="2061">
        <f t="shared" si="27"/>
        <v>0</v>
      </c>
      <c r="BI20" s="3284">
        <f t="shared" si="12"/>
        <v>0</v>
      </c>
      <c r="BJ20" s="2064"/>
      <c r="BK20" s="2067"/>
      <c r="BL20" s="2059"/>
      <c r="BM20" s="2061">
        <f t="shared" si="28"/>
        <v>0</v>
      </c>
      <c r="BN20" s="3284">
        <f t="shared" si="13"/>
        <v>0</v>
      </c>
      <c r="BO20" s="2064"/>
      <c r="BP20" s="2067"/>
      <c r="BQ20" s="2059"/>
      <c r="BR20" s="2061">
        <f t="shared" si="29"/>
        <v>0</v>
      </c>
      <c r="BS20" s="3284">
        <f t="shared" si="14"/>
        <v>0</v>
      </c>
      <c r="BT20" s="2064"/>
      <c r="BU20" s="2067"/>
      <c r="BV20" s="2059"/>
      <c r="BW20" s="2061">
        <f t="shared" si="30"/>
        <v>0</v>
      </c>
      <c r="BX20" s="3284">
        <f t="shared" si="15"/>
        <v>0</v>
      </c>
      <c r="BY20" s="2064"/>
      <c r="BZ20" s="2059">
        <f t="shared" si="16"/>
        <v>4730.4719999999998</v>
      </c>
      <c r="CA20" s="2059">
        <f t="shared" si="16"/>
        <v>0</v>
      </c>
      <c r="CB20" s="2061">
        <f t="shared" si="31"/>
        <v>4730.4719999999998</v>
      </c>
      <c r="CC20" s="3284">
        <f t="shared" si="4"/>
        <v>1.431357612232277E-4</v>
      </c>
      <c r="CD20" s="1449"/>
      <c r="CE20" s="842"/>
      <c r="CF20" s="842"/>
    </row>
    <row r="21" spans="1:89" s="1411" customFormat="1" ht="12" customHeight="1" x14ac:dyDescent="0.25">
      <c r="A21" s="1587"/>
      <c r="B21" s="3451" t="s">
        <v>58</v>
      </c>
      <c r="C21" s="3851"/>
      <c r="D21" s="3850"/>
      <c r="E21" s="2028">
        <f t="shared" si="5"/>
        <v>0</v>
      </c>
      <c r="F21" s="1992" t="e">
        <f t="shared" si="0"/>
        <v>#DIV/0!</v>
      </c>
      <c r="G21" s="2059">
        <v>404892.20999999996</v>
      </c>
      <c r="H21" s="2059">
        <v>0</v>
      </c>
      <c r="I21" s="2061">
        <f t="shared" si="17"/>
        <v>404892.20999999996</v>
      </c>
      <c r="J21" s="1992">
        <v>5.0904731640770924E-2</v>
      </c>
      <c r="K21" s="1992"/>
      <c r="L21" s="2059">
        <v>121723.73999999999</v>
      </c>
      <c r="M21" s="2059">
        <v>0</v>
      </c>
      <c r="N21" s="2061">
        <f t="shared" si="18"/>
        <v>121723.73999999999</v>
      </c>
      <c r="O21" s="3895">
        <f t="shared" si="6"/>
        <v>3.2559421062628345E-2</v>
      </c>
      <c r="P21" s="3894"/>
      <c r="Q21" s="2002"/>
      <c r="R21" s="2059"/>
      <c r="S21" s="2059"/>
      <c r="T21" s="2061">
        <f t="shared" si="19"/>
        <v>0</v>
      </c>
      <c r="U21" s="3284">
        <f t="shared" si="1"/>
        <v>0</v>
      </c>
      <c r="V21" s="2062"/>
      <c r="W21" s="2059"/>
      <c r="X21" s="2059"/>
      <c r="Y21" s="2061">
        <f t="shared" si="20"/>
        <v>0</v>
      </c>
      <c r="Z21" s="3516">
        <f t="shared" si="2"/>
        <v>0</v>
      </c>
      <c r="AA21" s="3894"/>
      <c r="AB21" s="2059"/>
      <c r="AC21" s="2059"/>
      <c r="AD21" s="2061">
        <f t="shared" si="21"/>
        <v>0</v>
      </c>
      <c r="AE21" s="3516">
        <f t="shared" si="3"/>
        <v>0</v>
      </c>
      <c r="AF21" s="3894"/>
      <c r="AG21" s="2059"/>
      <c r="AH21" s="2059"/>
      <c r="AI21" s="2061">
        <f t="shared" si="22"/>
        <v>0</v>
      </c>
      <c r="AJ21" s="3895" t="e">
        <f t="shared" si="7"/>
        <v>#DIV/0!</v>
      </c>
      <c r="AK21" s="3894"/>
      <c r="AL21" s="2059"/>
      <c r="AM21" s="2059"/>
      <c r="AN21" s="2061">
        <f t="shared" si="23"/>
        <v>0</v>
      </c>
      <c r="AO21" s="3895">
        <f t="shared" si="8"/>
        <v>0</v>
      </c>
      <c r="AP21" s="3894"/>
      <c r="AQ21" s="2067"/>
      <c r="AR21" s="2059"/>
      <c r="AS21" s="2061">
        <f t="shared" si="24"/>
        <v>0</v>
      </c>
      <c r="AT21" s="3284" t="e">
        <f t="shared" si="9"/>
        <v>#DIV/0!</v>
      </c>
      <c r="AU21" s="2064"/>
      <c r="AV21" s="2067"/>
      <c r="AW21" s="2059"/>
      <c r="AX21" s="2061">
        <f t="shared" si="25"/>
        <v>0</v>
      </c>
      <c r="AY21" s="3284">
        <f t="shared" si="10"/>
        <v>0</v>
      </c>
      <c r="AZ21" s="2064"/>
      <c r="BA21" s="2067"/>
      <c r="BB21" s="2059"/>
      <c r="BC21" s="2061">
        <f t="shared" si="26"/>
        <v>0</v>
      </c>
      <c r="BD21" s="3284">
        <f t="shared" si="11"/>
        <v>0</v>
      </c>
      <c r="BE21" s="2064"/>
      <c r="BF21" s="2067"/>
      <c r="BG21" s="2059"/>
      <c r="BH21" s="2061">
        <f t="shared" si="27"/>
        <v>0</v>
      </c>
      <c r="BI21" s="3284">
        <f t="shared" si="12"/>
        <v>0</v>
      </c>
      <c r="BJ21" s="2064"/>
      <c r="BK21" s="2067"/>
      <c r="BL21" s="2059"/>
      <c r="BM21" s="2061">
        <f t="shared" si="28"/>
        <v>0</v>
      </c>
      <c r="BN21" s="3284">
        <f t="shared" si="13"/>
        <v>0</v>
      </c>
      <c r="BO21" s="2064"/>
      <c r="BP21" s="2067"/>
      <c r="BQ21" s="2059"/>
      <c r="BR21" s="2061">
        <f t="shared" si="29"/>
        <v>0</v>
      </c>
      <c r="BS21" s="3284">
        <f t="shared" si="14"/>
        <v>0</v>
      </c>
      <c r="BT21" s="2064"/>
      <c r="BU21" s="2067"/>
      <c r="BV21" s="2059"/>
      <c r="BW21" s="2061">
        <f t="shared" si="30"/>
        <v>0</v>
      </c>
      <c r="BX21" s="3284">
        <f t="shared" si="15"/>
        <v>0</v>
      </c>
      <c r="BY21" s="2064"/>
      <c r="BZ21" s="2059">
        <f t="shared" si="16"/>
        <v>526615.94999999995</v>
      </c>
      <c r="CA21" s="2059">
        <f t="shared" si="16"/>
        <v>0</v>
      </c>
      <c r="CB21" s="2061">
        <f t="shared" si="31"/>
        <v>526615.94999999995</v>
      </c>
      <c r="CC21" s="3284">
        <f t="shared" si="4"/>
        <v>1.5934472263136368E-2</v>
      </c>
      <c r="CD21" s="1449"/>
      <c r="CE21" s="842"/>
      <c r="CF21" s="842"/>
    </row>
    <row r="22" spans="1:89" s="1411" customFormat="1" ht="12" customHeight="1" x14ac:dyDescent="0.25">
      <c r="A22" s="1587"/>
      <c r="B22" s="3451" t="s">
        <v>621</v>
      </c>
      <c r="C22" s="3851"/>
      <c r="D22" s="3850"/>
      <c r="E22" s="2028"/>
      <c r="F22" s="1992"/>
      <c r="G22" s="2059">
        <v>139599.984</v>
      </c>
      <c r="H22" s="2059">
        <v>800</v>
      </c>
      <c r="I22" s="2061">
        <f t="shared" si="17"/>
        <v>140399.984</v>
      </c>
      <c r="J22" s="1992">
        <v>1.7651669583587524E-2</v>
      </c>
      <c r="K22" s="1992"/>
      <c r="L22" s="2059">
        <v>181170</v>
      </c>
      <c r="M22" s="2059">
        <v>0</v>
      </c>
      <c r="N22" s="2061">
        <f t="shared" si="18"/>
        <v>181170</v>
      </c>
      <c r="O22" s="3895">
        <f t="shared" si="6"/>
        <v>4.8460475449705845E-2</v>
      </c>
      <c r="P22" s="3894"/>
      <c r="Q22" s="2002"/>
      <c r="R22" s="2059"/>
      <c r="S22" s="2059"/>
      <c r="T22" s="2061">
        <f t="shared" si="19"/>
        <v>0</v>
      </c>
      <c r="U22" s="3284">
        <f t="shared" si="1"/>
        <v>0</v>
      </c>
      <c r="V22" s="2062"/>
      <c r="W22" s="2059"/>
      <c r="X22" s="2059"/>
      <c r="Y22" s="2061">
        <f t="shared" si="20"/>
        <v>0</v>
      </c>
      <c r="Z22" s="3516">
        <f t="shared" si="2"/>
        <v>0</v>
      </c>
      <c r="AA22" s="3894"/>
      <c r="AB22" s="2059"/>
      <c r="AC22" s="2059"/>
      <c r="AD22" s="2061">
        <f t="shared" si="21"/>
        <v>0</v>
      </c>
      <c r="AE22" s="3516">
        <f t="shared" si="3"/>
        <v>0</v>
      </c>
      <c r="AF22" s="3894"/>
      <c r="AG22" s="2059"/>
      <c r="AH22" s="2059"/>
      <c r="AI22" s="2061">
        <f t="shared" si="22"/>
        <v>0</v>
      </c>
      <c r="AJ22" s="3895" t="e">
        <f t="shared" si="7"/>
        <v>#DIV/0!</v>
      </c>
      <c r="AK22" s="3894"/>
      <c r="AL22" s="2059"/>
      <c r="AM22" s="2059"/>
      <c r="AN22" s="2061">
        <f t="shared" si="23"/>
        <v>0</v>
      </c>
      <c r="AO22" s="3895">
        <f t="shared" si="8"/>
        <v>0</v>
      </c>
      <c r="AP22" s="3894"/>
      <c r="AQ22" s="2067"/>
      <c r="AR22" s="2059"/>
      <c r="AS22" s="2061">
        <f t="shared" si="24"/>
        <v>0</v>
      </c>
      <c r="AT22" s="3284" t="e">
        <f t="shared" si="9"/>
        <v>#DIV/0!</v>
      </c>
      <c r="AU22" s="2064"/>
      <c r="AV22" s="2067"/>
      <c r="AW22" s="2059"/>
      <c r="AX22" s="2061">
        <f t="shared" si="25"/>
        <v>0</v>
      </c>
      <c r="AY22" s="3284">
        <f t="shared" si="10"/>
        <v>0</v>
      </c>
      <c r="AZ22" s="2064"/>
      <c r="BA22" s="2067"/>
      <c r="BB22" s="2059"/>
      <c r="BC22" s="2061">
        <f t="shared" si="26"/>
        <v>0</v>
      </c>
      <c r="BD22" s="3284">
        <f t="shared" si="11"/>
        <v>0</v>
      </c>
      <c r="BE22" s="2064"/>
      <c r="BF22" s="2067"/>
      <c r="BG22" s="2059"/>
      <c r="BH22" s="2061">
        <f t="shared" si="27"/>
        <v>0</v>
      </c>
      <c r="BI22" s="3284">
        <f t="shared" si="12"/>
        <v>0</v>
      </c>
      <c r="BJ22" s="2064"/>
      <c r="BK22" s="2067"/>
      <c r="BL22" s="2059"/>
      <c r="BM22" s="2061">
        <f t="shared" si="28"/>
        <v>0</v>
      </c>
      <c r="BN22" s="3284">
        <f t="shared" si="13"/>
        <v>0</v>
      </c>
      <c r="BO22" s="2064"/>
      <c r="BP22" s="2067"/>
      <c r="BQ22" s="2059"/>
      <c r="BR22" s="2061">
        <f t="shared" si="29"/>
        <v>0</v>
      </c>
      <c r="BS22" s="3284">
        <f t="shared" si="14"/>
        <v>0</v>
      </c>
      <c r="BT22" s="2064"/>
      <c r="BU22" s="2067"/>
      <c r="BV22" s="2059"/>
      <c r="BW22" s="2061">
        <f t="shared" si="30"/>
        <v>0</v>
      </c>
      <c r="BX22" s="3284">
        <f t="shared" si="15"/>
        <v>0</v>
      </c>
      <c r="BY22" s="2064"/>
      <c r="BZ22" s="2059">
        <f t="shared" si="16"/>
        <v>320769.984</v>
      </c>
      <c r="CA22" s="2059">
        <f t="shared" si="16"/>
        <v>800</v>
      </c>
      <c r="CB22" s="2061">
        <f t="shared" si="31"/>
        <v>321569.984</v>
      </c>
      <c r="CC22" s="3284">
        <f t="shared" si="4"/>
        <v>9.7301420336873695E-3</v>
      </c>
      <c r="CD22" s="1449"/>
      <c r="CE22" s="842"/>
      <c r="CF22" s="842"/>
    </row>
    <row r="23" spans="1:89" s="1411" customFormat="1" ht="12" customHeight="1" x14ac:dyDescent="0.25">
      <c r="A23" s="1587"/>
      <c r="B23" s="3451" t="s">
        <v>630</v>
      </c>
      <c r="C23" s="3851"/>
      <c r="D23" s="3850"/>
      <c r="E23" s="2028"/>
      <c r="F23" s="1992"/>
      <c r="G23" s="2059">
        <v>0</v>
      </c>
      <c r="H23" s="2059">
        <v>0</v>
      </c>
      <c r="I23" s="2061">
        <f t="shared" si="17"/>
        <v>0</v>
      </c>
      <c r="J23" s="1992">
        <v>0</v>
      </c>
      <c r="K23" s="1992"/>
      <c r="L23" s="2059">
        <v>0</v>
      </c>
      <c r="M23" s="2059">
        <v>0</v>
      </c>
      <c r="N23" s="2061">
        <f t="shared" si="18"/>
        <v>0</v>
      </c>
      <c r="O23" s="3895">
        <f t="shared" si="6"/>
        <v>0</v>
      </c>
      <c r="P23" s="3894"/>
      <c r="Q23" s="2002"/>
      <c r="R23" s="2059"/>
      <c r="S23" s="2059"/>
      <c r="T23" s="2061">
        <f t="shared" si="19"/>
        <v>0</v>
      </c>
      <c r="U23" s="3284">
        <f t="shared" si="1"/>
        <v>0</v>
      </c>
      <c r="V23" s="2062"/>
      <c r="W23" s="2059"/>
      <c r="X23" s="2059"/>
      <c r="Y23" s="2061">
        <f t="shared" si="20"/>
        <v>0</v>
      </c>
      <c r="Z23" s="3516">
        <f t="shared" si="2"/>
        <v>0</v>
      </c>
      <c r="AA23" s="3894"/>
      <c r="AB23" s="2059"/>
      <c r="AC23" s="2059"/>
      <c r="AD23" s="2061">
        <f t="shared" si="21"/>
        <v>0</v>
      </c>
      <c r="AE23" s="3516">
        <f t="shared" si="3"/>
        <v>0</v>
      </c>
      <c r="AF23" s="3894"/>
      <c r="AG23" s="2059"/>
      <c r="AH23" s="2059"/>
      <c r="AI23" s="2061">
        <f t="shared" si="22"/>
        <v>0</v>
      </c>
      <c r="AJ23" s="3895" t="e">
        <f t="shared" si="7"/>
        <v>#DIV/0!</v>
      </c>
      <c r="AK23" s="3894"/>
      <c r="AL23" s="2059"/>
      <c r="AM23" s="2059"/>
      <c r="AN23" s="2061">
        <f t="shared" si="23"/>
        <v>0</v>
      </c>
      <c r="AO23" s="3895">
        <f t="shared" si="8"/>
        <v>0</v>
      </c>
      <c r="AP23" s="3894"/>
      <c r="AQ23" s="2067"/>
      <c r="AR23" s="2059"/>
      <c r="AS23" s="2061">
        <f t="shared" si="24"/>
        <v>0</v>
      </c>
      <c r="AT23" s="3284" t="e">
        <f t="shared" si="9"/>
        <v>#DIV/0!</v>
      </c>
      <c r="AU23" s="2064"/>
      <c r="AV23" s="2067"/>
      <c r="AW23" s="2059"/>
      <c r="AX23" s="2061">
        <f t="shared" si="25"/>
        <v>0</v>
      </c>
      <c r="AY23" s="3284">
        <f t="shared" si="10"/>
        <v>0</v>
      </c>
      <c r="AZ23" s="2064"/>
      <c r="BA23" s="2067"/>
      <c r="BB23" s="2059"/>
      <c r="BC23" s="2061">
        <f t="shared" si="26"/>
        <v>0</v>
      </c>
      <c r="BD23" s="3284">
        <f t="shared" si="11"/>
        <v>0</v>
      </c>
      <c r="BE23" s="2064"/>
      <c r="BF23" s="2067"/>
      <c r="BG23" s="2059"/>
      <c r="BH23" s="2061">
        <f t="shared" si="27"/>
        <v>0</v>
      </c>
      <c r="BI23" s="3284">
        <f t="shared" si="12"/>
        <v>0</v>
      </c>
      <c r="BJ23" s="2064"/>
      <c r="BK23" s="2067"/>
      <c r="BL23" s="2059"/>
      <c r="BM23" s="2061">
        <f t="shared" si="28"/>
        <v>0</v>
      </c>
      <c r="BN23" s="3284">
        <f t="shared" si="13"/>
        <v>0</v>
      </c>
      <c r="BO23" s="2064"/>
      <c r="BP23" s="2067"/>
      <c r="BQ23" s="2059"/>
      <c r="BR23" s="2061">
        <f t="shared" si="29"/>
        <v>0</v>
      </c>
      <c r="BS23" s="3284">
        <f t="shared" si="14"/>
        <v>0</v>
      </c>
      <c r="BT23" s="2064"/>
      <c r="BU23" s="2067"/>
      <c r="BV23" s="2059"/>
      <c r="BW23" s="2061">
        <f t="shared" si="30"/>
        <v>0</v>
      </c>
      <c r="BX23" s="3284">
        <f t="shared" si="15"/>
        <v>0</v>
      </c>
      <c r="BY23" s="2064"/>
      <c r="BZ23" s="2059">
        <f t="shared" si="16"/>
        <v>0</v>
      </c>
      <c r="CA23" s="2059">
        <f t="shared" si="16"/>
        <v>0</v>
      </c>
      <c r="CB23" s="2061">
        <f t="shared" si="31"/>
        <v>0</v>
      </c>
      <c r="CC23" s="3284">
        <f t="shared" si="4"/>
        <v>0</v>
      </c>
      <c r="CD23" s="1449"/>
      <c r="CE23" s="842"/>
      <c r="CF23" s="842"/>
    </row>
    <row r="24" spans="1:89" s="1411" customFormat="1" ht="12" customHeight="1" x14ac:dyDescent="0.25">
      <c r="A24" s="1587"/>
      <c r="B24" s="3451" t="s">
        <v>23</v>
      </c>
      <c r="C24" s="3851"/>
      <c r="D24" s="3850"/>
      <c r="E24" s="2028">
        <f t="shared" si="5"/>
        <v>0</v>
      </c>
      <c r="F24" s="1992" t="e">
        <f t="shared" ref="F24:F33" si="32">E24/$E$89</f>
        <v>#DIV/0!</v>
      </c>
      <c r="G24" s="2059">
        <v>367998.91200000001</v>
      </c>
      <c r="H24" s="2059">
        <v>0</v>
      </c>
      <c r="I24" s="2061">
        <f t="shared" si="17"/>
        <v>367998.91200000001</v>
      </c>
      <c r="J24" s="1992">
        <v>4.6266352863285953E-2</v>
      </c>
      <c r="K24" s="1992"/>
      <c r="L24" s="2059">
        <v>197449.97999999998</v>
      </c>
      <c r="M24" s="2059">
        <v>1810</v>
      </c>
      <c r="N24" s="2061">
        <f t="shared" si="18"/>
        <v>199259.97999999998</v>
      </c>
      <c r="O24" s="3895">
        <f t="shared" si="6"/>
        <v>5.3299295517463582E-2</v>
      </c>
      <c r="P24" s="3894"/>
      <c r="Q24" s="2002"/>
      <c r="R24" s="2059"/>
      <c r="S24" s="2059"/>
      <c r="T24" s="2061">
        <f t="shared" si="19"/>
        <v>0</v>
      </c>
      <c r="U24" s="3284">
        <f t="shared" si="1"/>
        <v>0</v>
      </c>
      <c r="V24" s="2062"/>
      <c r="W24" s="2059">
        <v>27000</v>
      </c>
      <c r="X24" s="2059"/>
      <c r="Y24" s="2061">
        <f t="shared" si="20"/>
        <v>27000</v>
      </c>
      <c r="Z24" s="3516">
        <f t="shared" si="2"/>
        <v>1</v>
      </c>
      <c r="AA24" s="3894" t="s">
        <v>1599</v>
      </c>
      <c r="AB24" s="2059"/>
      <c r="AC24" s="2059"/>
      <c r="AD24" s="2061">
        <f t="shared" si="21"/>
        <v>0</v>
      </c>
      <c r="AE24" s="3516">
        <f t="shared" si="3"/>
        <v>0</v>
      </c>
      <c r="AF24" s="3894"/>
      <c r="AG24" s="2059"/>
      <c r="AH24" s="2059"/>
      <c r="AI24" s="2061">
        <f t="shared" si="22"/>
        <v>0</v>
      </c>
      <c r="AJ24" s="3895" t="e">
        <f t="shared" si="7"/>
        <v>#DIV/0!</v>
      </c>
      <c r="AK24" s="3894"/>
      <c r="AL24" s="2059"/>
      <c r="AM24" s="2059"/>
      <c r="AN24" s="2061">
        <f t="shared" si="23"/>
        <v>0</v>
      </c>
      <c r="AO24" s="3895">
        <f t="shared" si="8"/>
        <v>0</v>
      </c>
      <c r="AP24" s="3894"/>
      <c r="AQ24" s="2067"/>
      <c r="AR24" s="2059"/>
      <c r="AS24" s="2061">
        <f t="shared" si="24"/>
        <v>0</v>
      </c>
      <c r="AT24" s="3284" t="e">
        <f t="shared" si="9"/>
        <v>#DIV/0!</v>
      </c>
      <c r="AU24" s="2062"/>
      <c r="AV24" s="2067"/>
      <c r="AW24" s="2059"/>
      <c r="AX24" s="2061">
        <f t="shared" si="25"/>
        <v>0</v>
      </c>
      <c r="AY24" s="3284">
        <f t="shared" si="10"/>
        <v>0</v>
      </c>
      <c r="AZ24" s="2062"/>
      <c r="BA24" s="2067"/>
      <c r="BB24" s="2059"/>
      <c r="BC24" s="2061">
        <f t="shared" si="26"/>
        <v>0</v>
      </c>
      <c r="BD24" s="3284">
        <f t="shared" si="11"/>
        <v>0</v>
      </c>
      <c r="BE24" s="2062"/>
      <c r="BF24" s="2067"/>
      <c r="BG24" s="2059"/>
      <c r="BH24" s="2061">
        <f t="shared" si="27"/>
        <v>0</v>
      </c>
      <c r="BI24" s="3284">
        <f t="shared" si="12"/>
        <v>0</v>
      </c>
      <c r="BJ24" s="2062"/>
      <c r="BK24" s="2067"/>
      <c r="BL24" s="2059"/>
      <c r="BM24" s="2061">
        <f t="shared" si="28"/>
        <v>0</v>
      </c>
      <c r="BN24" s="3284">
        <f t="shared" si="13"/>
        <v>0</v>
      </c>
      <c r="BO24" s="2062"/>
      <c r="BP24" s="2067"/>
      <c r="BQ24" s="2059"/>
      <c r="BR24" s="2061">
        <f t="shared" si="29"/>
        <v>0</v>
      </c>
      <c r="BS24" s="3284">
        <f t="shared" si="14"/>
        <v>0</v>
      </c>
      <c r="BT24" s="2062"/>
      <c r="BU24" s="2067"/>
      <c r="BV24" s="2059"/>
      <c r="BW24" s="2061">
        <f t="shared" si="30"/>
        <v>0</v>
      </c>
      <c r="BX24" s="3284">
        <f t="shared" si="15"/>
        <v>0</v>
      </c>
      <c r="BY24" s="2062"/>
      <c r="BZ24" s="2059">
        <f t="shared" si="16"/>
        <v>592448.89199999999</v>
      </c>
      <c r="CA24" s="2059">
        <f t="shared" si="16"/>
        <v>1810</v>
      </c>
      <c r="CB24" s="2061">
        <f t="shared" si="31"/>
        <v>594258.89199999999</v>
      </c>
      <c r="CC24" s="3284">
        <f t="shared" si="4"/>
        <v>1.7981228695591447E-2</v>
      </c>
      <c r="CD24" s="1449"/>
      <c r="CE24" s="842"/>
      <c r="CF24" s="842"/>
    </row>
    <row r="25" spans="1:89" s="1411" customFormat="1" ht="12" customHeight="1" x14ac:dyDescent="0.25">
      <c r="A25" s="1587"/>
      <c r="B25" s="3451" t="s">
        <v>24</v>
      </c>
      <c r="C25" s="3851"/>
      <c r="D25" s="3850"/>
      <c r="E25" s="2028">
        <f t="shared" si="5"/>
        <v>0</v>
      </c>
      <c r="F25" s="1992" t="e">
        <f t="shared" si="32"/>
        <v>#DIV/0!</v>
      </c>
      <c r="G25" s="2059">
        <v>367076.56800000003</v>
      </c>
      <c r="H25" s="2059">
        <v>7027.7</v>
      </c>
      <c r="I25" s="2061">
        <f t="shared" si="17"/>
        <v>374104.26800000004</v>
      </c>
      <c r="J25" s="1992">
        <v>9.3166965992646997E-3</v>
      </c>
      <c r="K25" s="1992"/>
      <c r="L25" s="2059">
        <v>89949.54</v>
      </c>
      <c r="M25" s="2059">
        <v>787</v>
      </c>
      <c r="N25" s="2061">
        <f t="shared" si="18"/>
        <v>90736.54</v>
      </c>
      <c r="O25" s="3895">
        <f t="shared" si="6"/>
        <v>2.4270772584099199E-2</v>
      </c>
      <c r="P25" s="3894"/>
      <c r="Q25" s="2002"/>
      <c r="R25" s="2059"/>
      <c r="S25" s="2059"/>
      <c r="T25" s="2061">
        <f t="shared" si="19"/>
        <v>0</v>
      </c>
      <c r="U25" s="3284">
        <f t="shared" si="1"/>
        <v>0</v>
      </c>
      <c r="V25" s="2062"/>
      <c r="W25" s="2059"/>
      <c r="X25" s="2059"/>
      <c r="Y25" s="2061">
        <f t="shared" si="20"/>
        <v>0</v>
      </c>
      <c r="Z25" s="3516">
        <f t="shared" si="2"/>
        <v>0</v>
      </c>
      <c r="AA25" s="3894"/>
      <c r="AB25" s="2059"/>
      <c r="AC25" s="2059"/>
      <c r="AD25" s="2061">
        <f t="shared" si="21"/>
        <v>0</v>
      </c>
      <c r="AE25" s="3516">
        <f t="shared" si="3"/>
        <v>0</v>
      </c>
      <c r="AF25" s="3894"/>
      <c r="AG25" s="2059"/>
      <c r="AH25" s="2059"/>
      <c r="AI25" s="2061">
        <f t="shared" si="22"/>
        <v>0</v>
      </c>
      <c r="AJ25" s="3895" t="e">
        <f t="shared" si="7"/>
        <v>#DIV/0!</v>
      </c>
      <c r="AK25" s="3894"/>
      <c r="AL25" s="2059"/>
      <c r="AM25" s="2059"/>
      <c r="AN25" s="2061">
        <f t="shared" si="23"/>
        <v>0</v>
      </c>
      <c r="AO25" s="3895">
        <f t="shared" si="8"/>
        <v>0</v>
      </c>
      <c r="AP25" s="3894"/>
      <c r="AQ25" s="2067"/>
      <c r="AR25" s="2059"/>
      <c r="AS25" s="2061">
        <f t="shared" si="24"/>
        <v>0</v>
      </c>
      <c r="AT25" s="3284" t="e">
        <f t="shared" si="9"/>
        <v>#DIV/0!</v>
      </c>
      <c r="AU25" s="2062"/>
      <c r="AV25" s="2067"/>
      <c r="AW25" s="2059"/>
      <c r="AX25" s="2061">
        <f t="shared" si="25"/>
        <v>0</v>
      </c>
      <c r="AY25" s="3284">
        <f t="shared" si="10"/>
        <v>0</v>
      </c>
      <c r="AZ25" s="2062"/>
      <c r="BA25" s="2067"/>
      <c r="BB25" s="2059"/>
      <c r="BC25" s="2061">
        <f t="shared" si="26"/>
        <v>0</v>
      </c>
      <c r="BD25" s="3284">
        <f t="shared" si="11"/>
        <v>0</v>
      </c>
      <c r="BE25" s="2062"/>
      <c r="BF25" s="2067"/>
      <c r="BG25" s="2059"/>
      <c r="BH25" s="2061">
        <f t="shared" si="27"/>
        <v>0</v>
      </c>
      <c r="BI25" s="3284">
        <f t="shared" si="12"/>
        <v>0</v>
      </c>
      <c r="BJ25" s="2062"/>
      <c r="BK25" s="2067"/>
      <c r="BL25" s="2059"/>
      <c r="BM25" s="2061">
        <f t="shared" si="28"/>
        <v>0</v>
      </c>
      <c r="BN25" s="3284">
        <f t="shared" si="13"/>
        <v>0</v>
      </c>
      <c r="BO25" s="2062"/>
      <c r="BP25" s="2067"/>
      <c r="BQ25" s="2059"/>
      <c r="BR25" s="2061">
        <f t="shared" si="29"/>
        <v>0</v>
      </c>
      <c r="BS25" s="3284">
        <f t="shared" si="14"/>
        <v>0</v>
      </c>
      <c r="BT25" s="2062"/>
      <c r="BU25" s="2067"/>
      <c r="BV25" s="2059"/>
      <c r="BW25" s="2061">
        <f t="shared" si="30"/>
        <v>0</v>
      </c>
      <c r="BX25" s="3284">
        <f t="shared" si="15"/>
        <v>0</v>
      </c>
      <c r="BY25" s="2062"/>
      <c r="BZ25" s="2059">
        <f t="shared" si="16"/>
        <v>457026.10800000001</v>
      </c>
      <c r="CA25" s="2059">
        <f t="shared" si="16"/>
        <v>7814.7</v>
      </c>
      <c r="CB25" s="2061">
        <f t="shared" si="31"/>
        <v>464840.80800000002</v>
      </c>
      <c r="CC25" s="3284">
        <f t="shared" si="4"/>
        <v>1.4065265136481146E-2</v>
      </c>
      <c r="CD25" s="1449"/>
      <c r="CE25" s="842"/>
      <c r="CF25" s="842"/>
      <c r="CG25" s="842"/>
    </row>
    <row r="26" spans="1:89" s="1411" customFormat="1" ht="12" customHeight="1" x14ac:dyDescent="0.25">
      <c r="A26" s="1587"/>
      <c r="B26" s="3451" t="s">
        <v>45</v>
      </c>
      <c r="C26" s="3851"/>
      <c r="D26" s="3850"/>
      <c r="E26" s="2028">
        <f t="shared" si="5"/>
        <v>0</v>
      </c>
      <c r="F26" s="1992" t="e">
        <f t="shared" si="32"/>
        <v>#DIV/0!</v>
      </c>
      <c r="G26" s="2059">
        <f>7935476.83048577-145391.292378701</f>
        <v>7790085.5381070683</v>
      </c>
      <c r="H26" s="2059">
        <v>0</v>
      </c>
      <c r="I26" s="2061">
        <f t="shared" si="17"/>
        <v>7790085.5381070683</v>
      </c>
      <c r="J26" s="1992">
        <v>0.49397270287010753</v>
      </c>
      <c r="K26" s="1992"/>
      <c r="L26" s="2059">
        <f>1235709.06076-280809.9</f>
        <v>954899.16076</v>
      </c>
      <c r="M26" s="2059">
        <v>0</v>
      </c>
      <c r="N26" s="2061">
        <f t="shared" si="18"/>
        <v>954899.16076</v>
      </c>
      <c r="O26" s="3895">
        <f t="shared" si="6"/>
        <v>0.25542235103468947</v>
      </c>
      <c r="P26" s="3894"/>
      <c r="Q26" s="2002"/>
      <c r="R26" s="2059">
        <v>5977252.04</v>
      </c>
      <c r="S26" s="2059"/>
      <c r="T26" s="2061">
        <f t="shared" si="19"/>
        <v>5977252.04</v>
      </c>
      <c r="U26" s="3284">
        <f t="shared" si="1"/>
        <v>1</v>
      </c>
      <c r="V26" s="2062" t="s">
        <v>1571</v>
      </c>
      <c r="W26" s="1665"/>
      <c r="X26" s="2059"/>
      <c r="Y26" s="2061">
        <f t="shared" si="20"/>
        <v>0</v>
      </c>
      <c r="Z26" s="3516">
        <f t="shared" si="2"/>
        <v>0</v>
      </c>
      <c r="AA26" s="3894"/>
      <c r="AB26" s="2059">
        <f>8062487.91*1.2*0</f>
        <v>0</v>
      </c>
      <c r="AC26" s="2059"/>
      <c r="AD26" s="2061">
        <f t="shared" si="21"/>
        <v>0</v>
      </c>
      <c r="AE26" s="3516">
        <f t="shared" si="3"/>
        <v>0</v>
      </c>
      <c r="AF26" s="3894" t="s">
        <v>1609</v>
      </c>
      <c r="AG26" s="2059"/>
      <c r="AH26" s="2059"/>
      <c r="AI26" s="2061">
        <f t="shared" si="22"/>
        <v>0</v>
      </c>
      <c r="AJ26" s="3895" t="e">
        <f t="shared" si="7"/>
        <v>#DIV/0!</v>
      </c>
      <c r="AK26" s="3894" t="s">
        <v>1653</v>
      </c>
      <c r="AL26" s="2059">
        <f>7593514.2*1.2</f>
        <v>9112217.0399999991</v>
      </c>
      <c r="AM26" s="2059"/>
      <c r="AN26" s="2061">
        <f t="shared" si="23"/>
        <v>9112217.0399999991</v>
      </c>
      <c r="AO26" s="3895">
        <f t="shared" si="8"/>
        <v>1</v>
      </c>
      <c r="AP26" s="3894"/>
      <c r="AQ26" s="2067"/>
      <c r="AR26" s="2059"/>
      <c r="AS26" s="2061">
        <f t="shared" si="24"/>
        <v>0</v>
      </c>
      <c r="AT26" s="3284" t="e">
        <f t="shared" si="9"/>
        <v>#DIV/0!</v>
      </c>
      <c r="AU26" s="2064"/>
      <c r="AV26" s="2067">
        <f>450000*1.2+132885*1.2+132885</f>
        <v>832347</v>
      </c>
      <c r="AW26" s="2059"/>
      <c r="AX26" s="2061">
        <f t="shared" si="25"/>
        <v>832347</v>
      </c>
      <c r="AY26" s="3284">
        <f t="shared" si="10"/>
        <v>1</v>
      </c>
      <c r="AZ26" s="2802" t="s">
        <v>1772</v>
      </c>
      <c r="BA26" s="2067"/>
      <c r="BB26" s="2059"/>
      <c r="BC26" s="2061">
        <f t="shared" si="26"/>
        <v>0</v>
      </c>
      <c r="BD26" s="3284">
        <f t="shared" si="11"/>
        <v>0</v>
      </c>
      <c r="BE26" s="2802"/>
      <c r="BF26" s="2067"/>
      <c r="BG26" s="2059"/>
      <c r="BH26" s="2061">
        <f t="shared" si="27"/>
        <v>0</v>
      </c>
      <c r="BI26" s="3284">
        <f t="shared" si="12"/>
        <v>0</v>
      </c>
      <c r="BJ26" s="2064"/>
      <c r="BK26" s="2067"/>
      <c r="BL26" s="2059"/>
      <c r="BM26" s="2061">
        <f t="shared" si="28"/>
        <v>0</v>
      </c>
      <c r="BN26" s="3284">
        <f t="shared" si="13"/>
        <v>0</v>
      </c>
      <c r="BO26" s="2064"/>
      <c r="BP26" s="2067"/>
      <c r="BQ26" s="2059"/>
      <c r="BR26" s="2061">
        <f t="shared" si="29"/>
        <v>0</v>
      </c>
      <c r="BS26" s="3284">
        <f t="shared" si="14"/>
        <v>0</v>
      </c>
      <c r="BT26" s="2064"/>
      <c r="BU26" s="2067"/>
      <c r="BV26" s="2059"/>
      <c r="BW26" s="2061">
        <f t="shared" si="30"/>
        <v>0</v>
      </c>
      <c r="BX26" s="3284">
        <f t="shared" si="15"/>
        <v>0</v>
      </c>
      <c r="BY26" s="2064"/>
      <c r="BZ26" s="2059">
        <f t="shared" si="16"/>
        <v>24666800.778867066</v>
      </c>
      <c r="CA26" s="2059">
        <f t="shared" si="16"/>
        <v>0</v>
      </c>
      <c r="CB26" s="2061">
        <f t="shared" si="31"/>
        <v>24666800.778867066</v>
      </c>
      <c r="CC26" s="3284">
        <f t="shared" si="4"/>
        <v>0.7463739995554024</v>
      </c>
      <c r="CD26" s="1449"/>
      <c r="CE26" s="842"/>
      <c r="CF26" s="842"/>
      <c r="CG26" s="842"/>
    </row>
    <row r="27" spans="1:89" s="1411" customFormat="1" ht="12" customHeight="1" x14ac:dyDescent="0.25">
      <c r="A27" s="1587"/>
      <c r="B27" s="3451" t="s">
        <v>25</v>
      </c>
      <c r="C27" s="3851"/>
      <c r="D27" s="3850"/>
      <c r="E27" s="2028">
        <f t="shared" si="5"/>
        <v>0</v>
      </c>
      <c r="F27" s="1992" t="e">
        <f t="shared" si="32"/>
        <v>#DIV/0!</v>
      </c>
      <c r="G27" s="2059">
        <v>5622.1799999999994</v>
      </c>
      <c r="H27" s="2059">
        <v>200</v>
      </c>
      <c r="I27" s="2061">
        <f t="shared" si="17"/>
        <v>5822.1799999999994</v>
      </c>
      <c r="J27" s="1992">
        <v>7.3198867042728155E-4</v>
      </c>
      <c r="K27" s="1992"/>
      <c r="L27" s="2059">
        <v>1171.8</v>
      </c>
      <c r="M27" s="2059">
        <v>0</v>
      </c>
      <c r="N27" s="2061">
        <f t="shared" si="18"/>
        <v>1171.8</v>
      </c>
      <c r="O27" s="3895">
        <f t="shared" si="6"/>
        <v>3.1344033301300054E-4</v>
      </c>
      <c r="P27" s="3894"/>
      <c r="Q27" s="2002"/>
      <c r="R27" s="2059"/>
      <c r="S27" s="2059"/>
      <c r="T27" s="2061">
        <f t="shared" si="19"/>
        <v>0</v>
      </c>
      <c r="U27" s="3284">
        <f t="shared" si="1"/>
        <v>0</v>
      </c>
      <c r="V27" s="2062"/>
      <c r="W27" s="2059"/>
      <c r="X27" s="2059"/>
      <c r="Y27" s="2061">
        <f t="shared" si="20"/>
        <v>0</v>
      </c>
      <c r="Z27" s="3516">
        <f t="shared" si="2"/>
        <v>0</v>
      </c>
      <c r="AA27" s="3900"/>
      <c r="AB27" s="2059"/>
      <c r="AC27" s="2059"/>
      <c r="AD27" s="2061">
        <f t="shared" si="21"/>
        <v>0</v>
      </c>
      <c r="AE27" s="3516">
        <f t="shared" si="3"/>
        <v>0</v>
      </c>
      <c r="AF27" s="3894"/>
      <c r="AG27" s="2059"/>
      <c r="AH27" s="2059"/>
      <c r="AI27" s="2061">
        <f t="shared" si="22"/>
        <v>0</v>
      </c>
      <c r="AJ27" s="3895" t="e">
        <f t="shared" si="7"/>
        <v>#DIV/0!</v>
      </c>
      <c r="AK27" s="3894"/>
      <c r="AL27" s="2059"/>
      <c r="AM27" s="2059"/>
      <c r="AN27" s="2061">
        <f t="shared" si="23"/>
        <v>0</v>
      </c>
      <c r="AO27" s="3895">
        <f t="shared" si="8"/>
        <v>0</v>
      </c>
      <c r="AP27" s="3894"/>
      <c r="AQ27" s="2067"/>
      <c r="AR27" s="2059"/>
      <c r="AS27" s="2061">
        <f t="shared" si="24"/>
        <v>0</v>
      </c>
      <c r="AT27" s="3284" t="e">
        <f t="shared" si="9"/>
        <v>#DIV/0!</v>
      </c>
      <c r="AU27" s="2062"/>
      <c r="AV27" s="2067"/>
      <c r="AW27" s="2059"/>
      <c r="AX27" s="2061">
        <f t="shared" si="25"/>
        <v>0</v>
      </c>
      <c r="AY27" s="3284">
        <f t="shared" si="10"/>
        <v>0</v>
      </c>
      <c r="AZ27" s="2062"/>
      <c r="BA27" s="2067"/>
      <c r="BB27" s="2059"/>
      <c r="BC27" s="2061">
        <f t="shared" si="26"/>
        <v>0</v>
      </c>
      <c r="BD27" s="3284">
        <f t="shared" si="11"/>
        <v>0</v>
      </c>
      <c r="BE27" s="2062"/>
      <c r="BF27" s="2067"/>
      <c r="BG27" s="2059"/>
      <c r="BH27" s="2061">
        <f t="shared" si="27"/>
        <v>0</v>
      </c>
      <c r="BI27" s="3284">
        <f t="shared" si="12"/>
        <v>0</v>
      </c>
      <c r="BJ27" s="2062"/>
      <c r="BK27" s="2067"/>
      <c r="BL27" s="2059"/>
      <c r="BM27" s="2061">
        <f t="shared" si="28"/>
        <v>0</v>
      </c>
      <c r="BN27" s="3284">
        <f t="shared" si="13"/>
        <v>0</v>
      </c>
      <c r="BO27" s="2062"/>
      <c r="BP27" s="2067"/>
      <c r="BQ27" s="2059"/>
      <c r="BR27" s="2061">
        <f t="shared" si="29"/>
        <v>0</v>
      </c>
      <c r="BS27" s="3284">
        <f t="shared" si="14"/>
        <v>0</v>
      </c>
      <c r="BT27" s="2062"/>
      <c r="BU27" s="2067"/>
      <c r="BV27" s="2059"/>
      <c r="BW27" s="2061">
        <f t="shared" si="30"/>
        <v>0</v>
      </c>
      <c r="BX27" s="3284">
        <f t="shared" si="15"/>
        <v>0</v>
      </c>
      <c r="BY27" s="2062"/>
      <c r="BZ27" s="2059">
        <f t="shared" si="16"/>
        <v>6793.98</v>
      </c>
      <c r="CA27" s="2059">
        <f t="shared" si="16"/>
        <v>200</v>
      </c>
      <c r="CB27" s="2061">
        <f t="shared" si="31"/>
        <v>6993.98</v>
      </c>
      <c r="CC27" s="3284">
        <f t="shared" si="4"/>
        <v>2.1162553150722171E-4</v>
      </c>
      <c r="CD27" s="1449"/>
      <c r="CE27" s="842"/>
      <c r="CF27" s="842"/>
    </row>
    <row r="28" spans="1:89" s="1579" customFormat="1" ht="12" customHeight="1" x14ac:dyDescent="0.25">
      <c r="A28" s="1587"/>
      <c r="B28" s="3868" t="s">
        <v>52</v>
      </c>
      <c r="C28" s="3851"/>
      <c r="D28" s="3850"/>
      <c r="E28" s="2028">
        <f t="shared" si="5"/>
        <v>0</v>
      </c>
      <c r="F28" s="1992" t="e">
        <f t="shared" si="32"/>
        <v>#DIV/0!</v>
      </c>
      <c r="G28" s="2059">
        <v>90</v>
      </c>
      <c r="H28" s="2059">
        <v>8300</v>
      </c>
      <c r="I28" s="2061">
        <f t="shared" si="17"/>
        <v>8390</v>
      </c>
      <c r="J28" s="1992">
        <v>1.0548256743839752E-3</v>
      </c>
      <c r="K28" s="1992"/>
      <c r="L28" s="2059">
        <v>1980.16</v>
      </c>
      <c r="M28" s="2059">
        <v>1200</v>
      </c>
      <c r="N28" s="2061">
        <f t="shared" si="18"/>
        <v>3180.16</v>
      </c>
      <c r="O28" s="3895">
        <f t="shared" si="6"/>
        <v>8.5064892424869751E-4</v>
      </c>
      <c r="P28" s="3894"/>
      <c r="Q28" s="2002"/>
      <c r="R28" s="2059"/>
      <c r="S28" s="2059"/>
      <c r="T28" s="2061">
        <f t="shared" si="19"/>
        <v>0</v>
      </c>
      <c r="U28" s="3284">
        <f t="shared" si="1"/>
        <v>0</v>
      </c>
      <c r="V28" s="2062"/>
      <c r="W28" s="2059"/>
      <c r="X28" s="2059"/>
      <c r="Y28" s="2061">
        <f t="shared" si="20"/>
        <v>0</v>
      </c>
      <c r="Z28" s="3516">
        <f t="shared" si="2"/>
        <v>0</v>
      </c>
      <c r="AA28" s="2062"/>
      <c r="AB28" s="2059"/>
      <c r="AC28" s="2059"/>
      <c r="AD28" s="2061">
        <f t="shared" si="21"/>
        <v>0</v>
      </c>
      <c r="AE28" s="3516">
        <f t="shared" si="3"/>
        <v>0</v>
      </c>
      <c r="AF28" s="3894"/>
      <c r="AG28" s="2059"/>
      <c r="AH28" s="2059"/>
      <c r="AI28" s="2061">
        <f t="shared" si="22"/>
        <v>0</v>
      </c>
      <c r="AJ28" s="3895" t="e">
        <f t="shared" si="7"/>
        <v>#DIV/0!</v>
      </c>
      <c r="AK28" s="3894"/>
      <c r="AL28" s="2059"/>
      <c r="AM28" s="2059"/>
      <c r="AN28" s="2061">
        <f t="shared" si="23"/>
        <v>0</v>
      </c>
      <c r="AO28" s="3895">
        <f t="shared" si="8"/>
        <v>0</v>
      </c>
      <c r="AP28" s="3894"/>
      <c r="AQ28" s="2067"/>
      <c r="AR28" s="2059"/>
      <c r="AS28" s="2061">
        <f t="shared" si="24"/>
        <v>0</v>
      </c>
      <c r="AT28" s="3284" t="e">
        <f t="shared" si="9"/>
        <v>#DIV/0!</v>
      </c>
      <c r="AU28" s="2062"/>
      <c r="AV28" s="2067"/>
      <c r="AW28" s="2059"/>
      <c r="AX28" s="2061">
        <f t="shared" si="25"/>
        <v>0</v>
      </c>
      <c r="AY28" s="3284">
        <f t="shared" si="10"/>
        <v>0</v>
      </c>
      <c r="AZ28" s="2062"/>
      <c r="BA28" s="2067"/>
      <c r="BB28" s="2059"/>
      <c r="BC28" s="2061">
        <f t="shared" si="26"/>
        <v>0</v>
      </c>
      <c r="BD28" s="3284">
        <f t="shared" si="11"/>
        <v>0</v>
      </c>
      <c r="BE28" s="2062"/>
      <c r="BF28" s="2067"/>
      <c r="BG28" s="2059"/>
      <c r="BH28" s="2061">
        <f t="shared" si="27"/>
        <v>0</v>
      </c>
      <c r="BI28" s="3284">
        <f t="shared" si="12"/>
        <v>0</v>
      </c>
      <c r="BJ28" s="2062"/>
      <c r="BK28" s="2067"/>
      <c r="BL28" s="2059"/>
      <c r="BM28" s="2061">
        <f t="shared" si="28"/>
        <v>0</v>
      </c>
      <c r="BN28" s="3284">
        <f t="shared" si="13"/>
        <v>0</v>
      </c>
      <c r="BO28" s="2062"/>
      <c r="BP28" s="2067"/>
      <c r="BQ28" s="2059"/>
      <c r="BR28" s="2061">
        <f t="shared" si="29"/>
        <v>0</v>
      </c>
      <c r="BS28" s="3284">
        <f t="shared" si="14"/>
        <v>0</v>
      </c>
      <c r="BT28" s="2062"/>
      <c r="BU28" s="2067"/>
      <c r="BV28" s="2059"/>
      <c r="BW28" s="2061">
        <f t="shared" si="30"/>
        <v>0</v>
      </c>
      <c r="BX28" s="3284">
        <f t="shared" si="15"/>
        <v>0</v>
      </c>
      <c r="BY28" s="2062"/>
      <c r="BZ28" s="2059">
        <f t="shared" si="16"/>
        <v>2070.16</v>
      </c>
      <c r="CA28" s="2059">
        <f t="shared" si="16"/>
        <v>9500</v>
      </c>
      <c r="CB28" s="2061">
        <f t="shared" si="31"/>
        <v>11570.16</v>
      </c>
      <c r="CC28" s="3284">
        <f t="shared" si="4"/>
        <v>3.5009268822953405E-4</v>
      </c>
      <c r="CD28" s="1449"/>
      <c r="CE28" s="916"/>
      <c r="CF28" s="842"/>
    </row>
    <row r="29" spans="1:89" s="1411" customFormat="1" ht="12" customHeight="1" x14ac:dyDescent="0.25">
      <c r="A29" s="1587"/>
      <c r="B29" s="3451" t="s">
        <v>31</v>
      </c>
      <c r="C29" s="3851"/>
      <c r="D29" s="3850"/>
      <c r="E29" s="2028">
        <f t="shared" si="5"/>
        <v>0</v>
      </c>
      <c r="F29" s="3284" t="e">
        <f t="shared" si="32"/>
        <v>#DIV/0!</v>
      </c>
      <c r="G29" s="2059">
        <v>35590</v>
      </c>
      <c r="H29" s="2059">
        <v>47300</v>
      </c>
      <c r="I29" s="2061">
        <f t="shared" si="17"/>
        <v>82890</v>
      </c>
      <c r="J29" s="1992">
        <v>1.0421275345612361E-2</v>
      </c>
      <c r="K29" s="1992"/>
      <c r="L29" s="2059">
        <v>17670</v>
      </c>
      <c r="M29" s="2059">
        <v>43730</v>
      </c>
      <c r="N29" s="2061">
        <f t="shared" si="18"/>
        <v>61400</v>
      </c>
      <c r="O29" s="3895">
        <f t="shared" si="6"/>
        <v>1.64236528818896E-2</v>
      </c>
      <c r="P29" s="3894"/>
      <c r="Q29" s="2002"/>
      <c r="R29" s="2059"/>
      <c r="S29" s="2059"/>
      <c r="T29" s="2061">
        <f t="shared" si="19"/>
        <v>0</v>
      </c>
      <c r="U29" s="3284">
        <f t="shared" si="1"/>
        <v>0</v>
      </c>
      <c r="V29" s="2062"/>
      <c r="W29" s="2059"/>
      <c r="X29" s="2059"/>
      <c r="Y29" s="2061">
        <f t="shared" si="20"/>
        <v>0</v>
      </c>
      <c r="Z29" s="3516">
        <f t="shared" si="2"/>
        <v>0</v>
      </c>
      <c r="AA29" s="3894"/>
      <c r="AB29" s="2059"/>
      <c r="AC29" s="2059"/>
      <c r="AD29" s="2061">
        <f t="shared" si="21"/>
        <v>0</v>
      </c>
      <c r="AE29" s="3516">
        <f t="shared" si="3"/>
        <v>0</v>
      </c>
      <c r="AF29" s="3894"/>
      <c r="AG29" s="2059"/>
      <c r="AH29" s="2059"/>
      <c r="AI29" s="2061">
        <f t="shared" si="22"/>
        <v>0</v>
      </c>
      <c r="AJ29" s="3895" t="e">
        <f t="shared" si="7"/>
        <v>#DIV/0!</v>
      </c>
      <c r="AK29" s="3894"/>
      <c r="AL29" s="2059"/>
      <c r="AM29" s="2059"/>
      <c r="AN29" s="2061">
        <f t="shared" si="23"/>
        <v>0</v>
      </c>
      <c r="AO29" s="3895">
        <f t="shared" si="8"/>
        <v>0</v>
      </c>
      <c r="AP29" s="3894"/>
      <c r="AQ29" s="2067"/>
      <c r="AR29" s="2059"/>
      <c r="AS29" s="2061">
        <f t="shared" si="24"/>
        <v>0</v>
      </c>
      <c r="AT29" s="3284" t="e">
        <f t="shared" si="9"/>
        <v>#DIV/0!</v>
      </c>
      <c r="AU29" s="2062"/>
      <c r="AV29" s="2067"/>
      <c r="AW29" s="2059"/>
      <c r="AX29" s="2061">
        <f t="shared" si="25"/>
        <v>0</v>
      </c>
      <c r="AY29" s="3284">
        <f t="shared" si="10"/>
        <v>0</v>
      </c>
      <c r="AZ29" s="2062"/>
      <c r="BA29" s="2067"/>
      <c r="BB29" s="2059"/>
      <c r="BC29" s="2061">
        <f t="shared" si="26"/>
        <v>0</v>
      </c>
      <c r="BD29" s="3284">
        <f t="shared" si="11"/>
        <v>0</v>
      </c>
      <c r="BE29" s="2062"/>
      <c r="BF29" s="2067"/>
      <c r="BG29" s="2059"/>
      <c r="BH29" s="2061">
        <f t="shared" si="27"/>
        <v>0</v>
      </c>
      <c r="BI29" s="3284">
        <f t="shared" si="12"/>
        <v>0</v>
      </c>
      <c r="BJ29" s="2062"/>
      <c r="BK29" s="2067"/>
      <c r="BL29" s="2059"/>
      <c r="BM29" s="2061">
        <f t="shared" si="28"/>
        <v>0</v>
      </c>
      <c r="BN29" s="3284">
        <f t="shared" si="13"/>
        <v>0</v>
      </c>
      <c r="BO29" s="2062"/>
      <c r="BP29" s="2067"/>
      <c r="BQ29" s="2059"/>
      <c r="BR29" s="2061">
        <f t="shared" si="29"/>
        <v>0</v>
      </c>
      <c r="BS29" s="3284">
        <f t="shared" si="14"/>
        <v>0</v>
      </c>
      <c r="BT29" s="2062"/>
      <c r="BU29" s="2067"/>
      <c r="BV29" s="2059"/>
      <c r="BW29" s="2061">
        <f t="shared" si="30"/>
        <v>0</v>
      </c>
      <c r="BX29" s="3284">
        <f t="shared" si="15"/>
        <v>0</v>
      </c>
      <c r="BY29" s="2062"/>
      <c r="BZ29" s="2059">
        <f t="shared" si="16"/>
        <v>53260</v>
      </c>
      <c r="CA29" s="2059">
        <f t="shared" si="16"/>
        <v>91030</v>
      </c>
      <c r="CB29" s="2061">
        <f t="shared" si="31"/>
        <v>144290</v>
      </c>
      <c r="CC29" s="3284">
        <f t="shared" si="4"/>
        <v>4.3659615756946723E-3</v>
      </c>
      <c r="CD29" s="3295"/>
      <c r="CE29" s="842"/>
      <c r="CF29" s="842"/>
      <c r="CK29" s="1579"/>
    </row>
    <row r="30" spans="1:89" s="1411" customFormat="1" ht="12" customHeight="1" x14ac:dyDescent="0.25">
      <c r="A30" s="1587"/>
      <c r="B30" s="3451" t="s">
        <v>62</v>
      </c>
      <c r="C30" s="3851"/>
      <c r="D30" s="3850"/>
      <c r="E30" s="2028">
        <f t="shared" si="5"/>
        <v>0</v>
      </c>
      <c r="F30" s="3284" t="e">
        <f t="shared" si="32"/>
        <v>#DIV/0!</v>
      </c>
      <c r="G30" s="2059">
        <v>0</v>
      </c>
      <c r="H30" s="2059">
        <v>123380</v>
      </c>
      <c r="I30" s="2061">
        <f t="shared" si="17"/>
        <v>123380</v>
      </c>
      <c r="J30" s="1992">
        <v>1.5511846448807492E-2</v>
      </c>
      <c r="K30" s="1992"/>
      <c r="L30" s="2059">
        <v>0</v>
      </c>
      <c r="M30" s="2059">
        <v>82824</v>
      </c>
      <c r="N30" s="2061">
        <f t="shared" si="18"/>
        <v>82824</v>
      </c>
      <c r="O30" s="3895">
        <f t="shared" si="6"/>
        <v>2.2154277301133944E-2</v>
      </c>
      <c r="P30" s="3894"/>
      <c r="Q30" s="2002"/>
      <c r="R30" s="2059"/>
      <c r="S30" s="2059"/>
      <c r="T30" s="2061">
        <f t="shared" si="19"/>
        <v>0</v>
      </c>
      <c r="U30" s="3284">
        <f t="shared" si="1"/>
        <v>0</v>
      </c>
      <c r="V30" s="2062"/>
      <c r="W30" s="2059"/>
      <c r="X30" s="2059"/>
      <c r="Y30" s="2061">
        <f t="shared" si="20"/>
        <v>0</v>
      </c>
      <c r="Z30" s="3516">
        <f t="shared" si="2"/>
        <v>0</v>
      </c>
      <c r="AA30" s="3894"/>
      <c r="AB30" s="2059"/>
      <c r="AC30" s="2059"/>
      <c r="AD30" s="2061">
        <f t="shared" si="21"/>
        <v>0</v>
      </c>
      <c r="AE30" s="3516">
        <f t="shared" si="3"/>
        <v>0</v>
      </c>
      <c r="AF30" s="3894"/>
      <c r="AG30" s="2059"/>
      <c r="AH30" s="2059"/>
      <c r="AI30" s="2061">
        <f t="shared" si="22"/>
        <v>0</v>
      </c>
      <c r="AJ30" s="3895" t="e">
        <f t="shared" si="7"/>
        <v>#DIV/0!</v>
      </c>
      <c r="AK30" s="3894"/>
      <c r="AL30" s="2059"/>
      <c r="AM30" s="2059"/>
      <c r="AN30" s="2061">
        <f t="shared" si="23"/>
        <v>0</v>
      </c>
      <c r="AO30" s="3895">
        <f t="shared" si="8"/>
        <v>0</v>
      </c>
      <c r="AP30" s="3894"/>
      <c r="AQ30" s="2067"/>
      <c r="AR30" s="2059"/>
      <c r="AS30" s="2061">
        <f t="shared" si="24"/>
        <v>0</v>
      </c>
      <c r="AT30" s="3284" t="e">
        <f t="shared" si="9"/>
        <v>#DIV/0!</v>
      </c>
      <c r="AU30" s="2062"/>
      <c r="AV30" s="2067"/>
      <c r="AW30" s="2059"/>
      <c r="AX30" s="2061">
        <f t="shared" si="25"/>
        <v>0</v>
      </c>
      <c r="AY30" s="3284">
        <f t="shared" si="10"/>
        <v>0</v>
      </c>
      <c r="AZ30" s="2062"/>
      <c r="BA30" s="2067"/>
      <c r="BB30" s="2059"/>
      <c r="BC30" s="2061">
        <f t="shared" si="26"/>
        <v>0</v>
      </c>
      <c r="BD30" s="3284">
        <f t="shared" si="11"/>
        <v>0</v>
      </c>
      <c r="BE30" s="2062"/>
      <c r="BF30" s="2067"/>
      <c r="BG30" s="2059"/>
      <c r="BH30" s="2061">
        <f t="shared" si="27"/>
        <v>0</v>
      </c>
      <c r="BI30" s="3284">
        <f t="shared" si="12"/>
        <v>0</v>
      </c>
      <c r="BJ30" s="2062"/>
      <c r="BK30" s="2067"/>
      <c r="BL30" s="2059"/>
      <c r="BM30" s="2061">
        <f t="shared" si="28"/>
        <v>0</v>
      </c>
      <c r="BN30" s="3284">
        <f t="shared" si="13"/>
        <v>0</v>
      </c>
      <c r="BO30" s="2062"/>
      <c r="BP30" s="2067"/>
      <c r="BQ30" s="2059"/>
      <c r="BR30" s="2061">
        <f t="shared" si="29"/>
        <v>0</v>
      </c>
      <c r="BS30" s="3284">
        <f t="shared" si="14"/>
        <v>0</v>
      </c>
      <c r="BT30" s="2062"/>
      <c r="BU30" s="2067"/>
      <c r="BV30" s="2059"/>
      <c r="BW30" s="2061">
        <f t="shared" si="30"/>
        <v>0</v>
      </c>
      <c r="BX30" s="3284">
        <f t="shared" si="15"/>
        <v>0</v>
      </c>
      <c r="BY30" s="2062"/>
      <c r="BZ30" s="2059">
        <f t="shared" si="16"/>
        <v>0</v>
      </c>
      <c r="CA30" s="2059">
        <f t="shared" si="16"/>
        <v>206204</v>
      </c>
      <c r="CB30" s="2061">
        <f t="shared" si="31"/>
        <v>206204</v>
      </c>
      <c r="CC30" s="3284">
        <f t="shared" si="4"/>
        <v>6.2393703011611621E-3</v>
      </c>
      <c r="CD30" s="3295"/>
      <c r="CE30" s="842"/>
      <c r="CF30" s="842"/>
      <c r="CK30" s="1579"/>
    </row>
    <row r="31" spans="1:89" s="1411" customFormat="1" ht="12" customHeight="1" x14ac:dyDescent="0.25">
      <c r="A31" s="1587"/>
      <c r="B31" s="3451" t="s">
        <v>34</v>
      </c>
      <c r="C31" s="3851"/>
      <c r="D31" s="3876"/>
      <c r="E31" s="2028">
        <f t="shared" si="5"/>
        <v>0</v>
      </c>
      <c r="F31" s="3284" t="e">
        <f t="shared" si="32"/>
        <v>#DIV/0!</v>
      </c>
      <c r="G31" s="2059">
        <v>0</v>
      </c>
      <c r="H31" s="2059">
        <v>25407.57</v>
      </c>
      <c r="I31" s="2061">
        <f t="shared" si="17"/>
        <v>25407.57</v>
      </c>
      <c r="J31" s="1992">
        <v>3.1943453110498282E-3</v>
      </c>
      <c r="K31" s="1992"/>
      <c r="L31" s="2059">
        <v>0</v>
      </c>
      <c r="M31" s="2059">
        <v>17007.53</v>
      </c>
      <c r="N31" s="2061">
        <f t="shared" si="18"/>
        <v>17007.53</v>
      </c>
      <c r="O31" s="3895">
        <f t="shared" si="6"/>
        <v>4.5492796270085309E-3</v>
      </c>
      <c r="P31" s="3894"/>
      <c r="Q31" s="2002"/>
      <c r="R31" s="2059"/>
      <c r="S31" s="2059"/>
      <c r="T31" s="2061">
        <f t="shared" si="19"/>
        <v>0</v>
      </c>
      <c r="U31" s="3284">
        <f t="shared" si="1"/>
        <v>0</v>
      </c>
      <c r="V31" s="2062"/>
      <c r="W31" s="2059"/>
      <c r="X31" s="2059"/>
      <c r="Y31" s="2061">
        <f t="shared" si="20"/>
        <v>0</v>
      </c>
      <c r="Z31" s="3516">
        <f t="shared" si="2"/>
        <v>0</v>
      </c>
      <c r="AA31" s="2062"/>
      <c r="AB31" s="2059"/>
      <c r="AC31" s="2059"/>
      <c r="AD31" s="2061">
        <f t="shared" si="21"/>
        <v>0</v>
      </c>
      <c r="AE31" s="3516">
        <f t="shared" si="3"/>
        <v>0</v>
      </c>
      <c r="AF31" s="3894"/>
      <c r="AG31" s="2059"/>
      <c r="AH31" s="2059"/>
      <c r="AI31" s="2061">
        <f t="shared" si="22"/>
        <v>0</v>
      </c>
      <c r="AJ31" s="3895" t="e">
        <f t="shared" si="7"/>
        <v>#DIV/0!</v>
      </c>
      <c r="AK31" s="3894"/>
      <c r="AL31" s="2059"/>
      <c r="AM31" s="2059"/>
      <c r="AN31" s="2061">
        <f t="shared" si="23"/>
        <v>0</v>
      </c>
      <c r="AO31" s="3895">
        <f t="shared" si="8"/>
        <v>0</v>
      </c>
      <c r="AP31" s="3894"/>
      <c r="AQ31" s="2067"/>
      <c r="AR31" s="2059"/>
      <c r="AS31" s="2061">
        <f t="shared" si="24"/>
        <v>0</v>
      </c>
      <c r="AT31" s="3284" t="e">
        <f t="shared" si="9"/>
        <v>#DIV/0!</v>
      </c>
      <c r="AU31" s="2062"/>
      <c r="AV31" s="2067"/>
      <c r="AW31" s="2059"/>
      <c r="AX31" s="2061">
        <f t="shared" si="25"/>
        <v>0</v>
      </c>
      <c r="AY31" s="3284">
        <f t="shared" si="10"/>
        <v>0</v>
      </c>
      <c r="AZ31" s="2062"/>
      <c r="BA31" s="2067"/>
      <c r="BB31" s="2059"/>
      <c r="BC31" s="2061">
        <f t="shared" si="26"/>
        <v>0</v>
      </c>
      <c r="BD31" s="3284">
        <f t="shared" si="11"/>
        <v>0</v>
      </c>
      <c r="BE31" s="2062"/>
      <c r="BF31" s="2067"/>
      <c r="BG31" s="2059"/>
      <c r="BH31" s="2061">
        <f t="shared" si="27"/>
        <v>0</v>
      </c>
      <c r="BI31" s="3284">
        <f t="shared" si="12"/>
        <v>0</v>
      </c>
      <c r="BJ31" s="2062"/>
      <c r="BK31" s="2067"/>
      <c r="BL31" s="2059"/>
      <c r="BM31" s="2061">
        <f t="shared" si="28"/>
        <v>0</v>
      </c>
      <c r="BN31" s="3284">
        <f t="shared" si="13"/>
        <v>0</v>
      </c>
      <c r="BO31" s="2062"/>
      <c r="BP31" s="2067"/>
      <c r="BQ31" s="2059"/>
      <c r="BR31" s="2061">
        <f t="shared" si="29"/>
        <v>0</v>
      </c>
      <c r="BS31" s="3284">
        <f t="shared" si="14"/>
        <v>0</v>
      </c>
      <c r="BT31" s="2062"/>
      <c r="BU31" s="2067"/>
      <c r="BV31" s="2059"/>
      <c r="BW31" s="2061">
        <f t="shared" si="30"/>
        <v>0</v>
      </c>
      <c r="BX31" s="3284">
        <f t="shared" si="15"/>
        <v>0</v>
      </c>
      <c r="BY31" s="2062"/>
      <c r="BZ31" s="2059">
        <f t="shared" si="16"/>
        <v>0</v>
      </c>
      <c r="CA31" s="2059">
        <f t="shared" si="16"/>
        <v>42415.1</v>
      </c>
      <c r="CB31" s="2061">
        <f t="shared" si="31"/>
        <v>42415.1</v>
      </c>
      <c r="CC31" s="3284">
        <f t="shared" si="4"/>
        <v>1.2834063124904504E-3</v>
      </c>
      <c r="CD31" s="3295"/>
      <c r="CE31" s="842"/>
      <c r="CF31" s="842"/>
      <c r="CK31" s="1579"/>
    </row>
    <row r="32" spans="1:89" s="1411" customFormat="1" ht="12" customHeight="1" x14ac:dyDescent="0.25">
      <c r="A32" s="1587"/>
      <c r="B32" s="3453" t="s">
        <v>2</v>
      </c>
      <c r="C32" s="3852"/>
      <c r="D32" s="3853"/>
      <c r="E32" s="2028">
        <f t="shared" si="5"/>
        <v>0</v>
      </c>
      <c r="F32" s="3284" t="e">
        <f t="shared" si="32"/>
        <v>#DIV/0!</v>
      </c>
      <c r="G32" s="2059">
        <v>0</v>
      </c>
      <c r="H32" s="2059">
        <v>0</v>
      </c>
      <c r="I32" s="2061">
        <f t="shared" si="17"/>
        <v>0</v>
      </c>
      <c r="J32" s="1992">
        <v>0</v>
      </c>
      <c r="K32" s="1992"/>
      <c r="L32" s="2059">
        <v>0</v>
      </c>
      <c r="M32" s="2059">
        <v>0</v>
      </c>
      <c r="N32" s="2061">
        <f t="shared" si="18"/>
        <v>0</v>
      </c>
      <c r="O32" s="3895">
        <f t="shared" si="6"/>
        <v>0</v>
      </c>
      <c r="P32" s="3894"/>
      <c r="Q32" s="2002"/>
      <c r="R32" s="2059"/>
      <c r="S32" s="2059"/>
      <c r="T32" s="2061">
        <f t="shared" si="19"/>
        <v>0</v>
      </c>
      <c r="U32" s="3284">
        <f t="shared" si="1"/>
        <v>0</v>
      </c>
      <c r="V32" s="3296"/>
      <c r="W32" s="2059"/>
      <c r="X32" s="2059"/>
      <c r="Y32" s="2061">
        <f t="shared" si="20"/>
        <v>0</v>
      </c>
      <c r="Z32" s="3516">
        <f t="shared" si="2"/>
        <v>0</v>
      </c>
      <c r="AA32" s="3894"/>
      <c r="AB32" s="2059"/>
      <c r="AC32" s="2059"/>
      <c r="AD32" s="2061">
        <f t="shared" si="21"/>
        <v>0</v>
      </c>
      <c r="AE32" s="3516">
        <f t="shared" si="3"/>
        <v>0</v>
      </c>
      <c r="AF32" s="3894"/>
      <c r="AG32" s="2059"/>
      <c r="AH32" s="2059"/>
      <c r="AI32" s="2061">
        <f t="shared" si="22"/>
        <v>0</v>
      </c>
      <c r="AJ32" s="3895" t="e">
        <f t="shared" si="7"/>
        <v>#DIV/0!</v>
      </c>
      <c r="AK32" s="3894"/>
      <c r="AL32" s="2059"/>
      <c r="AM32" s="2059"/>
      <c r="AN32" s="2061">
        <f t="shared" si="23"/>
        <v>0</v>
      </c>
      <c r="AO32" s="3895">
        <f t="shared" si="8"/>
        <v>0</v>
      </c>
      <c r="AP32" s="3894"/>
      <c r="AQ32" s="2067"/>
      <c r="AR32" s="2059"/>
      <c r="AS32" s="2061">
        <f t="shared" si="24"/>
        <v>0</v>
      </c>
      <c r="AT32" s="3284" t="e">
        <f t="shared" si="9"/>
        <v>#DIV/0!</v>
      </c>
      <c r="AU32" s="2062"/>
      <c r="AV32" s="2067"/>
      <c r="AW32" s="2059"/>
      <c r="AX32" s="2061">
        <f t="shared" si="25"/>
        <v>0</v>
      </c>
      <c r="AY32" s="3284">
        <f t="shared" si="10"/>
        <v>0</v>
      </c>
      <c r="AZ32" s="2062"/>
      <c r="BA32" s="2067"/>
      <c r="BB32" s="2059"/>
      <c r="BC32" s="2061">
        <f t="shared" si="26"/>
        <v>0</v>
      </c>
      <c r="BD32" s="3284">
        <f t="shared" si="11"/>
        <v>0</v>
      </c>
      <c r="BE32" s="2062"/>
      <c r="BF32" s="2067"/>
      <c r="BG32" s="2059"/>
      <c r="BH32" s="2061">
        <f t="shared" si="27"/>
        <v>0</v>
      </c>
      <c r="BI32" s="3284">
        <f t="shared" si="12"/>
        <v>0</v>
      </c>
      <c r="BJ32" s="2062"/>
      <c r="BK32" s="2067"/>
      <c r="BL32" s="2059"/>
      <c r="BM32" s="2061">
        <f t="shared" si="28"/>
        <v>0</v>
      </c>
      <c r="BN32" s="3284">
        <f t="shared" si="13"/>
        <v>0</v>
      </c>
      <c r="BO32" s="2062"/>
      <c r="BP32" s="2067"/>
      <c r="BQ32" s="2059"/>
      <c r="BR32" s="2061">
        <f t="shared" si="29"/>
        <v>0</v>
      </c>
      <c r="BS32" s="3284">
        <f t="shared" si="14"/>
        <v>0</v>
      </c>
      <c r="BT32" s="2062"/>
      <c r="BU32" s="2067"/>
      <c r="BV32" s="2059"/>
      <c r="BW32" s="2061">
        <f t="shared" si="30"/>
        <v>0</v>
      </c>
      <c r="BX32" s="3284">
        <f t="shared" si="15"/>
        <v>0</v>
      </c>
      <c r="BY32" s="2062"/>
      <c r="BZ32" s="2059">
        <f t="shared" si="16"/>
        <v>0</v>
      </c>
      <c r="CA32" s="2059">
        <f t="shared" si="16"/>
        <v>0</v>
      </c>
      <c r="CB32" s="2061">
        <f t="shared" si="31"/>
        <v>0</v>
      </c>
      <c r="CC32" s="3284">
        <f t="shared" si="4"/>
        <v>0</v>
      </c>
      <c r="CD32" s="3295"/>
      <c r="CE32" s="842"/>
      <c r="CF32" s="842"/>
      <c r="CK32" s="1579"/>
    </row>
    <row r="33" spans="1:89" s="1411" customFormat="1" ht="12" customHeight="1" thickBot="1" x14ac:dyDescent="0.3">
      <c r="A33" s="1587"/>
      <c r="B33" s="2855" t="s">
        <v>75</v>
      </c>
      <c r="C33" s="3854"/>
      <c r="D33" s="2856"/>
      <c r="E33" s="1643">
        <f t="shared" si="5"/>
        <v>0</v>
      </c>
      <c r="F33" s="2883" t="e">
        <f t="shared" si="32"/>
        <v>#DIV/0!</v>
      </c>
      <c r="G33" s="2041">
        <v>0</v>
      </c>
      <c r="H33" s="2041">
        <v>14999</v>
      </c>
      <c r="I33" s="2042">
        <f t="shared" si="17"/>
        <v>14999</v>
      </c>
      <c r="J33" s="1679">
        <v>1.8857366257550947E-3</v>
      </c>
      <c r="K33" s="1679"/>
      <c r="L33" s="2857">
        <v>309178.37</v>
      </c>
      <c r="M33" s="3855">
        <v>560000</v>
      </c>
      <c r="N33" s="2042">
        <f t="shared" si="18"/>
        <v>869178.37</v>
      </c>
      <c r="O33" s="3901">
        <f t="shared" si="6"/>
        <v>0.23249322217144308</v>
      </c>
      <c r="P33" s="3855"/>
      <c r="Q33" s="1988"/>
      <c r="R33" s="2041"/>
      <c r="S33" s="2041"/>
      <c r="T33" s="2042">
        <f t="shared" si="19"/>
        <v>0</v>
      </c>
      <c r="U33" s="2883">
        <f t="shared" si="1"/>
        <v>0</v>
      </c>
      <c r="V33" s="2884"/>
      <c r="W33" s="2857"/>
      <c r="X33" s="3855"/>
      <c r="Y33" s="2042">
        <f t="shared" si="20"/>
        <v>0</v>
      </c>
      <c r="Z33" s="3902">
        <f t="shared" si="2"/>
        <v>0</v>
      </c>
      <c r="AA33" s="3855"/>
      <c r="AB33" s="2857"/>
      <c r="AC33" s="3855"/>
      <c r="AD33" s="2042">
        <f t="shared" si="21"/>
        <v>0</v>
      </c>
      <c r="AE33" s="3902">
        <f t="shared" si="3"/>
        <v>0</v>
      </c>
      <c r="AF33" s="3855"/>
      <c r="AG33" s="2857"/>
      <c r="AH33" s="3855"/>
      <c r="AI33" s="2042">
        <f t="shared" si="22"/>
        <v>0</v>
      </c>
      <c r="AJ33" s="3901" t="e">
        <f t="shared" si="7"/>
        <v>#DIV/0!</v>
      </c>
      <c r="AK33" s="3855"/>
      <c r="AL33" s="2857"/>
      <c r="AM33" s="3855"/>
      <c r="AN33" s="2042">
        <f t="shared" si="23"/>
        <v>0</v>
      </c>
      <c r="AO33" s="3901">
        <f t="shared" si="8"/>
        <v>0</v>
      </c>
      <c r="AP33" s="3855"/>
      <c r="AQ33" s="2044"/>
      <c r="AR33" s="2041"/>
      <c r="AS33" s="2042">
        <f t="shared" si="24"/>
        <v>0</v>
      </c>
      <c r="AT33" s="2883" t="e">
        <f t="shared" si="9"/>
        <v>#DIV/0!</v>
      </c>
      <c r="AU33" s="1690"/>
      <c r="AV33" s="2044"/>
      <c r="AW33" s="2041"/>
      <c r="AX33" s="2042">
        <f t="shared" si="25"/>
        <v>0</v>
      </c>
      <c r="AY33" s="2883">
        <f t="shared" si="10"/>
        <v>0</v>
      </c>
      <c r="AZ33" s="1690"/>
      <c r="BA33" s="2044"/>
      <c r="BB33" s="2041"/>
      <c r="BC33" s="2042">
        <f t="shared" si="26"/>
        <v>0</v>
      </c>
      <c r="BD33" s="2883">
        <f t="shared" si="11"/>
        <v>0</v>
      </c>
      <c r="BE33" s="1690"/>
      <c r="BF33" s="2044"/>
      <c r="BG33" s="2041"/>
      <c r="BH33" s="2042">
        <f t="shared" si="27"/>
        <v>0</v>
      </c>
      <c r="BI33" s="2883">
        <f t="shared" si="12"/>
        <v>0</v>
      </c>
      <c r="BJ33" s="1690"/>
      <c r="BK33" s="2044"/>
      <c r="BL33" s="2041"/>
      <c r="BM33" s="2042">
        <f t="shared" si="28"/>
        <v>0</v>
      </c>
      <c r="BN33" s="2883">
        <f t="shared" si="13"/>
        <v>0</v>
      </c>
      <c r="BO33" s="1690"/>
      <c r="BP33" s="2044"/>
      <c r="BQ33" s="2041"/>
      <c r="BR33" s="2042">
        <f t="shared" si="29"/>
        <v>0</v>
      </c>
      <c r="BS33" s="2883">
        <f t="shared" si="14"/>
        <v>0</v>
      </c>
      <c r="BT33" s="1690"/>
      <c r="BU33" s="2044"/>
      <c r="BV33" s="2041"/>
      <c r="BW33" s="2042">
        <f t="shared" si="30"/>
        <v>0</v>
      </c>
      <c r="BX33" s="2883">
        <f t="shared" si="15"/>
        <v>0</v>
      </c>
      <c r="BY33" s="1690"/>
      <c r="BZ33" s="2041">
        <f t="shared" si="16"/>
        <v>309178.37</v>
      </c>
      <c r="CA33" s="2041">
        <f t="shared" si="16"/>
        <v>574999</v>
      </c>
      <c r="CB33" s="2042">
        <f t="shared" si="31"/>
        <v>884177.37</v>
      </c>
      <c r="CC33" s="2883">
        <f t="shared" si="4"/>
        <v>2.6753651836709202E-2</v>
      </c>
      <c r="CD33" s="2885"/>
      <c r="CE33" s="842"/>
      <c r="CF33" s="842"/>
      <c r="CG33" s="842"/>
      <c r="CK33" s="1579"/>
    </row>
    <row r="34" spans="1:89" s="1411" customFormat="1" ht="12" customHeight="1" x14ac:dyDescent="0.25">
      <c r="A34" s="1587"/>
      <c r="B34" s="1631"/>
      <c r="C34" s="1632"/>
      <c r="D34" s="1633"/>
      <c r="E34" s="2040"/>
      <c r="F34" s="1635"/>
      <c r="G34" s="2059"/>
      <c r="H34" s="2059"/>
      <c r="I34" s="2040"/>
      <c r="J34" s="1635"/>
      <c r="K34" s="1635"/>
      <c r="L34" s="2059"/>
      <c r="M34" s="2059"/>
      <c r="N34" s="2040"/>
      <c r="O34" s="2040"/>
      <c r="P34" s="2040"/>
      <c r="Q34" s="1733"/>
      <c r="R34" s="2059"/>
      <c r="S34" s="2059"/>
      <c r="T34" s="2040"/>
      <c r="U34" s="2040"/>
      <c r="V34" s="2040"/>
      <c r="W34" s="2059"/>
      <c r="X34" s="2059"/>
      <c r="Y34" s="2040"/>
      <c r="Z34" s="2040"/>
      <c r="AA34" s="2040"/>
      <c r="AB34" s="2059"/>
      <c r="AC34" s="2059"/>
      <c r="AD34" s="2040"/>
      <c r="AE34" s="2040"/>
      <c r="AF34" s="2040"/>
      <c r="AG34" s="2059"/>
      <c r="AH34" s="2059"/>
      <c r="AI34" s="2040"/>
      <c r="AJ34" s="2040"/>
      <c r="AK34" s="2040"/>
      <c r="AL34" s="2059"/>
      <c r="AM34" s="2059"/>
      <c r="AN34" s="2040"/>
      <c r="AO34" s="2040"/>
      <c r="AP34" s="2040"/>
      <c r="AQ34" s="2067"/>
      <c r="AR34" s="2059"/>
      <c r="AS34" s="2040"/>
      <c r="AT34" s="1992"/>
      <c r="AU34" s="2040"/>
      <c r="AV34" s="2067"/>
      <c r="AW34" s="2059"/>
      <c r="AX34" s="2040"/>
      <c r="AY34" s="1992"/>
      <c r="AZ34" s="2040"/>
      <c r="BA34" s="2067"/>
      <c r="BB34" s="2059"/>
      <c r="BC34" s="2040"/>
      <c r="BD34" s="1992"/>
      <c r="BE34" s="2040"/>
      <c r="BF34" s="2067"/>
      <c r="BG34" s="2059"/>
      <c r="BH34" s="2040"/>
      <c r="BI34" s="1992"/>
      <c r="BJ34" s="2040"/>
      <c r="BK34" s="2067"/>
      <c r="BL34" s="2059"/>
      <c r="BM34" s="2040"/>
      <c r="BN34" s="1992"/>
      <c r="BO34" s="2040"/>
      <c r="BP34" s="2067"/>
      <c r="BQ34" s="2059"/>
      <c r="BR34" s="2040"/>
      <c r="BS34" s="1992"/>
      <c r="BT34" s="2040"/>
      <c r="BU34" s="2067"/>
      <c r="BV34" s="2059"/>
      <c r="BW34" s="2040"/>
      <c r="BX34" s="1992"/>
      <c r="BY34" s="2040"/>
      <c r="BZ34" s="2059"/>
      <c r="CA34" s="2059"/>
      <c r="CB34" s="2040"/>
      <c r="CC34" s="2040"/>
      <c r="CD34" s="2040"/>
      <c r="CE34" s="842"/>
      <c r="CF34" s="842"/>
    </row>
    <row r="35" spans="1:89" s="2483" customFormat="1" ht="12" customHeight="1" x14ac:dyDescent="0.25">
      <c r="A35" s="1587"/>
      <c r="B35" s="3307" t="s">
        <v>80</v>
      </c>
      <c r="C35" s="3308">
        <f>C36</f>
        <v>0</v>
      </c>
      <c r="D35" s="3308">
        <f>D36</f>
        <v>0</v>
      </c>
      <c r="E35" s="3309">
        <f>E36</f>
        <v>0</v>
      </c>
      <c r="F35" s="3856" t="e">
        <f>E35/$E$89</f>
        <v>#DIV/0!</v>
      </c>
      <c r="G35" s="3308">
        <v>0</v>
      </c>
      <c r="H35" s="3308">
        <v>0</v>
      </c>
      <c r="I35" s="3309">
        <v>0</v>
      </c>
      <c r="J35" s="3858"/>
      <c r="K35" s="3858"/>
      <c r="L35" s="3308">
        <f>L36</f>
        <v>0</v>
      </c>
      <c r="M35" s="3308">
        <f>M36</f>
        <v>0</v>
      </c>
      <c r="N35" s="3309">
        <f>N36</f>
        <v>0</v>
      </c>
      <c r="O35" s="3309">
        <f t="shared" si="6"/>
        <v>0</v>
      </c>
      <c r="P35" s="3309"/>
      <c r="Q35" s="3856"/>
      <c r="R35" s="3308">
        <f>R36</f>
        <v>0</v>
      </c>
      <c r="S35" s="3308">
        <f>S36</f>
        <v>0</v>
      </c>
      <c r="T35" s="3309">
        <f>T36</f>
        <v>0</v>
      </c>
      <c r="U35" s="3309"/>
      <c r="V35" s="3857"/>
      <c r="W35" s="3308">
        <f>W36</f>
        <v>0</v>
      </c>
      <c r="X35" s="3308">
        <f>X36</f>
        <v>0</v>
      </c>
      <c r="Y35" s="3309">
        <f>Y36</f>
        <v>0</v>
      </c>
      <c r="Z35" s="3309">
        <f t="shared" si="2"/>
        <v>0</v>
      </c>
      <c r="AA35" s="3309"/>
      <c r="AB35" s="3308">
        <f>AB36</f>
        <v>0</v>
      </c>
      <c r="AC35" s="3308">
        <f>AC36</f>
        <v>0</v>
      </c>
      <c r="AD35" s="3309">
        <f>AD36</f>
        <v>0</v>
      </c>
      <c r="AE35" s="3309">
        <f>AD35/$AD$89</f>
        <v>0</v>
      </c>
      <c r="AF35" s="3309"/>
      <c r="AG35" s="3308">
        <f>AG36</f>
        <v>0</v>
      </c>
      <c r="AH35" s="3308">
        <f>AH36</f>
        <v>0</v>
      </c>
      <c r="AI35" s="3309">
        <f>AI36</f>
        <v>0</v>
      </c>
      <c r="AJ35" s="3309" t="e">
        <f t="shared" si="7"/>
        <v>#DIV/0!</v>
      </c>
      <c r="AK35" s="3309"/>
      <c r="AL35" s="3308">
        <f>AL36</f>
        <v>0</v>
      </c>
      <c r="AM35" s="3308">
        <f>AM36</f>
        <v>0</v>
      </c>
      <c r="AN35" s="3309">
        <f>AN36</f>
        <v>0</v>
      </c>
      <c r="AO35" s="3309">
        <f t="shared" si="8"/>
        <v>0</v>
      </c>
      <c r="AP35" s="3309"/>
      <c r="AQ35" s="3308"/>
      <c r="AR35" s="3308"/>
      <c r="AS35" s="3309">
        <f>AS36</f>
        <v>0</v>
      </c>
      <c r="AT35" s="3309" t="e">
        <f t="shared" ref="AT35:AT36" si="33">AS35/AS$89</f>
        <v>#DIV/0!</v>
      </c>
      <c r="AU35" s="3857"/>
      <c r="AV35" s="3308"/>
      <c r="AW35" s="3308"/>
      <c r="AX35" s="3309">
        <f>AX36</f>
        <v>0</v>
      </c>
      <c r="AY35" s="3309">
        <f t="shared" ref="AY35:AY36" si="34">AX35/AX$89</f>
        <v>0</v>
      </c>
      <c r="AZ35" s="3857"/>
      <c r="BA35" s="3308"/>
      <c r="BB35" s="3308"/>
      <c r="BC35" s="3309">
        <f>BC36</f>
        <v>0</v>
      </c>
      <c r="BD35" s="3309">
        <f t="shared" ref="BD35:BD36" si="35">BC35/BC$89</f>
        <v>0</v>
      </c>
      <c r="BE35" s="3857"/>
      <c r="BF35" s="3308"/>
      <c r="BG35" s="3308"/>
      <c r="BH35" s="3309">
        <f>BH36</f>
        <v>0</v>
      </c>
      <c r="BI35" s="3309">
        <f t="shared" ref="BI35:BI36" si="36">BH35/BH$89</f>
        <v>0</v>
      </c>
      <c r="BJ35" s="3857"/>
      <c r="BK35" s="3308"/>
      <c r="BL35" s="3308"/>
      <c r="BM35" s="3309">
        <f>BM36</f>
        <v>0</v>
      </c>
      <c r="BN35" s="3309">
        <f t="shared" ref="BN35:BN36" si="37">BM35/BM$89</f>
        <v>0</v>
      </c>
      <c r="BO35" s="3857"/>
      <c r="BP35" s="3308"/>
      <c r="BQ35" s="3308"/>
      <c r="BR35" s="3309">
        <f>BR36</f>
        <v>2639.52</v>
      </c>
      <c r="BS35" s="3309">
        <f t="shared" ref="BS35:BS36" si="38">BR35/BR$89</f>
        <v>1</v>
      </c>
      <c r="BT35" s="3857"/>
      <c r="BU35" s="3308"/>
      <c r="BV35" s="3308"/>
      <c r="BW35" s="3309">
        <f>BW36</f>
        <v>0</v>
      </c>
      <c r="BX35" s="3309">
        <f t="shared" ref="BX35:BX36" si="39">BW35/BW$89</f>
        <v>0</v>
      </c>
      <c r="BY35" s="3857"/>
      <c r="BZ35" s="3308">
        <f>BZ36</f>
        <v>2639.52</v>
      </c>
      <c r="CA35" s="3308">
        <f>CA36</f>
        <v>0</v>
      </c>
      <c r="CB35" s="3309">
        <f>CB36</f>
        <v>2639.52</v>
      </c>
      <c r="CC35" s="3309"/>
      <c r="CD35" s="3309"/>
      <c r="CE35" s="929"/>
      <c r="CF35" s="929"/>
    </row>
    <row r="36" spans="1:89" s="1579" customFormat="1" ht="12" customHeight="1" x14ac:dyDescent="0.25">
      <c r="A36" s="1587"/>
      <c r="B36" s="3903" t="s">
        <v>81</v>
      </c>
      <c r="C36" s="3859"/>
      <c r="D36" s="3860"/>
      <c r="E36" s="2028">
        <f>C36+D36</f>
        <v>0</v>
      </c>
      <c r="F36" s="3284" t="e">
        <f>E36/$E$89</f>
        <v>#DIV/0!</v>
      </c>
      <c r="G36" s="2059">
        <v>0</v>
      </c>
      <c r="H36" s="2059">
        <v>0</v>
      </c>
      <c r="I36" s="2028">
        <v>0</v>
      </c>
      <c r="J36" s="1992">
        <v>0</v>
      </c>
      <c r="K36" s="1992"/>
      <c r="L36" s="2059">
        <v>0</v>
      </c>
      <c r="M36" s="2059">
        <v>0</v>
      </c>
      <c r="N36" s="2028">
        <f>L36+M36*1</f>
        <v>0</v>
      </c>
      <c r="O36" s="3284">
        <f t="shared" si="6"/>
        <v>0</v>
      </c>
      <c r="P36" s="3862"/>
      <c r="Q36" s="2002"/>
      <c r="R36" s="2059"/>
      <c r="S36" s="2059"/>
      <c r="T36" s="2028">
        <f>R36+S36*1</f>
        <v>0</v>
      </c>
      <c r="U36" s="3284">
        <f>T36/$T$89</f>
        <v>0</v>
      </c>
      <c r="V36" s="3904"/>
      <c r="W36" s="2059"/>
      <c r="X36" s="2059"/>
      <c r="Y36" s="2028">
        <f>W36+X36*1</f>
        <v>0</v>
      </c>
      <c r="Z36" s="3284">
        <f t="shared" si="2"/>
        <v>0</v>
      </c>
      <c r="AA36" s="3862"/>
      <c r="AB36" s="2059"/>
      <c r="AC36" s="2059"/>
      <c r="AD36" s="2028">
        <f>AB36+AC36*1</f>
        <v>0</v>
      </c>
      <c r="AE36" s="3284">
        <f>AD36/$AD$89</f>
        <v>0</v>
      </c>
      <c r="AF36" s="3862"/>
      <c r="AG36" s="2059"/>
      <c r="AH36" s="2059"/>
      <c r="AI36" s="2028">
        <f>AG36+AH36*1</f>
        <v>0</v>
      </c>
      <c r="AJ36" s="3284" t="e">
        <f t="shared" si="7"/>
        <v>#DIV/0!</v>
      </c>
      <c r="AK36" s="3862"/>
      <c r="AL36" s="2059"/>
      <c r="AM36" s="2059"/>
      <c r="AN36" s="2028">
        <f>AL36+AM36*1</f>
        <v>0</v>
      </c>
      <c r="AO36" s="3284">
        <f t="shared" si="8"/>
        <v>0</v>
      </c>
      <c r="AP36" s="3862"/>
      <c r="AQ36" s="2067"/>
      <c r="AR36" s="2059"/>
      <c r="AS36" s="2028">
        <f>AQ36+AR36*1</f>
        <v>0</v>
      </c>
      <c r="AT36" s="3284" t="e">
        <f t="shared" si="33"/>
        <v>#DIV/0!</v>
      </c>
      <c r="AU36" s="2062"/>
      <c r="AV36" s="2067"/>
      <c r="AW36" s="2059"/>
      <c r="AX36" s="2028">
        <f>AV36+AW36*1</f>
        <v>0</v>
      </c>
      <c r="AY36" s="3284">
        <f t="shared" si="34"/>
        <v>0</v>
      </c>
      <c r="AZ36" s="2062"/>
      <c r="BA36" s="2067"/>
      <c r="BB36" s="2059"/>
      <c r="BC36" s="2028">
        <f>BA36+BB36*1</f>
        <v>0</v>
      </c>
      <c r="BD36" s="3284">
        <f t="shared" si="35"/>
        <v>0</v>
      </c>
      <c r="BE36" s="2062"/>
      <c r="BF36" s="2067"/>
      <c r="BG36" s="2059"/>
      <c r="BH36" s="2028">
        <f>BF36+BG36*1</f>
        <v>0</v>
      </c>
      <c r="BI36" s="3284">
        <f t="shared" si="36"/>
        <v>0</v>
      </c>
      <c r="BJ36" s="2062"/>
      <c r="BK36" s="2067"/>
      <c r="BL36" s="2059"/>
      <c r="BM36" s="2028">
        <f>BK36+BL36*1</f>
        <v>0</v>
      </c>
      <c r="BN36" s="3284">
        <f t="shared" si="37"/>
        <v>0</v>
      </c>
      <c r="BO36" s="2062"/>
      <c r="BP36" s="2067">
        <f>2199.6*1.2</f>
        <v>2639.52</v>
      </c>
      <c r="BQ36" s="2059"/>
      <c r="BR36" s="2028">
        <f>BP36+BQ36*1</f>
        <v>2639.52</v>
      </c>
      <c r="BS36" s="3284">
        <f t="shared" si="38"/>
        <v>1</v>
      </c>
      <c r="BT36" s="2062" t="s">
        <v>2093</v>
      </c>
      <c r="BU36" s="2067"/>
      <c r="BV36" s="2059"/>
      <c r="BW36" s="2028">
        <f>BU36+BV36*1</f>
        <v>0</v>
      </c>
      <c r="BX36" s="3284">
        <f t="shared" si="39"/>
        <v>0</v>
      </c>
      <c r="BY36" s="2062"/>
      <c r="BZ36" s="2059">
        <f>G36+L36+R36+W36+AB36+AG36+AL36+AQ36+AV36+BA36+BF36+BK36+BP36+BU36</f>
        <v>2639.52</v>
      </c>
      <c r="CA36" s="2059">
        <f>H36+M36+S36+X36+AC36+AH36+AM36+AR36+AW36+BB36+BG36+BL36+BQ36+BV36</f>
        <v>0</v>
      </c>
      <c r="CB36" s="2028">
        <f>BZ36+CA36*1</f>
        <v>2639.52</v>
      </c>
      <c r="CC36" s="3284">
        <f>CB36/$CB$89</f>
        <v>7.9867231951469953E-5</v>
      </c>
      <c r="CD36" s="3862"/>
      <c r="CE36" s="916"/>
      <c r="CF36" s="916"/>
    </row>
    <row r="37" spans="1:89" s="1411" customFormat="1" ht="12" customHeight="1" thickBot="1" x14ac:dyDescent="0.3">
      <c r="A37" s="1413"/>
      <c r="B37" s="3732"/>
      <c r="C37" s="2859"/>
      <c r="D37" s="2860"/>
      <c r="E37" s="3863"/>
      <c r="F37" s="3864"/>
      <c r="G37" s="2059"/>
      <c r="H37" s="2059"/>
      <c r="I37" s="3863"/>
      <c r="J37" s="1723"/>
      <c r="K37" s="1723"/>
      <c r="L37" s="2059"/>
      <c r="M37" s="2059"/>
      <c r="N37" s="3863"/>
      <c r="O37" s="3863"/>
      <c r="P37" s="3863"/>
      <c r="Q37" s="1734"/>
      <c r="R37" s="2059"/>
      <c r="S37" s="2059"/>
      <c r="T37" s="3863"/>
      <c r="U37" s="3863"/>
      <c r="V37" s="3865"/>
      <c r="W37" s="2059"/>
      <c r="X37" s="2059"/>
      <c r="Y37" s="3863"/>
      <c r="Z37" s="3863"/>
      <c r="AA37" s="3863"/>
      <c r="AB37" s="2059"/>
      <c r="AC37" s="2059"/>
      <c r="AD37" s="3863"/>
      <c r="AE37" s="3863"/>
      <c r="AF37" s="3863"/>
      <c r="AG37" s="2059"/>
      <c r="AH37" s="2059"/>
      <c r="AI37" s="3863"/>
      <c r="AJ37" s="3863"/>
      <c r="AK37" s="3863"/>
      <c r="AL37" s="2059"/>
      <c r="AM37" s="2059"/>
      <c r="AN37" s="3863"/>
      <c r="AO37" s="3863"/>
      <c r="AP37" s="3863"/>
      <c r="AQ37" s="2044"/>
      <c r="AR37" s="2041"/>
      <c r="AS37" s="3863"/>
      <c r="AT37" s="2883"/>
      <c r="AU37" s="3865"/>
      <c r="AV37" s="2044"/>
      <c r="AW37" s="2041"/>
      <c r="AX37" s="3863"/>
      <c r="AY37" s="2883"/>
      <c r="AZ37" s="3865"/>
      <c r="BA37" s="2044"/>
      <c r="BB37" s="2041"/>
      <c r="BC37" s="3863"/>
      <c r="BD37" s="2883"/>
      <c r="BE37" s="3865"/>
      <c r="BF37" s="2044"/>
      <c r="BG37" s="2041"/>
      <c r="BH37" s="3863"/>
      <c r="BI37" s="2883">
        <f t="shared" ref="BI37" si="40">BH37/$AN$89</f>
        <v>0</v>
      </c>
      <c r="BJ37" s="3865"/>
      <c r="BK37" s="2044"/>
      <c r="BL37" s="2041"/>
      <c r="BM37" s="3863"/>
      <c r="BN37" s="2883">
        <f t="shared" ref="BN37" si="41">BM37/$AN$89</f>
        <v>0</v>
      </c>
      <c r="BO37" s="3865"/>
      <c r="BP37" s="2044"/>
      <c r="BQ37" s="2041"/>
      <c r="BR37" s="3863"/>
      <c r="BS37" s="2883">
        <f t="shared" ref="BS37" si="42">BR37/$AN$89</f>
        <v>0</v>
      </c>
      <c r="BT37" s="3865"/>
      <c r="BU37" s="2044"/>
      <c r="BV37" s="2041"/>
      <c r="BW37" s="3863"/>
      <c r="BX37" s="2883">
        <f t="shared" ref="BX37" si="43">BW37/$BC$89</f>
        <v>0</v>
      </c>
      <c r="BY37" s="3865"/>
      <c r="BZ37" s="2059"/>
      <c r="CA37" s="2059"/>
      <c r="CB37" s="3863"/>
      <c r="CC37" s="3863"/>
      <c r="CD37" s="3863"/>
      <c r="CE37" s="842"/>
      <c r="CF37" s="842"/>
    </row>
    <row r="38" spans="1:89" ht="12" customHeight="1" thickBot="1" x14ac:dyDescent="0.3">
      <c r="A38" s="1441"/>
      <c r="B38" s="1442" t="s">
        <v>46</v>
      </c>
      <c r="C38" s="2018">
        <f>(C5)-(C8)</f>
        <v>0</v>
      </c>
      <c r="D38" s="2018">
        <f>(D5)-(D8)</f>
        <v>0</v>
      </c>
      <c r="E38" s="2018">
        <f>(E5)-(E8)</f>
        <v>0</v>
      </c>
      <c r="F38" s="1545"/>
      <c r="G38" s="2018">
        <v>6279701.2000000002</v>
      </c>
      <c r="H38" s="2018">
        <v>-742092.72419090907</v>
      </c>
      <c r="I38" s="2018">
        <v>5537608.4758090898</v>
      </c>
      <c r="J38" s="1545"/>
      <c r="K38" s="1545"/>
      <c r="L38" s="2018">
        <f>(L5)-(L8)</f>
        <v>9688457.2012400012</v>
      </c>
      <c r="M38" s="2018">
        <f>(M5)-(M8)</f>
        <v>-1329954.73</v>
      </c>
      <c r="N38" s="2018">
        <f>(N5)-(N8)</f>
        <v>8358502.4712400008</v>
      </c>
      <c r="O38" s="2018">
        <f t="shared" si="6"/>
        <v>2.2357840912062246</v>
      </c>
      <c r="P38" s="2018"/>
      <c r="Q38" s="1545"/>
      <c r="R38" s="2018">
        <f>(R5)-(R8)</f>
        <v>-5977252.04</v>
      </c>
      <c r="S38" s="2018">
        <f>(S5)-(S8)</f>
        <v>0</v>
      </c>
      <c r="T38" s="2018">
        <f>(T5)-(T8)</f>
        <v>-5977252.04</v>
      </c>
      <c r="U38" s="2018"/>
      <c r="V38" s="2037"/>
      <c r="W38" s="2018">
        <f>(W5)-(W8)</f>
        <v>-27000</v>
      </c>
      <c r="X38" s="2018">
        <f>(X5)-(X8)</f>
        <v>0</v>
      </c>
      <c r="Y38" s="2018">
        <f>(Y5)-(Y8)</f>
        <v>-27000</v>
      </c>
      <c r="Z38" s="2018" t="e">
        <f>Y38/#REF!</f>
        <v>#REF!</v>
      </c>
      <c r="AA38" s="2018"/>
      <c r="AB38" s="2018">
        <f>(AB5)-(AB8)</f>
        <v>0</v>
      </c>
      <c r="AC38" s="2018">
        <f>(AC5)-(AC8)</f>
        <v>0</v>
      </c>
      <c r="AD38" s="2018">
        <f>(AD5)-(AD8)</f>
        <v>0</v>
      </c>
      <c r="AE38" s="2018" t="e">
        <f>AD38/#REF!</f>
        <v>#REF!</v>
      </c>
      <c r="AF38" s="2018"/>
      <c r="AG38" s="2018">
        <f>(AG5)-(AG8)</f>
        <v>0</v>
      </c>
      <c r="AH38" s="2018">
        <f>(AH5)-(AH8)</f>
        <v>0</v>
      </c>
      <c r="AI38" s="2018">
        <f>(AI5)-(AI8)</f>
        <v>0</v>
      </c>
      <c r="AJ38" s="2018" t="e">
        <f t="shared" si="7"/>
        <v>#DIV/0!</v>
      </c>
      <c r="AK38" s="2018"/>
      <c r="AL38" s="2018">
        <f>(AL5)-(AL8)</f>
        <v>1211745.4800000004</v>
      </c>
      <c r="AM38" s="2018">
        <f>(AM5)-(AM8)</f>
        <v>0</v>
      </c>
      <c r="AN38" s="2018">
        <f>(AN5)-(AN8)</f>
        <v>1211745.4800000004</v>
      </c>
      <c r="AO38" s="2018">
        <f t="shared" si="8"/>
        <v>0.13298031364713855</v>
      </c>
      <c r="AP38" s="2018"/>
      <c r="AQ38" s="2018">
        <f>(AQ5)-(AQ8)</f>
        <v>0</v>
      </c>
      <c r="AR38" s="2018">
        <f>(AR5)-(AR8)</f>
        <v>0</v>
      </c>
      <c r="AS38" s="2018">
        <f>(AS5)-(AS8)</f>
        <v>0</v>
      </c>
      <c r="AT38" s="2018"/>
      <c r="AU38" s="2037"/>
      <c r="AV38" s="2018">
        <f>(AV5)-(AV8)</f>
        <v>5121.2600000000093</v>
      </c>
      <c r="AW38" s="2018">
        <f>(AW5)-(AW8)</f>
        <v>0</v>
      </c>
      <c r="AX38" s="2018">
        <f>(AX5)-(AX8)</f>
        <v>5121.2600000000093</v>
      </c>
      <c r="AY38" s="2018"/>
      <c r="AZ38" s="2037"/>
      <c r="BA38" s="2018">
        <f>(BA5)-(BA8)</f>
        <v>0</v>
      </c>
      <c r="BB38" s="2018">
        <f>(BB5)-(BB8)</f>
        <v>0</v>
      </c>
      <c r="BC38" s="2018">
        <f>(BC5)-(BC8)</f>
        <v>0</v>
      </c>
      <c r="BD38" s="2018"/>
      <c r="BE38" s="2037"/>
      <c r="BF38" s="2018">
        <f>(BF5)-(BF8)</f>
        <v>0</v>
      </c>
      <c r="BG38" s="2018">
        <f>(BG5)-(BG8)</f>
        <v>0</v>
      </c>
      <c r="BH38" s="2018">
        <f>(BH5)-(BH8)</f>
        <v>0</v>
      </c>
      <c r="BI38" s="2018"/>
      <c r="BJ38" s="2037"/>
      <c r="BK38" s="2018">
        <f>(BK5)-(BK8)</f>
        <v>0</v>
      </c>
      <c r="BL38" s="2018">
        <f>(BL5)-(BL8)</f>
        <v>0</v>
      </c>
      <c r="BM38" s="2018">
        <f>(BM5)-(BM8)</f>
        <v>0</v>
      </c>
      <c r="BN38" s="2018"/>
      <c r="BO38" s="2037"/>
      <c r="BP38" s="2018">
        <f>(BP5)-(BP8)</f>
        <v>0</v>
      </c>
      <c r="BQ38" s="2018">
        <f>(BQ5)-(BQ8)</f>
        <v>0</v>
      </c>
      <c r="BR38" s="2018">
        <f>(BR5)-(BR8)</f>
        <v>0</v>
      </c>
      <c r="BS38" s="2018"/>
      <c r="BT38" s="2037"/>
      <c r="BU38" s="2018">
        <f>(BU5)-(BU8)</f>
        <v>0</v>
      </c>
      <c r="BV38" s="2018">
        <f>(BV5)-(BV8)</f>
        <v>0</v>
      </c>
      <c r="BW38" s="2018">
        <f>(BW5)-(BW8)</f>
        <v>0</v>
      </c>
      <c r="BX38" s="2018"/>
      <c r="BY38" s="2037"/>
      <c r="BZ38" s="2018">
        <f>(BZ5)-(BZ8)</f>
        <v>13757595.39913293</v>
      </c>
      <c r="CA38" s="2018">
        <f>(CA5)-(CA8)</f>
        <v>-2215494.6541909091</v>
      </c>
      <c r="CB38" s="2018">
        <f>(CB5)-(CB8)</f>
        <v>11542100.744942017</v>
      </c>
      <c r="CC38" s="2018"/>
      <c r="CD38" s="2018"/>
    </row>
    <row r="39" spans="1:89" ht="12" customHeight="1" x14ac:dyDescent="0.25">
      <c r="A39" s="1580"/>
      <c r="B39" s="1423" t="s">
        <v>47</v>
      </c>
      <c r="C39" s="1540" t="e">
        <f>C38/(C5)</f>
        <v>#DIV/0!</v>
      </c>
      <c r="D39" s="1540" t="e">
        <f>D38/(D5)</f>
        <v>#DIV/0!</v>
      </c>
      <c r="E39" s="1541" t="e">
        <f>E38/(E5)</f>
        <v>#DIV/0!</v>
      </c>
      <c r="F39" s="1546"/>
      <c r="G39" s="2019">
        <v>0.48154413720017636</v>
      </c>
      <c r="H39" s="2019" t="e">
        <v>#DIV/0!</v>
      </c>
      <c r="I39" s="2020">
        <v>0.42463849962094879</v>
      </c>
      <c r="J39" s="1724"/>
      <c r="K39" s="1724"/>
      <c r="L39" s="2019">
        <f>L38/(L5)</f>
        <v>0.82367865572342647</v>
      </c>
      <c r="M39" s="2019" t="e">
        <f>M38/(M5)</f>
        <v>#DIV/0!</v>
      </c>
      <c r="N39" s="2020">
        <f>N38/(N5)</f>
        <v>0.71061056847015269</v>
      </c>
      <c r="O39" s="2020">
        <f t="shared" si="6"/>
        <v>1.9007852297648259E-7</v>
      </c>
      <c r="P39" s="2020"/>
      <c r="Q39" s="1546"/>
      <c r="R39" s="2019" t="e">
        <f>R38/(R5)</f>
        <v>#DIV/0!</v>
      </c>
      <c r="S39" s="2019" t="e">
        <f>S38/(S5)</f>
        <v>#DIV/0!</v>
      </c>
      <c r="T39" s="2020" t="e">
        <f>T38/(T5)</f>
        <v>#DIV/0!</v>
      </c>
      <c r="U39" s="2020"/>
      <c r="V39" s="2038"/>
      <c r="W39" s="2019" t="e">
        <f>W38/(W5)</f>
        <v>#DIV/0!</v>
      </c>
      <c r="X39" s="2019" t="e">
        <f>X38/(X5)</f>
        <v>#DIV/0!</v>
      </c>
      <c r="Y39" s="2020" t="e">
        <f>Y38/(Y5)</f>
        <v>#DIV/0!</v>
      </c>
      <c r="Z39" s="2020" t="e">
        <f>Y39/#REF!</f>
        <v>#DIV/0!</v>
      </c>
      <c r="AA39" s="2020"/>
      <c r="AB39" s="2019" t="e">
        <f>AB38/(AB5)</f>
        <v>#DIV/0!</v>
      </c>
      <c r="AC39" s="2019" t="e">
        <f>AC38/(AC5)</f>
        <v>#DIV/0!</v>
      </c>
      <c r="AD39" s="2020" t="e">
        <f>AD38/(AD5)</f>
        <v>#DIV/0!</v>
      </c>
      <c r="AE39" s="2020" t="e">
        <f>AD39/#REF!</f>
        <v>#DIV/0!</v>
      </c>
      <c r="AF39" s="2020"/>
      <c r="AG39" s="2019" t="e">
        <f>AG38/(AG5)</f>
        <v>#DIV/0!</v>
      </c>
      <c r="AH39" s="2019" t="e">
        <f>AH38/(AH5)</f>
        <v>#DIV/0!</v>
      </c>
      <c r="AI39" s="2020" t="e">
        <f>AI38/(AI5)</f>
        <v>#DIV/0!</v>
      </c>
      <c r="AJ39" s="2020" t="e">
        <f t="shared" si="7"/>
        <v>#DIV/0!</v>
      </c>
      <c r="AK39" s="2020"/>
      <c r="AL39" s="2019">
        <f>AL38/(AL5)</f>
        <v>0.11737213087054102</v>
      </c>
      <c r="AM39" s="2019" t="e">
        <f>AM38/(AM5)</f>
        <v>#DIV/0!</v>
      </c>
      <c r="AN39" s="2020">
        <f>AN38/(AN5)</f>
        <v>0.11737213087054102</v>
      </c>
      <c r="AO39" s="2020">
        <f t="shared" si="8"/>
        <v>1.2880743550698067E-8</v>
      </c>
      <c r="AP39" s="2020"/>
      <c r="AQ39" s="2019" t="e">
        <f>AQ38/(AQ5)</f>
        <v>#DIV/0!</v>
      </c>
      <c r="AR39" s="2019" t="e">
        <f>AR38/(AR5)</f>
        <v>#DIV/0!</v>
      </c>
      <c r="AS39" s="2020" t="e">
        <f>AS38/(AS5)</f>
        <v>#DIV/0!</v>
      </c>
      <c r="AT39" s="2020"/>
      <c r="AU39" s="2038"/>
      <c r="AV39" s="2019">
        <f>AV38/(AV5)</f>
        <v>6.115169069213452E-3</v>
      </c>
      <c r="AW39" s="2019" t="e">
        <f>AW38/(AW5)</f>
        <v>#DIV/0!</v>
      </c>
      <c r="AX39" s="2020">
        <f>AX38/(AX5)</f>
        <v>6.115169069213452E-3</v>
      </c>
      <c r="AY39" s="2020"/>
      <c r="AZ39" s="2038"/>
      <c r="BA39" s="2019" t="e">
        <f>BA38/(BA5)</f>
        <v>#DIV/0!</v>
      </c>
      <c r="BB39" s="2019" t="e">
        <f>BB38/(BB5)</f>
        <v>#DIV/0!</v>
      </c>
      <c r="BC39" s="2020" t="e">
        <f>BC38/(BC5)</f>
        <v>#DIV/0!</v>
      </c>
      <c r="BD39" s="2020"/>
      <c r="BE39" s="2038"/>
      <c r="BF39" s="2019" t="e">
        <f>BF38/(BF5)</f>
        <v>#DIV/0!</v>
      </c>
      <c r="BG39" s="2019" t="e">
        <f>BG38/(BG5)</f>
        <v>#DIV/0!</v>
      </c>
      <c r="BH39" s="2020" t="e">
        <f>BH38/(BH5)</f>
        <v>#DIV/0!</v>
      </c>
      <c r="BI39" s="2020"/>
      <c r="BJ39" s="2038"/>
      <c r="BK39" s="2019" t="e">
        <f>BK38/(BK5)</f>
        <v>#DIV/0!</v>
      </c>
      <c r="BL39" s="2019" t="e">
        <f>BL38/(BL5)</f>
        <v>#DIV/0!</v>
      </c>
      <c r="BM39" s="2020" t="e">
        <f>BM38/(BM5)</f>
        <v>#DIV/0!</v>
      </c>
      <c r="BN39" s="2020"/>
      <c r="BO39" s="2038"/>
      <c r="BP39" s="2019" t="e">
        <f>BP38/(BP5)</f>
        <v>#DIV/0!</v>
      </c>
      <c r="BQ39" s="2019" t="e">
        <f>BQ38/(BQ5)</f>
        <v>#DIV/0!</v>
      </c>
      <c r="BR39" s="2020" t="e">
        <f>BR38/(BR5)</f>
        <v>#DIV/0!</v>
      </c>
      <c r="BS39" s="2020"/>
      <c r="BT39" s="2038"/>
      <c r="BU39" s="2019" t="e">
        <f>BU38/(BU5)</f>
        <v>#DIV/0!</v>
      </c>
      <c r="BV39" s="2019" t="e">
        <f>BV38/(BV5)</f>
        <v>#DIV/0!</v>
      </c>
      <c r="BW39" s="2020" t="e">
        <f>BW38/(BW5)</f>
        <v>#DIV/0!</v>
      </c>
      <c r="BX39" s="2020"/>
      <c r="BY39" s="2038"/>
      <c r="BZ39" s="2019">
        <f>BZ38/(BZ5)</f>
        <v>0.31408241259645286</v>
      </c>
      <c r="CA39" s="2019" t="e">
        <f>CA38/(CA5)</f>
        <v>#DIV/0!</v>
      </c>
      <c r="CB39" s="2020">
        <f>CB38/(CB5)</f>
        <v>0.26350323172254214</v>
      </c>
      <c r="CC39" s="2020"/>
      <c r="CD39" s="2020"/>
    </row>
    <row r="40" spans="1:89" ht="12" customHeight="1" thickBot="1" x14ac:dyDescent="0.3">
      <c r="A40" s="1582"/>
      <c r="B40" s="3905"/>
      <c r="C40" s="3906"/>
      <c r="D40" s="2861"/>
      <c r="E40" s="3866"/>
      <c r="F40" s="3907"/>
      <c r="G40" s="3866"/>
      <c r="H40" s="3866"/>
      <c r="I40" s="3866"/>
      <c r="J40" s="3907"/>
      <c r="K40" s="3907"/>
      <c r="L40" s="3866"/>
      <c r="M40" s="3866"/>
      <c r="N40" s="3866"/>
      <c r="O40" s="3866"/>
      <c r="P40" s="3866"/>
      <c r="Q40" s="3908"/>
      <c r="R40" s="3866"/>
      <c r="S40" s="3866"/>
      <c r="T40" s="3866"/>
      <c r="U40" s="3866"/>
      <c r="V40" s="3867"/>
      <c r="W40" s="3866"/>
      <c r="X40" s="3866"/>
      <c r="Y40" s="3866"/>
      <c r="Z40" s="3866"/>
      <c r="AA40" s="3866"/>
      <c r="AB40" s="3866"/>
      <c r="AC40" s="3866"/>
      <c r="AD40" s="3866"/>
      <c r="AE40" s="3866"/>
      <c r="AF40" s="3866"/>
      <c r="AG40" s="3866"/>
      <c r="AH40" s="3866"/>
      <c r="AI40" s="3866"/>
      <c r="AJ40" s="3866"/>
      <c r="AK40" s="3866"/>
      <c r="AL40" s="3866"/>
      <c r="AM40" s="3866"/>
      <c r="AN40" s="3866"/>
      <c r="AO40" s="3866"/>
      <c r="AP40" s="3866"/>
      <c r="AQ40" s="2861"/>
      <c r="AR40" s="3866"/>
      <c r="AS40" s="3866"/>
      <c r="AT40" s="3866"/>
      <c r="AU40" s="3867"/>
      <c r="AV40" s="2861"/>
      <c r="AW40" s="3866"/>
      <c r="AX40" s="3866"/>
      <c r="AY40" s="3866"/>
      <c r="AZ40" s="3867"/>
      <c r="BA40" s="2861"/>
      <c r="BB40" s="3866"/>
      <c r="BC40" s="3866"/>
      <c r="BD40" s="3866"/>
      <c r="BE40" s="3867"/>
      <c r="BF40" s="2861"/>
      <c r="BG40" s="3866"/>
      <c r="BH40" s="3866"/>
      <c r="BI40" s="3866"/>
      <c r="BJ40" s="3867"/>
      <c r="BK40" s="2861"/>
      <c r="BL40" s="3866"/>
      <c r="BM40" s="3866"/>
      <c r="BN40" s="3866"/>
      <c r="BO40" s="3867"/>
      <c r="BP40" s="2861"/>
      <c r="BQ40" s="3866"/>
      <c r="BR40" s="3866"/>
      <c r="BS40" s="3866"/>
      <c r="BT40" s="3867"/>
      <c r="BU40" s="2861"/>
      <c r="BV40" s="3866"/>
      <c r="BW40" s="3866"/>
      <c r="BX40" s="3866"/>
      <c r="BY40" s="3867"/>
      <c r="BZ40" s="3866"/>
      <c r="CA40" s="3866"/>
      <c r="CB40" s="3866"/>
      <c r="CC40" s="3866"/>
      <c r="CD40" s="3866"/>
    </row>
    <row r="41" spans="1:89" ht="12" customHeight="1" x14ac:dyDescent="0.25">
      <c r="A41" s="1420"/>
      <c r="B41" s="1430" t="s">
        <v>26</v>
      </c>
      <c r="C41" s="2029">
        <f>SUM(C42:C48)</f>
        <v>0</v>
      </c>
      <c r="D41" s="2029">
        <f>SUM(D42:D48)</f>
        <v>0</v>
      </c>
      <c r="E41" s="2030">
        <f>SUM(E42:E48)</f>
        <v>0</v>
      </c>
      <c r="F41" s="3318" t="e">
        <f t="shared" ref="F41:F48" si="44">E41/$E$89</f>
        <v>#DIV/0!</v>
      </c>
      <c r="G41" s="2029">
        <v>23894.7</v>
      </c>
      <c r="H41" s="2029">
        <v>3352.02</v>
      </c>
      <c r="I41" s="2030">
        <v>27246.720000000001</v>
      </c>
      <c r="J41" s="1592">
        <v>3.4255708937725084E-3</v>
      </c>
      <c r="K41" s="1592"/>
      <c r="L41" s="2029">
        <f>SUM(L42:L48)</f>
        <v>18535.46</v>
      </c>
      <c r="M41" s="2029">
        <f>SUM(M42:M48)</f>
        <v>915</v>
      </c>
      <c r="N41" s="2030">
        <f>SUM(N42:N48)</f>
        <v>19450.46</v>
      </c>
      <c r="O41" s="3318">
        <f t="shared" si="6"/>
        <v>5.2027296976071393E-3</v>
      </c>
      <c r="P41" s="2022"/>
      <c r="Q41" s="2565"/>
      <c r="R41" s="2029">
        <f>SUM(R42:R48)</f>
        <v>0</v>
      </c>
      <c r="S41" s="2029">
        <f>SUM(S42:S48)</f>
        <v>0</v>
      </c>
      <c r="T41" s="2030">
        <f>SUM(T42:T48)</f>
        <v>0</v>
      </c>
      <c r="U41" s="3318">
        <f t="shared" ref="U41:U49" si="45">T41/$T$89</f>
        <v>0</v>
      </c>
      <c r="V41" s="2039"/>
      <c r="W41" s="2029">
        <f>SUM(W42:W48)</f>
        <v>0</v>
      </c>
      <c r="X41" s="2029">
        <f>SUM(X42:X48)</f>
        <v>0</v>
      </c>
      <c r="Y41" s="2030">
        <f>SUM(Y42:Y48)</f>
        <v>0</v>
      </c>
      <c r="Z41" s="3318">
        <f t="shared" ref="Z41:Z52" si="46">Y41/$Y$89</f>
        <v>0</v>
      </c>
      <c r="AA41" s="2022"/>
      <c r="AB41" s="2029">
        <f>SUM(AB42:AB48)</f>
        <v>0</v>
      </c>
      <c r="AC41" s="2029">
        <f>SUM(AC42:AC48)</f>
        <v>40</v>
      </c>
      <c r="AD41" s="2030">
        <f>SUM(AD42:AD48)</f>
        <v>40</v>
      </c>
      <c r="AE41" s="3318">
        <f t="shared" ref="AE41:AE52" si="47">AD41/$AD$89</f>
        <v>0.88125609156366047</v>
      </c>
      <c r="AF41" s="2022"/>
      <c r="AG41" s="2029">
        <f>SUM(AG42:AG48)</f>
        <v>0</v>
      </c>
      <c r="AH41" s="2029">
        <f>SUM(AH42:AH48)</f>
        <v>0</v>
      </c>
      <c r="AI41" s="2030">
        <f>SUM(AI42:AI48)</f>
        <v>0</v>
      </c>
      <c r="AJ41" s="3318" t="e">
        <f t="shared" si="7"/>
        <v>#DIV/0!</v>
      </c>
      <c r="AK41" s="2022"/>
      <c r="AL41" s="2029">
        <f>SUM(AL42:AL48)</f>
        <v>0</v>
      </c>
      <c r="AM41" s="2029">
        <f>SUM(AM42:AM48)</f>
        <v>0</v>
      </c>
      <c r="AN41" s="2030">
        <f>SUM(AN42:AN48)</f>
        <v>0</v>
      </c>
      <c r="AO41" s="3318">
        <f t="shared" si="8"/>
        <v>0</v>
      </c>
      <c r="AP41" s="2022"/>
      <c r="AQ41" s="2029">
        <f>SUM(AQ42:AQ48)</f>
        <v>0</v>
      </c>
      <c r="AR41" s="2029">
        <f>SUM(AR42:AR48)</f>
        <v>0</v>
      </c>
      <c r="AS41" s="2030">
        <f>SUM(AS42:AS48)</f>
        <v>0</v>
      </c>
      <c r="AT41" s="3318" t="e">
        <f t="shared" ref="AT41:AT48" si="48">AS41/AS$89</f>
        <v>#DIV/0!</v>
      </c>
      <c r="AU41" s="2039"/>
      <c r="AV41" s="2029">
        <f>SUM(AV42:AV48)</f>
        <v>0</v>
      </c>
      <c r="AW41" s="2029">
        <f>SUM(AW42:AW48)</f>
        <v>0</v>
      </c>
      <c r="AX41" s="2030">
        <f>SUM(AX42:AX48)</f>
        <v>0</v>
      </c>
      <c r="AY41" s="3318">
        <f t="shared" ref="AY41:AY48" si="49">AX41/AX$89</f>
        <v>0</v>
      </c>
      <c r="AZ41" s="2039"/>
      <c r="BA41" s="2029">
        <f>SUM(BA42:BA48)</f>
        <v>55.01</v>
      </c>
      <c r="BB41" s="2029">
        <f>SUM(BB42:BB48)</f>
        <v>80</v>
      </c>
      <c r="BC41" s="2030">
        <f>SUM(BC42:BC48)</f>
        <v>135.01</v>
      </c>
      <c r="BD41" s="3318">
        <f t="shared" ref="BD41:BD48" si="50">BC41/BC$89</f>
        <v>0.93535849930593495</v>
      </c>
      <c r="BE41" s="2039"/>
      <c r="BF41" s="2029">
        <f>SUM(BF42:BF48)</f>
        <v>55.01</v>
      </c>
      <c r="BG41" s="2029">
        <f>SUM(BG42:BG48)</f>
        <v>0</v>
      </c>
      <c r="BH41" s="2030">
        <f>SUM(BH42:BH48)</f>
        <v>55.01</v>
      </c>
      <c r="BI41" s="3318">
        <f t="shared" ref="BI41:BI48" si="51">BH41/BH$89</f>
        <v>1</v>
      </c>
      <c r="BJ41" s="2039"/>
      <c r="BK41" s="2029">
        <f>SUM(BK42:BK48)</f>
        <v>55.01</v>
      </c>
      <c r="BL41" s="2029">
        <f>SUM(BL42:BL48)</f>
        <v>0</v>
      </c>
      <c r="BM41" s="2030">
        <f>SUM(BM42:BM48)</f>
        <v>55.01</v>
      </c>
      <c r="BN41" s="3318">
        <f t="shared" ref="BN41:BN48" si="52">BM41/BM$89</f>
        <v>1</v>
      </c>
      <c r="BO41" s="2039"/>
      <c r="BP41" s="2029">
        <f>SUM(BP42:BP48)</f>
        <v>0</v>
      </c>
      <c r="BQ41" s="2029">
        <f>SUM(BQ42:BQ48)</f>
        <v>0</v>
      </c>
      <c r="BR41" s="2030">
        <f>SUM(BR42:BR48)</f>
        <v>0</v>
      </c>
      <c r="BS41" s="3318">
        <f t="shared" ref="BS41:BS48" si="53">BR41/BR$89</f>
        <v>0</v>
      </c>
      <c r="BT41" s="2039"/>
      <c r="BU41" s="2029">
        <f>SUM(BU42:BU48)</f>
        <v>0</v>
      </c>
      <c r="BV41" s="2029">
        <f>SUM(BV42:BV48)</f>
        <v>129.5</v>
      </c>
      <c r="BW41" s="2030">
        <f>SUM(BW42:BW48)</f>
        <v>129.5</v>
      </c>
      <c r="BX41" s="3318">
        <f t="shared" ref="BX41:BX48" si="54">BW41/BW$89</f>
        <v>0.87430290166385205</v>
      </c>
      <c r="BY41" s="2039"/>
      <c r="BZ41" s="2029">
        <f>SUM(BZ42:BZ48)</f>
        <v>42595.19</v>
      </c>
      <c r="CA41" s="2029">
        <f>SUM(CA42:CA48)</f>
        <v>4516.5200000000004</v>
      </c>
      <c r="CB41" s="2030">
        <f>SUM(CB42:CB48)</f>
        <v>47111.710000000006</v>
      </c>
      <c r="CC41" s="3318">
        <f>CB41/$CB$89</f>
        <v>1.4255174691612063E-3</v>
      </c>
      <c r="CD41" s="2022"/>
    </row>
    <row r="42" spans="1:89" ht="12" customHeight="1" x14ac:dyDescent="0.25">
      <c r="A42" s="4015"/>
      <c r="B42" s="3909" t="s">
        <v>7</v>
      </c>
      <c r="C42" s="3850"/>
      <c r="D42" s="3869"/>
      <c r="E42" s="3470">
        <f t="shared" ref="E42:E48" si="55">C42+D42</f>
        <v>0</v>
      </c>
      <c r="F42" s="3284" t="e">
        <f t="shared" si="44"/>
        <v>#DIV/0!</v>
      </c>
      <c r="G42" s="2059">
        <v>0</v>
      </c>
      <c r="H42" s="2059">
        <v>0</v>
      </c>
      <c r="I42" s="2028">
        <v>0</v>
      </c>
      <c r="J42" s="1992">
        <v>0</v>
      </c>
      <c r="K42" s="1992"/>
      <c r="L42" s="2059">
        <v>0</v>
      </c>
      <c r="M42" s="2059">
        <v>0</v>
      </c>
      <c r="N42" s="2028">
        <f t="shared" ref="N42:N48" si="56">L42+M42*1</f>
        <v>0</v>
      </c>
      <c r="O42" s="3284">
        <f t="shared" si="6"/>
        <v>0</v>
      </c>
      <c r="P42" s="3295"/>
      <c r="Q42" s="2002"/>
      <c r="R42" s="2059"/>
      <c r="S42" s="2059"/>
      <c r="T42" s="2028">
        <f t="shared" ref="T42:T48" si="57">R42+S42*1</f>
        <v>0</v>
      </c>
      <c r="U42" s="3284">
        <f t="shared" si="45"/>
        <v>0</v>
      </c>
      <c r="V42" s="3296"/>
      <c r="W42" s="2059"/>
      <c r="X42" s="2059"/>
      <c r="Y42" s="2028">
        <f t="shared" ref="Y42:Y48" si="58">W42+X42*1</f>
        <v>0</v>
      </c>
      <c r="Z42" s="3284">
        <f t="shared" si="46"/>
        <v>0</v>
      </c>
      <c r="AA42" s="3295"/>
      <c r="AB42" s="2059"/>
      <c r="AC42" s="2059"/>
      <c r="AD42" s="2028">
        <f t="shared" ref="AD42:AD48" si="59">AB42+AC42*1</f>
        <v>0</v>
      </c>
      <c r="AE42" s="3284">
        <f t="shared" si="47"/>
        <v>0</v>
      </c>
      <c r="AF42" s="3295"/>
      <c r="AG42" s="2059"/>
      <c r="AH42" s="2059"/>
      <c r="AI42" s="2028">
        <f t="shared" ref="AI42:AI48" si="60">AG42+AH42*1</f>
        <v>0</v>
      </c>
      <c r="AJ42" s="3284" t="e">
        <f t="shared" si="7"/>
        <v>#DIV/0!</v>
      </c>
      <c r="AK42" s="3295"/>
      <c r="AL42" s="2059"/>
      <c r="AM42" s="2059"/>
      <c r="AN42" s="2028">
        <f t="shared" ref="AN42:AN48" si="61">AL42+AM42*1</f>
        <v>0</v>
      </c>
      <c r="AO42" s="3284">
        <f t="shared" si="8"/>
        <v>0</v>
      </c>
      <c r="AP42" s="3295"/>
      <c r="AQ42" s="2067"/>
      <c r="AR42" s="2059"/>
      <c r="AS42" s="2028">
        <f t="shared" ref="AS42:AS48" si="62">AQ42+AR42*1</f>
        <v>0</v>
      </c>
      <c r="AT42" s="3284" t="e">
        <f t="shared" si="48"/>
        <v>#DIV/0!</v>
      </c>
      <c r="AU42" s="2062"/>
      <c r="AV42" s="2067"/>
      <c r="AW42" s="2059"/>
      <c r="AX42" s="2028">
        <f t="shared" ref="AX42:AX48" si="63">AV42+AW42*1</f>
        <v>0</v>
      </c>
      <c r="AY42" s="3284">
        <f t="shared" si="49"/>
        <v>0</v>
      </c>
      <c r="AZ42" s="2062"/>
      <c r="BA42" s="2067"/>
      <c r="BB42" s="2059"/>
      <c r="BC42" s="2028">
        <f t="shared" ref="BC42:BC48" si="64">BA42+BB42*1</f>
        <v>0</v>
      </c>
      <c r="BD42" s="3284">
        <f t="shared" si="50"/>
        <v>0</v>
      </c>
      <c r="BE42" s="2062"/>
      <c r="BF42" s="2067"/>
      <c r="BG42" s="2059"/>
      <c r="BH42" s="2028">
        <f t="shared" ref="BH42:BH48" si="65">BF42+BG42*1</f>
        <v>0</v>
      </c>
      <c r="BI42" s="3284">
        <f t="shared" si="51"/>
        <v>0</v>
      </c>
      <c r="BJ42" s="2062"/>
      <c r="BK42" s="2067"/>
      <c r="BL42" s="2059"/>
      <c r="BM42" s="2028">
        <f t="shared" ref="BM42:BM48" si="66">BK42+BL42*1</f>
        <v>0</v>
      </c>
      <c r="BN42" s="3284">
        <f t="shared" si="52"/>
        <v>0</v>
      </c>
      <c r="BO42" s="2062"/>
      <c r="BP42" s="2067"/>
      <c r="BQ42" s="2059"/>
      <c r="BR42" s="2028">
        <f t="shared" ref="BR42:BR48" si="67">BP42+BQ42*1</f>
        <v>0</v>
      </c>
      <c r="BS42" s="3284">
        <f t="shared" si="53"/>
        <v>0</v>
      </c>
      <c r="BT42" s="2062"/>
      <c r="BU42" s="2067"/>
      <c r="BV42" s="2059"/>
      <c r="BW42" s="2028">
        <f t="shared" ref="BW42:BW48" si="68">BU42+BV42*1</f>
        <v>0</v>
      </c>
      <c r="BX42" s="3284">
        <f t="shared" si="54"/>
        <v>0</v>
      </c>
      <c r="BY42" s="2062"/>
      <c r="BZ42" s="2059">
        <f t="shared" ref="BZ42:CA48" si="69">G42+L42+R42+W42+AB42+AG42+AL42+AQ42+AV42+BA42+BF42+BK42+BP42+BU42</f>
        <v>0</v>
      </c>
      <c r="CA42" s="2059">
        <f t="shared" si="69"/>
        <v>0</v>
      </c>
      <c r="CB42" s="2028">
        <f t="shared" ref="CB42:CB48" si="70">BZ42+CA42*1</f>
        <v>0</v>
      </c>
      <c r="CC42" s="3284">
        <f t="shared" ref="CC42:CC72" si="71">CB42/$CB$89</f>
        <v>0</v>
      </c>
      <c r="CD42" s="3295"/>
    </row>
    <row r="43" spans="1:89" ht="12" customHeight="1" x14ac:dyDescent="0.25">
      <c r="A43" s="4015"/>
      <c r="B43" s="3909" t="s">
        <v>27</v>
      </c>
      <c r="C43" s="3850"/>
      <c r="D43" s="3869"/>
      <c r="E43" s="3470">
        <f t="shared" si="55"/>
        <v>0</v>
      </c>
      <c r="F43" s="3284" t="e">
        <f t="shared" si="44"/>
        <v>#DIV/0!</v>
      </c>
      <c r="G43" s="2059">
        <v>0</v>
      </c>
      <c r="H43" s="2059">
        <v>2252.02</v>
      </c>
      <c r="I43" s="2028">
        <v>2252.02</v>
      </c>
      <c r="J43" s="1992">
        <v>2.8313331528321813E-4</v>
      </c>
      <c r="K43" s="1992"/>
      <c r="L43" s="2059">
        <v>0</v>
      </c>
      <c r="M43" s="2059">
        <v>850</v>
      </c>
      <c r="N43" s="2028">
        <f t="shared" si="56"/>
        <v>850</v>
      </c>
      <c r="O43" s="3284">
        <f t="shared" si="6"/>
        <v>2.2736327279488861E-4</v>
      </c>
      <c r="P43" s="3295"/>
      <c r="Q43" s="2002"/>
      <c r="R43" s="2059"/>
      <c r="S43" s="2059"/>
      <c r="T43" s="2028">
        <f t="shared" si="57"/>
        <v>0</v>
      </c>
      <c r="U43" s="3284">
        <f t="shared" si="45"/>
        <v>0</v>
      </c>
      <c r="V43" s="3296"/>
      <c r="W43" s="2059"/>
      <c r="X43" s="2059"/>
      <c r="Y43" s="2028">
        <f t="shared" si="58"/>
        <v>0</v>
      </c>
      <c r="Z43" s="3284">
        <f t="shared" si="46"/>
        <v>0</v>
      </c>
      <c r="AA43" s="3295"/>
      <c r="AB43" s="2059"/>
      <c r="AC43" s="2059"/>
      <c r="AD43" s="2028">
        <f t="shared" si="59"/>
        <v>0</v>
      </c>
      <c r="AE43" s="3284">
        <f t="shared" si="47"/>
        <v>0</v>
      </c>
      <c r="AF43" s="3295"/>
      <c r="AG43" s="2059"/>
      <c r="AH43" s="2059"/>
      <c r="AI43" s="2028">
        <f t="shared" si="60"/>
        <v>0</v>
      </c>
      <c r="AJ43" s="3284" t="e">
        <f t="shared" si="7"/>
        <v>#DIV/0!</v>
      </c>
      <c r="AK43" s="3295"/>
      <c r="AL43" s="2059"/>
      <c r="AM43" s="2059"/>
      <c r="AN43" s="2028">
        <f t="shared" si="61"/>
        <v>0</v>
      </c>
      <c r="AO43" s="3284">
        <f t="shared" si="8"/>
        <v>0</v>
      </c>
      <c r="AP43" s="3295"/>
      <c r="AQ43" s="2067"/>
      <c r="AR43" s="2059"/>
      <c r="AS43" s="2028">
        <f t="shared" si="62"/>
        <v>0</v>
      </c>
      <c r="AT43" s="3284" t="e">
        <f t="shared" si="48"/>
        <v>#DIV/0!</v>
      </c>
      <c r="AU43" s="2062"/>
      <c r="AV43" s="2067"/>
      <c r="AW43" s="2059"/>
      <c r="AX43" s="2028">
        <f t="shared" si="63"/>
        <v>0</v>
      </c>
      <c r="AY43" s="3284">
        <f t="shared" si="49"/>
        <v>0</v>
      </c>
      <c r="AZ43" s="2062"/>
      <c r="BA43" s="2067"/>
      <c r="BB43" s="2059"/>
      <c r="BC43" s="2028">
        <f t="shared" si="64"/>
        <v>0</v>
      </c>
      <c r="BD43" s="3284">
        <f t="shared" si="50"/>
        <v>0</v>
      </c>
      <c r="BE43" s="2062"/>
      <c r="BF43" s="2067"/>
      <c r="BG43" s="2059"/>
      <c r="BH43" s="2028">
        <f t="shared" si="65"/>
        <v>0</v>
      </c>
      <c r="BI43" s="3284">
        <f t="shared" si="51"/>
        <v>0</v>
      </c>
      <c r="BJ43" s="2062"/>
      <c r="BK43" s="2067"/>
      <c r="BL43" s="2059"/>
      <c r="BM43" s="2028">
        <f t="shared" si="66"/>
        <v>0</v>
      </c>
      <c r="BN43" s="3284">
        <f t="shared" si="52"/>
        <v>0</v>
      </c>
      <c r="BO43" s="2062"/>
      <c r="BP43" s="2067"/>
      <c r="BQ43" s="2059"/>
      <c r="BR43" s="2028">
        <f t="shared" si="67"/>
        <v>0</v>
      </c>
      <c r="BS43" s="3284">
        <f t="shared" si="53"/>
        <v>0</v>
      </c>
      <c r="BT43" s="2062"/>
      <c r="BU43" s="2067"/>
      <c r="BV43" s="2059"/>
      <c r="BW43" s="2028">
        <f t="shared" si="68"/>
        <v>0</v>
      </c>
      <c r="BX43" s="3284">
        <f t="shared" si="54"/>
        <v>0</v>
      </c>
      <c r="BY43" s="2062"/>
      <c r="BZ43" s="2059">
        <f t="shared" si="69"/>
        <v>0</v>
      </c>
      <c r="CA43" s="2059">
        <f t="shared" si="69"/>
        <v>3102.02</v>
      </c>
      <c r="CB43" s="2028">
        <f t="shared" si="70"/>
        <v>3102.02</v>
      </c>
      <c r="CC43" s="3284">
        <f t="shared" si="71"/>
        <v>9.3861668355647561E-5</v>
      </c>
      <c r="CD43" s="3295"/>
    </row>
    <row r="44" spans="1:89" ht="12" customHeight="1" x14ac:dyDescent="0.25">
      <c r="A44" s="4015"/>
      <c r="B44" s="3903" t="s">
        <v>28</v>
      </c>
      <c r="C44" s="3850"/>
      <c r="D44" s="3869"/>
      <c r="E44" s="3470">
        <f t="shared" si="55"/>
        <v>0</v>
      </c>
      <c r="F44" s="3284" t="e">
        <f t="shared" si="44"/>
        <v>#DIV/0!</v>
      </c>
      <c r="G44" s="2059">
        <v>0</v>
      </c>
      <c r="H44" s="2059">
        <v>1000</v>
      </c>
      <c r="I44" s="2028">
        <v>1000</v>
      </c>
      <c r="J44" s="1992">
        <v>1.257241566607837E-4</v>
      </c>
      <c r="K44" s="1992"/>
      <c r="L44" s="2059">
        <v>0</v>
      </c>
      <c r="M44" s="2059">
        <v>0</v>
      </c>
      <c r="N44" s="2028">
        <f t="shared" si="56"/>
        <v>0</v>
      </c>
      <c r="O44" s="3284">
        <f t="shared" si="6"/>
        <v>0</v>
      </c>
      <c r="P44" s="3295"/>
      <c r="Q44" s="2002"/>
      <c r="R44" s="2059"/>
      <c r="S44" s="2059"/>
      <c r="T44" s="2028">
        <f t="shared" si="57"/>
        <v>0</v>
      </c>
      <c r="U44" s="3284">
        <f t="shared" si="45"/>
        <v>0</v>
      </c>
      <c r="V44" s="3296"/>
      <c r="W44" s="2059"/>
      <c r="X44" s="2059"/>
      <c r="Y44" s="2028">
        <f t="shared" si="58"/>
        <v>0</v>
      </c>
      <c r="Z44" s="3284">
        <f t="shared" si="46"/>
        <v>0</v>
      </c>
      <c r="AA44" s="3295"/>
      <c r="AB44" s="2059"/>
      <c r="AC44" s="2059"/>
      <c r="AD44" s="2028">
        <f t="shared" si="59"/>
        <v>0</v>
      </c>
      <c r="AE44" s="3284">
        <f t="shared" si="47"/>
        <v>0</v>
      </c>
      <c r="AF44" s="3295"/>
      <c r="AG44" s="2059"/>
      <c r="AH44" s="2059"/>
      <c r="AI44" s="2028">
        <f t="shared" si="60"/>
        <v>0</v>
      </c>
      <c r="AJ44" s="3284" t="e">
        <f t="shared" si="7"/>
        <v>#DIV/0!</v>
      </c>
      <c r="AK44" s="3295"/>
      <c r="AL44" s="2059"/>
      <c r="AM44" s="2059"/>
      <c r="AN44" s="2028">
        <f t="shared" si="61"/>
        <v>0</v>
      </c>
      <c r="AO44" s="3284">
        <f t="shared" si="8"/>
        <v>0</v>
      </c>
      <c r="AP44" s="3295"/>
      <c r="AQ44" s="2067"/>
      <c r="AR44" s="2059"/>
      <c r="AS44" s="2028">
        <f t="shared" si="62"/>
        <v>0</v>
      </c>
      <c r="AT44" s="3284" t="e">
        <f t="shared" si="48"/>
        <v>#DIV/0!</v>
      </c>
      <c r="AU44" s="2062"/>
      <c r="AV44" s="2067"/>
      <c r="AW44" s="2059"/>
      <c r="AX44" s="2028">
        <f t="shared" si="63"/>
        <v>0</v>
      </c>
      <c r="AY44" s="3284">
        <f t="shared" si="49"/>
        <v>0</v>
      </c>
      <c r="AZ44" s="2062"/>
      <c r="BA44" s="2067"/>
      <c r="BB44" s="2059"/>
      <c r="BC44" s="2028">
        <f t="shared" si="64"/>
        <v>0</v>
      </c>
      <c r="BD44" s="3284">
        <f t="shared" si="50"/>
        <v>0</v>
      </c>
      <c r="BE44" s="2062"/>
      <c r="BF44" s="2067"/>
      <c r="BG44" s="2059"/>
      <c r="BH44" s="2028">
        <f t="shared" si="65"/>
        <v>0</v>
      </c>
      <c r="BI44" s="3284">
        <f t="shared" si="51"/>
        <v>0</v>
      </c>
      <c r="BJ44" s="2062"/>
      <c r="BK44" s="2067"/>
      <c r="BL44" s="2059"/>
      <c r="BM44" s="2028">
        <f t="shared" si="66"/>
        <v>0</v>
      </c>
      <c r="BN44" s="3284">
        <f t="shared" si="52"/>
        <v>0</v>
      </c>
      <c r="BO44" s="2062"/>
      <c r="BP44" s="2067"/>
      <c r="BQ44" s="2059"/>
      <c r="BR44" s="2028">
        <f t="shared" si="67"/>
        <v>0</v>
      </c>
      <c r="BS44" s="3284">
        <f t="shared" si="53"/>
        <v>0</v>
      </c>
      <c r="BT44" s="2062"/>
      <c r="BU44" s="2067"/>
      <c r="BV44" s="2059"/>
      <c r="BW44" s="2028">
        <f t="shared" si="68"/>
        <v>0</v>
      </c>
      <c r="BX44" s="3284">
        <f t="shared" si="54"/>
        <v>0</v>
      </c>
      <c r="BY44" s="2062"/>
      <c r="BZ44" s="2059">
        <f t="shared" si="69"/>
        <v>0</v>
      </c>
      <c r="CA44" s="2059">
        <f t="shared" si="69"/>
        <v>1000</v>
      </c>
      <c r="CB44" s="2028">
        <f t="shared" si="70"/>
        <v>1000</v>
      </c>
      <c r="CC44" s="3284">
        <f t="shared" si="71"/>
        <v>3.0258240873897512E-5</v>
      </c>
      <c r="CD44" s="3295"/>
    </row>
    <row r="45" spans="1:89" ht="12" customHeight="1" x14ac:dyDescent="0.25">
      <c r="A45" s="4015"/>
      <c r="B45" s="3909" t="s">
        <v>8</v>
      </c>
      <c r="C45" s="3850"/>
      <c r="D45" s="3869"/>
      <c r="E45" s="3470">
        <f t="shared" si="55"/>
        <v>0</v>
      </c>
      <c r="F45" s="3284" t="e">
        <f t="shared" si="44"/>
        <v>#DIV/0!</v>
      </c>
      <c r="G45" s="2059">
        <v>937.5</v>
      </c>
      <c r="H45" s="2059">
        <v>0</v>
      </c>
      <c r="I45" s="2028">
        <v>937.5</v>
      </c>
      <c r="J45" s="1992">
        <v>1.1786639686948472E-4</v>
      </c>
      <c r="K45" s="1992"/>
      <c r="L45" s="2059">
        <v>412.5</v>
      </c>
      <c r="M45" s="2059">
        <v>0</v>
      </c>
      <c r="N45" s="2028">
        <f t="shared" si="56"/>
        <v>412.5</v>
      </c>
      <c r="O45" s="3284">
        <f t="shared" si="6"/>
        <v>1.10338058856343E-4</v>
      </c>
      <c r="P45" s="3295"/>
      <c r="Q45" s="2002"/>
      <c r="R45" s="2059"/>
      <c r="S45" s="2059"/>
      <c r="T45" s="2028">
        <f t="shared" si="57"/>
        <v>0</v>
      </c>
      <c r="U45" s="3284">
        <f t="shared" si="45"/>
        <v>0</v>
      </c>
      <c r="V45" s="3296"/>
      <c r="W45" s="2059"/>
      <c r="X45" s="2059"/>
      <c r="Y45" s="2028">
        <f t="shared" si="58"/>
        <v>0</v>
      </c>
      <c r="Z45" s="3284">
        <f t="shared" si="46"/>
        <v>0</v>
      </c>
      <c r="AA45" s="3295"/>
      <c r="AB45" s="2059"/>
      <c r="AC45" s="2059"/>
      <c r="AD45" s="2028">
        <f t="shared" si="59"/>
        <v>0</v>
      </c>
      <c r="AE45" s="3284">
        <f t="shared" si="47"/>
        <v>0</v>
      </c>
      <c r="AF45" s="3295"/>
      <c r="AG45" s="2059"/>
      <c r="AH45" s="2059"/>
      <c r="AI45" s="2028">
        <f t="shared" si="60"/>
        <v>0</v>
      </c>
      <c r="AJ45" s="3284" t="e">
        <f t="shared" si="7"/>
        <v>#DIV/0!</v>
      </c>
      <c r="AK45" s="3295"/>
      <c r="AL45" s="2059"/>
      <c r="AM45" s="2059"/>
      <c r="AN45" s="2028">
        <f t="shared" si="61"/>
        <v>0</v>
      </c>
      <c r="AO45" s="3284">
        <f t="shared" si="8"/>
        <v>0</v>
      </c>
      <c r="AP45" s="3295"/>
      <c r="AQ45" s="2067"/>
      <c r="AR45" s="2059"/>
      <c r="AS45" s="2028">
        <f t="shared" si="62"/>
        <v>0</v>
      </c>
      <c r="AT45" s="3284" t="e">
        <f t="shared" si="48"/>
        <v>#DIV/0!</v>
      </c>
      <c r="AU45" s="2062"/>
      <c r="AV45" s="2067"/>
      <c r="AW45" s="2059"/>
      <c r="AX45" s="2028">
        <f t="shared" si="63"/>
        <v>0</v>
      </c>
      <c r="AY45" s="3284">
        <f t="shared" si="49"/>
        <v>0</v>
      </c>
      <c r="AZ45" s="2062"/>
      <c r="BA45" s="2067"/>
      <c r="BB45" s="2059"/>
      <c r="BC45" s="2028">
        <f t="shared" si="64"/>
        <v>0</v>
      </c>
      <c r="BD45" s="3284">
        <f t="shared" si="50"/>
        <v>0</v>
      </c>
      <c r="BE45" s="2062"/>
      <c r="BF45" s="2067"/>
      <c r="BG45" s="2059"/>
      <c r="BH45" s="2028">
        <f t="shared" si="65"/>
        <v>0</v>
      </c>
      <c r="BI45" s="3284">
        <f t="shared" si="51"/>
        <v>0</v>
      </c>
      <c r="BJ45" s="2062"/>
      <c r="BK45" s="2067"/>
      <c r="BL45" s="2059"/>
      <c r="BM45" s="2028">
        <f t="shared" si="66"/>
        <v>0</v>
      </c>
      <c r="BN45" s="3284">
        <f t="shared" si="52"/>
        <v>0</v>
      </c>
      <c r="BO45" s="2062"/>
      <c r="BP45" s="2067"/>
      <c r="BQ45" s="2059"/>
      <c r="BR45" s="2028">
        <f t="shared" si="67"/>
        <v>0</v>
      </c>
      <c r="BS45" s="3284">
        <f t="shared" si="53"/>
        <v>0</v>
      </c>
      <c r="BT45" s="2062"/>
      <c r="BU45" s="2067"/>
      <c r="BV45" s="2059"/>
      <c r="BW45" s="2028">
        <f t="shared" si="68"/>
        <v>0</v>
      </c>
      <c r="BX45" s="3284">
        <f t="shared" si="54"/>
        <v>0</v>
      </c>
      <c r="BY45" s="2062"/>
      <c r="BZ45" s="2059">
        <f t="shared" si="69"/>
        <v>1350</v>
      </c>
      <c r="CA45" s="2059">
        <f t="shared" si="69"/>
        <v>0</v>
      </c>
      <c r="CB45" s="2028">
        <f t="shared" si="70"/>
        <v>1350</v>
      </c>
      <c r="CC45" s="3284">
        <f t="shared" si="71"/>
        <v>4.0848625179761644E-5</v>
      </c>
      <c r="CD45" s="3295"/>
    </row>
    <row r="46" spans="1:89" ht="12" customHeight="1" x14ac:dyDescent="0.25">
      <c r="A46" s="4015"/>
      <c r="B46" s="3909" t="s">
        <v>29</v>
      </c>
      <c r="C46" s="3850"/>
      <c r="D46" s="3869"/>
      <c r="E46" s="3470">
        <f t="shared" si="55"/>
        <v>0</v>
      </c>
      <c r="F46" s="3284" t="e">
        <f t="shared" si="44"/>
        <v>#DIV/0!</v>
      </c>
      <c r="G46" s="2059">
        <v>0</v>
      </c>
      <c r="H46" s="2059">
        <v>0</v>
      </c>
      <c r="I46" s="2028">
        <v>0</v>
      </c>
      <c r="J46" s="1992">
        <v>0</v>
      </c>
      <c r="K46" s="1992"/>
      <c r="L46" s="2059">
        <v>0</v>
      </c>
      <c r="M46" s="2059">
        <v>0</v>
      </c>
      <c r="N46" s="2028">
        <f t="shared" si="56"/>
        <v>0</v>
      </c>
      <c r="O46" s="3284">
        <f t="shared" si="6"/>
        <v>0</v>
      </c>
      <c r="P46" s="3295"/>
      <c r="Q46" s="2002"/>
      <c r="R46" s="2059"/>
      <c r="S46" s="2059"/>
      <c r="T46" s="2028">
        <f t="shared" si="57"/>
        <v>0</v>
      </c>
      <c r="U46" s="3284">
        <f t="shared" si="45"/>
        <v>0</v>
      </c>
      <c r="V46" s="3296"/>
      <c r="W46" s="2059"/>
      <c r="X46" s="2059"/>
      <c r="Y46" s="2028">
        <f t="shared" si="58"/>
        <v>0</v>
      </c>
      <c r="Z46" s="3284">
        <f t="shared" si="46"/>
        <v>0</v>
      </c>
      <c r="AA46" s="3295"/>
      <c r="AB46" s="2059"/>
      <c r="AC46" s="2059"/>
      <c r="AD46" s="2028">
        <f t="shared" si="59"/>
        <v>0</v>
      </c>
      <c r="AE46" s="3284">
        <f t="shared" si="47"/>
        <v>0</v>
      </c>
      <c r="AF46" s="3295"/>
      <c r="AG46" s="2059"/>
      <c r="AH46" s="2059"/>
      <c r="AI46" s="2028">
        <f t="shared" si="60"/>
        <v>0</v>
      </c>
      <c r="AJ46" s="3284" t="e">
        <f t="shared" si="7"/>
        <v>#DIV/0!</v>
      </c>
      <c r="AK46" s="3295"/>
      <c r="AL46" s="2059"/>
      <c r="AM46" s="2059"/>
      <c r="AN46" s="2028">
        <f t="shared" si="61"/>
        <v>0</v>
      </c>
      <c r="AO46" s="3284">
        <f t="shared" si="8"/>
        <v>0</v>
      </c>
      <c r="AP46" s="3295"/>
      <c r="AQ46" s="2067"/>
      <c r="AR46" s="2059"/>
      <c r="AS46" s="2028">
        <f t="shared" si="62"/>
        <v>0</v>
      </c>
      <c r="AT46" s="3284" t="e">
        <f t="shared" si="48"/>
        <v>#DIV/0!</v>
      </c>
      <c r="AU46" s="2062"/>
      <c r="AV46" s="2067"/>
      <c r="AW46" s="2059"/>
      <c r="AX46" s="2028">
        <f t="shared" si="63"/>
        <v>0</v>
      </c>
      <c r="AY46" s="3284">
        <f t="shared" si="49"/>
        <v>0</v>
      </c>
      <c r="AZ46" s="2062"/>
      <c r="BA46" s="2067"/>
      <c r="BB46" s="2059"/>
      <c r="BC46" s="2028">
        <f t="shared" si="64"/>
        <v>0</v>
      </c>
      <c r="BD46" s="3284">
        <f t="shared" si="50"/>
        <v>0</v>
      </c>
      <c r="BE46" s="2062"/>
      <c r="BF46" s="2067"/>
      <c r="BG46" s="2059"/>
      <c r="BH46" s="2028">
        <f t="shared" si="65"/>
        <v>0</v>
      </c>
      <c r="BI46" s="3284">
        <f t="shared" si="51"/>
        <v>0</v>
      </c>
      <c r="BJ46" s="2062"/>
      <c r="BK46" s="2067"/>
      <c r="BL46" s="2059"/>
      <c r="BM46" s="2028">
        <f t="shared" si="66"/>
        <v>0</v>
      </c>
      <c r="BN46" s="3284">
        <f t="shared" si="52"/>
        <v>0</v>
      </c>
      <c r="BO46" s="2062"/>
      <c r="BP46" s="2067"/>
      <c r="BQ46" s="2059"/>
      <c r="BR46" s="2028">
        <f t="shared" si="67"/>
        <v>0</v>
      </c>
      <c r="BS46" s="3284">
        <f t="shared" si="53"/>
        <v>0</v>
      </c>
      <c r="BT46" s="2062"/>
      <c r="BU46" s="2067"/>
      <c r="BV46" s="2059"/>
      <c r="BW46" s="2028">
        <f t="shared" si="68"/>
        <v>0</v>
      </c>
      <c r="BX46" s="3284">
        <f t="shared" si="54"/>
        <v>0</v>
      </c>
      <c r="BY46" s="2062"/>
      <c r="BZ46" s="2059">
        <f t="shared" si="69"/>
        <v>0</v>
      </c>
      <c r="CA46" s="2059">
        <f t="shared" si="69"/>
        <v>0</v>
      </c>
      <c r="CB46" s="2028">
        <f t="shared" si="70"/>
        <v>0</v>
      </c>
      <c r="CC46" s="3284">
        <f t="shared" si="71"/>
        <v>0</v>
      </c>
      <c r="CD46" s="3295"/>
    </row>
    <row r="47" spans="1:89" ht="12" customHeight="1" x14ac:dyDescent="0.25">
      <c r="A47" s="4015"/>
      <c r="B47" s="3909" t="s">
        <v>30</v>
      </c>
      <c r="C47" s="3850"/>
      <c r="D47" s="3869"/>
      <c r="E47" s="3470">
        <f t="shared" si="55"/>
        <v>0</v>
      </c>
      <c r="F47" s="3284" t="e">
        <f t="shared" si="44"/>
        <v>#DIV/0!</v>
      </c>
      <c r="G47" s="2059">
        <v>20747.14</v>
      </c>
      <c r="H47" s="2059">
        <v>0</v>
      </c>
      <c r="I47" s="2028">
        <v>20747.14</v>
      </c>
      <c r="J47" s="1992">
        <v>2.608416679623212E-3</v>
      </c>
      <c r="K47" s="1992"/>
      <c r="L47" s="2059">
        <v>18122.96</v>
      </c>
      <c r="M47" s="2059">
        <v>65</v>
      </c>
      <c r="N47" s="2028">
        <f t="shared" si="56"/>
        <v>18187.96</v>
      </c>
      <c r="O47" s="3284">
        <f t="shared" si="6"/>
        <v>4.8650283659559083E-3</v>
      </c>
      <c r="P47" s="3910"/>
      <c r="Q47" s="2002"/>
      <c r="R47" s="2059"/>
      <c r="S47" s="2059"/>
      <c r="T47" s="2028">
        <f t="shared" si="57"/>
        <v>0</v>
      </c>
      <c r="U47" s="3284">
        <f t="shared" si="45"/>
        <v>0</v>
      </c>
      <c r="V47" s="3296"/>
      <c r="W47" s="2059"/>
      <c r="X47" s="2059"/>
      <c r="Y47" s="2028">
        <f t="shared" si="58"/>
        <v>0</v>
      </c>
      <c r="Z47" s="3284">
        <f t="shared" si="46"/>
        <v>0</v>
      </c>
      <c r="AA47" s="3295"/>
      <c r="AB47" s="2059"/>
      <c r="AC47" s="2059">
        <v>40</v>
      </c>
      <c r="AD47" s="2028">
        <f t="shared" si="59"/>
        <v>40</v>
      </c>
      <c r="AE47" s="3284">
        <f t="shared" si="47"/>
        <v>0.88125609156366047</v>
      </c>
      <c r="AF47" s="3910" t="s">
        <v>1610</v>
      </c>
      <c r="AG47" s="2059"/>
      <c r="AH47" s="2059"/>
      <c r="AI47" s="2028">
        <f t="shared" si="60"/>
        <v>0</v>
      </c>
      <c r="AJ47" s="3284" t="e">
        <f t="shared" si="7"/>
        <v>#DIV/0!</v>
      </c>
      <c r="AK47" s="3910"/>
      <c r="AL47" s="2059"/>
      <c r="AM47" s="2059"/>
      <c r="AN47" s="2028">
        <f t="shared" si="61"/>
        <v>0</v>
      </c>
      <c r="AO47" s="3284">
        <f t="shared" si="8"/>
        <v>0</v>
      </c>
      <c r="AP47" s="3910"/>
      <c r="AQ47" s="2067"/>
      <c r="AR47" s="2059"/>
      <c r="AS47" s="2028">
        <f t="shared" si="62"/>
        <v>0</v>
      </c>
      <c r="AT47" s="3284" t="e">
        <f t="shared" si="48"/>
        <v>#DIV/0!</v>
      </c>
      <c r="AU47" s="2062"/>
      <c r="AV47" s="2067"/>
      <c r="AW47" s="2059"/>
      <c r="AX47" s="2028">
        <f t="shared" si="63"/>
        <v>0</v>
      </c>
      <c r="AY47" s="3284">
        <f t="shared" si="49"/>
        <v>0</v>
      </c>
      <c r="AZ47" s="2062"/>
      <c r="BA47" s="2067">
        <v>55.01</v>
      </c>
      <c r="BB47" s="2059">
        <v>80</v>
      </c>
      <c r="BC47" s="2028">
        <f t="shared" si="64"/>
        <v>135.01</v>
      </c>
      <c r="BD47" s="3284">
        <f t="shared" si="50"/>
        <v>0.93535849930593495</v>
      </c>
      <c r="BE47" s="2062" t="s">
        <v>1925</v>
      </c>
      <c r="BF47" s="2067">
        <v>55.01</v>
      </c>
      <c r="BG47" s="2059"/>
      <c r="BH47" s="2028">
        <f t="shared" si="65"/>
        <v>55.01</v>
      </c>
      <c r="BI47" s="3284">
        <f t="shared" si="51"/>
        <v>1</v>
      </c>
      <c r="BJ47" s="2062"/>
      <c r="BK47" s="2067">
        <v>55.01</v>
      </c>
      <c r="BL47" s="2059"/>
      <c r="BM47" s="2028">
        <f t="shared" si="66"/>
        <v>55.01</v>
      </c>
      <c r="BN47" s="3284">
        <f t="shared" si="52"/>
        <v>1</v>
      </c>
      <c r="BO47" s="2062"/>
      <c r="BP47" s="2067"/>
      <c r="BQ47" s="2059"/>
      <c r="BR47" s="2028">
        <f t="shared" si="67"/>
        <v>0</v>
      </c>
      <c r="BS47" s="3284">
        <f t="shared" si="53"/>
        <v>0</v>
      </c>
      <c r="BT47" s="2062"/>
      <c r="BU47" s="2067"/>
      <c r="BV47" s="2059">
        <v>129.5</v>
      </c>
      <c r="BW47" s="2028">
        <f t="shared" si="68"/>
        <v>129.5</v>
      </c>
      <c r="BX47" s="3284">
        <f t="shared" si="54"/>
        <v>0.87430290166385205</v>
      </c>
      <c r="BY47" s="2062" t="s">
        <v>2098</v>
      </c>
      <c r="BZ47" s="2059">
        <f t="shared" si="69"/>
        <v>39035.130000000005</v>
      </c>
      <c r="CA47" s="2059">
        <f>H47+M47+S47+X47+AC47+AH47+AM47+AR47+AW47+BB47+BG47+BL47+BQ47+BV47</f>
        <v>314.5</v>
      </c>
      <c r="CB47" s="2028">
        <f t="shared" si="70"/>
        <v>39349.630000000005</v>
      </c>
      <c r="CC47" s="3284">
        <f t="shared" si="71"/>
        <v>1.190650582838744E-3</v>
      </c>
      <c r="CD47" s="3295"/>
    </row>
    <row r="48" spans="1:89" ht="12" customHeight="1" x14ac:dyDescent="0.25">
      <c r="A48" s="4015"/>
      <c r="B48" s="3909" t="s">
        <v>15</v>
      </c>
      <c r="C48" s="3850"/>
      <c r="D48" s="3869"/>
      <c r="E48" s="3470">
        <f t="shared" si="55"/>
        <v>0</v>
      </c>
      <c r="F48" s="3284" t="e">
        <f t="shared" si="44"/>
        <v>#DIV/0!</v>
      </c>
      <c r="G48" s="2059">
        <v>2210.06</v>
      </c>
      <c r="H48" s="2059">
        <v>100</v>
      </c>
      <c r="I48" s="2028">
        <v>2310.06</v>
      </c>
      <c r="J48" s="1992">
        <v>2.9043034533580997E-4</v>
      </c>
      <c r="K48" s="1992"/>
      <c r="L48" s="2059">
        <v>0</v>
      </c>
      <c r="M48" s="2059">
        <v>0</v>
      </c>
      <c r="N48" s="2028">
        <f t="shared" si="56"/>
        <v>0</v>
      </c>
      <c r="O48" s="3284">
        <f t="shared" si="6"/>
        <v>0</v>
      </c>
      <c r="P48" s="3295"/>
      <c r="Q48" s="2002"/>
      <c r="R48" s="2059"/>
      <c r="S48" s="2059"/>
      <c r="T48" s="2028">
        <f t="shared" si="57"/>
        <v>0</v>
      </c>
      <c r="U48" s="3284">
        <f t="shared" si="45"/>
        <v>0</v>
      </c>
      <c r="V48" s="3296"/>
      <c r="W48" s="2059"/>
      <c r="X48" s="2059"/>
      <c r="Y48" s="2028">
        <f t="shared" si="58"/>
        <v>0</v>
      </c>
      <c r="Z48" s="3284">
        <f t="shared" si="46"/>
        <v>0</v>
      </c>
      <c r="AA48" s="3295"/>
      <c r="AB48" s="2059"/>
      <c r="AC48" s="2059"/>
      <c r="AD48" s="2028">
        <f t="shared" si="59"/>
        <v>0</v>
      </c>
      <c r="AE48" s="3284">
        <f t="shared" si="47"/>
        <v>0</v>
      </c>
      <c r="AF48" s="3295"/>
      <c r="AG48" s="2059"/>
      <c r="AH48" s="2059"/>
      <c r="AI48" s="2028">
        <f t="shared" si="60"/>
        <v>0</v>
      </c>
      <c r="AJ48" s="3284" t="e">
        <f t="shared" si="7"/>
        <v>#DIV/0!</v>
      </c>
      <c r="AK48" s="3295"/>
      <c r="AL48" s="2059"/>
      <c r="AM48" s="2059"/>
      <c r="AN48" s="2028">
        <f t="shared" si="61"/>
        <v>0</v>
      </c>
      <c r="AO48" s="3284">
        <f t="shared" si="8"/>
        <v>0</v>
      </c>
      <c r="AP48" s="3295"/>
      <c r="AQ48" s="2067"/>
      <c r="AR48" s="2059"/>
      <c r="AS48" s="2028">
        <f t="shared" si="62"/>
        <v>0</v>
      </c>
      <c r="AT48" s="3284" t="e">
        <f t="shared" si="48"/>
        <v>#DIV/0!</v>
      </c>
      <c r="AU48" s="2062"/>
      <c r="AV48" s="2067"/>
      <c r="AW48" s="2059"/>
      <c r="AX48" s="2028">
        <f t="shared" si="63"/>
        <v>0</v>
      </c>
      <c r="AY48" s="3284">
        <f t="shared" si="49"/>
        <v>0</v>
      </c>
      <c r="AZ48" s="2062"/>
      <c r="BA48" s="2067"/>
      <c r="BB48" s="2059"/>
      <c r="BC48" s="2028">
        <f t="shared" si="64"/>
        <v>0</v>
      </c>
      <c r="BD48" s="3284">
        <f t="shared" si="50"/>
        <v>0</v>
      </c>
      <c r="BE48" s="2062"/>
      <c r="BF48" s="2067"/>
      <c r="BG48" s="2059"/>
      <c r="BH48" s="2028">
        <f t="shared" si="65"/>
        <v>0</v>
      </c>
      <c r="BI48" s="3284">
        <f t="shared" si="51"/>
        <v>0</v>
      </c>
      <c r="BJ48" s="2062"/>
      <c r="BK48" s="2067"/>
      <c r="BL48" s="2059"/>
      <c r="BM48" s="2028">
        <f t="shared" si="66"/>
        <v>0</v>
      </c>
      <c r="BN48" s="3284">
        <f t="shared" si="52"/>
        <v>0</v>
      </c>
      <c r="BO48" s="2062"/>
      <c r="BP48" s="2067"/>
      <c r="BQ48" s="2059"/>
      <c r="BR48" s="2028">
        <f t="shared" si="67"/>
        <v>0</v>
      </c>
      <c r="BS48" s="3284">
        <f t="shared" si="53"/>
        <v>0</v>
      </c>
      <c r="BT48" s="2062"/>
      <c r="BU48" s="2067"/>
      <c r="BV48" s="2059"/>
      <c r="BW48" s="2028">
        <f t="shared" si="68"/>
        <v>0</v>
      </c>
      <c r="BX48" s="3284">
        <f t="shared" si="54"/>
        <v>0</v>
      </c>
      <c r="BY48" s="2062"/>
      <c r="BZ48" s="2059">
        <f t="shared" si="69"/>
        <v>2210.06</v>
      </c>
      <c r="CA48" s="2059">
        <f t="shared" si="69"/>
        <v>100</v>
      </c>
      <c r="CB48" s="2028">
        <f t="shared" si="70"/>
        <v>2310.06</v>
      </c>
      <c r="CC48" s="3284">
        <f t="shared" si="71"/>
        <v>6.9898351913155681E-5</v>
      </c>
      <c r="CD48" s="3295"/>
    </row>
    <row r="49" spans="1:84" s="1411" customFormat="1" ht="12" customHeight="1" thickBot="1" x14ac:dyDescent="0.3">
      <c r="A49" s="1420"/>
      <c r="B49" s="3911"/>
      <c r="C49" s="3853"/>
      <c r="D49" s="3870"/>
      <c r="E49" s="3871"/>
      <c r="F49" s="3872"/>
      <c r="G49" s="2059"/>
      <c r="H49" s="2059"/>
      <c r="I49" s="3863"/>
      <c r="J49" s="1723">
        <v>0</v>
      </c>
      <c r="K49" s="1723"/>
      <c r="L49" s="2059"/>
      <c r="M49" s="2059"/>
      <c r="N49" s="3863"/>
      <c r="O49" s="3284"/>
      <c r="P49" s="3863"/>
      <c r="Q49" s="1734"/>
      <c r="R49" s="2059"/>
      <c r="S49" s="2059"/>
      <c r="T49" s="3863"/>
      <c r="U49" s="3284">
        <f t="shared" si="45"/>
        <v>0</v>
      </c>
      <c r="V49" s="3865"/>
      <c r="W49" s="2059"/>
      <c r="X49" s="2059"/>
      <c r="Y49" s="3863"/>
      <c r="Z49" s="3284">
        <f t="shared" si="46"/>
        <v>0</v>
      </c>
      <c r="AA49" s="3863"/>
      <c r="AB49" s="2059"/>
      <c r="AC49" s="2059"/>
      <c r="AD49" s="3863"/>
      <c r="AE49" s="3284">
        <f t="shared" si="47"/>
        <v>0</v>
      </c>
      <c r="AF49" s="3863"/>
      <c r="AG49" s="2059"/>
      <c r="AH49" s="2059"/>
      <c r="AI49" s="3863"/>
      <c r="AJ49" s="3284"/>
      <c r="AK49" s="3863"/>
      <c r="AL49" s="2059"/>
      <c r="AM49" s="2059"/>
      <c r="AN49" s="3863"/>
      <c r="AO49" s="3284"/>
      <c r="AP49" s="3863"/>
      <c r="AQ49" s="2067"/>
      <c r="AR49" s="2059"/>
      <c r="AS49" s="3863"/>
      <c r="AT49" s="3284"/>
      <c r="AU49" s="3873"/>
      <c r="AV49" s="2067"/>
      <c r="AW49" s="2059"/>
      <c r="AX49" s="3863"/>
      <c r="AY49" s="3284"/>
      <c r="AZ49" s="3873"/>
      <c r="BA49" s="2067"/>
      <c r="BB49" s="2059"/>
      <c r="BC49" s="3863"/>
      <c r="BD49" s="3284"/>
      <c r="BE49" s="3873"/>
      <c r="BF49" s="2067"/>
      <c r="BG49" s="2059"/>
      <c r="BH49" s="3863"/>
      <c r="BI49" s="3284"/>
      <c r="BJ49" s="3873"/>
      <c r="BK49" s="2067"/>
      <c r="BL49" s="2059"/>
      <c r="BM49" s="3863"/>
      <c r="BN49" s="3284"/>
      <c r="BO49" s="3873"/>
      <c r="BP49" s="2067"/>
      <c r="BQ49" s="2059"/>
      <c r="BR49" s="3863"/>
      <c r="BS49" s="3284"/>
      <c r="BT49" s="3873"/>
      <c r="BU49" s="2067"/>
      <c r="BV49" s="2059"/>
      <c r="BW49" s="3863"/>
      <c r="BX49" s="3284"/>
      <c r="BY49" s="3873"/>
      <c r="BZ49" s="2059"/>
      <c r="CA49" s="2059"/>
      <c r="CB49" s="3863"/>
      <c r="CC49" s="3284">
        <f t="shared" si="71"/>
        <v>0</v>
      </c>
      <c r="CD49" s="3863"/>
      <c r="CE49" s="842"/>
      <c r="CF49" s="842"/>
    </row>
    <row r="50" spans="1:84" s="1411" customFormat="1" ht="14.4" customHeight="1" thickBot="1" x14ac:dyDescent="0.3">
      <c r="A50" s="1441"/>
      <c r="B50" s="1013" t="s">
        <v>59</v>
      </c>
      <c r="C50" s="1599"/>
      <c r="D50" s="1599"/>
      <c r="E50" s="1599">
        <f>SUM(E51:E52)</f>
        <v>0</v>
      </c>
      <c r="F50" s="838" t="e">
        <f>E50/$E$89</f>
        <v>#DIV/0!</v>
      </c>
      <c r="G50" s="1599">
        <v>0</v>
      </c>
      <c r="H50" s="1599">
        <v>0</v>
      </c>
      <c r="I50" s="1599">
        <v>0</v>
      </c>
      <c r="J50" s="969"/>
      <c r="K50" s="969"/>
      <c r="L50" s="2031">
        <f>L52+L51</f>
        <v>0</v>
      </c>
      <c r="M50" s="2031">
        <f>M52+M51</f>
        <v>0</v>
      </c>
      <c r="N50" s="2031">
        <f>SUM(N51:N52)</f>
        <v>0</v>
      </c>
      <c r="O50" s="2022">
        <f t="shared" si="6"/>
        <v>0</v>
      </c>
      <c r="P50" s="2022"/>
      <c r="Q50" s="2566"/>
      <c r="R50" s="1599">
        <f>R52+R51</f>
        <v>0</v>
      </c>
      <c r="S50" s="1599">
        <f>S52+S51</f>
        <v>0</v>
      </c>
      <c r="T50" s="1599">
        <f>SUM(T51:T52)</f>
        <v>0</v>
      </c>
      <c r="U50" s="1703"/>
      <c r="V50" s="1752"/>
      <c r="W50" s="2031">
        <f>W52+W51</f>
        <v>0</v>
      </c>
      <c r="X50" s="2031">
        <f>X52+X51</f>
        <v>0</v>
      </c>
      <c r="Y50" s="2031">
        <f>SUM(Y51:Y52)</f>
        <v>0</v>
      </c>
      <c r="Z50" s="2022">
        <f t="shared" si="46"/>
        <v>0</v>
      </c>
      <c r="AA50" s="2022"/>
      <c r="AB50" s="2031">
        <f>AB52+AB51</f>
        <v>0</v>
      </c>
      <c r="AC50" s="2031">
        <f>AC52+AC51</f>
        <v>0</v>
      </c>
      <c r="AD50" s="2031">
        <f>SUM(AD51:AD52)</f>
        <v>0</v>
      </c>
      <c r="AE50" s="2022">
        <f t="shared" si="47"/>
        <v>0</v>
      </c>
      <c r="AF50" s="2022"/>
      <c r="AG50" s="2031">
        <f>AG52+AG51</f>
        <v>0</v>
      </c>
      <c r="AH50" s="2031">
        <f>AH52+AH51</f>
        <v>0</v>
      </c>
      <c r="AI50" s="2031">
        <f>SUM(AI51:AI52)</f>
        <v>0</v>
      </c>
      <c r="AJ50" s="2022" t="e">
        <f t="shared" si="7"/>
        <v>#DIV/0!</v>
      </c>
      <c r="AK50" s="2022"/>
      <c r="AL50" s="2031">
        <f>AL52+AL51</f>
        <v>0</v>
      </c>
      <c r="AM50" s="2031">
        <f>AM52+AM51</f>
        <v>0</v>
      </c>
      <c r="AN50" s="2031">
        <f>SUM(AN51:AN52)</f>
        <v>0</v>
      </c>
      <c r="AO50" s="2022">
        <f t="shared" si="8"/>
        <v>0</v>
      </c>
      <c r="AP50" s="2022"/>
      <c r="AQ50" s="2031">
        <f>AQ52+AQ51</f>
        <v>0</v>
      </c>
      <c r="AR50" s="2031">
        <f>AR52+AR51</f>
        <v>0</v>
      </c>
      <c r="AS50" s="2031">
        <f>SUM(AS51:AS52)</f>
        <v>0</v>
      </c>
      <c r="AT50" s="2022" t="e">
        <f t="shared" ref="AT50:AT52" si="72">AS50/AS$89</f>
        <v>#DIV/0!</v>
      </c>
      <c r="AU50" s="2000"/>
      <c r="AV50" s="2031">
        <f>AV52+AV51</f>
        <v>0</v>
      </c>
      <c r="AW50" s="2031">
        <f>AW52+AW51</f>
        <v>0</v>
      </c>
      <c r="AX50" s="2031">
        <f>SUM(AX51:AX52)</f>
        <v>0</v>
      </c>
      <c r="AY50" s="2022">
        <f t="shared" ref="AY50:AY52" si="73">AX50/AX$89</f>
        <v>0</v>
      </c>
      <c r="AZ50" s="2000"/>
      <c r="BA50" s="2031">
        <f>BA52+BA51</f>
        <v>0</v>
      </c>
      <c r="BB50" s="2031">
        <f>BB52+BB51</f>
        <v>0</v>
      </c>
      <c r="BC50" s="2031">
        <f>SUM(BC51:BC52)</f>
        <v>0</v>
      </c>
      <c r="BD50" s="2022">
        <f t="shared" ref="BD50:BD52" si="74">BC50/BC$89</f>
        <v>0</v>
      </c>
      <c r="BE50" s="2000"/>
      <c r="BF50" s="2031">
        <f>BF52+BF51</f>
        <v>0</v>
      </c>
      <c r="BG50" s="2031">
        <f>BG52+BG51</f>
        <v>0</v>
      </c>
      <c r="BH50" s="2031">
        <f>SUM(BH51:BH52)</f>
        <v>0</v>
      </c>
      <c r="BI50" s="2022">
        <f t="shared" ref="BI50:BI52" si="75">BH50/BH$89</f>
        <v>0</v>
      </c>
      <c r="BJ50" s="2000"/>
      <c r="BK50" s="2031">
        <f>BK52+BK51</f>
        <v>0</v>
      </c>
      <c r="BL50" s="2031">
        <f>BL52+BL51</f>
        <v>0</v>
      </c>
      <c r="BM50" s="2031">
        <f>SUM(BM51:BM52)</f>
        <v>0</v>
      </c>
      <c r="BN50" s="2022">
        <f t="shared" ref="BN50:BN52" si="76">BM50/BM$89</f>
        <v>0</v>
      </c>
      <c r="BO50" s="2000"/>
      <c r="BP50" s="2031">
        <f>BP52+BP51</f>
        <v>0</v>
      </c>
      <c r="BQ50" s="2031">
        <f>BQ52+BQ51</f>
        <v>0</v>
      </c>
      <c r="BR50" s="2031">
        <f>SUM(BR51:BR52)</f>
        <v>0</v>
      </c>
      <c r="BS50" s="2022">
        <f t="shared" ref="BS50:BS52" si="77">BR50/BR$89</f>
        <v>0</v>
      </c>
      <c r="BT50" s="2000"/>
      <c r="BU50" s="2031">
        <f>BU52+BU51</f>
        <v>0</v>
      </c>
      <c r="BV50" s="2031">
        <f>BV52+BV51</f>
        <v>0</v>
      </c>
      <c r="BW50" s="2031">
        <f>SUM(BW51:BW52)</f>
        <v>0</v>
      </c>
      <c r="BX50" s="2022">
        <f t="shared" ref="BX50:BX52" si="78">BW50/BW$89</f>
        <v>0</v>
      </c>
      <c r="BY50" s="2000"/>
      <c r="BZ50" s="1599">
        <f>BZ52+BZ51</f>
        <v>0</v>
      </c>
      <c r="CA50" s="1599">
        <f>CA52+CA51</f>
        <v>0</v>
      </c>
      <c r="CB50" s="1599">
        <f>SUM(CB51:CB52)</f>
        <v>0</v>
      </c>
      <c r="CC50" s="1703"/>
      <c r="CD50" s="1703"/>
      <c r="CE50" s="842"/>
      <c r="CF50" s="842"/>
    </row>
    <row r="51" spans="1:84" s="1579" customFormat="1" ht="14.4" customHeight="1" x14ac:dyDescent="0.25">
      <c r="A51" s="1583"/>
      <c r="B51" s="1164" t="s">
        <v>60</v>
      </c>
      <c r="C51" s="1501"/>
      <c r="D51" s="1101"/>
      <c r="E51" s="1101">
        <f>C51+D51</f>
        <v>0</v>
      </c>
      <c r="F51" s="1602" t="e">
        <f>E51/$E$89</f>
        <v>#DIV/0!</v>
      </c>
      <c r="G51" s="2059">
        <v>0</v>
      </c>
      <c r="H51" s="2059">
        <v>0</v>
      </c>
      <c r="I51" s="2028">
        <v>0</v>
      </c>
      <c r="J51" s="1602">
        <v>0</v>
      </c>
      <c r="K51" s="1602"/>
      <c r="L51" s="2059">
        <v>0</v>
      </c>
      <c r="M51" s="2059">
        <v>0</v>
      </c>
      <c r="N51" s="2028">
        <f>L51+M51*1</f>
        <v>0</v>
      </c>
      <c r="O51" s="3284">
        <f t="shared" si="6"/>
        <v>0</v>
      </c>
      <c r="P51" s="3862"/>
      <c r="Q51" s="1736"/>
      <c r="R51" s="2059"/>
      <c r="S51" s="2059"/>
      <c r="T51" s="2028">
        <f>R51+S51*1</f>
        <v>0</v>
      </c>
      <c r="U51" s="1992">
        <f>T51/$T$89</f>
        <v>0</v>
      </c>
      <c r="V51" s="1627"/>
      <c r="W51" s="2059"/>
      <c r="X51" s="2059"/>
      <c r="Y51" s="2028">
        <f>W51+X51*1</f>
        <v>0</v>
      </c>
      <c r="Z51" s="3284">
        <f t="shared" si="46"/>
        <v>0</v>
      </c>
      <c r="AA51" s="3862"/>
      <c r="AB51" s="2059"/>
      <c r="AC51" s="2059"/>
      <c r="AD51" s="2028">
        <f>AB51+AC51*1</f>
        <v>0</v>
      </c>
      <c r="AE51" s="3284">
        <f t="shared" si="47"/>
        <v>0</v>
      </c>
      <c r="AF51" s="3862"/>
      <c r="AG51" s="2059"/>
      <c r="AH51" s="2059"/>
      <c r="AI51" s="2028">
        <f>AG51+AH51*1</f>
        <v>0</v>
      </c>
      <c r="AJ51" s="3284" t="e">
        <f t="shared" si="7"/>
        <v>#DIV/0!</v>
      </c>
      <c r="AK51" s="3862"/>
      <c r="AL51" s="2059"/>
      <c r="AM51" s="2059"/>
      <c r="AN51" s="2028">
        <f>AL51+AM51*1</f>
        <v>0</v>
      </c>
      <c r="AO51" s="3284">
        <f t="shared" si="8"/>
        <v>0</v>
      </c>
      <c r="AP51" s="3862"/>
      <c r="AQ51" s="2067"/>
      <c r="AR51" s="2059"/>
      <c r="AS51" s="2028">
        <f>AQ51+AR51*1</f>
        <v>0</v>
      </c>
      <c r="AT51" s="3284" t="e">
        <f t="shared" si="72"/>
        <v>#DIV/0!</v>
      </c>
      <c r="AU51" s="3874"/>
      <c r="AV51" s="2067"/>
      <c r="AW51" s="2059"/>
      <c r="AX51" s="2028">
        <f>AV51+AW51*1</f>
        <v>0</v>
      </c>
      <c r="AY51" s="3284">
        <f t="shared" si="73"/>
        <v>0</v>
      </c>
      <c r="AZ51" s="3874"/>
      <c r="BA51" s="2067"/>
      <c r="BB51" s="2059"/>
      <c r="BC51" s="2028">
        <f>BA51+BB51*1</f>
        <v>0</v>
      </c>
      <c r="BD51" s="3284">
        <f t="shared" si="74"/>
        <v>0</v>
      </c>
      <c r="BE51" s="3874"/>
      <c r="BF51" s="2067"/>
      <c r="BG51" s="2059"/>
      <c r="BH51" s="2028">
        <f>BF51+BG51*1</f>
        <v>0</v>
      </c>
      <c r="BI51" s="3284">
        <f t="shared" si="75"/>
        <v>0</v>
      </c>
      <c r="BJ51" s="3874"/>
      <c r="BK51" s="2067"/>
      <c r="BL51" s="2059"/>
      <c r="BM51" s="2028">
        <f>BK51+BL51*1</f>
        <v>0</v>
      </c>
      <c r="BN51" s="3284">
        <f t="shared" si="76"/>
        <v>0</v>
      </c>
      <c r="BO51" s="3874"/>
      <c r="BP51" s="2067"/>
      <c r="BQ51" s="2059"/>
      <c r="BR51" s="2028">
        <f>BP51+BQ51*1</f>
        <v>0</v>
      </c>
      <c r="BS51" s="3284">
        <f t="shared" si="77"/>
        <v>0</v>
      </c>
      <c r="BT51" s="3874"/>
      <c r="BU51" s="2067"/>
      <c r="BV51" s="2059"/>
      <c r="BW51" s="2028">
        <f>BU51+BV51*1</f>
        <v>0</v>
      </c>
      <c r="BX51" s="3284">
        <f t="shared" si="78"/>
        <v>0</v>
      </c>
      <c r="BY51" s="3874"/>
      <c r="BZ51" s="2059">
        <f t="shared" ref="BZ51:CA52" si="79">G51+L51+R51+W51+AB51+AG51+AL51+AQ51+AV51+BA51+BF51+BK51+BP51+BU51</f>
        <v>0</v>
      </c>
      <c r="CA51" s="2059">
        <f t="shared" si="79"/>
        <v>0</v>
      </c>
      <c r="CB51" s="2028">
        <f>BZ51+CA51*1</f>
        <v>0</v>
      </c>
      <c r="CC51" s="1992">
        <f t="shared" si="71"/>
        <v>0</v>
      </c>
      <c r="CD51" s="1491"/>
      <c r="CE51" s="916"/>
      <c r="CF51" s="916"/>
    </row>
    <row r="52" spans="1:84" s="1584" customFormat="1" ht="14.4" customHeight="1" x14ac:dyDescent="0.25">
      <c r="A52" s="1583"/>
      <c r="B52" s="3909" t="s">
        <v>61</v>
      </c>
      <c r="C52" s="3850"/>
      <c r="D52" s="3869"/>
      <c r="E52" s="3869">
        <f>C52+D52</f>
        <v>0</v>
      </c>
      <c r="F52" s="3861" t="e">
        <f>E52/$E$89</f>
        <v>#DIV/0!</v>
      </c>
      <c r="G52" s="2059">
        <v>0</v>
      </c>
      <c r="H52" s="2059">
        <v>0</v>
      </c>
      <c r="I52" s="2028">
        <v>0</v>
      </c>
      <c r="J52" s="1602">
        <v>0</v>
      </c>
      <c r="K52" s="1602"/>
      <c r="L52" s="2059">
        <v>0</v>
      </c>
      <c r="M52" s="2059">
        <v>0</v>
      </c>
      <c r="N52" s="2028">
        <f>L52+M52*1</f>
        <v>0</v>
      </c>
      <c r="O52" s="3284">
        <f t="shared" si="6"/>
        <v>0</v>
      </c>
      <c r="P52" s="3862"/>
      <c r="Q52" s="1736"/>
      <c r="R52" s="2059"/>
      <c r="S52" s="2059"/>
      <c r="T52" s="2028">
        <f>R52+S52*1</f>
        <v>0</v>
      </c>
      <c r="U52" s="3284">
        <f>T52/$T$89</f>
        <v>0</v>
      </c>
      <c r="V52" s="3904"/>
      <c r="W52" s="2059"/>
      <c r="X52" s="2059"/>
      <c r="Y52" s="2028">
        <f>W52+X52*1</f>
        <v>0</v>
      </c>
      <c r="Z52" s="3284">
        <f t="shared" si="46"/>
        <v>0</v>
      </c>
      <c r="AA52" s="3862"/>
      <c r="AB52" s="2059"/>
      <c r="AC52" s="2059"/>
      <c r="AD52" s="2028">
        <f>AB52+AC52*1</f>
        <v>0</v>
      </c>
      <c r="AE52" s="3284">
        <f t="shared" si="47"/>
        <v>0</v>
      </c>
      <c r="AF52" s="3862"/>
      <c r="AG52" s="2059"/>
      <c r="AH52" s="2059"/>
      <c r="AI52" s="2028">
        <f>AG52+AH52*1</f>
        <v>0</v>
      </c>
      <c r="AJ52" s="3284" t="e">
        <f t="shared" si="7"/>
        <v>#DIV/0!</v>
      </c>
      <c r="AK52" s="3862"/>
      <c r="AL52" s="2059"/>
      <c r="AM52" s="2059"/>
      <c r="AN52" s="2028">
        <f>AL52+AM52*1</f>
        <v>0</v>
      </c>
      <c r="AO52" s="3284">
        <f t="shared" si="8"/>
        <v>0</v>
      </c>
      <c r="AP52" s="3862"/>
      <c r="AQ52" s="2067"/>
      <c r="AR52" s="2059"/>
      <c r="AS52" s="2028">
        <f>AQ52+AR52*1</f>
        <v>0</v>
      </c>
      <c r="AT52" s="3284" t="e">
        <f t="shared" si="72"/>
        <v>#DIV/0!</v>
      </c>
      <c r="AU52" s="2062"/>
      <c r="AV52" s="2067"/>
      <c r="AW52" s="2059"/>
      <c r="AX52" s="2028">
        <f>AV52+AW52*1</f>
        <v>0</v>
      </c>
      <c r="AY52" s="3284">
        <f t="shared" si="73"/>
        <v>0</v>
      </c>
      <c r="AZ52" s="2062"/>
      <c r="BA52" s="2067"/>
      <c r="BB52" s="2059"/>
      <c r="BC52" s="2028">
        <f>BA52+BB52*1</f>
        <v>0</v>
      </c>
      <c r="BD52" s="3284">
        <f t="shared" si="74"/>
        <v>0</v>
      </c>
      <c r="BE52" s="2062"/>
      <c r="BF52" s="2067"/>
      <c r="BG52" s="2059"/>
      <c r="BH52" s="2028">
        <f>BF52+BG52*1</f>
        <v>0</v>
      </c>
      <c r="BI52" s="3284">
        <f t="shared" si="75"/>
        <v>0</v>
      </c>
      <c r="BJ52" s="2062"/>
      <c r="BK52" s="2067"/>
      <c r="BL52" s="2059"/>
      <c r="BM52" s="2028">
        <f>BK52+BL52*1</f>
        <v>0</v>
      </c>
      <c r="BN52" s="3284">
        <f t="shared" si="76"/>
        <v>0</v>
      </c>
      <c r="BO52" s="2062"/>
      <c r="BP52" s="2067"/>
      <c r="BQ52" s="2059"/>
      <c r="BR52" s="2028">
        <f>BP52+BQ52*1</f>
        <v>0</v>
      </c>
      <c r="BS52" s="3284">
        <f t="shared" si="77"/>
        <v>0</v>
      </c>
      <c r="BT52" s="2062"/>
      <c r="BU52" s="2067"/>
      <c r="BV52" s="2059"/>
      <c r="BW52" s="2028">
        <f>BU52+BV52*1</f>
        <v>0</v>
      </c>
      <c r="BX52" s="3284">
        <f t="shared" si="78"/>
        <v>0</v>
      </c>
      <c r="BY52" s="2062"/>
      <c r="BZ52" s="2059">
        <f t="shared" si="79"/>
        <v>0</v>
      </c>
      <c r="CA52" s="2059">
        <f t="shared" si="79"/>
        <v>0</v>
      </c>
      <c r="CB52" s="2028">
        <f>BZ52+CA52*1</f>
        <v>0</v>
      </c>
      <c r="CC52" s="3284">
        <f t="shared" si="71"/>
        <v>0</v>
      </c>
      <c r="CD52" s="3862"/>
      <c r="CE52" s="930"/>
      <c r="CF52" s="930"/>
    </row>
    <row r="53" spans="1:84" ht="14.4" customHeight="1" thickBot="1" x14ac:dyDescent="0.3">
      <c r="A53" s="1428"/>
      <c r="B53" s="3736"/>
      <c r="C53" s="2862"/>
      <c r="D53" s="2863"/>
      <c r="E53" s="3844"/>
      <c r="F53" s="3875"/>
      <c r="G53" s="2059"/>
      <c r="H53" s="2059"/>
      <c r="I53" s="3227"/>
      <c r="J53" s="1725"/>
      <c r="K53" s="1725"/>
      <c r="L53" s="2059"/>
      <c r="M53" s="2059"/>
      <c r="N53" s="3227"/>
      <c r="O53" s="3227"/>
      <c r="P53" s="3227"/>
      <c r="Q53" s="1737"/>
      <c r="R53" s="2059"/>
      <c r="S53" s="2059"/>
      <c r="T53" s="3227"/>
      <c r="U53" s="3227"/>
      <c r="V53" s="3227"/>
      <c r="W53" s="2059"/>
      <c r="X53" s="2059"/>
      <c r="Y53" s="3227"/>
      <c r="Z53" s="3227"/>
      <c r="AA53" s="3227"/>
      <c r="AB53" s="2059"/>
      <c r="AC53" s="2059"/>
      <c r="AD53" s="3227"/>
      <c r="AE53" s="3227"/>
      <c r="AF53" s="3227"/>
      <c r="AG53" s="2059"/>
      <c r="AH53" s="2059"/>
      <c r="AI53" s="3227"/>
      <c r="AJ53" s="3227"/>
      <c r="AK53" s="3227"/>
      <c r="AL53" s="2059"/>
      <c r="AM53" s="2059"/>
      <c r="AN53" s="3227"/>
      <c r="AO53" s="3227"/>
      <c r="AP53" s="3227"/>
      <c r="AQ53" s="2067"/>
      <c r="AR53" s="2059"/>
      <c r="AS53" s="3227"/>
      <c r="AT53" s="3227"/>
      <c r="AU53" s="3839"/>
      <c r="AV53" s="2067"/>
      <c r="AW53" s="2059"/>
      <c r="AX53" s="3227"/>
      <c r="AY53" s="3227"/>
      <c r="AZ53" s="3839"/>
      <c r="BA53" s="2067"/>
      <c r="BB53" s="2059"/>
      <c r="BC53" s="3227"/>
      <c r="BD53" s="3227"/>
      <c r="BE53" s="3839"/>
      <c r="BF53" s="2067"/>
      <c r="BG53" s="2059"/>
      <c r="BH53" s="3227"/>
      <c r="BI53" s="3227"/>
      <c r="BJ53" s="3839"/>
      <c r="BK53" s="2067"/>
      <c r="BL53" s="2059"/>
      <c r="BM53" s="3227"/>
      <c r="BN53" s="3227"/>
      <c r="BO53" s="3839"/>
      <c r="BP53" s="2067"/>
      <c r="BQ53" s="2059"/>
      <c r="BR53" s="3227"/>
      <c r="BS53" s="3227"/>
      <c r="BT53" s="3839"/>
      <c r="BU53" s="2067"/>
      <c r="BV53" s="2059"/>
      <c r="BW53" s="3227"/>
      <c r="BX53" s="3227"/>
      <c r="BY53" s="3839"/>
      <c r="BZ53" s="2059"/>
      <c r="CA53" s="2059"/>
      <c r="CB53" s="3227"/>
      <c r="CC53" s="3227"/>
      <c r="CD53" s="3227"/>
    </row>
    <row r="54" spans="1:84" ht="14.4" customHeight="1" thickBot="1" x14ac:dyDescent="0.3">
      <c r="A54" s="990"/>
      <c r="B54" s="1013" t="s">
        <v>1</v>
      </c>
      <c r="C54" s="1599">
        <f>SUM(C55:C71)</f>
        <v>0</v>
      </c>
      <c r="D54" s="1599">
        <f>SUM(D55:D71)</f>
        <v>0</v>
      </c>
      <c r="E54" s="843">
        <f>SUM(E55:E71)</f>
        <v>0</v>
      </c>
      <c r="F54" s="838" t="e">
        <f>E54/$E$89</f>
        <v>#DIV/0!</v>
      </c>
      <c r="G54" s="1599">
        <v>138304.07999999999</v>
      </c>
      <c r="H54" s="1599">
        <v>153225.25</v>
      </c>
      <c r="I54" s="1599">
        <v>291529.33</v>
      </c>
      <c r="J54" s="969">
        <v>3.6652279156133311E-2</v>
      </c>
      <c r="K54" s="969"/>
      <c r="L54" s="2031">
        <f>SUM(L55:L72)</f>
        <v>91195.19</v>
      </c>
      <c r="M54" s="2031">
        <f>SUM(M55:M72)</f>
        <v>33540.400000000001</v>
      </c>
      <c r="N54" s="2031">
        <f>SUM(N55:N72)</f>
        <v>124735.59</v>
      </c>
      <c r="O54" s="3318">
        <f t="shared" si="6"/>
        <v>3.3365049384001623E-2</v>
      </c>
      <c r="P54" s="2022"/>
      <c r="Q54" s="2566"/>
      <c r="R54" s="1599">
        <f>SUM(R55:R72)</f>
        <v>0</v>
      </c>
      <c r="S54" s="1599">
        <f>SUM(S55:S72)</f>
        <v>0</v>
      </c>
      <c r="T54" s="1599">
        <f>SUM(T55:T72)</f>
        <v>0</v>
      </c>
      <c r="U54" s="838">
        <f t="shared" ref="U54:U72" si="80">T54/$T$89</f>
        <v>0</v>
      </c>
      <c r="V54" s="1752"/>
      <c r="W54" s="2031">
        <f>SUM(W55:W72)</f>
        <v>0</v>
      </c>
      <c r="X54" s="2031">
        <f>SUM(X55:X72)</f>
        <v>0</v>
      </c>
      <c r="Y54" s="2031">
        <f>SUM(Y55:Y72)</f>
        <v>0</v>
      </c>
      <c r="Z54" s="3318">
        <f t="shared" ref="Z54:Z72" si="81">Y54/$Y$89</f>
        <v>0</v>
      </c>
      <c r="AA54" s="2022"/>
      <c r="AB54" s="2031">
        <f>SUM(AB55:AB72)</f>
        <v>0</v>
      </c>
      <c r="AC54" s="2031">
        <f>SUM(AC55:AC72)</f>
        <v>0</v>
      </c>
      <c r="AD54" s="2031">
        <f>SUM(AD55:AD72)</f>
        <v>0</v>
      </c>
      <c r="AE54" s="3318">
        <f t="shared" ref="AE54:AE72" si="82">AD54/$AD$89</f>
        <v>0</v>
      </c>
      <c r="AF54" s="2022"/>
      <c r="AG54" s="2031">
        <f>SUM(AG55:AG72)</f>
        <v>0</v>
      </c>
      <c r="AH54" s="2031">
        <f>SUM(AH55:AH72)</f>
        <v>0</v>
      </c>
      <c r="AI54" s="2031">
        <f>SUM(AI55:AI72)</f>
        <v>0</v>
      </c>
      <c r="AJ54" s="3318" t="e">
        <f t="shared" si="7"/>
        <v>#DIV/0!</v>
      </c>
      <c r="AK54" s="2022"/>
      <c r="AL54" s="2031">
        <f>SUM(AL55:AL72)</f>
        <v>0</v>
      </c>
      <c r="AM54" s="2031">
        <f>SUM(AM55:AM72)</f>
        <v>0</v>
      </c>
      <c r="AN54" s="2031">
        <f>SUM(AN55:AN72)</f>
        <v>0</v>
      </c>
      <c r="AO54" s="3318">
        <f t="shared" si="8"/>
        <v>0</v>
      </c>
      <c r="AP54" s="2022"/>
      <c r="AQ54" s="2031">
        <f>SUM(AQ55:AQ72)</f>
        <v>0</v>
      </c>
      <c r="AR54" s="2031">
        <f>SUM(AR55:AR72)</f>
        <v>0</v>
      </c>
      <c r="AS54" s="2031">
        <f>SUM(AS55:AS72)</f>
        <v>0</v>
      </c>
      <c r="AT54" s="3318" t="e">
        <f t="shared" ref="AT54:AT71" si="83">AS54/AS$89</f>
        <v>#DIV/0!</v>
      </c>
      <c r="AU54" s="2000"/>
      <c r="AV54" s="2031">
        <f>SUM(AV55:AV72)</f>
        <v>0</v>
      </c>
      <c r="AW54" s="2031">
        <f>SUM(AW55:AW72)</f>
        <v>0</v>
      </c>
      <c r="AX54" s="2031">
        <f>SUM(AX55:AX72)</f>
        <v>0</v>
      </c>
      <c r="AY54" s="3318">
        <f t="shared" ref="AY54:AY71" si="84">AX54/AX$89</f>
        <v>0</v>
      </c>
      <c r="AZ54" s="2000"/>
      <c r="BA54" s="2031">
        <f>SUM(BA55:BA72)</f>
        <v>0</v>
      </c>
      <c r="BB54" s="2031">
        <f>SUM(BB55:BB72)</f>
        <v>0</v>
      </c>
      <c r="BC54" s="2031">
        <f>SUM(BC55:BC72)</f>
        <v>0</v>
      </c>
      <c r="BD54" s="3318">
        <f t="shared" ref="BD54:BD71" si="85">BC54/BC$89</f>
        <v>0</v>
      </c>
      <c r="BE54" s="2000"/>
      <c r="BF54" s="2031">
        <f>SUM(BF55:BF72)</f>
        <v>0</v>
      </c>
      <c r="BG54" s="2031">
        <f>SUM(BG55:BG72)</f>
        <v>0</v>
      </c>
      <c r="BH54" s="2031">
        <f>SUM(BH55:BH72)</f>
        <v>0</v>
      </c>
      <c r="BI54" s="3318">
        <f t="shared" ref="BI54:BI71" si="86">BH54/BH$89</f>
        <v>0</v>
      </c>
      <c r="BJ54" s="2000"/>
      <c r="BK54" s="2031">
        <f>SUM(BK55:BK72)</f>
        <v>0</v>
      </c>
      <c r="BL54" s="2031">
        <f>SUM(BL55:BL72)</f>
        <v>0</v>
      </c>
      <c r="BM54" s="2031">
        <f>SUM(BM55:BM72)</f>
        <v>0</v>
      </c>
      <c r="BN54" s="3318">
        <f t="shared" ref="BN54:BN71" si="87">BM54/BM$89</f>
        <v>0</v>
      </c>
      <c r="BO54" s="2000"/>
      <c r="BP54" s="2031">
        <f>SUM(BP55:BP72)</f>
        <v>0</v>
      </c>
      <c r="BQ54" s="2031">
        <f>SUM(BQ55:BQ72)</f>
        <v>0</v>
      </c>
      <c r="BR54" s="2031">
        <f>SUM(BR55:BR72)</f>
        <v>0</v>
      </c>
      <c r="BS54" s="3318">
        <f t="shared" ref="BS54:BS71" si="88">BR54/BR$89</f>
        <v>0</v>
      </c>
      <c r="BT54" s="2000"/>
      <c r="BU54" s="2031">
        <f>SUM(BU55:BU72)</f>
        <v>0</v>
      </c>
      <c r="BV54" s="2031">
        <f>SUM(BV55:BV72)</f>
        <v>0</v>
      </c>
      <c r="BW54" s="2031">
        <f>SUM(BW55:BW72)</f>
        <v>0</v>
      </c>
      <c r="BX54" s="3318">
        <f t="shared" ref="BX54:BX71" si="89">BW54/BW$89</f>
        <v>0</v>
      </c>
      <c r="BY54" s="2000"/>
      <c r="BZ54" s="1599">
        <f>SUM(BZ55:BZ72)</f>
        <v>229499.27</v>
      </c>
      <c r="CA54" s="1599">
        <f>SUM(CA55:CA72)</f>
        <v>186765.65</v>
      </c>
      <c r="CB54" s="1599">
        <f>SUM(CB55:CB72)</f>
        <v>416264.92000000004</v>
      </c>
      <c r="CC54" s="838">
        <f t="shared" si="71"/>
        <v>1.2595444216713679E-2</v>
      </c>
      <c r="CD54" s="1703"/>
    </row>
    <row r="55" spans="1:84" ht="14.4" customHeight="1" x14ac:dyDescent="0.25">
      <c r="A55" s="1586"/>
      <c r="B55" s="1165" t="s">
        <v>77</v>
      </c>
      <c r="C55" s="1501"/>
      <c r="D55" s="1166"/>
      <c r="E55" s="2028">
        <f t="shared" ref="E55:E71" si="90">C55+D55</f>
        <v>0</v>
      </c>
      <c r="F55" s="1992" t="e">
        <f>E55/$E$89</f>
        <v>#DIV/0!</v>
      </c>
      <c r="G55" s="2061">
        <v>0</v>
      </c>
      <c r="H55" s="2061">
        <v>0</v>
      </c>
      <c r="I55" s="2028">
        <v>0</v>
      </c>
      <c r="J55" s="1992">
        <v>0</v>
      </c>
      <c r="K55" s="1992"/>
      <c r="L55" s="2061">
        <v>0</v>
      </c>
      <c r="M55" s="2061">
        <v>0</v>
      </c>
      <c r="N55" s="2028">
        <f t="shared" ref="N55:N71" si="91">L55+M55*1</f>
        <v>0</v>
      </c>
      <c r="O55" s="3284">
        <f t="shared" si="6"/>
        <v>0</v>
      </c>
      <c r="P55" s="3295"/>
      <c r="Q55" s="2002"/>
      <c r="R55" s="2061"/>
      <c r="S55" s="2061"/>
      <c r="T55" s="2028">
        <f t="shared" ref="T55:T71" si="92">R55+S55*1</f>
        <v>0</v>
      </c>
      <c r="U55" s="1992">
        <f t="shared" si="80"/>
        <v>0</v>
      </c>
      <c r="V55" s="1608"/>
      <c r="W55" s="2061"/>
      <c r="X55" s="2061"/>
      <c r="Y55" s="2028">
        <f t="shared" ref="Y55:Y71" si="93">W55+X55*1</f>
        <v>0</v>
      </c>
      <c r="Z55" s="3284">
        <f t="shared" si="81"/>
        <v>0</v>
      </c>
      <c r="AA55" s="3295"/>
      <c r="AB55" s="2061"/>
      <c r="AC55" s="2061"/>
      <c r="AD55" s="2028">
        <f t="shared" ref="AD55:AD71" si="94">AB55+AC55*1</f>
        <v>0</v>
      </c>
      <c r="AE55" s="3284">
        <f t="shared" si="82"/>
        <v>0</v>
      </c>
      <c r="AF55" s="3295"/>
      <c r="AG55" s="2061"/>
      <c r="AH55" s="2061"/>
      <c r="AI55" s="2028">
        <f t="shared" ref="AI55:AI71" si="95">AG55+AH55*1</f>
        <v>0</v>
      </c>
      <c r="AJ55" s="3284" t="e">
        <f t="shared" si="7"/>
        <v>#DIV/0!</v>
      </c>
      <c r="AK55" s="3295"/>
      <c r="AL55" s="2061"/>
      <c r="AM55" s="2061"/>
      <c r="AN55" s="2028">
        <f t="shared" ref="AN55:AN71" si="96">AL55+AM55*1</f>
        <v>0</v>
      </c>
      <c r="AO55" s="3284">
        <f t="shared" si="8"/>
        <v>0</v>
      </c>
      <c r="AP55" s="3295"/>
      <c r="AQ55" s="2027"/>
      <c r="AR55" s="2061"/>
      <c r="AS55" s="2028">
        <f t="shared" ref="AS55:AS62" si="97">AQ55+AR55*1</f>
        <v>0</v>
      </c>
      <c r="AT55" s="3284" t="e">
        <f t="shared" si="83"/>
        <v>#DIV/0!</v>
      </c>
      <c r="AU55" s="2062"/>
      <c r="AV55" s="2027"/>
      <c r="AW55" s="2061"/>
      <c r="AX55" s="2028">
        <f t="shared" ref="AX55:AX62" si="98">AV55+AW55*1</f>
        <v>0</v>
      </c>
      <c r="AY55" s="3284">
        <f t="shared" si="84"/>
        <v>0</v>
      </c>
      <c r="AZ55" s="2062"/>
      <c r="BA55" s="2027"/>
      <c r="BB55" s="2061"/>
      <c r="BC55" s="2028">
        <f t="shared" ref="BC55:BC62" si="99">BA55+BB55*1</f>
        <v>0</v>
      </c>
      <c r="BD55" s="3284">
        <f t="shared" si="85"/>
        <v>0</v>
      </c>
      <c r="BE55" s="2062"/>
      <c r="BF55" s="2027"/>
      <c r="BG55" s="2061"/>
      <c r="BH55" s="2028">
        <f t="shared" ref="BH55:BH62" si="100">BF55+BG55*1</f>
        <v>0</v>
      </c>
      <c r="BI55" s="3284">
        <f t="shared" si="86"/>
        <v>0</v>
      </c>
      <c r="BJ55" s="2062"/>
      <c r="BK55" s="2027"/>
      <c r="BL55" s="2061"/>
      <c r="BM55" s="2028">
        <f t="shared" ref="BM55:BM62" si="101">BK55+BL55*1</f>
        <v>0</v>
      </c>
      <c r="BN55" s="3284">
        <f t="shared" si="87"/>
        <v>0</v>
      </c>
      <c r="BO55" s="2062"/>
      <c r="BP55" s="2027"/>
      <c r="BQ55" s="2061"/>
      <c r="BR55" s="2028">
        <f t="shared" ref="BR55:BR62" si="102">BP55+BQ55*1</f>
        <v>0</v>
      </c>
      <c r="BS55" s="3284">
        <f t="shared" si="88"/>
        <v>0</v>
      </c>
      <c r="BT55" s="2062"/>
      <c r="BU55" s="2027"/>
      <c r="BV55" s="2061"/>
      <c r="BW55" s="2028">
        <f t="shared" ref="BW55:BW62" si="103">BU55+BV55*1</f>
        <v>0</v>
      </c>
      <c r="BX55" s="3284">
        <f t="shared" si="89"/>
        <v>0</v>
      </c>
      <c r="BY55" s="2062"/>
      <c r="BZ55" s="2059">
        <f t="shared" ref="BZ55:CA71" si="104">G55+L55+R55+W55+AB55+AG55+AL55+AQ55+AV55+BA55+BF55+BK55+BP55+BU55</f>
        <v>0</v>
      </c>
      <c r="CA55" s="2059">
        <f t="shared" si="104"/>
        <v>0</v>
      </c>
      <c r="CB55" s="2028">
        <f t="shared" ref="CB55:CB71" si="105">BZ55+CA55*1</f>
        <v>0</v>
      </c>
      <c r="CC55" s="1992">
        <f t="shared" si="71"/>
        <v>0</v>
      </c>
      <c r="CD55" s="1449"/>
    </row>
    <row r="56" spans="1:84" ht="14.4" customHeight="1" x14ac:dyDescent="0.25">
      <c r="A56" s="1586"/>
      <c r="B56" s="3903" t="s">
        <v>76</v>
      </c>
      <c r="C56" s="3850"/>
      <c r="D56" s="3876"/>
      <c r="E56" s="3470">
        <f t="shared" si="90"/>
        <v>0</v>
      </c>
      <c r="F56" s="3284" t="e">
        <f t="shared" ref="F56:F72" si="106">E56/$E$89</f>
        <v>#DIV/0!</v>
      </c>
      <c r="G56" s="2061">
        <v>0</v>
      </c>
      <c r="H56" s="2061">
        <v>0</v>
      </c>
      <c r="I56" s="2028">
        <v>0</v>
      </c>
      <c r="J56" s="1992">
        <v>0</v>
      </c>
      <c r="K56" s="1992"/>
      <c r="L56" s="2061">
        <v>0</v>
      </c>
      <c r="M56" s="2061">
        <v>0</v>
      </c>
      <c r="N56" s="2028">
        <f t="shared" si="91"/>
        <v>0</v>
      </c>
      <c r="O56" s="3284">
        <f t="shared" si="6"/>
        <v>0</v>
      </c>
      <c r="P56" s="3295"/>
      <c r="Q56" s="2002"/>
      <c r="R56" s="2061"/>
      <c r="S56" s="2061"/>
      <c r="T56" s="2028">
        <f t="shared" si="92"/>
        <v>0</v>
      </c>
      <c r="U56" s="3284">
        <f t="shared" si="80"/>
        <v>0</v>
      </c>
      <c r="V56" s="3296"/>
      <c r="W56" s="2061"/>
      <c r="X56" s="2061"/>
      <c r="Y56" s="2028">
        <f t="shared" si="93"/>
        <v>0</v>
      </c>
      <c r="Z56" s="3284">
        <f t="shared" si="81"/>
        <v>0</v>
      </c>
      <c r="AA56" s="3295"/>
      <c r="AB56" s="2061"/>
      <c r="AC56" s="2061"/>
      <c r="AD56" s="2028">
        <f t="shared" si="94"/>
        <v>0</v>
      </c>
      <c r="AE56" s="3284">
        <f t="shared" si="82"/>
        <v>0</v>
      </c>
      <c r="AF56" s="3295"/>
      <c r="AG56" s="2061"/>
      <c r="AH56" s="2061"/>
      <c r="AI56" s="2028">
        <f t="shared" si="95"/>
        <v>0</v>
      </c>
      <c r="AJ56" s="3284" t="e">
        <f t="shared" si="7"/>
        <v>#DIV/0!</v>
      </c>
      <c r="AK56" s="3295"/>
      <c r="AL56" s="2061"/>
      <c r="AM56" s="2061"/>
      <c r="AN56" s="2028">
        <f t="shared" si="96"/>
        <v>0</v>
      </c>
      <c r="AO56" s="3284">
        <f t="shared" si="8"/>
        <v>0</v>
      </c>
      <c r="AP56" s="3295"/>
      <c r="AQ56" s="2027"/>
      <c r="AR56" s="2061"/>
      <c r="AS56" s="2028">
        <f t="shared" si="97"/>
        <v>0</v>
      </c>
      <c r="AT56" s="3284" t="e">
        <f t="shared" si="83"/>
        <v>#DIV/0!</v>
      </c>
      <c r="AU56" s="2062"/>
      <c r="AV56" s="2027"/>
      <c r="AW56" s="2061"/>
      <c r="AX56" s="2028">
        <f t="shared" si="98"/>
        <v>0</v>
      </c>
      <c r="AY56" s="3284">
        <f t="shared" si="84"/>
        <v>0</v>
      </c>
      <c r="AZ56" s="2062"/>
      <c r="BA56" s="2027"/>
      <c r="BB56" s="2061"/>
      <c r="BC56" s="2028">
        <f t="shared" si="99"/>
        <v>0</v>
      </c>
      <c r="BD56" s="3284">
        <f t="shared" si="85"/>
        <v>0</v>
      </c>
      <c r="BE56" s="2062"/>
      <c r="BF56" s="2027"/>
      <c r="BG56" s="2061"/>
      <c r="BH56" s="2028">
        <f t="shared" si="100"/>
        <v>0</v>
      </c>
      <c r="BI56" s="3284">
        <f t="shared" si="86"/>
        <v>0</v>
      </c>
      <c r="BJ56" s="2062"/>
      <c r="BK56" s="2027"/>
      <c r="BL56" s="2061"/>
      <c r="BM56" s="2028">
        <f t="shared" si="101"/>
        <v>0</v>
      </c>
      <c r="BN56" s="3284">
        <f t="shared" si="87"/>
        <v>0</v>
      </c>
      <c r="BO56" s="2062"/>
      <c r="BP56" s="2027"/>
      <c r="BQ56" s="2061"/>
      <c r="BR56" s="2028">
        <f t="shared" si="102"/>
        <v>0</v>
      </c>
      <c r="BS56" s="3284">
        <f t="shared" si="88"/>
        <v>0</v>
      </c>
      <c r="BT56" s="2062"/>
      <c r="BU56" s="2027"/>
      <c r="BV56" s="2061"/>
      <c r="BW56" s="2028">
        <f t="shared" si="103"/>
        <v>0</v>
      </c>
      <c r="BX56" s="3284">
        <f t="shared" si="89"/>
        <v>0</v>
      </c>
      <c r="BY56" s="2062"/>
      <c r="BZ56" s="2059">
        <f t="shared" si="104"/>
        <v>0</v>
      </c>
      <c r="CA56" s="2059">
        <f t="shared" si="104"/>
        <v>0</v>
      </c>
      <c r="CB56" s="2028">
        <f t="shared" si="105"/>
        <v>0</v>
      </c>
      <c r="CC56" s="3284">
        <f t="shared" si="71"/>
        <v>0</v>
      </c>
      <c r="CD56" s="3295"/>
    </row>
    <row r="57" spans="1:84" ht="14.4" customHeight="1" x14ac:dyDescent="0.25">
      <c r="A57" s="1586"/>
      <c r="B57" s="3912" t="s">
        <v>68</v>
      </c>
      <c r="C57" s="3850"/>
      <c r="D57" s="3876"/>
      <c r="E57" s="3470">
        <f t="shared" si="90"/>
        <v>0</v>
      </c>
      <c r="F57" s="3284" t="e">
        <f t="shared" si="106"/>
        <v>#DIV/0!</v>
      </c>
      <c r="G57" s="2061">
        <v>0</v>
      </c>
      <c r="H57" s="2061">
        <v>0</v>
      </c>
      <c r="I57" s="2028">
        <v>0</v>
      </c>
      <c r="J57" s="1992">
        <v>0</v>
      </c>
      <c r="K57" s="1992"/>
      <c r="L57" s="2061">
        <v>0</v>
      </c>
      <c r="M57" s="2061">
        <v>0</v>
      </c>
      <c r="N57" s="2028">
        <f t="shared" si="91"/>
        <v>0</v>
      </c>
      <c r="O57" s="3284">
        <f t="shared" si="6"/>
        <v>0</v>
      </c>
      <c r="P57" s="3894"/>
      <c r="Q57" s="2002"/>
      <c r="R57" s="2061"/>
      <c r="S57" s="2061"/>
      <c r="T57" s="2028">
        <f t="shared" si="92"/>
        <v>0</v>
      </c>
      <c r="U57" s="3284">
        <f t="shared" si="80"/>
        <v>0</v>
      </c>
      <c r="V57" s="3296"/>
      <c r="W57" s="2061"/>
      <c r="X57" s="2061"/>
      <c r="Y57" s="2028">
        <f t="shared" si="93"/>
        <v>0</v>
      </c>
      <c r="Z57" s="3284">
        <f t="shared" si="81"/>
        <v>0</v>
      </c>
      <c r="AA57" s="3894"/>
      <c r="AB57" s="2061"/>
      <c r="AC57" s="2061"/>
      <c r="AD57" s="2028">
        <f t="shared" si="94"/>
        <v>0</v>
      </c>
      <c r="AE57" s="3284">
        <f t="shared" si="82"/>
        <v>0</v>
      </c>
      <c r="AF57" s="3894"/>
      <c r="AG57" s="2061"/>
      <c r="AH57" s="2061"/>
      <c r="AI57" s="2028">
        <f t="shared" si="95"/>
        <v>0</v>
      </c>
      <c r="AJ57" s="3284" t="e">
        <f t="shared" si="7"/>
        <v>#DIV/0!</v>
      </c>
      <c r="AK57" s="3894"/>
      <c r="AL57" s="2061"/>
      <c r="AM57" s="2061"/>
      <c r="AN57" s="2028">
        <f t="shared" si="96"/>
        <v>0</v>
      </c>
      <c r="AO57" s="3284">
        <f t="shared" si="8"/>
        <v>0</v>
      </c>
      <c r="AP57" s="3894"/>
      <c r="AQ57" s="2027"/>
      <c r="AR57" s="2061"/>
      <c r="AS57" s="2028">
        <f t="shared" si="97"/>
        <v>0</v>
      </c>
      <c r="AT57" s="3284" t="e">
        <f t="shared" si="83"/>
        <v>#DIV/0!</v>
      </c>
      <c r="AU57" s="2062"/>
      <c r="AV57" s="2027"/>
      <c r="AW57" s="2061"/>
      <c r="AX57" s="2028">
        <f t="shared" si="98"/>
        <v>0</v>
      </c>
      <c r="AY57" s="3284">
        <f t="shared" si="84"/>
        <v>0</v>
      </c>
      <c r="AZ57" s="2062"/>
      <c r="BA57" s="2027"/>
      <c r="BB57" s="2061"/>
      <c r="BC57" s="2028">
        <f t="shared" si="99"/>
        <v>0</v>
      </c>
      <c r="BD57" s="3284">
        <f t="shared" si="85"/>
        <v>0</v>
      </c>
      <c r="BE57" s="2062"/>
      <c r="BF57" s="2027"/>
      <c r="BG57" s="2061"/>
      <c r="BH57" s="2028">
        <f t="shared" si="100"/>
        <v>0</v>
      </c>
      <c r="BI57" s="3284">
        <f t="shared" si="86"/>
        <v>0</v>
      </c>
      <c r="BJ57" s="2062"/>
      <c r="BK57" s="2027"/>
      <c r="BL57" s="2061"/>
      <c r="BM57" s="2028">
        <f t="shared" si="101"/>
        <v>0</v>
      </c>
      <c r="BN57" s="3284">
        <f t="shared" si="87"/>
        <v>0</v>
      </c>
      <c r="BO57" s="2062"/>
      <c r="BP57" s="2027"/>
      <c r="BQ57" s="2061"/>
      <c r="BR57" s="2028">
        <f t="shared" si="102"/>
        <v>0</v>
      </c>
      <c r="BS57" s="3284">
        <f t="shared" si="88"/>
        <v>0</v>
      </c>
      <c r="BT57" s="2062"/>
      <c r="BU57" s="2027"/>
      <c r="BV57" s="2061"/>
      <c r="BW57" s="2028">
        <f t="shared" si="103"/>
        <v>0</v>
      </c>
      <c r="BX57" s="3284">
        <f t="shared" si="89"/>
        <v>0</v>
      </c>
      <c r="BY57" s="2062"/>
      <c r="BZ57" s="2059">
        <f t="shared" si="104"/>
        <v>0</v>
      </c>
      <c r="CA57" s="2059">
        <f t="shared" si="104"/>
        <v>0</v>
      </c>
      <c r="CB57" s="2028">
        <f t="shared" si="105"/>
        <v>0</v>
      </c>
      <c r="CC57" s="3284">
        <f t="shared" si="71"/>
        <v>0</v>
      </c>
      <c r="CD57" s="3295"/>
    </row>
    <row r="58" spans="1:84" ht="14.4" customHeight="1" x14ac:dyDescent="0.25">
      <c r="A58" s="1586"/>
      <c r="B58" s="3912" t="s">
        <v>67</v>
      </c>
      <c r="C58" s="3850"/>
      <c r="D58" s="3876"/>
      <c r="E58" s="3470">
        <f t="shared" si="90"/>
        <v>0</v>
      </c>
      <c r="F58" s="3284" t="e">
        <f t="shared" si="106"/>
        <v>#DIV/0!</v>
      </c>
      <c r="G58" s="2061">
        <v>53935</v>
      </c>
      <c r="H58" s="2061">
        <v>133398</v>
      </c>
      <c r="I58" s="2028">
        <v>187333</v>
      </c>
      <c r="J58" s="1992">
        <v>2.3552283439734593E-2</v>
      </c>
      <c r="K58" s="1992"/>
      <c r="L58" s="2061">
        <v>43734</v>
      </c>
      <c r="M58" s="2061">
        <v>29213</v>
      </c>
      <c r="N58" s="2028">
        <f t="shared" si="91"/>
        <v>72947</v>
      </c>
      <c r="O58" s="3284">
        <f t="shared" si="6"/>
        <v>1.9512316071257339E-2</v>
      </c>
      <c r="P58" s="3894"/>
      <c r="Q58" s="2002"/>
      <c r="R58" s="2061"/>
      <c r="S58" s="2061"/>
      <c r="T58" s="2028">
        <f t="shared" si="92"/>
        <v>0</v>
      </c>
      <c r="U58" s="3284">
        <f t="shared" si="80"/>
        <v>0</v>
      </c>
      <c r="V58" s="3541"/>
      <c r="W58" s="2061"/>
      <c r="X58" s="2061"/>
      <c r="Y58" s="2028">
        <f t="shared" si="93"/>
        <v>0</v>
      </c>
      <c r="Z58" s="3284">
        <f t="shared" si="81"/>
        <v>0</v>
      </c>
      <c r="AA58" s="3894"/>
      <c r="AB58" s="2061"/>
      <c r="AC58" s="2061"/>
      <c r="AD58" s="2028">
        <f t="shared" si="94"/>
        <v>0</v>
      </c>
      <c r="AE58" s="3284">
        <f t="shared" si="82"/>
        <v>0</v>
      </c>
      <c r="AF58" s="3894"/>
      <c r="AG58" s="2061"/>
      <c r="AH58" s="2061"/>
      <c r="AI58" s="2028">
        <f t="shared" si="95"/>
        <v>0</v>
      </c>
      <c r="AJ58" s="3284" t="e">
        <f t="shared" si="7"/>
        <v>#DIV/0!</v>
      </c>
      <c r="AK58" s="3894"/>
      <c r="AL58" s="2061"/>
      <c r="AM58" s="2061"/>
      <c r="AN58" s="2028">
        <f t="shared" si="96"/>
        <v>0</v>
      </c>
      <c r="AO58" s="3284">
        <f t="shared" si="8"/>
        <v>0</v>
      </c>
      <c r="AP58" s="3894"/>
      <c r="AQ58" s="2027"/>
      <c r="AR58" s="2061"/>
      <c r="AS58" s="2028">
        <f t="shared" si="97"/>
        <v>0</v>
      </c>
      <c r="AT58" s="3284" t="e">
        <f t="shared" si="83"/>
        <v>#DIV/0!</v>
      </c>
      <c r="AU58" s="2062"/>
      <c r="AV58" s="2027"/>
      <c r="AW58" s="2061"/>
      <c r="AX58" s="2028">
        <f t="shared" si="98"/>
        <v>0</v>
      </c>
      <c r="AY58" s="3284">
        <f t="shared" si="84"/>
        <v>0</v>
      </c>
      <c r="AZ58" s="2062"/>
      <c r="BA58" s="2027"/>
      <c r="BB58" s="2061"/>
      <c r="BC58" s="2028">
        <f t="shared" si="99"/>
        <v>0</v>
      </c>
      <c r="BD58" s="3284">
        <f t="shared" si="85"/>
        <v>0</v>
      </c>
      <c r="BE58" s="2062"/>
      <c r="BF58" s="2027"/>
      <c r="BG58" s="2061"/>
      <c r="BH58" s="2028">
        <f t="shared" si="100"/>
        <v>0</v>
      </c>
      <c r="BI58" s="3284">
        <f t="shared" si="86"/>
        <v>0</v>
      </c>
      <c r="BJ58" s="2062"/>
      <c r="BK58" s="2027"/>
      <c r="BL58" s="2061"/>
      <c r="BM58" s="2028">
        <f t="shared" si="101"/>
        <v>0</v>
      </c>
      <c r="BN58" s="3284">
        <f t="shared" si="87"/>
        <v>0</v>
      </c>
      <c r="BO58" s="2062"/>
      <c r="BP58" s="2027"/>
      <c r="BQ58" s="2061"/>
      <c r="BR58" s="2028">
        <f t="shared" si="102"/>
        <v>0</v>
      </c>
      <c r="BS58" s="3284">
        <f t="shared" si="88"/>
        <v>0</v>
      </c>
      <c r="BT58" s="2062"/>
      <c r="BU58" s="2027"/>
      <c r="BV58" s="2061"/>
      <c r="BW58" s="2028">
        <f t="shared" si="103"/>
        <v>0</v>
      </c>
      <c r="BX58" s="3284">
        <f t="shared" si="89"/>
        <v>0</v>
      </c>
      <c r="BY58" s="2062"/>
      <c r="BZ58" s="2059">
        <f t="shared" si="104"/>
        <v>97669</v>
      </c>
      <c r="CA58" s="2059">
        <f t="shared" si="104"/>
        <v>162611</v>
      </c>
      <c r="CB58" s="2028">
        <f t="shared" si="105"/>
        <v>260280</v>
      </c>
      <c r="CC58" s="3284">
        <f t="shared" si="71"/>
        <v>7.8756149346580449E-3</v>
      </c>
      <c r="CD58" s="3295"/>
    </row>
    <row r="59" spans="1:84" ht="14.4" customHeight="1" x14ac:dyDescent="0.25">
      <c r="A59" s="1586"/>
      <c r="B59" s="3912" t="s">
        <v>66</v>
      </c>
      <c r="C59" s="3850"/>
      <c r="D59" s="3876"/>
      <c r="E59" s="3470">
        <f t="shared" si="90"/>
        <v>0</v>
      </c>
      <c r="F59" s="3284" t="e">
        <f t="shared" si="106"/>
        <v>#DIV/0!</v>
      </c>
      <c r="G59" s="2061">
        <v>13065</v>
      </c>
      <c r="H59" s="2061">
        <v>0</v>
      </c>
      <c r="I59" s="2028">
        <v>13065</v>
      </c>
      <c r="J59" s="1992">
        <v>1.6425861067731391E-3</v>
      </c>
      <c r="K59" s="1992"/>
      <c r="L59" s="2061">
        <v>5749.45</v>
      </c>
      <c r="M59" s="2061">
        <v>0</v>
      </c>
      <c r="N59" s="2028">
        <f t="shared" si="91"/>
        <v>5749.45</v>
      </c>
      <c r="O59" s="3284">
        <f t="shared" si="6"/>
        <v>1.5378985514947908E-3</v>
      </c>
      <c r="P59" s="3894"/>
      <c r="Q59" s="2002"/>
      <c r="R59" s="2061"/>
      <c r="S59" s="2061"/>
      <c r="T59" s="2028">
        <f t="shared" si="92"/>
        <v>0</v>
      </c>
      <c r="U59" s="3284">
        <f t="shared" si="80"/>
        <v>0</v>
      </c>
      <c r="V59" s="3296"/>
      <c r="W59" s="2061"/>
      <c r="X59" s="2061"/>
      <c r="Y59" s="2028">
        <f t="shared" si="93"/>
        <v>0</v>
      </c>
      <c r="Z59" s="3284">
        <f t="shared" si="81"/>
        <v>0</v>
      </c>
      <c r="AA59" s="3894"/>
      <c r="AB59" s="2061"/>
      <c r="AC59" s="2061"/>
      <c r="AD59" s="2028">
        <f t="shared" si="94"/>
        <v>0</v>
      </c>
      <c r="AE59" s="3284">
        <f t="shared" si="82"/>
        <v>0</v>
      </c>
      <c r="AF59" s="3894"/>
      <c r="AG59" s="2061"/>
      <c r="AH59" s="2061"/>
      <c r="AI59" s="2028">
        <f t="shared" si="95"/>
        <v>0</v>
      </c>
      <c r="AJ59" s="3284" t="e">
        <f t="shared" si="7"/>
        <v>#DIV/0!</v>
      </c>
      <c r="AK59" s="3894"/>
      <c r="AL59" s="2061"/>
      <c r="AM59" s="2061"/>
      <c r="AN59" s="2028">
        <f t="shared" si="96"/>
        <v>0</v>
      </c>
      <c r="AO59" s="3284">
        <f t="shared" si="8"/>
        <v>0</v>
      </c>
      <c r="AP59" s="3894"/>
      <c r="AQ59" s="2027"/>
      <c r="AR59" s="2061"/>
      <c r="AS59" s="2028">
        <f t="shared" si="97"/>
        <v>0</v>
      </c>
      <c r="AT59" s="3284" t="e">
        <f t="shared" si="83"/>
        <v>#DIV/0!</v>
      </c>
      <c r="AU59" s="2062"/>
      <c r="AV59" s="2027"/>
      <c r="AW59" s="2061"/>
      <c r="AX59" s="2028">
        <f t="shared" si="98"/>
        <v>0</v>
      </c>
      <c r="AY59" s="3284">
        <f t="shared" si="84"/>
        <v>0</v>
      </c>
      <c r="AZ59" s="2062"/>
      <c r="BA59" s="2027"/>
      <c r="BB59" s="2061"/>
      <c r="BC59" s="2028">
        <f t="shared" si="99"/>
        <v>0</v>
      </c>
      <c r="BD59" s="3284">
        <f t="shared" si="85"/>
        <v>0</v>
      </c>
      <c r="BE59" s="2062"/>
      <c r="BF59" s="2027"/>
      <c r="BG59" s="2061"/>
      <c r="BH59" s="2028">
        <f t="shared" si="100"/>
        <v>0</v>
      </c>
      <c r="BI59" s="3284">
        <f t="shared" si="86"/>
        <v>0</v>
      </c>
      <c r="BJ59" s="2062"/>
      <c r="BK59" s="2027"/>
      <c r="BL59" s="2061"/>
      <c r="BM59" s="2028">
        <f t="shared" si="101"/>
        <v>0</v>
      </c>
      <c r="BN59" s="3284">
        <f t="shared" si="87"/>
        <v>0</v>
      </c>
      <c r="BO59" s="2062"/>
      <c r="BP59" s="2027"/>
      <c r="BQ59" s="2061"/>
      <c r="BR59" s="2028">
        <f t="shared" si="102"/>
        <v>0</v>
      </c>
      <c r="BS59" s="3284">
        <f t="shared" si="88"/>
        <v>0</v>
      </c>
      <c r="BT59" s="2062"/>
      <c r="BU59" s="2027"/>
      <c r="BV59" s="2061"/>
      <c r="BW59" s="2028">
        <f t="shared" si="103"/>
        <v>0</v>
      </c>
      <c r="BX59" s="3284">
        <f t="shared" si="89"/>
        <v>0</v>
      </c>
      <c r="BY59" s="2062"/>
      <c r="BZ59" s="2059">
        <f t="shared" si="104"/>
        <v>18814.45</v>
      </c>
      <c r="CA59" s="2059">
        <f t="shared" si="104"/>
        <v>0</v>
      </c>
      <c r="CB59" s="2028">
        <f t="shared" si="105"/>
        <v>18814.45</v>
      </c>
      <c r="CC59" s="3284">
        <f t="shared" si="71"/>
        <v>5.6929216000990105E-4</v>
      </c>
      <c r="CD59" s="3295"/>
    </row>
    <row r="60" spans="1:84" ht="14.4" customHeight="1" x14ac:dyDescent="0.25">
      <c r="A60" s="1586"/>
      <c r="B60" s="3912" t="s">
        <v>65</v>
      </c>
      <c r="C60" s="3850"/>
      <c r="D60" s="3876"/>
      <c r="E60" s="3470">
        <f t="shared" si="90"/>
        <v>0</v>
      </c>
      <c r="F60" s="3284" t="e">
        <f t="shared" si="106"/>
        <v>#DIV/0!</v>
      </c>
      <c r="G60" s="2061">
        <v>14740</v>
      </c>
      <c r="H60" s="2061">
        <v>0</v>
      </c>
      <c r="I60" s="2028">
        <v>14740</v>
      </c>
      <c r="J60" s="1992">
        <v>1.8531740691799517E-3</v>
      </c>
      <c r="K60" s="1992"/>
      <c r="L60" s="2061">
        <v>6486.5599999999995</v>
      </c>
      <c r="M60" s="2061">
        <v>0</v>
      </c>
      <c r="N60" s="2028">
        <f t="shared" si="91"/>
        <v>6486.5599999999995</v>
      </c>
      <c r="O60" s="3284">
        <f t="shared" si="6"/>
        <v>1.7350653068004852E-3</v>
      </c>
      <c r="P60" s="3894"/>
      <c r="Q60" s="2002"/>
      <c r="R60" s="2061"/>
      <c r="S60" s="2061"/>
      <c r="T60" s="2028">
        <f t="shared" si="92"/>
        <v>0</v>
      </c>
      <c r="U60" s="3284">
        <f t="shared" si="80"/>
        <v>0</v>
      </c>
      <c r="V60" s="3296"/>
      <c r="W60" s="2061"/>
      <c r="X60" s="2061"/>
      <c r="Y60" s="2028">
        <f t="shared" si="93"/>
        <v>0</v>
      </c>
      <c r="Z60" s="3284">
        <f t="shared" si="81"/>
        <v>0</v>
      </c>
      <c r="AA60" s="3894"/>
      <c r="AB60" s="2061"/>
      <c r="AC60" s="2061"/>
      <c r="AD60" s="2028">
        <f t="shared" si="94"/>
        <v>0</v>
      </c>
      <c r="AE60" s="3284">
        <f t="shared" si="82"/>
        <v>0</v>
      </c>
      <c r="AF60" s="3894"/>
      <c r="AG60" s="2061"/>
      <c r="AH60" s="2061"/>
      <c r="AI60" s="2028">
        <f t="shared" si="95"/>
        <v>0</v>
      </c>
      <c r="AJ60" s="3284" t="e">
        <f t="shared" si="7"/>
        <v>#DIV/0!</v>
      </c>
      <c r="AK60" s="3894"/>
      <c r="AL60" s="2061"/>
      <c r="AM60" s="2061"/>
      <c r="AN60" s="2028">
        <f t="shared" si="96"/>
        <v>0</v>
      </c>
      <c r="AO60" s="3284">
        <f t="shared" si="8"/>
        <v>0</v>
      </c>
      <c r="AP60" s="3894"/>
      <c r="AQ60" s="2027"/>
      <c r="AR60" s="2061"/>
      <c r="AS60" s="2028">
        <f t="shared" si="97"/>
        <v>0</v>
      </c>
      <c r="AT60" s="3284" t="e">
        <f t="shared" si="83"/>
        <v>#DIV/0!</v>
      </c>
      <c r="AU60" s="2062"/>
      <c r="AV60" s="2027"/>
      <c r="AW60" s="2061"/>
      <c r="AX60" s="2028">
        <f t="shared" si="98"/>
        <v>0</v>
      </c>
      <c r="AY60" s="3284">
        <f t="shared" si="84"/>
        <v>0</v>
      </c>
      <c r="AZ60" s="2062"/>
      <c r="BA60" s="2027"/>
      <c r="BB60" s="2061"/>
      <c r="BC60" s="2028">
        <f t="shared" si="99"/>
        <v>0</v>
      </c>
      <c r="BD60" s="3284">
        <f t="shared" si="85"/>
        <v>0</v>
      </c>
      <c r="BE60" s="2062"/>
      <c r="BF60" s="2027"/>
      <c r="BG60" s="2061"/>
      <c r="BH60" s="2028">
        <f t="shared" si="100"/>
        <v>0</v>
      </c>
      <c r="BI60" s="3284">
        <f t="shared" si="86"/>
        <v>0</v>
      </c>
      <c r="BJ60" s="2062"/>
      <c r="BK60" s="2027"/>
      <c r="BL60" s="2061"/>
      <c r="BM60" s="2028">
        <f t="shared" si="101"/>
        <v>0</v>
      </c>
      <c r="BN60" s="3284">
        <f t="shared" si="87"/>
        <v>0</v>
      </c>
      <c r="BO60" s="2062"/>
      <c r="BP60" s="2027"/>
      <c r="BQ60" s="2061"/>
      <c r="BR60" s="2028">
        <f t="shared" si="102"/>
        <v>0</v>
      </c>
      <c r="BS60" s="3284">
        <f t="shared" si="88"/>
        <v>0</v>
      </c>
      <c r="BT60" s="2062"/>
      <c r="BU60" s="2027"/>
      <c r="BV60" s="2061"/>
      <c r="BW60" s="2028">
        <f t="shared" si="103"/>
        <v>0</v>
      </c>
      <c r="BX60" s="3284">
        <f t="shared" si="89"/>
        <v>0</v>
      </c>
      <c r="BY60" s="2062"/>
      <c r="BZ60" s="2059">
        <f t="shared" si="104"/>
        <v>21226.559999999998</v>
      </c>
      <c r="CA60" s="2059">
        <f t="shared" si="104"/>
        <v>0</v>
      </c>
      <c r="CB60" s="2028">
        <f t="shared" si="105"/>
        <v>21226.559999999998</v>
      </c>
      <c r="CC60" s="3284">
        <f t="shared" si="71"/>
        <v>6.4227836540423793E-4</v>
      </c>
      <c r="CD60" s="3295"/>
    </row>
    <row r="61" spans="1:84" ht="14.4" customHeight="1" x14ac:dyDescent="0.25">
      <c r="A61" s="1586"/>
      <c r="B61" s="3912" t="s">
        <v>32</v>
      </c>
      <c r="C61" s="3850"/>
      <c r="D61" s="3876"/>
      <c r="E61" s="3470">
        <f t="shared" si="90"/>
        <v>0</v>
      </c>
      <c r="F61" s="3284" t="e">
        <f t="shared" si="106"/>
        <v>#DIV/0!</v>
      </c>
      <c r="G61" s="2061">
        <v>0</v>
      </c>
      <c r="H61" s="2061">
        <v>0</v>
      </c>
      <c r="I61" s="2028">
        <v>0</v>
      </c>
      <c r="J61" s="1992">
        <v>0</v>
      </c>
      <c r="K61" s="1992"/>
      <c r="L61" s="2061">
        <v>0</v>
      </c>
      <c r="M61" s="2061">
        <v>0</v>
      </c>
      <c r="N61" s="2028">
        <f t="shared" si="91"/>
        <v>0</v>
      </c>
      <c r="O61" s="3284">
        <f t="shared" si="6"/>
        <v>0</v>
      </c>
      <c r="P61" s="3894"/>
      <c r="Q61" s="2002"/>
      <c r="R61" s="2061"/>
      <c r="S61" s="2061"/>
      <c r="T61" s="2028">
        <f t="shared" si="92"/>
        <v>0</v>
      </c>
      <c r="U61" s="3284">
        <f t="shared" si="80"/>
        <v>0</v>
      </c>
      <c r="V61" s="3296"/>
      <c r="W61" s="2061"/>
      <c r="X61" s="2061"/>
      <c r="Y61" s="2028">
        <f t="shared" si="93"/>
        <v>0</v>
      </c>
      <c r="Z61" s="3284">
        <f t="shared" si="81"/>
        <v>0</v>
      </c>
      <c r="AA61" s="3894"/>
      <c r="AB61" s="2061"/>
      <c r="AC61" s="2061"/>
      <c r="AD61" s="2028">
        <f t="shared" si="94"/>
        <v>0</v>
      </c>
      <c r="AE61" s="3284">
        <f t="shared" si="82"/>
        <v>0</v>
      </c>
      <c r="AF61" s="3894"/>
      <c r="AG61" s="2061"/>
      <c r="AH61" s="2061"/>
      <c r="AI61" s="2028">
        <f t="shared" si="95"/>
        <v>0</v>
      </c>
      <c r="AJ61" s="3284" t="e">
        <f t="shared" si="7"/>
        <v>#DIV/0!</v>
      </c>
      <c r="AK61" s="3894"/>
      <c r="AL61" s="2061"/>
      <c r="AM61" s="2061"/>
      <c r="AN61" s="2028">
        <f t="shared" si="96"/>
        <v>0</v>
      </c>
      <c r="AO61" s="3284">
        <f t="shared" si="8"/>
        <v>0</v>
      </c>
      <c r="AP61" s="3894"/>
      <c r="AQ61" s="2027"/>
      <c r="AR61" s="2061"/>
      <c r="AS61" s="2028">
        <f t="shared" si="97"/>
        <v>0</v>
      </c>
      <c r="AT61" s="3284" t="e">
        <f t="shared" si="83"/>
        <v>#DIV/0!</v>
      </c>
      <c r="AU61" s="2062"/>
      <c r="AV61" s="2027"/>
      <c r="AW61" s="2061"/>
      <c r="AX61" s="2028">
        <f t="shared" si="98"/>
        <v>0</v>
      </c>
      <c r="AY61" s="3284">
        <f t="shared" si="84"/>
        <v>0</v>
      </c>
      <c r="AZ61" s="2062"/>
      <c r="BA61" s="2027"/>
      <c r="BB61" s="2061"/>
      <c r="BC61" s="2028">
        <f t="shared" si="99"/>
        <v>0</v>
      </c>
      <c r="BD61" s="3284">
        <f t="shared" si="85"/>
        <v>0</v>
      </c>
      <c r="BE61" s="2062"/>
      <c r="BF61" s="2027"/>
      <c r="BG61" s="2061"/>
      <c r="BH61" s="2028">
        <f t="shared" si="100"/>
        <v>0</v>
      </c>
      <c r="BI61" s="3284">
        <f t="shared" si="86"/>
        <v>0</v>
      </c>
      <c r="BJ61" s="2062"/>
      <c r="BK61" s="2027"/>
      <c r="BL61" s="2061"/>
      <c r="BM61" s="2028">
        <f t="shared" si="101"/>
        <v>0</v>
      </c>
      <c r="BN61" s="3284">
        <f t="shared" si="87"/>
        <v>0</v>
      </c>
      <c r="BO61" s="2062"/>
      <c r="BP61" s="2027"/>
      <c r="BQ61" s="2061"/>
      <c r="BR61" s="2028">
        <f t="shared" si="102"/>
        <v>0</v>
      </c>
      <c r="BS61" s="3284">
        <f t="shared" si="88"/>
        <v>0</v>
      </c>
      <c r="BT61" s="2062"/>
      <c r="BU61" s="2027"/>
      <c r="BV61" s="2061"/>
      <c r="BW61" s="2028">
        <f t="shared" si="103"/>
        <v>0</v>
      </c>
      <c r="BX61" s="3284">
        <f t="shared" si="89"/>
        <v>0</v>
      </c>
      <c r="BY61" s="2062"/>
      <c r="BZ61" s="2059">
        <f t="shared" si="104"/>
        <v>0</v>
      </c>
      <c r="CA61" s="2059">
        <f t="shared" si="104"/>
        <v>0</v>
      </c>
      <c r="CB61" s="2028">
        <f t="shared" si="105"/>
        <v>0</v>
      </c>
      <c r="CC61" s="3284">
        <f t="shared" si="71"/>
        <v>0</v>
      </c>
      <c r="CD61" s="3295"/>
    </row>
    <row r="62" spans="1:84" ht="14.4" customHeight="1" x14ac:dyDescent="0.25">
      <c r="A62" s="1586"/>
      <c r="B62" s="3912" t="s">
        <v>33</v>
      </c>
      <c r="C62" s="3877"/>
      <c r="D62" s="3876"/>
      <c r="E62" s="3470">
        <f t="shared" si="90"/>
        <v>0</v>
      </c>
      <c r="F62" s="3284" t="e">
        <f t="shared" si="106"/>
        <v>#DIV/0!</v>
      </c>
      <c r="G62" s="2061">
        <v>0</v>
      </c>
      <c r="H62" s="2061">
        <v>0</v>
      </c>
      <c r="I62" s="2028">
        <v>0</v>
      </c>
      <c r="J62" s="1992">
        <v>0</v>
      </c>
      <c r="K62" s="1992"/>
      <c r="L62" s="2061">
        <v>0</v>
      </c>
      <c r="M62" s="2061">
        <v>0</v>
      </c>
      <c r="N62" s="2028">
        <f t="shared" si="91"/>
        <v>0</v>
      </c>
      <c r="O62" s="3284">
        <f t="shared" si="6"/>
        <v>0</v>
      </c>
      <c r="P62" s="3894"/>
      <c r="Q62" s="2002"/>
      <c r="R62" s="2061"/>
      <c r="S62" s="2061"/>
      <c r="T62" s="2028">
        <f t="shared" si="92"/>
        <v>0</v>
      </c>
      <c r="U62" s="3284">
        <f t="shared" si="80"/>
        <v>0</v>
      </c>
      <c r="V62" s="3296"/>
      <c r="W62" s="2061"/>
      <c r="X62" s="2061"/>
      <c r="Y62" s="2028">
        <f t="shared" si="93"/>
        <v>0</v>
      </c>
      <c r="Z62" s="3284">
        <f t="shared" si="81"/>
        <v>0</v>
      </c>
      <c r="AA62" s="3894"/>
      <c r="AB62" s="2061"/>
      <c r="AC62" s="2061"/>
      <c r="AD62" s="2028">
        <f t="shared" si="94"/>
        <v>0</v>
      </c>
      <c r="AE62" s="3284">
        <f t="shared" si="82"/>
        <v>0</v>
      </c>
      <c r="AF62" s="3894"/>
      <c r="AG62" s="2061"/>
      <c r="AH62" s="2061"/>
      <c r="AI62" s="2028">
        <f t="shared" si="95"/>
        <v>0</v>
      </c>
      <c r="AJ62" s="3284" t="e">
        <f t="shared" si="7"/>
        <v>#DIV/0!</v>
      </c>
      <c r="AK62" s="3894"/>
      <c r="AL62" s="2061"/>
      <c r="AM62" s="2061"/>
      <c r="AN62" s="2028">
        <f t="shared" si="96"/>
        <v>0</v>
      </c>
      <c r="AO62" s="3284">
        <f t="shared" si="8"/>
        <v>0</v>
      </c>
      <c r="AP62" s="3894"/>
      <c r="AQ62" s="2027"/>
      <c r="AR62" s="2061"/>
      <c r="AS62" s="2028">
        <f t="shared" si="97"/>
        <v>0</v>
      </c>
      <c r="AT62" s="3284" t="e">
        <f t="shared" si="83"/>
        <v>#DIV/0!</v>
      </c>
      <c r="AU62" s="2062"/>
      <c r="AV62" s="2027"/>
      <c r="AW62" s="2061"/>
      <c r="AX62" s="2028">
        <f t="shared" si="98"/>
        <v>0</v>
      </c>
      <c r="AY62" s="3284">
        <f t="shared" si="84"/>
        <v>0</v>
      </c>
      <c r="AZ62" s="2062"/>
      <c r="BA62" s="2027"/>
      <c r="BB62" s="2061"/>
      <c r="BC62" s="2028">
        <f t="shared" si="99"/>
        <v>0</v>
      </c>
      <c r="BD62" s="3284">
        <f t="shared" si="85"/>
        <v>0</v>
      </c>
      <c r="BE62" s="2062"/>
      <c r="BF62" s="2027"/>
      <c r="BG62" s="2061"/>
      <c r="BH62" s="2028">
        <f t="shared" si="100"/>
        <v>0</v>
      </c>
      <c r="BI62" s="3284">
        <f t="shared" si="86"/>
        <v>0</v>
      </c>
      <c r="BJ62" s="2062"/>
      <c r="BK62" s="2027"/>
      <c r="BL62" s="2061"/>
      <c r="BM62" s="2028">
        <f t="shared" si="101"/>
        <v>0</v>
      </c>
      <c r="BN62" s="3284">
        <f t="shared" si="87"/>
        <v>0</v>
      </c>
      <c r="BO62" s="2062"/>
      <c r="BP62" s="2027"/>
      <c r="BQ62" s="2061"/>
      <c r="BR62" s="2028">
        <f t="shared" si="102"/>
        <v>0</v>
      </c>
      <c r="BS62" s="3284">
        <f t="shared" si="88"/>
        <v>0</v>
      </c>
      <c r="BT62" s="2062"/>
      <c r="BU62" s="2027"/>
      <c r="BV62" s="2061"/>
      <c r="BW62" s="2028">
        <f t="shared" si="103"/>
        <v>0</v>
      </c>
      <c r="BX62" s="3284">
        <f t="shared" si="89"/>
        <v>0</v>
      </c>
      <c r="BY62" s="2062"/>
      <c r="BZ62" s="2059">
        <f t="shared" si="104"/>
        <v>0</v>
      </c>
      <c r="CA62" s="2059">
        <f t="shared" si="104"/>
        <v>0</v>
      </c>
      <c r="CB62" s="2028">
        <f t="shared" si="105"/>
        <v>0</v>
      </c>
      <c r="CC62" s="3284">
        <f t="shared" si="71"/>
        <v>0</v>
      </c>
      <c r="CD62" s="3295"/>
    </row>
    <row r="63" spans="1:84" ht="14.4" customHeight="1" x14ac:dyDescent="0.25">
      <c r="A63" s="1586"/>
      <c r="B63" s="3912" t="s">
        <v>35</v>
      </c>
      <c r="C63" s="3877"/>
      <c r="D63" s="3876"/>
      <c r="E63" s="3470">
        <f t="shared" si="90"/>
        <v>0</v>
      </c>
      <c r="F63" s="3284" t="e">
        <f t="shared" si="106"/>
        <v>#DIV/0!</v>
      </c>
      <c r="G63" s="2061">
        <v>37781.589999999997</v>
      </c>
      <c r="H63" s="2061">
        <v>11377.79</v>
      </c>
      <c r="I63" s="2028">
        <v>49159.38</v>
      </c>
      <c r="J63" s="1992">
        <v>6.1805215924669969E-3</v>
      </c>
      <c r="K63" s="1992"/>
      <c r="L63" s="2059">
        <v>26844.02</v>
      </c>
      <c r="M63" s="2061">
        <v>0</v>
      </c>
      <c r="N63" s="2028">
        <f t="shared" si="91"/>
        <v>26844.02</v>
      </c>
      <c r="O63" s="3284">
        <f t="shared" si="6"/>
        <v>7.1804049907899358E-3</v>
      </c>
      <c r="P63" s="3894"/>
      <c r="Q63" s="2002"/>
      <c r="R63" s="2059"/>
      <c r="S63" s="2061"/>
      <c r="T63" s="2028">
        <f t="shared" si="92"/>
        <v>0</v>
      </c>
      <c r="U63" s="3284">
        <f t="shared" si="80"/>
        <v>0</v>
      </c>
      <c r="V63" s="3294"/>
      <c r="W63" s="2059"/>
      <c r="X63" s="2061"/>
      <c r="Y63" s="2028">
        <f t="shared" si="93"/>
        <v>0</v>
      </c>
      <c r="Z63" s="3284">
        <f t="shared" si="81"/>
        <v>0</v>
      </c>
      <c r="AA63" s="3894"/>
      <c r="AB63" s="2059"/>
      <c r="AC63" s="2061"/>
      <c r="AD63" s="2028">
        <f t="shared" si="94"/>
        <v>0</v>
      </c>
      <c r="AE63" s="3284">
        <f t="shared" si="82"/>
        <v>0</v>
      </c>
      <c r="AF63" s="3894"/>
      <c r="AG63" s="2059"/>
      <c r="AH63" s="2061"/>
      <c r="AI63" s="2028">
        <f t="shared" si="95"/>
        <v>0</v>
      </c>
      <c r="AJ63" s="3284" t="e">
        <f t="shared" si="7"/>
        <v>#DIV/0!</v>
      </c>
      <c r="AK63" s="3894"/>
      <c r="AL63" s="2059"/>
      <c r="AM63" s="2061"/>
      <c r="AN63" s="2028">
        <f t="shared" si="96"/>
        <v>0</v>
      </c>
      <c r="AO63" s="3284">
        <f t="shared" si="8"/>
        <v>0</v>
      </c>
      <c r="AP63" s="3894"/>
      <c r="AQ63" s="2027"/>
      <c r="AR63" s="3878"/>
      <c r="AS63" s="2028">
        <f>AQ63+AR63*1</f>
        <v>0</v>
      </c>
      <c r="AT63" s="3284" t="e">
        <f t="shared" si="83"/>
        <v>#DIV/0!</v>
      </c>
      <c r="AU63" s="2062"/>
      <c r="AV63" s="2027"/>
      <c r="AW63" s="3878"/>
      <c r="AX63" s="2028">
        <f>AV63+AW63*1</f>
        <v>0</v>
      </c>
      <c r="AY63" s="3284">
        <f t="shared" si="84"/>
        <v>0</v>
      </c>
      <c r="AZ63" s="2062"/>
      <c r="BA63" s="2027"/>
      <c r="BB63" s="3878"/>
      <c r="BC63" s="2028">
        <f>BA63+BB63*1</f>
        <v>0</v>
      </c>
      <c r="BD63" s="3284">
        <f t="shared" si="85"/>
        <v>0</v>
      </c>
      <c r="BE63" s="2062"/>
      <c r="BF63" s="2027"/>
      <c r="BG63" s="3878"/>
      <c r="BH63" s="2028">
        <f>BF63+BG63*1</f>
        <v>0</v>
      </c>
      <c r="BI63" s="3284">
        <f t="shared" si="86"/>
        <v>0</v>
      </c>
      <c r="BJ63" s="2062"/>
      <c r="BK63" s="2027"/>
      <c r="BL63" s="3878"/>
      <c r="BM63" s="2028">
        <f>BK63+BL63*1</f>
        <v>0</v>
      </c>
      <c r="BN63" s="3284">
        <f t="shared" si="87"/>
        <v>0</v>
      </c>
      <c r="BO63" s="2062"/>
      <c r="BP63" s="2027"/>
      <c r="BQ63" s="3878"/>
      <c r="BR63" s="2028">
        <f>BP63+BQ63*1</f>
        <v>0</v>
      </c>
      <c r="BS63" s="3284">
        <f t="shared" si="88"/>
        <v>0</v>
      </c>
      <c r="BT63" s="2062"/>
      <c r="BU63" s="2027"/>
      <c r="BV63" s="3878"/>
      <c r="BW63" s="2028">
        <f>BU63+BV63*1</f>
        <v>0</v>
      </c>
      <c r="BX63" s="3284">
        <f t="shared" si="89"/>
        <v>0</v>
      </c>
      <c r="BY63" s="2062"/>
      <c r="BZ63" s="2059">
        <f t="shared" si="104"/>
        <v>64625.61</v>
      </c>
      <c r="CA63" s="2059">
        <f t="shared" si="104"/>
        <v>11377.79</v>
      </c>
      <c r="CB63" s="2028">
        <f t="shared" si="105"/>
        <v>76003.399999999994</v>
      </c>
      <c r="CC63" s="3284">
        <f t="shared" si="71"/>
        <v>2.2997291844351819E-3</v>
      </c>
      <c r="CD63" s="3295"/>
    </row>
    <row r="64" spans="1:84" ht="14.4" customHeight="1" x14ac:dyDescent="0.25">
      <c r="A64" s="1586"/>
      <c r="B64" s="3912" t="s">
        <v>63</v>
      </c>
      <c r="C64" s="3877"/>
      <c r="D64" s="3876"/>
      <c r="E64" s="3470">
        <f t="shared" si="90"/>
        <v>0</v>
      </c>
      <c r="F64" s="3284" t="e">
        <f t="shared" si="106"/>
        <v>#DIV/0!</v>
      </c>
      <c r="G64" s="2061">
        <v>0</v>
      </c>
      <c r="H64" s="2061">
        <v>0</v>
      </c>
      <c r="I64" s="2028">
        <v>0</v>
      </c>
      <c r="J64" s="1992">
        <v>0</v>
      </c>
      <c r="K64" s="1992"/>
      <c r="L64" s="2061">
        <v>0</v>
      </c>
      <c r="M64" s="2061">
        <v>0</v>
      </c>
      <c r="N64" s="2028">
        <f t="shared" si="91"/>
        <v>0</v>
      </c>
      <c r="O64" s="3284">
        <f t="shared" si="6"/>
        <v>0</v>
      </c>
      <c r="P64" s="3894"/>
      <c r="Q64" s="2002"/>
      <c r="R64" s="2061"/>
      <c r="S64" s="2061"/>
      <c r="T64" s="2028">
        <f t="shared" si="92"/>
        <v>0</v>
      </c>
      <c r="U64" s="3284">
        <f t="shared" si="80"/>
        <v>0</v>
      </c>
      <c r="V64" s="3296"/>
      <c r="W64" s="2061"/>
      <c r="X64" s="2061"/>
      <c r="Y64" s="2028">
        <f t="shared" si="93"/>
        <v>0</v>
      </c>
      <c r="Z64" s="3284">
        <f t="shared" si="81"/>
        <v>0</v>
      </c>
      <c r="AA64" s="3894"/>
      <c r="AB64" s="2061"/>
      <c r="AC64" s="2061"/>
      <c r="AD64" s="2028">
        <f t="shared" si="94"/>
        <v>0</v>
      </c>
      <c r="AE64" s="3284">
        <f t="shared" si="82"/>
        <v>0</v>
      </c>
      <c r="AF64" s="3894"/>
      <c r="AG64" s="2061"/>
      <c r="AH64" s="2061"/>
      <c r="AI64" s="2028">
        <f t="shared" si="95"/>
        <v>0</v>
      </c>
      <c r="AJ64" s="3284" t="e">
        <f t="shared" si="7"/>
        <v>#DIV/0!</v>
      </c>
      <c r="AK64" s="3894"/>
      <c r="AL64" s="2061"/>
      <c r="AM64" s="2061"/>
      <c r="AN64" s="2028">
        <f t="shared" si="96"/>
        <v>0</v>
      </c>
      <c r="AO64" s="3284">
        <f t="shared" si="8"/>
        <v>0</v>
      </c>
      <c r="AP64" s="3894"/>
      <c r="AQ64" s="2027"/>
      <c r="AR64" s="2061"/>
      <c r="AS64" s="2028">
        <f>AQ64+AR64*1</f>
        <v>0</v>
      </c>
      <c r="AT64" s="3284" t="e">
        <f t="shared" si="83"/>
        <v>#DIV/0!</v>
      </c>
      <c r="AU64" s="2062"/>
      <c r="AV64" s="2027"/>
      <c r="AW64" s="2061"/>
      <c r="AX64" s="2028">
        <f>AV64+AW64*1</f>
        <v>0</v>
      </c>
      <c r="AY64" s="3284">
        <f t="shared" si="84"/>
        <v>0</v>
      </c>
      <c r="AZ64" s="2062"/>
      <c r="BA64" s="2027"/>
      <c r="BB64" s="2061"/>
      <c r="BC64" s="2028">
        <f>BA64+BB64*1</f>
        <v>0</v>
      </c>
      <c r="BD64" s="3284">
        <f t="shared" si="85"/>
        <v>0</v>
      </c>
      <c r="BE64" s="2062"/>
      <c r="BF64" s="2027"/>
      <c r="BG64" s="2061"/>
      <c r="BH64" s="2028">
        <f>BF64+BG64*1</f>
        <v>0</v>
      </c>
      <c r="BI64" s="3284">
        <f t="shared" si="86"/>
        <v>0</v>
      </c>
      <c r="BJ64" s="2062"/>
      <c r="BK64" s="2027"/>
      <c r="BL64" s="2061"/>
      <c r="BM64" s="2028">
        <f>BK64+BL64*1</f>
        <v>0</v>
      </c>
      <c r="BN64" s="3284">
        <f t="shared" si="87"/>
        <v>0</v>
      </c>
      <c r="BO64" s="2062"/>
      <c r="BP64" s="2027"/>
      <c r="BQ64" s="2061"/>
      <c r="BR64" s="2028">
        <f>BP64+BQ64*1</f>
        <v>0</v>
      </c>
      <c r="BS64" s="3284">
        <f t="shared" si="88"/>
        <v>0</v>
      </c>
      <c r="BT64" s="2062"/>
      <c r="BU64" s="2027"/>
      <c r="BV64" s="2061"/>
      <c r="BW64" s="2028">
        <f>BU64+BV64*1</f>
        <v>0</v>
      </c>
      <c r="BX64" s="3284">
        <f t="shared" si="89"/>
        <v>0</v>
      </c>
      <c r="BY64" s="2062"/>
      <c r="BZ64" s="2059">
        <f t="shared" si="104"/>
        <v>0</v>
      </c>
      <c r="CA64" s="2059">
        <f t="shared" si="104"/>
        <v>0</v>
      </c>
      <c r="CB64" s="2028">
        <f t="shared" si="105"/>
        <v>0</v>
      </c>
      <c r="CC64" s="3284">
        <f t="shared" si="71"/>
        <v>0</v>
      </c>
      <c r="CD64" s="3295"/>
    </row>
    <row r="65" spans="1:84" ht="14.4" customHeight="1" x14ac:dyDescent="0.25">
      <c r="A65" s="1586"/>
      <c r="B65" s="3912" t="s">
        <v>36</v>
      </c>
      <c r="C65" s="3877"/>
      <c r="D65" s="3876"/>
      <c r="E65" s="3470">
        <f t="shared" si="90"/>
        <v>0</v>
      </c>
      <c r="F65" s="3284" t="e">
        <f t="shared" si="106"/>
        <v>#DIV/0!</v>
      </c>
      <c r="G65" s="2059">
        <v>17757.490000000002</v>
      </c>
      <c r="H65" s="2059">
        <v>5499</v>
      </c>
      <c r="I65" s="2028">
        <v>23256.49</v>
      </c>
      <c r="J65" s="1992">
        <v>2.9239025921399498E-3</v>
      </c>
      <c r="K65" s="1992"/>
      <c r="L65" s="2059">
        <v>3352.08</v>
      </c>
      <c r="M65" s="2061">
        <v>0</v>
      </c>
      <c r="N65" s="2028">
        <f t="shared" si="91"/>
        <v>3352.08</v>
      </c>
      <c r="O65" s="3284">
        <f t="shared" si="6"/>
        <v>8.9663515231798842E-4</v>
      </c>
      <c r="P65" s="3894"/>
      <c r="Q65" s="2002"/>
      <c r="R65" s="2059"/>
      <c r="S65" s="2059"/>
      <c r="T65" s="2028">
        <f t="shared" si="92"/>
        <v>0</v>
      </c>
      <c r="U65" s="3284">
        <f t="shared" si="80"/>
        <v>0</v>
      </c>
      <c r="V65" s="3296"/>
      <c r="W65" s="2059"/>
      <c r="X65" s="2061"/>
      <c r="Y65" s="2028">
        <f t="shared" si="93"/>
        <v>0</v>
      </c>
      <c r="Z65" s="3284">
        <f t="shared" si="81"/>
        <v>0</v>
      </c>
      <c r="AA65" s="3894"/>
      <c r="AB65" s="2059"/>
      <c r="AC65" s="2061"/>
      <c r="AD65" s="2028">
        <f t="shared" si="94"/>
        <v>0</v>
      </c>
      <c r="AE65" s="3284">
        <f t="shared" si="82"/>
        <v>0</v>
      </c>
      <c r="AF65" s="3894"/>
      <c r="AG65" s="2059"/>
      <c r="AH65" s="2061"/>
      <c r="AI65" s="2028">
        <f t="shared" si="95"/>
        <v>0</v>
      </c>
      <c r="AJ65" s="3284" t="e">
        <f t="shared" si="7"/>
        <v>#DIV/0!</v>
      </c>
      <c r="AK65" s="3894"/>
      <c r="AL65" s="2059"/>
      <c r="AM65" s="2061"/>
      <c r="AN65" s="2028">
        <f t="shared" si="96"/>
        <v>0</v>
      </c>
      <c r="AO65" s="3284">
        <f t="shared" si="8"/>
        <v>0</v>
      </c>
      <c r="AP65" s="3894"/>
      <c r="AQ65" s="2061"/>
      <c r="AR65" s="2061"/>
      <c r="AS65" s="2028">
        <f t="shared" ref="AS65:AS71" si="107">AQ65+AR65*1</f>
        <v>0</v>
      </c>
      <c r="AT65" s="3284" t="e">
        <f t="shared" si="83"/>
        <v>#DIV/0!</v>
      </c>
      <c r="AU65" s="2062"/>
      <c r="AV65" s="2061"/>
      <c r="AW65" s="2061"/>
      <c r="AX65" s="2028">
        <f t="shared" ref="AX65:AX71" si="108">AV65+AW65*1</f>
        <v>0</v>
      </c>
      <c r="AY65" s="3284">
        <f t="shared" si="84"/>
        <v>0</v>
      </c>
      <c r="AZ65" s="2062"/>
      <c r="BA65" s="2061"/>
      <c r="BB65" s="2061"/>
      <c r="BC65" s="2028">
        <f t="shared" ref="BC65:BC71" si="109">BA65+BB65*1</f>
        <v>0</v>
      </c>
      <c r="BD65" s="3284">
        <f t="shared" si="85"/>
        <v>0</v>
      </c>
      <c r="BE65" s="2062"/>
      <c r="BF65" s="2061"/>
      <c r="BG65" s="2061"/>
      <c r="BH65" s="2028">
        <f t="shared" ref="BH65:BH71" si="110">BF65+BG65*1</f>
        <v>0</v>
      </c>
      <c r="BI65" s="3284">
        <f t="shared" si="86"/>
        <v>0</v>
      </c>
      <c r="BJ65" s="2062"/>
      <c r="BK65" s="2061"/>
      <c r="BL65" s="2061"/>
      <c r="BM65" s="2028">
        <f t="shared" ref="BM65:BM71" si="111">BK65+BL65*1</f>
        <v>0</v>
      </c>
      <c r="BN65" s="3284">
        <f t="shared" si="87"/>
        <v>0</v>
      </c>
      <c r="BO65" s="2062"/>
      <c r="BP65" s="2061"/>
      <c r="BQ65" s="2061"/>
      <c r="BR65" s="2028">
        <f t="shared" ref="BR65:BR71" si="112">BP65+BQ65*1</f>
        <v>0</v>
      </c>
      <c r="BS65" s="3284">
        <f t="shared" si="88"/>
        <v>0</v>
      </c>
      <c r="BT65" s="2062"/>
      <c r="BU65" s="2061"/>
      <c r="BV65" s="2061"/>
      <c r="BW65" s="2028">
        <f t="shared" ref="BW65:BW71" si="113">BU65+BV65*1</f>
        <v>0</v>
      </c>
      <c r="BX65" s="3284">
        <f t="shared" si="89"/>
        <v>0</v>
      </c>
      <c r="BY65" s="2062"/>
      <c r="BZ65" s="2059">
        <f t="shared" si="104"/>
        <v>21109.57</v>
      </c>
      <c r="CA65" s="2059">
        <f t="shared" si="104"/>
        <v>5499</v>
      </c>
      <c r="CB65" s="2028">
        <f t="shared" si="105"/>
        <v>26608.57</v>
      </c>
      <c r="CC65" s="3284">
        <f t="shared" si="71"/>
        <v>8.0512852036996306E-4</v>
      </c>
      <c r="CD65" s="3295"/>
    </row>
    <row r="66" spans="1:84" s="1411" customFormat="1" ht="28.95" customHeight="1" x14ac:dyDescent="0.25">
      <c r="A66" s="1586"/>
      <c r="B66" s="3912" t="s">
        <v>37</v>
      </c>
      <c r="C66" s="3877"/>
      <c r="D66" s="3876"/>
      <c r="E66" s="3470">
        <f t="shared" si="90"/>
        <v>0</v>
      </c>
      <c r="F66" s="3284" t="e">
        <f t="shared" si="106"/>
        <v>#DIV/0!</v>
      </c>
      <c r="G66" s="2059">
        <v>0</v>
      </c>
      <c r="H66" s="2059">
        <v>0</v>
      </c>
      <c r="I66" s="2028">
        <v>0</v>
      </c>
      <c r="J66" s="1992">
        <v>0</v>
      </c>
      <c r="K66" s="1992"/>
      <c r="L66" s="2059">
        <v>5029.079999999999</v>
      </c>
      <c r="M66" s="2059">
        <v>0</v>
      </c>
      <c r="N66" s="2028">
        <f t="shared" si="91"/>
        <v>5029.079999999999</v>
      </c>
      <c r="O66" s="3284">
        <f t="shared" si="6"/>
        <v>1.3452095152321391E-3</v>
      </c>
      <c r="P66" s="3894"/>
      <c r="Q66" s="2002"/>
      <c r="R66" s="2059"/>
      <c r="S66" s="2059"/>
      <c r="T66" s="2028">
        <f t="shared" si="92"/>
        <v>0</v>
      </c>
      <c r="U66" s="3284">
        <f t="shared" si="80"/>
        <v>0</v>
      </c>
      <c r="V66" s="3296"/>
      <c r="W66" s="2059"/>
      <c r="X66" s="2059"/>
      <c r="Y66" s="2028">
        <f t="shared" si="93"/>
        <v>0</v>
      </c>
      <c r="Z66" s="3284">
        <f t="shared" si="81"/>
        <v>0</v>
      </c>
      <c r="AA66" s="3894"/>
      <c r="AB66" s="2059"/>
      <c r="AC66" s="2059"/>
      <c r="AD66" s="2028">
        <f t="shared" si="94"/>
        <v>0</v>
      </c>
      <c r="AE66" s="3284">
        <f t="shared" si="82"/>
        <v>0</v>
      </c>
      <c r="AF66" s="3894"/>
      <c r="AG66" s="2059"/>
      <c r="AH66" s="2059"/>
      <c r="AI66" s="2028">
        <f t="shared" si="95"/>
        <v>0</v>
      </c>
      <c r="AJ66" s="3284" t="e">
        <f t="shared" si="7"/>
        <v>#DIV/0!</v>
      </c>
      <c r="AK66" s="3894"/>
      <c r="AL66" s="2059"/>
      <c r="AM66" s="2059"/>
      <c r="AN66" s="2028">
        <f t="shared" si="96"/>
        <v>0</v>
      </c>
      <c r="AO66" s="3284">
        <f t="shared" si="8"/>
        <v>0</v>
      </c>
      <c r="AP66" s="3894"/>
      <c r="AQ66" s="2027"/>
      <c r="AR66" s="2059"/>
      <c r="AS66" s="2028">
        <f t="shared" si="107"/>
        <v>0</v>
      </c>
      <c r="AT66" s="3284" t="e">
        <f t="shared" si="83"/>
        <v>#DIV/0!</v>
      </c>
      <c r="AU66" s="2062"/>
      <c r="AV66" s="2027"/>
      <c r="AW66" s="2059"/>
      <c r="AX66" s="2028">
        <f t="shared" si="108"/>
        <v>0</v>
      </c>
      <c r="AY66" s="3284">
        <f t="shared" si="84"/>
        <v>0</v>
      </c>
      <c r="AZ66" s="2062"/>
      <c r="BA66" s="2027"/>
      <c r="BB66" s="2059"/>
      <c r="BC66" s="2028">
        <f t="shared" si="109"/>
        <v>0</v>
      </c>
      <c r="BD66" s="3284">
        <f t="shared" si="85"/>
        <v>0</v>
      </c>
      <c r="BE66" s="2062"/>
      <c r="BF66" s="2027"/>
      <c r="BG66" s="2059"/>
      <c r="BH66" s="2028">
        <f t="shared" si="110"/>
        <v>0</v>
      </c>
      <c r="BI66" s="3284">
        <f t="shared" si="86"/>
        <v>0</v>
      </c>
      <c r="BJ66" s="2062"/>
      <c r="BK66" s="2027"/>
      <c r="BL66" s="2059"/>
      <c r="BM66" s="2028">
        <f t="shared" si="111"/>
        <v>0</v>
      </c>
      <c r="BN66" s="3284">
        <f t="shared" si="87"/>
        <v>0</v>
      </c>
      <c r="BO66" s="2062"/>
      <c r="BP66" s="2027"/>
      <c r="BQ66" s="2059"/>
      <c r="BR66" s="2028">
        <f t="shared" si="112"/>
        <v>0</v>
      </c>
      <c r="BS66" s="3284">
        <f t="shared" si="88"/>
        <v>0</v>
      </c>
      <c r="BT66" s="2062"/>
      <c r="BU66" s="2027"/>
      <c r="BV66" s="2059"/>
      <c r="BW66" s="2028">
        <f t="shared" si="113"/>
        <v>0</v>
      </c>
      <c r="BX66" s="3284">
        <f t="shared" si="89"/>
        <v>0</v>
      </c>
      <c r="BY66" s="2062"/>
      <c r="BZ66" s="2059">
        <f t="shared" si="104"/>
        <v>5029.079999999999</v>
      </c>
      <c r="CA66" s="2059">
        <f t="shared" si="104"/>
        <v>0</v>
      </c>
      <c r="CB66" s="2028">
        <f t="shared" si="105"/>
        <v>5029.079999999999</v>
      </c>
      <c r="CC66" s="3284">
        <f t="shared" si="71"/>
        <v>1.5217111401410048E-4</v>
      </c>
      <c r="CD66" s="3295"/>
      <c r="CE66" s="842"/>
      <c r="CF66" s="842"/>
    </row>
    <row r="67" spans="1:84" s="1411" customFormat="1" ht="14.4" customHeight="1" x14ac:dyDescent="0.25">
      <c r="A67" s="1586"/>
      <c r="B67" s="3912" t="s">
        <v>3</v>
      </c>
      <c r="C67" s="3877"/>
      <c r="D67" s="3876"/>
      <c r="E67" s="3470">
        <f t="shared" si="90"/>
        <v>0</v>
      </c>
      <c r="F67" s="3284" t="e">
        <f t="shared" si="106"/>
        <v>#DIV/0!</v>
      </c>
      <c r="G67" s="2059">
        <v>0</v>
      </c>
      <c r="H67" s="2059">
        <v>140</v>
      </c>
      <c r="I67" s="2028">
        <v>140</v>
      </c>
      <c r="J67" s="1992">
        <v>1.7601381932509717E-5</v>
      </c>
      <c r="K67" s="1992"/>
      <c r="L67" s="2059">
        <v>0</v>
      </c>
      <c r="M67" s="2059">
        <v>125</v>
      </c>
      <c r="N67" s="2028">
        <f t="shared" si="91"/>
        <v>125</v>
      </c>
      <c r="O67" s="3284">
        <f t="shared" si="6"/>
        <v>3.3435775411013028E-5</v>
      </c>
      <c r="P67" s="3894"/>
      <c r="Q67" s="2002"/>
      <c r="R67" s="2059"/>
      <c r="S67" s="2059"/>
      <c r="T67" s="2028">
        <f t="shared" si="92"/>
        <v>0</v>
      </c>
      <c r="U67" s="3284">
        <f t="shared" si="80"/>
        <v>0</v>
      </c>
      <c r="V67" s="3296"/>
      <c r="W67" s="2059"/>
      <c r="X67" s="2059"/>
      <c r="Y67" s="2028">
        <f t="shared" si="93"/>
        <v>0</v>
      </c>
      <c r="Z67" s="3284">
        <f t="shared" si="81"/>
        <v>0</v>
      </c>
      <c r="AA67" s="3894"/>
      <c r="AB67" s="2059"/>
      <c r="AC67" s="2059"/>
      <c r="AD67" s="2028">
        <f t="shared" si="94"/>
        <v>0</v>
      </c>
      <c r="AE67" s="3284">
        <f t="shared" si="82"/>
        <v>0</v>
      </c>
      <c r="AF67" s="3894"/>
      <c r="AG67" s="2059"/>
      <c r="AH67" s="2059"/>
      <c r="AI67" s="2028">
        <f t="shared" si="95"/>
        <v>0</v>
      </c>
      <c r="AJ67" s="3284" t="e">
        <f t="shared" si="7"/>
        <v>#DIV/0!</v>
      </c>
      <c r="AK67" s="3894"/>
      <c r="AL67" s="2059"/>
      <c r="AM67" s="2059"/>
      <c r="AN67" s="2028">
        <f t="shared" si="96"/>
        <v>0</v>
      </c>
      <c r="AO67" s="3284">
        <f t="shared" si="8"/>
        <v>0</v>
      </c>
      <c r="AP67" s="3894"/>
      <c r="AQ67" s="2027"/>
      <c r="AR67" s="2027"/>
      <c r="AS67" s="2028">
        <f t="shared" si="107"/>
        <v>0</v>
      </c>
      <c r="AT67" s="3284" t="e">
        <f t="shared" si="83"/>
        <v>#DIV/0!</v>
      </c>
      <c r="AU67" s="2062"/>
      <c r="AV67" s="2027"/>
      <c r="AW67" s="2027"/>
      <c r="AX67" s="2028">
        <f t="shared" si="108"/>
        <v>0</v>
      </c>
      <c r="AY67" s="3284">
        <f t="shared" si="84"/>
        <v>0</v>
      </c>
      <c r="AZ67" s="2062"/>
      <c r="BA67" s="2027"/>
      <c r="BB67" s="2027"/>
      <c r="BC67" s="2028">
        <f t="shared" si="109"/>
        <v>0</v>
      </c>
      <c r="BD67" s="3284">
        <f t="shared" si="85"/>
        <v>0</v>
      </c>
      <c r="BE67" s="2062"/>
      <c r="BF67" s="2027"/>
      <c r="BG67" s="2027"/>
      <c r="BH67" s="2028">
        <f t="shared" si="110"/>
        <v>0</v>
      </c>
      <c r="BI67" s="3284">
        <f t="shared" si="86"/>
        <v>0</v>
      </c>
      <c r="BJ67" s="2062"/>
      <c r="BK67" s="2027"/>
      <c r="BL67" s="2027"/>
      <c r="BM67" s="2028">
        <f t="shared" si="111"/>
        <v>0</v>
      </c>
      <c r="BN67" s="3284">
        <f t="shared" si="87"/>
        <v>0</v>
      </c>
      <c r="BO67" s="2062"/>
      <c r="BP67" s="2027"/>
      <c r="BQ67" s="2027"/>
      <c r="BR67" s="2028">
        <f t="shared" si="112"/>
        <v>0</v>
      </c>
      <c r="BS67" s="3284">
        <f t="shared" si="88"/>
        <v>0</v>
      </c>
      <c r="BT67" s="2062"/>
      <c r="BU67" s="2027"/>
      <c r="BV67" s="2027"/>
      <c r="BW67" s="2028">
        <f t="shared" si="113"/>
        <v>0</v>
      </c>
      <c r="BX67" s="3284">
        <f t="shared" si="89"/>
        <v>0</v>
      </c>
      <c r="BY67" s="2062"/>
      <c r="BZ67" s="2059">
        <f t="shared" si="104"/>
        <v>0</v>
      </c>
      <c r="CA67" s="2059">
        <f t="shared" si="104"/>
        <v>265</v>
      </c>
      <c r="CB67" s="2028">
        <f t="shared" si="105"/>
        <v>265</v>
      </c>
      <c r="CC67" s="3284">
        <f t="shared" si="71"/>
        <v>8.0184338315828406E-6</v>
      </c>
      <c r="CD67" s="3295"/>
      <c r="CE67" s="842"/>
      <c r="CF67" s="842"/>
    </row>
    <row r="68" spans="1:84" s="1411" customFormat="1" ht="14.4" customHeight="1" x14ac:dyDescent="0.25">
      <c r="A68" s="1586"/>
      <c r="B68" s="3912" t="s">
        <v>5</v>
      </c>
      <c r="C68" s="3877"/>
      <c r="D68" s="3876"/>
      <c r="E68" s="3470">
        <f t="shared" si="90"/>
        <v>0</v>
      </c>
      <c r="F68" s="3284" t="e">
        <f t="shared" si="106"/>
        <v>#DIV/0!</v>
      </c>
      <c r="G68" s="2059">
        <v>0</v>
      </c>
      <c r="H68" s="2059">
        <v>2810.46</v>
      </c>
      <c r="I68" s="2028">
        <v>2810.46</v>
      </c>
      <c r="J68" s="1992">
        <v>3.5334271332886617E-4</v>
      </c>
      <c r="K68" s="1992"/>
      <c r="L68" s="2059">
        <v>0</v>
      </c>
      <c r="M68" s="2059">
        <v>4202.3999999999996</v>
      </c>
      <c r="N68" s="2028">
        <f t="shared" si="91"/>
        <v>4202.3999999999996</v>
      </c>
      <c r="O68" s="3284">
        <f t="shared" si="6"/>
        <v>1.1240840206979291E-3</v>
      </c>
      <c r="P68" s="3894"/>
      <c r="Q68" s="2002"/>
      <c r="R68" s="2059"/>
      <c r="S68" s="2059"/>
      <c r="T68" s="2028">
        <f t="shared" si="92"/>
        <v>0</v>
      </c>
      <c r="U68" s="3284">
        <f t="shared" si="80"/>
        <v>0</v>
      </c>
      <c r="V68" s="3296"/>
      <c r="W68" s="2059"/>
      <c r="X68" s="2059"/>
      <c r="Y68" s="2028">
        <f t="shared" si="93"/>
        <v>0</v>
      </c>
      <c r="Z68" s="3284">
        <f t="shared" si="81"/>
        <v>0</v>
      </c>
      <c r="AA68" s="3894"/>
      <c r="AB68" s="2059"/>
      <c r="AC68" s="2059"/>
      <c r="AD68" s="2028">
        <f t="shared" si="94"/>
        <v>0</v>
      </c>
      <c r="AE68" s="3284">
        <f t="shared" si="82"/>
        <v>0</v>
      </c>
      <c r="AF68" s="3894"/>
      <c r="AG68" s="2059"/>
      <c r="AH68" s="2059"/>
      <c r="AI68" s="2028">
        <f t="shared" si="95"/>
        <v>0</v>
      </c>
      <c r="AJ68" s="3284" t="e">
        <f t="shared" si="7"/>
        <v>#DIV/0!</v>
      </c>
      <c r="AK68" s="3894"/>
      <c r="AL68" s="2059"/>
      <c r="AM68" s="2059"/>
      <c r="AN68" s="2028">
        <f t="shared" si="96"/>
        <v>0</v>
      </c>
      <c r="AO68" s="3284">
        <f t="shared" si="8"/>
        <v>0</v>
      </c>
      <c r="AP68" s="3894"/>
      <c r="AQ68" s="2027"/>
      <c r="AR68" s="2059"/>
      <c r="AS68" s="2028">
        <f t="shared" si="107"/>
        <v>0</v>
      </c>
      <c r="AT68" s="3284" t="e">
        <f t="shared" si="83"/>
        <v>#DIV/0!</v>
      </c>
      <c r="AU68" s="2062"/>
      <c r="AV68" s="2027"/>
      <c r="AW68" s="2059"/>
      <c r="AX68" s="2028">
        <f t="shared" si="108"/>
        <v>0</v>
      </c>
      <c r="AY68" s="3284">
        <f t="shared" si="84"/>
        <v>0</v>
      </c>
      <c r="AZ68" s="2062"/>
      <c r="BA68" s="2027"/>
      <c r="BB68" s="2059"/>
      <c r="BC68" s="2028">
        <f t="shared" si="109"/>
        <v>0</v>
      </c>
      <c r="BD68" s="3284">
        <f t="shared" si="85"/>
        <v>0</v>
      </c>
      <c r="BE68" s="2062"/>
      <c r="BF68" s="2059"/>
      <c r="BG68" s="2059"/>
      <c r="BH68" s="2028">
        <f t="shared" si="110"/>
        <v>0</v>
      </c>
      <c r="BI68" s="3284">
        <f t="shared" si="86"/>
        <v>0</v>
      </c>
      <c r="BJ68" s="2062"/>
      <c r="BK68" s="2059"/>
      <c r="BL68" s="2059"/>
      <c r="BM68" s="2028">
        <f t="shared" si="111"/>
        <v>0</v>
      </c>
      <c r="BN68" s="3284">
        <f t="shared" si="87"/>
        <v>0</v>
      </c>
      <c r="BO68" s="2062"/>
      <c r="BP68" s="2059"/>
      <c r="BQ68" s="2059"/>
      <c r="BR68" s="2028">
        <f t="shared" si="112"/>
        <v>0</v>
      </c>
      <c r="BS68" s="3284">
        <f t="shared" si="88"/>
        <v>0</v>
      </c>
      <c r="BT68" s="2062"/>
      <c r="BU68" s="2059"/>
      <c r="BV68" s="2059"/>
      <c r="BW68" s="2028">
        <f t="shared" si="113"/>
        <v>0</v>
      </c>
      <c r="BX68" s="3284">
        <f t="shared" si="89"/>
        <v>0</v>
      </c>
      <c r="BY68" s="2062"/>
      <c r="BZ68" s="2059">
        <f t="shared" si="104"/>
        <v>0</v>
      </c>
      <c r="CA68" s="2059">
        <f t="shared" si="104"/>
        <v>7012.86</v>
      </c>
      <c r="CB68" s="2028">
        <f t="shared" si="105"/>
        <v>7012.86</v>
      </c>
      <c r="CC68" s="3284">
        <f t="shared" si="71"/>
        <v>2.121968070949209E-4</v>
      </c>
      <c r="CD68" s="3295"/>
      <c r="CE68" s="842"/>
      <c r="CF68" s="842"/>
    </row>
    <row r="69" spans="1:84" s="1411" customFormat="1" ht="14.4" customHeight="1" x14ac:dyDescent="0.25">
      <c r="A69" s="1586"/>
      <c r="B69" s="3912" t="s">
        <v>42</v>
      </c>
      <c r="C69" s="3877"/>
      <c r="D69" s="3876"/>
      <c r="E69" s="3470">
        <f t="shared" si="90"/>
        <v>0</v>
      </c>
      <c r="F69" s="3284" t="e">
        <f t="shared" si="106"/>
        <v>#DIV/0!</v>
      </c>
      <c r="G69" s="2059">
        <v>1025</v>
      </c>
      <c r="H69" s="2059">
        <v>0</v>
      </c>
      <c r="I69" s="2028">
        <v>1025</v>
      </c>
      <c r="J69" s="1992">
        <v>1.2886726057730329E-4</v>
      </c>
      <c r="K69" s="1992"/>
      <c r="L69" s="2059">
        <v>0</v>
      </c>
      <c r="M69" s="2059">
        <v>0</v>
      </c>
      <c r="N69" s="2028">
        <f t="shared" si="91"/>
        <v>0</v>
      </c>
      <c r="O69" s="3284">
        <f t="shared" si="6"/>
        <v>0</v>
      </c>
      <c r="P69" s="3894"/>
      <c r="Q69" s="2002"/>
      <c r="R69" s="2059"/>
      <c r="S69" s="2059"/>
      <c r="T69" s="2028">
        <f t="shared" si="92"/>
        <v>0</v>
      </c>
      <c r="U69" s="3284">
        <f t="shared" si="80"/>
        <v>0</v>
      </c>
      <c r="V69" s="3541"/>
      <c r="W69" s="2059"/>
      <c r="X69" s="2059"/>
      <c r="Y69" s="2028">
        <f t="shared" si="93"/>
        <v>0</v>
      </c>
      <c r="Z69" s="3284">
        <f t="shared" si="81"/>
        <v>0</v>
      </c>
      <c r="AA69" s="3894"/>
      <c r="AB69" s="2059"/>
      <c r="AC69" s="2059"/>
      <c r="AD69" s="2028">
        <f t="shared" si="94"/>
        <v>0</v>
      </c>
      <c r="AE69" s="3284">
        <f t="shared" si="82"/>
        <v>0</v>
      </c>
      <c r="AF69" s="3894"/>
      <c r="AG69" s="2059"/>
      <c r="AH69" s="2059"/>
      <c r="AI69" s="2028">
        <f t="shared" si="95"/>
        <v>0</v>
      </c>
      <c r="AJ69" s="3284" t="e">
        <f t="shared" si="7"/>
        <v>#DIV/0!</v>
      </c>
      <c r="AK69" s="3894"/>
      <c r="AL69" s="2059"/>
      <c r="AM69" s="2059"/>
      <c r="AN69" s="2028">
        <f t="shared" si="96"/>
        <v>0</v>
      </c>
      <c r="AO69" s="3284">
        <f t="shared" si="8"/>
        <v>0</v>
      </c>
      <c r="AP69" s="3894"/>
      <c r="AQ69" s="2027"/>
      <c r="AR69" s="2059"/>
      <c r="AS69" s="2028">
        <f t="shared" si="107"/>
        <v>0</v>
      </c>
      <c r="AT69" s="3284" t="e">
        <f t="shared" si="83"/>
        <v>#DIV/0!</v>
      </c>
      <c r="AU69" s="3390"/>
      <c r="AV69" s="2027"/>
      <c r="AW69" s="2059"/>
      <c r="AX69" s="2028">
        <f t="shared" si="108"/>
        <v>0</v>
      </c>
      <c r="AY69" s="3284">
        <f t="shared" si="84"/>
        <v>0</v>
      </c>
      <c r="AZ69" s="3390"/>
      <c r="BA69" s="2027"/>
      <c r="BB69" s="2059"/>
      <c r="BC69" s="2028">
        <f t="shared" si="109"/>
        <v>0</v>
      </c>
      <c r="BD69" s="3284">
        <f t="shared" si="85"/>
        <v>0</v>
      </c>
      <c r="BE69" s="3390"/>
      <c r="BF69" s="2027"/>
      <c r="BG69" s="2059"/>
      <c r="BH69" s="2028">
        <f t="shared" si="110"/>
        <v>0</v>
      </c>
      <c r="BI69" s="3284">
        <f t="shared" si="86"/>
        <v>0</v>
      </c>
      <c r="BJ69" s="3390"/>
      <c r="BK69" s="2027"/>
      <c r="BL69" s="2059"/>
      <c r="BM69" s="2028">
        <f t="shared" si="111"/>
        <v>0</v>
      </c>
      <c r="BN69" s="3284">
        <f t="shared" si="87"/>
        <v>0</v>
      </c>
      <c r="BO69" s="3390"/>
      <c r="BP69" s="2027"/>
      <c r="BQ69" s="2059"/>
      <c r="BR69" s="2028">
        <f t="shared" si="112"/>
        <v>0</v>
      </c>
      <c r="BS69" s="3284">
        <f t="shared" si="88"/>
        <v>0</v>
      </c>
      <c r="BT69" s="3390"/>
      <c r="BU69" s="2027"/>
      <c r="BV69" s="2059"/>
      <c r="BW69" s="2028">
        <f t="shared" si="113"/>
        <v>0</v>
      </c>
      <c r="BX69" s="3284">
        <f t="shared" si="89"/>
        <v>0</v>
      </c>
      <c r="BY69" s="3390"/>
      <c r="BZ69" s="2059">
        <f t="shared" si="104"/>
        <v>1025</v>
      </c>
      <c r="CA69" s="2059">
        <f t="shared" si="104"/>
        <v>0</v>
      </c>
      <c r="CB69" s="2028">
        <f t="shared" si="105"/>
        <v>1025</v>
      </c>
      <c r="CC69" s="3284">
        <f t="shared" si="71"/>
        <v>3.1014696895744947E-5</v>
      </c>
      <c r="CD69" s="3295"/>
      <c r="CE69" s="842"/>
      <c r="CF69" s="842"/>
    </row>
    <row r="70" spans="1:84" s="1411" customFormat="1" ht="14.4" customHeight="1" x14ac:dyDescent="0.25">
      <c r="A70" s="1586"/>
      <c r="B70" s="3912" t="s">
        <v>6</v>
      </c>
      <c r="C70" s="3877"/>
      <c r="D70" s="3876"/>
      <c r="E70" s="3470">
        <f t="shared" si="90"/>
        <v>0</v>
      </c>
      <c r="F70" s="3284" t="e">
        <f t="shared" si="106"/>
        <v>#DIV/0!</v>
      </c>
      <c r="G70" s="2059">
        <v>0</v>
      </c>
      <c r="H70" s="2059">
        <v>0</v>
      </c>
      <c r="I70" s="2028">
        <v>0</v>
      </c>
      <c r="J70" s="1992">
        <v>0</v>
      </c>
      <c r="K70" s="1992"/>
      <c r="L70" s="2059">
        <v>0</v>
      </c>
      <c r="M70" s="2059">
        <v>0</v>
      </c>
      <c r="N70" s="2028">
        <f t="shared" si="91"/>
        <v>0</v>
      </c>
      <c r="O70" s="3284">
        <f t="shared" si="6"/>
        <v>0</v>
      </c>
      <c r="P70" s="3894"/>
      <c r="Q70" s="2002"/>
      <c r="R70" s="2059"/>
      <c r="S70" s="2059"/>
      <c r="T70" s="2028">
        <f t="shared" si="92"/>
        <v>0</v>
      </c>
      <c r="U70" s="3284">
        <f t="shared" si="80"/>
        <v>0</v>
      </c>
      <c r="V70" s="3296"/>
      <c r="W70" s="2059"/>
      <c r="X70" s="2059"/>
      <c r="Y70" s="2028">
        <f t="shared" si="93"/>
        <v>0</v>
      </c>
      <c r="Z70" s="3284">
        <f t="shared" si="81"/>
        <v>0</v>
      </c>
      <c r="AA70" s="3894"/>
      <c r="AB70" s="2059"/>
      <c r="AC70" s="2059"/>
      <c r="AD70" s="2028">
        <f t="shared" si="94"/>
        <v>0</v>
      </c>
      <c r="AE70" s="3284">
        <f t="shared" si="82"/>
        <v>0</v>
      </c>
      <c r="AF70" s="3894"/>
      <c r="AG70" s="2059"/>
      <c r="AH70" s="2059"/>
      <c r="AI70" s="2028">
        <f t="shared" si="95"/>
        <v>0</v>
      </c>
      <c r="AJ70" s="3284" t="e">
        <f t="shared" si="7"/>
        <v>#DIV/0!</v>
      </c>
      <c r="AK70" s="3894"/>
      <c r="AL70" s="2059"/>
      <c r="AM70" s="2059"/>
      <c r="AN70" s="2028">
        <f t="shared" si="96"/>
        <v>0</v>
      </c>
      <c r="AO70" s="3284">
        <f t="shared" si="8"/>
        <v>0</v>
      </c>
      <c r="AP70" s="3894"/>
      <c r="AQ70" s="2027"/>
      <c r="AR70" s="2067"/>
      <c r="AS70" s="2028">
        <f t="shared" si="107"/>
        <v>0</v>
      </c>
      <c r="AT70" s="3284" t="e">
        <f t="shared" si="83"/>
        <v>#DIV/0!</v>
      </c>
      <c r="AU70" s="2062"/>
      <c r="AV70" s="2027"/>
      <c r="AW70" s="2067"/>
      <c r="AX70" s="2028">
        <f t="shared" si="108"/>
        <v>0</v>
      </c>
      <c r="AY70" s="3284">
        <f t="shared" si="84"/>
        <v>0</v>
      </c>
      <c r="AZ70" s="2062"/>
      <c r="BA70" s="2027"/>
      <c r="BB70" s="2067"/>
      <c r="BC70" s="2028">
        <f t="shared" si="109"/>
        <v>0</v>
      </c>
      <c r="BD70" s="3284">
        <f>BC70/BC$89</f>
        <v>0</v>
      </c>
      <c r="BE70" s="2062"/>
      <c r="BF70" s="2027"/>
      <c r="BG70" s="2067"/>
      <c r="BH70" s="2028">
        <f t="shared" si="110"/>
        <v>0</v>
      </c>
      <c r="BI70" s="3284">
        <f t="shared" si="86"/>
        <v>0</v>
      </c>
      <c r="BJ70" s="2062"/>
      <c r="BK70" s="2027"/>
      <c r="BL70" s="2067"/>
      <c r="BM70" s="2028">
        <f t="shared" si="111"/>
        <v>0</v>
      </c>
      <c r="BN70" s="3284">
        <f t="shared" si="87"/>
        <v>0</v>
      </c>
      <c r="BO70" s="2062"/>
      <c r="BP70" s="2027"/>
      <c r="BQ70" s="2067"/>
      <c r="BR70" s="2028">
        <f t="shared" si="112"/>
        <v>0</v>
      </c>
      <c r="BS70" s="3284">
        <f t="shared" si="88"/>
        <v>0</v>
      </c>
      <c r="BT70" s="2062"/>
      <c r="BU70" s="2027"/>
      <c r="BV70" s="2067"/>
      <c r="BW70" s="2028">
        <f t="shared" si="113"/>
        <v>0</v>
      </c>
      <c r="BX70" s="3284">
        <f t="shared" si="89"/>
        <v>0</v>
      </c>
      <c r="BY70" s="2062"/>
      <c r="BZ70" s="2059">
        <f t="shared" si="104"/>
        <v>0</v>
      </c>
      <c r="CA70" s="2059">
        <f t="shared" si="104"/>
        <v>0</v>
      </c>
      <c r="CB70" s="2028">
        <f t="shared" si="105"/>
        <v>0</v>
      </c>
      <c r="CC70" s="3284">
        <f t="shared" si="71"/>
        <v>0</v>
      </c>
      <c r="CD70" s="3295"/>
      <c r="CE70" s="842"/>
      <c r="CF70" s="842"/>
    </row>
    <row r="71" spans="1:84" s="1411" customFormat="1" ht="14.4" customHeight="1" x14ac:dyDescent="0.25">
      <c r="A71" s="1586"/>
      <c r="B71" s="3912" t="s">
        <v>78</v>
      </c>
      <c r="C71" s="3877"/>
      <c r="D71" s="3876"/>
      <c r="E71" s="3470">
        <f t="shared" si="90"/>
        <v>0</v>
      </c>
      <c r="F71" s="3228" t="e">
        <f t="shared" si="106"/>
        <v>#DIV/0!</v>
      </c>
      <c r="G71" s="2059">
        <v>0</v>
      </c>
      <c r="H71" s="2059">
        <v>0</v>
      </c>
      <c r="I71" s="2028">
        <v>0</v>
      </c>
      <c r="J71" s="3426">
        <v>0</v>
      </c>
      <c r="K71" s="1992"/>
      <c r="L71" s="2059">
        <v>0</v>
      </c>
      <c r="M71" s="2059">
        <v>0</v>
      </c>
      <c r="N71" s="2028">
        <f t="shared" si="91"/>
        <v>0</v>
      </c>
      <c r="O71" s="3284">
        <f t="shared" si="6"/>
        <v>0</v>
      </c>
      <c r="P71" s="3894"/>
      <c r="Q71" s="1713"/>
      <c r="R71" s="2059"/>
      <c r="S71" s="2059"/>
      <c r="T71" s="2028">
        <f t="shared" si="92"/>
        <v>0</v>
      </c>
      <c r="U71" s="3284">
        <f t="shared" si="80"/>
        <v>0</v>
      </c>
      <c r="V71" s="3296"/>
      <c r="W71" s="2059"/>
      <c r="X71" s="2059"/>
      <c r="Y71" s="2028">
        <f t="shared" si="93"/>
        <v>0</v>
      </c>
      <c r="Z71" s="3284">
        <f t="shared" si="81"/>
        <v>0</v>
      </c>
      <c r="AA71" s="3894"/>
      <c r="AB71" s="2059"/>
      <c r="AC71" s="2059"/>
      <c r="AD71" s="2028">
        <f t="shared" si="94"/>
        <v>0</v>
      </c>
      <c r="AE71" s="3284">
        <f t="shared" si="82"/>
        <v>0</v>
      </c>
      <c r="AF71" s="3894"/>
      <c r="AG71" s="2059"/>
      <c r="AH71" s="2059"/>
      <c r="AI71" s="2028">
        <f t="shared" si="95"/>
        <v>0</v>
      </c>
      <c r="AJ71" s="3284" t="e">
        <f t="shared" si="7"/>
        <v>#DIV/0!</v>
      </c>
      <c r="AK71" s="3894"/>
      <c r="AL71" s="2059"/>
      <c r="AM71" s="2059"/>
      <c r="AN71" s="2028">
        <f t="shared" si="96"/>
        <v>0</v>
      </c>
      <c r="AO71" s="3284">
        <f t="shared" si="8"/>
        <v>0</v>
      </c>
      <c r="AP71" s="3894"/>
      <c r="AQ71" s="2067"/>
      <c r="AR71" s="2059"/>
      <c r="AS71" s="2028">
        <f t="shared" si="107"/>
        <v>0</v>
      </c>
      <c r="AT71" s="3284" t="e">
        <f t="shared" si="83"/>
        <v>#DIV/0!</v>
      </c>
      <c r="AU71" s="2062"/>
      <c r="AV71" s="2067"/>
      <c r="AW71" s="2059"/>
      <c r="AX71" s="2028">
        <f t="shared" si="108"/>
        <v>0</v>
      </c>
      <c r="AY71" s="3284">
        <f t="shared" si="84"/>
        <v>0</v>
      </c>
      <c r="AZ71" s="2062"/>
      <c r="BA71" s="2067"/>
      <c r="BB71" s="2059"/>
      <c r="BC71" s="2028">
        <f t="shared" si="109"/>
        <v>0</v>
      </c>
      <c r="BD71" s="3284">
        <f t="shared" si="85"/>
        <v>0</v>
      </c>
      <c r="BE71" s="2062"/>
      <c r="BF71" s="2067"/>
      <c r="BG71" s="2059"/>
      <c r="BH71" s="2028">
        <f t="shared" si="110"/>
        <v>0</v>
      </c>
      <c r="BI71" s="3284">
        <f t="shared" si="86"/>
        <v>0</v>
      </c>
      <c r="BJ71" s="2062"/>
      <c r="BK71" s="2067"/>
      <c r="BL71" s="2059"/>
      <c r="BM71" s="2028">
        <f t="shared" si="111"/>
        <v>0</v>
      </c>
      <c r="BN71" s="3284">
        <f t="shared" si="87"/>
        <v>0</v>
      </c>
      <c r="BO71" s="2062"/>
      <c r="BP71" s="2067"/>
      <c r="BQ71" s="2059"/>
      <c r="BR71" s="2028">
        <f t="shared" si="112"/>
        <v>0</v>
      </c>
      <c r="BS71" s="3284">
        <f t="shared" si="88"/>
        <v>0</v>
      </c>
      <c r="BT71" s="2062"/>
      <c r="BU71" s="2067"/>
      <c r="BV71" s="2059"/>
      <c r="BW71" s="2028">
        <f t="shared" si="113"/>
        <v>0</v>
      </c>
      <c r="BX71" s="3284">
        <f t="shared" si="89"/>
        <v>0</v>
      </c>
      <c r="BY71" s="2062"/>
      <c r="BZ71" s="2059">
        <f t="shared" si="104"/>
        <v>0</v>
      </c>
      <c r="CA71" s="2059">
        <f t="shared" si="104"/>
        <v>0</v>
      </c>
      <c r="CB71" s="2028">
        <f t="shared" si="105"/>
        <v>0</v>
      </c>
      <c r="CC71" s="3284">
        <f t="shared" si="71"/>
        <v>0</v>
      </c>
      <c r="CD71" s="3295"/>
      <c r="CE71" s="842"/>
      <c r="CF71" s="842"/>
    </row>
    <row r="72" spans="1:84" s="1411" customFormat="1" ht="14.4" customHeight="1" thickBot="1" x14ac:dyDescent="0.3">
      <c r="A72" s="1586"/>
      <c r="B72" s="3913"/>
      <c r="C72" s="3879"/>
      <c r="D72" s="3880"/>
      <c r="E72" s="3914"/>
      <c r="F72" s="3228" t="e">
        <f t="shared" si="106"/>
        <v>#DIV/0!</v>
      </c>
      <c r="G72" s="2043"/>
      <c r="H72" s="2043"/>
      <c r="I72" s="2046"/>
      <c r="J72" s="1705">
        <v>0</v>
      </c>
      <c r="K72" s="1705"/>
      <c r="L72" s="2043"/>
      <c r="M72" s="2043"/>
      <c r="N72" s="2046"/>
      <c r="O72" s="3228"/>
      <c r="P72" s="3229"/>
      <c r="Q72" s="1713"/>
      <c r="R72" s="2043"/>
      <c r="S72" s="2043"/>
      <c r="T72" s="2046"/>
      <c r="U72" s="3228">
        <f t="shared" si="80"/>
        <v>0</v>
      </c>
      <c r="V72" s="3915"/>
      <c r="W72" s="2043"/>
      <c r="X72" s="2043"/>
      <c r="Y72" s="2046"/>
      <c r="Z72" s="3228">
        <f t="shared" si="81"/>
        <v>0</v>
      </c>
      <c r="AA72" s="3229"/>
      <c r="AB72" s="2043"/>
      <c r="AC72" s="2043"/>
      <c r="AD72" s="2046"/>
      <c r="AE72" s="3228">
        <f t="shared" si="82"/>
        <v>0</v>
      </c>
      <c r="AF72" s="3229"/>
      <c r="AG72" s="2043"/>
      <c r="AH72" s="2043"/>
      <c r="AI72" s="2046"/>
      <c r="AJ72" s="3228"/>
      <c r="AK72" s="3229"/>
      <c r="AL72" s="2043"/>
      <c r="AM72" s="2043"/>
      <c r="AN72" s="2046"/>
      <c r="AO72" s="3228"/>
      <c r="AP72" s="3229"/>
      <c r="AQ72" s="2045"/>
      <c r="AR72" s="2043"/>
      <c r="AS72" s="2046"/>
      <c r="AT72" s="3228"/>
      <c r="AU72" s="3881"/>
      <c r="AV72" s="2045"/>
      <c r="AW72" s="2043"/>
      <c r="AX72" s="2046"/>
      <c r="AY72" s="3228"/>
      <c r="AZ72" s="3881"/>
      <c r="BA72" s="2045"/>
      <c r="BB72" s="2043"/>
      <c r="BC72" s="2046"/>
      <c r="BD72" s="3228"/>
      <c r="BE72" s="3881"/>
      <c r="BF72" s="2045"/>
      <c r="BG72" s="2043"/>
      <c r="BH72" s="2046"/>
      <c r="BI72" s="3228"/>
      <c r="BJ72" s="3881"/>
      <c r="BK72" s="2045"/>
      <c r="BL72" s="2043"/>
      <c r="BM72" s="2046"/>
      <c r="BN72" s="3228"/>
      <c r="BO72" s="3881"/>
      <c r="BP72" s="2045"/>
      <c r="BQ72" s="2043"/>
      <c r="BR72" s="2046"/>
      <c r="BS72" s="3228"/>
      <c r="BT72" s="3881"/>
      <c r="BU72" s="2045"/>
      <c r="BV72" s="2043"/>
      <c r="BW72" s="2046"/>
      <c r="BX72" s="3228"/>
      <c r="BY72" s="3881"/>
      <c r="BZ72" s="2043"/>
      <c r="CA72" s="2043"/>
      <c r="CB72" s="2046"/>
      <c r="CC72" s="3228">
        <f t="shared" si="71"/>
        <v>0</v>
      </c>
      <c r="CD72" s="3229"/>
      <c r="CE72" s="842"/>
      <c r="CF72" s="842"/>
    </row>
    <row r="73" spans="1:84" s="1411" customFormat="1" ht="14.4" customHeight="1" thickBot="1" x14ac:dyDescent="0.3">
      <c r="A73" s="1586"/>
      <c r="B73" s="903" t="s">
        <v>4</v>
      </c>
      <c r="C73" s="1599">
        <f>C74</f>
        <v>0</v>
      </c>
      <c r="D73" s="843">
        <f>D74</f>
        <v>0</v>
      </c>
      <c r="E73" s="1599">
        <f>E74</f>
        <v>0</v>
      </c>
      <c r="F73" s="838" t="e">
        <f>E73/$E$89</f>
        <v>#DIV/0!</v>
      </c>
      <c r="G73" s="1599">
        <v>0</v>
      </c>
      <c r="H73" s="1704">
        <v>0</v>
      </c>
      <c r="I73" s="1703">
        <v>0</v>
      </c>
      <c r="J73" s="969"/>
      <c r="K73" s="969"/>
      <c r="L73" s="1599">
        <f>L74</f>
        <v>0</v>
      </c>
      <c r="M73" s="1704">
        <f>M74</f>
        <v>0</v>
      </c>
      <c r="N73" s="1703">
        <f>N74</f>
        <v>0</v>
      </c>
      <c r="O73" s="1704"/>
      <c r="P73" s="1704"/>
      <c r="Q73" s="2566"/>
      <c r="R73" s="1599">
        <f>R74</f>
        <v>0</v>
      </c>
      <c r="S73" s="1704">
        <f>S74</f>
        <v>0</v>
      </c>
      <c r="T73" s="1703">
        <f>T74</f>
        <v>0</v>
      </c>
      <c r="U73" s="1704"/>
      <c r="V73" s="1712"/>
      <c r="W73" s="1599">
        <f>W74</f>
        <v>0</v>
      </c>
      <c r="X73" s="1704">
        <f>X74</f>
        <v>0</v>
      </c>
      <c r="Y73" s="1703">
        <f>Y74</f>
        <v>0</v>
      </c>
      <c r="Z73" s="1704"/>
      <c r="AA73" s="1704"/>
      <c r="AB73" s="1599">
        <f>AB74</f>
        <v>0</v>
      </c>
      <c r="AC73" s="1704">
        <f>AC74</f>
        <v>0</v>
      </c>
      <c r="AD73" s="1703">
        <f>AD74</f>
        <v>0</v>
      </c>
      <c r="AE73" s="1704"/>
      <c r="AF73" s="1704"/>
      <c r="AG73" s="1599">
        <f>AG74</f>
        <v>0</v>
      </c>
      <c r="AH73" s="1704">
        <f>AH74</f>
        <v>0</v>
      </c>
      <c r="AI73" s="1703">
        <f>AI74</f>
        <v>0</v>
      </c>
      <c r="AJ73" s="1704"/>
      <c r="AK73" s="1704"/>
      <c r="AL73" s="1599">
        <f>AL74</f>
        <v>0</v>
      </c>
      <c r="AM73" s="1704">
        <f>AM74</f>
        <v>0</v>
      </c>
      <c r="AN73" s="1703">
        <f>AN74</f>
        <v>0</v>
      </c>
      <c r="AO73" s="1704"/>
      <c r="AP73" s="1704"/>
      <c r="AQ73" s="1599">
        <f>AQ74</f>
        <v>0</v>
      </c>
      <c r="AR73" s="1599">
        <f>AR74</f>
        <v>0</v>
      </c>
      <c r="AS73" s="1703">
        <f>AS74</f>
        <v>0</v>
      </c>
      <c r="AT73" s="1704" t="e">
        <f t="shared" ref="AT73:AT74" si="114">AS73/AS$89</f>
        <v>#DIV/0!</v>
      </c>
      <c r="AU73" s="1747"/>
      <c r="AV73" s="1599">
        <f>AV74</f>
        <v>0</v>
      </c>
      <c r="AW73" s="1599">
        <f>AW74</f>
        <v>0</v>
      </c>
      <c r="AX73" s="1703">
        <f>AX74</f>
        <v>0</v>
      </c>
      <c r="AY73" s="1704">
        <f t="shared" ref="AY73:AY74" si="115">AX73/AX$89</f>
        <v>0</v>
      </c>
      <c r="AZ73" s="1747"/>
      <c r="BA73" s="1599">
        <f>BA74</f>
        <v>0</v>
      </c>
      <c r="BB73" s="1599">
        <f>BB74</f>
        <v>0</v>
      </c>
      <c r="BC73" s="1703">
        <f>BC74</f>
        <v>0</v>
      </c>
      <c r="BD73" s="1704">
        <f t="shared" ref="BD73:BD74" si="116">BC73/BC$89</f>
        <v>0</v>
      </c>
      <c r="BE73" s="1747"/>
      <c r="BF73" s="1599">
        <f>BF74</f>
        <v>0</v>
      </c>
      <c r="BG73" s="1599">
        <f>BG74</f>
        <v>0</v>
      </c>
      <c r="BH73" s="1703">
        <f>BH74</f>
        <v>0</v>
      </c>
      <c r="BI73" s="1704">
        <f t="shared" ref="BI73:BI74" si="117">BH73/BH$89</f>
        <v>0</v>
      </c>
      <c r="BJ73" s="1747"/>
      <c r="BK73" s="1599">
        <f>BK74</f>
        <v>0</v>
      </c>
      <c r="BL73" s="1599">
        <f>BL74</f>
        <v>0</v>
      </c>
      <c r="BM73" s="1703">
        <f>BM74</f>
        <v>0</v>
      </c>
      <c r="BN73" s="1704">
        <f t="shared" ref="BN73:BN74" si="118">BM73/BM$89</f>
        <v>0</v>
      </c>
      <c r="BO73" s="1747"/>
      <c r="BP73" s="1599">
        <f>BP74</f>
        <v>0</v>
      </c>
      <c r="BQ73" s="1599">
        <f>BQ74</f>
        <v>0</v>
      </c>
      <c r="BR73" s="1703">
        <f>BR74</f>
        <v>0</v>
      </c>
      <c r="BS73" s="1704">
        <f t="shared" ref="BS73:BS74" si="119">BR73/BR$89</f>
        <v>0</v>
      </c>
      <c r="BT73" s="1747"/>
      <c r="BU73" s="1599">
        <f>BU74</f>
        <v>0</v>
      </c>
      <c r="BV73" s="1599">
        <f>BV74</f>
        <v>0</v>
      </c>
      <c r="BW73" s="1703">
        <f>BW74</f>
        <v>0</v>
      </c>
      <c r="BX73" s="1704">
        <f t="shared" ref="BX73:BX74" si="120">BW73/BW$89</f>
        <v>0</v>
      </c>
      <c r="BY73" s="1747"/>
      <c r="BZ73" s="1599">
        <f>BZ74</f>
        <v>0</v>
      </c>
      <c r="CA73" s="1704">
        <f>CA74</f>
        <v>0</v>
      </c>
      <c r="CB73" s="1703">
        <f>CB74</f>
        <v>0</v>
      </c>
      <c r="CC73" s="1704"/>
      <c r="CD73" s="1704"/>
      <c r="CE73" s="842"/>
      <c r="CF73" s="842"/>
    </row>
    <row r="74" spans="1:84" s="1411" customFormat="1" ht="14.4" customHeight="1" thickBot="1" x14ac:dyDescent="0.3">
      <c r="A74" s="1428"/>
      <c r="B74" s="1080" t="s">
        <v>64</v>
      </c>
      <c r="C74" s="1109">
        <f>C6*3%</f>
        <v>0</v>
      </c>
      <c r="D74" s="305"/>
      <c r="E74" s="306">
        <f>C74+D74</f>
        <v>0</v>
      </c>
      <c r="F74" s="307"/>
      <c r="G74" s="2059">
        <v>0</v>
      </c>
      <c r="H74" s="2059">
        <v>0</v>
      </c>
      <c r="I74" s="1663">
        <v>0</v>
      </c>
      <c r="J74" s="1727"/>
      <c r="K74" s="1727"/>
      <c r="L74" s="2059"/>
      <c r="M74" s="2059"/>
      <c r="N74" s="1754">
        <f>L74+M74*1</f>
        <v>0</v>
      </c>
      <c r="O74" s="1663"/>
      <c r="P74" s="1663"/>
      <c r="Q74" s="1740"/>
      <c r="R74" s="2059"/>
      <c r="S74" s="2059"/>
      <c r="T74" s="841">
        <f>R74+S74*1</f>
        <v>0</v>
      </c>
      <c r="U74" s="1663"/>
      <c r="V74" s="1663"/>
      <c r="W74" s="2059"/>
      <c r="X74" s="2059"/>
      <c r="Y74" s="1754">
        <f>W74+X74*1</f>
        <v>0</v>
      </c>
      <c r="Z74" s="1663"/>
      <c r="AA74" s="1663"/>
      <c r="AB74" s="2059"/>
      <c r="AC74" s="2059"/>
      <c r="AD74" s="1754">
        <f>AB74+AC74*1</f>
        <v>0</v>
      </c>
      <c r="AE74" s="1663"/>
      <c r="AF74" s="1663"/>
      <c r="AG74" s="2059"/>
      <c r="AH74" s="2059"/>
      <c r="AI74" s="1754">
        <f>AG74+AH74*1</f>
        <v>0</v>
      </c>
      <c r="AJ74" s="1663"/>
      <c r="AK74" s="1663"/>
      <c r="AL74" s="2059"/>
      <c r="AM74" s="2059"/>
      <c r="AN74" s="1754">
        <f>AL74+AM74*1</f>
        <v>0</v>
      </c>
      <c r="AO74" s="1663"/>
      <c r="AP74" s="1663"/>
      <c r="AQ74" s="2044"/>
      <c r="AR74" s="2041"/>
      <c r="AS74" s="1643">
        <f>AQ74+AR74*1</f>
        <v>0</v>
      </c>
      <c r="AT74" s="1679" t="e">
        <f t="shared" si="114"/>
        <v>#DIV/0!</v>
      </c>
      <c r="AU74" s="1690"/>
      <c r="AV74" s="2044"/>
      <c r="AW74" s="2041"/>
      <c r="AX74" s="1643">
        <f>AV74+AW74*1</f>
        <v>0</v>
      </c>
      <c r="AY74" s="1679">
        <f t="shared" si="115"/>
        <v>0</v>
      </c>
      <c r="AZ74" s="1690"/>
      <c r="BA74" s="2044"/>
      <c r="BB74" s="2041"/>
      <c r="BC74" s="1643">
        <f>BA74+BB74*1</f>
        <v>0</v>
      </c>
      <c r="BD74" s="1679">
        <f t="shared" si="116"/>
        <v>0</v>
      </c>
      <c r="BE74" s="1690"/>
      <c r="BF74" s="2044"/>
      <c r="BG74" s="2041"/>
      <c r="BH74" s="1643">
        <f>BF74+BG74*1</f>
        <v>0</v>
      </c>
      <c r="BI74" s="1679">
        <f t="shared" si="117"/>
        <v>0</v>
      </c>
      <c r="BJ74" s="1690"/>
      <c r="BK74" s="2044"/>
      <c r="BL74" s="2041"/>
      <c r="BM74" s="1643">
        <f>BK74+BL74*1</f>
        <v>0</v>
      </c>
      <c r="BN74" s="1679">
        <f t="shared" si="118"/>
        <v>0</v>
      </c>
      <c r="BO74" s="1690"/>
      <c r="BP74" s="2044"/>
      <c r="BQ74" s="2041"/>
      <c r="BR74" s="1643">
        <f>BP74+BQ74*1</f>
        <v>0</v>
      </c>
      <c r="BS74" s="1679">
        <f t="shared" si="119"/>
        <v>0</v>
      </c>
      <c r="BT74" s="1690"/>
      <c r="BU74" s="2044"/>
      <c r="BV74" s="2041"/>
      <c r="BW74" s="1643">
        <f>BU74+BV74*1</f>
        <v>0</v>
      </c>
      <c r="BX74" s="1679">
        <f t="shared" si="120"/>
        <v>0</v>
      </c>
      <c r="BY74" s="1690"/>
      <c r="BZ74" s="2059">
        <f t="shared" ref="BZ74" si="121">G74+L74+R74+W74+AB74+AG74+AL74+AQ74+AV74+BA74+BF74+BK74+BP74+BU74</f>
        <v>0</v>
      </c>
      <c r="CA74" s="2059">
        <f>H74+M74+S74+X74+AC74+AH74+AM74+AR74+AW74+BB74+BG74+BL74+BQ74+BV74</f>
        <v>0</v>
      </c>
      <c r="CB74" s="841">
        <f>BZ74+CA74*1</f>
        <v>0</v>
      </c>
      <c r="CC74" s="1663"/>
      <c r="CD74" s="1663"/>
      <c r="CE74" s="842"/>
      <c r="CF74" s="842"/>
    </row>
    <row r="75" spans="1:84" s="1411" customFormat="1" ht="14.4" customHeight="1" thickBot="1" x14ac:dyDescent="0.3">
      <c r="A75" s="1414"/>
      <c r="B75" s="1431" t="s">
        <v>48</v>
      </c>
      <c r="C75" s="1974">
        <f>C38-C41-C50-C54</f>
        <v>0</v>
      </c>
      <c r="D75" s="1974">
        <f>D38-D41-D50-D54</f>
        <v>0</v>
      </c>
      <c r="E75" s="1523">
        <f>E38-E41-E50-E54</f>
        <v>0</v>
      </c>
      <c r="F75" s="1551"/>
      <c r="G75" s="1465">
        <v>6117502.4199999999</v>
      </c>
      <c r="H75" s="1465">
        <v>-898669.99419090908</v>
      </c>
      <c r="I75" s="1523">
        <v>5218832.42580909</v>
      </c>
      <c r="J75" s="1728"/>
      <c r="K75" s="1728"/>
      <c r="L75" s="1465">
        <f>L38-L41-L50-L54</f>
        <v>9578726.5512400009</v>
      </c>
      <c r="M75" s="1465">
        <f>M38-M41-M50-M54</f>
        <v>-1364410.13</v>
      </c>
      <c r="N75" s="1523">
        <f>N38-N41-N50-N54</f>
        <v>8214316.421240001</v>
      </c>
      <c r="O75" s="1969"/>
      <c r="P75" s="1969"/>
      <c r="Q75" s="1551"/>
      <c r="R75" s="1465">
        <f>R38-R41-R50-R54</f>
        <v>-5977252.04</v>
      </c>
      <c r="S75" s="1465">
        <f>S38-S41-S50-S54</f>
        <v>0</v>
      </c>
      <c r="T75" s="1523">
        <f>T38-T41-T50-T54</f>
        <v>-5977252.04</v>
      </c>
      <c r="U75" s="1969"/>
      <c r="V75" s="1614"/>
      <c r="W75" s="1465">
        <f>W38-W41-W50-W54</f>
        <v>-27000</v>
      </c>
      <c r="X75" s="1465">
        <f>X38-X41-X50-X54</f>
        <v>0</v>
      </c>
      <c r="Y75" s="1523">
        <f>Y38-Y41-Y50-Y54</f>
        <v>-27000</v>
      </c>
      <c r="Z75" s="1969"/>
      <c r="AA75" s="1969"/>
      <c r="AB75" s="1465">
        <f>AB38-AB41-AB50-AB54</f>
        <v>0</v>
      </c>
      <c r="AC75" s="1465">
        <f>AC38-AC41-AC50-AC54</f>
        <v>-40</v>
      </c>
      <c r="AD75" s="1523">
        <f>AD38-AD41-AD50-AD54</f>
        <v>-40</v>
      </c>
      <c r="AE75" s="1969"/>
      <c r="AF75" s="1969"/>
      <c r="AG75" s="1465">
        <f>AG38-AG41-AG50-AG54</f>
        <v>0</v>
      </c>
      <c r="AH75" s="1465">
        <f>AH38-AH41-AH50-AH54</f>
        <v>0</v>
      </c>
      <c r="AI75" s="1523">
        <f>AI38-AI41-AI50-AI54</f>
        <v>0</v>
      </c>
      <c r="AJ75" s="1969"/>
      <c r="AK75" s="1969"/>
      <c r="AL75" s="1465">
        <f>AL38-AL41-AL50-AL54</f>
        <v>1211745.4800000004</v>
      </c>
      <c r="AM75" s="1465">
        <f>AM38-AM41-AM50-AM54</f>
        <v>0</v>
      </c>
      <c r="AN75" s="1523">
        <f>AN38-AN41-AN50-AN54</f>
        <v>1211745.4800000004</v>
      </c>
      <c r="AO75" s="1969"/>
      <c r="AP75" s="1969"/>
      <c r="AQ75" s="1465">
        <f>AQ38-AQ41-AQ50-AQ54</f>
        <v>0</v>
      </c>
      <c r="AR75" s="1465">
        <f>AR38-AR41-AR50-AR54</f>
        <v>0</v>
      </c>
      <c r="AS75" s="1523">
        <f>AS38-AS41-AS50-AS54</f>
        <v>0</v>
      </c>
      <c r="AT75" s="1969"/>
      <c r="AU75" s="1675"/>
      <c r="AV75" s="1465">
        <f>AV38-AV41-AV50-AV54</f>
        <v>5121.2600000000093</v>
      </c>
      <c r="AW75" s="1465">
        <f>AW38-AW41-AW50-AW54</f>
        <v>0</v>
      </c>
      <c r="AX75" s="1523">
        <f>AX38-AX41-AX50-AX54</f>
        <v>5121.2600000000093</v>
      </c>
      <c r="AY75" s="1969"/>
      <c r="AZ75" s="1675"/>
      <c r="BA75" s="1465">
        <f>BA38-BA41-BA50-BA54</f>
        <v>-55.01</v>
      </c>
      <c r="BB75" s="1465">
        <f>BB38-BB41-BB50-BB54</f>
        <v>-80</v>
      </c>
      <c r="BC75" s="1523">
        <f>BC38-BC41-BC50-BC54</f>
        <v>-135.01</v>
      </c>
      <c r="BD75" s="1969"/>
      <c r="BE75" s="1675"/>
      <c r="BF75" s="1465">
        <f>BF38-BF41-BF50-BF54</f>
        <v>-55.01</v>
      </c>
      <c r="BG75" s="1465">
        <f>BG38-BG41-BG50-BG54</f>
        <v>0</v>
      </c>
      <c r="BH75" s="1523">
        <f>BH38-BH41-BH50-BH54</f>
        <v>-55.01</v>
      </c>
      <c r="BI75" s="1969"/>
      <c r="BJ75" s="1675"/>
      <c r="BK75" s="1465">
        <f>BK38-BK41-BK50-BK54</f>
        <v>-55.01</v>
      </c>
      <c r="BL75" s="1465">
        <f>BL38-BL41-BL50-BL54</f>
        <v>0</v>
      </c>
      <c r="BM75" s="1523">
        <f>BM38-BM41-BM50-BM54</f>
        <v>-55.01</v>
      </c>
      <c r="BN75" s="1969"/>
      <c r="BO75" s="1675"/>
      <c r="BP75" s="1465">
        <f>BP38-BP41-BP50-BP54</f>
        <v>0</v>
      </c>
      <c r="BQ75" s="1465">
        <f>BQ38-BQ41-BQ50-BQ54</f>
        <v>0</v>
      </c>
      <c r="BR75" s="1523">
        <f>BR38-BR41-BR50-BR54</f>
        <v>0</v>
      </c>
      <c r="BS75" s="1969"/>
      <c r="BT75" s="1675"/>
      <c r="BU75" s="1465">
        <f>BU38-BU41-BU50-BU54</f>
        <v>0</v>
      </c>
      <c r="BV75" s="1465">
        <f>BV38-BV41-BV50-BV54</f>
        <v>-129.5</v>
      </c>
      <c r="BW75" s="1523">
        <f>BW38-BW41-BW50-BW54</f>
        <v>-129.5</v>
      </c>
      <c r="BX75" s="1969"/>
      <c r="BY75" s="1675"/>
      <c r="BZ75" s="1465">
        <f>BZ38-BZ41-BZ50-BZ54</f>
        <v>13485500.939132931</v>
      </c>
      <c r="CA75" s="1465">
        <f>CA38-CA41-CA50-CA54</f>
        <v>-2406776.824190909</v>
      </c>
      <c r="CB75" s="1523">
        <f>CB38-CB41-CB50-CB54</f>
        <v>11078724.114942016</v>
      </c>
      <c r="CC75" s="1969"/>
      <c r="CD75" s="1969"/>
      <c r="CE75" s="842"/>
      <c r="CF75" s="842"/>
    </row>
    <row r="76" spans="1:84" s="1411" customFormat="1" ht="14.4" customHeight="1" x14ac:dyDescent="0.25">
      <c r="A76" s="1581"/>
      <c r="B76" s="1444" t="s">
        <v>49</v>
      </c>
      <c r="C76" s="1540" t="e">
        <f>C75/C5</f>
        <v>#DIV/0!</v>
      </c>
      <c r="D76" s="1540" t="e">
        <f>D75/D5</f>
        <v>#DIV/0!</v>
      </c>
      <c r="E76" s="1541" t="e">
        <f>E75/E5</f>
        <v>#DIV/0!</v>
      </c>
      <c r="F76" s="1546"/>
      <c r="G76" s="2019">
        <v>0.46910630471699688</v>
      </c>
      <c r="H76" s="2019" t="e">
        <v>#DIV/0!</v>
      </c>
      <c r="I76" s="2020">
        <v>0.40019390694553136</v>
      </c>
      <c r="J76" s="1724"/>
      <c r="K76" s="1724"/>
      <c r="L76" s="2019">
        <f>L75/L5</f>
        <v>0.81434974066437138</v>
      </c>
      <c r="M76" s="2019" t="e">
        <f>M75/M5</f>
        <v>#DIV/0!</v>
      </c>
      <c r="N76" s="2020">
        <f>N75/N5</f>
        <v>0.69835237613145185</v>
      </c>
      <c r="O76" s="2020"/>
      <c r="P76" s="2020"/>
      <c r="Q76" s="1546"/>
      <c r="R76" s="2019" t="e">
        <f>R75/R5</f>
        <v>#DIV/0!</v>
      </c>
      <c r="S76" s="2019" t="e">
        <f>S75/S5</f>
        <v>#DIV/0!</v>
      </c>
      <c r="T76" s="2020" t="e">
        <f>T75/T5</f>
        <v>#DIV/0!</v>
      </c>
      <c r="U76" s="2020"/>
      <c r="V76" s="2038"/>
      <c r="W76" s="2019" t="e">
        <f>W75/W5</f>
        <v>#DIV/0!</v>
      </c>
      <c r="X76" s="2019" t="e">
        <f>X75/X5</f>
        <v>#DIV/0!</v>
      </c>
      <c r="Y76" s="2020" t="e">
        <f>Y75/Y5</f>
        <v>#DIV/0!</v>
      </c>
      <c r="Z76" s="2020"/>
      <c r="AA76" s="2020"/>
      <c r="AB76" s="2019" t="e">
        <f>AB75/AB5</f>
        <v>#DIV/0!</v>
      </c>
      <c r="AC76" s="2019" t="e">
        <f>AC75/AC5</f>
        <v>#DIV/0!</v>
      </c>
      <c r="AD76" s="2020" t="e">
        <f>AD75/AD5</f>
        <v>#DIV/0!</v>
      </c>
      <c r="AE76" s="2020"/>
      <c r="AF76" s="2020"/>
      <c r="AG76" s="2019" t="e">
        <f>AG75/AG5</f>
        <v>#DIV/0!</v>
      </c>
      <c r="AH76" s="2019" t="e">
        <f>AH75/AH5</f>
        <v>#DIV/0!</v>
      </c>
      <c r="AI76" s="2020" t="e">
        <f>AI75/AI5</f>
        <v>#DIV/0!</v>
      </c>
      <c r="AJ76" s="2020"/>
      <c r="AK76" s="2020"/>
      <c r="AL76" s="2019">
        <f>AL75/AL5</f>
        <v>0.11737213087054102</v>
      </c>
      <c r="AM76" s="2019" t="e">
        <f>AM75/AM5</f>
        <v>#DIV/0!</v>
      </c>
      <c r="AN76" s="2020">
        <f>AN75/AN5</f>
        <v>0.11737213087054102</v>
      </c>
      <c r="AO76" s="2020"/>
      <c r="AP76" s="2020"/>
      <c r="AQ76" s="2019" t="e">
        <f>AQ75/AQ5</f>
        <v>#DIV/0!</v>
      </c>
      <c r="AR76" s="2019" t="e">
        <f>AR75/AR5</f>
        <v>#DIV/0!</v>
      </c>
      <c r="AS76" s="2020" t="e">
        <f>AS75/AS5</f>
        <v>#DIV/0!</v>
      </c>
      <c r="AT76" s="2020"/>
      <c r="AU76" s="1676"/>
      <c r="AV76" s="2019">
        <f>AV75/AV5</f>
        <v>6.115169069213452E-3</v>
      </c>
      <c r="AW76" s="2019" t="e">
        <f>AW75/AW5</f>
        <v>#DIV/0!</v>
      </c>
      <c r="AX76" s="2020">
        <f>AX75/AX5</f>
        <v>6.115169069213452E-3</v>
      </c>
      <c r="AY76" s="2020"/>
      <c r="AZ76" s="1676"/>
      <c r="BA76" s="2019" t="e">
        <f>BA75/BA5</f>
        <v>#DIV/0!</v>
      </c>
      <c r="BB76" s="2019" t="e">
        <f>BB75/BB5</f>
        <v>#DIV/0!</v>
      </c>
      <c r="BC76" s="2020" t="e">
        <f>BC75/BC5</f>
        <v>#DIV/0!</v>
      </c>
      <c r="BD76" s="2020"/>
      <c r="BE76" s="1676"/>
      <c r="BF76" s="2019" t="e">
        <f>BF75/BF5</f>
        <v>#DIV/0!</v>
      </c>
      <c r="BG76" s="2019" t="e">
        <f>BG75/BG5</f>
        <v>#DIV/0!</v>
      </c>
      <c r="BH76" s="2020" t="e">
        <f>BH75/BH5</f>
        <v>#DIV/0!</v>
      </c>
      <c r="BI76" s="2020"/>
      <c r="BJ76" s="1676"/>
      <c r="BK76" s="2019" t="e">
        <f>BK75/BK5</f>
        <v>#DIV/0!</v>
      </c>
      <c r="BL76" s="2019" t="e">
        <f>BL75/BL5</f>
        <v>#DIV/0!</v>
      </c>
      <c r="BM76" s="2020" t="e">
        <f>BM75/BM5</f>
        <v>#DIV/0!</v>
      </c>
      <c r="BN76" s="2020"/>
      <c r="BO76" s="1676"/>
      <c r="BP76" s="2019" t="e">
        <f>BP75/BP5</f>
        <v>#DIV/0!</v>
      </c>
      <c r="BQ76" s="2019" t="e">
        <f>BQ75/BQ5</f>
        <v>#DIV/0!</v>
      </c>
      <c r="BR76" s="2020" t="e">
        <f>BR75/BR5</f>
        <v>#DIV/0!</v>
      </c>
      <c r="BS76" s="2020"/>
      <c r="BT76" s="1676"/>
      <c r="BU76" s="2019" t="e">
        <f>BU75/BU5</f>
        <v>#DIV/0!</v>
      </c>
      <c r="BV76" s="2019" t="e">
        <f>BV75/BV5</f>
        <v>#DIV/0!</v>
      </c>
      <c r="BW76" s="2020" t="e">
        <f>BW75/BW5</f>
        <v>#DIV/0!</v>
      </c>
      <c r="BX76" s="2020"/>
      <c r="BY76" s="1676"/>
      <c r="BZ76" s="2019">
        <f>BZ75/BZ5</f>
        <v>0.30787056510627919</v>
      </c>
      <c r="CA76" s="2019" t="e">
        <f>CA75/CA5</f>
        <v>#DIV/0!</v>
      </c>
      <c r="CB76" s="2020">
        <f>CB75/CB5</f>
        <v>0.25292446082044201</v>
      </c>
      <c r="CC76" s="2020"/>
      <c r="CD76" s="2020"/>
      <c r="CE76" s="842"/>
      <c r="CF76" s="842"/>
    </row>
    <row r="77" spans="1:84" s="1411" customFormat="1" ht="14.4" customHeight="1" thickBot="1" x14ac:dyDescent="0.3">
      <c r="A77" s="1581"/>
      <c r="B77" s="3331" t="s">
        <v>9</v>
      </c>
      <c r="C77" s="2865">
        <f>C78-C79</f>
        <v>0</v>
      </c>
      <c r="D77" s="2865">
        <f>D78-D79</f>
        <v>0</v>
      </c>
      <c r="E77" s="2866">
        <f>E78-E79</f>
        <v>0</v>
      </c>
      <c r="F77" s="2867"/>
      <c r="G77" s="2865">
        <v>0</v>
      </c>
      <c r="H77" s="2865">
        <v>0</v>
      </c>
      <c r="I77" s="2866">
        <v>-131994.01729198068</v>
      </c>
      <c r="J77" s="3882"/>
      <c r="K77" s="3882"/>
      <c r="L77" s="2865">
        <f>L78-L79</f>
        <v>0</v>
      </c>
      <c r="M77" s="2865">
        <f>M78-M79</f>
        <v>0</v>
      </c>
      <c r="N77" s="2866">
        <f>N78-N79</f>
        <v>-190403.46751416908</v>
      </c>
      <c r="O77" s="2868"/>
      <c r="P77" s="2868"/>
      <c r="Q77" s="2867"/>
      <c r="R77" s="2865">
        <f>R78-R79</f>
        <v>0</v>
      </c>
      <c r="S77" s="2865">
        <f>S78-S79</f>
        <v>0</v>
      </c>
      <c r="T77" s="2866">
        <f>T78-T79</f>
        <v>0</v>
      </c>
      <c r="U77" s="2868"/>
      <c r="V77" s="3916"/>
      <c r="W77" s="2865">
        <f>W78-W79</f>
        <v>0</v>
      </c>
      <c r="X77" s="2865">
        <f>X78-X79</f>
        <v>0</v>
      </c>
      <c r="Y77" s="2866">
        <f>Y78-Y79</f>
        <v>0</v>
      </c>
      <c r="Z77" s="2868"/>
      <c r="AA77" s="2868"/>
      <c r="AB77" s="2865">
        <f>AB78-AB79</f>
        <v>0</v>
      </c>
      <c r="AC77" s="2865">
        <f>AC78-AC79</f>
        <v>0</v>
      </c>
      <c r="AD77" s="2866">
        <f>AD78-AD79</f>
        <v>-5.3897571692535289</v>
      </c>
      <c r="AE77" s="2868"/>
      <c r="AF77" s="2868"/>
      <c r="AG77" s="2865">
        <f>AG78-AG79</f>
        <v>0</v>
      </c>
      <c r="AH77" s="2865">
        <f>AH78-AH79</f>
        <v>0</v>
      </c>
      <c r="AI77" s="2866">
        <f>AI78-AI79</f>
        <v>0</v>
      </c>
      <c r="AJ77" s="2868"/>
      <c r="AK77" s="2868"/>
      <c r="AL77" s="2865">
        <f>AL78-AL79</f>
        <v>0</v>
      </c>
      <c r="AM77" s="2865">
        <f>AM78-AM79</f>
        <v>0</v>
      </c>
      <c r="AN77" s="2866">
        <f>AN78-AN79</f>
        <v>0</v>
      </c>
      <c r="AO77" s="2868"/>
      <c r="AP77" s="2868"/>
      <c r="AQ77" s="2865">
        <f>AQ78-AQ79</f>
        <v>0</v>
      </c>
      <c r="AR77" s="2865">
        <f>AR78-AR79</f>
        <v>0</v>
      </c>
      <c r="AS77" s="2866">
        <f>AS78-AS79</f>
        <v>0</v>
      </c>
      <c r="AT77" s="2868" t="e">
        <f t="shared" ref="AT77" si="122">AS77/AS$89</f>
        <v>#DIV/0!</v>
      </c>
      <c r="AU77" s="2869"/>
      <c r="AV77" s="2865">
        <f>AV78-AV79</f>
        <v>0</v>
      </c>
      <c r="AW77" s="2865">
        <f>AW78-AW79</f>
        <v>0</v>
      </c>
      <c r="AX77" s="2866">
        <f>AX78-AX79</f>
        <v>0</v>
      </c>
      <c r="AY77" s="2868">
        <f t="shared" ref="AY77" si="123">AX77/AX$89</f>
        <v>0</v>
      </c>
      <c r="AZ77" s="2869"/>
      <c r="BA77" s="2865">
        <f>BA78-BA79</f>
        <v>0</v>
      </c>
      <c r="BB77" s="2865">
        <f>BB78-BB79</f>
        <v>0</v>
      </c>
      <c r="BC77" s="2866">
        <f>BC78-BC79</f>
        <v>-9.3303786892208898</v>
      </c>
      <c r="BD77" s="2868">
        <f t="shared" ref="BD77" si="124">BC77/BC$89</f>
        <v>-6.4641500694065102E-2</v>
      </c>
      <c r="BE77" s="2869"/>
      <c r="BF77" s="2865">
        <f>BF78-BF79</f>
        <v>0</v>
      </c>
      <c r="BG77" s="2865">
        <f>BG78-BG79</f>
        <v>0</v>
      </c>
      <c r="BH77" s="2866">
        <f>BH78-BH79</f>
        <v>0</v>
      </c>
      <c r="BI77" s="2868">
        <f t="shared" ref="BI77" si="125">BH77/BH$89</f>
        <v>0</v>
      </c>
      <c r="BJ77" s="2869"/>
      <c r="BK77" s="2865">
        <f>BK78-BK79</f>
        <v>0</v>
      </c>
      <c r="BL77" s="2865">
        <f>BL78-BL79</f>
        <v>0</v>
      </c>
      <c r="BM77" s="2866">
        <f>BM78-BM79</f>
        <v>0</v>
      </c>
      <c r="BN77" s="2868">
        <f t="shared" ref="BN77" si="126">BM77/BM$89</f>
        <v>0</v>
      </c>
      <c r="BO77" s="2869"/>
      <c r="BP77" s="2865">
        <f>BP78-BP79</f>
        <v>0</v>
      </c>
      <c r="BQ77" s="2865">
        <f>BQ78-BQ79</f>
        <v>0</v>
      </c>
      <c r="BR77" s="2866">
        <f>BR78-BR79</f>
        <v>0</v>
      </c>
      <c r="BS77" s="2868">
        <f t="shared" ref="BS77" si="127">BR77/BR$89</f>
        <v>0</v>
      </c>
      <c r="BT77" s="2869"/>
      <c r="BU77" s="2865">
        <f>BU78-BU79</f>
        <v>-18.618003215537286</v>
      </c>
      <c r="BV77" s="2865">
        <f>BV78-BV79</f>
        <v>0</v>
      </c>
      <c r="BW77" s="2866">
        <f>BW78-BW79</f>
        <v>-18.618003215537286</v>
      </c>
      <c r="BX77" s="2868">
        <f t="shared" ref="BX77" si="128">BW77/BW$89</f>
        <v>-0.12569709833614809</v>
      </c>
      <c r="BY77" s="2869"/>
      <c r="BZ77" s="2865">
        <f>BZ78-BZ79</f>
        <v>-18.618003215537286</v>
      </c>
      <c r="CA77" s="2865">
        <f>CA78-CA79</f>
        <v>0</v>
      </c>
      <c r="CB77" s="2866">
        <f>CB78-CB79</f>
        <v>-322430.82294522371</v>
      </c>
      <c r="CC77" s="2868"/>
      <c r="CD77" s="2868"/>
      <c r="CE77" s="842"/>
      <c r="CF77" s="842"/>
    </row>
    <row r="78" spans="1:84" s="1411" customFormat="1" ht="14.4" customHeight="1" x14ac:dyDescent="0.25">
      <c r="A78" s="1420"/>
      <c r="B78" s="1415" t="s">
        <v>43</v>
      </c>
      <c r="C78" s="1525"/>
      <c r="D78" s="1526"/>
      <c r="E78" s="3869">
        <f>C78+D78*1.15</f>
        <v>0</v>
      </c>
      <c r="F78" s="1562"/>
      <c r="G78" s="2059">
        <v>0</v>
      </c>
      <c r="H78" s="2059">
        <v>0</v>
      </c>
      <c r="I78" s="1467">
        <v>0</v>
      </c>
      <c r="J78" s="1730"/>
      <c r="K78" s="1730"/>
      <c r="L78" s="2059"/>
      <c r="M78" s="2059"/>
      <c r="N78" s="2129">
        <v>0</v>
      </c>
      <c r="O78" s="3917">
        <f t="shared" ref="O78:O79" si="129">N78/N$89</f>
        <v>0</v>
      </c>
      <c r="P78" s="1467"/>
      <c r="Q78" s="2569"/>
      <c r="R78" s="2059"/>
      <c r="S78" s="2059"/>
      <c r="T78" s="2028">
        <f>R78+S78*1.15</f>
        <v>0</v>
      </c>
      <c r="U78" s="1467"/>
      <c r="V78" s="1451"/>
      <c r="W78" s="2059"/>
      <c r="X78" s="2059"/>
      <c r="Y78" s="2129">
        <f>W78+X78*1.15</f>
        <v>0</v>
      </c>
      <c r="Z78" s="2130"/>
      <c r="AA78" s="1467"/>
      <c r="AB78" s="2059"/>
      <c r="AC78" s="2059"/>
      <c r="AD78" s="2129">
        <f>AB78+AC78*1.15</f>
        <v>0</v>
      </c>
      <c r="AE78" s="2130"/>
      <c r="AF78" s="1467"/>
      <c r="AG78" s="2059"/>
      <c r="AH78" s="2059"/>
      <c r="AI78" s="2129">
        <f>AG78+AH78*1.15</f>
        <v>0</v>
      </c>
      <c r="AJ78" s="3917" t="e">
        <f t="shared" ref="AJ78:AJ79" si="130">AI78/AI$89</f>
        <v>#DIV/0!</v>
      </c>
      <c r="AK78" s="1467"/>
      <c r="AL78" s="2059"/>
      <c r="AM78" s="2059"/>
      <c r="AN78" s="2129">
        <f>AL78+AM78</f>
        <v>0</v>
      </c>
      <c r="AO78" s="3917">
        <f t="shared" ref="AO78:AO79" si="131">AN78/AN$89</f>
        <v>0</v>
      </c>
      <c r="AP78" s="1467"/>
      <c r="AQ78" s="2067"/>
      <c r="AR78" s="2059"/>
      <c r="AS78" s="2129">
        <f>AQ78+AR78</f>
        <v>0</v>
      </c>
      <c r="AT78" s="3284">
        <f>AS78/$AN$89</f>
        <v>0</v>
      </c>
      <c r="AU78" s="1677"/>
      <c r="AV78" s="2067"/>
      <c r="AW78" s="2059"/>
      <c r="AX78" s="2129">
        <f>AV78+AW78</f>
        <v>0</v>
      </c>
      <c r="AY78" s="3284">
        <f>AX78/$AN$89</f>
        <v>0</v>
      </c>
      <c r="AZ78" s="1677"/>
      <c r="BA78" s="2067"/>
      <c r="BB78" s="2059"/>
      <c r="BC78" s="2129">
        <f>BA78+BB78</f>
        <v>0</v>
      </c>
      <c r="BD78" s="3284">
        <f>BC78/$AN$89</f>
        <v>0</v>
      </c>
      <c r="BE78" s="1677"/>
      <c r="BF78" s="1633"/>
      <c r="BG78" s="1689"/>
      <c r="BH78" s="1467">
        <f>BF78+BG78*1.15</f>
        <v>0</v>
      </c>
      <c r="BI78" s="3284">
        <f>BH78/$AN$89</f>
        <v>0</v>
      </c>
      <c r="BJ78" s="1677"/>
      <c r="BK78" s="1633"/>
      <c r="BL78" s="1689"/>
      <c r="BM78" s="1467">
        <f>BK78+BL78*1.15</f>
        <v>0</v>
      </c>
      <c r="BN78" s="3284">
        <f>BM78/$AN$89</f>
        <v>0</v>
      </c>
      <c r="BO78" s="1677"/>
      <c r="BP78" s="1633"/>
      <c r="BQ78" s="1689"/>
      <c r="BR78" s="1467">
        <f>BP78+BQ78*1.15</f>
        <v>0</v>
      </c>
      <c r="BS78" s="3284">
        <f>BR78/$AN$89</f>
        <v>0</v>
      </c>
      <c r="BT78" s="1677"/>
      <c r="BU78" s="2027"/>
      <c r="BV78" s="2027"/>
      <c r="BW78" s="2028">
        <f t="shared" ref="BW78:BW79" si="132">BU78+BV78*1</f>
        <v>0</v>
      </c>
      <c r="BX78" s="3284">
        <f>BW78/$BC$89</f>
        <v>0</v>
      </c>
      <c r="BY78" s="1677"/>
      <c r="BZ78" s="2059">
        <f t="shared" ref="BZ78:CB79" si="133">G78+L78+R78+W78+AB78+AG78+AL78+AQ78+AV78+BA78+BF78+BK78+BP78+BU78</f>
        <v>0</v>
      </c>
      <c r="CA78" s="2059">
        <f t="shared" si="133"/>
        <v>0</v>
      </c>
      <c r="CB78" s="2028">
        <f>BZ78+CA78*1.15</f>
        <v>0</v>
      </c>
      <c r="CC78" s="1467"/>
      <c r="CD78" s="1467"/>
      <c r="CE78" s="842"/>
      <c r="CF78" s="842"/>
    </row>
    <row r="79" spans="1:84" s="1411" customFormat="1" ht="14.4" customHeight="1" x14ac:dyDescent="0.25">
      <c r="A79" s="1420"/>
      <c r="B79" s="3289" t="s">
        <v>79</v>
      </c>
      <c r="C79" s="3850"/>
      <c r="D79" s="3869"/>
      <c r="E79" s="3869">
        <f>C79+D79*1.15</f>
        <v>0</v>
      </c>
      <c r="F79" s="3861" t="e">
        <f>E79/$E$89</f>
        <v>#DIV/0!</v>
      </c>
      <c r="G79" s="2059">
        <v>0</v>
      </c>
      <c r="H79" s="2059">
        <v>0</v>
      </c>
      <c r="I79" s="2028">
        <v>131994.01729198068</v>
      </c>
      <c r="J79" s="1602"/>
      <c r="K79" s="1602"/>
      <c r="L79" s="2059">
        <v>0</v>
      </c>
      <c r="M79" s="2059">
        <v>0</v>
      </c>
      <c r="N79" s="2059">
        <v>190403.46751416908</v>
      </c>
      <c r="O79" s="3917">
        <f t="shared" si="129"/>
        <v>5.093030061825498E-2</v>
      </c>
      <c r="P79" s="3862"/>
      <c r="Q79" s="1736"/>
      <c r="R79" s="2059"/>
      <c r="S79" s="2059"/>
      <c r="T79" s="2028">
        <v>0</v>
      </c>
      <c r="U79" s="3862"/>
      <c r="V79" s="3904"/>
      <c r="W79" s="2059"/>
      <c r="X79" s="2059"/>
      <c r="Y79" s="2131">
        <f>(X8+X41+X50+X54)/(1-'[1]расчет 2022'!E14)*'[1]расчет 2022'!E14</f>
        <v>0</v>
      </c>
      <c r="Z79" s="3917">
        <f>Y79/$Y$89</f>
        <v>0</v>
      </c>
      <c r="AA79" s="3862"/>
      <c r="AB79" s="2059"/>
      <c r="AC79" s="2059"/>
      <c r="AD79" s="2049">
        <f>(AC8+AC41+AC50+AC54)/(1-'[1]расчет 2022'!E14)*'[1]расчет 2022'!E14</f>
        <v>5.3897571692535289</v>
      </c>
      <c r="AE79" s="3917">
        <f>AD79/$AD$89</f>
        <v>0.11874390843633958</v>
      </c>
      <c r="AF79" s="3862"/>
      <c r="AG79" s="2059"/>
      <c r="AH79" s="2059"/>
      <c r="AI79" s="2049">
        <f>(AH8+AH41+AH50+AH54)/(1-'[1]расчет 2022'!E15)*'[1]расчет 2022'!E15</f>
        <v>0</v>
      </c>
      <c r="AJ79" s="3917" t="e">
        <f t="shared" si="130"/>
        <v>#DIV/0!</v>
      </c>
      <c r="AK79" s="3862"/>
      <c r="AL79" s="2059"/>
      <c r="AM79" s="2059"/>
      <c r="AN79" s="2049">
        <f>(AM8+AM41+AM50+AM54)/(1-'[1]расчет 2022'!E16)*'[1]расчет 2022'!E16</f>
        <v>0</v>
      </c>
      <c r="AO79" s="3917">
        <f t="shared" si="131"/>
        <v>0</v>
      </c>
      <c r="AP79" s="3862"/>
      <c r="AQ79" s="2067"/>
      <c r="AR79" s="2059"/>
      <c r="AS79" s="2049">
        <f>(AR8+AR41+AR50+AR54)/(1-'[1]расчет 2022'!E17)*'[1]расчет 2022'!E17</f>
        <v>0</v>
      </c>
      <c r="AT79" s="3284" t="e">
        <f t="shared" ref="AT79" si="134">AS79/AS$89</f>
        <v>#DIV/0!</v>
      </c>
      <c r="AU79" s="3874"/>
      <c r="AV79" s="2067"/>
      <c r="AW79" s="2059"/>
      <c r="AX79" s="2049">
        <f>(AW8+AW41+AW50+AW54)/(1-'[1]расчет 2022'!E18)*'[1]расчет 2022'!E18</f>
        <v>0</v>
      </c>
      <c r="AY79" s="3284">
        <f t="shared" ref="AY79" si="135">AX79/AX$89</f>
        <v>0</v>
      </c>
      <c r="AZ79" s="3874"/>
      <c r="BA79" s="2067"/>
      <c r="BB79" s="2059"/>
      <c r="BC79" s="2049">
        <f>(BB8+BB41+BB50+BB54)/(1-'[1]расчет 2022'!E205)*'[1]расчет 2022'!E19</f>
        <v>9.3303786892208898</v>
      </c>
      <c r="BD79" s="3284">
        <f t="shared" ref="BD79" si="136">BC79/BC$89</f>
        <v>6.4641500694065102E-2</v>
      </c>
      <c r="BE79" s="3874"/>
      <c r="BF79" s="1633"/>
      <c r="BG79" s="1689"/>
      <c r="BH79" s="2028">
        <f>(BG8+BG41+BG50+BG54)/(1-'[1]расчет 2022'!E20)*'[1]расчет 2022'!E20</f>
        <v>0</v>
      </c>
      <c r="BI79" s="3284">
        <f t="shared" ref="BI79" si="137">BH79/BH$89</f>
        <v>0</v>
      </c>
      <c r="BJ79" s="3918"/>
      <c r="BK79" s="1633"/>
      <c r="BL79" s="1689"/>
      <c r="BM79" s="2028">
        <f>(BL8+BL41+BL50+BL54)/(1-'[1]расчет 2022'!E21)*'[1]расчет 2022'!E21</f>
        <v>0</v>
      </c>
      <c r="BN79" s="3284">
        <f t="shared" ref="BN79" si="138">BM79/BM$89</f>
        <v>0</v>
      </c>
      <c r="BO79" s="3918"/>
      <c r="BP79" s="1633"/>
      <c r="BQ79" s="1689"/>
      <c r="BR79" s="2028">
        <f>(BQ8+BQ41+BQ50+BQ54)/(1-'[1]расчет 2022'!E22)*'[1]расчет 2022'!E22</f>
        <v>0</v>
      </c>
      <c r="BS79" s="3284">
        <f t="shared" ref="BS79" si="139">BR79/BR$89</f>
        <v>0</v>
      </c>
      <c r="BT79" s="3918"/>
      <c r="BU79" s="2027">
        <f>(BV8+BV41+BV50+BV54)/(1-'расчет 2022'!E24)*'расчет 2022'!E24</f>
        <v>18.618003215537286</v>
      </c>
      <c r="BV79" s="2027"/>
      <c r="BW79" s="2028">
        <f t="shared" si="132"/>
        <v>18.618003215537286</v>
      </c>
      <c r="BX79" s="3284">
        <f t="shared" ref="BX79" si="140">BW79/BW$89</f>
        <v>0.12569709833614809</v>
      </c>
      <c r="BY79" s="3918"/>
      <c r="BZ79" s="2059">
        <f t="shared" si="133"/>
        <v>18.618003215537286</v>
      </c>
      <c r="CA79" s="2059">
        <f t="shared" si="133"/>
        <v>0</v>
      </c>
      <c r="CB79" s="2059">
        <f t="shared" si="133"/>
        <v>322430.82294522371</v>
      </c>
      <c r="CC79" s="3862"/>
      <c r="CD79" s="3862"/>
      <c r="CE79" s="842"/>
      <c r="CF79" s="842"/>
    </row>
    <row r="80" spans="1:84" ht="14.4" customHeight="1" x14ac:dyDescent="0.25">
      <c r="A80" s="1412"/>
      <c r="B80" s="3335"/>
      <c r="C80" s="3883"/>
      <c r="D80" s="3884"/>
      <c r="E80" s="3885"/>
      <c r="F80" s="3886"/>
      <c r="G80" s="2059"/>
      <c r="H80" s="2059"/>
      <c r="I80" s="3887"/>
      <c r="J80" s="1635"/>
      <c r="K80" s="1635"/>
      <c r="L80" s="2059"/>
      <c r="M80" s="2059"/>
      <c r="N80" s="3887"/>
      <c r="O80" s="3887"/>
      <c r="P80" s="3887"/>
      <c r="Q80" s="1733"/>
      <c r="R80" s="2059"/>
      <c r="S80" s="2059"/>
      <c r="T80" s="3887"/>
      <c r="U80" s="3887"/>
      <c r="V80" s="3887"/>
      <c r="W80" s="2059"/>
      <c r="X80" s="2059"/>
      <c r="Y80" s="3887"/>
      <c r="Z80" s="3887"/>
      <c r="AA80" s="3887"/>
      <c r="AB80" s="2059"/>
      <c r="AC80" s="2059"/>
      <c r="AD80" s="3887"/>
      <c r="AE80" s="3887"/>
      <c r="AF80" s="3887"/>
      <c r="AG80" s="2059"/>
      <c r="AH80" s="2059"/>
      <c r="AI80" s="3887"/>
      <c r="AJ80" s="3887"/>
      <c r="AK80" s="3887"/>
      <c r="AL80" s="2059"/>
      <c r="AM80" s="2059"/>
      <c r="AN80" s="3887"/>
      <c r="AO80" s="3887"/>
      <c r="AP80" s="3887"/>
      <c r="AQ80" s="2067"/>
      <c r="AR80" s="2059"/>
      <c r="AS80" s="3887"/>
      <c r="AT80" s="3887"/>
      <c r="AU80" s="3888"/>
      <c r="AV80" s="2067"/>
      <c r="AW80" s="2059"/>
      <c r="AX80" s="3887"/>
      <c r="AY80" s="3887"/>
      <c r="AZ80" s="3888"/>
      <c r="BA80" s="2067"/>
      <c r="BB80" s="2059"/>
      <c r="BC80" s="3887"/>
      <c r="BD80" s="3887"/>
      <c r="BE80" s="3888"/>
      <c r="BF80" s="2067"/>
      <c r="BG80" s="2059"/>
      <c r="BH80" s="3887"/>
      <c r="BI80" s="3887"/>
      <c r="BJ80" s="3888"/>
      <c r="BK80" s="2067"/>
      <c r="BL80" s="2059"/>
      <c r="BM80" s="3887"/>
      <c r="BN80" s="3887"/>
      <c r="BO80" s="3888"/>
      <c r="BP80" s="2067"/>
      <c r="BQ80" s="2059"/>
      <c r="BR80" s="3887"/>
      <c r="BS80" s="3887"/>
      <c r="BT80" s="3888"/>
      <c r="BU80" s="1633"/>
      <c r="BV80" s="1689"/>
      <c r="BW80" s="3887"/>
      <c r="BX80" s="3887"/>
      <c r="BY80" s="3888"/>
      <c r="BZ80" s="2059"/>
      <c r="CA80" s="2059"/>
      <c r="CB80" s="3887"/>
      <c r="CC80" s="3887"/>
      <c r="CD80" s="3887"/>
    </row>
    <row r="81" spans="1:86" s="1411" customFormat="1" ht="14.4" customHeight="1" thickBot="1" x14ac:dyDescent="0.3">
      <c r="A81" s="1434"/>
      <c r="B81" s="3331" t="s">
        <v>12</v>
      </c>
      <c r="C81" s="2865">
        <f>(C75+C78)-C79</f>
        <v>0</v>
      </c>
      <c r="D81" s="2865">
        <f>(D75+D78)-D79</f>
        <v>0</v>
      </c>
      <c r="E81" s="2866">
        <f>(E75+E78)-E79</f>
        <v>0</v>
      </c>
      <c r="F81" s="2867"/>
      <c r="G81" s="2865">
        <v>6117502.4199999999</v>
      </c>
      <c r="H81" s="2865">
        <v>-898669.99419090908</v>
      </c>
      <c r="I81" s="2866">
        <v>5086838.4085171092</v>
      </c>
      <c r="J81" s="3882"/>
      <c r="K81" s="3882"/>
      <c r="L81" s="2865">
        <f>(L75+L78)-L79</f>
        <v>9578726.5512400009</v>
      </c>
      <c r="M81" s="2865">
        <f>(M75+M78)-M79</f>
        <v>-1364410.13</v>
      </c>
      <c r="N81" s="2866">
        <f>(N75+N78)-N79</f>
        <v>8023912.9537258316</v>
      </c>
      <c r="O81" s="2868"/>
      <c r="P81" s="2868"/>
      <c r="Q81" s="2867"/>
      <c r="R81" s="2865">
        <f>(R75+R78)-R79</f>
        <v>-5977252.04</v>
      </c>
      <c r="S81" s="2865">
        <f>(S75+S78)-S79</f>
        <v>0</v>
      </c>
      <c r="T81" s="2866">
        <f>(T75+T78)-T79</f>
        <v>-5977252.04</v>
      </c>
      <c r="U81" s="2868"/>
      <c r="V81" s="3916"/>
      <c r="W81" s="2865">
        <f>(W75+W78)-W79</f>
        <v>-27000</v>
      </c>
      <c r="X81" s="2865">
        <f>(X75+X78)-X79</f>
        <v>0</v>
      </c>
      <c r="Y81" s="2866">
        <f>(Y75+Y78)-Y79</f>
        <v>-27000</v>
      </c>
      <c r="Z81" s="2868"/>
      <c r="AA81" s="2868"/>
      <c r="AB81" s="2865">
        <f>(AB75+AB78)-AB79</f>
        <v>0</v>
      </c>
      <c r="AC81" s="2865">
        <f>(AC75+AC78)-AC79</f>
        <v>-40</v>
      </c>
      <c r="AD81" s="2866">
        <f>(AD75+AD78)-AD79</f>
        <v>-45.389757169253528</v>
      </c>
      <c r="AE81" s="2868"/>
      <c r="AF81" s="2868"/>
      <c r="AG81" s="2865">
        <f>(AG75+AG78)-AG79</f>
        <v>0</v>
      </c>
      <c r="AH81" s="2865">
        <f>(AH75+AH78)-AH79</f>
        <v>0</v>
      </c>
      <c r="AI81" s="2866">
        <f>(AI75+AI78)-AI79</f>
        <v>0</v>
      </c>
      <c r="AJ81" s="2868"/>
      <c r="AK81" s="2868"/>
      <c r="AL81" s="2865">
        <f>(AL75+AL78)-AL79</f>
        <v>1211745.4800000004</v>
      </c>
      <c r="AM81" s="2865">
        <f>(AM75+AM78)-AM79</f>
        <v>0</v>
      </c>
      <c r="AN81" s="2866">
        <f>(AN75+AN78)-AN79</f>
        <v>1211745.4800000004</v>
      </c>
      <c r="AO81" s="2868"/>
      <c r="AP81" s="2868"/>
      <c r="AQ81" s="2865">
        <f>(AQ75+AQ78)-AQ79</f>
        <v>0</v>
      </c>
      <c r="AR81" s="2865">
        <f>(AR75+AR78)-AR79</f>
        <v>0</v>
      </c>
      <c r="AS81" s="2866">
        <f>(AS75+AS78)-AS79</f>
        <v>0</v>
      </c>
      <c r="AT81" s="2868"/>
      <c r="AU81" s="2869"/>
      <c r="AV81" s="2865">
        <f>(AV75+AV78)-AV79</f>
        <v>5121.2600000000093</v>
      </c>
      <c r="AW81" s="2865">
        <f>(AW75+AW78)-AW79</f>
        <v>0</v>
      </c>
      <c r="AX81" s="2866">
        <f>(AX75+AX78)-AX79</f>
        <v>5121.2600000000093</v>
      </c>
      <c r="AY81" s="2868"/>
      <c r="AZ81" s="2869"/>
      <c r="BA81" s="2865">
        <f>(BA75+BA78)-BA79</f>
        <v>-55.01</v>
      </c>
      <c r="BB81" s="2865">
        <f>(BB75+BB78)-BB79</f>
        <v>-80</v>
      </c>
      <c r="BC81" s="2866">
        <f>(BC75+BC78)-BC79</f>
        <v>-144.34037868922087</v>
      </c>
      <c r="BD81" s="2868"/>
      <c r="BE81" s="2869"/>
      <c r="BF81" s="2865">
        <f>(BF75+BF78)-BF79</f>
        <v>-55.01</v>
      </c>
      <c r="BG81" s="2865">
        <f>(BG75+BG78)-BG79</f>
        <v>0</v>
      </c>
      <c r="BH81" s="2866">
        <f>(BH75+BH78)-BH79</f>
        <v>-55.01</v>
      </c>
      <c r="BI81" s="2868"/>
      <c r="BJ81" s="2869"/>
      <c r="BK81" s="2865">
        <f>(BK75+BK78)-BK79</f>
        <v>-55.01</v>
      </c>
      <c r="BL81" s="2865">
        <f>(BL75+BL78)-BL79</f>
        <v>0</v>
      </c>
      <c r="BM81" s="2866">
        <f>(BM75+BM78)-BM79</f>
        <v>-55.01</v>
      </c>
      <c r="BN81" s="2868"/>
      <c r="BO81" s="2869"/>
      <c r="BP81" s="2865">
        <f>(BP75+BP78)-BP79</f>
        <v>0</v>
      </c>
      <c r="BQ81" s="2865">
        <f>(BQ75+BQ78)-BQ79</f>
        <v>0</v>
      </c>
      <c r="BR81" s="2866">
        <f>(BR75+BR78)-BR79</f>
        <v>0</v>
      </c>
      <c r="BS81" s="2868"/>
      <c r="BT81" s="2869"/>
      <c r="BU81" s="2865">
        <f>(BU75+BU78)-BU79</f>
        <v>-18.618003215537286</v>
      </c>
      <c r="BV81" s="2865">
        <f>(BV75+BV78)-BV79</f>
        <v>-129.5</v>
      </c>
      <c r="BW81" s="2866">
        <f>(BW75+BW78)-BW79</f>
        <v>-148.11800321553727</v>
      </c>
      <c r="BX81" s="2868"/>
      <c r="BY81" s="2869"/>
      <c r="BZ81" s="2865">
        <f>(BZ75+BZ78)-BZ79</f>
        <v>13485482.321129715</v>
      </c>
      <c r="CA81" s="2865">
        <f>(CA75+CA78)-CA79</f>
        <v>-2406776.824190909</v>
      </c>
      <c r="CB81" s="2866">
        <f>(CB75+CB78)-CB79</f>
        <v>10756293.291996792</v>
      </c>
      <c r="CC81" s="2868"/>
      <c r="CD81" s="2868"/>
      <c r="CE81" s="842"/>
      <c r="CF81" s="842"/>
    </row>
    <row r="82" spans="1:86" s="1411" customFormat="1" ht="14.4" customHeight="1" thickBot="1" x14ac:dyDescent="0.3">
      <c r="A82" s="1580"/>
      <c r="B82" s="1001" t="s">
        <v>38</v>
      </c>
      <c r="C82" s="1002"/>
      <c r="D82" s="1003"/>
      <c r="E82" s="1004">
        <f>C82+D82</f>
        <v>0</v>
      </c>
      <c r="F82" s="3919" t="e">
        <f>E82/$E$89</f>
        <v>#DIV/0!</v>
      </c>
      <c r="G82" s="2043">
        <v>0</v>
      </c>
      <c r="H82" s="2043">
        <v>0</v>
      </c>
      <c r="I82" s="1004">
        <v>0</v>
      </c>
      <c r="J82" s="1005"/>
      <c r="K82" s="1005"/>
      <c r="L82" s="2059">
        <v>0</v>
      </c>
      <c r="M82" s="2059">
        <v>0</v>
      </c>
      <c r="N82" s="1530">
        <f>L82+M82</f>
        <v>0</v>
      </c>
      <c r="O82" s="1491"/>
      <c r="P82" s="1491"/>
      <c r="Q82" s="2625"/>
      <c r="R82" s="2043"/>
      <c r="S82" s="2043"/>
      <c r="T82" s="1004">
        <f>R82+S82</f>
        <v>0</v>
      </c>
      <c r="U82" s="1006"/>
      <c r="V82" s="1750"/>
      <c r="W82" s="2059"/>
      <c r="X82" s="2059"/>
      <c r="Y82" s="1530">
        <f>W82+X82</f>
        <v>0</v>
      </c>
      <c r="Z82" s="1491"/>
      <c r="AA82" s="1491"/>
      <c r="AB82" s="2059"/>
      <c r="AC82" s="2059"/>
      <c r="AD82" s="1530">
        <f>AB82+AC82</f>
        <v>0</v>
      </c>
      <c r="AE82" s="1491"/>
      <c r="AF82" s="1491"/>
      <c r="AG82" s="2059"/>
      <c r="AH82" s="2059"/>
      <c r="AI82" s="1530">
        <f>AG82+AH82</f>
        <v>0</v>
      </c>
      <c r="AJ82" s="1491"/>
      <c r="AK82" s="1491"/>
      <c r="AL82" s="2059"/>
      <c r="AM82" s="2059"/>
      <c r="AN82" s="1530">
        <f>AL82+AM82</f>
        <v>0</v>
      </c>
      <c r="AO82" s="1491"/>
      <c r="AP82" s="1491"/>
      <c r="AQ82" s="2067"/>
      <c r="AR82" s="2059"/>
      <c r="AS82" s="1530">
        <f>AQ82+AR82</f>
        <v>0</v>
      </c>
      <c r="AT82" s="1491"/>
      <c r="AU82" s="2062"/>
      <c r="AV82" s="2067"/>
      <c r="AW82" s="2059"/>
      <c r="AX82" s="1530">
        <f>AV82+AW82</f>
        <v>0</v>
      </c>
      <c r="AY82" s="1491"/>
      <c r="AZ82" s="2062"/>
      <c r="BA82" s="2067"/>
      <c r="BB82" s="2059"/>
      <c r="BC82" s="1530">
        <f>BA82+BB82</f>
        <v>0</v>
      </c>
      <c r="BD82" s="1491"/>
      <c r="BE82" s="2062"/>
      <c r="BF82" s="2067"/>
      <c r="BG82" s="2059"/>
      <c r="BH82" s="1530">
        <f>BF82+BG82</f>
        <v>0</v>
      </c>
      <c r="BI82" s="1491"/>
      <c r="BJ82" s="2062"/>
      <c r="BK82" s="2067"/>
      <c r="BL82" s="2059"/>
      <c r="BM82" s="1530">
        <f>BK82+BL82</f>
        <v>0</v>
      </c>
      <c r="BN82" s="1491"/>
      <c r="BO82" s="2062"/>
      <c r="BP82" s="2067"/>
      <c r="BQ82" s="2059"/>
      <c r="BR82" s="1530">
        <f>BP82+BQ82</f>
        <v>0</v>
      </c>
      <c r="BS82" s="1491"/>
      <c r="BT82" s="2062"/>
      <c r="BU82" s="2067"/>
      <c r="BV82" s="2059"/>
      <c r="BW82" s="1530">
        <f>BU82+BV82</f>
        <v>0</v>
      </c>
      <c r="BX82" s="1491"/>
      <c r="BY82" s="2062"/>
      <c r="BZ82" s="2043">
        <f t="shared" ref="BZ82" si="141">G82+L82+R82+W82+AB82+AG82+AL82+AQ82+AV82+BA82+BF82+BK82+BP82+BU82</f>
        <v>0</v>
      </c>
      <c r="CA82" s="2043">
        <f>H82+M82+S82+X82+AC82+AH82+AM82+AR82+AW82+BB82+BG82+BL82+BQ82+BV82</f>
        <v>0</v>
      </c>
      <c r="CB82" s="1004">
        <f>BZ82+CA82</f>
        <v>0</v>
      </c>
      <c r="CC82" s="1006"/>
      <c r="CD82" s="1006"/>
      <c r="CE82" s="842"/>
      <c r="CF82" s="842"/>
    </row>
    <row r="83" spans="1:86" s="1411" customFormat="1" ht="14.4" customHeight="1" x14ac:dyDescent="0.25">
      <c r="A83" s="821"/>
      <c r="B83" s="1007" t="s">
        <v>13</v>
      </c>
      <c r="C83" s="1008">
        <f>(C81+C7)-C36</f>
        <v>0</v>
      </c>
      <c r="D83" s="1008">
        <f>(D81+D7)-D36</f>
        <v>0</v>
      </c>
      <c r="E83" s="1008">
        <f>(E81+E7)-E36</f>
        <v>0</v>
      </c>
      <c r="F83" s="1009"/>
      <c r="G83" s="1008">
        <v>6117502.4199999999</v>
      </c>
      <c r="H83" s="1008">
        <v>-898669.99419090908</v>
      </c>
      <c r="I83" s="1010">
        <v>5086838.4085171092</v>
      </c>
      <c r="J83" s="1011"/>
      <c r="K83" s="1011"/>
      <c r="L83" s="3338">
        <f>(L81)-L36</f>
        <v>9578726.5512400009</v>
      </c>
      <c r="M83" s="3338">
        <f>(M81)-M36</f>
        <v>-1364410.13</v>
      </c>
      <c r="N83" s="3339">
        <f>(N81)-N36</f>
        <v>8023912.9537258316</v>
      </c>
      <c r="O83" s="3340"/>
      <c r="P83" s="3340"/>
      <c r="Q83" s="1009"/>
      <c r="R83" s="1008">
        <f>(R81+R7)-R36</f>
        <v>1860635.9799999995</v>
      </c>
      <c r="S83" s="1008">
        <f>(S81+S7)-S36</f>
        <v>0</v>
      </c>
      <c r="T83" s="1010">
        <f>(T81+T7)-T36</f>
        <v>1860635.9799999995</v>
      </c>
      <c r="U83" s="1012"/>
      <c r="V83" s="1751"/>
      <c r="W83" s="3338">
        <f>(W81)-W36</f>
        <v>-27000</v>
      </c>
      <c r="X83" s="3338">
        <f>(X81)-X36</f>
        <v>0</v>
      </c>
      <c r="Y83" s="3339">
        <f>(Y81)-Y36</f>
        <v>-27000</v>
      </c>
      <c r="Z83" s="3340"/>
      <c r="AA83" s="3340"/>
      <c r="AB83" s="3338">
        <f>(AB81)-AB36</f>
        <v>0</v>
      </c>
      <c r="AC83" s="3338">
        <f>(AC81)-AC36</f>
        <v>-40</v>
      </c>
      <c r="AD83" s="3339">
        <f>(AD81)-AD36</f>
        <v>-45.389757169253528</v>
      </c>
      <c r="AE83" s="3340"/>
      <c r="AF83" s="3340"/>
      <c r="AG83" s="3338">
        <f>(AG81)-AG36</f>
        <v>0</v>
      </c>
      <c r="AH83" s="3338">
        <f>(AH81)-AH36</f>
        <v>0</v>
      </c>
      <c r="AI83" s="3339">
        <f>(AI81)-AI36</f>
        <v>0</v>
      </c>
      <c r="AJ83" s="3340"/>
      <c r="AK83" s="3340"/>
      <c r="AL83" s="3338">
        <f>(AL81)-AL36</f>
        <v>1211745.4800000004</v>
      </c>
      <c r="AM83" s="3338">
        <f>(AM81)-AM36</f>
        <v>0</v>
      </c>
      <c r="AN83" s="3339">
        <f>(AN81)-AN36</f>
        <v>1211745.4800000004</v>
      </c>
      <c r="AO83" s="3340"/>
      <c r="AP83" s="3340"/>
      <c r="AQ83" s="3338">
        <f>(AQ81+AQ7)-AQ36</f>
        <v>0</v>
      </c>
      <c r="AR83" s="3338">
        <f>(AR81+AR7)-AR36</f>
        <v>0</v>
      </c>
      <c r="AS83" s="3339">
        <f>(AS81+AS7)-AS36</f>
        <v>0</v>
      </c>
      <c r="AT83" s="3340"/>
      <c r="AU83" s="3889"/>
      <c r="AV83" s="3338">
        <f>(AV81+AV7)-AV36</f>
        <v>5121.2600000000093</v>
      </c>
      <c r="AW83" s="3338">
        <f>(AW81+AW7)-AW36</f>
        <v>0</v>
      </c>
      <c r="AX83" s="3339">
        <f>(AX81+AX7)-AX36</f>
        <v>5121.2600000000093</v>
      </c>
      <c r="AY83" s="3340"/>
      <c r="AZ83" s="3889"/>
      <c r="BA83" s="3338">
        <f>(BA81+BA7)-BA36</f>
        <v>-55.01</v>
      </c>
      <c r="BB83" s="3338">
        <f>(BB81+BB7)-BB36</f>
        <v>-80</v>
      </c>
      <c r="BC83" s="3339">
        <f>(BC81+BC7)-BC36</f>
        <v>-144.34037868922087</v>
      </c>
      <c r="BD83" s="3340"/>
      <c r="BE83" s="3889"/>
      <c r="BF83" s="3338">
        <f>(BF81+BF7)-BF36</f>
        <v>-55.01</v>
      </c>
      <c r="BG83" s="3338">
        <f>(BG81+BG7)-BG36</f>
        <v>0</v>
      </c>
      <c r="BH83" s="3339">
        <f>(BH81+BH7)-BH36</f>
        <v>-55.01</v>
      </c>
      <c r="BI83" s="3340"/>
      <c r="BJ83" s="3889"/>
      <c r="BK83" s="3338">
        <f>(BK81+BK7)-BK36</f>
        <v>-55.01</v>
      </c>
      <c r="BL83" s="3338">
        <f>(BL81+BL7)-BL36</f>
        <v>0</v>
      </c>
      <c r="BM83" s="3339">
        <f>(BM81+BM7)-BM36</f>
        <v>-55.01</v>
      </c>
      <c r="BN83" s="3340"/>
      <c r="BO83" s="3889"/>
      <c r="BP83" s="3338">
        <f>(BP81+BP7)-BP36</f>
        <v>-2639.52</v>
      </c>
      <c r="BQ83" s="3338">
        <f>(BQ81+BQ7)-BQ36</f>
        <v>0</v>
      </c>
      <c r="BR83" s="3339">
        <f>(BR81+BR7)-BR36</f>
        <v>-2639.52</v>
      </c>
      <c r="BS83" s="3340"/>
      <c r="BT83" s="3889"/>
      <c r="BU83" s="3338">
        <f>(BU81+BU7)-BU36</f>
        <v>-18.618003215537286</v>
      </c>
      <c r="BV83" s="3338">
        <f>(BV81+BV7)-BV36</f>
        <v>-129.5</v>
      </c>
      <c r="BW83" s="3339">
        <f>(BW81+BW7)-BW36</f>
        <v>-148.11800321553727</v>
      </c>
      <c r="BX83" s="3340"/>
      <c r="BY83" s="3889"/>
      <c r="BZ83" s="1008">
        <f>(BZ81)-BZ36</f>
        <v>13482842.801129716</v>
      </c>
      <c r="CA83" s="1008">
        <f>(CA81)-CA36</f>
        <v>-2406776.824190909</v>
      </c>
      <c r="CB83" s="1010">
        <f>(CB81)-CB36</f>
        <v>10753653.771996792</v>
      </c>
      <c r="CC83" s="1012"/>
      <c r="CD83" s="1012"/>
      <c r="CE83" s="842"/>
      <c r="CF83" s="842"/>
    </row>
    <row r="84" spans="1:86" s="1411" customFormat="1" ht="14.4" customHeight="1" thickBot="1" x14ac:dyDescent="0.3">
      <c r="A84" s="822"/>
      <c r="B84" s="3146" t="s">
        <v>14</v>
      </c>
      <c r="C84" s="2871">
        <f>C83-C73-C82</f>
        <v>0</v>
      </c>
      <c r="D84" s="2871">
        <f>D83-D73-D82</f>
        <v>0</v>
      </c>
      <c r="E84" s="2871">
        <f>E83-E73-E82</f>
        <v>0</v>
      </c>
      <c r="F84" s="2872"/>
      <c r="G84" s="2873">
        <v>6117502.4199999999</v>
      </c>
      <c r="H84" s="2873">
        <v>-898669.99419090908</v>
      </c>
      <c r="I84" s="2873">
        <v>5086838.4085171092</v>
      </c>
      <c r="J84" s="2872"/>
      <c r="K84" s="2872"/>
      <c r="L84" s="2873">
        <f>L83-L73-L82</f>
        <v>9578726.5512400009</v>
      </c>
      <c r="M84" s="2873">
        <f>M83-M73-M82</f>
        <v>-1364410.13</v>
      </c>
      <c r="N84" s="3344">
        <f>N83-N73-N82</f>
        <v>8023912.9537258316</v>
      </c>
      <c r="O84" s="3345"/>
      <c r="P84" s="3345"/>
      <c r="Q84" s="2872"/>
      <c r="R84" s="2873">
        <f>R83-R73-R82</f>
        <v>1860635.9799999995</v>
      </c>
      <c r="S84" s="2873">
        <f>S83-S73-S82</f>
        <v>0</v>
      </c>
      <c r="T84" s="2873">
        <f>T83-T73-T82</f>
        <v>1860635.9799999995</v>
      </c>
      <c r="U84" s="2874"/>
      <c r="V84" s="3920"/>
      <c r="W84" s="3344">
        <f>W83-W73-W82</f>
        <v>-27000</v>
      </c>
      <c r="X84" s="3344">
        <f>X83-X73-X82</f>
        <v>0</v>
      </c>
      <c r="Y84" s="3344">
        <f>Y83-Y73-Y82</f>
        <v>-27000</v>
      </c>
      <c r="Z84" s="3345"/>
      <c r="AA84" s="3345"/>
      <c r="AB84" s="2873">
        <f>AB83-AB73-AB82</f>
        <v>0</v>
      </c>
      <c r="AC84" s="2873">
        <f>AC83-AC73-AC82</f>
        <v>-40</v>
      </c>
      <c r="AD84" s="3344">
        <f>AD83-AD73-AD82</f>
        <v>-45.389757169253528</v>
      </c>
      <c r="AE84" s="3345"/>
      <c r="AF84" s="3345"/>
      <c r="AG84" s="2873">
        <f>AG83-AG73-AG82</f>
        <v>0</v>
      </c>
      <c r="AH84" s="2873">
        <f>AH83-AH73-AH82</f>
        <v>0</v>
      </c>
      <c r="AI84" s="3344">
        <f>AI83-AI73-AI82</f>
        <v>0</v>
      </c>
      <c r="AJ84" s="3345"/>
      <c r="AK84" s="3345"/>
      <c r="AL84" s="2873">
        <f>AL83-AL73-AL82</f>
        <v>1211745.4800000004</v>
      </c>
      <c r="AM84" s="2873">
        <f>AM83-AM73-AM82</f>
        <v>0</v>
      </c>
      <c r="AN84" s="3344">
        <f>AN83-AN73-AN82</f>
        <v>1211745.4800000004</v>
      </c>
      <c r="AO84" s="3345"/>
      <c r="AP84" s="3345"/>
      <c r="AQ84" s="2873">
        <f>AQ83-AQ73-AQ82</f>
        <v>0</v>
      </c>
      <c r="AR84" s="2873">
        <f>AR83-AR73-AR82</f>
        <v>0</v>
      </c>
      <c r="AS84" s="2873">
        <f>AS83-AS73-AS82</f>
        <v>0</v>
      </c>
      <c r="AT84" s="2874"/>
      <c r="AU84" s="2875"/>
      <c r="AV84" s="2873">
        <f>AV83-AV73-AV82</f>
        <v>5121.2600000000093</v>
      </c>
      <c r="AW84" s="2873">
        <f>AW83-AW73-AW82</f>
        <v>0</v>
      </c>
      <c r="AX84" s="2873">
        <f>AX83-AX73-AX82</f>
        <v>5121.2600000000093</v>
      </c>
      <c r="AY84" s="2874"/>
      <c r="AZ84" s="2875"/>
      <c r="BA84" s="2873">
        <f>BA83-BA73-BA82</f>
        <v>-55.01</v>
      </c>
      <c r="BB84" s="2873">
        <f>BB83-BB73-BB82</f>
        <v>-80</v>
      </c>
      <c r="BC84" s="2873">
        <f>BC83-BC73-BC82</f>
        <v>-144.34037868922087</v>
      </c>
      <c r="BD84" s="2874"/>
      <c r="BE84" s="2875"/>
      <c r="BF84" s="2873">
        <f>BF83-BF73-BF82</f>
        <v>-55.01</v>
      </c>
      <c r="BG84" s="2873">
        <f>BG83-BG73-BG82</f>
        <v>0</v>
      </c>
      <c r="BH84" s="2873">
        <f>BH83-BH73-BH82</f>
        <v>-55.01</v>
      </c>
      <c r="BI84" s="2874"/>
      <c r="BJ84" s="2875"/>
      <c r="BK84" s="2873">
        <f>BK83-BK73-BK82</f>
        <v>-55.01</v>
      </c>
      <c r="BL84" s="2873">
        <f>BL83-BL73-BL82</f>
        <v>0</v>
      </c>
      <c r="BM84" s="2873">
        <f>BM83-BM73-BM82</f>
        <v>-55.01</v>
      </c>
      <c r="BN84" s="2874"/>
      <c r="BO84" s="2875"/>
      <c r="BP84" s="2873">
        <f>BP83-BP73-BP82</f>
        <v>-2639.52</v>
      </c>
      <c r="BQ84" s="2873">
        <f>BQ83-BQ73-BQ82</f>
        <v>0</v>
      </c>
      <c r="BR84" s="2873">
        <f>BR83-BR73-BR82</f>
        <v>-2639.52</v>
      </c>
      <c r="BS84" s="2874"/>
      <c r="BT84" s="2875"/>
      <c r="BU84" s="2873">
        <f>BU83-BU73-BU82</f>
        <v>-18.618003215537286</v>
      </c>
      <c r="BV84" s="2873">
        <f>BV83-BV73-BV82</f>
        <v>-129.5</v>
      </c>
      <c r="BW84" s="2873">
        <f>BW83-BW73-BW82</f>
        <v>-148.11800321553727</v>
      </c>
      <c r="BX84" s="2874"/>
      <c r="BY84" s="2875"/>
      <c r="BZ84" s="2873">
        <f>BZ83-BZ73-BZ82</f>
        <v>13482842.801129716</v>
      </c>
      <c r="CA84" s="2873">
        <f>CA83-CA73-CA82</f>
        <v>-2406776.824190909</v>
      </c>
      <c r="CB84" s="2873">
        <f>CB83-CB73-CB82</f>
        <v>10753653.771996792</v>
      </c>
      <c r="CC84" s="2874"/>
      <c r="CD84" s="2874"/>
      <c r="CE84" s="842"/>
      <c r="CF84" s="842"/>
    </row>
    <row r="85" spans="1:86" s="1411" customFormat="1" ht="14.4" customHeight="1" x14ac:dyDescent="0.25">
      <c r="A85" s="1581"/>
      <c r="B85" s="1418" t="s">
        <v>44</v>
      </c>
      <c r="C85" s="1501"/>
      <c r="D85" s="1101"/>
      <c r="E85" s="1102">
        <f>C85+D85</f>
        <v>0</v>
      </c>
      <c r="F85" s="1602" t="e">
        <f>E85/$E$89</f>
        <v>#DIV/0!</v>
      </c>
      <c r="G85" s="2059">
        <v>0</v>
      </c>
      <c r="H85" s="2059">
        <v>0</v>
      </c>
      <c r="I85" s="2028">
        <v>0</v>
      </c>
      <c r="J85" s="1602"/>
      <c r="K85" s="1602"/>
      <c r="L85" s="2059">
        <v>0</v>
      </c>
      <c r="M85" s="2059">
        <v>0</v>
      </c>
      <c r="N85" s="2141">
        <f>L85+M85*1.15</f>
        <v>0</v>
      </c>
      <c r="O85" s="1492"/>
      <c r="P85" s="1492"/>
      <c r="Q85" s="1736"/>
      <c r="R85" s="2059"/>
      <c r="S85" s="2059"/>
      <c r="T85" s="2028">
        <f>R85+S85*1.15</f>
        <v>0</v>
      </c>
      <c r="U85" s="1491"/>
      <c r="V85" s="1627"/>
      <c r="W85" s="2059"/>
      <c r="X85" s="2059"/>
      <c r="Y85" s="2141">
        <f>W85+X85*1.15</f>
        <v>0</v>
      </c>
      <c r="Z85" s="1492"/>
      <c r="AA85" s="1492"/>
      <c r="AB85" s="2059"/>
      <c r="AC85" s="2059"/>
      <c r="AD85" s="2141">
        <f>AB85+AC85*1.15</f>
        <v>0</v>
      </c>
      <c r="AE85" s="1492"/>
      <c r="AF85" s="1492"/>
      <c r="AG85" s="2059"/>
      <c r="AH85" s="2059"/>
      <c r="AI85" s="2141">
        <f>AG85+AH85*1.15</f>
        <v>0</v>
      </c>
      <c r="AJ85" s="1492"/>
      <c r="AK85" s="1492"/>
      <c r="AL85" s="2059"/>
      <c r="AM85" s="2059"/>
      <c r="AN85" s="2141">
        <f>AL85+AM85*1.15</f>
        <v>0</v>
      </c>
      <c r="AO85" s="1492"/>
      <c r="AP85" s="1492"/>
      <c r="AQ85" s="2067"/>
      <c r="AR85" s="2059"/>
      <c r="AS85" s="2028">
        <f>AQ85+AR85*1</f>
        <v>0</v>
      </c>
      <c r="AT85" s="1491"/>
      <c r="AU85" s="1763"/>
      <c r="AV85" s="2067"/>
      <c r="AW85" s="2059"/>
      <c r="AX85" s="2028">
        <f>AV85+AW85*1</f>
        <v>0</v>
      </c>
      <c r="AY85" s="1491"/>
      <c r="AZ85" s="1763"/>
      <c r="BA85" s="2067"/>
      <c r="BB85" s="2059"/>
      <c r="BC85" s="2028">
        <f>BA85+BB85*1</f>
        <v>0</v>
      </c>
      <c r="BD85" s="1491"/>
      <c r="BE85" s="1763"/>
      <c r="BF85" s="2067"/>
      <c r="BG85" s="2059"/>
      <c r="BH85" s="2028">
        <f>BF85+BG85*1</f>
        <v>0</v>
      </c>
      <c r="BI85" s="1491"/>
      <c r="BJ85" s="1763"/>
      <c r="BK85" s="2067"/>
      <c r="BL85" s="2059"/>
      <c r="BM85" s="2028">
        <f>BK85+BL85*1</f>
        <v>0</v>
      </c>
      <c r="BN85" s="1491"/>
      <c r="BO85" s="1763"/>
      <c r="BP85" s="2067"/>
      <c r="BQ85" s="2059"/>
      <c r="BR85" s="2028">
        <f>BP85+BQ85*1</f>
        <v>0</v>
      </c>
      <c r="BS85" s="1491"/>
      <c r="BT85" s="1763"/>
      <c r="BU85" s="2067"/>
      <c r="BV85" s="2059"/>
      <c r="BW85" s="2028">
        <f>BU85+BV85*1</f>
        <v>0</v>
      </c>
      <c r="BX85" s="1491"/>
      <c r="BY85" s="1763"/>
      <c r="BZ85" s="2059">
        <f t="shared" ref="BZ85" si="142">G85+L85+R85+W85+AB85+AG85+AL85+AQ85+AV85+BA85+BF85+BK85+BP85+BU85</f>
        <v>0</v>
      </c>
      <c r="CA85" s="2059">
        <f>H85+M85+S85+X85+AC85+AH85+AM85+AR85+AW85+BB85+BG85+BL85+BQ85+BV85</f>
        <v>0</v>
      </c>
      <c r="CB85" s="2028">
        <f>BZ85+CA85*1.15</f>
        <v>0</v>
      </c>
      <c r="CC85" s="1491"/>
      <c r="CD85" s="1491"/>
      <c r="CE85" s="842"/>
      <c r="CF85" s="842"/>
    </row>
    <row r="86" spans="1:86" s="1411" customFormat="1" ht="21" customHeight="1" x14ac:dyDescent="0.25">
      <c r="A86" s="1420"/>
      <c r="B86" s="3445" t="s">
        <v>50</v>
      </c>
      <c r="C86" s="3432">
        <f>C84-C85</f>
        <v>0</v>
      </c>
      <c r="D86" s="3432">
        <f>D84-D85</f>
        <v>0</v>
      </c>
      <c r="E86" s="3354">
        <f>E84-E85</f>
        <v>0</v>
      </c>
      <c r="F86" s="3890"/>
      <c r="G86" s="3354">
        <v>6117502.4199999999</v>
      </c>
      <c r="H86" s="3354">
        <v>-898669.99419090908</v>
      </c>
      <c r="I86" s="3354">
        <v>5086838.4085171092</v>
      </c>
      <c r="J86" s="3890"/>
      <c r="K86" s="3890"/>
      <c r="L86" s="3354">
        <f>L84-L85</f>
        <v>9578726.5512400009</v>
      </c>
      <c r="M86" s="3354">
        <f>M84-M85</f>
        <v>-1364410.13</v>
      </c>
      <c r="N86" s="3354">
        <f>N84-N85</f>
        <v>8023912.9537258316</v>
      </c>
      <c r="O86" s="3355"/>
      <c r="P86" s="3355"/>
      <c r="Q86" s="3890"/>
      <c r="R86" s="3354">
        <f>R84-R85</f>
        <v>1860635.9799999995</v>
      </c>
      <c r="S86" s="3354">
        <f>S84-S85</f>
        <v>0</v>
      </c>
      <c r="T86" s="3354">
        <f>T84-T85</f>
        <v>1860635.9799999995</v>
      </c>
      <c r="U86" s="3355"/>
      <c r="V86" s="3921"/>
      <c r="W86" s="3354">
        <f>W84-W85</f>
        <v>-27000</v>
      </c>
      <c r="X86" s="3354">
        <f>X84-X85</f>
        <v>0</v>
      </c>
      <c r="Y86" s="3354">
        <f>Y84-Y85</f>
        <v>-27000</v>
      </c>
      <c r="Z86" s="3355"/>
      <c r="AA86" s="3355"/>
      <c r="AB86" s="3354">
        <f>AB84-AB85</f>
        <v>0</v>
      </c>
      <c r="AC86" s="3354">
        <f>AC84-AC85</f>
        <v>-40</v>
      </c>
      <c r="AD86" s="3354">
        <f>AD84-AD85</f>
        <v>-45.389757169253528</v>
      </c>
      <c r="AE86" s="3355"/>
      <c r="AF86" s="3355"/>
      <c r="AG86" s="3354">
        <f>AG84-AG85</f>
        <v>0</v>
      </c>
      <c r="AH86" s="3354">
        <f>AH84-AH85</f>
        <v>0</v>
      </c>
      <c r="AI86" s="3354">
        <f>AI84-AI85</f>
        <v>0</v>
      </c>
      <c r="AJ86" s="3355"/>
      <c r="AK86" s="3355"/>
      <c r="AL86" s="3354">
        <f>AL84-AL85</f>
        <v>1211745.4800000004</v>
      </c>
      <c r="AM86" s="3354">
        <f>AM84-AM85</f>
        <v>0</v>
      </c>
      <c r="AN86" s="3354">
        <f>AN84-AN85</f>
        <v>1211745.4800000004</v>
      </c>
      <c r="AO86" s="3355"/>
      <c r="AP86" s="3355"/>
      <c r="AQ86" s="3354">
        <f>AQ84-AQ85</f>
        <v>0</v>
      </c>
      <c r="AR86" s="3354">
        <f>AR84-AR85</f>
        <v>0</v>
      </c>
      <c r="AS86" s="3354">
        <f>AS84-AS85</f>
        <v>0</v>
      </c>
      <c r="AT86" s="3355"/>
      <c r="AU86" s="3889"/>
      <c r="AV86" s="3354">
        <f>AV84-AV85</f>
        <v>5121.2600000000093</v>
      </c>
      <c r="AW86" s="3354">
        <f>AW84-AW85</f>
        <v>0</v>
      </c>
      <c r="AX86" s="3354">
        <f>AX84-AX85</f>
        <v>5121.2600000000093</v>
      </c>
      <c r="AY86" s="3355"/>
      <c r="AZ86" s="3889"/>
      <c r="BA86" s="3354">
        <f>BA84-BA85</f>
        <v>-55.01</v>
      </c>
      <c r="BB86" s="3354">
        <f>BB84-BB85</f>
        <v>-80</v>
      </c>
      <c r="BC86" s="3354">
        <f>BC84-BC85</f>
        <v>-144.34037868922087</v>
      </c>
      <c r="BD86" s="3355"/>
      <c r="BE86" s="3889"/>
      <c r="BF86" s="3354">
        <f>BF84</f>
        <v>-55.01</v>
      </c>
      <c r="BG86" s="3354">
        <f t="shared" ref="BG86" si="143">BG84</f>
        <v>0</v>
      </c>
      <c r="BH86" s="3354">
        <f>BH84</f>
        <v>-55.01</v>
      </c>
      <c r="BI86" s="3355"/>
      <c r="BJ86" s="3889"/>
      <c r="BK86" s="3354">
        <f>BK84</f>
        <v>-55.01</v>
      </c>
      <c r="BL86" s="3354">
        <f t="shared" ref="BL86" si="144">BL84</f>
        <v>0</v>
      </c>
      <c r="BM86" s="3354">
        <f>BM84</f>
        <v>-55.01</v>
      </c>
      <c r="BN86" s="3355"/>
      <c r="BO86" s="3889"/>
      <c r="BP86" s="3354">
        <f>BP84</f>
        <v>-2639.52</v>
      </c>
      <c r="BQ86" s="3354">
        <f t="shared" ref="BQ86" si="145">BQ84</f>
        <v>0</v>
      </c>
      <c r="BR86" s="3354">
        <f>BR84</f>
        <v>-2639.52</v>
      </c>
      <c r="BS86" s="3355"/>
      <c r="BT86" s="3889"/>
      <c r="BU86" s="3354">
        <f>BU84</f>
        <v>-18.618003215537286</v>
      </c>
      <c r="BV86" s="3354">
        <f t="shared" ref="BV86" si="146">BV84</f>
        <v>-129.5</v>
      </c>
      <c r="BW86" s="3354">
        <f>BW84</f>
        <v>-148.11800321553727</v>
      </c>
      <c r="BX86" s="3355"/>
      <c r="BY86" s="3889"/>
      <c r="BZ86" s="3354">
        <f>BZ84-BZ85</f>
        <v>13482842.801129716</v>
      </c>
      <c r="CA86" s="3354">
        <f>CA84-CA85</f>
        <v>-2406776.824190909</v>
      </c>
      <c r="CB86" s="3354">
        <f>CB84-CB85</f>
        <v>10753653.771996792</v>
      </c>
      <c r="CC86" s="3355"/>
      <c r="CD86" s="3355"/>
      <c r="CE86" s="842"/>
      <c r="CF86" s="842"/>
      <c r="CG86" s="842"/>
    </row>
    <row r="87" spans="1:86" s="1411" customFormat="1" ht="18" customHeight="1" thickBot="1" x14ac:dyDescent="0.3">
      <c r="A87" s="1582"/>
      <c r="B87" s="3808" t="s">
        <v>51</v>
      </c>
      <c r="C87" s="2877" t="e">
        <f>C86/C5</f>
        <v>#DIV/0!</v>
      </c>
      <c r="D87" s="2878" t="e">
        <f>D86/D5</f>
        <v>#DIV/0!</v>
      </c>
      <c r="E87" s="2879" t="e">
        <f>E86/E5</f>
        <v>#DIV/0!</v>
      </c>
      <c r="F87" s="2880"/>
      <c r="G87" s="2877">
        <v>0.46910630471699688</v>
      </c>
      <c r="H87" s="2878" t="e">
        <v>#DIV/0!</v>
      </c>
      <c r="I87" s="2879">
        <v>0.39007225574778776</v>
      </c>
      <c r="J87" s="3891"/>
      <c r="K87" s="3891"/>
      <c r="L87" s="2877">
        <f>L86/L5</f>
        <v>0.81434974066437138</v>
      </c>
      <c r="M87" s="2878" t="e">
        <f>M86/M5</f>
        <v>#DIV/0!</v>
      </c>
      <c r="N87" s="2879">
        <f>N86/N5</f>
        <v>0.68216494103114744</v>
      </c>
      <c r="O87" s="2881"/>
      <c r="P87" s="2881"/>
      <c r="Q87" s="2880"/>
      <c r="R87" s="2877" t="e">
        <f>R86/R5</f>
        <v>#DIV/0!</v>
      </c>
      <c r="S87" s="2878" t="e">
        <f>S86/S5</f>
        <v>#DIV/0!</v>
      </c>
      <c r="T87" s="2879" t="e">
        <f>T86/T5</f>
        <v>#DIV/0!</v>
      </c>
      <c r="U87" s="2881"/>
      <c r="V87" s="3922"/>
      <c r="W87" s="2877" t="e">
        <f>W86/W5</f>
        <v>#DIV/0!</v>
      </c>
      <c r="X87" s="2878" t="e">
        <f>X86/X5</f>
        <v>#DIV/0!</v>
      </c>
      <c r="Y87" s="2879" t="e">
        <f>Y86/Y5</f>
        <v>#DIV/0!</v>
      </c>
      <c r="Z87" s="2881"/>
      <c r="AA87" s="2881"/>
      <c r="AB87" s="2877" t="e">
        <f>AB86/AB5</f>
        <v>#DIV/0!</v>
      </c>
      <c r="AC87" s="2878" t="e">
        <f>AC86/AC5</f>
        <v>#DIV/0!</v>
      </c>
      <c r="AD87" s="2879" t="e">
        <f>AD86/AD5</f>
        <v>#DIV/0!</v>
      </c>
      <c r="AE87" s="2881"/>
      <c r="AF87" s="2881"/>
      <c r="AG87" s="2877" t="e">
        <f>AG86/AG5</f>
        <v>#DIV/0!</v>
      </c>
      <c r="AH87" s="2878" t="e">
        <f>AH86/AH5</f>
        <v>#DIV/0!</v>
      </c>
      <c r="AI87" s="2879" t="e">
        <f>AI86/AI5</f>
        <v>#DIV/0!</v>
      </c>
      <c r="AJ87" s="2881"/>
      <c r="AK87" s="2881"/>
      <c r="AL87" s="2877">
        <f>AL86/AL5</f>
        <v>0.11737213087054102</v>
      </c>
      <c r="AM87" s="2878" t="e">
        <f>AM86/AM5</f>
        <v>#DIV/0!</v>
      </c>
      <c r="AN87" s="2879">
        <f>AN86/AN5</f>
        <v>0.11737213087054102</v>
      </c>
      <c r="AO87" s="2881"/>
      <c r="AP87" s="2881"/>
      <c r="AQ87" s="2877" t="e">
        <f>AQ86/AQ5</f>
        <v>#DIV/0!</v>
      </c>
      <c r="AR87" s="2878" t="e">
        <f>AR86/AR5</f>
        <v>#DIV/0!</v>
      </c>
      <c r="AS87" s="2879" t="e">
        <f>AS86/AS5</f>
        <v>#DIV/0!</v>
      </c>
      <c r="AT87" s="2881"/>
      <c r="AU87" s="2882"/>
      <c r="AV87" s="2877">
        <f>AV86/AV5</f>
        <v>6.115169069213452E-3</v>
      </c>
      <c r="AW87" s="2878" t="e">
        <f>AW86/AW5</f>
        <v>#DIV/0!</v>
      </c>
      <c r="AX87" s="2879">
        <f>AX86/AX5</f>
        <v>6.115169069213452E-3</v>
      </c>
      <c r="AY87" s="2881"/>
      <c r="AZ87" s="2882"/>
      <c r="BA87" s="2877" t="e">
        <f>BA86/BA5</f>
        <v>#DIV/0!</v>
      </c>
      <c r="BB87" s="2878" t="e">
        <f>BB86/BB5</f>
        <v>#DIV/0!</v>
      </c>
      <c r="BC87" s="2879" t="e">
        <f>BC86/BC5</f>
        <v>#DIV/0!</v>
      </c>
      <c r="BD87" s="2881"/>
      <c r="BE87" s="2882"/>
      <c r="BF87" s="2877" t="e">
        <f>BF86/BF5</f>
        <v>#DIV/0!</v>
      </c>
      <c r="BG87" s="2878" t="e">
        <f>BG86/BG5</f>
        <v>#DIV/0!</v>
      </c>
      <c r="BH87" s="2879" t="e">
        <f>BH86/BH5</f>
        <v>#DIV/0!</v>
      </c>
      <c r="BI87" s="2881"/>
      <c r="BJ87" s="2882"/>
      <c r="BK87" s="2877" t="e">
        <f>BK86/BK5</f>
        <v>#DIV/0!</v>
      </c>
      <c r="BL87" s="2878" t="e">
        <f>BL86/BL5</f>
        <v>#DIV/0!</v>
      </c>
      <c r="BM87" s="2879" t="e">
        <f>BM86/BM5</f>
        <v>#DIV/0!</v>
      </c>
      <c r="BN87" s="2881"/>
      <c r="BO87" s="2882"/>
      <c r="BP87" s="2877" t="e">
        <f>BP86/BP5</f>
        <v>#DIV/0!</v>
      </c>
      <c r="BQ87" s="2878" t="e">
        <f>BQ86/BQ5</f>
        <v>#DIV/0!</v>
      </c>
      <c r="BR87" s="2879" t="e">
        <f>BR86/BR5</f>
        <v>#DIV/0!</v>
      </c>
      <c r="BS87" s="2881"/>
      <c r="BT87" s="2882"/>
      <c r="BU87" s="2877" t="e">
        <f>BU86/BU5</f>
        <v>#DIV/0!</v>
      </c>
      <c r="BV87" s="2878" t="e">
        <f>BV86/BV5</f>
        <v>#DIV/0!</v>
      </c>
      <c r="BW87" s="2879" t="e">
        <f>BW86/BW5</f>
        <v>#DIV/0!</v>
      </c>
      <c r="BX87" s="2881"/>
      <c r="BY87" s="2882"/>
      <c r="BZ87" s="2877">
        <f>BZ86/BZ5</f>
        <v>0.3078098804900477</v>
      </c>
      <c r="CA87" s="2878" t="e">
        <f>CA86/CA5</f>
        <v>#DIV/0!</v>
      </c>
      <c r="CB87" s="2879">
        <f>CB86/CB5</f>
        <v>0.24550318736285606</v>
      </c>
      <c r="CC87" s="2881"/>
      <c r="CD87" s="2881"/>
      <c r="CE87" s="842"/>
      <c r="CF87" s="842"/>
      <c r="CG87" s="933"/>
    </row>
    <row r="88" spans="1:86" ht="13.8" x14ac:dyDescent="0.25">
      <c r="A88" s="1438"/>
      <c r="B88" s="1438"/>
      <c r="C88" s="1536"/>
      <c r="D88" s="1536"/>
      <c r="E88" s="1536"/>
      <c r="F88" s="1564"/>
      <c r="G88" s="1970"/>
      <c r="H88" s="1970"/>
      <c r="I88" s="1970"/>
      <c r="J88" s="1564"/>
      <c r="K88" s="1564"/>
      <c r="L88" s="1970"/>
      <c r="M88" s="1970"/>
      <c r="N88" s="1970"/>
      <c r="O88" s="1970"/>
      <c r="P88" s="1970"/>
      <c r="Q88" s="1564"/>
      <c r="R88" s="1970"/>
      <c r="S88" s="1970"/>
      <c r="T88" s="1970"/>
      <c r="U88" s="1970"/>
      <c r="V88" s="1628"/>
      <c r="W88" s="1970"/>
      <c r="X88" s="1970"/>
      <c r="Y88" s="1970"/>
      <c r="Z88" s="1970"/>
      <c r="AA88" s="1970"/>
      <c r="AB88" s="1970"/>
      <c r="AC88" s="1970"/>
      <c r="AD88" s="1970"/>
      <c r="AE88" s="1970"/>
      <c r="AF88" s="1970"/>
      <c r="AG88" s="1970"/>
      <c r="AH88" s="1970"/>
      <c r="AI88" s="1970"/>
      <c r="AJ88" s="1970"/>
      <c r="AK88" s="1970"/>
      <c r="AL88" s="1970"/>
      <c r="AM88" s="1970"/>
      <c r="AN88" s="1970"/>
      <c r="AO88" s="1970"/>
      <c r="AP88" s="1970"/>
      <c r="AQ88" s="1970"/>
      <c r="AR88" s="1970"/>
      <c r="AS88" s="1970"/>
      <c r="AT88" s="1970"/>
      <c r="AU88" s="1620"/>
      <c r="AV88" s="1970"/>
      <c r="AW88" s="1970"/>
      <c r="AX88" s="1970"/>
      <c r="AY88" s="1970"/>
      <c r="AZ88" s="1620"/>
      <c r="BA88" s="1970"/>
      <c r="BB88" s="1970"/>
      <c r="BC88" s="1970"/>
      <c r="BD88" s="1970"/>
      <c r="BE88" s="1620"/>
      <c r="BF88" s="1970"/>
      <c r="BG88" s="1970"/>
      <c r="BH88" s="1970"/>
      <c r="BI88" s="1970"/>
      <c r="BJ88" s="1620"/>
      <c r="BK88" s="1970"/>
      <c r="BL88" s="1970"/>
      <c r="BM88" s="1970"/>
      <c r="BN88" s="1970"/>
      <c r="BO88" s="1620"/>
      <c r="BP88" s="1970"/>
      <c r="BQ88" s="1970"/>
      <c r="BR88" s="1970"/>
      <c r="BS88" s="1970"/>
      <c r="BT88" s="1620"/>
      <c r="BU88" s="1970"/>
      <c r="BV88" s="1970"/>
      <c r="BW88" s="1970"/>
      <c r="BX88" s="1970"/>
      <c r="BY88" s="1620"/>
      <c r="BZ88" s="1970"/>
      <c r="CA88" s="1970"/>
      <c r="CB88" s="1970"/>
      <c r="CC88" s="1970"/>
      <c r="CD88" s="1970"/>
      <c r="CF88" s="1968"/>
      <c r="CG88" s="1968"/>
    </row>
    <row r="89" spans="1:86" x14ac:dyDescent="0.25">
      <c r="B89" s="1577" t="s">
        <v>56</v>
      </c>
      <c r="C89" s="1537"/>
      <c r="D89" s="1537"/>
      <c r="E89" s="1976">
        <f>E8+E36+E41+E50+E54+E73+E79+E82+E85</f>
        <v>0</v>
      </c>
      <c r="F89" s="189"/>
      <c r="I89" s="1976">
        <f>I8+I36+I41+I50+I54+I73+I79+I82+I85</f>
        <v>13358433.843589958</v>
      </c>
      <c r="J89" s="189"/>
      <c r="K89" s="189"/>
      <c r="N89" s="1976">
        <f>N8+N36+N41+N50+N54+N73+N79+N82+N85</f>
        <v>3738510.5762741687</v>
      </c>
      <c r="Q89" s="189"/>
      <c r="T89" s="1976">
        <f>T8+T36+T41+T50+T54+T73+T79+T82+T85</f>
        <v>5977252.04</v>
      </c>
      <c r="V89" s="1607"/>
      <c r="Y89" s="1976">
        <f>Y8+Y36+Y41+Y50+Y54+Y73+Y79+Y82+Y85</f>
        <v>27000</v>
      </c>
      <c r="AD89" s="1976">
        <f>AD8+AD36+AD41+AD50+AD54+AD73+AD79+AD82+AD85</f>
        <v>45.389757169253528</v>
      </c>
      <c r="AI89" s="1976">
        <f>AI8+AI36+AI41+AI50+AI54+AI73+AI79+AI82+AI85</f>
        <v>0</v>
      </c>
      <c r="AN89" s="1976">
        <f>AN8+AN36+AN41+AN50+AN54+AN73+AN79+AN82+AN85</f>
        <v>9112217.0399999991</v>
      </c>
      <c r="AS89" s="1976">
        <f>AS8+AS36+AS41+AS50+AS54+AS73+AS79+AS82+AS85</f>
        <v>0</v>
      </c>
      <c r="AU89" s="1621"/>
      <c r="AX89" s="1976">
        <f>AX8+AX36+AX41+AX50+AX54+AX73+AX79+AX82+AX85</f>
        <v>832347</v>
      </c>
      <c r="AZ89" s="1621"/>
      <c r="BC89" s="1976">
        <f>BC8+BC36+BC41+BC50+BC54+BC73+BC79+BC82+BC85</f>
        <v>144.34037868922087</v>
      </c>
      <c r="BE89" s="1621"/>
      <c r="BH89" s="1976">
        <f>BH8+BH36+BH41+BH50+BH54+BH73+BH79+BH82+BH85</f>
        <v>55.01</v>
      </c>
      <c r="BJ89" s="1621"/>
      <c r="BM89" s="1976">
        <f>BM8+BM36+BM41+BM50+BM54+BM73+BM79+BM82+BM85</f>
        <v>55.01</v>
      </c>
      <c r="BO89" s="1621"/>
      <c r="BR89" s="1976">
        <f>BR8+BR36+BR41+BR50+BR54+BR73+BR79+BR82+BR85</f>
        <v>2639.52</v>
      </c>
      <c r="BT89" s="1621"/>
      <c r="BW89" s="1976">
        <f>BW8+BW36+BW41+BW50+BW54+BW73+BW79+BW82+BW85</f>
        <v>148.11800321553727</v>
      </c>
      <c r="BY89" s="1621"/>
      <c r="CB89" s="1976">
        <f>CB8+CB36+CB41+CB50+CB54+CB73+CB79+CB82+CB85</f>
        <v>33048847.888003204</v>
      </c>
      <c r="CG89" s="688"/>
    </row>
    <row r="90" spans="1:86" s="2487" customFormat="1" x14ac:dyDescent="0.25">
      <c r="A90" s="1349"/>
      <c r="B90" s="1349"/>
      <c r="C90" s="1354"/>
      <c r="D90" s="1354"/>
      <c r="E90" s="1354"/>
      <c r="F90" s="2485"/>
      <c r="G90" s="2485"/>
      <c r="H90" s="2485"/>
      <c r="I90" s="2485"/>
      <c r="J90" s="2485"/>
      <c r="K90" s="2485"/>
      <c r="L90" s="1601"/>
      <c r="M90" s="1601"/>
      <c r="N90" s="1601"/>
      <c r="O90" s="1601"/>
      <c r="P90" s="2485"/>
      <c r="Q90" s="2485"/>
      <c r="R90" s="2485"/>
      <c r="S90" s="2485"/>
      <c r="T90" s="2485"/>
      <c r="U90" s="2485"/>
      <c r="V90" s="2485"/>
      <c r="W90" s="2485"/>
      <c r="X90" s="2485"/>
      <c r="Y90" s="2485"/>
      <c r="Z90" s="2485"/>
      <c r="AA90" s="2485"/>
      <c r="AB90" s="2485"/>
      <c r="AC90" s="2485"/>
      <c r="AD90" s="2485"/>
      <c r="AE90" s="2485"/>
      <c r="AF90" s="2485"/>
      <c r="AG90" s="2485"/>
      <c r="AH90" s="2485"/>
      <c r="AI90" s="2485"/>
      <c r="AJ90" s="2485"/>
      <c r="AK90" s="2485"/>
      <c r="AL90" s="2485"/>
      <c r="AM90" s="2485"/>
      <c r="AN90" s="2485"/>
      <c r="AO90" s="2485"/>
      <c r="AP90" s="2485"/>
      <c r="AQ90" s="2485"/>
      <c r="AR90" s="2485"/>
      <c r="AS90" s="2485"/>
      <c r="AT90" s="2485"/>
      <c r="AU90" s="1872"/>
      <c r="AV90" s="2485"/>
      <c r="AW90" s="2485"/>
      <c r="AX90" s="2485"/>
      <c r="AY90" s="2485"/>
      <c r="AZ90" s="1872"/>
      <c r="BA90" s="2485"/>
      <c r="BB90" s="2485"/>
      <c r="BC90" s="2485"/>
      <c r="BD90" s="2485"/>
      <c r="BE90" s="1872"/>
      <c r="BF90" s="2485"/>
      <c r="BG90" s="2485"/>
      <c r="BH90" s="2485"/>
      <c r="BI90" s="2485"/>
      <c r="BJ90" s="1872"/>
      <c r="BK90" s="2485"/>
      <c r="BL90" s="2485"/>
      <c r="BM90" s="2485"/>
      <c r="BN90" s="2485"/>
      <c r="BO90" s="1872"/>
      <c r="BP90" s="2485"/>
      <c r="BQ90" s="2485"/>
      <c r="BR90" s="2485"/>
      <c r="BS90" s="2485"/>
      <c r="BT90" s="1872"/>
      <c r="BU90" s="2485"/>
      <c r="BV90" s="2485"/>
      <c r="BW90" s="2485"/>
      <c r="BX90" s="2485"/>
      <c r="BY90" s="1872"/>
      <c r="BZ90" s="2485"/>
      <c r="CA90" s="2485"/>
      <c r="CB90" s="1621">
        <f>(I89+N89+T89+Y89+AD89+AI89+AN89+AS89+AX89+BC89+BH89+BM89+BR89+BW89)-CB89</f>
        <v>0</v>
      </c>
      <c r="CC90" s="1601"/>
      <c r="CD90" s="1601"/>
      <c r="CE90" s="2479"/>
      <c r="CG90" s="2488"/>
    </row>
    <row r="91" spans="1:86" s="2486" customFormat="1" ht="13.95" customHeight="1" x14ac:dyDescent="0.25">
      <c r="A91" s="1349"/>
      <c r="B91" s="1349"/>
      <c r="C91" s="1354"/>
      <c r="D91" s="1354"/>
      <c r="E91" s="1354"/>
      <c r="F91" s="2485"/>
      <c r="G91" s="2485"/>
      <c r="H91" s="2485"/>
      <c r="I91" s="2485"/>
      <c r="J91" s="2485"/>
      <c r="K91" s="2485"/>
      <c r="L91" s="1601"/>
      <c r="M91" s="1601"/>
      <c r="N91" s="1601"/>
      <c r="O91" s="1601"/>
      <c r="P91" s="2485"/>
      <c r="Q91" s="2485"/>
      <c r="R91" s="2485"/>
      <c r="S91" s="2485"/>
      <c r="T91" s="2485"/>
      <c r="U91" s="2485"/>
      <c r="V91" s="2485"/>
      <c r="W91" s="2485"/>
      <c r="X91" s="2485"/>
      <c r="Y91" s="2485"/>
      <c r="Z91" s="2485"/>
      <c r="AA91" s="2485"/>
      <c r="AB91" s="2485"/>
      <c r="AC91" s="2485"/>
      <c r="AD91" s="2485"/>
      <c r="AE91" s="2485"/>
      <c r="AF91" s="2485"/>
      <c r="AG91" s="2485"/>
      <c r="AH91" s="2485"/>
      <c r="AI91" s="2485"/>
      <c r="AJ91" s="2485"/>
      <c r="AK91" s="2485"/>
      <c r="AL91" s="2485"/>
      <c r="AM91" s="2485"/>
      <c r="AN91" s="2485"/>
      <c r="AO91" s="2485"/>
      <c r="AP91" s="2485"/>
      <c r="AQ91" s="2485"/>
      <c r="AR91" s="1601"/>
      <c r="AS91" s="1601"/>
      <c r="AT91" s="1601"/>
      <c r="AU91" s="1872"/>
      <c r="AV91" s="2485"/>
      <c r="AW91" s="1601"/>
      <c r="AX91" s="1601"/>
      <c r="AY91" s="1601"/>
      <c r="AZ91" s="1872"/>
      <c r="BA91" s="2485"/>
      <c r="BB91" s="1601"/>
      <c r="BC91" s="1601"/>
      <c r="BD91" s="1601"/>
      <c r="BE91" s="1872"/>
      <c r="BF91" s="2485"/>
      <c r="BG91" s="1601"/>
      <c r="BH91" s="1601"/>
      <c r="BI91" s="1601"/>
      <c r="BJ91" s="1872"/>
      <c r="BK91" s="2485"/>
      <c r="BL91" s="1601"/>
      <c r="BM91" s="1601"/>
      <c r="BN91" s="1601"/>
      <c r="BO91" s="1872"/>
      <c r="BP91" s="2485"/>
      <c r="BQ91" s="1601"/>
      <c r="BR91" s="1601"/>
      <c r="BS91" s="1601"/>
      <c r="BT91" s="1872"/>
      <c r="BU91" s="2485"/>
      <c r="BV91" s="1601"/>
      <c r="BW91" s="1601"/>
      <c r="BX91" s="1601"/>
      <c r="BY91" s="1872"/>
      <c r="BZ91" s="2485"/>
      <c r="CA91" s="2485"/>
      <c r="CB91" s="2485"/>
      <c r="CC91" s="2485"/>
      <c r="CD91" s="2485"/>
      <c r="CE91" s="2485"/>
      <c r="CF91" s="2485"/>
      <c r="CG91" s="2485"/>
    </row>
    <row r="92" spans="1:86" s="2487" customFormat="1" x14ac:dyDescent="0.25">
      <c r="A92" s="1349"/>
      <c r="B92" s="1349"/>
      <c r="C92" s="2485"/>
      <c r="D92" s="2485"/>
      <c r="E92" s="2485"/>
      <c r="F92" s="2485"/>
      <c r="G92" s="2485"/>
      <c r="H92" s="2485"/>
      <c r="I92" s="2485"/>
      <c r="J92" s="2485"/>
      <c r="K92" s="2485"/>
      <c r="L92" s="1601"/>
      <c r="M92" s="1601"/>
      <c r="N92" s="1601"/>
      <c r="O92" s="1601"/>
      <c r="P92" s="2485"/>
      <c r="Q92" s="2485"/>
      <c r="R92" s="2485"/>
      <c r="S92" s="2485"/>
      <c r="T92" s="2485"/>
      <c r="U92" s="2485"/>
      <c r="V92" s="2485"/>
      <c r="W92" s="2485"/>
      <c r="X92" s="2485"/>
      <c r="Y92" s="2485">
        <f>Y5-Y89</f>
        <v>-27000</v>
      </c>
      <c r="Z92" s="2485"/>
      <c r="AA92" s="2485"/>
      <c r="AB92" s="2485"/>
      <c r="AC92" s="2485"/>
      <c r="AD92" s="2485">
        <f>AD5-AD89</f>
        <v>-45.389757169253528</v>
      </c>
      <c r="AE92" s="2485"/>
      <c r="AF92" s="2485"/>
      <c r="AG92" s="2485"/>
      <c r="AH92" s="2485"/>
      <c r="AI92" s="2485">
        <f>AI5-AI89</f>
        <v>0</v>
      </c>
      <c r="AJ92" s="2485"/>
      <c r="AK92" s="2485"/>
      <c r="AL92" s="2485"/>
      <c r="AM92" s="2485"/>
      <c r="AN92" s="2485">
        <f>AN5-AN89</f>
        <v>1211745.4800000004</v>
      </c>
      <c r="AO92" s="2485"/>
      <c r="AP92" s="2485"/>
      <c r="AQ92" s="1355"/>
      <c r="AR92" s="1230"/>
      <c r="AS92" s="1230"/>
      <c r="AT92" s="1230"/>
      <c r="AU92" s="1355"/>
      <c r="AV92" s="1355"/>
      <c r="AW92" s="1230"/>
      <c r="AX92" s="1230"/>
      <c r="AY92" s="1230"/>
      <c r="AZ92" s="1355"/>
      <c r="BA92" s="1355"/>
      <c r="BB92" s="1230"/>
      <c r="BC92" s="1230"/>
      <c r="BD92" s="1230"/>
      <c r="BE92" s="1355"/>
      <c r="BF92" s="2485"/>
      <c r="BG92" s="1230"/>
      <c r="BH92" s="1230"/>
      <c r="BI92" s="1230"/>
      <c r="BJ92" s="1355"/>
      <c r="BK92" s="2485"/>
      <c r="BL92" s="1230"/>
      <c r="BM92" s="1230"/>
      <c r="BN92" s="1230"/>
      <c r="BO92" s="1355"/>
      <c r="BP92" s="2485"/>
      <c r="BQ92" s="1230"/>
      <c r="BR92" s="1230"/>
      <c r="BS92" s="1230"/>
      <c r="BT92" s="1355"/>
      <c r="BU92" s="2485"/>
      <c r="BV92" s="1230"/>
      <c r="BW92" s="1230"/>
      <c r="BX92" s="1230"/>
      <c r="BY92" s="1355"/>
      <c r="BZ92" s="2485"/>
      <c r="CA92" s="1968" t="s">
        <v>1666</v>
      </c>
      <c r="CB92" s="1968">
        <v>9414050.8500000015</v>
      </c>
      <c r="CC92" s="2485"/>
      <c r="CD92" s="2485"/>
      <c r="CE92" s="2485"/>
      <c r="CF92" s="2485"/>
      <c r="CG92" s="2485"/>
    </row>
    <row r="93" spans="1:86" s="2486" customFormat="1" x14ac:dyDescent="0.25">
      <c r="A93" s="1349"/>
      <c r="B93" s="1357"/>
      <c r="C93" s="2485"/>
      <c r="D93" s="2485"/>
      <c r="E93" s="2485"/>
      <c r="F93" s="2485"/>
      <c r="G93" s="2485"/>
      <c r="H93" s="2485"/>
      <c r="I93" s="2485"/>
      <c r="J93" s="2485"/>
      <c r="K93" s="2485"/>
      <c r="L93" s="1601"/>
      <c r="M93" s="1601"/>
      <c r="N93" s="1601"/>
      <c r="O93" s="1601"/>
      <c r="P93" s="1968"/>
      <c r="Q93" s="2485"/>
      <c r="R93" s="2485"/>
      <c r="S93" s="2485"/>
      <c r="T93" s="1607"/>
      <c r="U93" s="2485"/>
      <c r="V93" s="2485"/>
      <c r="W93" s="1968"/>
      <c r="X93" s="1968"/>
      <c r="Y93" s="1968"/>
      <c r="Z93" s="1968"/>
      <c r="AA93" s="1968"/>
      <c r="AB93" s="1968"/>
      <c r="AC93" s="1968"/>
      <c r="AD93" s="1968"/>
      <c r="AE93" s="1968"/>
      <c r="AF93" s="1968"/>
      <c r="AG93" s="1968"/>
      <c r="AH93" s="1968"/>
      <c r="AI93" s="1968"/>
      <c r="AJ93" s="1968"/>
      <c r="AK93" s="1968"/>
      <c r="AL93" s="1968"/>
      <c r="AM93" s="1968"/>
      <c r="AN93" s="1968"/>
      <c r="AO93" s="1968"/>
      <c r="AP93" s="1968"/>
      <c r="AQ93" s="1046"/>
      <c r="AR93" s="1230"/>
      <c r="AS93" s="1230"/>
      <c r="AT93" s="1230"/>
      <c r="AU93" s="1046"/>
      <c r="AV93" s="1046"/>
      <c r="AW93" s="1230"/>
      <c r="AX93" s="1230"/>
      <c r="AY93" s="1230"/>
      <c r="AZ93" s="1046"/>
      <c r="BA93" s="1046"/>
      <c r="BB93" s="1230"/>
      <c r="BC93" s="1230"/>
      <c r="BD93" s="1230"/>
      <c r="BE93" s="1046"/>
      <c r="BF93" s="2485"/>
      <c r="BG93" s="1230"/>
      <c r="BH93" s="1230"/>
      <c r="BI93" s="1230"/>
      <c r="BJ93" s="1046"/>
      <c r="BK93" s="2485"/>
      <c r="BL93" s="1230"/>
      <c r="BM93" s="1230"/>
      <c r="BN93" s="1230"/>
      <c r="BO93" s="1046"/>
      <c r="BP93" s="2485"/>
      <c r="BQ93" s="1230"/>
      <c r="BR93" s="1230"/>
      <c r="BS93" s="1230"/>
      <c r="BT93" s="1046"/>
      <c r="BU93" s="2485"/>
      <c r="BV93" s="1230"/>
      <c r="BW93" s="1230"/>
      <c r="BX93" s="1230"/>
      <c r="BY93" s="1046"/>
      <c r="BZ93" s="2485"/>
      <c r="CA93" s="1968" t="s">
        <v>1665</v>
      </c>
      <c r="CB93" s="1968">
        <f>CB92-CB86</f>
        <v>-1339602.9219967909</v>
      </c>
      <c r="CC93" s="1968"/>
      <c r="CD93" s="1968"/>
      <c r="CE93" s="1968"/>
      <c r="CF93" s="1968"/>
      <c r="CG93" s="1968"/>
    </row>
    <row r="94" spans="1:86" s="1411" customFormat="1" x14ac:dyDescent="0.25">
      <c r="A94" s="1417"/>
      <c r="B94" s="1670"/>
      <c r="C94" s="1968"/>
      <c r="D94" s="1968"/>
      <c r="E94" s="1968"/>
      <c r="F94" s="1968"/>
      <c r="G94" s="1968"/>
      <c r="H94" s="1968"/>
      <c r="I94" s="1968"/>
      <c r="J94" s="1968"/>
      <c r="K94" s="1968"/>
      <c r="L94" s="1601"/>
      <c r="M94" s="1601"/>
      <c r="N94" s="1601"/>
      <c r="O94" s="1601"/>
      <c r="P94" s="1968"/>
      <c r="Q94" s="1968"/>
      <c r="R94" s="1968"/>
      <c r="S94" s="1968"/>
      <c r="T94" s="1968"/>
      <c r="U94" s="1968"/>
      <c r="V94" s="1607"/>
      <c r="W94" s="1968"/>
      <c r="X94" s="1968"/>
      <c r="Y94" s="1968"/>
      <c r="Z94" s="1968"/>
      <c r="AA94" s="1968"/>
      <c r="AB94" s="1968"/>
      <c r="AC94" s="1968"/>
      <c r="AD94" s="1968"/>
      <c r="AE94" s="1968"/>
      <c r="AF94" s="1968"/>
      <c r="AG94" s="1968"/>
      <c r="AH94" s="1968"/>
      <c r="AI94" s="1968"/>
      <c r="AJ94" s="1968"/>
      <c r="AK94" s="1968"/>
      <c r="AL94" s="1968"/>
      <c r="AM94" s="1968"/>
      <c r="AN94" s="1968"/>
      <c r="AO94" s="1968"/>
      <c r="AP94" s="1968"/>
      <c r="AQ94" s="1979"/>
      <c r="AR94" s="1979"/>
      <c r="AS94" s="1979"/>
      <c r="AT94" s="1979"/>
      <c r="AU94" s="1979"/>
      <c r="AV94" s="1979"/>
      <c r="AW94" s="1979"/>
      <c r="AX94" s="1979"/>
      <c r="AY94" s="1979"/>
      <c r="AZ94" s="1979"/>
      <c r="BA94" s="1979"/>
      <c r="BB94" s="1979"/>
      <c r="BC94" s="1979"/>
      <c r="BD94" s="1979"/>
      <c r="BE94" s="1979"/>
      <c r="BF94" s="1979"/>
      <c r="BG94" s="1979"/>
      <c r="BH94" s="1979"/>
      <c r="BI94" s="1979"/>
      <c r="BJ94" s="1979"/>
      <c r="BK94" s="1979"/>
      <c r="BL94" s="1979"/>
      <c r="BM94" s="1979"/>
      <c r="BN94" s="1979"/>
      <c r="BO94" s="1979"/>
      <c r="BP94" s="1979"/>
      <c r="BQ94" s="1979"/>
      <c r="BR94" s="1979"/>
      <c r="BS94" s="1979"/>
      <c r="BT94" s="1979"/>
      <c r="BU94" s="1979"/>
      <c r="BV94" s="1979"/>
      <c r="BW94" s="1979"/>
      <c r="BX94" s="1979"/>
      <c r="BY94" s="1979"/>
      <c r="BZ94" s="1669"/>
      <c r="CA94" s="1968"/>
      <c r="CB94" s="1968"/>
      <c r="CC94" s="1968"/>
      <c r="CD94" s="1968"/>
      <c r="CE94" s="1968"/>
      <c r="CF94" s="1968"/>
      <c r="CG94" s="1968"/>
    </row>
    <row r="95" spans="1:86" s="1411" customFormat="1" x14ac:dyDescent="0.25">
      <c r="A95" s="1417"/>
      <c r="B95" s="1670"/>
      <c r="C95" s="1968"/>
      <c r="D95" s="1968"/>
      <c r="E95" s="1968"/>
      <c r="F95" s="1968"/>
      <c r="G95" s="1968"/>
      <c r="H95" s="1968"/>
      <c r="I95" s="1968"/>
      <c r="J95" s="1968"/>
      <c r="K95" s="1968"/>
      <c r="L95" s="1601"/>
      <c r="M95" s="1601"/>
      <c r="N95" s="1601"/>
      <c r="O95" s="1601"/>
      <c r="P95" s="1968"/>
      <c r="Q95" s="1968"/>
      <c r="R95" s="1968"/>
      <c r="S95" s="1968"/>
      <c r="T95" s="1968"/>
      <c r="U95" s="1968"/>
      <c r="V95" s="1607"/>
      <c r="W95" s="1968"/>
      <c r="X95" s="1968"/>
      <c r="Y95" s="1968"/>
      <c r="Z95" s="1968"/>
      <c r="AA95" s="1968"/>
      <c r="AB95" s="1968"/>
      <c r="AC95" s="1968"/>
      <c r="AD95" s="1968"/>
      <c r="AE95" s="1968"/>
      <c r="AF95" s="1968"/>
      <c r="AG95" s="1968"/>
      <c r="AH95" s="1968"/>
      <c r="AI95" s="1968"/>
      <c r="AJ95" s="1968"/>
      <c r="AK95" s="1968"/>
      <c r="AL95" s="1968"/>
      <c r="AM95" s="1968"/>
      <c r="AN95" s="1968"/>
      <c r="AO95" s="1968"/>
      <c r="AP95" s="1968"/>
      <c r="AQ95" s="1979"/>
      <c r="AR95" s="1979"/>
      <c r="AS95" s="1979"/>
      <c r="AT95" s="1979"/>
      <c r="AU95" s="1979"/>
      <c r="AV95" s="1979"/>
      <c r="AW95" s="1979"/>
      <c r="AX95" s="1979"/>
      <c r="AY95" s="1979"/>
      <c r="AZ95" s="1979"/>
      <c r="BA95" s="1979"/>
      <c r="BB95" s="1979"/>
      <c r="BC95" s="1979"/>
      <c r="BD95" s="1979"/>
      <c r="BE95" s="1979"/>
      <c r="BF95" s="1979"/>
      <c r="BG95" s="1979"/>
      <c r="BH95" s="1979"/>
      <c r="BI95" s="1979"/>
      <c r="BJ95" s="1979"/>
      <c r="BK95" s="1979"/>
      <c r="BL95" s="1979"/>
      <c r="BM95" s="1979"/>
      <c r="BN95" s="1979"/>
      <c r="BO95" s="1979"/>
      <c r="BP95" s="1979"/>
      <c r="BQ95" s="1979"/>
      <c r="BR95" s="1979"/>
      <c r="BS95" s="1979"/>
      <c r="BT95" s="1979"/>
      <c r="BU95" s="1979"/>
      <c r="BV95" s="1979"/>
      <c r="BW95" s="1979"/>
      <c r="BX95" s="1979"/>
      <c r="BY95" s="1979"/>
      <c r="BZ95" s="1968"/>
      <c r="CC95" s="1968"/>
      <c r="CD95" s="1968"/>
      <c r="CE95" s="1968"/>
      <c r="CF95" s="1968"/>
      <c r="CG95" s="1968"/>
    </row>
    <row r="96" spans="1:86" s="1411" customFormat="1" x14ac:dyDescent="0.25">
      <c r="A96" s="1417"/>
      <c r="B96" s="1670"/>
      <c r="C96" s="1968"/>
      <c r="D96" s="1968"/>
      <c r="E96" s="1968"/>
      <c r="F96" s="1968"/>
      <c r="G96" s="1968"/>
      <c r="H96" s="1968"/>
      <c r="I96" s="1968"/>
      <c r="J96" s="1968"/>
      <c r="K96" s="1968"/>
      <c r="L96" s="1601"/>
      <c r="M96" s="1601"/>
      <c r="N96" s="1601"/>
      <c r="O96" s="1601"/>
      <c r="P96" s="1968"/>
      <c r="Q96" s="1968"/>
      <c r="R96" s="1968"/>
      <c r="S96" s="1968"/>
      <c r="T96" s="1968"/>
      <c r="U96" s="1968"/>
      <c r="V96" s="1607"/>
      <c r="W96" s="1968"/>
      <c r="X96" s="1968"/>
      <c r="Y96" s="1968"/>
      <c r="Z96" s="1968"/>
      <c r="AA96" s="1968"/>
      <c r="AB96" s="1968"/>
      <c r="AC96" s="1968"/>
      <c r="AD96" s="1968"/>
      <c r="AE96" s="1968"/>
      <c r="AF96" s="1968"/>
      <c r="AG96" s="1968"/>
      <c r="AH96" s="1968"/>
      <c r="AI96" s="1968"/>
      <c r="AL96" s="1968"/>
      <c r="AM96" s="1968"/>
      <c r="AN96" s="1968"/>
      <c r="AO96" s="1968"/>
      <c r="AP96" s="1968"/>
      <c r="AQ96" s="1979"/>
      <c r="AR96" s="1979"/>
      <c r="AS96" s="1979"/>
      <c r="AT96" s="1979"/>
      <c r="AU96" s="1979"/>
      <c r="AV96" s="1979"/>
      <c r="AW96" s="1979"/>
      <c r="AX96" s="1979"/>
      <c r="AY96" s="1979"/>
      <c r="AZ96" s="1979"/>
      <c r="BA96" s="1979"/>
      <c r="BB96" s="1979"/>
      <c r="BC96" s="1979"/>
      <c r="BD96" s="1979"/>
      <c r="BE96" s="1979"/>
      <c r="BF96" s="1979"/>
      <c r="BG96" s="1979"/>
      <c r="BH96" s="1979"/>
      <c r="BI96" s="1979"/>
      <c r="BJ96" s="1979"/>
      <c r="BK96" s="1979"/>
      <c r="BL96" s="1979"/>
      <c r="BM96" s="1979"/>
      <c r="BN96" s="1979"/>
      <c r="BO96" s="1979"/>
      <c r="BP96" s="1979"/>
      <c r="BQ96" s="1979"/>
      <c r="BR96" s="1979"/>
      <c r="BS96" s="1979"/>
      <c r="BT96" s="1979"/>
      <c r="BU96" s="1979"/>
      <c r="BV96" s="1979"/>
      <c r="BW96" s="1979"/>
      <c r="BX96" s="1979"/>
      <c r="BY96" s="1979"/>
      <c r="CA96" s="1075" t="s">
        <v>1660</v>
      </c>
      <c r="CB96" s="1968">
        <v>1339621.44</v>
      </c>
      <c r="CC96" s="1968"/>
      <c r="CD96" s="1968"/>
      <c r="CE96" s="1968"/>
      <c r="CF96" s="1968"/>
      <c r="CG96" s="1968"/>
      <c r="CH96" s="842"/>
    </row>
    <row r="97" spans="1:85" x14ac:dyDescent="0.25">
      <c r="C97" s="1968"/>
      <c r="D97" s="1968"/>
      <c r="L97" s="1601"/>
      <c r="M97" s="1601"/>
      <c r="N97" s="1601"/>
      <c r="O97" s="1601"/>
      <c r="V97" s="1607"/>
      <c r="AJ97" s="1968" t="s">
        <v>1661</v>
      </c>
      <c r="AK97" s="1411"/>
      <c r="AQ97" s="1979"/>
      <c r="AR97" s="1979"/>
      <c r="AS97" s="1979"/>
      <c r="AT97" s="1979"/>
      <c r="AU97" s="1979"/>
      <c r="AV97" s="1979"/>
      <c r="AW97" s="1979"/>
      <c r="AX97" s="1979"/>
      <c r="AY97" s="1979"/>
      <c r="AZ97" s="1979"/>
      <c r="BA97" s="1979"/>
      <c r="BB97" s="1979"/>
      <c r="BC97" s="1979"/>
      <c r="BD97" s="1979"/>
      <c r="BE97" s="1979"/>
      <c r="BF97" s="1979"/>
      <c r="BG97" s="1979"/>
      <c r="BH97" s="1979"/>
      <c r="BI97" s="1979"/>
      <c r="BJ97" s="1979"/>
      <c r="BK97" s="1979"/>
      <c r="BL97" s="1979"/>
      <c r="BM97" s="1979"/>
      <c r="BN97" s="1979"/>
      <c r="BO97" s="1979"/>
      <c r="BP97" s="1979"/>
      <c r="BQ97" s="1979"/>
      <c r="BR97" s="1979"/>
      <c r="BS97" s="1979"/>
      <c r="BT97" s="1979"/>
      <c r="BU97" s="1979"/>
      <c r="BV97" s="1979"/>
      <c r="BW97" s="1979"/>
      <c r="BX97" s="1979"/>
      <c r="BY97" s="1979"/>
      <c r="CA97" s="1075" t="s">
        <v>1697</v>
      </c>
      <c r="CE97" s="1968"/>
      <c r="CF97" s="1968"/>
      <c r="CG97" s="1968"/>
    </row>
    <row r="98" spans="1:85" x14ac:dyDescent="0.25">
      <c r="L98" s="1601"/>
      <c r="M98" s="1601"/>
      <c r="N98" s="1601"/>
      <c r="O98" s="1601"/>
      <c r="AK98" s="1411"/>
      <c r="AR98" s="1601"/>
      <c r="AS98" s="1601"/>
      <c r="AT98" s="1601"/>
      <c r="AW98" s="1601"/>
      <c r="AX98" s="1601"/>
      <c r="AY98" s="1601"/>
      <c r="BB98" s="1601"/>
      <c r="BC98" s="1601"/>
      <c r="BD98" s="1601"/>
      <c r="BG98" s="1601"/>
      <c r="BH98" s="1601"/>
      <c r="BI98" s="1601"/>
      <c r="BL98" s="1601"/>
      <c r="BM98" s="1601"/>
      <c r="BN98" s="1601"/>
      <c r="BQ98" s="1601"/>
      <c r="BR98" s="1601"/>
      <c r="BS98" s="1601"/>
      <c r="BV98" s="1601"/>
      <c r="BW98" s="1601"/>
      <c r="BX98" s="1601"/>
      <c r="CA98" s="1075"/>
      <c r="CE98" s="1968"/>
      <c r="CF98" s="1968"/>
      <c r="CG98" s="1968"/>
    </row>
    <row r="99" spans="1:85" x14ac:dyDescent="0.25">
      <c r="L99" s="1601"/>
      <c r="M99" s="1601"/>
      <c r="N99" s="1601"/>
      <c r="O99" s="1601"/>
      <c r="AR99" s="1601"/>
      <c r="AS99" s="1601"/>
      <c r="AT99" s="1601"/>
      <c r="AW99" s="1601"/>
      <c r="AX99" s="1601"/>
      <c r="AY99" s="1601"/>
      <c r="BB99" s="1601"/>
      <c r="BC99" s="1601"/>
      <c r="BD99" s="1601"/>
      <c r="BG99" s="1601"/>
      <c r="BH99" s="1601"/>
      <c r="BI99" s="1601"/>
      <c r="BL99" s="1601"/>
      <c r="BM99" s="1601"/>
      <c r="BN99" s="1601"/>
      <c r="BQ99" s="1601"/>
      <c r="BR99" s="1601"/>
      <c r="BS99" s="1601"/>
      <c r="BV99" s="1601"/>
      <c r="BW99" s="1601"/>
      <c r="BX99" s="1601"/>
      <c r="CA99" s="1075"/>
      <c r="CE99" s="1968"/>
      <c r="CF99" s="1968"/>
      <c r="CG99" s="1968"/>
    </row>
    <row r="100" spans="1:85" x14ac:dyDescent="0.25">
      <c r="L100" s="1601"/>
      <c r="M100" s="1601"/>
      <c r="N100" s="1601"/>
      <c r="O100" s="1601"/>
      <c r="AR100" s="1601"/>
      <c r="AS100" s="1601"/>
      <c r="AT100" s="1601"/>
      <c r="AW100" s="1601"/>
      <c r="AX100" s="1601"/>
      <c r="AY100" s="1601"/>
      <c r="BB100" s="1601"/>
      <c r="BC100" s="1601"/>
      <c r="BD100" s="1601"/>
      <c r="BG100" s="1601"/>
      <c r="BH100" s="1601"/>
      <c r="BI100" s="1601"/>
      <c r="BL100" s="1601"/>
      <c r="BM100" s="1601"/>
      <c r="BN100" s="1601"/>
      <c r="BQ100" s="1601"/>
      <c r="BR100" s="1601"/>
      <c r="BS100" s="1601"/>
      <c r="BV100" s="1601"/>
      <c r="BW100" s="1601"/>
      <c r="BX100" s="1601"/>
      <c r="CA100" s="1075" t="s">
        <v>1781</v>
      </c>
      <c r="CB100" s="1968">
        <f>SUM(CB93:CB99)</f>
        <v>18.518003209028393</v>
      </c>
      <c r="CC100" s="1968">
        <f>CB100/CB92</f>
        <v>1.9670600365440337E-6</v>
      </c>
      <c r="CE100" s="1968"/>
      <c r="CF100" s="1968"/>
      <c r="CG100" s="1968"/>
    </row>
    <row r="101" spans="1:85" x14ac:dyDescent="0.25">
      <c r="AR101" s="1601"/>
      <c r="AS101" s="1601"/>
      <c r="AT101" s="1601"/>
      <c r="AW101" s="1601"/>
      <c r="AX101" s="1601"/>
      <c r="AY101" s="1601"/>
      <c r="BB101" s="1601"/>
      <c r="BC101" s="1601"/>
      <c r="BD101" s="1601"/>
      <c r="BG101" s="1601"/>
      <c r="BH101" s="1601"/>
      <c r="BI101" s="1601"/>
      <c r="BL101" s="1601"/>
      <c r="BM101" s="1601"/>
      <c r="BN101" s="1601"/>
      <c r="BQ101" s="1601"/>
      <c r="BR101" s="1601"/>
      <c r="BS101" s="1601"/>
      <c r="BV101" s="1601"/>
      <c r="BW101" s="1601"/>
      <c r="BX101" s="1601"/>
      <c r="CA101" s="1075"/>
      <c r="CE101" s="1968"/>
      <c r="CF101" s="1968"/>
      <c r="CG101" s="1968"/>
    </row>
    <row r="102" spans="1:85" x14ac:dyDescent="0.25">
      <c r="AR102" s="1601"/>
      <c r="AS102" s="1601"/>
      <c r="AT102" s="1601"/>
      <c r="AW102" s="1601"/>
      <c r="AX102" s="1601"/>
      <c r="AY102" s="1601"/>
      <c r="BB102" s="1601"/>
      <c r="BC102" s="1601"/>
      <c r="BD102" s="1601"/>
      <c r="BG102" s="1601"/>
      <c r="BH102" s="1601"/>
      <c r="BI102" s="1601"/>
      <c r="BL102" s="1601"/>
      <c r="BM102" s="1601"/>
      <c r="BN102" s="1601"/>
      <c r="BQ102" s="1601"/>
      <c r="BR102" s="1601"/>
      <c r="BS102" s="1601"/>
      <c r="BV102" s="1601"/>
      <c r="BW102" s="1601"/>
      <c r="BX102" s="1601"/>
      <c r="CA102" s="1075"/>
      <c r="CE102" s="1968"/>
      <c r="CF102" s="1968"/>
      <c r="CG102" s="1968"/>
    </row>
    <row r="103" spans="1:85" x14ac:dyDescent="0.25">
      <c r="BV103" s="1601"/>
      <c r="BW103" s="1601"/>
      <c r="BX103" s="1601"/>
      <c r="CA103" s="1075"/>
      <c r="CE103" s="1968"/>
      <c r="CF103" s="1968"/>
      <c r="CG103" s="1968"/>
    </row>
    <row r="104" spans="1:85" x14ac:dyDescent="0.25">
      <c r="BV104" s="1601"/>
      <c r="BW104" s="1601"/>
      <c r="BX104" s="1601"/>
      <c r="CA104" s="1075"/>
      <c r="CE104" s="1968"/>
      <c r="CF104" s="1968"/>
      <c r="CG104" s="1968"/>
    </row>
    <row r="105" spans="1:85" x14ac:dyDescent="0.25">
      <c r="BV105" s="1601"/>
      <c r="BW105" s="1601"/>
      <c r="BX105" s="1601"/>
      <c r="CA105" s="1075"/>
      <c r="CE105" s="1968"/>
      <c r="CF105" s="1968"/>
      <c r="CG105" s="1968"/>
    </row>
    <row r="106" spans="1:85" x14ac:dyDescent="0.25">
      <c r="CA106" s="1075"/>
    </row>
    <row r="107" spans="1:85" x14ac:dyDescent="0.25">
      <c r="CA107" s="1075"/>
    </row>
    <row r="108" spans="1:85" x14ac:dyDescent="0.25">
      <c r="CA108" s="1075"/>
    </row>
    <row r="110" spans="1:85" x14ac:dyDescent="0.25">
      <c r="A110" s="1410"/>
      <c r="B110" s="1410"/>
      <c r="C110" s="1410"/>
      <c r="D110" s="1410"/>
      <c r="E110" s="1410"/>
      <c r="F110" s="1410"/>
      <c r="G110" s="1410"/>
      <c r="H110" s="1410"/>
      <c r="I110" s="1410"/>
      <c r="J110" s="1410"/>
      <c r="K110" s="1410"/>
      <c r="L110" s="1410"/>
      <c r="M110" s="1410"/>
      <c r="N110" s="1410"/>
      <c r="O110" s="1410"/>
      <c r="P110" s="1410"/>
      <c r="Q110" s="1410"/>
      <c r="R110" s="1410"/>
      <c r="S110" s="1410"/>
      <c r="T110" s="1410"/>
      <c r="U110" s="1410"/>
      <c r="V110" s="1410"/>
      <c r="W110" s="1410"/>
      <c r="X110" s="1410"/>
      <c r="Y110" s="1410"/>
      <c r="Z110" s="1410"/>
      <c r="AA110" s="1410"/>
      <c r="AB110" s="1410"/>
      <c r="AC110" s="1410"/>
      <c r="AD110" s="1410"/>
      <c r="AE110" s="1410"/>
      <c r="AF110" s="1410"/>
      <c r="AG110" s="1410"/>
      <c r="AH110" s="1410"/>
      <c r="AI110" s="1410"/>
      <c r="AJ110" s="1410"/>
      <c r="AK110" s="1410"/>
      <c r="AL110" s="1410"/>
      <c r="AM110" s="1410"/>
      <c r="AN110" s="1410"/>
      <c r="AO110" s="1410"/>
      <c r="AP110" s="1410"/>
      <c r="AQ110" s="1410"/>
      <c r="AR110" s="1410"/>
      <c r="AS110" s="1410"/>
      <c r="AT110" s="1410"/>
      <c r="AW110" s="1410"/>
      <c r="AX110" s="1410"/>
      <c r="AY110" s="1410"/>
      <c r="BB110" s="1410"/>
      <c r="BC110" s="1410"/>
      <c r="BD110" s="1410"/>
      <c r="BF110" s="1410"/>
      <c r="BG110" s="1410"/>
      <c r="BH110" s="1410"/>
      <c r="BI110" s="1410"/>
      <c r="BJ110" s="1410"/>
      <c r="BK110" s="1410"/>
      <c r="BL110" s="1410"/>
      <c r="BM110" s="1410"/>
      <c r="BN110" s="1410"/>
      <c r="BO110" s="1410"/>
      <c r="BP110" s="1410"/>
      <c r="BQ110" s="1410"/>
      <c r="BR110" s="1410"/>
      <c r="BS110" s="1410"/>
      <c r="BT110" s="1410"/>
      <c r="BZ110" s="1410"/>
      <c r="CA110" s="1410"/>
      <c r="CB110" s="1410"/>
      <c r="CC110" s="1410"/>
      <c r="CD110" s="1410"/>
      <c r="CE110" s="1410"/>
      <c r="CF110" s="1410"/>
    </row>
    <row r="111" spans="1:85" x14ac:dyDescent="0.25">
      <c r="A111" s="1410"/>
      <c r="B111" s="1410"/>
      <c r="C111" s="1410"/>
      <c r="D111" s="1410"/>
      <c r="E111" s="1410"/>
      <c r="F111" s="1410"/>
      <c r="G111" s="1410"/>
      <c r="H111" s="1410"/>
      <c r="I111" s="1410"/>
      <c r="J111" s="1410"/>
      <c r="K111" s="1410"/>
      <c r="L111" s="1410"/>
      <c r="M111" s="1410"/>
      <c r="N111" s="1410"/>
      <c r="O111" s="1410"/>
      <c r="P111" s="1410"/>
      <c r="Q111" s="1410"/>
      <c r="R111" s="1410"/>
      <c r="S111" s="1410"/>
      <c r="T111" s="1410"/>
      <c r="U111" s="1410"/>
      <c r="V111" s="1410"/>
      <c r="W111" s="1410"/>
      <c r="X111" s="1410"/>
      <c r="Y111" s="1410"/>
      <c r="Z111" s="1410"/>
      <c r="AA111" s="1410"/>
      <c r="AB111" s="1410"/>
      <c r="AC111" s="1410"/>
      <c r="AD111" s="1410"/>
      <c r="AE111" s="1410"/>
      <c r="AF111" s="1410"/>
      <c r="AG111" s="1410"/>
      <c r="AH111" s="1410"/>
      <c r="AI111" s="1410"/>
      <c r="AJ111" s="1410"/>
      <c r="AK111" s="1410"/>
      <c r="AL111" s="1410"/>
      <c r="AM111" s="1410"/>
      <c r="AN111" s="1410"/>
      <c r="AO111" s="1410"/>
      <c r="AP111" s="1410"/>
      <c r="AQ111" s="1410"/>
      <c r="AR111" s="1410"/>
      <c r="AS111" s="1410"/>
      <c r="AT111" s="1410"/>
      <c r="AW111" s="1410"/>
      <c r="AX111" s="1410"/>
      <c r="AY111" s="1410"/>
      <c r="BB111" s="1410"/>
      <c r="BC111" s="1410"/>
      <c r="BD111" s="1410"/>
      <c r="BF111" s="1410"/>
      <c r="BG111" s="1410"/>
      <c r="BH111" s="1410"/>
      <c r="BI111" s="1410"/>
      <c r="BJ111" s="1410"/>
      <c r="BK111" s="1410"/>
      <c r="BL111" s="1410"/>
      <c r="BM111" s="1410"/>
      <c r="BN111" s="1410"/>
      <c r="BO111" s="1410"/>
      <c r="BP111" s="1410"/>
      <c r="BQ111" s="1410"/>
      <c r="BR111" s="1410"/>
      <c r="BS111" s="1410"/>
      <c r="BT111" s="1410"/>
      <c r="BZ111" s="1410"/>
      <c r="CA111" s="1410"/>
      <c r="CB111" s="1410"/>
      <c r="CC111" s="1410"/>
      <c r="CD111" s="1410"/>
      <c r="CE111" s="1410"/>
      <c r="CF111" s="1410"/>
    </row>
    <row r="112" spans="1:85" x14ac:dyDescent="0.25">
      <c r="A112" s="1410"/>
      <c r="B112" s="1410"/>
      <c r="C112" s="1410"/>
      <c r="D112" s="1410"/>
      <c r="E112" s="1410"/>
      <c r="F112" s="1410"/>
      <c r="G112" s="1410"/>
      <c r="H112" s="1410"/>
      <c r="I112" s="1410"/>
      <c r="J112" s="1410"/>
      <c r="K112" s="1410"/>
      <c r="L112" s="1410"/>
      <c r="M112" s="1410"/>
      <c r="N112" s="1410"/>
      <c r="O112" s="1410"/>
      <c r="P112" s="1410"/>
      <c r="Q112" s="1410"/>
      <c r="R112" s="1410"/>
      <c r="S112" s="1410"/>
      <c r="T112" s="1410"/>
      <c r="U112" s="1410"/>
      <c r="V112" s="1410"/>
      <c r="W112" s="1410"/>
      <c r="X112" s="1410"/>
      <c r="Y112" s="1410"/>
      <c r="Z112" s="1410"/>
      <c r="AA112" s="1410"/>
      <c r="AB112" s="1410"/>
      <c r="AC112" s="1410"/>
      <c r="AD112" s="1410"/>
      <c r="AE112" s="1410"/>
      <c r="AF112" s="1410"/>
      <c r="AG112" s="1410"/>
      <c r="AH112" s="1410"/>
      <c r="AI112" s="1410"/>
      <c r="AJ112" s="1410"/>
      <c r="AK112" s="1410"/>
      <c r="AL112" s="1410"/>
      <c r="AM112" s="1410"/>
      <c r="AN112" s="1410"/>
      <c r="AO112" s="1410"/>
      <c r="AP112" s="1410"/>
      <c r="AQ112" s="1410"/>
      <c r="AR112" s="1410"/>
      <c r="AS112" s="1410"/>
      <c r="AT112" s="1410"/>
      <c r="AW112" s="1410"/>
      <c r="AX112" s="1410"/>
      <c r="AY112" s="1410"/>
      <c r="BB112" s="1410"/>
      <c r="BC112" s="1410"/>
      <c r="BD112" s="1410"/>
      <c r="BF112" s="1410"/>
      <c r="BG112" s="1410"/>
      <c r="BH112" s="1410"/>
      <c r="BI112" s="1410"/>
      <c r="BJ112" s="1410"/>
      <c r="BK112" s="1410"/>
      <c r="BL112" s="1410"/>
      <c r="BM112" s="1410"/>
      <c r="BN112" s="1410"/>
      <c r="BO112" s="1410"/>
      <c r="BP112" s="1410"/>
      <c r="BQ112" s="1410"/>
      <c r="BR112" s="1410"/>
      <c r="BS112" s="1410"/>
      <c r="BT112" s="1410"/>
      <c r="BZ112" s="1410"/>
      <c r="CA112" s="1410"/>
      <c r="CB112" s="1410"/>
      <c r="CC112" s="1410"/>
      <c r="CD112" s="1410"/>
      <c r="CE112" s="1410"/>
      <c r="CF112" s="1410"/>
    </row>
    <row r="113" spans="1:84" x14ac:dyDescent="0.25">
      <c r="A113" s="1410"/>
      <c r="B113" s="1410"/>
      <c r="C113" s="1410"/>
      <c r="D113" s="1410"/>
      <c r="E113" s="1410"/>
      <c r="F113" s="1410"/>
      <c r="G113" s="1410"/>
      <c r="H113" s="1410"/>
      <c r="I113" s="1410"/>
      <c r="J113" s="1410"/>
      <c r="K113" s="1410"/>
      <c r="L113" s="1410"/>
      <c r="M113" s="1410"/>
      <c r="N113" s="1410"/>
      <c r="O113" s="1410"/>
      <c r="P113" s="1410"/>
      <c r="Q113" s="1410"/>
      <c r="R113" s="1410"/>
      <c r="S113" s="1410"/>
      <c r="T113" s="1410"/>
      <c r="U113" s="1410"/>
      <c r="V113" s="1410"/>
      <c r="W113" s="1410"/>
      <c r="X113" s="1410"/>
      <c r="Y113" s="1410"/>
      <c r="Z113" s="1410"/>
      <c r="AA113" s="1410"/>
      <c r="AB113" s="1410"/>
      <c r="AC113" s="1410"/>
      <c r="AD113" s="1410"/>
      <c r="AE113" s="1410"/>
      <c r="AF113" s="1410"/>
      <c r="AG113" s="1410"/>
      <c r="AH113" s="1410"/>
      <c r="AI113" s="1410"/>
      <c r="AJ113" s="1410"/>
      <c r="AK113" s="1410"/>
      <c r="AL113" s="1410"/>
      <c r="AM113" s="1410"/>
      <c r="AN113" s="1410"/>
      <c r="AO113" s="1410"/>
      <c r="AP113" s="1410"/>
      <c r="AQ113" s="1410"/>
      <c r="AR113" s="1410"/>
      <c r="AS113" s="1410"/>
      <c r="AT113" s="1410"/>
      <c r="AW113" s="1410"/>
      <c r="AX113" s="1410"/>
      <c r="AY113" s="1410"/>
      <c r="BB113" s="1410"/>
      <c r="BC113" s="1410"/>
      <c r="BD113" s="1410"/>
      <c r="BF113" s="1410"/>
      <c r="BG113" s="1410"/>
      <c r="BH113" s="1410"/>
      <c r="BI113" s="1410"/>
      <c r="BJ113" s="1410"/>
      <c r="BK113" s="1410"/>
      <c r="BL113" s="1410"/>
      <c r="BM113" s="1410"/>
      <c r="BN113" s="1410"/>
      <c r="BO113" s="1410"/>
      <c r="BP113" s="1410"/>
      <c r="BQ113" s="1410"/>
      <c r="BR113" s="1410"/>
      <c r="BS113" s="1410"/>
      <c r="BT113" s="1410"/>
      <c r="BU113" s="1410"/>
      <c r="BV113" s="1410"/>
      <c r="BW113" s="1410"/>
      <c r="BX113" s="1410"/>
      <c r="BY113" s="1410"/>
      <c r="BZ113" s="1410"/>
      <c r="CA113" s="1410"/>
      <c r="CB113" s="1410"/>
      <c r="CC113" s="1410"/>
      <c r="CD113" s="1410"/>
      <c r="CE113" s="1410"/>
      <c r="CF113" s="1410"/>
    </row>
    <row r="114" spans="1:84" x14ac:dyDescent="0.25">
      <c r="A114" s="1410"/>
      <c r="B114" s="1410"/>
      <c r="C114" s="1410"/>
      <c r="D114" s="1410"/>
      <c r="E114" s="1410"/>
      <c r="F114" s="1410"/>
      <c r="G114" s="1410"/>
      <c r="H114" s="1410"/>
      <c r="I114" s="1410"/>
      <c r="J114" s="1410"/>
      <c r="K114" s="1410"/>
      <c r="L114" s="1410"/>
      <c r="M114" s="1410"/>
      <c r="N114" s="1410"/>
      <c r="O114" s="1410"/>
      <c r="P114" s="1410"/>
      <c r="Q114" s="1410"/>
      <c r="R114" s="1410"/>
      <c r="S114" s="1410"/>
      <c r="T114" s="1410"/>
      <c r="U114" s="1410"/>
      <c r="V114" s="1410"/>
      <c r="W114" s="1410"/>
      <c r="X114" s="1410"/>
      <c r="Y114" s="1410"/>
      <c r="Z114" s="1410"/>
      <c r="AA114" s="1410"/>
      <c r="AB114" s="1410"/>
      <c r="AC114" s="1410"/>
      <c r="AD114" s="1410"/>
      <c r="AE114" s="1410"/>
      <c r="AF114" s="1410"/>
      <c r="AG114" s="1410"/>
      <c r="AH114" s="1410"/>
      <c r="AI114" s="1410"/>
      <c r="AJ114" s="1410"/>
      <c r="AK114" s="1410"/>
      <c r="AL114" s="1410"/>
      <c r="AM114" s="1410"/>
      <c r="AN114" s="1410"/>
      <c r="AO114" s="1410"/>
      <c r="AP114" s="1410"/>
      <c r="AQ114" s="1410"/>
      <c r="AR114" s="1410"/>
      <c r="AS114" s="1410"/>
      <c r="AT114" s="1410"/>
      <c r="AW114" s="1410"/>
      <c r="AX114" s="1410"/>
      <c r="AY114" s="1410"/>
      <c r="BB114" s="1410"/>
      <c r="BC114" s="1410"/>
      <c r="BD114" s="1410"/>
      <c r="BF114" s="1410"/>
      <c r="BG114" s="1410"/>
      <c r="BH114" s="1410"/>
      <c r="BI114" s="1410"/>
      <c r="BJ114" s="1410"/>
      <c r="BK114" s="1410"/>
      <c r="BL114" s="1410"/>
      <c r="BM114" s="1410"/>
      <c r="BN114" s="1410"/>
      <c r="BO114" s="1410"/>
      <c r="BP114" s="1410"/>
      <c r="BQ114" s="1410"/>
      <c r="BR114" s="1410"/>
      <c r="BS114" s="1410"/>
      <c r="BT114" s="1410"/>
      <c r="BU114" s="1410"/>
      <c r="BV114" s="1410"/>
      <c r="BW114" s="1410"/>
      <c r="BX114" s="1410"/>
      <c r="BY114" s="1410"/>
      <c r="BZ114" s="1410"/>
      <c r="CA114" s="1410"/>
      <c r="CB114" s="1410"/>
      <c r="CC114" s="1410"/>
      <c r="CD114" s="1410"/>
      <c r="CE114" s="1410"/>
      <c r="CF114" s="1410"/>
    </row>
    <row r="115" spans="1:84" x14ac:dyDescent="0.25">
      <c r="A115" s="1410"/>
      <c r="B115" s="1410"/>
      <c r="C115" s="1410"/>
      <c r="D115" s="1410"/>
      <c r="E115" s="1410"/>
      <c r="F115" s="1410"/>
      <c r="G115" s="1410"/>
      <c r="H115" s="1410"/>
      <c r="I115" s="1410"/>
      <c r="J115" s="1410"/>
      <c r="K115" s="1410"/>
      <c r="L115" s="1410"/>
      <c r="M115" s="1410"/>
      <c r="N115" s="1410"/>
      <c r="O115" s="1410"/>
      <c r="P115" s="1410"/>
      <c r="Q115" s="1410"/>
      <c r="R115" s="1410"/>
      <c r="S115" s="1410"/>
      <c r="T115" s="1410"/>
      <c r="U115" s="1410"/>
      <c r="V115" s="1410"/>
      <c r="W115" s="1410"/>
      <c r="X115" s="1410"/>
      <c r="Y115" s="1410"/>
      <c r="Z115" s="1410"/>
      <c r="AA115" s="1410"/>
      <c r="AB115" s="1410"/>
      <c r="AC115" s="1410"/>
      <c r="AD115" s="1410"/>
      <c r="AE115" s="1410"/>
      <c r="AF115" s="1410"/>
      <c r="AG115" s="1410"/>
      <c r="AH115" s="1410"/>
      <c r="AI115" s="1410"/>
      <c r="AJ115" s="1410"/>
      <c r="AK115" s="1410"/>
      <c r="AL115" s="1410"/>
      <c r="AM115" s="1410"/>
      <c r="AN115" s="1410"/>
      <c r="AO115" s="1410"/>
      <c r="AP115" s="1410"/>
      <c r="AQ115" s="1410"/>
      <c r="AR115" s="1410"/>
      <c r="AS115" s="1410"/>
      <c r="AT115" s="1410"/>
      <c r="AU115" s="1410"/>
      <c r="AW115" s="1410"/>
      <c r="AX115" s="1410"/>
      <c r="AY115" s="1410"/>
      <c r="AZ115" s="1410"/>
      <c r="BB115" s="1410"/>
      <c r="BC115" s="1410"/>
      <c r="BD115" s="1410"/>
      <c r="BE115" s="1410"/>
      <c r="BF115" s="1410"/>
      <c r="BG115" s="1410"/>
      <c r="BH115" s="1410"/>
      <c r="BI115" s="1410"/>
      <c r="BJ115" s="1410"/>
      <c r="BK115" s="1410"/>
      <c r="BL115" s="1410"/>
      <c r="BM115" s="1410"/>
      <c r="BN115" s="1410"/>
      <c r="BO115" s="1410"/>
      <c r="BP115" s="1410"/>
      <c r="BQ115" s="1410"/>
      <c r="BR115" s="1410"/>
      <c r="BS115" s="1410"/>
      <c r="BT115" s="1410"/>
      <c r="BU115" s="1410"/>
      <c r="BV115" s="1410"/>
      <c r="BW115" s="1410"/>
      <c r="BX115" s="1410"/>
      <c r="BY115" s="1410"/>
      <c r="BZ115" s="1410"/>
      <c r="CA115" s="1410"/>
      <c r="CB115" s="1410"/>
      <c r="CC115" s="1410"/>
      <c r="CD115" s="1410"/>
      <c r="CE115" s="1410"/>
      <c r="CF115" s="1410"/>
    </row>
    <row r="116" spans="1:84" x14ac:dyDescent="0.25">
      <c r="BU116" s="1410"/>
      <c r="BV116" s="1410"/>
      <c r="BW116" s="1410"/>
      <c r="BX116" s="1410"/>
      <c r="BY116" s="1410"/>
    </row>
    <row r="117" spans="1:84" x14ac:dyDescent="0.25">
      <c r="BU117" s="1410"/>
      <c r="BV117" s="1410"/>
      <c r="BW117" s="1410"/>
      <c r="BX117" s="1410"/>
      <c r="BY117" s="1410"/>
    </row>
    <row r="118" spans="1:84" x14ac:dyDescent="0.25">
      <c r="BU118" s="1410"/>
      <c r="BV118" s="1410"/>
      <c r="BW118" s="1410"/>
      <c r="BX118" s="1410"/>
      <c r="BY118" s="1410"/>
    </row>
  </sheetData>
  <mergeCells count="18">
    <mergeCell ref="AB2:AF3"/>
    <mergeCell ref="AG2:AK3"/>
    <mergeCell ref="AL2:AP3"/>
    <mergeCell ref="BZ2:CC3"/>
    <mergeCell ref="A3:F3"/>
    <mergeCell ref="G2:K3"/>
    <mergeCell ref="AQ2:AU3"/>
    <mergeCell ref="AV2:AZ3"/>
    <mergeCell ref="BA2:BE3"/>
    <mergeCell ref="BF2:BJ3"/>
    <mergeCell ref="BK2:BO3"/>
    <mergeCell ref="BP2:BT3"/>
    <mergeCell ref="BU2:BY3"/>
    <mergeCell ref="A42:A48"/>
    <mergeCell ref="L2:P3"/>
    <mergeCell ref="A2:F2"/>
    <mergeCell ref="R2:V3"/>
    <mergeCell ref="W2:AA3"/>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177D7"/>
  </sheetPr>
  <dimension ref="A1:AO118"/>
  <sheetViews>
    <sheetView zoomScale="85" zoomScaleNormal="85" workbookViewId="0">
      <pane xSplit="2" ySplit="5" topLeftCell="AF24" activePane="bottomRight" state="frozen"/>
      <selection activeCell="B10" sqref="B10"/>
      <selection pane="topRight" activeCell="B10" sqref="B10"/>
      <selection pane="bottomLeft" activeCell="B10" sqref="B10"/>
      <selection pane="bottomRight" activeCell="AJ42" sqref="AJ42"/>
    </sheetView>
  </sheetViews>
  <sheetFormatPr defaultColWidth="7.44140625" defaultRowHeight="13.2" outlineLevelCol="1" x14ac:dyDescent="0.25"/>
  <cols>
    <col min="1" max="1" width="5.5546875" style="1417" customWidth="1"/>
    <col min="2" max="2" width="47.44140625" style="1417" customWidth="1"/>
    <col min="3" max="3" width="14.6640625" style="1474" hidden="1" customWidth="1" outlineLevel="1"/>
    <col min="4" max="4" width="15.44140625" style="1474" hidden="1" customWidth="1" outlineLevel="1"/>
    <col min="5" max="5" width="15.33203125" style="1968" hidden="1" customWidth="1" outlineLevel="1"/>
    <col min="6" max="6" width="9.5546875" style="1968" hidden="1" customWidth="1" outlineLevel="1"/>
    <col min="7" max="7" width="18.33203125" style="1968" hidden="1" customWidth="1" outlineLevel="1"/>
    <col min="8" max="8" width="18.6640625" style="1968" hidden="1" customWidth="1" outlineLevel="1"/>
    <col min="9" max="9" width="19.6640625" style="1968" hidden="1" customWidth="1" outlineLevel="1"/>
    <col min="10" max="10" width="9.6640625" style="1968" hidden="1" customWidth="1" outlineLevel="1"/>
    <col min="11" max="11" width="29.6640625" style="1968" hidden="1" customWidth="1" outlineLevel="1"/>
    <col min="12" max="12" width="18.6640625" style="1968" hidden="1" customWidth="1" outlineLevel="1" collapsed="1"/>
    <col min="13" max="13" width="18.33203125" style="1968" hidden="1" customWidth="1" outlineLevel="1"/>
    <col min="14" max="14" width="23.88671875" style="1968" hidden="1" customWidth="1" outlineLevel="1"/>
    <col min="15" max="15" width="12.6640625" style="1968" hidden="1" customWidth="1" outlineLevel="1"/>
    <col min="16" max="16" width="15" style="1968" hidden="1" customWidth="1" outlineLevel="1"/>
    <col min="17" max="17" width="16.6640625" style="1968" hidden="1" customWidth="1" outlineLevel="1" collapsed="1"/>
    <col min="18" max="20" width="16.6640625" style="1968" hidden="1" customWidth="1" outlineLevel="1"/>
    <col min="21" max="21" width="17.88671875" style="1968" hidden="1" customWidth="1" outlineLevel="1"/>
    <col min="22" max="22" width="16.44140625" style="1968" customWidth="1" collapsed="1"/>
    <col min="23" max="30" width="16.44140625" style="1968" customWidth="1"/>
    <col min="31" max="31" width="19" style="1968" customWidth="1"/>
    <col min="32" max="36" width="19" style="1968" customWidth="1" outlineLevel="1"/>
    <col min="37" max="39" width="16.33203125" style="1968" customWidth="1"/>
    <col min="40" max="40" width="12.44140625" style="1968" bestFit="1" customWidth="1"/>
    <col min="41" max="41" width="16.33203125" style="1968" customWidth="1"/>
    <col min="42" max="16384" width="7.44140625" style="1410"/>
  </cols>
  <sheetData>
    <row r="1" spans="1:41" ht="13.8" thickBot="1" x14ac:dyDescent="0.3">
      <c r="C1" s="1968"/>
      <c r="D1" s="1968"/>
    </row>
    <row r="2" spans="1:41" ht="14.4" customHeight="1" x14ac:dyDescent="0.25">
      <c r="A2" s="4016" t="s">
        <v>946</v>
      </c>
      <c r="B2" s="4017"/>
      <c r="C2" s="4017"/>
      <c r="D2" s="4017"/>
      <c r="E2" s="4017"/>
      <c r="F2" s="4018"/>
      <c r="G2" s="4077" t="s">
        <v>1627</v>
      </c>
      <c r="H2" s="4078"/>
      <c r="I2" s="4078"/>
      <c r="J2" s="4078"/>
      <c r="K2" s="4079"/>
      <c r="L2" s="4019" t="s">
        <v>1657</v>
      </c>
      <c r="M2" s="4020"/>
      <c r="N2" s="4020"/>
      <c r="O2" s="4020"/>
      <c r="P2" s="4041"/>
      <c r="Q2" s="4071" t="s">
        <v>1698</v>
      </c>
      <c r="R2" s="4072"/>
      <c r="S2" s="4072"/>
      <c r="T2" s="4072"/>
      <c r="U2" s="4073"/>
      <c r="V2" s="4053" t="s">
        <v>1758</v>
      </c>
      <c r="W2" s="4054"/>
      <c r="X2" s="4054"/>
      <c r="Y2" s="4054"/>
      <c r="Z2" s="4055"/>
      <c r="AA2" s="4185" t="s">
        <v>1915</v>
      </c>
      <c r="AB2" s="4186"/>
      <c r="AC2" s="4186"/>
      <c r="AD2" s="4186"/>
      <c r="AE2" s="4187"/>
      <c r="AF2" s="4172" t="s">
        <v>2040</v>
      </c>
      <c r="AG2" s="4173"/>
      <c r="AH2" s="4173"/>
      <c r="AI2" s="4173"/>
      <c r="AJ2" s="4174"/>
      <c r="AK2" s="4212" t="s">
        <v>469</v>
      </c>
      <c r="AL2" s="4213"/>
      <c r="AM2" s="4213"/>
      <c r="AN2" s="4213"/>
      <c r="AO2" s="1603"/>
    </row>
    <row r="3" spans="1:41" ht="15" customHeight="1" thickBot="1" x14ac:dyDescent="0.3">
      <c r="A3" s="4035" t="s">
        <v>54</v>
      </c>
      <c r="B3" s="4036"/>
      <c r="C3" s="4036"/>
      <c r="D3" s="4036"/>
      <c r="E3" s="4036"/>
      <c r="F3" s="4037"/>
      <c r="G3" s="4080"/>
      <c r="H3" s="4081"/>
      <c r="I3" s="4081"/>
      <c r="J3" s="4081"/>
      <c r="K3" s="4082"/>
      <c r="L3" s="4021"/>
      <c r="M3" s="4022"/>
      <c r="N3" s="4022"/>
      <c r="O3" s="4022"/>
      <c r="P3" s="4042"/>
      <c r="Q3" s="4074"/>
      <c r="R3" s="4075"/>
      <c r="S3" s="4075"/>
      <c r="T3" s="4075"/>
      <c r="U3" s="4076"/>
      <c r="V3" s="4056"/>
      <c r="W3" s="4057"/>
      <c r="X3" s="4057"/>
      <c r="Y3" s="4057"/>
      <c r="Z3" s="4058"/>
      <c r="AA3" s="4188"/>
      <c r="AB3" s="4189"/>
      <c r="AC3" s="4189"/>
      <c r="AD3" s="4189"/>
      <c r="AE3" s="4190"/>
      <c r="AF3" s="4175"/>
      <c r="AG3" s="4176"/>
      <c r="AH3" s="4176"/>
      <c r="AI3" s="4176"/>
      <c r="AJ3" s="4177"/>
      <c r="AK3" s="4214"/>
      <c r="AL3" s="4215"/>
      <c r="AM3" s="4215"/>
      <c r="AN3" s="4215"/>
      <c r="AO3" s="1604"/>
    </row>
    <row r="4" spans="1:41" ht="41.4" thickBot="1" x14ac:dyDescent="0.3">
      <c r="A4" s="1486"/>
      <c r="B4" s="1487" t="s">
        <v>11</v>
      </c>
      <c r="C4" s="1588" t="s">
        <v>55</v>
      </c>
      <c r="D4" s="1588" t="s">
        <v>18</v>
      </c>
      <c r="E4" s="1589" t="s">
        <v>39</v>
      </c>
      <c r="F4" s="1978" t="s">
        <v>40</v>
      </c>
      <c r="G4" s="1972" t="s">
        <v>55</v>
      </c>
      <c r="H4" s="1972" t="s">
        <v>18</v>
      </c>
      <c r="I4" s="1489" t="s">
        <v>39</v>
      </c>
      <c r="J4" s="1978" t="s">
        <v>40</v>
      </c>
      <c r="K4" s="1489" t="s">
        <v>19</v>
      </c>
      <c r="L4" s="1972" t="s">
        <v>55</v>
      </c>
      <c r="M4" s="1972" t="s">
        <v>18</v>
      </c>
      <c r="N4" s="1489" t="s">
        <v>39</v>
      </c>
      <c r="O4" s="1978" t="s">
        <v>40</v>
      </c>
      <c r="P4" s="1489" t="s">
        <v>19</v>
      </c>
      <c r="Q4" s="1972" t="s">
        <v>55</v>
      </c>
      <c r="R4" s="1972" t="s">
        <v>18</v>
      </c>
      <c r="S4" s="1489" t="s">
        <v>39</v>
      </c>
      <c r="T4" s="1978" t="s">
        <v>40</v>
      </c>
      <c r="U4" s="1489" t="s">
        <v>19</v>
      </c>
      <c r="V4" s="1972" t="s">
        <v>55</v>
      </c>
      <c r="W4" s="1972" t="s">
        <v>18</v>
      </c>
      <c r="X4" s="1489" t="s">
        <v>39</v>
      </c>
      <c r="Y4" s="1978" t="s">
        <v>40</v>
      </c>
      <c r="Z4" s="1489" t="s">
        <v>19</v>
      </c>
      <c r="AA4" s="1972" t="s">
        <v>55</v>
      </c>
      <c r="AB4" s="1972" t="s">
        <v>18</v>
      </c>
      <c r="AC4" s="1489" t="s">
        <v>39</v>
      </c>
      <c r="AD4" s="1978" t="s">
        <v>40</v>
      </c>
      <c r="AE4" s="1489" t="s">
        <v>19</v>
      </c>
      <c r="AF4" s="1972" t="s">
        <v>55</v>
      </c>
      <c r="AG4" s="1972" t="s">
        <v>18</v>
      </c>
      <c r="AH4" s="1489" t="s">
        <v>39</v>
      </c>
      <c r="AI4" s="1978" t="s">
        <v>40</v>
      </c>
      <c r="AJ4" s="1489" t="s">
        <v>19</v>
      </c>
      <c r="AK4" s="1972" t="s">
        <v>55</v>
      </c>
      <c r="AL4" s="1972" t="s">
        <v>18</v>
      </c>
      <c r="AM4" s="1489" t="s">
        <v>39</v>
      </c>
      <c r="AN4" s="1978" t="s">
        <v>40</v>
      </c>
      <c r="AO4" s="1489" t="s">
        <v>19</v>
      </c>
    </row>
    <row r="5" spans="1:41" s="2483" customFormat="1" ht="14.4" thickBot="1" x14ac:dyDescent="0.3">
      <c r="A5" s="1477"/>
      <c r="B5" s="1478" t="s">
        <v>10</v>
      </c>
      <c r="C5" s="1479">
        <f>C6</f>
        <v>0</v>
      </c>
      <c r="D5" s="1479">
        <f>D6</f>
        <v>0</v>
      </c>
      <c r="E5" s="1971">
        <f>E6</f>
        <v>0</v>
      </c>
      <c r="F5" s="1481"/>
      <c r="G5" s="1481">
        <f>G6</f>
        <v>0</v>
      </c>
      <c r="H5" s="1481">
        <f>H6</f>
        <v>0</v>
      </c>
      <c r="I5" s="1481">
        <f>I6</f>
        <v>0</v>
      </c>
      <c r="J5" s="1481"/>
      <c r="K5" s="1481"/>
      <c r="L5" s="1481">
        <f>L6</f>
        <v>0</v>
      </c>
      <c r="M5" s="1481">
        <f>M6</f>
        <v>0</v>
      </c>
      <c r="N5" s="1481">
        <f>N6</f>
        <v>0</v>
      </c>
      <c r="O5" s="1481"/>
      <c r="P5" s="1481"/>
      <c r="Q5" s="1971">
        <f>SUM(Q6:Q7)</f>
        <v>0</v>
      </c>
      <c r="R5" s="1971">
        <f>SUM(R6:R7)</f>
        <v>0</v>
      </c>
      <c r="S5" s="1971">
        <f>SUM(S6:S7)</f>
        <v>0</v>
      </c>
      <c r="T5" s="1481"/>
      <c r="U5" s="1481"/>
      <c r="V5" s="1971">
        <f>V6</f>
        <v>0</v>
      </c>
      <c r="W5" s="1481">
        <f>W6</f>
        <v>0</v>
      </c>
      <c r="X5" s="1481">
        <f>X6</f>
        <v>0</v>
      </c>
      <c r="Y5" s="1481"/>
      <c r="Z5" s="1481"/>
      <c r="AA5" s="1971">
        <f>AA6</f>
        <v>0</v>
      </c>
      <c r="AB5" s="1481">
        <f>AB6</f>
        <v>0</v>
      </c>
      <c r="AC5" s="1481">
        <f>AC6</f>
        <v>0</v>
      </c>
      <c r="AD5" s="1481"/>
      <c r="AE5" s="1481"/>
      <c r="AF5" s="1971">
        <f>AF6</f>
        <v>0</v>
      </c>
      <c r="AG5" s="1481">
        <f>AG6</f>
        <v>0</v>
      </c>
      <c r="AH5" s="1481">
        <f>AH6</f>
        <v>0</v>
      </c>
      <c r="AI5" s="1481"/>
      <c r="AJ5" s="1481"/>
      <c r="AK5" s="1481">
        <f>AK6</f>
        <v>0</v>
      </c>
      <c r="AL5" s="1481">
        <f>AL6</f>
        <v>0</v>
      </c>
      <c r="AM5" s="1481">
        <f>AM6</f>
        <v>0</v>
      </c>
      <c r="AN5" s="1481"/>
      <c r="AO5" s="1481"/>
    </row>
    <row r="6" spans="1:41" s="1411" customFormat="1" ht="13.8" x14ac:dyDescent="0.25">
      <c r="A6" s="331"/>
      <c r="B6" s="1418" t="s">
        <v>17</v>
      </c>
      <c r="C6" s="1990"/>
      <c r="D6" s="2027"/>
      <c r="E6" s="2028">
        <f>C6+D6</f>
        <v>0</v>
      </c>
      <c r="F6" s="2059"/>
      <c r="G6" s="2059"/>
      <c r="H6" s="2059"/>
      <c r="I6" s="2028">
        <f>G6+H6</f>
        <v>0</v>
      </c>
      <c r="J6" s="2059"/>
      <c r="K6" s="2059"/>
      <c r="L6" s="2059"/>
      <c r="M6" s="2059"/>
      <c r="N6" s="2028">
        <f>L6+M6</f>
        <v>0</v>
      </c>
      <c r="O6" s="2059"/>
      <c r="P6" s="2059"/>
      <c r="Q6" s="2067"/>
      <c r="R6" s="2059"/>
      <c r="S6" s="2028">
        <f>Q6+R6</f>
        <v>0</v>
      </c>
      <c r="T6" s="2059"/>
      <c r="U6" s="2059"/>
      <c r="V6" s="2067"/>
      <c r="W6" s="2059"/>
      <c r="X6" s="2028">
        <f>V6+W6</f>
        <v>0</v>
      </c>
      <c r="Y6" s="2059"/>
      <c r="Z6" s="2059"/>
      <c r="AA6" s="2067"/>
      <c r="AB6" s="2059"/>
      <c r="AC6" s="2028">
        <f>AA6+AB6</f>
        <v>0</v>
      </c>
      <c r="AD6" s="2059"/>
      <c r="AE6" s="2059"/>
      <c r="AF6" s="2067"/>
      <c r="AG6" s="2059"/>
      <c r="AH6" s="2028">
        <f>AF6+AG6</f>
        <v>0</v>
      </c>
      <c r="AI6" s="2059"/>
      <c r="AJ6" s="2059"/>
      <c r="AK6" s="2059">
        <f>G6+L6+Q6+V6+AA6+AF6</f>
        <v>0</v>
      </c>
      <c r="AL6" s="2059">
        <f>H6+M6+R6+W6+AB6+AG6</f>
        <v>0</v>
      </c>
      <c r="AM6" s="2028">
        <f>AK6+AL6</f>
        <v>0</v>
      </c>
      <c r="AN6" s="2059"/>
      <c r="AO6" s="2059"/>
    </row>
    <row r="7" spans="1:41" s="1411" customFormat="1" ht="14.4" thickBot="1" x14ac:dyDescent="0.3">
      <c r="A7" s="1587"/>
      <c r="B7" s="2494" t="s">
        <v>41</v>
      </c>
      <c r="C7" s="2495"/>
      <c r="D7" s="2496"/>
      <c r="E7" s="2028">
        <f>C7+D7</f>
        <v>0</v>
      </c>
      <c r="F7" s="1921"/>
      <c r="G7" s="2059"/>
      <c r="H7" s="2059"/>
      <c r="I7" s="2028">
        <f>G7+H7</f>
        <v>0</v>
      </c>
      <c r="J7" s="1921"/>
      <c r="K7" s="1921"/>
      <c r="L7" s="2059"/>
      <c r="M7" s="2059"/>
      <c r="N7" s="2028">
        <f>L7+M7</f>
        <v>0</v>
      </c>
      <c r="O7" s="1921"/>
      <c r="P7" s="1921"/>
      <c r="Q7" s="2067"/>
      <c r="R7" s="2059"/>
      <c r="S7" s="2028">
        <f>Q7+R7</f>
        <v>0</v>
      </c>
      <c r="T7" s="1921"/>
      <c r="U7" s="2071"/>
      <c r="V7" s="2067"/>
      <c r="W7" s="2059"/>
      <c r="X7" s="2028">
        <f>V7+W7</f>
        <v>0</v>
      </c>
      <c r="Y7" s="1921"/>
      <c r="Z7" s="1921"/>
      <c r="AA7" s="2067"/>
      <c r="AB7" s="2059"/>
      <c r="AC7" s="2028">
        <f>AA7+AB7</f>
        <v>0</v>
      </c>
      <c r="AD7" s="1921"/>
      <c r="AE7" s="1921"/>
      <c r="AF7" s="2067"/>
      <c r="AG7" s="2059"/>
      <c r="AH7" s="2028">
        <f>AF7+AG7</f>
        <v>0</v>
      </c>
      <c r="AI7" s="1921"/>
      <c r="AJ7" s="1921"/>
      <c r="AK7" s="2059">
        <f>G7+L7+Q7+V7+AA7+AF7</f>
        <v>0</v>
      </c>
      <c r="AL7" s="2059">
        <f>H7+M7+R7+W7+AB7+AG7</f>
        <v>0</v>
      </c>
      <c r="AM7" s="2028">
        <f>AK7+AL7</f>
        <v>0</v>
      </c>
      <c r="AN7" s="1921"/>
      <c r="AO7" s="1921"/>
    </row>
    <row r="8" spans="1:41" s="2483" customFormat="1" ht="14.4" thickBot="1" x14ac:dyDescent="0.3">
      <c r="A8" s="1587"/>
      <c r="B8" s="1478" t="s">
        <v>16</v>
      </c>
      <c r="C8" s="1973">
        <f>SUM(C9:C33)</f>
        <v>0</v>
      </c>
      <c r="D8" s="1973">
        <f>SUM(D9:D33)</f>
        <v>0</v>
      </c>
      <c r="E8" s="1499">
        <f>SUM(E9:E33)</f>
        <v>0</v>
      </c>
      <c r="F8" s="1543" t="e">
        <f>E8/$E$89</f>
        <v>#DIV/0!</v>
      </c>
      <c r="G8" s="1973">
        <f>SUM(G9:G33)</f>
        <v>0</v>
      </c>
      <c r="H8" s="1973">
        <f>SUM(H9:H33)</f>
        <v>0</v>
      </c>
      <c r="I8" s="1499">
        <f>SUM(I9:I33)</f>
        <v>0</v>
      </c>
      <c r="J8" s="1543">
        <f>I8/$I$89</f>
        <v>0</v>
      </c>
      <c r="K8" s="1481"/>
      <c r="L8" s="1973">
        <f>SUM(L9:L33)</f>
        <v>0</v>
      </c>
      <c r="M8" s="1973">
        <f>SUM(M9:M33)</f>
        <v>0</v>
      </c>
      <c r="N8" s="1499">
        <f>SUM(N9:N33)</f>
        <v>0</v>
      </c>
      <c r="O8" s="1543" t="e">
        <f>N8/N$89</f>
        <v>#DIV/0!</v>
      </c>
      <c r="P8" s="1481"/>
      <c r="Q8" s="1973">
        <f>SUM(Q9:Q33)</f>
        <v>17250</v>
      </c>
      <c r="R8" s="1973">
        <f>SUM(R9:R33)</f>
        <v>0</v>
      </c>
      <c r="S8" s="1499">
        <f>SUM(S9:S33)</f>
        <v>17250</v>
      </c>
      <c r="T8" s="1543">
        <f>S8/S$89</f>
        <v>1</v>
      </c>
      <c r="U8" s="1615"/>
      <c r="V8" s="1973">
        <f>SUM(V9:V33)</f>
        <v>0</v>
      </c>
      <c r="W8" s="1973">
        <f>SUM(W9:W33)</f>
        <v>0</v>
      </c>
      <c r="X8" s="1499">
        <f>SUM(X9:X33)</f>
        <v>0</v>
      </c>
      <c r="Y8" s="1543" t="e">
        <f>X8/X$89</f>
        <v>#DIV/0!</v>
      </c>
      <c r="Z8" s="1481"/>
      <c r="AA8" s="1973">
        <f>SUM(AA9:AA33)</f>
        <v>0</v>
      </c>
      <c r="AB8" s="1973">
        <f>SUM(AB9:AB33)</f>
        <v>0</v>
      </c>
      <c r="AC8" s="1499">
        <f>SUM(AC9:AC33)</f>
        <v>0</v>
      </c>
      <c r="AD8" s="1543" t="e">
        <f>AC8/AC$89</f>
        <v>#DIV/0!</v>
      </c>
      <c r="AE8" s="1481"/>
      <c r="AF8" s="1973">
        <f>SUM(AF9:AF33)</f>
        <v>0</v>
      </c>
      <c r="AG8" s="1973">
        <f>SUM(AG9:AG33)</f>
        <v>0</v>
      </c>
      <c r="AH8" s="1499">
        <f>SUM(AH9:AH33)</f>
        <v>0</v>
      </c>
      <c r="AI8" s="1543" t="e">
        <f>AH8/AH$89</f>
        <v>#DIV/0!</v>
      </c>
      <c r="AJ8" s="1481"/>
      <c r="AK8" s="1973">
        <f>SUM(AK9:AK33)</f>
        <v>17250</v>
      </c>
      <c r="AL8" s="1973">
        <f>SUM(AL9:AL33)</f>
        <v>0</v>
      </c>
      <c r="AM8" s="1499">
        <f>SUM(AM9:AM33)</f>
        <v>17250</v>
      </c>
      <c r="AN8" s="1543">
        <f t="shared" ref="AN8:AN33" si="0">AM8/$AM$89</f>
        <v>0.98795964855190377</v>
      </c>
      <c r="AO8" s="1481"/>
    </row>
    <row r="9" spans="1:41" s="1411" customFormat="1" ht="13.8" x14ac:dyDescent="0.25">
      <c r="A9" s="1587"/>
      <c r="B9" s="1637" t="s">
        <v>74</v>
      </c>
      <c r="C9" s="1980"/>
      <c r="D9" s="1525"/>
      <c r="E9" s="2141">
        <f t="shared" ref="E9:E33" si="1">C9+D9</f>
        <v>0</v>
      </c>
      <c r="F9" s="1574" t="e">
        <f t="shared" ref="F9:F21" si="2">E9/$E$89</f>
        <v>#DIV/0!</v>
      </c>
      <c r="G9" s="2484"/>
      <c r="H9" s="2484"/>
      <c r="I9" s="1576">
        <f>G9+H9*1</f>
        <v>0</v>
      </c>
      <c r="J9" s="1574">
        <f>I9/$I$89</f>
        <v>0</v>
      </c>
      <c r="K9" s="1709"/>
      <c r="L9" s="2484"/>
      <c r="M9" s="2484"/>
      <c r="N9" s="1576">
        <f>L9+M9*1</f>
        <v>0</v>
      </c>
      <c r="O9" s="1574" t="e">
        <f t="shared" ref="O9:O33" si="3">N9/N$89</f>
        <v>#DIV/0!</v>
      </c>
      <c r="P9" s="1709"/>
      <c r="Q9" s="1710"/>
      <c r="R9" s="2484"/>
      <c r="S9" s="1576">
        <f>Q9+R9*1</f>
        <v>0</v>
      </c>
      <c r="T9" s="1574">
        <f t="shared" ref="T9:T33" si="4">S9/S$89</f>
        <v>0</v>
      </c>
      <c r="U9" s="1595"/>
      <c r="V9" s="1710"/>
      <c r="W9" s="2484"/>
      <c r="X9" s="1576">
        <f>V9+W9*1</f>
        <v>0</v>
      </c>
      <c r="Y9" s="1574" t="e">
        <f t="shared" ref="Y9:Y33" si="5">X9/X$89</f>
        <v>#DIV/0!</v>
      </c>
      <c r="Z9" s="1709"/>
      <c r="AA9" s="1710"/>
      <c r="AB9" s="2484"/>
      <c r="AC9" s="1576">
        <f>AA9+AB9*1</f>
        <v>0</v>
      </c>
      <c r="AD9" s="1574" t="e">
        <f t="shared" ref="AD9:AD33" si="6">AC9/AC$89</f>
        <v>#DIV/0!</v>
      </c>
      <c r="AE9" s="1709"/>
      <c r="AF9" s="1710"/>
      <c r="AG9" s="2484"/>
      <c r="AH9" s="1576">
        <f>AF9+AG9*1</f>
        <v>0</v>
      </c>
      <c r="AI9" s="1574" t="e">
        <f t="shared" ref="AI9:AI33" si="7">AH9/AH$89</f>
        <v>#DIV/0!</v>
      </c>
      <c r="AJ9" s="1709"/>
      <c r="AK9" s="2484">
        <f t="shared" ref="AK9:AL33" si="8">G9+L9+Q9+V9+AA9+AF9</f>
        <v>0</v>
      </c>
      <c r="AL9" s="2484">
        <f t="shared" si="8"/>
        <v>0</v>
      </c>
      <c r="AM9" s="1576">
        <f>AK9+AL9*1</f>
        <v>0</v>
      </c>
      <c r="AN9" s="1574">
        <f t="shared" si="0"/>
        <v>0</v>
      </c>
      <c r="AO9" s="1595"/>
    </row>
    <row r="10" spans="1:41" s="1411" customFormat="1" ht="13.8" x14ac:dyDescent="0.25">
      <c r="A10" s="1587"/>
      <c r="B10" s="1439" t="s">
        <v>72</v>
      </c>
      <c r="C10" s="1500"/>
      <c r="D10" s="1501"/>
      <c r="E10" s="2028">
        <f t="shared" si="1"/>
        <v>0</v>
      </c>
      <c r="F10" s="1992" t="e">
        <f t="shared" si="2"/>
        <v>#DIV/0!</v>
      </c>
      <c r="G10" s="2059"/>
      <c r="H10" s="2059"/>
      <c r="I10" s="2061">
        <f t="shared" ref="I10:I33" si="9">G10+H10*1</f>
        <v>0</v>
      </c>
      <c r="J10" s="2155">
        <f>I10/$I$89</f>
        <v>0</v>
      </c>
      <c r="K10" s="2062"/>
      <c r="L10" s="2059"/>
      <c r="M10" s="2059"/>
      <c r="N10" s="2061">
        <f t="shared" ref="N10:N33" si="10">L10+M10*1</f>
        <v>0</v>
      </c>
      <c r="O10" s="2155" t="e">
        <f t="shared" si="3"/>
        <v>#DIV/0!</v>
      </c>
      <c r="P10" s="2062"/>
      <c r="Q10" s="2067"/>
      <c r="R10" s="2059"/>
      <c r="S10" s="2061">
        <f t="shared" ref="S10:S33" si="11">Q10+R10*1</f>
        <v>0</v>
      </c>
      <c r="T10" s="2155">
        <f t="shared" si="4"/>
        <v>0</v>
      </c>
      <c r="U10" s="1630"/>
      <c r="V10" s="2067"/>
      <c r="W10" s="2059"/>
      <c r="X10" s="2061">
        <f t="shared" ref="X10:X33" si="12">V10+W10*1</f>
        <v>0</v>
      </c>
      <c r="Y10" s="2155" t="e">
        <f t="shared" si="5"/>
        <v>#DIV/0!</v>
      </c>
      <c r="Z10" s="2062"/>
      <c r="AA10" s="2067"/>
      <c r="AB10" s="2059"/>
      <c r="AC10" s="2061">
        <f t="shared" ref="AC10:AC33" si="13">AA10+AB10*1</f>
        <v>0</v>
      </c>
      <c r="AD10" s="2155" t="e">
        <f t="shared" si="6"/>
        <v>#DIV/0!</v>
      </c>
      <c r="AE10" s="2062"/>
      <c r="AF10" s="2067"/>
      <c r="AG10" s="2059"/>
      <c r="AH10" s="2061">
        <f t="shared" ref="AH10:AH33" si="14">AF10+AG10*1</f>
        <v>0</v>
      </c>
      <c r="AI10" s="2155" t="e">
        <f t="shared" si="7"/>
        <v>#DIV/0!</v>
      </c>
      <c r="AJ10" s="2062"/>
      <c r="AK10" s="2059">
        <f t="shared" si="8"/>
        <v>0</v>
      </c>
      <c r="AL10" s="2059">
        <f t="shared" si="8"/>
        <v>0</v>
      </c>
      <c r="AM10" s="2061">
        <f t="shared" ref="AM10:AM33" si="15">AK10+AL10*1</f>
        <v>0</v>
      </c>
      <c r="AN10" s="2155">
        <f t="shared" si="0"/>
        <v>0</v>
      </c>
      <c r="AO10" s="1449"/>
    </row>
    <row r="11" spans="1:41" s="1411" customFormat="1" ht="13.8" x14ac:dyDescent="0.25">
      <c r="A11" s="1587"/>
      <c r="B11" s="1439" t="s">
        <v>69</v>
      </c>
      <c r="C11" s="1500"/>
      <c r="D11" s="1501"/>
      <c r="E11" s="2028">
        <f t="shared" si="1"/>
        <v>0</v>
      </c>
      <c r="F11" s="1992" t="e">
        <f t="shared" si="2"/>
        <v>#DIV/0!</v>
      </c>
      <c r="G11" s="2059"/>
      <c r="H11" s="2059"/>
      <c r="I11" s="2061">
        <f t="shared" si="9"/>
        <v>0</v>
      </c>
      <c r="J11" s="2155">
        <f t="shared" ref="J11:J33" si="16">I11/$I$89</f>
        <v>0</v>
      </c>
      <c r="K11" s="2062"/>
      <c r="L11" s="2059"/>
      <c r="M11" s="2059"/>
      <c r="N11" s="2061">
        <f t="shared" si="10"/>
        <v>0</v>
      </c>
      <c r="O11" s="2155" t="e">
        <f t="shared" si="3"/>
        <v>#DIV/0!</v>
      </c>
      <c r="P11" s="2062"/>
      <c r="Q11" s="2067"/>
      <c r="R11" s="2059"/>
      <c r="S11" s="2061">
        <f t="shared" si="11"/>
        <v>0</v>
      </c>
      <c r="T11" s="2155">
        <f t="shared" si="4"/>
        <v>0</v>
      </c>
      <c r="U11" s="1630"/>
      <c r="V11" s="2067"/>
      <c r="W11" s="2059"/>
      <c r="X11" s="2061">
        <f t="shared" si="12"/>
        <v>0</v>
      </c>
      <c r="Y11" s="2155" t="e">
        <f t="shared" si="5"/>
        <v>#DIV/0!</v>
      </c>
      <c r="Z11" s="2062"/>
      <c r="AA11" s="2067"/>
      <c r="AB11" s="2059"/>
      <c r="AC11" s="2061">
        <f t="shared" si="13"/>
        <v>0</v>
      </c>
      <c r="AD11" s="2155" t="e">
        <f t="shared" si="6"/>
        <v>#DIV/0!</v>
      </c>
      <c r="AE11" s="2062"/>
      <c r="AF11" s="2067"/>
      <c r="AG11" s="2059"/>
      <c r="AH11" s="2061">
        <f t="shared" si="14"/>
        <v>0</v>
      </c>
      <c r="AI11" s="2155" t="e">
        <f t="shared" si="7"/>
        <v>#DIV/0!</v>
      </c>
      <c r="AJ11" s="2062"/>
      <c r="AK11" s="2059">
        <f t="shared" si="8"/>
        <v>0</v>
      </c>
      <c r="AL11" s="2059">
        <f t="shared" si="8"/>
        <v>0</v>
      </c>
      <c r="AM11" s="2061">
        <f t="shared" si="15"/>
        <v>0</v>
      </c>
      <c r="AN11" s="2155">
        <f t="shared" si="0"/>
        <v>0</v>
      </c>
      <c r="AO11" s="1449"/>
    </row>
    <row r="12" spans="1:41" s="1411" customFormat="1" ht="13.8" x14ac:dyDescent="0.25">
      <c r="A12" s="1587"/>
      <c r="B12" s="1439" t="s">
        <v>73</v>
      </c>
      <c r="C12" s="1500"/>
      <c r="D12" s="1501"/>
      <c r="E12" s="2028">
        <f t="shared" si="1"/>
        <v>0</v>
      </c>
      <c r="F12" s="1992" t="e">
        <f t="shared" si="2"/>
        <v>#DIV/0!</v>
      </c>
      <c r="G12" s="2059"/>
      <c r="H12" s="2059"/>
      <c r="I12" s="2061">
        <f t="shared" si="9"/>
        <v>0</v>
      </c>
      <c r="J12" s="2155">
        <f t="shared" si="16"/>
        <v>0</v>
      </c>
      <c r="K12" s="2062"/>
      <c r="L12" s="2059"/>
      <c r="M12" s="2059"/>
      <c r="N12" s="2061">
        <f t="shared" si="10"/>
        <v>0</v>
      </c>
      <c r="O12" s="2155" t="e">
        <f t="shared" si="3"/>
        <v>#DIV/0!</v>
      </c>
      <c r="P12" s="2062"/>
      <c r="Q12" s="2067"/>
      <c r="R12" s="2059"/>
      <c r="S12" s="2061">
        <f t="shared" si="11"/>
        <v>0</v>
      </c>
      <c r="T12" s="2155">
        <f t="shared" si="4"/>
        <v>0</v>
      </c>
      <c r="U12" s="2064"/>
      <c r="V12" s="2067"/>
      <c r="W12" s="2059"/>
      <c r="X12" s="2061">
        <f t="shared" si="12"/>
        <v>0</v>
      </c>
      <c r="Y12" s="2155" t="e">
        <f t="shared" si="5"/>
        <v>#DIV/0!</v>
      </c>
      <c r="Z12" s="2062"/>
      <c r="AA12" s="2067"/>
      <c r="AB12" s="2059"/>
      <c r="AC12" s="2061">
        <f t="shared" si="13"/>
        <v>0</v>
      </c>
      <c r="AD12" s="2155" t="e">
        <f t="shared" si="6"/>
        <v>#DIV/0!</v>
      </c>
      <c r="AE12" s="2062"/>
      <c r="AF12" s="2067"/>
      <c r="AG12" s="2059"/>
      <c r="AH12" s="2061">
        <f t="shared" si="14"/>
        <v>0</v>
      </c>
      <c r="AI12" s="2155" t="e">
        <f t="shared" si="7"/>
        <v>#DIV/0!</v>
      </c>
      <c r="AJ12" s="2062"/>
      <c r="AK12" s="2059">
        <f t="shared" si="8"/>
        <v>0</v>
      </c>
      <c r="AL12" s="2059">
        <f t="shared" si="8"/>
        <v>0</v>
      </c>
      <c r="AM12" s="2061">
        <f t="shared" si="15"/>
        <v>0</v>
      </c>
      <c r="AN12" s="2155">
        <f t="shared" si="0"/>
        <v>0</v>
      </c>
      <c r="AO12" s="1449"/>
    </row>
    <row r="13" spans="1:41" s="1411" customFormat="1" ht="13.8" x14ac:dyDescent="0.25">
      <c r="A13" s="1587"/>
      <c r="B13" s="1439" t="s">
        <v>71</v>
      </c>
      <c r="C13" s="1500"/>
      <c r="D13" s="1501"/>
      <c r="E13" s="2028">
        <f t="shared" si="1"/>
        <v>0</v>
      </c>
      <c r="F13" s="1992" t="e">
        <f t="shared" si="2"/>
        <v>#DIV/0!</v>
      </c>
      <c r="G13" s="2059"/>
      <c r="H13" s="2059"/>
      <c r="I13" s="2061">
        <f t="shared" si="9"/>
        <v>0</v>
      </c>
      <c r="J13" s="2155">
        <f t="shared" si="16"/>
        <v>0</v>
      </c>
      <c r="K13" s="2062"/>
      <c r="L13" s="2059"/>
      <c r="M13" s="2059"/>
      <c r="N13" s="2061">
        <f t="shared" si="10"/>
        <v>0</v>
      </c>
      <c r="O13" s="2155" t="e">
        <f t="shared" si="3"/>
        <v>#DIV/0!</v>
      </c>
      <c r="P13" s="2062"/>
      <c r="Q13" s="2067"/>
      <c r="R13" s="2059"/>
      <c r="S13" s="2061">
        <f t="shared" si="11"/>
        <v>0</v>
      </c>
      <c r="T13" s="2155">
        <f t="shared" si="4"/>
        <v>0</v>
      </c>
      <c r="U13" s="2064"/>
      <c r="V13" s="2067"/>
      <c r="W13" s="2059"/>
      <c r="X13" s="2061">
        <f t="shared" si="12"/>
        <v>0</v>
      </c>
      <c r="Y13" s="2155" t="e">
        <f t="shared" si="5"/>
        <v>#DIV/0!</v>
      </c>
      <c r="Z13" s="2062"/>
      <c r="AA13" s="2067"/>
      <c r="AB13" s="2059"/>
      <c r="AC13" s="2061">
        <f t="shared" si="13"/>
        <v>0</v>
      </c>
      <c r="AD13" s="2155" t="e">
        <f t="shared" si="6"/>
        <v>#DIV/0!</v>
      </c>
      <c r="AE13" s="2062"/>
      <c r="AF13" s="2067"/>
      <c r="AG13" s="2059"/>
      <c r="AH13" s="2061">
        <f t="shared" si="14"/>
        <v>0</v>
      </c>
      <c r="AI13" s="2155" t="e">
        <f t="shared" si="7"/>
        <v>#DIV/0!</v>
      </c>
      <c r="AJ13" s="2062"/>
      <c r="AK13" s="2059">
        <f t="shared" si="8"/>
        <v>0</v>
      </c>
      <c r="AL13" s="2059">
        <f t="shared" si="8"/>
        <v>0</v>
      </c>
      <c r="AM13" s="2061">
        <f t="shared" si="15"/>
        <v>0</v>
      </c>
      <c r="AN13" s="2155">
        <f t="shared" si="0"/>
        <v>0</v>
      </c>
      <c r="AO13" s="1449"/>
    </row>
    <row r="14" spans="1:41" s="1411" customFormat="1" ht="13.8" x14ac:dyDescent="0.25">
      <c r="A14" s="1587"/>
      <c r="B14" s="1439" t="s">
        <v>70</v>
      </c>
      <c r="C14" s="1500"/>
      <c r="D14" s="1501"/>
      <c r="E14" s="2028">
        <f t="shared" si="1"/>
        <v>0</v>
      </c>
      <c r="F14" s="1992" t="e">
        <f t="shared" si="2"/>
        <v>#DIV/0!</v>
      </c>
      <c r="G14" s="2059"/>
      <c r="H14" s="2059"/>
      <c r="I14" s="2061">
        <f t="shared" si="9"/>
        <v>0</v>
      </c>
      <c r="J14" s="2155">
        <f t="shared" si="16"/>
        <v>0</v>
      </c>
      <c r="K14" s="2062"/>
      <c r="L14" s="2059"/>
      <c r="M14" s="2059"/>
      <c r="N14" s="2061">
        <f t="shared" si="10"/>
        <v>0</v>
      </c>
      <c r="O14" s="2155" t="e">
        <f t="shared" si="3"/>
        <v>#DIV/0!</v>
      </c>
      <c r="P14" s="2062"/>
      <c r="Q14" s="2067"/>
      <c r="R14" s="2059"/>
      <c r="S14" s="2061">
        <f t="shared" si="11"/>
        <v>0</v>
      </c>
      <c r="T14" s="2155">
        <f t="shared" si="4"/>
        <v>0</v>
      </c>
      <c r="U14" s="2064"/>
      <c r="V14" s="2067"/>
      <c r="W14" s="2059"/>
      <c r="X14" s="2061">
        <f t="shared" si="12"/>
        <v>0</v>
      </c>
      <c r="Y14" s="2155" t="e">
        <f t="shared" si="5"/>
        <v>#DIV/0!</v>
      </c>
      <c r="Z14" s="2062"/>
      <c r="AA14" s="2067"/>
      <c r="AB14" s="2059"/>
      <c r="AC14" s="2061">
        <f t="shared" si="13"/>
        <v>0</v>
      </c>
      <c r="AD14" s="2155" t="e">
        <f t="shared" si="6"/>
        <v>#DIV/0!</v>
      </c>
      <c r="AE14" s="2062"/>
      <c r="AF14" s="2067"/>
      <c r="AG14" s="2059"/>
      <c r="AH14" s="2061">
        <f t="shared" si="14"/>
        <v>0</v>
      </c>
      <c r="AI14" s="2155" t="e">
        <f t="shared" si="7"/>
        <v>#DIV/0!</v>
      </c>
      <c r="AJ14" s="2062"/>
      <c r="AK14" s="2059">
        <f t="shared" si="8"/>
        <v>0</v>
      </c>
      <c r="AL14" s="2059">
        <f t="shared" si="8"/>
        <v>0</v>
      </c>
      <c r="AM14" s="2061">
        <f t="shared" si="15"/>
        <v>0</v>
      </c>
      <c r="AN14" s="2155">
        <f t="shared" si="0"/>
        <v>0</v>
      </c>
      <c r="AO14" s="1449"/>
    </row>
    <row r="15" spans="1:41" s="1411" customFormat="1" ht="13.8" x14ac:dyDescent="0.25">
      <c r="A15" s="1587"/>
      <c r="B15" s="2577" t="s">
        <v>20</v>
      </c>
      <c r="C15" s="1500"/>
      <c r="D15" s="2578"/>
      <c r="E15" s="2028">
        <f t="shared" si="1"/>
        <v>0</v>
      </c>
      <c r="F15" s="1992" t="e">
        <f t="shared" si="2"/>
        <v>#DIV/0!</v>
      </c>
      <c r="G15" s="2059"/>
      <c r="H15" s="2059"/>
      <c r="I15" s="2061">
        <f t="shared" si="9"/>
        <v>0</v>
      </c>
      <c r="J15" s="2155">
        <f t="shared" si="16"/>
        <v>0</v>
      </c>
      <c r="K15" s="2062"/>
      <c r="L15" s="2059"/>
      <c r="M15" s="2059"/>
      <c r="N15" s="2061">
        <f t="shared" si="10"/>
        <v>0</v>
      </c>
      <c r="O15" s="2155" t="e">
        <f t="shared" si="3"/>
        <v>#DIV/0!</v>
      </c>
      <c r="P15" s="2062"/>
      <c r="Q15" s="2067"/>
      <c r="R15" s="2059"/>
      <c r="S15" s="2061">
        <f t="shared" si="11"/>
        <v>0</v>
      </c>
      <c r="T15" s="2155">
        <f t="shared" si="4"/>
        <v>0</v>
      </c>
      <c r="U15" s="1630"/>
      <c r="V15" s="2067"/>
      <c r="W15" s="2059"/>
      <c r="X15" s="2061">
        <f t="shared" si="12"/>
        <v>0</v>
      </c>
      <c r="Y15" s="2155" t="e">
        <f t="shared" si="5"/>
        <v>#DIV/0!</v>
      </c>
      <c r="Z15" s="2062"/>
      <c r="AA15" s="2067"/>
      <c r="AB15" s="2059"/>
      <c r="AC15" s="2061">
        <f t="shared" si="13"/>
        <v>0</v>
      </c>
      <c r="AD15" s="2155" t="e">
        <f t="shared" si="6"/>
        <v>#DIV/0!</v>
      </c>
      <c r="AE15" s="2062"/>
      <c r="AF15" s="2067"/>
      <c r="AG15" s="2059"/>
      <c r="AH15" s="2061">
        <f t="shared" si="14"/>
        <v>0</v>
      </c>
      <c r="AI15" s="2155" t="e">
        <f t="shared" si="7"/>
        <v>#DIV/0!</v>
      </c>
      <c r="AJ15" s="2062"/>
      <c r="AK15" s="2059">
        <f t="shared" si="8"/>
        <v>0</v>
      </c>
      <c r="AL15" s="2059">
        <f t="shared" si="8"/>
        <v>0</v>
      </c>
      <c r="AM15" s="2061">
        <f t="shared" si="15"/>
        <v>0</v>
      </c>
      <c r="AN15" s="2155">
        <f t="shared" si="0"/>
        <v>0</v>
      </c>
      <c r="AO15" s="1449"/>
    </row>
    <row r="16" spans="1:41" s="1411" customFormat="1" ht="13.8" x14ac:dyDescent="0.25">
      <c r="A16" s="1598"/>
      <c r="B16" s="2577" t="s">
        <v>21</v>
      </c>
      <c r="C16" s="1500"/>
      <c r="D16" s="2578"/>
      <c r="E16" s="2028">
        <f t="shared" si="1"/>
        <v>0</v>
      </c>
      <c r="F16" s="1992" t="e">
        <f t="shared" si="2"/>
        <v>#DIV/0!</v>
      </c>
      <c r="G16" s="2059"/>
      <c r="H16" s="2059"/>
      <c r="I16" s="2061">
        <f t="shared" si="9"/>
        <v>0</v>
      </c>
      <c r="J16" s="2155">
        <f t="shared" si="16"/>
        <v>0</v>
      </c>
      <c r="K16" s="2062"/>
      <c r="L16" s="2059"/>
      <c r="M16" s="2059"/>
      <c r="N16" s="2061">
        <f t="shared" si="10"/>
        <v>0</v>
      </c>
      <c r="O16" s="2155" t="e">
        <f t="shared" si="3"/>
        <v>#DIV/0!</v>
      </c>
      <c r="P16" s="2062"/>
      <c r="Q16" s="2067"/>
      <c r="R16" s="2059"/>
      <c r="S16" s="2061">
        <f t="shared" si="11"/>
        <v>0</v>
      </c>
      <c r="T16" s="2155">
        <f t="shared" si="4"/>
        <v>0</v>
      </c>
      <c r="U16" s="2062"/>
      <c r="V16" s="2067"/>
      <c r="W16" s="2059"/>
      <c r="X16" s="2061">
        <f t="shared" si="12"/>
        <v>0</v>
      </c>
      <c r="Y16" s="2155" t="e">
        <f t="shared" si="5"/>
        <v>#DIV/0!</v>
      </c>
      <c r="Z16" s="2062"/>
      <c r="AA16" s="2067"/>
      <c r="AB16" s="2059"/>
      <c r="AC16" s="2061">
        <f t="shared" si="13"/>
        <v>0</v>
      </c>
      <c r="AD16" s="2155" t="e">
        <f t="shared" si="6"/>
        <v>#DIV/0!</v>
      </c>
      <c r="AE16" s="2062"/>
      <c r="AF16" s="2067"/>
      <c r="AG16" s="2059"/>
      <c r="AH16" s="2061">
        <f t="shared" si="14"/>
        <v>0</v>
      </c>
      <c r="AI16" s="2155" t="e">
        <f t="shared" si="7"/>
        <v>#DIV/0!</v>
      </c>
      <c r="AJ16" s="2062"/>
      <c r="AK16" s="2059">
        <f t="shared" si="8"/>
        <v>0</v>
      </c>
      <c r="AL16" s="2059">
        <f t="shared" si="8"/>
        <v>0</v>
      </c>
      <c r="AM16" s="2061">
        <f t="shared" si="15"/>
        <v>0</v>
      </c>
      <c r="AN16" s="2155">
        <f t="shared" si="0"/>
        <v>0</v>
      </c>
      <c r="AO16" s="1449"/>
    </row>
    <row r="17" spans="1:41" s="1411" customFormat="1" ht="13.8" x14ac:dyDescent="0.25">
      <c r="A17" s="1587"/>
      <c r="B17" s="2577" t="s">
        <v>22</v>
      </c>
      <c r="C17" s="1500"/>
      <c r="D17" s="2578"/>
      <c r="E17" s="2028">
        <f t="shared" si="1"/>
        <v>0</v>
      </c>
      <c r="F17" s="1992" t="e">
        <f t="shared" si="2"/>
        <v>#DIV/0!</v>
      </c>
      <c r="G17" s="2059"/>
      <c r="H17" s="2059"/>
      <c r="I17" s="2061">
        <f t="shared" si="9"/>
        <v>0</v>
      </c>
      <c r="J17" s="2155">
        <f t="shared" si="16"/>
        <v>0</v>
      </c>
      <c r="K17" s="2062"/>
      <c r="L17" s="2059"/>
      <c r="M17" s="2059"/>
      <c r="N17" s="2061">
        <f t="shared" si="10"/>
        <v>0</v>
      </c>
      <c r="O17" s="2155" t="e">
        <f t="shared" si="3"/>
        <v>#DIV/0!</v>
      </c>
      <c r="P17" s="2062"/>
      <c r="Q17" s="2067"/>
      <c r="R17" s="2059"/>
      <c r="S17" s="2061">
        <f t="shared" si="11"/>
        <v>0</v>
      </c>
      <c r="T17" s="2155">
        <f t="shared" si="4"/>
        <v>0</v>
      </c>
      <c r="U17" s="2064"/>
      <c r="V17" s="2067"/>
      <c r="W17" s="2059"/>
      <c r="X17" s="2061">
        <f t="shared" si="12"/>
        <v>0</v>
      </c>
      <c r="Y17" s="2155" t="e">
        <f t="shared" si="5"/>
        <v>#DIV/0!</v>
      </c>
      <c r="Z17" s="2062"/>
      <c r="AA17" s="2067"/>
      <c r="AB17" s="2059"/>
      <c r="AC17" s="2061">
        <f t="shared" si="13"/>
        <v>0</v>
      </c>
      <c r="AD17" s="2155" t="e">
        <f t="shared" si="6"/>
        <v>#DIV/0!</v>
      </c>
      <c r="AE17" s="2062"/>
      <c r="AF17" s="2067"/>
      <c r="AG17" s="2059"/>
      <c r="AH17" s="2061">
        <f t="shared" si="14"/>
        <v>0</v>
      </c>
      <c r="AI17" s="2155" t="e">
        <f t="shared" si="7"/>
        <v>#DIV/0!</v>
      </c>
      <c r="AJ17" s="2062"/>
      <c r="AK17" s="2059">
        <f t="shared" si="8"/>
        <v>0</v>
      </c>
      <c r="AL17" s="2059">
        <f t="shared" si="8"/>
        <v>0</v>
      </c>
      <c r="AM17" s="2061">
        <f t="shared" si="15"/>
        <v>0</v>
      </c>
      <c r="AN17" s="2155">
        <f t="shared" si="0"/>
        <v>0</v>
      </c>
      <c r="AO17" s="1449"/>
    </row>
    <row r="18" spans="1:41" s="1411" customFormat="1" ht="34.200000000000003" customHeight="1" x14ac:dyDescent="0.25">
      <c r="A18" s="1587"/>
      <c r="B18" s="2577" t="s">
        <v>0</v>
      </c>
      <c r="C18" s="1500"/>
      <c r="D18" s="2578"/>
      <c r="E18" s="2028">
        <f t="shared" si="1"/>
        <v>0</v>
      </c>
      <c r="F18" s="1992" t="e">
        <f t="shared" si="2"/>
        <v>#DIV/0!</v>
      </c>
      <c r="G18" s="2059">
        <f>600000*0</f>
        <v>0</v>
      </c>
      <c r="H18" s="2059"/>
      <c r="I18" s="2061">
        <f t="shared" si="9"/>
        <v>0</v>
      </c>
      <c r="J18" s="2155">
        <f t="shared" si="16"/>
        <v>0</v>
      </c>
      <c r="K18" s="2062" t="s">
        <v>1654</v>
      </c>
      <c r="L18" s="2059"/>
      <c r="M18" s="2059"/>
      <c r="N18" s="2061">
        <f t="shared" si="10"/>
        <v>0</v>
      </c>
      <c r="O18" s="2155" t="e">
        <f t="shared" si="3"/>
        <v>#DIV/0!</v>
      </c>
      <c r="P18" s="2062"/>
      <c r="Q18" s="2067">
        <v>17250</v>
      </c>
      <c r="R18" s="2059"/>
      <c r="S18" s="2061">
        <f t="shared" si="11"/>
        <v>17250</v>
      </c>
      <c r="T18" s="2155">
        <f t="shared" si="4"/>
        <v>1</v>
      </c>
      <c r="U18" s="2071" t="s">
        <v>1716</v>
      </c>
      <c r="V18" s="2067"/>
      <c r="W18" s="2059"/>
      <c r="X18" s="2061">
        <f t="shared" si="12"/>
        <v>0</v>
      </c>
      <c r="Y18" s="2155" t="e">
        <f t="shared" si="5"/>
        <v>#DIV/0!</v>
      </c>
      <c r="Z18" s="2062"/>
      <c r="AA18" s="2067"/>
      <c r="AB18" s="2059"/>
      <c r="AC18" s="2061">
        <f t="shared" si="13"/>
        <v>0</v>
      </c>
      <c r="AD18" s="2155" t="e">
        <f t="shared" si="6"/>
        <v>#DIV/0!</v>
      </c>
      <c r="AE18" s="2062"/>
      <c r="AF18" s="2067"/>
      <c r="AG18" s="2059"/>
      <c r="AH18" s="2061">
        <f t="shared" si="14"/>
        <v>0</v>
      </c>
      <c r="AI18" s="2155" t="e">
        <f t="shared" si="7"/>
        <v>#DIV/0!</v>
      </c>
      <c r="AJ18" s="2062"/>
      <c r="AK18" s="2059">
        <f t="shared" si="8"/>
        <v>17250</v>
      </c>
      <c r="AL18" s="2059">
        <f t="shared" si="8"/>
        <v>0</v>
      </c>
      <c r="AM18" s="2061">
        <f t="shared" si="15"/>
        <v>17250</v>
      </c>
      <c r="AN18" s="2155">
        <f t="shared" si="0"/>
        <v>0.98795964855190377</v>
      </c>
      <c r="AO18" s="1449"/>
    </row>
    <row r="19" spans="1:41" s="1411" customFormat="1" ht="13.8" x14ac:dyDescent="0.25">
      <c r="A19" s="1587"/>
      <c r="B19" s="2577" t="s">
        <v>53</v>
      </c>
      <c r="C19" s="2156"/>
      <c r="D19" s="2578"/>
      <c r="E19" s="2028">
        <f t="shared" si="1"/>
        <v>0</v>
      </c>
      <c r="F19" s="1992" t="e">
        <f t="shared" si="2"/>
        <v>#DIV/0!</v>
      </c>
      <c r="G19" s="2059"/>
      <c r="H19" s="2059"/>
      <c r="I19" s="2061">
        <f t="shared" si="9"/>
        <v>0</v>
      </c>
      <c r="J19" s="2155">
        <f t="shared" si="16"/>
        <v>0</v>
      </c>
      <c r="K19" s="2062"/>
      <c r="L19" s="2059"/>
      <c r="M19" s="2059"/>
      <c r="N19" s="2061">
        <f t="shared" si="10"/>
        <v>0</v>
      </c>
      <c r="O19" s="2155" t="e">
        <f t="shared" si="3"/>
        <v>#DIV/0!</v>
      </c>
      <c r="P19" s="2062"/>
      <c r="Q19" s="2067"/>
      <c r="R19" s="2059"/>
      <c r="S19" s="2061">
        <f t="shared" si="11"/>
        <v>0</v>
      </c>
      <c r="T19" s="2155">
        <f t="shared" si="4"/>
        <v>0</v>
      </c>
      <c r="U19" s="2064"/>
      <c r="V19" s="2067"/>
      <c r="W19" s="2059"/>
      <c r="X19" s="2061">
        <f t="shared" si="12"/>
        <v>0</v>
      </c>
      <c r="Y19" s="2155" t="e">
        <f t="shared" si="5"/>
        <v>#DIV/0!</v>
      </c>
      <c r="Z19" s="2062"/>
      <c r="AA19" s="2067"/>
      <c r="AB19" s="2059"/>
      <c r="AC19" s="2061">
        <f t="shared" si="13"/>
        <v>0</v>
      </c>
      <c r="AD19" s="2155" t="e">
        <f t="shared" si="6"/>
        <v>#DIV/0!</v>
      </c>
      <c r="AE19" s="2062"/>
      <c r="AF19" s="2067"/>
      <c r="AG19" s="2059"/>
      <c r="AH19" s="2061">
        <f t="shared" si="14"/>
        <v>0</v>
      </c>
      <c r="AI19" s="2155" t="e">
        <f t="shared" si="7"/>
        <v>#DIV/0!</v>
      </c>
      <c r="AJ19" s="2062"/>
      <c r="AK19" s="2059">
        <f t="shared" si="8"/>
        <v>0</v>
      </c>
      <c r="AL19" s="2059">
        <f t="shared" si="8"/>
        <v>0</v>
      </c>
      <c r="AM19" s="2061">
        <f t="shared" si="15"/>
        <v>0</v>
      </c>
      <c r="AN19" s="2155">
        <f t="shared" si="0"/>
        <v>0</v>
      </c>
      <c r="AO19" s="1449"/>
    </row>
    <row r="20" spans="1:41" s="1411" customFormat="1" ht="13.8" x14ac:dyDescent="0.25">
      <c r="A20" s="1587"/>
      <c r="B20" s="2577" t="s">
        <v>57</v>
      </c>
      <c r="C20" s="2156"/>
      <c r="D20" s="2578"/>
      <c r="E20" s="2028">
        <f t="shared" si="1"/>
        <v>0</v>
      </c>
      <c r="F20" s="1992" t="e">
        <f t="shared" si="2"/>
        <v>#DIV/0!</v>
      </c>
      <c r="G20" s="2059"/>
      <c r="H20" s="2059"/>
      <c r="I20" s="2061">
        <f t="shared" si="9"/>
        <v>0</v>
      </c>
      <c r="J20" s="2155">
        <f t="shared" si="16"/>
        <v>0</v>
      </c>
      <c r="K20" s="2062"/>
      <c r="L20" s="2059"/>
      <c r="M20" s="2059"/>
      <c r="N20" s="2061">
        <f t="shared" si="10"/>
        <v>0</v>
      </c>
      <c r="O20" s="2155" t="e">
        <f t="shared" si="3"/>
        <v>#DIV/0!</v>
      </c>
      <c r="P20" s="2062"/>
      <c r="Q20" s="2067"/>
      <c r="R20" s="2059"/>
      <c r="S20" s="2061">
        <f t="shared" si="11"/>
        <v>0</v>
      </c>
      <c r="T20" s="2155">
        <f t="shared" si="4"/>
        <v>0</v>
      </c>
      <c r="U20" s="2064"/>
      <c r="V20" s="2067"/>
      <c r="W20" s="2059"/>
      <c r="X20" s="2061">
        <f t="shared" si="12"/>
        <v>0</v>
      </c>
      <c r="Y20" s="2155" t="e">
        <f t="shared" si="5"/>
        <v>#DIV/0!</v>
      </c>
      <c r="Z20" s="2062"/>
      <c r="AA20" s="2067"/>
      <c r="AB20" s="2059"/>
      <c r="AC20" s="2061">
        <f t="shared" si="13"/>
        <v>0</v>
      </c>
      <c r="AD20" s="2155" t="e">
        <f t="shared" si="6"/>
        <v>#DIV/0!</v>
      </c>
      <c r="AE20" s="2062"/>
      <c r="AF20" s="2067"/>
      <c r="AG20" s="2059"/>
      <c r="AH20" s="2061">
        <f t="shared" si="14"/>
        <v>0</v>
      </c>
      <c r="AI20" s="2155" t="e">
        <f t="shared" si="7"/>
        <v>#DIV/0!</v>
      </c>
      <c r="AJ20" s="2062"/>
      <c r="AK20" s="2059">
        <f t="shared" si="8"/>
        <v>0</v>
      </c>
      <c r="AL20" s="2059">
        <f t="shared" si="8"/>
        <v>0</v>
      </c>
      <c r="AM20" s="2061">
        <f t="shared" si="15"/>
        <v>0</v>
      </c>
      <c r="AN20" s="2155">
        <f t="shared" si="0"/>
        <v>0</v>
      </c>
      <c r="AO20" s="1449"/>
    </row>
    <row r="21" spans="1:41" s="1411" customFormat="1" ht="41.4" x14ac:dyDescent="0.25">
      <c r="A21" s="1587"/>
      <c r="B21" s="2577" t="s">
        <v>58</v>
      </c>
      <c r="C21" s="2156"/>
      <c r="D21" s="2578"/>
      <c r="E21" s="2028">
        <f t="shared" si="1"/>
        <v>0</v>
      </c>
      <c r="F21" s="1992" t="e">
        <f t="shared" si="2"/>
        <v>#DIV/0!</v>
      </c>
      <c r="G21" s="2059"/>
      <c r="H21" s="2059"/>
      <c r="I21" s="2061">
        <f t="shared" si="9"/>
        <v>0</v>
      </c>
      <c r="J21" s="2155">
        <f t="shared" si="16"/>
        <v>0</v>
      </c>
      <c r="K21" s="2062"/>
      <c r="L21" s="2059"/>
      <c r="M21" s="2059"/>
      <c r="N21" s="2061">
        <f t="shared" si="10"/>
        <v>0</v>
      </c>
      <c r="O21" s="2155" t="e">
        <f t="shared" si="3"/>
        <v>#DIV/0!</v>
      </c>
      <c r="P21" s="2062"/>
      <c r="Q21" s="2067"/>
      <c r="R21" s="2059"/>
      <c r="S21" s="2061">
        <f t="shared" si="11"/>
        <v>0</v>
      </c>
      <c r="T21" s="2155">
        <f t="shared" si="4"/>
        <v>0</v>
      </c>
      <c r="U21" s="2064"/>
      <c r="V21" s="2067"/>
      <c r="W21" s="2059"/>
      <c r="X21" s="2061">
        <f t="shared" si="12"/>
        <v>0</v>
      </c>
      <c r="Y21" s="2155" t="e">
        <f t="shared" si="5"/>
        <v>#DIV/0!</v>
      </c>
      <c r="Z21" s="2062"/>
      <c r="AA21" s="2067"/>
      <c r="AB21" s="2059"/>
      <c r="AC21" s="2061">
        <f t="shared" si="13"/>
        <v>0</v>
      </c>
      <c r="AD21" s="2155" t="e">
        <f t="shared" si="6"/>
        <v>#DIV/0!</v>
      </c>
      <c r="AE21" s="2062" t="s">
        <v>1927</v>
      </c>
      <c r="AF21" s="2067"/>
      <c r="AG21" s="2059"/>
      <c r="AH21" s="2061">
        <f t="shared" si="14"/>
        <v>0</v>
      </c>
      <c r="AI21" s="2155" t="e">
        <f t="shared" si="7"/>
        <v>#DIV/0!</v>
      </c>
      <c r="AJ21" s="2062"/>
      <c r="AK21" s="2059">
        <f t="shared" si="8"/>
        <v>0</v>
      </c>
      <c r="AL21" s="2059">
        <f t="shared" si="8"/>
        <v>0</v>
      </c>
      <c r="AM21" s="2061">
        <f t="shared" si="15"/>
        <v>0</v>
      </c>
      <c r="AN21" s="2155">
        <f t="shared" si="0"/>
        <v>0</v>
      </c>
      <c r="AO21" s="1449"/>
    </row>
    <row r="22" spans="1:41" s="1411" customFormat="1" ht="13.8" x14ac:dyDescent="0.25">
      <c r="A22" s="1587"/>
      <c r="B22" s="2577" t="s">
        <v>621</v>
      </c>
      <c r="C22" s="2156"/>
      <c r="D22" s="2578"/>
      <c r="E22" s="2028"/>
      <c r="F22" s="1992"/>
      <c r="G22" s="2059"/>
      <c r="H22" s="2059"/>
      <c r="I22" s="2061">
        <f t="shared" si="9"/>
        <v>0</v>
      </c>
      <c r="J22" s="2155">
        <f t="shared" si="16"/>
        <v>0</v>
      </c>
      <c r="K22" s="2062"/>
      <c r="L22" s="2059"/>
      <c r="M22" s="2059"/>
      <c r="N22" s="2061">
        <f t="shared" si="10"/>
        <v>0</v>
      </c>
      <c r="O22" s="2155" t="e">
        <f t="shared" si="3"/>
        <v>#DIV/0!</v>
      </c>
      <c r="P22" s="2062"/>
      <c r="Q22" s="2067"/>
      <c r="R22" s="2059"/>
      <c r="S22" s="2061">
        <f t="shared" si="11"/>
        <v>0</v>
      </c>
      <c r="T22" s="2155">
        <f t="shared" si="4"/>
        <v>0</v>
      </c>
      <c r="U22" s="2064"/>
      <c r="V22" s="2067"/>
      <c r="W22" s="2059"/>
      <c r="X22" s="2061">
        <f t="shared" si="12"/>
        <v>0</v>
      </c>
      <c r="Y22" s="2155" t="e">
        <f t="shared" si="5"/>
        <v>#DIV/0!</v>
      </c>
      <c r="Z22" s="2062"/>
      <c r="AA22" s="2067"/>
      <c r="AB22" s="2059"/>
      <c r="AC22" s="2061">
        <f t="shared" si="13"/>
        <v>0</v>
      </c>
      <c r="AD22" s="2155" t="e">
        <f t="shared" si="6"/>
        <v>#DIV/0!</v>
      </c>
      <c r="AE22" s="2062"/>
      <c r="AF22" s="2067"/>
      <c r="AG22" s="2059"/>
      <c r="AH22" s="2061">
        <f t="shared" si="14"/>
        <v>0</v>
      </c>
      <c r="AI22" s="2155" t="e">
        <f t="shared" si="7"/>
        <v>#DIV/0!</v>
      </c>
      <c r="AJ22" s="2062"/>
      <c r="AK22" s="2059">
        <f t="shared" si="8"/>
        <v>0</v>
      </c>
      <c r="AL22" s="2059">
        <f t="shared" si="8"/>
        <v>0</v>
      </c>
      <c r="AM22" s="2061">
        <f t="shared" si="15"/>
        <v>0</v>
      </c>
      <c r="AN22" s="2155">
        <f t="shared" si="0"/>
        <v>0</v>
      </c>
      <c r="AO22" s="1449"/>
    </row>
    <row r="23" spans="1:41" s="1411" customFormat="1" ht="13.8" x14ac:dyDescent="0.25">
      <c r="A23" s="1587"/>
      <c r="B23" s="2577" t="s">
        <v>630</v>
      </c>
      <c r="C23" s="2156"/>
      <c r="D23" s="2578"/>
      <c r="E23" s="2028"/>
      <c r="F23" s="1992"/>
      <c r="G23" s="2059"/>
      <c r="H23" s="2059"/>
      <c r="I23" s="2061">
        <f t="shared" si="9"/>
        <v>0</v>
      </c>
      <c r="J23" s="2155">
        <f t="shared" si="16"/>
        <v>0</v>
      </c>
      <c r="K23" s="2062"/>
      <c r="L23" s="2059"/>
      <c r="M23" s="2059"/>
      <c r="N23" s="2061">
        <f t="shared" si="10"/>
        <v>0</v>
      </c>
      <c r="O23" s="2155" t="e">
        <f t="shared" si="3"/>
        <v>#DIV/0!</v>
      </c>
      <c r="P23" s="2062"/>
      <c r="Q23" s="2067"/>
      <c r="R23" s="2059"/>
      <c r="S23" s="2061">
        <f t="shared" si="11"/>
        <v>0</v>
      </c>
      <c r="T23" s="2155">
        <f t="shared" si="4"/>
        <v>0</v>
      </c>
      <c r="U23" s="2064"/>
      <c r="V23" s="2067"/>
      <c r="W23" s="2059"/>
      <c r="X23" s="2061">
        <f t="shared" si="12"/>
        <v>0</v>
      </c>
      <c r="Y23" s="2155" t="e">
        <f t="shared" si="5"/>
        <v>#DIV/0!</v>
      </c>
      <c r="Z23" s="2062"/>
      <c r="AA23" s="2067"/>
      <c r="AB23" s="2059"/>
      <c r="AC23" s="2061">
        <f t="shared" si="13"/>
        <v>0</v>
      </c>
      <c r="AD23" s="2155" t="e">
        <f t="shared" si="6"/>
        <v>#DIV/0!</v>
      </c>
      <c r="AE23" s="2062"/>
      <c r="AF23" s="2067"/>
      <c r="AG23" s="2059"/>
      <c r="AH23" s="2061">
        <f t="shared" si="14"/>
        <v>0</v>
      </c>
      <c r="AI23" s="2155" t="e">
        <f t="shared" si="7"/>
        <v>#DIV/0!</v>
      </c>
      <c r="AJ23" s="2062"/>
      <c r="AK23" s="2059">
        <f t="shared" si="8"/>
        <v>0</v>
      </c>
      <c r="AL23" s="2059">
        <f t="shared" si="8"/>
        <v>0</v>
      </c>
      <c r="AM23" s="2061">
        <f t="shared" si="15"/>
        <v>0</v>
      </c>
      <c r="AN23" s="2155">
        <f t="shared" si="0"/>
        <v>0</v>
      </c>
      <c r="AO23" s="1449"/>
    </row>
    <row r="24" spans="1:41" s="1411" customFormat="1" ht="13.8" x14ac:dyDescent="0.25">
      <c r="A24" s="1587"/>
      <c r="B24" s="2577" t="s">
        <v>23</v>
      </c>
      <c r="C24" s="2156"/>
      <c r="D24" s="2578"/>
      <c r="E24" s="2028">
        <f t="shared" si="1"/>
        <v>0</v>
      </c>
      <c r="F24" s="1992" t="e">
        <f t="shared" ref="F24:F33" si="17">E24/$E$89</f>
        <v>#DIV/0!</v>
      </c>
      <c r="G24" s="2059"/>
      <c r="H24" s="2059"/>
      <c r="I24" s="2061">
        <f t="shared" si="9"/>
        <v>0</v>
      </c>
      <c r="J24" s="2155">
        <f t="shared" si="16"/>
        <v>0</v>
      </c>
      <c r="K24" s="2062"/>
      <c r="L24" s="2059"/>
      <c r="M24" s="2059"/>
      <c r="N24" s="2061">
        <f t="shared" si="10"/>
        <v>0</v>
      </c>
      <c r="O24" s="2155" t="e">
        <f t="shared" si="3"/>
        <v>#DIV/0!</v>
      </c>
      <c r="P24" s="2062"/>
      <c r="Q24" s="2067"/>
      <c r="R24" s="2059"/>
      <c r="S24" s="2061">
        <f t="shared" si="11"/>
        <v>0</v>
      </c>
      <c r="T24" s="2155">
        <f t="shared" si="4"/>
        <v>0</v>
      </c>
      <c r="U24" s="2062"/>
      <c r="V24" s="2067"/>
      <c r="W24" s="2059"/>
      <c r="X24" s="2061">
        <f t="shared" si="12"/>
        <v>0</v>
      </c>
      <c r="Y24" s="2155" t="e">
        <f t="shared" si="5"/>
        <v>#DIV/0!</v>
      </c>
      <c r="Z24" s="2062"/>
      <c r="AA24" s="2067"/>
      <c r="AB24" s="2059"/>
      <c r="AC24" s="2061">
        <f t="shared" si="13"/>
        <v>0</v>
      </c>
      <c r="AD24" s="2155" t="e">
        <f t="shared" si="6"/>
        <v>#DIV/0!</v>
      </c>
      <c r="AE24" s="2059" t="s">
        <v>1934</v>
      </c>
      <c r="AF24" s="2067"/>
      <c r="AG24" s="2059"/>
      <c r="AH24" s="2061">
        <f t="shared" si="14"/>
        <v>0</v>
      </c>
      <c r="AI24" s="2155" t="e">
        <f t="shared" si="7"/>
        <v>#DIV/0!</v>
      </c>
      <c r="AJ24" s="2059"/>
      <c r="AK24" s="2059">
        <f t="shared" si="8"/>
        <v>0</v>
      </c>
      <c r="AL24" s="2059">
        <f t="shared" si="8"/>
        <v>0</v>
      </c>
      <c r="AM24" s="2061">
        <f t="shared" si="15"/>
        <v>0</v>
      </c>
      <c r="AN24" s="2155">
        <f t="shared" si="0"/>
        <v>0</v>
      </c>
      <c r="AO24" s="1449"/>
    </row>
    <row r="25" spans="1:41" s="1411" customFormat="1" ht="13.8" x14ac:dyDescent="0.25">
      <c r="A25" s="1587"/>
      <c r="B25" s="2577" t="s">
        <v>24</v>
      </c>
      <c r="C25" s="2156"/>
      <c r="D25" s="2578"/>
      <c r="E25" s="2028">
        <f t="shared" si="1"/>
        <v>0</v>
      </c>
      <c r="F25" s="1992" t="e">
        <f t="shared" si="17"/>
        <v>#DIV/0!</v>
      </c>
      <c r="G25" s="2059"/>
      <c r="H25" s="2059"/>
      <c r="I25" s="2061">
        <f t="shared" si="9"/>
        <v>0</v>
      </c>
      <c r="J25" s="2155">
        <f t="shared" si="16"/>
        <v>0</v>
      </c>
      <c r="K25" s="2062"/>
      <c r="L25" s="2059"/>
      <c r="M25" s="2059"/>
      <c r="N25" s="2061">
        <f t="shared" si="10"/>
        <v>0</v>
      </c>
      <c r="O25" s="2155" t="e">
        <f t="shared" si="3"/>
        <v>#DIV/0!</v>
      </c>
      <c r="P25" s="2062"/>
      <c r="Q25" s="2067"/>
      <c r="R25" s="2059"/>
      <c r="S25" s="2061">
        <f t="shared" si="11"/>
        <v>0</v>
      </c>
      <c r="T25" s="2155">
        <f t="shared" si="4"/>
        <v>0</v>
      </c>
      <c r="U25" s="2062"/>
      <c r="V25" s="2067"/>
      <c r="W25" s="2059"/>
      <c r="X25" s="2061">
        <f t="shared" si="12"/>
        <v>0</v>
      </c>
      <c r="Y25" s="2155" t="e">
        <f t="shared" si="5"/>
        <v>#DIV/0!</v>
      </c>
      <c r="Z25" s="2062"/>
      <c r="AA25" s="2067"/>
      <c r="AB25" s="2059"/>
      <c r="AC25" s="2061">
        <f t="shared" si="13"/>
        <v>0</v>
      </c>
      <c r="AD25" s="2155" t="e">
        <f t="shared" si="6"/>
        <v>#DIV/0!</v>
      </c>
      <c r="AE25" s="2062"/>
      <c r="AF25" s="2067"/>
      <c r="AG25" s="2059"/>
      <c r="AH25" s="2061">
        <f t="shared" si="14"/>
        <v>0</v>
      </c>
      <c r="AI25" s="2155" t="e">
        <f t="shared" si="7"/>
        <v>#DIV/0!</v>
      </c>
      <c r="AJ25" s="2062"/>
      <c r="AK25" s="2059">
        <f t="shared" si="8"/>
        <v>0</v>
      </c>
      <c r="AL25" s="2059">
        <f t="shared" si="8"/>
        <v>0</v>
      </c>
      <c r="AM25" s="2061">
        <f t="shared" si="15"/>
        <v>0</v>
      </c>
      <c r="AN25" s="2155">
        <f t="shared" si="0"/>
        <v>0</v>
      </c>
      <c r="AO25" s="1449"/>
    </row>
    <row r="26" spans="1:41" s="1411" customFormat="1" ht="13.8" x14ac:dyDescent="0.25">
      <c r="A26" s="1587"/>
      <c r="B26" s="2577" t="s">
        <v>45</v>
      </c>
      <c r="C26" s="2156"/>
      <c r="D26" s="2578"/>
      <c r="E26" s="2028">
        <f t="shared" si="1"/>
        <v>0</v>
      </c>
      <c r="F26" s="1992" t="e">
        <f t="shared" si="17"/>
        <v>#DIV/0!</v>
      </c>
      <c r="G26" s="2059"/>
      <c r="H26" s="2059"/>
      <c r="I26" s="2061">
        <f t="shared" si="9"/>
        <v>0</v>
      </c>
      <c r="J26" s="2155">
        <f t="shared" si="16"/>
        <v>0</v>
      </c>
      <c r="K26" s="2062"/>
      <c r="L26" s="2059"/>
      <c r="M26" s="2059"/>
      <c r="N26" s="2061">
        <f t="shared" si="10"/>
        <v>0</v>
      </c>
      <c r="O26" s="2155" t="e">
        <f t="shared" si="3"/>
        <v>#DIV/0!</v>
      </c>
      <c r="P26" s="2062"/>
      <c r="Q26" s="2067"/>
      <c r="R26" s="2059"/>
      <c r="S26" s="2061">
        <f t="shared" si="11"/>
        <v>0</v>
      </c>
      <c r="T26" s="2155">
        <f t="shared" si="4"/>
        <v>0</v>
      </c>
      <c r="U26" s="2064"/>
      <c r="V26" s="2067"/>
      <c r="W26" s="2059"/>
      <c r="X26" s="2061">
        <f t="shared" si="12"/>
        <v>0</v>
      </c>
      <c r="Y26" s="2155" t="e">
        <f t="shared" si="5"/>
        <v>#DIV/0!</v>
      </c>
      <c r="Z26" s="2062"/>
      <c r="AA26" s="2067"/>
      <c r="AB26" s="2059"/>
      <c r="AC26" s="2061">
        <f t="shared" si="13"/>
        <v>0</v>
      </c>
      <c r="AD26" s="2155" t="e">
        <f t="shared" si="6"/>
        <v>#DIV/0!</v>
      </c>
      <c r="AE26" s="2062"/>
      <c r="AF26" s="2067"/>
      <c r="AG26" s="2059"/>
      <c r="AH26" s="2061">
        <f t="shared" si="14"/>
        <v>0</v>
      </c>
      <c r="AI26" s="2155" t="e">
        <f t="shared" si="7"/>
        <v>#DIV/0!</v>
      </c>
      <c r="AJ26" s="2062"/>
      <c r="AK26" s="2059">
        <f t="shared" si="8"/>
        <v>0</v>
      </c>
      <c r="AL26" s="2059">
        <f t="shared" si="8"/>
        <v>0</v>
      </c>
      <c r="AM26" s="2061">
        <f t="shared" si="15"/>
        <v>0</v>
      </c>
      <c r="AN26" s="2155">
        <f t="shared" si="0"/>
        <v>0</v>
      </c>
      <c r="AO26" s="1449"/>
    </row>
    <row r="27" spans="1:41" s="1411" customFormat="1" ht="13.8" x14ac:dyDescent="0.25">
      <c r="A27" s="1587"/>
      <c r="B27" s="2577" t="s">
        <v>25</v>
      </c>
      <c r="C27" s="2156"/>
      <c r="D27" s="2578"/>
      <c r="E27" s="2028">
        <f t="shared" si="1"/>
        <v>0</v>
      </c>
      <c r="F27" s="1992" t="e">
        <f t="shared" si="17"/>
        <v>#DIV/0!</v>
      </c>
      <c r="G27" s="2059"/>
      <c r="H27" s="2059"/>
      <c r="I27" s="2061">
        <f t="shared" si="9"/>
        <v>0</v>
      </c>
      <c r="J27" s="2155">
        <f t="shared" si="16"/>
        <v>0</v>
      </c>
      <c r="K27" s="2062"/>
      <c r="L27" s="2059"/>
      <c r="M27" s="2059"/>
      <c r="N27" s="2061">
        <f t="shared" si="10"/>
        <v>0</v>
      </c>
      <c r="O27" s="2155" t="e">
        <f t="shared" si="3"/>
        <v>#DIV/0!</v>
      </c>
      <c r="P27" s="2062"/>
      <c r="Q27" s="2067"/>
      <c r="R27" s="2059"/>
      <c r="S27" s="2061">
        <f t="shared" si="11"/>
        <v>0</v>
      </c>
      <c r="T27" s="2155">
        <f t="shared" si="4"/>
        <v>0</v>
      </c>
      <c r="U27" s="2062"/>
      <c r="V27" s="2067"/>
      <c r="W27" s="2059"/>
      <c r="X27" s="2061">
        <f t="shared" si="12"/>
        <v>0</v>
      </c>
      <c r="Y27" s="2155" t="e">
        <f t="shared" si="5"/>
        <v>#DIV/0!</v>
      </c>
      <c r="Z27" s="2062"/>
      <c r="AA27" s="2067"/>
      <c r="AB27" s="2059"/>
      <c r="AC27" s="2061">
        <f t="shared" si="13"/>
        <v>0</v>
      </c>
      <c r="AD27" s="2155" t="e">
        <f t="shared" si="6"/>
        <v>#DIV/0!</v>
      </c>
      <c r="AE27" s="2062"/>
      <c r="AF27" s="2067"/>
      <c r="AG27" s="2059"/>
      <c r="AH27" s="2061">
        <f t="shared" si="14"/>
        <v>0</v>
      </c>
      <c r="AI27" s="2155" t="e">
        <f t="shared" si="7"/>
        <v>#DIV/0!</v>
      </c>
      <c r="AJ27" s="2062"/>
      <c r="AK27" s="2059">
        <f t="shared" si="8"/>
        <v>0</v>
      </c>
      <c r="AL27" s="2059">
        <f t="shared" si="8"/>
        <v>0</v>
      </c>
      <c r="AM27" s="2061">
        <f t="shared" si="15"/>
        <v>0</v>
      </c>
      <c r="AN27" s="2155">
        <f t="shared" si="0"/>
        <v>0</v>
      </c>
      <c r="AO27" s="1449"/>
    </row>
    <row r="28" spans="1:41" s="1579" customFormat="1" ht="13.8" x14ac:dyDescent="0.25">
      <c r="A28" s="1587"/>
      <c r="B28" s="2579" t="s">
        <v>52</v>
      </c>
      <c r="C28" s="2156"/>
      <c r="D28" s="2578"/>
      <c r="E28" s="2028">
        <f t="shared" si="1"/>
        <v>0</v>
      </c>
      <c r="F28" s="1992" t="e">
        <f t="shared" si="17"/>
        <v>#DIV/0!</v>
      </c>
      <c r="G28" s="2059"/>
      <c r="H28" s="2059"/>
      <c r="I28" s="2061">
        <f t="shared" si="9"/>
        <v>0</v>
      </c>
      <c r="J28" s="2155">
        <f t="shared" si="16"/>
        <v>0</v>
      </c>
      <c r="K28" s="2062"/>
      <c r="L28" s="2059"/>
      <c r="M28" s="2059"/>
      <c r="N28" s="2061">
        <f t="shared" si="10"/>
        <v>0</v>
      </c>
      <c r="O28" s="2155" t="e">
        <f t="shared" si="3"/>
        <v>#DIV/0!</v>
      </c>
      <c r="P28" s="2062"/>
      <c r="Q28" s="2067"/>
      <c r="R28" s="2059"/>
      <c r="S28" s="2061">
        <f t="shared" si="11"/>
        <v>0</v>
      </c>
      <c r="T28" s="2155">
        <f t="shared" si="4"/>
        <v>0</v>
      </c>
      <c r="U28" s="2062"/>
      <c r="V28" s="2067"/>
      <c r="W28" s="2059"/>
      <c r="X28" s="2061">
        <f t="shared" si="12"/>
        <v>0</v>
      </c>
      <c r="Y28" s="2155" t="e">
        <f t="shared" si="5"/>
        <v>#DIV/0!</v>
      </c>
      <c r="Z28" s="2062"/>
      <c r="AA28" s="2067"/>
      <c r="AB28" s="2059"/>
      <c r="AC28" s="2061">
        <f t="shared" si="13"/>
        <v>0</v>
      </c>
      <c r="AD28" s="2155" t="e">
        <f t="shared" si="6"/>
        <v>#DIV/0!</v>
      </c>
      <c r="AE28" s="2062"/>
      <c r="AF28" s="2067"/>
      <c r="AG28" s="2059"/>
      <c r="AH28" s="2061">
        <f t="shared" si="14"/>
        <v>0</v>
      </c>
      <c r="AI28" s="2155" t="e">
        <f t="shared" si="7"/>
        <v>#DIV/0!</v>
      </c>
      <c r="AJ28" s="2062"/>
      <c r="AK28" s="2059">
        <f t="shared" si="8"/>
        <v>0</v>
      </c>
      <c r="AL28" s="2059">
        <f t="shared" si="8"/>
        <v>0</v>
      </c>
      <c r="AM28" s="2061">
        <f t="shared" si="15"/>
        <v>0</v>
      </c>
      <c r="AN28" s="2155">
        <f t="shared" si="0"/>
        <v>0</v>
      </c>
      <c r="AO28" s="1449"/>
    </row>
    <row r="29" spans="1:41" s="1411" customFormat="1" ht="13.8" x14ac:dyDescent="0.25">
      <c r="A29" s="1587"/>
      <c r="B29" s="2577" t="s">
        <v>31</v>
      </c>
      <c r="C29" s="2156"/>
      <c r="D29" s="2578"/>
      <c r="E29" s="2028">
        <f t="shared" si="1"/>
        <v>0</v>
      </c>
      <c r="F29" s="2155" t="e">
        <f t="shared" si="17"/>
        <v>#DIV/0!</v>
      </c>
      <c r="G29" s="2059"/>
      <c r="H29" s="2059"/>
      <c r="I29" s="2061">
        <f t="shared" si="9"/>
        <v>0</v>
      </c>
      <c r="J29" s="2155">
        <f t="shared" si="16"/>
        <v>0</v>
      </c>
      <c r="K29" s="2062"/>
      <c r="L29" s="2059"/>
      <c r="M29" s="2059"/>
      <c r="N29" s="2061">
        <f t="shared" si="10"/>
        <v>0</v>
      </c>
      <c r="O29" s="2155" t="e">
        <f t="shared" si="3"/>
        <v>#DIV/0!</v>
      </c>
      <c r="P29" s="2062"/>
      <c r="Q29" s="2067"/>
      <c r="R29" s="2059"/>
      <c r="S29" s="2061">
        <f t="shared" si="11"/>
        <v>0</v>
      </c>
      <c r="T29" s="2155">
        <f t="shared" si="4"/>
        <v>0</v>
      </c>
      <c r="U29" s="2062"/>
      <c r="V29" s="2067"/>
      <c r="W29" s="2059"/>
      <c r="X29" s="2061">
        <f t="shared" si="12"/>
        <v>0</v>
      </c>
      <c r="Y29" s="2155" t="e">
        <f t="shared" si="5"/>
        <v>#DIV/0!</v>
      </c>
      <c r="Z29" s="2062"/>
      <c r="AA29" s="2067"/>
      <c r="AB29" s="2059"/>
      <c r="AC29" s="2061">
        <f t="shared" si="13"/>
        <v>0</v>
      </c>
      <c r="AD29" s="2155" t="e">
        <f t="shared" si="6"/>
        <v>#DIV/0!</v>
      </c>
      <c r="AE29" s="2062"/>
      <c r="AF29" s="2067"/>
      <c r="AG29" s="2059"/>
      <c r="AH29" s="2061">
        <f t="shared" si="14"/>
        <v>0</v>
      </c>
      <c r="AI29" s="2155" t="e">
        <f t="shared" si="7"/>
        <v>#DIV/0!</v>
      </c>
      <c r="AJ29" s="2062"/>
      <c r="AK29" s="2059">
        <f t="shared" si="8"/>
        <v>0</v>
      </c>
      <c r="AL29" s="2059">
        <f t="shared" si="8"/>
        <v>0</v>
      </c>
      <c r="AM29" s="2061">
        <f t="shared" si="15"/>
        <v>0</v>
      </c>
      <c r="AN29" s="2155">
        <f t="shared" si="0"/>
        <v>0</v>
      </c>
      <c r="AO29" s="2157"/>
    </row>
    <row r="30" spans="1:41" s="1411" customFormat="1" ht="13.8" x14ac:dyDescent="0.25">
      <c r="A30" s="1587"/>
      <c r="B30" s="2577" t="s">
        <v>62</v>
      </c>
      <c r="C30" s="2156"/>
      <c r="D30" s="2578"/>
      <c r="E30" s="2028">
        <f t="shared" si="1"/>
        <v>0</v>
      </c>
      <c r="F30" s="2155" t="e">
        <f t="shared" si="17"/>
        <v>#DIV/0!</v>
      </c>
      <c r="G30" s="2059"/>
      <c r="H30" s="2059"/>
      <c r="I30" s="2061">
        <f t="shared" si="9"/>
        <v>0</v>
      </c>
      <c r="J30" s="2155">
        <f t="shared" si="16"/>
        <v>0</v>
      </c>
      <c r="K30" s="2062"/>
      <c r="L30" s="2059"/>
      <c r="M30" s="2059"/>
      <c r="N30" s="2061">
        <f t="shared" si="10"/>
        <v>0</v>
      </c>
      <c r="O30" s="2155" t="e">
        <f t="shared" si="3"/>
        <v>#DIV/0!</v>
      </c>
      <c r="P30" s="2062"/>
      <c r="Q30" s="2067"/>
      <c r="R30" s="2059"/>
      <c r="S30" s="2061">
        <f t="shared" si="11"/>
        <v>0</v>
      </c>
      <c r="T30" s="2155">
        <f t="shared" si="4"/>
        <v>0</v>
      </c>
      <c r="U30" s="2062"/>
      <c r="V30" s="2067"/>
      <c r="W30" s="2059"/>
      <c r="X30" s="2061">
        <f t="shared" si="12"/>
        <v>0</v>
      </c>
      <c r="Y30" s="2155" t="e">
        <f t="shared" si="5"/>
        <v>#DIV/0!</v>
      </c>
      <c r="Z30" s="2062"/>
      <c r="AA30" s="2067"/>
      <c r="AB30" s="2059"/>
      <c r="AC30" s="2061">
        <f t="shared" si="13"/>
        <v>0</v>
      </c>
      <c r="AD30" s="2155" t="e">
        <f t="shared" si="6"/>
        <v>#DIV/0!</v>
      </c>
      <c r="AE30" s="2062"/>
      <c r="AF30" s="2067"/>
      <c r="AG30" s="2059"/>
      <c r="AH30" s="2061">
        <f t="shared" si="14"/>
        <v>0</v>
      </c>
      <c r="AI30" s="2155" t="e">
        <f t="shared" si="7"/>
        <v>#DIV/0!</v>
      </c>
      <c r="AJ30" s="2062"/>
      <c r="AK30" s="2059">
        <f t="shared" si="8"/>
        <v>0</v>
      </c>
      <c r="AL30" s="2059">
        <f t="shared" si="8"/>
        <v>0</v>
      </c>
      <c r="AM30" s="2061">
        <f t="shared" si="15"/>
        <v>0</v>
      </c>
      <c r="AN30" s="2155">
        <f t="shared" si="0"/>
        <v>0</v>
      </c>
      <c r="AO30" s="2157"/>
    </row>
    <row r="31" spans="1:41" s="1411" customFormat="1" ht="13.8" x14ac:dyDescent="0.25">
      <c r="A31" s="1587"/>
      <c r="B31" s="2577" t="s">
        <v>34</v>
      </c>
      <c r="C31" s="2156"/>
      <c r="D31" s="2580"/>
      <c r="E31" s="2028">
        <f t="shared" si="1"/>
        <v>0</v>
      </c>
      <c r="F31" s="2155" t="e">
        <f t="shared" si="17"/>
        <v>#DIV/0!</v>
      </c>
      <c r="G31" s="2059"/>
      <c r="H31" s="2059"/>
      <c r="I31" s="2061">
        <f t="shared" si="9"/>
        <v>0</v>
      </c>
      <c r="J31" s="2155">
        <f t="shared" si="16"/>
        <v>0</v>
      </c>
      <c r="K31" s="2062"/>
      <c r="L31" s="2059"/>
      <c r="M31" s="2059"/>
      <c r="N31" s="2061">
        <f t="shared" si="10"/>
        <v>0</v>
      </c>
      <c r="O31" s="2155" t="e">
        <f t="shared" si="3"/>
        <v>#DIV/0!</v>
      </c>
      <c r="P31" s="2062"/>
      <c r="Q31" s="2067"/>
      <c r="R31" s="2059"/>
      <c r="S31" s="2061">
        <f t="shared" si="11"/>
        <v>0</v>
      </c>
      <c r="T31" s="2155">
        <f t="shared" si="4"/>
        <v>0</v>
      </c>
      <c r="U31" s="2062"/>
      <c r="V31" s="2067"/>
      <c r="W31" s="2059"/>
      <c r="X31" s="2061">
        <f t="shared" si="12"/>
        <v>0</v>
      </c>
      <c r="Y31" s="2155" t="e">
        <f t="shared" si="5"/>
        <v>#DIV/0!</v>
      </c>
      <c r="Z31" s="2062"/>
      <c r="AA31" s="2067"/>
      <c r="AB31" s="2059"/>
      <c r="AC31" s="2061">
        <f t="shared" si="13"/>
        <v>0</v>
      </c>
      <c r="AD31" s="2155" t="e">
        <f t="shared" si="6"/>
        <v>#DIV/0!</v>
      </c>
      <c r="AE31" s="2062"/>
      <c r="AF31" s="2067"/>
      <c r="AG31" s="2059"/>
      <c r="AH31" s="2061">
        <f t="shared" si="14"/>
        <v>0</v>
      </c>
      <c r="AI31" s="2155" t="e">
        <f t="shared" si="7"/>
        <v>#DIV/0!</v>
      </c>
      <c r="AJ31" s="2062"/>
      <c r="AK31" s="2059">
        <f t="shared" si="8"/>
        <v>0</v>
      </c>
      <c r="AL31" s="2059">
        <f t="shared" si="8"/>
        <v>0</v>
      </c>
      <c r="AM31" s="2061">
        <f t="shared" si="15"/>
        <v>0</v>
      </c>
      <c r="AN31" s="2155">
        <f t="shared" si="0"/>
        <v>0</v>
      </c>
      <c r="AO31" s="2157"/>
    </row>
    <row r="32" spans="1:41" s="1411" customFormat="1" ht="13.8" x14ac:dyDescent="0.25">
      <c r="A32" s="1587"/>
      <c r="B32" s="2581" t="s">
        <v>2</v>
      </c>
      <c r="C32" s="2158"/>
      <c r="D32" s="2499"/>
      <c r="E32" s="2028">
        <f t="shared" si="1"/>
        <v>0</v>
      </c>
      <c r="F32" s="2155" t="e">
        <f t="shared" si="17"/>
        <v>#DIV/0!</v>
      </c>
      <c r="G32" s="2059"/>
      <c r="H32" s="2059"/>
      <c r="I32" s="2061">
        <f t="shared" si="9"/>
        <v>0</v>
      </c>
      <c r="J32" s="2155">
        <f t="shared" si="16"/>
        <v>0</v>
      </c>
      <c r="K32" s="2159"/>
      <c r="L32" s="2059"/>
      <c r="M32" s="2059"/>
      <c r="N32" s="2061">
        <f t="shared" si="10"/>
        <v>0</v>
      </c>
      <c r="O32" s="2155" t="e">
        <f t="shared" si="3"/>
        <v>#DIV/0!</v>
      </c>
      <c r="P32" s="2159"/>
      <c r="Q32" s="2067"/>
      <c r="R32" s="2059"/>
      <c r="S32" s="2061">
        <f t="shared" si="11"/>
        <v>0</v>
      </c>
      <c r="T32" s="2155">
        <f t="shared" si="4"/>
        <v>0</v>
      </c>
      <c r="U32" s="2062"/>
      <c r="V32" s="2067"/>
      <c r="W32" s="2059"/>
      <c r="X32" s="2061">
        <f t="shared" si="12"/>
        <v>0</v>
      </c>
      <c r="Y32" s="2155" t="e">
        <f t="shared" si="5"/>
        <v>#DIV/0!</v>
      </c>
      <c r="Z32" s="2159"/>
      <c r="AA32" s="2067"/>
      <c r="AB32" s="2059"/>
      <c r="AC32" s="2061">
        <f t="shared" si="13"/>
        <v>0</v>
      </c>
      <c r="AD32" s="2155" t="e">
        <f t="shared" si="6"/>
        <v>#DIV/0!</v>
      </c>
      <c r="AE32" s="2159"/>
      <c r="AF32" s="2067"/>
      <c r="AG32" s="2059"/>
      <c r="AH32" s="2061">
        <f t="shared" si="14"/>
        <v>0</v>
      </c>
      <c r="AI32" s="2155" t="e">
        <f t="shared" si="7"/>
        <v>#DIV/0!</v>
      </c>
      <c r="AJ32" s="2159"/>
      <c r="AK32" s="2059">
        <f t="shared" si="8"/>
        <v>0</v>
      </c>
      <c r="AL32" s="2059">
        <f t="shared" si="8"/>
        <v>0</v>
      </c>
      <c r="AM32" s="2061">
        <f t="shared" si="15"/>
        <v>0</v>
      </c>
      <c r="AN32" s="2155">
        <f t="shared" si="0"/>
        <v>0</v>
      </c>
      <c r="AO32" s="2157"/>
    </row>
    <row r="33" spans="1:41" s="1411" customFormat="1" ht="14.4" thickBot="1" x14ac:dyDescent="0.3">
      <c r="A33" s="1587"/>
      <c r="B33" s="2582" t="s">
        <v>75</v>
      </c>
      <c r="C33" s="2161"/>
      <c r="D33" s="2583"/>
      <c r="E33" s="1643">
        <f t="shared" si="1"/>
        <v>0</v>
      </c>
      <c r="F33" s="2524" t="e">
        <f t="shared" si="17"/>
        <v>#DIV/0!</v>
      </c>
      <c r="G33" s="2041"/>
      <c r="H33" s="2041"/>
      <c r="I33" s="2042">
        <f t="shared" si="9"/>
        <v>0</v>
      </c>
      <c r="J33" s="2524">
        <f t="shared" si="16"/>
        <v>0</v>
      </c>
      <c r="K33" s="2557"/>
      <c r="L33" s="2041"/>
      <c r="M33" s="2041"/>
      <c r="N33" s="2042">
        <f t="shared" si="10"/>
        <v>0</v>
      </c>
      <c r="O33" s="2524" t="e">
        <f t="shared" si="3"/>
        <v>#DIV/0!</v>
      </c>
      <c r="P33" s="2557"/>
      <c r="Q33" s="2044"/>
      <c r="R33" s="2041"/>
      <c r="S33" s="2042">
        <f t="shared" si="11"/>
        <v>0</v>
      </c>
      <c r="T33" s="2524">
        <f t="shared" si="4"/>
        <v>0</v>
      </c>
      <c r="U33" s="1690"/>
      <c r="V33" s="2044"/>
      <c r="W33" s="2041"/>
      <c r="X33" s="2042">
        <f t="shared" si="12"/>
        <v>0</v>
      </c>
      <c r="Y33" s="2524" t="e">
        <f t="shared" si="5"/>
        <v>#DIV/0!</v>
      </c>
      <c r="Z33" s="2557"/>
      <c r="AA33" s="2044"/>
      <c r="AB33" s="2041"/>
      <c r="AC33" s="2042">
        <f t="shared" si="13"/>
        <v>0</v>
      </c>
      <c r="AD33" s="2524" t="e">
        <f t="shared" si="6"/>
        <v>#DIV/0!</v>
      </c>
      <c r="AE33" s="2557"/>
      <c r="AF33" s="2044"/>
      <c r="AG33" s="2041"/>
      <c r="AH33" s="2042">
        <f t="shared" si="14"/>
        <v>0</v>
      </c>
      <c r="AI33" s="2524" t="e">
        <f t="shared" si="7"/>
        <v>#DIV/0!</v>
      </c>
      <c r="AJ33" s="2557"/>
      <c r="AK33" s="2041">
        <f t="shared" si="8"/>
        <v>0</v>
      </c>
      <c r="AL33" s="2041">
        <f t="shared" si="8"/>
        <v>0</v>
      </c>
      <c r="AM33" s="2042">
        <f t="shared" si="15"/>
        <v>0</v>
      </c>
      <c r="AN33" s="2524">
        <f t="shared" si="0"/>
        <v>0</v>
      </c>
      <c r="AO33" s="2525"/>
    </row>
    <row r="34" spans="1:41" s="1411" customFormat="1" ht="13.8" x14ac:dyDescent="0.25">
      <c r="A34" s="1587"/>
      <c r="B34" s="1631"/>
      <c r="C34" s="1632"/>
      <c r="D34" s="1633"/>
      <c r="E34" s="2040"/>
      <c r="F34" s="1635"/>
      <c r="G34" s="2059"/>
      <c r="H34" s="2059"/>
      <c r="I34" s="2040"/>
      <c r="J34" s="2040"/>
      <c r="K34" s="2040"/>
      <c r="L34" s="2059"/>
      <c r="M34" s="2059"/>
      <c r="N34" s="2040"/>
      <c r="O34" s="2040"/>
      <c r="P34" s="2040"/>
      <c r="Q34" s="2067"/>
      <c r="R34" s="2059"/>
      <c r="S34" s="2040"/>
      <c r="T34" s="1992"/>
      <c r="U34" s="2040"/>
      <c r="V34" s="2067"/>
      <c r="W34" s="2059"/>
      <c r="X34" s="2040"/>
      <c r="Y34" s="2040"/>
      <c r="Z34" s="2040"/>
      <c r="AA34" s="2067"/>
      <c r="AB34" s="2059"/>
      <c r="AC34" s="2040"/>
      <c r="AD34" s="2040"/>
      <c r="AE34" s="2040"/>
      <c r="AF34" s="2067"/>
      <c r="AG34" s="2059"/>
      <c r="AH34" s="2040"/>
      <c r="AI34" s="2040"/>
      <c r="AJ34" s="2040"/>
      <c r="AK34" s="2059"/>
      <c r="AL34" s="2059"/>
      <c r="AM34" s="2040"/>
      <c r="AN34" s="2040"/>
      <c r="AO34" s="2040"/>
    </row>
    <row r="35" spans="1:41" s="2483" customFormat="1" ht="13.8" x14ac:dyDescent="0.25">
      <c r="A35" s="1587"/>
      <c r="B35" s="2162" t="s">
        <v>80</v>
      </c>
      <c r="C35" s="2515">
        <f>C36</f>
        <v>0</v>
      </c>
      <c r="D35" s="2515">
        <f>D36</f>
        <v>0</v>
      </c>
      <c r="E35" s="2526">
        <f>E36</f>
        <v>0</v>
      </c>
      <c r="F35" s="2564" t="e">
        <f>E35/$E$89</f>
        <v>#DIV/0!</v>
      </c>
      <c r="G35" s="2515">
        <f>G36</f>
        <v>0</v>
      </c>
      <c r="H35" s="2515">
        <f>H36</f>
        <v>0</v>
      </c>
      <c r="I35" s="2526">
        <f>I36</f>
        <v>0</v>
      </c>
      <c r="J35" s="2526"/>
      <c r="K35" s="2527"/>
      <c r="L35" s="2515">
        <f>L36</f>
        <v>0</v>
      </c>
      <c r="M35" s="2515">
        <f>M36</f>
        <v>0</v>
      </c>
      <c r="N35" s="2526">
        <f>N36</f>
        <v>0</v>
      </c>
      <c r="O35" s="2526" t="e">
        <f t="shared" ref="O35:O36" si="18">N35/N$89</f>
        <v>#DIV/0!</v>
      </c>
      <c r="P35" s="2527"/>
      <c r="Q35" s="2515"/>
      <c r="R35" s="2515"/>
      <c r="S35" s="2526">
        <f>S36</f>
        <v>0</v>
      </c>
      <c r="T35" s="2526">
        <f t="shared" ref="T35:T36" si="19">S35/S$89</f>
        <v>0</v>
      </c>
      <c r="U35" s="2527"/>
      <c r="V35" s="2515">
        <f>V36</f>
        <v>0</v>
      </c>
      <c r="W35" s="2515">
        <f>W36</f>
        <v>0</v>
      </c>
      <c r="X35" s="2526">
        <f>X36</f>
        <v>0</v>
      </c>
      <c r="Y35" s="2526" t="e">
        <f t="shared" ref="Y35:Y36" si="20">X35/X$89</f>
        <v>#DIV/0!</v>
      </c>
      <c r="Z35" s="2527"/>
      <c r="AA35" s="2515">
        <f>AA36</f>
        <v>0</v>
      </c>
      <c r="AB35" s="2515">
        <f>AB36</f>
        <v>0</v>
      </c>
      <c r="AC35" s="2526">
        <f>AC36</f>
        <v>0</v>
      </c>
      <c r="AD35" s="2526" t="e">
        <f t="shared" ref="AD35:AD36" si="21">AC35/AC$89</f>
        <v>#DIV/0!</v>
      </c>
      <c r="AE35" s="2527"/>
      <c r="AF35" s="2515">
        <f>AF36</f>
        <v>0</v>
      </c>
      <c r="AG35" s="2515">
        <f>AG36</f>
        <v>0</v>
      </c>
      <c r="AH35" s="2526">
        <f>AH36</f>
        <v>0</v>
      </c>
      <c r="AI35" s="2526" t="e">
        <f t="shared" ref="AI35:AI36" si="22">AH35/AH$89</f>
        <v>#DIV/0!</v>
      </c>
      <c r="AJ35" s="2527"/>
      <c r="AK35" s="2515">
        <f>AK36</f>
        <v>0</v>
      </c>
      <c r="AL35" s="2515">
        <f>AL36</f>
        <v>0</v>
      </c>
      <c r="AM35" s="2526">
        <f>AM36</f>
        <v>0</v>
      </c>
      <c r="AN35" s="2526"/>
      <c r="AO35" s="2526"/>
    </row>
    <row r="36" spans="1:41" s="1579" customFormat="1" ht="13.8" x14ac:dyDescent="0.25">
      <c r="A36" s="1587"/>
      <c r="B36" s="2163" t="s">
        <v>81</v>
      </c>
      <c r="C36" s="2584"/>
      <c r="D36" s="2585"/>
      <c r="E36" s="2028">
        <f>C36+D36</f>
        <v>0</v>
      </c>
      <c r="F36" s="2155" t="e">
        <f>E36/$E$89</f>
        <v>#DIV/0!</v>
      </c>
      <c r="G36" s="2059"/>
      <c r="H36" s="2059"/>
      <c r="I36" s="2028">
        <f>G36+H36*1</f>
        <v>0</v>
      </c>
      <c r="J36" s="2155">
        <f>I36/$I$89</f>
        <v>0</v>
      </c>
      <c r="K36" s="2165"/>
      <c r="L36" s="2059"/>
      <c r="M36" s="2059"/>
      <c r="N36" s="2028">
        <f>L36+M36*1</f>
        <v>0</v>
      </c>
      <c r="O36" s="2155" t="e">
        <f t="shared" si="18"/>
        <v>#DIV/0!</v>
      </c>
      <c r="P36" s="2165"/>
      <c r="Q36" s="2067"/>
      <c r="R36" s="2059"/>
      <c r="S36" s="2028">
        <f>Q36+R36*1</f>
        <v>0</v>
      </c>
      <c r="T36" s="2155">
        <f t="shared" si="19"/>
        <v>0</v>
      </c>
      <c r="U36" s="2062"/>
      <c r="V36" s="2067"/>
      <c r="W36" s="2059"/>
      <c r="X36" s="2028">
        <f>V36+W36*1</f>
        <v>0</v>
      </c>
      <c r="Y36" s="2155" t="e">
        <f t="shared" si="20"/>
        <v>#DIV/0!</v>
      </c>
      <c r="Z36" s="2165"/>
      <c r="AA36" s="2067"/>
      <c r="AB36" s="2059"/>
      <c r="AC36" s="2028">
        <f>AA36+AB36*1</f>
        <v>0</v>
      </c>
      <c r="AD36" s="2155" t="e">
        <f t="shared" si="21"/>
        <v>#DIV/0!</v>
      </c>
      <c r="AE36" s="2165"/>
      <c r="AF36" s="2067"/>
      <c r="AG36" s="2059"/>
      <c r="AH36" s="2028">
        <f>AF36+AG36*1</f>
        <v>0</v>
      </c>
      <c r="AI36" s="2155" t="e">
        <f t="shared" si="22"/>
        <v>#DIV/0!</v>
      </c>
      <c r="AJ36" s="2165"/>
      <c r="AK36" s="2059">
        <f>G36+L36+Q36+V36+AA36+AF36</f>
        <v>0</v>
      </c>
      <c r="AL36" s="2059">
        <f>H36+M36+R36+W36+AB36+AG36</f>
        <v>0</v>
      </c>
      <c r="AM36" s="2028">
        <f>AK36+AL36*1</f>
        <v>0</v>
      </c>
      <c r="AN36" s="2155">
        <f>AM36/$AM$89</f>
        <v>0</v>
      </c>
      <c r="AO36" s="2164"/>
    </row>
    <row r="37" spans="1:41" s="1411" customFormat="1" ht="14.4" thickBot="1" x14ac:dyDescent="0.3">
      <c r="A37" s="1413"/>
      <c r="B37" s="2166"/>
      <c r="C37" s="2586"/>
      <c r="D37" s="2587"/>
      <c r="E37" s="2528"/>
      <c r="F37" s="2588"/>
      <c r="G37" s="2059"/>
      <c r="H37" s="2059"/>
      <c r="I37" s="2528"/>
      <c r="J37" s="2528"/>
      <c r="K37" s="2529"/>
      <c r="L37" s="2059"/>
      <c r="M37" s="2059"/>
      <c r="N37" s="2528"/>
      <c r="O37" s="2528"/>
      <c r="P37" s="2529"/>
      <c r="Q37" s="2044"/>
      <c r="R37" s="2041"/>
      <c r="S37" s="2528"/>
      <c r="T37" s="2524"/>
      <c r="U37" s="2529"/>
      <c r="V37" s="2067"/>
      <c r="W37" s="2059"/>
      <c r="X37" s="2528"/>
      <c r="Y37" s="2528"/>
      <c r="Z37" s="2529"/>
      <c r="AA37" s="2067"/>
      <c r="AB37" s="2059"/>
      <c r="AC37" s="2528"/>
      <c r="AD37" s="2528"/>
      <c r="AE37" s="2529"/>
      <c r="AF37" s="2067"/>
      <c r="AG37" s="2059"/>
      <c r="AH37" s="2528"/>
      <c r="AI37" s="2528"/>
      <c r="AJ37" s="2529"/>
      <c r="AK37" s="2059"/>
      <c r="AL37" s="2059"/>
      <c r="AM37" s="2528"/>
      <c r="AN37" s="2528"/>
      <c r="AO37" s="2528"/>
    </row>
    <row r="38" spans="1:41" ht="14.4" thickBot="1" x14ac:dyDescent="0.3">
      <c r="A38" s="1441"/>
      <c r="B38" s="1442" t="s">
        <v>46</v>
      </c>
      <c r="C38" s="2018">
        <f>(C5)-(C8)</f>
        <v>0</v>
      </c>
      <c r="D38" s="2018">
        <f>(D5)-(D8)</f>
        <v>0</v>
      </c>
      <c r="E38" s="2018">
        <f>(E5)-(E8)</f>
        <v>0</v>
      </c>
      <c r="F38" s="1545"/>
      <c r="G38" s="2018">
        <f>(G5)-(G8)</f>
        <v>0</v>
      </c>
      <c r="H38" s="2018">
        <f>(H5)-(H8)</f>
        <v>0</v>
      </c>
      <c r="I38" s="2018">
        <f>(I5)-(I8)</f>
        <v>0</v>
      </c>
      <c r="J38" s="2018"/>
      <c r="K38" s="2037"/>
      <c r="L38" s="2018">
        <f>(L5)-(L8)</f>
        <v>0</v>
      </c>
      <c r="M38" s="2018">
        <f>(M5)-(M8)</f>
        <v>0</v>
      </c>
      <c r="N38" s="2018">
        <f>(N5)-(N8)</f>
        <v>0</v>
      </c>
      <c r="O38" s="2018"/>
      <c r="P38" s="2037"/>
      <c r="Q38" s="2018">
        <f>(Q5)-(Q8)</f>
        <v>-17250</v>
      </c>
      <c r="R38" s="2018">
        <f>(R5)-(R8)</f>
        <v>0</v>
      </c>
      <c r="S38" s="2018">
        <f>(S5)-(S8)</f>
        <v>-17250</v>
      </c>
      <c r="T38" s="2018"/>
      <c r="U38" s="2037"/>
      <c r="V38" s="2018">
        <f>(V5)-(V8)</f>
        <v>0</v>
      </c>
      <c r="W38" s="2018">
        <f>(W5)-(W8)</f>
        <v>0</v>
      </c>
      <c r="X38" s="2018">
        <f>(X5)-(X8)</f>
        <v>0</v>
      </c>
      <c r="Y38" s="2018"/>
      <c r="Z38" s="2037"/>
      <c r="AA38" s="2018">
        <f>(AA5)-(AA8)</f>
        <v>0</v>
      </c>
      <c r="AB38" s="2018">
        <f>(AB5)-(AB8)</f>
        <v>0</v>
      </c>
      <c r="AC38" s="2018">
        <f>(AC5)-(AC8)</f>
        <v>0</v>
      </c>
      <c r="AD38" s="2018"/>
      <c r="AE38" s="2037"/>
      <c r="AF38" s="2018">
        <f>(AF5)-(AF8)</f>
        <v>0</v>
      </c>
      <c r="AG38" s="2018">
        <f>(AG5)-(AG8)</f>
        <v>0</v>
      </c>
      <c r="AH38" s="2018">
        <f>(AH5)-(AH8)</f>
        <v>0</v>
      </c>
      <c r="AI38" s="2018"/>
      <c r="AJ38" s="2037"/>
      <c r="AK38" s="2018">
        <f>(AK5)-(AK8)</f>
        <v>-17250</v>
      </c>
      <c r="AL38" s="2018">
        <f>(AL5)-(AL8)</f>
        <v>0</v>
      </c>
      <c r="AM38" s="2018">
        <f>(AM5)-(AM8)</f>
        <v>-17250</v>
      </c>
      <c r="AN38" s="2018"/>
      <c r="AO38" s="2018"/>
    </row>
    <row r="39" spans="1:41" ht="13.8" x14ac:dyDescent="0.25">
      <c r="A39" s="1580"/>
      <c r="B39" s="1423" t="s">
        <v>47</v>
      </c>
      <c r="C39" s="1540" t="e">
        <f>C38/(C5)</f>
        <v>#DIV/0!</v>
      </c>
      <c r="D39" s="1540" t="e">
        <f>D38/(D5)</f>
        <v>#DIV/0!</v>
      </c>
      <c r="E39" s="1541" t="e">
        <f>E38/(E5)</f>
        <v>#DIV/0!</v>
      </c>
      <c r="F39" s="1546"/>
      <c r="G39" s="2019" t="e">
        <f>G38/(G5)</f>
        <v>#DIV/0!</v>
      </c>
      <c r="H39" s="2019" t="e">
        <f>H38/(H5)</f>
        <v>#DIV/0!</v>
      </c>
      <c r="I39" s="2020" t="e">
        <f>I38/(I5)</f>
        <v>#DIV/0!</v>
      </c>
      <c r="J39" s="2020"/>
      <c r="K39" s="2038"/>
      <c r="L39" s="2019" t="e">
        <f>L38/(L5)</f>
        <v>#DIV/0!</v>
      </c>
      <c r="M39" s="2019" t="e">
        <f>M38/(M5)</f>
        <v>#DIV/0!</v>
      </c>
      <c r="N39" s="2020" t="e">
        <f>N38/(N5)</f>
        <v>#DIV/0!</v>
      </c>
      <c r="O39" s="2020"/>
      <c r="P39" s="2038"/>
      <c r="Q39" s="2019" t="e">
        <f>Q38/(Q5)</f>
        <v>#DIV/0!</v>
      </c>
      <c r="R39" s="2019" t="e">
        <f>R38/(R5)</f>
        <v>#DIV/0!</v>
      </c>
      <c r="S39" s="2020" t="e">
        <f>S38/(S5)</f>
        <v>#DIV/0!</v>
      </c>
      <c r="T39" s="2020"/>
      <c r="U39" s="2038"/>
      <c r="V39" s="2019" t="e">
        <f>V38/(V5)</f>
        <v>#DIV/0!</v>
      </c>
      <c r="W39" s="2019" t="e">
        <f>W38/(W5)</f>
        <v>#DIV/0!</v>
      </c>
      <c r="X39" s="2020" t="e">
        <f>X38/(X5)</f>
        <v>#DIV/0!</v>
      </c>
      <c r="Y39" s="2020"/>
      <c r="Z39" s="2038"/>
      <c r="AA39" s="2019" t="e">
        <f>AA38/(AA5)</f>
        <v>#DIV/0!</v>
      </c>
      <c r="AB39" s="2019" t="e">
        <f>AB38/(AB5)</f>
        <v>#DIV/0!</v>
      </c>
      <c r="AC39" s="2020" t="e">
        <f>AC38/(AC5)</f>
        <v>#DIV/0!</v>
      </c>
      <c r="AD39" s="2020"/>
      <c r="AE39" s="2038"/>
      <c r="AF39" s="2019" t="e">
        <f>AF38/(AF5)</f>
        <v>#DIV/0!</v>
      </c>
      <c r="AG39" s="2019" t="e">
        <f>AG38/(AG5)</f>
        <v>#DIV/0!</v>
      </c>
      <c r="AH39" s="2020" t="e">
        <f>AH38/(AH5)</f>
        <v>#DIV/0!</v>
      </c>
      <c r="AI39" s="2020"/>
      <c r="AJ39" s="2038"/>
      <c r="AK39" s="2019" t="e">
        <f>AK38/(AK5)</f>
        <v>#DIV/0!</v>
      </c>
      <c r="AL39" s="2019" t="e">
        <f>AL38/(AL5)</f>
        <v>#DIV/0!</v>
      </c>
      <c r="AM39" s="2020" t="e">
        <f>AM38/(AM5)</f>
        <v>#DIV/0!</v>
      </c>
      <c r="AN39" s="2020"/>
      <c r="AO39" s="2020"/>
    </row>
    <row r="40" spans="1:41" ht="14.4" thickBot="1" x14ac:dyDescent="0.3">
      <c r="A40" s="1582"/>
      <c r="B40" s="2500"/>
      <c r="C40" s="2589"/>
      <c r="D40" s="2530"/>
      <c r="E40" s="2516"/>
      <c r="F40" s="2590"/>
      <c r="G40" s="2516"/>
      <c r="H40" s="2516"/>
      <c r="I40" s="2516"/>
      <c r="J40" s="2516"/>
      <c r="K40" s="2531"/>
      <c r="L40" s="2516"/>
      <c r="M40" s="2516"/>
      <c r="N40" s="2516"/>
      <c r="O40" s="2516"/>
      <c r="P40" s="2531"/>
      <c r="Q40" s="2530"/>
      <c r="R40" s="2516"/>
      <c r="S40" s="2516"/>
      <c r="T40" s="2516"/>
      <c r="U40" s="2531"/>
      <c r="V40" s="2530"/>
      <c r="W40" s="2516"/>
      <c r="X40" s="2516"/>
      <c r="Y40" s="2516"/>
      <c r="Z40" s="2531"/>
      <c r="AA40" s="2530"/>
      <c r="AB40" s="2516"/>
      <c r="AC40" s="2516"/>
      <c r="AD40" s="2516"/>
      <c r="AE40" s="2531"/>
      <c r="AF40" s="2530"/>
      <c r="AG40" s="2516"/>
      <c r="AH40" s="2516"/>
      <c r="AI40" s="2516"/>
      <c r="AJ40" s="2531"/>
      <c r="AK40" s="2516"/>
      <c r="AL40" s="2516"/>
      <c r="AM40" s="2516"/>
      <c r="AN40" s="2516"/>
      <c r="AO40" s="2516"/>
    </row>
    <row r="41" spans="1:41" ht="13.8" x14ac:dyDescent="0.25">
      <c r="A41" s="1420"/>
      <c r="B41" s="1430" t="s">
        <v>26</v>
      </c>
      <c r="C41" s="2029">
        <f>SUM(C42:C48)</f>
        <v>0</v>
      </c>
      <c r="D41" s="2029">
        <f>SUM(D42:D48)</f>
        <v>0</v>
      </c>
      <c r="E41" s="2030">
        <f>SUM(E42:E48)</f>
        <v>0</v>
      </c>
      <c r="F41" s="2481" t="e">
        <f t="shared" ref="F41:F48" si="23">E41/$E$89</f>
        <v>#DIV/0!</v>
      </c>
      <c r="G41" s="2029">
        <f>SUM(G42:G48)</f>
        <v>0</v>
      </c>
      <c r="H41" s="2029">
        <f>SUM(H42:H48)</f>
        <v>0</v>
      </c>
      <c r="I41" s="2030">
        <f>SUM(I42:I48)</f>
        <v>0</v>
      </c>
      <c r="J41" s="2481">
        <f>I41/$I$89</f>
        <v>0</v>
      </c>
      <c r="K41" s="2039"/>
      <c r="L41" s="2029">
        <f>SUM(L42:L48)</f>
        <v>0</v>
      </c>
      <c r="M41" s="2029">
        <f>SUM(M42:M48)</f>
        <v>0</v>
      </c>
      <c r="N41" s="2030">
        <f>SUM(N42:N48)</f>
        <v>0</v>
      </c>
      <c r="O41" s="2481" t="e">
        <f t="shared" ref="O41:O48" si="24">N41/N$89</f>
        <v>#DIV/0!</v>
      </c>
      <c r="P41" s="2039"/>
      <c r="Q41" s="2029">
        <f>SUM(Q42:Q48)</f>
        <v>0</v>
      </c>
      <c r="R41" s="2029">
        <f>SUM(R42:R48)</f>
        <v>0</v>
      </c>
      <c r="S41" s="2030">
        <f>SUM(S42:S48)</f>
        <v>0</v>
      </c>
      <c r="T41" s="2481">
        <f t="shared" ref="T41:T48" si="25">S41/S$89</f>
        <v>0</v>
      </c>
      <c r="U41" s="2039"/>
      <c r="V41" s="2029">
        <f>SUM(V42:V48)</f>
        <v>0</v>
      </c>
      <c r="W41" s="2029">
        <f>SUM(W42:W48)</f>
        <v>0</v>
      </c>
      <c r="X41" s="2030">
        <f>SUM(X42:X48)</f>
        <v>0</v>
      </c>
      <c r="Y41" s="2481" t="e">
        <f t="shared" ref="Y41:Y48" si="26">X41/X$89</f>
        <v>#DIV/0!</v>
      </c>
      <c r="Z41" s="2039"/>
      <c r="AA41" s="2029">
        <f>SUM(AA42:AA48)</f>
        <v>0</v>
      </c>
      <c r="AB41" s="2029">
        <f>SUM(AB42:AB48)</f>
        <v>0</v>
      </c>
      <c r="AC41" s="2030">
        <f>SUM(AC42:AC48)</f>
        <v>0</v>
      </c>
      <c r="AD41" s="2481" t="e">
        <f t="shared" ref="AD41:AD48" si="27">AC41/AC$89</f>
        <v>#DIV/0!</v>
      </c>
      <c r="AE41" s="2039"/>
      <c r="AF41" s="2029">
        <f>SUM(AF42:AF48)</f>
        <v>0</v>
      </c>
      <c r="AG41" s="2029">
        <f>SUM(AG42:AG48)</f>
        <v>0</v>
      </c>
      <c r="AH41" s="2030">
        <f>SUM(AH42:AH48)</f>
        <v>0</v>
      </c>
      <c r="AI41" s="2481" t="e">
        <f t="shared" ref="AI41:AI48" si="28">AH41/AH$89</f>
        <v>#DIV/0!</v>
      </c>
      <c r="AJ41" s="2039"/>
      <c r="AK41" s="2029">
        <f>SUM(AK42:AK48)</f>
        <v>0</v>
      </c>
      <c r="AL41" s="2029">
        <f>SUM(AL42:AL48)</f>
        <v>0</v>
      </c>
      <c r="AM41" s="2030">
        <f>SUM(AM42:AM48)</f>
        <v>0</v>
      </c>
      <c r="AN41" s="2481">
        <f>AM41/$AM$89</f>
        <v>0</v>
      </c>
      <c r="AO41" s="2022"/>
    </row>
    <row r="42" spans="1:41" ht="13.8" x14ac:dyDescent="0.25">
      <c r="A42" s="4015"/>
      <c r="B42" s="2501" t="s">
        <v>7</v>
      </c>
      <c r="C42" s="2578"/>
      <c r="D42" s="2523"/>
      <c r="E42" s="2591">
        <f t="shared" ref="E42:E48" si="29">C42+D42</f>
        <v>0</v>
      </c>
      <c r="F42" s="2155" t="e">
        <f t="shared" si="23"/>
        <v>#DIV/0!</v>
      </c>
      <c r="G42" s="2059"/>
      <c r="H42" s="2059"/>
      <c r="I42" s="2028">
        <f t="shared" ref="I42:I48" si="30">G42+H42*1</f>
        <v>0</v>
      </c>
      <c r="J42" s="2155">
        <f t="shared" ref="J42:J52" si="31">I42/$I$89</f>
        <v>0</v>
      </c>
      <c r="K42" s="2159"/>
      <c r="L42" s="2059"/>
      <c r="M42" s="2059"/>
      <c r="N42" s="2028">
        <f t="shared" ref="N42:N48" si="32">L42+M42*1</f>
        <v>0</v>
      </c>
      <c r="O42" s="2155" t="e">
        <f t="shared" si="24"/>
        <v>#DIV/0!</v>
      </c>
      <c r="P42" s="2159"/>
      <c r="Q42" s="2067"/>
      <c r="R42" s="2059"/>
      <c r="S42" s="2028">
        <f t="shared" ref="S42:S48" si="33">Q42+R42*1</f>
        <v>0</v>
      </c>
      <c r="T42" s="2155">
        <f t="shared" si="25"/>
        <v>0</v>
      </c>
      <c r="U42" s="2062"/>
      <c r="V42" s="2067"/>
      <c r="W42" s="2059"/>
      <c r="X42" s="2028">
        <f t="shared" ref="X42:X48" si="34">V42+W42*1</f>
        <v>0</v>
      </c>
      <c r="Y42" s="2155" t="e">
        <f t="shared" si="26"/>
        <v>#DIV/0!</v>
      </c>
      <c r="Z42" s="2159"/>
      <c r="AA42" s="2067"/>
      <c r="AB42" s="2059"/>
      <c r="AC42" s="2028">
        <f t="shared" ref="AC42:AC48" si="35">AA42+AB42*1</f>
        <v>0</v>
      </c>
      <c r="AD42" s="2155" t="e">
        <f t="shared" si="27"/>
        <v>#DIV/0!</v>
      </c>
      <c r="AE42" s="2159"/>
      <c r="AF42" s="2067"/>
      <c r="AG42" s="2059"/>
      <c r="AH42" s="2028">
        <f t="shared" ref="AH42:AH48" si="36">AF42+AG42*1</f>
        <v>0</v>
      </c>
      <c r="AI42" s="2155" t="e">
        <f t="shared" si="28"/>
        <v>#DIV/0!</v>
      </c>
      <c r="AJ42" s="2159"/>
      <c r="AK42" s="2059">
        <f t="shared" ref="AK42:AL48" si="37">G42+L42+Q42+V42+AA42+AF42</f>
        <v>0</v>
      </c>
      <c r="AL42" s="2059">
        <f t="shared" si="37"/>
        <v>0</v>
      </c>
      <c r="AM42" s="2028">
        <f t="shared" ref="AM42:AM48" si="38">AK42+AL42*1</f>
        <v>0</v>
      </c>
      <c r="AN42" s="2155">
        <f t="shared" ref="AN42:AN72" si="39">AM42/$AM$89</f>
        <v>0</v>
      </c>
      <c r="AO42" s="2157"/>
    </row>
    <row r="43" spans="1:41" ht="13.8" x14ac:dyDescent="0.25">
      <c r="A43" s="4015"/>
      <c r="B43" s="2501" t="s">
        <v>27</v>
      </c>
      <c r="C43" s="2578"/>
      <c r="D43" s="2523"/>
      <c r="E43" s="2591">
        <f t="shared" si="29"/>
        <v>0</v>
      </c>
      <c r="F43" s="2155" t="e">
        <f t="shared" si="23"/>
        <v>#DIV/0!</v>
      </c>
      <c r="G43" s="2059"/>
      <c r="H43" s="2059"/>
      <c r="I43" s="2028">
        <f t="shared" si="30"/>
        <v>0</v>
      </c>
      <c r="J43" s="2155">
        <f t="shared" si="31"/>
        <v>0</v>
      </c>
      <c r="K43" s="2159"/>
      <c r="L43" s="2059"/>
      <c r="M43" s="2059"/>
      <c r="N43" s="2028">
        <f t="shared" si="32"/>
        <v>0</v>
      </c>
      <c r="O43" s="2155" t="e">
        <f t="shared" si="24"/>
        <v>#DIV/0!</v>
      </c>
      <c r="P43" s="2159"/>
      <c r="Q43" s="2067"/>
      <c r="R43" s="2059"/>
      <c r="S43" s="2028">
        <f t="shared" si="33"/>
        <v>0</v>
      </c>
      <c r="T43" s="2155">
        <f t="shared" si="25"/>
        <v>0</v>
      </c>
      <c r="U43" s="2062"/>
      <c r="V43" s="2067"/>
      <c r="W43" s="2059"/>
      <c r="X43" s="2028">
        <f t="shared" si="34"/>
        <v>0</v>
      </c>
      <c r="Y43" s="2155" t="e">
        <f t="shared" si="26"/>
        <v>#DIV/0!</v>
      </c>
      <c r="Z43" s="2159"/>
      <c r="AA43" s="2067"/>
      <c r="AB43" s="2059"/>
      <c r="AC43" s="2028">
        <f t="shared" si="35"/>
        <v>0</v>
      </c>
      <c r="AD43" s="2155" t="e">
        <f t="shared" si="27"/>
        <v>#DIV/0!</v>
      </c>
      <c r="AE43" s="2159"/>
      <c r="AF43" s="2067"/>
      <c r="AG43" s="2059"/>
      <c r="AH43" s="2028">
        <f t="shared" si="36"/>
        <v>0</v>
      </c>
      <c r="AI43" s="2155" t="e">
        <f t="shared" si="28"/>
        <v>#DIV/0!</v>
      </c>
      <c r="AJ43" s="2159"/>
      <c r="AK43" s="2059">
        <f t="shared" si="37"/>
        <v>0</v>
      </c>
      <c r="AL43" s="2059">
        <f t="shared" si="37"/>
        <v>0</v>
      </c>
      <c r="AM43" s="2028">
        <f t="shared" si="38"/>
        <v>0</v>
      </c>
      <c r="AN43" s="2155">
        <f t="shared" si="39"/>
        <v>0</v>
      </c>
      <c r="AO43" s="2157"/>
    </row>
    <row r="44" spans="1:41" ht="13.8" x14ac:dyDescent="0.25">
      <c r="A44" s="4015"/>
      <c r="B44" s="2163" t="s">
        <v>28</v>
      </c>
      <c r="C44" s="2578"/>
      <c r="D44" s="2523"/>
      <c r="E44" s="2591">
        <f t="shared" si="29"/>
        <v>0</v>
      </c>
      <c r="F44" s="2155" t="e">
        <f t="shared" si="23"/>
        <v>#DIV/0!</v>
      </c>
      <c r="G44" s="2059"/>
      <c r="H44" s="2059"/>
      <c r="I44" s="2028">
        <f t="shared" si="30"/>
        <v>0</v>
      </c>
      <c r="J44" s="2155">
        <f t="shared" si="31"/>
        <v>0</v>
      </c>
      <c r="K44" s="2159"/>
      <c r="L44" s="2059"/>
      <c r="M44" s="2059"/>
      <c r="N44" s="2028">
        <f t="shared" si="32"/>
        <v>0</v>
      </c>
      <c r="O44" s="2155" t="e">
        <f t="shared" si="24"/>
        <v>#DIV/0!</v>
      </c>
      <c r="P44" s="2159"/>
      <c r="Q44" s="2067"/>
      <c r="R44" s="2059"/>
      <c r="S44" s="2028">
        <f t="shared" si="33"/>
        <v>0</v>
      </c>
      <c r="T44" s="2155">
        <f t="shared" si="25"/>
        <v>0</v>
      </c>
      <c r="U44" s="2062"/>
      <c r="V44" s="2067"/>
      <c r="W44" s="2059"/>
      <c r="X44" s="2028">
        <f t="shared" si="34"/>
        <v>0</v>
      </c>
      <c r="Y44" s="2155" t="e">
        <f t="shared" si="26"/>
        <v>#DIV/0!</v>
      </c>
      <c r="Z44" s="2159"/>
      <c r="AA44" s="2067"/>
      <c r="AB44" s="2059"/>
      <c r="AC44" s="2028">
        <f t="shared" si="35"/>
        <v>0</v>
      </c>
      <c r="AD44" s="2155" t="e">
        <f t="shared" si="27"/>
        <v>#DIV/0!</v>
      </c>
      <c r="AE44" s="2159"/>
      <c r="AF44" s="2067"/>
      <c r="AG44" s="2059"/>
      <c r="AH44" s="2028">
        <f t="shared" si="36"/>
        <v>0</v>
      </c>
      <c r="AI44" s="2155" t="e">
        <f t="shared" si="28"/>
        <v>#DIV/0!</v>
      </c>
      <c r="AJ44" s="2159"/>
      <c r="AK44" s="2059">
        <f t="shared" si="37"/>
        <v>0</v>
      </c>
      <c r="AL44" s="2059">
        <f t="shared" si="37"/>
        <v>0</v>
      </c>
      <c r="AM44" s="2028">
        <f t="shared" si="38"/>
        <v>0</v>
      </c>
      <c r="AN44" s="2155">
        <f t="shared" si="39"/>
        <v>0</v>
      </c>
      <c r="AO44" s="2157"/>
    </row>
    <row r="45" spans="1:41" ht="13.8" x14ac:dyDescent="0.25">
      <c r="A45" s="4015"/>
      <c r="B45" s="2501" t="s">
        <v>8</v>
      </c>
      <c r="C45" s="2578"/>
      <c r="D45" s="2523"/>
      <c r="E45" s="2591">
        <f t="shared" si="29"/>
        <v>0</v>
      </c>
      <c r="F45" s="2155" t="e">
        <f t="shared" si="23"/>
        <v>#DIV/0!</v>
      </c>
      <c r="G45" s="2059"/>
      <c r="H45" s="2059"/>
      <c r="I45" s="2028">
        <f t="shared" si="30"/>
        <v>0</v>
      </c>
      <c r="J45" s="2155">
        <f t="shared" si="31"/>
        <v>0</v>
      </c>
      <c r="K45" s="2159"/>
      <c r="L45" s="2059"/>
      <c r="M45" s="2059"/>
      <c r="N45" s="2028">
        <f t="shared" si="32"/>
        <v>0</v>
      </c>
      <c r="O45" s="2155" t="e">
        <f t="shared" si="24"/>
        <v>#DIV/0!</v>
      </c>
      <c r="P45" s="2159"/>
      <c r="Q45" s="2067"/>
      <c r="R45" s="2059"/>
      <c r="S45" s="2028">
        <f t="shared" si="33"/>
        <v>0</v>
      </c>
      <c r="T45" s="2155">
        <f t="shared" si="25"/>
        <v>0</v>
      </c>
      <c r="U45" s="2062"/>
      <c r="V45" s="2067"/>
      <c r="W45" s="2059"/>
      <c r="X45" s="2028">
        <f t="shared" si="34"/>
        <v>0</v>
      </c>
      <c r="Y45" s="2155" t="e">
        <f t="shared" si="26"/>
        <v>#DIV/0!</v>
      </c>
      <c r="Z45" s="2159"/>
      <c r="AA45" s="2067"/>
      <c r="AB45" s="2059"/>
      <c r="AC45" s="2028">
        <f t="shared" si="35"/>
        <v>0</v>
      </c>
      <c r="AD45" s="2155" t="e">
        <f t="shared" si="27"/>
        <v>#DIV/0!</v>
      </c>
      <c r="AE45" s="2159"/>
      <c r="AF45" s="2067"/>
      <c r="AG45" s="2059"/>
      <c r="AH45" s="2028">
        <f t="shared" si="36"/>
        <v>0</v>
      </c>
      <c r="AI45" s="2155" t="e">
        <f t="shared" si="28"/>
        <v>#DIV/0!</v>
      </c>
      <c r="AJ45" s="2159"/>
      <c r="AK45" s="2059">
        <f t="shared" si="37"/>
        <v>0</v>
      </c>
      <c r="AL45" s="2059">
        <f t="shared" si="37"/>
        <v>0</v>
      </c>
      <c r="AM45" s="2028">
        <f t="shared" si="38"/>
        <v>0</v>
      </c>
      <c r="AN45" s="2155">
        <f t="shared" si="39"/>
        <v>0</v>
      </c>
      <c r="AO45" s="2157"/>
    </row>
    <row r="46" spans="1:41" ht="13.8" x14ac:dyDescent="0.25">
      <c r="A46" s="4015"/>
      <c r="B46" s="2501" t="s">
        <v>29</v>
      </c>
      <c r="C46" s="2578"/>
      <c r="D46" s="2523"/>
      <c r="E46" s="2591">
        <f t="shared" si="29"/>
        <v>0</v>
      </c>
      <c r="F46" s="2155" t="e">
        <f t="shared" si="23"/>
        <v>#DIV/0!</v>
      </c>
      <c r="G46" s="2059"/>
      <c r="H46" s="2059"/>
      <c r="I46" s="2028">
        <f t="shared" si="30"/>
        <v>0</v>
      </c>
      <c r="J46" s="2155">
        <f t="shared" si="31"/>
        <v>0</v>
      </c>
      <c r="K46" s="2159"/>
      <c r="L46" s="2059"/>
      <c r="M46" s="2059"/>
      <c r="N46" s="2028">
        <f t="shared" si="32"/>
        <v>0</v>
      </c>
      <c r="O46" s="2155" t="e">
        <f t="shared" si="24"/>
        <v>#DIV/0!</v>
      </c>
      <c r="P46" s="2159"/>
      <c r="Q46" s="2067"/>
      <c r="R46" s="2059"/>
      <c r="S46" s="2028">
        <f t="shared" si="33"/>
        <v>0</v>
      </c>
      <c r="T46" s="2155">
        <f t="shared" si="25"/>
        <v>0</v>
      </c>
      <c r="U46" s="2062"/>
      <c r="V46" s="2067"/>
      <c r="W46" s="2059"/>
      <c r="X46" s="2028">
        <f t="shared" si="34"/>
        <v>0</v>
      </c>
      <c r="Y46" s="2155" t="e">
        <f t="shared" si="26"/>
        <v>#DIV/0!</v>
      </c>
      <c r="Z46" s="2159"/>
      <c r="AA46" s="2067"/>
      <c r="AB46" s="2059"/>
      <c r="AC46" s="2028">
        <f t="shared" si="35"/>
        <v>0</v>
      </c>
      <c r="AD46" s="2155" t="e">
        <f t="shared" si="27"/>
        <v>#DIV/0!</v>
      </c>
      <c r="AE46" s="2159"/>
      <c r="AF46" s="2067"/>
      <c r="AG46" s="2059"/>
      <c r="AH46" s="2028">
        <f t="shared" si="36"/>
        <v>0</v>
      </c>
      <c r="AI46" s="2155" t="e">
        <f t="shared" si="28"/>
        <v>#DIV/0!</v>
      </c>
      <c r="AJ46" s="2159"/>
      <c r="AK46" s="2059">
        <f t="shared" si="37"/>
        <v>0</v>
      </c>
      <c r="AL46" s="2059">
        <f t="shared" si="37"/>
        <v>0</v>
      </c>
      <c r="AM46" s="2028">
        <f t="shared" si="38"/>
        <v>0</v>
      </c>
      <c r="AN46" s="2155">
        <f t="shared" si="39"/>
        <v>0</v>
      </c>
      <c r="AO46" s="2157"/>
    </row>
    <row r="47" spans="1:41" ht="13.8" x14ac:dyDescent="0.25">
      <c r="A47" s="4015"/>
      <c r="B47" s="2501" t="s">
        <v>30</v>
      </c>
      <c r="C47" s="2578"/>
      <c r="D47" s="2523"/>
      <c r="E47" s="2591">
        <f t="shared" si="29"/>
        <v>0</v>
      </c>
      <c r="F47" s="2155" t="e">
        <f t="shared" si="23"/>
        <v>#DIV/0!</v>
      </c>
      <c r="G47" s="2059"/>
      <c r="H47" s="2059"/>
      <c r="I47" s="2028">
        <f t="shared" si="30"/>
        <v>0</v>
      </c>
      <c r="J47" s="2155">
        <f t="shared" si="31"/>
        <v>0</v>
      </c>
      <c r="K47" s="2159"/>
      <c r="L47" s="2059"/>
      <c r="M47" s="2059"/>
      <c r="N47" s="2028">
        <f t="shared" si="32"/>
        <v>0</v>
      </c>
      <c r="O47" s="2155" t="e">
        <f t="shared" si="24"/>
        <v>#DIV/0!</v>
      </c>
      <c r="P47" s="2159"/>
      <c r="Q47" s="2067"/>
      <c r="R47" s="2059"/>
      <c r="S47" s="2028">
        <f t="shared" si="33"/>
        <v>0</v>
      </c>
      <c r="T47" s="2155">
        <f t="shared" si="25"/>
        <v>0</v>
      </c>
      <c r="U47" s="2062"/>
      <c r="V47" s="2067"/>
      <c r="W47" s="2059"/>
      <c r="X47" s="2028">
        <f t="shared" si="34"/>
        <v>0</v>
      </c>
      <c r="Y47" s="2155" t="e">
        <f t="shared" si="26"/>
        <v>#DIV/0!</v>
      </c>
      <c r="Z47" s="2159"/>
      <c r="AA47" s="2067"/>
      <c r="AB47" s="2059"/>
      <c r="AC47" s="2028">
        <f t="shared" si="35"/>
        <v>0</v>
      </c>
      <c r="AD47" s="2155" t="e">
        <f t="shared" si="27"/>
        <v>#DIV/0!</v>
      </c>
      <c r="AE47" s="2159"/>
      <c r="AF47" s="2067"/>
      <c r="AG47" s="2059"/>
      <c r="AH47" s="2028">
        <f t="shared" si="36"/>
        <v>0</v>
      </c>
      <c r="AI47" s="2155" t="e">
        <f t="shared" si="28"/>
        <v>#DIV/0!</v>
      </c>
      <c r="AJ47" s="2159"/>
      <c r="AK47" s="2059">
        <f t="shared" si="37"/>
        <v>0</v>
      </c>
      <c r="AL47" s="2059">
        <f t="shared" si="37"/>
        <v>0</v>
      </c>
      <c r="AM47" s="2028">
        <f t="shared" si="38"/>
        <v>0</v>
      </c>
      <c r="AN47" s="2155">
        <f t="shared" si="39"/>
        <v>0</v>
      </c>
      <c r="AO47" s="2157"/>
    </row>
    <row r="48" spans="1:41" ht="13.8" x14ac:dyDescent="0.25">
      <c r="A48" s="4015"/>
      <c r="B48" s="2501" t="s">
        <v>15</v>
      </c>
      <c r="C48" s="2578"/>
      <c r="D48" s="2523"/>
      <c r="E48" s="2591">
        <f t="shared" si="29"/>
        <v>0</v>
      </c>
      <c r="F48" s="2155" t="e">
        <f t="shared" si="23"/>
        <v>#DIV/0!</v>
      </c>
      <c r="G48" s="2059"/>
      <c r="H48" s="2059"/>
      <c r="I48" s="2028">
        <f t="shared" si="30"/>
        <v>0</v>
      </c>
      <c r="J48" s="2155">
        <f t="shared" si="31"/>
        <v>0</v>
      </c>
      <c r="K48" s="2159"/>
      <c r="L48" s="2059"/>
      <c r="M48" s="2059"/>
      <c r="N48" s="2028">
        <f t="shared" si="32"/>
        <v>0</v>
      </c>
      <c r="O48" s="2155" t="e">
        <f t="shared" si="24"/>
        <v>#DIV/0!</v>
      </c>
      <c r="P48" s="2159"/>
      <c r="Q48" s="2067"/>
      <c r="R48" s="2059"/>
      <c r="S48" s="2028">
        <f t="shared" si="33"/>
        <v>0</v>
      </c>
      <c r="T48" s="2155">
        <f t="shared" si="25"/>
        <v>0</v>
      </c>
      <c r="U48" s="2062"/>
      <c r="V48" s="2067"/>
      <c r="W48" s="2059"/>
      <c r="X48" s="2028">
        <f t="shared" si="34"/>
        <v>0</v>
      </c>
      <c r="Y48" s="2155" t="e">
        <f t="shared" si="26"/>
        <v>#DIV/0!</v>
      </c>
      <c r="Z48" s="2159"/>
      <c r="AA48" s="2067"/>
      <c r="AB48" s="2059"/>
      <c r="AC48" s="2028">
        <f t="shared" si="35"/>
        <v>0</v>
      </c>
      <c r="AD48" s="2155" t="e">
        <f t="shared" si="27"/>
        <v>#DIV/0!</v>
      </c>
      <c r="AE48" s="2159"/>
      <c r="AF48" s="2067"/>
      <c r="AG48" s="2059"/>
      <c r="AH48" s="2028">
        <f t="shared" si="36"/>
        <v>0</v>
      </c>
      <c r="AI48" s="2155" t="e">
        <f t="shared" si="28"/>
        <v>#DIV/0!</v>
      </c>
      <c r="AJ48" s="2159"/>
      <c r="AK48" s="2059">
        <f t="shared" si="37"/>
        <v>0</v>
      </c>
      <c r="AL48" s="2059">
        <f t="shared" si="37"/>
        <v>0</v>
      </c>
      <c r="AM48" s="2028">
        <f t="shared" si="38"/>
        <v>0</v>
      </c>
      <c r="AN48" s="2155">
        <f t="shared" si="39"/>
        <v>0</v>
      </c>
      <c r="AO48" s="2157"/>
    </row>
    <row r="49" spans="1:41" s="1411" customFormat="1" ht="14.4" thickBot="1" x14ac:dyDescent="0.3">
      <c r="A49" s="1420"/>
      <c r="B49" s="2502"/>
      <c r="C49" s="2499"/>
      <c r="D49" s="2503"/>
      <c r="E49" s="2145"/>
      <c r="F49" s="2146"/>
      <c r="G49" s="2059"/>
      <c r="H49" s="2059"/>
      <c r="I49" s="2528"/>
      <c r="J49" s="2155">
        <f t="shared" si="31"/>
        <v>0</v>
      </c>
      <c r="K49" s="2529"/>
      <c r="L49" s="2059"/>
      <c r="M49" s="2059"/>
      <c r="N49" s="2528"/>
      <c r="O49" s="2155"/>
      <c r="P49" s="2529"/>
      <c r="Q49" s="2067"/>
      <c r="R49" s="2059"/>
      <c r="S49" s="2528"/>
      <c r="T49" s="2155"/>
      <c r="U49" s="2532"/>
      <c r="V49" s="2067"/>
      <c r="W49" s="2059"/>
      <c r="X49" s="2528"/>
      <c r="Y49" s="2155"/>
      <c r="Z49" s="2529"/>
      <c r="AA49" s="2067"/>
      <c r="AB49" s="2059"/>
      <c r="AC49" s="2528"/>
      <c r="AD49" s="2155"/>
      <c r="AE49" s="2529"/>
      <c r="AF49" s="2067"/>
      <c r="AG49" s="2059"/>
      <c r="AH49" s="2528"/>
      <c r="AI49" s="2155"/>
      <c r="AJ49" s="2529"/>
      <c r="AK49" s="2059"/>
      <c r="AL49" s="2059"/>
      <c r="AM49" s="2528"/>
      <c r="AN49" s="2155">
        <f t="shared" si="39"/>
        <v>0</v>
      </c>
      <c r="AO49" s="2528"/>
    </row>
    <row r="50" spans="1:41" s="1411" customFormat="1" ht="13.8" x14ac:dyDescent="0.25">
      <c r="A50" s="1580"/>
      <c r="B50" s="1425" t="s">
        <v>59</v>
      </c>
      <c r="C50" s="2031"/>
      <c r="D50" s="2031"/>
      <c r="E50" s="2031">
        <f>SUM(E51:E52)</f>
        <v>0</v>
      </c>
      <c r="F50" s="1549" t="e">
        <f>E50/$E$89</f>
        <v>#DIV/0!</v>
      </c>
      <c r="G50" s="2031">
        <f>G52+G51</f>
        <v>0</v>
      </c>
      <c r="H50" s="2031">
        <f>H52+H51</f>
        <v>0</v>
      </c>
      <c r="I50" s="2031">
        <f>SUM(I51:I52)</f>
        <v>0</v>
      </c>
      <c r="J50" s="2022"/>
      <c r="K50" s="2039"/>
      <c r="L50" s="2031">
        <f>L52+L51</f>
        <v>0</v>
      </c>
      <c r="M50" s="2031">
        <f>M52+M51</f>
        <v>0</v>
      </c>
      <c r="N50" s="2031">
        <f>SUM(N51:N52)</f>
        <v>0</v>
      </c>
      <c r="O50" s="2022" t="e">
        <f t="shared" ref="O50:O74" si="40">N50/N$89</f>
        <v>#DIV/0!</v>
      </c>
      <c r="P50" s="2039"/>
      <c r="Q50" s="2031">
        <f>Q52+Q51</f>
        <v>0</v>
      </c>
      <c r="R50" s="2031">
        <f>R52+R51</f>
        <v>0</v>
      </c>
      <c r="S50" s="2031">
        <f>SUM(S51:S52)</f>
        <v>0</v>
      </c>
      <c r="T50" s="2022">
        <f t="shared" ref="T50:T52" si="41">S50/S$89</f>
        <v>0</v>
      </c>
      <c r="U50" s="2000"/>
      <c r="V50" s="2031">
        <f>V52+V51</f>
        <v>0</v>
      </c>
      <c r="W50" s="2031">
        <f>W52+W51</f>
        <v>0</v>
      </c>
      <c r="X50" s="2031">
        <f>SUM(X51:X52)</f>
        <v>0</v>
      </c>
      <c r="Y50" s="2022" t="e">
        <f t="shared" ref="Y50:Y74" si="42">X50/X$89</f>
        <v>#DIV/0!</v>
      </c>
      <c r="Z50" s="2039"/>
      <c r="AA50" s="2031">
        <f>AA52+AA51</f>
        <v>0</v>
      </c>
      <c r="AB50" s="2031">
        <f>AB52+AB51</f>
        <v>0</v>
      </c>
      <c r="AC50" s="2031">
        <f>SUM(AC51:AC52)</f>
        <v>0</v>
      </c>
      <c r="AD50" s="2022" t="e">
        <f t="shared" ref="AD50:AD74" si="43">AC50/AC$89</f>
        <v>#DIV/0!</v>
      </c>
      <c r="AE50" s="2039"/>
      <c r="AF50" s="2031">
        <f>AF52+AF51</f>
        <v>0</v>
      </c>
      <c r="AG50" s="2031">
        <f>AG52+AG51</f>
        <v>0</v>
      </c>
      <c r="AH50" s="2031">
        <f>SUM(AH51:AH52)</f>
        <v>0</v>
      </c>
      <c r="AI50" s="2022" t="e">
        <f t="shared" ref="AI50:AI74" si="44">AH50/AH$89</f>
        <v>#DIV/0!</v>
      </c>
      <c r="AJ50" s="2039"/>
      <c r="AK50" s="2031">
        <f>AK52+AK51</f>
        <v>0</v>
      </c>
      <c r="AL50" s="2031">
        <f>AL52+AL51</f>
        <v>0</v>
      </c>
      <c r="AM50" s="2031">
        <f>SUM(AM51:AM52)</f>
        <v>0</v>
      </c>
      <c r="AN50" s="2022"/>
      <c r="AO50" s="2022"/>
    </row>
    <row r="51" spans="1:41" s="1579" customFormat="1" ht="13.8" x14ac:dyDescent="0.25">
      <c r="A51" s="1583"/>
      <c r="B51" s="2501" t="s">
        <v>60</v>
      </c>
      <c r="C51" s="2578"/>
      <c r="D51" s="2523"/>
      <c r="E51" s="2523">
        <f>C51+D51</f>
        <v>0</v>
      </c>
      <c r="F51" s="2504" t="e">
        <f>E51/$E$89</f>
        <v>#DIV/0!</v>
      </c>
      <c r="G51" s="2059"/>
      <c r="H51" s="2059"/>
      <c r="I51" s="2028">
        <f>G51+H51*1</f>
        <v>0</v>
      </c>
      <c r="J51" s="2155">
        <f t="shared" si="31"/>
        <v>0</v>
      </c>
      <c r="K51" s="2165"/>
      <c r="L51" s="2059"/>
      <c r="M51" s="2059"/>
      <c r="N51" s="2028">
        <f>L51+M51*1</f>
        <v>0</v>
      </c>
      <c r="O51" s="2155" t="e">
        <f t="shared" si="40"/>
        <v>#DIV/0!</v>
      </c>
      <c r="P51" s="2165"/>
      <c r="Q51" s="2067"/>
      <c r="R51" s="2059"/>
      <c r="S51" s="2028">
        <f>Q51+R51*1</f>
        <v>0</v>
      </c>
      <c r="T51" s="2155">
        <f t="shared" si="41"/>
        <v>0</v>
      </c>
      <c r="U51" s="2533"/>
      <c r="V51" s="2067"/>
      <c r="W51" s="2059"/>
      <c r="X51" s="2028">
        <f>V51+W51*1</f>
        <v>0</v>
      </c>
      <c r="Y51" s="2155" t="e">
        <f t="shared" si="42"/>
        <v>#DIV/0!</v>
      </c>
      <c r="Z51" s="2165"/>
      <c r="AA51" s="2067"/>
      <c r="AB51" s="2059"/>
      <c r="AC51" s="2028">
        <f>AA51+AB51*1</f>
        <v>0</v>
      </c>
      <c r="AD51" s="2155" t="e">
        <f t="shared" si="43"/>
        <v>#DIV/0!</v>
      </c>
      <c r="AE51" s="2165"/>
      <c r="AF51" s="2067"/>
      <c r="AG51" s="2059"/>
      <c r="AH51" s="2028">
        <f>AF51+AG51*1</f>
        <v>0</v>
      </c>
      <c r="AI51" s="2155" t="e">
        <f t="shared" si="44"/>
        <v>#DIV/0!</v>
      </c>
      <c r="AJ51" s="2165"/>
      <c r="AK51" s="2059">
        <f t="shared" ref="AK51:AL52" si="45">G51+L51+Q51+V51+AA51+AF51</f>
        <v>0</v>
      </c>
      <c r="AL51" s="2059">
        <f t="shared" si="45"/>
        <v>0</v>
      </c>
      <c r="AM51" s="2028">
        <f>AK51+AL51*1</f>
        <v>0</v>
      </c>
      <c r="AN51" s="2155">
        <f t="shared" si="39"/>
        <v>0</v>
      </c>
      <c r="AO51" s="2164"/>
    </row>
    <row r="52" spans="1:41" s="1584" customFormat="1" ht="13.8" x14ac:dyDescent="0.25">
      <c r="A52" s="1583"/>
      <c r="B52" s="2501" t="s">
        <v>61</v>
      </c>
      <c r="C52" s="2578"/>
      <c r="D52" s="2523"/>
      <c r="E52" s="2523">
        <f>C52+D52</f>
        <v>0</v>
      </c>
      <c r="F52" s="2504" t="e">
        <f>E52/$E$89</f>
        <v>#DIV/0!</v>
      </c>
      <c r="G52" s="2059"/>
      <c r="H52" s="2059"/>
      <c r="I52" s="2028">
        <f>G52+H52*1</f>
        <v>0</v>
      </c>
      <c r="J52" s="2155">
        <f t="shared" si="31"/>
        <v>0</v>
      </c>
      <c r="K52" s="2165"/>
      <c r="L52" s="2059"/>
      <c r="M52" s="2059"/>
      <c r="N52" s="2028">
        <f>L52+M52*1</f>
        <v>0</v>
      </c>
      <c r="O52" s="2155" t="e">
        <f t="shared" si="40"/>
        <v>#DIV/0!</v>
      </c>
      <c r="P52" s="2165"/>
      <c r="Q52" s="2067"/>
      <c r="R52" s="2059"/>
      <c r="S52" s="2028">
        <f>Q52+R52*1</f>
        <v>0</v>
      </c>
      <c r="T52" s="2155">
        <f t="shared" si="41"/>
        <v>0</v>
      </c>
      <c r="U52" s="2062"/>
      <c r="V52" s="2067"/>
      <c r="W52" s="2059"/>
      <c r="X52" s="2028">
        <f>V52+W52*1</f>
        <v>0</v>
      </c>
      <c r="Y52" s="2155" t="e">
        <f t="shared" si="42"/>
        <v>#DIV/0!</v>
      </c>
      <c r="Z52" s="2165"/>
      <c r="AA52" s="2067"/>
      <c r="AB52" s="2059"/>
      <c r="AC52" s="2028">
        <f>AA52+AB52*1</f>
        <v>0</v>
      </c>
      <c r="AD52" s="2155" t="e">
        <f t="shared" si="43"/>
        <v>#DIV/0!</v>
      </c>
      <c r="AE52" s="2165"/>
      <c r="AF52" s="2067"/>
      <c r="AG52" s="2059"/>
      <c r="AH52" s="2028">
        <f>AF52+AG52*1</f>
        <v>0</v>
      </c>
      <c r="AI52" s="2155" t="e">
        <f t="shared" si="44"/>
        <v>#DIV/0!</v>
      </c>
      <c r="AJ52" s="2165"/>
      <c r="AK52" s="2059">
        <f t="shared" si="45"/>
        <v>0</v>
      </c>
      <c r="AL52" s="2059">
        <f t="shared" si="45"/>
        <v>0</v>
      </c>
      <c r="AM52" s="2028">
        <f>AK52+AL52*1</f>
        <v>0</v>
      </c>
      <c r="AN52" s="2155">
        <f t="shared" si="39"/>
        <v>0</v>
      </c>
      <c r="AO52" s="2164"/>
    </row>
    <row r="53" spans="1:41" ht="14.4" thickBot="1" x14ac:dyDescent="0.3">
      <c r="A53" s="1428"/>
      <c r="B53" s="2592"/>
      <c r="C53" s="2593"/>
      <c r="D53" s="2594"/>
      <c r="E53" s="2595"/>
      <c r="F53" s="2596"/>
      <c r="G53" s="2059"/>
      <c r="H53" s="2059"/>
      <c r="I53" s="2534"/>
      <c r="J53" s="2534"/>
      <c r="K53" s="2534"/>
      <c r="L53" s="2059"/>
      <c r="M53" s="2059"/>
      <c r="N53" s="2534"/>
      <c r="O53" s="2534"/>
      <c r="P53" s="2534"/>
      <c r="Q53" s="2067"/>
      <c r="R53" s="2059"/>
      <c r="S53" s="2534"/>
      <c r="T53" s="2534"/>
      <c r="U53" s="2535"/>
      <c r="V53" s="2067"/>
      <c r="W53" s="2059"/>
      <c r="X53" s="2534"/>
      <c r="Y53" s="2534"/>
      <c r="Z53" s="2534"/>
      <c r="AA53" s="2067"/>
      <c r="AB53" s="2059"/>
      <c r="AC53" s="2534"/>
      <c r="AD53" s="2534"/>
      <c r="AE53" s="2534"/>
      <c r="AF53" s="2067"/>
      <c r="AG53" s="2059"/>
      <c r="AH53" s="2534"/>
      <c r="AI53" s="2534"/>
      <c r="AJ53" s="2534"/>
      <c r="AK53" s="2059"/>
      <c r="AL53" s="2059"/>
      <c r="AM53" s="2534"/>
      <c r="AN53" s="2534"/>
      <c r="AO53" s="2534"/>
    </row>
    <row r="54" spans="1:41" ht="13.8" x14ac:dyDescent="0.25">
      <c r="A54" s="1585"/>
      <c r="B54" s="1425" t="s">
        <v>1</v>
      </c>
      <c r="C54" s="2031">
        <f>SUM(C55:C71)</f>
        <v>0</v>
      </c>
      <c r="D54" s="2031">
        <f>SUM(D55:D71)</f>
        <v>0</v>
      </c>
      <c r="E54" s="1991">
        <f>SUM(E55:E71)</f>
        <v>0</v>
      </c>
      <c r="F54" s="1549" t="e">
        <f>E54/$E$89</f>
        <v>#DIV/0!</v>
      </c>
      <c r="G54" s="2031">
        <f>SUM(G55:G72)</f>
        <v>0</v>
      </c>
      <c r="H54" s="2031">
        <f>SUM(H55:H72)</f>
        <v>185</v>
      </c>
      <c r="I54" s="2031">
        <f>SUM(I55:I72)</f>
        <v>185</v>
      </c>
      <c r="J54" s="2481">
        <f>I54/$I$89</f>
        <v>0.88</v>
      </c>
      <c r="K54" s="2039"/>
      <c r="L54" s="2031">
        <f>SUM(L55:L72)</f>
        <v>0</v>
      </c>
      <c r="M54" s="2031">
        <f>SUM(M55:M72)</f>
        <v>0</v>
      </c>
      <c r="N54" s="2031">
        <f>SUM(N55:N72)</f>
        <v>0</v>
      </c>
      <c r="O54" s="2481" t="e">
        <f t="shared" si="40"/>
        <v>#DIV/0!</v>
      </c>
      <c r="P54" s="2039"/>
      <c r="Q54" s="2031">
        <f>SUM(Q55:Q72)</f>
        <v>0</v>
      </c>
      <c r="R54" s="2031">
        <f>SUM(R55:R72)</f>
        <v>0</v>
      </c>
      <c r="S54" s="2031">
        <f>SUM(S55:S72)</f>
        <v>0</v>
      </c>
      <c r="T54" s="2481">
        <f t="shared" ref="T54:T71" si="46">S54/S$89</f>
        <v>0</v>
      </c>
      <c r="U54" s="2000"/>
      <c r="V54" s="2031">
        <f>SUM(V55:V72)</f>
        <v>0</v>
      </c>
      <c r="W54" s="2031">
        <f>SUM(W55:W72)</f>
        <v>0</v>
      </c>
      <c r="X54" s="2031">
        <f>SUM(X55:X72)</f>
        <v>0</v>
      </c>
      <c r="Y54" s="2481" t="e">
        <f t="shared" si="42"/>
        <v>#DIV/0!</v>
      </c>
      <c r="Z54" s="2039"/>
      <c r="AA54" s="2031">
        <f>SUM(AA55:AA72)</f>
        <v>0</v>
      </c>
      <c r="AB54" s="2031">
        <f>SUM(AB55:AB72)</f>
        <v>0</v>
      </c>
      <c r="AC54" s="2031">
        <f>SUM(AC55:AC72)</f>
        <v>0</v>
      </c>
      <c r="AD54" s="2481" t="e">
        <f t="shared" si="43"/>
        <v>#DIV/0!</v>
      </c>
      <c r="AE54" s="2039"/>
      <c r="AF54" s="2031">
        <f>SUM(AF55:AF72)</f>
        <v>0</v>
      </c>
      <c r="AG54" s="2031">
        <f>SUM(AG55:AG72)</f>
        <v>0</v>
      </c>
      <c r="AH54" s="2031">
        <f>SUM(AH55:AH72)</f>
        <v>0</v>
      </c>
      <c r="AI54" s="2481" t="e">
        <f t="shared" si="44"/>
        <v>#DIV/0!</v>
      </c>
      <c r="AJ54" s="2039"/>
      <c r="AK54" s="2031">
        <f>SUM(AK55:AK72)</f>
        <v>0</v>
      </c>
      <c r="AL54" s="2031">
        <f>SUM(AL55:AL72)</f>
        <v>185</v>
      </c>
      <c r="AM54" s="2031">
        <f>SUM(AM55:AM72)</f>
        <v>185</v>
      </c>
      <c r="AN54" s="2481">
        <f t="shared" si="39"/>
        <v>1.0595509274324764E-2</v>
      </c>
      <c r="AO54" s="2022"/>
    </row>
    <row r="55" spans="1:41" ht="13.8" x14ac:dyDescent="0.25">
      <c r="A55" s="1586"/>
      <c r="B55" s="2163" t="s">
        <v>77</v>
      </c>
      <c r="C55" s="2578"/>
      <c r="D55" s="2580"/>
      <c r="E55" s="2591">
        <f t="shared" ref="E55:E71" si="47">C55+D55</f>
        <v>0</v>
      </c>
      <c r="F55" s="2155" t="e">
        <f>E55/$E$89</f>
        <v>#DIV/0!</v>
      </c>
      <c r="G55" s="2061"/>
      <c r="H55" s="2061"/>
      <c r="I55" s="2028">
        <f t="shared" ref="I55:I71" si="48">G55+H55*1</f>
        <v>0</v>
      </c>
      <c r="J55" s="2155">
        <f t="shared" ref="J55:J72" si="49">I55/$I$89</f>
        <v>0</v>
      </c>
      <c r="K55" s="2159"/>
      <c r="L55" s="2061"/>
      <c r="M55" s="2061"/>
      <c r="N55" s="2028">
        <f t="shared" ref="N55:N71" si="50">L55+M55*1</f>
        <v>0</v>
      </c>
      <c r="O55" s="2155" t="e">
        <f t="shared" si="40"/>
        <v>#DIV/0!</v>
      </c>
      <c r="P55" s="2159"/>
      <c r="Q55" s="2027"/>
      <c r="R55" s="2061"/>
      <c r="S55" s="2028">
        <f t="shared" ref="S55:S62" si="51">Q55+R55*1</f>
        <v>0</v>
      </c>
      <c r="T55" s="2155">
        <f t="shared" si="46"/>
        <v>0</v>
      </c>
      <c r="U55" s="2062"/>
      <c r="V55" s="2027"/>
      <c r="W55" s="2061"/>
      <c r="X55" s="2028">
        <f t="shared" ref="X55:X71" si="52">V55+W55*1</f>
        <v>0</v>
      </c>
      <c r="Y55" s="2155" t="e">
        <f t="shared" si="42"/>
        <v>#DIV/0!</v>
      </c>
      <c r="Z55" s="2159"/>
      <c r="AA55" s="2027"/>
      <c r="AB55" s="2061"/>
      <c r="AC55" s="2028">
        <f t="shared" ref="AC55:AC71" si="53">AA55+AB55*1</f>
        <v>0</v>
      </c>
      <c r="AD55" s="2155" t="e">
        <f t="shared" si="43"/>
        <v>#DIV/0!</v>
      </c>
      <c r="AE55" s="2159"/>
      <c r="AF55" s="2027"/>
      <c r="AG55" s="2061"/>
      <c r="AH55" s="2028">
        <f t="shared" ref="AH55:AH71" si="54">AF55+AG55*1</f>
        <v>0</v>
      </c>
      <c r="AI55" s="2155" t="e">
        <f t="shared" si="44"/>
        <v>#DIV/0!</v>
      </c>
      <c r="AJ55" s="2159"/>
      <c r="AK55" s="2059">
        <f t="shared" ref="AK55:AL71" si="55">G55+L55+Q55+V55+AA55+AF55</f>
        <v>0</v>
      </c>
      <c r="AL55" s="2059">
        <f t="shared" si="55"/>
        <v>0</v>
      </c>
      <c r="AM55" s="2028">
        <f t="shared" ref="AM55:AM71" si="56">AK55+AL55*1</f>
        <v>0</v>
      </c>
      <c r="AN55" s="2155">
        <f t="shared" si="39"/>
        <v>0</v>
      </c>
      <c r="AO55" s="2157"/>
    </row>
    <row r="56" spans="1:41" ht="13.8" x14ac:dyDescent="0.25">
      <c r="A56" s="1586"/>
      <c r="B56" s="2163" t="s">
        <v>76</v>
      </c>
      <c r="C56" s="2578"/>
      <c r="D56" s="2580"/>
      <c r="E56" s="2591">
        <f t="shared" si="47"/>
        <v>0</v>
      </c>
      <c r="F56" s="2155" t="e">
        <f t="shared" ref="F56:F72" si="57">E56/$E$89</f>
        <v>#DIV/0!</v>
      </c>
      <c r="G56" s="2061"/>
      <c r="H56" s="2061"/>
      <c r="I56" s="2028">
        <f t="shared" si="48"/>
        <v>0</v>
      </c>
      <c r="J56" s="2155">
        <f t="shared" si="49"/>
        <v>0</v>
      </c>
      <c r="K56" s="2159"/>
      <c r="L56" s="2061"/>
      <c r="M56" s="2061"/>
      <c r="N56" s="2028">
        <f t="shared" si="50"/>
        <v>0</v>
      </c>
      <c r="O56" s="2155" t="e">
        <f t="shared" si="40"/>
        <v>#DIV/0!</v>
      </c>
      <c r="P56" s="2159"/>
      <c r="Q56" s="2027"/>
      <c r="R56" s="2061"/>
      <c r="S56" s="2028">
        <f t="shared" si="51"/>
        <v>0</v>
      </c>
      <c r="T56" s="2155">
        <f t="shared" si="46"/>
        <v>0</v>
      </c>
      <c r="U56" s="2062"/>
      <c r="V56" s="2027"/>
      <c r="W56" s="2061"/>
      <c r="X56" s="2028">
        <f t="shared" si="52"/>
        <v>0</v>
      </c>
      <c r="Y56" s="2155" t="e">
        <f t="shared" si="42"/>
        <v>#DIV/0!</v>
      </c>
      <c r="Z56" s="2159"/>
      <c r="AA56" s="2027"/>
      <c r="AB56" s="2061"/>
      <c r="AC56" s="2028">
        <f t="shared" si="53"/>
        <v>0</v>
      </c>
      <c r="AD56" s="2155" t="e">
        <f t="shared" si="43"/>
        <v>#DIV/0!</v>
      </c>
      <c r="AE56" s="2159"/>
      <c r="AF56" s="2027"/>
      <c r="AG56" s="2061"/>
      <c r="AH56" s="2028">
        <f t="shared" si="54"/>
        <v>0</v>
      </c>
      <c r="AI56" s="2155" t="e">
        <f t="shared" si="44"/>
        <v>#DIV/0!</v>
      </c>
      <c r="AJ56" s="2159"/>
      <c r="AK56" s="2059">
        <f t="shared" si="55"/>
        <v>0</v>
      </c>
      <c r="AL56" s="2059">
        <f t="shared" si="55"/>
        <v>0</v>
      </c>
      <c r="AM56" s="2028">
        <f t="shared" si="56"/>
        <v>0</v>
      </c>
      <c r="AN56" s="2155">
        <f t="shared" si="39"/>
        <v>0</v>
      </c>
      <c r="AO56" s="2157"/>
    </row>
    <row r="57" spans="1:41" ht="13.8" x14ac:dyDescent="0.25">
      <c r="A57" s="1586"/>
      <c r="B57" s="2506" t="s">
        <v>68</v>
      </c>
      <c r="C57" s="2578"/>
      <c r="D57" s="2580"/>
      <c r="E57" s="2591">
        <f t="shared" si="47"/>
        <v>0</v>
      </c>
      <c r="F57" s="2155" t="e">
        <f t="shared" si="57"/>
        <v>#DIV/0!</v>
      </c>
      <c r="G57" s="2061"/>
      <c r="H57" s="2061"/>
      <c r="I57" s="2028">
        <f t="shared" si="48"/>
        <v>0</v>
      </c>
      <c r="J57" s="2155">
        <f t="shared" si="49"/>
        <v>0</v>
      </c>
      <c r="K57" s="2159"/>
      <c r="L57" s="2061"/>
      <c r="M57" s="2061"/>
      <c r="N57" s="2028">
        <f t="shared" si="50"/>
        <v>0</v>
      </c>
      <c r="O57" s="2155" t="e">
        <f t="shared" si="40"/>
        <v>#DIV/0!</v>
      </c>
      <c r="P57" s="2159"/>
      <c r="Q57" s="2027"/>
      <c r="R57" s="2061"/>
      <c r="S57" s="2028">
        <f t="shared" si="51"/>
        <v>0</v>
      </c>
      <c r="T57" s="2155">
        <f t="shared" si="46"/>
        <v>0</v>
      </c>
      <c r="U57" s="2062"/>
      <c r="V57" s="2027"/>
      <c r="W57" s="2061"/>
      <c r="X57" s="2028">
        <f t="shared" si="52"/>
        <v>0</v>
      </c>
      <c r="Y57" s="2155" t="e">
        <f t="shared" si="42"/>
        <v>#DIV/0!</v>
      </c>
      <c r="Z57" s="2159"/>
      <c r="AA57" s="2027"/>
      <c r="AB57" s="2061"/>
      <c r="AC57" s="2028">
        <f t="shared" si="53"/>
        <v>0</v>
      </c>
      <c r="AD57" s="2155" t="e">
        <f t="shared" si="43"/>
        <v>#DIV/0!</v>
      </c>
      <c r="AE57" s="2159"/>
      <c r="AF57" s="2027"/>
      <c r="AG57" s="2061"/>
      <c r="AH57" s="2028">
        <f t="shared" si="54"/>
        <v>0</v>
      </c>
      <c r="AI57" s="2155" t="e">
        <f t="shared" si="44"/>
        <v>#DIV/0!</v>
      </c>
      <c r="AJ57" s="2159"/>
      <c r="AK57" s="2059">
        <f t="shared" si="55"/>
        <v>0</v>
      </c>
      <c r="AL57" s="2059">
        <f t="shared" si="55"/>
        <v>0</v>
      </c>
      <c r="AM57" s="2028">
        <f t="shared" si="56"/>
        <v>0</v>
      </c>
      <c r="AN57" s="2155">
        <f t="shared" si="39"/>
        <v>0</v>
      </c>
      <c r="AO57" s="2157"/>
    </row>
    <row r="58" spans="1:41" ht="13.8" x14ac:dyDescent="0.25">
      <c r="A58" s="1586"/>
      <c r="B58" s="2506" t="s">
        <v>67</v>
      </c>
      <c r="C58" s="2578"/>
      <c r="D58" s="2580"/>
      <c r="E58" s="2591">
        <f t="shared" si="47"/>
        <v>0</v>
      </c>
      <c r="F58" s="2155" t="e">
        <f t="shared" si="57"/>
        <v>#DIV/0!</v>
      </c>
      <c r="G58" s="2061"/>
      <c r="H58" s="2061"/>
      <c r="I58" s="2028">
        <f t="shared" si="48"/>
        <v>0</v>
      </c>
      <c r="J58" s="2155">
        <f t="shared" si="49"/>
        <v>0</v>
      </c>
      <c r="K58" s="2160"/>
      <c r="L58" s="2061"/>
      <c r="M58" s="2061"/>
      <c r="N58" s="2028">
        <f t="shared" si="50"/>
        <v>0</v>
      </c>
      <c r="O58" s="2155" t="e">
        <f t="shared" si="40"/>
        <v>#DIV/0!</v>
      </c>
      <c r="P58" s="2160"/>
      <c r="Q58" s="2027"/>
      <c r="R58" s="2061"/>
      <c r="S58" s="2028">
        <f t="shared" si="51"/>
        <v>0</v>
      </c>
      <c r="T58" s="2155">
        <f t="shared" si="46"/>
        <v>0</v>
      </c>
      <c r="U58" s="2062"/>
      <c r="V58" s="2027"/>
      <c r="W58" s="2061"/>
      <c r="X58" s="2028">
        <f t="shared" si="52"/>
        <v>0</v>
      </c>
      <c r="Y58" s="2155" t="e">
        <f t="shared" si="42"/>
        <v>#DIV/0!</v>
      </c>
      <c r="Z58" s="2160"/>
      <c r="AA58" s="2027"/>
      <c r="AB58" s="2061"/>
      <c r="AC58" s="2028">
        <f t="shared" si="53"/>
        <v>0</v>
      </c>
      <c r="AD58" s="2155" t="e">
        <f t="shared" si="43"/>
        <v>#DIV/0!</v>
      </c>
      <c r="AE58" s="2160"/>
      <c r="AF58" s="2027"/>
      <c r="AG58" s="2061"/>
      <c r="AH58" s="2028">
        <f t="shared" si="54"/>
        <v>0</v>
      </c>
      <c r="AI58" s="2155" t="e">
        <f t="shared" si="44"/>
        <v>#DIV/0!</v>
      </c>
      <c r="AJ58" s="2160"/>
      <c r="AK58" s="2059">
        <f t="shared" si="55"/>
        <v>0</v>
      </c>
      <c r="AL58" s="2059">
        <f t="shared" si="55"/>
        <v>0</v>
      </c>
      <c r="AM58" s="2028">
        <f t="shared" si="56"/>
        <v>0</v>
      </c>
      <c r="AN58" s="2155">
        <f t="shared" si="39"/>
        <v>0</v>
      </c>
      <c r="AO58" s="2157"/>
    </row>
    <row r="59" spans="1:41" ht="13.8" x14ac:dyDescent="0.25">
      <c r="A59" s="1586"/>
      <c r="B59" s="2506" t="s">
        <v>66</v>
      </c>
      <c r="C59" s="2578"/>
      <c r="D59" s="2580"/>
      <c r="E59" s="2591">
        <f t="shared" si="47"/>
        <v>0</v>
      </c>
      <c r="F59" s="2155" t="e">
        <f t="shared" si="57"/>
        <v>#DIV/0!</v>
      </c>
      <c r="G59" s="2061"/>
      <c r="H59" s="2061"/>
      <c r="I59" s="2028">
        <f t="shared" si="48"/>
        <v>0</v>
      </c>
      <c r="J59" s="2155">
        <f t="shared" si="49"/>
        <v>0</v>
      </c>
      <c r="K59" s="2159"/>
      <c r="L59" s="2061"/>
      <c r="M59" s="2061"/>
      <c r="N59" s="2028">
        <f t="shared" si="50"/>
        <v>0</v>
      </c>
      <c r="O59" s="2155" t="e">
        <f t="shared" si="40"/>
        <v>#DIV/0!</v>
      </c>
      <c r="P59" s="2159"/>
      <c r="Q59" s="2027"/>
      <c r="R59" s="2061"/>
      <c r="S59" s="2028">
        <f t="shared" si="51"/>
        <v>0</v>
      </c>
      <c r="T59" s="2155">
        <f t="shared" si="46"/>
        <v>0</v>
      </c>
      <c r="U59" s="2062"/>
      <c r="V59" s="2027"/>
      <c r="W59" s="2061"/>
      <c r="X59" s="2028">
        <f t="shared" si="52"/>
        <v>0</v>
      </c>
      <c r="Y59" s="2155" t="e">
        <f t="shared" si="42"/>
        <v>#DIV/0!</v>
      </c>
      <c r="Z59" s="2159"/>
      <c r="AA59" s="2027"/>
      <c r="AB59" s="2061"/>
      <c r="AC59" s="2028">
        <f t="shared" si="53"/>
        <v>0</v>
      </c>
      <c r="AD59" s="2155" t="e">
        <f t="shared" si="43"/>
        <v>#DIV/0!</v>
      </c>
      <c r="AE59" s="2159"/>
      <c r="AF59" s="2027"/>
      <c r="AG59" s="2061"/>
      <c r="AH59" s="2028">
        <f t="shared" si="54"/>
        <v>0</v>
      </c>
      <c r="AI59" s="2155" t="e">
        <f t="shared" si="44"/>
        <v>#DIV/0!</v>
      </c>
      <c r="AJ59" s="2159"/>
      <c r="AK59" s="2059">
        <f t="shared" si="55"/>
        <v>0</v>
      </c>
      <c r="AL59" s="2059">
        <f t="shared" si="55"/>
        <v>0</v>
      </c>
      <c r="AM59" s="2028">
        <f t="shared" si="56"/>
        <v>0</v>
      </c>
      <c r="AN59" s="2155">
        <f t="shared" si="39"/>
        <v>0</v>
      </c>
      <c r="AO59" s="2157"/>
    </row>
    <row r="60" spans="1:41" ht="13.8" x14ac:dyDescent="0.25">
      <c r="A60" s="1586"/>
      <c r="B60" s="2506" t="s">
        <v>65</v>
      </c>
      <c r="C60" s="2578"/>
      <c r="D60" s="2580"/>
      <c r="E60" s="2591">
        <f t="shared" si="47"/>
        <v>0</v>
      </c>
      <c r="F60" s="2155" t="e">
        <f t="shared" si="57"/>
        <v>#DIV/0!</v>
      </c>
      <c r="G60" s="2061"/>
      <c r="H60" s="2061"/>
      <c r="I60" s="2028">
        <f t="shared" si="48"/>
        <v>0</v>
      </c>
      <c r="J60" s="2155">
        <f t="shared" si="49"/>
        <v>0</v>
      </c>
      <c r="K60" s="2159"/>
      <c r="L60" s="2061"/>
      <c r="M60" s="2061"/>
      <c r="N60" s="2028">
        <f t="shared" si="50"/>
        <v>0</v>
      </c>
      <c r="O60" s="2155" t="e">
        <f t="shared" si="40"/>
        <v>#DIV/0!</v>
      </c>
      <c r="P60" s="2159"/>
      <c r="Q60" s="2027"/>
      <c r="R60" s="2061"/>
      <c r="S60" s="2028">
        <f t="shared" si="51"/>
        <v>0</v>
      </c>
      <c r="T60" s="2155">
        <f t="shared" si="46"/>
        <v>0</v>
      </c>
      <c r="U60" s="2062"/>
      <c r="V60" s="2027"/>
      <c r="W60" s="2061"/>
      <c r="X60" s="2028">
        <f t="shared" si="52"/>
        <v>0</v>
      </c>
      <c r="Y60" s="2155" t="e">
        <f t="shared" si="42"/>
        <v>#DIV/0!</v>
      </c>
      <c r="Z60" s="2159"/>
      <c r="AA60" s="2027"/>
      <c r="AB60" s="2061"/>
      <c r="AC60" s="2028">
        <f t="shared" si="53"/>
        <v>0</v>
      </c>
      <c r="AD60" s="2155" t="e">
        <f t="shared" si="43"/>
        <v>#DIV/0!</v>
      </c>
      <c r="AE60" s="2159"/>
      <c r="AF60" s="2027"/>
      <c r="AG60" s="2061"/>
      <c r="AH60" s="2028">
        <f t="shared" si="54"/>
        <v>0</v>
      </c>
      <c r="AI60" s="2155" t="e">
        <f t="shared" si="44"/>
        <v>#DIV/0!</v>
      </c>
      <c r="AJ60" s="2159"/>
      <c r="AK60" s="2059">
        <f t="shared" si="55"/>
        <v>0</v>
      </c>
      <c r="AL60" s="2059">
        <f t="shared" si="55"/>
        <v>0</v>
      </c>
      <c r="AM60" s="2028">
        <f t="shared" si="56"/>
        <v>0</v>
      </c>
      <c r="AN60" s="2155">
        <f t="shared" si="39"/>
        <v>0</v>
      </c>
      <c r="AO60" s="2157"/>
    </row>
    <row r="61" spans="1:41" ht="13.8" x14ac:dyDescent="0.25">
      <c r="A61" s="1586"/>
      <c r="B61" s="2506" t="s">
        <v>32</v>
      </c>
      <c r="C61" s="2578"/>
      <c r="D61" s="2580"/>
      <c r="E61" s="2591">
        <f t="shared" si="47"/>
        <v>0</v>
      </c>
      <c r="F61" s="2155" t="e">
        <f t="shared" si="57"/>
        <v>#DIV/0!</v>
      </c>
      <c r="G61" s="2061"/>
      <c r="H61" s="2061"/>
      <c r="I61" s="2028">
        <f t="shared" si="48"/>
        <v>0</v>
      </c>
      <c r="J61" s="2155">
        <f t="shared" si="49"/>
        <v>0</v>
      </c>
      <c r="K61" s="2159"/>
      <c r="L61" s="2061"/>
      <c r="M61" s="2061"/>
      <c r="N61" s="2028">
        <f t="shared" si="50"/>
        <v>0</v>
      </c>
      <c r="O61" s="2155" t="e">
        <f t="shared" si="40"/>
        <v>#DIV/0!</v>
      </c>
      <c r="P61" s="2159"/>
      <c r="Q61" s="2027"/>
      <c r="R61" s="2061"/>
      <c r="S61" s="2028">
        <f t="shared" si="51"/>
        <v>0</v>
      </c>
      <c r="T61" s="2155">
        <f t="shared" si="46"/>
        <v>0</v>
      </c>
      <c r="U61" s="2062"/>
      <c r="V61" s="2027"/>
      <c r="W61" s="2061"/>
      <c r="X61" s="2028">
        <f t="shared" si="52"/>
        <v>0</v>
      </c>
      <c r="Y61" s="2155" t="e">
        <f t="shared" si="42"/>
        <v>#DIV/0!</v>
      </c>
      <c r="Z61" s="2159"/>
      <c r="AA61" s="2027"/>
      <c r="AB61" s="2061"/>
      <c r="AC61" s="2028">
        <f t="shared" si="53"/>
        <v>0</v>
      </c>
      <c r="AD61" s="2155" t="e">
        <f t="shared" si="43"/>
        <v>#DIV/0!</v>
      </c>
      <c r="AE61" s="2159"/>
      <c r="AF61" s="2027"/>
      <c r="AG61" s="2061"/>
      <c r="AH61" s="2028">
        <f t="shared" si="54"/>
        <v>0</v>
      </c>
      <c r="AI61" s="2155" t="e">
        <f t="shared" si="44"/>
        <v>#DIV/0!</v>
      </c>
      <c r="AJ61" s="2159"/>
      <c r="AK61" s="2059">
        <f t="shared" si="55"/>
        <v>0</v>
      </c>
      <c r="AL61" s="2059">
        <f t="shared" si="55"/>
        <v>0</v>
      </c>
      <c r="AM61" s="2028">
        <f t="shared" si="56"/>
        <v>0</v>
      </c>
      <c r="AN61" s="2155">
        <f t="shared" si="39"/>
        <v>0</v>
      </c>
      <c r="AO61" s="2157"/>
    </row>
    <row r="62" spans="1:41" ht="13.8" x14ac:dyDescent="0.25">
      <c r="A62" s="1586"/>
      <c r="B62" s="2506" t="s">
        <v>33</v>
      </c>
      <c r="C62" s="2597"/>
      <c r="D62" s="2580"/>
      <c r="E62" s="2591">
        <f t="shared" si="47"/>
        <v>0</v>
      </c>
      <c r="F62" s="2155" t="e">
        <f t="shared" si="57"/>
        <v>#DIV/0!</v>
      </c>
      <c r="G62" s="2061"/>
      <c r="H62" s="2061"/>
      <c r="I62" s="2028">
        <f t="shared" si="48"/>
        <v>0</v>
      </c>
      <c r="J62" s="2155">
        <f t="shared" si="49"/>
        <v>0</v>
      </c>
      <c r="K62" s="2159"/>
      <c r="L62" s="2061"/>
      <c r="M62" s="2061"/>
      <c r="N62" s="2028">
        <f t="shared" si="50"/>
        <v>0</v>
      </c>
      <c r="O62" s="2155" t="e">
        <f t="shared" si="40"/>
        <v>#DIV/0!</v>
      </c>
      <c r="P62" s="2159"/>
      <c r="Q62" s="2027"/>
      <c r="R62" s="2061"/>
      <c r="S62" s="2028">
        <f t="shared" si="51"/>
        <v>0</v>
      </c>
      <c r="T62" s="2155">
        <f t="shared" si="46"/>
        <v>0</v>
      </c>
      <c r="U62" s="2062"/>
      <c r="V62" s="2027"/>
      <c r="W62" s="2061"/>
      <c r="X62" s="2028">
        <f t="shared" si="52"/>
        <v>0</v>
      </c>
      <c r="Y62" s="2155" t="e">
        <f t="shared" si="42"/>
        <v>#DIV/0!</v>
      </c>
      <c r="Z62" s="2159"/>
      <c r="AA62" s="2027"/>
      <c r="AB62" s="2061"/>
      <c r="AC62" s="2028">
        <f t="shared" si="53"/>
        <v>0</v>
      </c>
      <c r="AD62" s="2155" t="e">
        <f t="shared" si="43"/>
        <v>#DIV/0!</v>
      </c>
      <c r="AE62" s="2159"/>
      <c r="AF62" s="2027"/>
      <c r="AG62" s="2061"/>
      <c r="AH62" s="2028">
        <f t="shared" si="54"/>
        <v>0</v>
      </c>
      <c r="AI62" s="2155" t="e">
        <f t="shared" si="44"/>
        <v>#DIV/0!</v>
      </c>
      <c r="AJ62" s="2159"/>
      <c r="AK62" s="2059">
        <f t="shared" si="55"/>
        <v>0</v>
      </c>
      <c r="AL62" s="2059">
        <f t="shared" si="55"/>
        <v>0</v>
      </c>
      <c r="AM62" s="2028">
        <f t="shared" si="56"/>
        <v>0</v>
      </c>
      <c r="AN62" s="2155">
        <f t="shared" si="39"/>
        <v>0</v>
      </c>
      <c r="AO62" s="2157"/>
    </row>
    <row r="63" spans="1:41" ht="13.8" x14ac:dyDescent="0.25">
      <c r="A63" s="1586"/>
      <c r="B63" s="2506" t="s">
        <v>35</v>
      </c>
      <c r="C63" s="2597"/>
      <c r="D63" s="2580"/>
      <c r="E63" s="2591">
        <f t="shared" si="47"/>
        <v>0</v>
      </c>
      <c r="F63" s="2155" t="e">
        <f t="shared" si="57"/>
        <v>#DIV/0!</v>
      </c>
      <c r="G63" s="2059"/>
      <c r="H63" s="2061"/>
      <c r="I63" s="2028">
        <f t="shared" si="48"/>
        <v>0</v>
      </c>
      <c r="J63" s="2155">
        <f t="shared" si="49"/>
        <v>0</v>
      </c>
      <c r="K63" s="2160"/>
      <c r="L63" s="2059"/>
      <c r="M63" s="2061"/>
      <c r="N63" s="2028">
        <f t="shared" si="50"/>
        <v>0</v>
      </c>
      <c r="O63" s="2155" t="e">
        <f t="shared" si="40"/>
        <v>#DIV/0!</v>
      </c>
      <c r="P63" s="2160"/>
      <c r="Q63" s="2027"/>
      <c r="R63" s="1967"/>
      <c r="S63" s="2028">
        <f>Q63+R63*1</f>
        <v>0</v>
      </c>
      <c r="T63" s="2155">
        <f t="shared" si="46"/>
        <v>0</v>
      </c>
      <c r="U63" s="2062"/>
      <c r="V63" s="2067"/>
      <c r="W63" s="2061"/>
      <c r="X63" s="2028">
        <f t="shared" si="52"/>
        <v>0</v>
      </c>
      <c r="Y63" s="2155" t="e">
        <f t="shared" si="42"/>
        <v>#DIV/0!</v>
      </c>
      <c r="Z63" s="2160"/>
      <c r="AA63" s="2067"/>
      <c r="AB63" s="2061"/>
      <c r="AC63" s="2028">
        <f t="shared" si="53"/>
        <v>0</v>
      </c>
      <c r="AD63" s="2155" t="e">
        <f t="shared" si="43"/>
        <v>#DIV/0!</v>
      </c>
      <c r="AE63" s="2160"/>
      <c r="AF63" s="2067"/>
      <c r="AG63" s="2061"/>
      <c r="AH63" s="2028">
        <f t="shared" si="54"/>
        <v>0</v>
      </c>
      <c r="AI63" s="2155" t="e">
        <f t="shared" si="44"/>
        <v>#DIV/0!</v>
      </c>
      <c r="AJ63" s="2160"/>
      <c r="AK63" s="2059">
        <f t="shared" si="55"/>
        <v>0</v>
      </c>
      <c r="AL63" s="2059">
        <f t="shared" si="55"/>
        <v>0</v>
      </c>
      <c r="AM63" s="2028">
        <f t="shared" si="56"/>
        <v>0</v>
      </c>
      <c r="AN63" s="2155">
        <f t="shared" si="39"/>
        <v>0</v>
      </c>
      <c r="AO63" s="2157"/>
    </row>
    <row r="64" spans="1:41" ht="13.8" x14ac:dyDescent="0.25">
      <c r="A64" s="1586"/>
      <c r="B64" s="2506" t="s">
        <v>63</v>
      </c>
      <c r="C64" s="2597"/>
      <c r="D64" s="2580"/>
      <c r="E64" s="2591">
        <f t="shared" si="47"/>
        <v>0</v>
      </c>
      <c r="F64" s="2155" t="e">
        <f t="shared" si="57"/>
        <v>#DIV/0!</v>
      </c>
      <c r="G64" s="2061"/>
      <c r="H64" s="2061"/>
      <c r="I64" s="2028">
        <f t="shared" si="48"/>
        <v>0</v>
      </c>
      <c r="J64" s="2155">
        <f t="shared" si="49"/>
        <v>0</v>
      </c>
      <c r="K64" s="2159"/>
      <c r="L64" s="2061"/>
      <c r="M64" s="2061"/>
      <c r="N64" s="2028">
        <f t="shared" si="50"/>
        <v>0</v>
      </c>
      <c r="O64" s="2155" t="e">
        <f t="shared" si="40"/>
        <v>#DIV/0!</v>
      </c>
      <c r="P64" s="2159"/>
      <c r="Q64" s="2027"/>
      <c r="R64" s="2061"/>
      <c r="S64" s="2028">
        <f>Q64+R64*1</f>
        <v>0</v>
      </c>
      <c r="T64" s="2155">
        <f t="shared" si="46"/>
        <v>0</v>
      </c>
      <c r="U64" s="2062"/>
      <c r="V64" s="2027"/>
      <c r="W64" s="2061"/>
      <c r="X64" s="2028">
        <f t="shared" si="52"/>
        <v>0</v>
      </c>
      <c r="Y64" s="2155" t="e">
        <f t="shared" si="42"/>
        <v>#DIV/0!</v>
      </c>
      <c r="Z64" s="2159"/>
      <c r="AA64" s="2027"/>
      <c r="AB64" s="2061"/>
      <c r="AC64" s="2028">
        <f t="shared" si="53"/>
        <v>0</v>
      </c>
      <c r="AD64" s="2155" t="e">
        <f t="shared" si="43"/>
        <v>#DIV/0!</v>
      </c>
      <c r="AE64" s="2159"/>
      <c r="AF64" s="2027"/>
      <c r="AG64" s="2061"/>
      <c r="AH64" s="2028">
        <f t="shared" si="54"/>
        <v>0</v>
      </c>
      <c r="AI64" s="2155" t="e">
        <f t="shared" si="44"/>
        <v>#DIV/0!</v>
      </c>
      <c r="AJ64" s="2159"/>
      <c r="AK64" s="2059">
        <f t="shared" si="55"/>
        <v>0</v>
      </c>
      <c r="AL64" s="2059">
        <f t="shared" si="55"/>
        <v>0</v>
      </c>
      <c r="AM64" s="2028">
        <f t="shared" si="56"/>
        <v>0</v>
      </c>
      <c r="AN64" s="2155">
        <f t="shared" si="39"/>
        <v>0</v>
      </c>
      <c r="AO64" s="2157"/>
    </row>
    <row r="65" spans="1:41" ht="27.6" x14ac:dyDescent="0.25">
      <c r="A65" s="1586"/>
      <c r="B65" s="2506" t="s">
        <v>36</v>
      </c>
      <c r="C65" s="2597"/>
      <c r="D65" s="2580"/>
      <c r="E65" s="2591">
        <f t="shared" si="47"/>
        <v>0</v>
      </c>
      <c r="F65" s="2155" t="e">
        <f t="shared" si="57"/>
        <v>#DIV/0!</v>
      </c>
      <c r="G65" s="2059"/>
      <c r="H65" s="2059"/>
      <c r="I65" s="2028">
        <f t="shared" si="48"/>
        <v>0</v>
      </c>
      <c r="J65" s="2155">
        <f t="shared" si="49"/>
        <v>0</v>
      </c>
      <c r="K65" s="2159"/>
      <c r="L65" s="2059"/>
      <c r="M65" s="2059"/>
      <c r="N65" s="2028">
        <f t="shared" si="50"/>
        <v>0</v>
      </c>
      <c r="O65" s="2155" t="e">
        <f t="shared" si="40"/>
        <v>#DIV/0!</v>
      </c>
      <c r="P65" s="2159"/>
      <c r="Q65" s="2061"/>
      <c r="R65" s="2061"/>
      <c r="S65" s="2028">
        <f t="shared" ref="S65:S71" si="58">Q65+R65*1</f>
        <v>0</v>
      </c>
      <c r="T65" s="2155">
        <f t="shared" si="46"/>
        <v>0</v>
      </c>
      <c r="U65" s="2062"/>
      <c r="V65" s="2067"/>
      <c r="W65" s="2059"/>
      <c r="X65" s="2028">
        <f t="shared" si="52"/>
        <v>0</v>
      </c>
      <c r="Y65" s="2155" t="e">
        <f t="shared" si="42"/>
        <v>#DIV/0!</v>
      </c>
      <c r="Z65" s="2159"/>
      <c r="AA65" s="2067"/>
      <c r="AB65" s="2059"/>
      <c r="AC65" s="2028">
        <f t="shared" si="53"/>
        <v>0</v>
      </c>
      <c r="AD65" s="2155" t="e">
        <f t="shared" si="43"/>
        <v>#DIV/0!</v>
      </c>
      <c r="AE65" s="2159"/>
      <c r="AF65" s="2067"/>
      <c r="AG65" s="2059"/>
      <c r="AH65" s="2028">
        <f t="shared" si="54"/>
        <v>0</v>
      </c>
      <c r="AI65" s="2155" t="e">
        <f t="shared" si="44"/>
        <v>#DIV/0!</v>
      </c>
      <c r="AJ65" s="2159"/>
      <c r="AK65" s="2059">
        <f t="shared" si="55"/>
        <v>0</v>
      </c>
      <c r="AL65" s="2059">
        <f t="shared" si="55"/>
        <v>0</v>
      </c>
      <c r="AM65" s="2028">
        <f t="shared" si="56"/>
        <v>0</v>
      </c>
      <c r="AN65" s="2155">
        <f t="shared" si="39"/>
        <v>0</v>
      </c>
      <c r="AO65" s="2157"/>
    </row>
    <row r="66" spans="1:41" s="1411" customFormat="1" ht="82.8" x14ac:dyDescent="0.25">
      <c r="A66" s="1586"/>
      <c r="B66" s="2506" t="s">
        <v>37</v>
      </c>
      <c r="C66" s="2597"/>
      <c r="D66" s="2580"/>
      <c r="E66" s="2591">
        <f t="shared" si="47"/>
        <v>0</v>
      </c>
      <c r="F66" s="2155" t="e">
        <f t="shared" si="57"/>
        <v>#DIV/0!</v>
      </c>
      <c r="G66" s="2059"/>
      <c r="H66" s="2059">
        <v>185</v>
      </c>
      <c r="I66" s="2028">
        <f t="shared" si="48"/>
        <v>185</v>
      </c>
      <c r="J66" s="2155">
        <f t="shared" si="49"/>
        <v>0.88</v>
      </c>
      <c r="K66" s="2598" t="s">
        <v>1655</v>
      </c>
      <c r="L66" s="2059"/>
      <c r="M66" s="2059"/>
      <c r="N66" s="2028">
        <f t="shared" si="50"/>
        <v>0</v>
      </c>
      <c r="O66" s="2155" t="e">
        <f t="shared" si="40"/>
        <v>#DIV/0!</v>
      </c>
      <c r="P66" s="2159"/>
      <c r="Q66" s="2027"/>
      <c r="R66" s="2059"/>
      <c r="S66" s="2028">
        <f t="shared" si="58"/>
        <v>0</v>
      </c>
      <c r="T66" s="2155">
        <f t="shared" si="46"/>
        <v>0</v>
      </c>
      <c r="U66" s="2062"/>
      <c r="V66" s="2067"/>
      <c r="W66" s="2059"/>
      <c r="X66" s="2028">
        <f t="shared" si="52"/>
        <v>0</v>
      </c>
      <c r="Y66" s="2155" t="e">
        <f t="shared" si="42"/>
        <v>#DIV/0!</v>
      </c>
      <c r="Z66" s="2159"/>
      <c r="AA66" s="2067"/>
      <c r="AB66" s="2059"/>
      <c r="AC66" s="2028">
        <f t="shared" si="53"/>
        <v>0</v>
      </c>
      <c r="AD66" s="2155" t="e">
        <f t="shared" si="43"/>
        <v>#DIV/0!</v>
      </c>
      <c r="AE66" s="2159"/>
      <c r="AF66" s="2067"/>
      <c r="AG66" s="2059"/>
      <c r="AH66" s="2028">
        <f t="shared" si="54"/>
        <v>0</v>
      </c>
      <c r="AI66" s="2155" t="e">
        <f t="shared" si="44"/>
        <v>#DIV/0!</v>
      </c>
      <c r="AJ66" s="2159"/>
      <c r="AK66" s="2059">
        <f>G66+L66+Q66+V66+AA66+AF66</f>
        <v>0</v>
      </c>
      <c r="AL66" s="2059">
        <f>H66+M66+R66+W66+AB66+AG66</f>
        <v>185</v>
      </c>
      <c r="AM66" s="2028">
        <f t="shared" si="56"/>
        <v>185</v>
      </c>
      <c r="AN66" s="2155">
        <f t="shared" si="39"/>
        <v>1.0595509274324764E-2</v>
      </c>
      <c r="AO66" s="2157"/>
    </row>
    <row r="67" spans="1:41" s="1411" customFormat="1" ht="13.8" x14ac:dyDescent="0.25">
      <c r="A67" s="1586"/>
      <c r="B67" s="2506" t="s">
        <v>3</v>
      </c>
      <c r="C67" s="2597"/>
      <c r="D67" s="2580"/>
      <c r="E67" s="2591">
        <f t="shared" si="47"/>
        <v>0</v>
      </c>
      <c r="F67" s="2155" t="e">
        <f t="shared" si="57"/>
        <v>#DIV/0!</v>
      </c>
      <c r="G67" s="2059"/>
      <c r="H67" s="2059"/>
      <c r="I67" s="2028">
        <f t="shared" si="48"/>
        <v>0</v>
      </c>
      <c r="J67" s="2155">
        <f t="shared" si="49"/>
        <v>0</v>
      </c>
      <c r="K67" s="2159"/>
      <c r="L67" s="2059"/>
      <c r="M67" s="2059"/>
      <c r="N67" s="2028">
        <f t="shared" si="50"/>
        <v>0</v>
      </c>
      <c r="O67" s="2155" t="e">
        <f t="shared" si="40"/>
        <v>#DIV/0!</v>
      </c>
      <c r="P67" s="2159"/>
      <c r="Q67" s="2027"/>
      <c r="R67" s="2027"/>
      <c r="S67" s="2028">
        <f t="shared" si="58"/>
        <v>0</v>
      </c>
      <c r="T67" s="2155">
        <f t="shared" si="46"/>
        <v>0</v>
      </c>
      <c r="U67" s="2062"/>
      <c r="V67" s="2067"/>
      <c r="W67" s="2059"/>
      <c r="X67" s="2028">
        <f t="shared" si="52"/>
        <v>0</v>
      </c>
      <c r="Y67" s="2155" t="e">
        <f t="shared" si="42"/>
        <v>#DIV/0!</v>
      </c>
      <c r="Z67" s="2159"/>
      <c r="AA67" s="2067"/>
      <c r="AB67" s="2059"/>
      <c r="AC67" s="2028">
        <f t="shared" si="53"/>
        <v>0</v>
      </c>
      <c r="AD67" s="2155" t="e">
        <f t="shared" si="43"/>
        <v>#DIV/0!</v>
      </c>
      <c r="AE67" s="2159"/>
      <c r="AF67" s="2067"/>
      <c r="AG67" s="2059"/>
      <c r="AH67" s="2028">
        <f t="shared" si="54"/>
        <v>0</v>
      </c>
      <c r="AI67" s="2155" t="e">
        <f t="shared" si="44"/>
        <v>#DIV/0!</v>
      </c>
      <c r="AJ67" s="2159"/>
      <c r="AK67" s="2059">
        <f t="shared" si="55"/>
        <v>0</v>
      </c>
      <c r="AL67" s="2059">
        <f t="shared" si="55"/>
        <v>0</v>
      </c>
      <c r="AM67" s="2028">
        <f t="shared" si="56"/>
        <v>0</v>
      </c>
      <c r="AN67" s="2155">
        <f t="shared" si="39"/>
        <v>0</v>
      </c>
      <c r="AO67" s="2157"/>
    </row>
    <row r="68" spans="1:41" s="1411" customFormat="1" ht="13.8" x14ac:dyDescent="0.25">
      <c r="A68" s="1586"/>
      <c r="B68" s="2506" t="s">
        <v>5</v>
      </c>
      <c r="C68" s="2597"/>
      <c r="D68" s="2580"/>
      <c r="E68" s="2591">
        <f t="shared" si="47"/>
        <v>0</v>
      </c>
      <c r="F68" s="2155" t="e">
        <f t="shared" si="57"/>
        <v>#DIV/0!</v>
      </c>
      <c r="G68" s="2059"/>
      <c r="H68" s="2059"/>
      <c r="I68" s="2028">
        <f t="shared" si="48"/>
        <v>0</v>
      </c>
      <c r="J68" s="2155">
        <f t="shared" si="49"/>
        <v>0</v>
      </c>
      <c r="K68" s="2159"/>
      <c r="L68" s="2059"/>
      <c r="M68" s="2059"/>
      <c r="N68" s="2028">
        <f t="shared" si="50"/>
        <v>0</v>
      </c>
      <c r="O68" s="2155" t="e">
        <f t="shared" si="40"/>
        <v>#DIV/0!</v>
      </c>
      <c r="P68" s="2159"/>
      <c r="Q68" s="2027"/>
      <c r="R68" s="2059"/>
      <c r="S68" s="2028">
        <f t="shared" si="58"/>
        <v>0</v>
      </c>
      <c r="T68" s="2155">
        <f t="shared" si="46"/>
        <v>0</v>
      </c>
      <c r="U68" s="2062"/>
      <c r="V68" s="2067"/>
      <c r="W68" s="2059"/>
      <c r="X68" s="2028">
        <f t="shared" si="52"/>
        <v>0</v>
      </c>
      <c r="Y68" s="2155" t="e">
        <f t="shared" si="42"/>
        <v>#DIV/0!</v>
      </c>
      <c r="Z68" s="2159"/>
      <c r="AA68" s="2067"/>
      <c r="AB68" s="2059"/>
      <c r="AC68" s="2028">
        <f t="shared" si="53"/>
        <v>0</v>
      </c>
      <c r="AD68" s="2155" t="e">
        <f t="shared" si="43"/>
        <v>#DIV/0!</v>
      </c>
      <c r="AE68" s="2159"/>
      <c r="AF68" s="2067"/>
      <c r="AG68" s="2059"/>
      <c r="AH68" s="2028">
        <f t="shared" si="54"/>
        <v>0</v>
      </c>
      <c r="AI68" s="2155" t="e">
        <f t="shared" si="44"/>
        <v>#DIV/0!</v>
      </c>
      <c r="AJ68" s="2159"/>
      <c r="AK68" s="2059">
        <f t="shared" si="55"/>
        <v>0</v>
      </c>
      <c r="AL68" s="2059">
        <f t="shared" si="55"/>
        <v>0</v>
      </c>
      <c r="AM68" s="2028">
        <f t="shared" si="56"/>
        <v>0</v>
      </c>
      <c r="AN68" s="2155">
        <f t="shared" si="39"/>
        <v>0</v>
      </c>
      <c r="AO68" s="2157"/>
    </row>
    <row r="69" spans="1:41" s="1411" customFormat="1" ht="13.8" x14ac:dyDescent="0.25">
      <c r="A69" s="1586"/>
      <c r="B69" s="2506" t="s">
        <v>42</v>
      </c>
      <c r="C69" s="2597"/>
      <c r="D69" s="2580"/>
      <c r="E69" s="2591">
        <f t="shared" si="47"/>
        <v>0</v>
      </c>
      <c r="F69" s="2155" t="e">
        <f t="shared" si="57"/>
        <v>#DIV/0!</v>
      </c>
      <c r="G69" s="2059"/>
      <c r="H69" s="2059"/>
      <c r="I69" s="2028">
        <f t="shared" si="48"/>
        <v>0</v>
      </c>
      <c r="J69" s="2155">
        <f t="shared" si="49"/>
        <v>0</v>
      </c>
      <c r="K69" s="2160"/>
      <c r="L69" s="2059"/>
      <c r="M69" s="2059"/>
      <c r="N69" s="2028">
        <f t="shared" si="50"/>
        <v>0</v>
      </c>
      <c r="O69" s="2155" t="e">
        <f t="shared" si="40"/>
        <v>#DIV/0!</v>
      </c>
      <c r="P69" s="2160"/>
      <c r="Q69" s="2027"/>
      <c r="R69" s="2059"/>
      <c r="S69" s="2028">
        <f t="shared" si="58"/>
        <v>0</v>
      </c>
      <c r="T69" s="2155">
        <f t="shared" si="46"/>
        <v>0</v>
      </c>
      <c r="U69" s="2505"/>
      <c r="V69" s="2067"/>
      <c r="W69" s="2059"/>
      <c r="X69" s="2028">
        <f t="shared" si="52"/>
        <v>0</v>
      </c>
      <c r="Y69" s="2155" t="e">
        <f t="shared" si="42"/>
        <v>#DIV/0!</v>
      </c>
      <c r="Z69" s="2160"/>
      <c r="AA69" s="2067"/>
      <c r="AB69" s="2059"/>
      <c r="AC69" s="2028">
        <f t="shared" si="53"/>
        <v>0</v>
      </c>
      <c r="AD69" s="2155" t="e">
        <f t="shared" si="43"/>
        <v>#DIV/0!</v>
      </c>
      <c r="AE69" s="2160"/>
      <c r="AF69" s="2067"/>
      <c r="AG69" s="2059"/>
      <c r="AH69" s="2028">
        <f t="shared" si="54"/>
        <v>0</v>
      </c>
      <c r="AI69" s="2155" t="e">
        <f t="shared" si="44"/>
        <v>#DIV/0!</v>
      </c>
      <c r="AJ69" s="2160"/>
      <c r="AK69" s="2059">
        <f t="shared" si="55"/>
        <v>0</v>
      </c>
      <c r="AL69" s="2059">
        <f t="shared" si="55"/>
        <v>0</v>
      </c>
      <c r="AM69" s="2028">
        <f t="shared" si="56"/>
        <v>0</v>
      </c>
      <c r="AN69" s="2155">
        <f t="shared" si="39"/>
        <v>0</v>
      </c>
      <c r="AO69" s="2157"/>
    </row>
    <row r="70" spans="1:41" s="1411" customFormat="1" ht="13.8" x14ac:dyDescent="0.25">
      <c r="A70" s="1586"/>
      <c r="B70" s="2506" t="s">
        <v>6</v>
      </c>
      <c r="C70" s="2597"/>
      <c r="D70" s="2580"/>
      <c r="E70" s="2591">
        <f t="shared" si="47"/>
        <v>0</v>
      </c>
      <c r="F70" s="2155" t="e">
        <f t="shared" si="57"/>
        <v>#DIV/0!</v>
      </c>
      <c r="G70" s="2059"/>
      <c r="H70" s="2059"/>
      <c r="I70" s="2028">
        <f t="shared" si="48"/>
        <v>0</v>
      </c>
      <c r="J70" s="2155">
        <f t="shared" si="49"/>
        <v>0</v>
      </c>
      <c r="K70" s="2159"/>
      <c r="L70" s="2059"/>
      <c r="M70" s="2059"/>
      <c r="N70" s="2028">
        <f t="shared" si="50"/>
        <v>0</v>
      </c>
      <c r="O70" s="2155" t="e">
        <f t="shared" si="40"/>
        <v>#DIV/0!</v>
      </c>
      <c r="P70" s="2159"/>
      <c r="Q70" s="2027"/>
      <c r="R70" s="2067"/>
      <c r="S70" s="2028">
        <f t="shared" si="58"/>
        <v>0</v>
      </c>
      <c r="T70" s="2155">
        <f t="shared" si="46"/>
        <v>0</v>
      </c>
      <c r="U70" s="2062"/>
      <c r="V70" s="2067"/>
      <c r="W70" s="2059"/>
      <c r="X70" s="2028">
        <f t="shared" si="52"/>
        <v>0</v>
      </c>
      <c r="Y70" s="2155" t="e">
        <f t="shared" si="42"/>
        <v>#DIV/0!</v>
      </c>
      <c r="Z70" s="2159"/>
      <c r="AA70" s="2067"/>
      <c r="AB70" s="2059"/>
      <c r="AC70" s="2028">
        <f t="shared" si="53"/>
        <v>0</v>
      </c>
      <c r="AD70" s="2155" t="e">
        <f t="shared" si="43"/>
        <v>#DIV/0!</v>
      </c>
      <c r="AE70" s="2159"/>
      <c r="AF70" s="2067"/>
      <c r="AG70" s="2059"/>
      <c r="AH70" s="2028">
        <f t="shared" si="54"/>
        <v>0</v>
      </c>
      <c r="AI70" s="2155" t="e">
        <f t="shared" si="44"/>
        <v>#DIV/0!</v>
      </c>
      <c r="AJ70" s="2159"/>
      <c r="AK70" s="2059">
        <f t="shared" si="55"/>
        <v>0</v>
      </c>
      <c r="AL70" s="2059">
        <f t="shared" si="55"/>
        <v>0</v>
      </c>
      <c r="AM70" s="2028">
        <f t="shared" si="56"/>
        <v>0</v>
      </c>
      <c r="AN70" s="2155">
        <f t="shared" si="39"/>
        <v>0</v>
      </c>
      <c r="AO70" s="2157"/>
    </row>
    <row r="71" spans="1:41" s="1411" customFormat="1" ht="13.8" x14ac:dyDescent="0.25">
      <c r="A71" s="1586"/>
      <c r="B71" s="2506" t="s">
        <v>78</v>
      </c>
      <c r="C71" s="2597"/>
      <c r="D71" s="2580"/>
      <c r="E71" s="2591">
        <f t="shared" si="47"/>
        <v>0</v>
      </c>
      <c r="F71" s="2033" t="e">
        <f t="shared" si="57"/>
        <v>#DIV/0!</v>
      </c>
      <c r="G71" s="2059"/>
      <c r="H71" s="2059"/>
      <c r="I71" s="2028">
        <f t="shared" si="48"/>
        <v>0</v>
      </c>
      <c r="J71" s="2155">
        <f t="shared" si="49"/>
        <v>0</v>
      </c>
      <c r="K71" s="2159"/>
      <c r="L71" s="2059"/>
      <c r="M71" s="2059"/>
      <c r="N71" s="2028">
        <f t="shared" si="50"/>
        <v>0</v>
      </c>
      <c r="O71" s="2155" t="e">
        <f t="shared" si="40"/>
        <v>#DIV/0!</v>
      </c>
      <c r="P71" s="2159"/>
      <c r="Q71" s="2067"/>
      <c r="R71" s="2059"/>
      <c r="S71" s="2028">
        <f t="shared" si="58"/>
        <v>0</v>
      </c>
      <c r="T71" s="2155">
        <f t="shared" si="46"/>
        <v>0</v>
      </c>
      <c r="U71" s="2062"/>
      <c r="V71" s="2067"/>
      <c r="W71" s="2059"/>
      <c r="X71" s="2028">
        <f t="shared" si="52"/>
        <v>0</v>
      </c>
      <c r="Y71" s="2155" t="e">
        <f t="shared" si="42"/>
        <v>#DIV/0!</v>
      </c>
      <c r="Z71" s="2159"/>
      <c r="AA71" s="2067"/>
      <c r="AB71" s="2059"/>
      <c r="AC71" s="2028">
        <f t="shared" si="53"/>
        <v>0</v>
      </c>
      <c r="AD71" s="2155" t="e">
        <f t="shared" si="43"/>
        <v>#DIV/0!</v>
      </c>
      <c r="AE71" s="2159"/>
      <c r="AF71" s="2067"/>
      <c r="AG71" s="2059"/>
      <c r="AH71" s="2028">
        <f t="shared" si="54"/>
        <v>0</v>
      </c>
      <c r="AI71" s="2155" t="e">
        <f t="shared" si="44"/>
        <v>#DIV/0!</v>
      </c>
      <c r="AJ71" s="2159"/>
      <c r="AK71" s="2059">
        <f t="shared" si="55"/>
        <v>0</v>
      </c>
      <c r="AL71" s="2059">
        <f t="shared" si="55"/>
        <v>0</v>
      </c>
      <c r="AM71" s="2028">
        <f t="shared" si="56"/>
        <v>0</v>
      </c>
      <c r="AN71" s="2155">
        <f t="shared" si="39"/>
        <v>0</v>
      </c>
      <c r="AO71" s="2157"/>
    </row>
    <row r="72" spans="1:41" s="1411" customFormat="1" ht="14.4" thickBot="1" x14ac:dyDescent="0.3">
      <c r="A72" s="1586"/>
      <c r="B72" s="2507"/>
      <c r="C72" s="2508"/>
      <c r="D72" s="2509"/>
      <c r="E72" s="2510"/>
      <c r="F72" s="2033" t="e">
        <f t="shared" si="57"/>
        <v>#DIV/0!</v>
      </c>
      <c r="G72" s="2043"/>
      <c r="H72" s="2043"/>
      <c r="I72" s="2046"/>
      <c r="J72" s="2033">
        <f t="shared" si="49"/>
        <v>0</v>
      </c>
      <c r="K72" s="2047"/>
      <c r="L72" s="2043"/>
      <c r="M72" s="2043"/>
      <c r="N72" s="2046"/>
      <c r="O72" s="2033"/>
      <c r="P72" s="2047"/>
      <c r="Q72" s="2045"/>
      <c r="R72" s="2043"/>
      <c r="S72" s="2046"/>
      <c r="T72" s="2033"/>
      <c r="U72" s="2006"/>
      <c r="V72" s="2045"/>
      <c r="W72" s="2043"/>
      <c r="X72" s="2046"/>
      <c r="Y72" s="2033"/>
      <c r="Z72" s="2047"/>
      <c r="AA72" s="2045"/>
      <c r="AB72" s="2043"/>
      <c r="AC72" s="2046"/>
      <c r="AD72" s="2033"/>
      <c r="AE72" s="2047"/>
      <c r="AF72" s="2045"/>
      <c r="AG72" s="2043"/>
      <c r="AH72" s="2046"/>
      <c r="AI72" s="2033"/>
      <c r="AJ72" s="2047"/>
      <c r="AK72" s="2043"/>
      <c r="AL72" s="2043"/>
      <c r="AM72" s="2046"/>
      <c r="AN72" s="2033">
        <f t="shared" si="39"/>
        <v>0</v>
      </c>
      <c r="AO72" s="1944"/>
    </row>
    <row r="73" spans="1:41" s="1411" customFormat="1" ht="14.4" thickBot="1" x14ac:dyDescent="0.3">
      <c r="A73" s="1586"/>
      <c r="B73" s="903" t="s">
        <v>4</v>
      </c>
      <c r="C73" s="1599">
        <f>C74</f>
        <v>0</v>
      </c>
      <c r="D73" s="843">
        <f>D74</f>
        <v>0</v>
      </c>
      <c r="E73" s="1599">
        <f>E74</f>
        <v>0</v>
      </c>
      <c r="F73" s="838" t="e">
        <f>E73/$E$89</f>
        <v>#DIV/0!</v>
      </c>
      <c r="G73" s="1599">
        <f>G74</f>
        <v>0</v>
      </c>
      <c r="H73" s="1704">
        <f>H74</f>
        <v>0</v>
      </c>
      <c r="I73" s="1703">
        <f>I74</f>
        <v>0</v>
      </c>
      <c r="J73" s="1704"/>
      <c r="K73" s="1712"/>
      <c r="L73" s="1599">
        <f>L74</f>
        <v>0</v>
      </c>
      <c r="M73" s="1704">
        <f>M74</f>
        <v>0</v>
      </c>
      <c r="N73" s="1703">
        <f>N74</f>
        <v>0</v>
      </c>
      <c r="O73" s="1704" t="e">
        <f t="shared" si="40"/>
        <v>#DIV/0!</v>
      </c>
      <c r="P73" s="1712"/>
      <c r="Q73" s="1599">
        <f>Q74</f>
        <v>0</v>
      </c>
      <c r="R73" s="1599">
        <f>R74</f>
        <v>0</v>
      </c>
      <c r="S73" s="1703">
        <f>S74</f>
        <v>0</v>
      </c>
      <c r="T73" s="1704">
        <f t="shared" ref="T73:T74" si="59">S73/S$89</f>
        <v>0</v>
      </c>
      <c r="U73" s="1747"/>
      <c r="V73" s="1599">
        <f>V74</f>
        <v>0</v>
      </c>
      <c r="W73" s="1704">
        <f>W74</f>
        <v>0</v>
      </c>
      <c r="X73" s="1703">
        <f>X74</f>
        <v>0</v>
      </c>
      <c r="Y73" s="1704" t="e">
        <f t="shared" si="42"/>
        <v>#DIV/0!</v>
      </c>
      <c r="Z73" s="1712"/>
      <c r="AA73" s="1599">
        <f>AA74</f>
        <v>0</v>
      </c>
      <c r="AB73" s="1704">
        <f>AB74</f>
        <v>0</v>
      </c>
      <c r="AC73" s="1703">
        <f>AC74</f>
        <v>0</v>
      </c>
      <c r="AD73" s="1704" t="e">
        <f t="shared" si="43"/>
        <v>#DIV/0!</v>
      </c>
      <c r="AE73" s="1712"/>
      <c r="AF73" s="1599">
        <f>AF74</f>
        <v>0</v>
      </c>
      <c r="AG73" s="1704">
        <f>AG74</f>
        <v>0</v>
      </c>
      <c r="AH73" s="1703">
        <f>AH74</f>
        <v>0</v>
      </c>
      <c r="AI73" s="1704" t="e">
        <f t="shared" si="44"/>
        <v>#DIV/0!</v>
      </c>
      <c r="AJ73" s="1712"/>
      <c r="AK73" s="1599">
        <f>AK74</f>
        <v>0</v>
      </c>
      <c r="AL73" s="1704">
        <f>AL74</f>
        <v>0</v>
      </c>
      <c r="AM73" s="1703">
        <f>AM74</f>
        <v>0</v>
      </c>
      <c r="AN73" s="1704"/>
      <c r="AO73" s="1704"/>
    </row>
    <row r="74" spans="1:41" s="1411" customFormat="1" ht="14.4" thickBot="1" x14ac:dyDescent="0.3">
      <c r="A74" s="1428"/>
      <c r="B74" s="1080" t="s">
        <v>64</v>
      </c>
      <c r="C74" s="1109">
        <f>C6*3%</f>
        <v>0</v>
      </c>
      <c r="D74" s="305"/>
      <c r="E74" s="306">
        <f>C74+D74</f>
        <v>0</v>
      </c>
      <c r="F74" s="307"/>
      <c r="G74" s="2059"/>
      <c r="H74" s="2059"/>
      <c r="I74" s="841">
        <f>G74+H74*1</f>
        <v>0</v>
      </c>
      <c r="J74" s="1663"/>
      <c r="K74" s="1663"/>
      <c r="L74" s="2059"/>
      <c r="M74" s="2059"/>
      <c r="N74" s="841">
        <f>L74+M74*1</f>
        <v>0</v>
      </c>
      <c r="O74" s="1663" t="e">
        <f t="shared" si="40"/>
        <v>#DIV/0!</v>
      </c>
      <c r="P74" s="1663"/>
      <c r="Q74" s="2044"/>
      <c r="R74" s="2041"/>
      <c r="S74" s="1643">
        <f>Q74+R74*1</f>
        <v>0</v>
      </c>
      <c r="T74" s="1679">
        <f t="shared" si="59"/>
        <v>0</v>
      </c>
      <c r="U74" s="1690"/>
      <c r="V74" s="2067"/>
      <c r="W74" s="2059"/>
      <c r="X74" s="841">
        <f>V74+W74*1</f>
        <v>0</v>
      </c>
      <c r="Y74" s="1663" t="e">
        <f t="shared" si="42"/>
        <v>#DIV/0!</v>
      </c>
      <c r="Z74" s="1663"/>
      <c r="AA74" s="2067"/>
      <c r="AB74" s="2059"/>
      <c r="AC74" s="841">
        <f>AA74+AB74*1</f>
        <v>0</v>
      </c>
      <c r="AD74" s="1663" t="e">
        <f t="shared" si="43"/>
        <v>#DIV/0!</v>
      </c>
      <c r="AE74" s="1663"/>
      <c r="AF74" s="2067"/>
      <c r="AG74" s="2059"/>
      <c r="AH74" s="841">
        <f>AF74+AG74*1</f>
        <v>0</v>
      </c>
      <c r="AI74" s="1663" t="e">
        <f t="shared" si="44"/>
        <v>#DIV/0!</v>
      </c>
      <c r="AJ74" s="1663"/>
      <c r="AK74" s="2059">
        <f t="shared" ref="AK74:AL74" si="60">G74+L74+Q74+V74+AA74+AF74</f>
        <v>0</v>
      </c>
      <c r="AL74" s="2059">
        <f t="shared" si="60"/>
        <v>0</v>
      </c>
      <c r="AM74" s="841">
        <f>AK74+AL74*1</f>
        <v>0</v>
      </c>
      <c r="AN74" s="1663"/>
      <c r="AO74" s="1663"/>
    </row>
    <row r="75" spans="1:41" s="1411" customFormat="1" ht="14.4" thickBot="1" x14ac:dyDescent="0.3">
      <c r="A75" s="1414"/>
      <c r="B75" s="1431" t="s">
        <v>48</v>
      </c>
      <c r="C75" s="1974">
        <f>C38-C41-C50-C54</f>
        <v>0</v>
      </c>
      <c r="D75" s="1974">
        <f>D38-D41-D50-D54</f>
        <v>0</v>
      </c>
      <c r="E75" s="1523">
        <f>E38-E41-E50-E54</f>
        <v>0</v>
      </c>
      <c r="F75" s="1551"/>
      <c r="G75" s="1465">
        <f>G38-G41-G50-G54</f>
        <v>0</v>
      </c>
      <c r="H75" s="1465">
        <f>H38-H41-H50-H54</f>
        <v>-185</v>
      </c>
      <c r="I75" s="1523">
        <f>I38-I41-I50-I54</f>
        <v>-185</v>
      </c>
      <c r="J75" s="1969"/>
      <c r="K75" s="1614"/>
      <c r="L75" s="1465">
        <f>L38-L41-L50-L54</f>
        <v>0</v>
      </c>
      <c r="M75" s="1465">
        <f>M38-M41-M50-M54</f>
        <v>0</v>
      </c>
      <c r="N75" s="1523">
        <f>N38-N41-N50-N54</f>
        <v>0</v>
      </c>
      <c r="O75" s="1969"/>
      <c r="P75" s="1614"/>
      <c r="Q75" s="1465">
        <f>Q38-Q41-Q50-Q54</f>
        <v>-17250</v>
      </c>
      <c r="R75" s="1465">
        <f>R38-R41-R50-R54</f>
        <v>0</v>
      </c>
      <c r="S75" s="1523">
        <f>S38-S41-S50-S54</f>
        <v>-17250</v>
      </c>
      <c r="T75" s="1969"/>
      <c r="U75" s="1675"/>
      <c r="V75" s="1465">
        <f>V38-V41-V50-V54</f>
        <v>0</v>
      </c>
      <c r="W75" s="1465">
        <f>W38-W41-W50-W54</f>
        <v>0</v>
      </c>
      <c r="X75" s="1523">
        <f>X38-X41-X50-X54</f>
        <v>0</v>
      </c>
      <c r="Y75" s="1969"/>
      <c r="Z75" s="1614"/>
      <c r="AA75" s="1465">
        <f>AA38-AA41-AA50-AA54</f>
        <v>0</v>
      </c>
      <c r="AB75" s="1465">
        <f>AB38-AB41-AB50-AB54</f>
        <v>0</v>
      </c>
      <c r="AC75" s="1523">
        <f>AC38-AC41-AC50-AC54</f>
        <v>0</v>
      </c>
      <c r="AD75" s="1969"/>
      <c r="AE75" s="1614"/>
      <c r="AF75" s="1465">
        <f>AF38-AF41-AF50-AF54</f>
        <v>0</v>
      </c>
      <c r="AG75" s="1465">
        <f>AG38-AG41-AG50-AG54</f>
        <v>0</v>
      </c>
      <c r="AH75" s="1523">
        <f>AH38-AH41-AH50-AH54</f>
        <v>0</v>
      </c>
      <c r="AI75" s="1969"/>
      <c r="AJ75" s="1614"/>
      <c r="AK75" s="1465">
        <f>AK38-AK41-AK50-AK54</f>
        <v>-17250</v>
      </c>
      <c r="AL75" s="1465">
        <f>AL38-AL41-AL50-AL54</f>
        <v>-185</v>
      </c>
      <c r="AM75" s="1523">
        <f>AM38-AM41-AM50-AM54</f>
        <v>-17435</v>
      </c>
      <c r="AN75" s="1969"/>
      <c r="AO75" s="1969"/>
    </row>
    <row r="76" spans="1:41" s="1411" customFormat="1" ht="13.8" x14ac:dyDescent="0.25">
      <c r="A76" s="1581"/>
      <c r="B76" s="1444" t="s">
        <v>49</v>
      </c>
      <c r="C76" s="1540" t="e">
        <f>C75/C5</f>
        <v>#DIV/0!</v>
      </c>
      <c r="D76" s="1540" t="e">
        <f>D75/D5</f>
        <v>#DIV/0!</v>
      </c>
      <c r="E76" s="1541" t="e">
        <f>E75/E5</f>
        <v>#DIV/0!</v>
      </c>
      <c r="F76" s="1546"/>
      <c r="G76" s="2019" t="e">
        <f>G75/G5</f>
        <v>#DIV/0!</v>
      </c>
      <c r="H76" s="2019" t="e">
        <f>H75/H5</f>
        <v>#DIV/0!</v>
      </c>
      <c r="I76" s="2020" t="e">
        <f>I75/I5</f>
        <v>#DIV/0!</v>
      </c>
      <c r="J76" s="2020"/>
      <c r="K76" s="2038"/>
      <c r="L76" s="2019" t="e">
        <f>L75/L5</f>
        <v>#DIV/0!</v>
      </c>
      <c r="M76" s="2019" t="e">
        <f>M75/M5</f>
        <v>#DIV/0!</v>
      </c>
      <c r="N76" s="2020" t="e">
        <f>N75/N5</f>
        <v>#DIV/0!</v>
      </c>
      <c r="O76" s="2020"/>
      <c r="P76" s="2038"/>
      <c r="Q76" s="2019" t="e">
        <f>Q75/Q5</f>
        <v>#DIV/0!</v>
      </c>
      <c r="R76" s="2019" t="e">
        <f>R75/R5</f>
        <v>#DIV/0!</v>
      </c>
      <c r="S76" s="2020" t="e">
        <f>S75/S5</f>
        <v>#DIV/0!</v>
      </c>
      <c r="T76" s="2020"/>
      <c r="U76" s="1676"/>
      <c r="V76" s="2019" t="e">
        <f>V75/V5</f>
        <v>#DIV/0!</v>
      </c>
      <c r="W76" s="2019" t="e">
        <f>W75/W5</f>
        <v>#DIV/0!</v>
      </c>
      <c r="X76" s="2020" t="e">
        <f>X75/X5</f>
        <v>#DIV/0!</v>
      </c>
      <c r="Y76" s="2020"/>
      <c r="Z76" s="2038"/>
      <c r="AA76" s="2019" t="e">
        <f>AA75/AA5</f>
        <v>#DIV/0!</v>
      </c>
      <c r="AB76" s="2019" t="e">
        <f>AB75/AB5</f>
        <v>#DIV/0!</v>
      </c>
      <c r="AC76" s="2020" t="e">
        <f>AC75/AC5</f>
        <v>#DIV/0!</v>
      </c>
      <c r="AD76" s="2020"/>
      <c r="AE76" s="2038"/>
      <c r="AF76" s="2019" t="e">
        <f>AF75/AF5</f>
        <v>#DIV/0!</v>
      </c>
      <c r="AG76" s="2019" t="e">
        <f>AG75/AG5</f>
        <v>#DIV/0!</v>
      </c>
      <c r="AH76" s="2020" t="e">
        <f>AH75/AH5</f>
        <v>#DIV/0!</v>
      </c>
      <c r="AI76" s="2020"/>
      <c r="AJ76" s="2038"/>
      <c r="AK76" s="2019" t="e">
        <f>AK75/AK5</f>
        <v>#DIV/0!</v>
      </c>
      <c r="AL76" s="2019" t="e">
        <f>AL75/AL5</f>
        <v>#DIV/0!</v>
      </c>
      <c r="AM76" s="2020" t="e">
        <f>AM75/AM5</f>
        <v>#DIV/0!</v>
      </c>
      <c r="AN76" s="2020"/>
      <c r="AO76" s="2020"/>
    </row>
    <row r="77" spans="1:41" s="1411" customFormat="1" ht="14.4" thickBot="1" x14ac:dyDescent="0.3">
      <c r="A77" s="1581"/>
      <c r="B77" s="2599" t="s">
        <v>9</v>
      </c>
      <c r="C77" s="2536">
        <f>C78-C79</f>
        <v>0</v>
      </c>
      <c r="D77" s="2536">
        <f>D78-D79</f>
        <v>0</v>
      </c>
      <c r="E77" s="2537">
        <f>E78-E79</f>
        <v>0</v>
      </c>
      <c r="F77" s="2567"/>
      <c r="G77" s="2536">
        <f>G78-G79</f>
        <v>0</v>
      </c>
      <c r="H77" s="2536">
        <f>H78-H79</f>
        <v>0</v>
      </c>
      <c r="I77" s="2537">
        <f>I78-I79</f>
        <v>-25.227272727272727</v>
      </c>
      <c r="J77" s="2538"/>
      <c r="K77" s="2568"/>
      <c r="L77" s="2536">
        <f>L78-L79</f>
        <v>0</v>
      </c>
      <c r="M77" s="2536">
        <f>M78-M79</f>
        <v>0</v>
      </c>
      <c r="N77" s="2537">
        <f>N78-N79</f>
        <v>0</v>
      </c>
      <c r="O77" s="2538"/>
      <c r="P77" s="2568"/>
      <c r="Q77" s="2536">
        <f>Q78-Q79</f>
        <v>0</v>
      </c>
      <c r="R77" s="2536">
        <f>R78-R79</f>
        <v>0</v>
      </c>
      <c r="S77" s="2537">
        <f>S78-S79</f>
        <v>0</v>
      </c>
      <c r="T77" s="2538">
        <f t="shared" ref="T77" si="61">S77/S$89</f>
        <v>0</v>
      </c>
      <c r="U77" s="2539"/>
      <c r="V77" s="2536">
        <f>V78-V79</f>
        <v>0</v>
      </c>
      <c r="W77" s="2536">
        <f>W78-W79</f>
        <v>0</v>
      </c>
      <c r="X77" s="2537">
        <f>X78-X79</f>
        <v>0</v>
      </c>
      <c r="Y77" s="2538"/>
      <c r="Z77" s="2568"/>
      <c r="AA77" s="2536">
        <f>AA78-AA79</f>
        <v>0</v>
      </c>
      <c r="AB77" s="2536">
        <f>AB78-AB79</f>
        <v>0</v>
      </c>
      <c r="AC77" s="2537">
        <f>AC78-AC79</f>
        <v>0</v>
      </c>
      <c r="AD77" s="2538"/>
      <c r="AE77" s="2568"/>
      <c r="AF77" s="2536">
        <f>AF78-AF79</f>
        <v>0</v>
      </c>
      <c r="AG77" s="2536">
        <f>AG78-AG79</f>
        <v>0</v>
      </c>
      <c r="AH77" s="2537">
        <f>AH78-AH79</f>
        <v>0</v>
      </c>
      <c r="AI77" s="2538"/>
      <c r="AJ77" s="2568"/>
      <c r="AK77" s="2536">
        <f>AK78-AK79</f>
        <v>0</v>
      </c>
      <c r="AL77" s="2536">
        <f>AL78-AL79</f>
        <v>0</v>
      </c>
      <c r="AM77" s="2537">
        <f>AM78-AM79</f>
        <v>-25.227272727272727</v>
      </c>
      <c r="AN77" s="2538"/>
      <c r="AO77" s="2538"/>
    </row>
    <row r="78" spans="1:41" s="1411" customFormat="1" ht="13.8" x14ac:dyDescent="0.25">
      <c r="A78" s="1420"/>
      <c r="B78" s="1415" t="s">
        <v>43</v>
      </c>
      <c r="C78" s="1525"/>
      <c r="D78" s="1526"/>
      <c r="E78" s="2523">
        <f>C78+D78*1.15</f>
        <v>0</v>
      </c>
      <c r="F78" s="1562"/>
      <c r="G78" s="2059"/>
      <c r="H78" s="2059"/>
      <c r="I78" s="1467">
        <f>G78+H78*1.15</f>
        <v>0</v>
      </c>
      <c r="J78" s="1467"/>
      <c r="K78" s="1451"/>
      <c r="L78" s="2059"/>
      <c r="M78" s="2059"/>
      <c r="N78" s="1467">
        <f>L78+M78*1.15</f>
        <v>0</v>
      </c>
      <c r="O78" s="1467"/>
      <c r="P78" s="1451"/>
      <c r="Q78" s="2067"/>
      <c r="R78" s="2059"/>
      <c r="S78" s="2131">
        <f>Q78+R78</f>
        <v>0</v>
      </c>
      <c r="T78" s="2155" t="e">
        <f>S78/$AN$89</f>
        <v>#DIV/0!</v>
      </c>
      <c r="U78" s="1677"/>
      <c r="V78" s="2067"/>
      <c r="W78" s="2059"/>
      <c r="X78" s="1467">
        <f>V78+W78*1.15</f>
        <v>0</v>
      </c>
      <c r="Y78" s="1467"/>
      <c r="Z78" s="1451"/>
      <c r="AA78" s="2067"/>
      <c r="AB78" s="2059"/>
      <c r="AC78" s="1467">
        <f>AA78+AB78*1.15</f>
        <v>0</v>
      </c>
      <c r="AD78" s="1467"/>
      <c r="AE78" s="1451"/>
      <c r="AF78" s="2067"/>
      <c r="AG78" s="2059"/>
      <c r="AH78" s="1467">
        <f>AF78+AG78*1.15</f>
        <v>0</v>
      </c>
      <c r="AI78" s="1467"/>
      <c r="AJ78" s="1451"/>
      <c r="AK78" s="2059">
        <f t="shared" ref="AK78:AL79" si="62">G78+L78+Q78+V78+AA78+AF78</f>
        <v>0</v>
      </c>
      <c r="AL78" s="2059">
        <f t="shared" si="62"/>
        <v>0</v>
      </c>
      <c r="AM78" s="1467">
        <f>AK78+AL78*1.15</f>
        <v>0</v>
      </c>
      <c r="AN78" s="1467"/>
      <c r="AO78" s="1467"/>
    </row>
    <row r="79" spans="1:41" s="1411" customFormat="1" ht="13.8" x14ac:dyDescent="0.25">
      <c r="A79" s="1420"/>
      <c r="B79" s="2600" t="s">
        <v>79</v>
      </c>
      <c r="C79" s="2578"/>
      <c r="D79" s="2523"/>
      <c r="E79" s="2523">
        <f>C79+D79*1.15</f>
        <v>0</v>
      </c>
      <c r="F79" s="2504" t="e">
        <f>E79/$E$89</f>
        <v>#DIV/0!</v>
      </c>
      <c r="G79" s="2059"/>
      <c r="H79" s="2059"/>
      <c r="I79" s="2028">
        <f>(H8+H41+H50+H54)/(1-'расчет 2022'!E15)*'расчет 2022'!E15</f>
        <v>25.227272727272727</v>
      </c>
      <c r="J79" s="2164"/>
      <c r="K79" s="2165"/>
      <c r="L79" s="2059"/>
      <c r="M79" s="2059"/>
      <c r="N79" s="2028">
        <f>(M8+M41+M50+M54)/(1-'расчет 2022'!E16)*'расчет 2022'!E16</f>
        <v>0</v>
      </c>
      <c r="O79" s="2164" t="e">
        <f t="shared" ref="O79" si="63">N79/N$89</f>
        <v>#DIV/0!</v>
      </c>
      <c r="P79" s="2165"/>
      <c r="Q79" s="2067"/>
      <c r="R79" s="2059"/>
      <c r="S79" s="2028">
        <f>(R8+R41+R50+R54)/(1-'расчет 2022'!E17)*'расчет 2022'!E17</f>
        <v>0</v>
      </c>
      <c r="T79" s="2155">
        <f t="shared" ref="T79" si="64">S79/S$89</f>
        <v>0</v>
      </c>
      <c r="U79" s="2533"/>
      <c r="V79" s="2067"/>
      <c r="W79" s="2059"/>
      <c r="X79" s="2028">
        <f>(W8+W41+W50+W54)/(1-'расчет 2022'!J17)*'расчет 2022'!E17</f>
        <v>0</v>
      </c>
      <c r="Y79" s="2164" t="e">
        <f t="shared" ref="Y79" si="65">X79/X$89</f>
        <v>#DIV/0!</v>
      </c>
      <c r="Z79" s="2165"/>
      <c r="AA79" s="2067"/>
      <c r="AB79" s="2059"/>
      <c r="AC79" s="2028">
        <f>(AB8+AB41+AB50+AB54)/(1-'расчет 2022'!E19)*'расчет 2022'!E19</f>
        <v>0</v>
      </c>
      <c r="AD79" s="2164" t="e">
        <f t="shared" ref="AD79" si="66">AC79/AC$89</f>
        <v>#DIV/0!</v>
      </c>
      <c r="AE79" s="2165"/>
      <c r="AF79" s="2067"/>
      <c r="AG79" s="2059"/>
      <c r="AH79" s="2028"/>
      <c r="AI79" s="2164" t="e">
        <f t="shared" ref="AI79" si="67">AH79/AH$89</f>
        <v>#DIV/0!</v>
      </c>
      <c r="AJ79" s="2165"/>
      <c r="AK79" s="2059">
        <f t="shared" si="62"/>
        <v>0</v>
      </c>
      <c r="AL79" s="2059">
        <f t="shared" si="62"/>
        <v>0</v>
      </c>
      <c r="AM79" s="2059">
        <f>I79+N79+S79+X79+AC79+AH79</f>
        <v>25.227272727272727</v>
      </c>
      <c r="AN79" s="2164"/>
      <c r="AO79" s="2164"/>
    </row>
    <row r="80" spans="1:41" ht="13.8" x14ac:dyDescent="0.25">
      <c r="A80" s="1412"/>
      <c r="B80" s="2601"/>
      <c r="C80" s="2602"/>
      <c r="D80" s="2603"/>
      <c r="E80" s="2511"/>
      <c r="F80" s="2512"/>
      <c r="G80" s="2059"/>
      <c r="H80" s="2059"/>
      <c r="I80" s="2482"/>
      <c r="J80" s="2482"/>
      <c r="K80" s="2482"/>
      <c r="L80" s="2059"/>
      <c r="M80" s="2059"/>
      <c r="N80" s="2482"/>
      <c r="O80" s="2482"/>
      <c r="P80" s="2482"/>
      <c r="Q80" s="2067"/>
      <c r="R80" s="2059"/>
      <c r="S80" s="2482"/>
      <c r="T80" s="2482"/>
      <c r="U80" s="2540"/>
      <c r="V80" s="2067"/>
      <c r="W80" s="2059"/>
      <c r="X80" s="2482"/>
      <c r="Y80" s="2482"/>
      <c r="Z80" s="2482"/>
      <c r="AA80" s="2067"/>
      <c r="AB80" s="2059"/>
      <c r="AC80" s="2482"/>
      <c r="AD80" s="2482"/>
      <c r="AE80" s="2482"/>
      <c r="AF80" s="2067"/>
      <c r="AG80" s="2059"/>
      <c r="AH80" s="2482"/>
      <c r="AI80" s="2482"/>
      <c r="AJ80" s="2482"/>
      <c r="AK80" s="2059"/>
      <c r="AL80" s="2059"/>
      <c r="AM80" s="2482"/>
      <c r="AN80" s="2482"/>
      <c r="AO80" s="2482"/>
    </row>
    <row r="81" spans="1:41" s="1411" customFormat="1" ht="14.4" thickBot="1" x14ac:dyDescent="0.3">
      <c r="A81" s="1434"/>
      <c r="B81" s="2599" t="s">
        <v>12</v>
      </c>
      <c r="C81" s="2536">
        <f>(C75+C78)-C79</f>
        <v>0</v>
      </c>
      <c r="D81" s="2536">
        <f>(D75+D78)-D79</f>
        <v>0</v>
      </c>
      <c r="E81" s="2537">
        <f>(E75+E78)-E79</f>
        <v>0</v>
      </c>
      <c r="F81" s="2567"/>
      <c r="G81" s="2536">
        <f>(G75+G78)-G79</f>
        <v>0</v>
      </c>
      <c r="H81" s="2536">
        <f>(H75+H78)-H79</f>
        <v>-185</v>
      </c>
      <c r="I81" s="2537">
        <f>(I75+I78)-I79</f>
        <v>-210.22727272727272</v>
      </c>
      <c r="J81" s="2538"/>
      <c r="K81" s="2568"/>
      <c r="L81" s="2536">
        <f>(L75+L78)-L79</f>
        <v>0</v>
      </c>
      <c r="M81" s="2536">
        <f>(M75+M78)-M79</f>
        <v>0</v>
      </c>
      <c r="N81" s="2537">
        <f>(N75+N78)-N79</f>
        <v>0</v>
      </c>
      <c r="O81" s="2538"/>
      <c r="P81" s="2568"/>
      <c r="Q81" s="2536">
        <f>(Q75+Q78)-Q79</f>
        <v>-17250</v>
      </c>
      <c r="R81" s="2536">
        <f>(R75+R78)-R79</f>
        <v>0</v>
      </c>
      <c r="S81" s="2537">
        <f>(S75+S78)-S79</f>
        <v>-17250</v>
      </c>
      <c r="T81" s="2538"/>
      <c r="U81" s="2539"/>
      <c r="V81" s="2536">
        <f>(V75+V78)-V79</f>
        <v>0</v>
      </c>
      <c r="W81" s="2536">
        <f>(W75+W78)-W79</f>
        <v>0</v>
      </c>
      <c r="X81" s="2537">
        <f>(X75+X78)-X79</f>
        <v>0</v>
      </c>
      <c r="Y81" s="2538"/>
      <c r="Z81" s="2568"/>
      <c r="AA81" s="2536">
        <f>(AA75+AA78)-AA79</f>
        <v>0</v>
      </c>
      <c r="AB81" s="2536">
        <f>(AB75+AB78)-AB79</f>
        <v>0</v>
      </c>
      <c r="AC81" s="2537">
        <f>(AC75+AC78)-AC79</f>
        <v>0</v>
      </c>
      <c r="AD81" s="2538"/>
      <c r="AE81" s="2568"/>
      <c r="AF81" s="2536">
        <f>(AF75+AF78)-AF79</f>
        <v>0</v>
      </c>
      <c r="AG81" s="2536">
        <f>(AG75+AG78)-AG79</f>
        <v>0</v>
      </c>
      <c r="AH81" s="2537">
        <f>(AH75+AH78)-AH79</f>
        <v>0</v>
      </c>
      <c r="AI81" s="2538"/>
      <c r="AJ81" s="2568"/>
      <c r="AK81" s="2536">
        <f>(AK75+AK78)-AK79</f>
        <v>-17250</v>
      </c>
      <c r="AL81" s="2536">
        <f>(AL75+AL78)-AL79</f>
        <v>-185</v>
      </c>
      <c r="AM81" s="2537">
        <f>(AM75+AM78)-AM79</f>
        <v>-17460.227272727272</v>
      </c>
      <c r="AN81" s="2538"/>
      <c r="AO81" s="2538"/>
    </row>
    <row r="82" spans="1:41" s="1411" customFormat="1" ht="13.8" x14ac:dyDescent="0.25">
      <c r="A82" s="1580"/>
      <c r="B82" s="1415" t="s">
        <v>38</v>
      </c>
      <c r="C82" s="1525"/>
      <c r="D82" s="1526"/>
      <c r="E82" s="1530">
        <f>C82+D82</f>
        <v>0</v>
      </c>
      <c r="F82" s="1573" t="e">
        <f>E82/$E$89</f>
        <v>#DIV/0!</v>
      </c>
      <c r="G82" s="2484"/>
      <c r="H82" s="2484"/>
      <c r="I82" s="1530">
        <f>G82+H82</f>
        <v>0</v>
      </c>
      <c r="J82" s="1492"/>
      <c r="K82" s="752"/>
      <c r="L82" s="2484"/>
      <c r="M82" s="2484"/>
      <c r="N82" s="1530">
        <f>L82+M82</f>
        <v>0</v>
      </c>
      <c r="O82" s="1492"/>
      <c r="P82" s="752"/>
      <c r="Q82" s="2067"/>
      <c r="R82" s="2059"/>
      <c r="S82" s="1530">
        <f>Q82+R82</f>
        <v>0</v>
      </c>
      <c r="T82" s="1491"/>
      <c r="U82" s="2062"/>
      <c r="V82" s="1710"/>
      <c r="W82" s="2484"/>
      <c r="X82" s="1530">
        <f>V82+W82</f>
        <v>0</v>
      </c>
      <c r="Y82" s="1492"/>
      <c r="Z82" s="752"/>
      <c r="AA82" s="1710"/>
      <c r="AB82" s="2484"/>
      <c r="AC82" s="1530">
        <f>AA82+AB82</f>
        <v>0</v>
      </c>
      <c r="AD82" s="1492"/>
      <c r="AE82" s="752"/>
      <c r="AF82" s="1710"/>
      <c r="AG82" s="2484"/>
      <c r="AH82" s="1530">
        <f>AF82+AG82</f>
        <v>0</v>
      </c>
      <c r="AI82" s="1492"/>
      <c r="AJ82" s="752"/>
      <c r="AK82" s="2484">
        <f t="shared" ref="AK82:AL82" si="68">G82+L82+Q82+V82+AA82+AF82</f>
        <v>0</v>
      </c>
      <c r="AL82" s="2484">
        <f t="shared" si="68"/>
        <v>0</v>
      </c>
      <c r="AM82" s="1530">
        <f>AK82+AL82</f>
        <v>0</v>
      </c>
      <c r="AN82" s="1492"/>
      <c r="AO82" s="1492"/>
    </row>
    <row r="83" spans="1:41" s="1411" customFormat="1" ht="13.8" x14ac:dyDescent="0.25">
      <c r="A83" s="1420"/>
      <c r="B83" s="2604" t="s">
        <v>13</v>
      </c>
      <c r="C83" s="2541">
        <f>(C81+C7)-C36</f>
        <v>0</v>
      </c>
      <c r="D83" s="2541">
        <f>(D81+D7)-D36</f>
        <v>0</v>
      </c>
      <c r="E83" s="2541">
        <f>(E81+E7)-E36</f>
        <v>0</v>
      </c>
      <c r="F83" s="2570"/>
      <c r="G83" s="2541">
        <f>(G81+G7)-G36</f>
        <v>0</v>
      </c>
      <c r="H83" s="2541">
        <f>(H81+H7)-H36</f>
        <v>-185</v>
      </c>
      <c r="I83" s="2542">
        <f>(I81+I7)-I36</f>
        <v>-210.22727272727272</v>
      </c>
      <c r="J83" s="2543"/>
      <c r="K83" s="2574"/>
      <c r="L83" s="2541">
        <f>(L81+L7)-L36</f>
        <v>0</v>
      </c>
      <c r="M83" s="2541">
        <f>(M81+M7)-M36</f>
        <v>0</v>
      </c>
      <c r="N83" s="2542">
        <f>(N81+N7)-N36</f>
        <v>0</v>
      </c>
      <c r="O83" s="2543"/>
      <c r="P83" s="2574"/>
      <c r="Q83" s="2541">
        <f>(Q81+Q7)-Q36</f>
        <v>-17250</v>
      </c>
      <c r="R83" s="2541">
        <f>(R81+R7)-R36</f>
        <v>0</v>
      </c>
      <c r="S83" s="2542">
        <f>(S81+S7)-S36</f>
        <v>-17250</v>
      </c>
      <c r="T83" s="2543"/>
      <c r="U83" s="2544"/>
      <c r="V83" s="2541">
        <f>(V81+V7)-V36</f>
        <v>0</v>
      </c>
      <c r="W83" s="2541">
        <f>(W81+W7)-W36</f>
        <v>0</v>
      </c>
      <c r="X83" s="2542">
        <f>(X81+X7)-X36</f>
        <v>0</v>
      </c>
      <c r="Y83" s="2543"/>
      <c r="Z83" s="2574"/>
      <c r="AA83" s="2541">
        <f>(AA81+AA7)-AA36</f>
        <v>0</v>
      </c>
      <c r="AB83" s="2541">
        <f>(AB81+AB7)-AB36</f>
        <v>0</v>
      </c>
      <c r="AC83" s="2542">
        <f>(AC81+AC7)-AC36</f>
        <v>0</v>
      </c>
      <c r="AD83" s="2543"/>
      <c r="AE83" s="2574"/>
      <c r="AF83" s="2541">
        <f>(AF81+AF7)-AF36</f>
        <v>0</v>
      </c>
      <c r="AG83" s="2541">
        <f>(AG81+AG7)-AG36</f>
        <v>0</v>
      </c>
      <c r="AH83" s="2542">
        <f>(AH81+AH7)-AH36</f>
        <v>0</v>
      </c>
      <c r="AI83" s="2543"/>
      <c r="AJ83" s="2574"/>
      <c r="AK83" s="2541">
        <f>(AK81+AK7)-AK36</f>
        <v>-17250</v>
      </c>
      <c r="AL83" s="2541">
        <f>(AL81+AL7)-AL36</f>
        <v>-185</v>
      </c>
      <c r="AM83" s="2542">
        <f>(AM81+AM7)-AM36</f>
        <v>-17460.227272727272</v>
      </c>
      <c r="AN83" s="2543"/>
      <c r="AO83" s="2543"/>
    </row>
    <row r="84" spans="1:41" s="1411" customFormat="1" ht="14.4" thickBot="1" x14ac:dyDescent="0.3">
      <c r="A84" s="1420"/>
      <c r="B84" s="2605" t="s">
        <v>14</v>
      </c>
      <c r="C84" s="2560">
        <f>C83-C73-C82</f>
        <v>0</v>
      </c>
      <c r="D84" s="2560">
        <f>D83-D73-D82</f>
        <v>0</v>
      </c>
      <c r="E84" s="2560">
        <f>E83-E73-E82</f>
        <v>0</v>
      </c>
      <c r="F84" s="2571"/>
      <c r="G84" s="2518">
        <f>G83-G73-G82</f>
        <v>0</v>
      </c>
      <c r="H84" s="2518">
        <f>H83-H73-H82</f>
        <v>-185</v>
      </c>
      <c r="I84" s="2518">
        <f>I83-I73-I82</f>
        <v>-210.22727272727272</v>
      </c>
      <c r="J84" s="2519"/>
      <c r="K84" s="2572"/>
      <c r="L84" s="2518">
        <f>L83-L73-L82</f>
        <v>0</v>
      </c>
      <c r="M84" s="2518">
        <f>M83-M73-M82</f>
        <v>0</v>
      </c>
      <c r="N84" s="2518">
        <f>N83-N73-N82</f>
        <v>0</v>
      </c>
      <c r="O84" s="2519"/>
      <c r="P84" s="2572"/>
      <c r="Q84" s="2518">
        <f>Q83-Q73-Q82</f>
        <v>-17250</v>
      </c>
      <c r="R84" s="2518">
        <f>R83-R73-R82</f>
        <v>0</v>
      </c>
      <c r="S84" s="2518">
        <f>S83-S73-S82</f>
        <v>-17250</v>
      </c>
      <c r="T84" s="2519"/>
      <c r="U84" s="2545"/>
      <c r="V84" s="2518">
        <f>V83-V73-V82</f>
        <v>0</v>
      </c>
      <c r="W84" s="2518">
        <f>W83-W73-W82</f>
        <v>0</v>
      </c>
      <c r="X84" s="2518">
        <f>X83-X73-X82</f>
        <v>0</v>
      </c>
      <c r="Y84" s="2519"/>
      <c r="Z84" s="2572"/>
      <c r="AA84" s="2518">
        <f>AA83-AA73-AA82</f>
        <v>0</v>
      </c>
      <c r="AB84" s="2518">
        <f>AB83-AB73-AB82</f>
        <v>0</v>
      </c>
      <c r="AC84" s="2518">
        <f>AC83-AC73-AC82</f>
        <v>0</v>
      </c>
      <c r="AD84" s="2519"/>
      <c r="AE84" s="2572"/>
      <c r="AF84" s="2518">
        <f>AF83-AF73-AF82</f>
        <v>0</v>
      </c>
      <c r="AG84" s="2518">
        <f>AG83-AG73-AG82</f>
        <v>0</v>
      </c>
      <c r="AH84" s="2518">
        <f>AH83-AH73-AH82</f>
        <v>0</v>
      </c>
      <c r="AI84" s="2519"/>
      <c r="AJ84" s="2572"/>
      <c r="AK84" s="2518">
        <f>AK83-AK73-AK82</f>
        <v>-17250</v>
      </c>
      <c r="AL84" s="2518">
        <f>AL83-AL73-AL82</f>
        <v>-185</v>
      </c>
      <c r="AM84" s="2518">
        <f>AM83-AM73-AM82</f>
        <v>-17460.227272727272</v>
      </c>
      <c r="AN84" s="2519"/>
      <c r="AO84" s="2519"/>
    </row>
    <row r="85" spans="1:41" s="1411" customFormat="1" ht="13.8" x14ac:dyDescent="0.25">
      <c r="A85" s="1580"/>
      <c r="B85" s="1418" t="s">
        <v>44</v>
      </c>
      <c r="C85" s="1501"/>
      <c r="D85" s="1101"/>
      <c r="E85" s="1102">
        <f>C85+D85</f>
        <v>0</v>
      </c>
      <c r="F85" s="1602" t="e">
        <f>E85/$E$89</f>
        <v>#DIV/0!</v>
      </c>
      <c r="G85" s="2059"/>
      <c r="H85" s="2059"/>
      <c r="I85" s="2028">
        <f>G85+H85*1.15</f>
        <v>0</v>
      </c>
      <c r="J85" s="1491"/>
      <c r="K85" s="1627"/>
      <c r="L85" s="2059"/>
      <c r="M85" s="2059"/>
      <c r="N85" s="2028">
        <f>L85+M85*1.15</f>
        <v>0</v>
      </c>
      <c r="O85" s="1491"/>
      <c r="P85" s="1627"/>
      <c r="Q85" s="2067"/>
      <c r="R85" s="2059"/>
      <c r="S85" s="2028">
        <f>Q85+R85*1</f>
        <v>0</v>
      </c>
      <c r="T85" s="1491"/>
      <c r="U85" s="1763"/>
      <c r="V85" s="2067"/>
      <c r="W85" s="2059"/>
      <c r="X85" s="2028">
        <f>V85+W85*1.15</f>
        <v>0</v>
      </c>
      <c r="Y85" s="1491"/>
      <c r="Z85" s="1627"/>
      <c r="AA85" s="2067"/>
      <c r="AB85" s="2059"/>
      <c r="AC85" s="2028">
        <f>AA85+AB85*1.15</f>
        <v>0</v>
      </c>
      <c r="AD85" s="1491"/>
      <c r="AE85" s="1627"/>
      <c r="AF85" s="2067"/>
      <c r="AG85" s="2059"/>
      <c r="AH85" s="2028">
        <f>AF85+AG85*1.15</f>
        <v>0</v>
      </c>
      <c r="AI85" s="1491"/>
      <c r="AJ85" s="1627"/>
      <c r="AK85" s="2067">
        <f t="shared" ref="AK85:AL85" si="69">G85+L85+Q85+V85+AA85+AF85</f>
        <v>0</v>
      </c>
      <c r="AL85" s="2059">
        <f t="shared" si="69"/>
        <v>0</v>
      </c>
      <c r="AM85" s="2028">
        <f>AK85+AL85*1.15</f>
        <v>0</v>
      </c>
      <c r="AN85" s="1491"/>
      <c r="AO85" s="1491"/>
    </row>
    <row r="86" spans="1:41" s="1411" customFormat="1" ht="27.6" x14ac:dyDescent="0.25">
      <c r="A86" s="1420"/>
      <c r="B86" s="2513" t="s">
        <v>50</v>
      </c>
      <c r="C86" s="2561">
        <f>C84-C85</f>
        <v>0</v>
      </c>
      <c r="D86" s="2561">
        <f>D84-D85</f>
        <v>0</v>
      </c>
      <c r="E86" s="2546">
        <f>E84-E85</f>
        <v>0</v>
      </c>
      <c r="F86" s="2573"/>
      <c r="G86" s="2546">
        <f>G84-G85</f>
        <v>0</v>
      </c>
      <c r="H86" s="2546">
        <f>H84-H85</f>
        <v>-185</v>
      </c>
      <c r="I86" s="2546">
        <f>I84-I85</f>
        <v>-210.22727272727272</v>
      </c>
      <c r="J86" s="2547"/>
      <c r="K86" s="2574"/>
      <c r="L86" s="2546">
        <f>L84-L85</f>
        <v>0</v>
      </c>
      <c r="M86" s="2546">
        <f>M84-M85</f>
        <v>0</v>
      </c>
      <c r="N86" s="2546">
        <f>N84-N85</f>
        <v>0</v>
      </c>
      <c r="O86" s="2547"/>
      <c r="P86" s="2574"/>
      <c r="Q86" s="2546">
        <f>Q84-Q85</f>
        <v>-17250</v>
      </c>
      <c r="R86" s="2546">
        <f>R84-R85</f>
        <v>0</v>
      </c>
      <c r="S86" s="2546">
        <f>S84-S85</f>
        <v>-17250</v>
      </c>
      <c r="T86" s="2547"/>
      <c r="U86" s="2544"/>
      <c r="V86" s="2546">
        <f>V84-V85</f>
        <v>0</v>
      </c>
      <c r="W86" s="2546">
        <f>W84-W85</f>
        <v>0</v>
      </c>
      <c r="X86" s="2546">
        <f>X84-X85</f>
        <v>0</v>
      </c>
      <c r="Y86" s="2547"/>
      <c r="Z86" s="2574"/>
      <c r="AA86" s="2546">
        <f>AA84-AA85</f>
        <v>0</v>
      </c>
      <c r="AB86" s="2546">
        <f>AB84-AB85</f>
        <v>0</v>
      </c>
      <c r="AC86" s="2546">
        <f>AC84-AC85</f>
        <v>0</v>
      </c>
      <c r="AD86" s="2547"/>
      <c r="AE86" s="2574"/>
      <c r="AF86" s="2546">
        <f>AF84-AF85</f>
        <v>0</v>
      </c>
      <c r="AG86" s="2546">
        <f>AG84-AG85</f>
        <v>0</v>
      </c>
      <c r="AH86" s="2546">
        <f>AH84-AH85</f>
        <v>0</v>
      </c>
      <c r="AI86" s="2547"/>
      <c r="AJ86" s="2574"/>
      <c r="AK86" s="2546">
        <f>AK84-AK85</f>
        <v>-17250</v>
      </c>
      <c r="AL86" s="2546">
        <f>AL84-AL85</f>
        <v>-185</v>
      </c>
      <c r="AM86" s="2546">
        <f>AM84-AM85</f>
        <v>-17460.227272727272</v>
      </c>
      <c r="AN86" s="2547"/>
      <c r="AO86" s="2547"/>
    </row>
    <row r="87" spans="1:41" s="1411" customFormat="1" ht="14.4" thickBot="1" x14ac:dyDescent="0.3">
      <c r="A87" s="1582"/>
      <c r="B87" s="2514" t="s">
        <v>51</v>
      </c>
      <c r="C87" s="2548" t="e">
        <f>C86/C5</f>
        <v>#DIV/0!</v>
      </c>
      <c r="D87" s="2549" t="e">
        <f>D86/D5</f>
        <v>#DIV/0!</v>
      </c>
      <c r="E87" s="2550" t="e">
        <f>E86/E5</f>
        <v>#DIV/0!</v>
      </c>
      <c r="F87" s="2575"/>
      <c r="G87" s="2548" t="e">
        <f>G86/G5</f>
        <v>#DIV/0!</v>
      </c>
      <c r="H87" s="2549" t="e">
        <f>H86/H5</f>
        <v>#DIV/0!</v>
      </c>
      <c r="I87" s="2550" t="e">
        <f>I86/I5</f>
        <v>#DIV/0!</v>
      </c>
      <c r="J87" s="2551"/>
      <c r="K87" s="2576"/>
      <c r="L87" s="2548" t="e">
        <f>L86/L5</f>
        <v>#DIV/0!</v>
      </c>
      <c r="M87" s="2549" t="e">
        <f>M86/M5</f>
        <v>#DIV/0!</v>
      </c>
      <c r="N87" s="2550" t="e">
        <f>N86/N5</f>
        <v>#DIV/0!</v>
      </c>
      <c r="O87" s="2551"/>
      <c r="P87" s="2576"/>
      <c r="Q87" s="2548" t="e">
        <f>Q86/Q5</f>
        <v>#DIV/0!</v>
      </c>
      <c r="R87" s="2549" t="e">
        <f>R86/R5</f>
        <v>#DIV/0!</v>
      </c>
      <c r="S87" s="2550" t="e">
        <f>S86/S5</f>
        <v>#DIV/0!</v>
      </c>
      <c r="T87" s="2551"/>
      <c r="U87" s="2552"/>
      <c r="V87" s="2548" t="e">
        <f>V86/V5</f>
        <v>#DIV/0!</v>
      </c>
      <c r="W87" s="2549" t="e">
        <f>W86/W5</f>
        <v>#DIV/0!</v>
      </c>
      <c r="X87" s="2550" t="e">
        <f>X86/X5</f>
        <v>#DIV/0!</v>
      </c>
      <c r="Y87" s="2551"/>
      <c r="Z87" s="2576"/>
      <c r="AA87" s="2548" t="e">
        <f>AA86/AA5</f>
        <v>#DIV/0!</v>
      </c>
      <c r="AB87" s="2549" t="e">
        <f>AB86/AB5</f>
        <v>#DIV/0!</v>
      </c>
      <c r="AC87" s="2550" t="e">
        <f>AC86/AC5</f>
        <v>#DIV/0!</v>
      </c>
      <c r="AD87" s="2551"/>
      <c r="AE87" s="2576"/>
      <c r="AF87" s="2548" t="e">
        <f>AF86/AF5</f>
        <v>#DIV/0!</v>
      </c>
      <c r="AG87" s="2549" t="e">
        <f>AG86/AG5</f>
        <v>#DIV/0!</v>
      </c>
      <c r="AH87" s="2550" t="e">
        <f>AH86/AH5</f>
        <v>#DIV/0!</v>
      </c>
      <c r="AI87" s="2551"/>
      <c r="AJ87" s="2576"/>
      <c r="AK87" s="2548" t="e">
        <f>AK86/AK5</f>
        <v>#DIV/0!</v>
      </c>
      <c r="AL87" s="2549" t="e">
        <f>AL86/AL5</f>
        <v>#DIV/0!</v>
      </c>
      <c r="AM87" s="2550" t="e">
        <f>AM86/AM5</f>
        <v>#DIV/0!</v>
      </c>
      <c r="AN87" s="2551"/>
      <c r="AO87" s="2551"/>
    </row>
    <row r="88" spans="1:41" ht="13.8" x14ac:dyDescent="0.25">
      <c r="A88" s="1438"/>
      <c r="B88" s="1438"/>
      <c r="C88" s="1536"/>
      <c r="D88" s="1536"/>
      <c r="E88" s="1536"/>
      <c r="F88" s="1564"/>
      <c r="G88" s="1970"/>
      <c r="H88" s="1970"/>
      <c r="I88" s="1970"/>
      <c r="J88" s="1970"/>
      <c r="K88" s="1628"/>
      <c r="L88" s="1970"/>
      <c r="M88" s="1970"/>
      <c r="N88" s="1970"/>
      <c r="O88" s="1970"/>
      <c r="P88" s="1628"/>
      <c r="Q88" s="1970"/>
      <c r="R88" s="1970"/>
      <c r="S88" s="1970"/>
      <c r="T88" s="1970"/>
      <c r="U88" s="1620"/>
      <c r="V88" s="1970"/>
      <c r="W88" s="1970"/>
      <c r="X88" s="1970"/>
      <c r="Y88" s="1970"/>
      <c r="Z88" s="1628"/>
      <c r="AA88" s="1970"/>
      <c r="AB88" s="1970"/>
      <c r="AC88" s="1970"/>
      <c r="AD88" s="1970"/>
      <c r="AE88" s="1628"/>
      <c r="AF88" s="1970"/>
      <c r="AG88" s="1970"/>
      <c r="AH88" s="1970"/>
      <c r="AI88" s="1970"/>
      <c r="AJ88" s="1628"/>
      <c r="AK88" s="1970"/>
      <c r="AL88" s="1970"/>
      <c r="AM88" s="1970"/>
      <c r="AN88" s="1970"/>
      <c r="AO88" s="1970"/>
    </row>
    <row r="89" spans="1:41" x14ac:dyDescent="0.25">
      <c r="B89" s="1577" t="s">
        <v>56</v>
      </c>
      <c r="C89" s="1537"/>
      <c r="D89" s="1537"/>
      <c r="E89" s="1976">
        <f>E8+E36+E41+E50+E54+E73+E79+E82+E85</f>
        <v>0</v>
      </c>
      <c r="F89" s="189"/>
      <c r="I89" s="1976">
        <f>I8+I36+I41+I50+I54+I73+I79+I82+I85</f>
        <v>210.22727272727272</v>
      </c>
      <c r="K89" s="1607"/>
      <c r="N89" s="1976">
        <f>N8+N36+N41+N50+N54+N73+N79+N82+N85</f>
        <v>0</v>
      </c>
      <c r="P89" s="1607"/>
      <c r="S89" s="1976">
        <f>S8+S36+S41+S50+S54+S73+S79+S82+S85</f>
        <v>17250</v>
      </c>
      <c r="U89" s="1621"/>
      <c r="X89" s="1976">
        <f>X8+X36+X41+X50+X54+X73+X79+X82+X85</f>
        <v>0</v>
      </c>
      <c r="Z89" s="1607"/>
      <c r="AC89" s="1976">
        <f>AC8+AC36+AC41+AC50+AC54+AC73+AC79+AC82+AC85</f>
        <v>0</v>
      </c>
      <c r="AE89" s="1607"/>
      <c r="AH89" s="1976">
        <f>AH8+AH36+AH41+AH50+AH54+AH73+AH79+AH82+AH85</f>
        <v>0</v>
      </c>
      <c r="AJ89" s="1607"/>
      <c r="AM89" s="1976">
        <f>AM8+AM36+AM41+AM50+AM54+AM73+AM79+AM82+AM85</f>
        <v>17460.227272727272</v>
      </c>
    </row>
    <row r="90" spans="1:41" x14ac:dyDescent="0.25">
      <c r="C90" s="1537"/>
      <c r="D90" s="1537"/>
      <c r="E90" s="1537"/>
      <c r="K90" s="1607"/>
      <c r="P90" s="1607"/>
      <c r="Q90" s="2485"/>
      <c r="R90" s="2485"/>
      <c r="S90" s="2485"/>
      <c r="T90" s="2485"/>
      <c r="U90" s="1872"/>
      <c r="V90" s="1607"/>
      <c r="W90" s="1607"/>
      <c r="X90" s="1607"/>
      <c r="Y90" s="1607"/>
      <c r="Z90" s="1607"/>
      <c r="AA90" s="1607"/>
      <c r="AB90" s="1607"/>
      <c r="AC90" s="1607"/>
      <c r="AD90" s="1607"/>
      <c r="AE90" s="1607"/>
      <c r="AF90" s="1607"/>
      <c r="AG90" s="1607"/>
      <c r="AH90" s="1607"/>
      <c r="AI90" s="1607"/>
      <c r="AJ90" s="1607"/>
      <c r="AM90" s="1621" t="b">
        <f>(I89+N89+S89+X89+AC89)=AM89</f>
        <v>1</v>
      </c>
    </row>
    <row r="91" spans="1:41" s="1411" customFormat="1" x14ac:dyDescent="0.25">
      <c r="A91" s="1417"/>
      <c r="B91" s="1417"/>
      <c r="C91" s="1537"/>
      <c r="D91" s="1537"/>
      <c r="E91" s="1537"/>
      <c r="F91" s="1968"/>
      <c r="G91" s="1968"/>
      <c r="H91" s="1968"/>
      <c r="I91" s="1968"/>
      <c r="J91" s="1968"/>
      <c r="K91" s="1607"/>
      <c r="L91" s="1607"/>
      <c r="M91" s="1607"/>
      <c r="N91" s="1607"/>
      <c r="O91" s="1607"/>
      <c r="P91" s="1607"/>
      <c r="Q91" s="2485"/>
      <c r="R91" s="1601"/>
      <c r="S91" s="1601"/>
      <c r="T91" s="1601"/>
      <c r="U91" s="1872"/>
      <c r="V91" s="1607"/>
      <c r="W91" s="1607"/>
      <c r="X91" s="1607"/>
      <c r="Y91" s="1607"/>
      <c r="Z91" s="1607"/>
      <c r="AA91" s="1607"/>
      <c r="AB91" s="1607"/>
      <c r="AC91" s="1607"/>
      <c r="AD91" s="1607"/>
      <c r="AE91" s="1607"/>
      <c r="AF91" s="1607"/>
      <c r="AG91" s="1607"/>
      <c r="AH91" s="1607"/>
      <c r="AI91" s="1607"/>
      <c r="AJ91" s="1607"/>
      <c r="AK91" s="1968"/>
      <c r="AL91" s="1968"/>
      <c r="AM91" s="1968"/>
      <c r="AN91" s="1968"/>
      <c r="AO91" s="1968"/>
    </row>
    <row r="92" spans="1:41" x14ac:dyDescent="0.25">
      <c r="C92" s="1968"/>
      <c r="D92" s="1968"/>
      <c r="K92" s="1607"/>
      <c r="M92" s="1607"/>
      <c r="N92" s="1607"/>
      <c r="O92" s="1607"/>
      <c r="P92" s="1607"/>
      <c r="Q92" s="1355"/>
      <c r="R92" s="1230"/>
      <c r="S92" s="1230"/>
      <c r="T92" s="1230"/>
      <c r="U92" s="1355"/>
      <c r="V92" s="1607"/>
      <c r="W92" s="1607"/>
      <c r="X92" s="1607"/>
      <c r="Y92" s="1607"/>
      <c r="Z92" s="1607"/>
      <c r="AA92" s="1607"/>
      <c r="AB92" s="1607"/>
      <c r="AC92" s="1607"/>
      <c r="AD92" s="1607"/>
      <c r="AE92" s="1607"/>
      <c r="AF92" s="1607"/>
      <c r="AG92" s="1607"/>
      <c r="AH92" s="1607"/>
      <c r="AI92" s="1607"/>
      <c r="AJ92" s="1607"/>
    </row>
    <row r="93" spans="1:41" s="1411" customFormat="1" x14ac:dyDescent="0.25">
      <c r="A93" s="1417"/>
      <c r="B93" s="1670"/>
      <c r="C93" s="1968"/>
      <c r="D93" s="1968"/>
      <c r="E93" s="1968"/>
      <c r="F93" s="1968"/>
      <c r="G93" s="1968"/>
      <c r="H93" s="1968"/>
      <c r="I93" s="1968"/>
      <c r="J93" s="1968"/>
      <c r="K93" s="1607"/>
      <c r="L93" s="1968"/>
      <c r="M93" s="1607"/>
      <c r="N93" s="1607"/>
      <c r="O93" s="1607"/>
      <c r="P93" s="1607"/>
      <c r="Q93" s="1046"/>
      <c r="R93" s="1230"/>
      <c r="S93" s="1230"/>
      <c r="T93" s="1230"/>
      <c r="U93" s="1046"/>
      <c r="V93" s="1607"/>
      <c r="W93" s="1607"/>
      <c r="X93" s="687">
        <f>X5-X89</f>
        <v>0</v>
      </c>
      <c r="Y93" s="1607"/>
      <c r="Z93" s="1607"/>
      <c r="AA93" s="1607"/>
      <c r="AB93" s="1607"/>
      <c r="AC93" s="687">
        <f>AC8-AC89</f>
        <v>0</v>
      </c>
      <c r="AD93" s="1607"/>
      <c r="AE93" s="1607"/>
      <c r="AF93" s="1607"/>
      <c r="AG93" s="1607"/>
      <c r="AH93" s="687"/>
      <c r="AI93" s="1607"/>
      <c r="AJ93" s="1607"/>
      <c r="AK93" s="1968"/>
      <c r="AL93" s="1968"/>
      <c r="AM93" s="687"/>
      <c r="AN93" s="1968"/>
      <c r="AO93" s="1968"/>
    </row>
    <row r="94" spans="1:41" s="1411" customFormat="1" x14ac:dyDescent="0.25">
      <c r="A94" s="1417"/>
      <c r="B94" s="1670"/>
      <c r="C94" s="1968"/>
      <c r="D94" s="1968"/>
      <c r="E94" s="1968"/>
      <c r="F94" s="1968"/>
      <c r="G94" s="1968"/>
      <c r="H94" s="1968"/>
      <c r="I94" s="1968"/>
      <c r="J94" s="1968"/>
      <c r="K94" s="1607"/>
      <c r="L94" s="1669"/>
      <c r="M94" s="1607"/>
      <c r="N94" s="1607"/>
      <c r="O94" s="1607"/>
      <c r="P94" s="1607"/>
      <c r="Q94" s="1979"/>
      <c r="R94" s="1979"/>
      <c r="S94" s="1979"/>
      <c r="T94" s="1979"/>
      <c r="U94" s="1979"/>
      <c r="V94" s="1607"/>
      <c r="W94" s="1607"/>
      <c r="X94" s="1607"/>
      <c r="Y94" s="1607"/>
      <c r="Z94" s="1607"/>
      <c r="AA94" s="1607"/>
      <c r="AB94" s="1607"/>
      <c r="AC94" s="1607"/>
      <c r="AD94" s="1607"/>
      <c r="AE94" s="1607"/>
      <c r="AF94" s="1607"/>
      <c r="AG94" s="1607"/>
      <c r="AH94" s="1607"/>
      <c r="AI94" s="1607"/>
      <c r="AJ94" s="1607"/>
      <c r="AK94" s="1669"/>
      <c r="AL94" s="1968"/>
      <c r="AM94" s="1968"/>
      <c r="AN94" s="1968"/>
      <c r="AO94" s="1968"/>
    </row>
    <row r="95" spans="1:41" s="1411" customFormat="1" x14ac:dyDescent="0.25">
      <c r="A95" s="1417"/>
      <c r="B95" s="1670"/>
      <c r="C95" s="1968"/>
      <c r="D95" s="1968"/>
      <c r="E95" s="1968"/>
      <c r="F95" s="1968"/>
      <c r="G95" s="1968"/>
      <c r="H95" s="1968"/>
      <c r="I95" s="1968"/>
      <c r="J95" s="1968"/>
      <c r="K95" s="1607"/>
      <c r="L95" s="1968"/>
      <c r="M95" s="1607"/>
      <c r="N95" s="1607"/>
      <c r="O95" s="1607"/>
      <c r="P95" s="1607"/>
      <c r="Q95" s="1979"/>
      <c r="R95" s="1979"/>
      <c r="S95" s="1979"/>
      <c r="T95" s="1979"/>
      <c r="U95" s="1979"/>
      <c r="V95" s="1607"/>
      <c r="W95" s="1607"/>
      <c r="X95" s="1607"/>
      <c r="Y95" s="1607"/>
      <c r="Z95" s="1607"/>
      <c r="AA95" s="1607"/>
      <c r="AB95" s="1607"/>
      <c r="AC95" s="1607"/>
      <c r="AD95" s="1607"/>
      <c r="AE95" s="1607"/>
      <c r="AF95" s="1607"/>
      <c r="AG95" s="1607"/>
      <c r="AH95" s="1607"/>
      <c r="AI95" s="1607"/>
      <c r="AJ95" s="1607"/>
      <c r="AK95" s="1968"/>
      <c r="AL95" s="1968"/>
      <c r="AM95" s="1968"/>
      <c r="AN95" s="1968"/>
      <c r="AO95" s="1968"/>
    </row>
    <row r="96" spans="1:41" s="1411" customFormat="1" x14ac:dyDescent="0.25">
      <c r="A96" s="1417"/>
      <c r="B96" s="1670"/>
      <c r="C96" s="1968"/>
      <c r="D96" s="1968"/>
      <c r="E96" s="1968"/>
      <c r="F96" s="1968"/>
      <c r="G96" s="1968"/>
      <c r="H96" s="1968"/>
      <c r="I96" s="1968"/>
      <c r="J96" s="1968"/>
      <c r="K96" s="1607"/>
      <c r="L96" s="1968"/>
      <c r="M96" s="1607"/>
      <c r="N96" s="1607"/>
      <c r="O96" s="1607"/>
      <c r="P96" s="1607"/>
      <c r="Q96" s="1979"/>
      <c r="R96" s="1979"/>
      <c r="S96" s="1979"/>
      <c r="T96" s="1979"/>
      <c r="U96" s="1979"/>
      <c r="V96" s="1607"/>
      <c r="W96" s="1607"/>
      <c r="X96" s="1607"/>
      <c r="Y96" s="1607"/>
      <c r="Z96" s="1607"/>
      <c r="AA96" s="1607"/>
      <c r="AB96" s="1607"/>
      <c r="AC96" s="1607"/>
      <c r="AD96" s="1607"/>
      <c r="AE96" s="1607"/>
      <c r="AF96" s="1607"/>
      <c r="AG96" s="1607"/>
      <c r="AH96" s="1607"/>
      <c r="AI96" s="1607"/>
      <c r="AJ96" s="1607"/>
      <c r="AK96" s="1968"/>
      <c r="AL96" s="1968"/>
      <c r="AM96" s="1968"/>
      <c r="AN96" s="1968"/>
      <c r="AO96" s="1968"/>
    </row>
    <row r="97" spans="1:41" x14ac:dyDescent="0.25">
      <c r="C97" s="1968"/>
      <c r="D97" s="1968"/>
      <c r="K97" s="1607"/>
      <c r="M97" s="1607"/>
      <c r="N97" s="1607"/>
      <c r="O97" s="1607"/>
      <c r="P97" s="1607"/>
      <c r="Q97" s="1979"/>
      <c r="R97" s="1979"/>
      <c r="S97" s="1979"/>
      <c r="T97" s="1979"/>
      <c r="U97" s="1979"/>
      <c r="V97" s="1607"/>
      <c r="W97" s="1607"/>
      <c r="X97" s="1607"/>
      <c r="Y97" s="1607"/>
      <c r="Z97" s="1607"/>
      <c r="AA97" s="1607"/>
      <c r="AB97" s="1607"/>
      <c r="AC97" s="1607"/>
      <c r="AD97" s="1607"/>
      <c r="AE97" s="1607"/>
      <c r="AF97" s="1607"/>
      <c r="AG97" s="1607"/>
      <c r="AH97" s="1607"/>
      <c r="AI97" s="1607"/>
      <c r="AJ97" s="1607"/>
    </row>
    <row r="98" spans="1:41" s="1411" customFormat="1" x14ac:dyDescent="0.25">
      <c r="A98" s="1417"/>
      <c r="B98" s="1417"/>
      <c r="C98" s="1968"/>
      <c r="D98" s="1968"/>
      <c r="E98" s="1968"/>
      <c r="F98" s="1968"/>
      <c r="G98" s="1968"/>
      <c r="H98" s="1968"/>
      <c r="I98" s="1968"/>
      <c r="J98" s="1968"/>
      <c r="K98" s="1607"/>
      <c r="L98" s="1968"/>
      <c r="M98" s="1607"/>
      <c r="N98" s="1607"/>
      <c r="O98" s="1607"/>
      <c r="P98" s="1607"/>
      <c r="Q98" s="1968"/>
      <c r="R98" s="1601"/>
      <c r="S98" s="1601"/>
      <c r="T98" s="1601"/>
      <c r="U98" s="1968"/>
      <c r="V98" s="1607"/>
      <c r="W98" s="1607"/>
      <c r="X98" s="1607"/>
      <c r="Y98" s="1607"/>
      <c r="Z98" s="1607"/>
      <c r="AA98" s="1607"/>
      <c r="AB98" s="1607"/>
      <c r="AC98" s="1607"/>
      <c r="AD98" s="1607"/>
      <c r="AE98" s="1607"/>
      <c r="AF98" s="1607"/>
      <c r="AG98" s="1607"/>
      <c r="AH98" s="1607"/>
      <c r="AI98" s="1607"/>
      <c r="AJ98" s="1607"/>
      <c r="AK98" s="1968"/>
      <c r="AL98" s="1968"/>
      <c r="AM98" s="1968"/>
      <c r="AN98" s="1968"/>
      <c r="AO98" s="1968"/>
    </row>
    <row r="99" spans="1:41" x14ac:dyDescent="0.25">
      <c r="C99" s="1968"/>
      <c r="D99" s="1968"/>
      <c r="R99" s="1601"/>
      <c r="S99" s="1601"/>
      <c r="T99" s="1601"/>
    </row>
    <row r="100" spans="1:41" x14ac:dyDescent="0.25">
      <c r="R100" s="1601"/>
      <c r="S100" s="1601"/>
      <c r="T100" s="1601"/>
    </row>
    <row r="101" spans="1:41" x14ac:dyDescent="0.25">
      <c r="R101" s="1601"/>
      <c r="S101" s="1601"/>
      <c r="T101" s="1601"/>
    </row>
    <row r="102" spans="1:41" x14ac:dyDescent="0.25">
      <c r="R102" s="1601"/>
      <c r="S102" s="1601"/>
      <c r="T102" s="1601"/>
    </row>
    <row r="103" spans="1:41" x14ac:dyDescent="0.25">
      <c r="R103" s="1601"/>
      <c r="S103" s="1601"/>
      <c r="T103" s="1601"/>
    </row>
    <row r="104" spans="1:41" x14ac:dyDescent="0.25">
      <c r="R104" s="1601"/>
      <c r="S104" s="1601"/>
      <c r="T104" s="1601"/>
    </row>
    <row r="105" spans="1:41" x14ac:dyDescent="0.25">
      <c r="R105" s="1601"/>
      <c r="S105" s="1601"/>
      <c r="T105" s="1601"/>
    </row>
    <row r="113" spans="18:21" x14ac:dyDescent="0.25">
      <c r="R113" s="1410"/>
      <c r="S113" s="1410"/>
      <c r="T113" s="1410"/>
    </row>
    <row r="114" spans="18:21" x14ac:dyDescent="0.25">
      <c r="R114" s="1410"/>
      <c r="S114" s="1410"/>
      <c r="T114" s="1410"/>
    </row>
    <row r="115" spans="18:21" x14ac:dyDescent="0.25">
      <c r="R115" s="1410"/>
      <c r="S115" s="1410"/>
      <c r="T115" s="1410"/>
    </row>
    <row r="116" spans="18:21" x14ac:dyDescent="0.25">
      <c r="R116" s="1410"/>
      <c r="S116" s="1410"/>
      <c r="T116" s="1410"/>
    </row>
    <row r="117" spans="18:21" x14ac:dyDescent="0.25">
      <c r="R117" s="1410"/>
      <c r="S117" s="1410"/>
      <c r="T117" s="1410"/>
    </row>
    <row r="118" spans="18:21" x14ac:dyDescent="0.25">
      <c r="R118" s="1410"/>
      <c r="S118" s="1410"/>
      <c r="T118" s="1410"/>
      <c r="U118" s="1410"/>
    </row>
  </sheetData>
  <mergeCells count="10">
    <mergeCell ref="AF2:AJ3"/>
    <mergeCell ref="A3:F3"/>
    <mergeCell ref="AA2:AE3"/>
    <mergeCell ref="V2:Z3"/>
    <mergeCell ref="AK2:AN3"/>
    <mergeCell ref="A42:A48"/>
    <mergeCell ref="A2:F2"/>
    <mergeCell ref="G2:K3"/>
    <mergeCell ref="L2:P3"/>
    <mergeCell ref="Q2:U3"/>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FF00"/>
    <pageSetUpPr fitToPage="1"/>
  </sheetPr>
  <dimension ref="A1:EG115"/>
  <sheetViews>
    <sheetView showZeros="0" zoomScale="85" zoomScaleNormal="85" workbookViewId="0">
      <pane xSplit="2" ySplit="4" topLeftCell="BF50" activePane="bottomRight" state="frozen"/>
      <selection activeCell="AC58" sqref="AC58"/>
      <selection pane="topRight" activeCell="AC58" sqref="AC58"/>
      <selection pane="bottomLeft" activeCell="AC58" sqref="AC58"/>
      <selection pane="bottomRight" activeCell="AC58" sqref="AC58"/>
    </sheetView>
  </sheetViews>
  <sheetFormatPr defaultColWidth="2.88671875" defaultRowHeight="13.2" outlineLevelRow="1" outlineLevelCol="1" x14ac:dyDescent="0.25"/>
  <cols>
    <col min="1" max="1" width="1.6640625" style="1417" customWidth="1"/>
    <col min="2" max="2" width="51.33203125" style="1417" customWidth="1"/>
    <col min="3" max="4" width="13.33203125" style="1968" hidden="1" customWidth="1" outlineLevel="1"/>
    <col min="5" max="5" width="14.6640625" style="1968" hidden="1" customWidth="1" outlineLevel="1"/>
    <col min="6" max="6" width="9.109375" style="1968" hidden="1" customWidth="1" outlineLevel="1"/>
    <col min="7" max="7" width="15.6640625" style="1968" hidden="1" customWidth="1" outlineLevel="1"/>
    <col min="8" max="9" width="13.33203125" style="1968" hidden="1" customWidth="1" outlineLevel="1"/>
    <col min="10" max="10" width="16" style="1968" hidden="1" customWidth="1" outlineLevel="1"/>
    <col min="11" max="11" width="4.88671875" style="1968" hidden="1" customWidth="1" outlineLevel="1"/>
    <col min="12" max="12" width="5.109375" style="1968" hidden="1" customWidth="1" outlineLevel="1"/>
    <col min="13" max="14" width="8.88671875" style="1968" hidden="1" customWidth="1" outlineLevel="1"/>
    <col min="15" max="15" width="11.6640625" style="1968" hidden="1" customWidth="1" outlineLevel="1"/>
    <col min="16" max="17" width="8.88671875" style="1968" hidden="1" customWidth="1" outlineLevel="1"/>
    <col min="18" max="21" width="13.33203125" style="1968" hidden="1" customWidth="1" outlineLevel="1"/>
    <col min="22" max="22" width="36.6640625" style="1968" hidden="1" customWidth="1" outlineLevel="1"/>
    <col min="23" max="26" width="13.88671875" style="1968" hidden="1" customWidth="1" outlineLevel="1"/>
    <col min="27" max="27" width="50.33203125" style="1968" hidden="1" customWidth="1" outlineLevel="1"/>
    <col min="28" max="31" width="13.109375" style="1968" hidden="1" customWidth="1" outlineLevel="1"/>
    <col min="32" max="32" width="46.6640625" style="1968" hidden="1" customWidth="1" outlineLevel="1"/>
    <col min="33" max="33" width="12.88671875" style="1968" hidden="1" customWidth="1" outlineLevel="1" collapsed="1"/>
    <col min="34" max="36" width="12.88671875" style="1968" hidden="1" customWidth="1" outlineLevel="1"/>
    <col min="37" max="37" width="37.109375" style="1968" hidden="1" customWidth="1" outlineLevel="1"/>
    <col min="38" max="41" width="14.6640625" style="1968" hidden="1" customWidth="1" outlineLevel="1"/>
    <col min="42" max="42" width="40.33203125" style="1968" hidden="1" customWidth="1" outlineLevel="1"/>
    <col min="43" max="46" width="12.88671875" style="1968" hidden="1" customWidth="1" outlineLevel="1"/>
    <col min="47" max="47" width="33.33203125" style="1968" hidden="1" customWidth="1" outlineLevel="1"/>
    <col min="48" max="51" width="16" style="1968" hidden="1" customWidth="1" outlineLevel="1"/>
    <col min="52" max="52" width="32.5546875" style="1968" hidden="1" customWidth="1" outlineLevel="1"/>
    <col min="53" max="56" width="16.6640625" style="1968" hidden="1" customWidth="1" outlineLevel="1"/>
    <col min="57" max="57" width="37.33203125" style="1968" hidden="1" customWidth="1" outlineLevel="1"/>
    <col min="58" max="58" width="16.6640625" style="1968" hidden="1" customWidth="1" outlineLevel="1" collapsed="1"/>
    <col min="59" max="62" width="17.33203125" style="1968" hidden="1" customWidth="1" outlineLevel="1"/>
    <col min="63" max="63" width="16.6640625" style="1968" customWidth="1" collapsed="1"/>
    <col min="64" max="67" width="17.33203125" style="1968" customWidth="1"/>
    <col min="68" max="71" width="14.5546875" style="1968" customWidth="1"/>
    <col min="72" max="72" width="24.6640625" style="1968" customWidth="1"/>
    <col min="73" max="76" width="12.88671875" style="1968" hidden="1" customWidth="1" outlineLevel="1"/>
    <col min="77" max="77" width="27.44140625" style="1968" hidden="1" customWidth="1" outlineLevel="1"/>
    <col min="78" max="81" width="13.44140625" style="1968" hidden="1" customWidth="1" outlineLevel="1"/>
    <col min="82" max="82" width="26.109375" style="1968" hidden="1" customWidth="1" outlineLevel="1"/>
    <col min="83" max="86" width="14.88671875" style="1968" hidden="1" customWidth="1" outlineLevel="1"/>
    <col min="87" max="87" width="31.6640625" style="1968" hidden="1" customWidth="1" outlineLevel="1"/>
    <col min="88" max="88" width="12.88671875" style="1968" hidden="1" customWidth="1" outlineLevel="1" collapsed="1"/>
    <col min="89" max="91" width="12.88671875" style="1968" hidden="1" customWidth="1" outlineLevel="1"/>
    <col min="92" max="92" width="41.6640625" style="1968" hidden="1" customWidth="1" outlineLevel="1"/>
    <col min="93" max="96" width="14.109375" style="1968" hidden="1" customWidth="1" outlineLevel="1"/>
    <col min="97" max="97" width="29.109375" style="1968" hidden="1" customWidth="1" outlineLevel="1"/>
    <col min="98" max="101" width="14.88671875" style="1968" hidden="1" customWidth="1" outlineLevel="1"/>
    <col min="102" max="102" width="39.33203125" style="1968" hidden="1" customWidth="1" outlineLevel="1"/>
    <col min="103" max="106" width="13.109375" style="1968" hidden="1" customWidth="1" outlineLevel="1"/>
    <col min="107" max="107" width="45.33203125" style="1968" hidden="1" customWidth="1" outlineLevel="1"/>
    <col min="108" max="111" width="13.109375" style="1968" hidden="1" customWidth="1" outlineLevel="1"/>
    <col min="112" max="112" width="34.33203125" style="1968" hidden="1" customWidth="1" outlineLevel="1"/>
    <col min="113" max="113" width="12.33203125" style="1968" hidden="1" customWidth="1" outlineLevel="1" collapsed="1"/>
    <col min="114" max="114" width="16.33203125" style="1968" hidden="1" customWidth="1" outlineLevel="1"/>
    <col min="115" max="115" width="17" style="1968" hidden="1" customWidth="1" outlineLevel="1"/>
    <col min="116" max="116" width="6.44140625" style="1968" hidden="1" customWidth="1" outlineLevel="1"/>
    <col min="117" max="117" width="30.5546875" style="1968" hidden="1" customWidth="1" outlineLevel="1"/>
    <col min="118" max="118" width="12.6640625" style="1968" hidden="1" customWidth="1" outlineLevel="1" collapsed="1"/>
    <col min="119" max="121" width="12.6640625" style="1968" hidden="1" customWidth="1" outlineLevel="1"/>
    <col min="122" max="122" width="37.33203125" style="1968" hidden="1" customWidth="1" outlineLevel="1"/>
    <col min="123" max="123" width="14" style="1968" hidden="1" customWidth="1" outlineLevel="1"/>
    <col min="124" max="124" width="12.6640625" style="1968" hidden="1" customWidth="1" outlineLevel="1"/>
    <col min="125" max="125" width="14.6640625" style="1968" hidden="1" customWidth="1" outlineLevel="1"/>
    <col min="126" max="126" width="12.6640625" style="1968" hidden="1" customWidth="1" outlineLevel="1"/>
    <col min="127" max="127" width="39.6640625" style="1968" hidden="1" customWidth="1" outlineLevel="1"/>
    <col min="128" max="128" width="15.6640625" style="1968" customWidth="1" collapsed="1"/>
    <col min="129" max="132" width="15.6640625" style="1968" customWidth="1"/>
    <col min="133" max="133" width="2.88671875" style="1410"/>
    <col min="134" max="135" width="26.6640625" style="1968" hidden="1" customWidth="1" outlineLevel="1"/>
    <col min="136" max="136" width="35.33203125" style="1417" hidden="1" customWidth="1" outlineLevel="1"/>
    <col min="137" max="137" width="2.88671875" style="1410" collapsed="1"/>
    <col min="138" max="16384" width="2.88671875" style="1410"/>
  </cols>
  <sheetData>
    <row r="1" spans="1:136" ht="15" thickBot="1" x14ac:dyDescent="0.35">
      <c r="H1" s="4275" t="s">
        <v>191</v>
      </c>
      <c r="I1" s="4275"/>
      <c r="J1" s="4275"/>
      <c r="AV1" s="2140"/>
      <c r="AW1" s="2140"/>
      <c r="AX1" s="2140"/>
      <c r="AY1" s="2140"/>
      <c r="AZ1" s="2140"/>
    </row>
    <row r="2" spans="1:136" ht="13.8" x14ac:dyDescent="0.25">
      <c r="A2" s="4016" t="s">
        <v>940</v>
      </c>
      <c r="B2" s="4017"/>
      <c r="C2" s="4019" t="s">
        <v>135</v>
      </c>
      <c r="D2" s="4020"/>
      <c r="E2" s="4020"/>
      <c r="F2" s="4020"/>
      <c r="G2" s="3265"/>
      <c r="H2" s="4023" t="s">
        <v>464</v>
      </c>
      <c r="I2" s="4024"/>
      <c r="J2" s="4024"/>
      <c r="K2" s="4024"/>
      <c r="L2" s="4025"/>
      <c r="M2" s="4083" t="s">
        <v>969</v>
      </c>
      <c r="N2" s="4084"/>
      <c r="O2" s="4084"/>
      <c r="P2" s="4084"/>
      <c r="Q2" s="4085"/>
      <c r="R2" s="4197" t="s">
        <v>970</v>
      </c>
      <c r="S2" s="4198"/>
      <c r="T2" s="4198"/>
      <c r="U2" s="4198"/>
      <c r="V2" s="4199"/>
      <c r="W2" s="4019" t="s">
        <v>1015</v>
      </c>
      <c r="X2" s="4020"/>
      <c r="Y2" s="4020"/>
      <c r="Z2" s="4020"/>
      <c r="AA2" s="4041"/>
      <c r="AB2" s="4019" t="s">
        <v>1075</v>
      </c>
      <c r="AC2" s="4020"/>
      <c r="AD2" s="4020"/>
      <c r="AE2" s="4020"/>
      <c r="AF2" s="4041"/>
      <c r="AG2" s="4140" t="s">
        <v>1079</v>
      </c>
      <c r="AH2" s="4141"/>
      <c r="AI2" s="4141"/>
      <c r="AJ2" s="4141"/>
      <c r="AK2" s="4142"/>
      <c r="AL2" s="4077" t="s">
        <v>1161</v>
      </c>
      <c r="AM2" s="4078"/>
      <c r="AN2" s="4078"/>
      <c r="AO2" s="4078"/>
      <c r="AP2" s="4078"/>
      <c r="AQ2" s="4054" t="s">
        <v>1303</v>
      </c>
      <c r="AR2" s="4054"/>
      <c r="AS2" s="4054"/>
      <c r="AT2" s="4054"/>
      <c r="AU2" s="4055"/>
      <c r="AV2" s="4186" t="s">
        <v>1383</v>
      </c>
      <c r="AW2" s="4186"/>
      <c r="AX2" s="4186"/>
      <c r="AY2" s="4186"/>
      <c r="AZ2" s="4187"/>
      <c r="BA2" s="4053" t="s">
        <v>1470</v>
      </c>
      <c r="BB2" s="4054"/>
      <c r="BC2" s="4054"/>
      <c r="BD2" s="4054"/>
      <c r="BE2" s="4055"/>
      <c r="BF2" s="4257" t="s">
        <v>1668</v>
      </c>
      <c r="BG2" s="4258"/>
      <c r="BH2" s="4258"/>
      <c r="BI2" s="4258"/>
      <c r="BJ2" s="4259"/>
      <c r="BK2" s="4083">
        <v>2024</v>
      </c>
      <c r="BL2" s="4084"/>
      <c r="BM2" s="4084"/>
      <c r="BN2" s="4084"/>
      <c r="BO2" s="4085"/>
      <c r="BP2" s="4256">
        <v>45292</v>
      </c>
      <c r="BQ2" s="4024"/>
      <c r="BR2" s="4024"/>
      <c r="BS2" s="4024"/>
      <c r="BT2" s="4025"/>
      <c r="BU2" s="4269">
        <v>45323</v>
      </c>
      <c r="BV2" s="4270"/>
      <c r="BW2" s="4270"/>
      <c r="BX2" s="4270"/>
      <c r="BY2" s="4271"/>
      <c r="BZ2" s="4276">
        <v>45352</v>
      </c>
      <c r="CA2" s="4204"/>
      <c r="CB2" s="4204"/>
      <c r="CC2" s="4204"/>
      <c r="CD2" s="4205"/>
      <c r="CE2" s="4277">
        <v>45383</v>
      </c>
      <c r="CF2" s="4278"/>
      <c r="CG2" s="4278"/>
      <c r="CH2" s="4278"/>
      <c r="CI2" s="4279"/>
      <c r="CJ2" s="4290">
        <v>45413</v>
      </c>
      <c r="CK2" s="4291"/>
      <c r="CL2" s="4291"/>
      <c r="CM2" s="4291"/>
      <c r="CN2" s="4292"/>
      <c r="CO2" s="4283">
        <v>45444</v>
      </c>
      <c r="CP2" s="4072"/>
      <c r="CQ2" s="4072"/>
      <c r="CR2" s="4072"/>
      <c r="CS2" s="4073"/>
      <c r="CT2" s="4284">
        <v>45474</v>
      </c>
      <c r="CU2" s="4285"/>
      <c r="CV2" s="4285"/>
      <c r="CW2" s="4285"/>
      <c r="CX2" s="4286"/>
      <c r="CY2" s="4250">
        <v>45505</v>
      </c>
      <c r="CZ2" s="4251"/>
      <c r="DA2" s="4251"/>
      <c r="DB2" s="4251"/>
      <c r="DC2" s="4252"/>
      <c r="DD2" s="4263">
        <v>45536</v>
      </c>
      <c r="DE2" s="4264"/>
      <c r="DF2" s="4264"/>
      <c r="DG2" s="4264"/>
      <c r="DH2" s="4265"/>
      <c r="DI2" s="4095">
        <v>45566</v>
      </c>
      <c r="DJ2" s="4096"/>
      <c r="DK2" s="4096"/>
      <c r="DL2" s="4096"/>
      <c r="DM2" s="4096"/>
      <c r="DN2" s="4244">
        <v>45597</v>
      </c>
      <c r="DO2" s="4245"/>
      <c r="DP2" s="4245"/>
      <c r="DQ2" s="4245"/>
      <c r="DR2" s="4246"/>
      <c r="DS2" s="4250">
        <v>45627</v>
      </c>
      <c r="DT2" s="4251"/>
      <c r="DU2" s="4251"/>
      <c r="DV2" s="4251"/>
      <c r="DW2" s="4252"/>
      <c r="DX2" s="4089" t="s">
        <v>2137</v>
      </c>
      <c r="DY2" s="4090"/>
      <c r="DZ2" s="4090"/>
      <c r="EA2" s="4090"/>
      <c r="EB2" s="4091"/>
      <c r="ED2" s="4242" t="s">
        <v>2107</v>
      </c>
      <c r="EE2" s="4242" t="s">
        <v>2100</v>
      </c>
    </row>
    <row r="3" spans="1:136" ht="14.4" customHeight="1" thickBot="1" x14ac:dyDescent="0.3">
      <c r="A3" s="4035" t="s">
        <v>54</v>
      </c>
      <c r="B3" s="4036"/>
      <c r="C3" s="4021"/>
      <c r="D3" s="4022"/>
      <c r="E3" s="4022"/>
      <c r="F3" s="4022"/>
      <c r="G3" s="3266"/>
      <c r="H3" s="4026"/>
      <c r="I3" s="4027"/>
      <c r="J3" s="4027"/>
      <c r="K3" s="4027"/>
      <c r="L3" s="4028"/>
      <c r="M3" s="4086"/>
      <c r="N3" s="4087"/>
      <c r="O3" s="4087"/>
      <c r="P3" s="4087"/>
      <c r="Q3" s="4088"/>
      <c r="R3" s="4200"/>
      <c r="S3" s="4201"/>
      <c r="T3" s="4201"/>
      <c r="U3" s="4201"/>
      <c r="V3" s="4202"/>
      <c r="W3" s="4021"/>
      <c r="X3" s="4022"/>
      <c r="Y3" s="4022"/>
      <c r="Z3" s="4022"/>
      <c r="AA3" s="4042"/>
      <c r="AB3" s="4021"/>
      <c r="AC3" s="4022"/>
      <c r="AD3" s="4022"/>
      <c r="AE3" s="4022"/>
      <c r="AF3" s="4042"/>
      <c r="AG3" s="4143"/>
      <c r="AH3" s="4144"/>
      <c r="AI3" s="4144"/>
      <c r="AJ3" s="4144"/>
      <c r="AK3" s="4145"/>
      <c r="AL3" s="4080"/>
      <c r="AM3" s="4081"/>
      <c r="AN3" s="4081"/>
      <c r="AO3" s="4081"/>
      <c r="AP3" s="4081"/>
      <c r="AQ3" s="4057"/>
      <c r="AR3" s="4057"/>
      <c r="AS3" s="4057"/>
      <c r="AT3" s="4057"/>
      <c r="AU3" s="4058"/>
      <c r="AV3" s="4189"/>
      <c r="AW3" s="4189"/>
      <c r="AX3" s="4189"/>
      <c r="AY3" s="4189"/>
      <c r="AZ3" s="4190"/>
      <c r="BA3" s="4056"/>
      <c r="BB3" s="4057"/>
      <c r="BC3" s="4057"/>
      <c r="BD3" s="4057"/>
      <c r="BE3" s="4058"/>
      <c r="BF3" s="4260"/>
      <c r="BG3" s="4261"/>
      <c r="BH3" s="4261"/>
      <c r="BI3" s="4261"/>
      <c r="BJ3" s="4262"/>
      <c r="BK3" s="4086"/>
      <c r="BL3" s="4087"/>
      <c r="BM3" s="4087"/>
      <c r="BN3" s="4087"/>
      <c r="BO3" s="4088"/>
      <c r="BP3" s="4026"/>
      <c r="BQ3" s="4027"/>
      <c r="BR3" s="4027"/>
      <c r="BS3" s="4027"/>
      <c r="BT3" s="4028"/>
      <c r="BU3" s="4272"/>
      <c r="BV3" s="4273"/>
      <c r="BW3" s="4273"/>
      <c r="BX3" s="4273"/>
      <c r="BY3" s="4274"/>
      <c r="BZ3" s="4206"/>
      <c r="CA3" s="4207"/>
      <c r="CB3" s="4207"/>
      <c r="CC3" s="4207"/>
      <c r="CD3" s="4208"/>
      <c r="CE3" s="4280"/>
      <c r="CF3" s="4281"/>
      <c r="CG3" s="4281"/>
      <c r="CH3" s="4281"/>
      <c r="CI3" s="4282"/>
      <c r="CJ3" s="4293"/>
      <c r="CK3" s="4294"/>
      <c r="CL3" s="4294"/>
      <c r="CM3" s="4294"/>
      <c r="CN3" s="4295"/>
      <c r="CO3" s="4074"/>
      <c r="CP3" s="4075"/>
      <c r="CQ3" s="4075"/>
      <c r="CR3" s="4075"/>
      <c r="CS3" s="4076"/>
      <c r="CT3" s="4287"/>
      <c r="CU3" s="4288"/>
      <c r="CV3" s="4288"/>
      <c r="CW3" s="4288"/>
      <c r="CX3" s="4289"/>
      <c r="CY3" s="4253"/>
      <c r="CZ3" s="4254"/>
      <c r="DA3" s="4254"/>
      <c r="DB3" s="4254"/>
      <c r="DC3" s="4255"/>
      <c r="DD3" s="4266"/>
      <c r="DE3" s="4267"/>
      <c r="DF3" s="4267"/>
      <c r="DG3" s="4267"/>
      <c r="DH3" s="4268"/>
      <c r="DI3" s="4098"/>
      <c r="DJ3" s="4099"/>
      <c r="DK3" s="4099"/>
      <c r="DL3" s="4099"/>
      <c r="DM3" s="4099"/>
      <c r="DN3" s="4247"/>
      <c r="DO3" s="4248"/>
      <c r="DP3" s="4248"/>
      <c r="DQ3" s="4248"/>
      <c r="DR3" s="4249"/>
      <c r="DS3" s="4253"/>
      <c r="DT3" s="4254"/>
      <c r="DU3" s="4254"/>
      <c r="DV3" s="4254"/>
      <c r="DW3" s="4255"/>
      <c r="DX3" s="4092"/>
      <c r="DY3" s="4093"/>
      <c r="DZ3" s="4093"/>
      <c r="EA3" s="4093"/>
      <c r="EB3" s="4094"/>
      <c r="ED3" s="4243"/>
      <c r="EE3" s="4243"/>
    </row>
    <row r="4" spans="1:136" ht="48" customHeight="1" thickBot="1" x14ac:dyDescent="0.3">
      <c r="A4" s="1486"/>
      <c r="B4" s="1487" t="s">
        <v>11</v>
      </c>
      <c r="C4" s="1972" t="s">
        <v>55</v>
      </c>
      <c r="D4" s="1972" t="s">
        <v>18</v>
      </c>
      <c r="E4" s="1489" t="s">
        <v>39</v>
      </c>
      <c r="F4" s="1978" t="s">
        <v>40</v>
      </c>
      <c r="G4" s="1590" t="s">
        <v>86</v>
      </c>
      <c r="H4" s="1972"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55</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968</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O4" s="1972" t="s">
        <v>55</v>
      </c>
      <c r="CP4" s="1972" t="s">
        <v>18</v>
      </c>
      <c r="CQ4" s="1489" t="s">
        <v>39</v>
      </c>
      <c r="CR4" s="1978" t="s">
        <v>40</v>
      </c>
      <c r="CS4" s="1489" t="s">
        <v>19</v>
      </c>
      <c r="CT4" s="1972" t="s">
        <v>55</v>
      </c>
      <c r="CU4" s="1972" t="s">
        <v>18</v>
      </c>
      <c r="CV4" s="1489" t="s">
        <v>39</v>
      </c>
      <c r="CW4" s="1978" t="s">
        <v>40</v>
      </c>
      <c r="CX4" s="1489" t="s">
        <v>19</v>
      </c>
      <c r="CY4" s="1972" t="s">
        <v>55</v>
      </c>
      <c r="CZ4" s="1972" t="s">
        <v>18</v>
      </c>
      <c r="DA4" s="1489" t="s">
        <v>39</v>
      </c>
      <c r="DB4" s="1978" t="s">
        <v>40</v>
      </c>
      <c r="DC4" s="1489" t="s">
        <v>19</v>
      </c>
      <c r="DD4" s="1972" t="s">
        <v>55</v>
      </c>
      <c r="DE4" s="1972" t="s">
        <v>18</v>
      </c>
      <c r="DF4" s="1489" t="s">
        <v>39</v>
      </c>
      <c r="DG4" s="1978" t="s">
        <v>40</v>
      </c>
      <c r="DH4" s="1489" t="s">
        <v>19</v>
      </c>
      <c r="DI4" s="1972" t="s">
        <v>55</v>
      </c>
      <c r="DJ4" s="1972" t="s">
        <v>18</v>
      </c>
      <c r="DK4" s="1489" t="s">
        <v>39</v>
      </c>
      <c r="DL4" s="1978" t="s">
        <v>40</v>
      </c>
      <c r="DM4" s="1972" t="s">
        <v>19</v>
      </c>
      <c r="DN4" s="1972" t="s">
        <v>55</v>
      </c>
      <c r="DO4" s="1972" t="s">
        <v>18</v>
      </c>
      <c r="DP4" s="1489" t="s">
        <v>39</v>
      </c>
      <c r="DQ4" s="1978" t="s">
        <v>40</v>
      </c>
      <c r="DR4" s="1489" t="s">
        <v>19</v>
      </c>
      <c r="DS4" s="1972" t="s">
        <v>55</v>
      </c>
      <c r="DT4" s="1972" t="s">
        <v>18</v>
      </c>
      <c r="DU4" s="1489" t="s">
        <v>39</v>
      </c>
      <c r="DV4" s="1978" t="s">
        <v>40</v>
      </c>
      <c r="DW4" s="1489" t="s">
        <v>19</v>
      </c>
      <c r="DX4" s="1972" t="s">
        <v>55</v>
      </c>
      <c r="DY4" s="1972" t="s">
        <v>18</v>
      </c>
      <c r="DZ4" s="1489" t="s">
        <v>39</v>
      </c>
      <c r="EA4" s="1978" t="s">
        <v>40</v>
      </c>
      <c r="EB4" s="1489" t="s">
        <v>19</v>
      </c>
      <c r="ED4" s="1489"/>
      <c r="EE4" s="1489"/>
    </row>
    <row r="5" spans="1:136" s="2483" customFormat="1" ht="14.4" thickBot="1" x14ac:dyDescent="0.3">
      <c r="A5" s="1477"/>
      <c r="B5" s="1478" t="s">
        <v>10</v>
      </c>
      <c r="C5" s="1479">
        <f>C6</f>
        <v>18000</v>
      </c>
      <c r="D5" s="1479">
        <f>D6</f>
        <v>0</v>
      </c>
      <c r="E5" s="1971">
        <f>E6</f>
        <v>18000</v>
      </c>
      <c r="F5" s="1481"/>
      <c r="G5" s="3236"/>
      <c r="H5" s="1481">
        <f>H6</f>
        <v>9710707.0800000001</v>
      </c>
      <c r="I5" s="1481">
        <f>I6</f>
        <v>4964918.2799999993</v>
      </c>
      <c r="J5" s="1481">
        <f>J6</f>
        <v>14675625.359999999</v>
      </c>
      <c r="K5" s="1481"/>
      <c r="L5" s="1481"/>
      <c r="M5" s="3495">
        <v>22589336</v>
      </c>
      <c r="N5" s="3495">
        <v>0</v>
      </c>
      <c r="O5" s="3495">
        <v>22589336</v>
      </c>
      <c r="P5" s="3495"/>
      <c r="Q5" s="1481"/>
      <c r="R5" s="3495">
        <f>R6</f>
        <v>581350</v>
      </c>
      <c r="S5" s="3495">
        <f>S6</f>
        <v>0</v>
      </c>
      <c r="T5" s="3495">
        <f>T6</f>
        <v>581350</v>
      </c>
      <c r="U5" s="3495"/>
      <c r="V5" s="3495"/>
      <c r="W5" s="1481">
        <f>W6</f>
        <v>2415708.7999999998</v>
      </c>
      <c r="X5" s="1481">
        <f>X6</f>
        <v>0</v>
      </c>
      <c r="Y5" s="1481">
        <f>Y6</f>
        <v>2415708.7999999998</v>
      </c>
      <c r="Z5" s="1481"/>
      <c r="AA5" s="1481"/>
      <c r="AB5" s="1481">
        <f>AB6</f>
        <v>938582.06</v>
      </c>
      <c r="AC5" s="1481">
        <f>AC6</f>
        <v>2877</v>
      </c>
      <c r="AD5" s="1481">
        <f>AD6</f>
        <v>941459.06</v>
      </c>
      <c r="AE5" s="1481"/>
      <c r="AF5" s="1481"/>
      <c r="AG5" s="1481">
        <f>AG6</f>
        <v>1272104.3999999999</v>
      </c>
      <c r="AH5" s="1481">
        <f>AH6</f>
        <v>20887.78</v>
      </c>
      <c r="AI5" s="1481">
        <f>AI6</f>
        <v>1292992.18</v>
      </c>
      <c r="AJ5" s="1481"/>
      <c r="AK5" s="1481"/>
      <c r="AL5" s="1481">
        <f>AL6</f>
        <v>5698871</v>
      </c>
      <c r="AM5" s="1481">
        <f>AM6</f>
        <v>0</v>
      </c>
      <c r="AN5" s="1481">
        <f>AN6</f>
        <v>5698871</v>
      </c>
      <c r="AO5" s="1481"/>
      <c r="AP5" s="1481"/>
      <c r="AQ5" s="1481">
        <f>AQ6</f>
        <v>10066147.6</v>
      </c>
      <c r="AR5" s="1481">
        <f>AR6</f>
        <v>18000</v>
      </c>
      <c r="AS5" s="1481">
        <f>AS6</f>
        <v>10084147.6</v>
      </c>
      <c r="AT5" s="1481"/>
      <c r="AU5" s="1481"/>
      <c r="AV5" s="1481">
        <f>AV6+AV7</f>
        <v>11237753.559999999</v>
      </c>
      <c r="AW5" s="1481">
        <f>AW6+AW7</f>
        <v>9800</v>
      </c>
      <c r="AX5" s="1481">
        <f>AX6+AX7</f>
        <v>11247553.559999999</v>
      </c>
      <c r="AY5" s="1481"/>
      <c r="AZ5" s="1481"/>
      <c r="BA5" s="1481">
        <f>BA6+BA7</f>
        <v>11669552.65</v>
      </c>
      <c r="BB5" s="1481">
        <f>BB6+BB7</f>
        <v>0</v>
      </c>
      <c r="BC5" s="1481">
        <f>BC6+BC7</f>
        <v>11669552.65</v>
      </c>
      <c r="BD5" s="1481"/>
      <c r="BE5" s="1481"/>
      <c r="BF5" s="1971">
        <v>53296675.699999996</v>
      </c>
      <c r="BG5" s="1481">
        <v>0</v>
      </c>
      <c r="BH5" s="1481">
        <v>53296675.699999996</v>
      </c>
      <c r="BI5" s="1481"/>
      <c r="BJ5" s="1481"/>
      <c r="BK5" s="1971">
        <f>BK6+BK7</f>
        <v>0</v>
      </c>
      <c r="BL5" s="1481">
        <f>BL6+BL7</f>
        <v>0</v>
      </c>
      <c r="BM5" s="1481">
        <f>BM6+BM7</f>
        <v>0</v>
      </c>
      <c r="BN5" s="1481"/>
      <c r="BO5" s="1481"/>
      <c r="BP5" s="1481">
        <f>BP6+BP7</f>
        <v>0</v>
      </c>
      <c r="BQ5" s="1481">
        <f>BQ6+BQ7</f>
        <v>0</v>
      </c>
      <c r="BR5" s="1481">
        <f>BR6+BR7</f>
        <v>0</v>
      </c>
      <c r="BS5" s="1481"/>
      <c r="BT5" s="1481"/>
      <c r="BU5" s="1481">
        <f>BU6+BU7</f>
        <v>0</v>
      </c>
      <c r="BV5" s="1481">
        <f>BV6+BV7</f>
        <v>0</v>
      </c>
      <c r="BW5" s="1481">
        <f>BW6+BW7</f>
        <v>0</v>
      </c>
      <c r="BX5" s="1481"/>
      <c r="BY5" s="1481"/>
      <c r="BZ5" s="1481">
        <f>BZ6</f>
        <v>0</v>
      </c>
      <c r="CA5" s="1481">
        <f>CA6</f>
        <v>0</v>
      </c>
      <c r="CB5" s="1481">
        <f>CB6+CB7</f>
        <v>0</v>
      </c>
      <c r="CC5" s="1481"/>
      <c r="CD5" s="1481"/>
      <c r="CE5" s="1481">
        <f>CE6</f>
        <v>0</v>
      </c>
      <c r="CF5" s="1481">
        <f>CF6</f>
        <v>0</v>
      </c>
      <c r="CG5" s="1481">
        <f>CG6+CG7</f>
        <v>0</v>
      </c>
      <c r="CH5" s="1481"/>
      <c r="CI5" s="1481"/>
      <c r="CJ5" s="1481">
        <f>CJ6</f>
        <v>0</v>
      </c>
      <c r="CK5" s="1481">
        <f>CK6</f>
        <v>0</v>
      </c>
      <c r="CL5" s="1481">
        <f>CL6+CL7</f>
        <v>0</v>
      </c>
      <c r="CM5" s="1481"/>
      <c r="CN5" s="1481"/>
      <c r="CO5" s="1481">
        <f>CO6</f>
        <v>0</v>
      </c>
      <c r="CP5" s="1481">
        <f>CP6</f>
        <v>0</v>
      </c>
      <c r="CQ5" s="1481">
        <f>CQ6+CQ7</f>
        <v>0</v>
      </c>
      <c r="CR5" s="1481"/>
      <c r="CS5" s="1481"/>
      <c r="CT5" s="1481">
        <f>CT6</f>
        <v>0</v>
      </c>
      <c r="CU5" s="1481">
        <f>CU6</f>
        <v>0</v>
      </c>
      <c r="CV5" s="1481">
        <f>CV6+CV7</f>
        <v>0</v>
      </c>
      <c r="CW5" s="1481"/>
      <c r="CX5" s="1481"/>
      <c r="CY5" s="1481">
        <f>CY6</f>
        <v>0</v>
      </c>
      <c r="CZ5" s="1481">
        <f>CZ6</f>
        <v>0</v>
      </c>
      <c r="DA5" s="1481">
        <f>DA6+DA7</f>
        <v>0</v>
      </c>
      <c r="DB5" s="1481"/>
      <c r="DC5" s="1481"/>
      <c r="DD5" s="1481">
        <f>DD6</f>
        <v>0</v>
      </c>
      <c r="DE5" s="1481">
        <f>DE6</f>
        <v>0</v>
      </c>
      <c r="DF5" s="1481">
        <f>DF6+DF7</f>
        <v>0</v>
      </c>
      <c r="DG5" s="1481"/>
      <c r="DH5" s="1481"/>
      <c r="DI5" s="1481">
        <f>DI6</f>
        <v>0</v>
      </c>
      <c r="DJ5" s="1481">
        <f>DJ6</f>
        <v>0</v>
      </c>
      <c r="DK5" s="1481">
        <f>DK6+DK7</f>
        <v>0</v>
      </c>
      <c r="DL5" s="1481"/>
      <c r="DM5" s="1982"/>
      <c r="DN5" s="1971">
        <f>DN6</f>
        <v>0</v>
      </c>
      <c r="DO5" s="1481">
        <f>DO6</f>
        <v>0</v>
      </c>
      <c r="DP5" s="1481">
        <f>DP6+DP7</f>
        <v>0</v>
      </c>
      <c r="DQ5" s="1481"/>
      <c r="DR5" s="1481"/>
      <c r="DS5" s="1971">
        <f>DS6</f>
        <v>0</v>
      </c>
      <c r="DT5" s="1481">
        <f>DT6</f>
        <v>0</v>
      </c>
      <c r="DU5" s="1481">
        <f>DU6+DU7</f>
        <v>0</v>
      </c>
      <c r="DV5" s="1481"/>
      <c r="DW5" s="1481"/>
      <c r="DX5" s="1481">
        <f>DX6+DX7</f>
        <v>97176745.769999996</v>
      </c>
      <c r="DY5" s="1481">
        <f>DY6+DY7</f>
        <v>51564.78</v>
      </c>
      <c r="DZ5" s="1481">
        <f>DX5+DY5</f>
        <v>97228310.549999997</v>
      </c>
      <c r="EA5" s="1481"/>
      <c r="EB5" s="1481"/>
      <c r="ED5" s="1971">
        <f>ED6+ED7</f>
        <v>48169362.5</v>
      </c>
      <c r="EE5" s="1971">
        <f>EE6+EE7</f>
        <v>48169362.5</v>
      </c>
      <c r="EF5" s="3496"/>
    </row>
    <row r="6" spans="1:136" s="1411" customFormat="1" ht="96" customHeight="1" x14ac:dyDescent="0.25">
      <c r="A6" s="1586"/>
      <c r="B6" s="1418" t="s">
        <v>17</v>
      </c>
      <c r="C6" s="3274">
        <v>18000</v>
      </c>
      <c r="D6" s="3274"/>
      <c r="E6" s="3274">
        <f>C6+D6</f>
        <v>18000</v>
      </c>
      <c r="F6" s="3274"/>
      <c r="G6" s="3237">
        <v>8848</v>
      </c>
      <c r="H6" s="3274">
        <v>9710707.0800000001</v>
      </c>
      <c r="I6" s="3274">
        <v>4964918.2799999993</v>
      </c>
      <c r="J6" s="2028">
        <f>H6+I6</f>
        <v>14675625.359999999</v>
      </c>
      <c r="K6" s="3274"/>
      <c r="L6" s="3274"/>
      <c r="M6" s="3497">
        <v>22589336</v>
      </c>
      <c r="N6" s="3497">
        <v>0</v>
      </c>
      <c r="O6" s="3498">
        <v>22589336</v>
      </c>
      <c r="P6" s="3497"/>
      <c r="Q6" s="3274"/>
      <c r="R6" s="3497">
        <v>581350</v>
      </c>
      <c r="S6" s="3497"/>
      <c r="T6" s="3498">
        <f>R6+S6</f>
        <v>581350</v>
      </c>
      <c r="U6" s="3497"/>
      <c r="V6" s="3499" t="s">
        <v>974</v>
      </c>
      <c r="W6" s="3275">
        <f>2004194+46500+365014.8</f>
        <v>2415708.7999999998</v>
      </c>
      <c r="X6" s="3274"/>
      <c r="Y6" s="2028">
        <f>W6+X6</f>
        <v>2415708.7999999998</v>
      </c>
      <c r="Z6" s="3274"/>
      <c r="AA6" s="3275" t="s">
        <v>1081</v>
      </c>
      <c r="AB6" s="3274">
        <f>39160+670930.56+198310+30181.5</f>
        <v>938582.06</v>
      </c>
      <c r="AC6" s="3274">
        <v>2877</v>
      </c>
      <c r="AD6" s="2028">
        <f>AB6+AC6</f>
        <v>941459.06</v>
      </c>
      <c r="AE6" s="3274"/>
      <c r="AF6" s="3275" t="s">
        <v>1128</v>
      </c>
      <c r="AG6" s="3274">
        <f>85050+280140+898892.4+0.573*14000</f>
        <v>1272104.3999999999</v>
      </c>
      <c r="AH6" s="3274">
        <v>20887.78</v>
      </c>
      <c r="AI6" s="2028">
        <f>AG6+AH6</f>
        <v>1292992.18</v>
      </c>
      <c r="AJ6" s="3274"/>
      <c r="AK6" s="3275" t="s">
        <v>1218</v>
      </c>
      <c r="AL6" s="3274">
        <f>4963227+357644+378000</f>
        <v>5698871</v>
      </c>
      <c r="AM6" s="3274"/>
      <c r="AN6" s="2028">
        <f>AL6+AM6</f>
        <v>5698871</v>
      </c>
      <c r="AO6" s="3274"/>
      <c r="AP6" s="3275" t="s">
        <v>1290</v>
      </c>
      <c r="AQ6" s="3275">
        <f>10051307.6+14840</f>
        <v>10066147.6</v>
      </c>
      <c r="AR6" s="3275">
        <v>18000</v>
      </c>
      <c r="AS6" s="2028">
        <f>AQ6+AR6</f>
        <v>10084147.6</v>
      </c>
      <c r="AT6" s="3274"/>
      <c r="AU6" s="3275" t="s">
        <v>1346</v>
      </c>
      <c r="AV6" s="3275">
        <v>11231043.199999999</v>
      </c>
      <c r="AW6" s="3275">
        <v>5300</v>
      </c>
      <c r="AX6" s="2028">
        <f>AV6+AW6</f>
        <v>11236343.199999999</v>
      </c>
      <c r="AY6" s="3274"/>
      <c r="AZ6" s="3276" t="s">
        <v>1465</v>
      </c>
      <c r="BA6" s="3275">
        <f>11663058.96</f>
        <v>11663058.960000001</v>
      </c>
      <c r="BB6" s="3275"/>
      <c r="BC6" s="2028">
        <f>BA6+BB6</f>
        <v>11663058.960000001</v>
      </c>
      <c r="BD6" s="3274"/>
      <c r="BE6" s="3291" t="s">
        <v>1574</v>
      </c>
      <c r="BF6" s="3279">
        <v>53296675.699999996</v>
      </c>
      <c r="BG6" s="3274">
        <v>0</v>
      </c>
      <c r="BH6" s="2028">
        <v>53296675.699999996</v>
      </c>
      <c r="BI6" s="3274"/>
      <c r="BJ6" s="3276"/>
      <c r="BK6" s="3279">
        <f>BP6+BU6+BZ6+CE6+CJ6+CO6+CT6+CY6+DD6+DI6+DN6+DS6</f>
        <v>0</v>
      </c>
      <c r="BL6" s="3274">
        <f>BQ6+BV6+CA6+CF6+CK6+CP6+CU6+CZ6+DE6+DJ6+DO6+DT6</f>
        <v>0</v>
      </c>
      <c r="BM6" s="2028">
        <f>BK6+BL6</f>
        <v>0</v>
      </c>
      <c r="BN6" s="3274"/>
      <c r="BO6" s="3276"/>
      <c r="BP6" s="3275"/>
      <c r="BQ6" s="3275"/>
      <c r="BR6" s="1997">
        <f>BP6+BQ6</f>
        <v>0</v>
      </c>
      <c r="BS6" s="3279"/>
      <c r="BT6" s="3291"/>
      <c r="BU6" s="3274"/>
      <c r="BV6" s="3274"/>
      <c r="BW6" s="2028">
        <f>BU6+BV6</f>
        <v>0</v>
      </c>
      <c r="BX6" s="3274"/>
      <c r="BY6" s="3381"/>
      <c r="BZ6" s="3274"/>
      <c r="CA6" s="3274"/>
      <c r="CB6" s="2028">
        <f>BZ6+CA6</f>
        <v>0</v>
      </c>
      <c r="CC6" s="3274"/>
      <c r="CD6" s="3276"/>
      <c r="CE6" s="3274"/>
      <c r="CF6" s="3274"/>
      <c r="CG6" s="2028">
        <f>CE6+CF6</f>
        <v>0</v>
      </c>
      <c r="CH6" s="3274"/>
      <c r="CI6" s="3276"/>
      <c r="CJ6" s="3274"/>
      <c r="CK6" s="3274"/>
      <c r="CL6" s="3274">
        <f>CJ6+CK6</f>
        <v>0</v>
      </c>
      <c r="CM6" s="3274"/>
      <c r="CN6" s="3276"/>
      <c r="CO6" s="3274"/>
      <c r="CP6" s="3274"/>
      <c r="CQ6" s="3274">
        <f>CO6+CP6</f>
        <v>0</v>
      </c>
      <c r="CR6" s="3274"/>
      <c r="CS6" s="3276"/>
      <c r="CT6" s="3274"/>
      <c r="CU6" s="3274"/>
      <c r="CV6" s="3274">
        <f>CT6+CU6</f>
        <v>0</v>
      </c>
      <c r="CW6" s="3274"/>
      <c r="CX6" s="3276"/>
      <c r="CY6" s="3274"/>
      <c r="CZ6" s="3274"/>
      <c r="DA6" s="3274">
        <f>CY6+CZ6</f>
        <v>0</v>
      </c>
      <c r="DB6" s="3274"/>
      <c r="DC6" s="3276"/>
      <c r="DD6" s="3274"/>
      <c r="DE6" s="3274"/>
      <c r="DF6" s="3274">
        <f>DD6+DE6</f>
        <v>0</v>
      </c>
      <c r="DG6" s="3274"/>
      <c r="DH6" s="3276"/>
      <c r="DI6" s="3274"/>
      <c r="DJ6" s="3274"/>
      <c r="DK6" s="3274">
        <f>DI6+DJ6</f>
        <v>0</v>
      </c>
      <c r="DL6" s="3274"/>
      <c r="DM6" s="3500"/>
      <c r="DN6" s="3288"/>
      <c r="DO6" s="3274"/>
      <c r="DP6" s="3274">
        <f>DN6+DO6</f>
        <v>0</v>
      </c>
      <c r="DQ6" s="3274"/>
      <c r="DR6" s="3500"/>
      <c r="DS6" s="3288"/>
      <c r="DT6" s="3274"/>
      <c r="DU6" s="3274">
        <f>DS6+DT6</f>
        <v>0</v>
      </c>
      <c r="DV6" s="3274"/>
      <c r="DW6" s="3276"/>
      <c r="DX6" s="3279">
        <f>R6+W6+AB6+AG6+AL6+AQ6+AV6+BA6+BP6+BU6+BZ6+CE6+CJ6+CO6+CT6+CY6+DD6+DI6+DN6+DS6+BF6</f>
        <v>97163541.719999999</v>
      </c>
      <c r="DY6" s="3279">
        <f>S6+X6+AC6+AH6+AM6+AR6+AW6+BB6+BQ6+BV6+CA6+CF6+CK6+CP6+CU6+CZ6+DE6+DJ6+DO6+DT6+BG6</f>
        <v>47064.78</v>
      </c>
      <c r="DZ6" s="3283">
        <f>DX6+DY6</f>
        <v>97210606.5</v>
      </c>
      <c r="EA6" s="3274"/>
      <c r="EB6" s="3274"/>
      <c r="ED6" s="3279">
        <v>48169362.5</v>
      </c>
      <c r="EE6" s="3501">
        <f>ED6-BM6</f>
        <v>48169362.5</v>
      </c>
      <c r="EF6" s="3259" t="s">
        <v>2101</v>
      </c>
    </row>
    <row r="7" spans="1:136" s="1411" customFormat="1" ht="34.950000000000003" customHeight="1" thickBot="1" x14ac:dyDescent="0.3">
      <c r="A7" s="1586"/>
      <c r="B7" s="3231" t="s">
        <v>41</v>
      </c>
      <c r="C7" s="3277"/>
      <c r="D7" s="3277"/>
      <c r="E7" s="3277">
        <f>C7+D7</f>
        <v>0</v>
      </c>
      <c r="F7" s="3277"/>
      <c r="G7" s="623"/>
      <c r="H7" s="3278">
        <v>0</v>
      </c>
      <c r="I7" s="3278">
        <v>0</v>
      </c>
      <c r="J7" s="2046">
        <f>H7+I7</f>
        <v>0</v>
      </c>
      <c r="K7" s="3277"/>
      <c r="L7" s="3277"/>
      <c r="M7" s="3502">
        <v>0</v>
      </c>
      <c r="N7" s="3502">
        <v>0</v>
      </c>
      <c r="O7" s="3503">
        <v>0</v>
      </c>
      <c r="P7" s="3504"/>
      <c r="Q7" s="3278"/>
      <c r="R7" s="3502"/>
      <c r="S7" s="3502"/>
      <c r="T7" s="3503">
        <f>R7+S7</f>
        <v>0</v>
      </c>
      <c r="U7" s="3504"/>
      <c r="V7" s="3504"/>
      <c r="W7" s="3278"/>
      <c r="X7" s="3278"/>
      <c r="Y7" s="2046">
        <f>W7+X7</f>
        <v>0</v>
      </c>
      <c r="Z7" s="3277"/>
      <c r="AA7" s="3277"/>
      <c r="AB7" s="3278"/>
      <c r="AC7" s="3278"/>
      <c r="AD7" s="2046">
        <f>AB7+AC7</f>
        <v>0</v>
      </c>
      <c r="AE7" s="3277"/>
      <c r="AF7" s="3277"/>
      <c r="AG7" s="3278"/>
      <c r="AH7" s="3278"/>
      <c r="AI7" s="2046">
        <f>AG7+AH7</f>
        <v>0</v>
      </c>
      <c r="AJ7" s="3277"/>
      <c r="AK7" s="3277"/>
      <c r="AL7" s="3278"/>
      <c r="AM7" s="3278"/>
      <c r="AN7" s="2046">
        <f>AL7+AM7</f>
        <v>0</v>
      </c>
      <c r="AO7" s="3277"/>
      <c r="AP7" s="3277"/>
      <c r="AQ7" s="3278"/>
      <c r="AR7" s="3278"/>
      <c r="AS7" s="2046">
        <f>AQ7+AR7</f>
        <v>0</v>
      </c>
      <c r="AT7" s="3277"/>
      <c r="AU7" s="3278"/>
      <c r="AV7" s="3278">
        <v>6710.36</v>
      </c>
      <c r="AW7" s="3278">
        <v>4500</v>
      </c>
      <c r="AX7" s="2046">
        <f>AV7+AW7</f>
        <v>11210.36</v>
      </c>
      <c r="AY7" s="3277"/>
      <c r="AZ7" s="3276" t="s">
        <v>1436</v>
      </c>
      <c r="BA7" s="3278">
        <f>6493.69</f>
        <v>6493.69</v>
      </c>
      <c r="BB7" s="3278"/>
      <c r="BC7" s="2046">
        <f>BA7+BB7</f>
        <v>6493.69</v>
      </c>
      <c r="BD7" s="3277"/>
      <c r="BE7" s="3505" t="s">
        <v>1538</v>
      </c>
      <c r="BF7" s="3323">
        <v>0</v>
      </c>
      <c r="BG7" s="3274">
        <v>0</v>
      </c>
      <c r="BH7" s="2028">
        <v>0</v>
      </c>
      <c r="BI7" s="3277"/>
      <c r="BJ7" s="3276">
        <v>0</v>
      </c>
      <c r="BK7" s="3323">
        <f>BP7+BU7+BZ7+CE7+CJ7+CO7+CT7+CY7+DD7+DI7+DN7+DS7</f>
        <v>0</v>
      </c>
      <c r="BL7" s="3274">
        <f>BQ7+BV7+CA7+CF7+CK7+CP7+CU7+CZ7+DE7+DJ7+DO7+DT7</f>
        <v>0</v>
      </c>
      <c r="BM7" s="2028">
        <f>BK7+BL7</f>
        <v>0</v>
      </c>
      <c r="BN7" s="3277"/>
      <c r="BO7" s="3276">
        <f>BM7-BR7-BU7-BZ7-CE7-CJ7-CO7-CV7</f>
        <v>0</v>
      </c>
      <c r="BP7" s="3278"/>
      <c r="BQ7" s="3278"/>
      <c r="BR7" s="2005">
        <f>BP7+BQ7</f>
        <v>0</v>
      </c>
      <c r="BS7" s="3399"/>
      <c r="BT7" s="3505"/>
      <c r="BU7" s="3274"/>
      <c r="BV7" s="3274"/>
      <c r="BW7" s="2028">
        <f>BU7+BV7</f>
        <v>0</v>
      </c>
      <c r="BX7" s="3277"/>
      <c r="BY7" s="3277"/>
      <c r="BZ7" s="3274"/>
      <c r="CA7" s="3274"/>
      <c r="CB7" s="2028">
        <f>BZ7+CA7</f>
        <v>0</v>
      </c>
      <c r="CC7" s="3277"/>
      <c r="CD7" s="3277"/>
      <c r="CE7" s="3274"/>
      <c r="CF7" s="3274"/>
      <c r="CG7" s="2028">
        <f>CE7+CF7</f>
        <v>0</v>
      </c>
      <c r="CH7" s="3277"/>
      <c r="CI7" s="3277"/>
      <c r="CJ7" s="3274"/>
      <c r="CK7" s="3274"/>
      <c r="CL7" s="2028">
        <f>CJ7+CK7</f>
        <v>0</v>
      </c>
      <c r="CM7" s="3277"/>
      <c r="CN7" s="3277"/>
      <c r="CO7" s="3274"/>
      <c r="CP7" s="3274"/>
      <c r="CQ7" s="2028">
        <f>CO7+CP7</f>
        <v>0</v>
      </c>
      <c r="CR7" s="3277"/>
      <c r="CS7" s="3277"/>
      <c r="CT7" s="3274"/>
      <c r="CU7" s="3274"/>
      <c r="CV7" s="2028">
        <f>CT7+CU7</f>
        <v>0</v>
      </c>
      <c r="CW7" s="3277"/>
      <c r="CX7" s="3277"/>
      <c r="CY7" s="3274"/>
      <c r="CZ7" s="3274"/>
      <c r="DA7" s="2028">
        <f>CY7+CZ7</f>
        <v>0</v>
      </c>
      <c r="DB7" s="3277"/>
      <c r="DC7" s="3278"/>
      <c r="DD7" s="3274"/>
      <c r="DE7" s="3274"/>
      <c r="DF7" s="2028">
        <f>DD7+DE7</f>
        <v>0</v>
      </c>
      <c r="DG7" s="3277"/>
      <c r="DH7" s="3278"/>
      <c r="DI7" s="3274"/>
      <c r="DJ7" s="3274"/>
      <c r="DK7" s="2028">
        <f>DI7+DJ7</f>
        <v>0</v>
      </c>
      <c r="DL7" s="3277"/>
      <c r="DM7" s="3506"/>
      <c r="DN7" s="3288"/>
      <c r="DO7" s="3274"/>
      <c r="DP7" s="2028">
        <f>DN7+DO7</f>
        <v>0</v>
      </c>
      <c r="DQ7" s="3277"/>
      <c r="DR7" s="3278"/>
      <c r="DS7" s="3288"/>
      <c r="DT7" s="3274"/>
      <c r="DU7" s="2028">
        <f>DS7+DT7</f>
        <v>0</v>
      </c>
      <c r="DV7" s="3277"/>
      <c r="DW7" s="3278"/>
      <c r="DX7" s="3288">
        <f>R7+W7+AB7+AG7+AL7+AQ7+AV7+BA7+BP7+BU7+BZ7+CE7+CJ7+CO7+CT7+CY7+DD7+DI7+DN7+DS7+BF7</f>
        <v>13204.05</v>
      </c>
      <c r="DY7" s="3288">
        <f>S7+X7+AC7+AH7+AM7+AR7+AW7+BB7+BQ7+BV7+CA7+CF7+CK7+CP7+CU7+CZ7+DE7+DJ7+DO7+DT7+BG7</f>
        <v>4500</v>
      </c>
      <c r="DZ7" s="3283">
        <f>DX7+DY7</f>
        <v>17704.05</v>
      </c>
      <c r="EA7" s="3277"/>
      <c r="EB7" s="3277"/>
      <c r="ED7" s="3288"/>
      <c r="EE7" s="3501">
        <f>ED7-BM7</f>
        <v>0</v>
      </c>
      <c r="EF7" s="3496"/>
    </row>
    <row r="8" spans="1:136" s="2483" customFormat="1" ht="31.2" customHeight="1" thickBot="1" x14ac:dyDescent="0.3">
      <c r="A8" s="1586"/>
      <c r="B8" s="1688" t="s">
        <v>16</v>
      </c>
      <c r="C8" s="1973">
        <f>SUM(C9:C33)</f>
        <v>1242714.74</v>
      </c>
      <c r="D8" s="1973">
        <f>SUM(D9:D33)</f>
        <v>1169846.33</v>
      </c>
      <c r="E8" s="1499">
        <f>SUM(E9:E33)</f>
        <v>2412561.0700000003</v>
      </c>
      <c r="F8" s="1543">
        <f t="shared" ref="F8:F21" si="0">E8/$E$89</f>
        <v>0.92791892918847274</v>
      </c>
      <c r="G8" s="625"/>
      <c r="H8" s="1973">
        <f>SUM(H9:H33)</f>
        <v>5401535.5651499992</v>
      </c>
      <c r="I8" s="1973">
        <f>SUM(I9:I33)</f>
        <v>6054641.8799999999</v>
      </c>
      <c r="J8" s="1499">
        <f>SUM(J9:J33)</f>
        <v>11456177.445150001</v>
      </c>
      <c r="K8" s="1543">
        <f t="shared" ref="K8:K21" si="1">J8/$J$89</f>
        <v>0.90146369702474105</v>
      </c>
      <c r="L8" s="1481"/>
      <c r="M8" s="3507">
        <v>7362414.0225999998</v>
      </c>
      <c r="N8" s="3507">
        <v>10290936.35</v>
      </c>
      <c r="O8" s="3508">
        <v>17653350.3726</v>
      </c>
      <c r="P8" s="3509">
        <v>0.91594296430871991</v>
      </c>
      <c r="Q8" s="1982"/>
      <c r="R8" s="3507">
        <f>SUM(R9:R33)</f>
        <v>522362.77799999999</v>
      </c>
      <c r="S8" s="3507">
        <f>SUM(S9:S33)</f>
        <v>654803.32094999996</v>
      </c>
      <c r="T8" s="3508">
        <f>SUM(T9:T33)</f>
        <v>1177166.09895</v>
      </c>
      <c r="U8" s="3509">
        <f t="shared" ref="U8:U21" si="2">T8/$T$89</f>
        <v>0.90747530359083095</v>
      </c>
      <c r="V8" s="3495"/>
      <c r="W8" s="1973">
        <f>SUM(W9:W33)</f>
        <v>1208078.3460000001</v>
      </c>
      <c r="X8" s="1973">
        <f>SUM(X9:X33)</f>
        <v>893895.9</v>
      </c>
      <c r="Y8" s="1499">
        <f>SUM(Y9:Y33)</f>
        <v>2101974.2459999998</v>
      </c>
      <c r="Z8" s="1543">
        <f t="shared" ref="Z8:Z22" si="3">Y8/$Y$89</f>
        <v>0.92984218724624579</v>
      </c>
      <c r="AA8" s="1481"/>
      <c r="AB8" s="1973">
        <f>SUM(AB9:AB33)</f>
        <v>424070.12399999995</v>
      </c>
      <c r="AC8" s="1973">
        <f>SUM(AC9:AC33)</f>
        <v>284047</v>
      </c>
      <c r="AD8" s="1499">
        <f>SUM(AD9:AD33)</f>
        <v>708117.12399999995</v>
      </c>
      <c r="AE8" s="1543">
        <f>AD8/$AD$89</f>
        <v>0.84486104847732801</v>
      </c>
      <c r="AF8" s="1481"/>
      <c r="AG8" s="1973">
        <f>SUM(AG9:AG33)</f>
        <v>407207.22000000003</v>
      </c>
      <c r="AH8" s="1973">
        <f>SUM(AH9:AH33)</f>
        <v>366382.7</v>
      </c>
      <c r="AI8" s="1499">
        <f>SUM(AI9:AI33)</f>
        <v>773589.91999999993</v>
      </c>
      <c r="AJ8" s="1543">
        <f>AI8/$AI$89</f>
        <v>0.71517028533548754</v>
      </c>
      <c r="AK8" s="1481"/>
      <c r="AL8" s="1973">
        <f>SUM(AL9:AL33)</f>
        <v>2146565.1540000001</v>
      </c>
      <c r="AM8" s="1973">
        <f>SUM(AM9:AM33)</f>
        <v>1506278.77</v>
      </c>
      <c r="AN8" s="1499">
        <f>SUM(AN9:AN33)</f>
        <v>3652843.9239999996</v>
      </c>
      <c r="AO8" s="1543">
        <f>AN8/$AN$89</f>
        <v>0.80374364869161663</v>
      </c>
      <c r="AP8" s="1481"/>
      <c r="AQ8" s="1982">
        <f>SUM(AQ9:AQ33)</f>
        <v>3724889.68</v>
      </c>
      <c r="AR8" s="1499">
        <f>SUM(AR9:AR33)</f>
        <v>1993302.44</v>
      </c>
      <c r="AS8" s="1499">
        <f>SUM(AS9:AS33)</f>
        <v>5718192.1199999992</v>
      </c>
      <c r="AT8" s="1543">
        <f>AS8/$AN$89</f>
        <v>1.2581869617401289</v>
      </c>
      <c r="AU8" s="1982"/>
      <c r="AV8" s="1479">
        <f>SUM(AV9:AV33)</f>
        <v>4243399.8800000008</v>
      </c>
      <c r="AW8" s="1499">
        <f>SUM(AW9:AW33)</f>
        <v>2697877.5</v>
      </c>
      <c r="AX8" s="1499">
        <f>SUM(AX9:AX33)</f>
        <v>6941277.3800000008</v>
      </c>
      <c r="AY8" s="1543">
        <f>AX8/$AN$89</f>
        <v>1.5273052241094838</v>
      </c>
      <c r="AZ8" s="1982"/>
      <c r="BA8" s="1479">
        <f>SUM(BA9:BA33)</f>
        <v>3750553.07</v>
      </c>
      <c r="BB8" s="1499">
        <f>SUM(BB9:BB33)</f>
        <v>2074870.81</v>
      </c>
      <c r="BC8" s="1499">
        <f>SUM(BC9:BC33)</f>
        <v>5825423.8799999999</v>
      </c>
      <c r="BD8" s="1543">
        <f>BC8/$AN$89</f>
        <v>1.2817814124834956</v>
      </c>
      <c r="BE8" s="1481"/>
      <c r="BF8" s="1973">
        <v>25269353.718000002</v>
      </c>
      <c r="BG8" s="1973">
        <v>10528378.99</v>
      </c>
      <c r="BH8" s="1499">
        <v>35797732.707999997</v>
      </c>
      <c r="BI8" s="1543">
        <v>27.596410044455023</v>
      </c>
      <c r="BJ8" s="1481"/>
      <c r="BK8" s="1973">
        <f>SUM(BK9:BK33)</f>
        <v>0</v>
      </c>
      <c r="BL8" s="1973">
        <f>SUM(BL9:BL33)</f>
        <v>0</v>
      </c>
      <c r="BM8" s="1499">
        <f>SUM(BM9:BM33)</f>
        <v>0</v>
      </c>
      <c r="BN8" s="1543">
        <f>BM8/$T$89</f>
        <v>0</v>
      </c>
      <c r="BO8" s="1481"/>
      <c r="BP8" s="1479">
        <f>SUM(BP9:BP33)</f>
        <v>0</v>
      </c>
      <c r="BQ8" s="1499">
        <f>SUM(BQ9:BQ33)</f>
        <v>0</v>
      </c>
      <c r="BR8" s="1499">
        <f>SUM(BR9:BR33)</f>
        <v>0</v>
      </c>
      <c r="BS8" s="1543">
        <f>BR8/$AN$89</f>
        <v>0</v>
      </c>
      <c r="BT8" s="1481"/>
      <c r="BU8" s="1479">
        <f>SUM(BU9:BU33)</f>
        <v>0</v>
      </c>
      <c r="BV8" s="1499">
        <f>SUM(BV9:BV33)</f>
        <v>0</v>
      </c>
      <c r="BW8" s="1499">
        <f>SUM(BW9:BW33)</f>
        <v>0</v>
      </c>
      <c r="BX8" s="1543">
        <f>BW8/$AN$89</f>
        <v>0</v>
      </c>
      <c r="BY8" s="1481"/>
      <c r="BZ8" s="1973">
        <f>SUM(BZ9:BZ33)</f>
        <v>0</v>
      </c>
      <c r="CA8" s="1973">
        <f>SUM(CA9:CA33)</f>
        <v>0</v>
      </c>
      <c r="CB8" s="1499">
        <f>SUM(CB9:CB33)</f>
        <v>0</v>
      </c>
      <c r="CC8" s="1543">
        <f>CB8/$AD$89</f>
        <v>0</v>
      </c>
      <c r="CD8" s="1481"/>
      <c r="CE8" s="1973">
        <f>SUM(CE9:CE33)</f>
        <v>0</v>
      </c>
      <c r="CF8" s="1973">
        <f>SUM(CF9:CF33)</f>
        <v>0</v>
      </c>
      <c r="CG8" s="1499">
        <f>SUM(CG9:CG33)</f>
        <v>0</v>
      </c>
      <c r="CH8" s="1543">
        <f>CG8/$AD$89</f>
        <v>0</v>
      </c>
      <c r="CI8" s="1481"/>
      <c r="CJ8" s="1973">
        <f>SUM(CJ9:CJ33)</f>
        <v>0</v>
      </c>
      <c r="CK8" s="1973">
        <f>SUM(CK9:CK33)</f>
        <v>0</v>
      </c>
      <c r="CL8" s="1499">
        <f>SUM(CL9:CL33)</f>
        <v>0</v>
      </c>
      <c r="CM8" s="1543">
        <f>CL8/$AD$89</f>
        <v>0</v>
      </c>
      <c r="CN8" s="1481"/>
      <c r="CO8" s="1973">
        <f>SUM(CO9:CO33)</f>
        <v>0</v>
      </c>
      <c r="CP8" s="1973">
        <f>SUM(CP9:CP33)</f>
        <v>0</v>
      </c>
      <c r="CQ8" s="1499">
        <f>SUM(CQ9:CQ33)</f>
        <v>0</v>
      </c>
      <c r="CR8" s="1543">
        <f>CQ8/$AD$89</f>
        <v>0</v>
      </c>
      <c r="CS8" s="1481"/>
      <c r="CT8" s="1973">
        <f>SUM(CT9:CT33)</f>
        <v>0</v>
      </c>
      <c r="CU8" s="1973">
        <f>SUM(CU9:CU33)</f>
        <v>0</v>
      </c>
      <c r="CV8" s="1499">
        <f>SUM(CV9:CV33)</f>
        <v>0</v>
      </c>
      <c r="CW8" s="1543">
        <f>CV8/$AD$89</f>
        <v>0</v>
      </c>
      <c r="CX8" s="1481"/>
      <c r="CY8" s="1973">
        <f>SUM(CY9:CY33)</f>
        <v>0</v>
      </c>
      <c r="CZ8" s="1973">
        <f>SUM(CZ9:CZ33)</f>
        <v>0</v>
      </c>
      <c r="DA8" s="1499">
        <f>SUM(DA9:DA33)</f>
        <v>0</v>
      </c>
      <c r="DB8" s="1543">
        <f>DA8/$AD$89</f>
        <v>0</v>
      </c>
      <c r="DC8" s="1481"/>
      <c r="DD8" s="1973">
        <f>SUM(DD9:DD33)</f>
        <v>0</v>
      </c>
      <c r="DE8" s="1973">
        <f>SUM(DE9:DE33)</f>
        <v>0</v>
      </c>
      <c r="DF8" s="1499">
        <f>SUM(DF9:DF33)</f>
        <v>0</v>
      </c>
      <c r="DG8" s="1543">
        <f>DF8/$AD$89</f>
        <v>0</v>
      </c>
      <c r="DH8" s="1481"/>
      <c r="DI8" s="1973">
        <f>SUM(DI9:DI33)</f>
        <v>0</v>
      </c>
      <c r="DJ8" s="1973">
        <f>SUM(DJ9:DJ33)</f>
        <v>0</v>
      </c>
      <c r="DK8" s="1499">
        <f>SUM(DK9:DK33)</f>
        <v>0</v>
      </c>
      <c r="DL8" s="1543">
        <f>DK8/$AD$89</f>
        <v>0</v>
      </c>
      <c r="DM8" s="1982"/>
      <c r="DN8" s="1973">
        <f>SUM(DN9:DN33)</f>
        <v>0</v>
      </c>
      <c r="DO8" s="1973">
        <f>SUM(DO9:DO33)</f>
        <v>0</v>
      </c>
      <c r="DP8" s="1499">
        <f>SUM(DP9:DP33)</f>
        <v>0</v>
      </c>
      <c r="DQ8" s="1543">
        <f>DP8/$AD$89</f>
        <v>0</v>
      </c>
      <c r="DR8" s="1481"/>
      <c r="DS8" s="1973">
        <f>SUM(DS9:DS33)</f>
        <v>0</v>
      </c>
      <c r="DT8" s="1973">
        <f>SUM(DT9:DT33)</f>
        <v>0</v>
      </c>
      <c r="DU8" s="1499">
        <f>SUM(DU9:DU33)</f>
        <v>0</v>
      </c>
      <c r="DV8" s="1543">
        <f>DU8/$AD$89</f>
        <v>0</v>
      </c>
      <c r="DW8" s="1481"/>
      <c r="DX8" s="1499">
        <f>SUM(DX9:DX33)</f>
        <v>41696479.969999999</v>
      </c>
      <c r="DY8" s="1499">
        <f>SUM(DY9:DY33)</f>
        <v>20999837.430949997</v>
      </c>
      <c r="DZ8" s="1499">
        <f>SUM(DZ9:DZ33)</f>
        <v>62696317.400949992</v>
      </c>
      <c r="EA8" s="1543" t="e">
        <f t="shared" ref="EA8:EA33" si="4">DZ8/$BW$89</f>
        <v>#DIV/0!</v>
      </c>
      <c r="EB8" s="1481"/>
      <c r="ED8" s="1499">
        <f>SUM(ED9:ED33)</f>
        <v>36945032.689999998</v>
      </c>
      <c r="EE8" s="1499">
        <f>SUM(EE9:EE33)</f>
        <v>36945032.689999998</v>
      </c>
      <c r="EF8" s="3496"/>
    </row>
    <row r="9" spans="1:136" s="1411" customFormat="1" ht="22.95" customHeight="1" x14ac:dyDescent="0.25">
      <c r="A9" s="3510"/>
      <c r="B9" s="1439" t="s">
        <v>74</v>
      </c>
      <c r="C9" s="1167">
        <v>79753</v>
      </c>
      <c r="D9" s="3511"/>
      <c r="E9" s="1074">
        <f>C9+D9*1</f>
        <v>79753</v>
      </c>
      <c r="F9" s="1992">
        <f t="shared" si="0"/>
        <v>3.0674588626918471E-2</v>
      </c>
      <c r="G9" s="3237"/>
      <c r="H9" s="3274">
        <v>484318.26</v>
      </c>
      <c r="I9" s="3274">
        <v>0</v>
      </c>
      <c r="J9" s="3283">
        <f>H9+I9*1</f>
        <v>484318.26</v>
      </c>
      <c r="K9" s="1992">
        <f t="shared" si="1"/>
        <v>3.8110035505867917E-2</v>
      </c>
      <c r="L9" s="1449"/>
      <c r="M9" s="3497">
        <v>934121.65999999992</v>
      </c>
      <c r="N9" s="3497">
        <v>221426.44999999998</v>
      </c>
      <c r="O9" s="3512">
        <v>1155548.1099999999</v>
      </c>
      <c r="P9" s="3513">
        <v>5.9955540389518377E-2</v>
      </c>
      <c r="Q9" s="1449"/>
      <c r="R9" s="3497">
        <v>146095.10999999999</v>
      </c>
      <c r="S9" s="3497">
        <f>13685.6+6343.37</f>
        <v>20028.97</v>
      </c>
      <c r="T9" s="3512">
        <f t="shared" ref="T9:T33" si="5">R9+S9*1</f>
        <v>166124.07999999999</v>
      </c>
      <c r="U9" s="3513">
        <f t="shared" si="2"/>
        <v>0.12806476508813452</v>
      </c>
      <c r="V9" s="3514" t="s">
        <v>1009</v>
      </c>
      <c r="W9" s="3274">
        <v>163013.87</v>
      </c>
      <c r="X9" s="3274">
        <f>15137.8+19840</f>
        <v>34977.800000000003</v>
      </c>
      <c r="Y9" s="3283">
        <f>W9+X9*1</f>
        <v>197991.66999999998</v>
      </c>
      <c r="Z9" s="1992">
        <f t="shared" si="3"/>
        <v>8.7584806445500527E-2</v>
      </c>
      <c r="AA9" s="3275" t="s">
        <v>1062</v>
      </c>
      <c r="AB9" s="3274"/>
      <c r="AC9" s="3274">
        <v>1200</v>
      </c>
      <c r="AD9" s="3283">
        <f>AB9+AC9*1</f>
        <v>1200</v>
      </c>
      <c r="AE9" s="1992">
        <f t="shared" ref="AE9:AE33" si="6">AD9/$AD$89</f>
        <v>1.4317310284008803E-3</v>
      </c>
      <c r="AF9" s="3275" t="s">
        <v>1096</v>
      </c>
      <c r="AG9" s="3274">
        <v>26731.49</v>
      </c>
      <c r="AH9" s="3429"/>
      <c r="AI9" s="3515">
        <f>AG9+AH9*1</f>
        <v>26731.49</v>
      </c>
      <c r="AJ9" s="624">
        <f t="shared" ref="AJ9:AJ71" si="7">AI9/$AI$89</f>
        <v>2.4712792703843314E-2</v>
      </c>
      <c r="AK9" s="3275"/>
      <c r="AL9" s="3274">
        <v>121857.60000000001</v>
      </c>
      <c r="AM9" s="3429"/>
      <c r="AN9" s="3515">
        <f>AL9+AM9*1</f>
        <v>121857.60000000001</v>
      </c>
      <c r="AO9" s="3516">
        <f>AN9/$AN$89</f>
        <v>2.68126079522043E-2</v>
      </c>
      <c r="AP9" s="3275"/>
      <c r="AQ9" s="3517">
        <v>119810.83</v>
      </c>
      <c r="AR9" s="3279"/>
      <c r="AS9" s="3515">
        <f>AQ9+AR9*1</f>
        <v>119810.83</v>
      </c>
      <c r="AT9" s="1076">
        <f>AS9/$AS$89</f>
        <v>1.9001251458885749E-2</v>
      </c>
      <c r="AU9" s="3282"/>
      <c r="AV9" s="3275">
        <v>195487.3</v>
      </c>
      <c r="AW9" s="3275"/>
      <c r="AX9" s="3515">
        <f>AV9+AW9*1</f>
        <v>195487.3</v>
      </c>
      <c r="AY9" s="1076">
        <f>AX9/$AS$89</f>
        <v>3.1003068289558098E-2</v>
      </c>
      <c r="AZ9" s="3275" t="s">
        <v>1437</v>
      </c>
      <c r="BA9" s="3275">
        <v>229938.86</v>
      </c>
      <c r="BB9" s="3275"/>
      <c r="BC9" s="3515">
        <f>BA9+BB9*1</f>
        <v>229938.86</v>
      </c>
      <c r="BD9" s="3518">
        <f>BC9/$BC$89</f>
        <v>3.3909910550021093E-2</v>
      </c>
      <c r="BE9" s="3519" t="s">
        <v>1532</v>
      </c>
      <c r="BF9" s="3274">
        <v>1738623.92</v>
      </c>
      <c r="BG9" s="3274">
        <v>0</v>
      </c>
      <c r="BH9" s="3283">
        <v>1738623.92</v>
      </c>
      <c r="BI9" s="3284">
        <v>1.340302163848923</v>
      </c>
      <c r="BJ9" s="3276"/>
      <c r="BK9" s="3274">
        <f t="shared" ref="BK9:BL33" si="8">BP9+BU9+BZ9+CE9+CJ9+CO9+CT9+CY9+DD9+DI9+DN9+DS9</f>
        <v>0</v>
      </c>
      <c r="BL9" s="3274">
        <f t="shared" si="8"/>
        <v>0</v>
      </c>
      <c r="BM9" s="3283">
        <f>BK9+BL9*1</f>
        <v>0</v>
      </c>
      <c r="BN9" s="3284">
        <f t="shared" ref="BN9:BN33" si="9">BM9/$T$89</f>
        <v>0</v>
      </c>
      <c r="BO9" s="3276"/>
      <c r="BP9" s="3275"/>
      <c r="BQ9" s="3275"/>
      <c r="BR9" s="3520">
        <f>BP9+BQ9*1</f>
        <v>0</v>
      </c>
      <c r="BS9" s="2002">
        <f>BR9/$BC$89</f>
        <v>0</v>
      </c>
      <c r="BT9" s="3519"/>
      <c r="BU9" s="3282"/>
      <c r="BV9" s="3274"/>
      <c r="BW9" s="3283">
        <f>BU9+BV9*1</f>
        <v>0</v>
      </c>
      <c r="BX9" s="3284">
        <f t="shared" ref="BX9:BX33" si="10">BW9/$E$89</f>
        <v>0</v>
      </c>
      <c r="BY9" s="3521"/>
      <c r="BZ9" s="3285"/>
      <c r="CA9" s="3285"/>
      <c r="CB9" s="3286">
        <f>BZ9+CA9*1</f>
        <v>0</v>
      </c>
      <c r="CC9" s="3284">
        <f t="shared" ref="CC9:CC33" si="11">CB9/$AD$89</f>
        <v>0</v>
      </c>
      <c r="CD9" s="3276"/>
      <c r="CE9" s="3286"/>
      <c r="CF9" s="3285"/>
      <c r="CG9" s="3286">
        <f>CE9+CF9*1</f>
        <v>0</v>
      </c>
      <c r="CH9" s="3284">
        <f t="shared" ref="CH9:CH33" si="12">CG9/$AD$89</f>
        <v>0</v>
      </c>
      <c r="CI9" s="3287"/>
      <c r="CJ9" s="3274"/>
      <c r="CK9" s="3274"/>
      <c r="CL9" s="3274">
        <f>CJ9+CK9*1</f>
        <v>0</v>
      </c>
      <c r="CM9" s="3284">
        <f t="shared" ref="CM9:CM33" si="13">CL9/$AD$89</f>
        <v>0</v>
      </c>
      <c r="CN9" s="3287"/>
      <c r="CO9" s="3274"/>
      <c r="CP9" s="3274"/>
      <c r="CQ9" s="3274">
        <f>CO9+CP9*1</f>
        <v>0</v>
      </c>
      <c r="CR9" s="3284">
        <f t="shared" ref="CR9:CR33" si="14">CQ9/$AD$89</f>
        <v>0</v>
      </c>
      <c r="CS9" s="3287"/>
      <c r="CT9" s="3274"/>
      <c r="CU9" s="3274"/>
      <c r="CV9" s="3274">
        <f>CT9+CU9*1</f>
        <v>0</v>
      </c>
      <c r="CW9" s="3284">
        <f t="shared" ref="CW9:CW33" si="15">CV9/$AD$89</f>
        <v>0</v>
      </c>
      <c r="CX9" s="3287"/>
      <c r="CY9" s="3274"/>
      <c r="CZ9" s="3274"/>
      <c r="DA9" s="3274">
        <f>CY9+CZ9*1</f>
        <v>0</v>
      </c>
      <c r="DB9" s="3284">
        <f t="shared" ref="DB9:DB33" si="16">DA9/$AD$89</f>
        <v>0</v>
      </c>
      <c r="DC9" s="3287"/>
      <c r="DD9" s="3274"/>
      <c r="DE9" s="3274"/>
      <c r="DF9" s="3274">
        <f>DD9+DE9*1</f>
        <v>0</v>
      </c>
      <c r="DG9" s="3284">
        <f t="shared" ref="DG9:DG33" si="17">DF9/$AD$89</f>
        <v>0</v>
      </c>
      <c r="DH9" s="3287"/>
      <c r="DI9" s="3274"/>
      <c r="DJ9" s="3274"/>
      <c r="DK9" s="3274">
        <f>DI9+DJ9*1</f>
        <v>0</v>
      </c>
      <c r="DL9" s="3284">
        <f t="shared" ref="DL9:DL33" si="18">DK9/$AD$89</f>
        <v>0</v>
      </c>
      <c r="DM9" s="3522"/>
      <c r="DN9" s="3279"/>
      <c r="DO9" s="3274"/>
      <c r="DP9" s="3274">
        <f>DN9+DO9*1</f>
        <v>0</v>
      </c>
      <c r="DQ9" s="3284">
        <f t="shared" ref="DQ9:DQ33" si="19">DP9/$AD$89</f>
        <v>0</v>
      </c>
      <c r="DR9" s="3287"/>
      <c r="DS9" s="3288"/>
      <c r="DT9" s="3274"/>
      <c r="DU9" s="3274">
        <f>DS9+DT9*1</f>
        <v>0</v>
      </c>
      <c r="DV9" s="3284">
        <f t="shared" ref="DV9:DV33" si="20">DU9/$AD$89</f>
        <v>0</v>
      </c>
      <c r="DW9" s="3287"/>
      <c r="DX9" s="3288">
        <f>R9+W9+AB9+AG9+AL9+AQ9+AV9+BA9+BP9+BU9+BZ9+CE9+CJ9+CO9+CT9+CY9+DD9+DI9+DN9+DS9+BF9</f>
        <v>2741558.98</v>
      </c>
      <c r="DY9" s="3288">
        <f>S9+X9+AC9+AH9+AM9+AR9+AW9+BB9+BQ9+BV9+CA9+CF9+CK9+CP9+CU9+CZ9+DE9+DJ9+DO9+DT9+BG9</f>
        <v>56206.770000000004</v>
      </c>
      <c r="DZ9" s="3283">
        <f>DX9+DY9*1</f>
        <v>2797765.75</v>
      </c>
      <c r="EA9" s="1992" t="e">
        <f t="shared" si="4"/>
        <v>#DIV/0!</v>
      </c>
      <c r="EB9" s="1449"/>
      <c r="ED9" s="3288">
        <v>1721853.09</v>
      </c>
      <c r="EE9" s="3501">
        <f t="shared" ref="EE9:EE16" si="21">ED9-BM9</f>
        <v>1721853.09</v>
      </c>
      <c r="EF9" s="3260"/>
    </row>
    <row r="10" spans="1:136" s="1411" customFormat="1" ht="14.4" customHeight="1" x14ac:dyDescent="0.25">
      <c r="A10" s="1586"/>
      <c r="B10" s="1439" t="s">
        <v>72</v>
      </c>
      <c r="C10" s="1167">
        <v>19319</v>
      </c>
      <c r="D10" s="3511"/>
      <c r="E10" s="1074">
        <f t="shared" ref="E10:E33" si="22">C10+D10*1</f>
        <v>19319</v>
      </c>
      <c r="F10" s="3284">
        <f t="shared" si="0"/>
        <v>7.430471301185384E-3</v>
      </c>
      <c r="G10" s="3237"/>
      <c r="H10" s="3274">
        <v>115853.85240000002</v>
      </c>
      <c r="I10" s="3274">
        <v>0</v>
      </c>
      <c r="J10" s="3283">
        <f t="shared" ref="J10:J33" si="23">H10+I10*1</f>
        <v>115853.85240000002</v>
      </c>
      <c r="K10" s="3284">
        <f t="shared" si="1"/>
        <v>9.1163080005605863E-3</v>
      </c>
      <c r="L10" s="1449"/>
      <c r="M10" s="3497">
        <v>228041.19</v>
      </c>
      <c r="N10" s="3497">
        <v>0</v>
      </c>
      <c r="O10" s="3512">
        <v>228041.19</v>
      </c>
      <c r="P10" s="3523">
        <v>1.1831902678218075E-2</v>
      </c>
      <c r="Q10" s="1449"/>
      <c r="R10" s="3497">
        <v>40752.239999999998</v>
      </c>
      <c r="S10" s="3497"/>
      <c r="T10" s="3512">
        <f t="shared" si="5"/>
        <v>40752.239999999998</v>
      </c>
      <c r="U10" s="3523">
        <f t="shared" si="2"/>
        <v>3.1415831121022787E-2</v>
      </c>
      <c r="V10" s="3514"/>
      <c r="W10" s="3274">
        <v>47268</v>
      </c>
      <c r="X10" s="3274"/>
      <c r="Y10" s="3283">
        <f t="shared" ref="Y10:Y33" si="24">W10+X10*1</f>
        <v>47268</v>
      </c>
      <c r="Z10" s="3284">
        <f t="shared" si="3"/>
        <v>2.0909761663538265E-2</v>
      </c>
      <c r="AA10" s="3275"/>
      <c r="AB10" s="3274">
        <v>148</v>
      </c>
      <c r="AC10" s="3274"/>
      <c r="AD10" s="3283">
        <f t="shared" ref="AD10:AD33" si="25">AB10+AC10*1</f>
        <v>148</v>
      </c>
      <c r="AE10" s="3284">
        <f t="shared" si="6"/>
        <v>1.7658016016944191E-4</v>
      </c>
      <c r="AF10" s="3275"/>
      <c r="AG10" s="3274">
        <v>15938.21</v>
      </c>
      <c r="AH10" s="3429"/>
      <c r="AI10" s="3524">
        <f t="shared" ref="AI10:AI33" si="26">AG10+AH10*1</f>
        <v>15938.21</v>
      </c>
      <c r="AJ10" s="3516">
        <f t="shared" si="7"/>
        <v>1.4734595033809283E-2</v>
      </c>
      <c r="AK10" s="3525"/>
      <c r="AL10" s="3274">
        <v>29518.33</v>
      </c>
      <c r="AM10" s="3429"/>
      <c r="AN10" s="3524">
        <f t="shared" ref="AN10:AN33" si="27">AL10+AM10*1</f>
        <v>29518.33</v>
      </c>
      <c r="AO10" s="3516">
        <f t="shared" ref="AO10:AO33" si="28">AN10/$AN$89</f>
        <v>6.494986030364875E-3</v>
      </c>
      <c r="AP10" s="3525"/>
      <c r="AQ10" s="3428">
        <v>29022.5</v>
      </c>
      <c r="AR10" s="3288"/>
      <c r="AS10" s="3524">
        <f t="shared" ref="AS10:AS33" si="29">AQ10+AR10*1</f>
        <v>29022.5</v>
      </c>
      <c r="AT10" s="3516">
        <f t="shared" ref="AT10:AT33" si="30">AS10/$AS$89</f>
        <v>4.6027877485325126E-3</v>
      </c>
      <c r="AU10" s="3275"/>
      <c r="AV10" s="3275">
        <v>48153.8</v>
      </c>
      <c r="AW10" s="1341"/>
      <c r="AX10" s="3524">
        <f t="shared" ref="AX10:AX33" si="31">AV10+AW10*1</f>
        <v>48153.8</v>
      </c>
      <c r="AY10" s="3516">
        <f t="shared" ref="AY10:AY33" si="32">AX10/$AS$89</f>
        <v>7.6368927792328347E-3</v>
      </c>
      <c r="AZ10" s="1608"/>
      <c r="BA10" s="3275">
        <v>55699.48</v>
      </c>
      <c r="BB10" s="1608"/>
      <c r="BC10" s="3524">
        <f t="shared" ref="BC10:BC33" si="33">BA10+BB10*1</f>
        <v>55699.48</v>
      </c>
      <c r="BD10" s="3518">
        <f t="shared" ref="BD10:BD73" si="34">BC10/$BC$89</f>
        <v>8.2142026123061106E-3</v>
      </c>
      <c r="BE10" s="1875"/>
      <c r="BF10" s="3274">
        <v>432553.56</v>
      </c>
      <c r="BG10" s="3274">
        <v>0</v>
      </c>
      <c r="BH10" s="3283">
        <v>432553.56</v>
      </c>
      <c r="BI10" s="3284">
        <v>0.33345478903140535</v>
      </c>
      <c r="BJ10" s="3276"/>
      <c r="BK10" s="3274">
        <f t="shared" si="8"/>
        <v>0</v>
      </c>
      <c r="BL10" s="3274">
        <f t="shared" si="8"/>
        <v>0</v>
      </c>
      <c r="BM10" s="3283">
        <f t="shared" ref="BM10:BM21" si="35">BK10+BL10*1</f>
        <v>0</v>
      </c>
      <c r="BN10" s="3284">
        <f t="shared" si="9"/>
        <v>0</v>
      </c>
      <c r="BO10" s="3276"/>
      <c r="BP10" s="3275"/>
      <c r="BQ10" s="1608"/>
      <c r="BR10" s="3526">
        <f t="shared" ref="BR10:BR33" si="36">BP10+BQ10*1</f>
        <v>0</v>
      </c>
      <c r="BS10" s="3426">
        <f t="shared" ref="BS10:BS73" si="37">BR10/$BC$89</f>
        <v>0</v>
      </c>
      <c r="BT10" s="1875"/>
      <c r="BU10" s="3274"/>
      <c r="BV10" s="3274"/>
      <c r="BW10" s="3283">
        <f t="shared" ref="BW10:BW33" si="38">BU10+BV10*1</f>
        <v>0</v>
      </c>
      <c r="BX10" s="3284">
        <f t="shared" si="10"/>
        <v>0</v>
      </c>
      <c r="BY10" s="1449"/>
      <c r="BZ10" s="3285"/>
      <c r="CA10" s="3285"/>
      <c r="CB10" s="3286">
        <f t="shared" ref="CB10:CB33" si="39">BZ10+CA10*1</f>
        <v>0</v>
      </c>
      <c r="CC10" s="3284">
        <f t="shared" si="11"/>
        <v>0</v>
      </c>
      <c r="CD10" s="3276"/>
      <c r="CE10" s="3286"/>
      <c r="CF10" s="3285"/>
      <c r="CG10" s="3286">
        <f>CE10+CF10*1</f>
        <v>0</v>
      </c>
      <c r="CH10" s="3284">
        <f t="shared" si="12"/>
        <v>0</v>
      </c>
      <c r="CI10" s="1158"/>
      <c r="CJ10" s="3274"/>
      <c r="CK10" s="3274"/>
      <c r="CL10" s="3274">
        <f>CJ10+CK10*1</f>
        <v>0</v>
      </c>
      <c r="CM10" s="3284">
        <f t="shared" si="13"/>
        <v>0</v>
      </c>
      <c r="CN10" s="1158"/>
      <c r="CO10" s="3274"/>
      <c r="CP10" s="3274"/>
      <c r="CQ10" s="3274">
        <f>CO10+CP10*1</f>
        <v>0</v>
      </c>
      <c r="CR10" s="3284">
        <f t="shared" si="14"/>
        <v>0</v>
      </c>
      <c r="CS10" s="1158"/>
      <c r="CT10" s="3274"/>
      <c r="CU10" s="3274"/>
      <c r="CV10" s="3274">
        <f>CT10+CU10*1</f>
        <v>0</v>
      </c>
      <c r="CW10" s="3284">
        <f t="shared" si="15"/>
        <v>0</v>
      </c>
      <c r="CX10" s="1158"/>
      <c r="CY10" s="3274"/>
      <c r="CZ10" s="3274"/>
      <c r="DA10" s="3274">
        <f>CY10+CZ10*1</f>
        <v>0</v>
      </c>
      <c r="DB10" s="3284">
        <f t="shared" si="16"/>
        <v>0</v>
      </c>
      <c r="DC10" s="1158"/>
      <c r="DD10" s="3274"/>
      <c r="DE10" s="3274"/>
      <c r="DF10" s="3274">
        <f>DD10+DE10*1</f>
        <v>0</v>
      </c>
      <c r="DG10" s="3284">
        <f t="shared" si="17"/>
        <v>0</v>
      </c>
      <c r="DH10" s="1158"/>
      <c r="DI10" s="3274"/>
      <c r="DJ10" s="3274"/>
      <c r="DK10" s="3274">
        <f>DI10+DJ10*1</f>
        <v>0</v>
      </c>
      <c r="DL10" s="3284">
        <f t="shared" si="18"/>
        <v>0</v>
      </c>
      <c r="DM10" s="3140"/>
      <c r="DN10" s="3288"/>
      <c r="DO10" s="3274"/>
      <c r="DP10" s="3274">
        <f>DN10+DO10*1</f>
        <v>0</v>
      </c>
      <c r="DQ10" s="3284">
        <f t="shared" si="19"/>
        <v>0</v>
      </c>
      <c r="DR10" s="1158"/>
      <c r="DS10" s="3288"/>
      <c r="DT10" s="3274"/>
      <c r="DU10" s="3274">
        <f>DS10+DT10*1</f>
        <v>0</v>
      </c>
      <c r="DV10" s="3284">
        <f t="shared" si="20"/>
        <v>0</v>
      </c>
      <c r="DW10" s="3527"/>
      <c r="DX10" s="3288">
        <f t="shared" ref="DX10:DY33" si="40">R10+W10+AB10+AG10+AL10+AQ10+AV10+BA10+BP10+BU10+BZ10+CE10+CJ10+CO10+CT10+CY10+DD10+DI10+DN10+DS10+BF10</f>
        <v>699054.11999999988</v>
      </c>
      <c r="DY10" s="3288">
        <f t="shared" si="40"/>
        <v>0</v>
      </c>
      <c r="DZ10" s="3283">
        <f t="shared" ref="DZ10:DZ33" si="41">DX10+DY10*1</f>
        <v>699054.11999999988</v>
      </c>
      <c r="EA10" s="3284" t="e">
        <f t="shared" si="4"/>
        <v>#DIV/0!</v>
      </c>
      <c r="EB10" s="1449"/>
      <c r="ED10" s="3288">
        <v>428491.06</v>
      </c>
      <c r="EE10" s="3501">
        <f t="shared" si="21"/>
        <v>428491.06</v>
      </c>
      <c r="EF10" s="3260"/>
    </row>
    <row r="11" spans="1:136" s="1411" customFormat="1" ht="14.4" customHeight="1" x14ac:dyDescent="0.25">
      <c r="A11" s="1586"/>
      <c r="B11" s="1439" t="s">
        <v>69</v>
      </c>
      <c r="C11" s="1167">
        <v>21796</v>
      </c>
      <c r="D11" s="3511"/>
      <c r="E11" s="1074">
        <f t="shared" si="22"/>
        <v>21796</v>
      </c>
      <c r="F11" s="3284">
        <f t="shared" si="0"/>
        <v>8.3831747233623181E-3</v>
      </c>
      <c r="G11" s="3237"/>
      <c r="H11" s="3274">
        <v>130704.66039999999</v>
      </c>
      <c r="I11" s="3274">
        <v>0</v>
      </c>
      <c r="J11" s="3283">
        <f t="shared" si="23"/>
        <v>130704.66039999999</v>
      </c>
      <c r="K11" s="3284">
        <f t="shared" si="1"/>
        <v>1.0284888388528668E-2</v>
      </c>
      <c r="L11" s="1449"/>
      <c r="M11" s="3497">
        <v>248481.61000000002</v>
      </c>
      <c r="N11" s="3497">
        <v>0</v>
      </c>
      <c r="O11" s="3512">
        <v>248481.61000000002</v>
      </c>
      <c r="P11" s="3523">
        <v>1.2892452573357206E-2</v>
      </c>
      <c r="Q11" s="1449"/>
      <c r="R11" s="3497">
        <v>45976.87</v>
      </c>
      <c r="S11" s="3497"/>
      <c r="T11" s="3512">
        <f t="shared" si="5"/>
        <v>45976.87</v>
      </c>
      <c r="U11" s="3523">
        <f t="shared" si="2"/>
        <v>3.5443489324592202E-2</v>
      </c>
      <c r="V11" s="3514"/>
      <c r="W11" s="3274">
        <v>53449</v>
      </c>
      <c r="X11" s="3274"/>
      <c r="Y11" s="3283">
        <f t="shared" si="24"/>
        <v>53449</v>
      </c>
      <c r="Z11" s="3284">
        <f t="shared" si="3"/>
        <v>2.3644026638623524E-2</v>
      </c>
      <c r="AA11" s="3275"/>
      <c r="AB11" s="3274">
        <v>153</v>
      </c>
      <c r="AC11" s="3274"/>
      <c r="AD11" s="3283">
        <f t="shared" si="25"/>
        <v>153</v>
      </c>
      <c r="AE11" s="3284">
        <f t="shared" si="6"/>
        <v>1.8254570612111223E-4</v>
      </c>
      <c r="AF11" s="3275"/>
      <c r="AG11" s="3274">
        <v>17981.419999999998</v>
      </c>
      <c r="AH11" s="3429"/>
      <c r="AI11" s="3524">
        <f t="shared" si="26"/>
        <v>17981.419999999998</v>
      </c>
      <c r="AJ11" s="3516">
        <f t="shared" si="7"/>
        <v>1.6623506769758895E-2</v>
      </c>
      <c r="AK11" s="3275"/>
      <c r="AL11" s="3274">
        <v>33302.699999999997</v>
      </c>
      <c r="AM11" s="3429"/>
      <c r="AN11" s="3524">
        <f t="shared" si="27"/>
        <v>33302.699999999997</v>
      </c>
      <c r="AO11" s="3516">
        <f t="shared" si="28"/>
        <v>7.3276696640166387E-3</v>
      </c>
      <c r="AP11" s="3275"/>
      <c r="AQ11" s="3428">
        <v>35814.94</v>
      </c>
      <c r="AR11" s="3288"/>
      <c r="AS11" s="3524">
        <f t="shared" si="29"/>
        <v>35814.94</v>
      </c>
      <c r="AT11" s="3516">
        <f t="shared" si="30"/>
        <v>5.6800264293712481E-3</v>
      </c>
      <c r="AU11" s="3275"/>
      <c r="AV11" s="3275">
        <v>54327.4</v>
      </c>
      <c r="AW11" s="3275"/>
      <c r="AX11" s="3524">
        <f t="shared" si="31"/>
        <v>54327.4</v>
      </c>
      <c r="AY11" s="3516">
        <f t="shared" si="32"/>
        <v>8.615987290192962E-3</v>
      </c>
      <c r="AZ11" s="3275"/>
      <c r="BA11" s="3275">
        <v>63269.43</v>
      </c>
      <c r="BB11" s="3275"/>
      <c r="BC11" s="3524">
        <f t="shared" si="33"/>
        <v>63269.43</v>
      </c>
      <c r="BD11" s="3518">
        <f t="shared" si="34"/>
        <v>9.3305703605333235E-3</v>
      </c>
      <c r="BE11" s="3519"/>
      <c r="BF11" s="3274">
        <v>503195.58999999997</v>
      </c>
      <c r="BG11" s="3274">
        <v>0</v>
      </c>
      <c r="BH11" s="3283">
        <v>503195.58999999997</v>
      </c>
      <c r="BI11" s="3284">
        <v>0.38791260741209377</v>
      </c>
      <c r="BJ11" s="3276"/>
      <c r="BK11" s="3274">
        <f t="shared" si="8"/>
        <v>0</v>
      </c>
      <c r="BL11" s="3274">
        <f t="shared" si="8"/>
        <v>0</v>
      </c>
      <c r="BM11" s="3283">
        <f t="shared" si="35"/>
        <v>0</v>
      </c>
      <c r="BN11" s="3284">
        <f t="shared" si="9"/>
        <v>0</v>
      </c>
      <c r="BO11" s="3276"/>
      <c r="BP11" s="3275"/>
      <c r="BQ11" s="3275"/>
      <c r="BR11" s="3526">
        <f t="shared" si="36"/>
        <v>0</v>
      </c>
      <c r="BS11" s="3426">
        <f t="shared" si="37"/>
        <v>0</v>
      </c>
      <c r="BT11" s="3519"/>
      <c r="BU11" s="3274"/>
      <c r="BV11" s="3274"/>
      <c r="BW11" s="3283">
        <f t="shared" si="38"/>
        <v>0</v>
      </c>
      <c r="BX11" s="3284">
        <f t="shared" si="10"/>
        <v>0</v>
      </c>
      <c r="BY11" s="1449"/>
      <c r="BZ11" s="3285"/>
      <c r="CA11" s="3285"/>
      <c r="CB11" s="3286">
        <f t="shared" si="39"/>
        <v>0</v>
      </c>
      <c r="CC11" s="3284">
        <f t="shared" si="11"/>
        <v>0</v>
      </c>
      <c r="CD11" s="3276"/>
      <c r="CE11" s="3286"/>
      <c r="CF11" s="3285"/>
      <c r="CG11" s="3286">
        <f>CE11+CF11*1</f>
        <v>0</v>
      </c>
      <c r="CH11" s="3284">
        <f t="shared" si="12"/>
        <v>0</v>
      </c>
      <c r="CI11" s="1158"/>
      <c r="CJ11" s="3274"/>
      <c r="CK11" s="3274"/>
      <c r="CL11" s="3274">
        <f>CJ11+CK11*1</f>
        <v>0</v>
      </c>
      <c r="CM11" s="3284">
        <f t="shared" si="13"/>
        <v>0</v>
      </c>
      <c r="CN11" s="1158"/>
      <c r="CO11" s="3274"/>
      <c r="CP11" s="3274"/>
      <c r="CQ11" s="3274">
        <f>CO11+CP11*1</f>
        <v>0</v>
      </c>
      <c r="CR11" s="3284">
        <f t="shared" si="14"/>
        <v>0</v>
      </c>
      <c r="CS11" s="1158"/>
      <c r="CT11" s="3274"/>
      <c r="CU11" s="3274"/>
      <c r="CV11" s="3274">
        <f>CT11+CU11*1</f>
        <v>0</v>
      </c>
      <c r="CW11" s="3284">
        <f t="shared" si="15"/>
        <v>0</v>
      </c>
      <c r="CX11" s="1158"/>
      <c r="CY11" s="3274"/>
      <c r="CZ11" s="3274"/>
      <c r="DA11" s="3274">
        <f>CY11+CZ11*1</f>
        <v>0</v>
      </c>
      <c r="DB11" s="3284">
        <f t="shared" si="16"/>
        <v>0</v>
      </c>
      <c r="DC11" s="1158"/>
      <c r="DD11" s="3274"/>
      <c r="DE11" s="3274"/>
      <c r="DF11" s="3274">
        <f>DD11+DE11*1</f>
        <v>0</v>
      </c>
      <c r="DG11" s="3284">
        <f t="shared" si="17"/>
        <v>0</v>
      </c>
      <c r="DH11" s="1158"/>
      <c r="DI11" s="3274"/>
      <c r="DJ11" s="3274"/>
      <c r="DK11" s="3274">
        <f>DI11+DJ11*1</f>
        <v>0</v>
      </c>
      <c r="DL11" s="3284">
        <f t="shared" si="18"/>
        <v>0</v>
      </c>
      <c r="DM11" s="3140"/>
      <c r="DN11" s="3288"/>
      <c r="DO11" s="3274"/>
      <c r="DP11" s="3274">
        <f>DN11+DO11*1</f>
        <v>0</v>
      </c>
      <c r="DQ11" s="3284">
        <f t="shared" si="19"/>
        <v>0</v>
      </c>
      <c r="DR11" s="1158"/>
      <c r="DS11" s="3288"/>
      <c r="DT11" s="3274"/>
      <c r="DU11" s="3274">
        <f>DS11+DT11*1</f>
        <v>0</v>
      </c>
      <c r="DV11" s="3284">
        <f t="shared" si="20"/>
        <v>0</v>
      </c>
      <c r="DW11" s="3238"/>
      <c r="DX11" s="3288">
        <f t="shared" si="40"/>
        <v>807470.35</v>
      </c>
      <c r="DY11" s="3288">
        <f t="shared" si="40"/>
        <v>0</v>
      </c>
      <c r="DZ11" s="3283">
        <f t="shared" si="41"/>
        <v>807470.35</v>
      </c>
      <c r="EA11" s="3284" t="e">
        <f t="shared" si="4"/>
        <v>#DIV/0!</v>
      </c>
      <c r="EB11" s="1449"/>
      <c r="ED11" s="3288">
        <v>498612.26</v>
      </c>
      <c r="EE11" s="3501">
        <f t="shared" si="21"/>
        <v>498612.26</v>
      </c>
      <c r="EF11" s="3260"/>
    </row>
    <row r="12" spans="1:136" s="1411" customFormat="1" ht="15.6" customHeight="1" x14ac:dyDescent="0.25">
      <c r="A12" s="1586"/>
      <c r="B12" s="1439" t="s">
        <v>73</v>
      </c>
      <c r="C12" s="1167">
        <v>11109</v>
      </c>
      <c r="D12" s="3511">
        <v>45191</v>
      </c>
      <c r="E12" s="1074">
        <f t="shared" si="22"/>
        <v>56300</v>
      </c>
      <c r="F12" s="3284">
        <f t="shared" si="0"/>
        <v>2.1654098776165285E-2</v>
      </c>
      <c r="G12" s="3237"/>
      <c r="H12" s="3274">
        <v>181017.3</v>
      </c>
      <c r="I12" s="3274">
        <v>366462.5</v>
      </c>
      <c r="J12" s="3283">
        <f t="shared" si="23"/>
        <v>547479.80000000005</v>
      </c>
      <c r="K12" s="3284">
        <f t="shared" si="1"/>
        <v>4.3080090799685042E-2</v>
      </c>
      <c r="L12" s="1449"/>
      <c r="M12" s="3497">
        <v>327593.28999999998</v>
      </c>
      <c r="N12" s="3497">
        <v>522277.86</v>
      </c>
      <c r="O12" s="3512">
        <v>849871.14999999991</v>
      </c>
      <c r="P12" s="3523">
        <v>4.4095510709382259E-2</v>
      </c>
      <c r="Q12" s="1449"/>
      <c r="R12" s="3497">
        <v>22582.37</v>
      </c>
      <c r="S12" s="3497">
        <f>16170.21095+27619.42+9628</f>
        <v>53417.630949999999</v>
      </c>
      <c r="T12" s="3512">
        <f t="shared" si="5"/>
        <v>76000.000950000001</v>
      </c>
      <c r="U12" s="3523">
        <f t="shared" si="2"/>
        <v>5.8588268891299512E-2</v>
      </c>
      <c r="V12" s="3528" t="s">
        <v>975</v>
      </c>
      <c r="W12" s="3274">
        <v>113559.66</v>
      </c>
      <c r="X12" s="3274">
        <v>57900</v>
      </c>
      <c r="Y12" s="3283">
        <f t="shared" si="24"/>
        <v>171459.66</v>
      </c>
      <c r="Z12" s="3284">
        <f t="shared" si="3"/>
        <v>7.5847944180234092E-2</v>
      </c>
      <c r="AA12" s="3275" t="s">
        <v>1030</v>
      </c>
      <c r="AB12" s="3274">
        <v>7418</v>
      </c>
      <c r="AC12" s="3274">
        <v>61838</v>
      </c>
      <c r="AD12" s="3283">
        <f t="shared" si="25"/>
        <v>69256</v>
      </c>
      <c r="AE12" s="3284">
        <f t="shared" si="6"/>
        <v>8.2629970085776133E-2</v>
      </c>
      <c r="AF12" s="3275" t="s">
        <v>1085</v>
      </c>
      <c r="AG12" s="3274">
        <f>21332.5-5235.5</f>
        <v>16097</v>
      </c>
      <c r="AH12" s="3429">
        <v>19900</v>
      </c>
      <c r="AI12" s="3524">
        <f t="shared" si="26"/>
        <v>35997</v>
      </c>
      <c r="AJ12" s="3516">
        <f t="shared" si="7"/>
        <v>3.3278593859161903E-2</v>
      </c>
      <c r="AK12" s="3275" t="s">
        <v>1208</v>
      </c>
      <c r="AL12" s="3274">
        <v>18386.939999999999</v>
      </c>
      <c r="AM12" s="3429">
        <v>29431.3</v>
      </c>
      <c r="AN12" s="3524">
        <f t="shared" si="27"/>
        <v>47818.239999999998</v>
      </c>
      <c r="AO12" s="3516">
        <f t="shared" si="28"/>
        <v>1.0521557310208093E-2</v>
      </c>
      <c r="AP12" s="3275" t="s">
        <v>1291</v>
      </c>
      <c r="AQ12" s="3428">
        <v>26967.5</v>
      </c>
      <c r="AR12" s="3288">
        <v>32032.5</v>
      </c>
      <c r="AS12" s="3524">
        <f t="shared" si="29"/>
        <v>59000</v>
      </c>
      <c r="AT12" s="3516">
        <f t="shared" si="30"/>
        <v>9.3570325493468262E-3</v>
      </c>
      <c r="AU12" s="3275" t="s">
        <v>1366</v>
      </c>
      <c r="AV12" s="3275">
        <v>26967.5</v>
      </c>
      <c r="AW12" s="3275">
        <v>32032.5</v>
      </c>
      <c r="AX12" s="3524">
        <f t="shared" si="31"/>
        <v>59000</v>
      </c>
      <c r="AY12" s="3516">
        <f t="shared" si="32"/>
        <v>9.3570325493468262E-3</v>
      </c>
      <c r="AZ12" s="3276" t="s">
        <v>1438</v>
      </c>
      <c r="BA12" s="3275">
        <v>26967.5</v>
      </c>
      <c r="BB12" s="3275">
        <v>22324</v>
      </c>
      <c r="BC12" s="3524">
        <f t="shared" si="33"/>
        <v>49291.5</v>
      </c>
      <c r="BD12" s="3518">
        <f t="shared" si="34"/>
        <v>7.2691947584517247E-3</v>
      </c>
      <c r="BE12" s="3519" t="s">
        <v>1291</v>
      </c>
      <c r="BF12" s="3274">
        <v>304712.16000000003</v>
      </c>
      <c r="BG12" s="3274">
        <v>424400</v>
      </c>
      <c r="BH12" s="3283">
        <v>729112.16</v>
      </c>
      <c r="BI12" s="3284">
        <v>0.56207129931616395</v>
      </c>
      <c r="BJ12" s="3276"/>
      <c r="BK12" s="3274">
        <f t="shared" si="8"/>
        <v>0</v>
      </c>
      <c r="BL12" s="3274">
        <f t="shared" si="8"/>
        <v>0</v>
      </c>
      <c r="BM12" s="3283">
        <f t="shared" si="35"/>
        <v>0</v>
      </c>
      <c r="BN12" s="3284">
        <f t="shared" si="9"/>
        <v>0</v>
      </c>
      <c r="BO12" s="3276"/>
      <c r="BP12" s="3275"/>
      <c r="BQ12" s="3275"/>
      <c r="BR12" s="3526">
        <f t="shared" si="36"/>
        <v>0</v>
      </c>
      <c r="BS12" s="3426">
        <f t="shared" si="37"/>
        <v>0</v>
      </c>
      <c r="BT12" s="3519"/>
      <c r="BU12" s="3274"/>
      <c r="BV12" s="3274"/>
      <c r="BW12" s="3283">
        <f t="shared" si="38"/>
        <v>0</v>
      </c>
      <c r="BX12" s="3284">
        <f t="shared" si="10"/>
        <v>0</v>
      </c>
      <c r="BY12" s="3529"/>
      <c r="BZ12" s="3285"/>
      <c r="CA12" s="3285"/>
      <c r="CB12" s="3286">
        <f t="shared" si="39"/>
        <v>0</v>
      </c>
      <c r="CC12" s="3284">
        <f t="shared" si="11"/>
        <v>0</v>
      </c>
      <c r="CD12" s="3276"/>
      <c r="CE12" s="3286"/>
      <c r="CF12" s="3285"/>
      <c r="CG12" s="3286">
        <f>CE12+CF12*1</f>
        <v>0</v>
      </c>
      <c r="CH12" s="3284">
        <f t="shared" si="12"/>
        <v>0</v>
      </c>
      <c r="CI12" s="3276"/>
      <c r="CJ12" s="3274"/>
      <c r="CK12" s="3274"/>
      <c r="CL12" s="3274">
        <f>CJ12+CK12*1</f>
        <v>0</v>
      </c>
      <c r="CM12" s="3284">
        <f t="shared" si="13"/>
        <v>0</v>
      </c>
      <c r="CN12" s="1158"/>
      <c r="CO12" s="3274"/>
      <c r="CP12" s="3274"/>
      <c r="CQ12" s="3274">
        <f>CO12+CP12*1</f>
        <v>0</v>
      </c>
      <c r="CR12" s="3284">
        <f t="shared" si="14"/>
        <v>0</v>
      </c>
      <c r="CS12" s="3276"/>
      <c r="CT12" s="3274"/>
      <c r="CU12" s="3274"/>
      <c r="CV12" s="3274">
        <f>CT12+CU12*1</f>
        <v>0</v>
      </c>
      <c r="CW12" s="3284">
        <f t="shared" si="15"/>
        <v>0</v>
      </c>
      <c r="CX12" s="3276"/>
      <c r="CY12" s="3274"/>
      <c r="CZ12" s="3274"/>
      <c r="DA12" s="3274">
        <f>CY12+CZ12*1</f>
        <v>0</v>
      </c>
      <c r="DB12" s="3284">
        <f t="shared" si="16"/>
        <v>0</v>
      </c>
      <c r="DC12" s="3276"/>
      <c r="DD12" s="3274"/>
      <c r="DE12" s="3274"/>
      <c r="DF12" s="3274">
        <f>DD12+DE12*1</f>
        <v>0</v>
      </c>
      <c r="DG12" s="3284">
        <f t="shared" si="17"/>
        <v>0</v>
      </c>
      <c r="DH12" s="3276"/>
      <c r="DI12" s="3274"/>
      <c r="DJ12" s="3274"/>
      <c r="DK12" s="3274">
        <f>DI12+DJ12*1</f>
        <v>0</v>
      </c>
      <c r="DL12" s="3284">
        <f t="shared" si="18"/>
        <v>0</v>
      </c>
      <c r="DM12" s="3500"/>
      <c r="DN12" s="3288"/>
      <c r="DO12" s="3274"/>
      <c r="DP12" s="3274">
        <f>DN12+DO12*1</f>
        <v>0</v>
      </c>
      <c r="DQ12" s="3284">
        <f t="shared" si="19"/>
        <v>0</v>
      </c>
      <c r="DR12" s="3500"/>
      <c r="DS12" s="3288"/>
      <c r="DT12" s="3274"/>
      <c r="DU12" s="3274">
        <f>DS12+DT12*1</f>
        <v>0</v>
      </c>
      <c r="DV12" s="3284">
        <f t="shared" si="20"/>
        <v>0</v>
      </c>
      <c r="DW12" s="3530"/>
      <c r="DX12" s="3288">
        <f t="shared" si="40"/>
        <v>563658.63</v>
      </c>
      <c r="DY12" s="3288">
        <f t="shared" si="40"/>
        <v>733275.93094999995</v>
      </c>
      <c r="DZ12" s="3283">
        <f t="shared" si="41"/>
        <v>1296934.5609499998</v>
      </c>
      <c r="EA12" s="3284" t="e">
        <f t="shared" si="4"/>
        <v>#DIV/0!</v>
      </c>
      <c r="EB12" s="1449"/>
      <c r="ED12" s="3288">
        <v>617416.07999999996</v>
      </c>
      <c r="EE12" s="3501">
        <f t="shared" si="21"/>
        <v>617416.07999999996</v>
      </c>
      <c r="EF12" s="3261" t="s">
        <v>2102</v>
      </c>
    </row>
    <row r="13" spans="1:136" s="1411" customFormat="1" ht="14.4" customHeight="1" x14ac:dyDescent="0.25">
      <c r="A13" s="1586"/>
      <c r="B13" s="1439" t="s">
        <v>71</v>
      </c>
      <c r="C13" s="1167">
        <v>2691</v>
      </c>
      <c r="D13" s="3511"/>
      <c r="E13" s="1074">
        <f t="shared" si="22"/>
        <v>2691</v>
      </c>
      <c r="F13" s="3284">
        <f t="shared" si="0"/>
        <v>1.0350120747186638E-3</v>
      </c>
      <c r="G13" s="3237"/>
      <c r="H13" s="3274">
        <v>43848.910950000005</v>
      </c>
      <c r="I13" s="3274">
        <v>0</v>
      </c>
      <c r="J13" s="3283">
        <f t="shared" si="23"/>
        <v>43848.910950000005</v>
      </c>
      <c r="K13" s="3284">
        <f t="shared" si="1"/>
        <v>3.4503831286438399E-3</v>
      </c>
      <c r="L13" s="1449"/>
      <c r="M13" s="3497">
        <v>81066.400000000009</v>
      </c>
      <c r="N13" s="3497">
        <v>0</v>
      </c>
      <c r="O13" s="3512">
        <v>81066.400000000009</v>
      </c>
      <c r="P13" s="3523">
        <v>4.2061250218589806E-3</v>
      </c>
      <c r="Q13" s="1449"/>
      <c r="R13" s="3497">
        <v>5470.26</v>
      </c>
      <c r="S13" s="3497"/>
      <c r="T13" s="3512">
        <f t="shared" si="5"/>
        <v>5470.26</v>
      </c>
      <c r="U13" s="3523">
        <f t="shared" si="2"/>
        <v>4.2170139444625901E-3</v>
      </c>
      <c r="V13" s="3514"/>
      <c r="W13" s="3274">
        <v>17407</v>
      </c>
      <c r="X13" s="3274"/>
      <c r="Y13" s="3283">
        <f t="shared" si="24"/>
        <v>17407</v>
      </c>
      <c r="Z13" s="3284">
        <f t="shared" si="3"/>
        <v>7.7002670152579037E-3</v>
      </c>
      <c r="AA13" s="3275"/>
      <c r="AB13" s="3274">
        <v>5168</v>
      </c>
      <c r="AC13" s="3274"/>
      <c r="AD13" s="3283">
        <f t="shared" si="25"/>
        <v>5168</v>
      </c>
      <c r="AE13" s="3284">
        <f t="shared" si="6"/>
        <v>6.1659882956464577E-3</v>
      </c>
      <c r="AF13" s="3275"/>
      <c r="AG13" s="3274">
        <f>5167.5-1267.5</f>
        <v>3900</v>
      </c>
      <c r="AH13" s="3429"/>
      <c r="AI13" s="3524">
        <f t="shared" si="26"/>
        <v>3900</v>
      </c>
      <c r="AJ13" s="3516">
        <f t="shared" si="7"/>
        <v>3.6054814581973891E-3</v>
      </c>
      <c r="AK13" s="3275"/>
      <c r="AL13" s="3274">
        <v>4453.97</v>
      </c>
      <c r="AM13" s="3429"/>
      <c r="AN13" s="3524">
        <f t="shared" si="27"/>
        <v>4453.97</v>
      </c>
      <c r="AO13" s="3516">
        <f t="shared" si="28"/>
        <v>9.8001726146649355E-4</v>
      </c>
      <c r="AP13" s="3275"/>
      <c r="AQ13" s="3428">
        <v>6532.5</v>
      </c>
      <c r="AR13" s="3288"/>
      <c r="AS13" s="3524">
        <f t="shared" si="29"/>
        <v>6532.5</v>
      </c>
      <c r="AT13" s="3516">
        <f t="shared" si="30"/>
        <v>1.0360138157391211E-3</v>
      </c>
      <c r="AU13" s="3275"/>
      <c r="AV13" s="3275">
        <v>6532.5</v>
      </c>
      <c r="AW13" s="3275"/>
      <c r="AX13" s="3524">
        <f t="shared" si="31"/>
        <v>6532.5</v>
      </c>
      <c r="AY13" s="3516">
        <f t="shared" si="32"/>
        <v>1.0360138157391211E-3</v>
      </c>
      <c r="AZ13" s="3275"/>
      <c r="BA13" s="3275">
        <v>6532.5</v>
      </c>
      <c r="BB13" s="3275"/>
      <c r="BC13" s="3524">
        <f t="shared" si="33"/>
        <v>6532.5</v>
      </c>
      <c r="BD13" s="3518">
        <f t="shared" si="34"/>
        <v>9.6337126603138245E-4</v>
      </c>
      <c r="BE13" s="3519"/>
      <c r="BF13" s="3274">
        <v>73245.36</v>
      </c>
      <c r="BG13" s="3274">
        <v>0</v>
      </c>
      <c r="BH13" s="3283">
        <v>73245.36</v>
      </c>
      <c r="BI13" s="3284">
        <v>5.6464720961559856E-2</v>
      </c>
      <c r="BJ13" s="3276"/>
      <c r="BK13" s="3274">
        <f t="shared" si="8"/>
        <v>0</v>
      </c>
      <c r="BL13" s="3274">
        <f t="shared" si="8"/>
        <v>0</v>
      </c>
      <c r="BM13" s="3283">
        <f t="shared" si="35"/>
        <v>0</v>
      </c>
      <c r="BN13" s="3284">
        <f t="shared" si="9"/>
        <v>0</v>
      </c>
      <c r="BO13" s="3276"/>
      <c r="BP13" s="3275"/>
      <c r="BQ13" s="3275"/>
      <c r="BR13" s="3526">
        <f t="shared" si="36"/>
        <v>0</v>
      </c>
      <c r="BS13" s="3426">
        <f t="shared" si="37"/>
        <v>0</v>
      </c>
      <c r="BT13" s="3519"/>
      <c r="BU13" s="3274"/>
      <c r="BV13" s="3274"/>
      <c r="BW13" s="3283">
        <f t="shared" si="38"/>
        <v>0</v>
      </c>
      <c r="BX13" s="3284">
        <f t="shared" si="10"/>
        <v>0</v>
      </c>
      <c r="BY13" s="1449"/>
      <c r="BZ13" s="3285"/>
      <c r="CA13" s="3285"/>
      <c r="CB13" s="3286">
        <f>BZ13+CA13*1</f>
        <v>0</v>
      </c>
      <c r="CC13" s="3284">
        <f t="shared" si="11"/>
        <v>0</v>
      </c>
      <c r="CD13" s="3276"/>
      <c r="CE13" s="3286"/>
      <c r="CF13" s="3285"/>
      <c r="CG13" s="3286">
        <f>CE13+CF13*1</f>
        <v>0</v>
      </c>
      <c r="CH13" s="3284">
        <f t="shared" si="12"/>
        <v>0</v>
      </c>
      <c r="CI13" s="1158"/>
      <c r="CJ13" s="3274"/>
      <c r="CK13" s="3274"/>
      <c r="CL13" s="3274">
        <f>CJ13+CK13*1</f>
        <v>0</v>
      </c>
      <c r="CM13" s="3284">
        <f t="shared" si="13"/>
        <v>0</v>
      </c>
      <c r="CN13" s="1158"/>
      <c r="CO13" s="3274"/>
      <c r="CP13" s="3274"/>
      <c r="CQ13" s="3274">
        <f>CO13+CP13*1</f>
        <v>0</v>
      </c>
      <c r="CR13" s="3284">
        <f t="shared" si="14"/>
        <v>0</v>
      </c>
      <c r="CS13" s="1158"/>
      <c r="CT13" s="3274"/>
      <c r="CU13" s="3274"/>
      <c r="CV13" s="3274">
        <f>CT13+CU13*1</f>
        <v>0</v>
      </c>
      <c r="CW13" s="3284">
        <f t="shared" si="15"/>
        <v>0</v>
      </c>
      <c r="CX13" s="1158"/>
      <c r="CY13" s="3274"/>
      <c r="CZ13" s="3274"/>
      <c r="DA13" s="3274">
        <f>CY13+CZ13*1</f>
        <v>0</v>
      </c>
      <c r="DB13" s="3284">
        <f t="shared" si="16"/>
        <v>0</v>
      </c>
      <c r="DC13" s="1158"/>
      <c r="DD13" s="3274"/>
      <c r="DE13" s="3274"/>
      <c r="DF13" s="3274">
        <f>DD13+DE13*1</f>
        <v>0</v>
      </c>
      <c r="DG13" s="3284">
        <f t="shared" si="17"/>
        <v>0</v>
      </c>
      <c r="DH13" s="1158"/>
      <c r="DI13" s="3274"/>
      <c r="DJ13" s="3274"/>
      <c r="DK13" s="3274">
        <f>DI13+DJ13*1</f>
        <v>0</v>
      </c>
      <c r="DL13" s="3284">
        <f t="shared" si="18"/>
        <v>0</v>
      </c>
      <c r="DM13" s="3140"/>
      <c r="DN13" s="3288"/>
      <c r="DO13" s="3274"/>
      <c r="DP13" s="3274">
        <f>DN13+DO13*1</f>
        <v>0</v>
      </c>
      <c r="DQ13" s="3284">
        <f t="shared" si="19"/>
        <v>0</v>
      </c>
      <c r="DR13" s="1158"/>
      <c r="DS13" s="3288"/>
      <c r="DT13" s="3274"/>
      <c r="DU13" s="3274">
        <f>DS13+DT13*1</f>
        <v>0</v>
      </c>
      <c r="DV13" s="3284">
        <f t="shared" si="20"/>
        <v>0</v>
      </c>
      <c r="DW13" s="3238"/>
      <c r="DX13" s="3288">
        <f t="shared" si="40"/>
        <v>129242.09</v>
      </c>
      <c r="DY13" s="3288">
        <f t="shared" si="40"/>
        <v>0</v>
      </c>
      <c r="DZ13" s="3283">
        <f t="shared" si="41"/>
        <v>129242.09</v>
      </c>
      <c r="EA13" s="3284" t="e">
        <f t="shared" si="4"/>
        <v>#DIV/0!</v>
      </c>
      <c r="EB13" s="1449"/>
      <c r="ED13" s="3288">
        <v>73384.210000000006</v>
      </c>
      <c r="EE13" s="3501">
        <f t="shared" si="21"/>
        <v>73384.210000000006</v>
      </c>
      <c r="EF13" s="3260"/>
    </row>
    <row r="14" spans="1:136" s="1411" customFormat="1" ht="14.4" customHeight="1" x14ac:dyDescent="0.25">
      <c r="A14" s="1586"/>
      <c r="B14" s="1439" t="s">
        <v>70</v>
      </c>
      <c r="C14" s="1167">
        <v>3036</v>
      </c>
      <c r="D14" s="3511"/>
      <c r="E14" s="1074">
        <f t="shared" si="22"/>
        <v>3036</v>
      </c>
      <c r="F14" s="3284">
        <f t="shared" si="0"/>
        <v>1.167705930451826E-3</v>
      </c>
      <c r="G14" s="3237"/>
      <c r="H14" s="3274">
        <v>49470.566200000001</v>
      </c>
      <c r="I14" s="3274">
        <v>0</v>
      </c>
      <c r="J14" s="3283">
        <f t="shared" si="23"/>
        <v>49470.566200000001</v>
      </c>
      <c r="K14" s="3284">
        <f t="shared" si="1"/>
        <v>3.8927399400084345E-3</v>
      </c>
      <c r="L14" s="1449"/>
      <c r="M14" s="3497">
        <v>91458.87</v>
      </c>
      <c r="N14" s="3497">
        <v>0</v>
      </c>
      <c r="O14" s="3512">
        <v>91458.87</v>
      </c>
      <c r="P14" s="3523">
        <v>4.7453376686018818E-3</v>
      </c>
      <c r="Q14" s="1449"/>
      <c r="R14" s="3497">
        <v>6171.58</v>
      </c>
      <c r="S14" s="3497"/>
      <c r="T14" s="3512">
        <f t="shared" si="5"/>
        <v>6171.58</v>
      </c>
      <c r="U14" s="3523">
        <f t="shared" si="2"/>
        <v>4.7576603158472229E-3</v>
      </c>
      <c r="V14" s="3514"/>
      <c r="W14" s="3274">
        <v>19638.68</v>
      </c>
      <c r="X14" s="3274"/>
      <c r="Y14" s="3283">
        <f t="shared" si="24"/>
        <v>19638.68</v>
      </c>
      <c r="Z14" s="3284">
        <f t="shared" si="3"/>
        <v>8.6874866333776692E-3</v>
      </c>
      <c r="AA14" s="1608"/>
      <c r="AB14" s="3274">
        <v>5830</v>
      </c>
      <c r="AC14" s="3274"/>
      <c r="AD14" s="3283">
        <f t="shared" si="25"/>
        <v>5830</v>
      </c>
      <c r="AE14" s="3284">
        <f t="shared" si="6"/>
        <v>6.9558265796476103E-3</v>
      </c>
      <c r="AF14" s="3275"/>
      <c r="AG14" s="3274">
        <f>5830-1430</f>
        <v>4400</v>
      </c>
      <c r="AH14" s="3429"/>
      <c r="AI14" s="3524">
        <f t="shared" si="26"/>
        <v>4400</v>
      </c>
      <c r="AJ14" s="3516">
        <f t="shared" si="7"/>
        <v>4.0677226707867978E-3</v>
      </c>
      <c r="AK14" s="3275"/>
      <c r="AL14" s="3274">
        <v>5025</v>
      </c>
      <c r="AM14" s="3429"/>
      <c r="AN14" s="3524">
        <f t="shared" si="27"/>
        <v>5025</v>
      </c>
      <c r="AO14" s="3516">
        <f t="shared" si="28"/>
        <v>1.1056623055092714E-3</v>
      </c>
      <c r="AP14" s="3275"/>
      <c r="AQ14" s="3428">
        <v>7370</v>
      </c>
      <c r="AR14" s="3288"/>
      <c r="AS14" s="3524">
        <f t="shared" si="29"/>
        <v>7370</v>
      </c>
      <c r="AT14" s="3516">
        <f t="shared" si="30"/>
        <v>1.1688360998082391E-3</v>
      </c>
      <c r="AU14" s="3275"/>
      <c r="AV14" s="3275">
        <v>7370</v>
      </c>
      <c r="AW14" s="3275"/>
      <c r="AX14" s="3524">
        <f t="shared" si="31"/>
        <v>7370</v>
      </c>
      <c r="AY14" s="3516">
        <f t="shared" si="32"/>
        <v>1.1688360998082391E-3</v>
      </c>
      <c r="AZ14" s="3275"/>
      <c r="BA14" s="3275">
        <v>7370</v>
      </c>
      <c r="BB14" s="3275"/>
      <c r="BC14" s="3524">
        <f t="shared" si="33"/>
        <v>7370</v>
      </c>
      <c r="BD14" s="3518">
        <f t="shared" si="34"/>
        <v>1.0868804027020726E-3</v>
      </c>
      <c r="BE14" s="3519"/>
      <c r="BF14" s="3274">
        <v>88370.62999999999</v>
      </c>
      <c r="BG14" s="3274">
        <v>0</v>
      </c>
      <c r="BH14" s="3283">
        <v>88370.62999999999</v>
      </c>
      <c r="BI14" s="3284">
        <v>6.8124765365986995E-2</v>
      </c>
      <c r="BJ14" s="3276"/>
      <c r="BK14" s="3274">
        <f t="shared" si="8"/>
        <v>0</v>
      </c>
      <c r="BL14" s="3274">
        <f t="shared" si="8"/>
        <v>0</v>
      </c>
      <c r="BM14" s="3283">
        <f t="shared" si="35"/>
        <v>0</v>
      </c>
      <c r="BN14" s="3284">
        <f t="shared" si="9"/>
        <v>0</v>
      </c>
      <c r="BO14" s="3276"/>
      <c r="BP14" s="3275"/>
      <c r="BQ14" s="3275"/>
      <c r="BR14" s="3526">
        <f t="shared" si="36"/>
        <v>0</v>
      </c>
      <c r="BS14" s="3426">
        <f t="shared" si="37"/>
        <v>0</v>
      </c>
      <c r="BT14" s="3519"/>
      <c r="BU14" s="3274"/>
      <c r="BV14" s="3274"/>
      <c r="BW14" s="3283">
        <f t="shared" si="38"/>
        <v>0</v>
      </c>
      <c r="BX14" s="3284">
        <f t="shared" si="10"/>
        <v>0</v>
      </c>
      <c r="BY14" s="1449"/>
      <c r="BZ14" s="3285"/>
      <c r="CA14" s="3285"/>
      <c r="CB14" s="3286">
        <f t="shared" si="39"/>
        <v>0</v>
      </c>
      <c r="CC14" s="3284">
        <f t="shared" si="11"/>
        <v>0</v>
      </c>
      <c r="CD14" s="3276"/>
      <c r="CE14" s="3286"/>
      <c r="CF14" s="3285"/>
      <c r="CG14" s="3286">
        <f t="shared" ref="CG14:CG33" si="42">CE14+CF14*1</f>
        <v>0</v>
      </c>
      <c r="CH14" s="3284">
        <f t="shared" si="12"/>
        <v>0</v>
      </c>
      <c r="CI14" s="1158"/>
      <c r="CJ14" s="3274"/>
      <c r="CK14" s="3274"/>
      <c r="CL14" s="3274">
        <f t="shared" ref="CL14:CL33" si="43">CJ14+CK14*1</f>
        <v>0</v>
      </c>
      <c r="CM14" s="3284">
        <f t="shared" si="13"/>
        <v>0</v>
      </c>
      <c r="CN14" s="1158"/>
      <c r="CO14" s="3274"/>
      <c r="CP14" s="3274"/>
      <c r="CQ14" s="3274">
        <f t="shared" ref="CQ14:CQ36" si="44">CO14+CP14*1</f>
        <v>0</v>
      </c>
      <c r="CR14" s="3284">
        <f t="shared" si="14"/>
        <v>0</v>
      </c>
      <c r="CS14" s="1158"/>
      <c r="CT14" s="3274"/>
      <c r="CU14" s="3274"/>
      <c r="CV14" s="3274">
        <f t="shared" ref="CV14:CV34" si="45">CT14+CU14*1</f>
        <v>0</v>
      </c>
      <c r="CW14" s="3284">
        <f t="shared" si="15"/>
        <v>0</v>
      </c>
      <c r="CX14" s="1158"/>
      <c r="CY14" s="3274"/>
      <c r="CZ14" s="3274"/>
      <c r="DA14" s="3274">
        <f t="shared" ref="DA14:DA34" si="46">CY14+CZ14*1</f>
        <v>0</v>
      </c>
      <c r="DB14" s="3284">
        <f t="shared" si="16"/>
        <v>0</v>
      </c>
      <c r="DC14" s="1158"/>
      <c r="DD14" s="3274"/>
      <c r="DE14" s="3274"/>
      <c r="DF14" s="3274">
        <f t="shared" ref="DF14:DF34" si="47">DD14+DE14*1</f>
        <v>0</v>
      </c>
      <c r="DG14" s="3284">
        <f t="shared" si="17"/>
        <v>0</v>
      </c>
      <c r="DH14" s="1158"/>
      <c r="DI14" s="3274"/>
      <c r="DJ14" s="3274"/>
      <c r="DK14" s="3274">
        <f t="shared" ref="DK14:DK34" si="48">DI14+DJ14*1</f>
        <v>0</v>
      </c>
      <c r="DL14" s="3284">
        <f t="shared" si="18"/>
        <v>0</v>
      </c>
      <c r="DM14" s="3140"/>
      <c r="DN14" s="3288"/>
      <c r="DO14" s="3274"/>
      <c r="DP14" s="3274">
        <f t="shared" ref="DP14:DP34" si="49">DN14+DO14*1</f>
        <v>0</v>
      </c>
      <c r="DQ14" s="3284">
        <f t="shared" si="19"/>
        <v>0</v>
      </c>
      <c r="DR14" s="1158"/>
      <c r="DS14" s="3288"/>
      <c r="DT14" s="3274"/>
      <c r="DU14" s="3274">
        <f t="shared" ref="DU14:DU34" si="50">DS14+DT14*1</f>
        <v>0</v>
      </c>
      <c r="DV14" s="3284">
        <f t="shared" si="20"/>
        <v>0</v>
      </c>
      <c r="DW14" s="3238"/>
      <c r="DX14" s="3288">
        <f t="shared" si="40"/>
        <v>151545.88999999998</v>
      </c>
      <c r="DY14" s="3288">
        <f t="shared" si="40"/>
        <v>0</v>
      </c>
      <c r="DZ14" s="3283">
        <f t="shared" si="41"/>
        <v>151545.88999999998</v>
      </c>
      <c r="EA14" s="3284" t="e">
        <f t="shared" si="4"/>
        <v>#DIV/0!</v>
      </c>
      <c r="EB14" s="1449"/>
      <c r="ED14" s="3288">
        <v>85963.49</v>
      </c>
      <c r="EE14" s="3501">
        <f t="shared" si="21"/>
        <v>85963.49</v>
      </c>
      <c r="EF14" s="3260"/>
    </row>
    <row r="15" spans="1:136" s="1411" customFormat="1" ht="14.4" customHeight="1" x14ac:dyDescent="0.25">
      <c r="A15" s="1586"/>
      <c r="B15" s="3451" t="s">
        <v>20</v>
      </c>
      <c r="C15" s="3531"/>
      <c r="D15" s="3532"/>
      <c r="E15" s="1074">
        <f t="shared" si="22"/>
        <v>0</v>
      </c>
      <c r="F15" s="3284">
        <f t="shared" si="0"/>
        <v>0</v>
      </c>
      <c r="G15" s="3237"/>
      <c r="H15" s="3274">
        <v>0</v>
      </c>
      <c r="I15" s="3274">
        <v>500</v>
      </c>
      <c r="J15" s="3283">
        <f t="shared" si="23"/>
        <v>500</v>
      </c>
      <c r="K15" s="3284">
        <f t="shared" si="1"/>
        <v>3.9344000271503206E-5</v>
      </c>
      <c r="L15" s="1449"/>
      <c r="M15" s="3497">
        <v>0</v>
      </c>
      <c r="N15" s="3497">
        <v>0</v>
      </c>
      <c r="O15" s="3512">
        <v>0</v>
      </c>
      <c r="P15" s="3523">
        <v>0</v>
      </c>
      <c r="Q15" s="1449"/>
      <c r="R15" s="3497"/>
      <c r="S15" s="3497"/>
      <c r="T15" s="3512">
        <f t="shared" si="5"/>
        <v>0</v>
      </c>
      <c r="U15" s="3523">
        <f t="shared" si="2"/>
        <v>0</v>
      </c>
      <c r="V15" s="3514"/>
      <c r="W15" s="3274"/>
      <c r="X15" s="3274"/>
      <c r="Y15" s="3283">
        <f t="shared" si="24"/>
        <v>0</v>
      </c>
      <c r="Z15" s="3284">
        <f t="shared" si="3"/>
        <v>0</v>
      </c>
      <c r="AA15" s="1608"/>
      <c r="AB15" s="3274"/>
      <c r="AC15" s="3274"/>
      <c r="AD15" s="3283">
        <f t="shared" si="25"/>
        <v>0</v>
      </c>
      <c r="AE15" s="3284">
        <f t="shared" si="6"/>
        <v>0</v>
      </c>
      <c r="AF15" s="3275"/>
      <c r="AG15" s="3274"/>
      <c r="AH15" s="3429"/>
      <c r="AI15" s="3524">
        <f t="shared" si="26"/>
        <v>0</v>
      </c>
      <c r="AJ15" s="3516">
        <f t="shared" si="7"/>
        <v>0</v>
      </c>
      <c r="AK15" s="3275"/>
      <c r="AL15" s="3274"/>
      <c r="AM15" s="3429"/>
      <c r="AN15" s="3524">
        <f t="shared" si="27"/>
        <v>0</v>
      </c>
      <c r="AO15" s="3516">
        <f t="shared" si="28"/>
        <v>0</v>
      </c>
      <c r="AP15" s="3275"/>
      <c r="AQ15" s="3428"/>
      <c r="AR15" s="3288"/>
      <c r="AS15" s="3524">
        <f t="shared" si="29"/>
        <v>0</v>
      </c>
      <c r="AT15" s="3516">
        <f t="shared" si="30"/>
        <v>0</v>
      </c>
      <c r="AU15" s="3275"/>
      <c r="AV15" s="3275"/>
      <c r="AW15" s="3275"/>
      <c r="AX15" s="3524">
        <f t="shared" si="31"/>
        <v>0</v>
      </c>
      <c r="AY15" s="3516">
        <f t="shared" si="32"/>
        <v>0</v>
      </c>
      <c r="AZ15" s="3275"/>
      <c r="BA15" s="3275"/>
      <c r="BB15" s="3275"/>
      <c r="BC15" s="3524">
        <f t="shared" si="33"/>
        <v>0</v>
      </c>
      <c r="BD15" s="3518">
        <f t="shared" si="34"/>
        <v>0</v>
      </c>
      <c r="BE15" s="3519"/>
      <c r="BF15" s="3274">
        <v>0</v>
      </c>
      <c r="BG15" s="3274">
        <v>0</v>
      </c>
      <c r="BH15" s="3283">
        <v>0</v>
      </c>
      <c r="BI15" s="3284">
        <v>0</v>
      </c>
      <c r="BJ15" s="3276"/>
      <c r="BK15" s="3274">
        <f t="shared" si="8"/>
        <v>0</v>
      </c>
      <c r="BL15" s="3274">
        <f t="shared" si="8"/>
        <v>0</v>
      </c>
      <c r="BM15" s="3283">
        <f t="shared" si="35"/>
        <v>0</v>
      </c>
      <c r="BN15" s="3284">
        <f t="shared" si="9"/>
        <v>0</v>
      </c>
      <c r="BO15" s="3276"/>
      <c r="BP15" s="3275"/>
      <c r="BQ15" s="3275"/>
      <c r="BR15" s="3526">
        <f t="shared" si="36"/>
        <v>0</v>
      </c>
      <c r="BS15" s="3426">
        <f t="shared" si="37"/>
        <v>0</v>
      </c>
      <c r="BT15" s="3519"/>
      <c r="BU15" s="3274"/>
      <c r="BV15" s="3274"/>
      <c r="BW15" s="3283">
        <f t="shared" si="38"/>
        <v>0</v>
      </c>
      <c r="BX15" s="3284">
        <f t="shared" si="10"/>
        <v>0</v>
      </c>
      <c r="BY15" s="1449"/>
      <c r="BZ15" s="3285"/>
      <c r="CA15" s="3285"/>
      <c r="CB15" s="3286">
        <f t="shared" si="39"/>
        <v>0</v>
      </c>
      <c r="CC15" s="3284">
        <f t="shared" si="11"/>
        <v>0</v>
      </c>
      <c r="CD15" s="3276"/>
      <c r="CE15" s="3286"/>
      <c r="CF15" s="3285"/>
      <c r="CG15" s="3286">
        <f t="shared" si="42"/>
        <v>0</v>
      </c>
      <c r="CH15" s="3284">
        <f t="shared" si="12"/>
        <v>0</v>
      </c>
      <c r="CI15" s="1158"/>
      <c r="CJ15" s="3274"/>
      <c r="CK15" s="3274"/>
      <c r="CL15" s="3274">
        <f t="shared" si="43"/>
        <v>0</v>
      </c>
      <c r="CM15" s="3284">
        <f t="shared" si="13"/>
        <v>0</v>
      </c>
      <c r="CN15" s="1158"/>
      <c r="CO15" s="3274"/>
      <c r="CP15" s="3274"/>
      <c r="CQ15" s="3274">
        <f t="shared" si="44"/>
        <v>0</v>
      </c>
      <c r="CR15" s="3284">
        <f t="shared" si="14"/>
        <v>0</v>
      </c>
      <c r="CS15" s="1158"/>
      <c r="CT15" s="3274"/>
      <c r="CU15" s="3274"/>
      <c r="CV15" s="3274">
        <f t="shared" si="45"/>
        <v>0</v>
      </c>
      <c r="CW15" s="3284">
        <f t="shared" si="15"/>
        <v>0</v>
      </c>
      <c r="CX15" s="1158"/>
      <c r="CY15" s="3274"/>
      <c r="CZ15" s="3274"/>
      <c r="DA15" s="3274">
        <f t="shared" si="46"/>
        <v>0</v>
      </c>
      <c r="DB15" s="3284">
        <f t="shared" si="16"/>
        <v>0</v>
      </c>
      <c r="DC15" s="1158"/>
      <c r="DD15" s="3274"/>
      <c r="DE15" s="3274"/>
      <c r="DF15" s="3274">
        <f t="shared" si="47"/>
        <v>0</v>
      </c>
      <c r="DG15" s="3284">
        <f t="shared" si="17"/>
        <v>0</v>
      </c>
      <c r="DH15" s="1158"/>
      <c r="DI15" s="3274"/>
      <c r="DJ15" s="3274"/>
      <c r="DK15" s="3274">
        <f t="shared" si="48"/>
        <v>0</v>
      </c>
      <c r="DL15" s="3284">
        <f t="shared" si="18"/>
        <v>0</v>
      </c>
      <c r="DM15" s="3140"/>
      <c r="DN15" s="3288"/>
      <c r="DO15" s="3274"/>
      <c r="DP15" s="3274">
        <f t="shared" si="49"/>
        <v>0</v>
      </c>
      <c r="DQ15" s="3284">
        <f t="shared" si="19"/>
        <v>0</v>
      </c>
      <c r="DR15" s="1158"/>
      <c r="DS15" s="3288"/>
      <c r="DT15" s="3274"/>
      <c r="DU15" s="3274">
        <f t="shared" si="50"/>
        <v>0</v>
      </c>
      <c r="DV15" s="3284">
        <f t="shared" si="20"/>
        <v>0</v>
      </c>
      <c r="DW15" s="3238"/>
      <c r="DX15" s="3288">
        <f t="shared" si="40"/>
        <v>0</v>
      </c>
      <c r="DY15" s="3288">
        <f t="shared" si="40"/>
        <v>0</v>
      </c>
      <c r="DZ15" s="3283">
        <f t="shared" si="41"/>
        <v>0</v>
      </c>
      <c r="EA15" s="3284" t="e">
        <f t="shared" si="4"/>
        <v>#DIV/0!</v>
      </c>
      <c r="EB15" s="1449"/>
      <c r="ED15" s="3288"/>
      <c r="EE15" s="3501">
        <f t="shared" si="21"/>
        <v>0</v>
      </c>
      <c r="EF15" s="3260"/>
    </row>
    <row r="16" spans="1:136" s="1411" customFormat="1" ht="79.2" customHeight="1" x14ac:dyDescent="0.25">
      <c r="A16" s="1586"/>
      <c r="B16" s="3451" t="s">
        <v>21</v>
      </c>
      <c r="C16" s="3531"/>
      <c r="D16" s="3532">
        <v>890901</v>
      </c>
      <c r="E16" s="1074">
        <f t="shared" si="22"/>
        <v>890901</v>
      </c>
      <c r="F16" s="3284">
        <f t="shared" si="0"/>
        <v>0.34265822830878201</v>
      </c>
      <c r="G16" s="3237"/>
      <c r="H16" s="3274">
        <v>0</v>
      </c>
      <c r="I16" s="3274">
        <v>4597974.63</v>
      </c>
      <c r="J16" s="3283">
        <f t="shared" si="23"/>
        <v>4597974.63</v>
      </c>
      <c r="K16" s="3284">
        <f t="shared" si="1"/>
        <v>0.36180543018216971</v>
      </c>
      <c r="L16" s="1449"/>
      <c r="M16" s="3497">
        <v>0</v>
      </c>
      <c r="N16" s="3497">
        <v>8075049.2599999998</v>
      </c>
      <c r="O16" s="3512">
        <v>8075049.2599999998</v>
      </c>
      <c r="P16" s="3523">
        <v>0.41897341864483734</v>
      </c>
      <c r="Q16" s="1449"/>
      <c r="R16" s="3497"/>
      <c r="S16" s="3497">
        <f>137532.67+324631.85</f>
        <v>462164.52</v>
      </c>
      <c r="T16" s="3512">
        <f t="shared" si="5"/>
        <v>462164.52</v>
      </c>
      <c r="U16" s="3523">
        <f t="shared" si="2"/>
        <v>0.35628182672777153</v>
      </c>
      <c r="V16" s="3514"/>
      <c r="W16" s="3274"/>
      <c r="X16" s="3274">
        <f>164553.7+381343.2+64195</f>
        <v>610091.9</v>
      </c>
      <c r="Y16" s="3283">
        <f t="shared" si="24"/>
        <v>610091.9</v>
      </c>
      <c r="Z16" s="3284">
        <f t="shared" si="3"/>
        <v>0.26988398539932346</v>
      </c>
      <c r="AA16" s="3239" t="s">
        <v>1072</v>
      </c>
      <c r="AB16" s="3274"/>
      <c r="AC16" s="3274">
        <f>41600+6080</f>
        <v>47680</v>
      </c>
      <c r="AD16" s="3283">
        <f t="shared" si="25"/>
        <v>47680</v>
      </c>
      <c r="AE16" s="3284">
        <f t="shared" si="6"/>
        <v>5.6887446195128311E-2</v>
      </c>
      <c r="AF16" s="3275" t="s">
        <v>1095</v>
      </c>
      <c r="AG16" s="3274"/>
      <c r="AH16" s="3429">
        <f>90586+70176+9800</f>
        <v>170562</v>
      </c>
      <c r="AI16" s="3524">
        <f t="shared" si="26"/>
        <v>170562</v>
      </c>
      <c r="AJ16" s="3516">
        <f t="shared" si="7"/>
        <v>0.15768157140334951</v>
      </c>
      <c r="AK16" s="3275" t="s">
        <v>1209</v>
      </c>
      <c r="AL16" s="3274"/>
      <c r="AM16" s="3429">
        <f>380133+206766.47+8470+6480</f>
        <v>601849.47</v>
      </c>
      <c r="AN16" s="3524">
        <f t="shared" si="27"/>
        <v>601849.47</v>
      </c>
      <c r="AO16" s="3516">
        <f t="shared" si="28"/>
        <v>0.13242632289944936</v>
      </c>
      <c r="AP16" s="3275" t="s">
        <v>1292</v>
      </c>
      <c r="AQ16" s="3288"/>
      <c r="AR16" s="3288">
        <f>181476+382608.44</f>
        <v>564084.43999999994</v>
      </c>
      <c r="AS16" s="3524">
        <f t="shared" si="29"/>
        <v>564084.43999999994</v>
      </c>
      <c r="AT16" s="3516">
        <f t="shared" si="30"/>
        <v>8.9460279078984337E-2</v>
      </c>
      <c r="AU16" s="3275" t="s">
        <v>1365</v>
      </c>
      <c r="AV16" s="3275"/>
      <c r="AW16" s="3275">
        <v>521693</v>
      </c>
      <c r="AX16" s="3524">
        <f t="shared" si="31"/>
        <v>521693</v>
      </c>
      <c r="AY16" s="3516">
        <f t="shared" si="32"/>
        <v>8.2737260707904978E-2</v>
      </c>
      <c r="AZ16" s="3276" t="s">
        <v>1466</v>
      </c>
      <c r="BA16" s="3275"/>
      <c r="BB16" s="3275">
        <v>557727.81000000006</v>
      </c>
      <c r="BC16" s="3524">
        <f t="shared" si="33"/>
        <v>557727.81000000006</v>
      </c>
      <c r="BD16" s="3518">
        <f t="shared" si="34"/>
        <v>8.2250125743683178E-2</v>
      </c>
      <c r="BE16" s="3519" t="s">
        <v>1519</v>
      </c>
      <c r="BF16" s="3274">
        <v>0</v>
      </c>
      <c r="BG16" s="3274">
        <v>6219121.4999999991</v>
      </c>
      <c r="BH16" s="3283">
        <v>6219121.4999999991</v>
      </c>
      <c r="BI16" s="3284">
        <v>4.7943099757245715</v>
      </c>
      <c r="BJ16" s="3276"/>
      <c r="BK16" s="3274">
        <f t="shared" si="8"/>
        <v>0</v>
      </c>
      <c r="BL16" s="3274">
        <f t="shared" si="8"/>
        <v>0</v>
      </c>
      <c r="BM16" s="3283">
        <f t="shared" si="35"/>
        <v>0</v>
      </c>
      <c r="BN16" s="3284">
        <f t="shared" si="9"/>
        <v>0</v>
      </c>
      <c r="BO16" s="3276"/>
      <c r="BP16" s="3275"/>
      <c r="BQ16" s="3275"/>
      <c r="BR16" s="3526">
        <f t="shared" si="36"/>
        <v>0</v>
      </c>
      <c r="BS16" s="3426">
        <f t="shared" si="37"/>
        <v>0</v>
      </c>
      <c r="BT16" s="3519"/>
      <c r="BU16" s="3274"/>
      <c r="BV16" s="3274"/>
      <c r="BW16" s="3283">
        <f t="shared" si="38"/>
        <v>0</v>
      </c>
      <c r="BX16" s="3284">
        <f t="shared" si="10"/>
        <v>0</v>
      </c>
      <c r="BY16" s="2133"/>
      <c r="BZ16" s="3285"/>
      <c r="CA16" s="3285"/>
      <c r="CB16" s="3286">
        <f t="shared" si="39"/>
        <v>0</v>
      </c>
      <c r="CC16" s="3284">
        <f t="shared" si="11"/>
        <v>0</v>
      </c>
      <c r="CD16" s="3276"/>
      <c r="CE16" s="3285"/>
      <c r="CF16" s="3285"/>
      <c r="CG16" s="3286">
        <f t="shared" si="42"/>
        <v>0</v>
      </c>
      <c r="CH16" s="3284">
        <f t="shared" si="12"/>
        <v>0</v>
      </c>
      <c r="CI16" s="1158"/>
      <c r="CJ16" s="3274"/>
      <c r="CK16" s="3274"/>
      <c r="CL16" s="3274">
        <f t="shared" si="43"/>
        <v>0</v>
      </c>
      <c r="CM16" s="3284">
        <f t="shared" si="13"/>
        <v>0</v>
      </c>
      <c r="CN16" s="3276"/>
      <c r="CO16" s="3274"/>
      <c r="CP16" s="3274"/>
      <c r="CQ16" s="3274">
        <f t="shared" si="44"/>
        <v>0</v>
      </c>
      <c r="CR16" s="3284">
        <f t="shared" si="14"/>
        <v>0</v>
      </c>
      <c r="CS16" s="3276"/>
      <c r="CT16" s="3274"/>
      <c r="CU16" s="3274"/>
      <c r="CV16" s="3274">
        <f t="shared" si="45"/>
        <v>0</v>
      </c>
      <c r="CW16" s="3284">
        <f t="shared" si="15"/>
        <v>0</v>
      </c>
      <c r="CX16" s="3276"/>
      <c r="CY16" s="3274"/>
      <c r="CZ16" s="3274"/>
      <c r="DA16" s="3274">
        <f t="shared" si="46"/>
        <v>0</v>
      </c>
      <c r="DB16" s="3284">
        <f t="shared" si="16"/>
        <v>0</v>
      </c>
      <c r="DC16" s="3276"/>
      <c r="DD16" s="3274"/>
      <c r="DE16" s="3274"/>
      <c r="DF16" s="3274">
        <f t="shared" si="47"/>
        <v>0</v>
      </c>
      <c r="DG16" s="3284">
        <f t="shared" si="17"/>
        <v>0</v>
      </c>
      <c r="DH16" s="3276"/>
      <c r="DI16" s="3274"/>
      <c r="DJ16" s="3274"/>
      <c r="DK16" s="3274">
        <f t="shared" si="48"/>
        <v>0</v>
      </c>
      <c r="DL16" s="3284">
        <f t="shared" si="18"/>
        <v>0</v>
      </c>
      <c r="DM16" s="3500"/>
      <c r="DN16" s="3288"/>
      <c r="DO16" s="3274"/>
      <c r="DP16" s="3274">
        <f t="shared" si="49"/>
        <v>0</v>
      </c>
      <c r="DQ16" s="3284">
        <f t="shared" si="19"/>
        <v>0</v>
      </c>
      <c r="DR16" s="3500"/>
      <c r="DS16" s="3288"/>
      <c r="DT16" s="3274"/>
      <c r="DU16" s="3274">
        <f t="shared" si="50"/>
        <v>0</v>
      </c>
      <c r="DV16" s="3284">
        <f t="shared" si="20"/>
        <v>0</v>
      </c>
      <c r="DW16" s="3530"/>
      <c r="DX16" s="3288">
        <f t="shared" si="40"/>
        <v>0</v>
      </c>
      <c r="DY16" s="3288">
        <f t="shared" si="40"/>
        <v>9754974.6399999987</v>
      </c>
      <c r="DZ16" s="3283">
        <f t="shared" si="41"/>
        <v>9754974.6399999987</v>
      </c>
      <c r="EA16" s="3284" t="e">
        <f t="shared" si="4"/>
        <v>#DIV/0!</v>
      </c>
      <c r="EB16" s="1449"/>
      <c r="ED16" s="3288">
        <v>6086271.4900000002</v>
      </c>
      <c r="EE16" s="3501">
        <f t="shared" si="21"/>
        <v>6086271.4900000002</v>
      </c>
      <c r="EF16" s="3261" t="s">
        <v>2103</v>
      </c>
    </row>
    <row r="17" spans="1:136" s="1411" customFormat="1" ht="13.2" customHeight="1" x14ac:dyDescent="0.25">
      <c r="A17" s="1586"/>
      <c r="B17" s="3451" t="s">
        <v>22</v>
      </c>
      <c r="C17" s="3531"/>
      <c r="D17" s="3532"/>
      <c r="E17" s="1074">
        <f t="shared" si="22"/>
        <v>0</v>
      </c>
      <c r="F17" s="3284">
        <f t="shared" si="0"/>
        <v>0</v>
      </c>
      <c r="G17" s="3237"/>
      <c r="H17" s="3274">
        <v>0</v>
      </c>
      <c r="I17" s="3274">
        <v>0</v>
      </c>
      <c r="J17" s="3283">
        <f t="shared" si="23"/>
        <v>0</v>
      </c>
      <c r="K17" s="3284">
        <f t="shared" si="1"/>
        <v>0</v>
      </c>
      <c r="L17" s="1449"/>
      <c r="M17" s="3497">
        <v>0</v>
      </c>
      <c r="N17" s="3497">
        <v>166000</v>
      </c>
      <c r="O17" s="3512">
        <v>166000</v>
      </c>
      <c r="P17" s="3523">
        <v>8.6128994704167284E-3</v>
      </c>
      <c r="Q17" s="1449"/>
      <c r="R17" s="3497"/>
      <c r="S17" s="3497"/>
      <c r="T17" s="3512">
        <f t="shared" si="5"/>
        <v>0</v>
      </c>
      <c r="U17" s="3523">
        <f t="shared" si="2"/>
        <v>0</v>
      </c>
      <c r="V17" s="3514"/>
      <c r="W17" s="3274"/>
      <c r="X17" s="3274"/>
      <c r="Y17" s="3283">
        <f t="shared" si="24"/>
        <v>0</v>
      </c>
      <c r="Z17" s="3284">
        <f t="shared" si="3"/>
        <v>0</v>
      </c>
      <c r="AA17" s="1617"/>
      <c r="AB17" s="3274"/>
      <c r="AC17" s="3274"/>
      <c r="AD17" s="3283">
        <f t="shared" si="25"/>
        <v>0</v>
      </c>
      <c r="AE17" s="3284">
        <f t="shared" si="6"/>
        <v>0</v>
      </c>
      <c r="AF17" s="1617"/>
      <c r="AG17" s="3274"/>
      <c r="AH17" s="3429"/>
      <c r="AI17" s="3524">
        <f t="shared" si="26"/>
        <v>0</v>
      </c>
      <c r="AJ17" s="3516">
        <f t="shared" si="7"/>
        <v>0</v>
      </c>
      <c r="AK17" s="3533"/>
      <c r="AL17" s="3274"/>
      <c r="AM17" s="3429"/>
      <c r="AN17" s="3524">
        <f t="shared" si="27"/>
        <v>0</v>
      </c>
      <c r="AO17" s="3516">
        <f t="shared" si="28"/>
        <v>0</v>
      </c>
      <c r="AP17" s="3533"/>
      <c r="AQ17" s="3288"/>
      <c r="AR17" s="3288"/>
      <c r="AS17" s="3524">
        <f t="shared" si="29"/>
        <v>0</v>
      </c>
      <c r="AT17" s="3516">
        <f t="shared" si="30"/>
        <v>0</v>
      </c>
      <c r="AU17" s="3275"/>
      <c r="AV17" s="1342"/>
      <c r="AW17" s="1342"/>
      <c r="AX17" s="3524">
        <f t="shared" si="31"/>
        <v>0</v>
      </c>
      <c r="AY17" s="3516">
        <f t="shared" si="32"/>
        <v>0</v>
      </c>
      <c r="AZ17" s="1617"/>
      <c r="BA17" s="1617"/>
      <c r="BB17" s="3275">
        <v>50000</v>
      </c>
      <c r="BC17" s="3524">
        <f t="shared" si="33"/>
        <v>50000</v>
      </c>
      <c r="BD17" s="3518">
        <f t="shared" si="34"/>
        <v>7.3736798012352276E-3</v>
      </c>
      <c r="BE17" s="3519" t="s">
        <v>1520</v>
      </c>
      <c r="BF17" s="3274">
        <v>0</v>
      </c>
      <c r="BG17" s="3274">
        <v>125000</v>
      </c>
      <c r="BH17" s="3283">
        <v>125000</v>
      </c>
      <c r="BI17" s="3284">
        <v>9.6362283156161452E-2</v>
      </c>
      <c r="BJ17" s="3276"/>
      <c r="BK17" s="3274">
        <f t="shared" si="8"/>
        <v>0</v>
      </c>
      <c r="BL17" s="3274">
        <f t="shared" si="8"/>
        <v>0</v>
      </c>
      <c r="BM17" s="3283">
        <f t="shared" si="35"/>
        <v>0</v>
      </c>
      <c r="BN17" s="3284">
        <f t="shared" si="9"/>
        <v>0</v>
      </c>
      <c r="BO17" s="3276"/>
      <c r="BP17" s="1617"/>
      <c r="BQ17" s="3275"/>
      <c r="BR17" s="3526">
        <f t="shared" si="36"/>
        <v>0</v>
      </c>
      <c r="BS17" s="3426">
        <f t="shared" si="37"/>
        <v>0</v>
      </c>
      <c r="BT17" s="3519"/>
      <c r="BU17" s="3274"/>
      <c r="BV17" s="3274"/>
      <c r="BW17" s="3283">
        <f t="shared" si="38"/>
        <v>0</v>
      </c>
      <c r="BX17" s="3284">
        <f t="shared" si="10"/>
        <v>0</v>
      </c>
      <c r="BY17" s="1449"/>
      <c r="BZ17" s="3285"/>
      <c r="CA17" s="3285"/>
      <c r="CB17" s="3286">
        <f t="shared" si="39"/>
        <v>0</v>
      </c>
      <c r="CC17" s="3284">
        <f t="shared" si="11"/>
        <v>0</v>
      </c>
      <c r="CD17" s="3276"/>
      <c r="CE17" s="3285"/>
      <c r="CF17" s="3285"/>
      <c r="CG17" s="3286">
        <f t="shared" si="42"/>
        <v>0</v>
      </c>
      <c r="CH17" s="3284">
        <f t="shared" si="12"/>
        <v>0</v>
      </c>
      <c r="CI17" s="1158"/>
      <c r="CJ17" s="3274"/>
      <c r="CK17" s="3274"/>
      <c r="CL17" s="3274">
        <f t="shared" si="43"/>
        <v>0</v>
      </c>
      <c r="CM17" s="3284">
        <f t="shared" si="13"/>
        <v>0</v>
      </c>
      <c r="CN17" s="3276"/>
      <c r="CO17" s="3274"/>
      <c r="CP17" s="3274"/>
      <c r="CQ17" s="3274">
        <f t="shared" si="44"/>
        <v>0</v>
      </c>
      <c r="CR17" s="3284">
        <f t="shared" si="14"/>
        <v>0</v>
      </c>
      <c r="CS17" s="3276"/>
      <c r="CT17" s="3274"/>
      <c r="CU17" s="3274"/>
      <c r="CV17" s="3274">
        <f t="shared" si="45"/>
        <v>0</v>
      </c>
      <c r="CW17" s="3284">
        <f t="shared" si="15"/>
        <v>0</v>
      </c>
      <c r="CX17" s="3276"/>
      <c r="CY17" s="3274"/>
      <c r="CZ17" s="3274"/>
      <c r="DA17" s="3274">
        <f t="shared" si="46"/>
        <v>0</v>
      </c>
      <c r="DB17" s="3284">
        <f t="shared" si="16"/>
        <v>0</v>
      </c>
      <c r="DC17" s="3276"/>
      <c r="DD17" s="3274"/>
      <c r="DE17" s="3274"/>
      <c r="DF17" s="3274">
        <f t="shared" si="47"/>
        <v>0</v>
      </c>
      <c r="DG17" s="3284">
        <f t="shared" si="17"/>
        <v>0</v>
      </c>
      <c r="DH17" s="3276"/>
      <c r="DI17" s="3274"/>
      <c r="DJ17" s="3274"/>
      <c r="DK17" s="3274">
        <f t="shared" si="48"/>
        <v>0</v>
      </c>
      <c r="DL17" s="3284">
        <f t="shared" si="18"/>
        <v>0</v>
      </c>
      <c r="DM17" s="3500"/>
      <c r="DN17" s="3288"/>
      <c r="DO17" s="3274"/>
      <c r="DP17" s="3274">
        <f t="shared" si="49"/>
        <v>0</v>
      </c>
      <c r="DQ17" s="3284">
        <f t="shared" si="19"/>
        <v>0</v>
      </c>
      <c r="DR17" s="3276"/>
      <c r="DS17" s="3288"/>
      <c r="DT17" s="3274"/>
      <c r="DU17" s="3274">
        <f t="shared" si="50"/>
        <v>0</v>
      </c>
      <c r="DV17" s="3284">
        <f t="shared" si="20"/>
        <v>0</v>
      </c>
      <c r="DW17" s="3530"/>
      <c r="DX17" s="3288">
        <f t="shared" si="40"/>
        <v>0</v>
      </c>
      <c r="DY17" s="3288">
        <f t="shared" si="40"/>
        <v>175000</v>
      </c>
      <c r="DZ17" s="3283">
        <f t="shared" si="41"/>
        <v>175000</v>
      </c>
      <c r="EA17" s="3284" t="e">
        <f t="shared" si="4"/>
        <v>#DIV/0!</v>
      </c>
      <c r="EB17" s="1449"/>
      <c r="ED17" s="3288">
        <v>75000</v>
      </c>
      <c r="EE17" s="3501">
        <f>ED17-BM17</f>
        <v>75000</v>
      </c>
      <c r="EF17" s="3260" t="s">
        <v>2108</v>
      </c>
    </row>
    <row r="18" spans="1:136" s="1411" customFormat="1" ht="26.4" customHeight="1" x14ac:dyDescent="0.25">
      <c r="A18" s="1586"/>
      <c r="B18" s="3451" t="s">
        <v>0</v>
      </c>
      <c r="C18" s="3531"/>
      <c r="D18" s="3532"/>
      <c r="E18" s="1074">
        <f t="shared" si="22"/>
        <v>0</v>
      </c>
      <c r="F18" s="3284">
        <f t="shared" si="0"/>
        <v>0</v>
      </c>
      <c r="G18" s="3237"/>
      <c r="H18" s="3274">
        <v>41782.160000000003</v>
      </c>
      <c r="I18" s="3274">
        <v>31545</v>
      </c>
      <c r="J18" s="3283">
        <f t="shared" si="23"/>
        <v>73327.16</v>
      </c>
      <c r="K18" s="3284">
        <f t="shared" si="1"/>
        <v>5.769967605897118E-3</v>
      </c>
      <c r="L18" s="1449"/>
      <c r="M18" s="3497">
        <v>65457.55</v>
      </c>
      <c r="N18" s="3497">
        <v>7950</v>
      </c>
      <c r="O18" s="3512">
        <v>73407.55</v>
      </c>
      <c r="P18" s="3523">
        <v>3.8087460754192143E-3</v>
      </c>
      <c r="Q18" s="1449"/>
      <c r="R18" s="3497"/>
      <c r="S18" s="3497"/>
      <c r="T18" s="3512">
        <f t="shared" si="5"/>
        <v>0</v>
      </c>
      <c r="U18" s="3523">
        <f t="shared" si="2"/>
        <v>0</v>
      </c>
      <c r="V18" s="3528"/>
      <c r="W18" s="3274"/>
      <c r="X18" s="3274">
        <v>8450</v>
      </c>
      <c r="Y18" s="3283">
        <f t="shared" si="24"/>
        <v>8450</v>
      </c>
      <c r="Z18" s="3284">
        <f t="shared" si="3"/>
        <v>3.7379936967271376E-3</v>
      </c>
      <c r="AA18" s="1376" t="s">
        <v>1032</v>
      </c>
      <c r="AB18" s="3274"/>
      <c r="AC18" s="3274">
        <v>3500</v>
      </c>
      <c r="AD18" s="3283">
        <f t="shared" si="25"/>
        <v>3500</v>
      </c>
      <c r="AE18" s="3284">
        <f t="shared" si="6"/>
        <v>4.1758821661692343E-3</v>
      </c>
      <c r="AF18" s="3275" t="s">
        <v>1083</v>
      </c>
      <c r="AG18" s="3274"/>
      <c r="AH18" s="3429">
        <f>21400+147917</f>
        <v>169317</v>
      </c>
      <c r="AI18" s="3524">
        <f t="shared" si="26"/>
        <v>169317</v>
      </c>
      <c r="AJ18" s="3516">
        <f t="shared" si="7"/>
        <v>0.15653059078400189</v>
      </c>
      <c r="AK18" s="3275" t="s">
        <v>1220</v>
      </c>
      <c r="AL18" s="3274"/>
      <c r="AM18" s="3429">
        <f>804765+16650</f>
        <v>821415</v>
      </c>
      <c r="AN18" s="3524">
        <f t="shared" si="27"/>
        <v>821415</v>
      </c>
      <c r="AO18" s="3516">
        <f t="shared" si="28"/>
        <v>0.18073783137908422</v>
      </c>
      <c r="AP18" s="3275" t="s">
        <v>1293</v>
      </c>
      <c r="AQ18" s="3288">
        <v>959.82</v>
      </c>
      <c r="AR18" s="3288">
        <v>61830</v>
      </c>
      <c r="AS18" s="3524">
        <f t="shared" si="29"/>
        <v>62789.82</v>
      </c>
      <c r="AT18" s="3516">
        <f t="shared" si="30"/>
        <v>9.9580743984343783E-3</v>
      </c>
      <c r="AU18" s="3275" t="s">
        <v>1361</v>
      </c>
      <c r="AV18" s="3275"/>
      <c r="AW18" s="3275">
        <v>45000</v>
      </c>
      <c r="AX18" s="3524">
        <f t="shared" si="31"/>
        <v>45000</v>
      </c>
      <c r="AY18" s="3516">
        <f t="shared" si="32"/>
        <v>7.1367197410272401E-3</v>
      </c>
      <c r="AZ18" s="3276" t="s">
        <v>1439</v>
      </c>
      <c r="BA18" s="3275"/>
      <c r="BB18" s="3275">
        <f>25500+8000</f>
        <v>33500</v>
      </c>
      <c r="BC18" s="3524">
        <f t="shared" si="33"/>
        <v>33500</v>
      </c>
      <c r="BD18" s="3518">
        <f t="shared" si="34"/>
        <v>4.9403654668276021E-3</v>
      </c>
      <c r="BE18" s="3519" t="s">
        <v>1521</v>
      </c>
      <c r="BF18" s="3274">
        <v>18228.2</v>
      </c>
      <c r="BG18" s="3274">
        <v>322430</v>
      </c>
      <c r="BH18" s="3283">
        <v>340658.2</v>
      </c>
      <c r="BI18" s="3284">
        <v>0.26261281542294623</v>
      </c>
      <c r="BJ18" s="3276"/>
      <c r="BK18" s="3274">
        <f t="shared" si="8"/>
        <v>0</v>
      </c>
      <c r="BL18" s="3274">
        <f t="shared" si="8"/>
        <v>0</v>
      </c>
      <c r="BM18" s="3283">
        <f t="shared" si="35"/>
        <v>0</v>
      </c>
      <c r="BN18" s="3284">
        <f t="shared" si="9"/>
        <v>0</v>
      </c>
      <c r="BO18" s="3276"/>
      <c r="BP18" s="3275"/>
      <c r="BQ18" s="3275"/>
      <c r="BR18" s="3526">
        <f t="shared" si="36"/>
        <v>0</v>
      </c>
      <c r="BS18" s="3426">
        <f t="shared" si="37"/>
        <v>0</v>
      </c>
      <c r="BT18" s="3519"/>
      <c r="BU18" s="3274"/>
      <c r="BV18" s="3274"/>
      <c r="BW18" s="3283">
        <f t="shared" si="38"/>
        <v>0</v>
      </c>
      <c r="BX18" s="3284">
        <f t="shared" si="10"/>
        <v>0</v>
      </c>
      <c r="BY18" s="3534"/>
      <c r="BZ18" s="3285"/>
      <c r="CA18" s="3285"/>
      <c r="CB18" s="3286">
        <f t="shared" si="39"/>
        <v>0</v>
      </c>
      <c r="CC18" s="3284">
        <f t="shared" si="11"/>
        <v>0</v>
      </c>
      <c r="CD18" s="3276"/>
      <c r="CE18" s="3285"/>
      <c r="CF18" s="3285"/>
      <c r="CG18" s="3286">
        <f t="shared" si="42"/>
        <v>0</v>
      </c>
      <c r="CH18" s="3284">
        <f t="shared" si="12"/>
        <v>0</v>
      </c>
      <c r="CI18" s="3276"/>
      <c r="CJ18" s="3274"/>
      <c r="CK18" s="3274"/>
      <c r="CL18" s="3274">
        <f t="shared" si="43"/>
        <v>0</v>
      </c>
      <c r="CM18" s="3284">
        <f t="shared" si="13"/>
        <v>0</v>
      </c>
      <c r="CN18" s="3276"/>
      <c r="CO18" s="3274"/>
      <c r="CP18" s="3274"/>
      <c r="CQ18" s="3274">
        <f t="shared" si="44"/>
        <v>0</v>
      </c>
      <c r="CR18" s="3284">
        <f t="shared" si="14"/>
        <v>0</v>
      </c>
      <c r="CS18" s="3276"/>
      <c r="CT18" s="3274"/>
      <c r="CU18" s="3274"/>
      <c r="CV18" s="3274">
        <f t="shared" si="45"/>
        <v>0</v>
      </c>
      <c r="CW18" s="3284">
        <f t="shared" si="15"/>
        <v>0</v>
      </c>
      <c r="CX18" s="3276"/>
      <c r="CY18" s="3274"/>
      <c r="CZ18" s="3274"/>
      <c r="DA18" s="3274">
        <f t="shared" si="46"/>
        <v>0</v>
      </c>
      <c r="DB18" s="3284">
        <f t="shared" si="16"/>
        <v>0</v>
      </c>
      <c r="DC18" s="3276"/>
      <c r="DD18" s="3274"/>
      <c r="DE18" s="3274"/>
      <c r="DF18" s="3274">
        <f t="shared" si="47"/>
        <v>0</v>
      </c>
      <c r="DG18" s="3284">
        <f t="shared" si="17"/>
        <v>0</v>
      </c>
      <c r="DH18" s="3276"/>
      <c r="DI18" s="3274"/>
      <c r="DJ18" s="3274"/>
      <c r="DK18" s="3274">
        <f t="shared" si="48"/>
        <v>0</v>
      </c>
      <c r="DL18" s="3284">
        <f t="shared" si="18"/>
        <v>0</v>
      </c>
      <c r="DM18" s="3500"/>
      <c r="DN18" s="3288"/>
      <c r="DO18" s="3274"/>
      <c r="DP18" s="3274">
        <f t="shared" si="49"/>
        <v>0</v>
      </c>
      <c r="DQ18" s="3284">
        <f t="shared" si="19"/>
        <v>0</v>
      </c>
      <c r="DR18" s="3276"/>
      <c r="DS18" s="3288"/>
      <c r="DT18" s="3274"/>
      <c r="DU18" s="3274">
        <f t="shared" si="50"/>
        <v>0</v>
      </c>
      <c r="DV18" s="3284">
        <f t="shared" si="20"/>
        <v>0</v>
      </c>
      <c r="DW18" s="3530"/>
      <c r="DX18" s="3288">
        <f t="shared" si="40"/>
        <v>19188.02</v>
      </c>
      <c r="DY18" s="3288">
        <f t="shared" si="40"/>
        <v>1465442</v>
      </c>
      <c r="DZ18" s="3283">
        <f t="shared" si="41"/>
        <v>1484630.02</v>
      </c>
      <c r="EA18" s="3284" t="e">
        <f t="shared" si="4"/>
        <v>#DIV/0!</v>
      </c>
      <c r="EB18" s="1449"/>
      <c r="ED18" s="1359">
        <v>506338.77</v>
      </c>
      <c r="EE18" s="3501">
        <f>ED18-BM18</f>
        <v>506338.77</v>
      </c>
      <c r="EF18" s="3535" t="s">
        <v>2109</v>
      </c>
    </row>
    <row r="19" spans="1:136" s="1411" customFormat="1" ht="24" x14ac:dyDescent="0.25">
      <c r="A19" s="1586"/>
      <c r="B19" s="3451" t="s">
        <v>53</v>
      </c>
      <c r="C19" s="3531">
        <f>10092+2880</f>
        <v>12972</v>
      </c>
      <c r="D19" s="3532"/>
      <c r="E19" s="1074">
        <f t="shared" si="22"/>
        <v>12972</v>
      </c>
      <c r="F19" s="3284">
        <f t="shared" si="0"/>
        <v>4.9892889755668926E-3</v>
      </c>
      <c r="G19" s="3237"/>
      <c r="H19" s="3274">
        <v>19710</v>
      </c>
      <c r="I19" s="3274">
        <v>0</v>
      </c>
      <c r="J19" s="3283">
        <f t="shared" si="23"/>
        <v>19710</v>
      </c>
      <c r="K19" s="3284">
        <f t="shared" si="1"/>
        <v>1.5509404907026562E-3</v>
      </c>
      <c r="L19" s="1449"/>
      <c r="M19" s="3497">
        <v>13392</v>
      </c>
      <c r="N19" s="3497">
        <v>0</v>
      </c>
      <c r="O19" s="3512">
        <v>13392</v>
      </c>
      <c r="P19" s="3523">
        <v>6.9484307052904116E-4</v>
      </c>
      <c r="Q19" s="1449"/>
      <c r="R19" s="3497"/>
      <c r="S19" s="3497"/>
      <c r="T19" s="3512">
        <f t="shared" si="5"/>
        <v>0</v>
      </c>
      <c r="U19" s="3523">
        <f t="shared" si="2"/>
        <v>0</v>
      </c>
      <c r="V19" s="3514"/>
      <c r="W19" s="3274"/>
      <c r="X19" s="3274"/>
      <c r="Y19" s="3283">
        <f t="shared" si="24"/>
        <v>0</v>
      </c>
      <c r="Z19" s="3284">
        <f t="shared" si="3"/>
        <v>0</v>
      </c>
      <c r="AA19" s="1449"/>
      <c r="AB19" s="3274"/>
      <c r="AC19" s="3274"/>
      <c r="AD19" s="3283">
        <f t="shared" si="25"/>
        <v>0</v>
      </c>
      <c r="AE19" s="3284">
        <f t="shared" si="6"/>
        <v>0</v>
      </c>
      <c r="AF19" s="3275"/>
      <c r="AG19" s="3274"/>
      <c r="AH19" s="3429"/>
      <c r="AI19" s="3524">
        <f t="shared" si="26"/>
        <v>0</v>
      </c>
      <c r="AJ19" s="3516">
        <f t="shared" si="7"/>
        <v>0</v>
      </c>
      <c r="AK19" s="3536"/>
      <c r="AL19" s="3274"/>
      <c r="AM19" s="3429"/>
      <c r="AN19" s="3524">
        <f t="shared" si="27"/>
        <v>0</v>
      </c>
      <c r="AO19" s="3516">
        <f t="shared" si="28"/>
        <v>0</v>
      </c>
      <c r="AP19" s="3536"/>
      <c r="AQ19" s="3288">
        <v>1800</v>
      </c>
      <c r="AR19" s="3288"/>
      <c r="AS19" s="3524">
        <f t="shared" si="29"/>
        <v>1800</v>
      </c>
      <c r="AT19" s="3516">
        <f t="shared" si="30"/>
        <v>2.8546878964108959E-4</v>
      </c>
      <c r="AU19" s="3275" t="s">
        <v>1352</v>
      </c>
      <c r="AV19" s="3275">
        <v>2700</v>
      </c>
      <c r="AW19" s="1338">
        <v>8400</v>
      </c>
      <c r="AX19" s="3524">
        <f t="shared" si="31"/>
        <v>11100</v>
      </c>
      <c r="AY19" s="3516">
        <f t="shared" si="32"/>
        <v>1.7603908694533859E-3</v>
      </c>
      <c r="AZ19" s="3276" t="s">
        <v>1440</v>
      </c>
      <c r="BA19" s="3275"/>
      <c r="BB19" s="3275">
        <f>300*31</f>
        <v>9300</v>
      </c>
      <c r="BC19" s="3524">
        <f t="shared" si="33"/>
        <v>9300</v>
      </c>
      <c r="BD19" s="3518">
        <f t="shared" si="34"/>
        <v>1.3715044430297524E-3</v>
      </c>
      <c r="BE19" s="3519" t="s">
        <v>1522</v>
      </c>
      <c r="BF19" s="3274">
        <v>1650</v>
      </c>
      <c r="BG19" s="3274">
        <v>0</v>
      </c>
      <c r="BH19" s="3283">
        <v>1650</v>
      </c>
      <c r="BI19" s="3284">
        <v>1.2719821376613312E-3</v>
      </c>
      <c r="BJ19" s="3276"/>
      <c r="BK19" s="3274">
        <f t="shared" si="8"/>
        <v>0</v>
      </c>
      <c r="BL19" s="3274">
        <f t="shared" si="8"/>
        <v>0</v>
      </c>
      <c r="BM19" s="3283">
        <f t="shared" si="35"/>
        <v>0</v>
      </c>
      <c r="BN19" s="3284">
        <f t="shared" si="9"/>
        <v>0</v>
      </c>
      <c r="BO19" s="3276"/>
      <c r="BP19" s="3275"/>
      <c r="BQ19" s="3275"/>
      <c r="BR19" s="3526">
        <f t="shared" si="36"/>
        <v>0</v>
      </c>
      <c r="BS19" s="3426">
        <f t="shared" si="37"/>
        <v>0</v>
      </c>
      <c r="BT19" s="3519"/>
      <c r="BU19" s="3274"/>
      <c r="BV19" s="3274"/>
      <c r="BW19" s="3283">
        <f t="shared" si="38"/>
        <v>0</v>
      </c>
      <c r="BX19" s="3284">
        <f t="shared" si="10"/>
        <v>0</v>
      </c>
      <c r="BY19" s="1409"/>
      <c r="BZ19" s="3285"/>
      <c r="CA19" s="3285"/>
      <c r="CB19" s="3286">
        <f t="shared" si="39"/>
        <v>0</v>
      </c>
      <c r="CC19" s="3284">
        <f t="shared" si="11"/>
        <v>0</v>
      </c>
      <c r="CD19" s="3276"/>
      <c r="CE19" s="3285"/>
      <c r="CF19" s="3285"/>
      <c r="CG19" s="3286">
        <f t="shared" si="42"/>
        <v>0</v>
      </c>
      <c r="CH19" s="3284">
        <f t="shared" si="12"/>
        <v>0</v>
      </c>
      <c r="CI19" s="3276"/>
      <c r="CJ19" s="3274"/>
      <c r="CK19" s="3274"/>
      <c r="CL19" s="3274">
        <f t="shared" si="43"/>
        <v>0</v>
      </c>
      <c r="CM19" s="3284">
        <f t="shared" si="13"/>
        <v>0</v>
      </c>
      <c r="CN19" s="3276"/>
      <c r="CO19" s="3274"/>
      <c r="CP19" s="3274"/>
      <c r="CQ19" s="3274">
        <f t="shared" si="44"/>
        <v>0</v>
      </c>
      <c r="CR19" s="3284">
        <f t="shared" si="14"/>
        <v>0</v>
      </c>
      <c r="CS19" s="3276"/>
      <c r="CT19" s="3274"/>
      <c r="CU19" s="3274"/>
      <c r="CV19" s="3274">
        <f t="shared" si="45"/>
        <v>0</v>
      </c>
      <c r="CW19" s="3284">
        <f t="shared" si="15"/>
        <v>0</v>
      </c>
      <c r="CX19" s="3276"/>
      <c r="CY19" s="3274"/>
      <c r="CZ19" s="3274"/>
      <c r="DA19" s="3274">
        <f t="shared" si="46"/>
        <v>0</v>
      </c>
      <c r="DB19" s="3284">
        <f t="shared" si="16"/>
        <v>0</v>
      </c>
      <c r="DC19" s="3276"/>
      <c r="DD19" s="3274"/>
      <c r="DE19" s="3274"/>
      <c r="DF19" s="3274">
        <f t="shared" si="47"/>
        <v>0</v>
      </c>
      <c r="DG19" s="3284">
        <f t="shared" si="17"/>
        <v>0</v>
      </c>
      <c r="DH19" s="3276"/>
      <c r="DI19" s="3274"/>
      <c r="DJ19" s="3274"/>
      <c r="DK19" s="3274">
        <f t="shared" si="48"/>
        <v>0</v>
      </c>
      <c r="DL19" s="3284">
        <f t="shared" si="18"/>
        <v>0</v>
      </c>
      <c r="DM19" s="3500"/>
      <c r="DN19" s="3288"/>
      <c r="DO19" s="3274"/>
      <c r="DP19" s="3274">
        <f t="shared" si="49"/>
        <v>0</v>
      </c>
      <c r="DQ19" s="3284">
        <f t="shared" si="19"/>
        <v>0</v>
      </c>
      <c r="DR19" s="3276"/>
      <c r="DS19" s="3288"/>
      <c r="DT19" s="3274"/>
      <c r="DU19" s="3274">
        <f t="shared" si="50"/>
        <v>0</v>
      </c>
      <c r="DV19" s="3284">
        <f t="shared" si="20"/>
        <v>0</v>
      </c>
      <c r="DW19" s="3530"/>
      <c r="DX19" s="3288">
        <f t="shared" si="40"/>
        <v>6150</v>
      </c>
      <c r="DY19" s="3288">
        <f t="shared" si="40"/>
        <v>17700</v>
      </c>
      <c r="DZ19" s="3283">
        <f t="shared" si="41"/>
        <v>23850</v>
      </c>
      <c r="EA19" s="3284" t="e">
        <f t="shared" si="4"/>
        <v>#DIV/0!</v>
      </c>
      <c r="EB19" s="1449"/>
      <c r="ED19" s="1359">
        <v>12420</v>
      </c>
      <c r="EE19" s="3501">
        <f>ED19-BM19</f>
        <v>12420</v>
      </c>
      <c r="EF19" s="3260" t="s">
        <v>2094</v>
      </c>
    </row>
    <row r="20" spans="1:136" s="1411" customFormat="1" ht="13.95" customHeight="1" x14ac:dyDescent="0.25">
      <c r="A20" s="1586"/>
      <c r="B20" s="3451" t="s">
        <v>57</v>
      </c>
      <c r="C20" s="3531"/>
      <c r="D20" s="3532"/>
      <c r="E20" s="1074">
        <f t="shared" si="22"/>
        <v>0</v>
      </c>
      <c r="F20" s="3284">
        <f t="shared" si="0"/>
        <v>0</v>
      </c>
      <c r="G20" s="3237"/>
      <c r="H20" s="3274">
        <v>0</v>
      </c>
      <c r="I20" s="3274">
        <v>0</v>
      </c>
      <c r="J20" s="3283">
        <f t="shared" si="23"/>
        <v>0</v>
      </c>
      <c r="K20" s="3284">
        <f t="shared" si="1"/>
        <v>0</v>
      </c>
      <c r="L20" s="1449"/>
      <c r="M20" s="3497">
        <v>0</v>
      </c>
      <c r="N20" s="3497">
        <v>0</v>
      </c>
      <c r="O20" s="3512">
        <v>0</v>
      </c>
      <c r="P20" s="3523">
        <v>0</v>
      </c>
      <c r="Q20" s="1449"/>
      <c r="R20" s="3497"/>
      <c r="S20" s="3497"/>
      <c r="T20" s="3512">
        <f t="shared" si="5"/>
        <v>0</v>
      </c>
      <c r="U20" s="3523">
        <f t="shared" si="2"/>
        <v>0</v>
      </c>
      <c r="V20" s="3514"/>
      <c r="W20" s="3274"/>
      <c r="X20" s="3274"/>
      <c r="Y20" s="3283">
        <f t="shared" si="24"/>
        <v>0</v>
      </c>
      <c r="Z20" s="3284">
        <f t="shared" si="3"/>
        <v>0</v>
      </c>
      <c r="AA20" s="1449"/>
      <c r="AB20" s="3274"/>
      <c r="AC20" s="3274"/>
      <c r="AD20" s="3283">
        <f t="shared" si="25"/>
        <v>0</v>
      </c>
      <c r="AE20" s="3284">
        <f t="shared" si="6"/>
        <v>0</v>
      </c>
      <c r="AF20" s="3275"/>
      <c r="AG20" s="3274"/>
      <c r="AH20" s="3429"/>
      <c r="AI20" s="3524">
        <f t="shared" si="26"/>
        <v>0</v>
      </c>
      <c r="AJ20" s="3516">
        <f t="shared" si="7"/>
        <v>0</v>
      </c>
      <c r="AK20" s="3536"/>
      <c r="AL20" s="3274"/>
      <c r="AM20" s="3429"/>
      <c r="AN20" s="3524">
        <f t="shared" si="27"/>
        <v>0</v>
      </c>
      <c r="AO20" s="3516">
        <f t="shared" si="28"/>
        <v>0</v>
      </c>
      <c r="AP20" s="3536"/>
      <c r="AQ20" s="3288"/>
      <c r="AR20" s="3288"/>
      <c r="AS20" s="3524">
        <f t="shared" si="29"/>
        <v>0</v>
      </c>
      <c r="AT20" s="3516">
        <f t="shared" si="30"/>
        <v>0</v>
      </c>
      <c r="AU20" s="3275"/>
      <c r="AV20" s="3275"/>
      <c r="AW20" s="1338"/>
      <c r="AX20" s="3524">
        <f t="shared" si="31"/>
        <v>0</v>
      </c>
      <c r="AY20" s="3516">
        <f t="shared" si="32"/>
        <v>0</v>
      </c>
      <c r="AZ20" s="3276" t="s">
        <v>154</v>
      </c>
      <c r="BA20" s="3275"/>
      <c r="BB20" s="3275"/>
      <c r="BC20" s="3524">
        <f t="shared" si="33"/>
        <v>0</v>
      </c>
      <c r="BD20" s="3518">
        <f t="shared" si="34"/>
        <v>0</v>
      </c>
      <c r="BE20" s="3519"/>
      <c r="BF20" s="3274">
        <v>0</v>
      </c>
      <c r="BG20" s="3274">
        <v>0</v>
      </c>
      <c r="BH20" s="3283">
        <v>0</v>
      </c>
      <c r="BI20" s="3284">
        <v>0</v>
      </c>
      <c r="BJ20" s="3276"/>
      <c r="BK20" s="3274">
        <f t="shared" si="8"/>
        <v>0</v>
      </c>
      <c r="BL20" s="3274">
        <f t="shared" si="8"/>
        <v>0</v>
      </c>
      <c r="BM20" s="3283">
        <f t="shared" si="35"/>
        <v>0</v>
      </c>
      <c r="BN20" s="3284">
        <f t="shared" si="9"/>
        <v>0</v>
      </c>
      <c r="BO20" s="3276"/>
      <c r="BP20" s="3275"/>
      <c r="BQ20" s="3275"/>
      <c r="BR20" s="3526">
        <f t="shared" si="36"/>
        <v>0</v>
      </c>
      <c r="BS20" s="3426">
        <f t="shared" si="37"/>
        <v>0</v>
      </c>
      <c r="BT20" s="3519"/>
      <c r="BU20" s="3274"/>
      <c r="BV20" s="3274"/>
      <c r="BW20" s="3283">
        <f t="shared" si="38"/>
        <v>0</v>
      </c>
      <c r="BX20" s="3284">
        <f t="shared" si="10"/>
        <v>0</v>
      </c>
      <c r="BY20" s="1608"/>
      <c r="BZ20" s="3285"/>
      <c r="CA20" s="3285"/>
      <c r="CB20" s="3286">
        <f t="shared" si="39"/>
        <v>0</v>
      </c>
      <c r="CC20" s="3284">
        <f t="shared" si="11"/>
        <v>0</v>
      </c>
      <c r="CD20" s="3276"/>
      <c r="CE20" s="3285"/>
      <c r="CF20" s="3285"/>
      <c r="CG20" s="3286">
        <f t="shared" si="42"/>
        <v>0</v>
      </c>
      <c r="CH20" s="3284">
        <f t="shared" si="12"/>
        <v>0</v>
      </c>
      <c r="CI20" s="3276"/>
      <c r="CJ20" s="3274"/>
      <c r="CK20" s="3274"/>
      <c r="CL20" s="3274">
        <f t="shared" si="43"/>
        <v>0</v>
      </c>
      <c r="CM20" s="3284">
        <f t="shared" si="13"/>
        <v>0</v>
      </c>
      <c r="CN20" s="3276"/>
      <c r="CO20" s="3274"/>
      <c r="CP20" s="3274"/>
      <c r="CQ20" s="3274">
        <f t="shared" si="44"/>
        <v>0</v>
      </c>
      <c r="CR20" s="3284">
        <f t="shared" si="14"/>
        <v>0</v>
      </c>
      <c r="CS20" s="3276"/>
      <c r="CT20" s="3274"/>
      <c r="CU20" s="3274"/>
      <c r="CV20" s="3274">
        <f t="shared" si="45"/>
        <v>0</v>
      </c>
      <c r="CW20" s="3284">
        <f t="shared" si="15"/>
        <v>0</v>
      </c>
      <c r="CX20" s="3276"/>
      <c r="CY20" s="3274"/>
      <c r="CZ20" s="3274"/>
      <c r="DA20" s="3274">
        <f t="shared" si="46"/>
        <v>0</v>
      </c>
      <c r="DB20" s="3284">
        <f t="shared" si="16"/>
        <v>0</v>
      </c>
      <c r="DC20" s="3276"/>
      <c r="DD20" s="3274"/>
      <c r="DE20" s="3274"/>
      <c r="DF20" s="3274">
        <f t="shared" si="47"/>
        <v>0</v>
      </c>
      <c r="DG20" s="3284">
        <f t="shared" si="17"/>
        <v>0</v>
      </c>
      <c r="DH20" s="3276"/>
      <c r="DI20" s="3274"/>
      <c r="DJ20" s="3274"/>
      <c r="DK20" s="3274">
        <f t="shared" si="48"/>
        <v>0</v>
      </c>
      <c r="DL20" s="3284">
        <f t="shared" si="18"/>
        <v>0</v>
      </c>
      <c r="DM20" s="3500"/>
      <c r="DN20" s="3288"/>
      <c r="DO20" s="3274"/>
      <c r="DP20" s="3274">
        <f t="shared" si="49"/>
        <v>0</v>
      </c>
      <c r="DQ20" s="3284">
        <f t="shared" si="19"/>
        <v>0</v>
      </c>
      <c r="DR20" s="3276"/>
      <c r="DS20" s="3288"/>
      <c r="DT20" s="3274"/>
      <c r="DU20" s="3274">
        <f t="shared" si="50"/>
        <v>0</v>
      </c>
      <c r="DV20" s="3284">
        <f t="shared" si="20"/>
        <v>0</v>
      </c>
      <c r="DW20" s="3530"/>
      <c r="DX20" s="3288">
        <f t="shared" si="40"/>
        <v>0</v>
      </c>
      <c r="DY20" s="3288">
        <f t="shared" si="40"/>
        <v>0</v>
      </c>
      <c r="DZ20" s="3283">
        <f t="shared" si="41"/>
        <v>0</v>
      </c>
      <c r="EA20" s="3284" t="e">
        <f t="shared" si="4"/>
        <v>#DIV/0!</v>
      </c>
      <c r="EB20" s="1449"/>
      <c r="ED20" s="3288"/>
      <c r="EE20" s="3288"/>
      <c r="EF20" s="3496"/>
    </row>
    <row r="21" spans="1:136" s="1411" customFormat="1" ht="24" x14ac:dyDescent="0.25">
      <c r="A21" s="1586"/>
      <c r="B21" s="3451" t="s">
        <v>58</v>
      </c>
      <c r="C21" s="3531"/>
      <c r="D21" s="3532">
        <v>5100</v>
      </c>
      <c r="E21" s="1074">
        <f t="shared" si="22"/>
        <v>5100</v>
      </c>
      <c r="F21" s="3284">
        <f t="shared" si="0"/>
        <v>1.9615613456206563E-3</v>
      </c>
      <c r="G21" s="3237"/>
      <c r="H21" s="3274">
        <v>241471.71600000001</v>
      </c>
      <c r="I21" s="3274">
        <v>55800</v>
      </c>
      <c r="J21" s="3283">
        <f t="shared" si="23"/>
        <v>297271.71600000001</v>
      </c>
      <c r="K21" s="3284">
        <f t="shared" si="1"/>
        <v>2.3391716950028448E-2</v>
      </c>
      <c r="L21" s="1449"/>
      <c r="M21" s="3497">
        <v>82257.411999999997</v>
      </c>
      <c r="N21" s="3497">
        <v>8000</v>
      </c>
      <c r="O21" s="3512">
        <v>90257.411999999997</v>
      </c>
      <c r="P21" s="3523">
        <v>4.6830000964818343E-3</v>
      </c>
      <c r="Q21" s="1449"/>
      <c r="R21" s="3497"/>
      <c r="S21" s="3497"/>
      <c r="T21" s="3512">
        <f t="shared" si="5"/>
        <v>0</v>
      </c>
      <c r="U21" s="3523">
        <f t="shared" si="2"/>
        <v>0</v>
      </c>
      <c r="V21" s="3528"/>
      <c r="W21" s="3274"/>
      <c r="X21" s="3274"/>
      <c r="Y21" s="3283">
        <f t="shared" si="24"/>
        <v>0</v>
      </c>
      <c r="Z21" s="3284">
        <f t="shared" si="3"/>
        <v>0</v>
      </c>
      <c r="AA21" s="1596"/>
      <c r="AB21" s="3274"/>
      <c r="AC21" s="3274"/>
      <c r="AD21" s="3283">
        <f t="shared" si="25"/>
        <v>0</v>
      </c>
      <c r="AE21" s="3284">
        <f t="shared" si="6"/>
        <v>0</v>
      </c>
      <c r="AF21" s="3275"/>
      <c r="AG21" s="3274"/>
      <c r="AH21" s="3429"/>
      <c r="AI21" s="3524">
        <f t="shared" si="26"/>
        <v>0</v>
      </c>
      <c r="AJ21" s="3516">
        <f t="shared" si="7"/>
        <v>0</v>
      </c>
      <c r="AK21" s="3537"/>
      <c r="AL21" s="3274">
        <v>23999.96</v>
      </c>
      <c r="AM21" s="3429"/>
      <c r="AN21" s="3524">
        <f t="shared" si="27"/>
        <v>23999.96</v>
      </c>
      <c r="AO21" s="3516">
        <f t="shared" si="28"/>
        <v>5.2807663892000586E-3</v>
      </c>
      <c r="AP21" s="3275" t="s">
        <v>1043</v>
      </c>
      <c r="AQ21" s="3288"/>
      <c r="AR21" s="3288"/>
      <c r="AS21" s="3524">
        <f t="shared" si="29"/>
        <v>0</v>
      </c>
      <c r="AT21" s="3516">
        <f t="shared" si="30"/>
        <v>0</v>
      </c>
      <c r="AU21" s="3275"/>
      <c r="AV21" s="3275">
        <v>40999.839999999997</v>
      </c>
      <c r="AW21" s="1340"/>
      <c r="AX21" s="3524">
        <f t="shared" si="31"/>
        <v>40999.839999999997</v>
      </c>
      <c r="AY21" s="3516">
        <f t="shared" si="32"/>
        <v>6.5023192779324057E-3</v>
      </c>
      <c r="AZ21" s="3276"/>
      <c r="BA21" s="3275">
        <v>72399.850000000006</v>
      </c>
      <c r="BB21" s="3275"/>
      <c r="BC21" s="3524">
        <f t="shared" si="33"/>
        <v>72399.850000000006</v>
      </c>
      <c r="BD21" s="3518">
        <f t="shared" si="34"/>
        <v>1.0677066231149206E-2</v>
      </c>
      <c r="BE21" s="3519" t="s">
        <v>1523</v>
      </c>
      <c r="BF21" s="3274">
        <v>466694.50400000002</v>
      </c>
      <c r="BG21" s="3274">
        <v>6951.21</v>
      </c>
      <c r="BH21" s="3283">
        <v>473645.71400000004</v>
      </c>
      <c r="BI21" s="3284">
        <v>0.36513265926536215</v>
      </c>
      <c r="BJ21" s="3276"/>
      <c r="BK21" s="3274">
        <f t="shared" si="8"/>
        <v>0</v>
      </c>
      <c r="BL21" s="3274">
        <f t="shared" si="8"/>
        <v>0</v>
      </c>
      <c r="BM21" s="3283">
        <f t="shared" si="35"/>
        <v>0</v>
      </c>
      <c r="BN21" s="3284">
        <f t="shared" si="9"/>
        <v>0</v>
      </c>
      <c r="BO21" s="3276"/>
      <c r="BP21" s="3275"/>
      <c r="BQ21" s="3275"/>
      <c r="BR21" s="3526">
        <f t="shared" si="36"/>
        <v>0</v>
      </c>
      <c r="BS21" s="3426">
        <f t="shared" si="37"/>
        <v>0</v>
      </c>
      <c r="BT21" s="3519"/>
      <c r="BU21" s="3274"/>
      <c r="BV21" s="3274"/>
      <c r="BW21" s="3283">
        <f t="shared" si="38"/>
        <v>0</v>
      </c>
      <c r="BX21" s="3284">
        <f t="shared" si="10"/>
        <v>0</v>
      </c>
      <c r="BY21" s="2133"/>
      <c r="BZ21" s="3285"/>
      <c r="CA21" s="3285"/>
      <c r="CB21" s="3286">
        <f t="shared" si="39"/>
        <v>0</v>
      </c>
      <c r="CC21" s="3284">
        <f t="shared" si="11"/>
        <v>0</v>
      </c>
      <c r="CD21" s="3276"/>
      <c r="CE21" s="3285"/>
      <c r="CF21" s="3285"/>
      <c r="CG21" s="3286">
        <f t="shared" si="42"/>
        <v>0</v>
      </c>
      <c r="CH21" s="3284">
        <f t="shared" si="12"/>
        <v>0</v>
      </c>
      <c r="CI21" s="3276"/>
      <c r="CJ21" s="3274"/>
      <c r="CK21" s="3274"/>
      <c r="CL21" s="3274">
        <f t="shared" si="43"/>
        <v>0</v>
      </c>
      <c r="CM21" s="3284">
        <f t="shared" si="13"/>
        <v>0</v>
      </c>
      <c r="CN21" s="3276"/>
      <c r="CO21" s="3274"/>
      <c r="CP21" s="3274"/>
      <c r="CQ21" s="3274">
        <f t="shared" si="44"/>
        <v>0</v>
      </c>
      <c r="CR21" s="3284">
        <f t="shared" si="14"/>
        <v>0</v>
      </c>
      <c r="CS21" s="3276"/>
      <c r="CT21" s="3274"/>
      <c r="CU21" s="3274"/>
      <c r="CV21" s="3274">
        <f t="shared" si="45"/>
        <v>0</v>
      </c>
      <c r="CW21" s="3284">
        <f t="shared" si="15"/>
        <v>0</v>
      </c>
      <c r="CX21" s="3276"/>
      <c r="CY21" s="3274"/>
      <c r="CZ21" s="3274"/>
      <c r="DA21" s="3274">
        <f t="shared" si="46"/>
        <v>0</v>
      </c>
      <c r="DB21" s="3284">
        <f t="shared" si="16"/>
        <v>0</v>
      </c>
      <c r="DC21" s="3276"/>
      <c r="DD21" s="3274"/>
      <c r="DE21" s="3274"/>
      <c r="DF21" s="3274">
        <f t="shared" si="47"/>
        <v>0</v>
      </c>
      <c r="DG21" s="3284">
        <f t="shared" si="17"/>
        <v>0</v>
      </c>
      <c r="DH21" s="3276"/>
      <c r="DI21" s="3274"/>
      <c r="DJ21" s="3274"/>
      <c r="DK21" s="3274">
        <f t="shared" si="48"/>
        <v>0</v>
      </c>
      <c r="DL21" s="3284">
        <f t="shared" si="18"/>
        <v>0</v>
      </c>
      <c r="DM21" s="3500"/>
      <c r="DN21" s="3288"/>
      <c r="DO21" s="3274"/>
      <c r="DP21" s="3274">
        <f t="shared" si="49"/>
        <v>0</v>
      </c>
      <c r="DQ21" s="3284">
        <f t="shared" si="19"/>
        <v>0</v>
      </c>
      <c r="DR21" s="3276"/>
      <c r="DS21" s="3288"/>
      <c r="DT21" s="3274"/>
      <c r="DU21" s="3274">
        <f t="shared" si="50"/>
        <v>0</v>
      </c>
      <c r="DV21" s="3284">
        <f t="shared" si="20"/>
        <v>0</v>
      </c>
      <c r="DW21" s="3530"/>
      <c r="DX21" s="3288">
        <f t="shared" si="40"/>
        <v>604094.15399999998</v>
      </c>
      <c r="DY21" s="3288">
        <f t="shared" si="40"/>
        <v>6951.21</v>
      </c>
      <c r="DZ21" s="3283">
        <f t="shared" si="41"/>
        <v>611045.36399999994</v>
      </c>
      <c r="EA21" s="3284" t="e">
        <f t="shared" si="4"/>
        <v>#DIV/0!</v>
      </c>
      <c r="EB21" s="1449"/>
      <c r="ED21" s="1359">
        <v>278911.44</v>
      </c>
      <c r="EE21" s="3501">
        <f>ED21-BM21</f>
        <v>278911.44</v>
      </c>
      <c r="EF21" s="3260" t="str">
        <f>{"Топливо + ГСМ (топливо) + Запчасти",0,0}</f>
        <v>Топливо + ГСМ (топливо) + Запчасти</v>
      </c>
    </row>
    <row r="22" spans="1:136" s="1411" customFormat="1" ht="27.6" x14ac:dyDescent="0.25">
      <c r="A22" s="1586"/>
      <c r="B22" s="3451" t="s">
        <v>621</v>
      </c>
      <c r="C22" s="3531"/>
      <c r="D22" s="3532"/>
      <c r="E22" s="1074"/>
      <c r="F22" s="3284"/>
      <c r="G22" s="3237"/>
      <c r="H22" s="3274"/>
      <c r="I22" s="3274"/>
      <c r="J22" s="3283"/>
      <c r="K22" s="3284"/>
      <c r="L22" s="1449"/>
      <c r="M22" s="3497">
        <v>0</v>
      </c>
      <c r="N22" s="3497">
        <v>8200</v>
      </c>
      <c r="O22" s="3512">
        <v>8200</v>
      </c>
      <c r="P22" s="3523">
        <v>4.254564798639589E-4</v>
      </c>
      <c r="Q22" s="1449"/>
      <c r="R22" s="3497"/>
      <c r="S22" s="3497">
        <v>1800</v>
      </c>
      <c r="T22" s="3512">
        <f t="shared" si="5"/>
        <v>1800</v>
      </c>
      <c r="U22" s="3523"/>
      <c r="V22" s="3528" t="s">
        <v>991</v>
      </c>
      <c r="W22" s="3274">
        <f>4833.32*1.2</f>
        <v>5799.9839999999995</v>
      </c>
      <c r="X22" s="3274">
        <v>3000</v>
      </c>
      <c r="Y22" s="3283">
        <f t="shared" si="24"/>
        <v>8799.9840000000004</v>
      </c>
      <c r="Z22" s="3284">
        <f t="shared" si="3"/>
        <v>3.8928147601538063E-3</v>
      </c>
      <c r="AA22" s="1596" t="s">
        <v>1049</v>
      </c>
      <c r="AB22" s="3274">
        <v>6500</v>
      </c>
      <c r="AC22" s="3274"/>
      <c r="AD22" s="3283">
        <f t="shared" si="25"/>
        <v>6500</v>
      </c>
      <c r="AE22" s="3284">
        <f t="shared" si="6"/>
        <v>7.7552097371714349E-3</v>
      </c>
      <c r="AF22" s="3275" t="s">
        <v>1088</v>
      </c>
      <c r="AG22" s="3274"/>
      <c r="AH22" s="3429"/>
      <c r="AI22" s="3524">
        <f t="shared" si="26"/>
        <v>0</v>
      </c>
      <c r="AJ22" s="3516">
        <f t="shared" si="7"/>
        <v>0</v>
      </c>
      <c r="AK22" s="3537"/>
      <c r="AL22" s="3274"/>
      <c r="AM22" s="3429"/>
      <c r="AN22" s="3524">
        <f t="shared" si="27"/>
        <v>0</v>
      </c>
      <c r="AO22" s="3516">
        <f t="shared" si="28"/>
        <v>0</v>
      </c>
      <c r="AP22" s="3537"/>
      <c r="AQ22" s="3288">
        <f>47999.82+6200.02</f>
        <v>54199.839999999997</v>
      </c>
      <c r="AR22" s="3288"/>
      <c r="AS22" s="3524">
        <f t="shared" si="29"/>
        <v>54199.839999999997</v>
      </c>
      <c r="AT22" s="3516">
        <f t="shared" si="30"/>
        <v>8.5957570686337297E-3</v>
      </c>
      <c r="AU22" s="3275" t="s">
        <v>1349</v>
      </c>
      <c r="AV22" s="1340"/>
      <c r="AW22" s="1340"/>
      <c r="AX22" s="3524">
        <f t="shared" si="31"/>
        <v>0</v>
      </c>
      <c r="AY22" s="3516">
        <f t="shared" si="32"/>
        <v>0</v>
      </c>
      <c r="AZ22" s="3276"/>
      <c r="BA22" s="3275"/>
      <c r="BB22" s="3275"/>
      <c r="BC22" s="3524">
        <f t="shared" si="33"/>
        <v>0</v>
      </c>
      <c r="BD22" s="3518">
        <f t="shared" si="34"/>
        <v>0</v>
      </c>
      <c r="BE22" s="3519"/>
      <c r="BF22" s="3274">
        <v>0</v>
      </c>
      <c r="BG22" s="3274">
        <v>0</v>
      </c>
      <c r="BH22" s="3283"/>
      <c r="BI22" s="3284">
        <v>0</v>
      </c>
      <c r="BJ22" s="3276"/>
      <c r="BK22" s="3274">
        <f t="shared" si="8"/>
        <v>0</v>
      </c>
      <c r="BL22" s="3274">
        <f t="shared" si="8"/>
        <v>0</v>
      </c>
      <c r="BM22" s="3283"/>
      <c r="BN22" s="3284">
        <f t="shared" si="9"/>
        <v>0</v>
      </c>
      <c r="BO22" s="3276"/>
      <c r="BP22" s="3275"/>
      <c r="BQ22" s="3275"/>
      <c r="BR22" s="3526">
        <f t="shared" si="36"/>
        <v>0</v>
      </c>
      <c r="BS22" s="3426">
        <f t="shared" si="37"/>
        <v>0</v>
      </c>
      <c r="BT22" s="3519"/>
      <c r="BU22" s="3274"/>
      <c r="BV22" s="3274"/>
      <c r="BW22" s="3283">
        <f t="shared" si="38"/>
        <v>0</v>
      </c>
      <c r="BX22" s="3284">
        <f t="shared" si="10"/>
        <v>0</v>
      </c>
      <c r="BY22" s="1608"/>
      <c r="BZ22" s="3285"/>
      <c r="CA22" s="3285"/>
      <c r="CB22" s="3286">
        <f t="shared" si="39"/>
        <v>0</v>
      </c>
      <c r="CC22" s="3284">
        <f t="shared" si="11"/>
        <v>0</v>
      </c>
      <c r="CD22" s="3276"/>
      <c r="CE22" s="3285"/>
      <c r="CF22" s="3285"/>
      <c r="CG22" s="3286">
        <f t="shared" si="42"/>
        <v>0</v>
      </c>
      <c r="CH22" s="3284">
        <f t="shared" si="12"/>
        <v>0</v>
      </c>
      <c r="CI22" s="3276"/>
      <c r="CJ22" s="3274"/>
      <c r="CK22" s="3274"/>
      <c r="CL22" s="3274">
        <f t="shared" si="43"/>
        <v>0</v>
      </c>
      <c r="CM22" s="3284">
        <f t="shared" si="13"/>
        <v>0</v>
      </c>
      <c r="CN22" s="3276"/>
      <c r="CO22" s="3274"/>
      <c r="CP22" s="3274"/>
      <c r="CQ22" s="3274">
        <f t="shared" si="44"/>
        <v>0</v>
      </c>
      <c r="CR22" s="3284">
        <f t="shared" si="14"/>
        <v>0</v>
      </c>
      <c r="CS22" s="3276"/>
      <c r="CT22" s="3274"/>
      <c r="CU22" s="3274"/>
      <c r="CV22" s="3274">
        <f t="shared" si="45"/>
        <v>0</v>
      </c>
      <c r="CW22" s="3284">
        <f t="shared" si="15"/>
        <v>0</v>
      </c>
      <c r="CX22" s="3276"/>
      <c r="CY22" s="3274"/>
      <c r="CZ22" s="3274"/>
      <c r="DA22" s="3274">
        <f t="shared" si="46"/>
        <v>0</v>
      </c>
      <c r="DB22" s="3284">
        <f t="shared" si="16"/>
        <v>0</v>
      </c>
      <c r="DC22" s="3276"/>
      <c r="DD22" s="3274"/>
      <c r="DE22" s="3274"/>
      <c r="DF22" s="3274">
        <f t="shared" si="47"/>
        <v>0</v>
      </c>
      <c r="DG22" s="3284">
        <f t="shared" si="17"/>
        <v>0</v>
      </c>
      <c r="DH22" s="3276"/>
      <c r="DI22" s="3274"/>
      <c r="DJ22" s="3274"/>
      <c r="DK22" s="3274">
        <f t="shared" si="48"/>
        <v>0</v>
      </c>
      <c r="DL22" s="3284">
        <f t="shared" si="18"/>
        <v>0</v>
      </c>
      <c r="DM22" s="3500"/>
      <c r="DN22" s="3288"/>
      <c r="DO22" s="3274"/>
      <c r="DP22" s="3274">
        <f t="shared" si="49"/>
        <v>0</v>
      </c>
      <c r="DQ22" s="3284">
        <f t="shared" si="19"/>
        <v>0</v>
      </c>
      <c r="DR22" s="3276"/>
      <c r="DS22" s="3288"/>
      <c r="DT22" s="3274"/>
      <c r="DU22" s="3274">
        <f t="shared" si="50"/>
        <v>0</v>
      </c>
      <c r="DV22" s="3284">
        <f t="shared" si="20"/>
        <v>0</v>
      </c>
      <c r="DW22" s="3530"/>
      <c r="DX22" s="3288">
        <f t="shared" si="40"/>
        <v>66499.823999999993</v>
      </c>
      <c r="DY22" s="3288">
        <f t="shared" si="40"/>
        <v>4800</v>
      </c>
      <c r="DZ22" s="3283">
        <f t="shared" si="41"/>
        <v>71299.823999999993</v>
      </c>
      <c r="EA22" s="3284" t="e">
        <f t="shared" si="4"/>
        <v>#DIV/0!</v>
      </c>
      <c r="EB22" s="1449"/>
      <c r="ED22" s="3288"/>
      <c r="EE22" s="3501">
        <f>ED22-BM22</f>
        <v>0</v>
      </c>
      <c r="EF22" s="3496"/>
    </row>
    <row r="23" spans="1:136" s="1411" customFormat="1" ht="13.8" x14ac:dyDescent="0.25">
      <c r="A23" s="1586"/>
      <c r="B23" s="3451" t="s">
        <v>630</v>
      </c>
      <c r="C23" s="3531"/>
      <c r="D23" s="3532"/>
      <c r="E23" s="1074"/>
      <c r="F23" s="3284"/>
      <c r="G23" s="3237"/>
      <c r="H23" s="3274"/>
      <c r="I23" s="3274"/>
      <c r="J23" s="3283"/>
      <c r="K23" s="3284"/>
      <c r="L23" s="1449"/>
      <c r="M23" s="3497">
        <v>0</v>
      </c>
      <c r="N23" s="3497">
        <v>0</v>
      </c>
      <c r="O23" s="3512">
        <v>0</v>
      </c>
      <c r="P23" s="3523">
        <v>0</v>
      </c>
      <c r="Q23" s="1449"/>
      <c r="R23" s="3497"/>
      <c r="S23" s="3497"/>
      <c r="T23" s="3512">
        <f t="shared" si="5"/>
        <v>0</v>
      </c>
      <c r="U23" s="3523"/>
      <c r="V23" s="3528"/>
      <c r="W23" s="3274"/>
      <c r="X23" s="3274"/>
      <c r="Y23" s="3283">
        <f t="shared" si="24"/>
        <v>0</v>
      </c>
      <c r="Z23" s="3284"/>
      <c r="AA23" s="1596"/>
      <c r="AB23" s="3274"/>
      <c r="AC23" s="3274"/>
      <c r="AD23" s="3283">
        <f t="shared" si="25"/>
        <v>0</v>
      </c>
      <c r="AE23" s="3284">
        <f t="shared" si="6"/>
        <v>0</v>
      </c>
      <c r="AF23" s="3275"/>
      <c r="AG23" s="3274"/>
      <c r="AH23" s="3429"/>
      <c r="AI23" s="3524">
        <f t="shared" si="26"/>
        <v>0</v>
      </c>
      <c r="AJ23" s="3516">
        <f t="shared" si="7"/>
        <v>0</v>
      </c>
      <c r="AK23" s="3537"/>
      <c r="AL23" s="3274"/>
      <c r="AM23" s="3429"/>
      <c r="AN23" s="3524">
        <f t="shared" si="27"/>
        <v>0</v>
      </c>
      <c r="AO23" s="3516">
        <f t="shared" si="28"/>
        <v>0</v>
      </c>
      <c r="AP23" s="3537"/>
      <c r="AQ23" s="3288"/>
      <c r="AR23" s="3288"/>
      <c r="AS23" s="3524">
        <f t="shared" si="29"/>
        <v>0</v>
      </c>
      <c r="AT23" s="3516">
        <f t="shared" si="30"/>
        <v>0</v>
      </c>
      <c r="AU23" s="3275"/>
      <c r="AV23" s="1340"/>
      <c r="AW23" s="1340"/>
      <c r="AX23" s="3524">
        <f t="shared" si="31"/>
        <v>0</v>
      </c>
      <c r="AY23" s="3516">
        <f t="shared" si="32"/>
        <v>0</v>
      </c>
      <c r="AZ23" s="3276"/>
      <c r="BA23" s="3275"/>
      <c r="BB23" s="3275"/>
      <c r="BC23" s="3524">
        <f t="shared" si="33"/>
        <v>0</v>
      </c>
      <c r="BD23" s="3518">
        <f t="shared" si="34"/>
        <v>0</v>
      </c>
      <c r="BE23" s="3519"/>
      <c r="BF23" s="3274">
        <v>0</v>
      </c>
      <c r="BG23" s="3274">
        <v>0</v>
      </c>
      <c r="BH23" s="3283"/>
      <c r="BI23" s="3284">
        <v>0</v>
      </c>
      <c r="BJ23" s="3276"/>
      <c r="BK23" s="3274">
        <f t="shared" si="8"/>
        <v>0</v>
      </c>
      <c r="BL23" s="3274">
        <f t="shared" si="8"/>
        <v>0</v>
      </c>
      <c r="BM23" s="3283"/>
      <c r="BN23" s="3284">
        <f t="shared" si="9"/>
        <v>0</v>
      </c>
      <c r="BO23" s="3276"/>
      <c r="BP23" s="3275"/>
      <c r="BQ23" s="3275"/>
      <c r="BR23" s="3526">
        <f t="shared" si="36"/>
        <v>0</v>
      </c>
      <c r="BS23" s="3426">
        <f t="shared" si="37"/>
        <v>0</v>
      </c>
      <c r="BT23" s="3519"/>
      <c r="BU23" s="3274"/>
      <c r="BV23" s="3274"/>
      <c r="BW23" s="3283">
        <f t="shared" si="38"/>
        <v>0</v>
      </c>
      <c r="BX23" s="3284">
        <f t="shared" si="10"/>
        <v>0</v>
      </c>
      <c r="BY23" s="3276"/>
      <c r="BZ23" s="3285"/>
      <c r="CA23" s="3285"/>
      <c r="CB23" s="3286">
        <f t="shared" si="39"/>
        <v>0</v>
      </c>
      <c r="CC23" s="3284">
        <f t="shared" si="11"/>
        <v>0</v>
      </c>
      <c r="CD23" s="3276"/>
      <c r="CE23" s="3285"/>
      <c r="CF23" s="3285"/>
      <c r="CG23" s="3286">
        <f t="shared" si="42"/>
        <v>0</v>
      </c>
      <c r="CH23" s="3284">
        <f t="shared" si="12"/>
        <v>0</v>
      </c>
      <c r="CI23" s="3276"/>
      <c r="CJ23" s="3274"/>
      <c r="CK23" s="3274"/>
      <c r="CL23" s="3274">
        <f t="shared" si="43"/>
        <v>0</v>
      </c>
      <c r="CM23" s="3284">
        <f t="shared" si="13"/>
        <v>0</v>
      </c>
      <c r="CN23" s="3276"/>
      <c r="CO23" s="3274"/>
      <c r="CP23" s="3274"/>
      <c r="CQ23" s="3274">
        <f t="shared" si="44"/>
        <v>0</v>
      </c>
      <c r="CR23" s="3284">
        <f t="shared" si="14"/>
        <v>0</v>
      </c>
      <c r="CS23" s="3276"/>
      <c r="CT23" s="3274"/>
      <c r="CU23" s="3274"/>
      <c r="CV23" s="3274">
        <f t="shared" si="45"/>
        <v>0</v>
      </c>
      <c r="CW23" s="3284">
        <f t="shared" si="15"/>
        <v>0</v>
      </c>
      <c r="CX23" s="3276"/>
      <c r="CY23" s="3274"/>
      <c r="CZ23" s="3274"/>
      <c r="DA23" s="3274">
        <f t="shared" si="46"/>
        <v>0</v>
      </c>
      <c r="DB23" s="3284">
        <f t="shared" si="16"/>
        <v>0</v>
      </c>
      <c r="DC23" s="3276"/>
      <c r="DD23" s="3274"/>
      <c r="DE23" s="3274"/>
      <c r="DF23" s="3274">
        <f t="shared" si="47"/>
        <v>0</v>
      </c>
      <c r="DG23" s="3284">
        <f t="shared" si="17"/>
        <v>0</v>
      </c>
      <c r="DH23" s="3276"/>
      <c r="DI23" s="3274"/>
      <c r="DJ23" s="3274"/>
      <c r="DK23" s="3274">
        <f t="shared" si="48"/>
        <v>0</v>
      </c>
      <c r="DL23" s="3284">
        <f t="shared" si="18"/>
        <v>0</v>
      </c>
      <c r="DM23" s="3500"/>
      <c r="DN23" s="3288"/>
      <c r="DO23" s="3274"/>
      <c r="DP23" s="3274">
        <f t="shared" si="49"/>
        <v>0</v>
      </c>
      <c r="DQ23" s="3284">
        <f t="shared" si="19"/>
        <v>0</v>
      </c>
      <c r="DR23" s="3276"/>
      <c r="DS23" s="3288"/>
      <c r="DT23" s="3274"/>
      <c r="DU23" s="3274">
        <f t="shared" si="50"/>
        <v>0</v>
      </c>
      <c r="DV23" s="3284">
        <f t="shared" si="20"/>
        <v>0</v>
      </c>
      <c r="DW23" s="3276"/>
      <c r="DX23" s="3288">
        <f t="shared" si="40"/>
        <v>0</v>
      </c>
      <c r="DY23" s="3288">
        <f t="shared" si="40"/>
        <v>0</v>
      </c>
      <c r="DZ23" s="3283">
        <f t="shared" si="41"/>
        <v>0</v>
      </c>
      <c r="EA23" s="3284" t="e">
        <f t="shared" si="4"/>
        <v>#DIV/0!</v>
      </c>
      <c r="EB23" s="1449"/>
      <c r="ED23" s="3288"/>
      <c r="EE23" s="3288"/>
      <c r="EF23" s="3496"/>
    </row>
    <row r="24" spans="1:136" s="1411" customFormat="1" ht="88.95" customHeight="1" x14ac:dyDescent="0.25">
      <c r="A24" s="3510"/>
      <c r="B24" s="3451" t="s">
        <v>23</v>
      </c>
      <c r="C24" s="3531">
        <v>15500</v>
      </c>
      <c r="D24" s="3532">
        <v>100</v>
      </c>
      <c r="E24" s="1074">
        <f t="shared" si="22"/>
        <v>15600</v>
      </c>
      <c r="F24" s="3284">
        <f t="shared" ref="F24:F74" si="51">E24/$E$89</f>
        <v>6.0000699983690665E-3</v>
      </c>
      <c r="G24" s="3237"/>
      <c r="H24" s="3274">
        <v>319600.04399999999</v>
      </c>
      <c r="I24" s="3274">
        <v>450</v>
      </c>
      <c r="J24" s="3283">
        <f t="shared" si="23"/>
        <v>320050.04399999999</v>
      </c>
      <c r="K24" s="3284">
        <f t="shared" ref="K24:K33" si="52">J24/$J$89</f>
        <v>2.5184098036061225E-2</v>
      </c>
      <c r="L24" s="1449"/>
      <c r="M24" s="3497">
        <v>78458.973999999987</v>
      </c>
      <c r="N24" s="3497">
        <v>0</v>
      </c>
      <c r="O24" s="3512">
        <v>78458.973999999987</v>
      </c>
      <c r="P24" s="3523">
        <v>4.0708388892412035E-3</v>
      </c>
      <c r="Q24" s="1449"/>
      <c r="R24" s="3497"/>
      <c r="S24" s="3497"/>
      <c r="T24" s="3512">
        <f t="shared" si="5"/>
        <v>0</v>
      </c>
      <c r="U24" s="3523">
        <f t="shared" ref="U24:U33" si="53">T24/$T$89</f>
        <v>0</v>
      </c>
      <c r="V24" s="3514"/>
      <c r="W24" s="3274">
        <f>10083.34*1.2</f>
        <v>12100.008</v>
      </c>
      <c r="X24" s="3274">
        <v>800</v>
      </c>
      <c r="Y24" s="3283">
        <f t="shared" si="24"/>
        <v>12900.008</v>
      </c>
      <c r="Z24" s="3284">
        <f t="shared" ref="Z24:Z31" si="54">Y24/$Y$89</f>
        <v>5.7065264605597214E-3</v>
      </c>
      <c r="AA24" s="1596" t="s">
        <v>1031</v>
      </c>
      <c r="AB24" s="3274">
        <f>11000</f>
        <v>11000</v>
      </c>
      <c r="AC24" s="3274"/>
      <c r="AD24" s="3283">
        <f t="shared" si="25"/>
        <v>11000</v>
      </c>
      <c r="AE24" s="3284">
        <f t="shared" si="6"/>
        <v>1.3124201093674735E-2</v>
      </c>
      <c r="AF24" s="3275" t="s">
        <v>1093</v>
      </c>
      <c r="AG24" s="3274">
        <f>8000+5000</f>
        <v>13000</v>
      </c>
      <c r="AH24" s="3429"/>
      <c r="AI24" s="3524">
        <f t="shared" si="26"/>
        <v>13000</v>
      </c>
      <c r="AJ24" s="3516">
        <f t="shared" si="7"/>
        <v>1.2018271527324631E-2</v>
      </c>
      <c r="AK24" s="3360" t="s">
        <v>1210</v>
      </c>
      <c r="AL24" s="3274">
        <v>51000</v>
      </c>
      <c r="AM24" s="3429"/>
      <c r="AN24" s="3524">
        <f t="shared" si="27"/>
        <v>51000</v>
      </c>
      <c r="AO24" s="3516">
        <f t="shared" si="28"/>
        <v>1.1221647279795591E-2</v>
      </c>
      <c r="AP24" s="3275" t="s">
        <v>1294</v>
      </c>
      <c r="AQ24" s="3288">
        <v>102800</v>
      </c>
      <c r="AR24" s="3288"/>
      <c r="AS24" s="3524">
        <f t="shared" si="29"/>
        <v>102800</v>
      </c>
      <c r="AT24" s="3516">
        <f t="shared" si="30"/>
        <v>1.6303439763946673E-2</v>
      </c>
      <c r="AU24" s="3275" t="s">
        <v>1348</v>
      </c>
      <c r="AV24" s="3275">
        <v>137600</v>
      </c>
      <c r="AW24" s="1340"/>
      <c r="AX24" s="3524">
        <f t="shared" si="31"/>
        <v>137600</v>
      </c>
      <c r="AY24" s="3516">
        <f t="shared" si="32"/>
        <v>2.1822503030341073E-2</v>
      </c>
      <c r="AZ24" s="3276"/>
      <c r="BA24" s="3275"/>
      <c r="BB24" s="3275"/>
      <c r="BC24" s="3524">
        <f t="shared" si="33"/>
        <v>0</v>
      </c>
      <c r="BD24" s="3518">
        <f t="shared" si="34"/>
        <v>0</v>
      </c>
      <c r="BE24" s="3519"/>
      <c r="BF24" s="3274">
        <v>1132507.2</v>
      </c>
      <c r="BG24" s="3274">
        <v>0</v>
      </c>
      <c r="BH24" s="3283">
        <v>1132507.2</v>
      </c>
      <c r="BI24" s="3284">
        <v>0.87304783586233248</v>
      </c>
      <c r="BJ24" s="3276"/>
      <c r="BK24" s="3274">
        <f t="shared" si="8"/>
        <v>0</v>
      </c>
      <c r="BL24" s="3274">
        <f t="shared" si="8"/>
        <v>0</v>
      </c>
      <c r="BM24" s="3283">
        <f t="shared" ref="BM24:BM33" si="55">BK24+BL24*1</f>
        <v>0</v>
      </c>
      <c r="BN24" s="3284">
        <f t="shared" si="9"/>
        <v>0</v>
      </c>
      <c r="BO24" s="3276"/>
      <c r="BP24" s="3275"/>
      <c r="BQ24" s="3275"/>
      <c r="BR24" s="3526">
        <f t="shared" si="36"/>
        <v>0</v>
      </c>
      <c r="BS24" s="3426">
        <f t="shared" si="37"/>
        <v>0</v>
      </c>
      <c r="BT24" s="3519"/>
      <c r="BU24" s="3274"/>
      <c r="BV24" s="3274"/>
      <c r="BW24" s="3283">
        <f t="shared" si="38"/>
        <v>0</v>
      </c>
      <c r="BX24" s="3284">
        <f t="shared" si="10"/>
        <v>0</v>
      </c>
      <c r="BY24" s="3276"/>
      <c r="BZ24" s="3285"/>
      <c r="CA24" s="3285"/>
      <c r="CB24" s="3286">
        <f t="shared" si="39"/>
        <v>0</v>
      </c>
      <c r="CC24" s="3284">
        <f t="shared" si="11"/>
        <v>0</v>
      </c>
      <c r="CD24" s="3276"/>
      <c r="CE24" s="3285"/>
      <c r="CF24" s="3285"/>
      <c r="CG24" s="3286">
        <f t="shared" si="42"/>
        <v>0</v>
      </c>
      <c r="CH24" s="3284">
        <f t="shared" si="12"/>
        <v>0</v>
      </c>
      <c r="CI24" s="3276"/>
      <c r="CJ24" s="3274"/>
      <c r="CK24" s="3274"/>
      <c r="CL24" s="3274">
        <f t="shared" si="43"/>
        <v>0</v>
      </c>
      <c r="CM24" s="3284">
        <f t="shared" si="13"/>
        <v>0</v>
      </c>
      <c r="CN24" s="3276"/>
      <c r="CO24" s="3274"/>
      <c r="CP24" s="3274"/>
      <c r="CQ24" s="3274">
        <f t="shared" si="44"/>
        <v>0</v>
      </c>
      <c r="CR24" s="3284">
        <f t="shared" si="14"/>
        <v>0</v>
      </c>
      <c r="CS24" s="3276"/>
      <c r="CT24" s="3274"/>
      <c r="CU24" s="3274"/>
      <c r="CV24" s="3274">
        <f t="shared" si="45"/>
        <v>0</v>
      </c>
      <c r="CW24" s="3284">
        <f t="shared" si="15"/>
        <v>0</v>
      </c>
      <c r="CX24" s="3276"/>
      <c r="CY24" s="3274"/>
      <c r="CZ24" s="3274"/>
      <c r="DA24" s="3274">
        <f t="shared" si="46"/>
        <v>0</v>
      </c>
      <c r="DB24" s="3284">
        <f t="shared" si="16"/>
        <v>0</v>
      </c>
      <c r="DC24" s="3276"/>
      <c r="DD24" s="3274"/>
      <c r="DE24" s="3274"/>
      <c r="DF24" s="3274">
        <f t="shared" si="47"/>
        <v>0</v>
      </c>
      <c r="DG24" s="3284">
        <f t="shared" si="17"/>
        <v>0</v>
      </c>
      <c r="DH24" s="3500"/>
      <c r="DI24" s="3417"/>
      <c r="DJ24" s="3274"/>
      <c r="DK24" s="3274">
        <f t="shared" si="48"/>
        <v>0</v>
      </c>
      <c r="DL24" s="3284">
        <f t="shared" si="18"/>
        <v>0</v>
      </c>
      <c r="DM24" s="3500"/>
      <c r="DN24" s="3417"/>
      <c r="DO24" s="3274"/>
      <c r="DP24" s="3274">
        <f t="shared" si="49"/>
        <v>0</v>
      </c>
      <c r="DQ24" s="3284">
        <f t="shared" si="19"/>
        <v>0</v>
      </c>
      <c r="DR24" s="3276"/>
      <c r="DS24" s="3417"/>
      <c r="DT24" s="3274"/>
      <c r="DU24" s="3274">
        <f t="shared" si="50"/>
        <v>0</v>
      </c>
      <c r="DV24" s="3284">
        <f t="shared" si="20"/>
        <v>0</v>
      </c>
      <c r="DW24" s="3276"/>
      <c r="DX24" s="3288">
        <f t="shared" si="40"/>
        <v>1460007.2080000001</v>
      </c>
      <c r="DY24" s="3288">
        <f t="shared" si="40"/>
        <v>800</v>
      </c>
      <c r="DZ24" s="3283">
        <f t="shared" si="41"/>
        <v>1460807.2080000001</v>
      </c>
      <c r="EA24" s="3284" t="e">
        <f t="shared" si="4"/>
        <v>#DIV/0!</v>
      </c>
      <c r="EB24" s="1449"/>
      <c r="ED24" s="1359">
        <v>1530449.69</v>
      </c>
      <c r="EE24" s="3501">
        <f>ED24-BM24</f>
        <v>1530449.69</v>
      </c>
      <c r="EF24" s="3259" t="s">
        <v>2110</v>
      </c>
    </row>
    <row r="25" spans="1:136" s="1411" customFormat="1" ht="39.6" customHeight="1" x14ac:dyDescent="0.25">
      <c r="A25" s="1586"/>
      <c r="B25" s="3451" t="s">
        <v>24</v>
      </c>
      <c r="C25" s="3531">
        <f>398605.74+42507</f>
        <v>441112.74</v>
      </c>
      <c r="D25" s="3532">
        <v>7543</v>
      </c>
      <c r="E25" s="1074">
        <f t="shared" si="22"/>
        <v>448655.74</v>
      </c>
      <c r="F25" s="3284">
        <f t="shared" si="51"/>
        <v>0.1725619131519277</v>
      </c>
      <c r="G25" s="3237" t="s">
        <v>173</v>
      </c>
      <c r="H25" s="3274">
        <v>2167667.6555999997</v>
      </c>
      <c r="I25" s="3274">
        <v>22917.45</v>
      </c>
      <c r="J25" s="3283">
        <f t="shared" si="23"/>
        <v>2190585.1055999999</v>
      </c>
      <c r="K25" s="3284">
        <f t="shared" si="52"/>
        <v>0.17237276197895454</v>
      </c>
      <c r="L25" s="1449"/>
      <c r="M25" s="3497">
        <v>577877.69999999995</v>
      </c>
      <c r="N25" s="3497">
        <v>19038.099999999999</v>
      </c>
      <c r="O25" s="3512">
        <v>596915.79999999993</v>
      </c>
      <c r="P25" s="3523">
        <v>3.0970938419899865E-2</v>
      </c>
      <c r="Q25" s="1449"/>
      <c r="R25" s="3497"/>
      <c r="S25" s="3497">
        <v>3712.2</v>
      </c>
      <c r="T25" s="3512">
        <f t="shared" si="5"/>
        <v>3712.2</v>
      </c>
      <c r="U25" s="3523">
        <f t="shared" si="53"/>
        <v>2.86172854025842E-3</v>
      </c>
      <c r="V25" s="3528"/>
      <c r="W25" s="3274"/>
      <c r="X25" s="3274">
        <v>2071</v>
      </c>
      <c r="Y25" s="3283">
        <f t="shared" si="24"/>
        <v>2071</v>
      </c>
      <c r="Z25" s="3284">
        <f t="shared" si="54"/>
        <v>9.1614023028661559E-4</v>
      </c>
      <c r="AA25" s="1409"/>
      <c r="AB25" s="3274"/>
      <c r="AC25" s="3274"/>
      <c r="AD25" s="3283">
        <f t="shared" si="25"/>
        <v>0</v>
      </c>
      <c r="AE25" s="3284">
        <f t="shared" si="6"/>
        <v>0</v>
      </c>
      <c r="AF25" s="3275"/>
      <c r="AG25" s="3274">
        <f>504.61+21517.83</f>
        <v>22022.440000000002</v>
      </c>
      <c r="AH25" s="3429">
        <v>64</v>
      </c>
      <c r="AI25" s="3524">
        <f t="shared" si="26"/>
        <v>22086.440000000002</v>
      </c>
      <c r="AJ25" s="3516">
        <f t="shared" si="7"/>
        <v>2.0418525614766449E-2</v>
      </c>
      <c r="AK25" s="3360" t="s">
        <v>1211</v>
      </c>
      <c r="AL25" s="3274">
        <f>107053.82*1.2+2942.38</f>
        <v>131406.96400000001</v>
      </c>
      <c r="AM25" s="3429">
        <v>1691</v>
      </c>
      <c r="AN25" s="3524">
        <f t="shared" si="27"/>
        <v>133097.96400000001</v>
      </c>
      <c r="AO25" s="3516">
        <f>AN25/$AN$89</f>
        <v>2.9285851091508462E-2</v>
      </c>
      <c r="AP25" s="3275" t="s">
        <v>1295</v>
      </c>
      <c r="AQ25" s="3288">
        <v>215859.82</v>
      </c>
      <c r="AR25" s="3288">
        <v>1883.5</v>
      </c>
      <c r="AS25" s="3524">
        <f t="shared" si="29"/>
        <v>217743.32</v>
      </c>
      <c r="AT25" s="3516">
        <f t="shared" si="30"/>
        <v>3.4532734451573587E-2</v>
      </c>
      <c r="AU25" s="3275" t="s">
        <v>1347</v>
      </c>
      <c r="AV25" s="3275"/>
      <c r="AW25" s="1339">
        <v>560</v>
      </c>
      <c r="AX25" s="3524">
        <f t="shared" si="31"/>
        <v>560</v>
      </c>
      <c r="AY25" s="3516">
        <f t="shared" si="32"/>
        <v>8.8812512332783433E-5</v>
      </c>
      <c r="AZ25" s="3276" t="s">
        <v>1441</v>
      </c>
      <c r="BA25" s="3275">
        <v>24126.17</v>
      </c>
      <c r="BB25" s="3275">
        <v>619</v>
      </c>
      <c r="BC25" s="3524">
        <f t="shared" si="33"/>
        <v>24745.17</v>
      </c>
      <c r="BD25" s="3518">
        <f t="shared" si="34"/>
        <v>3.6492592041426383E-3</v>
      </c>
      <c r="BE25" s="3519" t="s">
        <v>1533</v>
      </c>
      <c r="BF25" s="3274">
        <v>551921.03</v>
      </c>
      <c r="BG25" s="3274">
        <v>4067.9000000000005</v>
      </c>
      <c r="BH25" s="3283">
        <v>555988.93000000005</v>
      </c>
      <c r="BI25" s="3284">
        <v>0.42861090163480986</v>
      </c>
      <c r="BJ25" s="3276"/>
      <c r="BK25" s="3274">
        <f t="shared" si="8"/>
        <v>0</v>
      </c>
      <c r="BL25" s="3274">
        <f t="shared" si="8"/>
        <v>0</v>
      </c>
      <c r="BM25" s="3283">
        <f t="shared" si="55"/>
        <v>0</v>
      </c>
      <c r="BN25" s="3284">
        <f t="shared" si="9"/>
        <v>0</v>
      </c>
      <c r="BO25" s="3276"/>
      <c r="BP25" s="3275"/>
      <c r="BQ25" s="3275"/>
      <c r="BR25" s="3526">
        <f t="shared" si="36"/>
        <v>0</v>
      </c>
      <c r="BS25" s="3426">
        <f t="shared" si="37"/>
        <v>0</v>
      </c>
      <c r="BT25" s="3519"/>
      <c r="BU25" s="3274"/>
      <c r="BV25" s="3274"/>
      <c r="BW25" s="3283">
        <f t="shared" si="38"/>
        <v>0</v>
      </c>
      <c r="BX25" s="3284">
        <f t="shared" si="10"/>
        <v>0</v>
      </c>
      <c r="BY25" s="3534"/>
      <c r="BZ25" s="3285"/>
      <c r="CA25" s="3285"/>
      <c r="CB25" s="3286">
        <f t="shared" si="39"/>
        <v>0</v>
      </c>
      <c r="CC25" s="3284">
        <f t="shared" si="11"/>
        <v>0</v>
      </c>
      <c r="CD25" s="3276"/>
      <c r="CE25" s="3285"/>
      <c r="CF25" s="3285"/>
      <c r="CG25" s="3286">
        <f t="shared" si="42"/>
        <v>0</v>
      </c>
      <c r="CH25" s="3284">
        <f t="shared" si="12"/>
        <v>0</v>
      </c>
      <c r="CI25" s="3276"/>
      <c r="CJ25" s="3274"/>
      <c r="CK25" s="3274"/>
      <c r="CL25" s="3274">
        <f t="shared" si="43"/>
        <v>0</v>
      </c>
      <c r="CM25" s="3284">
        <f t="shared" si="13"/>
        <v>0</v>
      </c>
      <c r="CN25" s="3276"/>
      <c r="CO25" s="3274"/>
      <c r="CP25" s="3274"/>
      <c r="CQ25" s="3274">
        <f t="shared" si="44"/>
        <v>0</v>
      </c>
      <c r="CR25" s="3284">
        <f t="shared" si="14"/>
        <v>0</v>
      </c>
      <c r="CS25" s="3276"/>
      <c r="CT25" s="3274"/>
      <c r="CU25" s="3274"/>
      <c r="CV25" s="3274">
        <f t="shared" si="45"/>
        <v>0</v>
      </c>
      <c r="CW25" s="3284">
        <f t="shared" si="15"/>
        <v>0</v>
      </c>
      <c r="CX25" s="3276"/>
      <c r="CY25" s="3274"/>
      <c r="CZ25" s="3274"/>
      <c r="DA25" s="3274">
        <f t="shared" si="46"/>
        <v>0</v>
      </c>
      <c r="DB25" s="3284">
        <f t="shared" si="16"/>
        <v>0</v>
      </c>
      <c r="DC25" s="3276"/>
      <c r="DD25" s="3274"/>
      <c r="DE25" s="3274"/>
      <c r="DF25" s="3274">
        <f t="shared" si="47"/>
        <v>0</v>
      </c>
      <c r="DG25" s="3284">
        <f t="shared" si="17"/>
        <v>0</v>
      </c>
      <c r="DH25" s="3500"/>
      <c r="DI25" s="3288"/>
      <c r="DJ25" s="3274"/>
      <c r="DK25" s="3274">
        <f t="shared" si="48"/>
        <v>0</v>
      </c>
      <c r="DL25" s="3284">
        <f t="shared" si="18"/>
        <v>0</v>
      </c>
      <c r="DM25" s="3500"/>
      <c r="DN25" s="3288"/>
      <c r="DO25" s="3274"/>
      <c r="DP25" s="3274">
        <f t="shared" si="49"/>
        <v>0</v>
      </c>
      <c r="DQ25" s="3284">
        <f t="shared" si="19"/>
        <v>0</v>
      </c>
      <c r="DR25" s="3276"/>
      <c r="DS25" s="3288"/>
      <c r="DT25" s="3274"/>
      <c r="DU25" s="3274">
        <f t="shared" si="50"/>
        <v>0</v>
      </c>
      <c r="DV25" s="3284">
        <f t="shared" si="20"/>
        <v>0</v>
      </c>
      <c r="DW25" s="3276"/>
      <c r="DX25" s="3288">
        <f t="shared" si="40"/>
        <v>945336.42400000012</v>
      </c>
      <c r="DY25" s="3288">
        <f t="shared" si="40"/>
        <v>14668.600000000002</v>
      </c>
      <c r="DZ25" s="3283">
        <f t="shared" si="41"/>
        <v>960005.02400000009</v>
      </c>
      <c r="EA25" s="3284" t="e">
        <f t="shared" si="4"/>
        <v>#DIV/0!</v>
      </c>
      <c r="EB25" s="1449"/>
      <c r="ED25" s="1359">
        <v>1141042.42</v>
      </c>
      <c r="EE25" s="3501">
        <f>ED25-BM25</f>
        <v>1141042.42</v>
      </c>
      <c r="EF25" s="3260" t="s">
        <v>2115</v>
      </c>
    </row>
    <row r="26" spans="1:136" s="1411" customFormat="1" ht="91.2" customHeight="1" x14ac:dyDescent="0.25">
      <c r="A26" s="1586"/>
      <c r="B26" s="3451" t="s">
        <v>45</v>
      </c>
      <c r="C26" s="3531">
        <v>208349</v>
      </c>
      <c r="D26" s="3532">
        <v>11045</v>
      </c>
      <c r="E26" s="1074">
        <f t="shared" si="22"/>
        <v>219394</v>
      </c>
      <c r="F26" s="3284">
        <f t="shared" si="51"/>
        <v>8.4383292129627113E-2</v>
      </c>
      <c r="G26" s="3237"/>
      <c r="H26" s="3274">
        <v>333611.25959999999</v>
      </c>
      <c r="I26" s="3274">
        <v>3503.7</v>
      </c>
      <c r="J26" s="3283">
        <f t="shared" si="23"/>
        <v>337114.9596</v>
      </c>
      <c r="K26" s="3284">
        <f t="shared" si="52"/>
        <v>2.6526902124060385E-2</v>
      </c>
      <c r="L26" s="1449"/>
      <c r="M26" s="3497">
        <v>2851630.4519999996</v>
      </c>
      <c r="N26" s="3497">
        <v>0</v>
      </c>
      <c r="O26" s="3512">
        <v>2851630.4519999996</v>
      </c>
      <c r="P26" s="3523">
        <v>0.1479566651196085</v>
      </c>
      <c r="Q26" s="1449"/>
      <c r="R26" s="3497">
        <f>71503.15*1.2</f>
        <v>85803.779999999984</v>
      </c>
      <c r="S26" s="3497"/>
      <c r="T26" s="3512">
        <f t="shared" si="5"/>
        <v>85803.779999999984</v>
      </c>
      <c r="U26" s="3523">
        <f t="shared" si="53"/>
        <v>6.6145985153831854E-2</v>
      </c>
      <c r="V26" s="3514"/>
      <c r="W26" s="3274">
        <f>274151.51*1.2+(1015.5*30)+129951.24*1.2</f>
        <v>515388.3</v>
      </c>
      <c r="X26" s="3274">
        <v>2242.1999999999998</v>
      </c>
      <c r="Y26" s="3283">
        <f t="shared" si="24"/>
        <v>517630.5</v>
      </c>
      <c r="Z26" s="3284">
        <f t="shared" si="54"/>
        <v>0.22898219482055818</v>
      </c>
      <c r="AA26" s="1376" t="s">
        <v>1090</v>
      </c>
      <c r="AB26" s="3274">
        <f>135613.52*2+27961.1+7500+22280.82*1.2</f>
        <v>333425.12399999995</v>
      </c>
      <c r="AC26" s="3274"/>
      <c r="AD26" s="3283">
        <f>AB26+AC26</f>
        <v>333425.12399999995</v>
      </c>
      <c r="AE26" s="3284">
        <f t="shared" si="6"/>
        <v>0.39781257973267581</v>
      </c>
      <c r="AF26" s="3275" t="s">
        <v>1091</v>
      </c>
      <c r="AG26" s="3274">
        <f>(143608.68+143527.98)</f>
        <v>287136.66000000003</v>
      </c>
      <c r="AH26" s="3429"/>
      <c r="AI26" s="3524">
        <f t="shared" si="26"/>
        <v>287136.66000000003</v>
      </c>
      <c r="AJ26" s="3516">
        <f t="shared" si="7"/>
        <v>0.26545279579454567</v>
      </c>
      <c r="AK26" s="3360" t="s">
        <v>1219</v>
      </c>
      <c r="AL26" s="3274">
        <f>3006+1721518.69</f>
        <v>1724524.69</v>
      </c>
      <c r="AM26" s="3429">
        <v>1652</v>
      </c>
      <c r="AN26" s="3524">
        <f t="shared" si="27"/>
        <v>1726176.69</v>
      </c>
      <c r="AO26" s="3516">
        <f t="shared" si="28"/>
        <v>0.3798146266232364</v>
      </c>
      <c r="AP26" s="3275" t="s">
        <v>1296</v>
      </c>
      <c r="AQ26" s="3288">
        <f>3074061.16+18168</f>
        <v>3092229.16</v>
      </c>
      <c r="AR26" s="3288">
        <v>2996</v>
      </c>
      <c r="AS26" s="3524">
        <f t="shared" si="29"/>
        <v>3095225.16</v>
      </c>
      <c r="AT26" s="3516">
        <f t="shared" si="30"/>
        <v>0.49088343338435997</v>
      </c>
      <c r="AU26" s="3275" t="s">
        <v>1360</v>
      </c>
      <c r="AV26" s="1339">
        <v>3723261.540000001</v>
      </c>
      <c r="AW26" s="1343"/>
      <c r="AX26" s="3524">
        <f t="shared" si="31"/>
        <v>3723261.540000001</v>
      </c>
      <c r="AY26" s="3516">
        <f t="shared" si="32"/>
        <v>0.590486091856122</v>
      </c>
      <c r="AZ26" s="3276" t="s">
        <v>1467</v>
      </c>
      <c r="BA26" s="3275">
        <f>3064082.28+6012</f>
        <v>3070094.28</v>
      </c>
      <c r="BB26" s="3275"/>
      <c r="BC26" s="3524">
        <f t="shared" si="33"/>
        <v>3070094.28</v>
      </c>
      <c r="BD26" s="3518">
        <f t="shared" si="34"/>
        <v>0.45275784360647614</v>
      </c>
      <c r="BE26" s="3519" t="s">
        <v>1534</v>
      </c>
      <c r="BF26" s="3274">
        <v>19623660.094000001</v>
      </c>
      <c r="BG26" s="3274">
        <v>0</v>
      </c>
      <c r="BH26" s="3283">
        <v>19623660.094000001</v>
      </c>
      <c r="BI26" s="3284">
        <v>15.12784552430635</v>
      </c>
      <c r="BJ26" s="3276"/>
      <c r="BK26" s="3274">
        <f t="shared" si="8"/>
        <v>0</v>
      </c>
      <c r="BL26" s="3274">
        <f t="shared" si="8"/>
        <v>0</v>
      </c>
      <c r="BM26" s="3283">
        <f t="shared" si="55"/>
        <v>0</v>
      </c>
      <c r="BN26" s="3284">
        <f t="shared" si="9"/>
        <v>0</v>
      </c>
      <c r="BO26" s="3276"/>
      <c r="BP26" s="3275"/>
      <c r="BQ26" s="3275"/>
      <c r="BR26" s="3526">
        <f t="shared" si="36"/>
        <v>0</v>
      </c>
      <c r="BS26" s="3426">
        <f t="shared" si="37"/>
        <v>0</v>
      </c>
      <c r="BT26" s="3519"/>
      <c r="BU26" s="3274"/>
      <c r="BV26" s="3274"/>
      <c r="BW26" s="3283">
        <f t="shared" si="38"/>
        <v>0</v>
      </c>
      <c r="BX26" s="3284">
        <f t="shared" si="10"/>
        <v>0</v>
      </c>
      <c r="BY26" s="1608"/>
      <c r="BZ26" s="3285"/>
      <c r="CA26" s="3285"/>
      <c r="CB26" s="3286">
        <f t="shared" si="39"/>
        <v>0</v>
      </c>
      <c r="CC26" s="3284">
        <f t="shared" si="11"/>
        <v>0</v>
      </c>
      <c r="CD26" s="3276"/>
      <c r="CE26" s="3285"/>
      <c r="CF26" s="3285"/>
      <c r="CG26" s="3286">
        <f t="shared" si="42"/>
        <v>0</v>
      </c>
      <c r="CH26" s="3284">
        <f t="shared" si="12"/>
        <v>0</v>
      </c>
      <c r="CI26" s="3276"/>
      <c r="CJ26" s="3274"/>
      <c r="CK26" s="3274"/>
      <c r="CL26" s="3274">
        <f t="shared" si="43"/>
        <v>0</v>
      </c>
      <c r="CM26" s="3284">
        <f t="shared" si="13"/>
        <v>0</v>
      </c>
      <c r="CN26" s="3276"/>
      <c r="CO26" s="3274"/>
      <c r="CP26" s="3274"/>
      <c r="CQ26" s="3274">
        <f t="shared" si="44"/>
        <v>0</v>
      </c>
      <c r="CR26" s="3284">
        <f t="shared" si="14"/>
        <v>0</v>
      </c>
      <c r="CS26" s="3276"/>
      <c r="CT26" s="3274"/>
      <c r="CU26" s="3274"/>
      <c r="CV26" s="3274">
        <f t="shared" si="45"/>
        <v>0</v>
      </c>
      <c r="CW26" s="3284">
        <f t="shared" si="15"/>
        <v>0</v>
      </c>
      <c r="CX26" s="3276"/>
      <c r="CY26" s="3274"/>
      <c r="CZ26" s="3274"/>
      <c r="DA26" s="3274">
        <f t="shared" si="46"/>
        <v>0</v>
      </c>
      <c r="DB26" s="3284">
        <f t="shared" si="16"/>
        <v>0</v>
      </c>
      <c r="DC26" s="3276"/>
      <c r="DD26" s="3274"/>
      <c r="DE26" s="3274"/>
      <c r="DF26" s="3274">
        <f t="shared" si="47"/>
        <v>0</v>
      </c>
      <c r="DG26" s="3284">
        <f t="shared" si="17"/>
        <v>0</v>
      </c>
      <c r="DH26" s="3500"/>
      <c r="DI26" s="3288"/>
      <c r="DJ26" s="3274"/>
      <c r="DK26" s="3274">
        <f t="shared" si="48"/>
        <v>0</v>
      </c>
      <c r="DL26" s="3284">
        <f t="shared" si="18"/>
        <v>0</v>
      </c>
      <c r="DM26" s="3500"/>
      <c r="DN26" s="3288"/>
      <c r="DO26" s="3274"/>
      <c r="DP26" s="3274">
        <f t="shared" si="49"/>
        <v>0</v>
      </c>
      <c r="DQ26" s="3284">
        <f t="shared" si="19"/>
        <v>0</v>
      </c>
      <c r="DR26" s="3276"/>
      <c r="DS26" s="3288"/>
      <c r="DT26" s="3274"/>
      <c r="DU26" s="3274">
        <f t="shared" si="50"/>
        <v>0</v>
      </c>
      <c r="DV26" s="3284">
        <f t="shared" si="20"/>
        <v>0</v>
      </c>
      <c r="DW26" s="3276"/>
      <c r="DX26" s="3288">
        <f t="shared" si="40"/>
        <v>32455523.627999999</v>
      </c>
      <c r="DY26" s="3288">
        <f t="shared" si="40"/>
        <v>6890.2</v>
      </c>
      <c r="DZ26" s="3283">
        <f t="shared" si="41"/>
        <v>32462413.827999998</v>
      </c>
      <c r="EA26" s="3284" t="e">
        <f t="shared" si="4"/>
        <v>#DIV/0!</v>
      </c>
      <c r="EB26" s="1449"/>
      <c r="ED26" s="1359">
        <v>19806322.469999999</v>
      </c>
      <c r="EE26" s="3501">
        <f>ED26-BM26</f>
        <v>19806322.469999999</v>
      </c>
      <c r="EF26" s="3259" t="s">
        <v>2111</v>
      </c>
    </row>
    <row r="27" spans="1:136" s="1411" customFormat="1" ht="27.6" x14ac:dyDescent="0.25">
      <c r="A27" s="1586"/>
      <c r="B27" s="3451" t="s">
        <v>25</v>
      </c>
      <c r="C27" s="3531">
        <f>190+2950</f>
        <v>3140</v>
      </c>
      <c r="D27" s="3532">
        <v>235</v>
      </c>
      <c r="E27" s="1074">
        <f t="shared" si="22"/>
        <v>3375</v>
      </c>
      <c r="F27" s="3284">
        <f t="shared" si="51"/>
        <v>1.298092066954846E-3</v>
      </c>
      <c r="G27" s="3237"/>
      <c r="H27" s="3274">
        <v>120775.946</v>
      </c>
      <c r="I27" s="3274">
        <v>8161</v>
      </c>
      <c r="J27" s="3283">
        <f t="shared" si="23"/>
        <v>128936.946</v>
      </c>
      <c r="K27" s="3284">
        <f t="shared" si="52"/>
        <v>1.0145790476861588E-2</v>
      </c>
      <c r="L27" s="1449"/>
      <c r="M27" s="3497">
        <v>68954.945999999996</v>
      </c>
      <c r="N27" s="3497">
        <v>4890</v>
      </c>
      <c r="O27" s="3512">
        <v>73844.945999999996</v>
      </c>
      <c r="P27" s="3523">
        <v>3.8314403391346498E-3</v>
      </c>
      <c r="Q27" s="1449"/>
      <c r="R27" s="3497">
        <f>118.3*1.2+1483.89*1.2</f>
        <v>1922.6280000000002</v>
      </c>
      <c r="S27" s="3497"/>
      <c r="T27" s="3512">
        <f t="shared" si="5"/>
        <v>1922.6280000000002</v>
      </c>
      <c r="U27" s="3523">
        <f t="shared" si="53"/>
        <v>1.4821505899197151E-3</v>
      </c>
      <c r="V27" s="3514" t="s">
        <v>1002</v>
      </c>
      <c r="W27" s="3274">
        <f>15167.78*1.2+703.31*1.2+2870.83*1.2</f>
        <v>22490.304</v>
      </c>
      <c r="X27" s="3274">
        <v>6963</v>
      </c>
      <c r="Y27" s="3283">
        <f t="shared" si="24"/>
        <v>29453.304</v>
      </c>
      <c r="Z27" s="3284">
        <f t="shared" si="54"/>
        <v>1.3029143751454223E-2</v>
      </c>
      <c r="AA27" s="1376" t="s">
        <v>1050</v>
      </c>
      <c r="AB27" s="3274"/>
      <c r="AC27" s="3274"/>
      <c r="AD27" s="3283">
        <f t="shared" si="25"/>
        <v>0</v>
      </c>
      <c r="AE27" s="3284">
        <f t="shared" si="6"/>
        <v>0</v>
      </c>
      <c r="AF27" s="1617"/>
      <c r="AG27" s="3274"/>
      <c r="AH27" s="3429"/>
      <c r="AI27" s="3524">
        <f t="shared" si="26"/>
        <v>0</v>
      </c>
      <c r="AJ27" s="3516">
        <f t="shared" si="7"/>
        <v>0</v>
      </c>
      <c r="AK27" s="3538"/>
      <c r="AL27" s="3274"/>
      <c r="AM27" s="3429"/>
      <c r="AN27" s="3524">
        <f t="shared" si="27"/>
        <v>0</v>
      </c>
      <c r="AO27" s="3516">
        <f t="shared" si="28"/>
        <v>0</v>
      </c>
      <c r="AP27" s="3538"/>
      <c r="AQ27" s="3288">
        <v>31522.77</v>
      </c>
      <c r="AR27" s="3288"/>
      <c r="AS27" s="3524">
        <f t="shared" si="29"/>
        <v>31522.77</v>
      </c>
      <c r="AT27" s="3516">
        <f t="shared" si="30"/>
        <v>4.9993149989080278E-3</v>
      </c>
      <c r="AU27" s="3275" t="s">
        <v>1350</v>
      </c>
      <c r="AV27" s="1339"/>
      <c r="AW27" s="1348"/>
      <c r="AX27" s="3524">
        <f t="shared" si="31"/>
        <v>0</v>
      </c>
      <c r="AY27" s="3516">
        <f t="shared" si="32"/>
        <v>0</v>
      </c>
      <c r="AZ27" s="3276"/>
      <c r="BA27" s="3275"/>
      <c r="BB27" s="3275">
        <v>2000</v>
      </c>
      <c r="BC27" s="3524">
        <f t="shared" si="33"/>
        <v>2000</v>
      </c>
      <c r="BD27" s="3518">
        <f t="shared" si="34"/>
        <v>2.9494719204940908E-4</v>
      </c>
      <c r="BE27" s="3519" t="s">
        <v>1524</v>
      </c>
      <c r="BF27" s="3274">
        <v>75965.89</v>
      </c>
      <c r="BG27" s="3274">
        <v>6835</v>
      </c>
      <c r="BH27" s="3283">
        <v>82800.89</v>
      </c>
      <c r="BI27" s="3284">
        <v>6.383106246209741E-2</v>
      </c>
      <c r="BJ27" s="3276"/>
      <c r="BK27" s="3274">
        <f t="shared" si="8"/>
        <v>0</v>
      </c>
      <c r="BL27" s="3274">
        <f t="shared" si="8"/>
        <v>0</v>
      </c>
      <c r="BM27" s="3283">
        <f t="shared" si="55"/>
        <v>0</v>
      </c>
      <c r="BN27" s="3284">
        <f t="shared" si="9"/>
        <v>0</v>
      </c>
      <c r="BO27" s="3276"/>
      <c r="BP27" s="3275"/>
      <c r="BQ27" s="3275"/>
      <c r="BR27" s="3526">
        <f t="shared" si="36"/>
        <v>0</v>
      </c>
      <c r="BS27" s="3426">
        <f t="shared" si="37"/>
        <v>0</v>
      </c>
      <c r="BT27" s="3519"/>
      <c r="BU27" s="3292"/>
      <c r="BV27" s="3274"/>
      <c r="BW27" s="3283">
        <f t="shared" si="38"/>
        <v>0</v>
      </c>
      <c r="BX27" s="3284">
        <f t="shared" si="10"/>
        <v>0</v>
      </c>
      <c r="BY27" s="3293"/>
      <c r="BZ27" s="3285"/>
      <c r="CA27" s="3285"/>
      <c r="CB27" s="3286">
        <f t="shared" si="39"/>
        <v>0</v>
      </c>
      <c r="CC27" s="3284">
        <f t="shared" si="11"/>
        <v>0</v>
      </c>
      <c r="CD27" s="3276"/>
      <c r="CE27" s="3285"/>
      <c r="CF27" s="3285"/>
      <c r="CG27" s="3286">
        <f t="shared" si="42"/>
        <v>0</v>
      </c>
      <c r="CH27" s="3284">
        <f t="shared" si="12"/>
        <v>0</v>
      </c>
      <c r="CI27" s="3276"/>
      <c r="CJ27" s="3274"/>
      <c r="CK27" s="3274"/>
      <c r="CL27" s="3274">
        <f t="shared" si="43"/>
        <v>0</v>
      </c>
      <c r="CM27" s="3284">
        <f t="shared" si="13"/>
        <v>0</v>
      </c>
      <c r="CN27" s="3276"/>
      <c r="CO27" s="3274"/>
      <c r="CP27" s="3274"/>
      <c r="CQ27" s="3274">
        <f t="shared" si="44"/>
        <v>0</v>
      </c>
      <c r="CR27" s="3284">
        <f t="shared" si="14"/>
        <v>0</v>
      </c>
      <c r="CS27" s="3276"/>
      <c r="CT27" s="3274"/>
      <c r="CU27" s="3274"/>
      <c r="CV27" s="3274">
        <f t="shared" si="45"/>
        <v>0</v>
      </c>
      <c r="CW27" s="3284">
        <f t="shared" si="15"/>
        <v>0</v>
      </c>
      <c r="CX27" s="3276"/>
      <c r="CY27" s="3274"/>
      <c r="CZ27" s="3274"/>
      <c r="DA27" s="3274">
        <f t="shared" si="46"/>
        <v>0</v>
      </c>
      <c r="DB27" s="3284">
        <f t="shared" si="16"/>
        <v>0</v>
      </c>
      <c r="DC27" s="3276"/>
      <c r="DD27" s="3274"/>
      <c r="DE27" s="3274"/>
      <c r="DF27" s="3274">
        <f t="shared" si="47"/>
        <v>0</v>
      </c>
      <c r="DG27" s="3284">
        <f t="shared" si="17"/>
        <v>0</v>
      </c>
      <c r="DH27" s="3500"/>
      <c r="DI27" s="3288"/>
      <c r="DJ27" s="3274"/>
      <c r="DK27" s="3274">
        <f t="shared" si="48"/>
        <v>0</v>
      </c>
      <c r="DL27" s="3284">
        <f t="shared" si="18"/>
        <v>0</v>
      </c>
      <c r="DM27" s="3500"/>
      <c r="DN27" s="3288"/>
      <c r="DO27" s="3274"/>
      <c r="DP27" s="3274">
        <f t="shared" si="49"/>
        <v>0</v>
      </c>
      <c r="DQ27" s="3284">
        <f t="shared" si="19"/>
        <v>0</v>
      </c>
      <c r="DR27" s="3276"/>
      <c r="DS27" s="3288"/>
      <c r="DT27" s="3274"/>
      <c r="DU27" s="3274">
        <f t="shared" si="50"/>
        <v>0</v>
      </c>
      <c r="DV27" s="3284">
        <f t="shared" si="20"/>
        <v>0</v>
      </c>
      <c r="DW27" s="3276"/>
      <c r="DX27" s="3288">
        <f t="shared" si="40"/>
        <v>131901.592</v>
      </c>
      <c r="DY27" s="3288">
        <f t="shared" si="40"/>
        <v>15798</v>
      </c>
      <c r="DZ27" s="3283">
        <f t="shared" si="41"/>
        <v>147699.592</v>
      </c>
      <c r="EA27" s="3284" t="e">
        <f t="shared" si="4"/>
        <v>#DIV/0!</v>
      </c>
      <c r="EB27" s="1449"/>
      <c r="ED27" s="1359">
        <v>118236.07</v>
      </c>
      <c r="EE27" s="3501">
        <f>ED27-BM27</f>
        <v>118236.07</v>
      </c>
      <c r="EF27" s="3260"/>
    </row>
    <row r="28" spans="1:136" s="1411" customFormat="1" ht="124.2" x14ac:dyDescent="0.25">
      <c r="A28" s="1586"/>
      <c r="B28" s="3451" t="s">
        <v>52</v>
      </c>
      <c r="C28" s="3531">
        <f>29793+314640</f>
        <v>344433</v>
      </c>
      <c r="D28" s="3532">
        <f>500+2858</f>
        <v>3358</v>
      </c>
      <c r="E28" s="1074">
        <f t="shared" si="22"/>
        <v>347791</v>
      </c>
      <c r="F28" s="3284">
        <f t="shared" si="51"/>
        <v>0.13376732979504974</v>
      </c>
      <c r="G28" s="3237" t="s">
        <v>174</v>
      </c>
      <c r="H28" s="3274">
        <v>1094692.6740000001</v>
      </c>
      <c r="I28" s="3274">
        <v>12865.5</v>
      </c>
      <c r="J28" s="3283">
        <f t="shared" si="23"/>
        <v>1107558.1740000001</v>
      </c>
      <c r="K28" s="3284">
        <f t="shared" si="52"/>
        <v>8.7151538197123193E-2</v>
      </c>
      <c r="L28" s="1449"/>
      <c r="M28" s="3497">
        <v>1681255.814</v>
      </c>
      <c r="N28" s="3497">
        <v>9573.4</v>
      </c>
      <c r="O28" s="3512">
        <v>1690829.2139999999</v>
      </c>
      <c r="P28" s="3523">
        <v>8.7728566517022488E-2</v>
      </c>
      <c r="Q28" s="1449"/>
      <c r="R28" s="3497">
        <f>4439.9+150+1200*1.2+91680+58034.04+11144</f>
        <v>166887.94</v>
      </c>
      <c r="S28" s="3497">
        <v>780</v>
      </c>
      <c r="T28" s="3512">
        <f t="shared" si="5"/>
        <v>167667.94</v>
      </c>
      <c r="U28" s="3523">
        <f t="shared" si="53"/>
        <v>0.12925492408392231</v>
      </c>
      <c r="V28" s="3528" t="s">
        <v>1011</v>
      </c>
      <c r="W28" s="3274">
        <f>722+3600*1.2+91680+10848+127501.69</f>
        <v>235071.69</v>
      </c>
      <c r="X28" s="3274"/>
      <c r="Y28" s="3283">
        <f t="shared" si="24"/>
        <v>235071.69</v>
      </c>
      <c r="Z28" s="3284">
        <f t="shared" si="54"/>
        <v>0.10398775094662671</v>
      </c>
      <c r="AA28" s="1376" t="s">
        <v>1094</v>
      </c>
      <c r="AB28" s="3274">
        <f>4004+50424</f>
        <v>54428</v>
      </c>
      <c r="AC28" s="3274">
        <v>3336</v>
      </c>
      <c r="AD28" s="3283">
        <f t="shared" si="25"/>
        <v>57764</v>
      </c>
      <c r="AE28" s="3284">
        <f t="shared" si="6"/>
        <v>6.8918759270457042E-2</v>
      </c>
      <c r="AF28" s="3275" t="s">
        <v>1092</v>
      </c>
      <c r="AG28" s="3274"/>
      <c r="AH28" s="3429">
        <f>3839.7+1900+800</f>
        <v>6539.7</v>
      </c>
      <c r="AI28" s="3524">
        <f t="shared" si="26"/>
        <v>6539.7</v>
      </c>
      <c r="AJ28" s="3516">
        <f t="shared" si="7"/>
        <v>6.0458377159419143E-3</v>
      </c>
      <c r="AK28" s="3360" t="s">
        <v>1212</v>
      </c>
      <c r="AL28" s="3274">
        <v>3089</v>
      </c>
      <c r="AM28" s="3429">
        <v>2000</v>
      </c>
      <c r="AN28" s="3524">
        <f t="shared" si="27"/>
        <v>5089</v>
      </c>
      <c r="AO28" s="3516">
        <f t="shared" si="28"/>
        <v>1.1197443726839169E-3</v>
      </c>
      <c r="AP28" s="3275" t="s">
        <v>1297</v>
      </c>
      <c r="AQ28" s="3288"/>
      <c r="AR28" s="3288">
        <v>1285516</v>
      </c>
      <c r="AS28" s="3524">
        <f t="shared" si="29"/>
        <v>1285516</v>
      </c>
      <c r="AT28" s="3516">
        <f t="shared" si="30"/>
        <v>0.20387483143569721</v>
      </c>
      <c r="AU28" s="3275" t="s">
        <v>1359</v>
      </c>
      <c r="AV28" s="1339"/>
      <c r="AW28" s="1339">
        <v>2059952</v>
      </c>
      <c r="AX28" s="3524">
        <f t="shared" si="31"/>
        <v>2059952</v>
      </c>
      <c r="AY28" s="3516">
        <f t="shared" si="32"/>
        <v>0.32669555786596766</v>
      </c>
      <c r="AZ28" s="3276" t="s">
        <v>1442</v>
      </c>
      <c r="BA28" s="3275">
        <f>9045+31200+5610</f>
        <v>45855</v>
      </c>
      <c r="BB28" s="3275">
        <v>1367780</v>
      </c>
      <c r="BC28" s="3524">
        <f t="shared" si="33"/>
        <v>1413635</v>
      </c>
      <c r="BD28" s="3518">
        <f t="shared" si="34"/>
        <v>0.20847383691638322</v>
      </c>
      <c r="BE28" s="3519" t="s">
        <v>1535</v>
      </c>
      <c r="BF28" s="3274">
        <v>232279.51</v>
      </c>
      <c r="BG28" s="3274">
        <v>3198121.32</v>
      </c>
      <c r="BH28" s="3283">
        <v>3430400.83</v>
      </c>
      <c r="BI28" s="3284">
        <v>2.64449004895673</v>
      </c>
      <c r="BJ28" s="3276"/>
      <c r="BK28" s="3274">
        <f t="shared" si="8"/>
        <v>0</v>
      </c>
      <c r="BL28" s="3274">
        <f t="shared" si="8"/>
        <v>0</v>
      </c>
      <c r="BM28" s="3283">
        <f t="shared" si="55"/>
        <v>0</v>
      </c>
      <c r="BN28" s="3284">
        <f t="shared" si="9"/>
        <v>0</v>
      </c>
      <c r="BO28" s="3276"/>
      <c r="BP28" s="3275"/>
      <c r="BQ28" s="3275"/>
      <c r="BR28" s="3526">
        <f t="shared" si="36"/>
        <v>0</v>
      </c>
      <c r="BS28" s="3426">
        <f t="shared" si="37"/>
        <v>0</v>
      </c>
      <c r="BT28" s="3519"/>
      <c r="BU28" s="3274"/>
      <c r="BV28" s="3274"/>
      <c r="BW28" s="3283">
        <f t="shared" si="38"/>
        <v>0</v>
      </c>
      <c r="BX28" s="3284">
        <f t="shared" si="10"/>
        <v>0</v>
      </c>
      <c r="BY28" s="3534"/>
      <c r="BZ28" s="3285"/>
      <c r="CA28" s="3285"/>
      <c r="CB28" s="3286">
        <f t="shared" si="39"/>
        <v>0</v>
      </c>
      <c r="CC28" s="3284">
        <f t="shared" si="11"/>
        <v>0</v>
      </c>
      <c r="CD28" s="3276"/>
      <c r="CE28" s="3285"/>
      <c r="CF28" s="3285"/>
      <c r="CG28" s="3286">
        <f t="shared" si="42"/>
        <v>0</v>
      </c>
      <c r="CH28" s="3284">
        <f t="shared" si="12"/>
        <v>0</v>
      </c>
      <c r="CI28" s="3276"/>
      <c r="CJ28" s="3274"/>
      <c r="CK28" s="3274"/>
      <c r="CL28" s="3274">
        <f t="shared" si="43"/>
        <v>0</v>
      </c>
      <c r="CM28" s="3284">
        <f t="shared" si="13"/>
        <v>0</v>
      </c>
      <c r="CN28" s="3276"/>
      <c r="CO28" s="3274"/>
      <c r="CP28" s="3274"/>
      <c r="CQ28" s="3274">
        <f t="shared" si="44"/>
        <v>0</v>
      </c>
      <c r="CR28" s="3284">
        <f t="shared" si="14"/>
        <v>0</v>
      </c>
      <c r="CS28" s="3276"/>
      <c r="CT28" s="3274"/>
      <c r="CU28" s="3274"/>
      <c r="CV28" s="3274">
        <f t="shared" si="45"/>
        <v>0</v>
      </c>
      <c r="CW28" s="3284">
        <f t="shared" si="15"/>
        <v>0</v>
      </c>
      <c r="CX28" s="3276"/>
      <c r="CY28" s="3274"/>
      <c r="CZ28" s="3274"/>
      <c r="DA28" s="3274">
        <f t="shared" si="46"/>
        <v>0</v>
      </c>
      <c r="DB28" s="3284">
        <f t="shared" si="16"/>
        <v>0</v>
      </c>
      <c r="DC28" s="3276"/>
      <c r="DD28" s="3274"/>
      <c r="DE28" s="3539"/>
      <c r="DF28" s="3274">
        <f t="shared" si="47"/>
        <v>0</v>
      </c>
      <c r="DG28" s="3284">
        <f t="shared" si="17"/>
        <v>0</v>
      </c>
      <c r="DH28" s="3500"/>
      <c r="DI28" s="3288"/>
      <c r="DJ28" s="3539"/>
      <c r="DK28" s="3274">
        <f t="shared" si="48"/>
        <v>0</v>
      </c>
      <c r="DL28" s="3284">
        <f t="shared" si="18"/>
        <v>0</v>
      </c>
      <c r="DM28" s="3500"/>
      <c r="DN28" s="3288"/>
      <c r="DO28" s="3539"/>
      <c r="DP28" s="3274">
        <f t="shared" si="49"/>
        <v>0</v>
      </c>
      <c r="DQ28" s="3284">
        <f t="shared" si="19"/>
        <v>0</v>
      </c>
      <c r="DR28" s="3500"/>
      <c r="DS28" s="3288"/>
      <c r="DT28" s="3539"/>
      <c r="DU28" s="3274">
        <f t="shared" si="50"/>
        <v>0</v>
      </c>
      <c r="DV28" s="3284">
        <f t="shared" si="20"/>
        <v>0</v>
      </c>
      <c r="DW28" s="3500"/>
      <c r="DX28" s="3288">
        <f t="shared" si="40"/>
        <v>737611.14</v>
      </c>
      <c r="DY28" s="3288">
        <f t="shared" si="40"/>
        <v>7924025.0199999996</v>
      </c>
      <c r="DZ28" s="3283">
        <f t="shared" si="41"/>
        <v>8661636.1600000001</v>
      </c>
      <c r="EA28" s="3284" t="e">
        <f t="shared" si="4"/>
        <v>#DIV/0!</v>
      </c>
      <c r="EB28" s="1449"/>
      <c r="ED28" s="1359">
        <v>3651875.56</v>
      </c>
      <c r="EE28" s="3501">
        <f>ED28-BM28</f>
        <v>3651875.56</v>
      </c>
      <c r="EF28" s="3260" t="s">
        <v>2116</v>
      </c>
    </row>
    <row r="29" spans="1:136" s="1411" customFormat="1" ht="13.8" x14ac:dyDescent="0.25">
      <c r="A29" s="1586"/>
      <c r="B29" s="3451" t="s">
        <v>31</v>
      </c>
      <c r="C29" s="3531">
        <f>61140+3450</f>
        <v>64590</v>
      </c>
      <c r="D29" s="3532">
        <f>52400</f>
        <v>52400</v>
      </c>
      <c r="E29" s="1074">
        <f t="shared" si="22"/>
        <v>116990</v>
      </c>
      <c r="F29" s="3284">
        <f t="shared" si="51"/>
        <v>4.4996678789051094E-2</v>
      </c>
      <c r="G29" s="3237"/>
      <c r="H29" s="3274">
        <v>31090</v>
      </c>
      <c r="I29" s="3274">
        <v>496630</v>
      </c>
      <c r="J29" s="3283">
        <f t="shared" si="23"/>
        <v>527720</v>
      </c>
      <c r="K29" s="3284">
        <f t="shared" si="52"/>
        <v>4.152523164655534E-2</v>
      </c>
      <c r="L29" s="3295"/>
      <c r="M29" s="3497">
        <v>0</v>
      </c>
      <c r="N29" s="3497">
        <v>703000</v>
      </c>
      <c r="O29" s="3512">
        <v>703000</v>
      </c>
      <c r="P29" s="3523">
        <v>3.6475110407849155E-2</v>
      </c>
      <c r="Q29" s="1449"/>
      <c r="R29" s="3497">
        <v>700</v>
      </c>
      <c r="S29" s="3497">
        <v>52100</v>
      </c>
      <c r="T29" s="3512">
        <f t="shared" si="5"/>
        <v>52800</v>
      </c>
      <c r="U29" s="3523">
        <f t="shared" si="53"/>
        <v>4.0703428405162598E-2</v>
      </c>
      <c r="V29" s="3540"/>
      <c r="W29" s="3274"/>
      <c r="X29" s="3274">
        <v>68600</v>
      </c>
      <c r="Y29" s="3283">
        <f t="shared" si="24"/>
        <v>68600</v>
      </c>
      <c r="Z29" s="3284">
        <f t="shared" si="54"/>
        <v>3.0346315691772974E-2</v>
      </c>
      <c r="AA29" s="1376"/>
      <c r="AB29" s="3274"/>
      <c r="AC29" s="3274"/>
      <c r="AD29" s="3283">
        <f t="shared" si="25"/>
        <v>0</v>
      </c>
      <c r="AE29" s="3284">
        <f t="shared" si="6"/>
        <v>0</v>
      </c>
      <c r="AF29" s="3541"/>
      <c r="AG29" s="3274"/>
      <c r="AH29" s="3429"/>
      <c r="AI29" s="3524">
        <f t="shared" si="26"/>
        <v>0</v>
      </c>
      <c r="AJ29" s="3516">
        <f t="shared" si="7"/>
        <v>0</v>
      </c>
      <c r="AK29" s="3533"/>
      <c r="AL29" s="3274"/>
      <c r="AM29" s="3429"/>
      <c r="AN29" s="3524">
        <f t="shared" si="27"/>
        <v>0</v>
      </c>
      <c r="AO29" s="3516">
        <f t="shared" si="28"/>
        <v>0</v>
      </c>
      <c r="AP29" s="3533"/>
      <c r="AQ29" s="3288"/>
      <c r="AR29" s="3288">
        <v>35960</v>
      </c>
      <c r="AS29" s="3524">
        <f t="shared" si="29"/>
        <v>35960</v>
      </c>
      <c r="AT29" s="3516">
        <f t="shared" si="30"/>
        <v>5.703032041940879E-3</v>
      </c>
      <c r="AU29" s="3275" t="s">
        <v>981</v>
      </c>
      <c r="AV29" s="1342"/>
      <c r="AW29" s="1339"/>
      <c r="AX29" s="3524">
        <f t="shared" si="31"/>
        <v>0</v>
      </c>
      <c r="AY29" s="3516">
        <f t="shared" si="32"/>
        <v>0</v>
      </c>
      <c r="AZ29" s="3276"/>
      <c r="BA29" s="3275"/>
      <c r="BB29" s="3275"/>
      <c r="BC29" s="3524">
        <f t="shared" si="33"/>
        <v>0</v>
      </c>
      <c r="BD29" s="3518">
        <f t="shared" si="34"/>
        <v>0</v>
      </c>
      <c r="BE29" s="1875"/>
      <c r="BF29" s="3274">
        <v>0</v>
      </c>
      <c r="BG29" s="3274">
        <v>0</v>
      </c>
      <c r="BH29" s="3283">
        <v>0</v>
      </c>
      <c r="BI29" s="3284">
        <v>0</v>
      </c>
      <c r="BJ29" s="3276"/>
      <c r="BK29" s="3274">
        <f t="shared" si="8"/>
        <v>0</v>
      </c>
      <c r="BL29" s="3274">
        <f t="shared" si="8"/>
        <v>0</v>
      </c>
      <c r="BM29" s="3283">
        <f t="shared" si="55"/>
        <v>0</v>
      </c>
      <c r="BN29" s="3284">
        <f t="shared" si="9"/>
        <v>0</v>
      </c>
      <c r="BO29" s="3276"/>
      <c r="BP29" s="3275"/>
      <c r="BQ29" s="3275"/>
      <c r="BR29" s="3526">
        <f t="shared" si="36"/>
        <v>0</v>
      </c>
      <c r="BS29" s="3426">
        <f t="shared" si="37"/>
        <v>0</v>
      </c>
      <c r="BT29" s="1875"/>
      <c r="BU29" s="3274"/>
      <c r="BV29" s="3274"/>
      <c r="BW29" s="3283">
        <f t="shared" si="38"/>
        <v>0</v>
      </c>
      <c r="BX29" s="3284">
        <f t="shared" si="10"/>
        <v>0</v>
      </c>
      <c r="BY29" s="3293"/>
      <c r="BZ29" s="3285"/>
      <c r="CA29" s="3285"/>
      <c r="CB29" s="3286">
        <f t="shared" si="39"/>
        <v>0</v>
      </c>
      <c r="CC29" s="3284">
        <f t="shared" si="11"/>
        <v>0</v>
      </c>
      <c r="CD29" s="3276"/>
      <c r="CE29" s="3285"/>
      <c r="CF29" s="3285"/>
      <c r="CG29" s="3286">
        <f t="shared" si="42"/>
        <v>0</v>
      </c>
      <c r="CH29" s="3284">
        <f t="shared" si="12"/>
        <v>0</v>
      </c>
      <c r="CI29" s="3276"/>
      <c r="CJ29" s="3274"/>
      <c r="CK29" s="3274"/>
      <c r="CL29" s="3274">
        <f t="shared" si="43"/>
        <v>0</v>
      </c>
      <c r="CM29" s="3284">
        <f t="shared" si="13"/>
        <v>0</v>
      </c>
      <c r="CN29" s="3276"/>
      <c r="CO29" s="3274"/>
      <c r="CP29" s="3274"/>
      <c r="CQ29" s="3274">
        <f t="shared" si="44"/>
        <v>0</v>
      </c>
      <c r="CR29" s="3284">
        <f t="shared" si="14"/>
        <v>0</v>
      </c>
      <c r="CS29" s="3276"/>
      <c r="CT29" s="3274"/>
      <c r="CU29" s="3274"/>
      <c r="CV29" s="3274">
        <f t="shared" si="45"/>
        <v>0</v>
      </c>
      <c r="CW29" s="3284">
        <f t="shared" si="15"/>
        <v>0</v>
      </c>
      <c r="CX29" s="3276"/>
      <c r="CY29" s="3274"/>
      <c r="CZ29" s="3274"/>
      <c r="DA29" s="3274">
        <f t="shared" si="46"/>
        <v>0</v>
      </c>
      <c r="DB29" s="3284">
        <f t="shared" si="16"/>
        <v>0</v>
      </c>
      <c r="DC29" s="3276"/>
      <c r="DD29" s="3274"/>
      <c r="DE29" s="3274"/>
      <c r="DF29" s="3274">
        <f t="shared" si="47"/>
        <v>0</v>
      </c>
      <c r="DG29" s="3284">
        <f t="shared" si="17"/>
        <v>0</v>
      </c>
      <c r="DH29" s="3500"/>
      <c r="DI29" s="3288"/>
      <c r="DJ29" s="3274"/>
      <c r="DK29" s="3274">
        <f t="shared" si="48"/>
        <v>0</v>
      </c>
      <c r="DL29" s="3284">
        <f t="shared" si="18"/>
        <v>0</v>
      </c>
      <c r="DM29" s="3500"/>
      <c r="DN29" s="3288"/>
      <c r="DO29" s="3274"/>
      <c r="DP29" s="3274">
        <f t="shared" si="49"/>
        <v>0</v>
      </c>
      <c r="DQ29" s="3284">
        <f t="shared" si="19"/>
        <v>0</v>
      </c>
      <c r="DR29" s="3276"/>
      <c r="DS29" s="3288"/>
      <c r="DT29" s="3274"/>
      <c r="DU29" s="3274">
        <f t="shared" si="50"/>
        <v>0</v>
      </c>
      <c r="DV29" s="3284">
        <f t="shared" si="20"/>
        <v>0</v>
      </c>
      <c r="DW29" s="3276"/>
      <c r="DX29" s="3288">
        <f t="shared" si="40"/>
        <v>700</v>
      </c>
      <c r="DY29" s="3288">
        <f t="shared" si="40"/>
        <v>156660</v>
      </c>
      <c r="DZ29" s="3283">
        <f t="shared" si="41"/>
        <v>157360</v>
      </c>
      <c r="EA29" s="3284" t="e">
        <f t="shared" si="4"/>
        <v>#DIV/0!</v>
      </c>
      <c r="EB29" s="3295"/>
      <c r="ED29" s="3288"/>
      <c r="EE29" s="3288"/>
      <c r="EF29" s="3496"/>
    </row>
    <row r="30" spans="1:136" s="1411" customFormat="1" ht="24" x14ac:dyDescent="0.25">
      <c r="A30" s="1586"/>
      <c r="B30" s="3451" t="s">
        <v>62</v>
      </c>
      <c r="C30" s="3531"/>
      <c r="D30" s="3532">
        <f>140821+450</f>
        <v>141271</v>
      </c>
      <c r="E30" s="1074">
        <f t="shared" si="22"/>
        <v>141271</v>
      </c>
      <c r="F30" s="3284">
        <f t="shared" si="51"/>
        <v>5.433563389356387E-2</v>
      </c>
      <c r="G30" s="3237"/>
      <c r="H30" s="3274">
        <v>0</v>
      </c>
      <c r="I30" s="3274">
        <v>428601</v>
      </c>
      <c r="J30" s="3283">
        <f t="shared" si="23"/>
        <v>428601</v>
      </c>
      <c r="K30" s="3284">
        <f t="shared" si="52"/>
        <v>3.3725755720733087E-2</v>
      </c>
      <c r="L30" s="3295"/>
      <c r="M30" s="3497">
        <v>0</v>
      </c>
      <c r="N30" s="3497">
        <v>543073</v>
      </c>
      <c r="O30" s="3512">
        <v>543073</v>
      </c>
      <c r="P30" s="3523">
        <v>2.8177308157214604E-2</v>
      </c>
      <c r="Q30" s="1449"/>
      <c r="R30" s="3497"/>
      <c r="S30" s="3497">
        <v>60800</v>
      </c>
      <c r="T30" s="3512">
        <f t="shared" si="5"/>
        <v>60800</v>
      </c>
      <c r="U30" s="3523">
        <f t="shared" si="53"/>
        <v>4.6870614527156927E-2</v>
      </c>
      <c r="V30" s="3540"/>
      <c r="W30" s="3274"/>
      <c r="X30" s="3274">
        <f>57500+41300</f>
        <v>98800</v>
      </c>
      <c r="Y30" s="3283">
        <f t="shared" si="24"/>
        <v>98800</v>
      </c>
      <c r="Z30" s="3284">
        <f t="shared" si="54"/>
        <v>4.3705772454040379E-2</v>
      </c>
      <c r="AA30" s="1376"/>
      <c r="AB30" s="3274"/>
      <c r="AC30" s="3274"/>
      <c r="AD30" s="3283">
        <f t="shared" si="25"/>
        <v>0</v>
      </c>
      <c r="AE30" s="3284">
        <f t="shared" si="6"/>
        <v>0</v>
      </c>
      <c r="AF30" s="1376"/>
      <c r="AG30" s="3274"/>
      <c r="AH30" s="3429"/>
      <c r="AI30" s="3524">
        <f t="shared" si="26"/>
        <v>0</v>
      </c>
      <c r="AJ30" s="3516">
        <f t="shared" si="7"/>
        <v>0</v>
      </c>
      <c r="AK30" s="3538"/>
      <c r="AL30" s="3274"/>
      <c r="AM30" s="3429">
        <v>48240</v>
      </c>
      <c r="AN30" s="3524">
        <f t="shared" si="27"/>
        <v>48240</v>
      </c>
      <c r="AO30" s="3516">
        <f t="shared" si="28"/>
        <v>1.0614358132889006E-2</v>
      </c>
      <c r="AP30" s="3538"/>
      <c r="AQ30" s="3288"/>
      <c r="AR30" s="3288"/>
      <c r="AS30" s="3524">
        <f t="shared" si="29"/>
        <v>0</v>
      </c>
      <c r="AT30" s="3516">
        <f t="shared" si="30"/>
        <v>0</v>
      </c>
      <c r="AU30" s="3275"/>
      <c r="AV30" s="1344"/>
      <c r="AW30" s="1339">
        <v>30240</v>
      </c>
      <c r="AX30" s="3524">
        <f t="shared" si="31"/>
        <v>30240</v>
      </c>
      <c r="AY30" s="3516">
        <f t="shared" si="32"/>
        <v>4.7958756659703056E-3</v>
      </c>
      <c r="AZ30" s="3276" t="s">
        <v>1443</v>
      </c>
      <c r="BA30" s="3275"/>
      <c r="BB30" s="3275">
        <f>17*60*31</f>
        <v>31620</v>
      </c>
      <c r="BC30" s="3524">
        <f t="shared" si="33"/>
        <v>31620</v>
      </c>
      <c r="BD30" s="3518">
        <f t="shared" si="34"/>
        <v>4.6631151063011578E-3</v>
      </c>
      <c r="BE30" s="3519" t="s">
        <v>1508</v>
      </c>
      <c r="BF30" s="3417">
        <v>10000</v>
      </c>
      <c r="BG30" s="3274">
        <v>220840</v>
      </c>
      <c r="BH30" s="3283">
        <v>230840</v>
      </c>
      <c r="BI30" s="3284">
        <v>0.17795415555014646</v>
      </c>
      <c r="BJ30" s="3276"/>
      <c r="BK30" s="3417">
        <f t="shared" si="8"/>
        <v>0</v>
      </c>
      <c r="BL30" s="3274">
        <f t="shared" si="8"/>
        <v>0</v>
      </c>
      <c r="BM30" s="3283">
        <f t="shared" si="55"/>
        <v>0</v>
      </c>
      <c r="BN30" s="3284">
        <f t="shared" si="9"/>
        <v>0</v>
      </c>
      <c r="BO30" s="3276"/>
      <c r="BP30" s="3275"/>
      <c r="BQ30" s="3275"/>
      <c r="BR30" s="3526">
        <f t="shared" si="36"/>
        <v>0</v>
      </c>
      <c r="BS30" s="3426">
        <f t="shared" si="37"/>
        <v>0</v>
      </c>
      <c r="BT30" s="3519"/>
      <c r="BU30" s="3274"/>
      <c r="BV30" s="3274"/>
      <c r="BW30" s="3283">
        <f t="shared" si="38"/>
        <v>0</v>
      </c>
      <c r="BX30" s="3284">
        <f t="shared" si="10"/>
        <v>0</v>
      </c>
      <c r="BY30" s="3529"/>
      <c r="BZ30" s="3285"/>
      <c r="CA30" s="3285"/>
      <c r="CB30" s="3286">
        <f t="shared" si="39"/>
        <v>0</v>
      </c>
      <c r="CC30" s="3284">
        <f t="shared" si="11"/>
        <v>0</v>
      </c>
      <c r="CD30" s="3276"/>
      <c r="CE30" s="3285"/>
      <c r="CF30" s="3285"/>
      <c r="CG30" s="3286">
        <f t="shared" si="42"/>
        <v>0</v>
      </c>
      <c r="CH30" s="3284">
        <f t="shared" si="12"/>
        <v>0</v>
      </c>
      <c r="CI30" s="3276"/>
      <c r="CJ30" s="3274"/>
      <c r="CK30" s="3274"/>
      <c r="CL30" s="3274">
        <f t="shared" si="43"/>
        <v>0</v>
      </c>
      <c r="CM30" s="3284">
        <f t="shared" si="13"/>
        <v>0</v>
      </c>
      <c r="CN30" s="3276"/>
      <c r="CO30" s="3274"/>
      <c r="CP30" s="3274"/>
      <c r="CQ30" s="3274">
        <f t="shared" si="44"/>
        <v>0</v>
      </c>
      <c r="CR30" s="3284">
        <f t="shared" si="14"/>
        <v>0</v>
      </c>
      <c r="CS30" s="3276"/>
      <c r="CT30" s="3274"/>
      <c r="CU30" s="3274"/>
      <c r="CV30" s="3274">
        <f t="shared" si="45"/>
        <v>0</v>
      </c>
      <c r="CW30" s="3284">
        <f t="shared" si="15"/>
        <v>0</v>
      </c>
      <c r="CX30" s="3276"/>
      <c r="CY30" s="3274"/>
      <c r="CZ30" s="3274"/>
      <c r="DA30" s="3274">
        <f t="shared" si="46"/>
        <v>0</v>
      </c>
      <c r="DB30" s="3284">
        <f t="shared" si="16"/>
        <v>0</v>
      </c>
      <c r="DC30" s="3276"/>
      <c r="DD30" s="3274"/>
      <c r="DE30" s="3274"/>
      <c r="DF30" s="3274">
        <f t="shared" si="47"/>
        <v>0</v>
      </c>
      <c r="DG30" s="3284">
        <f t="shared" si="17"/>
        <v>0</v>
      </c>
      <c r="DH30" s="3500"/>
      <c r="DI30" s="3288"/>
      <c r="DJ30" s="3274"/>
      <c r="DK30" s="3274">
        <f t="shared" si="48"/>
        <v>0</v>
      </c>
      <c r="DL30" s="3284">
        <f t="shared" si="18"/>
        <v>0</v>
      </c>
      <c r="DM30" s="3500"/>
      <c r="DN30" s="3288"/>
      <c r="DO30" s="3274"/>
      <c r="DP30" s="3274">
        <f t="shared" si="49"/>
        <v>0</v>
      </c>
      <c r="DQ30" s="3284">
        <f t="shared" si="19"/>
        <v>0</v>
      </c>
      <c r="DR30" s="3276"/>
      <c r="DS30" s="3288"/>
      <c r="DT30" s="3274"/>
      <c r="DU30" s="3274">
        <f t="shared" si="50"/>
        <v>0</v>
      </c>
      <c r="DV30" s="3284">
        <f t="shared" si="20"/>
        <v>0</v>
      </c>
      <c r="DW30" s="3542"/>
      <c r="DX30" s="3288">
        <f t="shared" si="40"/>
        <v>10000</v>
      </c>
      <c r="DY30" s="3288">
        <f t="shared" si="40"/>
        <v>490540</v>
      </c>
      <c r="DZ30" s="3283">
        <f t="shared" si="41"/>
        <v>500540</v>
      </c>
      <c r="EA30" s="3284" t="e">
        <f t="shared" si="4"/>
        <v>#DIV/0!</v>
      </c>
      <c r="EB30" s="3295"/>
      <c r="ED30" s="1359">
        <v>284713.93</v>
      </c>
      <c r="EE30" s="3501">
        <f>ED30-BM30</f>
        <v>284713.93</v>
      </c>
      <c r="EF30" s="3260"/>
    </row>
    <row r="31" spans="1:136" s="1411" customFormat="1" ht="13.8" x14ac:dyDescent="0.25">
      <c r="A31" s="1586"/>
      <c r="B31" s="3451" t="s">
        <v>34</v>
      </c>
      <c r="C31" s="3531">
        <f>450+14464</f>
        <v>14914</v>
      </c>
      <c r="D31" s="3532">
        <f>12002.33+700</f>
        <v>12702.33</v>
      </c>
      <c r="E31" s="1074">
        <f t="shared" si="22"/>
        <v>27616.33</v>
      </c>
      <c r="F31" s="3284">
        <f t="shared" si="51"/>
        <v>1.0621789301157666E-2</v>
      </c>
      <c r="G31" s="3237" t="s">
        <v>171</v>
      </c>
      <c r="H31" s="3274">
        <v>23120.560000000001</v>
      </c>
      <c r="I31" s="3274">
        <v>24731.1</v>
      </c>
      <c r="J31" s="3283">
        <f t="shared" si="23"/>
        <v>47851.66</v>
      </c>
      <c r="K31" s="3284">
        <f t="shared" si="52"/>
        <v>3.7653514480637585E-3</v>
      </c>
      <c r="L31" s="3295"/>
      <c r="M31" s="3497">
        <v>32366.154599999998</v>
      </c>
      <c r="N31" s="3497">
        <v>2458.2799999999997</v>
      </c>
      <c r="O31" s="3512">
        <v>34824.434600000001</v>
      </c>
      <c r="P31" s="3523">
        <v>1.8068635802644699E-3</v>
      </c>
      <c r="Q31" s="1449"/>
      <c r="R31" s="3497"/>
      <c r="S31" s="3497"/>
      <c r="T31" s="3512">
        <f t="shared" si="5"/>
        <v>0</v>
      </c>
      <c r="U31" s="3523">
        <f t="shared" si="53"/>
        <v>0</v>
      </c>
      <c r="V31" s="3543"/>
      <c r="W31" s="3274">
        <v>2891.85</v>
      </c>
      <c r="X31" s="3274"/>
      <c r="Y31" s="3283">
        <f t="shared" si="24"/>
        <v>2891.85</v>
      </c>
      <c r="Z31" s="3284">
        <f t="shared" si="54"/>
        <v>1.279256458210695E-3</v>
      </c>
      <c r="AA31" s="1376" t="s">
        <v>1055</v>
      </c>
      <c r="AB31" s="3274"/>
      <c r="AC31" s="3274"/>
      <c r="AD31" s="3283">
        <f t="shared" si="25"/>
        <v>0</v>
      </c>
      <c r="AE31" s="3284">
        <f t="shared" si="6"/>
        <v>0</v>
      </c>
      <c r="AF31" s="3299"/>
      <c r="AG31" s="3274"/>
      <c r="AH31" s="3429"/>
      <c r="AI31" s="3524">
        <f t="shared" si="26"/>
        <v>0</v>
      </c>
      <c r="AJ31" s="3516">
        <f t="shared" si="7"/>
        <v>0</v>
      </c>
      <c r="AK31" s="3538"/>
      <c r="AL31" s="3283"/>
      <c r="AM31" s="3429"/>
      <c r="AN31" s="3524">
        <f t="shared" si="27"/>
        <v>0</v>
      </c>
      <c r="AO31" s="3516">
        <f t="shared" si="28"/>
        <v>0</v>
      </c>
      <c r="AP31" s="3538"/>
      <c r="AQ31" s="3288"/>
      <c r="AR31" s="3288"/>
      <c r="AS31" s="3524">
        <f t="shared" si="29"/>
        <v>0</v>
      </c>
      <c r="AT31" s="3516">
        <f t="shared" si="30"/>
        <v>0</v>
      </c>
      <c r="AU31" s="3275"/>
      <c r="AV31" s="1339"/>
      <c r="AW31" s="1344"/>
      <c r="AX31" s="3524">
        <f t="shared" si="31"/>
        <v>0</v>
      </c>
      <c r="AY31" s="3516">
        <f t="shared" si="32"/>
        <v>0</v>
      </c>
      <c r="AZ31" s="3276"/>
      <c r="BA31" s="3275">
        <v>148300</v>
      </c>
      <c r="BB31" s="1376"/>
      <c r="BC31" s="3524">
        <f t="shared" si="33"/>
        <v>148300</v>
      </c>
      <c r="BD31" s="3518">
        <f t="shared" si="34"/>
        <v>2.1870334290463686E-2</v>
      </c>
      <c r="BE31" s="1876" t="s">
        <v>1525</v>
      </c>
      <c r="BF31" s="3288">
        <v>0</v>
      </c>
      <c r="BG31" s="3274">
        <v>612.05999999999995</v>
      </c>
      <c r="BH31" s="3283">
        <v>612.05999999999995</v>
      </c>
      <c r="BI31" s="3284">
        <v>4.7183599222848138E-4</v>
      </c>
      <c r="BJ31" s="3276"/>
      <c r="BK31" s="3288">
        <f t="shared" si="8"/>
        <v>0</v>
      </c>
      <c r="BL31" s="3274">
        <f>BQ31+BV31+CA31+CF31+CK31+CP31+CU31+CZ31+DE31+DJ31+DO31+DT31</f>
        <v>0</v>
      </c>
      <c r="BM31" s="3283">
        <f t="shared" si="55"/>
        <v>0</v>
      </c>
      <c r="BN31" s="3284">
        <f t="shared" si="9"/>
        <v>0</v>
      </c>
      <c r="BO31" s="3276"/>
      <c r="BP31" s="3275"/>
      <c r="BQ31" s="1376"/>
      <c r="BR31" s="3526">
        <f t="shared" si="36"/>
        <v>0</v>
      </c>
      <c r="BS31" s="3426">
        <f t="shared" si="37"/>
        <v>0</v>
      </c>
      <c r="BT31" s="1876"/>
      <c r="BU31" s="3274"/>
      <c r="BV31" s="3274"/>
      <c r="BW31" s="3283">
        <f t="shared" si="38"/>
        <v>0</v>
      </c>
      <c r="BX31" s="3284">
        <f t="shared" si="10"/>
        <v>0</v>
      </c>
      <c r="BY31" s="3296"/>
      <c r="BZ31" s="3285"/>
      <c r="CA31" s="3285"/>
      <c r="CB31" s="3286">
        <f t="shared" si="39"/>
        <v>0</v>
      </c>
      <c r="CC31" s="3284">
        <f t="shared" si="11"/>
        <v>0</v>
      </c>
      <c r="CD31" s="3276"/>
      <c r="CE31" s="3285"/>
      <c r="CF31" s="3285"/>
      <c r="CG31" s="3286">
        <f t="shared" si="42"/>
        <v>0</v>
      </c>
      <c r="CH31" s="3284">
        <f t="shared" si="12"/>
        <v>0</v>
      </c>
      <c r="CI31" s="3276"/>
      <c r="CJ31" s="3274"/>
      <c r="CK31" s="3274"/>
      <c r="CL31" s="3274">
        <f t="shared" si="43"/>
        <v>0</v>
      </c>
      <c r="CM31" s="3284">
        <f t="shared" si="13"/>
        <v>0</v>
      </c>
      <c r="CN31" s="3297"/>
      <c r="CO31" s="3274"/>
      <c r="CP31" s="3274"/>
      <c r="CQ31" s="3274">
        <f t="shared" si="44"/>
        <v>0</v>
      </c>
      <c r="CR31" s="3284">
        <f t="shared" si="14"/>
        <v>0</v>
      </c>
      <c r="CS31" s="3297"/>
      <c r="CT31" s="3274"/>
      <c r="CU31" s="3274"/>
      <c r="CV31" s="3274">
        <f t="shared" si="45"/>
        <v>0</v>
      </c>
      <c r="CW31" s="3284">
        <f t="shared" si="15"/>
        <v>0</v>
      </c>
      <c r="CX31" s="3297"/>
      <c r="CY31" s="3274"/>
      <c r="CZ31" s="3274"/>
      <c r="DA31" s="3274">
        <f t="shared" si="46"/>
        <v>0</v>
      </c>
      <c r="DB31" s="3284">
        <f t="shared" si="16"/>
        <v>0</v>
      </c>
      <c r="DC31" s="3276"/>
      <c r="DD31" s="3274"/>
      <c r="DE31" s="3274"/>
      <c r="DF31" s="3274">
        <f t="shared" si="47"/>
        <v>0</v>
      </c>
      <c r="DG31" s="3284">
        <f t="shared" si="17"/>
        <v>0</v>
      </c>
      <c r="DH31" s="3140"/>
      <c r="DI31" s="3288"/>
      <c r="DJ31" s="3274"/>
      <c r="DK31" s="3274">
        <f t="shared" si="48"/>
        <v>0</v>
      </c>
      <c r="DL31" s="3284">
        <f t="shared" si="18"/>
        <v>0</v>
      </c>
      <c r="DM31" s="3140"/>
      <c r="DN31" s="3288"/>
      <c r="DO31" s="3274"/>
      <c r="DP31" s="3274">
        <f t="shared" si="49"/>
        <v>0</v>
      </c>
      <c r="DQ31" s="3284">
        <f t="shared" si="19"/>
        <v>0</v>
      </c>
      <c r="DR31" s="1158"/>
      <c r="DS31" s="3288"/>
      <c r="DT31" s="3274"/>
      <c r="DU31" s="3274">
        <f t="shared" si="50"/>
        <v>0</v>
      </c>
      <c r="DV31" s="3284">
        <f t="shared" si="20"/>
        <v>0</v>
      </c>
      <c r="DW31" s="3238"/>
      <c r="DX31" s="3288">
        <f t="shared" si="40"/>
        <v>151191.85</v>
      </c>
      <c r="DY31" s="3288">
        <f t="shared" si="40"/>
        <v>612.05999999999995</v>
      </c>
      <c r="DZ31" s="3283">
        <f t="shared" si="41"/>
        <v>151803.91</v>
      </c>
      <c r="EA31" s="3284" t="e">
        <f t="shared" si="4"/>
        <v>#DIV/0!</v>
      </c>
      <c r="EB31" s="3295"/>
      <c r="ED31" s="3288"/>
      <c r="EE31" s="3501">
        <f>ED31-BM31</f>
        <v>0</v>
      </c>
      <c r="EF31" s="3496"/>
    </row>
    <row r="32" spans="1:136" s="1411" customFormat="1" ht="36" customHeight="1" x14ac:dyDescent="0.25">
      <c r="A32" s="1586"/>
      <c r="B32" s="3453" t="s">
        <v>2</v>
      </c>
      <c r="C32" s="3531"/>
      <c r="D32" s="3544"/>
      <c r="E32" s="1074">
        <f t="shared" si="22"/>
        <v>0</v>
      </c>
      <c r="F32" s="3284">
        <f t="shared" si="51"/>
        <v>0</v>
      </c>
      <c r="G32" s="3237"/>
      <c r="H32" s="3274">
        <v>2800</v>
      </c>
      <c r="I32" s="3274">
        <v>0</v>
      </c>
      <c r="J32" s="3283">
        <f t="shared" si="23"/>
        <v>2800</v>
      </c>
      <c r="K32" s="3284">
        <f t="shared" si="52"/>
        <v>2.2032640152041795E-4</v>
      </c>
      <c r="L32" s="3295"/>
      <c r="M32" s="3497">
        <v>0</v>
      </c>
      <c r="N32" s="3497">
        <v>0</v>
      </c>
      <c r="O32" s="3512">
        <v>0</v>
      </c>
      <c r="P32" s="3523">
        <v>0</v>
      </c>
      <c r="Q32" s="1449"/>
      <c r="R32" s="3497"/>
      <c r="S32" s="3497"/>
      <c r="T32" s="3512">
        <f t="shared" si="5"/>
        <v>0</v>
      </c>
      <c r="U32" s="3523">
        <f t="shared" si="53"/>
        <v>0</v>
      </c>
      <c r="V32" s="3540"/>
      <c r="W32" s="3274"/>
      <c r="X32" s="3274"/>
      <c r="Y32" s="3283">
        <f t="shared" si="24"/>
        <v>0</v>
      </c>
      <c r="Z32" s="3284">
        <f>Y32/$T$89</f>
        <v>0</v>
      </c>
      <c r="AA32" s="3296"/>
      <c r="AB32" s="3274"/>
      <c r="AC32" s="3274"/>
      <c r="AD32" s="3283">
        <f t="shared" si="25"/>
        <v>0</v>
      </c>
      <c r="AE32" s="3284">
        <f t="shared" si="6"/>
        <v>0</v>
      </c>
      <c r="AF32" s="3296"/>
      <c r="AG32" s="3274"/>
      <c r="AH32" s="3429"/>
      <c r="AI32" s="3524">
        <f t="shared" si="26"/>
        <v>0</v>
      </c>
      <c r="AJ32" s="3516">
        <f t="shared" si="7"/>
        <v>0</v>
      </c>
      <c r="AK32" s="3525"/>
      <c r="AL32" s="3274"/>
      <c r="AM32" s="3429"/>
      <c r="AN32" s="3524">
        <f t="shared" si="27"/>
        <v>0</v>
      </c>
      <c r="AO32" s="3516">
        <f t="shared" si="28"/>
        <v>0</v>
      </c>
      <c r="AP32" s="3525"/>
      <c r="AQ32" s="3288"/>
      <c r="AR32" s="3288"/>
      <c r="AS32" s="3524">
        <f t="shared" si="29"/>
        <v>0</v>
      </c>
      <c r="AT32" s="3516">
        <f t="shared" si="30"/>
        <v>0</v>
      </c>
      <c r="AU32" s="3275"/>
      <c r="AV32" s="1341"/>
      <c r="AW32" s="1341"/>
      <c r="AX32" s="3524">
        <f t="shared" si="31"/>
        <v>0</v>
      </c>
      <c r="AY32" s="3516">
        <f t="shared" si="32"/>
        <v>0</v>
      </c>
      <c r="AZ32" s="3276"/>
      <c r="BA32" s="3275"/>
      <c r="BB32" s="1608"/>
      <c r="BC32" s="3524">
        <f t="shared" si="33"/>
        <v>0</v>
      </c>
      <c r="BD32" s="3518">
        <f t="shared" si="34"/>
        <v>0</v>
      </c>
      <c r="BE32" s="1875"/>
      <c r="BF32" s="3288">
        <v>15746.07</v>
      </c>
      <c r="BG32" s="3274">
        <v>0</v>
      </c>
      <c r="BH32" s="3283">
        <v>15746.07</v>
      </c>
      <c r="BI32" s="3284">
        <v>1.2138618047493912E-2</v>
      </c>
      <c r="BJ32" s="3276"/>
      <c r="BK32" s="3288">
        <f t="shared" si="8"/>
        <v>0</v>
      </c>
      <c r="BL32" s="3274">
        <f t="shared" si="8"/>
        <v>0</v>
      </c>
      <c r="BM32" s="3283">
        <f t="shared" si="55"/>
        <v>0</v>
      </c>
      <c r="BN32" s="3284">
        <f t="shared" si="9"/>
        <v>0</v>
      </c>
      <c r="BO32" s="3276"/>
      <c r="BP32" s="3275"/>
      <c r="BQ32" s="1608"/>
      <c r="BR32" s="3526">
        <f t="shared" si="36"/>
        <v>0</v>
      </c>
      <c r="BS32" s="3426">
        <f t="shared" si="37"/>
        <v>0</v>
      </c>
      <c r="BT32" s="1875"/>
      <c r="BU32" s="3274"/>
      <c r="BV32" s="3274"/>
      <c r="BW32" s="3283">
        <f t="shared" si="38"/>
        <v>0</v>
      </c>
      <c r="BX32" s="3284">
        <f t="shared" si="10"/>
        <v>0</v>
      </c>
      <c r="BY32" s="3276"/>
      <c r="BZ32" s="3285"/>
      <c r="CA32" s="3285"/>
      <c r="CB32" s="3286">
        <f t="shared" si="39"/>
        <v>0</v>
      </c>
      <c r="CC32" s="3284">
        <f t="shared" si="11"/>
        <v>0</v>
      </c>
      <c r="CD32" s="3276"/>
      <c r="CE32" s="3285"/>
      <c r="CF32" s="3285"/>
      <c r="CG32" s="3286">
        <f t="shared" si="42"/>
        <v>0</v>
      </c>
      <c r="CH32" s="3284">
        <f t="shared" si="12"/>
        <v>0</v>
      </c>
      <c r="CI32" s="3276"/>
      <c r="CJ32" s="3274"/>
      <c r="CK32" s="3274"/>
      <c r="CL32" s="3274">
        <f t="shared" si="43"/>
        <v>0</v>
      </c>
      <c r="CM32" s="3284">
        <f t="shared" si="13"/>
        <v>0</v>
      </c>
      <c r="CN32" s="3291"/>
      <c r="CO32" s="3274"/>
      <c r="CP32" s="3274"/>
      <c r="CQ32" s="3274">
        <f t="shared" si="44"/>
        <v>0</v>
      </c>
      <c r="CR32" s="3284">
        <f t="shared" si="14"/>
        <v>0</v>
      </c>
      <c r="CS32" s="3291"/>
      <c r="CT32" s="3274"/>
      <c r="CU32" s="3274"/>
      <c r="CV32" s="3274">
        <f t="shared" si="45"/>
        <v>0</v>
      </c>
      <c r="CW32" s="3284">
        <f t="shared" si="15"/>
        <v>0</v>
      </c>
      <c r="CX32" s="3291"/>
      <c r="CY32" s="3274"/>
      <c r="CZ32" s="3274"/>
      <c r="DA32" s="3274">
        <f t="shared" si="46"/>
        <v>0</v>
      </c>
      <c r="DB32" s="3284">
        <f t="shared" si="16"/>
        <v>0</v>
      </c>
      <c r="DC32" s="3291"/>
      <c r="DD32" s="3274"/>
      <c r="DE32" s="3274"/>
      <c r="DF32" s="3274">
        <f t="shared" si="47"/>
        <v>0</v>
      </c>
      <c r="DG32" s="3284">
        <f t="shared" si="17"/>
        <v>0</v>
      </c>
      <c r="DH32" s="3545"/>
      <c r="DI32" s="3288"/>
      <c r="DJ32" s="3274"/>
      <c r="DK32" s="3274">
        <f t="shared" si="48"/>
        <v>0</v>
      </c>
      <c r="DL32" s="3284">
        <f t="shared" si="18"/>
        <v>0</v>
      </c>
      <c r="DM32" s="3545"/>
      <c r="DN32" s="3288"/>
      <c r="DO32" s="3274"/>
      <c r="DP32" s="3274">
        <f t="shared" si="49"/>
        <v>0</v>
      </c>
      <c r="DQ32" s="3284">
        <f t="shared" si="19"/>
        <v>0</v>
      </c>
      <c r="DR32" s="3291"/>
      <c r="DS32" s="3288"/>
      <c r="DT32" s="3274"/>
      <c r="DU32" s="3274">
        <f t="shared" si="50"/>
        <v>0</v>
      </c>
      <c r="DV32" s="3284">
        <f t="shared" si="20"/>
        <v>0</v>
      </c>
      <c r="DW32" s="3519"/>
      <c r="DX32" s="3288">
        <f t="shared" si="40"/>
        <v>15746.07</v>
      </c>
      <c r="DY32" s="3288">
        <f t="shared" si="40"/>
        <v>0</v>
      </c>
      <c r="DZ32" s="3283">
        <f t="shared" si="41"/>
        <v>15746.07</v>
      </c>
      <c r="EA32" s="3284" t="e">
        <f t="shared" si="4"/>
        <v>#DIV/0!</v>
      </c>
      <c r="EB32" s="3295"/>
      <c r="ED32" s="1359">
        <v>27730.66</v>
      </c>
      <c r="EE32" s="3501">
        <f>ED32-BM32</f>
        <v>27730.66</v>
      </c>
      <c r="EF32" s="3260"/>
    </row>
    <row r="33" spans="1:136" s="1411" customFormat="1" ht="28.95" customHeight="1" thickBot="1" x14ac:dyDescent="0.3">
      <c r="A33" s="1586"/>
      <c r="B33" s="2855" t="s">
        <v>75</v>
      </c>
      <c r="C33" s="3546"/>
      <c r="D33" s="3547"/>
      <c r="E33" s="510">
        <f t="shared" si="22"/>
        <v>0</v>
      </c>
      <c r="F33" s="2883">
        <f t="shared" si="51"/>
        <v>0</v>
      </c>
      <c r="G33" s="511"/>
      <c r="H33" s="3314">
        <v>0</v>
      </c>
      <c r="I33" s="3314">
        <v>4500</v>
      </c>
      <c r="J33" s="3305">
        <f t="shared" si="23"/>
        <v>4500</v>
      </c>
      <c r="K33" s="2883">
        <f t="shared" si="52"/>
        <v>3.5409600244352887E-4</v>
      </c>
      <c r="L33" s="2885"/>
      <c r="M33" s="3548">
        <v>0</v>
      </c>
      <c r="N33" s="3548">
        <v>0</v>
      </c>
      <c r="O33" s="3549">
        <v>0</v>
      </c>
      <c r="P33" s="3550">
        <v>0</v>
      </c>
      <c r="Q33" s="913"/>
      <c r="R33" s="3548"/>
      <c r="S33" s="3548"/>
      <c r="T33" s="3549">
        <f t="shared" si="5"/>
        <v>0</v>
      </c>
      <c r="U33" s="3550">
        <f t="shared" si="53"/>
        <v>0</v>
      </c>
      <c r="V33" s="3551"/>
      <c r="W33" s="3314"/>
      <c r="X33" s="3314"/>
      <c r="Y33" s="3305">
        <f t="shared" si="24"/>
        <v>0</v>
      </c>
      <c r="Z33" s="2883">
        <f>Y33/$T$89</f>
        <v>0</v>
      </c>
      <c r="AA33" s="2884"/>
      <c r="AB33" s="3314"/>
      <c r="AC33" s="3314">
        <v>166493</v>
      </c>
      <c r="AD33" s="3305">
        <f t="shared" si="25"/>
        <v>166493</v>
      </c>
      <c r="AE33" s="2883">
        <f t="shared" si="6"/>
        <v>0.19864432842628979</v>
      </c>
      <c r="AF33" s="3552" t="s">
        <v>1082</v>
      </c>
      <c r="AG33" s="3300"/>
      <c r="AH33" s="3553"/>
      <c r="AI33" s="3554">
        <f t="shared" si="26"/>
        <v>0</v>
      </c>
      <c r="AJ33" s="3555">
        <f t="shared" si="7"/>
        <v>0</v>
      </c>
      <c r="AK33" s="3556"/>
      <c r="AL33" s="3314"/>
      <c r="AM33" s="3557"/>
      <c r="AN33" s="3554">
        <f t="shared" si="27"/>
        <v>0</v>
      </c>
      <c r="AO33" s="3555">
        <f t="shared" si="28"/>
        <v>0</v>
      </c>
      <c r="AP33" s="3558"/>
      <c r="AQ33" s="3323"/>
      <c r="AR33" s="3323">
        <v>9000</v>
      </c>
      <c r="AS33" s="3554">
        <f t="shared" si="29"/>
        <v>9000</v>
      </c>
      <c r="AT33" s="3555">
        <f t="shared" si="30"/>
        <v>1.4273439482054479E-3</v>
      </c>
      <c r="AU33" s="3552" t="s">
        <v>1356</v>
      </c>
      <c r="AV33" s="1345"/>
      <c r="AW33" s="1345"/>
      <c r="AX33" s="3554">
        <f t="shared" si="31"/>
        <v>0</v>
      </c>
      <c r="AY33" s="3555">
        <f t="shared" si="32"/>
        <v>0</v>
      </c>
      <c r="AZ33" s="1332"/>
      <c r="BA33" s="1332"/>
      <c r="BB33" s="1332"/>
      <c r="BC33" s="3554">
        <f t="shared" si="33"/>
        <v>0</v>
      </c>
      <c r="BD33" s="3559">
        <f t="shared" si="34"/>
        <v>0</v>
      </c>
      <c r="BE33" s="1877"/>
      <c r="BF33" s="3288">
        <v>0</v>
      </c>
      <c r="BG33" s="3274">
        <v>0</v>
      </c>
      <c r="BH33" s="3362">
        <v>0</v>
      </c>
      <c r="BI33" s="3228">
        <v>0</v>
      </c>
      <c r="BJ33" s="3276"/>
      <c r="BK33" s="3288">
        <f t="shared" si="8"/>
        <v>0</v>
      </c>
      <c r="BL33" s="3274">
        <f t="shared" si="8"/>
        <v>0</v>
      </c>
      <c r="BM33" s="3362">
        <f t="shared" si="55"/>
        <v>0</v>
      </c>
      <c r="BN33" s="3228">
        <f t="shared" si="9"/>
        <v>0</v>
      </c>
      <c r="BO33" s="3276"/>
      <c r="BP33" s="1332"/>
      <c r="BQ33" s="1332"/>
      <c r="BR33" s="3560">
        <f t="shared" si="36"/>
        <v>0</v>
      </c>
      <c r="BS33" s="3026">
        <f t="shared" si="37"/>
        <v>0</v>
      </c>
      <c r="BT33" s="1877"/>
      <c r="BU33" s="3314"/>
      <c r="BV33" s="3314"/>
      <c r="BW33" s="3305">
        <f t="shared" si="38"/>
        <v>0</v>
      </c>
      <c r="BX33" s="3026">
        <f t="shared" si="10"/>
        <v>0</v>
      </c>
      <c r="BY33" s="2885"/>
      <c r="BZ33" s="3363"/>
      <c r="CA33" s="3363"/>
      <c r="CB33" s="3364">
        <f t="shared" si="39"/>
        <v>0</v>
      </c>
      <c r="CC33" s="3228">
        <f t="shared" si="11"/>
        <v>0</v>
      </c>
      <c r="CD33" s="3216"/>
      <c r="CE33" s="3363"/>
      <c r="CF33" s="3363"/>
      <c r="CG33" s="3364">
        <f t="shared" si="42"/>
        <v>0</v>
      </c>
      <c r="CH33" s="3026">
        <f t="shared" si="12"/>
        <v>0</v>
      </c>
      <c r="CI33" s="3561"/>
      <c r="CJ33" s="3363"/>
      <c r="CK33" s="3363"/>
      <c r="CL33" s="3364">
        <f t="shared" si="43"/>
        <v>0</v>
      </c>
      <c r="CM33" s="3228">
        <f t="shared" si="13"/>
        <v>0</v>
      </c>
      <c r="CN33" s="3216"/>
      <c r="CO33" s="3363"/>
      <c r="CP33" s="3363"/>
      <c r="CQ33" s="3363">
        <f t="shared" si="44"/>
        <v>0</v>
      </c>
      <c r="CR33" s="3228">
        <f t="shared" si="14"/>
        <v>0</v>
      </c>
      <c r="CS33" s="3216"/>
      <c r="CT33" s="3363"/>
      <c r="CU33" s="3363"/>
      <c r="CV33" s="3363">
        <f t="shared" si="45"/>
        <v>0</v>
      </c>
      <c r="CW33" s="3228">
        <f t="shared" si="15"/>
        <v>0</v>
      </c>
      <c r="CX33" s="3216"/>
      <c r="CY33" s="3363"/>
      <c r="CZ33" s="3363"/>
      <c r="DA33" s="3363">
        <f t="shared" si="46"/>
        <v>0</v>
      </c>
      <c r="DB33" s="3228">
        <f t="shared" si="16"/>
        <v>0</v>
      </c>
      <c r="DC33" s="3216"/>
      <c r="DD33" s="3363"/>
      <c r="DE33" s="3363"/>
      <c r="DF33" s="3363">
        <f t="shared" si="47"/>
        <v>0</v>
      </c>
      <c r="DG33" s="3228">
        <f t="shared" si="17"/>
        <v>0</v>
      </c>
      <c r="DH33" s="3562"/>
      <c r="DI33" s="3563"/>
      <c r="DJ33" s="3363"/>
      <c r="DK33" s="3363">
        <f t="shared" si="48"/>
        <v>0</v>
      </c>
      <c r="DL33" s="3228">
        <f t="shared" si="18"/>
        <v>0</v>
      </c>
      <c r="DM33" s="3562"/>
      <c r="DN33" s="3563"/>
      <c r="DO33" s="3363"/>
      <c r="DP33" s="3363">
        <f t="shared" si="49"/>
        <v>0</v>
      </c>
      <c r="DQ33" s="3228">
        <f t="shared" si="19"/>
        <v>0</v>
      </c>
      <c r="DR33" s="3564"/>
      <c r="DS33" s="3563"/>
      <c r="DT33" s="3363"/>
      <c r="DU33" s="3363">
        <f t="shared" si="50"/>
        <v>0</v>
      </c>
      <c r="DV33" s="3228">
        <f t="shared" si="20"/>
        <v>0</v>
      </c>
      <c r="DW33" s="3565"/>
      <c r="DX33" s="3300">
        <f t="shared" si="40"/>
        <v>0</v>
      </c>
      <c r="DY33" s="3300">
        <f t="shared" si="40"/>
        <v>175493</v>
      </c>
      <c r="DZ33" s="3302">
        <f t="shared" si="41"/>
        <v>175493</v>
      </c>
      <c r="EA33" s="2883" t="e">
        <f t="shared" si="4"/>
        <v>#DIV/0!</v>
      </c>
      <c r="EB33" s="2885"/>
      <c r="ED33" s="3288"/>
      <c r="EE33" s="3288"/>
      <c r="EF33" s="3496"/>
    </row>
    <row r="34" spans="1:136" s="1411" customFormat="1" ht="13.8" x14ac:dyDescent="0.25">
      <c r="A34" s="1586"/>
      <c r="B34" s="1631"/>
      <c r="C34" s="3566"/>
      <c r="D34" s="3306"/>
      <c r="E34" s="3306"/>
      <c r="F34" s="1168">
        <f t="shared" si="51"/>
        <v>0</v>
      </c>
      <c r="G34" s="3240"/>
      <c r="H34" s="3306"/>
      <c r="I34" s="3306"/>
      <c r="J34" s="3306"/>
      <c r="K34" s="3306"/>
      <c r="L34" s="3306"/>
      <c r="M34" s="3497"/>
      <c r="N34" s="3497"/>
      <c r="O34" s="3567"/>
      <c r="P34" s="3567"/>
      <c r="Q34" s="3306"/>
      <c r="R34" s="3497"/>
      <c r="S34" s="3497"/>
      <c r="T34" s="3567"/>
      <c r="U34" s="3567"/>
      <c r="V34" s="3567"/>
      <c r="W34" s="3274"/>
      <c r="X34" s="3274"/>
      <c r="Y34" s="3306"/>
      <c r="Z34" s="3306"/>
      <c r="AA34" s="3306"/>
      <c r="AB34" s="3274"/>
      <c r="AC34" s="3274"/>
      <c r="AD34" s="3306"/>
      <c r="AE34" s="3306"/>
      <c r="AF34" s="3568"/>
      <c r="AG34" s="3569"/>
      <c r="AH34" s="3570"/>
      <c r="AI34" s="3571"/>
      <c r="AJ34" s="624"/>
      <c r="AK34" s="3572"/>
      <c r="AL34" s="3569"/>
      <c r="AM34" s="3570"/>
      <c r="AN34" s="3571"/>
      <c r="AO34" s="624">
        <f t="shared" ref="AO34:AO40" si="56">AN34/$AI$89</f>
        <v>0</v>
      </c>
      <c r="AP34" s="3572"/>
      <c r="AQ34" s="3306"/>
      <c r="AR34" s="3306"/>
      <c r="AS34" s="3571"/>
      <c r="AT34" s="624">
        <f t="shared" ref="AT34:AT40" si="57">AS34/$AI$89</f>
        <v>0</v>
      </c>
      <c r="AU34" s="3306"/>
      <c r="AV34" s="3456"/>
      <c r="AW34" s="3573"/>
      <c r="AX34" s="3571"/>
      <c r="AY34" s="624">
        <f>AX34/$AI$89</f>
        <v>0</v>
      </c>
      <c r="AZ34" s="3365"/>
      <c r="BA34" s="3306"/>
      <c r="BB34" s="3306"/>
      <c r="BC34" s="3571"/>
      <c r="BD34" s="1362">
        <f t="shared" si="34"/>
        <v>0</v>
      </c>
      <c r="BE34" s="3566"/>
      <c r="BF34" s="3279"/>
      <c r="BG34" s="3280"/>
      <c r="BH34" s="3365"/>
      <c r="BI34" s="3365"/>
      <c r="BJ34" s="3365"/>
      <c r="BK34" s="3279"/>
      <c r="BL34" s="3280"/>
      <c r="BM34" s="3365"/>
      <c r="BN34" s="3365"/>
      <c r="BO34" s="3365"/>
      <c r="BP34" s="3306"/>
      <c r="BQ34" s="3306"/>
      <c r="BR34" s="3574"/>
      <c r="BS34" s="3566">
        <f t="shared" si="37"/>
        <v>0</v>
      </c>
      <c r="BT34" s="3566"/>
      <c r="BU34" s="3274"/>
      <c r="BV34" s="3274"/>
      <c r="BW34" s="3306"/>
      <c r="BX34" s="3306"/>
      <c r="BY34" s="3306"/>
      <c r="BZ34" s="3274"/>
      <c r="CA34" s="3274"/>
      <c r="CB34" s="3306"/>
      <c r="CC34" s="3365"/>
      <c r="CD34" s="3306"/>
      <c r="CE34" s="3274"/>
      <c r="CF34" s="3274"/>
      <c r="CG34" s="3306"/>
      <c r="CH34" s="3306"/>
      <c r="CI34" s="3276"/>
      <c r="CJ34" s="3274"/>
      <c r="CK34" s="3274"/>
      <c r="CL34" s="3306"/>
      <c r="CM34" s="3365"/>
      <c r="CN34" s="3306"/>
      <c r="CO34" s="3274"/>
      <c r="CP34" s="3274"/>
      <c r="CQ34" s="3274">
        <f t="shared" si="44"/>
        <v>0</v>
      </c>
      <c r="CR34" s="3365"/>
      <c r="CS34" s="3306"/>
      <c r="CT34" s="3274"/>
      <c r="CU34" s="3274"/>
      <c r="CV34" s="3274">
        <f t="shared" si="45"/>
        <v>0</v>
      </c>
      <c r="CW34" s="3365"/>
      <c r="CX34" s="3306"/>
      <c r="CY34" s="3274"/>
      <c r="CZ34" s="3274"/>
      <c r="DA34" s="3274">
        <f t="shared" si="46"/>
        <v>0</v>
      </c>
      <c r="DB34" s="3365"/>
      <c r="DC34" s="3306"/>
      <c r="DD34" s="3274"/>
      <c r="DE34" s="3274"/>
      <c r="DF34" s="3274">
        <f t="shared" si="47"/>
        <v>0</v>
      </c>
      <c r="DG34" s="3365"/>
      <c r="DH34" s="3568"/>
      <c r="DI34" s="3288"/>
      <c r="DJ34" s="3274"/>
      <c r="DK34" s="3274">
        <f t="shared" si="48"/>
        <v>0</v>
      </c>
      <c r="DL34" s="3365"/>
      <c r="DM34" s="3568"/>
      <c r="DN34" s="3288"/>
      <c r="DO34" s="3274"/>
      <c r="DP34" s="3274">
        <f t="shared" si="49"/>
        <v>0</v>
      </c>
      <c r="DQ34" s="3365"/>
      <c r="DR34" s="3306"/>
      <c r="DS34" s="3288"/>
      <c r="DT34" s="3274"/>
      <c r="DU34" s="3274">
        <f t="shared" si="50"/>
        <v>0</v>
      </c>
      <c r="DV34" s="3365"/>
      <c r="DW34" s="3566"/>
      <c r="DX34" s="3288">
        <f>R34+W34+AB34+AG34+AL34+AQ34+AV34+BA34+BP34+BU34+BZ34+CE34+CJ34+CO34+CT34</f>
        <v>0</v>
      </c>
      <c r="DY34" s="3274">
        <f>S34+X34+AC34+AH34+AM34+AR34+AW34+BB34+BQ34+BV34+CA34+CF34+CK34+CP34+CU34</f>
        <v>0</v>
      </c>
      <c r="DZ34" s="3306"/>
      <c r="EA34" s="3306"/>
      <c r="EB34" s="3306"/>
      <c r="ED34" s="3288"/>
      <c r="EE34" s="3288"/>
      <c r="EF34" s="3496"/>
    </row>
    <row r="35" spans="1:136" s="2483" customFormat="1" ht="13.8" x14ac:dyDescent="0.25">
      <c r="A35" s="1586"/>
      <c r="B35" s="3307" t="s">
        <v>80</v>
      </c>
      <c r="C35" s="3308">
        <f>C36</f>
        <v>0</v>
      </c>
      <c r="D35" s="3308">
        <f>D36</f>
        <v>0</v>
      </c>
      <c r="E35" s="3309">
        <f>E36</f>
        <v>0</v>
      </c>
      <c r="F35" s="3575">
        <f t="shared" si="51"/>
        <v>0</v>
      </c>
      <c r="G35" s="3576"/>
      <c r="H35" s="3308">
        <f>H36</f>
        <v>0</v>
      </c>
      <c r="I35" s="3308">
        <f>I36</f>
        <v>0</v>
      </c>
      <c r="J35" s="3309">
        <f>J36</f>
        <v>0</v>
      </c>
      <c r="K35" s="3309"/>
      <c r="L35" s="3309"/>
      <c r="M35" s="3577">
        <v>0</v>
      </c>
      <c r="N35" s="3577">
        <v>0</v>
      </c>
      <c r="O35" s="3578">
        <v>0</v>
      </c>
      <c r="P35" s="3578"/>
      <c r="Q35" s="3308"/>
      <c r="R35" s="3577">
        <f>R36</f>
        <v>0</v>
      </c>
      <c r="S35" s="3577">
        <f>S36</f>
        <v>0</v>
      </c>
      <c r="T35" s="3578">
        <f>T36</f>
        <v>0</v>
      </c>
      <c r="U35" s="3578"/>
      <c r="V35" s="3578"/>
      <c r="W35" s="3308">
        <f>W36</f>
        <v>0</v>
      </c>
      <c r="X35" s="3308">
        <f>X36</f>
        <v>0</v>
      </c>
      <c r="Y35" s="3309">
        <f>Y36</f>
        <v>0</v>
      </c>
      <c r="Z35" s="3309"/>
      <c r="AA35" s="3309"/>
      <c r="AB35" s="3308">
        <f>AB36</f>
        <v>0</v>
      </c>
      <c r="AC35" s="3308">
        <f>AC36</f>
        <v>0</v>
      </c>
      <c r="AD35" s="3309">
        <f>AD36</f>
        <v>0</v>
      </c>
      <c r="AE35" s="3309"/>
      <c r="AF35" s="3308"/>
      <c r="AG35" s="3579">
        <f>AG36</f>
        <v>0</v>
      </c>
      <c r="AH35" s="3580">
        <f>AH36</f>
        <v>0</v>
      </c>
      <c r="AI35" s="3580">
        <f>AI36</f>
        <v>0</v>
      </c>
      <c r="AJ35" s="3581">
        <f t="shared" si="7"/>
        <v>0</v>
      </c>
      <c r="AK35" s="3582"/>
      <c r="AL35" s="3579">
        <f>AL36</f>
        <v>144616</v>
      </c>
      <c r="AM35" s="3580">
        <f>AM36</f>
        <v>0</v>
      </c>
      <c r="AN35" s="3580">
        <f>AN36</f>
        <v>144616</v>
      </c>
      <c r="AO35" s="3581">
        <f t="shared" si="56"/>
        <v>0.1336949503996599</v>
      </c>
      <c r="AP35" s="3582"/>
      <c r="AQ35" s="3392"/>
      <c r="AR35" s="3392"/>
      <c r="AS35" s="3580">
        <f>AS36</f>
        <v>37302</v>
      </c>
      <c r="AT35" s="3581">
        <f t="shared" si="57"/>
        <v>3.4485043424020256E-2</v>
      </c>
      <c r="AU35" s="3392"/>
      <c r="AV35" s="3309"/>
      <c r="AW35" s="3392"/>
      <c r="AX35" s="3580">
        <f>AX36</f>
        <v>6914</v>
      </c>
      <c r="AY35" s="3581">
        <f>AX35/$AI$89</f>
        <v>6.3918714876863457E-3</v>
      </c>
      <c r="AZ35" s="3583"/>
      <c r="BA35" s="3392"/>
      <c r="BB35" s="3392"/>
      <c r="BC35" s="3580">
        <f>BC36</f>
        <v>40560</v>
      </c>
      <c r="BD35" s="3584">
        <f t="shared" si="34"/>
        <v>5.9815290547620163E-3</v>
      </c>
      <c r="BE35" s="3309"/>
      <c r="BF35" s="3308">
        <v>115647.86</v>
      </c>
      <c r="BG35" s="3308">
        <v>0</v>
      </c>
      <c r="BH35" s="3309">
        <v>115647.86</v>
      </c>
      <c r="BI35" s="3309">
        <v>8.9152734653792934E-2</v>
      </c>
      <c r="BJ35" s="3309"/>
      <c r="BK35" s="3308">
        <f>BK36</f>
        <v>0</v>
      </c>
      <c r="BL35" s="3308">
        <f>BL36</f>
        <v>0</v>
      </c>
      <c r="BM35" s="3309">
        <f>BM36</f>
        <v>0</v>
      </c>
      <c r="BN35" s="3309">
        <f t="shared" ref="BN35:BN36" si="58">BM35/$T$89</f>
        <v>0</v>
      </c>
      <c r="BO35" s="3309"/>
      <c r="BP35" s="3392"/>
      <c r="BQ35" s="3392"/>
      <c r="BR35" s="3585">
        <f>BR36</f>
        <v>0</v>
      </c>
      <c r="BS35" s="3309">
        <f t="shared" si="37"/>
        <v>0</v>
      </c>
      <c r="BT35" s="3309"/>
      <c r="BU35" s="3308">
        <f>BU36</f>
        <v>0</v>
      </c>
      <c r="BV35" s="3308">
        <f>BV36</f>
        <v>0</v>
      </c>
      <c r="BW35" s="3309">
        <f>BW36</f>
        <v>0</v>
      </c>
      <c r="BX35" s="3309">
        <f>BW35/$E$89</f>
        <v>0</v>
      </c>
      <c r="BY35" s="3309"/>
      <c r="BZ35" s="3308">
        <f>BZ36</f>
        <v>0</v>
      </c>
      <c r="CA35" s="3308">
        <f>CA36</f>
        <v>0</v>
      </c>
      <c r="CB35" s="3309">
        <f>CB36</f>
        <v>0</v>
      </c>
      <c r="CC35" s="3309">
        <f>CB35/$AD$89</f>
        <v>0</v>
      </c>
      <c r="CD35" s="3309"/>
      <c r="CE35" s="3308">
        <f>CE36</f>
        <v>0</v>
      </c>
      <c r="CF35" s="3308">
        <f>CF36</f>
        <v>0</v>
      </c>
      <c r="CG35" s="3309">
        <f>CG36</f>
        <v>0</v>
      </c>
      <c r="CH35" s="3309">
        <f>CG35/$AD$89</f>
        <v>0</v>
      </c>
      <c r="CI35" s="3309"/>
      <c r="CJ35" s="3308">
        <f>CJ36</f>
        <v>0</v>
      </c>
      <c r="CK35" s="3308">
        <f>CK36</f>
        <v>0</v>
      </c>
      <c r="CL35" s="3309">
        <f>CL36</f>
        <v>0</v>
      </c>
      <c r="CM35" s="3309">
        <f>CL35/$AD$89</f>
        <v>0</v>
      </c>
      <c r="CN35" s="3309"/>
      <c r="CO35" s="3308">
        <f>CO36</f>
        <v>0</v>
      </c>
      <c r="CP35" s="3308">
        <f>CP36</f>
        <v>0</v>
      </c>
      <c r="CQ35" s="3309">
        <f>CO35+CP35*1</f>
        <v>0</v>
      </c>
      <c r="CR35" s="3309">
        <f>CQ35/$AD$89</f>
        <v>0</v>
      </c>
      <c r="CS35" s="3309"/>
      <c r="CT35" s="3308">
        <f>CT36</f>
        <v>0</v>
      </c>
      <c r="CU35" s="3308">
        <f>CU36</f>
        <v>0</v>
      </c>
      <c r="CV35" s="3309">
        <f>CT35+CU35*1</f>
        <v>0</v>
      </c>
      <c r="CW35" s="3309">
        <f>CV35/$AD$89</f>
        <v>0</v>
      </c>
      <c r="CX35" s="3309"/>
      <c r="CY35" s="3308">
        <f>CY36</f>
        <v>0</v>
      </c>
      <c r="CZ35" s="3308">
        <f>CZ36</f>
        <v>0</v>
      </c>
      <c r="DA35" s="3309">
        <f>CY35+CZ35*1</f>
        <v>0</v>
      </c>
      <c r="DB35" s="3309">
        <f>DA35/$AD$89</f>
        <v>0</v>
      </c>
      <c r="DC35" s="3136"/>
      <c r="DD35" s="3308">
        <f>DD36</f>
        <v>0</v>
      </c>
      <c r="DE35" s="3308">
        <f>DE36</f>
        <v>0</v>
      </c>
      <c r="DF35" s="3309">
        <f>DD35+DE35*1</f>
        <v>0</v>
      </c>
      <c r="DG35" s="3309">
        <f>DF35/$AD$89</f>
        <v>0</v>
      </c>
      <c r="DH35" s="3141"/>
      <c r="DI35" s="3308">
        <f>DI36</f>
        <v>0</v>
      </c>
      <c r="DJ35" s="3308">
        <f>DJ36</f>
        <v>0</v>
      </c>
      <c r="DK35" s="3309">
        <f>DI35+DJ35*1</f>
        <v>0</v>
      </c>
      <c r="DL35" s="3309">
        <f>DK35/$AD$89</f>
        <v>0</v>
      </c>
      <c r="DM35" s="3141"/>
      <c r="DN35" s="3308">
        <f>DN36</f>
        <v>0</v>
      </c>
      <c r="DO35" s="3308">
        <f>DO36</f>
        <v>0</v>
      </c>
      <c r="DP35" s="3309">
        <f>DN35+DO35*1</f>
        <v>0</v>
      </c>
      <c r="DQ35" s="3309">
        <f>DP35/$AD$89</f>
        <v>0</v>
      </c>
      <c r="DR35" s="3136"/>
      <c r="DS35" s="3308">
        <f>DS36</f>
        <v>0</v>
      </c>
      <c r="DT35" s="3308">
        <f>DT36</f>
        <v>0</v>
      </c>
      <c r="DU35" s="3309">
        <f>DS35+DT35*1</f>
        <v>0</v>
      </c>
      <c r="DV35" s="3309">
        <f>DU35/$AD$89</f>
        <v>0</v>
      </c>
      <c r="DW35" s="3241"/>
      <c r="DX35" s="3308">
        <f>DX36</f>
        <v>345039.86</v>
      </c>
      <c r="DY35" s="3309">
        <f>DY36</f>
        <v>0</v>
      </c>
      <c r="DZ35" s="3309">
        <f>DZ36</f>
        <v>345039.86</v>
      </c>
      <c r="EA35" s="3309"/>
      <c r="EB35" s="3309"/>
      <c r="ED35" s="3308">
        <f>ED36</f>
        <v>167261.6</v>
      </c>
      <c r="EE35" s="3309">
        <f>EE36</f>
        <v>167261.6</v>
      </c>
      <c r="EF35" s="3496"/>
    </row>
    <row r="36" spans="1:136" s="1411" customFormat="1" ht="55.2" x14ac:dyDescent="0.25">
      <c r="A36" s="1586"/>
      <c r="B36" s="3310" t="s">
        <v>81</v>
      </c>
      <c r="C36" s="3586"/>
      <c r="D36" s="3311"/>
      <c r="E36" s="1074">
        <f>C36+D36*1</f>
        <v>0</v>
      </c>
      <c r="F36" s="3284">
        <f t="shared" si="51"/>
        <v>0</v>
      </c>
      <c r="G36" s="3242"/>
      <c r="H36" s="3274"/>
      <c r="I36" s="3274"/>
      <c r="J36" s="2028">
        <f>H36+I36*1</f>
        <v>0</v>
      </c>
      <c r="K36" s="3284">
        <f>J36/$J$89</f>
        <v>0</v>
      </c>
      <c r="L36" s="3311"/>
      <c r="M36" s="3497">
        <v>0</v>
      </c>
      <c r="N36" s="3497">
        <v>0</v>
      </c>
      <c r="O36" s="3498">
        <v>0</v>
      </c>
      <c r="P36" s="3523">
        <v>0</v>
      </c>
      <c r="Q36" s="3321"/>
      <c r="R36" s="3497"/>
      <c r="S36" s="3497"/>
      <c r="T36" s="3498">
        <f>R36+S36*1</f>
        <v>0</v>
      </c>
      <c r="U36" s="3523">
        <f>T36/$T$89</f>
        <v>0</v>
      </c>
      <c r="V36" s="3587"/>
      <c r="W36" s="3274"/>
      <c r="X36" s="3274"/>
      <c r="Y36" s="2028">
        <f>W36+X36*1</f>
        <v>0</v>
      </c>
      <c r="Z36" s="3284">
        <f>Y36/$T$89</f>
        <v>0</v>
      </c>
      <c r="AA36" s="3311"/>
      <c r="AB36" s="3274"/>
      <c r="AC36" s="3274"/>
      <c r="AD36" s="2028">
        <f>AB36+AC36*1</f>
        <v>0</v>
      </c>
      <c r="AE36" s="3284">
        <f>AD36/$T$89</f>
        <v>0</v>
      </c>
      <c r="AF36" s="3588"/>
      <c r="AG36" s="3274"/>
      <c r="AH36" s="3589"/>
      <c r="AI36" s="3590">
        <f>AG36+AH36*1</f>
        <v>0</v>
      </c>
      <c r="AJ36" s="3516">
        <f t="shared" si="7"/>
        <v>0</v>
      </c>
      <c r="AK36" s="3591"/>
      <c r="AL36" s="3274">
        <f>144616</f>
        <v>144616</v>
      </c>
      <c r="AM36" s="3589"/>
      <c r="AN36" s="3590">
        <f>AL36+AM36*1</f>
        <v>144616</v>
      </c>
      <c r="AO36" s="3516">
        <f t="shared" si="56"/>
        <v>0.1336949503996599</v>
      </c>
      <c r="AP36" s="3591" t="s">
        <v>1726</v>
      </c>
      <c r="AQ36" s="3274">
        <f>20172+17130</f>
        <v>37302</v>
      </c>
      <c r="AR36" s="3346"/>
      <c r="AS36" s="3590">
        <f>AQ36+AR36*1</f>
        <v>37302</v>
      </c>
      <c r="AT36" s="3516">
        <f>AS36/$AS$89</f>
        <v>5.9158648839955138E-3</v>
      </c>
      <c r="AU36" s="3591" t="s">
        <v>1727</v>
      </c>
      <c r="AV36" s="3592">
        <v>6914</v>
      </c>
      <c r="AW36" s="3593"/>
      <c r="AX36" s="3590">
        <f>AV36+AW36*1</f>
        <v>6914</v>
      </c>
      <c r="AY36" s="3516">
        <f>AX36/$AS$89</f>
        <v>1.0965173397658298E-3</v>
      </c>
      <c r="AZ36" s="3276" t="s">
        <v>1444</v>
      </c>
      <c r="BA36" s="3594">
        <v>40560</v>
      </c>
      <c r="BB36" s="3346"/>
      <c r="BC36" s="3590">
        <f>BA36+BB36*1</f>
        <v>40560</v>
      </c>
      <c r="BD36" s="3518">
        <f t="shared" si="34"/>
        <v>5.9815290547620163E-3</v>
      </c>
      <c r="BE36" s="3592" t="s">
        <v>1526</v>
      </c>
      <c r="BF36" s="3288">
        <v>115647.86</v>
      </c>
      <c r="BG36" s="3274">
        <v>0</v>
      </c>
      <c r="BH36" s="2028">
        <v>115647.86</v>
      </c>
      <c r="BI36" s="3284">
        <v>8.9152734653792934E-2</v>
      </c>
      <c r="BJ36" s="3311"/>
      <c r="BK36" s="3288">
        <f t="shared" ref="BK36:BL36" si="59">BP36+BU36+BZ36+CE36+CJ36+CO36+CT36+CY36+DD36+DI36+DN36+DS36</f>
        <v>0</v>
      </c>
      <c r="BL36" s="3274">
        <f t="shared" si="59"/>
        <v>0</v>
      </c>
      <c r="BM36" s="2028">
        <f>BK36+BL36*1</f>
        <v>0</v>
      </c>
      <c r="BN36" s="3284">
        <f t="shared" si="58"/>
        <v>0</v>
      </c>
      <c r="BO36" s="3311"/>
      <c r="BP36" s="3594"/>
      <c r="BQ36" s="3346"/>
      <c r="BR36" s="3595">
        <f>BP36+BQ36*1</f>
        <v>0</v>
      </c>
      <c r="BS36" s="3426">
        <f t="shared" si="37"/>
        <v>0</v>
      </c>
      <c r="BT36" s="3592"/>
      <c r="BU36" s="3274"/>
      <c r="BV36" s="3274"/>
      <c r="BW36" s="2028">
        <f>BU36+BV36*1</f>
        <v>0</v>
      </c>
      <c r="BX36" s="3284">
        <f>BW36/$E$89</f>
        <v>0</v>
      </c>
      <c r="BY36" s="3276"/>
      <c r="BZ36" s="3274"/>
      <c r="CA36" s="3274"/>
      <c r="CB36" s="2028">
        <f>BZ36+CA36*1</f>
        <v>0</v>
      </c>
      <c r="CC36" s="3284">
        <f>CB36/$AD$89</f>
        <v>0</v>
      </c>
      <c r="CD36" s="3276"/>
      <c r="CE36" s="3274"/>
      <c r="CF36" s="3274"/>
      <c r="CG36" s="2028">
        <f>CE36+CF36*1</f>
        <v>0</v>
      </c>
      <c r="CH36" s="3284">
        <f>CG36/$AD$89</f>
        <v>0</v>
      </c>
      <c r="CI36" s="3276"/>
      <c r="CJ36" s="3274"/>
      <c r="CK36" s="3274"/>
      <c r="CL36" s="2028">
        <f>CJ36+CK36*1</f>
        <v>0</v>
      </c>
      <c r="CM36" s="3284">
        <f>CL36/$AD$89</f>
        <v>0</v>
      </c>
      <c r="CN36" s="3276"/>
      <c r="CO36" s="3274"/>
      <c r="CP36" s="3274"/>
      <c r="CQ36" s="3274">
        <f t="shared" si="44"/>
        <v>0</v>
      </c>
      <c r="CR36" s="3284">
        <f>CQ36/$AD$89</f>
        <v>0</v>
      </c>
      <c r="CS36" s="3276"/>
      <c r="CT36" s="3274"/>
      <c r="CU36" s="3274"/>
      <c r="CV36" s="3274">
        <f t="shared" ref="CV36" si="60">CT36+CU36*1</f>
        <v>0</v>
      </c>
      <c r="CW36" s="3284">
        <f>CV36/$AD$89</f>
        <v>0</v>
      </c>
      <c r="CX36" s="3276"/>
      <c r="CY36" s="3274"/>
      <c r="CZ36" s="3274"/>
      <c r="DA36" s="3274">
        <f t="shared" ref="DA36" si="61">CY36+CZ36*1</f>
        <v>0</v>
      </c>
      <c r="DB36" s="3284">
        <f>DA36/$AD$89</f>
        <v>0</v>
      </c>
      <c r="DC36" s="3276"/>
      <c r="DD36" s="3274"/>
      <c r="DE36" s="3274"/>
      <c r="DF36" s="3274">
        <f t="shared" ref="DF36" si="62">DD36+DE36*1</f>
        <v>0</v>
      </c>
      <c r="DG36" s="3284">
        <f>DF36/$AD$89</f>
        <v>0</v>
      </c>
      <c r="DH36" s="3500"/>
      <c r="DI36" s="3288"/>
      <c r="DJ36" s="3274"/>
      <c r="DK36" s="3274">
        <f t="shared" ref="DK36" si="63">DI36+DJ36*1</f>
        <v>0</v>
      </c>
      <c r="DL36" s="3284">
        <f>DK36/$AD$89</f>
        <v>0</v>
      </c>
      <c r="DM36" s="3500"/>
      <c r="DN36" s="3288"/>
      <c r="DO36" s="3274"/>
      <c r="DP36" s="3274">
        <f>DN36+DO36*1</f>
        <v>0</v>
      </c>
      <c r="DQ36" s="3284">
        <f>DP36/$AD$89</f>
        <v>0</v>
      </c>
      <c r="DR36" s="3276"/>
      <c r="DS36" s="3274"/>
      <c r="DT36" s="3274"/>
      <c r="DU36" s="3274">
        <f t="shared" ref="DU36" si="64">DS36+DT36*1</f>
        <v>0</v>
      </c>
      <c r="DV36" s="3284">
        <f>DU36/$AD$89</f>
        <v>0</v>
      </c>
      <c r="DW36" s="3530"/>
      <c r="DX36" s="3417">
        <f t="shared" ref="DX36:DY36" si="65">R36+W36+AB36+AG36+AL36+AQ36+AV36+BA36+BP36+BU36+BZ36+CE36+CJ36+CO36+CT36+CY36+DD36+DI36+DN36+DS36+BF36</f>
        <v>345039.86</v>
      </c>
      <c r="DY36" s="3417">
        <f t="shared" si="65"/>
        <v>0</v>
      </c>
      <c r="DZ36" s="3283">
        <f>DX36+DY36*1</f>
        <v>345039.86</v>
      </c>
      <c r="EA36" s="3284" t="e">
        <f>DZ36/$BW$89</f>
        <v>#DIV/0!</v>
      </c>
      <c r="EB36" s="3311"/>
      <c r="ED36" s="1359">
        <v>167261.6</v>
      </c>
      <c r="EE36" s="3288">
        <f t="shared" ref="EE36" si="66">ED36-BM36</f>
        <v>167261.6</v>
      </c>
      <c r="EF36" s="3260"/>
    </row>
    <row r="37" spans="1:136" s="1411" customFormat="1" ht="14.4" thickBot="1" x14ac:dyDescent="0.3">
      <c r="A37" s="1412"/>
      <c r="B37" s="3231"/>
      <c r="C37" s="3596"/>
      <c r="D37" s="3597"/>
      <c r="E37" s="3597"/>
      <c r="F37" s="3228">
        <f t="shared" si="51"/>
        <v>0</v>
      </c>
      <c r="G37" s="3243"/>
      <c r="H37" s="3597"/>
      <c r="I37" s="3597"/>
      <c r="J37" s="3597"/>
      <c r="K37" s="3597"/>
      <c r="L37" s="3597"/>
      <c r="M37" s="3502">
        <v>0</v>
      </c>
      <c r="N37" s="3502">
        <v>0</v>
      </c>
      <c r="O37" s="3598"/>
      <c r="P37" s="3598"/>
      <c r="Q37" s="3315"/>
      <c r="R37" s="3502"/>
      <c r="S37" s="3502"/>
      <c r="T37" s="3598"/>
      <c r="U37" s="3598"/>
      <c r="V37" s="3598"/>
      <c r="W37" s="3278"/>
      <c r="X37" s="3278"/>
      <c r="Y37" s="3597"/>
      <c r="Z37" s="3597"/>
      <c r="AA37" s="3597"/>
      <c r="AB37" s="3278"/>
      <c r="AC37" s="3278"/>
      <c r="AD37" s="3597"/>
      <c r="AE37" s="3597"/>
      <c r="AF37" s="3599"/>
      <c r="AG37" s="3600"/>
      <c r="AH37" s="3601"/>
      <c r="AI37" s="3602"/>
      <c r="AJ37" s="3244"/>
      <c r="AK37" s="3603"/>
      <c r="AL37" s="3600"/>
      <c r="AM37" s="3601"/>
      <c r="AN37" s="3602"/>
      <c r="AO37" s="3244">
        <f t="shared" si="56"/>
        <v>0</v>
      </c>
      <c r="AP37" s="3603"/>
      <c r="AQ37" s="3315"/>
      <c r="AR37" s="3315"/>
      <c r="AS37" s="3602"/>
      <c r="AT37" s="3244">
        <f>AS37/$AS$89</f>
        <v>0</v>
      </c>
      <c r="AU37" s="3315"/>
      <c r="AV37" s="3604"/>
      <c r="AW37" s="3605"/>
      <c r="AX37" s="3602"/>
      <c r="AY37" s="3244">
        <f>AX37/$AS$89</f>
        <v>0</v>
      </c>
      <c r="AZ37" s="3393"/>
      <c r="BA37" s="3315"/>
      <c r="BB37" s="3315"/>
      <c r="BC37" s="3602"/>
      <c r="BD37" s="3245">
        <f t="shared" si="34"/>
        <v>0</v>
      </c>
      <c r="BE37" s="3606"/>
      <c r="BF37" s="3323"/>
      <c r="BG37" s="3314"/>
      <c r="BH37" s="3313"/>
      <c r="BI37" s="3313"/>
      <c r="BJ37" s="3313"/>
      <c r="BK37" s="3323"/>
      <c r="BL37" s="3314"/>
      <c r="BM37" s="3313"/>
      <c r="BN37" s="3313"/>
      <c r="BO37" s="3313"/>
      <c r="BP37" s="3315"/>
      <c r="BQ37" s="3315"/>
      <c r="BR37" s="3607"/>
      <c r="BS37" s="3596">
        <f t="shared" si="37"/>
        <v>0</v>
      </c>
      <c r="BT37" s="3606"/>
      <c r="BU37" s="3274"/>
      <c r="BV37" s="3274"/>
      <c r="BW37" s="3313"/>
      <c r="BX37" s="3313"/>
      <c r="BY37" s="3313"/>
      <c r="BZ37" s="3274"/>
      <c r="CA37" s="3274"/>
      <c r="CB37" s="3313"/>
      <c r="CC37" s="3313"/>
      <c r="CD37" s="3313"/>
      <c r="CE37" s="3274"/>
      <c r="CF37" s="3274"/>
      <c r="CG37" s="3313"/>
      <c r="CH37" s="3313"/>
      <c r="CI37" s="3276"/>
      <c r="CJ37" s="3274"/>
      <c r="CK37" s="3274"/>
      <c r="CL37" s="3313"/>
      <c r="CM37" s="3313"/>
      <c r="CN37" s="3313"/>
      <c r="CO37" s="3274"/>
      <c r="CP37" s="3274"/>
      <c r="CQ37" s="3313"/>
      <c r="CR37" s="3313"/>
      <c r="CS37" s="3313"/>
      <c r="CT37" s="3274"/>
      <c r="CU37" s="3274"/>
      <c r="CV37" s="3313"/>
      <c r="CW37" s="3313"/>
      <c r="CX37" s="3313"/>
      <c r="CY37" s="3274"/>
      <c r="CZ37" s="3274"/>
      <c r="DA37" s="3313"/>
      <c r="DB37" s="3313"/>
      <c r="DC37" s="3315"/>
      <c r="DD37" s="3274"/>
      <c r="DE37" s="3274"/>
      <c r="DF37" s="3313"/>
      <c r="DG37" s="3313"/>
      <c r="DH37" s="3608"/>
      <c r="DI37" s="3288"/>
      <c r="DJ37" s="3274"/>
      <c r="DK37" s="3313"/>
      <c r="DL37" s="3313"/>
      <c r="DM37" s="3608"/>
      <c r="DN37" s="3288"/>
      <c r="DO37" s="3274"/>
      <c r="DP37" s="3313"/>
      <c r="DQ37" s="3313"/>
      <c r="DR37" s="3315"/>
      <c r="DS37" s="3288"/>
      <c r="DT37" s="3274"/>
      <c r="DU37" s="3313"/>
      <c r="DV37" s="3313"/>
      <c r="DW37" s="3606"/>
      <c r="DX37" s="3288">
        <f>R37+W37+AB37+AG37+AL37+AQ37+AV37+BA37+BP37+BU37+BZ37+CE37+CJ37+CO37</f>
        <v>0</v>
      </c>
      <c r="DY37" s="3274">
        <f>S37+X37+AC37+AH37+AM37+AR37+AW37+BB37+BQ37+BV37+CA37+CF37+CK37+CP37</f>
        <v>0</v>
      </c>
      <c r="DZ37" s="3597"/>
      <c r="EA37" s="3597"/>
      <c r="EB37" s="3597"/>
      <c r="ED37" s="3288"/>
      <c r="EE37" s="3288"/>
      <c r="EF37" s="3496"/>
    </row>
    <row r="38" spans="1:136" ht="14.4" thickBot="1" x14ac:dyDescent="0.3">
      <c r="A38" s="1441"/>
      <c r="B38" s="1442" t="s">
        <v>46</v>
      </c>
      <c r="C38" s="2018">
        <f>(C5)-(C8)</f>
        <v>-1224714.74</v>
      </c>
      <c r="D38" s="2018">
        <f>(D5)-(D8)</f>
        <v>-1169846.33</v>
      </c>
      <c r="E38" s="2018">
        <f>(E5)-(E8)</f>
        <v>-2394561.0700000003</v>
      </c>
      <c r="F38" s="931">
        <f t="shared" si="51"/>
        <v>-0.9209957714980469</v>
      </c>
      <c r="G38" s="938"/>
      <c r="H38" s="2018">
        <f>(H5)-(H8)</f>
        <v>4309171.5148500009</v>
      </c>
      <c r="I38" s="2018">
        <f>(I5)-(I8)</f>
        <v>-1089723.6000000006</v>
      </c>
      <c r="J38" s="2018">
        <f>(J5)-(J8)</f>
        <v>3219447.9148499984</v>
      </c>
      <c r="K38" s="2018"/>
      <c r="L38" s="2018"/>
      <c r="M38" s="3609">
        <v>15226921.977400001</v>
      </c>
      <c r="N38" s="3609">
        <v>-10290936.35</v>
      </c>
      <c r="O38" s="3609">
        <v>4935985.6273999996</v>
      </c>
      <c r="P38" s="3609"/>
      <c r="Q38" s="2018"/>
      <c r="R38" s="3609">
        <f>(R5)-(R8)</f>
        <v>58987.222000000009</v>
      </c>
      <c r="S38" s="3609">
        <f>(S5)-(S8)</f>
        <v>-654803.32094999996</v>
      </c>
      <c r="T38" s="3609">
        <f>(T5)-(T8)</f>
        <v>-595816.09895000001</v>
      </c>
      <c r="U38" s="3609"/>
      <c r="V38" s="3609"/>
      <c r="W38" s="2018">
        <f>(W5)-(W8)</f>
        <v>1207630.4539999997</v>
      </c>
      <c r="X38" s="2018">
        <f>(X5)-(X8)</f>
        <v>-893895.9</v>
      </c>
      <c r="Y38" s="2018">
        <f>(Y5)-(Y8)</f>
        <v>313734.554</v>
      </c>
      <c r="Z38" s="2018"/>
      <c r="AA38" s="2018"/>
      <c r="AB38" s="2018">
        <f>(AB5)-(AB8)</f>
        <v>514511.9360000001</v>
      </c>
      <c r="AC38" s="2018">
        <f>(AC5)-(AC8)</f>
        <v>-281170</v>
      </c>
      <c r="AD38" s="2018">
        <f>(AD5)-(AD8)</f>
        <v>233341.9360000001</v>
      </c>
      <c r="AE38" s="2018"/>
      <c r="AF38" s="2018"/>
      <c r="AG38" s="2018">
        <f>(AG5)-(AG8)</f>
        <v>864897.17999999993</v>
      </c>
      <c r="AH38" s="2018">
        <f>(AH5)-(AH8)</f>
        <v>-345494.92000000004</v>
      </c>
      <c r="AI38" s="2018">
        <f>(AI5)-(AI8)</f>
        <v>519402.26</v>
      </c>
      <c r="AJ38" s="1720">
        <f t="shared" si="7"/>
        <v>0.48017826096815885</v>
      </c>
      <c r="AK38" s="2018"/>
      <c r="AL38" s="2018">
        <f>(AL5)-(AL8)</f>
        <v>3552305.8459999999</v>
      </c>
      <c r="AM38" s="2018">
        <f>(AM5)-(AM8)</f>
        <v>-1506278.77</v>
      </c>
      <c r="AN38" s="2018">
        <f>(AN5)-(AN8)</f>
        <v>2046027.0760000004</v>
      </c>
      <c r="AO38" s="1720">
        <f t="shared" si="56"/>
        <v>1.8915160732020055</v>
      </c>
      <c r="AP38" s="2018"/>
      <c r="AQ38" s="2018">
        <f>(AQ5)-(AQ8)</f>
        <v>6341257.9199999999</v>
      </c>
      <c r="AR38" s="2018">
        <f>(AR5)-(AR8)</f>
        <v>-1975302.44</v>
      </c>
      <c r="AS38" s="2018">
        <f>(AS5)-(AS8)</f>
        <v>4365955.4800000004</v>
      </c>
      <c r="AT38" s="1720">
        <f>AS38/$AI$89</f>
        <v>4.0362491103731495</v>
      </c>
      <c r="AU38" s="2018"/>
      <c r="AV38" s="2018">
        <f>(AV5)-(AV8)</f>
        <v>6994353.6799999978</v>
      </c>
      <c r="AW38" s="2018">
        <f>(AW5)-(AW8)</f>
        <v>-2688077.5</v>
      </c>
      <c r="AX38" s="2018">
        <f>(AX5)-(AX8)</f>
        <v>4306276.1799999978</v>
      </c>
      <c r="AY38" s="1720">
        <f>AX38/$AI$89</f>
        <v>3.9810766463761729</v>
      </c>
      <c r="AZ38" s="1327"/>
      <c r="BA38" s="2018">
        <f>(BA5)-(BA8)</f>
        <v>7918999.5800000001</v>
      </c>
      <c r="BB38" s="2018">
        <f>(BB5)-(BB8)</f>
        <v>-2074870.81</v>
      </c>
      <c r="BC38" s="2018">
        <f>(BC5)-(BC8)</f>
        <v>5844128.7700000005</v>
      </c>
      <c r="BD38" s="1720">
        <f>BC38/$AI$89</f>
        <v>5.4027943383469017</v>
      </c>
      <c r="BE38" s="2018"/>
      <c r="BF38" s="2018">
        <v>28027321.981999993</v>
      </c>
      <c r="BG38" s="2018">
        <v>-10528378.99</v>
      </c>
      <c r="BH38" s="2018">
        <v>17498942.991999999</v>
      </c>
      <c r="BI38" s="2018">
        <v>13.489904796229048</v>
      </c>
      <c r="BJ38" s="2018"/>
      <c r="BK38" s="2018">
        <f>(BK5)-(BK8)</f>
        <v>0</v>
      </c>
      <c r="BL38" s="2018">
        <f>(BL5)-(BL8)</f>
        <v>0</v>
      </c>
      <c r="BM38" s="2018">
        <f>(BM5)-(BM8)</f>
        <v>0</v>
      </c>
      <c r="BN38" s="2018">
        <f t="shared" ref="BN38:BN48" si="67">BM38/$T$89</f>
        <v>0</v>
      </c>
      <c r="BO38" s="2018"/>
      <c r="BP38" s="2018">
        <f>(BP5)-(BP8)</f>
        <v>0</v>
      </c>
      <c r="BQ38" s="2018">
        <f>(BQ5)-(BQ8)</f>
        <v>0</v>
      </c>
      <c r="BR38" s="2018">
        <f>(BR5)-(BR8)</f>
        <v>0</v>
      </c>
      <c r="BS38" s="1720">
        <f>BR38/$AI$89</f>
        <v>0</v>
      </c>
      <c r="BT38" s="2018"/>
      <c r="BU38" s="2018">
        <f>(BU5)-(BU8)</f>
        <v>0</v>
      </c>
      <c r="BV38" s="2018">
        <f>(BV5)-(BV8)</f>
        <v>0</v>
      </c>
      <c r="BW38" s="2018">
        <f>(BW5)-(BW8)</f>
        <v>0</v>
      </c>
      <c r="BX38" s="1720">
        <f>BW38/$AI$89</f>
        <v>0</v>
      </c>
      <c r="BY38" s="2018"/>
      <c r="BZ38" s="2018">
        <f>(BZ5)-(BZ8)</f>
        <v>0</v>
      </c>
      <c r="CA38" s="2018">
        <f>(CA5)-(CA8)</f>
        <v>0</v>
      </c>
      <c r="CB38" s="2018">
        <f>(CB5)-(CB8)</f>
        <v>0</v>
      </c>
      <c r="CC38" s="2018">
        <f>CB38/$AD$89</f>
        <v>0</v>
      </c>
      <c r="CD38" s="2018"/>
      <c r="CE38" s="2018">
        <f>(CE5)-(CE8)</f>
        <v>0</v>
      </c>
      <c r="CF38" s="2018">
        <f>(CF5)-(CF8)</f>
        <v>0</v>
      </c>
      <c r="CG38" s="2018">
        <f>(CG5)-(CG8)</f>
        <v>0</v>
      </c>
      <c r="CH38" s="2018">
        <f>CG38/$AD$89</f>
        <v>0</v>
      </c>
      <c r="CI38" s="2018"/>
      <c r="CJ38" s="2018">
        <f>(CJ5)-(CJ8)</f>
        <v>0</v>
      </c>
      <c r="CK38" s="2018">
        <f>(CK5)-(CK8)</f>
        <v>0</v>
      </c>
      <c r="CL38" s="2018">
        <f>(CL5)-(CL8)</f>
        <v>0</v>
      </c>
      <c r="CM38" s="2018">
        <f>CL38/$AD$89</f>
        <v>0</v>
      </c>
      <c r="CN38" s="2018"/>
      <c r="CO38" s="2018">
        <f>(CO5)-(CO8)</f>
        <v>0</v>
      </c>
      <c r="CP38" s="2018">
        <f>(CP5)-(CP8)</f>
        <v>0</v>
      </c>
      <c r="CQ38" s="2018">
        <f>(CQ5)-(CQ8)</f>
        <v>0</v>
      </c>
      <c r="CR38" s="2018">
        <f>CQ38/$AD$89</f>
        <v>0</v>
      </c>
      <c r="CS38" s="2018"/>
      <c r="CT38" s="2018">
        <f>(CT5)-(CT8)</f>
        <v>0</v>
      </c>
      <c r="CU38" s="2018">
        <f>(CU5)-(CU8)</f>
        <v>0</v>
      </c>
      <c r="CV38" s="2018">
        <f>(CV5)-(CV8)</f>
        <v>0</v>
      </c>
      <c r="CW38" s="2018">
        <f>CV38/$AD$89</f>
        <v>0</v>
      </c>
      <c r="CX38" s="2018"/>
      <c r="CY38" s="2018">
        <f>(CY5)-(CY8)</f>
        <v>0</v>
      </c>
      <c r="CZ38" s="2018">
        <f>(CZ5)-(CZ8)</f>
        <v>0</v>
      </c>
      <c r="DA38" s="2018">
        <f>(DA5)-(DA8)</f>
        <v>0</v>
      </c>
      <c r="DB38" s="2018">
        <f>DA38/$AD$89</f>
        <v>0</v>
      </c>
      <c r="DC38" s="1327"/>
      <c r="DD38" s="2018">
        <f>(DD5)-(DD8)</f>
        <v>0</v>
      </c>
      <c r="DE38" s="2018">
        <f>(DE5)-(DE8)</f>
        <v>0</v>
      </c>
      <c r="DF38" s="2018">
        <f>(DF5)-(DF8)</f>
        <v>0</v>
      </c>
      <c r="DG38" s="2018">
        <f>DF38/$AD$89</f>
        <v>0</v>
      </c>
      <c r="DH38" s="3142"/>
      <c r="DI38" s="2018">
        <f>(DI5)-(DI8)</f>
        <v>0</v>
      </c>
      <c r="DJ38" s="2018">
        <f>(DJ5)-(DJ8)</f>
        <v>0</v>
      </c>
      <c r="DK38" s="2018">
        <f>(DK5)-(DK8)</f>
        <v>0</v>
      </c>
      <c r="DL38" s="2018">
        <f>DK38/$AD$89</f>
        <v>0</v>
      </c>
      <c r="DM38" s="3142"/>
      <c r="DN38" s="2018">
        <f>(DN5)-(DN8)</f>
        <v>0</v>
      </c>
      <c r="DO38" s="2018">
        <f>(DO5)-(DO8)</f>
        <v>0</v>
      </c>
      <c r="DP38" s="2018">
        <f>(DP5)-(DP8)</f>
        <v>0</v>
      </c>
      <c r="DQ38" s="2018">
        <f>DP38/$AD$89</f>
        <v>0</v>
      </c>
      <c r="DR38" s="1327"/>
      <c r="DS38" s="2018">
        <f>(DS5)-(DS8)</f>
        <v>0</v>
      </c>
      <c r="DT38" s="2018">
        <f>(DT5)-(DT8)</f>
        <v>0</v>
      </c>
      <c r="DU38" s="2018">
        <f>(DU5)-(DU8)</f>
        <v>0</v>
      </c>
      <c r="DV38" s="2018">
        <f>DU38/$AD$89</f>
        <v>0</v>
      </c>
      <c r="DW38" s="2018"/>
      <c r="DX38" s="2018">
        <f>(DX5)-(DX8)</f>
        <v>55480265.799999997</v>
      </c>
      <c r="DY38" s="2018">
        <f>(DY5)-(DY8)</f>
        <v>-20948272.650949996</v>
      </c>
      <c r="DZ38" s="2018">
        <f>(DZ5)-(DZ8)</f>
        <v>34531993.149050005</v>
      </c>
      <c r="EA38" s="2018"/>
      <c r="EB38" s="2018"/>
      <c r="ED38" s="2018">
        <f>(ED5)-(ED8)</f>
        <v>11224329.810000002</v>
      </c>
      <c r="EE38" s="2018">
        <f>(EE5)-(EE8)</f>
        <v>11224329.810000002</v>
      </c>
    </row>
    <row r="39" spans="1:136" ht="14.4" thickBot="1" x14ac:dyDescent="0.3">
      <c r="A39" s="1580"/>
      <c r="B39" s="1423" t="s">
        <v>47</v>
      </c>
      <c r="C39" s="1540">
        <f>C38/(C5)</f>
        <v>-68.039707777777778</v>
      </c>
      <c r="D39" s="1540" t="e">
        <f>D38/(D5)</f>
        <v>#DIV/0!</v>
      </c>
      <c r="E39" s="1541">
        <f>E38/(E5)</f>
        <v>-133.03117055555558</v>
      </c>
      <c r="F39" s="1169">
        <f t="shared" si="51"/>
        <v>-5.1166431749891492E-5</v>
      </c>
      <c r="G39" s="3246"/>
      <c r="H39" s="2019">
        <f>H38/(H5)</f>
        <v>0.44375465960919508</v>
      </c>
      <c r="I39" s="2019">
        <f>I38/(I5)</f>
        <v>-0.21948470015905291</v>
      </c>
      <c r="J39" s="2020">
        <f>J38/(J5)</f>
        <v>0.21937381446278612</v>
      </c>
      <c r="K39" s="2020"/>
      <c r="L39" s="2020"/>
      <c r="M39" s="3610">
        <v>0.67407567789509182</v>
      </c>
      <c r="N39" s="3610" t="e">
        <v>#DIV/0!</v>
      </c>
      <c r="O39" s="3611">
        <v>0.21850954925811009</v>
      </c>
      <c r="P39" s="3611"/>
      <c r="Q39" s="2019"/>
      <c r="R39" s="3610">
        <f>R38/(R5)</f>
        <v>0.10146593618302228</v>
      </c>
      <c r="S39" s="3610" t="e">
        <f>S38/(S5)</f>
        <v>#DIV/0!</v>
      </c>
      <c r="T39" s="3611">
        <f>T38/(T5)</f>
        <v>-1.0248836311172271</v>
      </c>
      <c r="U39" s="3611"/>
      <c r="V39" s="3611"/>
      <c r="W39" s="2019">
        <f>W38/(W5)</f>
        <v>0.49990729594560396</v>
      </c>
      <c r="X39" s="2019" t="e">
        <f>X38/(X5)</f>
        <v>#DIV/0!</v>
      </c>
      <c r="Y39" s="2020">
        <f>Y38/(Y5)</f>
        <v>0.1298726709113284</v>
      </c>
      <c r="Z39" s="2020"/>
      <c r="AA39" s="2020"/>
      <c r="AB39" s="2019">
        <f>AB38/(AB5)</f>
        <v>0.54818002381166342</v>
      </c>
      <c r="AC39" s="2019">
        <f>AC38/(AC5)</f>
        <v>-97.730274591588454</v>
      </c>
      <c r="AD39" s="2020">
        <f>AD38/(AD5)</f>
        <v>0.24785138931054537</v>
      </c>
      <c r="AE39" s="2020"/>
      <c r="AF39" s="2020"/>
      <c r="AG39" s="2019">
        <f>AG38/(AG5)</f>
        <v>0.67989481052026857</v>
      </c>
      <c r="AH39" s="2019">
        <f>AH38/(AH5)</f>
        <v>-16.540528481245975</v>
      </c>
      <c r="AI39" s="2020">
        <f>AI38/(AI5)</f>
        <v>0.40170564681992127</v>
      </c>
      <c r="AJ39" s="1026">
        <f t="shared" si="7"/>
        <v>3.7136981058010642E-7</v>
      </c>
      <c r="AK39" s="2020"/>
      <c r="AL39" s="2019">
        <f>AL38/(AL5)</f>
        <v>0.62333501600580188</v>
      </c>
      <c r="AM39" s="2019" t="e">
        <f>AM38/(AM5)</f>
        <v>#DIV/0!</v>
      </c>
      <c r="AN39" s="2020">
        <f>AN38/(AN5)</f>
        <v>0.35902323039072132</v>
      </c>
      <c r="AO39" s="1026">
        <f t="shared" si="56"/>
        <v>3.3191066672714744E-7</v>
      </c>
      <c r="AP39" s="2020"/>
      <c r="AQ39" s="2019">
        <f>AQ38/(AQ5)</f>
        <v>0.62995876595332256</v>
      </c>
      <c r="AR39" s="2019">
        <f>AR38/(AR5)</f>
        <v>-109.73902444444444</v>
      </c>
      <c r="AS39" s="2020">
        <f>AS38/(AS5)</f>
        <v>0.43295235781753139</v>
      </c>
      <c r="AT39" s="1026">
        <f>AS39/$AI$89</f>
        <v>4.0025684574203866E-7</v>
      </c>
      <c r="AU39" s="2019"/>
      <c r="AV39" s="2019">
        <f>AV38/(AV5)</f>
        <v>0.62239785226256539</v>
      </c>
      <c r="AW39" s="2019">
        <f>AW38/(AW5)</f>
        <v>-274.29362244897959</v>
      </c>
      <c r="AX39" s="2020">
        <f>AX38/(AX5)</f>
        <v>0.3828633628662621</v>
      </c>
      <c r="AY39" s="1026">
        <f>AX39/$AI$89</f>
        <v>3.5395045021471968E-7</v>
      </c>
      <c r="AZ39" s="1331"/>
      <c r="BA39" s="2019">
        <f>BA38/(BA5)</f>
        <v>0.67860352641709876</v>
      </c>
      <c r="BB39" s="2019" t="e">
        <f>BB38/(BB5)</f>
        <v>#DIV/0!</v>
      </c>
      <c r="BC39" s="2020">
        <f>BC38/(BC5)</f>
        <v>0.50080143989067138</v>
      </c>
      <c r="BD39" s="1026">
        <f>BC39/$AI$89</f>
        <v>4.629821296831718E-7</v>
      </c>
      <c r="BE39" s="2020"/>
      <c r="BF39" s="2019">
        <v>0.52587373628633272</v>
      </c>
      <c r="BG39" s="2019" t="e">
        <v>#DIV/0!</v>
      </c>
      <c r="BH39" s="2020">
        <v>0.32833085295036518</v>
      </c>
      <c r="BI39" s="2020">
        <v>2.5310968496725677E-7</v>
      </c>
      <c r="BJ39" s="2020"/>
      <c r="BK39" s="2019" t="e">
        <f>BK38/(BK5)</f>
        <v>#DIV/0!</v>
      </c>
      <c r="BL39" s="2019" t="e">
        <f>BL38/(BL5)</f>
        <v>#DIV/0!</v>
      </c>
      <c r="BM39" s="2020" t="e">
        <f>BM38/(BM5)</f>
        <v>#DIV/0!</v>
      </c>
      <c r="BN39" s="2020" t="e">
        <f t="shared" si="67"/>
        <v>#DIV/0!</v>
      </c>
      <c r="BO39" s="2020"/>
      <c r="BP39" s="2019" t="e">
        <f>BP38/(BP5)</f>
        <v>#DIV/0!</v>
      </c>
      <c r="BQ39" s="2019" t="e">
        <f>BQ38/(BQ5)</f>
        <v>#DIV/0!</v>
      </c>
      <c r="BR39" s="2020" t="e">
        <f>BR38/(BR5)</f>
        <v>#DIV/0!</v>
      </c>
      <c r="BS39" s="1026" t="e">
        <f>BR39/$AI$89</f>
        <v>#DIV/0!</v>
      </c>
      <c r="BT39" s="2020"/>
      <c r="BU39" s="2019" t="e">
        <f>BU38/(BU5)</f>
        <v>#DIV/0!</v>
      </c>
      <c r="BV39" s="2019" t="e">
        <f>BV38/(BV5)</f>
        <v>#DIV/0!</v>
      </c>
      <c r="BW39" s="2020" t="e">
        <f>BW38/(BW5)</f>
        <v>#DIV/0!</v>
      </c>
      <c r="BX39" s="1026" t="e">
        <f>BW39/$AI$89</f>
        <v>#DIV/0!</v>
      </c>
      <c r="BY39" s="2020"/>
      <c r="BZ39" s="2019" t="e">
        <f>BZ38/(BZ5)</f>
        <v>#DIV/0!</v>
      </c>
      <c r="CA39" s="2019" t="e">
        <f>CA38/(CA5)</f>
        <v>#DIV/0!</v>
      </c>
      <c r="CB39" s="2020" t="e">
        <f>CB38/(CB5)</f>
        <v>#DIV/0!</v>
      </c>
      <c r="CC39" s="2020" t="e">
        <f>CB39/$AD$89</f>
        <v>#DIV/0!</v>
      </c>
      <c r="CD39" s="2020"/>
      <c r="CE39" s="2019" t="e">
        <f>CE38/(CE5)</f>
        <v>#DIV/0!</v>
      </c>
      <c r="CF39" s="2019" t="e">
        <f>CF38/(CF5)</f>
        <v>#DIV/0!</v>
      </c>
      <c r="CG39" s="2020" t="e">
        <f>CG38/(CG5)</f>
        <v>#DIV/0!</v>
      </c>
      <c r="CH39" s="2020" t="e">
        <f>CG39/$AD$89</f>
        <v>#DIV/0!</v>
      </c>
      <c r="CI39" s="2020"/>
      <c r="CJ39" s="2019" t="e">
        <f>CJ38/(CJ5)</f>
        <v>#DIV/0!</v>
      </c>
      <c r="CK39" s="2019" t="e">
        <f>CK38/(CK5)</f>
        <v>#DIV/0!</v>
      </c>
      <c r="CL39" s="2020" t="e">
        <f>CL38/(CL5)</f>
        <v>#DIV/0!</v>
      </c>
      <c r="CM39" s="2020" t="e">
        <f>CL39/$AD$89</f>
        <v>#DIV/0!</v>
      </c>
      <c r="CN39" s="2020"/>
      <c r="CO39" s="2019" t="e">
        <f>CO38/(CO5)</f>
        <v>#DIV/0!</v>
      </c>
      <c r="CP39" s="2019" t="e">
        <f>CP38/(CP5)</f>
        <v>#DIV/0!</v>
      </c>
      <c r="CQ39" s="2020" t="e">
        <f>CQ38/(CQ5)</f>
        <v>#DIV/0!</v>
      </c>
      <c r="CR39" s="2020" t="e">
        <f>CQ39/$AD$89</f>
        <v>#DIV/0!</v>
      </c>
      <c r="CS39" s="2020"/>
      <c r="CT39" s="2019" t="e">
        <f>CT38/(CT5)</f>
        <v>#DIV/0!</v>
      </c>
      <c r="CU39" s="2019" t="str">
        <f>IFERROR(CU38/(CU5),"")</f>
        <v/>
      </c>
      <c r="CV39" s="2020" t="e">
        <f>CV38/(CV5)</f>
        <v>#DIV/0!</v>
      </c>
      <c r="CW39" s="2020" t="e">
        <f>CV39/$AD$89</f>
        <v>#DIV/0!</v>
      </c>
      <c r="CX39" s="2020"/>
      <c r="CY39" s="2019" t="e">
        <f>CY38/(CY5)</f>
        <v>#DIV/0!</v>
      </c>
      <c r="CZ39" s="2019" t="str">
        <f>IFERROR(CZ38/(CZ5),"")</f>
        <v/>
      </c>
      <c r="DA39" s="2020" t="e">
        <f>DA38/(DA5)</f>
        <v>#DIV/0!</v>
      </c>
      <c r="DB39" s="2020" t="e">
        <f>DA39/$AD$89</f>
        <v>#DIV/0!</v>
      </c>
      <c r="DC39" s="1331"/>
      <c r="DD39" s="2019" t="e">
        <f>DD38/(DD5)</f>
        <v>#DIV/0!</v>
      </c>
      <c r="DE39" s="2019" t="str">
        <f>IFERROR(DE38/(DE5),"")</f>
        <v/>
      </c>
      <c r="DF39" s="2020" t="e">
        <f>DF38/(DF5)</f>
        <v>#DIV/0!</v>
      </c>
      <c r="DG39" s="2020" t="e">
        <f>DF39/$AD$89</f>
        <v>#DIV/0!</v>
      </c>
      <c r="DH39" s="1331"/>
      <c r="DI39" s="2019" t="e">
        <f>DI38/(DI5)</f>
        <v>#DIV/0!</v>
      </c>
      <c r="DJ39" s="2019" t="str">
        <f>IFERROR(DJ38/(DJ5),"")</f>
        <v/>
      </c>
      <c r="DK39" s="2020" t="e">
        <f>DK38/(DK5)</f>
        <v>#DIV/0!</v>
      </c>
      <c r="DL39" s="2020" t="e">
        <f>DK39/$AD$89</f>
        <v>#DIV/0!</v>
      </c>
      <c r="DM39" s="1331"/>
      <c r="DN39" s="2019" t="e">
        <f>DN38/(DN5)</f>
        <v>#DIV/0!</v>
      </c>
      <c r="DO39" s="2019" t="str">
        <f>IFERROR(DO38/(DO5),"")</f>
        <v/>
      </c>
      <c r="DP39" s="2020" t="e">
        <f>DP38/(DP5)</f>
        <v>#DIV/0!</v>
      </c>
      <c r="DQ39" s="2020" t="e">
        <f>DP39/$AD$89</f>
        <v>#DIV/0!</v>
      </c>
      <c r="DR39" s="697"/>
      <c r="DS39" s="2019">
        <f>IFERROR(DS38/(DS5),0)</f>
        <v>0</v>
      </c>
      <c r="DT39" s="2019" t="str">
        <f>IFERROR(DT38/(DT5),"")</f>
        <v/>
      </c>
      <c r="DU39" s="2020">
        <f>IFERROR(DU38/(DU5),0)</f>
        <v>0</v>
      </c>
      <c r="DV39" s="2020">
        <f>DU39/$AD$89</f>
        <v>0</v>
      </c>
      <c r="DW39" s="2020"/>
      <c r="DX39" s="2019">
        <f>DX38/(DX5)</f>
        <v>0.57092121536269469</v>
      </c>
      <c r="DY39" s="2019">
        <f>DY38/(DY5)</f>
        <v>-406.25156649461115</v>
      </c>
      <c r="DZ39" s="2020">
        <f>DZ38/(DZ5)</f>
        <v>0.3551639738848677</v>
      </c>
      <c r="EA39" s="2020"/>
      <c r="EB39" s="2020"/>
      <c r="ED39" s="2019">
        <f>ED38/(ED5)</f>
        <v>0.23301802696682986</v>
      </c>
      <c r="EE39" s="2019">
        <f>EE38/(EE5)</f>
        <v>0.23301802696682986</v>
      </c>
    </row>
    <row r="40" spans="1:136" ht="14.4" thickBot="1" x14ac:dyDescent="0.3">
      <c r="A40" s="1581"/>
      <c r="B40" s="3612"/>
      <c r="C40" s="3613"/>
      <c r="D40" s="3613"/>
      <c r="E40" s="3613"/>
      <c r="F40" s="3247">
        <f t="shared" si="51"/>
        <v>0</v>
      </c>
      <c r="G40" s="3248"/>
      <c r="H40" s="3613"/>
      <c r="I40" s="3613"/>
      <c r="J40" s="3613"/>
      <c r="K40" s="3613"/>
      <c r="L40" s="3613"/>
      <c r="M40" s="3614"/>
      <c r="N40" s="3614"/>
      <c r="O40" s="3614"/>
      <c r="P40" s="3614"/>
      <c r="Q40" s="3613"/>
      <c r="R40" s="3614"/>
      <c r="S40" s="3614"/>
      <c r="T40" s="3614"/>
      <c r="U40" s="3614"/>
      <c r="V40" s="3614"/>
      <c r="W40" s="3613"/>
      <c r="X40" s="3613"/>
      <c r="Y40" s="3613"/>
      <c r="Z40" s="3613"/>
      <c r="AA40" s="3613"/>
      <c r="AB40" s="3613"/>
      <c r="AC40" s="3613"/>
      <c r="AD40" s="3613"/>
      <c r="AE40" s="3613"/>
      <c r="AF40" s="3613"/>
      <c r="AG40" s="3615"/>
      <c r="AH40" s="3613"/>
      <c r="AI40" s="3613"/>
      <c r="AJ40" s="563"/>
      <c r="AK40" s="3613"/>
      <c r="AL40" s="3613"/>
      <c r="AM40" s="3613"/>
      <c r="AN40" s="3613"/>
      <c r="AO40" s="563">
        <f t="shared" si="56"/>
        <v>0</v>
      </c>
      <c r="AP40" s="3613"/>
      <c r="AQ40" s="3613"/>
      <c r="AR40" s="3613"/>
      <c r="AS40" s="3613"/>
      <c r="AT40" s="563">
        <f t="shared" si="57"/>
        <v>0</v>
      </c>
      <c r="AU40" s="3613"/>
      <c r="AV40" s="3613"/>
      <c r="AW40" s="3613"/>
      <c r="AX40" s="3613"/>
      <c r="AY40" s="563">
        <f>AX40/$AI$89</f>
        <v>0</v>
      </c>
      <c r="AZ40" s="3613"/>
      <c r="BA40" s="3613"/>
      <c r="BB40" s="3613"/>
      <c r="BC40" s="3613"/>
      <c r="BD40" s="563">
        <f>BC40/$AI$89</f>
        <v>0</v>
      </c>
      <c r="BE40" s="3615"/>
      <c r="BF40" s="3394"/>
      <c r="BG40" s="3317"/>
      <c r="BH40" s="3317"/>
      <c r="BI40" s="3317">
        <v>0</v>
      </c>
      <c r="BJ40" s="3317"/>
      <c r="BK40" s="3394"/>
      <c r="BL40" s="3317"/>
      <c r="BM40" s="3317"/>
      <c r="BN40" s="3317">
        <f t="shared" si="67"/>
        <v>0</v>
      </c>
      <c r="BO40" s="3317"/>
      <c r="BP40" s="3613"/>
      <c r="BQ40" s="3613"/>
      <c r="BR40" s="3613"/>
      <c r="BS40" s="563">
        <f>BR40/$AI$89</f>
        <v>0</v>
      </c>
      <c r="BT40" s="3615"/>
      <c r="BU40" s="3613"/>
      <c r="BV40" s="3613"/>
      <c r="BW40" s="3613"/>
      <c r="BX40" s="563">
        <f>BW40/$AI$89</f>
        <v>0</v>
      </c>
      <c r="BY40" s="3317"/>
      <c r="BZ40" s="3317"/>
      <c r="CA40" s="3317"/>
      <c r="CB40" s="3317"/>
      <c r="CC40" s="3317"/>
      <c r="CD40" s="3317"/>
      <c r="CE40" s="3317"/>
      <c r="CF40" s="3317"/>
      <c r="CG40" s="3317"/>
      <c r="CH40" s="3317"/>
      <c r="CI40" s="3317"/>
      <c r="CJ40" s="3317"/>
      <c r="CK40" s="3317"/>
      <c r="CL40" s="3317"/>
      <c r="CM40" s="3317"/>
      <c r="CN40" s="3317"/>
      <c r="CO40" s="3317"/>
      <c r="CP40" s="3317"/>
      <c r="CQ40" s="3317"/>
      <c r="CR40" s="3317"/>
      <c r="CS40" s="3317"/>
      <c r="CT40" s="3317"/>
      <c r="CU40" s="3317"/>
      <c r="CV40" s="3317"/>
      <c r="CW40" s="3317"/>
      <c r="CX40" s="3317"/>
      <c r="CY40" s="3317"/>
      <c r="CZ40" s="3317"/>
      <c r="DA40" s="3317"/>
      <c r="DB40" s="3317"/>
      <c r="DC40" s="3613"/>
      <c r="DD40" s="3317"/>
      <c r="DE40" s="3317"/>
      <c r="DF40" s="3317"/>
      <c r="DG40" s="3317"/>
      <c r="DH40" s="3616"/>
      <c r="DI40" s="3394"/>
      <c r="DJ40" s="3317"/>
      <c r="DK40" s="3317"/>
      <c r="DL40" s="3317"/>
      <c r="DM40" s="3616"/>
      <c r="DN40" s="3394"/>
      <c r="DO40" s="3317"/>
      <c r="DP40" s="3317"/>
      <c r="DQ40" s="3317"/>
      <c r="DR40" s="3613"/>
      <c r="DS40" s="3394"/>
      <c r="DT40" s="3317"/>
      <c r="DU40" s="3317"/>
      <c r="DV40" s="3317"/>
      <c r="DW40" s="3615"/>
      <c r="DX40" s="3615"/>
      <c r="DY40" s="3613"/>
      <c r="DZ40" s="3613"/>
      <c r="EA40" s="3613"/>
      <c r="EB40" s="3613"/>
      <c r="ED40" s="3394"/>
      <c r="EE40" s="3394"/>
    </row>
    <row r="41" spans="1:136" ht="14.4" thickBot="1" x14ac:dyDescent="0.3">
      <c r="A41" s="821"/>
      <c r="B41" s="903" t="s">
        <v>26</v>
      </c>
      <c r="C41" s="1599">
        <f>SUM(C42:C48)</f>
        <v>3020.2799999999997</v>
      </c>
      <c r="D41" s="1599">
        <f>SUM(D42:D48)</f>
        <v>795</v>
      </c>
      <c r="E41" s="843">
        <f>SUM(E42:E48)</f>
        <v>3815.2799999999997</v>
      </c>
      <c r="F41" s="838">
        <f t="shared" si="51"/>
        <v>1.4674325040626621E-3</v>
      </c>
      <c r="G41" s="943"/>
      <c r="H41" s="1599">
        <f>SUM(H42:H48)</f>
        <v>20624.28</v>
      </c>
      <c r="I41" s="1599">
        <f>SUM(I42:I48)</f>
        <v>1633</v>
      </c>
      <c r="J41" s="843">
        <f>SUM(J42:J48)</f>
        <v>22257.279999999999</v>
      </c>
      <c r="K41" s="838">
        <f t="shared" ref="K41:K49" si="68">J41/$J$89</f>
        <v>1.7513808607258455E-3</v>
      </c>
      <c r="L41" s="1703"/>
      <c r="M41" s="3617">
        <v>81764.77</v>
      </c>
      <c r="N41" s="3617">
        <v>998.69</v>
      </c>
      <c r="O41" s="3618">
        <v>82763.460000000006</v>
      </c>
      <c r="P41" s="3619">
        <v>4.2941768723123866E-3</v>
      </c>
      <c r="Q41" s="1987"/>
      <c r="R41" s="3617">
        <f>SUM(R42:R48)</f>
        <v>4630.8</v>
      </c>
      <c r="S41" s="3617">
        <f>SUM(S42:S48)</f>
        <v>0</v>
      </c>
      <c r="T41" s="3618">
        <f>SUM(T42:T48)</f>
        <v>4630.8</v>
      </c>
      <c r="U41" s="3619">
        <f t="shared" ref="U41:U48" si="69">T41/$T$89</f>
        <v>3.5698756867164195E-3</v>
      </c>
      <c r="V41" s="3620"/>
      <c r="W41" s="1599">
        <f>SUM(W42:W48)</f>
        <v>12123.89</v>
      </c>
      <c r="X41" s="1599">
        <f>SUM(X42:X48)</f>
        <v>1661</v>
      </c>
      <c r="Y41" s="843">
        <f>SUM(Y42:Y48)</f>
        <v>13784.89</v>
      </c>
      <c r="Z41" s="838">
        <f>Y41/$Y$89</f>
        <v>6.0979682757487516E-3</v>
      </c>
      <c r="AA41" s="1703"/>
      <c r="AB41" s="1599">
        <f>SUM(AB42:AB48)</f>
        <v>0</v>
      </c>
      <c r="AC41" s="1599">
        <f>SUM(AC42:AC48)</f>
        <v>0</v>
      </c>
      <c r="AD41" s="843">
        <f>SUM(AD42:AD48)</f>
        <v>0</v>
      </c>
      <c r="AE41" s="838">
        <f>AD41/$Y$89</f>
        <v>0</v>
      </c>
      <c r="AF41" s="988"/>
      <c r="AG41" s="1599">
        <f>SUM(AG42:AG48)</f>
        <v>1926.59</v>
      </c>
      <c r="AH41" s="1599">
        <f>SUM(AH42:AH48)</f>
        <v>3200</v>
      </c>
      <c r="AI41" s="843">
        <f>SUM(AI42:AI48)</f>
        <v>5126.59</v>
      </c>
      <c r="AJ41" s="944">
        <f t="shared" si="7"/>
        <v>4.7394423560974753E-3</v>
      </c>
      <c r="AK41" s="1703"/>
      <c r="AL41" s="1599">
        <f>SUM(AL42:AL48)</f>
        <v>8583.7000000000007</v>
      </c>
      <c r="AM41" s="1599">
        <f>SUM(AM42:AM48)</f>
        <v>3200</v>
      </c>
      <c r="AN41" s="843">
        <f>SUM(AN42:AN48)</f>
        <v>11783.7</v>
      </c>
      <c r="AO41" s="944">
        <f t="shared" ref="AO41:AO52" si="70">AN41/$AN$89</f>
        <v>2.5927946088417121E-3</v>
      </c>
      <c r="AP41" s="1703"/>
      <c r="AQ41" s="1987">
        <f>SUM(AQ42:AQ48)</f>
        <v>135308.81</v>
      </c>
      <c r="AR41" s="1987">
        <f>SUM(AR42:AR48)</f>
        <v>7238.9</v>
      </c>
      <c r="AS41" s="843">
        <f>SUM(AS42:AS48)</f>
        <v>142547.71</v>
      </c>
      <c r="AT41" s="944">
        <f>AS41/$AN$89</f>
        <v>3.1365100434560603E-2</v>
      </c>
      <c r="AU41" s="1987"/>
      <c r="AV41" s="1987">
        <f>SUM(AV42:AV48)</f>
        <v>13288.81</v>
      </c>
      <c r="AW41" s="1987">
        <f>SUM(AW42:AW48)</f>
        <v>2752.34</v>
      </c>
      <c r="AX41" s="843">
        <f>SUM(AX42:AX48)</f>
        <v>16041.15</v>
      </c>
      <c r="AY41" s="944">
        <f>AX41/$AN$89</f>
        <v>3.5295711227900594E-3</v>
      </c>
      <c r="AZ41" s="1334"/>
      <c r="BA41" s="1987">
        <f>SUM(BA42:BA48)</f>
        <v>37517.4</v>
      </c>
      <c r="BB41" s="1987">
        <f>SUM(BB42:BB48)</f>
        <v>6076.67</v>
      </c>
      <c r="BC41" s="843">
        <f>SUM(BC42:BC48)</f>
        <v>43594.07</v>
      </c>
      <c r="BD41" s="944">
        <f>BC41/$AN$89</f>
        <v>9.5921034711905599E-3</v>
      </c>
      <c r="BE41" s="1703"/>
      <c r="BF41" s="2029">
        <v>121635.43</v>
      </c>
      <c r="BG41" s="2029">
        <v>35878.660000000003</v>
      </c>
      <c r="BH41" s="2030">
        <v>157514.08999999997</v>
      </c>
      <c r="BI41" s="3318">
        <v>0.12142733873332076</v>
      </c>
      <c r="BJ41" s="2022"/>
      <c r="BK41" s="2029">
        <f>SUM(BK42:BK48)</f>
        <v>0</v>
      </c>
      <c r="BL41" s="2029">
        <f>SUM(BL42:BL48)</f>
        <v>0</v>
      </c>
      <c r="BM41" s="2030">
        <f>SUM(BM42:BM48)</f>
        <v>0</v>
      </c>
      <c r="BN41" s="3318">
        <f t="shared" si="67"/>
        <v>0</v>
      </c>
      <c r="BO41" s="2022"/>
      <c r="BP41" s="1987">
        <f>SUM(BP42:BP48)</f>
        <v>0</v>
      </c>
      <c r="BQ41" s="1987">
        <f>SUM(BQ42:BQ48)</f>
        <v>0</v>
      </c>
      <c r="BR41" s="843">
        <f>SUM(BR42:BR48)</f>
        <v>0</v>
      </c>
      <c r="BS41" s="944">
        <f>BR41/$AN$89</f>
        <v>0</v>
      </c>
      <c r="BT41" s="1703"/>
      <c r="BU41" s="1987">
        <f>SUM(BU42:BU48)</f>
        <v>0</v>
      </c>
      <c r="BV41" s="1987">
        <f>SUM(BV42:BV48)</f>
        <v>0</v>
      </c>
      <c r="BW41" s="843">
        <f>SUM(BW42:BW48)</f>
        <v>0</v>
      </c>
      <c r="BX41" s="944">
        <f>BW41/$AN$89</f>
        <v>0</v>
      </c>
      <c r="BY41" s="2022"/>
      <c r="BZ41" s="2029">
        <f>SUM(BZ42:BZ48)</f>
        <v>0</v>
      </c>
      <c r="CA41" s="2029">
        <f>SUM(CA42:CA48)</f>
        <v>0</v>
      </c>
      <c r="CB41" s="2030">
        <f>SUM(CB42:CB48)</f>
        <v>0</v>
      </c>
      <c r="CC41" s="3318">
        <f t="shared" ref="CC41:CC52" si="71">CB41/$AD$89</f>
        <v>0</v>
      </c>
      <c r="CD41" s="2022"/>
      <c r="CE41" s="2029">
        <f>SUM(CE42:CE48)</f>
        <v>0</v>
      </c>
      <c r="CF41" s="2029">
        <f>SUM(CF42:CF48)</f>
        <v>0</v>
      </c>
      <c r="CG41" s="2030">
        <f>SUM(CG42:CG48)</f>
        <v>0</v>
      </c>
      <c r="CH41" s="3318">
        <f t="shared" ref="CH41:CH52" si="72">CG41/$AD$89</f>
        <v>0</v>
      </c>
      <c r="CI41" s="2022"/>
      <c r="CJ41" s="2029">
        <f>SUM(CJ42:CJ48)</f>
        <v>0</v>
      </c>
      <c r="CK41" s="2029">
        <f>SUM(CK42:CK48)</f>
        <v>0</v>
      </c>
      <c r="CL41" s="2030">
        <f>SUM(CL42:CL48)</f>
        <v>0</v>
      </c>
      <c r="CM41" s="3318">
        <f t="shared" ref="CM41:CM52" si="73">CL41/$AD$89</f>
        <v>0</v>
      </c>
      <c r="CN41" s="2022"/>
      <c r="CO41" s="2029">
        <f>SUM(CO42:CO48)</f>
        <v>0</v>
      </c>
      <c r="CP41" s="2029">
        <f>SUM(CP42:CP48)</f>
        <v>0</v>
      </c>
      <c r="CQ41" s="2030">
        <f>SUM(CQ42:CQ48)</f>
        <v>0</v>
      </c>
      <c r="CR41" s="3318">
        <f t="shared" ref="CR41:CR52" si="74">CQ41/$AD$89</f>
        <v>0</v>
      </c>
      <c r="CS41" s="2022"/>
      <c r="CT41" s="2029">
        <f>SUM(CT42:CT48)</f>
        <v>0</v>
      </c>
      <c r="CU41" s="2029">
        <f>SUM(CU42:CU48)</f>
        <v>0</v>
      </c>
      <c r="CV41" s="2030">
        <f>SUM(CV42:CV48)</f>
        <v>0</v>
      </c>
      <c r="CW41" s="3318">
        <f t="shared" ref="CW41:CW52" si="75">CV41/$AD$89</f>
        <v>0</v>
      </c>
      <c r="CX41" s="2022"/>
      <c r="CY41" s="2029">
        <f>SUM(CY42:CY48)</f>
        <v>0</v>
      </c>
      <c r="CZ41" s="2029">
        <f>SUM(CZ42:CZ48)</f>
        <v>0</v>
      </c>
      <c r="DA41" s="2030">
        <f>SUM(DA42:DA48)</f>
        <v>0</v>
      </c>
      <c r="DB41" s="3318">
        <f t="shared" ref="DB41:DB52" si="76">DA41/$AD$89</f>
        <v>0</v>
      </c>
      <c r="DC41" s="3137"/>
      <c r="DD41" s="2029">
        <f>SUM(DD42:DD48)</f>
        <v>0</v>
      </c>
      <c r="DE41" s="2029">
        <f>SUM(DE42:DE48)</f>
        <v>0</v>
      </c>
      <c r="DF41" s="2030">
        <f>SUM(DF42:DF48)</f>
        <v>0</v>
      </c>
      <c r="DG41" s="3318">
        <f t="shared" ref="DG41:DG52" si="77">DF41/$AD$89</f>
        <v>0</v>
      </c>
      <c r="DH41" s="1987"/>
      <c r="DI41" s="2029">
        <f>SUM(DI42:DI48)</f>
        <v>0</v>
      </c>
      <c r="DJ41" s="2029">
        <f>SUM(DJ42:DJ48)</f>
        <v>0</v>
      </c>
      <c r="DK41" s="2030">
        <f>SUM(DK42:DK48)</f>
        <v>0</v>
      </c>
      <c r="DL41" s="3318">
        <f t="shared" ref="DL41:DL52" si="78">DK41/$AD$89</f>
        <v>0</v>
      </c>
      <c r="DM41" s="1987"/>
      <c r="DN41" s="2029">
        <f>SUM(DN42:DN48)</f>
        <v>0</v>
      </c>
      <c r="DO41" s="2029">
        <f>SUM(DO42:DO48)</f>
        <v>0</v>
      </c>
      <c r="DP41" s="2030">
        <f>SUM(DP42:DP48)</f>
        <v>0</v>
      </c>
      <c r="DQ41" s="3318">
        <f t="shared" ref="DQ41:DQ52" si="79">DP41/$AD$89</f>
        <v>0</v>
      </c>
      <c r="DR41" s="1703"/>
      <c r="DS41" s="2029">
        <f>SUM(DS42:DS48)</f>
        <v>0</v>
      </c>
      <c r="DT41" s="2029">
        <f>SUM(DT42:DT48)</f>
        <v>0</v>
      </c>
      <c r="DU41" s="2030">
        <f>SUM(DU42:DU48)</f>
        <v>0</v>
      </c>
      <c r="DV41" s="3318">
        <f t="shared" ref="DV41:DV52" si="80">DU41/$AD$89</f>
        <v>0</v>
      </c>
      <c r="DW41" s="1703"/>
      <c r="DX41" s="1599">
        <f>SUM(DX42:DX48)</f>
        <v>335015.43</v>
      </c>
      <c r="DY41" s="843">
        <f>SUM(DY42:DY48)</f>
        <v>60007.57</v>
      </c>
      <c r="DZ41" s="843">
        <f>SUM(DZ42:DZ48)</f>
        <v>395023</v>
      </c>
      <c r="EA41" s="838" t="e">
        <f t="shared" ref="EA41:EA52" si="81">DZ41/$BW$89</f>
        <v>#DIV/0!</v>
      </c>
      <c r="EB41" s="1703"/>
      <c r="ED41" s="2029">
        <f>SUM(ED42:ED48)</f>
        <v>121833.53</v>
      </c>
      <c r="EE41" s="2029">
        <f>SUM(EE42:EE48)</f>
        <v>121833.53</v>
      </c>
    </row>
    <row r="42" spans="1:136" ht="43.2" customHeight="1" x14ac:dyDescent="0.25">
      <c r="A42" s="4015"/>
      <c r="B42" s="1418" t="s">
        <v>7</v>
      </c>
      <c r="C42" s="1074"/>
      <c r="D42" s="1326"/>
      <c r="E42" s="1074">
        <f t="shared" ref="E42:E48" si="82">C42+D42*1</f>
        <v>0</v>
      </c>
      <c r="F42" s="1992">
        <f t="shared" si="51"/>
        <v>0</v>
      </c>
      <c r="G42" s="3242"/>
      <c r="H42" s="3283"/>
      <c r="I42" s="3283"/>
      <c r="J42" s="2028">
        <f t="shared" ref="J42:J48" si="83">H42+I42*1</f>
        <v>0</v>
      </c>
      <c r="K42" s="1992">
        <f t="shared" si="68"/>
        <v>0</v>
      </c>
      <c r="L42" s="1449"/>
      <c r="M42" s="3497">
        <v>0</v>
      </c>
      <c r="N42" s="3497">
        <v>0</v>
      </c>
      <c r="O42" s="3498">
        <v>0</v>
      </c>
      <c r="P42" s="3513">
        <v>0</v>
      </c>
      <c r="Q42" s="1449"/>
      <c r="R42" s="3497"/>
      <c r="S42" s="3497"/>
      <c r="T42" s="3498">
        <f t="shared" ref="T42:T48" si="84">R42+S42*1</f>
        <v>0</v>
      </c>
      <c r="U42" s="3513">
        <f t="shared" si="69"/>
        <v>0</v>
      </c>
      <c r="V42" s="3514"/>
      <c r="W42" s="3274"/>
      <c r="X42" s="3274"/>
      <c r="Y42" s="2028">
        <f t="shared" ref="Y42:Y48" si="85">W42+X42*1</f>
        <v>0</v>
      </c>
      <c r="Z42" s="1992">
        <f t="shared" ref="Z42:Z48" si="86">Y42/$T$89</f>
        <v>0</v>
      </c>
      <c r="AA42" s="1449"/>
      <c r="AB42" s="3274"/>
      <c r="AC42" s="3274"/>
      <c r="AD42" s="2028">
        <f t="shared" ref="AD42:AD48" si="87">AB42+AC42*1</f>
        <v>0</v>
      </c>
      <c r="AE42" s="2562">
        <f>AD42/$T$89</f>
        <v>0</v>
      </c>
      <c r="AF42" s="989"/>
      <c r="AG42" s="3569"/>
      <c r="AH42" s="3570"/>
      <c r="AI42" s="941">
        <f t="shared" ref="AI42:AI48" si="88">AG42+AH42*1</f>
        <v>0</v>
      </c>
      <c r="AJ42" s="624">
        <f t="shared" si="7"/>
        <v>0</v>
      </c>
      <c r="AK42" s="942"/>
      <c r="AL42" s="3569"/>
      <c r="AM42" s="3570"/>
      <c r="AN42" s="941">
        <f t="shared" ref="AN42:AN48" si="89">AL42+AM42*1</f>
        <v>0</v>
      </c>
      <c r="AO42" s="624">
        <f t="shared" si="70"/>
        <v>0</v>
      </c>
      <c r="AP42" s="3275"/>
      <c r="AQ42" s="3274"/>
      <c r="AR42" s="3288"/>
      <c r="AS42" s="941">
        <f t="shared" ref="AS42:AS48" si="90">AQ42+AR42*1</f>
        <v>0</v>
      </c>
      <c r="AT42" s="624">
        <f t="shared" ref="AT42:AT48" si="91">AS42/$AS$89</f>
        <v>0</v>
      </c>
      <c r="AU42" s="3275"/>
      <c r="AV42" s="1338"/>
      <c r="AW42" s="1338"/>
      <c r="AX42" s="941">
        <f t="shared" ref="AX42:AX48" si="92">AV42+AW42*1</f>
        <v>0</v>
      </c>
      <c r="AY42" s="624">
        <f t="shared" ref="AY42:AY48" si="93">AX42/$AS$89</f>
        <v>0</v>
      </c>
      <c r="AZ42" s="1449"/>
      <c r="BA42" s="1074">
        <v>1232.5</v>
      </c>
      <c r="BB42" s="1449"/>
      <c r="BC42" s="941">
        <f t="shared" ref="BC42:BC48" si="94">BA42+BB42*1</f>
        <v>1232.5</v>
      </c>
      <c r="BD42" s="1362">
        <f t="shared" si="34"/>
        <v>1.8176120710044837E-4</v>
      </c>
      <c r="BE42" s="1878" t="s">
        <v>1527</v>
      </c>
      <c r="BF42" s="3288">
        <v>0</v>
      </c>
      <c r="BG42" s="3274">
        <v>0</v>
      </c>
      <c r="BH42" s="2028">
        <v>0</v>
      </c>
      <c r="BI42" s="3284">
        <v>0</v>
      </c>
      <c r="BJ42" s="3276"/>
      <c r="BK42" s="3288">
        <f t="shared" ref="BK42:BL48" si="95">BP42+BU42+BZ42+CE42+CJ42+CO42+CT42+CY42+DD42+DI42+DN42+DS42</f>
        <v>0</v>
      </c>
      <c r="BL42" s="3274">
        <f t="shared" si="95"/>
        <v>0</v>
      </c>
      <c r="BM42" s="2028">
        <f t="shared" ref="BM42:BM48" si="96">BK42+BL42*1</f>
        <v>0</v>
      </c>
      <c r="BN42" s="3284">
        <f t="shared" si="67"/>
        <v>0</v>
      </c>
      <c r="BO42" s="3276"/>
      <c r="BP42" s="1074"/>
      <c r="BQ42" s="1449"/>
      <c r="BR42" s="2114">
        <f t="shared" ref="BR42:BR48" si="97">BP42+BQ42*1</f>
        <v>0</v>
      </c>
      <c r="BS42" s="2002">
        <f t="shared" si="37"/>
        <v>0</v>
      </c>
      <c r="BT42" s="1878"/>
      <c r="BU42" s="3274"/>
      <c r="BV42" s="3274"/>
      <c r="BW42" s="2028">
        <f t="shared" ref="BW42:BW48" si="98">BU42+BV42*1</f>
        <v>0</v>
      </c>
      <c r="BX42" s="3284">
        <f t="shared" ref="BX42:BX48" si="99">BW42/$E$89</f>
        <v>0</v>
      </c>
      <c r="BY42" s="3295"/>
      <c r="BZ42" s="3274"/>
      <c r="CA42" s="3274"/>
      <c r="CB42" s="2028">
        <f t="shared" ref="CB42:CB48" si="100">BZ42+CA42*1</f>
        <v>0</v>
      </c>
      <c r="CC42" s="3284">
        <f t="shared" si="71"/>
        <v>0</v>
      </c>
      <c r="CD42" s="3276"/>
      <c r="CE42" s="3274"/>
      <c r="CF42" s="3274"/>
      <c r="CG42" s="2028">
        <f t="shared" ref="CG42:CG48" si="101">CE42+CF42*1</f>
        <v>0</v>
      </c>
      <c r="CH42" s="3284">
        <f t="shared" si="72"/>
        <v>0</v>
      </c>
      <c r="CI42" s="3276"/>
      <c r="CJ42" s="3274"/>
      <c r="CK42" s="3274"/>
      <c r="CL42" s="3274">
        <f t="shared" ref="CL42:CL48" si="102">CJ42+CK42*1</f>
        <v>0</v>
      </c>
      <c r="CM42" s="3284">
        <f t="shared" si="73"/>
        <v>0</v>
      </c>
      <c r="CN42" s="3276"/>
      <c r="CO42" s="3274"/>
      <c r="CP42" s="3274"/>
      <c r="CQ42" s="3274">
        <f t="shared" ref="CQ42:CQ49" si="103">CO42+CP42*1</f>
        <v>0</v>
      </c>
      <c r="CR42" s="3284">
        <f t="shared" si="74"/>
        <v>0</v>
      </c>
      <c r="CS42" s="3276"/>
      <c r="CT42" s="3274"/>
      <c r="CU42" s="3274"/>
      <c r="CV42" s="3274">
        <f t="shared" ref="CV42:CV49" si="104">CT42+CU42*1</f>
        <v>0</v>
      </c>
      <c r="CW42" s="3284">
        <f t="shared" si="75"/>
        <v>0</v>
      </c>
      <c r="CX42" s="3276"/>
      <c r="CY42" s="3274"/>
      <c r="CZ42" s="3274"/>
      <c r="DA42" s="3274">
        <f t="shared" ref="DA42:DA49" si="105">CY42+CZ42*1</f>
        <v>0</v>
      </c>
      <c r="DB42" s="3284">
        <f t="shared" si="76"/>
        <v>0</v>
      </c>
      <c r="DC42" s="3276"/>
      <c r="DD42" s="3274"/>
      <c r="DE42" s="3274"/>
      <c r="DF42" s="3274">
        <f t="shared" ref="DF42:DF49" si="106">DD42+DE42*1</f>
        <v>0</v>
      </c>
      <c r="DG42" s="3284">
        <f t="shared" si="77"/>
        <v>0</v>
      </c>
      <c r="DH42" s="3500"/>
      <c r="DI42" s="3288"/>
      <c r="DJ42" s="3274"/>
      <c r="DK42" s="3274">
        <f t="shared" ref="DK42:DK49" si="107">DI42+DJ42*1</f>
        <v>0</v>
      </c>
      <c r="DL42" s="3284">
        <f t="shared" si="78"/>
        <v>0</v>
      </c>
      <c r="DM42" s="3500"/>
      <c r="DN42" s="3288"/>
      <c r="DO42" s="3274"/>
      <c r="DP42" s="3274">
        <f t="shared" ref="DP42:DP49" si="108">DN42+DO42*1</f>
        <v>0</v>
      </c>
      <c r="DQ42" s="3284">
        <f t="shared" si="79"/>
        <v>0</v>
      </c>
      <c r="DR42" s="3276"/>
      <c r="DS42" s="3288"/>
      <c r="DT42" s="3274"/>
      <c r="DU42" s="3274">
        <f t="shared" ref="DU42:DU49" si="109">DS42+DT42*1</f>
        <v>0</v>
      </c>
      <c r="DV42" s="3284">
        <f t="shared" si="80"/>
        <v>0</v>
      </c>
      <c r="DW42" s="3530"/>
      <c r="DX42" s="3288">
        <f t="shared" ref="DX42:DY48" si="110">R42+W42+AB42+AG42+AL42+AQ42+AV42+BA42+BP42+BU42+BZ42+CE42+CJ42+CO42+CT42+CY42+DD42+DI42+DN42+DS42+BF42</f>
        <v>1232.5</v>
      </c>
      <c r="DY42" s="3288">
        <f t="shared" si="110"/>
        <v>0</v>
      </c>
      <c r="DZ42" s="3283">
        <f t="shared" ref="DZ42:DZ48" si="111">DX42+DY42*1</f>
        <v>1232.5</v>
      </c>
      <c r="EA42" s="1992" t="e">
        <f t="shared" si="81"/>
        <v>#DIV/0!</v>
      </c>
      <c r="EB42" s="1449"/>
      <c r="ED42" s="3288"/>
      <c r="EE42" s="3501">
        <f>ED42-BM42</f>
        <v>0</v>
      </c>
    </row>
    <row r="43" spans="1:136" ht="13.95" customHeight="1" x14ac:dyDescent="0.25">
      <c r="A43" s="4015"/>
      <c r="B43" s="3319" t="s">
        <v>27</v>
      </c>
      <c r="C43" s="3621"/>
      <c r="D43" s="3622"/>
      <c r="E43" s="1074">
        <f t="shared" si="82"/>
        <v>0</v>
      </c>
      <c r="F43" s="3284">
        <f t="shared" si="51"/>
        <v>0</v>
      </c>
      <c r="G43" s="3242"/>
      <c r="H43" s="3283"/>
      <c r="I43" s="3283"/>
      <c r="J43" s="2028">
        <f t="shared" si="83"/>
        <v>0</v>
      </c>
      <c r="K43" s="3284">
        <f t="shared" si="68"/>
        <v>0</v>
      </c>
      <c r="L43" s="3295"/>
      <c r="M43" s="3497">
        <v>0</v>
      </c>
      <c r="N43" s="3497">
        <v>0</v>
      </c>
      <c r="O43" s="3498">
        <v>0</v>
      </c>
      <c r="P43" s="3523">
        <v>0</v>
      </c>
      <c r="Q43" s="1449"/>
      <c r="R43" s="3497"/>
      <c r="S43" s="3497"/>
      <c r="T43" s="3498">
        <f t="shared" si="84"/>
        <v>0</v>
      </c>
      <c r="U43" s="3523">
        <f t="shared" si="69"/>
        <v>0</v>
      </c>
      <c r="V43" s="3540"/>
      <c r="W43" s="3274"/>
      <c r="X43" s="3274"/>
      <c r="Y43" s="2028">
        <f t="shared" si="85"/>
        <v>0</v>
      </c>
      <c r="Z43" s="3284">
        <f t="shared" si="86"/>
        <v>0</v>
      </c>
      <c r="AA43" s="3295"/>
      <c r="AB43" s="3274"/>
      <c r="AC43" s="3274"/>
      <c r="AD43" s="2028">
        <f t="shared" si="87"/>
        <v>0</v>
      </c>
      <c r="AE43" s="3623">
        <f>AD43/$T$89</f>
        <v>0</v>
      </c>
      <c r="AF43" s="3624"/>
      <c r="AG43" s="3625"/>
      <c r="AH43" s="3589"/>
      <c r="AI43" s="3590">
        <f t="shared" si="88"/>
        <v>0</v>
      </c>
      <c r="AJ43" s="3516">
        <f t="shared" si="7"/>
        <v>0</v>
      </c>
      <c r="AK43" s="3536"/>
      <c r="AL43" s="3625"/>
      <c r="AM43" s="3589"/>
      <c r="AN43" s="3590">
        <f t="shared" si="89"/>
        <v>0</v>
      </c>
      <c r="AO43" s="3516">
        <f t="shared" si="70"/>
        <v>0</v>
      </c>
      <c r="AP43" s="3275"/>
      <c r="AQ43" s="3274">
        <v>1730</v>
      </c>
      <c r="AR43" s="3288"/>
      <c r="AS43" s="3590">
        <f t="shared" si="90"/>
        <v>1730</v>
      </c>
      <c r="AT43" s="3516">
        <f t="shared" si="91"/>
        <v>2.7436722559949169E-4</v>
      </c>
      <c r="AU43" s="3275" t="s">
        <v>1364</v>
      </c>
      <c r="AV43" s="1338"/>
      <c r="AW43" s="1338"/>
      <c r="AX43" s="3590">
        <f t="shared" si="92"/>
        <v>0</v>
      </c>
      <c r="AY43" s="3516">
        <f t="shared" si="93"/>
        <v>0</v>
      </c>
      <c r="AZ43" s="1449"/>
      <c r="BA43" s="1074"/>
      <c r="BB43" s="1449"/>
      <c r="BC43" s="3590">
        <f t="shared" si="94"/>
        <v>0</v>
      </c>
      <c r="BD43" s="3518">
        <f t="shared" si="34"/>
        <v>0</v>
      </c>
      <c r="BE43" s="1875"/>
      <c r="BF43" s="3288">
        <v>0</v>
      </c>
      <c r="BG43" s="3274">
        <v>79</v>
      </c>
      <c r="BH43" s="2028">
        <v>79</v>
      </c>
      <c r="BI43" s="3284">
        <v>6.0900962954694034E-5</v>
      </c>
      <c r="BJ43" s="3276"/>
      <c r="BK43" s="3288">
        <f t="shared" si="95"/>
        <v>0</v>
      </c>
      <c r="BL43" s="3274">
        <f t="shared" si="95"/>
        <v>0</v>
      </c>
      <c r="BM43" s="2028">
        <f t="shared" si="96"/>
        <v>0</v>
      </c>
      <c r="BN43" s="3284">
        <f t="shared" si="67"/>
        <v>0</v>
      </c>
      <c r="BO43" s="3276"/>
      <c r="BP43" s="1074"/>
      <c r="BQ43" s="1449"/>
      <c r="BR43" s="3595">
        <f t="shared" si="97"/>
        <v>0</v>
      </c>
      <c r="BS43" s="3426">
        <f t="shared" si="37"/>
        <v>0</v>
      </c>
      <c r="BT43" s="1875"/>
      <c r="BU43" s="3274"/>
      <c r="BV43" s="3274"/>
      <c r="BW43" s="2028">
        <f t="shared" si="98"/>
        <v>0</v>
      </c>
      <c r="BX43" s="3284">
        <f t="shared" si="99"/>
        <v>0</v>
      </c>
      <c r="BY43" s="3295"/>
      <c r="BZ43" s="3274"/>
      <c r="CA43" s="3274"/>
      <c r="CB43" s="2028">
        <f t="shared" si="100"/>
        <v>0</v>
      </c>
      <c r="CC43" s="3284">
        <f t="shared" si="71"/>
        <v>0</v>
      </c>
      <c r="CD43" s="3276"/>
      <c r="CE43" s="3274"/>
      <c r="CF43" s="3274"/>
      <c r="CG43" s="2028">
        <f t="shared" si="101"/>
        <v>0</v>
      </c>
      <c r="CH43" s="3284">
        <f t="shared" si="72"/>
        <v>0</v>
      </c>
      <c r="CI43" s="3276"/>
      <c r="CJ43" s="3274"/>
      <c r="CK43" s="3274"/>
      <c r="CL43" s="3274">
        <f t="shared" si="102"/>
        <v>0</v>
      </c>
      <c r="CM43" s="3284">
        <f t="shared" si="73"/>
        <v>0</v>
      </c>
      <c r="CN43" s="3276"/>
      <c r="CO43" s="3274"/>
      <c r="CP43" s="3274"/>
      <c r="CQ43" s="3274">
        <f t="shared" si="103"/>
        <v>0</v>
      </c>
      <c r="CR43" s="3284">
        <f t="shared" si="74"/>
        <v>0</v>
      </c>
      <c r="CS43" s="3276"/>
      <c r="CT43" s="3274"/>
      <c r="CU43" s="3274"/>
      <c r="CV43" s="3274">
        <f t="shared" si="104"/>
        <v>0</v>
      </c>
      <c r="CW43" s="3284">
        <f t="shared" si="75"/>
        <v>0</v>
      </c>
      <c r="CX43" s="3276"/>
      <c r="CY43" s="3274"/>
      <c r="CZ43" s="3274"/>
      <c r="DA43" s="3274">
        <f t="shared" si="105"/>
        <v>0</v>
      </c>
      <c r="DB43" s="3284">
        <f t="shared" si="76"/>
        <v>0</v>
      </c>
      <c r="DC43" s="3276"/>
      <c r="DD43" s="3274"/>
      <c r="DE43" s="3274"/>
      <c r="DF43" s="3274">
        <f t="shared" si="106"/>
        <v>0</v>
      </c>
      <c r="DG43" s="3284">
        <f t="shared" si="77"/>
        <v>0</v>
      </c>
      <c r="DH43" s="3500"/>
      <c r="DI43" s="3288"/>
      <c r="DJ43" s="3274"/>
      <c r="DK43" s="3274">
        <f t="shared" si="107"/>
        <v>0</v>
      </c>
      <c r="DL43" s="3284">
        <f t="shared" si="78"/>
        <v>0</v>
      </c>
      <c r="DM43" s="3500"/>
      <c r="DN43" s="3288"/>
      <c r="DO43" s="3274"/>
      <c r="DP43" s="3274">
        <f t="shared" si="108"/>
        <v>0</v>
      </c>
      <c r="DQ43" s="3284">
        <f t="shared" si="79"/>
        <v>0</v>
      </c>
      <c r="DR43" s="3276"/>
      <c r="DS43" s="3288"/>
      <c r="DT43" s="3274"/>
      <c r="DU43" s="3274">
        <f t="shared" si="109"/>
        <v>0</v>
      </c>
      <c r="DV43" s="3284">
        <f t="shared" si="80"/>
        <v>0</v>
      </c>
      <c r="DW43" s="3530"/>
      <c r="DX43" s="3417">
        <f t="shared" si="110"/>
        <v>1730</v>
      </c>
      <c r="DY43" s="3417">
        <f t="shared" si="110"/>
        <v>79</v>
      </c>
      <c r="DZ43" s="3283">
        <f t="shared" si="111"/>
        <v>1809</v>
      </c>
      <c r="EA43" s="3284" t="e">
        <f t="shared" si="81"/>
        <v>#DIV/0!</v>
      </c>
      <c r="EB43" s="3295"/>
      <c r="ED43" s="1359">
        <v>4460</v>
      </c>
      <c r="EE43" s="3501">
        <f>ED43-BM43</f>
        <v>4460</v>
      </c>
      <c r="EF43" s="3262"/>
    </row>
    <row r="44" spans="1:136" ht="41.4" x14ac:dyDescent="0.25">
      <c r="A44" s="4015"/>
      <c r="B44" s="3310" t="s">
        <v>28</v>
      </c>
      <c r="C44" s="3621">
        <v>1107</v>
      </c>
      <c r="D44" s="3622">
        <v>225</v>
      </c>
      <c r="E44" s="1074">
        <f t="shared" si="82"/>
        <v>1332</v>
      </c>
      <c r="F44" s="3284">
        <f t="shared" si="51"/>
        <v>5.1231366909151258E-4</v>
      </c>
      <c r="G44" s="3237" t="s">
        <v>172</v>
      </c>
      <c r="H44" s="3283"/>
      <c r="I44" s="3283"/>
      <c r="J44" s="2028">
        <f t="shared" si="83"/>
        <v>0</v>
      </c>
      <c r="K44" s="3284">
        <f t="shared" si="68"/>
        <v>0</v>
      </c>
      <c r="L44" s="3295"/>
      <c r="M44" s="3497">
        <v>0</v>
      </c>
      <c r="N44" s="3497">
        <v>0</v>
      </c>
      <c r="O44" s="3498">
        <v>0</v>
      </c>
      <c r="P44" s="3523">
        <v>0</v>
      </c>
      <c r="Q44" s="1449"/>
      <c r="R44" s="3497"/>
      <c r="S44" s="3497"/>
      <c r="T44" s="3498">
        <f t="shared" si="84"/>
        <v>0</v>
      </c>
      <c r="U44" s="3523">
        <f t="shared" si="69"/>
        <v>0</v>
      </c>
      <c r="V44" s="3540"/>
      <c r="W44" s="3274"/>
      <c r="X44" s="3274">
        <v>460</v>
      </c>
      <c r="Y44" s="2028">
        <f t="shared" si="85"/>
        <v>460</v>
      </c>
      <c r="Z44" s="3284">
        <f t="shared" si="86"/>
        <v>3.5461320201467413E-4</v>
      </c>
      <c r="AA44" s="3295" t="s">
        <v>750</v>
      </c>
      <c r="AB44" s="3274"/>
      <c r="AC44" s="3274"/>
      <c r="AD44" s="2028">
        <f t="shared" si="87"/>
        <v>0</v>
      </c>
      <c r="AE44" s="3623">
        <f>AD44/$T$89</f>
        <v>0</v>
      </c>
      <c r="AF44" s="3624"/>
      <c r="AG44" s="3625"/>
      <c r="AH44" s="3589">
        <v>3200</v>
      </c>
      <c r="AI44" s="3590">
        <f t="shared" si="88"/>
        <v>3200</v>
      </c>
      <c r="AJ44" s="3516">
        <f t="shared" si="7"/>
        <v>2.9583437605722167E-3</v>
      </c>
      <c r="AK44" s="3536" t="s">
        <v>641</v>
      </c>
      <c r="AL44" s="3625"/>
      <c r="AM44" s="3589">
        <v>3200</v>
      </c>
      <c r="AN44" s="3590">
        <f t="shared" si="89"/>
        <v>3200</v>
      </c>
      <c r="AO44" s="3516">
        <f t="shared" si="70"/>
        <v>7.0410335873227238E-4</v>
      </c>
      <c r="AP44" s="3275" t="s">
        <v>641</v>
      </c>
      <c r="AQ44" s="3274">
        <v>867</v>
      </c>
      <c r="AR44" s="3288">
        <f>2000+900+1400</f>
        <v>4300</v>
      </c>
      <c r="AS44" s="3590">
        <f t="shared" si="90"/>
        <v>5167</v>
      </c>
      <c r="AT44" s="3516">
        <f t="shared" si="91"/>
        <v>8.1945402004195004E-4</v>
      </c>
      <c r="AU44" s="3275" t="s">
        <v>1357</v>
      </c>
      <c r="AV44" s="1338"/>
      <c r="AW44" s="1338">
        <v>2752.34</v>
      </c>
      <c r="AX44" s="3590">
        <f t="shared" si="92"/>
        <v>2752.34</v>
      </c>
      <c r="AY44" s="3516">
        <f t="shared" si="93"/>
        <v>4.3650398248930923E-4</v>
      </c>
      <c r="AZ44" s="3276" t="s">
        <v>1445</v>
      </c>
      <c r="BA44" s="1074">
        <v>23800</v>
      </c>
      <c r="BB44" s="1367">
        <f>2300+976.67+2800</f>
        <v>6076.67</v>
      </c>
      <c r="BC44" s="3590">
        <f t="shared" si="94"/>
        <v>29876.67</v>
      </c>
      <c r="BD44" s="3518">
        <f t="shared" si="34"/>
        <v>4.4060199621434098E-3</v>
      </c>
      <c r="BE44" s="3519" t="s">
        <v>1536</v>
      </c>
      <c r="BF44" s="3288">
        <v>15857.23</v>
      </c>
      <c r="BG44" s="3274">
        <v>28669.66</v>
      </c>
      <c r="BH44" s="2028">
        <v>44526.89</v>
      </c>
      <c r="BI44" s="3284">
        <v>3.4325702257946032E-2</v>
      </c>
      <c r="BJ44" s="3276"/>
      <c r="BK44" s="3288">
        <f t="shared" si="95"/>
        <v>0</v>
      </c>
      <c r="BL44" s="3274">
        <f t="shared" si="95"/>
        <v>0</v>
      </c>
      <c r="BM44" s="2028">
        <f t="shared" si="96"/>
        <v>0</v>
      </c>
      <c r="BN44" s="3284">
        <f t="shared" si="67"/>
        <v>0</v>
      </c>
      <c r="BO44" s="3276"/>
      <c r="BP44" s="1074"/>
      <c r="BQ44" s="1367"/>
      <c r="BR44" s="3595">
        <f t="shared" si="97"/>
        <v>0</v>
      </c>
      <c r="BS44" s="3426">
        <f t="shared" si="37"/>
        <v>0</v>
      </c>
      <c r="BT44" s="3519"/>
      <c r="BU44" s="3274"/>
      <c r="BV44" s="3274"/>
      <c r="BW44" s="2028">
        <f t="shared" si="98"/>
        <v>0</v>
      </c>
      <c r="BX44" s="3284">
        <f t="shared" si="99"/>
        <v>0</v>
      </c>
      <c r="BY44" s="2134"/>
      <c r="BZ44" s="3274"/>
      <c r="CA44" s="3274"/>
      <c r="CB44" s="2028">
        <f t="shared" si="100"/>
        <v>0</v>
      </c>
      <c r="CC44" s="3284">
        <f t="shared" si="71"/>
        <v>0</v>
      </c>
      <c r="CD44" s="3276"/>
      <c r="CE44" s="3274"/>
      <c r="CF44" s="3274"/>
      <c r="CG44" s="2028">
        <f t="shared" si="101"/>
        <v>0</v>
      </c>
      <c r="CH44" s="3284">
        <f t="shared" si="72"/>
        <v>0</v>
      </c>
      <c r="CI44" s="3276"/>
      <c r="CJ44" s="3274"/>
      <c r="CK44" s="3274"/>
      <c r="CL44" s="3274">
        <f t="shared" si="102"/>
        <v>0</v>
      </c>
      <c r="CM44" s="3284">
        <f t="shared" si="73"/>
        <v>0</v>
      </c>
      <c r="CN44" s="3276"/>
      <c r="CO44" s="3274"/>
      <c r="CP44" s="3274"/>
      <c r="CQ44" s="3274">
        <f t="shared" si="103"/>
        <v>0</v>
      </c>
      <c r="CR44" s="3284">
        <f t="shared" si="74"/>
        <v>0</v>
      </c>
      <c r="CS44" s="3276"/>
      <c r="CT44" s="3274"/>
      <c r="CU44" s="3274"/>
      <c r="CV44" s="3274">
        <f t="shared" si="104"/>
        <v>0</v>
      </c>
      <c r="CW44" s="3284">
        <f t="shared" si="75"/>
        <v>0</v>
      </c>
      <c r="CX44" s="3276"/>
      <c r="CY44" s="3274"/>
      <c r="CZ44" s="3274"/>
      <c r="DA44" s="3274">
        <f t="shared" si="105"/>
        <v>0</v>
      </c>
      <c r="DB44" s="3284">
        <f t="shared" si="76"/>
        <v>0</v>
      </c>
      <c r="DC44" s="3276"/>
      <c r="DD44" s="3274"/>
      <c r="DE44" s="3274"/>
      <c r="DF44" s="3274">
        <f t="shared" si="106"/>
        <v>0</v>
      </c>
      <c r="DG44" s="3284">
        <f t="shared" si="77"/>
        <v>0</v>
      </c>
      <c r="DH44" s="3500"/>
      <c r="DI44" s="3288"/>
      <c r="DJ44" s="3274"/>
      <c r="DK44" s="3274">
        <f t="shared" si="107"/>
        <v>0</v>
      </c>
      <c r="DL44" s="3284">
        <f t="shared" si="78"/>
        <v>0</v>
      </c>
      <c r="DM44" s="3500"/>
      <c r="DN44" s="3288"/>
      <c r="DO44" s="3274"/>
      <c r="DP44" s="3274">
        <f t="shared" si="108"/>
        <v>0</v>
      </c>
      <c r="DQ44" s="3284">
        <f t="shared" si="79"/>
        <v>0</v>
      </c>
      <c r="DR44" s="3276"/>
      <c r="DS44" s="3288"/>
      <c r="DT44" s="3274"/>
      <c r="DU44" s="3274">
        <f t="shared" si="109"/>
        <v>0</v>
      </c>
      <c r="DV44" s="3284">
        <f t="shared" si="80"/>
        <v>0</v>
      </c>
      <c r="DW44" s="3530"/>
      <c r="DX44" s="3417">
        <f t="shared" si="110"/>
        <v>40524.229999999996</v>
      </c>
      <c r="DY44" s="3417">
        <f t="shared" si="110"/>
        <v>48658.67</v>
      </c>
      <c r="DZ44" s="3283">
        <f t="shared" si="111"/>
        <v>89182.9</v>
      </c>
      <c r="EA44" s="3284" t="e">
        <f t="shared" si="81"/>
        <v>#DIV/0!</v>
      </c>
      <c r="EB44" s="3295"/>
      <c r="ED44" s="1359">
        <v>25868</v>
      </c>
      <c r="EE44" s="3501">
        <f t="shared" ref="EE44:EE48" si="112">ED44-BM44</f>
        <v>25868</v>
      </c>
      <c r="EF44" s="3262"/>
    </row>
    <row r="45" spans="1:136" ht="13.95" customHeight="1" x14ac:dyDescent="0.25">
      <c r="A45" s="4015"/>
      <c r="B45" s="3319" t="s">
        <v>8</v>
      </c>
      <c r="C45" s="3621"/>
      <c r="D45" s="3622"/>
      <c r="E45" s="1074">
        <f t="shared" si="82"/>
        <v>0</v>
      </c>
      <c r="F45" s="3284">
        <f t="shared" si="51"/>
        <v>0</v>
      </c>
      <c r="G45" s="3242"/>
      <c r="H45" s="3283"/>
      <c r="I45" s="3283"/>
      <c r="J45" s="2028">
        <f t="shared" si="83"/>
        <v>0</v>
      </c>
      <c r="K45" s="3284">
        <f t="shared" si="68"/>
        <v>0</v>
      </c>
      <c r="L45" s="3295"/>
      <c r="M45" s="3497">
        <v>0</v>
      </c>
      <c r="N45" s="3497">
        <v>0</v>
      </c>
      <c r="O45" s="3498">
        <v>0</v>
      </c>
      <c r="P45" s="3523">
        <v>0</v>
      </c>
      <c r="Q45" s="1449"/>
      <c r="R45" s="3497"/>
      <c r="S45" s="3497"/>
      <c r="T45" s="3498">
        <f t="shared" si="84"/>
        <v>0</v>
      </c>
      <c r="U45" s="3523">
        <f t="shared" si="69"/>
        <v>0</v>
      </c>
      <c r="V45" s="3540"/>
      <c r="W45" s="3274"/>
      <c r="X45" s="3274"/>
      <c r="Y45" s="2028">
        <f t="shared" si="85"/>
        <v>0</v>
      </c>
      <c r="Z45" s="3284">
        <f t="shared" si="86"/>
        <v>0</v>
      </c>
      <c r="AA45" s="3295"/>
      <c r="AB45" s="3274"/>
      <c r="AC45" s="3274"/>
      <c r="AD45" s="2028">
        <f t="shared" si="87"/>
        <v>0</v>
      </c>
      <c r="AE45" s="3623">
        <f>AD45/$T$89</f>
        <v>0</v>
      </c>
      <c r="AF45" s="3624"/>
      <c r="AG45" s="3625"/>
      <c r="AH45" s="3589"/>
      <c r="AI45" s="3590">
        <f t="shared" si="88"/>
        <v>0</v>
      </c>
      <c r="AJ45" s="3516">
        <f t="shared" si="7"/>
        <v>0</v>
      </c>
      <c r="AK45" s="3536"/>
      <c r="AL45" s="3625"/>
      <c r="AM45" s="3589"/>
      <c r="AN45" s="3590">
        <f t="shared" si="89"/>
        <v>0</v>
      </c>
      <c r="AO45" s="3516">
        <f t="shared" si="70"/>
        <v>0</v>
      </c>
      <c r="AP45" s="3275"/>
      <c r="AQ45" s="3274">
        <v>230</v>
      </c>
      <c r="AR45" s="3288"/>
      <c r="AS45" s="3590">
        <f t="shared" si="90"/>
        <v>230</v>
      </c>
      <c r="AT45" s="3516">
        <f t="shared" si="91"/>
        <v>3.647656756525034E-5</v>
      </c>
      <c r="AU45" s="3275"/>
      <c r="AV45" s="1338"/>
      <c r="AW45" s="1338"/>
      <c r="AX45" s="3590">
        <f t="shared" si="92"/>
        <v>0</v>
      </c>
      <c r="AY45" s="3516">
        <f t="shared" si="93"/>
        <v>0</v>
      </c>
      <c r="AZ45" s="1449"/>
      <c r="BA45" s="1074"/>
      <c r="BB45" s="1449"/>
      <c r="BC45" s="3590">
        <f t="shared" si="94"/>
        <v>0</v>
      </c>
      <c r="BD45" s="3518">
        <f t="shared" si="34"/>
        <v>0</v>
      </c>
      <c r="BE45" s="1875"/>
      <c r="BF45" s="3288">
        <v>6000</v>
      </c>
      <c r="BG45" s="3274">
        <v>6000</v>
      </c>
      <c r="BH45" s="2028">
        <v>12000</v>
      </c>
      <c r="BI45" s="3284">
        <v>9.2507791829914993E-3</v>
      </c>
      <c r="BJ45" s="3276"/>
      <c r="BK45" s="3288">
        <f t="shared" si="95"/>
        <v>0</v>
      </c>
      <c r="BL45" s="3274">
        <f t="shared" si="95"/>
        <v>0</v>
      </c>
      <c r="BM45" s="2028">
        <f t="shared" si="96"/>
        <v>0</v>
      </c>
      <c r="BN45" s="3284">
        <f t="shared" si="67"/>
        <v>0</v>
      </c>
      <c r="BO45" s="3276"/>
      <c r="BP45" s="1074"/>
      <c r="BQ45" s="1449"/>
      <c r="BR45" s="3595">
        <f t="shared" si="97"/>
        <v>0</v>
      </c>
      <c r="BS45" s="3426">
        <f t="shared" si="37"/>
        <v>0</v>
      </c>
      <c r="BT45" s="1875"/>
      <c r="BU45" s="3274"/>
      <c r="BV45" s="3274"/>
      <c r="BW45" s="2028">
        <f t="shared" si="98"/>
        <v>0</v>
      </c>
      <c r="BX45" s="3284">
        <f t="shared" si="99"/>
        <v>0</v>
      </c>
      <c r="BY45" s="3295"/>
      <c r="BZ45" s="3274"/>
      <c r="CA45" s="3274"/>
      <c r="CB45" s="2028">
        <f t="shared" si="100"/>
        <v>0</v>
      </c>
      <c r="CC45" s="3284">
        <f t="shared" si="71"/>
        <v>0</v>
      </c>
      <c r="CD45" s="3276"/>
      <c r="CE45" s="3274"/>
      <c r="CF45" s="3274"/>
      <c r="CG45" s="2028">
        <f t="shared" si="101"/>
        <v>0</v>
      </c>
      <c r="CH45" s="3284">
        <f t="shared" si="72"/>
        <v>0</v>
      </c>
      <c r="CI45" s="3276"/>
      <c r="CJ45" s="3274"/>
      <c r="CK45" s="3274"/>
      <c r="CL45" s="3274">
        <f t="shared" si="102"/>
        <v>0</v>
      </c>
      <c r="CM45" s="3284">
        <f t="shared" si="73"/>
        <v>0</v>
      </c>
      <c r="CN45" s="3276"/>
      <c r="CO45" s="3274"/>
      <c r="CP45" s="3274"/>
      <c r="CQ45" s="3274">
        <f t="shared" si="103"/>
        <v>0</v>
      </c>
      <c r="CR45" s="3284">
        <f t="shared" si="74"/>
        <v>0</v>
      </c>
      <c r="CS45" s="3276"/>
      <c r="CT45" s="3274"/>
      <c r="CU45" s="3274"/>
      <c r="CV45" s="3274">
        <f t="shared" si="104"/>
        <v>0</v>
      </c>
      <c r="CW45" s="3284">
        <f t="shared" si="75"/>
        <v>0</v>
      </c>
      <c r="CX45" s="3276"/>
      <c r="CY45" s="3274"/>
      <c r="CZ45" s="3274"/>
      <c r="DA45" s="3274">
        <f t="shared" si="105"/>
        <v>0</v>
      </c>
      <c r="DB45" s="3284">
        <f t="shared" si="76"/>
        <v>0</v>
      </c>
      <c r="DC45" s="3276"/>
      <c r="DD45" s="3274"/>
      <c r="DE45" s="3274"/>
      <c r="DF45" s="3274">
        <f t="shared" si="106"/>
        <v>0</v>
      </c>
      <c r="DG45" s="3284">
        <f t="shared" si="77"/>
        <v>0</v>
      </c>
      <c r="DH45" s="3542"/>
      <c r="DI45" s="3274"/>
      <c r="DJ45" s="3274"/>
      <c r="DK45" s="3274">
        <f t="shared" si="107"/>
        <v>0</v>
      </c>
      <c r="DL45" s="3284">
        <f t="shared" si="78"/>
        <v>0</v>
      </c>
      <c r="DM45" s="3500"/>
      <c r="DN45" s="3417"/>
      <c r="DO45" s="3274"/>
      <c r="DP45" s="3274">
        <f t="shared" si="108"/>
        <v>0</v>
      </c>
      <c r="DQ45" s="3284">
        <f t="shared" si="79"/>
        <v>0</v>
      </c>
      <c r="DR45" s="3500"/>
      <c r="DS45" s="3288"/>
      <c r="DT45" s="3274"/>
      <c r="DU45" s="3274">
        <f t="shared" si="109"/>
        <v>0</v>
      </c>
      <c r="DV45" s="3284">
        <f t="shared" si="80"/>
        <v>0</v>
      </c>
      <c r="DW45" s="3530"/>
      <c r="DX45" s="3417">
        <f t="shared" si="110"/>
        <v>6230</v>
      </c>
      <c r="DY45" s="3417">
        <f t="shared" si="110"/>
        <v>6000</v>
      </c>
      <c r="DZ45" s="3283">
        <f t="shared" si="111"/>
        <v>12230</v>
      </c>
      <c r="EA45" s="3284" t="e">
        <f t="shared" si="81"/>
        <v>#DIV/0!</v>
      </c>
      <c r="EB45" s="3295"/>
      <c r="ED45" s="1359">
        <v>12000</v>
      </c>
      <c r="EE45" s="3501">
        <f t="shared" si="112"/>
        <v>12000</v>
      </c>
      <c r="EF45" s="3262"/>
    </row>
    <row r="46" spans="1:136" ht="27.6" customHeight="1" x14ac:dyDescent="0.25">
      <c r="A46" s="4015"/>
      <c r="B46" s="3319" t="s">
        <v>29</v>
      </c>
      <c r="C46" s="3621"/>
      <c r="D46" s="3622"/>
      <c r="E46" s="1074">
        <f t="shared" si="82"/>
        <v>0</v>
      </c>
      <c r="F46" s="3284">
        <f t="shared" si="51"/>
        <v>0</v>
      </c>
      <c r="G46" s="3242"/>
      <c r="H46" s="3283"/>
      <c r="I46" s="3283"/>
      <c r="J46" s="2028">
        <f t="shared" si="83"/>
        <v>0</v>
      </c>
      <c r="K46" s="3284">
        <f t="shared" si="68"/>
        <v>0</v>
      </c>
      <c r="L46" s="3295"/>
      <c r="M46" s="3497">
        <v>0</v>
      </c>
      <c r="N46" s="3497">
        <v>0</v>
      </c>
      <c r="O46" s="3498">
        <v>0</v>
      </c>
      <c r="P46" s="3523">
        <v>0</v>
      </c>
      <c r="Q46" s="1449"/>
      <c r="R46" s="3497"/>
      <c r="S46" s="3497"/>
      <c r="T46" s="3498">
        <f t="shared" si="84"/>
        <v>0</v>
      </c>
      <c r="U46" s="3523">
        <f t="shared" si="69"/>
        <v>0</v>
      </c>
      <c r="V46" s="3540"/>
      <c r="W46" s="3274"/>
      <c r="X46" s="3274"/>
      <c r="Y46" s="2028">
        <f t="shared" si="85"/>
        <v>0</v>
      </c>
      <c r="Z46" s="3284">
        <f t="shared" si="86"/>
        <v>0</v>
      </c>
      <c r="AA46" s="3295"/>
      <c r="AB46" s="3274"/>
      <c r="AC46" s="3274"/>
      <c r="AD46" s="2028">
        <f t="shared" si="87"/>
        <v>0</v>
      </c>
      <c r="AE46" s="3623">
        <f>AD46/$T$89</f>
        <v>0</v>
      </c>
      <c r="AF46" s="3624"/>
      <c r="AG46" s="3625"/>
      <c r="AH46" s="3589"/>
      <c r="AI46" s="3590">
        <f t="shared" si="88"/>
        <v>0</v>
      </c>
      <c r="AJ46" s="3516">
        <f t="shared" si="7"/>
        <v>0</v>
      </c>
      <c r="AK46" s="3536"/>
      <c r="AL46" s="3625"/>
      <c r="AM46" s="3589"/>
      <c r="AN46" s="3590">
        <f t="shared" si="89"/>
        <v>0</v>
      </c>
      <c r="AO46" s="3516">
        <f t="shared" si="70"/>
        <v>0</v>
      </c>
      <c r="AP46" s="3275"/>
      <c r="AQ46" s="3274">
        <v>120469</v>
      </c>
      <c r="AR46" s="3288"/>
      <c r="AS46" s="3590">
        <f t="shared" si="90"/>
        <v>120469</v>
      </c>
      <c r="AT46" s="3516">
        <f t="shared" si="91"/>
        <v>1.9105633121818014E-2</v>
      </c>
      <c r="AU46" s="3275" t="s">
        <v>1351</v>
      </c>
      <c r="AV46" s="1338"/>
      <c r="AW46" s="1338"/>
      <c r="AX46" s="3590">
        <f t="shared" si="92"/>
        <v>0</v>
      </c>
      <c r="AY46" s="3516">
        <f t="shared" si="93"/>
        <v>0</v>
      </c>
      <c r="AZ46" s="1449"/>
      <c r="BA46" s="1074"/>
      <c r="BB46" s="1449"/>
      <c r="BC46" s="3590">
        <f t="shared" si="94"/>
        <v>0</v>
      </c>
      <c r="BD46" s="3518">
        <f t="shared" si="34"/>
        <v>0</v>
      </c>
      <c r="BE46" s="1875"/>
      <c r="BF46" s="3288">
        <v>4900</v>
      </c>
      <c r="BG46" s="3274">
        <v>0</v>
      </c>
      <c r="BH46" s="2028">
        <v>4900</v>
      </c>
      <c r="BI46" s="3284">
        <v>3.777401499721529E-3</v>
      </c>
      <c r="BJ46" s="3276"/>
      <c r="BK46" s="3288">
        <f t="shared" si="95"/>
        <v>0</v>
      </c>
      <c r="BL46" s="3274">
        <f t="shared" si="95"/>
        <v>0</v>
      </c>
      <c r="BM46" s="2028">
        <f t="shared" si="96"/>
        <v>0</v>
      </c>
      <c r="BN46" s="3284">
        <f t="shared" si="67"/>
        <v>0</v>
      </c>
      <c r="BO46" s="3276"/>
      <c r="BP46" s="1074"/>
      <c r="BQ46" s="1449"/>
      <c r="BR46" s="3595">
        <f t="shared" si="97"/>
        <v>0</v>
      </c>
      <c r="BS46" s="3426">
        <f t="shared" si="37"/>
        <v>0</v>
      </c>
      <c r="BT46" s="1875"/>
      <c r="BU46" s="3274"/>
      <c r="BV46" s="3274"/>
      <c r="BW46" s="2028">
        <f t="shared" si="98"/>
        <v>0</v>
      </c>
      <c r="BX46" s="3284">
        <f t="shared" si="99"/>
        <v>0</v>
      </c>
      <c r="BY46" s="3295"/>
      <c r="BZ46" s="3274"/>
      <c r="CA46" s="3274"/>
      <c r="CB46" s="2028">
        <f t="shared" si="100"/>
        <v>0</v>
      </c>
      <c r="CC46" s="3284">
        <f t="shared" si="71"/>
        <v>0</v>
      </c>
      <c r="CD46" s="3276"/>
      <c r="CE46" s="3274"/>
      <c r="CF46" s="3274"/>
      <c r="CG46" s="2028">
        <f t="shared" si="101"/>
        <v>0</v>
      </c>
      <c r="CH46" s="3284">
        <f t="shared" si="72"/>
        <v>0</v>
      </c>
      <c r="CI46" s="3276"/>
      <c r="CJ46" s="3274"/>
      <c r="CK46" s="3274"/>
      <c r="CL46" s="3274">
        <f t="shared" si="102"/>
        <v>0</v>
      </c>
      <c r="CM46" s="3284">
        <f t="shared" si="73"/>
        <v>0</v>
      </c>
      <c r="CN46" s="3276"/>
      <c r="CO46" s="3274"/>
      <c r="CP46" s="3274"/>
      <c r="CQ46" s="3274">
        <f t="shared" si="103"/>
        <v>0</v>
      </c>
      <c r="CR46" s="3284">
        <f t="shared" si="74"/>
        <v>0</v>
      </c>
      <c r="CS46" s="3276"/>
      <c r="CT46" s="3274"/>
      <c r="CU46" s="3274"/>
      <c r="CV46" s="3274">
        <f t="shared" si="104"/>
        <v>0</v>
      </c>
      <c r="CW46" s="3284">
        <f t="shared" si="75"/>
        <v>0</v>
      </c>
      <c r="CX46" s="3276"/>
      <c r="CY46" s="3274"/>
      <c r="CZ46" s="3274"/>
      <c r="DA46" s="3274">
        <f t="shared" si="105"/>
        <v>0</v>
      </c>
      <c r="DB46" s="3284">
        <f t="shared" si="76"/>
        <v>0</v>
      </c>
      <c r="DC46" s="3276"/>
      <c r="DD46" s="3274"/>
      <c r="DE46" s="3274"/>
      <c r="DF46" s="3274">
        <f t="shared" si="106"/>
        <v>0</v>
      </c>
      <c r="DG46" s="3284">
        <f t="shared" si="77"/>
        <v>0</v>
      </c>
      <c r="DH46" s="3500"/>
      <c r="DI46" s="3288"/>
      <c r="DJ46" s="3274"/>
      <c r="DK46" s="3274">
        <f t="shared" si="107"/>
        <v>0</v>
      </c>
      <c r="DL46" s="3284">
        <f t="shared" si="78"/>
        <v>0</v>
      </c>
      <c r="DM46" s="3500"/>
      <c r="DN46" s="3288"/>
      <c r="DO46" s="3274"/>
      <c r="DP46" s="3274">
        <f t="shared" si="108"/>
        <v>0</v>
      </c>
      <c r="DQ46" s="3284">
        <f t="shared" si="79"/>
        <v>0</v>
      </c>
      <c r="DR46" s="3276"/>
      <c r="DS46" s="3288"/>
      <c r="DT46" s="3274"/>
      <c r="DU46" s="3274">
        <f t="shared" si="109"/>
        <v>0</v>
      </c>
      <c r="DV46" s="3284">
        <f t="shared" si="80"/>
        <v>0</v>
      </c>
      <c r="DW46" s="3530"/>
      <c r="DX46" s="3417">
        <f t="shared" si="110"/>
        <v>125369</v>
      </c>
      <c r="DY46" s="3417">
        <f t="shared" si="110"/>
        <v>0</v>
      </c>
      <c r="DZ46" s="3283">
        <f t="shared" si="111"/>
        <v>125369</v>
      </c>
      <c r="EA46" s="3284" t="e">
        <f t="shared" si="81"/>
        <v>#DIV/0!</v>
      </c>
      <c r="EB46" s="3295"/>
      <c r="ED46" s="3288"/>
      <c r="EE46" s="3501">
        <f t="shared" si="112"/>
        <v>0</v>
      </c>
    </row>
    <row r="47" spans="1:136" ht="28.95" customHeight="1" x14ac:dyDescent="0.25">
      <c r="A47" s="4015"/>
      <c r="B47" s="3319" t="s">
        <v>30</v>
      </c>
      <c r="C47" s="3621"/>
      <c r="D47" s="3622"/>
      <c r="E47" s="1074">
        <f t="shared" si="82"/>
        <v>0</v>
      </c>
      <c r="F47" s="3284">
        <f t="shared" si="51"/>
        <v>0</v>
      </c>
      <c r="G47" s="3242"/>
      <c r="H47" s="3274">
        <v>20210.28</v>
      </c>
      <c r="I47" s="3274">
        <v>563</v>
      </c>
      <c r="J47" s="2028">
        <f t="shared" si="83"/>
        <v>20773.28</v>
      </c>
      <c r="K47" s="3284">
        <f t="shared" si="68"/>
        <v>1.634607867920024E-3</v>
      </c>
      <c r="L47" s="3295"/>
      <c r="M47" s="3497">
        <v>72000.36</v>
      </c>
      <c r="N47" s="3497">
        <v>998.69</v>
      </c>
      <c r="O47" s="3498">
        <v>72999.05</v>
      </c>
      <c r="P47" s="3523">
        <v>3.7875510788308695E-3</v>
      </c>
      <c r="Q47" s="1449"/>
      <c r="R47" s="3274">
        <v>4630.8</v>
      </c>
      <c r="S47" s="3497"/>
      <c r="T47" s="3498">
        <f t="shared" si="84"/>
        <v>4630.8</v>
      </c>
      <c r="U47" s="3523">
        <f t="shared" si="69"/>
        <v>3.5698756867164195E-3</v>
      </c>
      <c r="V47" s="3543"/>
      <c r="W47" s="3274">
        <f>9674.89+483+256</f>
        <v>10413.89</v>
      </c>
      <c r="X47" s="3274">
        <v>1201</v>
      </c>
      <c r="Y47" s="2028">
        <f t="shared" si="85"/>
        <v>11614.89</v>
      </c>
      <c r="Z47" s="3284">
        <f>Y47/$Y$89</f>
        <v>5.1380337997845044E-3</v>
      </c>
      <c r="AA47" s="3390" t="s">
        <v>1036</v>
      </c>
      <c r="AB47" s="3274"/>
      <c r="AC47" s="3274"/>
      <c r="AD47" s="2028">
        <f t="shared" si="87"/>
        <v>0</v>
      </c>
      <c r="AE47" s="3623">
        <f>AD47/$Y$89</f>
        <v>0</v>
      </c>
      <c r="AF47" s="3626"/>
      <c r="AG47" s="3625">
        <f>306+697.56+342.03+581</f>
        <v>1926.59</v>
      </c>
      <c r="AH47" s="3589"/>
      <c r="AI47" s="3590">
        <f t="shared" si="88"/>
        <v>1926.59</v>
      </c>
      <c r="AJ47" s="3516">
        <f t="shared" si="7"/>
        <v>1.7810985955252583E-3</v>
      </c>
      <c r="AK47" s="3537" t="s">
        <v>486</v>
      </c>
      <c r="AL47" s="3625">
        <v>8583.7000000000007</v>
      </c>
      <c r="AM47" s="3589"/>
      <c r="AN47" s="3590">
        <f t="shared" si="89"/>
        <v>8583.7000000000007</v>
      </c>
      <c r="AO47" s="3516">
        <f t="shared" si="70"/>
        <v>1.8886912501094397E-3</v>
      </c>
      <c r="AP47" s="3275" t="s">
        <v>486</v>
      </c>
      <c r="AQ47" s="3274">
        <v>12012.81</v>
      </c>
      <c r="AR47" s="3288">
        <v>268</v>
      </c>
      <c r="AS47" s="3590">
        <f t="shared" si="90"/>
        <v>12280.81</v>
      </c>
      <c r="AT47" s="3516">
        <f t="shared" si="91"/>
        <v>1.9476599813956609E-3</v>
      </c>
      <c r="AU47" s="3275" t="s">
        <v>1358</v>
      </c>
      <c r="AV47" s="1339">
        <v>12238.81</v>
      </c>
      <c r="AW47" s="1340"/>
      <c r="AX47" s="3590">
        <f t="shared" si="92"/>
        <v>12238.81</v>
      </c>
      <c r="AY47" s="3516">
        <f t="shared" si="93"/>
        <v>1.9409990429707022E-3</v>
      </c>
      <c r="AZ47" s="1596" t="s">
        <v>486</v>
      </c>
      <c r="BA47" s="1074">
        <v>12484.9</v>
      </c>
      <c r="BB47" s="1596"/>
      <c r="BC47" s="3590">
        <f t="shared" si="94"/>
        <v>12484.9</v>
      </c>
      <c r="BD47" s="3518">
        <f t="shared" si="34"/>
        <v>1.8411930990088338E-3</v>
      </c>
      <c r="BE47" s="3519" t="s">
        <v>486</v>
      </c>
      <c r="BF47" s="3288">
        <v>83733.149999999994</v>
      </c>
      <c r="BG47" s="3274">
        <v>1130</v>
      </c>
      <c r="BH47" s="2028">
        <v>84863.15</v>
      </c>
      <c r="BI47" s="3284">
        <v>6.5420855118590415E-2</v>
      </c>
      <c r="BJ47" s="3276"/>
      <c r="BK47" s="3288">
        <f t="shared" si="95"/>
        <v>0</v>
      </c>
      <c r="BL47" s="3274">
        <f t="shared" si="95"/>
        <v>0</v>
      </c>
      <c r="BM47" s="2028">
        <f t="shared" si="96"/>
        <v>0</v>
      </c>
      <c r="BN47" s="3284">
        <f t="shared" si="67"/>
        <v>0</v>
      </c>
      <c r="BO47" s="3276"/>
      <c r="BP47" s="1074"/>
      <c r="BQ47" s="1367"/>
      <c r="BR47" s="3595">
        <f t="shared" si="97"/>
        <v>0</v>
      </c>
      <c r="BS47" s="3426">
        <f t="shared" si="37"/>
        <v>0</v>
      </c>
      <c r="BT47" s="3519"/>
      <c r="BU47" s="3274"/>
      <c r="BV47" s="3274"/>
      <c r="BW47" s="2028">
        <f t="shared" si="98"/>
        <v>0</v>
      </c>
      <c r="BX47" s="3284">
        <f t="shared" si="99"/>
        <v>0</v>
      </c>
      <c r="BY47" s="2134"/>
      <c r="BZ47" s="3274"/>
      <c r="CA47" s="3274"/>
      <c r="CB47" s="2028">
        <f t="shared" si="100"/>
        <v>0</v>
      </c>
      <c r="CC47" s="3284">
        <f t="shared" si="71"/>
        <v>0</v>
      </c>
      <c r="CD47" s="3276"/>
      <c r="CE47" s="3274"/>
      <c r="CF47" s="3274"/>
      <c r="CG47" s="2028">
        <f t="shared" si="101"/>
        <v>0</v>
      </c>
      <c r="CH47" s="3284">
        <f t="shared" si="72"/>
        <v>0</v>
      </c>
      <c r="CI47" s="3276"/>
      <c r="CJ47" s="3274"/>
      <c r="CK47" s="3274"/>
      <c r="CL47" s="3274">
        <f t="shared" si="102"/>
        <v>0</v>
      </c>
      <c r="CM47" s="3284">
        <f t="shared" si="73"/>
        <v>0</v>
      </c>
      <c r="CN47" s="3276"/>
      <c r="CO47" s="3274"/>
      <c r="CP47" s="3274"/>
      <c r="CQ47" s="3274">
        <f t="shared" si="103"/>
        <v>0</v>
      </c>
      <c r="CR47" s="3284">
        <f t="shared" si="74"/>
        <v>0</v>
      </c>
      <c r="CS47" s="3276"/>
      <c r="CT47" s="3274"/>
      <c r="CU47" s="3274"/>
      <c r="CV47" s="3274">
        <f t="shared" si="104"/>
        <v>0</v>
      </c>
      <c r="CW47" s="3284">
        <f t="shared" si="75"/>
        <v>0</v>
      </c>
      <c r="CX47" s="3276"/>
      <c r="CY47" s="3274"/>
      <c r="CZ47" s="3274"/>
      <c r="DA47" s="3274">
        <f t="shared" si="105"/>
        <v>0</v>
      </c>
      <c r="DB47" s="3284">
        <f t="shared" si="76"/>
        <v>0</v>
      </c>
      <c r="DC47" s="3276"/>
      <c r="DD47" s="3274"/>
      <c r="DE47" s="3274"/>
      <c r="DF47" s="3274">
        <f t="shared" si="106"/>
        <v>0</v>
      </c>
      <c r="DG47" s="3284">
        <f t="shared" si="77"/>
        <v>0</v>
      </c>
      <c r="DH47" s="3500"/>
      <c r="DI47" s="3288"/>
      <c r="DJ47" s="3274"/>
      <c r="DK47" s="3274">
        <f t="shared" si="107"/>
        <v>0</v>
      </c>
      <c r="DL47" s="3284">
        <f t="shared" si="78"/>
        <v>0</v>
      </c>
      <c r="DM47" s="3500"/>
      <c r="DN47" s="3288"/>
      <c r="DO47" s="3274"/>
      <c r="DP47" s="3274">
        <f t="shared" si="108"/>
        <v>0</v>
      </c>
      <c r="DQ47" s="3284">
        <f t="shared" si="79"/>
        <v>0</v>
      </c>
      <c r="DR47" s="3500"/>
      <c r="DS47" s="3288"/>
      <c r="DT47" s="3274"/>
      <c r="DU47" s="3274">
        <f t="shared" si="109"/>
        <v>0</v>
      </c>
      <c r="DV47" s="3284">
        <f t="shared" si="80"/>
        <v>0</v>
      </c>
      <c r="DW47" s="3530"/>
      <c r="DX47" s="3417">
        <f t="shared" si="110"/>
        <v>146024.65</v>
      </c>
      <c r="DY47" s="3417">
        <f t="shared" si="110"/>
        <v>2599</v>
      </c>
      <c r="DZ47" s="3283">
        <f t="shared" si="111"/>
        <v>148623.65</v>
      </c>
      <c r="EA47" s="3284" t="e">
        <f t="shared" si="81"/>
        <v>#DIV/0!</v>
      </c>
      <c r="EB47" s="3295"/>
      <c r="ED47" s="1359">
        <v>67277.7</v>
      </c>
      <c r="EE47" s="3501">
        <f t="shared" si="112"/>
        <v>67277.7</v>
      </c>
      <c r="EF47" s="3262"/>
    </row>
    <row r="48" spans="1:136" ht="13.8" x14ac:dyDescent="0.25">
      <c r="A48" s="4015"/>
      <c r="B48" s="3319" t="s">
        <v>15</v>
      </c>
      <c r="C48" s="3621">
        <v>1913.28</v>
      </c>
      <c r="D48" s="3622">
        <v>570</v>
      </c>
      <c r="E48" s="1074">
        <f t="shared" si="82"/>
        <v>2483.2799999999997</v>
      </c>
      <c r="F48" s="3284">
        <f t="shared" si="51"/>
        <v>9.5511883497114954E-4</v>
      </c>
      <c r="G48" s="3242"/>
      <c r="H48" s="3274">
        <v>414</v>
      </c>
      <c r="I48" s="3274">
        <v>1070</v>
      </c>
      <c r="J48" s="2028">
        <f t="shared" si="83"/>
        <v>1484</v>
      </c>
      <c r="K48" s="3284">
        <f t="shared" si="68"/>
        <v>1.1677299280582151E-4</v>
      </c>
      <c r="L48" s="3295"/>
      <c r="M48" s="3497">
        <v>9764.41</v>
      </c>
      <c r="N48" s="3497">
        <v>0</v>
      </c>
      <c r="O48" s="3498">
        <v>9764.41</v>
      </c>
      <c r="P48" s="3523">
        <v>5.0662579348151695E-4</v>
      </c>
      <c r="Q48" s="1449"/>
      <c r="R48" s="3497"/>
      <c r="S48" s="3497"/>
      <c r="T48" s="3498">
        <f t="shared" si="84"/>
        <v>0</v>
      </c>
      <c r="U48" s="3523">
        <f t="shared" si="69"/>
        <v>0</v>
      </c>
      <c r="V48" s="3540"/>
      <c r="W48" s="3274">
        <v>1710</v>
      </c>
      <c r="X48" s="3274"/>
      <c r="Y48" s="2028">
        <f t="shared" si="85"/>
        <v>1710</v>
      </c>
      <c r="Z48" s="3284">
        <f t="shared" si="86"/>
        <v>1.3182360335762886E-3</v>
      </c>
      <c r="AA48" s="3295"/>
      <c r="AB48" s="3274"/>
      <c r="AC48" s="3274"/>
      <c r="AD48" s="2028">
        <f t="shared" si="87"/>
        <v>0</v>
      </c>
      <c r="AE48" s="3623">
        <f>AD48/$T$89</f>
        <v>0</v>
      </c>
      <c r="AF48" s="3624"/>
      <c r="AG48" s="3625"/>
      <c r="AH48" s="3589"/>
      <c r="AI48" s="3590">
        <f t="shared" si="88"/>
        <v>0</v>
      </c>
      <c r="AJ48" s="3516">
        <f t="shared" si="7"/>
        <v>0</v>
      </c>
      <c r="AK48" s="3536"/>
      <c r="AL48" s="3625"/>
      <c r="AM48" s="3589"/>
      <c r="AN48" s="3590">
        <f t="shared" si="89"/>
        <v>0</v>
      </c>
      <c r="AO48" s="3516">
        <f t="shared" si="70"/>
        <v>0</v>
      </c>
      <c r="AP48" s="3275"/>
      <c r="AQ48" s="3274"/>
      <c r="AR48" s="3288">
        <v>2670.9</v>
      </c>
      <c r="AS48" s="3590">
        <f t="shared" si="90"/>
        <v>2670.9</v>
      </c>
      <c r="AT48" s="3516">
        <f t="shared" si="91"/>
        <v>4.2358810569577014E-4</v>
      </c>
      <c r="AU48" s="3275"/>
      <c r="AV48" s="1339">
        <v>1050</v>
      </c>
      <c r="AW48" s="1338"/>
      <c r="AX48" s="3590">
        <f t="shared" si="92"/>
        <v>1050</v>
      </c>
      <c r="AY48" s="3516">
        <f t="shared" si="93"/>
        <v>1.6652346062396894E-4</v>
      </c>
      <c r="AZ48" s="3276" t="s">
        <v>1446</v>
      </c>
      <c r="BA48" s="1074"/>
      <c r="BB48" s="1449"/>
      <c r="BC48" s="3590">
        <f t="shared" si="94"/>
        <v>0</v>
      </c>
      <c r="BD48" s="3518">
        <f t="shared" si="34"/>
        <v>0</v>
      </c>
      <c r="BE48" s="1875"/>
      <c r="BF48" s="3288">
        <v>11145.05</v>
      </c>
      <c r="BG48" s="3274">
        <v>0</v>
      </c>
      <c r="BH48" s="2028">
        <v>11145.05</v>
      </c>
      <c r="BI48" s="3284">
        <v>8.5916997111166165E-3</v>
      </c>
      <c r="BJ48" s="3276"/>
      <c r="BK48" s="3288">
        <f t="shared" si="95"/>
        <v>0</v>
      </c>
      <c r="BL48" s="3274">
        <f t="shared" si="95"/>
        <v>0</v>
      </c>
      <c r="BM48" s="2028">
        <f t="shared" si="96"/>
        <v>0</v>
      </c>
      <c r="BN48" s="3284">
        <f t="shared" si="67"/>
        <v>0</v>
      </c>
      <c r="BO48" s="3276"/>
      <c r="BP48" s="1074"/>
      <c r="BQ48" s="1449"/>
      <c r="BR48" s="3595">
        <f t="shared" si="97"/>
        <v>0</v>
      </c>
      <c r="BS48" s="3426">
        <f t="shared" si="37"/>
        <v>0</v>
      </c>
      <c r="BT48" s="1875"/>
      <c r="BU48" s="3274"/>
      <c r="BV48" s="3274"/>
      <c r="BW48" s="2028">
        <f t="shared" si="98"/>
        <v>0</v>
      </c>
      <c r="BX48" s="3284">
        <f t="shared" si="99"/>
        <v>0</v>
      </c>
      <c r="BY48" s="3295"/>
      <c r="BZ48" s="3274"/>
      <c r="CA48" s="3274"/>
      <c r="CB48" s="2028">
        <f t="shared" si="100"/>
        <v>0</v>
      </c>
      <c r="CC48" s="3284">
        <f t="shared" si="71"/>
        <v>0</v>
      </c>
      <c r="CD48" s="3295"/>
      <c r="CE48" s="3274"/>
      <c r="CF48" s="3274"/>
      <c r="CG48" s="2028">
        <f t="shared" si="101"/>
        <v>0</v>
      </c>
      <c r="CH48" s="3284">
        <f t="shared" si="72"/>
        <v>0</v>
      </c>
      <c r="CI48" s="3276"/>
      <c r="CJ48" s="3274"/>
      <c r="CK48" s="3274"/>
      <c r="CL48" s="3274">
        <f t="shared" si="102"/>
        <v>0</v>
      </c>
      <c r="CM48" s="3284">
        <f t="shared" si="73"/>
        <v>0</v>
      </c>
      <c r="CN48" s="3276"/>
      <c r="CO48" s="3274"/>
      <c r="CP48" s="3274"/>
      <c r="CQ48" s="3274">
        <f t="shared" si="103"/>
        <v>0</v>
      </c>
      <c r="CR48" s="3284">
        <f t="shared" si="74"/>
        <v>0</v>
      </c>
      <c r="CS48" s="3276"/>
      <c r="CT48" s="3274"/>
      <c r="CU48" s="3274"/>
      <c r="CV48" s="3274">
        <f t="shared" si="104"/>
        <v>0</v>
      </c>
      <c r="CW48" s="3284">
        <f t="shared" si="75"/>
        <v>0</v>
      </c>
      <c r="CX48" s="3276"/>
      <c r="CY48" s="3274"/>
      <c r="CZ48" s="3274"/>
      <c r="DA48" s="3274">
        <f t="shared" si="105"/>
        <v>0</v>
      </c>
      <c r="DB48" s="3284">
        <f t="shared" si="76"/>
        <v>0</v>
      </c>
      <c r="DC48" s="3276"/>
      <c r="DD48" s="3274"/>
      <c r="DE48" s="3274"/>
      <c r="DF48" s="3274">
        <f t="shared" si="106"/>
        <v>0</v>
      </c>
      <c r="DG48" s="3284">
        <f t="shared" si="77"/>
        <v>0</v>
      </c>
      <c r="DH48" s="3500"/>
      <c r="DI48" s="3288"/>
      <c r="DJ48" s="3274"/>
      <c r="DK48" s="3274">
        <f t="shared" si="107"/>
        <v>0</v>
      </c>
      <c r="DL48" s="3284">
        <f t="shared" si="78"/>
        <v>0</v>
      </c>
      <c r="DM48" s="3500"/>
      <c r="DN48" s="3288"/>
      <c r="DO48" s="3274"/>
      <c r="DP48" s="3274">
        <f t="shared" si="108"/>
        <v>0</v>
      </c>
      <c r="DQ48" s="3284">
        <f t="shared" si="79"/>
        <v>0</v>
      </c>
      <c r="DR48" s="3276"/>
      <c r="DS48" s="3288"/>
      <c r="DT48" s="3274"/>
      <c r="DU48" s="3274">
        <f t="shared" si="109"/>
        <v>0</v>
      </c>
      <c r="DV48" s="3284">
        <f t="shared" si="80"/>
        <v>0</v>
      </c>
      <c r="DW48" s="3530"/>
      <c r="DX48" s="3417">
        <f t="shared" si="110"/>
        <v>13905.05</v>
      </c>
      <c r="DY48" s="3417">
        <f t="shared" si="110"/>
        <v>2670.9</v>
      </c>
      <c r="DZ48" s="3283">
        <f t="shared" si="111"/>
        <v>16575.95</v>
      </c>
      <c r="EA48" s="3284" t="e">
        <f t="shared" si="81"/>
        <v>#DIV/0!</v>
      </c>
      <c r="EB48" s="3295"/>
      <c r="ED48" s="1359">
        <v>12227.83</v>
      </c>
      <c r="EE48" s="3501">
        <f t="shared" si="112"/>
        <v>12227.83</v>
      </c>
      <c r="EF48" s="3262"/>
    </row>
    <row r="49" spans="1:136" s="1411" customFormat="1" ht="14.4" thickBot="1" x14ac:dyDescent="0.3">
      <c r="A49" s="822"/>
      <c r="B49" s="3322"/>
      <c r="C49" s="3627"/>
      <c r="D49" s="3628"/>
      <c r="E49" s="3313"/>
      <c r="F49" s="2883">
        <f t="shared" si="51"/>
        <v>0</v>
      </c>
      <c r="G49" s="827"/>
      <c r="H49" s="3314"/>
      <c r="I49" s="3314"/>
      <c r="J49" s="3313"/>
      <c r="K49" s="2883">
        <f t="shared" si="68"/>
        <v>0</v>
      </c>
      <c r="L49" s="3313"/>
      <c r="M49" s="3548">
        <v>0</v>
      </c>
      <c r="N49" s="3548">
        <v>0</v>
      </c>
      <c r="O49" s="3629"/>
      <c r="P49" s="3550">
        <v>0</v>
      </c>
      <c r="Q49" s="3393"/>
      <c r="R49" s="3548"/>
      <c r="S49" s="3548"/>
      <c r="T49" s="3629"/>
      <c r="U49" s="3550">
        <v>0</v>
      </c>
      <c r="V49" s="3629"/>
      <c r="W49" s="3314"/>
      <c r="X49" s="3314"/>
      <c r="Y49" s="3313"/>
      <c r="Z49" s="2883">
        <f>Y49/$J$89</f>
        <v>0</v>
      </c>
      <c r="AA49" s="3313"/>
      <c r="AB49" s="3314"/>
      <c r="AC49" s="3314"/>
      <c r="AD49" s="3313"/>
      <c r="AE49" s="3630">
        <f>AD49/$J$89</f>
        <v>0</v>
      </c>
      <c r="AF49" s="3464"/>
      <c r="AG49" s="3631"/>
      <c r="AH49" s="3632"/>
      <c r="AI49" s="3633"/>
      <c r="AJ49" s="3555"/>
      <c r="AK49" s="3634"/>
      <c r="AL49" s="3631"/>
      <c r="AM49" s="3632"/>
      <c r="AN49" s="3633"/>
      <c r="AO49" s="3555">
        <f>AN49/$AI$89</f>
        <v>0</v>
      </c>
      <c r="AP49" s="3634"/>
      <c r="AQ49" s="3393"/>
      <c r="AR49" s="3393"/>
      <c r="AS49" s="3633"/>
      <c r="AT49" s="3555">
        <f>AS49/$AI$89</f>
        <v>0</v>
      </c>
      <c r="AU49" s="3393"/>
      <c r="AV49" s="3393"/>
      <c r="AW49" s="3393"/>
      <c r="AX49" s="3633"/>
      <c r="AY49" s="3555">
        <f>AX49/$AI$89</f>
        <v>0</v>
      </c>
      <c r="AZ49" s="3393"/>
      <c r="BA49" s="1074"/>
      <c r="BB49" s="3393"/>
      <c r="BC49" s="3633"/>
      <c r="BD49" s="3559">
        <f t="shared" si="34"/>
        <v>0</v>
      </c>
      <c r="BE49" s="3635"/>
      <c r="BF49" s="3288"/>
      <c r="BG49" s="3274"/>
      <c r="BH49" s="3313"/>
      <c r="BI49" s="3284"/>
      <c r="BJ49" s="3313"/>
      <c r="BK49" s="3288"/>
      <c r="BL49" s="3274"/>
      <c r="BM49" s="3313"/>
      <c r="BN49" s="3284"/>
      <c r="BO49" s="3313"/>
      <c r="BP49" s="1074"/>
      <c r="BQ49" s="3393"/>
      <c r="BR49" s="3636"/>
      <c r="BS49" s="3026">
        <f t="shared" si="37"/>
        <v>0</v>
      </c>
      <c r="BT49" s="3635"/>
      <c r="BU49" s="3274"/>
      <c r="BV49" s="3274"/>
      <c r="BW49" s="3313"/>
      <c r="BX49" s="3284"/>
      <c r="BY49" s="3313"/>
      <c r="BZ49" s="3274"/>
      <c r="CA49" s="3274"/>
      <c r="CB49" s="3313"/>
      <c r="CC49" s="3284">
        <f t="shared" si="71"/>
        <v>0</v>
      </c>
      <c r="CD49" s="3313"/>
      <c r="CE49" s="3274"/>
      <c r="CF49" s="3274"/>
      <c r="CG49" s="3313"/>
      <c r="CH49" s="3284">
        <f t="shared" si="72"/>
        <v>0</v>
      </c>
      <c r="CI49" s="3276"/>
      <c r="CJ49" s="3274"/>
      <c r="CK49" s="3274"/>
      <c r="CL49" s="3313"/>
      <c r="CM49" s="3284">
        <f t="shared" si="73"/>
        <v>0</v>
      </c>
      <c r="CN49" s="3313"/>
      <c r="CO49" s="3274"/>
      <c r="CP49" s="3274"/>
      <c r="CQ49" s="3274">
        <f t="shared" si="103"/>
        <v>0</v>
      </c>
      <c r="CR49" s="3284">
        <f t="shared" si="74"/>
        <v>0</v>
      </c>
      <c r="CS49" s="3313"/>
      <c r="CT49" s="3274"/>
      <c r="CU49" s="3274"/>
      <c r="CV49" s="3274">
        <f t="shared" si="104"/>
        <v>0</v>
      </c>
      <c r="CW49" s="3284">
        <f t="shared" si="75"/>
        <v>0</v>
      </c>
      <c r="CX49" s="3313"/>
      <c r="CY49" s="3274"/>
      <c r="CZ49" s="3274"/>
      <c r="DA49" s="3274">
        <f t="shared" si="105"/>
        <v>0</v>
      </c>
      <c r="DB49" s="3284">
        <f t="shared" si="76"/>
        <v>0</v>
      </c>
      <c r="DC49" s="3393"/>
      <c r="DD49" s="3274"/>
      <c r="DE49" s="3274"/>
      <c r="DF49" s="3274">
        <f t="shared" si="106"/>
        <v>0</v>
      </c>
      <c r="DG49" s="3284">
        <f t="shared" si="77"/>
        <v>0</v>
      </c>
      <c r="DH49" s="3605"/>
      <c r="DI49" s="3288"/>
      <c r="DJ49" s="3274"/>
      <c r="DK49" s="3274">
        <f t="shared" si="107"/>
        <v>0</v>
      </c>
      <c r="DL49" s="3284">
        <f t="shared" si="78"/>
        <v>0</v>
      </c>
      <c r="DM49" s="3605"/>
      <c r="DN49" s="3288"/>
      <c r="DO49" s="3274"/>
      <c r="DP49" s="3274">
        <f t="shared" si="108"/>
        <v>0</v>
      </c>
      <c r="DQ49" s="3284">
        <f t="shared" si="79"/>
        <v>0</v>
      </c>
      <c r="DR49" s="3393"/>
      <c r="DS49" s="3288"/>
      <c r="DT49" s="3274"/>
      <c r="DU49" s="3274">
        <f t="shared" si="109"/>
        <v>0</v>
      </c>
      <c r="DV49" s="3284">
        <f t="shared" si="80"/>
        <v>0</v>
      </c>
      <c r="DW49" s="3604"/>
      <c r="DX49" s="3323">
        <f>W49+AB49</f>
        <v>0</v>
      </c>
      <c r="DY49" s="3314">
        <f>X49+AC49</f>
        <v>0</v>
      </c>
      <c r="DZ49" s="3314"/>
      <c r="EA49" s="2883" t="e">
        <f t="shared" si="81"/>
        <v>#DIV/0!</v>
      </c>
      <c r="EB49" s="3313"/>
      <c r="ED49" s="3323"/>
      <c r="EE49" s="3323"/>
      <c r="EF49" s="3496"/>
    </row>
    <row r="50" spans="1:136" s="1411" customFormat="1" ht="14.4" thickBot="1" x14ac:dyDescent="0.3">
      <c r="A50" s="1581"/>
      <c r="B50" s="3637" t="s">
        <v>59</v>
      </c>
      <c r="C50" s="2029">
        <f>SUM(C51:C52)</f>
        <v>0</v>
      </c>
      <c r="D50" s="2029">
        <f>SUM(D51:D52)</f>
        <v>0</v>
      </c>
      <c r="E50" s="2029">
        <f>SUM(E51:E52)</f>
        <v>0</v>
      </c>
      <c r="F50" s="1550">
        <f t="shared" si="51"/>
        <v>0</v>
      </c>
      <c r="G50" s="3249"/>
      <c r="H50" s="2029">
        <f>H52+H51</f>
        <v>17142.8</v>
      </c>
      <c r="I50" s="2029">
        <f>I52+I51</f>
        <v>700</v>
      </c>
      <c r="J50" s="2029">
        <f>SUM(J51:J52)</f>
        <v>17842.8</v>
      </c>
      <c r="K50" s="1071"/>
      <c r="L50" s="1071"/>
      <c r="M50" s="3638">
        <v>0</v>
      </c>
      <c r="N50" s="3638">
        <v>0</v>
      </c>
      <c r="O50" s="3638">
        <v>0</v>
      </c>
      <c r="P50" s="3639">
        <v>0</v>
      </c>
      <c r="Q50" s="1329"/>
      <c r="R50" s="3638">
        <f>R52+R51</f>
        <v>0</v>
      </c>
      <c r="S50" s="3638">
        <f>S52+S51</f>
        <v>0</v>
      </c>
      <c r="T50" s="3638">
        <f>SUM(T51:T52)</f>
        <v>0</v>
      </c>
      <c r="U50" s="3639">
        <f>T50/$T$89</f>
        <v>0</v>
      </c>
      <c r="V50" s="3639"/>
      <c r="W50" s="2029">
        <f>W52+W51</f>
        <v>0</v>
      </c>
      <c r="X50" s="2029">
        <f>X52+X51</f>
        <v>0</v>
      </c>
      <c r="Y50" s="2029">
        <f>SUM(Y51:Y52)</f>
        <v>0</v>
      </c>
      <c r="Z50" s="1071">
        <f>Y50/$T$89</f>
        <v>0</v>
      </c>
      <c r="AA50" s="1071"/>
      <c r="AB50" s="2029">
        <f>AB52+AB51</f>
        <v>0</v>
      </c>
      <c r="AC50" s="2029">
        <f>AC52+AC51</f>
        <v>0</v>
      </c>
      <c r="AD50" s="2029">
        <f>SUM(AD51:AD52)</f>
        <v>0</v>
      </c>
      <c r="AE50" s="1071">
        <f>AD50/$T$89</f>
        <v>0</v>
      </c>
      <c r="AF50" s="1071"/>
      <c r="AG50" s="2029">
        <f>AG52+AG51</f>
        <v>0</v>
      </c>
      <c r="AH50" s="2029">
        <f>AH52+AH51</f>
        <v>0</v>
      </c>
      <c r="AI50" s="2029">
        <f>SUM(AI51:AI52)</f>
        <v>0</v>
      </c>
      <c r="AJ50" s="549">
        <f t="shared" si="7"/>
        <v>0</v>
      </c>
      <c r="AK50" s="1071"/>
      <c r="AL50" s="2029">
        <f>AL52+AL51</f>
        <v>0</v>
      </c>
      <c r="AM50" s="2029">
        <f>AM52+AM51</f>
        <v>500</v>
      </c>
      <c r="AN50" s="2029">
        <f>SUM(AN51:AN52)</f>
        <v>500</v>
      </c>
      <c r="AO50" s="549">
        <f t="shared" si="70"/>
        <v>1.1001614980191756E-4</v>
      </c>
      <c r="AP50" s="1071"/>
      <c r="AQ50" s="1329">
        <f>AQ52+AQ51</f>
        <v>0</v>
      </c>
      <c r="AR50" s="1329">
        <f>AR52+AR51</f>
        <v>0</v>
      </c>
      <c r="AS50" s="2029">
        <f>SUM(AS51:AS52)</f>
        <v>0</v>
      </c>
      <c r="AT50" s="549">
        <f>AS50/$AN$89</f>
        <v>0</v>
      </c>
      <c r="AU50" s="1329"/>
      <c r="AV50" s="1329">
        <v>0</v>
      </c>
      <c r="AW50" s="1329">
        <v>0</v>
      </c>
      <c r="AX50" s="2029">
        <f>SUM(AX51:AX52)</f>
        <v>0</v>
      </c>
      <c r="AY50" s="549">
        <f>AX50/$AN$89</f>
        <v>0</v>
      </c>
      <c r="AZ50" s="1336"/>
      <c r="BA50" s="1329">
        <f>BA52+BA51</f>
        <v>0</v>
      </c>
      <c r="BB50" s="1329">
        <f>BB52+BB51</f>
        <v>0</v>
      </c>
      <c r="BC50" s="2029">
        <f>SUM(BC51:BC52)</f>
        <v>0</v>
      </c>
      <c r="BD50" s="1364">
        <f t="shared" si="34"/>
        <v>0</v>
      </c>
      <c r="BE50" s="1071"/>
      <c r="BF50" s="2031">
        <v>13775</v>
      </c>
      <c r="BG50" s="2031">
        <v>0</v>
      </c>
      <c r="BH50" s="2031">
        <v>13775</v>
      </c>
      <c r="BI50" s="2022">
        <v>1.0619123603808992E-2</v>
      </c>
      <c r="BJ50" s="2022"/>
      <c r="BK50" s="2031">
        <f>BK52+BK51</f>
        <v>0</v>
      </c>
      <c r="BL50" s="2031">
        <f>BL52+BL51</f>
        <v>0</v>
      </c>
      <c r="BM50" s="2031">
        <f>SUM(BM51:BM52)</f>
        <v>0</v>
      </c>
      <c r="BN50" s="2022">
        <f t="shared" ref="BN50:BN52" si="113">BM50/$T$89</f>
        <v>0</v>
      </c>
      <c r="BO50" s="2022"/>
      <c r="BP50" s="1329">
        <f>BP52+BP51</f>
        <v>0</v>
      </c>
      <c r="BQ50" s="1329">
        <f>BQ52+BQ51</f>
        <v>0</v>
      </c>
      <c r="BR50" s="2029">
        <f>SUM(BR51:BR52)</f>
        <v>0</v>
      </c>
      <c r="BS50" s="1071">
        <f t="shared" si="37"/>
        <v>0</v>
      </c>
      <c r="BT50" s="1071"/>
      <c r="BU50" s="2031">
        <f>BU52+BU51</f>
        <v>0</v>
      </c>
      <c r="BV50" s="2031">
        <f>BV52+BV51</f>
        <v>0</v>
      </c>
      <c r="BW50" s="2031">
        <f>SUM(BW51:BW52)</f>
        <v>0</v>
      </c>
      <c r="BX50" s="2022">
        <f>BW50/$E$89</f>
        <v>0</v>
      </c>
      <c r="BY50" s="2022"/>
      <c r="BZ50" s="2031">
        <f>BZ52+BZ51</f>
        <v>0</v>
      </c>
      <c r="CA50" s="2031">
        <f>CA52+CA51</f>
        <v>0</v>
      </c>
      <c r="CB50" s="2031">
        <f>SUM(CB51:CB52)</f>
        <v>0</v>
      </c>
      <c r="CC50" s="2022">
        <f t="shared" si="71"/>
        <v>0</v>
      </c>
      <c r="CD50" s="2022"/>
      <c r="CE50" s="2031">
        <f>CE52+CE51</f>
        <v>0</v>
      </c>
      <c r="CF50" s="2031">
        <f>CF52+CF51</f>
        <v>0</v>
      </c>
      <c r="CG50" s="2031">
        <f>SUM(CG51:CG52)</f>
        <v>0</v>
      </c>
      <c r="CH50" s="2022">
        <f t="shared" si="72"/>
        <v>0</v>
      </c>
      <c r="CI50" s="2022"/>
      <c r="CJ50" s="2031">
        <f>CJ52+CJ51</f>
        <v>0</v>
      </c>
      <c r="CK50" s="2031">
        <f>CK52+CK51</f>
        <v>0</v>
      </c>
      <c r="CL50" s="2031">
        <f>SUM(CL51:CL52)</f>
        <v>0</v>
      </c>
      <c r="CM50" s="2022">
        <f t="shared" si="73"/>
        <v>0</v>
      </c>
      <c r="CN50" s="2022"/>
      <c r="CO50" s="2031">
        <f>CO52+CO51</f>
        <v>0</v>
      </c>
      <c r="CP50" s="2031">
        <f>CP52+CP51</f>
        <v>0</v>
      </c>
      <c r="CQ50" s="2031">
        <f>SUM(CQ51:CQ52)</f>
        <v>0</v>
      </c>
      <c r="CR50" s="2022">
        <f t="shared" si="74"/>
        <v>0</v>
      </c>
      <c r="CS50" s="2022"/>
      <c r="CT50" s="2031">
        <f>CT52+CT51</f>
        <v>0</v>
      </c>
      <c r="CU50" s="2031">
        <f>CU52+CU51</f>
        <v>0</v>
      </c>
      <c r="CV50" s="2031">
        <f>SUM(CV51:CV52)</f>
        <v>0</v>
      </c>
      <c r="CW50" s="2022">
        <f t="shared" si="75"/>
        <v>0</v>
      </c>
      <c r="CX50" s="2022"/>
      <c r="CY50" s="2031">
        <f>CY52+CY51</f>
        <v>0</v>
      </c>
      <c r="CZ50" s="2031">
        <f>CZ52+CZ51</f>
        <v>0</v>
      </c>
      <c r="DA50" s="2031">
        <f>SUM(DA51:DA52)</f>
        <v>0</v>
      </c>
      <c r="DB50" s="2022">
        <f t="shared" si="76"/>
        <v>0</v>
      </c>
      <c r="DC50" s="1336"/>
      <c r="DD50" s="2031">
        <f>DD52+DD51</f>
        <v>0</v>
      </c>
      <c r="DE50" s="2031">
        <f>DE52+DE51</f>
        <v>0</v>
      </c>
      <c r="DF50" s="2031">
        <f>SUM(DF51:DF52)</f>
        <v>0</v>
      </c>
      <c r="DG50" s="2022">
        <f t="shared" si="77"/>
        <v>0</v>
      </c>
      <c r="DH50" s="1336"/>
      <c r="DI50" s="2031">
        <f>DI52+DI51</f>
        <v>0</v>
      </c>
      <c r="DJ50" s="2031">
        <f>DJ52+DJ51</f>
        <v>0</v>
      </c>
      <c r="DK50" s="2031">
        <f>SUM(DK51:DK52)</f>
        <v>0</v>
      </c>
      <c r="DL50" s="2022">
        <f t="shared" si="78"/>
        <v>0</v>
      </c>
      <c r="DM50" s="1336"/>
      <c r="DN50" s="2031">
        <f>DN52+DN51</f>
        <v>0</v>
      </c>
      <c r="DO50" s="2031">
        <f>DO52+DO51</f>
        <v>0</v>
      </c>
      <c r="DP50" s="2031">
        <f>SUM(DP51:DP52)</f>
        <v>0</v>
      </c>
      <c r="DQ50" s="2022">
        <f t="shared" si="79"/>
        <v>0</v>
      </c>
      <c r="DR50" s="3225"/>
      <c r="DS50" s="2031">
        <f>DS52+DS51</f>
        <v>0</v>
      </c>
      <c r="DT50" s="2031">
        <f>DT52+DT51</f>
        <v>0</v>
      </c>
      <c r="DU50" s="2031">
        <f>SUM(DU51:DU52)</f>
        <v>0</v>
      </c>
      <c r="DV50" s="2022">
        <f t="shared" si="80"/>
        <v>0</v>
      </c>
      <c r="DW50" s="1071"/>
      <c r="DX50" s="2029">
        <f>DX52+DX51</f>
        <v>13775</v>
      </c>
      <c r="DY50" s="2029">
        <f>DY52+DY51</f>
        <v>500</v>
      </c>
      <c r="DZ50" s="2029">
        <f>SUM(DZ51:DZ52)</f>
        <v>14275</v>
      </c>
      <c r="EA50" s="1071" t="e">
        <f t="shared" si="81"/>
        <v>#DIV/0!</v>
      </c>
      <c r="EB50" s="1071"/>
      <c r="ED50" s="2031">
        <f>ED52+ED51</f>
        <v>13750</v>
      </c>
      <c r="EE50" s="2031">
        <f>SUM(EE51:EE52)</f>
        <v>13750</v>
      </c>
      <c r="EF50" s="3496"/>
    </row>
    <row r="51" spans="1:136" s="1411" customFormat="1" ht="13.8" x14ac:dyDescent="0.25">
      <c r="A51" s="1581"/>
      <c r="B51" s="1637" t="s">
        <v>60</v>
      </c>
      <c r="C51" s="3311"/>
      <c r="D51" s="3311"/>
      <c r="E51" s="1074">
        <f>C51+D51*1</f>
        <v>0</v>
      </c>
      <c r="F51" s="3284">
        <f t="shared" si="51"/>
        <v>0</v>
      </c>
      <c r="G51" s="3242"/>
      <c r="H51" s="3274">
        <v>0</v>
      </c>
      <c r="I51" s="3274">
        <v>0</v>
      </c>
      <c r="J51" s="2028">
        <f>H51+I51*1</f>
        <v>0</v>
      </c>
      <c r="K51" s="3284">
        <f>J51/$J$89</f>
        <v>0</v>
      </c>
      <c r="L51" s="3311"/>
      <c r="M51" s="3497">
        <v>0</v>
      </c>
      <c r="N51" s="3497">
        <v>0</v>
      </c>
      <c r="O51" s="3498">
        <v>0</v>
      </c>
      <c r="P51" s="3523">
        <v>0</v>
      </c>
      <c r="Q51" s="3321"/>
      <c r="R51" s="3497"/>
      <c r="S51" s="3497"/>
      <c r="T51" s="3498">
        <f>R51+S51*1</f>
        <v>0</v>
      </c>
      <c r="U51" s="3523">
        <f>T51/$T$89</f>
        <v>0</v>
      </c>
      <c r="V51" s="3587"/>
      <c r="W51" s="3274"/>
      <c r="X51" s="3274"/>
      <c r="Y51" s="2028">
        <f>W51+X51*1</f>
        <v>0</v>
      </c>
      <c r="Z51" s="3284">
        <f>Y51/$T$89</f>
        <v>0</v>
      </c>
      <c r="AA51" s="3311"/>
      <c r="AB51" s="3274"/>
      <c r="AC51" s="3274"/>
      <c r="AD51" s="2028">
        <f>AB51+AC51*1</f>
        <v>0</v>
      </c>
      <c r="AE51" s="3284">
        <f>AD51/$T$89</f>
        <v>0</v>
      </c>
      <c r="AF51" s="3311"/>
      <c r="AG51" s="3288"/>
      <c r="AH51" s="3274"/>
      <c r="AI51" s="1997">
        <f>AG51+AH51*1</f>
        <v>0</v>
      </c>
      <c r="AJ51" s="3516">
        <f t="shared" si="7"/>
        <v>0</v>
      </c>
      <c r="AK51" s="3311"/>
      <c r="AL51" s="3274"/>
      <c r="AM51" s="3274">
        <v>500</v>
      </c>
      <c r="AN51" s="1997">
        <f>AL51+AM51*1</f>
        <v>500</v>
      </c>
      <c r="AO51" s="3516">
        <f t="shared" si="70"/>
        <v>1.1001614980191756E-4</v>
      </c>
      <c r="AP51" s="3311"/>
      <c r="AQ51" s="3321"/>
      <c r="AR51" s="3321"/>
      <c r="AS51" s="1997">
        <f>AQ51+AR51*1</f>
        <v>0</v>
      </c>
      <c r="AT51" s="3516">
        <f>AS51/$AS$89</f>
        <v>0</v>
      </c>
      <c r="AU51" s="3321"/>
      <c r="AV51" s="3321"/>
      <c r="AW51" s="3321"/>
      <c r="AX51" s="1997">
        <f>AV51+AW51*1</f>
        <v>0</v>
      </c>
      <c r="AY51" s="3516">
        <f>AX51/$AS$89</f>
        <v>0</v>
      </c>
      <c r="AZ51" s="3321"/>
      <c r="BA51" s="3321"/>
      <c r="BB51" s="3321"/>
      <c r="BC51" s="1997">
        <f>BA51+BB51*1</f>
        <v>0</v>
      </c>
      <c r="BD51" s="3518">
        <f t="shared" si="34"/>
        <v>0</v>
      </c>
      <c r="BE51" s="3640"/>
      <c r="BF51" s="3288">
        <v>2399</v>
      </c>
      <c r="BG51" s="3274">
        <v>0</v>
      </c>
      <c r="BH51" s="2028">
        <v>2399</v>
      </c>
      <c r="BI51" s="3284">
        <v>1.8493849383330505E-3</v>
      </c>
      <c r="BJ51" s="3276">
        <v>2399</v>
      </c>
      <c r="BK51" s="3288">
        <f t="shared" ref="BK51:BL52" si="114">BP51+BU51+BZ51+CE51+CJ51+CO51+CT51+CY51+DD51+DI51+DN51+DS51</f>
        <v>0</v>
      </c>
      <c r="BL51" s="3274">
        <f t="shared" si="114"/>
        <v>0</v>
      </c>
      <c r="BM51" s="2028">
        <f>BK51+BL51*1</f>
        <v>0</v>
      </c>
      <c r="BN51" s="3284">
        <f t="shared" si="113"/>
        <v>0</v>
      </c>
      <c r="BO51" s="3276">
        <f t="shared" ref="BO51:BO52" si="115">BM51-BR51-BW51-CB51-CG51-CL51-CQ51-CV51</f>
        <v>0</v>
      </c>
      <c r="BP51" s="3321"/>
      <c r="BQ51" s="3321"/>
      <c r="BR51" s="1997">
        <f>BP51+BQ51*1</f>
        <v>0</v>
      </c>
      <c r="BS51" s="3426">
        <f t="shared" si="37"/>
        <v>0</v>
      </c>
      <c r="BT51" s="3640"/>
      <c r="BU51" s="3274"/>
      <c r="BV51" s="3274"/>
      <c r="BW51" s="2028">
        <f>BU51+BV51*1</f>
        <v>0</v>
      </c>
      <c r="BX51" s="3284">
        <f>BW51/$E$89</f>
        <v>0</v>
      </c>
      <c r="BY51" s="3311"/>
      <c r="BZ51" s="3274"/>
      <c r="CA51" s="3274"/>
      <c r="CB51" s="2028">
        <f>BZ51+CA51*1</f>
        <v>0</v>
      </c>
      <c r="CC51" s="3284">
        <f t="shared" si="71"/>
        <v>0</v>
      </c>
      <c r="CD51" s="3311"/>
      <c r="CE51" s="3274"/>
      <c r="CF51" s="3274"/>
      <c r="CG51" s="2028">
        <f>CE51+CF51*1</f>
        <v>0</v>
      </c>
      <c r="CH51" s="3284">
        <f t="shared" si="72"/>
        <v>0</v>
      </c>
      <c r="CI51" s="3311"/>
      <c r="CJ51" s="3274"/>
      <c r="CK51" s="3274"/>
      <c r="CL51" s="2028">
        <f>CJ51+CK51*1</f>
        <v>0</v>
      </c>
      <c r="CM51" s="3284">
        <f t="shared" si="73"/>
        <v>0</v>
      </c>
      <c r="CN51" s="3311"/>
      <c r="CO51" s="3274"/>
      <c r="CP51" s="3274"/>
      <c r="CQ51" s="2028">
        <f>CO51+CP51*1</f>
        <v>0</v>
      </c>
      <c r="CR51" s="3284">
        <f t="shared" si="74"/>
        <v>0</v>
      </c>
      <c r="CS51" s="3311"/>
      <c r="CT51" s="3274"/>
      <c r="CU51" s="3274"/>
      <c r="CV51" s="2028">
        <f>CT51+CU51*1</f>
        <v>0</v>
      </c>
      <c r="CW51" s="3284">
        <f t="shared" si="75"/>
        <v>0</v>
      </c>
      <c r="CX51" s="3311"/>
      <c r="CY51" s="3274"/>
      <c r="CZ51" s="3274"/>
      <c r="DA51" s="2028">
        <f>CY51+CZ51*1</f>
        <v>0</v>
      </c>
      <c r="DB51" s="3284">
        <f t="shared" si="76"/>
        <v>0</v>
      </c>
      <c r="DC51" s="3321"/>
      <c r="DD51" s="3274"/>
      <c r="DE51" s="3274"/>
      <c r="DF51" s="2028">
        <f>DD51+DE51*1</f>
        <v>0</v>
      </c>
      <c r="DG51" s="3284">
        <f t="shared" si="77"/>
        <v>0</v>
      </c>
      <c r="DH51" s="3641"/>
      <c r="DI51" s="3288"/>
      <c r="DJ51" s="3274"/>
      <c r="DK51" s="2028">
        <f>DI51+DJ51*1</f>
        <v>0</v>
      </c>
      <c r="DL51" s="3284">
        <f t="shared" si="78"/>
        <v>0</v>
      </c>
      <c r="DM51" s="3500"/>
      <c r="DN51" s="3288"/>
      <c r="DO51" s="3274"/>
      <c r="DP51" s="2028">
        <f>DN51+DO51*1</f>
        <v>0</v>
      </c>
      <c r="DQ51" s="3284">
        <f t="shared" si="79"/>
        <v>0</v>
      </c>
      <c r="DR51" s="3500"/>
      <c r="DS51" s="3288"/>
      <c r="DT51" s="3274"/>
      <c r="DU51" s="2028">
        <f>DS51+DT51*1</f>
        <v>0</v>
      </c>
      <c r="DV51" s="3284">
        <f t="shared" si="80"/>
        <v>0</v>
      </c>
      <c r="DW51" s="3530"/>
      <c r="DX51" s="3417">
        <f t="shared" ref="DX51:DY52" si="116">R51+W51+AB51+AG51+AL51+AQ51+AV51+BA51+BP51+BU51+BZ51+CE51+CJ51+CO51+CT51+CY51+DD51+DI51+DN51+DS51+BF51</f>
        <v>2399</v>
      </c>
      <c r="DY51" s="3417">
        <f t="shared" si="116"/>
        <v>500</v>
      </c>
      <c r="DZ51" s="3283">
        <f>DX51+DY51*1</f>
        <v>2899</v>
      </c>
      <c r="EA51" s="3284" t="e">
        <f t="shared" si="81"/>
        <v>#DIV/0!</v>
      </c>
      <c r="EB51" s="3311"/>
      <c r="ED51" s="1359">
        <v>2374</v>
      </c>
      <c r="EE51" s="3288">
        <f>ED51-BM51</f>
        <v>2374</v>
      </c>
      <c r="EF51" s="3260"/>
    </row>
    <row r="52" spans="1:136" ht="13.8" x14ac:dyDescent="0.25">
      <c r="A52" s="1581"/>
      <c r="B52" s="3451" t="s">
        <v>61</v>
      </c>
      <c r="C52" s="3311"/>
      <c r="D52" s="3642"/>
      <c r="E52" s="1074">
        <f>C52+D52*1</f>
        <v>0</v>
      </c>
      <c r="F52" s="3284">
        <f t="shared" si="51"/>
        <v>0</v>
      </c>
      <c r="G52" s="3242"/>
      <c r="H52" s="3274">
        <v>17142.8</v>
      </c>
      <c r="I52" s="3274">
        <v>700</v>
      </c>
      <c r="J52" s="2028">
        <f>H52+I52*1</f>
        <v>17842.8</v>
      </c>
      <c r="K52" s="3284">
        <f>J52/$J$89</f>
        <v>1.4040142560887547E-3</v>
      </c>
      <c r="L52" s="3311"/>
      <c r="M52" s="3497">
        <v>0</v>
      </c>
      <c r="N52" s="3497">
        <v>0</v>
      </c>
      <c r="O52" s="3498">
        <v>0</v>
      </c>
      <c r="P52" s="3523">
        <v>0</v>
      </c>
      <c r="Q52" s="3321"/>
      <c r="R52" s="3497"/>
      <c r="S52" s="3497"/>
      <c r="T52" s="3498">
        <f>R52+S52*1</f>
        <v>0</v>
      </c>
      <c r="U52" s="3523">
        <f>T52/$T$89</f>
        <v>0</v>
      </c>
      <c r="V52" s="3587"/>
      <c r="W52" s="3274"/>
      <c r="X52" s="3274"/>
      <c r="Y52" s="2028">
        <f>W52+X52*1</f>
        <v>0</v>
      </c>
      <c r="Z52" s="3284">
        <f>Y52/$T$89</f>
        <v>0</v>
      </c>
      <c r="AA52" s="3311"/>
      <c r="AB52" s="3274"/>
      <c r="AC52" s="3274"/>
      <c r="AD52" s="2028">
        <f>AB52+AC52*1</f>
        <v>0</v>
      </c>
      <c r="AE52" s="3284">
        <f>AD52/$T$89</f>
        <v>0</v>
      </c>
      <c r="AF52" s="3311"/>
      <c r="AG52" s="3288"/>
      <c r="AH52" s="3274"/>
      <c r="AI52" s="1997">
        <f>AG52+AH52*1</f>
        <v>0</v>
      </c>
      <c r="AJ52" s="3516">
        <f t="shared" si="7"/>
        <v>0</v>
      </c>
      <c r="AK52" s="3311"/>
      <c r="AL52" s="3274"/>
      <c r="AM52" s="3274"/>
      <c r="AN52" s="1997">
        <f>AL52+AM52*1</f>
        <v>0</v>
      </c>
      <c r="AO52" s="3516">
        <f t="shared" si="70"/>
        <v>0</v>
      </c>
      <c r="AP52" s="3311"/>
      <c r="AQ52" s="3321"/>
      <c r="AR52" s="3321"/>
      <c r="AS52" s="1997">
        <f>AQ52+AR52*1</f>
        <v>0</v>
      </c>
      <c r="AT52" s="3516">
        <f>AS52/$AS$89</f>
        <v>0</v>
      </c>
      <c r="AU52" s="3321"/>
      <c r="AV52" s="3321"/>
      <c r="AW52" s="3321"/>
      <c r="AX52" s="1997">
        <f>AV52+AW52*1</f>
        <v>0</v>
      </c>
      <c r="AY52" s="3516">
        <f>AX52/$AS$89</f>
        <v>0</v>
      </c>
      <c r="AZ52" s="3321"/>
      <c r="BA52" s="3321"/>
      <c r="BB52" s="3321"/>
      <c r="BC52" s="1997">
        <f>BA52+BB52*1</f>
        <v>0</v>
      </c>
      <c r="BD52" s="3518">
        <f t="shared" si="34"/>
        <v>0</v>
      </c>
      <c r="BE52" s="3640"/>
      <c r="BF52" s="3288">
        <v>11376</v>
      </c>
      <c r="BG52" s="3274">
        <v>0</v>
      </c>
      <c r="BH52" s="2028">
        <v>11376</v>
      </c>
      <c r="BI52" s="3284">
        <v>8.7697386654759409E-3</v>
      </c>
      <c r="BJ52" s="3276">
        <v>11376</v>
      </c>
      <c r="BK52" s="3288">
        <f t="shared" si="114"/>
        <v>0</v>
      </c>
      <c r="BL52" s="3274">
        <f t="shared" si="114"/>
        <v>0</v>
      </c>
      <c r="BM52" s="2028">
        <f>BK52+BL52*1</f>
        <v>0</v>
      </c>
      <c r="BN52" s="3284">
        <f t="shared" si="113"/>
        <v>0</v>
      </c>
      <c r="BO52" s="3276">
        <f t="shared" si="115"/>
        <v>0</v>
      </c>
      <c r="BP52" s="3321"/>
      <c r="BQ52" s="3321"/>
      <c r="BR52" s="1997">
        <f>BP52+BQ52*1</f>
        <v>0</v>
      </c>
      <c r="BS52" s="3426">
        <f t="shared" si="37"/>
        <v>0</v>
      </c>
      <c r="BT52" s="3640"/>
      <c r="BU52" s="3274"/>
      <c r="BV52" s="3274"/>
      <c r="BW52" s="2028">
        <f>BU52+BV52*1</f>
        <v>0</v>
      </c>
      <c r="BX52" s="3284">
        <f>BW52/$E$89</f>
        <v>0</v>
      </c>
      <c r="BY52" s="3311"/>
      <c r="BZ52" s="3274"/>
      <c r="CA52" s="3274"/>
      <c r="CB52" s="2028">
        <f>BZ52+CA52*1</f>
        <v>0</v>
      </c>
      <c r="CC52" s="3284">
        <f t="shared" si="71"/>
        <v>0</v>
      </c>
      <c r="CD52" s="3311"/>
      <c r="CE52" s="3274"/>
      <c r="CF52" s="3274"/>
      <c r="CG52" s="2028">
        <f>CE52+CF52*1</f>
        <v>0</v>
      </c>
      <c r="CH52" s="3284">
        <f t="shared" si="72"/>
        <v>0</v>
      </c>
      <c r="CI52" s="3311"/>
      <c r="CJ52" s="3274"/>
      <c r="CK52" s="3274"/>
      <c r="CL52" s="2028">
        <f>CJ52+CK52*1</f>
        <v>0</v>
      </c>
      <c r="CM52" s="3284">
        <f t="shared" si="73"/>
        <v>0</v>
      </c>
      <c r="CN52" s="3311"/>
      <c r="CO52" s="3274"/>
      <c r="CP52" s="3274"/>
      <c r="CQ52" s="2028">
        <f>CO52+CP52*1</f>
        <v>0</v>
      </c>
      <c r="CR52" s="3284">
        <f t="shared" si="74"/>
        <v>0</v>
      </c>
      <c r="CS52" s="3311"/>
      <c r="CT52" s="3274"/>
      <c r="CU52" s="3274"/>
      <c r="CV52" s="2028">
        <f>CT52+CU52*1</f>
        <v>0</v>
      </c>
      <c r="CW52" s="3284">
        <f t="shared" si="75"/>
        <v>0</v>
      </c>
      <c r="CX52" s="3311"/>
      <c r="CY52" s="3274"/>
      <c r="CZ52" s="3274"/>
      <c r="DA52" s="2028">
        <f>CY52+CZ52*1</f>
        <v>0</v>
      </c>
      <c r="DB52" s="3284">
        <f t="shared" si="76"/>
        <v>0</v>
      </c>
      <c r="DC52" s="3321"/>
      <c r="DD52" s="3274"/>
      <c r="DE52" s="3274"/>
      <c r="DF52" s="2028">
        <f>DD52+DE52*1</f>
        <v>0</v>
      </c>
      <c r="DG52" s="3284">
        <f t="shared" si="77"/>
        <v>0</v>
      </c>
      <c r="DH52" s="3641"/>
      <c r="DI52" s="3288"/>
      <c r="DJ52" s="3274"/>
      <c r="DK52" s="2028">
        <f>DI52+DJ52*1</f>
        <v>0</v>
      </c>
      <c r="DL52" s="3284">
        <f t="shared" si="78"/>
        <v>0</v>
      </c>
      <c r="DM52" s="3641"/>
      <c r="DN52" s="3288"/>
      <c r="DO52" s="3274"/>
      <c r="DP52" s="2028">
        <f>DN52+DO52*1</f>
        <v>0</v>
      </c>
      <c r="DQ52" s="3284">
        <f t="shared" si="79"/>
        <v>0</v>
      </c>
      <c r="DR52" s="3321"/>
      <c r="DS52" s="3288"/>
      <c r="DT52" s="3274"/>
      <c r="DU52" s="2028">
        <f>DS52+DT52*1</f>
        <v>0</v>
      </c>
      <c r="DV52" s="3284">
        <f t="shared" si="80"/>
        <v>0</v>
      </c>
      <c r="DW52" s="3530"/>
      <c r="DX52" s="3417">
        <f t="shared" si="116"/>
        <v>11376</v>
      </c>
      <c r="DY52" s="3417">
        <f t="shared" si="116"/>
        <v>0</v>
      </c>
      <c r="DZ52" s="2028">
        <f>DX52+DY52*1</f>
        <v>11376</v>
      </c>
      <c r="EA52" s="3284" t="e">
        <f t="shared" si="81"/>
        <v>#DIV/0!</v>
      </c>
      <c r="EB52" s="3311"/>
      <c r="ED52" s="1359">
        <v>11376</v>
      </c>
      <c r="EE52" s="3288">
        <f>ED52-BM52</f>
        <v>11376</v>
      </c>
      <c r="EF52" s="3262"/>
    </row>
    <row r="53" spans="1:136" ht="14.4" thickBot="1" x14ac:dyDescent="0.3">
      <c r="A53" s="1586"/>
      <c r="B53" s="2855"/>
      <c r="C53" s="3250"/>
      <c r="D53" s="3250"/>
      <c r="E53" s="3250"/>
      <c r="F53" s="3251">
        <f t="shared" si="51"/>
        <v>0</v>
      </c>
      <c r="G53" s="297"/>
      <c r="H53" s="3278">
        <v>0</v>
      </c>
      <c r="I53" s="3278">
        <v>0</v>
      </c>
      <c r="J53" s="3250"/>
      <c r="K53" s="3250"/>
      <c r="L53" s="3250"/>
      <c r="M53" s="3502">
        <v>0</v>
      </c>
      <c r="N53" s="3502">
        <v>0</v>
      </c>
      <c r="O53" s="3643"/>
      <c r="P53" s="3643"/>
      <c r="Q53" s="1328"/>
      <c r="R53" s="3502"/>
      <c r="S53" s="3502"/>
      <c r="T53" s="3643"/>
      <c r="U53" s="3643"/>
      <c r="V53" s="3643"/>
      <c r="W53" s="3278"/>
      <c r="X53" s="3278"/>
      <c r="Y53" s="3250"/>
      <c r="Z53" s="3250"/>
      <c r="AA53" s="3250"/>
      <c r="AB53" s="3278"/>
      <c r="AC53" s="3278"/>
      <c r="AD53" s="3250"/>
      <c r="AE53" s="3250"/>
      <c r="AF53" s="3250"/>
      <c r="AG53" s="3418"/>
      <c r="AH53" s="3278"/>
      <c r="AI53" s="3252"/>
      <c r="AJ53" s="3244">
        <f t="shared" si="7"/>
        <v>0</v>
      </c>
      <c r="AK53" s="3250"/>
      <c r="AL53" s="3278"/>
      <c r="AM53" s="3278"/>
      <c r="AN53" s="3252"/>
      <c r="AO53" s="3244">
        <f>AN53/$AI$89</f>
        <v>0</v>
      </c>
      <c r="AP53" s="3250"/>
      <c r="AQ53" s="1328"/>
      <c r="AR53" s="1328"/>
      <c r="AS53" s="3252"/>
      <c r="AT53" s="3244">
        <f>AS53/$AI$89</f>
        <v>0</v>
      </c>
      <c r="AU53" s="1328"/>
      <c r="AV53" s="1328"/>
      <c r="AW53" s="1328"/>
      <c r="AX53" s="3252"/>
      <c r="AY53" s="3244">
        <f>AX53/$AI$89</f>
        <v>0</v>
      </c>
      <c r="AZ53" s="1328"/>
      <c r="BA53" s="1328"/>
      <c r="BB53" s="1328"/>
      <c r="BC53" s="3252"/>
      <c r="BD53" s="3245">
        <f t="shared" si="34"/>
        <v>0</v>
      </c>
      <c r="BE53" s="794"/>
      <c r="BF53" s="3288"/>
      <c r="BG53" s="3274"/>
      <c r="BH53" s="3227"/>
      <c r="BI53" s="3227"/>
      <c r="BJ53" s="3227"/>
      <c r="BK53" s="3288"/>
      <c r="BL53" s="3274"/>
      <c r="BM53" s="3227"/>
      <c r="BN53" s="3227"/>
      <c r="BO53" s="3227"/>
      <c r="BP53" s="1328"/>
      <c r="BQ53" s="1328"/>
      <c r="BR53" s="3252"/>
      <c r="BS53" s="3644">
        <f t="shared" si="37"/>
        <v>0</v>
      </c>
      <c r="BT53" s="794"/>
      <c r="BU53" s="3274"/>
      <c r="BV53" s="3274"/>
      <c r="BW53" s="3227"/>
      <c r="BX53" s="3227"/>
      <c r="BY53" s="3227"/>
      <c r="BZ53" s="3274"/>
      <c r="CA53" s="3274"/>
      <c r="CB53" s="3227"/>
      <c r="CC53" s="3227"/>
      <c r="CD53" s="3227"/>
      <c r="CE53" s="3274"/>
      <c r="CF53" s="3274"/>
      <c r="CG53" s="3227"/>
      <c r="CH53" s="3227"/>
      <c r="CI53" s="3227"/>
      <c r="CJ53" s="3274"/>
      <c r="CK53" s="3274"/>
      <c r="CL53" s="3227"/>
      <c r="CM53" s="3227"/>
      <c r="CN53" s="3227"/>
      <c r="CO53" s="3274"/>
      <c r="CP53" s="3274"/>
      <c r="CQ53" s="3227"/>
      <c r="CR53" s="3227"/>
      <c r="CS53" s="3227"/>
      <c r="CT53" s="3274"/>
      <c r="CU53" s="3274"/>
      <c r="CV53" s="3227"/>
      <c r="CW53" s="3227"/>
      <c r="CX53" s="3227"/>
      <c r="CY53" s="3274"/>
      <c r="CZ53" s="3274"/>
      <c r="DA53" s="3227"/>
      <c r="DB53" s="3227"/>
      <c r="DC53" s="1328"/>
      <c r="DD53" s="3274"/>
      <c r="DE53" s="3274"/>
      <c r="DF53" s="3227"/>
      <c r="DG53" s="3227"/>
      <c r="DH53" s="3645"/>
      <c r="DI53" s="3288"/>
      <c r="DJ53" s="3274"/>
      <c r="DK53" s="3227"/>
      <c r="DL53" s="3227"/>
      <c r="DM53" s="3645"/>
      <c r="DN53" s="3288"/>
      <c r="DO53" s="3274"/>
      <c r="DP53" s="3227"/>
      <c r="DQ53" s="3227"/>
      <c r="DR53" s="1328"/>
      <c r="DS53" s="3288"/>
      <c r="DT53" s="3274"/>
      <c r="DU53" s="3227"/>
      <c r="DV53" s="3227"/>
      <c r="DW53" s="794"/>
      <c r="DX53" s="3288">
        <f>R53+W53+AB53+AG53+AL53+AQ53+AV53+BA53+BP53+BU53+BZ53+CE53+CJ53+CO53+CT53+CY53+DD53</f>
        <v>0</v>
      </c>
      <c r="DY53" s="3274">
        <f>S53+X53+AC53+AH53+AM53+AR53+AW53+BB53+BQ53+BV53+CA53+CF53+CK53+CP53+CU53+CZ53+DE53</f>
        <v>0</v>
      </c>
      <c r="DZ53" s="3250"/>
      <c r="EA53" s="3250"/>
      <c r="EB53" s="3250"/>
      <c r="ED53" s="3288"/>
      <c r="EE53" s="3288"/>
    </row>
    <row r="54" spans="1:136" ht="13.8" x14ac:dyDescent="0.25">
      <c r="A54" s="1585"/>
      <c r="B54" s="1425" t="s">
        <v>1</v>
      </c>
      <c r="C54" s="2031">
        <f>SUM(C55:C71)</f>
        <v>2807</v>
      </c>
      <c r="D54" s="2031">
        <f>SUM(D55:D71)</f>
        <v>18615</v>
      </c>
      <c r="E54" s="1991">
        <f>SUM(E55:E71)</f>
        <v>21422</v>
      </c>
      <c r="F54" s="1549">
        <f t="shared" si="51"/>
        <v>8.239326891350136E-3</v>
      </c>
      <c r="G54" s="296"/>
      <c r="H54" s="2031">
        <f>SUM(H55:H71)</f>
        <v>135939.09600000002</v>
      </c>
      <c r="I54" s="2031">
        <f>SUM(I55:I71)</f>
        <v>220220.19999999998</v>
      </c>
      <c r="J54" s="1991">
        <f>SUM(J55:J71)</f>
        <v>356159.29599999997</v>
      </c>
      <c r="K54" s="1549">
        <f t="shared" ref="K54:K72" si="117">J54/$J$89</f>
        <v>2.8025462877044778E-2</v>
      </c>
      <c r="L54" s="2022"/>
      <c r="M54" s="3646">
        <v>32269.439999999999</v>
      </c>
      <c r="N54" s="3646">
        <v>33024.68</v>
      </c>
      <c r="O54" s="3646">
        <v>65294.12</v>
      </c>
      <c r="P54" s="3647">
        <v>3.3877812745140143E-3</v>
      </c>
      <c r="Q54" s="1460"/>
      <c r="R54" s="3646">
        <f>SUM(R55:R72)</f>
        <v>1455</v>
      </c>
      <c r="S54" s="3646">
        <f>SUM(S55:S72)</f>
        <v>14000</v>
      </c>
      <c r="T54" s="3646">
        <f>SUM(T55:T72)</f>
        <v>15455</v>
      </c>
      <c r="U54" s="3647">
        <f t="shared" ref="U54:U71" si="118">T54/$T$89</f>
        <v>1.1914232689427802E-2</v>
      </c>
      <c r="V54" s="3648"/>
      <c r="W54" s="2031">
        <f>SUM(W55:W72)</f>
        <v>2112</v>
      </c>
      <c r="X54" s="2031">
        <f>SUM(X55:X72)</f>
        <v>7726.45</v>
      </c>
      <c r="Y54" s="2031">
        <f>SUM(Y55:Y72)</f>
        <v>9838.4499999999989</v>
      </c>
      <c r="Z54" s="1549">
        <f>Y54/$Y$89</f>
        <v>4.3521969332029706E-3</v>
      </c>
      <c r="AA54" s="2022"/>
      <c r="AB54" s="2031">
        <f>SUM(AB55:AB72)</f>
        <v>37028.28</v>
      </c>
      <c r="AC54" s="2031">
        <f>SUM(AC55:AC72)</f>
        <v>35467</v>
      </c>
      <c r="AD54" s="2031">
        <f>SUM(AD55:AD72)</f>
        <v>72495.28</v>
      </c>
      <c r="AE54" s="1549">
        <f t="shared" ref="AE54:AE71" si="119">AD54/$AD$89</f>
        <v>8.6494784823841472E-2</v>
      </c>
      <c r="AF54" s="2022"/>
      <c r="AG54" s="2031">
        <f>SUM(AG55:AG72)</f>
        <v>110526.61000000002</v>
      </c>
      <c r="AH54" s="2031">
        <f>SUM(AH55:AH72)</f>
        <v>71844.670000000013</v>
      </c>
      <c r="AI54" s="2031">
        <f>SUM(AI55:AI72)</f>
        <v>182371.28</v>
      </c>
      <c r="AJ54" s="546">
        <f t="shared" si="7"/>
        <v>0.16859904321736521</v>
      </c>
      <c r="AK54" s="2022"/>
      <c r="AL54" s="2031">
        <f>SUM(AL55:AL72)</f>
        <v>151724.24</v>
      </c>
      <c r="AM54" s="2031">
        <f>SUM(AM55:AM72)</f>
        <v>84508.41</v>
      </c>
      <c r="AN54" s="2031">
        <f>SUM(AN55:AN72)</f>
        <v>236232.64999999997</v>
      </c>
      <c r="AO54" s="546">
        <f>AN54/$AN$89</f>
        <v>5.1978813221007912E-2</v>
      </c>
      <c r="AP54" s="2022"/>
      <c r="AQ54" s="1460">
        <f>SUM(AQ55:AQ72)</f>
        <v>113571.98</v>
      </c>
      <c r="AR54" s="1460">
        <f>SUM(AR55:AR72)</f>
        <v>68024.98</v>
      </c>
      <c r="AS54" s="2031">
        <f>SUM(AS55:AS72)</f>
        <v>181596.96000000002</v>
      </c>
      <c r="AT54" s="546">
        <f>AS54/$AN$89</f>
        <v>3.9957196709865667E-2</v>
      </c>
      <c r="AU54" s="1460"/>
      <c r="AV54" s="1460">
        <f>SUM(AV55:AV72)</f>
        <v>234501.85</v>
      </c>
      <c r="AW54" s="1460">
        <f>SUM(AW55:AW72)</f>
        <v>84354.33</v>
      </c>
      <c r="AX54" s="2031">
        <f>SUM(AX55:AX72)</f>
        <v>318856.18000000005</v>
      </c>
      <c r="AY54" s="546">
        <f>AX54/$AN$89</f>
        <v>7.0158658528294393E-2</v>
      </c>
      <c r="AZ54" s="1333"/>
      <c r="BA54" s="1460">
        <f>SUM(BA55:BA72)</f>
        <v>216223.78999999998</v>
      </c>
      <c r="BB54" s="1460">
        <f>SUM(BB55:BB72)</f>
        <v>294467.53000000003</v>
      </c>
      <c r="BC54" s="2031">
        <f>SUM(BC55:BC72)</f>
        <v>510691.32000000007</v>
      </c>
      <c r="BD54" s="1365">
        <f t="shared" si="34"/>
        <v>7.5313485419003137E-2</v>
      </c>
      <c r="BE54" s="2022"/>
      <c r="BF54" s="2031">
        <v>2794331.7</v>
      </c>
      <c r="BG54" s="2031">
        <v>1631688.6600000001</v>
      </c>
      <c r="BH54" s="2031">
        <v>4426020.3600000013</v>
      </c>
      <c r="BI54" s="3318">
        <v>3.4120114174820459</v>
      </c>
      <c r="BJ54" s="2022"/>
      <c r="BK54" s="2031">
        <f>SUM(BK55:BK72)</f>
        <v>0</v>
      </c>
      <c r="BL54" s="2031">
        <f>SUM(BL55:BL72)</f>
        <v>0</v>
      </c>
      <c r="BM54" s="2031">
        <f>SUM(BM55:BM72)</f>
        <v>0</v>
      </c>
      <c r="BN54" s="3318">
        <f t="shared" ref="BN54:BN71" si="120">BM54/$T$89</f>
        <v>0</v>
      </c>
      <c r="BO54" s="2022"/>
      <c r="BP54" s="1460">
        <f>SUM(BP55:BP72)</f>
        <v>0</v>
      </c>
      <c r="BQ54" s="1460">
        <f>SUM(BQ55:BQ72)</f>
        <v>0</v>
      </c>
      <c r="BR54" s="2031">
        <f>SUM(BR55:BR72)</f>
        <v>0</v>
      </c>
      <c r="BS54" s="2115">
        <f t="shared" si="37"/>
        <v>0</v>
      </c>
      <c r="BT54" s="2022"/>
      <c r="BU54" s="1460">
        <f>SUM(BU55:BU72)</f>
        <v>0</v>
      </c>
      <c r="BV54" s="1460">
        <f>SUM(BV55:BV72)</f>
        <v>0</v>
      </c>
      <c r="BW54" s="2031">
        <f>SUM(BW55:BW72)</f>
        <v>0</v>
      </c>
      <c r="BX54" s="3318">
        <f t="shared" ref="BX54:BX71" si="121">BW54/$E$89</f>
        <v>0</v>
      </c>
      <c r="BY54" s="2022"/>
      <c r="BZ54" s="2031">
        <f>SUM(BZ55:BZ72)</f>
        <v>0</v>
      </c>
      <c r="CA54" s="2031">
        <f>SUM(CA55:CA72)</f>
        <v>0</v>
      </c>
      <c r="CB54" s="2031">
        <f>SUM(CB55:CB72)</f>
        <v>0</v>
      </c>
      <c r="CC54" s="3318">
        <f t="shared" ref="CC54:CC71" si="122">CB54/$AD$89</f>
        <v>0</v>
      </c>
      <c r="CD54" s="2022"/>
      <c r="CE54" s="2031">
        <f>SUM(CE55:CE72)</f>
        <v>0</v>
      </c>
      <c r="CF54" s="2031">
        <f>SUM(CF55:CF72)</f>
        <v>0</v>
      </c>
      <c r="CG54" s="2031">
        <f>SUM(CG55:CG72)</f>
        <v>0</v>
      </c>
      <c r="CH54" s="3318">
        <f t="shared" ref="CH54:CH71" si="123">CG54/$AD$89</f>
        <v>0</v>
      </c>
      <c r="CI54" s="2022"/>
      <c r="CJ54" s="2031">
        <f>SUM(CJ55:CJ72)</f>
        <v>0</v>
      </c>
      <c r="CK54" s="2031">
        <f>SUM(CK55:CK72)</f>
        <v>0</v>
      </c>
      <c r="CL54" s="2031">
        <f>SUM(CL55:CL72)</f>
        <v>0</v>
      </c>
      <c r="CM54" s="3318">
        <f t="shared" ref="CM54:CM71" si="124">CL54/$AD$89</f>
        <v>0</v>
      </c>
      <c r="CN54" s="2022"/>
      <c r="CO54" s="2031">
        <f>SUM(CO55:CO72)</f>
        <v>0</v>
      </c>
      <c r="CP54" s="2031">
        <f>SUM(CP55:CP72)</f>
        <v>0</v>
      </c>
      <c r="CQ54" s="2031">
        <f>SUM(CQ55:CQ72)</f>
        <v>0</v>
      </c>
      <c r="CR54" s="3318">
        <f t="shared" ref="CR54:CR71" si="125">CQ54/$AD$89</f>
        <v>0</v>
      </c>
      <c r="CS54" s="2022"/>
      <c r="CT54" s="2031">
        <f>SUM(CT55:CT72)</f>
        <v>0</v>
      </c>
      <c r="CU54" s="2031">
        <f>SUM(CU55:CU72)</f>
        <v>0</v>
      </c>
      <c r="CV54" s="2031">
        <f>SUM(CV55:CV72)</f>
        <v>0</v>
      </c>
      <c r="CW54" s="3318">
        <f t="shared" ref="CW54:CW71" si="126">CV54/$AD$89</f>
        <v>0</v>
      </c>
      <c r="CX54" s="2022"/>
      <c r="CY54" s="2031">
        <f>SUM(CY55:CY72)</f>
        <v>0</v>
      </c>
      <c r="CZ54" s="2031">
        <f>SUM(CZ55:CZ72)</f>
        <v>0</v>
      </c>
      <c r="DA54" s="2031">
        <f>SUM(DA55:DA72)</f>
        <v>0</v>
      </c>
      <c r="DB54" s="3318">
        <f t="shared" ref="DB54:DB71" si="127">DA54/$AD$89</f>
        <v>0</v>
      </c>
      <c r="DC54" s="1333"/>
      <c r="DD54" s="2031">
        <f>SUM(DD55:DD72)</f>
        <v>0</v>
      </c>
      <c r="DE54" s="2031">
        <f>SUM(DE55:DE72)</f>
        <v>0</v>
      </c>
      <c r="DF54" s="2031">
        <f>SUM(DF55:DF72)</f>
        <v>0</v>
      </c>
      <c r="DG54" s="3318">
        <f t="shared" ref="DG54:DG71" si="128">DF54/$AD$89</f>
        <v>0</v>
      </c>
      <c r="DH54" s="1333"/>
      <c r="DI54" s="2031">
        <f>SUM(DI55:DI72)</f>
        <v>0</v>
      </c>
      <c r="DJ54" s="2031">
        <f>SUM(DJ55:DJ72)</f>
        <v>0</v>
      </c>
      <c r="DK54" s="2031">
        <f>SUM(DK55:DK72)</f>
        <v>0</v>
      </c>
      <c r="DL54" s="3318">
        <f t="shared" ref="DL54:DL71" si="129">DK54/$AD$89</f>
        <v>0</v>
      </c>
      <c r="DM54" s="1333"/>
      <c r="DN54" s="2031">
        <f>SUM(DN55:DN72)</f>
        <v>0</v>
      </c>
      <c r="DO54" s="2031">
        <f>SUM(DO55:DO72)</f>
        <v>0</v>
      </c>
      <c r="DP54" s="2031">
        <f>SUM(DP55:DP72)</f>
        <v>0</v>
      </c>
      <c r="DQ54" s="3318">
        <f t="shared" ref="DQ54:DQ71" si="130">DP54/$AD$89</f>
        <v>0</v>
      </c>
      <c r="DR54" s="698"/>
      <c r="DS54" s="2031">
        <f>SUM(DS55:DS72)</f>
        <v>0</v>
      </c>
      <c r="DT54" s="2031">
        <f>SUM(DT55:DT72)</f>
        <v>0</v>
      </c>
      <c r="DU54" s="2031">
        <f>SUM(DU55:DU72)</f>
        <v>0</v>
      </c>
      <c r="DV54" s="3318">
        <f t="shared" ref="DV54:DV71" si="131">DU54/$AD$89</f>
        <v>0</v>
      </c>
      <c r="DW54" s="2022"/>
      <c r="DX54" s="2031">
        <f>SUM(DX55:DX72)</f>
        <v>3661475.4499999997</v>
      </c>
      <c r="DY54" s="2031">
        <f>SUM(DY55:DY72)</f>
        <v>2292082.0300000003</v>
      </c>
      <c r="DZ54" s="2031">
        <f>SUM(DZ55:DZ72)</f>
        <v>5953557.4799999995</v>
      </c>
      <c r="EA54" s="1549" t="e">
        <f t="shared" ref="EA54:EA71" si="132">DZ54/$BW$89</f>
        <v>#DIV/0!</v>
      </c>
      <c r="EB54" s="2022"/>
      <c r="ED54" s="1991">
        <f>SUM(ED55:ED72)</f>
        <v>4509760.25</v>
      </c>
      <c r="EE54" s="1991">
        <f>SUM(EE55:EE72)</f>
        <v>4505710.25</v>
      </c>
    </row>
    <row r="55" spans="1:136" ht="58.2" customHeight="1" x14ac:dyDescent="0.25">
      <c r="A55" s="1586"/>
      <c r="B55" s="3310" t="s">
        <v>77</v>
      </c>
      <c r="C55" s="3621"/>
      <c r="D55" s="3531"/>
      <c r="E55" s="1074">
        <f t="shared" ref="E55:E71" si="133">C55+D55*1</f>
        <v>0</v>
      </c>
      <c r="F55" s="3284">
        <f t="shared" si="51"/>
        <v>0</v>
      </c>
      <c r="G55" s="3242"/>
      <c r="H55" s="3274">
        <v>27101.67</v>
      </c>
      <c r="I55" s="3274">
        <v>21231.66</v>
      </c>
      <c r="J55" s="2028">
        <f t="shared" ref="J55:J71" si="134">H55+I55*1</f>
        <v>48333.33</v>
      </c>
      <c r="K55" s="3284">
        <f t="shared" si="117"/>
        <v>3.8032530972853082E-3</v>
      </c>
      <c r="L55" s="3295"/>
      <c r="M55" s="3512">
        <v>0</v>
      </c>
      <c r="N55" s="3512">
        <v>0</v>
      </c>
      <c r="O55" s="3498">
        <v>0</v>
      </c>
      <c r="P55" s="3523">
        <v>0</v>
      </c>
      <c r="Q55" s="1449"/>
      <c r="R55" s="3512"/>
      <c r="S55" s="3512"/>
      <c r="T55" s="3498">
        <f t="shared" ref="T55:T71" si="135">R55+S55*1</f>
        <v>0</v>
      </c>
      <c r="U55" s="3523">
        <f t="shared" si="118"/>
        <v>0</v>
      </c>
      <c r="V55" s="3540"/>
      <c r="W55" s="3283"/>
      <c r="X55" s="3283"/>
      <c r="Y55" s="2028">
        <f t="shared" ref="Y55:Y71" si="136">W55+X55*1</f>
        <v>0</v>
      </c>
      <c r="Z55" s="3284">
        <f t="shared" ref="Z55:Z71" si="137">Y55/$T$89</f>
        <v>0</v>
      </c>
      <c r="AA55" s="3295"/>
      <c r="AB55" s="3283">
        <v>11436</v>
      </c>
      <c r="AC55" s="3283">
        <v>31735</v>
      </c>
      <c r="AD55" s="2028">
        <f t="shared" ref="AD55:AD71" si="138">AB55+AC55*1</f>
        <v>43171</v>
      </c>
      <c r="AE55" s="3284">
        <f t="shared" si="119"/>
        <v>5.1507716855912003E-2</v>
      </c>
      <c r="AF55" s="3390" t="s">
        <v>1086</v>
      </c>
      <c r="AG55" s="3398">
        <f>25007.67+5235.5</f>
        <v>30243.17</v>
      </c>
      <c r="AH55" s="3283">
        <v>69738.210000000006</v>
      </c>
      <c r="AI55" s="1997">
        <f t="shared" ref="AI55:AI71" si="139">AG55+AH55*1</f>
        <v>99981.38</v>
      </c>
      <c r="AJ55" s="3516">
        <f t="shared" si="7"/>
        <v>9.2431028655124953E-2</v>
      </c>
      <c r="AK55" s="3390" t="s">
        <v>1213</v>
      </c>
      <c r="AL55" s="3283">
        <v>39646.639999999999</v>
      </c>
      <c r="AM55" s="3283">
        <v>83536.25</v>
      </c>
      <c r="AN55" s="1997">
        <f t="shared" ref="AN55:AN71" si="140">AL55+AM55*1</f>
        <v>123182.89</v>
      </c>
      <c r="AO55" s="3516">
        <f t="shared" ref="AO55:AO71" si="141">AN55/$AN$89</f>
        <v>2.7104214558546263E-2</v>
      </c>
      <c r="AP55" s="3275" t="s">
        <v>1298</v>
      </c>
      <c r="AQ55" s="3274">
        <v>41079.54</v>
      </c>
      <c r="AR55" s="3288">
        <v>62523.7</v>
      </c>
      <c r="AS55" s="1997">
        <f t="shared" ref="AS55:AS71" si="142">AQ55+AR55*1</f>
        <v>103603.23999999999</v>
      </c>
      <c r="AT55" s="3516">
        <f t="shared" ref="AT55:AT71" si="143">AS55/$AS$89</f>
        <v>1.6430828625386289E-2</v>
      </c>
      <c r="AU55" s="3275" t="s">
        <v>1367</v>
      </c>
      <c r="AV55" s="1326">
        <v>42085.55</v>
      </c>
      <c r="AW55" s="1326">
        <v>83631.94</v>
      </c>
      <c r="AX55" s="1997">
        <f t="shared" ref="AX55:AX71" si="144">AV55+AW55*1</f>
        <v>125717.49</v>
      </c>
      <c r="AY55" s="3516">
        <f t="shared" ref="AY55:AY71" si="145">AX55/$AS$89</f>
        <v>1.9938010948342105E-2</v>
      </c>
      <c r="AZ55" s="3276" t="s">
        <v>1447</v>
      </c>
      <c r="BA55" s="1074">
        <v>49261.03</v>
      </c>
      <c r="BB55" s="1326">
        <v>102318.46</v>
      </c>
      <c r="BC55" s="1997">
        <f t="shared" ref="BC55:BC71" si="146">BA55+BB55*1</f>
        <v>151579.49</v>
      </c>
      <c r="BD55" s="3518">
        <f t="shared" si="34"/>
        <v>2.2353972473890742E-2</v>
      </c>
      <c r="BE55" s="1070"/>
      <c r="BF55" s="3288">
        <v>639703.87999999989</v>
      </c>
      <c r="BG55" s="3274">
        <v>881782.58000000007</v>
      </c>
      <c r="BH55" s="2028">
        <v>1521486.46</v>
      </c>
      <c r="BI55" s="3284">
        <v>1.1729112726142856</v>
      </c>
      <c r="BJ55" s="3276"/>
      <c r="BK55" s="3288">
        <f t="shared" ref="BK55:BL71" si="147">BP55+BU55+BZ55+CE55+CJ55+CO55+CT55+CY55+DD55+DI55+DN55+DS55</f>
        <v>0</v>
      </c>
      <c r="BL55" s="3274">
        <f t="shared" si="147"/>
        <v>0</v>
      </c>
      <c r="BM55" s="2028">
        <f t="shared" ref="BM55:BM71" si="148">BK55+BL55*1</f>
        <v>0</v>
      </c>
      <c r="BN55" s="3284">
        <f t="shared" si="120"/>
        <v>0</v>
      </c>
      <c r="BO55" s="3276"/>
      <c r="BP55" s="1074"/>
      <c r="BQ55" s="1326"/>
      <c r="BR55" s="1997">
        <f t="shared" ref="BR55:BR71" si="149">BP55+BQ55*1</f>
        <v>0</v>
      </c>
      <c r="BS55" s="3426">
        <f t="shared" si="37"/>
        <v>0</v>
      </c>
      <c r="BT55" s="2107"/>
      <c r="BU55" s="3283"/>
      <c r="BV55" s="3283"/>
      <c r="BW55" s="2028">
        <f t="shared" ref="BW55:BW71" si="150">BU55+BV55*1</f>
        <v>0</v>
      </c>
      <c r="BX55" s="3284">
        <f t="shared" si="121"/>
        <v>0</v>
      </c>
      <c r="BY55" s="2134"/>
      <c r="BZ55" s="3283"/>
      <c r="CA55" s="3283"/>
      <c r="CB55" s="2028">
        <f t="shared" ref="CB55:CB71" si="151">BZ55+CA55*1</f>
        <v>0</v>
      </c>
      <c r="CC55" s="3284">
        <f t="shared" si="122"/>
        <v>0</v>
      </c>
      <c r="CD55" s="3276"/>
      <c r="CE55" s="3283"/>
      <c r="CF55" s="3283"/>
      <c r="CG55" s="3283">
        <f t="shared" ref="CG55:CG71" si="152">CE55+CF55*1</f>
        <v>0</v>
      </c>
      <c r="CH55" s="3284">
        <f t="shared" si="123"/>
        <v>0</v>
      </c>
      <c r="CI55" s="3276"/>
      <c r="CJ55" s="3283"/>
      <c r="CK55" s="3283"/>
      <c r="CL55" s="3274">
        <f t="shared" ref="CL55:CL71" si="153">CJ55+CK55*1</f>
        <v>0</v>
      </c>
      <c r="CM55" s="3284">
        <f t="shared" si="124"/>
        <v>0</v>
      </c>
      <c r="CN55" s="3276"/>
      <c r="CO55" s="3283"/>
      <c r="CP55" s="3283"/>
      <c r="CQ55" s="3274">
        <f t="shared" ref="CQ55:CQ71" si="154">CO55+CP55*1</f>
        <v>0</v>
      </c>
      <c r="CR55" s="3284">
        <f t="shared" si="125"/>
        <v>0</v>
      </c>
      <c r="CS55" s="3276"/>
      <c r="CT55" s="3283"/>
      <c r="CU55" s="3283"/>
      <c r="CV55" s="3274">
        <f t="shared" ref="CV55:CV71" si="155">CT55+CU55*1</f>
        <v>0</v>
      </c>
      <c r="CW55" s="3284">
        <f t="shared" si="126"/>
        <v>0</v>
      </c>
      <c r="CX55" s="3276"/>
      <c r="CY55" s="3283"/>
      <c r="CZ55" s="3283"/>
      <c r="DA55" s="3274">
        <f t="shared" ref="DA55:DA71" si="156">CY55+CZ55*1</f>
        <v>0</v>
      </c>
      <c r="DB55" s="3284">
        <f t="shared" si="127"/>
        <v>0</v>
      </c>
      <c r="DC55" s="3276"/>
      <c r="DD55" s="3274"/>
      <c r="DE55" s="3283"/>
      <c r="DF55" s="3274">
        <f t="shared" ref="DF55:DF71" si="157">DD55+DE55*1</f>
        <v>0</v>
      </c>
      <c r="DG55" s="3284">
        <f t="shared" si="128"/>
        <v>0</v>
      </c>
      <c r="DH55" s="3500"/>
      <c r="DI55" s="3288"/>
      <c r="DJ55" s="3283"/>
      <c r="DK55" s="3274">
        <f t="shared" ref="DK55:DK71" si="158">DI55+DJ55*1</f>
        <v>0</v>
      </c>
      <c r="DL55" s="3284">
        <f t="shared" si="129"/>
        <v>0</v>
      </c>
      <c r="DM55" s="3500"/>
      <c r="DN55" s="3288"/>
      <c r="DO55" s="3283"/>
      <c r="DP55" s="3274">
        <f t="shared" ref="DP55:DP71" si="159">DN55+DO55*1</f>
        <v>0</v>
      </c>
      <c r="DQ55" s="3284">
        <f t="shared" si="130"/>
        <v>0</v>
      </c>
      <c r="DR55" s="3500"/>
      <c r="DS55" s="3288"/>
      <c r="DT55" s="3283"/>
      <c r="DU55" s="3274">
        <f t="shared" ref="DU55:DU71" si="160">DS55+DT55*1</f>
        <v>0</v>
      </c>
      <c r="DV55" s="3284">
        <f t="shared" si="131"/>
        <v>0</v>
      </c>
      <c r="DW55" s="3530"/>
      <c r="DX55" s="3417">
        <f t="shared" ref="DX55:DY70" si="161">R55+W55+AB55+AG55+AL55+AQ55+AV55+BA55+BP55+BU55+BZ55+CE55+CJ55+CO55+CT55+CY55+DD55+DI55+DN55+DS55+BF55</f>
        <v>853455.80999999994</v>
      </c>
      <c r="DY55" s="3417">
        <f t="shared" si="161"/>
        <v>1315266.1400000001</v>
      </c>
      <c r="DZ55" s="3283">
        <f t="shared" ref="DZ55:DZ71" si="162">DX55+DY55*1</f>
        <v>2168721.9500000002</v>
      </c>
      <c r="EA55" s="3284" t="e">
        <f t="shared" si="132"/>
        <v>#DIV/0!</v>
      </c>
      <c r="EB55" s="3295"/>
      <c r="ED55" s="1359">
        <v>1766117.74</v>
      </c>
      <c r="EE55" s="3501">
        <f>ED55-BM55</f>
        <v>1766117.74</v>
      </c>
      <c r="EF55" s="3262"/>
    </row>
    <row r="56" spans="1:136" ht="13.95" customHeight="1" x14ac:dyDescent="0.25">
      <c r="A56" s="1586"/>
      <c r="B56" s="3649" t="s">
        <v>76</v>
      </c>
      <c r="C56" s="1167"/>
      <c r="D56" s="3650"/>
      <c r="E56" s="1074">
        <f t="shared" si="133"/>
        <v>0</v>
      </c>
      <c r="F56" s="3284">
        <f t="shared" si="51"/>
        <v>0</v>
      </c>
      <c r="G56" s="3242"/>
      <c r="H56" s="3274">
        <v>6865.00065</v>
      </c>
      <c r="I56" s="3274">
        <v>0</v>
      </c>
      <c r="J56" s="2028">
        <f t="shared" si="134"/>
        <v>6865.00065</v>
      </c>
      <c r="K56" s="3284">
        <f t="shared" si="117"/>
        <v>5.401931748749393E-4</v>
      </c>
      <c r="L56" s="3295"/>
      <c r="M56" s="3512">
        <v>0</v>
      </c>
      <c r="N56" s="3512">
        <v>0</v>
      </c>
      <c r="O56" s="3498">
        <v>0</v>
      </c>
      <c r="P56" s="3523">
        <v>0</v>
      </c>
      <c r="Q56" s="1449"/>
      <c r="R56" s="3512"/>
      <c r="S56" s="3512"/>
      <c r="T56" s="3498">
        <f t="shared" si="135"/>
        <v>0</v>
      </c>
      <c r="U56" s="3523">
        <f t="shared" si="118"/>
        <v>0</v>
      </c>
      <c r="V56" s="3540"/>
      <c r="W56" s="3283"/>
      <c r="X56" s="3283"/>
      <c r="Y56" s="2028">
        <f t="shared" si="136"/>
        <v>0</v>
      </c>
      <c r="Z56" s="3284">
        <f t="shared" si="137"/>
        <v>0</v>
      </c>
      <c r="AA56" s="3295"/>
      <c r="AB56" s="3283">
        <v>2770</v>
      </c>
      <c r="AC56" s="3283"/>
      <c r="AD56" s="2028">
        <f t="shared" si="138"/>
        <v>2770</v>
      </c>
      <c r="AE56" s="3284">
        <f t="shared" si="119"/>
        <v>3.3049124572253653E-3</v>
      </c>
      <c r="AF56" s="3295"/>
      <c r="AG56" s="3398">
        <f>6834.36+1430</f>
        <v>8264.36</v>
      </c>
      <c r="AH56" s="3283"/>
      <c r="AI56" s="1997">
        <f t="shared" si="139"/>
        <v>8264.36</v>
      </c>
      <c r="AJ56" s="3516">
        <f t="shared" si="7"/>
        <v>7.6402555753508142E-3</v>
      </c>
      <c r="AK56" s="3295"/>
      <c r="AL56" s="3283">
        <v>9962.69</v>
      </c>
      <c r="AM56" s="3283"/>
      <c r="AN56" s="1997">
        <f t="shared" si="140"/>
        <v>9962.69</v>
      </c>
      <c r="AO56" s="3516">
        <f t="shared" si="141"/>
        <v>2.1921135909401322E-3</v>
      </c>
      <c r="AP56" s="3275"/>
      <c r="AQ56" s="3274">
        <v>10378.35</v>
      </c>
      <c r="AR56" s="3288"/>
      <c r="AS56" s="1997">
        <f t="shared" si="142"/>
        <v>10378.35</v>
      </c>
      <c r="AT56" s="3516">
        <f t="shared" si="143"/>
        <v>1.6459416738731124E-3</v>
      </c>
      <c r="AU56" s="3275"/>
      <c r="AV56" s="1326">
        <v>10571.15</v>
      </c>
      <c r="AW56" s="1326"/>
      <c r="AX56" s="1997">
        <f t="shared" si="144"/>
        <v>10571.15</v>
      </c>
      <c r="AY56" s="3516">
        <f t="shared" si="145"/>
        <v>1.6765185531191136E-3</v>
      </c>
      <c r="AZ56" s="1449"/>
      <c r="BA56" s="1074">
        <v>12302.79</v>
      </c>
      <c r="BB56" s="1326"/>
      <c r="BC56" s="1997">
        <f t="shared" si="146"/>
        <v>12302.79</v>
      </c>
      <c r="BD56" s="3518">
        <f t="shared" si="34"/>
        <v>1.814336682436775E-3</v>
      </c>
      <c r="BE56" s="1070"/>
      <c r="BF56" s="3288">
        <v>166935.42000000001</v>
      </c>
      <c r="BG56" s="3274">
        <v>0</v>
      </c>
      <c r="BH56" s="2028">
        <v>166935.42000000001</v>
      </c>
      <c r="BI56" s="3284">
        <v>0.12869022568666191</v>
      </c>
      <c r="BJ56" s="3276"/>
      <c r="BK56" s="3288">
        <f t="shared" si="147"/>
        <v>0</v>
      </c>
      <c r="BL56" s="3274">
        <f t="shared" si="147"/>
        <v>0</v>
      </c>
      <c r="BM56" s="2028">
        <f t="shared" si="148"/>
        <v>0</v>
      </c>
      <c r="BN56" s="3284">
        <f t="shared" si="120"/>
        <v>0</v>
      </c>
      <c r="BO56" s="3276"/>
      <c r="BP56" s="1074"/>
      <c r="BQ56" s="1326"/>
      <c r="BR56" s="1997">
        <f t="shared" si="149"/>
        <v>0</v>
      </c>
      <c r="BS56" s="3426">
        <f t="shared" si="37"/>
        <v>0</v>
      </c>
      <c r="BT56" s="1070"/>
      <c r="BU56" s="3283"/>
      <c r="BV56" s="3283"/>
      <c r="BW56" s="2028">
        <f t="shared" si="150"/>
        <v>0</v>
      </c>
      <c r="BX56" s="3284">
        <f t="shared" si="121"/>
        <v>0</v>
      </c>
      <c r="BY56" s="3295"/>
      <c r="BZ56" s="3439"/>
      <c r="CA56" s="3283"/>
      <c r="CB56" s="2028">
        <f t="shared" si="151"/>
        <v>0</v>
      </c>
      <c r="CC56" s="3284">
        <f t="shared" si="122"/>
        <v>0</v>
      </c>
      <c r="CD56" s="3276"/>
      <c r="CE56" s="3283"/>
      <c r="CF56" s="3283"/>
      <c r="CG56" s="3283">
        <f t="shared" si="152"/>
        <v>0</v>
      </c>
      <c r="CH56" s="3284">
        <f t="shared" si="123"/>
        <v>0</v>
      </c>
      <c r="CI56" s="3276"/>
      <c r="CJ56" s="3283"/>
      <c r="CK56" s="3283"/>
      <c r="CL56" s="3274">
        <f t="shared" si="153"/>
        <v>0</v>
      </c>
      <c r="CM56" s="3284">
        <f t="shared" si="124"/>
        <v>0</v>
      </c>
      <c r="CN56" s="3276"/>
      <c r="CO56" s="3283"/>
      <c r="CP56" s="3283"/>
      <c r="CQ56" s="3274">
        <f t="shared" si="154"/>
        <v>0</v>
      </c>
      <c r="CR56" s="3284">
        <f t="shared" si="125"/>
        <v>0</v>
      </c>
      <c r="CS56" s="3276"/>
      <c r="CT56" s="3283"/>
      <c r="CU56" s="3283"/>
      <c r="CV56" s="3274">
        <f t="shared" si="155"/>
        <v>0</v>
      </c>
      <c r="CW56" s="3284">
        <f t="shared" si="126"/>
        <v>0</v>
      </c>
      <c r="CX56" s="3276"/>
      <c r="CY56" s="3283"/>
      <c r="CZ56" s="3283"/>
      <c r="DA56" s="3274">
        <f t="shared" si="156"/>
        <v>0</v>
      </c>
      <c r="DB56" s="3284">
        <f t="shared" si="127"/>
        <v>0</v>
      </c>
      <c r="DC56" s="3276"/>
      <c r="DD56" s="3274"/>
      <c r="DE56" s="3283"/>
      <c r="DF56" s="3274">
        <f t="shared" si="157"/>
        <v>0</v>
      </c>
      <c r="DG56" s="3284">
        <f t="shared" si="128"/>
        <v>0</v>
      </c>
      <c r="DH56" s="3500"/>
      <c r="DI56" s="3288"/>
      <c r="DJ56" s="3283"/>
      <c r="DK56" s="3274">
        <f t="shared" si="158"/>
        <v>0</v>
      </c>
      <c r="DL56" s="3284">
        <f t="shared" si="129"/>
        <v>0</v>
      </c>
      <c r="DM56" s="3500"/>
      <c r="DN56" s="3288"/>
      <c r="DO56" s="3283"/>
      <c r="DP56" s="3274">
        <f t="shared" si="159"/>
        <v>0</v>
      </c>
      <c r="DQ56" s="3284">
        <f t="shared" si="130"/>
        <v>0</v>
      </c>
      <c r="DR56" s="3276"/>
      <c r="DS56" s="3288"/>
      <c r="DT56" s="3283"/>
      <c r="DU56" s="3274">
        <f t="shared" si="160"/>
        <v>0</v>
      </c>
      <c r="DV56" s="3284">
        <f t="shared" si="131"/>
        <v>0</v>
      </c>
      <c r="DW56" s="3530"/>
      <c r="DX56" s="3417">
        <f t="shared" si="161"/>
        <v>221184.76</v>
      </c>
      <c r="DY56" s="3417">
        <f t="shared" si="161"/>
        <v>0</v>
      </c>
      <c r="DZ56" s="3283">
        <f t="shared" si="162"/>
        <v>221184.76</v>
      </c>
      <c r="EA56" s="3284" t="e">
        <f t="shared" si="132"/>
        <v>#DIV/0!</v>
      </c>
      <c r="EB56" s="3295"/>
      <c r="ED56" s="1359">
        <v>171812.43</v>
      </c>
      <c r="EE56" s="3501">
        <f t="shared" ref="EE56:EE64" si="163">ED56-BM56</f>
        <v>171812.43</v>
      </c>
      <c r="EF56" s="3262"/>
    </row>
    <row r="57" spans="1:136" ht="13.95" customHeight="1" x14ac:dyDescent="0.25">
      <c r="A57" s="1586"/>
      <c r="B57" s="3649" t="s">
        <v>68</v>
      </c>
      <c r="C57" s="1167"/>
      <c r="D57" s="3650"/>
      <c r="E57" s="1074">
        <f t="shared" si="133"/>
        <v>0</v>
      </c>
      <c r="F57" s="3284">
        <f t="shared" si="51"/>
        <v>0</v>
      </c>
      <c r="G57" s="3237"/>
      <c r="H57" s="3274">
        <v>7106.6674000000003</v>
      </c>
      <c r="I57" s="3274">
        <v>0</v>
      </c>
      <c r="J57" s="2028">
        <f t="shared" si="134"/>
        <v>7106.6674000000003</v>
      </c>
      <c r="K57" s="3284">
        <f t="shared" si="117"/>
        <v>5.5920944823016595E-4</v>
      </c>
      <c r="L57" s="3295"/>
      <c r="M57" s="3512">
        <v>0</v>
      </c>
      <c r="N57" s="3512">
        <v>0</v>
      </c>
      <c r="O57" s="3498">
        <v>0</v>
      </c>
      <c r="P57" s="3523">
        <v>0</v>
      </c>
      <c r="Q57" s="1449"/>
      <c r="R57" s="3512"/>
      <c r="S57" s="3512"/>
      <c r="T57" s="3498">
        <f t="shared" si="135"/>
        <v>0</v>
      </c>
      <c r="U57" s="3523">
        <f t="shared" si="118"/>
        <v>0</v>
      </c>
      <c r="V57" s="3540"/>
      <c r="W57" s="3283"/>
      <c r="X57" s="3283"/>
      <c r="Y57" s="2028">
        <f t="shared" si="136"/>
        <v>0</v>
      </c>
      <c r="Z57" s="3284">
        <f t="shared" si="137"/>
        <v>0</v>
      </c>
      <c r="AA57" s="3295"/>
      <c r="AB57" s="3283">
        <v>3125</v>
      </c>
      <c r="AC57" s="3283"/>
      <c r="AD57" s="2028">
        <f t="shared" si="138"/>
        <v>3125</v>
      </c>
      <c r="AE57" s="3284">
        <f t="shared" si="119"/>
        <v>3.7284662197939588E-3</v>
      </c>
      <c r="AF57" s="3295"/>
      <c r="AG57" s="3398">
        <f>6057.76+1267.5</f>
        <v>7325.26</v>
      </c>
      <c r="AH57" s="3283"/>
      <c r="AI57" s="1997">
        <f t="shared" si="139"/>
        <v>7325.26</v>
      </c>
      <c r="AJ57" s="3516">
        <f t="shared" si="7"/>
        <v>6.7720741298653861E-3</v>
      </c>
      <c r="AK57" s="3295"/>
      <c r="AL57" s="3283">
        <v>9603.84</v>
      </c>
      <c r="AM57" s="3283"/>
      <c r="AN57" s="1997">
        <f t="shared" si="140"/>
        <v>9603.84</v>
      </c>
      <c r="AO57" s="3516">
        <f t="shared" si="141"/>
        <v>2.1131550002272959E-3</v>
      </c>
      <c r="AP57" s="3275"/>
      <c r="AQ57" s="3274">
        <v>9950.92</v>
      </c>
      <c r="AR57" s="3288"/>
      <c r="AS57" s="1997">
        <f t="shared" si="142"/>
        <v>9950.92</v>
      </c>
      <c r="AT57" s="3516">
        <f t="shared" si="143"/>
        <v>1.5781539378973953E-3</v>
      </c>
      <c r="AU57" s="3275"/>
      <c r="AV57" s="1326">
        <v>10194.64</v>
      </c>
      <c r="AW57" s="1326"/>
      <c r="AX57" s="1997">
        <f t="shared" si="144"/>
        <v>10194.64</v>
      </c>
      <c r="AY57" s="3516">
        <f t="shared" si="145"/>
        <v>1.6168064120147987E-3</v>
      </c>
      <c r="AZ57" s="1449"/>
      <c r="BA57" s="1074">
        <v>12529.3</v>
      </c>
      <c r="BB57" s="1326"/>
      <c r="BC57" s="1997">
        <f t="shared" si="146"/>
        <v>12529.3</v>
      </c>
      <c r="BD57" s="3518">
        <f t="shared" si="34"/>
        <v>1.8477409266723307E-3</v>
      </c>
      <c r="BE57" s="1070"/>
      <c r="BF57" s="3288">
        <v>155093.53999999998</v>
      </c>
      <c r="BG57" s="3274">
        <v>0</v>
      </c>
      <c r="BH57" s="2028">
        <v>155093.53999999998</v>
      </c>
      <c r="BI57" s="3284">
        <v>0.1195613409373716</v>
      </c>
      <c r="BJ57" s="3276"/>
      <c r="BK57" s="3288">
        <f t="shared" si="147"/>
        <v>0</v>
      </c>
      <c r="BL57" s="3274">
        <f t="shared" si="147"/>
        <v>0</v>
      </c>
      <c r="BM57" s="2028">
        <f t="shared" si="148"/>
        <v>0</v>
      </c>
      <c r="BN57" s="3284">
        <f t="shared" si="120"/>
        <v>0</v>
      </c>
      <c r="BO57" s="3276"/>
      <c r="BP57" s="1074"/>
      <c r="BQ57" s="1326"/>
      <c r="BR57" s="1997">
        <f t="shared" si="149"/>
        <v>0</v>
      </c>
      <c r="BS57" s="3426">
        <f t="shared" si="37"/>
        <v>0</v>
      </c>
      <c r="BT57" s="1070"/>
      <c r="BU57" s="3283"/>
      <c r="BV57" s="3283"/>
      <c r="BW57" s="2028">
        <f t="shared" si="150"/>
        <v>0</v>
      </c>
      <c r="BX57" s="3284">
        <f t="shared" si="121"/>
        <v>0</v>
      </c>
      <c r="BY57" s="3295"/>
      <c r="BZ57" s="3398"/>
      <c r="CA57" s="3283"/>
      <c r="CB57" s="2028">
        <f t="shared" si="151"/>
        <v>0</v>
      </c>
      <c r="CC57" s="3284">
        <f t="shared" si="122"/>
        <v>0</v>
      </c>
      <c r="CD57" s="3276"/>
      <c r="CE57" s="3283"/>
      <c r="CF57" s="3283"/>
      <c r="CG57" s="3283">
        <f t="shared" si="152"/>
        <v>0</v>
      </c>
      <c r="CH57" s="3284">
        <f t="shared" si="123"/>
        <v>0</v>
      </c>
      <c r="CI57" s="3276"/>
      <c r="CJ57" s="3283"/>
      <c r="CK57" s="3283"/>
      <c r="CL57" s="3274">
        <f t="shared" si="153"/>
        <v>0</v>
      </c>
      <c r="CM57" s="3284">
        <f t="shared" si="124"/>
        <v>0</v>
      </c>
      <c r="CN57" s="3276"/>
      <c r="CO57" s="3283"/>
      <c r="CP57" s="3283"/>
      <c r="CQ57" s="3274">
        <f t="shared" si="154"/>
        <v>0</v>
      </c>
      <c r="CR57" s="3284">
        <f t="shared" si="125"/>
        <v>0</v>
      </c>
      <c r="CS57" s="3276"/>
      <c r="CT57" s="3283"/>
      <c r="CU57" s="3283"/>
      <c r="CV57" s="3274">
        <f t="shared" si="155"/>
        <v>0</v>
      </c>
      <c r="CW57" s="3284">
        <f t="shared" si="126"/>
        <v>0</v>
      </c>
      <c r="CX57" s="3276"/>
      <c r="CY57" s="3283"/>
      <c r="CZ57" s="3283"/>
      <c r="DA57" s="3274">
        <f t="shared" si="156"/>
        <v>0</v>
      </c>
      <c r="DB57" s="3284">
        <f t="shared" si="127"/>
        <v>0</v>
      </c>
      <c r="DC57" s="3276"/>
      <c r="DD57" s="3274"/>
      <c r="DE57" s="3283"/>
      <c r="DF57" s="3274">
        <f t="shared" si="157"/>
        <v>0</v>
      </c>
      <c r="DG57" s="3284">
        <f t="shared" si="128"/>
        <v>0</v>
      </c>
      <c r="DH57" s="3500"/>
      <c r="DI57" s="3288"/>
      <c r="DJ57" s="3283"/>
      <c r="DK57" s="3274">
        <f t="shared" si="158"/>
        <v>0</v>
      </c>
      <c r="DL57" s="3284">
        <f t="shared" si="129"/>
        <v>0</v>
      </c>
      <c r="DM57" s="3500"/>
      <c r="DN57" s="3288"/>
      <c r="DO57" s="3283"/>
      <c r="DP57" s="3274">
        <f t="shared" si="159"/>
        <v>0</v>
      </c>
      <c r="DQ57" s="3284">
        <f t="shared" si="130"/>
        <v>0</v>
      </c>
      <c r="DR57" s="3276"/>
      <c r="DS57" s="3288"/>
      <c r="DT57" s="3283"/>
      <c r="DU57" s="3274">
        <f t="shared" si="160"/>
        <v>0</v>
      </c>
      <c r="DV57" s="3284">
        <f t="shared" si="131"/>
        <v>0</v>
      </c>
      <c r="DW57" s="3276"/>
      <c r="DX57" s="3417">
        <f t="shared" si="161"/>
        <v>207822.49999999997</v>
      </c>
      <c r="DY57" s="3417">
        <f t="shared" si="161"/>
        <v>0</v>
      </c>
      <c r="DZ57" s="3283">
        <f t="shared" si="162"/>
        <v>207822.49999999997</v>
      </c>
      <c r="EA57" s="3284" t="e">
        <f t="shared" si="132"/>
        <v>#DIV/0!</v>
      </c>
      <c r="EB57" s="3295"/>
      <c r="ED57" s="1359">
        <v>159223.43</v>
      </c>
      <c r="EE57" s="3501">
        <f t="shared" si="163"/>
        <v>159223.43</v>
      </c>
      <c r="EF57" s="3262"/>
    </row>
    <row r="58" spans="1:136" ht="16.95" customHeight="1" x14ac:dyDescent="0.25">
      <c r="A58" s="1586"/>
      <c r="B58" s="3649" t="s">
        <v>67</v>
      </c>
      <c r="C58" s="1167">
        <v>1852</v>
      </c>
      <c r="D58" s="3511">
        <v>17163</v>
      </c>
      <c r="E58" s="1074">
        <f t="shared" si="133"/>
        <v>19015</v>
      </c>
      <c r="F58" s="3284">
        <f t="shared" si="51"/>
        <v>7.3135468601915254E-3</v>
      </c>
      <c r="G58" s="3237"/>
      <c r="H58" s="3274">
        <v>39378.770000000004</v>
      </c>
      <c r="I58" s="3274">
        <v>111206</v>
      </c>
      <c r="J58" s="2028">
        <f t="shared" si="134"/>
        <v>150584.77000000002</v>
      </c>
      <c r="K58" s="3284">
        <f t="shared" si="117"/>
        <v>1.1849214463528497E-2</v>
      </c>
      <c r="L58" s="3295"/>
      <c r="M58" s="3512">
        <v>0</v>
      </c>
      <c r="N58" s="3512">
        <v>0</v>
      </c>
      <c r="O58" s="3498">
        <v>0</v>
      </c>
      <c r="P58" s="3523">
        <v>0</v>
      </c>
      <c r="Q58" s="1449"/>
      <c r="R58" s="3512"/>
      <c r="S58" s="3512"/>
      <c r="T58" s="3498">
        <f t="shared" si="135"/>
        <v>0</v>
      </c>
      <c r="U58" s="3523">
        <f t="shared" si="118"/>
        <v>0</v>
      </c>
      <c r="V58" s="3540"/>
      <c r="W58" s="3283"/>
      <c r="X58" s="3283"/>
      <c r="Y58" s="2028">
        <f t="shared" si="136"/>
        <v>0</v>
      </c>
      <c r="Z58" s="3284">
        <f t="shared" si="137"/>
        <v>0</v>
      </c>
      <c r="AA58" s="3295"/>
      <c r="AB58" s="3283"/>
      <c r="AC58" s="3283"/>
      <c r="AD58" s="2028">
        <f t="shared" si="138"/>
        <v>0</v>
      </c>
      <c r="AE58" s="3284">
        <f t="shared" si="119"/>
        <v>0</v>
      </c>
      <c r="AF58" s="3295"/>
      <c r="AG58" s="3398"/>
      <c r="AH58" s="3283"/>
      <c r="AI58" s="1997">
        <f t="shared" si="139"/>
        <v>0</v>
      </c>
      <c r="AJ58" s="3516">
        <f t="shared" si="7"/>
        <v>0</v>
      </c>
      <c r="AK58" s="3295"/>
      <c r="AL58" s="3283"/>
      <c r="AM58" s="3283"/>
      <c r="AN58" s="1997">
        <f t="shared" si="140"/>
        <v>0</v>
      </c>
      <c r="AO58" s="3516">
        <f t="shared" si="141"/>
        <v>0</v>
      </c>
      <c r="AP58" s="3275"/>
      <c r="AQ58" s="3274"/>
      <c r="AR58" s="3288"/>
      <c r="AS58" s="1997">
        <f t="shared" si="142"/>
        <v>0</v>
      </c>
      <c r="AT58" s="3516">
        <f t="shared" si="143"/>
        <v>0</v>
      </c>
      <c r="AU58" s="3275"/>
      <c r="AV58" s="1326"/>
      <c r="AW58" s="1326"/>
      <c r="AX58" s="1997">
        <f t="shared" si="144"/>
        <v>0</v>
      </c>
      <c r="AY58" s="3516">
        <f t="shared" si="145"/>
        <v>0</v>
      </c>
      <c r="AZ58" s="1449"/>
      <c r="BA58" s="1074"/>
      <c r="BB58" s="1326"/>
      <c r="BC58" s="1997">
        <f t="shared" si="146"/>
        <v>0</v>
      </c>
      <c r="BD58" s="3518">
        <f t="shared" si="34"/>
        <v>0</v>
      </c>
      <c r="BE58" s="1070"/>
      <c r="BF58" s="3288">
        <v>0</v>
      </c>
      <c r="BG58" s="3274">
        <v>0</v>
      </c>
      <c r="BH58" s="2028">
        <v>0</v>
      </c>
      <c r="BI58" s="3284">
        <v>0</v>
      </c>
      <c r="BJ58" s="3276"/>
      <c r="BK58" s="3288">
        <f t="shared" si="147"/>
        <v>0</v>
      </c>
      <c r="BL58" s="3274">
        <f t="shared" si="147"/>
        <v>0</v>
      </c>
      <c r="BM58" s="2028">
        <f t="shared" si="148"/>
        <v>0</v>
      </c>
      <c r="BN58" s="3284">
        <f t="shared" si="120"/>
        <v>0</v>
      </c>
      <c r="BO58" s="3276"/>
      <c r="BP58" s="1074"/>
      <c r="BQ58" s="1326"/>
      <c r="BR58" s="1997">
        <f t="shared" si="149"/>
        <v>0</v>
      </c>
      <c r="BS58" s="3426">
        <f t="shared" si="37"/>
        <v>0</v>
      </c>
      <c r="BT58" s="1070"/>
      <c r="BU58" s="3283"/>
      <c r="BV58" s="3283"/>
      <c r="BW58" s="2028">
        <f t="shared" si="150"/>
        <v>0</v>
      </c>
      <c r="BX58" s="3284">
        <f t="shared" si="121"/>
        <v>0</v>
      </c>
      <c r="BY58" s="3295"/>
      <c r="BZ58" s="3398"/>
      <c r="CA58" s="3283"/>
      <c r="CB58" s="2028">
        <f t="shared" si="151"/>
        <v>0</v>
      </c>
      <c r="CC58" s="3284">
        <f t="shared" si="122"/>
        <v>0</v>
      </c>
      <c r="CD58" s="3276"/>
      <c r="CE58" s="3283"/>
      <c r="CF58" s="3283"/>
      <c r="CG58" s="3283">
        <f t="shared" si="152"/>
        <v>0</v>
      </c>
      <c r="CH58" s="3284">
        <f t="shared" si="123"/>
        <v>0</v>
      </c>
      <c r="CI58" s="3276"/>
      <c r="CJ58" s="3283"/>
      <c r="CK58" s="3283"/>
      <c r="CL58" s="3274">
        <f t="shared" si="153"/>
        <v>0</v>
      </c>
      <c r="CM58" s="3284">
        <f t="shared" si="124"/>
        <v>0</v>
      </c>
      <c r="CN58" s="3276"/>
      <c r="CO58" s="3283"/>
      <c r="CP58" s="3283"/>
      <c r="CQ58" s="3274">
        <f t="shared" si="154"/>
        <v>0</v>
      </c>
      <c r="CR58" s="3284">
        <f t="shared" si="125"/>
        <v>0</v>
      </c>
      <c r="CS58" s="3276"/>
      <c r="CT58" s="3283"/>
      <c r="CU58" s="3283"/>
      <c r="CV58" s="3274">
        <f t="shared" si="155"/>
        <v>0</v>
      </c>
      <c r="CW58" s="3284">
        <f t="shared" si="126"/>
        <v>0</v>
      </c>
      <c r="CX58" s="3276"/>
      <c r="CY58" s="3283"/>
      <c r="CZ58" s="3283"/>
      <c r="DA58" s="3274">
        <f t="shared" si="156"/>
        <v>0</v>
      </c>
      <c r="DB58" s="3284">
        <f t="shared" si="127"/>
        <v>0</v>
      </c>
      <c r="DC58" s="3276"/>
      <c r="DD58" s="3292"/>
      <c r="DE58" s="3283"/>
      <c r="DF58" s="3274">
        <f t="shared" si="157"/>
        <v>0</v>
      </c>
      <c r="DG58" s="3284">
        <f t="shared" si="128"/>
        <v>0</v>
      </c>
      <c r="DH58" s="3500"/>
      <c r="DI58" s="3651"/>
      <c r="DJ58" s="3283"/>
      <c r="DK58" s="3274">
        <f t="shared" si="158"/>
        <v>0</v>
      </c>
      <c r="DL58" s="3284">
        <f t="shared" si="129"/>
        <v>0</v>
      </c>
      <c r="DM58" s="3500"/>
      <c r="DN58" s="3651"/>
      <c r="DO58" s="3283"/>
      <c r="DP58" s="3274">
        <f t="shared" si="159"/>
        <v>0</v>
      </c>
      <c r="DQ58" s="3284">
        <f t="shared" si="130"/>
        <v>0</v>
      </c>
      <c r="DR58" s="3276"/>
      <c r="DS58" s="3651"/>
      <c r="DT58" s="3283"/>
      <c r="DU58" s="3274">
        <f t="shared" si="160"/>
        <v>0</v>
      </c>
      <c r="DV58" s="3284">
        <f t="shared" si="131"/>
        <v>0</v>
      </c>
      <c r="DW58" s="3276"/>
      <c r="DX58" s="3417">
        <f t="shared" si="161"/>
        <v>0</v>
      </c>
      <c r="DY58" s="3417">
        <f t="shared" si="161"/>
        <v>0</v>
      </c>
      <c r="DZ58" s="3283">
        <f t="shared" si="162"/>
        <v>0</v>
      </c>
      <c r="EA58" s="3284" t="e">
        <f t="shared" si="132"/>
        <v>#DIV/0!</v>
      </c>
      <c r="EB58" s="3295"/>
      <c r="ED58" s="3288"/>
      <c r="EE58" s="3501">
        <f t="shared" si="163"/>
        <v>0</v>
      </c>
    </row>
    <row r="59" spans="1:136" ht="14.4" customHeight="1" x14ac:dyDescent="0.25">
      <c r="A59" s="1586"/>
      <c r="B59" s="3649" t="s">
        <v>66</v>
      </c>
      <c r="C59" s="1167">
        <v>506</v>
      </c>
      <c r="D59" s="3650"/>
      <c r="E59" s="1074">
        <f t="shared" si="133"/>
        <v>506</v>
      </c>
      <c r="F59" s="3284">
        <f t="shared" si="51"/>
        <v>1.9461765507530431E-4</v>
      </c>
      <c r="G59" s="3237"/>
      <c r="H59" s="3274">
        <v>9538.9573500000006</v>
      </c>
      <c r="I59" s="3274">
        <v>0</v>
      </c>
      <c r="J59" s="2028">
        <f t="shared" si="134"/>
        <v>9538.9573500000006</v>
      </c>
      <c r="K59" s="3284">
        <f t="shared" si="117"/>
        <v>7.5060148113651501E-4</v>
      </c>
      <c r="L59" s="3295"/>
      <c r="M59" s="3512">
        <v>0</v>
      </c>
      <c r="N59" s="3512">
        <v>0</v>
      </c>
      <c r="O59" s="3498">
        <v>0</v>
      </c>
      <c r="P59" s="3523">
        <v>0</v>
      </c>
      <c r="Q59" s="1449"/>
      <c r="R59" s="3512"/>
      <c r="S59" s="3512"/>
      <c r="T59" s="3498">
        <f t="shared" si="135"/>
        <v>0</v>
      </c>
      <c r="U59" s="3523">
        <f t="shared" si="118"/>
        <v>0</v>
      </c>
      <c r="V59" s="3540"/>
      <c r="W59" s="3283"/>
      <c r="X59" s="3283"/>
      <c r="Y59" s="2028">
        <f t="shared" si="136"/>
        <v>0</v>
      </c>
      <c r="Z59" s="3284">
        <f t="shared" si="137"/>
        <v>0</v>
      </c>
      <c r="AA59" s="3295"/>
      <c r="AB59" s="3283"/>
      <c r="AC59" s="3283"/>
      <c r="AD59" s="2028">
        <f t="shared" si="138"/>
        <v>0</v>
      </c>
      <c r="AE59" s="3284">
        <f t="shared" si="119"/>
        <v>0</v>
      </c>
      <c r="AF59" s="3295"/>
      <c r="AG59" s="3398"/>
      <c r="AH59" s="3283"/>
      <c r="AI59" s="1997">
        <f t="shared" si="139"/>
        <v>0</v>
      </c>
      <c r="AJ59" s="3516">
        <f t="shared" si="7"/>
        <v>0</v>
      </c>
      <c r="AK59" s="3295"/>
      <c r="AL59" s="3283"/>
      <c r="AM59" s="3283"/>
      <c r="AN59" s="1997">
        <f t="shared" si="140"/>
        <v>0</v>
      </c>
      <c r="AO59" s="3516">
        <f t="shared" si="141"/>
        <v>0</v>
      </c>
      <c r="AP59" s="3275"/>
      <c r="AQ59" s="3274"/>
      <c r="AR59" s="3288"/>
      <c r="AS59" s="1997">
        <f t="shared" si="142"/>
        <v>0</v>
      </c>
      <c r="AT59" s="3516">
        <f t="shared" si="143"/>
        <v>0</v>
      </c>
      <c r="AU59" s="3275"/>
      <c r="AV59" s="1326"/>
      <c r="AW59" s="1326"/>
      <c r="AX59" s="1997">
        <f t="shared" si="144"/>
        <v>0</v>
      </c>
      <c r="AY59" s="3516">
        <f t="shared" si="145"/>
        <v>0</v>
      </c>
      <c r="AZ59" s="1449"/>
      <c r="BA59" s="1074"/>
      <c r="BB59" s="1326"/>
      <c r="BC59" s="1997">
        <f t="shared" si="146"/>
        <v>0</v>
      </c>
      <c r="BD59" s="3518">
        <f t="shared" si="34"/>
        <v>0</v>
      </c>
      <c r="BE59" s="1070"/>
      <c r="BF59" s="3288">
        <v>0</v>
      </c>
      <c r="BG59" s="3274">
        <v>0</v>
      </c>
      <c r="BH59" s="2028">
        <v>0</v>
      </c>
      <c r="BI59" s="3284">
        <v>0</v>
      </c>
      <c r="BJ59" s="3276"/>
      <c r="BK59" s="3288">
        <f t="shared" si="147"/>
        <v>0</v>
      </c>
      <c r="BL59" s="3274">
        <f t="shared" si="147"/>
        <v>0</v>
      </c>
      <c r="BM59" s="2028">
        <f t="shared" si="148"/>
        <v>0</v>
      </c>
      <c r="BN59" s="3284">
        <f t="shared" si="120"/>
        <v>0</v>
      </c>
      <c r="BO59" s="3276"/>
      <c r="BP59" s="1074"/>
      <c r="BQ59" s="1326"/>
      <c r="BR59" s="1997">
        <f t="shared" si="149"/>
        <v>0</v>
      </c>
      <c r="BS59" s="3426">
        <f t="shared" si="37"/>
        <v>0</v>
      </c>
      <c r="BT59" s="1070"/>
      <c r="BU59" s="3283"/>
      <c r="BV59" s="3283"/>
      <c r="BW59" s="2028">
        <f t="shared" si="150"/>
        <v>0</v>
      </c>
      <c r="BX59" s="3284">
        <f t="shared" si="121"/>
        <v>0</v>
      </c>
      <c r="BY59" s="3295"/>
      <c r="BZ59" s="3398"/>
      <c r="CA59" s="3283"/>
      <c r="CB59" s="2028">
        <f t="shared" si="151"/>
        <v>0</v>
      </c>
      <c r="CC59" s="3284">
        <f t="shared" si="122"/>
        <v>0</v>
      </c>
      <c r="CD59" s="3276"/>
      <c r="CE59" s="3283"/>
      <c r="CF59" s="3283"/>
      <c r="CG59" s="3283">
        <f t="shared" si="152"/>
        <v>0</v>
      </c>
      <c r="CH59" s="3284">
        <f t="shared" si="123"/>
        <v>0</v>
      </c>
      <c r="CI59" s="3276"/>
      <c r="CJ59" s="3283"/>
      <c r="CK59" s="3283"/>
      <c r="CL59" s="3274">
        <f t="shared" si="153"/>
        <v>0</v>
      </c>
      <c r="CM59" s="3284">
        <f t="shared" si="124"/>
        <v>0</v>
      </c>
      <c r="CN59" s="3276"/>
      <c r="CO59" s="3283"/>
      <c r="CP59" s="3283"/>
      <c r="CQ59" s="3274">
        <f t="shared" si="154"/>
        <v>0</v>
      </c>
      <c r="CR59" s="3284">
        <f t="shared" si="125"/>
        <v>0</v>
      </c>
      <c r="CS59" s="3276"/>
      <c r="CT59" s="3283"/>
      <c r="CU59" s="3283"/>
      <c r="CV59" s="3274">
        <f t="shared" si="155"/>
        <v>0</v>
      </c>
      <c r="CW59" s="3284">
        <f t="shared" si="126"/>
        <v>0</v>
      </c>
      <c r="CX59" s="3276"/>
      <c r="CY59" s="3283"/>
      <c r="CZ59" s="3283"/>
      <c r="DA59" s="3274">
        <f t="shared" si="156"/>
        <v>0</v>
      </c>
      <c r="DB59" s="3284">
        <f t="shared" si="127"/>
        <v>0</v>
      </c>
      <c r="DC59" s="3276"/>
      <c r="DD59" s="3283"/>
      <c r="DE59" s="3283"/>
      <c r="DF59" s="3274">
        <f t="shared" si="157"/>
        <v>0</v>
      </c>
      <c r="DG59" s="3284">
        <f t="shared" si="128"/>
        <v>0</v>
      </c>
      <c r="DH59" s="3500"/>
      <c r="DI59" s="3398"/>
      <c r="DJ59" s="3283"/>
      <c r="DK59" s="3274">
        <f t="shared" si="158"/>
        <v>0</v>
      </c>
      <c r="DL59" s="3284">
        <f t="shared" si="129"/>
        <v>0</v>
      </c>
      <c r="DM59" s="3500"/>
      <c r="DN59" s="3398"/>
      <c r="DO59" s="3283"/>
      <c r="DP59" s="3274">
        <f t="shared" si="159"/>
        <v>0</v>
      </c>
      <c r="DQ59" s="3284">
        <f t="shared" si="130"/>
        <v>0</v>
      </c>
      <c r="DR59" s="3276"/>
      <c r="DS59" s="3398"/>
      <c r="DT59" s="3283"/>
      <c r="DU59" s="3274">
        <f t="shared" si="160"/>
        <v>0</v>
      </c>
      <c r="DV59" s="3284">
        <f t="shared" si="131"/>
        <v>0</v>
      </c>
      <c r="DW59" s="3276"/>
      <c r="DX59" s="3417">
        <f t="shared" si="161"/>
        <v>0</v>
      </c>
      <c r="DY59" s="3417">
        <f t="shared" si="161"/>
        <v>0</v>
      </c>
      <c r="DZ59" s="3283">
        <f t="shared" si="162"/>
        <v>0</v>
      </c>
      <c r="EA59" s="3284" t="e">
        <f t="shared" si="132"/>
        <v>#DIV/0!</v>
      </c>
      <c r="EB59" s="3295"/>
      <c r="ED59" s="3288"/>
      <c r="EE59" s="3501">
        <f t="shared" si="163"/>
        <v>0</v>
      </c>
    </row>
    <row r="60" spans="1:136" ht="14.4" customHeight="1" x14ac:dyDescent="0.25">
      <c r="A60" s="1586"/>
      <c r="B60" s="3649" t="s">
        <v>65</v>
      </c>
      <c r="C60" s="1167">
        <v>449</v>
      </c>
      <c r="D60" s="3650"/>
      <c r="E60" s="1074">
        <f t="shared" si="133"/>
        <v>449</v>
      </c>
      <c r="F60" s="3284">
        <f t="shared" si="51"/>
        <v>1.7269432238895582E-4</v>
      </c>
      <c r="G60" s="3237"/>
      <c r="H60" s="3274">
        <v>10761.900600000001</v>
      </c>
      <c r="I60" s="3274">
        <v>0</v>
      </c>
      <c r="J60" s="2028">
        <f t="shared" si="134"/>
        <v>10761.900600000001</v>
      </c>
      <c r="K60" s="3284">
        <f t="shared" si="117"/>
        <v>8.4683244025658103E-4</v>
      </c>
      <c r="L60" s="3295"/>
      <c r="M60" s="3512">
        <v>0</v>
      </c>
      <c r="N60" s="3512">
        <v>0</v>
      </c>
      <c r="O60" s="3498">
        <v>0</v>
      </c>
      <c r="P60" s="3523">
        <v>0</v>
      </c>
      <c r="Q60" s="1449"/>
      <c r="R60" s="3512"/>
      <c r="S60" s="3512"/>
      <c r="T60" s="3498">
        <f t="shared" si="135"/>
        <v>0</v>
      </c>
      <c r="U60" s="3523">
        <f t="shared" si="118"/>
        <v>0</v>
      </c>
      <c r="V60" s="3540"/>
      <c r="W60" s="3283"/>
      <c r="X60" s="3283"/>
      <c r="Y60" s="2028">
        <f t="shared" si="136"/>
        <v>0</v>
      </c>
      <c r="Z60" s="3284">
        <f t="shared" si="137"/>
        <v>0</v>
      </c>
      <c r="AA60" s="3295"/>
      <c r="AB60" s="3283"/>
      <c r="AC60" s="3283"/>
      <c r="AD60" s="2028">
        <f t="shared" si="138"/>
        <v>0</v>
      </c>
      <c r="AE60" s="3284">
        <f t="shared" si="119"/>
        <v>0</v>
      </c>
      <c r="AF60" s="3295"/>
      <c r="AG60" s="3398"/>
      <c r="AH60" s="3283"/>
      <c r="AI60" s="1997">
        <f t="shared" si="139"/>
        <v>0</v>
      </c>
      <c r="AJ60" s="3516">
        <f t="shared" si="7"/>
        <v>0</v>
      </c>
      <c r="AK60" s="3295"/>
      <c r="AL60" s="3283"/>
      <c r="AM60" s="3283"/>
      <c r="AN60" s="1997">
        <f t="shared" si="140"/>
        <v>0</v>
      </c>
      <c r="AO60" s="3516">
        <f t="shared" si="141"/>
        <v>0</v>
      </c>
      <c r="AP60" s="3275"/>
      <c r="AQ60" s="3274"/>
      <c r="AR60" s="3288"/>
      <c r="AS60" s="1997">
        <f t="shared" si="142"/>
        <v>0</v>
      </c>
      <c r="AT60" s="3516">
        <f t="shared" si="143"/>
        <v>0</v>
      </c>
      <c r="AU60" s="3275"/>
      <c r="AV60" s="1326"/>
      <c r="AW60" s="1326"/>
      <c r="AX60" s="1997">
        <f t="shared" si="144"/>
        <v>0</v>
      </c>
      <c r="AY60" s="3516">
        <f t="shared" si="145"/>
        <v>0</v>
      </c>
      <c r="AZ60" s="1449"/>
      <c r="BA60" s="1074"/>
      <c r="BB60" s="1326"/>
      <c r="BC60" s="1997">
        <f t="shared" si="146"/>
        <v>0</v>
      </c>
      <c r="BD60" s="3518">
        <f t="shared" si="34"/>
        <v>0</v>
      </c>
      <c r="BE60" s="1875"/>
      <c r="BF60" s="3288">
        <v>0</v>
      </c>
      <c r="BG60" s="3274">
        <v>0</v>
      </c>
      <c r="BH60" s="2028">
        <v>0</v>
      </c>
      <c r="BI60" s="3284">
        <v>0</v>
      </c>
      <c r="BJ60" s="3276"/>
      <c r="BK60" s="3288">
        <f t="shared" si="147"/>
        <v>0</v>
      </c>
      <c r="BL60" s="3274">
        <f t="shared" si="147"/>
        <v>0</v>
      </c>
      <c r="BM60" s="2028">
        <f t="shared" si="148"/>
        <v>0</v>
      </c>
      <c r="BN60" s="3284">
        <f t="shared" si="120"/>
        <v>0</v>
      </c>
      <c r="BO60" s="3276"/>
      <c r="BP60" s="1074"/>
      <c r="BQ60" s="1326"/>
      <c r="BR60" s="1997">
        <f t="shared" si="149"/>
        <v>0</v>
      </c>
      <c r="BS60" s="3426">
        <f t="shared" si="37"/>
        <v>0</v>
      </c>
      <c r="BT60" s="1875"/>
      <c r="BU60" s="3283"/>
      <c r="BV60" s="3283"/>
      <c r="BW60" s="2028">
        <f t="shared" si="150"/>
        <v>0</v>
      </c>
      <c r="BX60" s="3284">
        <f t="shared" si="121"/>
        <v>0</v>
      </c>
      <c r="BY60" s="3295"/>
      <c r="BZ60" s="3398"/>
      <c r="CA60" s="3283"/>
      <c r="CB60" s="2028">
        <f t="shared" si="151"/>
        <v>0</v>
      </c>
      <c r="CC60" s="3284">
        <f t="shared" si="122"/>
        <v>0</v>
      </c>
      <c r="CD60" s="3276"/>
      <c r="CE60" s="3283"/>
      <c r="CF60" s="3283"/>
      <c r="CG60" s="3283">
        <f t="shared" si="152"/>
        <v>0</v>
      </c>
      <c r="CH60" s="3284">
        <f t="shared" si="123"/>
        <v>0</v>
      </c>
      <c r="CI60" s="3276"/>
      <c r="CJ60" s="3283"/>
      <c r="CK60" s="3283"/>
      <c r="CL60" s="3274">
        <f t="shared" si="153"/>
        <v>0</v>
      </c>
      <c r="CM60" s="3284">
        <f t="shared" si="124"/>
        <v>0</v>
      </c>
      <c r="CN60" s="3276"/>
      <c r="CO60" s="3283"/>
      <c r="CP60" s="3283"/>
      <c r="CQ60" s="3274">
        <f t="shared" si="154"/>
        <v>0</v>
      </c>
      <c r="CR60" s="3284">
        <f t="shared" si="125"/>
        <v>0</v>
      </c>
      <c r="CS60" s="3276"/>
      <c r="CT60" s="3283"/>
      <c r="CU60" s="3283"/>
      <c r="CV60" s="3274">
        <f t="shared" si="155"/>
        <v>0</v>
      </c>
      <c r="CW60" s="3284">
        <f t="shared" si="126"/>
        <v>0</v>
      </c>
      <c r="CX60" s="3276"/>
      <c r="CY60" s="3283"/>
      <c r="CZ60" s="3283"/>
      <c r="DA60" s="3274">
        <f t="shared" si="156"/>
        <v>0</v>
      </c>
      <c r="DB60" s="3284">
        <f t="shared" si="127"/>
        <v>0</v>
      </c>
      <c r="DC60" s="3276"/>
      <c r="DD60" s="3283"/>
      <c r="DE60" s="3283"/>
      <c r="DF60" s="3274">
        <f t="shared" si="157"/>
        <v>0</v>
      </c>
      <c r="DG60" s="3284">
        <f t="shared" si="128"/>
        <v>0</v>
      </c>
      <c r="DH60" s="3500"/>
      <c r="DI60" s="3398"/>
      <c r="DJ60" s="3283"/>
      <c r="DK60" s="3274">
        <f t="shared" si="158"/>
        <v>0</v>
      </c>
      <c r="DL60" s="3284">
        <f t="shared" si="129"/>
        <v>0</v>
      </c>
      <c r="DM60" s="3500"/>
      <c r="DN60" s="3288"/>
      <c r="DO60" s="3283"/>
      <c r="DP60" s="3274">
        <f t="shared" si="159"/>
        <v>0</v>
      </c>
      <c r="DQ60" s="3284">
        <f t="shared" si="130"/>
        <v>0</v>
      </c>
      <c r="DR60" s="3276"/>
      <c r="DS60" s="3398"/>
      <c r="DT60" s="3283"/>
      <c r="DU60" s="3274"/>
      <c r="DV60" s="3284">
        <f t="shared" si="131"/>
        <v>0</v>
      </c>
      <c r="DW60" s="3276"/>
      <c r="DX60" s="3417">
        <f t="shared" si="161"/>
        <v>0</v>
      </c>
      <c r="DY60" s="3417">
        <f t="shared" si="161"/>
        <v>0</v>
      </c>
      <c r="DZ60" s="3283">
        <f t="shared" si="162"/>
        <v>0</v>
      </c>
      <c r="EA60" s="3284" t="e">
        <f t="shared" si="132"/>
        <v>#DIV/0!</v>
      </c>
      <c r="EB60" s="3295"/>
      <c r="ED60" s="3288"/>
      <c r="EE60" s="3501">
        <f t="shared" si="163"/>
        <v>0</v>
      </c>
    </row>
    <row r="61" spans="1:136" ht="13.8" x14ac:dyDescent="0.25">
      <c r="A61" s="1586"/>
      <c r="B61" s="3649" t="s">
        <v>32</v>
      </c>
      <c r="C61" s="3622"/>
      <c r="D61" s="3531"/>
      <c r="E61" s="1074">
        <f t="shared" si="133"/>
        <v>0</v>
      </c>
      <c r="F61" s="3284">
        <f t="shared" si="51"/>
        <v>0</v>
      </c>
      <c r="G61" s="3237"/>
      <c r="H61" s="3274">
        <v>0</v>
      </c>
      <c r="I61" s="3274">
        <v>0</v>
      </c>
      <c r="J61" s="2028">
        <f t="shared" si="134"/>
        <v>0</v>
      </c>
      <c r="K61" s="3284">
        <f t="shared" si="117"/>
        <v>0</v>
      </c>
      <c r="L61" s="3295"/>
      <c r="M61" s="3512">
        <v>0</v>
      </c>
      <c r="N61" s="3512">
        <v>0</v>
      </c>
      <c r="O61" s="3498">
        <v>0</v>
      </c>
      <c r="P61" s="3523">
        <v>0</v>
      </c>
      <c r="Q61" s="1449"/>
      <c r="R61" s="3512"/>
      <c r="S61" s="3512"/>
      <c r="T61" s="3498">
        <f t="shared" si="135"/>
        <v>0</v>
      </c>
      <c r="U61" s="3523">
        <f t="shared" si="118"/>
        <v>0</v>
      </c>
      <c r="V61" s="3540"/>
      <c r="W61" s="3283"/>
      <c r="X61" s="3283"/>
      <c r="Y61" s="2028">
        <f t="shared" si="136"/>
        <v>0</v>
      </c>
      <c r="Z61" s="3284">
        <f t="shared" si="137"/>
        <v>0</v>
      </c>
      <c r="AA61" s="3295"/>
      <c r="AB61" s="3283"/>
      <c r="AC61" s="3283"/>
      <c r="AD61" s="2028">
        <f t="shared" si="138"/>
        <v>0</v>
      </c>
      <c r="AE61" s="3284">
        <f t="shared" si="119"/>
        <v>0</v>
      </c>
      <c r="AF61" s="3295"/>
      <c r="AG61" s="3398"/>
      <c r="AH61" s="3283"/>
      <c r="AI61" s="1997">
        <f t="shared" si="139"/>
        <v>0</v>
      </c>
      <c r="AJ61" s="3516">
        <f t="shared" si="7"/>
        <v>0</v>
      </c>
      <c r="AK61" s="3295"/>
      <c r="AL61" s="3283"/>
      <c r="AM61" s="3283"/>
      <c r="AN61" s="1997">
        <f t="shared" si="140"/>
        <v>0</v>
      </c>
      <c r="AO61" s="3516">
        <f t="shared" si="141"/>
        <v>0</v>
      </c>
      <c r="AP61" s="3275"/>
      <c r="AQ61" s="3274"/>
      <c r="AR61" s="3288"/>
      <c r="AS61" s="1997">
        <f t="shared" si="142"/>
        <v>0</v>
      </c>
      <c r="AT61" s="3516">
        <f t="shared" si="143"/>
        <v>0</v>
      </c>
      <c r="AU61" s="3275"/>
      <c r="AV61" s="1326"/>
      <c r="AW61" s="1326"/>
      <c r="AX61" s="1997">
        <f t="shared" si="144"/>
        <v>0</v>
      </c>
      <c r="AY61" s="3516">
        <f t="shared" si="145"/>
        <v>0</v>
      </c>
      <c r="AZ61" s="1449"/>
      <c r="BA61" s="1074"/>
      <c r="BB61" s="1326">
        <v>188916.67</v>
      </c>
      <c r="BC61" s="1997">
        <f t="shared" si="146"/>
        <v>188916.67</v>
      </c>
      <c r="BD61" s="3518">
        <f t="shared" si="34"/>
        <v>2.7860220673912424E-2</v>
      </c>
      <c r="BE61" s="1875"/>
      <c r="BF61" s="3288">
        <v>0</v>
      </c>
      <c r="BG61" s="3274">
        <v>663000</v>
      </c>
      <c r="BH61" s="2028">
        <v>663000</v>
      </c>
      <c r="BI61" s="3284">
        <v>0.51110554986028034</v>
      </c>
      <c r="BJ61" s="3276"/>
      <c r="BK61" s="3288">
        <f t="shared" si="147"/>
        <v>0</v>
      </c>
      <c r="BL61" s="3274">
        <f t="shared" si="147"/>
        <v>0</v>
      </c>
      <c r="BM61" s="2028">
        <f t="shared" si="148"/>
        <v>0</v>
      </c>
      <c r="BN61" s="3284">
        <f t="shared" si="120"/>
        <v>0</v>
      </c>
      <c r="BO61" s="3276"/>
      <c r="BP61" s="1074"/>
      <c r="BQ61" s="1326"/>
      <c r="BR61" s="1997">
        <f t="shared" si="149"/>
        <v>0</v>
      </c>
      <c r="BS61" s="3426">
        <f t="shared" si="37"/>
        <v>0</v>
      </c>
      <c r="BT61" s="1875"/>
      <c r="BU61" s="3283"/>
      <c r="BV61" s="3283"/>
      <c r="BW61" s="2028">
        <f t="shared" si="150"/>
        <v>0</v>
      </c>
      <c r="BX61" s="3284">
        <f t="shared" si="121"/>
        <v>0</v>
      </c>
      <c r="BY61" s="3295"/>
      <c r="BZ61" s="3283"/>
      <c r="CA61" s="3283"/>
      <c r="CB61" s="2028">
        <f t="shared" si="151"/>
        <v>0</v>
      </c>
      <c r="CC61" s="3284">
        <f t="shared" si="122"/>
        <v>0</v>
      </c>
      <c r="CD61" s="3276"/>
      <c r="CE61" s="3283"/>
      <c r="CF61" s="3283"/>
      <c r="CG61" s="3283">
        <f t="shared" si="152"/>
        <v>0</v>
      </c>
      <c r="CH61" s="3284">
        <f t="shared" si="123"/>
        <v>0</v>
      </c>
      <c r="CI61" s="3276"/>
      <c r="CJ61" s="3283"/>
      <c r="CK61" s="3283"/>
      <c r="CL61" s="3274">
        <f t="shared" si="153"/>
        <v>0</v>
      </c>
      <c r="CM61" s="3284">
        <f t="shared" si="124"/>
        <v>0</v>
      </c>
      <c r="CN61" s="3276"/>
      <c r="CO61" s="3283"/>
      <c r="CP61" s="3283"/>
      <c r="CQ61" s="3274">
        <f t="shared" si="154"/>
        <v>0</v>
      </c>
      <c r="CR61" s="3284">
        <f t="shared" si="125"/>
        <v>0</v>
      </c>
      <c r="CS61" s="3276"/>
      <c r="CT61" s="3283"/>
      <c r="CU61" s="3283"/>
      <c r="CV61" s="3274">
        <f t="shared" si="155"/>
        <v>0</v>
      </c>
      <c r="CW61" s="3284">
        <f t="shared" si="126"/>
        <v>0</v>
      </c>
      <c r="CX61" s="3276"/>
      <c r="CY61" s="3283"/>
      <c r="CZ61" s="3283"/>
      <c r="DA61" s="3274">
        <f t="shared" si="156"/>
        <v>0</v>
      </c>
      <c r="DB61" s="3284">
        <f t="shared" si="127"/>
        <v>0</v>
      </c>
      <c r="DC61" s="3276"/>
      <c r="DD61" s="3283"/>
      <c r="DE61" s="3283"/>
      <c r="DF61" s="3274">
        <f t="shared" si="157"/>
        <v>0</v>
      </c>
      <c r="DG61" s="3284">
        <f t="shared" si="128"/>
        <v>0</v>
      </c>
      <c r="DH61" s="3500"/>
      <c r="DI61" s="3398"/>
      <c r="DJ61" s="3283"/>
      <c r="DK61" s="3274">
        <f t="shared" si="158"/>
        <v>0</v>
      </c>
      <c r="DL61" s="3284">
        <f t="shared" si="129"/>
        <v>0</v>
      </c>
      <c r="DM61" s="3500"/>
      <c r="DN61" s="3398"/>
      <c r="DO61" s="3283"/>
      <c r="DP61" s="3274">
        <f t="shared" si="159"/>
        <v>0</v>
      </c>
      <c r="DQ61" s="3284">
        <f t="shared" si="130"/>
        <v>0</v>
      </c>
      <c r="DR61" s="3276"/>
      <c r="DS61" s="3398"/>
      <c r="DT61" s="3283"/>
      <c r="DU61" s="3274">
        <f t="shared" si="160"/>
        <v>0</v>
      </c>
      <c r="DV61" s="3284">
        <f t="shared" si="131"/>
        <v>0</v>
      </c>
      <c r="DW61" s="3276"/>
      <c r="DX61" s="3417">
        <f t="shared" si="161"/>
        <v>0</v>
      </c>
      <c r="DY61" s="3417">
        <f t="shared" si="161"/>
        <v>851916.67</v>
      </c>
      <c r="DZ61" s="3283">
        <f t="shared" si="162"/>
        <v>851916.67</v>
      </c>
      <c r="EA61" s="3284" t="e">
        <f t="shared" si="132"/>
        <v>#DIV/0!</v>
      </c>
      <c r="EB61" s="3295"/>
      <c r="ED61" s="1359">
        <v>713000</v>
      </c>
      <c r="EE61" s="3501">
        <f t="shared" si="163"/>
        <v>713000</v>
      </c>
      <c r="EF61" s="3262" t="s">
        <v>2112</v>
      </c>
    </row>
    <row r="62" spans="1:136" ht="30.6" customHeight="1" x14ac:dyDescent="0.25">
      <c r="A62" s="1586"/>
      <c r="B62" s="3649" t="s">
        <v>33</v>
      </c>
      <c r="C62" s="3622"/>
      <c r="D62" s="3531"/>
      <c r="E62" s="1074">
        <f t="shared" si="133"/>
        <v>0</v>
      </c>
      <c r="F62" s="3284">
        <f t="shared" si="51"/>
        <v>0</v>
      </c>
      <c r="G62" s="3237"/>
      <c r="H62" s="3274">
        <v>0</v>
      </c>
      <c r="I62" s="3274">
        <v>0</v>
      </c>
      <c r="J62" s="2028">
        <f t="shared" si="134"/>
        <v>0</v>
      </c>
      <c r="K62" s="3284">
        <f t="shared" si="117"/>
        <v>0</v>
      </c>
      <c r="L62" s="3295"/>
      <c r="M62" s="3512">
        <v>0</v>
      </c>
      <c r="N62" s="3512">
        <v>0</v>
      </c>
      <c r="O62" s="3498">
        <v>0</v>
      </c>
      <c r="P62" s="3523">
        <v>0</v>
      </c>
      <c r="Q62" s="1449"/>
      <c r="R62" s="3512">
        <f>1000*1.2+212.5*1.2</f>
        <v>1455</v>
      </c>
      <c r="S62" s="3512"/>
      <c r="T62" s="3498">
        <f t="shared" si="135"/>
        <v>1455</v>
      </c>
      <c r="U62" s="3523">
        <f t="shared" si="118"/>
        <v>1.1216569759377193E-3</v>
      </c>
      <c r="V62" s="3543" t="s">
        <v>1003</v>
      </c>
      <c r="W62" s="3283">
        <v>2112</v>
      </c>
      <c r="X62" s="3283">
        <v>950</v>
      </c>
      <c r="Y62" s="2028">
        <f t="shared" si="136"/>
        <v>3062</v>
      </c>
      <c r="Z62" s="3284">
        <f t="shared" si="137"/>
        <v>2.3604904881933311E-3</v>
      </c>
      <c r="AA62" s="3295" t="s">
        <v>1028</v>
      </c>
      <c r="AB62" s="3283"/>
      <c r="AC62" s="3283"/>
      <c r="AD62" s="2028">
        <f t="shared" si="138"/>
        <v>0</v>
      </c>
      <c r="AE62" s="3284">
        <f t="shared" si="119"/>
        <v>0</v>
      </c>
      <c r="AF62" s="3295"/>
      <c r="AG62" s="3398">
        <f>720+720+835</f>
        <v>2275</v>
      </c>
      <c r="AH62" s="3283"/>
      <c r="AI62" s="1997">
        <f t="shared" si="139"/>
        <v>2275</v>
      </c>
      <c r="AJ62" s="3516">
        <f t="shared" si="7"/>
        <v>2.1031975172818105E-3</v>
      </c>
      <c r="AK62" s="3390" t="s">
        <v>1214</v>
      </c>
      <c r="AL62" s="3283">
        <v>720</v>
      </c>
      <c r="AM62" s="3283"/>
      <c r="AN62" s="1997">
        <f t="shared" si="140"/>
        <v>720</v>
      </c>
      <c r="AO62" s="3516">
        <f t="shared" si="141"/>
        <v>1.5842325571476128E-4</v>
      </c>
      <c r="AP62" s="3275" t="s">
        <v>1299</v>
      </c>
      <c r="AQ62" s="3274">
        <v>720</v>
      </c>
      <c r="AR62" s="3288">
        <v>1907.58</v>
      </c>
      <c r="AS62" s="1997">
        <f t="shared" si="142"/>
        <v>2627.58</v>
      </c>
      <c r="AT62" s="3516">
        <f t="shared" si="143"/>
        <v>4.167178234917412E-4</v>
      </c>
      <c r="AU62" s="3275" t="s">
        <v>1322</v>
      </c>
      <c r="AV62" s="1326">
        <v>2627.58</v>
      </c>
      <c r="AW62" s="1326"/>
      <c r="AX62" s="1997">
        <f t="shared" si="144"/>
        <v>2627.58</v>
      </c>
      <c r="AY62" s="3516">
        <f t="shared" si="145"/>
        <v>4.167178234917412E-4</v>
      </c>
      <c r="AZ62" s="1449" t="s">
        <v>1448</v>
      </c>
      <c r="BA62" s="1074">
        <f>720+247.5</f>
        <v>967.5</v>
      </c>
      <c r="BB62" s="1326"/>
      <c r="BC62" s="1997">
        <f t="shared" si="146"/>
        <v>967.5</v>
      </c>
      <c r="BD62" s="3518">
        <f t="shared" si="34"/>
        <v>1.4268070415390165E-4</v>
      </c>
      <c r="BE62" s="3519" t="s">
        <v>1528</v>
      </c>
      <c r="BF62" s="3288">
        <v>45591.14</v>
      </c>
      <c r="BG62" s="3274">
        <v>0</v>
      </c>
      <c r="BH62" s="2028">
        <v>45591.14</v>
      </c>
      <c r="BI62" s="3284">
        <v>3.5146130736737585E-2</v>
      </c>
      <c r="BJ62" s="3276"/>
      <c r="BK62" s="3288">
        <f t="shared" si="147"/>
        <v>0</v>
      </c>
      <c r="BL62" s="3274">
        <f t="shared" si="147"/>
        <v>0</v>
      </c>
      <c r="BM62" s="2028">
        <f t="shared" si="148"/>
        <v>0</v>
      </c>
      <c r="BN62" s="3284">
        <f t="shared" si="120"/>
        <v>0</v>
      </c>
      <c r="BO62" s="3276"/>
      <c r="BP62" s="1074"/>
      <c r="BQ62" s="1326"/>
      <c r="BR62" s="1997">
        <f t="shared" si="149"/>
        <v>0</v>
      </c>
      <c r="BS62" s="3426">
        <f t="shared" si="37"/>
        <v>0</v>
      </c>
      <c r="BT62" s="3519"/>
      <c r="BU62" s="3283"/>
      <c r="BV62" s="3283"/>
      <c r="BW62" s="2028">
        <f t="shared" si="150"/>
        <v>0</v>
      </c>
      <c r="BX62" s="3284">
        <f t="shared" si="121"/>
        <v>0</v>
      </c>
      <c r="BY62" s="2134"/>
      <c r="BZ62" s="3283"/>
      <c r="CA62" s="3283"/>
      <c r="CB62" s="2028">
        <f t="shared" si="151"/>
        <v>0</v>
      </c>
      <c r="CC62" s="3284">
        <f t="shared" si="122"/>
        <v>0</v>
      </c>
      <c r="CD62" s="3276"/>
      <c r="CE62" s="3283"/>
      <c r="CF62" s="3283"/>
      <c r="CG62" s="3283">
        <f t="shared" si="152"/>
        <v>0</v>
      </c>
      <c r="CH62" s="3284">
        <f t="shared" si="123"/>
        <v>0</v>
      </c>
      <c r="CI62" s="3276"/>
      <c r="CJ62" s="3283"/>
      <c r="CK62" s="3283"/>
      <c r="CL62" s="3274">
        <f t="shared" si="153"/>
        <v>0</v>
      </c>
      <c r="CM62" s="3284">
        <f t="shared" si="124"/>
        <v>0</v>
      </c>
      <c r="CN62" s="3276"/>
      <c r="CO62" s="3283"/>
      <c r="CP62" s="3283"/>
      <c r="CQ62" s="3274">
        <f t="shared" si="154"/>
        <v>0</v>
      </c>
      <c r="CR62" s="3284">
        <f t="shared" si="125"/>
        <v>0</v>
      </c>
      <c r="CS62" s="3276"/>
      <c r="CT62" s="3283"/>
      <c r="CU62" s="3283"/>
      <c r="CV62" s="3274">
        <f t="shared" si="155"/>
        <v>0</v>
      </c>
      <c r="CW62" s="3284">
        <f t="shared" si="126"/>
        <v>0</v>
      </c>
      <c r="CX62" s="3276"/>
      <c r="CY62" s="3283"/>
      <c r="CZ62" s="3283"/>
      <c r="DA62" s="3274">
        <f t="shared" si="156"/>
        <v>0</v>
      </c>
      <c r="DB62" s="3284">
        <f t="shared" si="127"/>
        <v>0</v>
      </c>
      <c r="DC62" s="3276"/>
      <c r="DD62" s="3283"/>
      <c r="DE62" s="3283"/>
      <c r="DF62" s="3274">
        <f t="shared" si="157"/>
        <v>0</v>
      </c>
      <c r="DG62" s="3284">
        <f t="shared" si="128"/>
        <v>0</v>
      </c>
      <c r="DH62" s="3500"/>
      <c r="DI62" s="3398"/>
      <c r="DJ62" s="3283"/>
      <c r="DK62" s="3274">
        <f t="shared" si="158"/>
        <v>0</v>
      </c>
      <c r="DL62" s="3284">
        <f t="shared" si="129"/>
        <v>0</v>
      </c>
      <c r="DM62" s="3500"/>
      <c r="DN62" s="3398"/>
      <c r="DO62" s="3283"/>
      <c r="DP62" s="3274">
        <f t="shared" si="159"/>
        <v>0</v>
      </c>
      <c r="DQ62" s="3284">
        <f t="shared" si="130"/>
        <v>0</v>
      </c>
      <c r="DR62" s="3500"/>
      <c r="DS62" s="3398"/>
      <c r="DT62" s="3283"/>
      <c r="DU62" s="3274">
        <f t="shared" si="160"/>
        <v>0</v>
      </c>
      <c r="DV62" s="3284">
        <f t="shared" si="131"/>
        <v>0</v>
      </c>
      <c r="DW62" s="3542"/>
      <c r="DX62" s="3417">
        <f t="shared" si="161"/>
        <v>56468.22</v>
      </c>
      <c r="DY62" s="3417">
        <f t="shared" si="161"/>
        <v>2857.58</v>
      </c>
      <c r="DZ62" s="3283">
        <f t="shared" si="162"/>
        <v>59325.8</v>
      </c>
      <c r="EA62" s="3284" t="e">
        <f t="shared" si="132"/>
        <v>#DIV/0!</v>
      </c>
      <c r="EB62" s="3295"/>
      <c r="ED62" s="1359">
        <v>41990.84</v>
      </c>
      <c r="EE62" s="3501">
        <f t="shared" si="163"/>
        <v>41990.84</v>
      </c>
      <c r="EF62" s="3262"/>
    </row>
    <row r="63" spans="1:136" ht="47.4" customHeight="1" x14ac:dyDescent="0.25">
      <c r="A63" s="1586"/>
      <c r="B63" s="3310" t="s">
        <v>35</v>
      </c>
      <c r="C63" s="3621"/>
      <c r="D63" s="3531"/>
      <c r="E63" s="1074">
        <f t="shared" si="133"/>
        <v>0</v>
      </c>
      <c r="F63" s="3284">
        <f t="shared" si="51"/>
        <v>0</v>
      </c>
      <c r="G63" s="3237"/>
      <c r="H63" s="3274">
        <v>19356.13</v>
      </c>
      <c r="I63" s="3274">
        <v>746.8</v>
      </c>
      <c r="J63" s="2028">
        <f t="shared" si="134"/>
        <v>20102.93</v>
      </c>
      <c r="K63" s="3284">
        <f t="shared" si="117"/>
        <v>1.5818593667560198E-3</v>
      </c>
      <c r="L63" s="3295"/>
      <c r="M63" s="3512">
        <v>4309.4399999999996</v>
      </c>
      <c r="N63" s="3512">
        <v>610</v>
      </c>
      <c r="O63" s="3498">
        <v>4919.4399999999996</v>
      </c>
      <c r="P63" s="3523">
        <v>2.5524483235389681E-4</v>
      </c>
      <c r="Q63" s="1449"/>
      <c r="R63" s="3512"/>
      <c r="S63" s="3512"/>
      <c r="T63" s="3498">
        <f t="shared" si="135"/>
        <v>0</v>
      </c>
      <c r="U63" s="3523">
        <f t="shared" si="118"/>
        <v>0</v>
      </c>
      <c r="V63" s="3540"/>
      <c r="W63" s="3283"/>
      <c r="X63" s="3283"/>
      <c r="Y63" s="2028">
        <f t="shared" si="136"/>
        <v>0</v>
      </c>
      <c r="Z63" s="3284">
        <f t="shared" si="137"/>
        <v>0</v>
      </c>
      <c r="AA63" s="3295"/>
      <c r="AB63" s="3283">
        <v>15502</v>
      </c>
      <c r="AC63" s="3283"/>
      <c r="AD63" s="2028">
        <f t="shared" si="138"/>
        <v>15502</v>
      </c>
      <c r="AE63" s="3284">
        <f t="shared" si="119"/>
        <v>1.8495578668558704E-2</v>
      </c>
      <c r="AF63" s="3390" t="s">
        <v>1084</v>
      </c>
      <c r="AG63" s="3398"/>
      <c r="AH63" s="3283"/>
      <c r="AI63" s="1997">
        <f t="shared" si="139"/>
        <v>0</v>
      </c>
      <c r="AJ63" s="3516">
        <f t="shared" si="7"/>
        <v>0</v>
      </c>
      <c r="AK63" s="3390"/>
      <c r="AL63" s="3283"/>
      <c r="AM63" s="3275"/>
      <c r="AN63" s="1997">
        <f t="shared" si="140"/>
        <v>0</v>
      </c>
      <c r="AO63" s="3516">
        <f t="shared" si="141"/>
        <v>0</v>
      </c>
      <c r="AP63" s="3275"/>
      <c r="AQ63" s="3274">
        <f>19970.74+8891.85</f>
        <v>28862.590000000004</v>
      </c>
      <c r="AR63" s="3288"/>
      <c r="AS63" s="1997">
        <f t="shared" si="142"/>
        <v>28862.590000000004</v>
      </c>
      <c r="AT63" s="3516">
        <f t="shared" si="143"/>
        <v>4.5774270184483429E-3</v>
      </c>
      <c r="AU63" s="3275" t="s">
        <v>1355</v>
      </c>
      <c r="AV63" s="1335">
        <v>20705.900000000001</v>
      </c>
      <c r="AW63" s="1335"/>
      <c r="AX63" s="1997">
        <f t="shared" si="144"/>
        <v>20705.900000000001</v>
      </c>
      <c r="AY63" s="3516">
        <f t="shared" si="145"/>
        <v>3.2838267841274653E-3</v>
      </c>
      <c r="AZ63" s="1596" t="s">
        <v>1449</v>
      </c>
      <c r="BA63" s="1879">
        <v>10547.46</v>
      </c>
      <c r="BB63" s="1335"/>
      <c r="BC63" s="1997">
        <f t="shared" si="146"/>
        <v>10547.46</v>
      </c>
      <c r="BD63" s="3518">
        <f t="shared" si="34"/>
        <v>1.5554718551267302E-3</v>
      </c>
      <c r="BE63" s="1876" t="s">
        <v>1537</v>
      </c>
      <c r="BF63" s="3288">
        <v>160146.56</v>
      </c>
      <c r="BG63" s="3274">
        <v>0</v>
      </c>
      <c r="BH63" s="2028">
        <v>160146.56</v>
      </c>
      <c r="BI63" s="3284">
        <v>0.12345670528964159</v>
      </c>
      <c r="BJ63" s="3276"/>
      <c r="BK63" s="3288">
        <f t="shared" si="147"/>
        <v>0</v>
      </c>
      <c r="BL63" s="3274">
        <f t="shared" si="147"/>
        <v>0</v>
      </c>
      <c r="BM63" s="2028">
        <f t="shared" si="148"/>
        <v>0</v>
      </c>
      <c r="BN63" s="3284">
        <f t="shared" si="120"/>
        <v>0</v>
      </c>
      <c r="BO63" s="3276"/>
      <c r="BP63" s="1879"/>
      <c r="BQ63" s="1335"/>
      <c r="BR63" s="1997">
        <f t="shared" si="149"/>
        <v>0</v>
      </c>
      <c r="BS63" s="3426">
        <f t="shared" si="37"/>
        <v>0</v>
      </c>
      <c r="BT63" s="1876"/>
      <c r="BU63" s="3283"/>
      <c r="BV63" s="3283"/>
      <c r="BW63" s="2028">
        <f t="shared" si="150"/>
        <v>0</v>
      </c>
      <c r="BX63" s="3284">
        <f t="shared" si="121"/>
        <v>0</v>
      </c>
      <c r="BY63" s="2134"/>
      <c r="BZ63" s="3285"/>
      <c r="CA63" s="3283"/>
      <c r="CB63" s="2028">
        <f t="shared" si="151"/>
        <v>0</v>
      </c>
      <c r="CC63" s="3284">
        <f t="shared" si="122"/>
        <v>0</v>
      </c>
      <c r="CD63" s="3276"/>
      <c r="CE63" s="3283"/>
      <c r="CF63" s="3283"/>
      <c r="CG63" s="3283">
        <f t="shared" si="152"/>
        <v>0</v>
      </c>
      <c r="CH63" s="3284">
        <f t="shared" si="123"/>
        <v>0</v>
      </c>
      <c r="CI63" s="3276"/>
      <c r="CJ63" s="3283"/>
      <c r="CK63" s="3283"/>
      <c r="CL63" s="3274">
        <f t="shared" si="153"/>
        <v>0</v>
      </c>
      <c r="CM63" s="3284">
        <f t="shared" si="124"/>
        <v>0</v>
      </c>
      <c r="CN63" s="3276"/>
      <c r="CO63" s="3283"/>
      <c r="CP63" s="3283"/>
      <c r="CQ63" s="3274">
        <f t="shared" si="154"/>
        <v>0</v>
      </c>
      <c r="CR63" s="3284">
        <f t="shared" si="125"/>
        <v>0</v>
      </c>
      <c r="CS63" s="3276"/>
      <c r="CT63" s="3283"/>
      <c r="CU63" s="3283"/>
      <c r="CV63" s="3274">
        <f t="shared" si="155"/>
        <v>0</v>
      </c>
      <c r="CW63" s="3284">
        <f t="shared" si="126"/>
        <v>0</v>
      </c>
      <c r="CX63" s="3276"/>
      <c r="CY63" s="3283"/>
      <c r="CZ63" s="3283"/>
      <c r="DA63" s="3274">
        <f t="shared" si="156"/>
        <v>0</v>
      </c>
      <c r="DB63" s="3284">
        <f t="shared" si="127"/>
        <v>0</v>
      </c>
      <c r="DC63" s="3276"/>
      <c r="DD63" s="3283"/>
      <c r="DE63" s="3283"/>
      <c r="DF63" s="3274">
        <f t="shared" si="157"/>
        <v>0</v>
      </c>
      <c r="DG63" s="3284">
        <f t="shared" si="128"/>
        <v>0</v>
      </c>
      <c r="DH63" s="3500"/>
      <c r="DI63" s="3398"/>
      <c r="DJ63" s="3283"/>
      <c r="DK63" s="3274">
        <f t="shared" si="158"/>
        <v>0</v>
      </c>
      <c r="DL63" s="3284">
        <f t="shared" si="129"/>
        <v>0</v>
      </c>
      <c r="DM63" s="3500"/>
      <c r="DN63" s="3398"/>
      <c r="DO63" s="3283"/>
      <c r="DP63" s="3274">
        <f t="shared" si="159"/>
        <v>0</v>
      </c>
      <c r="DQ63" s="3284">
        <f t="shared" si="130"/>
        <v>0</v>
      </c>
      <c r="DR63" s="3500"/>
      <c r="DS63" s="3398"/>
      <c r="DT63" s="3283"/>
      <c r="DU63" s="3274">
        <f t="shared" si="160"/>
        <v>0</v>
      </c>
      <c r="DV63" s="3284">
        <f t="shared" si="131"/>
        <v>0</v>
      </c>
      <c r="DW63" s="3530"/>
      <c r="DX63" s="3417">
        <f t="shared" si="161"/>
        <v>235764.51</v>
      </c>
      <c r="DY63" s="3417">
        <f t="shared" si="161"/>
        <v>0</v>
      </c>
      <c r="DZ63" s="3283">
        <f t="shared" si="162"/>
        <v>235764.51</v>
      </c>
      <c r="EA63" s="3284" t="e">
        <f t="shared" si="132"/>
        <v>#DIV/0!</v>
      </c>
      <c r="EB63" s="3295"/>
      <c r="ED63" s="1359">
        <v>117560.86</v>
      </c>
      <c r="EE63" s="3501">
        <f t="shared" si="163"/>
        <v>117560.86</v>
      </c>
      <c r="EF63" s="3262"/>
    </row>
    <row r="64" spans="1:136" ht="31.2" customHeight="1" x14ac:dyDescent="0.25">
      <c r="A64" s="1586"/>
      <c r="B64" s="3310" t="s">
        <v>63</v>
      </c>
      <c r="C64" s="3621"/>
      <c r="D64" s="3531"/>
      <c r="E64" s="1074">
        <f t="shared" si="133"/>
        <v>0</v>
      </c>
      <c r="F64" s="3284">
        <f t="shared" si="51"/>
        <v>0</v>
      </c>
      <c r="G64" s="3237"/>
      <c r="H64" s="3274">
        <v>0</v>
      </c>
      <c r="I64" s="3274">
        <v>0</v>
      </c>
      <c r="J64" s="2028">
        <f t="shared" si="134"/>
        <v>0</v>
      </c>
      <c r="K64" s="3284">
        <f t="shared" si="117"/>
        <v>0</v>
      </c>
      <c r="L64" s="3295"/>
      <c r="M64" s="3512">
        <v>0</v>
      </c>
      <c r="N64" s="3512">
        <v>0</v>
      </c>
      <c r="O64" s="3498">
        <v>0</v>
      </c>
      <c r="P64" s="3523">
        <v>0</v>
      </c>
      <c r="Q64" s="1449"/>
      <c r="R64" s="3512"/>
      <c r="S64" s="3512"/>
      <c r="T64" s="3498">
        <f t="shared" si="135"/>
        <v>0</v>
      </c>
      <c r="U64" s="3523">
        <f t="shared" si="118"/>
        <v>0</v>
      </c>
      <c r="V64" s="3540"/>
      <c r="W64" s="3283"/>
      <c r="X64" s="3283"/>
      <c r="Y64" s="2028">
        <f t="shared" si="136"/>
        <v>0</v>
      </c>
      <c r="Z64" s="3284">
        <f t="shared" si="137"/>
        <v>0</v>
      </c>
      <c r="AA64" s="3295"/>
      <c r="AB64" s="3283"/>
      <c r="AC64" s="3283"/>
      <c r="AD64" s="2028">
        <f t="shared" si="138"/>
        <v>0</v>
      </c>
      <c r="AE64" s="3284">
        <f t="shared" si="119"/>
        <v>0</v>
      </c>
      <c r="AF64" s="3295"/>
      <c r="AG64" s="3398">
        <f>11409.72+50424</f>
        <v>61833.72</v>
      </c>
      <c r="AH64" s="3283"/>
      <c r="AI64" s="1997">
        <f t="shared" si="139"/>
        <v>61833.72</v>
      </c>
      <c r="AJ64" s="3516">
        <f t="shared" si="7"/>
        <v>5.7164187423427965E-2</v>
      </c>
      <c r="AK64" s="3390" t="s">
        <v>1215</v>
      </c>
      <c r="AL64" s="3283">
        <f>27775.55+50424</f>
        <v>78199.55</v>
      </c>
      <c r="AM64" s="3275">
        <v>100</v>
      </c>
      <c r="AN64" s="1997">
        <f t="shared" si="140"/>
        <v>78299.55</v>
      </c>
      <c r="AO64" s="3516">
        <f t="shared" si="141"/>
        <v>1.7228430044445468E-2</v>
      </c>
      <c r="AP64" s="3275" t="s">
        <v>1300</v>
      </c>
      <c r="AQ64" s="3274"/>
      <c r="AR64" s="3288"/>
      <c r="AS64" s="1997">
        <f t="shared" si="142"/>
        <v>0</v>
      </c>
      <c r="AT64" s="3516">
        <f t="shared" si="143"/>
        <v>0</v>
      </c>
      <c r="AU64" s="3275"/>
      <c r="AV64" s="1326">
        <v>143920.76999999999</v>
      </c>
      <c r="AW64" s="1326"/>
      <c r="AX64" s="1997">
        <f t="shared" si="144"/>
        <v>143920.76999999999</v>
      </c>
      <c r="AY64" s="3516">
        <f t="shared" si="145"/>
        <v>2.2824937786729799E-2</v>
      </c>
      <c r="AZ64" s="1596" t="s">
        <v>1450</v>
      </c>
      <c r="BA64" s="1074">
        <f>100848+26302.71</f>
        <v>127150.70999999999</v>
      </c>
      <c r="BB64" s="1326"/>
      <c r="BC64" s="1997">
        <f t="shared" si="146"/>
        <v>127150.70999999999</v>
      </c>
      <c r="BD64" s="3518">
        <f t="shared" si="34"/>
        <v>1.8751372440794362E-2</v>
      </c>
      <c r="BE64" s="3519" t="s">
        <v>1529</v>
      </c>
      <c r="BF64" s="3288">
        <v>1500088.1600000001</v>
      </c>
      <c r="BG64" s="3274">
        <v>0</v>
      </c>
      <c r="BH64" s="2028">
        <v>1500088.1600000001</v>
      </c>
      <c r="BI64" s="3284">
        <v>1.1564153602650018</v>
      </c>
      <c r="BJ64" s="3276"/>
      <c r="BK64" s="3288">
        <f t="shared" si="147"/>
        <v>0</v>
      </c>
      <c r="BL64" s="3274">
        <f t="shared" si="147"/>
        <v>0</v>
      </c>
      <c r="BM64" s="2028">
        <f t="shared" si="148"/>
        <v>0</v>
      </c>
      <c r="BN64" s="3284">
        <f t="shared" si="120"/>
        <v>0</v>
      </c>
      <c r="BO64" s="3276"/>
      <c r="BP64" s="1074"/>
      <c r="BQ64" s="1326"/>
      <c r="BR64" s="1997">
        <f t="shared" si="149"/>
        <v>0</v>
      </c>
      <c r="BS64" s="3426">
        <f t="shared" si="37"/>
        <v>0</v>
      </c>
      <c r="BT64" s="3519"/>
      <c r="BU64" s="3283"/>
      <c r="BV64" s="3283"/>
      <c r="BW64" s="2028">
        <f t="shared" si="150"/>
        <v>0</v>
      </c>
      <c r="BX64" s="3284">
        <f t="shared" si="121"/>
        <v>0</v>
      </c>
      <c r="BY64" s="3529"/>
      <c r="BZ64" s="3283"/>
      <c r="CA64" s="3283"/>
      <c r="CB64" s="2028">
        <f t="shared" si="151"/>
        <v>0</v>
      </c>
      <c r="CC64" s="3284">
        <f t="shared" si="122"/>
        <v>0</v>
      </c>
      <c r="CD64" s="3276"/>
      <c r="CE64" s="3283"/>
      <c r="CF64" s="3283"/>
      <c r="CG64" s="3283">
        <f t="shared" si="152"/>
        <v>0</v>
      </c>
      <c r="CH64" s="3284">
        <f t="shared" si="123"/>
        <v>0</v>
      </c>
      <c r="CI64" s="3276"/>
      <c r="CJ64" s="3283"/>
      <c r="CK64" s="3283"/>
      <c r="CL64" s="3274">
        <f t="shared" si="153"/>
        <v>0</v>
      </c>
      <c r="CM64" s="3284">
        <f t="shared" si="124"/>
        <v>0</v>
      </c>
      <c r="CN64" s="3276"/>
      <c r="CO64" s="3283"/>
      <c r="CP64" s="3283"/>
      <c r="CQ64" s="3274">
        <f t="shared" si="154"/>
        <v>0</v>
      </c>
      <c r="CR64" s="3284">
        <f t="shared" si="125"/>
        <v>0</v>
      </c>
      <c r="CS64" s="3276"/>
      <c r="CT64" s="3283"/>
      <c r="CU64" s="3283"/>
      <c r="CV64" s="3274">
        <f t="shared" si="155"/>
        <v>0</v>
      </c>
      <c r="CW64" s="3284">
        <f t="shared" si="126"/>
        <v>0</v>
      </c>
      <c r="CX64" s="3276"/>
      <c r="CY64" s="3283"/>
      <c r="CZ64" s="3283"/>
      <c r="DA64" s="3274">
        <f t="shared" si="156"/>
        <v>0</v>
      </c>
      <c r="DB64" s="3284">
        <f t="shared" si="127"/>
        <v>0</v>
      </c>
      <c r="DC64" s="3276"/>
      <c r="DD64" s="3283"/>
      <c r="DE64" s="3283"/>
      <c r="DF64" s="3274">
        <f t="shared" si="157"/>
        <v>0</v>
      </c>
      <c r="DG64" s="3284">
        <f t="shared" si="128"/>
        <v>0</v>
      </c>
      <c r="DH64" s="3500"/>
      <c r="DI64" s="3398"/>
      <c r="DJ64" s="3283"/>
      <c r="DK64" s="3274">
        <f t="shared" si="158"/>
        <v>0</v>
      </c>
      <c r="DL64" s="3284">
        <f t="shared" si="129"/>
        <v>0</v>
      </c>
      <c r="DM64" s="3500"/>
      <c r="DN64" s="3398"/>
      <c r="DO64" s="3283"/>
      <c r="DP64" s="3274">
        <f t="shared" si="159"/>
        <v>0</v>
      </c>
      <c r="DQ64" s="3284">
        <f t="shared" si="130"/>
        <v>0</v>
      </c>
      <c r="DR64" s="3500"/>
      <c r="DS64" s="3398"/>
      <c r="DT64" s="3283"/>
      <c r="DU64" s="3274">
        <f t="shared" si="160"/>
        <v>0</v>
      </c>
      <c r="DV64" s="3284">
        <f t="shared" si="131"/>
        <v>0</v>
      </c>
      <c r="DW64" s="3530"/>
      <c r="DX64" s="3417">
        <f t="shared" si="161"/>
        <v>1911192.9100000001</v>
      </c>
      <c r="DY64" s="3417">
        <f t="shared" si="161"/>
        <v>100</v>
      </c>
      <c r="DZ64" s="3283">
        <f t="shared" si="162"/>
        <v>1911292.9100000001</v>
      </c>
      <c r="EA64" s="3284" t="e">
        <f t="shared" si="132"/>
        <v>#DIV/0!</v>
      </c>
      <c r="EB64" s="3295"/>
      <c r="ED64" s="1359">
        <v>1397096</v>
      </c>
      <c r="EE64" s="3501">
        <f t="shared" si="163"/>
        <v>1397096</v>
      </c>
      <c r="EF64" s="3262" t="s">
        <v>2113</v>
      </c>
    </row>
    <row r="65" spans="1:136" ht="57" customHeight="1" x14ac:dyDescent="0.25">
      <c r="A65" s="1586"/>
      <c r="B65" s="3310" t="s">
        <v>36</v>
      </c>
      <c r="C65" s="3621"/>
      <c r="D65" s="3531"/>
      <c r="E65" s="1074">
        <f t="shared" si="133"/>
        <v>0</v>
      </c>
      <c r="F65" s="3284">
        <f t="shared" si="51"/>
        <v>0</v>
      </c>
      <c r="G65" s="3237"/>
      <c r="H65" s="3274">
        <v>910</v>
      </c>
      <c r="I65" s="3274">
        <v>43713</v>
      </c>
      <c r="J65" s="2028">
        <f t="shared" si="134"/>
        <v>44623</v>
      </c>
      <c r="K65" s="3284">
        <f t="shared" si="117"/>
        <v>3.511294648230575E-3</v>
      </c>
      <c r="L65" s="3295"/>
      <c r="M65" s="3497">
        <v>0</v>
      </c>
      <c r="N65" s="3497">
        <v>0</v>
      </c>
      <c r="O65" s="3498">
        <v>0</v>
      </c>
      <c r="P65" s="3523">
        <v>0</v>
      </c>
      <c r="Q65" s="1449"/>
      <c r="R65" s="3497"/>
      <c r="S65" s="3497"/>
      <c r="T65" s="3498">
        <f t="shared" si="135"/>
        <v>0</v>
      </c>
      <c r="U65" s="3523">
        <f t="shared" si="118"/>
        <v>0</v>
      </c>
      <c r="V65" s="3540"/>
      <c r="W65" s="3274"/>
      <c r="X65" s="3274"/>
      <c r="Y65" s="2028">
        <f t="shared" si="136"/>
        <v>0</v>
      </c>
      <c r="Z65" s="3284">
        <f t="shared" si="137"/>
        <v>0</v>
      </c>
      <c r="AA65" s="3295"/>
      <c r="AB65" s="3274"/>
      <c r="AC65" s="3274"/>
      <c r="AD65" s="2028">
        <f t="shared" si="138"/>
        <v>0</v>
      </c>
      <c r="AE65" s="3284">
        <f t="shared" si="119"/>
        <v>0</v>
      </c>
      <c r="AF65" s="3295"/>
      <c r="AG65" s="3288"/>
      <c r="AH65" s="3274">
        <v>1120</v>
      </c>
      <c r="AI65" s="1997">
        <f t="shared" si="139"/>
        <v>1120</v>
      </c>
      <c r="AJ65" s="3516">
        <f t="shared" si="7"/>
        <v>1.0354203162002758E-3</v>
      </c>
      <c r="AK65" s="3390" t="s">
        <v>1216</v>
      </c>
      <c r="AL65" s="3274"/>
      <c r="AM65" s="3274"/>
      <c r="AN65" s="1997">
        <f t="shared" si="140"/>
        <v>0</v>
      </c>
      <c r="AO65" s="3516">
        <f t="shared" si="141"/>
        <v>0</v>
      </c>
      <c r="AP65" s="3295"/>
      <c r="AQ65" s="3274"/>
      <c r="AR65" s="3288"/>
      <c r="AS65" s="1997">
        <f t="shared" si="142"/>
        <v>0</v>
      </c>
      <c r="AT65" s="3516">
        <f t="shared" si="143"/>
        <v>0</v>
      </c>
      <c r="AU65" s="3275"/>
      <c r="AV65" s="1326"/>
      <c r="AW65" s="1326"/>
      <c r="AX65" s="1997">
        <f t="shared" si="144"/>
        <v>0</v>
      </c>
      <c r="AY65" s="3516">
        <f t="shared" si="145"/>
        <v>0</v>
      </c>
      <c r="AZ65" s="1449"/>
      <c r="BA65" s="1074"/>
      <c r="BB65" s="1326"/>
      <c r="BC65" s="1997">
        <f t="shared" si="146"/>
        <v>0</v>
      </c>
      <c r="BD65" s="3518">
        <f t="shared" si="34"/>
        <v>0</v>
      </c>
      <c r="BE65" s="1875"/>
      <c r="BF65" s="3288">
        <v>0</v>
      </c>
      <c r="BG65" s="3274">
        <v>0</v>
      </c>
      <c r="BH65" s="2028">
        <v>0</v>
      </c>
      <c r="BI65" s="3284">
        <v>0</v>
      </c>
      <c r="BJ65" s="3276"/>
      <c r="BK65" s="3288">
        <f t="shared" si="147"/>
        <v>0</v>
      </c>
      <c r="BL65" s="3274">
        <f t="shared" si="147"/>
        <v>0</v>
      </c>
      <c r="BM65" s="2028">
        <f t="shared" si="148"/>
        <v>0</v>
      </c>
      <c r="BN65" s="3284">
        <f t="shared" si="120"/>
        <v>0</v>
      </c>
      <c r="BO65" s="3276"/>
      <c r="BP65" s="1074"/>
      <c r="BQ65" s="1326"/>
      <c r="BR65" s="1997">
        <f t="shared" si="149"/>
        <v>0</v>
      </c>
      <c r="BS65" s="3426">
        <f t="shared" si="37"/>
        <v>0</v>
      </c>
      <c r="BT65" s="1875"/>
      <c r="BU65" s="3274"/>
      <c r="BV65" s="3274"/>
      <c r="BW65" s="2028">
        <f t="shared" si="150"/>
        <v>0</v>
      </c>
      <c r="BX65" s="3284">
        <f t="shared" si="121"/>
        <v>0</v>
      </c>
      <c r="BY65" s="3295"/>
      <c r="BZ65" s="3274"/>
      <c r="CA65" s="3274"/>
      <c r="CB65" s="2028">
        <f t="shared" si="151"/>
        <v>0</v>
      </c>
      <c r="CC65" s="3284">
        <f t="shared" si="122"/>
        <v>0</v>
      </c>
      <c r="CD65" s="3276"/>
      <c r="CE65" s="3274"/>
      <c r="CF65" s="3274"/>
      <c r="CG65" s="3283">
        <f t="shared" si="152"/>
        <v>0</v>
      </c>
      <c r="CH65" s="3284">
        <f t="shared" si="123"/>
        <v>0</v>
      </c>
      <c r="CI65" s="3276"/>
      <c r="CJ65" s="3274"/>
      <c r="CK65" s="3274"/>
      <c r="CL65" s="3274">
        <f t="shared" si="153"/>
        <v>0</v>
      </c>
      <c r="CM65" s="3284">
        <f t="shared" si="124"/>
        <v>0</v>
      </c>
      <c r="CN65" s="3276"/>
      <c r="CO65" s="3274"/>
      <c r="CP65" s="3274"/>
      <c r="CQ65" s="3274">
        <f t="shared" si="154"/>
        <v>0</v>
      </c>
      <c r="CR65" s="3284">
        <f t="shared" si="125"/>
        <v>0</v>
      </c>
      <c r="CS65" s="3276"/>
      <c r="CT65" s="3274"/>
      <c r="CU65" s="3274"/>
      <c r="CV65" s="3274">
        <f t="shared" si="155"/>
        <v>0</v>
      </c>
      <c r="CW65" s="3284">
        <f t="shared" si="126"/>
        <v>0</v>
      </c>
      <c r="CX65" s="3276"/>
      <c r="CY65" s="3274"/>
      <c r="CZ65" s="3274"/>
      <c r="DA65" s="3274">
        <f t="shared" si="156"/>
        <v>0</v>
      </c>
      <c r="DB65" s="3284">
        <f t="shared" si="127"/>
        <v>0</v>
      </c>
      <c r="DC65" s="3276"/>
      <c r="DD65" s="3274"/>
      <c r="DE65" s="3274"/>
      <c r="DF65" s="3274">
        <f t="shared" si="157"/>
        <v>0</v>
      </c>
      <c r="DG65" s="3284">
        <f t="shared" si="128"/>
        <v>0</v>
      </c>
      <c r="DH65" s="3500"/>
      <c r="DI65" s="3288"/>
      <c r="DJ65" s="3274"/>
      <c r="DK65" s="3274">
        <f t="shared" si="158"/>
        <v>0</v>
      </c>
      <c r="DL65" s="3284">
        <f t="shared" si="129"/>
        <v>0</v>
      </c>
      <c r="DM65" s="3500"/>
      <c r="DN65" s="3288"/>
      <c r="DO65" s="3274"/>
      <c r="DP65" s="3274">
        <f t="shared" si="159"/>
        <v>0</v>
      </c>
      <c r="DQ65" s="3284">
        <f t="shared" si="130"/>
        <v>0</v>
      </c>
      <c r="DR65" s="3276"/>
      <c r="DS65" s="3288"/>
      <c r="DT65" s="3274"/>
      <c r="DU65" s="3274">
        <f t="shared" si="160"/>
        <v>0</v>
      </c>
      <c r="DV65" s="3284">
        <f t="shared" si="131"/>
        <v>0</v>
      </c>
      <c r="DW65" s="3276"/>
      <c r="DX65" s="3417">
        <f t="shared" si="161"/>
        <v>0</v>
      </c>
      <c r="DY65" s="3417">
        <f t="shared" si="161"/>
        <v>1120</v>
      </c>
      <c r="DZ65" s="3283">
        <f t="shared" si="162"/>
        <v>1120</v>
      </c>
      <c r="EA65" s="3284" t="e">
        <f t="shared" si="132"/>
        <v>#DIV/0!</v>
      </c>
      <c r="EB65" s="3295"/>
      <c r="ED65" s="3288"/>
      <c r="EE65" s="3501"/>
    </row>
    <row r="66" spans="1:136" s="1411" customFormat="1" ht="25.2" customHeight="1" x14ac:dyDescent="0.25">
      <c r="A66" s="1586"/>
      <c r="B66" s="3310" t="s">
        <v>37</v>
      </c>
      <c r="C66" s="3621"/>
      <c r="D66" s="3531"/>
      <c r="E66" s="1074">
        <f t="shared" si="133"/>
        <v>0</v>
      </c>
      <c r="F66" s="3284">
        <f t="shared" si="51"/>
        <v>0</v>
      </c>
      <c r="G66" s="3237"/>
      <c r="H66" s="3274">
        <v>0</v>
      </c>
      <c r="I66" s="3274">
        <v>0</v>
      </c>
      <c r="J66" s="2028">
        <f t="shared" si="134"/>
        <v>0</v>
      </c>
      <c r="K66" s="3284">
        <f t="shared" si="117"/>
        <v>0</v>
      </c>
      <c r="L66" s="3295"/>
      <c r="M66" s="3497">
        <v>0</v>
      </c>
      <c r="N66" s="3497">
        <v>0</v>
      </c>
      <c r="O66" s="3498">
        <v>0</v>
      </c>
      <c r="P66" s="3523">
        <v>0</v>
      </c>
      <c r="Q66" s="1449"/>
      <c r="R66" s="3497"/>
      <c r="S66" s="3497"/>
      <c r="T66" s="3498">
        <f t="shared" si="135"/>
        <v>0</v>
      </c>
      <c r="U66" s="3523">
        <f t="shared" si="118"/>
        <v>0</v>
      </c>
      <c r="V66" s="3540"/>
      <c r="W66" s="3274"/>
      <c r="X66" s="3274"/>
      <c r="Y66" s="2028">
        <f t="shared" si="136"/>
        <v>0</v>
      </c>
      <c r="Z66" s="3284">
        <f t="shared" si="137"/>
        <v>0</v>
      </c>
      <c r="AA66" s="3295"/>
      <c r="AB66" s="3274"/>
      <c r="AC66" s="3274"/>
      <c r="AD66" s="2028">
        <f t="shared" si="138"/>
        <v>0</v>
      </c>
      <c r="AE66" s="3284">
        <f t="shared" si="119"/>
        <v>0</v>
      </c>
      <c r="AF66" s="3295"/>
      <c r="AG66" s="3288"/>
      <c r="AH66" s="3274"/>
      <c r="AI66" s="1997">
        <f t="shared" si="139"/>
        <v>0</v>
      </c>
      <c r="AJ66" s="3516">
        <f t="shared" si="7"/>
        <v>0</v>
      </c>
      <c r="AK66" s="3295"/>
      <c r="AL66" s="3274"/>
      <c r="AM66" s="3274"/>
      <c r="AN66" s="1997">
        <f t="shared" si="140"/>
        <v>0</v>
      </c>
      <c r="AO66" s="3516">
        <f t="shared" si="141"/>
        <v>0</v>
      </c>
      <c r="AP66" s="3295"/>
      <c r="AQ66" s="3274"/>
      <c r="AR66" s="3288"/>
      <c r="AS66" s="1997">
        <f t="shared" si="142"/>
        <v>0</v>
      </c>
      <c r="AT66" s="3516">
        <f t="shared" si="143"/>
        <v>0</v>
      </c>
      <c r="AU66" s="3275"/>
      <c r="AV66" s="1326">
        <v>3140</v>
      </c>
      <c r="AW66" s="1326"/>
      <c r="AX66" s="1997">
        <f t="shared" si="144"/>
        <v>3140</v>
      </c>
      <c r="AY66" s="3516">
        <f t="shared" si="145"/>
        <v>4.9798444415167858E-4</v>
      </c>
      <c r="AZ66" s="1449" t="s">
        <v>1451</v>
      </c>
      <c r="BA66" s="1074">
        <v>2440</v>
      </c>
      <c r="BB66" s="1326"/>
      <c r="BC66" s="1997">
        <f t="shared" si="146"/>
        <v>2440</v>
      </c>
      <c r="BD66" s="3518">
        <f t="shared" si="34"/>
        <v>3.5983557430027913E-4</v>
      </c>
      <c r="BE66" s="1875" t="s">
        <v>1530</v>
      </c>
      <c r="BF66" s="3288">
        <v>8901.98</v>
      </c>
      <c r="BG66" s="3274">
        <v>2450</v>
      </c>
      <c r="BH66" s="2028">
        <v>11351.98</v>
      </c>
      <c r="BI66" s="3284">
        <v>8.7512216891446528E-3</v>
      </c>
      <c r="BJ66" s="3276"/>
      <c r="BK66" s="3288">
        <f t="shared" si="147"/>
        <v>0</v>
      </c>
      <c r="BL66" s="3274">
        <f t="shared" si="147"/>
        <v>0</v>
      </c>
      <c r="BM66" s="2028">
        <f t="shared" si="148"/>
        <v>0</v>
      </c>
      <c r="BN66" s="3284">
        <f t="shared" si="120"/>
        <v>0</v>
      </c>
      <c r="BO66" s="3276"/>
      <c r="BP66" s="1074"/>
      <c r="BQ66" s="1326"/>
      <c r="BR66" s="1997">
        <f t="shared" si="149"/>
        <v>0</v>
      </c>
      <c r="BS66" s="3426">
        <f t="shared" si="37"/>
        <v>0</v>
      </c>
      <c r="BT66" s="1875"/>
      <c r="BU66" s="3274"/>
      <c r="BV66" s="3274"/>
      <c r="BW66" s="2028">
        <f t="shared" si="150"/>
        <v>0</v>
      </c>
      <c r="BX66" s="3284">
        <f t="shared" si="121"/>
        <v>0</v>
      </c>
      <c r="BY66" s="3295"/>
      <c r="BZ66" s="3274"/>
      <c r="CA66" s="3274"/>
      <c r="CB66" s="2028">
        <f t="shared" si="151"/>
        <v>0</v>
      </c>
      <c r="CC66" s="3284">
        <f t="shared" si="122"/>
        <v>0</v>
      </c>
      <c r="CD66" s="3276"/>
      <c r="CE66" s="3274"/>
      <c r="CF66" s="3274"/>
      <c r="CG66" s="3283">
        <f t="shared" si="152"/>
        <v>0</v>
      </c>
      <c r="CH66" s="3284">
        <f t="shared" si="123"/>
        <v>0</v>
      </c>
      <c r="CI66" s="3276"/>
      <c r="CJ66" s="3274"/>
      <c r="CK66" s="3274"/>
      <c r="CL66" s="3274">
        <f t="shared" si="153"/>
        <v>0</v>
      </c>
      <c r="CM66" s="3284">
        <f t="shared" si="124"/>
        <v>0</v>
      </c>
      <c r="CN66" s="3276"/>
      <c r="CO66" s="3274"/>
      <c r="CP66" s="3274"/>
      <c r="CQ66" s="3274">
        <f t="shared" si="154"/>
        <v>0</v>
      </c>
      <c r="CR66" s="3284">
        <f t="shared" si="125"/>
        <v>0</v>
      </c>
      <c r="CS66" s="3276"/>
      <c r="CT66" s="3274"/>
      <c r="CU66" s="3274"/>
      <c r="CV66" s="3274">
        <f t="shared" si="155"/>
        <v>0</v>
      </c>
      <c r="CW66" s="3284">
        <f t="shared" si="126"/>
        <v>0</v>
      </c>
      <c r="CX66" s="3276"/>
      <c r="CY66" s="3274"/>
      <c r="CZ66" s="3274"/>
      <c r="DA66" s="3274">
        <f t="shared" si="156"/>
        <v>0</v>
      </c>
      <c r="DB66" s="3284">
        <f t="shared" si="127"/>
        <v>0</v>
      </c>
      <c r="DC66" s="3276"/>
      <c r="DD66" s="3274"/>
      <c r="DE66" s="3274"/>
      <c r="DF66" s="3274">
        <f t="shared" si="157"/>
        <v>0</v>
      </c>
      <c r="DG66" s="3284">
        <f t="shared" si="128"/>
        <v>0</v>
      </c>
      <c r="DH66" s="3500"/>
      <c r="DI66" s="3288"/>
      <c r="DJ66" s="3274"/>
      <c r="DK66" s="3274">
        <f t="shared" si="158"/>
        <v>0</v>
      </c>
      <c r="DL66" s="3284">
        <f t="shared" si="129"/>
        <v>0</v>
      </c>
      <c r="DM66" s="3500"/>
      <c r="DN66" s="3288"/>
      <c r="DO66" s="3274"/>
      <c r="DP66" s="3274">
        <f t="shared" si="159"/>
        <v>0</v>
      </c>
      <c r="DQ66" s="3284">
        <f t="shared" si="130"/>
        <v>0</v>
      </c>
      <c r="DR66" s="3500"/>
      <c r="DS66" s="3288"/>
      <c r="DT66" s="3274"/>
      <c r="DU66" s="3274">
        <f t="shared" si="160"/>
        <v>0</v>
      </c>
      <c r="DV66" s="3284">
        <f t="shared" si="131"/>
        <v>0</v>
      </c>
      <c r="DW66" s="3276"/>
      <c r="DX66" s="3417">
        <f t="shared" si="161"/>
        <v>14481.98</v>
      </c>
      <c r="DY66" s="3417">
        <f t="shared" si="161"/>
        <v>2450</v>
      </c>
      <c r="DZ66" s="3283">
        <f t="shared" si="162"/>
        <v>16931.98</v>
      </c>
      <c r="EA66" s="3284" t="e">
        <f t="shared" si="132"/>
        <v>#DIV/0!</v>
      </c>
      <c r="EB66" s="3295"/>
      <c r="ED66" s="1359">
        <v>27940</v>
      </c>
      <c r="EE66" s="3501">
        <f t="shared" ref="EE66:EE68" si="164">ED66-BM66</f>
        <v>27940</v>
      </c>
      <c r="EF66" s="3260"/>
    </row>
    <row r="67" spans="1:136" s="1411" customFormat="1" ht="15" customHeight="1" x14ac:dyDescent="0.25">
      <c r="A67" s="1586"/>
      <c r="B67" s="3310" t="s">
        <v>3</v>
      </c>
      <c r="C67" s="3621"/>
      <c r="D67" s="3531"/>
      <c r="E67" s="1074">
        <f t="shared" si="133"/>
        <v>0</v>
      </c>
      <c r="F67" s="3284">
        <f t="shared" si="51"/>
        <v>0</v>
      </c>
      <c r="G67" s="3237"/>
      <c r="H67" s="3274">
        <v>0</v>
      </c>
      <c r="I67" s="3274">
        <v>0</v>
      </c>
      <c r="J67" s="2028">
        <f t="shared" si="134"/>
        <v>0</v>
      </c>
      <c r="K67" s="3284">
        <f t="shared" si="117"/>
        <v>0</v>
      </c>
      <c r="L67" s="3295"/>
      <c r="M67" s="3497">
        <v>0</v>
      </c>
      <c r="N67" s="3497">
        <v>0</v>
      </c>
      <c r="O67" s="3498">
        <v>0</v>
      </c>
      <c r="P67" s="3523">
        <v>0</v>
      </c>
      <c r="Q67" s="1449"/>
      <c r="R67" s="3497"/>
      <c r="S67" s="3497"/>
      <c r="T67" s="3498">
        <f t="shared" si="135"/>
        <v>0</v>
      </c>
      <c r="U67" s="3523">
        <f t="shared" si="118"/>
        <v>0</v>
      </c>
      <c r="V67" s="3540"/>
      <c r="W67" s="3274"/>
      <c r="X67" s="3274">
        <f>1300+4944.8</f>
        <v>6244.8</v>
      </c>
      <c r="Y67" s="2028">
        <f t="shared" si="136"/>
        <v>6244.8</v>
      </c>
      <c r="Z67" s="3284">
        <f t="shared" si="137"/>
        <v>4.814105486828776E-3</v>
      </c>
      <c r="AA67" s="3390" t="s">
        <v>1029</v>
      </c>
      <c r="AB67" s="3274">
        <v>3304</v>
      </c>
      <c r="AC67" s="3274">
        <v>3500</v>
      </c>
      <c r="AD67" s="2028">
        <f t="shared" si="138"/>
        <v>6804</v>
      </c>
      <c r="AE67" s="3284">
        <f t="shared" si="119"/>
        <v>8.1179149310329907E-3</v>
      </c>
      <c r="AF67" s="3390" t="s">
        <v>1087</v>
      </c>
      <c r="AG67" s="3288"/>
      <c r="AH67" s="3274"/>
      <c r="AI67" s="1997">
        <f t="shared" si="139"/>
        <v>0</v>
      </c>
      <c r="AJ67" s="3516">
        <f t="shared" si="7"/>
        <v>0</v>
      </c>
      <c r="AK67" s="3295"/>
      <c r="AL67" s="3274"/>
      <c r="AM67" s="3274"/>
      <c r="AN67" s="1997">
        <f t="shared" si="140"/>
        <v>0</v>
      </c>
      <c r="AO67" s="3516">
        <f t="shared" si="141"/>
        <v>0</v>
      </c>
      <c r="AP67" s="3295"/>
      <c r="AQ67" s="3274">
        <f>4800+6666.67</f>
        <v>11466.67</v>
      </c>
      <c r="AR67" s="3288"/>
      <c r="AS67" s="1997">
        <f t="shared" si="142"/>
        <v>11466.67</v>
      </c>
      <c r="AT67" s="3516">
        <f t="shared" si="143"/>
        <v>1.8185424478409961E-3</v>
      </c>
      <c r="AU67" s="3275" t="s">
        <v>1363</v>
      </c>
      <c r="AV67" s="1326"/>
      <c r="AW67" s="1326"/>
      <c r="AX67" s="1997">
        <f t="shared" si="144"/>
        <v>0</v>
      </c>
      <c r="AY67" s="3516">
        <f t="shared" si="145"/>
        <v>0</v>
      </c>
      <c r="AZ67" s="1449"/>
      <c r="BA67" s="1074"/>
      <c r="BB67" s="1326"/>
      <c r="BC67" s="1997">
        <f t="shared" si="146"/>
        <v>0</v>
      </c>
      <c r="BD67" s="3518">
        <f t="shared" si="34"/>
        <v>0</v>
      </c>
      <c r="BE67" s="1875"/>
      <c r="BF67" s="3288">
        <v>93149.04</v>
      </c>
      <c r="BG67" s="3274">
        <v>0</v>
      </c>
      <c r="BH67" s="2028">
        <v>93149.04</v>
      </c>
      <c r="BI67" s="3284">
        <v>7.1808433345636871E-2</v>
      </c>
      <c r="BJ67" s="3276"/>
      <c r="BK67" s="3288">
        <f t="shared" si="147"/>
        <v>0</v>
      </c>
      <c r="BL67" s="3274">
        <f t="shared" si="147"/>
        <v>0</v>
      </c>
      <c r="BM67" s="2028">
        <f t="shared" si="148"/>
        <v>0</v>
      </c>
      <c r="BN67" s="3284">
        <f t="shared" si="120"/>
        <v>0</v>
      </c>
      <c r="BO67" s="3276"/>
      <c r="BP67" s="1074"/>
      <c r="BQ67" s="1326"/>
      <c r="BR67" s="1997">
        <f t="shared" si="149"/>
        <v>0</v>
      </c>
      <c r="BS67" s="3426">
        <f t="shared" si="37"/>
        <v>0</v>
      </c>
      <c r="BT67" s="1875"/>
      <c r="BU67" s="3274"/>
      <c r="BV67" s="3274"/>
      <c r="BW67" s="2028">
        <f t="shared" si="150"/>
        <v>0</v>
      </c>
      <c r="BX67" s="3284">
        <f t="shared" si="121"/>
        <v>0</v>
      </c>
      <c r="BY67" s="3295"/>
      <c r="BZ67" s="3274"/>
      <c r="CA67" s="3274"/>
      <c r="CB67" s="2028">
        <f t="shared" si="151"/>
        <v>0</v>
      </c>
      <c r="CC67" s="3284">
        <f t="shared" si="122"/>
        <v>0</v>
      </c>
      <c r="CD67" s="3276"/>
      <c r="CE67" s="3274"/>
      <c r="CF67" s="3274"/>
      <c r="CG67" s="3283">
        <f t="shared" si="152"/>
        <v>0</v>
      </c>
      <c r="CH67" s="3284">
        <f t="shared" si="123"/>
        <v>0</v>
      </c>
      <c r="CI67" s="3276"/>
      <c r="CJ67" s="3274"/>
      <c r="CK67" s="3274"/>
      <c r="CL67" s="3274">
        <f t="shared" si="153"/>
        <v>0</v>
      </c>
      <c r="CM67" s="3284">
        <f t="shared" si="124"/>
        <v>0</v>
      </c>
      <c r="CN67" s="3276"/>
      <c r="CO67" s="3274"/>
      <c r="CP67" s="3274"/>
      <c r="CQ67" s="3274">
        <f t="shared" si="154"/>
        <v>0</v>
      </c>
      <c r="CR67" s="3284">
        <f t="shared" si="125"/>
        <v>0</v>
      </c>
      <c r="CS67" s="3276"/>
      <c r="CT67" s="3274"/>
      <c r="CU67" s="3274"/>
      <c r="CV67" s="3274">
        <f t="shared" si="155"/>
        <v>0</v>
      </c>
      <c r="CW67" s="3284">
        <f t="shared" si="126"/>
        <v>0</v>
      </c>
      <c r="CX67" s="3276"/>
      <c r="CY67" s="3274"/>
      <c r="CZ67" s="3274"/>
      <c r="DA67" s="3274">
        <f t="shared" si="156"/>
        <v>0</v>
      </c>
      <c r="DB67" s="3284">
        <f t="shared" si="127"/>
        <v>0</v>
      </c>
      <c r="DC67" s="3276"/>
      <c r="DD67" s="3274"/>
      <c r="DE67" s="3274"/>
      <c r="DF67" s="3274">
        <f t="shared" si="157"/>
        <v>0</v>
      </c>
      <c r="DG67" s="3284">
        <f t="shared" si="128"/>
        <v>0</v>
      </c>
      <c r="DH67" s="3500"/>
      <c r="DI67" s="3288"/>
      <c r="DJ67" s="3274"/>
      <c r="DK67" s="3274">
        <f t="shared" si="158"/>
        <v>0</v>
      </c>
      <c r="DL67" s="3284">
        <f t="shared" si="129"/>
        <v>0</v>
      </c>
      <c r="DM67" s="3500"/>
      <c r="DN67" s="3288"/>
      <c r="DO67" s="3274"/>
      <c r="DP67" s="3274">
        <f t="shared" si="159"/>
        <v>0</v>
      </c>
      <c r="DQ67" s="3284">
        <f t="shared" si="130"/>
        <v>0</v>
      </c>
      <c r="DR67" s="3500"/>
      <c r="DS67" s="3288"/>
      <c r="DT67" s="3274"/>
      <c r="DU67" s="3274">
        <f t="shared" si="160"/>
        <v>0</v>
      </c>
      <c r="DV67" s="3284">
        <f t="shared" si="131"/>
        <v>0</v>
      </c>
      <c r="DW67" s="3276"/>
      <c r="DX67" s="3417">
        <f t="shared" si="161"/>
        <v>107919.70999999999</v>
      </c>
      <c r="DY67" s="3417">
        <f t="shared" si="161"/>
        <v>9744.7999999999993</v>
      </c>
      <c r="DZ67" s="3283">
        <f t="shared" si="162"/>
        <v>117664.51</v>
      </c>
      <c r="EA67" s="3284" t="e">
        <f t="shared" si="132"/>
        <v>#DIV/0!</v>
      </c>
      <c r="EB67" s="3295"/>
      <c r="ED67" s="1359">
        <v>6851.33</v>
      </c>
      <c r="EE67" s="3501">
        <f t="shared" si="164"/>
        <v>6851.33</v>
      </c>
      <c r="EF67" s="3260"/>
    </row>
    <row r="68" spans="1:136" s="1411" customFormat="1" ht="13.95" customHeight="1" x14ac:dyDescent="0.25">
      <c r="A68" s="1586"/>
      <c r="B68" s="3310" t="s">
        <v>5</v>
      </c>
      <c r="C68" s="3621"/>
      <c r="D68" s="3531">
        <v>1452</v>
      </c>
      <c r="E68" s="1074">
        <f t="shared" si="133"/>
        <v>1452</v>
      </c>
      <c r="F68" s="3284">
        <f t="shared" si="51"/>
        <v>5.5846805369435149E-4</v>
      </c>
      <c r="G68" s="3237"/>
      <c r="H68" s="3274">
        <v>0</v>
      </c>
      <c r="I68" s="3274">
        <v>29322.74</v>
      </c>
      <c r="J68" s="2028">
        <f t="shared" si="134"/>
        <v>29322.74</v>
      </c>
      <c r="K68" s="3284">
        <f t="shared" si="117"/>
        <v>2.307347781042436E-3</v>
      </c>
      <c r="L68" s="3295"/>
      <c r="M68" s="3497">
        <v>0</v>
      </c>
      <c r="N68" s="3497">
        <v>2414.6800000000003</v>
      </c>
      <c r="O68" s="3498">
        <v>2414.6800000000003</v>
      </c>
      <c r="P68" s="3523">
        <v>1.2528551863389079E-4</v>
      </c>
      <c r="Q68" s="1449"/>
      <c r="R68" s="3497"/>
      <c r="S68" s="3497"/>
      <c r="T68" s="3498">
        <f t="shared" si="135"/>
        <v>0</v>
      </c>
      <c r="U68" s="3523">
        <f t="shared" si="118"/>
        <v>0</v>
      </c>
      <c r="V68" s="3540"/>
      <c r="W68" s="3274"/>
      <c r="X68" s="3274">
        <v>531.65</v>
      </c>
      <c r="Y68" s="2028">
        <f t="shared" si="136"/>
        <v>531.65</v>
      </c>
      <c r="Z68" s="3284">
        <f t="shared" si="137"/>
        <v>4.0984806271978584E-4</v>
      </c>
      <c r="AA68" s="3295"/>
      <c r="AB68" s="3274">
        <v>891.28</v>
      </c>
      <c r="AC68" s="3274">
        <v>232</v>
      </c>
      <c r="AD68" s="2028">
        <f t="shared" si="138"/>
        <v>1123.28</v>
      </c>
      <c r="AE68" s="3284">
        <f t="shared" si="119"/>
        <v>1.3401956913184506E-3</v>
      </c>
      <c r="AF68" s="3295"/>
      <c r="AG68" s="3288">
        <v>585.1</v>
      </c>
      <c r="AH68" s="3274">
        <v>986.46</v>
      </c>
      <c r="AI68" s="1997">
        <f t="shared" si="139"/>
        <v>1571.56</v>
      </c>
      <c r="AJ68" s="3516">
        <f t="shared" si="7"/>
        <v>1.4528796001140227E-3</v>
      </c>
      <c r="AK68" s="3295" t="s">
        <v>546</v>
      </c>
      <c r="AL68" s="3274">
        <v>959.02</v>
      </c>
      <c r="AM68" s="3274">
        <v>872.16</v>
      </c>
      <c r="AN68" s="1997">
        <f t="shared" si="140"/>
        <v>1831.1799999999998</v>
      </c>
      <c r="AO68" s="3516">
        <f t="shared" si="141"/>
        <v>4.0291874638855073E-4</v>
      </c>
      <c r="AP68" s="3295"/>
      <c r="AQ68" s="3274">
        <f>8357.66+2756.25</f>
        <v>11113.91</v>
      </c>
      <c r="AR68" s="3288">
        <v>3593.7</v>
      </c>
      <c r="AS68" s="1997">
        <f t="shared" si="142"/>
        <v>14707.61</v>
      </c>
      <c r="AT68" s="3516">
        <f t="shared" si="143"/>
        <v>2.332535347340659E-3</v>
      </c>
      <c r="AU68" s="3275" t="s">
        <v>1353</v>
      </c>
      <c r="AV68" s="1326">
        <v>1256.26</v>
      </c>
      <c r="AW68" s="1326">
        <v>722.39</v>
      </c>
      <c r="AX68" s="1997">
        <f t="shared" si="144"/>
        <v>1978.65</v>
      </c>
      <c r="AY68" s="3516">
        <f t="shared" si="145"/>
        <v>3.1380156701296777E-4</v>
      </c>
      <c r="AZ68" s="1449"/>
      <c r="BA68" s="1074">
        <v>1025</v>
      </c>
      <c r="BB68" s="1326">
        <v>1452.76</v>
      </c>
      <c r="BC68" s="1997">
        <f t="shared" si="146"/>
        <v>2477.7600000000002</v>
      </c>
      <c r="BD68" s="3518">
        <f t="shared" si="34"/>
        <v>3.6540417728617196E-4</v>
      </c>
      <c r="BE68" s="1881" t="s">
        <v>562</v>
      </c>
      <c r="BF68" s="3288">
        <v>24721.980000000003</v>
      </c>
      <c r="BG68" s="3274">
        <v>32028.600000000002</v>
      </c>
      <c r="BH68" s="2028">
        <v>56750.58</v>
      </c>
      <c r="BI68" s="3284">
        <v>4.3748923673891146E-2</v>
      </c>
      <c r="BJ68" s="3276"/>
      <c r="BK68" s="3288">
        <f t="shared" si="147"/>
        <v>0</v>
      </c>
      <c r="BL68" s="3274">
        <f t="shared" si="147"/>
        <v>0</v>
      </c>
      <c r="BM68" s="2028">
        <f t="shared" si="148"/>
        <v>0</v>
      </c>
      <c r="BN68" s="3284">
        <f t="shared" si="120"/>
        <v>0</v>
      </c>
      <c r="BO68" s="3276"/>
      <c r="BP68" s="1074"/>
      <c r="BQ68" s="1326"/>
      <c r="BR68" s="1997">
        <f t="shared" si="149"/>
        <v>0</v>
      </c>
      <c r="BS68" s="3426">
        <f t="shared" si="37"/>
        <v>0</v>
      </c>
      <c r="BT68" s="1881"/>
      <c r="BU68" s="3274"/>
      <c r="BV68" s="3274"/>
      <c r="BW68" s="2028">
        <f t="shared" si="150"/>
        <v>0</v>
      </c>
      <c r="BX68" s="3284">
        <f t="shared" si="121"/>
        <v>0</v>
      </c>
      <c r="BY68" s="1881"/>
      <c r="BZ68" s="3274"/>
      <c r="CA68" s="3274"/>
      <c r="CB68" s="2028">
        <f t="shared" si="151"/>
        <v>0</v>
      </c>
      <c r="CC68" s="3284">
        <f t="shared" si="122"/>
        <v>0</v>
      </c>
      <c r="CD68" s="3276"/>
      <c r="CE68" s="3274"/>
      <c r="CF68" s="3274"/>
      <c r="CG68" s="3283">
        <f t="shared" si="152"/>
        <v>0</v>
      </c>
      <c r="CH68" s="3284">
        <f t="shared" si="123"/>
        <v>0</v>
      </c>
      <c r="CI68" s="3276"/>
      <c r="CJ68" s="3274"/>
      <c r="CK68" s="3274"/>
      <c r="CL68" s="3274">
        <f t="shared" si="153"/>
        <v>0</v>
      </c>
      <c r="CM68" s="3284">
        <f t="shared" si="124"/>
        <v>0</v>
      </c>
      <c r="CN68" s="3276"/>
      <c r="CO68" s="3274"/>
      <c r="CP68" s="3274"/>
      <c r="CQ68" s="3274">
        <f t="shared" si="154"/>
        <v>0</v>
      </c>
      <c r="CR68" s="3284">
        <f t="shared" si="125"/>
        <v>0</v>
      </c>
      <c r="CS68" s="3276"/>
      <c r="CT68" s="3274"/>
      <c r="CU68" s="3274"/>
      <c r="CV68" s="3274">
        <f t="shared" si="155"/>
        <v>0</v>
      </c>
      <c r="CW68" s="3284">
        <f t="shared" si="126"/>
        <v>0</v>
      </c>
      <c r="CX68" s="3276"/>
      <c r="CY68" s="3274"/>
      <c r="CZ68" s="3274"/>
      <c r="DA68" s="3274">
        <f t="shared" si="156"/>
        <v>0</v>
      </c>
      <c r="DB68" s="3284">
        <f t="shared" si="127"/>
        <v>0</v>
      </c>
      <c r="DC68" s="3276"/>
      <c r="DD68" s="3274"/>
      <c r="DE68" s="3274"/>
      <c r="DF68" s="3274">
        <f t="shared" si="157"/>
        <v>0</v>
      </c>
      <c r="DG68" s="3284">
        <f t="shared" si="128"/>
        <v>0</v>
      </c>
      <c r="DH68" s="3500"/>
      <c r="DI68" s="3288"/>
      <c r="DJ68" s="3274"/>
      <c r="DK68" s="3274">
        <f t="shared" si="158"/>
        <v>0</v>
      </c>
      <c r="DL68" s="3284">
        <f t="shared" si="129"/>
        <v>0</v>
      </c>
      <c r="DM68" s="3500"/>
      <c r="DN68" s="3288"/>
      <c r="DO68" s="3274"/>
      <c r="DP68" s="3274">
        <f t="shared" si="159"/>
        <v>0</v>
      </c>
      <c r="DQ68" s="3284">
        <f t="shared" si="130"/>
        <v>0</v>
      </c>
      <c r="DR68" s="3276"/>
      <c r="DS68" s="3288"/>
      <c r="DT68" s="3274"/>
      <c r="DU68" s="3274">
        <f t="shared" si="160"/>
        <v>0</v>
      </c>
      <c r="DV68" s="3284">
        <f t="shared" si="131"/>
        <v>0</v>
      </c>
      <c r="DW68" s="3276"/>
      <c r="DX68" s="3417">
        <f t="shared" si="161"/>
        <v>40552.550000000003</v>
      </c>
      <c r="DY68" s="3417">
        <f t="shared" si="161"/>
        <v>40419.72</v>
      </c>
      <c r="DZ68" s="3283">
        <f t="shared" si="162"/>
        <v>80972.27</v>
      </c>
      <c r="EA68" s="3284" t="e">
        <f t="shared" si="132"/>
        <v>#DIV/0!</v>
      </c>
      <c r="EB68" s="3295"/>
      <c r="ED68" s="1359">
        <v>46690.53</v>
      </c>
      <c r="EE68" s="3501">
        <f t="shared" si="164"/>
        <v>46690.53</v>
      </c>
      <c r="EF68" s="3260"/>
    </row>
    <row r="69" spans="1:136" s="1411" customFormat="1" ht="17.399999999999999" customHeight="1" x14ac:dyDescent="0.25">
      <c r="A69" s="1586"/>
      <c r="B69" s="3310" t="s">
        <v>42</v>
      </c>
      <c r="C69" s="3621"/>
      <c r="D69" s="3531"/>
      <c r="E69" s="1074">
        <f t="shared" si="133"/>
        <v>0</v>
      </c>
      <c r="F69" s="3284">
        <f t="shared" si="51"/>
        <v>0</v>
      </c>
      <c r="G69" s="3237"/>
      <c r="H69" s="3274">
        <v>14920</v>
      </c>
      <c r="I69" s="3274">
        <v>0</v>
      </c>
      <c r="J69" s="2028">
        <f t="shared" si="134"/>
        <v>14920</v>
      </c>
      <c r="K69" s="3284">
        <f t="shared" si="117"/>
        <v>1.1740249681016556E-3</v>
      </c>
      <c r="L69" s="3295"/>
      <c r="M69" s="3497">
        <v>27960</v>
      </c>
      <c r="N69" s="3497">
        <v>0</v>
      </c>
      <c r="O69" s="3498">
        <v>27960</v>
      </c>
      <c r="P69" s="3523">
        <v>1.4507028264629622E-3</v>
      </c>
      <c r="Q69" s="1449"/>
      <c r="R69" s="3497"/>
      <c r="S69" s="3497"/>
      <c r="T69" s="3498">
        <f t="shared" si="135"/>
        <v>0</v>
      </c>
      <c r="U69" s="3523">
        <f t="shared" si="118"/>
        <v>0</v>
      </c>
      <c r="V69" s="3540"/>
      <c r="W69" s="3274"/>
      <c r="X69" s="3274"/>
      <c r="Y69" s="2028">
        <f t="shared" si="136"/>
        <v>0</v>
      </c>
      <c r="Z69" s="3284">
        <f>Y69/$Y$89</f>
        <v>0</v>
      </c>
      <c r="AA69" s="3390"/>
      <c r="AB69" s="3274"/>
      <c r="AC69" s="3274"/>
      <c r="AD69" s="2028">
        <f t="shared" si="138"/>
        <v>0</v>
      </c>
      <c r="AE69" s="3284">
        <f t="shared" si="119"/>
        <v>0</v>
      </c>
      <c r="AF69" s="3390"/>
      <c r="AG69" s="3417"/>
      <c r="AH69" s="3454"/>
      <c r="AI69" s="3652">
        <f t="shared" si="139"/>
        <v>0</v>
      </c>
      <c r="AJ69" s="3516">
        <f t="shared" si="7"/>
        <v>0</v>
      </c>
      <c r="AK69" s="3390"/>
      <c r="AL69" s="3417">
        <f>752+11880.5</f>
        <v>12632.5</v>
      </c>
      <c r="AM69" s="3454"/>
      <c r="AN69" s="3652">
        <f t="shared" si="140"/>
        <v>12632.5</v>
      </c>
      <c r="AO69" s="3516">
        <f t="shared" si="141"/>
        <v>2.7795580247454471E-3</v>
      </c>
      <c r="AP69" s="3275" t="s">
        <v>1301</v>
      </c>
      <c r="AQ69" s="3274"/>
      <c r="AR69" s="3288"/>
      <c r="AS69" s="3652">
        <f t="shared" si="142"/>
        <v>0</v>
      </c>
      <c r="AT69" s="3516">
        <f t="shared" si="143"/>
        <v>0</v>
      </c>
      <c r="AU69" s="3275"/>
      <c r="AV69" s="3653"/>
      <c r="AW69" s="1335"/>
      <c r="AX69" s="3652">
        <f t="shared" si="144"/>
        <v>0</v>
      </c>
      <c r="AY69" s="3516">
        <f t="shared" si="145"/>
        <v>0</v>
      </c>
      <c r="AZ69" s="1596"/>
      <c r="BA69" s="3621"/>
      <c r="BB69" s="1326"/>
      <c r="BC69" s="3652">
        <f t="shared" si="146"/>
        <v>0</v>
      </c>
      <c r="BD69" s="3518">
        <f t="shared" si="34"/>
        <v>0</v>
      </c>
      <c r="BE69" s="1876"/>
      <c r="BF69" s="3288">
        <v>0</v>
      </c>
      <c r="BG69" s="3274">
        <v>0</v>
      </c>
      <c r="BH69" s="2028">
        <v>0</v>
      </c>
      <c r="BI69" s="3284">
        <v>0</v>
      </c>
      <c r="BJ69" s="3276"/>
      <c r="BK69" s="3288">
        <f t="shared" si="147"/>
        <v>0</v>
      </c>
      <c r="BL69" s="3274">
        <f t="shared" si="147"/>
        <v>0</v>
      </c>
      <c r="BM69" s="2028">
        <f t="shared" si="148"/>
        <v>0</v>
      </c>
      <c r="BN69" s="3284">
        <f t="shared" si="120"/>
        <v>0</v>
      </c>
      <c r="BO69" s="3276"/>
      <c r="BP69" s="3621"/>
      <c r="BQ69" s="1326"/>
      <c r="BR69" s="3652">
        <f t="shared" si="149"/>
        <v>0</v>
      </c>
      <c r="BS69" s="3426">
        <f t="shared" si="37"/>
        <v>0</v>
      </c>
      <c r="BT69" s="1876"/>
      <c r="BU69" s="3274"/>
      <c r="BV69" s="3274"/>
      <c r="BW69" s="2028">
        <f t="shared" si="150"/>
        <v>0</v>
      </c>
      <c r="BX69" s="3284">
        <f t="shared" si="121"/>
        <v>0</v>
      </c>
      <c r="BY69" s="3274"/>
      <c r="BZ69" s="3274"/>
      <c r="CA69" s="3274"/>
      <c r="CB69" s="2028">
        <f t="shared" si="151"/>
        <v>0</v>
      </c>
      <c r="CC69" s="3284">
        <f t="shared" si="122"/>
        <v>0</v>
      </c>
      <c r="CD69" s="3276"/>
      <c r="CE69" s="3274"/>
      <c r="CF69" s="3274"/>
      <c r="CG69" s="3283">
        <f t="shared" si="152"/>
        <v>0</v>
      </c>
      <c r="CH69" s="3284">
        <f t="shared" si="123"/>
        <v>0</v>
      </c>
      <c r="CI69" s="3276"/>
      <c r="CJ69" s="3274"/>
      <c r="CK69" s="3274"/>
      <c r="CL69" s="3274">
        <f t="shared" si="153"/>
        <v>0</v>
      </c>
      <c r="CM69" s="3284">
        <f t="shared" si="124"/>
        <v>0</v>
      </c>
      <c r="CN69" s="3276"/>
      <c r="CO69" s="3274"/>
      <c r="CP69" s="3274"/>
      <c r="CQ69" s="3274">
        <f t="shared" si="154"/>
        <v>0</v>
      </c>
      <c r="CR69" s="3284">
        <f t="shared" si="125"/>
        <v>0</v>
      </c>
      <c r="CS69" s="3276"/>
      <c r="CT69" s="3274"/>
      <c r="CU69" s="3274"/>
      <c r="CV69" s="3274">
        <f t="shared" si="155"/>
        <v>0</v>
      </c>
      <c r="CW69" s="3284">
        <f t="shared" si="126"/>
        <v>0</v>
      </c>
      <c r="CX69" s="3276"/>
      <c r="CY69" s="3274"/>
      <c r="CZ69" s="3274"/>
      <c r="DA69" s="3274">
        <f t="shared" si="156"/>
        <v>0</v>
      </c>
      <c r="DB69" s="3284">
        <f t="shared" si="127"/>
        <v>0</v>
      </c>
      <c r="DC69" s="3276"/>
      <c r="DD69" s="3274"/>
      <c r="DE69" s="3274"/>
      <c r="DF69" s="3274">
        <f t="shared" si="157"/>
        <v>0</v>
      </c>
      <c r="DG69" s="3284">
        <f t="shared" si="128"/>
        <v>0</v>
      </c>
      <c r="DH69" s="3500"/>
      <c r="DI69" s="3288"/>
      <c r="DJ69" s="3274"/>
      <c r="DK69" s="3274">
        <f t="shared" si="158"/>
        <v>0</v>
      </c>
      <c r="DL69" s="3284">
        <f t="shared" si="129"/>
        <v>0</v>
      </c>
      <c r="DM69" s="3500"/>
      <c r="DN69" s="3288"/>
      <c r="DO69" s="3274"/>
      <c r="DP69" s="3274">
        <f t="shared" si="159"/>
        <v>0</v>
      </c>
      <c r="DQ69" s="3284">
        <f t="shared" si="130"/>
        <v>0</v>
      </c>
      <c r="DR69" s="3276"/>
      <c r="DS69" s="3288"/>
      <c r="DT69" s="3274"/>
      <c r="DU69" s="3274">
        <f t="shared" si="160"/>
        <v>0</v>
      </c>
      <c r="DV69" s="3284">
        <f t="shared" si="131"/>
        <v>0</v>
      </c>
      <c r="DW69" s="3276"/>
      <c r="DX69" s="3417">
        <f t="shared" si="161"/>
        <v>12632.5</v>
      </c>
      <c r="DY69" s="3417">
        <f t="shared" si="161"/>
        <v>0</v>
      </c>
      <c r="DZ69" s="3283">
        <f t="shared" si="162"/>
        <v>12632.5</v>
      </c>
      <c r="EA69" s="3284" t="e">
        <f t="shared" si="132"/>
        <v>#DIV/0!</v>
      </c>
      <c r="EB69" s="3295"/>
      <c r="ED69" s="1359">
        <v>4050</v>
      </c>
      <c r="EE69" s="3501"/>
      <c r="EF69" s="3260" t="s">
        <v>2117</v>
      </c>
    </row>
    <row r="70" spans="1:136" s="1411" customFormat="1" ht="40.950000000000003" customHeight="1" x14ac:dyDescent="0.25">
      <c r="A70" s="1586"/>
      <c r="B70" s="3310" t="s">
        <v>6</v>
      </c>
      <c r="C70" s="3621"/>
      <c r="D70" s="3531"/>
      <c r="E70" s="1074">
        <f t="shared" si="133"/>
        <v>0</v>
      </c>
      <c r="F70" s="3284">
        <f t="shared" si="51"/>
        <v>0</v>
      </c>
      <c r="G70" s="3237"/>
      <c r="H70" s="3274">
        <v>0</v>
      </c>
      <c r="I70" s="3274">
        <v>14000</v>
      </c>
      <c r="J70" s="2028">
        <f t="shared" si="134"/>
        <v>14000</v>
      </c>
      <c r="K70" s="3284">
        <f t="shared" si="117"/>
        <v>1.1016320076020897E-3</v>
      </c>
      <c r="L70" s="3295"/>
      <c r="M70" s="3497">
        <v>0</v>
      </c>
      <c r="N70" s="3497">
        <v>30000</v>
      </c>
      <c r="O70" s="3498">
        <v>30000</v>
      </c>
      <c r="P70" s="3523">
        <v>1.5565480970632642E-3</v>
      </c>
      <c r="Q70" s="1449"/>
      <c r="R70" s="3497"/>
      <c r="S70" s="3497">
        <v>14000</v>
      </c>
      <c r="T70" s="3498">
        <f t="shared" si="135"/>
        <v>14000</v>
      </c>
      <c r="U70" s="3523">
        <f t="shared" si="118"/>
        <v>1.0792575713490082E-2</v>
      </c>
      <c r="V70" s="3543"/>
      <c r="W70" s="3274"/>
      <c r="X70" s="3274"/>
      <c r="Y70" s="2028">
        <f t="shared" si="136"/>
        <v>0</v>
      </c>
      <c r="Z70" s="3284">
        <f t="shared" si="137"/>
        <v>0</v>
      </c>
      <c r="AA70" s="3295"/>
      <c r="AB70" s="3274"/>
      <c r="AC70" s="3274"/>
      <c r="AD70" s="2028">
        <f t="shared" si="138"/>
        <v>0</v>
      </c>
      <c r="AE70" s="3284">
        <f t="shared" si="119"/>
        <v>0</v>
      </c>
      <c r="AF70" s="3295"/>
      <c r="AG70" s="3288"/>
      <c r="AH70" s="3274"/>
      <c r="AI70" s="1997">
        <f t="shared" si="139"/>
        <v>0</v>
      </c>
      <c r="AJ70" s="3516">
        <f t="shared" si="7"/>
        <v>0</v>
      </c>
      <c r="AK70" s="3295"/>
      <c r="AL70" s="3288"/>
      <c r="AM70" s="3274"/>
      <c r="AN70" s="1997">
        <f t="shared" si="140"/>
        <v>0</v>
      </c>
      <c r="AO70" s="3516">
        <f t="shared" si="141"/>
        <v>0</v>
      </c>
      <c r="AP70" s="3295"/>
      <c r="AQ70" s="3274"/>
      <c r="AR70" s="3288"/>
      <c r="AS70" s="1997">
        <f t="shared" si="142"/>
        <v>0</v>
      </c>
      <c r="AT70" s="3516">
        <f t="shared" si="143"/>
        <v>0</v>
      </c>
      <c r="AU70" s="3275"/>
      <c r="AV70" s="1326"/>
      <c r="AW70" s="1326"/>
      <c r="AX70" s="1997">
        <f t="shared" si="144"/>
        <v>0</v>
      </c>
      <c r="AY70" s="3516">
        <f t="shared" si="145"/>
        <v>0</v>
      </c>
      <c r="AZ70" s="1449"/>
      <c r="BA70" s="1074"/>
      <c r="BB70" s="1326">
        <v>1779.64</v>
      </c>
      <c r="BC70" s="1997">
        <f t="shared" si="146"/>
        <v>1779.64</v>
      </c>
      <c r="BD70" s="3518">
        <f t="shared" si="34"/>
        <v>2.624499104294052E-4</v>
      </c>
      <c r="BE70" s="3519" t="s">
        <v>1509</v>
      </c>
      <c r="BF70" s="3288">
        <v>0</v>
      </c>
      <c r="BG70" s="3274">
        <v>52427.479999999996</v>
      </c>
      <c r="BH70" s="2028">
        <v>52427.479999999996</v>
      </c>
      <c r="BI70" s="3284">
        <v>4.0416253383391929E-2</v>
      </c>
      <c r="BJ70" s="3276"/>
      <c r="BK70" s="3288">
        <f t="shared" si="147"/>
        <v>0</v>
      </c>
      <c r="BL70" s="3274">
        <f t="shared" si="147"/>
        <v>0</v>
      </c>
      <c r="BM70" s="2028">
        <f t="shared" si="148"/>
        <v>0</v>
      </c>
      <c r="BN70" s="3284">
        <f t="shared" si="120"/>
        <v>0</v>
      </c>
      <c r="BO70" s="3276"/>
      <c r="BP70" s="1074"/>
      <c r="BQ70" s="1326"/>
      <c r="BR70" s="1997">
        <f t="shared" si="149"/>
        <v>0</v>
      </c>
      <c r="BS70" s="3426">
        <f t="shared" si="37"/>
        <v>0</v>
      </c>
      <c r="BT70" s="3519"/>
      <c r="BU70" s="3274"/>
      <c r="BV70" s="3274"/>
      <c r="BW70" s="2028">
        <f t="shared" si="150"/>
        <v>0</v>
      </c>
      <c r="BX70" s="3284">
        <f t="shared" si="121"/>
        <v>0</v>
      </c>
      <c r="BY70" s="3294"/>
      <c r="BZ70" s="3274"/>
      <c r="CA70" s="3274"/>
      <c r="CB70" s="2028">
        <f t="shared" si="151"/>
        <v>0</v>
      </c>
      <c r="CC70" s="3284">
        <f t="shared" si="122"/>
        <v>0</v>
      </c>
      <c r="CD70" s="3276"/>
      <c r="CE70" s="3274"/>
      <c r="CF70" s="3274"/>
      <c r="CG70" s="3283">
        <f t="shared" si="152"/>
        <v>0</v>
      </c>
      <c r="CH70" s="3284">
        <f t="shared" si="123"/>
        <v>0</v>
      </c>
      <c r="CI70" s="3276"/>
      <c r="CJ70" s="3274"/>
      <c r="CK70" s="3274"/>
      <c r="CL70" s="3274">
        <f t="shared" si="153"/>
        <v>0</v>
      </c>
      <c r="CM70" s="3284">
        <f t="shared" si="124"/>
        <v>0</v>
      </c>
      <c r="CN70" s="3276"/>
      <c r="CO70" s="3274"/>
      <c r="CP70" s="3274"/>
      <c r="CQ70" s="3274">
        <f t="shared" si="154"/>
        <v>0</v>
      </c>
      <c r="CR70" s="3284">
        <f t="shared" si="125"/>
        <v>0</v>
      </c>
      <c r="CS70" s="3276"/>
      <c r="CT70" s="3274"/>
      <c r="CU70" s="3274"/>
      <c r="CV70" s="3274">
        <f t="shared" si="155"/>
        <v>0</v>
      </c>
      <c r="CW70" s="3284">
        <f t="shared" si="126"/>
        <v>0</v>
      </c>
      <c r="CX70" s="3276"/>
      <c r="CY70" s="3274"/>
      <c r="CZ70" s="3274"/>
      <c r="DA70" s="3274">
        <f t="shared" si="156"/>
        <v>0</v>
      </c>
      <c r="DB70" s="3284">
        <f t="shared" si="127"/>
        <v>0</v>
      </c>
      <c r="DC70" s="3295"/>
      <c r="DD70" s="3274"/>
      <c r="DE70" s="3274"/>
      <c r="DF70" s="3274">
        <f t="shared" si="157"/>
        <v>0</v>
      </c>
      <c r="DG70" s="3284">
        <f t="shared" si="128"/>
        <v>0</v>
      </c>
      <c r="DH70" s="3500"/>
      <c r="DI70" s="3288"/>
      <c r="DJ70" s="3274"/>
      <c r="DK70" s="3274">
        <f t="shared" si="158"/>
        <v>0</v>
      </c>
      <c r="DL70" s="3284">
        <f t="shared" si="129"/>
        <v>0</v>
      </c>
      <c r="DM70" s="3500"/>
      <c r="DN70" s="3288"/>
      <c r="DO70" s="3274"/>
      <c r="DP70" s="3274">
        <f t="shared" si="159"/>
        <v>0</v>
      </c>
      <c r="DQ70" s="3284">
        <f t="shared" si="130"/>
        <v>0</v>
      </c>
      <c r="DR70" s="3276"/>
      <c r="DS70" s="3288"/>
      <c r="DT70" s="3274"/>
      <c r="DU70" s="3274">
        <f t="shared" si="160"/>
        <v>0</v>
      </c>
      <c r="DV70" s="3284">
        <f t="shared" si="131"/>
        <v>0</v>
      </c>
      <c r="DW70" s="3295"/>
      <c r="DX70" s="3417">
        <f t="shared" si="161"/>
        <v>0</v>
      </c>
      <c r="DY70" s="3417">
        <f t="shared" si="161"/>
        <v>68207.12</v>
      </c>
      <c r="DZ70" s="3283">
        <f t="shared" si="162"/>
        <v>68207.12</v>
      </c>
      <c r="EA70" s="3284" t="e">
        <f t="shared" si="132"/>
        <v>#DIV/0!</v>
      </c>
      <c r="EB70" s="3295"/>
      <c r="ED70" s="1359">
        <v>57427.09</v>
      </c>
      <c r="EE70" s="3501">
        <f t="shared" ref="EE70" si="165">ED70-BM70</f>
        <v>57427.09</v>
      </c>
      <c r="EF70" s="3260"/>
    </row>
    <row r="71" spans="1:136" s="1411" customFormat="1" ht="13.95" customHeight="1" x14ac:dyDescent="0.25">
      <c r="A71" s="1586"/>
      <c r="B71" s="3310" t="s">
        <v>78</v>
      </c>
      <c r="C71" s="3621"/>
      <c r="D71" s="3531"/>
      <c r="E71" s="1074">
        <f t="shared" si="133"/>
        <v>0</v>
      </c>
      <c r="F71" s="3284">
        <f t="shared" si="51"/>
        <v>0</v>
      </c>
      <c r="G71" s="3242"/>
      <c r="H71" s="3274">
        <v>0</v>
      </c>
      <c r="I71" s="3274">
        <v>0</v>
      </c>
      <c r="J71" s="2028">
        <f t="shared" si="134"/>
        <v>0</v>
      </c>
      <c r="K71" s="3284">
        <f t="shared" si="117"/>
        <v>0</v>
      </c>
      <c r="L71" s="3295"/>
      <c r="M71" s="3497">
        <v>0</v>
      </c>
      <c r="N71" s="3497">
        <v>0</v>
      </c>
      <c r="O71" s="3498">
        <v>0</v>
      </c>
      <c r="P71" s="3523">
        <v>0</v>
      </c>
      <c r="Q71" s="1449"/>
      <c r="R71" s="3497"/>
      <c r="S71" s="3497"/>
      <c r="T71" s="3498">
        <f t="shared" si="135"/>
        <v>0</v>
      </c>
      <c r="U71" s="3523">
        <f t="shared" si="118"/>
        <v>0</v>
      </c>
      <c r="V71" s="3540"/>
      <c r="W71" s="3274"/>
      <c r="X71" s="3274"/>
      <c r="Y71" s="2028">
        <f t="shared" si="136"/>
        <v>0</v>
      </c>
      <c r="Z71" s="3284">
        <f t="shared" si="137"/>
        <v>0</v>
      </c>
      <c r="AA71" s="3295"/>
      <c r="AB71" s="3274"/>
      <c r="AC71" s="3274"/>
      <c r="AD71" s="2028">
        <f t="shared" si="138"/>
        <v>0</v>
      </c>
      <c r="AE71" s="3284">
        <f t="shared" si="119"/>
        <v>0</v>
      </c>
      <c r="AF71" s="3295"/>
      <c r="AG71" s="3288"/>
      <c r="AH71" s="3274"/>
      <c r="AI71" s="1997">
        <f t="shared" si="139"/>
        <v>0</v>
      </c>
      <c r="AJ71" s="3516">
        <f t="shared" si="7"/>
        <v>0</v>
      </c>
      <c r="AK71" s="3295"/>
      <c r="AL71" s="3288"/>
      <c r="AM71" s="3274"/>
      <c r="AN71" s="1997">
        <f t="shared" si="140"/>
        <v>0</v>
      </c>
      <c r="AO71" s="3516">
        <f t="shared" si="141"/>
        <v>0</v>
      </c>
      <c r="AP71" s="3295"/>
      <c r="AQ71" s="3274"/>
      <c r="AR71" s="3288"/>
      <c r="AS71" s="1997">
        <f t="shared" si="142"/>
        <v>0</v>
      </c>
      <c r="AT71" s="3516">
        <f t="shared" si="143"/>
        <v>0</v>
      </c>
      <c r="AU71" s="3275"/>
      <c r="AV71" s="1449"/>
      <c r="AW71" s="1449"/>
      <c r="AX71" s="1997">
        <f t="shared" si="144"/>
        <v>0</v>
      </c>
      <c r="AY71" s="3516">
        <f t="shared" si="145"/>
        <v>0</v>
      </c>
      <c r="AZ71" s="1449"/>
      <c r="BA71" s="1070"/>
      <c r="BB71" s="1449"/>
      <c r="BC71" s="1997">
        <f t="shared" si="146"/>
        <v>0</v>
      </c>
      <c r="BD71" s="3518">
        <f t="shared" si="34"/>
        <v>0</v>
      </c>
      <c r="BE71" s="1070"/>
      <c r="BF71" s="3288">
        <v>0</v>
      </c>
      <c r="BG71" s="3274">
        <v>0</v>
      </c>
      <c r="BH71" s="2028">
        <v>0</v>
      </c>
      <c r="BI71" s="3284">
        <v>0</v>
      </c>
      <c r="BJ71" s="3276"/>
      <c r="BK71" s="3288">
        <f t="shared" si="147"/>
        <v>0</v>
      </c>
      <c r="BL71" s="3274">
        <f t="shared" si="147"/>
        <v>0</v>
      </c>
      <c r="BM71" s="2028">
        <f t="shared" si="148"/>
        <v>0</v>
      </c>
      <c r="BN71" s="3284">
        <f t="shared" si="120"/>
        <v>0</v>
      </c>
      <c r="BO71" s="3276"/>
      <c r="BP71" s="1070"/>
      <c r="BQ71" s="1449"/>
      <c r="BR71" s="1997">
        <f t="shared" si="149"/>
        <v>0</v>
      </c>
      <c r="BS71" s="3426">
        <f t="shared" si="37"/>
        <v>0</v>
      </c>
      <c r="BT71" s="1070"/>
      <c r="BU71" s="3274"/>
      <c r="BV71" s="3274"/>
      <c r="BW71" s="2028">
        <f t="shared" si="150"/>
        <v>0</v>
      </c>
      <c r="BX71" s="3284">
        <f t="shared" si="121"/>
        <v>0</v>
      </c>
      <c r="BY71" s="3274"/>
      <c r="BZ71" s="3274"/>
      <c r="CA71" s="3274"/>
      <c r="CB71" s="2028">
        <f t="shared" si="151"/>
        <v>0</v>
      </c>
      <c r="CC71" s="3284">
        <f t="shared" si="122"/>
        <v>0</v>
      </c>
      <c r="CD71" s="3274"/>
      <c r="CE71" s="3274"/>
      <c r="CF71" s="3274"/>
      <c r="CG71" s="3283">
        <f t="shared" si="152"/>
        <v>0</v>
      </c>
      <c r="CH71" s="3284">
        <f t="shared" si="123"/>
        <v>0</v>
      </c>
      <c r="CI71" s="3274"/>
      <c r="CJ71" s="3274"/>
      <c r="CK71" s="3274"/>
      <c r="CL71" s="2028">
        <f t="shared" si="153"/>
        <v>0</v>
      </c>
      <c r="CM71" s="3284">
        <f t="shared" si="124"/>
        <v>0</v>
      </c>
      <c r="CN71" s="3274"/>
      <c r="CO71" s="3274"/>
      <c r="CP71" s="3274"/>
      <c r="CQ71" s="2028">
        <f t="shared" si="154"/>
        <v>0</v>
      </c>
      <c r="CR71" s="3284">
        <f t="shared" si="125"/>
        <v>0</v>
      </c>
      <c r="CS71" s="3274"/>
      <c r="CT71" s="3274"/>
      <c r="CU71" s="3274"/>
      <c r="CV71" s="2028">
        <f t="shared" si="155"/>
        <v>0</v>
      </c>
      <c r="CW71" s="3284">
        <f t="shared" si="126"/>
        <v>0</v>
      </c>
      <c r="CX71" s="3274"/>
      <c r="CY71" s="3274"/>
      <c r="CZ71" s="3274"/>
      <c r="DA71" s="2028">
        <f t="shared" si="156"/>
        <v>0</v>
      </c>
      <c r="DB71" s="3284">
        <f t="shared" si="127"/>
        <v>0</v>
      </c>
      <c r="DC71" s="3274"/>
      <c r="DD71" s="3274"/>
      <c r="DE71" s="3274"/>
      <c r="DF71" s="3274">
        <f t="shared" si="157"/>
        <v>0</v>
      </c>
      <c r="DG71" s="3284">
        <f t="shared" si="128"/>
        <v>0</v>
      </c>
      <c r="DH71" s="3429"/>
      <c r="DI71" s="3288"/>
      <c r="DJ71" s="3274"/>
      <c r="DK71" s="3274">
        <f t="shared" si="158"/>
        <v>0</v>
      </c>
      <c r="DL71" s="3284">
        <f t="shared" si="129"/>
        <v>0</v>
      </c>
      <c r="DM71" s="3429"/>
      <c r="DN71" s="3288"/>
      <c r="DO71" s="3274"/>
      <c r="DP71" s="3274">
        <f t="shared" si="159"/>
        <v>0</v>
      </c>
      <c r="DQ71" s="3284">
        <f t="shared" si="130"/>
        <v>0</v>
      </c>
      <c r="DR71" s="3274"/>
      <c r="DS71" s="3288"/>
      <c r="DT71" s="3274"/>
      <c r="DU71" s="3274">
        <f t="shared" si="160"/>
        <v>0</v>
      </c>
      <c r="DV71" s="3284">
        <f t="shared" si="131"/>
        <v>0</v>
      </c>
      <c r="DW71" s="3274"/>
      <c r="DX71" s="3288">
        <f>R71+W71+AB71+AG71+AL71+AQ71+AV71+BA71+BP71+BU71+BZ71+CE71+CJ71+CO71+CT71+CY71+DD71+DI71+DN71+DS71</f>
        <v>0</v>
      </c>
      <c r="DY71" s="3288">
        <f>S71+X71+AC71+AH71+AM71+AR71+AW71+BB71+BQ71+BV71+CA71+CF71+CK71+CP71+CU71+CZ71+DE71+DJ71+DO71+DT71</f>
        <v>0</v>
      </c>
      <c r="DZ71" s="2028">
        <f t="shared" si="162"/>
        <v>0</v>
      </c>
      <c r="EA71" s="3284" t="e">
        <f t="shared" si="132"/>
        <v>#DIV/0!</v>
      </c>
      <c r="EB71" s="3295"/>
      <c r="ED71" s="3288"/>
      <c r="EE71" s="3501"/>
      <c r="EF71" s="3496"/>
    </row>
    <row r="72" spans="1:136" s="1411" customFormat="1" ht="14.4" customHeight="1" thickBot="1" x14ac:dyDescent="0.3">
      <c r="A72" s="1586"/>
      <c r="B72" s="3310"/>
      <c r="C72" s="3654"/>
      <c r="D72" s="3655"/>
      <c r="E72" s="3656"/>
      <c r="F72" s="3657">
        <f t="shared" si="51"/>
        <v>0</v>
      </c>
      <c r="G72" s="3253"/>
      <c r="H72" s="3283">
        <v>0</v>
      </c>
      <c r="I72" s="3283">
        <v>0</v>
      </c>
      <c r="J72" s="2028"/>
      <c r="K72" s="3284">
        <f t="shared" si="117"/>
        <v>0</v>
      </c>
      <c r="L72" s="3295"/>
      <c r="M72" s="3497">
        <v>0</v>
      </c>
      <c r="N72" s="3497">
        <v>0</v>
      </c>
      <c r="O72" s="3498"/>
      <c r="P72" s="3523">
        <v>0</v>
      </c>
      <c r="Q72" s="1449"/>
      <c r="R72" s="3497"/>
      <c r="S72" s="3497"/>
      <c r="T72" s="3498"/>
      <c r="U72" s="3523">
        <v>0</v>
      </c>
      <c r="V72" s="3540"/>
      <c r="W72" s="3274"/>
      <c r="X72" s="3274"/>
      <c r="Y72" s="2028"/>
      <c r="Z72" s="3284">
        <f>Y72/$J$89</f>
        <v>0</v>
      </c>
      <c r="AA72" s="3295"/>
      <c r="AB72" s="3274"/>
      <c r="AC72" s="3274"/>
      <c r="AD72" s="2028"/>
      <c r="AE72" s="3284">
        <f>AD72/$J$89</f>
        <v>0</v>
      </c>
      <c r="AF72" s="3295"/>
      <c r="AG72" s="3288"/>
      <c r="AH72" s="3274"/>
      <c r="AI72" s="1997"/>
      <c r="AJ72" s="3516"/>
      <c r="AK72" s="3295"/>
      <c r="AL72" s="3418"/>
      <c r="AM72" s="3278"/>
      <c r="AN72" s="1997"/>
      <c r="AO72" s="3244">
        <f>AN72/$AI$89</f>
        <v>0</v>
      </c>
      <c r="AP72" s="3229"/>
      <c r="AQ72" s="1325"/>
      <c r="AR72" s="1325"/>
      <c r="AS72" s="1997"/>
      <c r="AT72" s="3244">
        <f>AS72/$AI$89</f>
        <v>0</v>
      </c>
      <c r="AU72" s="1325"/>
      <c r="AV72" s="1325"/>
      <c r="AW72" s="1325"/>
      <c r="AX72" s="2005"/>
      <c r="AY72" s="3244">
        <f>AX72/$AI$89</f>
        <v>0</v>
      </c>
      <c r="AZ72" s="1325"/>
      <c r="BA72" s="1880"/>
      <c r="BB72" s="1325"/>
      <c r="BC72" s="2005"/>
      <c r="BD72" s="3245">
        <f t="shared" si="34"/>
        <v>0</v>
      </c>
      <c r="BE72" s="1880"/>
      <c r="BF72" s="3418"/>
      <c r="BG72" s="3278"/>
      <c r="BH72" s="2046"/>
      <c r="BI72" s="3228"/>
      <c r="BJ72" s="3229"/>
      <c r="BK72" s="3418"/>
      <c r="BL72" s="3278"/>
      <c r="BM72" s="2046"/>
      <c r="BN72" s="3228"/>
      <c r="BO72" s="3229"/>
      <c r="BP72" s="1880"/>
      <c r="BQ72" s="1325"/>
      <c r="BR72" s="2005"/>
      <c r="BS72" s="3658">
        <f t="shared" si="37"/>
        <v>0</v>
      </c>
      <c r="BT72" s="1880"/>
      <c r="BU72" s="3278"/>
      <c r="BV72" s="3278"/>
      <c r="BW72" s="2046"/>
      <c r="BX72" s="3228"/>
      <c r="BY72" s="3229"/>
      <c r="BZ72" s="3278"/>
      <c r="CA72" s="3278"/>
      <c r="CB72" s="2046"/>
      <c r="CC72" s="3228"/>
      <c r="CD72" s="3229"/>
      <c r="CE72" s="3278"/>
      <c r="CF72" s="3278"/>
      <c r="CG72" s="2046"/>
      <c r="CH72" s="3228"/>
      <c r="CI72" s="3229"/>
      <c r="CJ72" s="3278"/>
      <c r="CK72" s="3278"/>
      <c r="CL72" s="2046"/>
      <c r="CM72" s="3228"/>
      <c r="CN72" s="3229"/>
      <c r="CO72" s="3278"/>
      <c r="CP72" s="3278"/>
      <c r="CQ72" s="2046"/>
      <c r="CR72" s="3228"/>
      <c r="CS72" s="3229"/>
      <c r="CT72" s="3278"/>
      <c r="CU72" s="3278"/>
      <c r="CV72" s="2046"/>
      <c r="CW72" s="3228"/>
      <c r="CX72" s="3229"/>
      <c r="CY72" s="3278"/>
      <c r="CZ72" s="3278"/>
      <c r="DA72" s="2046"/>
      <c r="DB72" s="3228"/>
      <c r="DC72" s="1325"/>
      <c r="DD72" s="3278"/>
      <c r="DE72" s="3278"/>
      <c r="DF72" s="2046"/>
      <c r="DG72" s="3228"/>
      <c r="DH72" s="2230"/>
      <c r="DI72" s="3418"/>
      <c r="DJ72" s="3278"/>
      <c r="DK72" s="2046"/>
      <c r="DL72" s="3228"/>
      <c r="DM72" s="2230"/>
      <c r="DN72" s="3418"/>
      <c r="DO72" s="3278"/>
      <c r="DP72" s="2046"/>
      <c r="DQ72" s="3228"/>
      <c r="DR72" s="1325"/>
      <c r="DS72" s="3418"/>
      <c r="DT72" s="3278"/>
      <c r="DU72" s="2046"/>
      <c r="DV72" s="3228"/>
      <c r="DW72" s="1325"/>
      <c r="DX72" s="3418">
        <f>W72+AB72</f>
        <v>0</v>
      </c>
      <c r="DY72" s="3278">
        <f>X72+AC72</f>
        <v>0</v>
      </c>
      <c r="DZ72" s="2046"/>
      <c r="EA72" s="3228">
        <f>DZ72/$J$89</f>
        <v>0</v>
      </c>
      <c r="EB72" s="3229"/>
      <c r="ED72" s="3418"/>
      <c r="EE72" s="3418"/>
      <c r="EF72" s="3496"/>
    </row>
    <row r="73" spans="1:136" s="1411" customFormat="1" ht="14.4" thickBot="1" x14ac:dyDescent="0.3">
      <c r="A73" s="1586"/>
      <c r="B73" s="3324" t="s">
        <v>4</v>
      </c>
      <c r="C73" s="3472">
        <f>C74</f>
        <v>0</v>
      </c>
      <c r="D73" s="3325">
        <f>D74</f>
        <v>0</v>
      </c>
      <c r="E73" s="3325">
        <f>E74</f>
        <v>0</v>
      </c>
      <c r="F73" s="3659">
        <f t="shared" si="51"/>
        <v>0</v>
      </c>
      <c r="G73" s="3254"/>
      <c r="H73" s="2865">
        <f>H74</f>
        <v>0</v>
      </c>
      <c r="I73" s="3325">
        <f>I74</f>
        <v>0</v>
      </c>
      <c r="J73" s="2022">
        <f>J74</f>
        <v>0</v>
      </c>
      <c r="K73" s="3325"/>
      <c r="L73" s="3325"/>
      <c r="M73" s="3660">
        <v>0</v>
      </c>
      <c r="N73" s="3661">
        <v>0</v>
      </c>
      <c r="O73" s="3648">
        <v>0</v>
      </c>
      <c r="P73" s="3661">
        <v>0</v>
      </c>
      <c r="Q73" s="3234"/>
      <c r="R73" s="3660">
        <f>R74</f>
        <v>0</v>
      </c>
      <c r="S73" s="3661">
        <f>S74</f>
        <v>0</v>
      </c>
      <c r="T73" s="3648">
        <f>T74</f>
        <v>0</v>
      </c>
      <c r="U73" s="3661">
        <f>T73/$T$89</f>
        <v>0</v>
      </c>
      <c r="V73" s="3661"/>
      <c r="W73" s="2865">
        <f>W74</f>
        <v>0</v>
      </c>
      <c r="X73" s="3325">
        <f>X74</f>
        <v>0</v>
      </c>
      <c r="Y73" s="2022">
        <f>Y74</f>
        <v>0</v>
      </c>
      <c r="Z73" s="3325">
        <f>Y73/$T$89</f>
        <v>0</v>
      </c>
      <c r="AA73" s="3325"/>
      <c r="AB73" s="2865">
        <f>AB74</f>
        <v>9790.3799999999992</v>
      </c>
      <c r="AC73" s="3325">
        <f>AC74</f>
        <v>0</v>
      </c>
      <c r="AD73" s="2022">
        <f>AD74</f>
        <v>9790.3799999999992</v>
      </c>
      <c r="AE73" s="3325">
        <f>AD73/$AD$89</f>
        <v>1.1680992354862842E-2</v>
      </c>
      <c r="AF73" s="3325"/>
      <c r="AG73" s="555">
        <f>AG74</f>
        <v>88473.349999999991</v>
      </c>
      <c r="AH73" s="3255">
        <f>AH74</f>
        <v>0</v>
      </c>
      <c r="AI73" s="1071">
        <f>AI74</f>
        <v>88473.349999999991</v>
      </c>
      <c r="AJ73" s="550">
        <f t="shared" ref="AJ73:AJ87" si="166">AI73/$AI$89</f>
        <v>8.1792057171694341E-2</v>
      </c>
      <c r="AK73" s="3255"/>
      <c r="AL73" s="1599">
        <f>AL74</f>
        <v>441853.88000000006</v>
      </c>
      <c r="AM73" s="1704">
        <f>AM74</f>
        <v>0</v>
      </c>
      <c r="AN73" s="1071">
        <f>AN74</f>
        <v>441853.88000000006</v>
      </c>
      <c r="AO73" s="944">
        <f>AN73/$AI$89</f>
        <v>0.40848614655707038</v>
      </c>
      <c r="AP73" s="1704"/>
      <c r="AQ73" s="1719"/>
      <c r="AR73" s="1719"/>
      <c r="AS73" s="1071">
        <f>AS74</f>
        <v>113315.76999999999</v>
      </c>
      <c r="AT73" s="944">
        <f>AS73/$AI$89</f>
        <v>0.10475843786060511</v>
      </c>
      <c r="AU73" s="1719"/>
      <c r="AV73" s="1346">
        <f>AV74</f>
        <v>107438.08</v>
      </c>
      <c r="AW73" s="1719"/>
      <c r="AX73" s="1703">
        <f>AX74</f>
        <v>107438.08</v>
      </c>
      <c r="AY73" s="944">
        <f>AX73/$AI$89</f>
        <v>9.9324616754955838E-2</v>
      </c>
      <c r="AZ73" s="1719"/>
      <c r="BA73" s="1346">
        <f>BA74</f>
        <v>244133.97</v>
      </c>
      <c r="BB73" s="1719"/>
      <c r="BC73" s="1703">
        <f>BC74</f>
        <v>244133.97</v>
      </c>
      <c r="BD73" s="1363">
        <f t="shared" si="34"/>
        <v>3.6003314467687342E-2</v>
      </c>
      <c r="BE73" s="1986"/>
      <c r="BF73" s="1599">
        <v>718163.23</v>
      </c>
      <c r="BG73" s="1986">
        <v>0</v>
      </c>
      <c r="BH73" s="1703">
        <v>718163.23</v>
      </c>
      <c r="BI73" s="1704"/>
      <c r="BJ73" s="1704"/>
      <c r="BK73" s="1599">
        <f>BK74</f>
        <v>0</v>
      </c>
      <c r="BL73" s="1986">
        <f>BL74</f>
        <v>0</v>
      </c>
      <c r="BM73" s="1703">
        <f>BM74</f>
        <v>0</v>
      </c>
      <c r="BN73" s="1704"/>
      <c r="BO73" s="1704"/>
      <c r="BP73" s="1346">
        <f>BP74</f>
        <v>0</v>
      </c>
      <c r="BQ73" s="1719"/>
      <c r="BR73" s="1703">
        <f>BR74</f>
        <v>0</v>
      </c>
      <c r="BS73" s="1986">
        <f t="shared" si="37"/>
        <v>0</v>
      </c>
      <c r="BT73" s="1986"/>
      <c r="BU73" s="1346">
        <f>BU74</f>
        <v>0</v>
      </c>
      <c r="BV73" s="1719"/>
      <c r="BW73" s="1703">
        <f>BW74</f>
        <v>0</v>
      </c>
      <c r="BX73" s="1704"/>
      <c r="BY73" s="1704"/>
      <c r="BZ73" s="1599">
        <f>BZ74</f>
        <v>0</v>
      </c>
      <c r="CA73" s="1704">
        <f>CA74</f>
        <v>0</v>
      </c>
      <c r="CB73" s="1703">
        <f>CB74</f>
        <v>0</v>
      </c>
      <c r="CC73" s="1704"/>
      <c r="CD73" s="1704"/>
      <c r="CE73" s="1599">
        <f>CE74</f>
        <v>0</v>
      </c>
      <c r="CF73" s="1704">
        <f>CF74</f>
        <v>0</v>
      </c>
      <c r="CG73" s="1703">
        <f>CG74</f>
        <v>0</v>
      </c>
      <c r="CH73" s="1704"/>
      <c r="CI73" s="1704"/>
      <c r="CJ73" s="1599">
        <f>CJ74</f>
        <v>0</v>
      </c>
      <c r="CK73" s="1704">
        <f>CK74</f>
        <v>0</v>
      </c>
      <c r="CL73" s="1703">
        <f>CL74</f>
        <v>0</v>
      </c>
      <c r="CM73" s="1704"/>
      <c r="CN73" s="1704"/>
      <c r="CO73" s="1599">
        <f>CO74</f>
        <v>0</v>
      </c>
      <c r="CP73" s="1704">
        <f>CP74</f>
        <v>0</v>
      </c>
      <c r="CQ73" s="1703">
        <f>CQ74</f>
        <v>0</v>
      </c>
      <c r="CR73" s="1704"/>
      <c r="CS73" s="1704"/>
      <c r="CT73" s="1599">
        <f>CT74</f>
        <v>0</v>
      </c>
      <c r="CU73" s="1704">
        <f>CU74</f>
        <v>0</v>
      </c>
      <c r="CV73" s="1703">
        <f>CV74</f>
        <v>0</v>
      </c>
      <c r="CW73" s="1704"/>
      <c r="CX73" s="1704"/>
      <c r="CY73" s="1599">
        <f>CY74</f>
        <v>0</v>
      </c>
      <c r="CZ73" s="1704">
        <f>CZ74</f>
        <v>0</v>
      </c>
      <c r="DA73" s="1703">
        <f>DA74</f>
        <v>0</v>
      </c>
      <c r="DB73" s="1704"/>
      <c r="DC73" s="1719"/>
      <c r="DD73" s="1599">
        <f>DD74</f>
        <v>0</v>
      </c>
      <c r="DE73" s="1704">
        <f>DE74</f>
        <v>0</v>
      </c>
      <c r="DF73" s="1703">
        <f>DF74</f>
        <v>0</v>
      </c>
      <c r="DG73" s="1704"/>
      <c r="DH73" s="1719"/>
      <c r="DI73" s="1599">
        <f>DI74</f>
        <v>0</v>
      </c>
      <c r="DJ73" s="1704">
        <f>DJ74</f>
        <v>0</v>
      </c>
      <c r="DK73" s="1703">
        <f>DK74</f>
        <v>0</v>
      </c>
      <c r="DL73" s="1704"/>
      <c r="DM73" s="1719"/>
      <c r="DN73" s="1599">
        <f>DN74</f>
        <v>0</v>
      </c>
      <c r="DO73" s="1704">
        <f>DO74</f>
        <v>0</v>
      </c>
      <c r="DP73" s="1703">
        <f>DP74</f>
        <v>0</v>
      </c>
      <c r="DQ73" s="1704"/>
      <c r="DR73" s="1704"/>
      <c r="DS73" s="1599">
        <f>DS74</f>
        <v>0</v>
      </c>
      <c r="DT73" s="1704">
        <f>DT74</f>
        <v>0</v>
      </c>
      <c r="DU73" s="1703">
        <f>DU74</f>
        <v>0</v>
      </c>
      <c r="DV73" s="1704"/>
      <c r="DW73" s="1704"/>
      <c r="DX73" s="1599">
        <f>DX74</f>
        <v>1723168.6600000001</v>
      </c>
      <c r="DY73" s="1704">
        <f>DY74</f>
        <v>0</v>
      </c>
      <c r="DZ73" s="1703">
        <f>DZ74</f>
        <v>1723168.6600000001</v>
      </c>
      <c r="EA73" s="1704" t="e">
        <f>DZ73/$BW$89</f>
        <v>#DIV/0!</v>
      </c>
      <c r="EB73" s="1704"/>
      <c r="ED73" s="843">
        <f>ED74</f>
        <v>784911.72</v>
      </c>
      <c r="EE73" s="843">
        <f>EE74</f>
        <v>784911.72</v>
      </c>
      <c r="EF73" s="3496"/>
    </row>
    <row r="74" spans="1:136" s="1411" customFormat="1" ht="28.2" customHeight="1" thickBot="1" x14ac:dyDescent="0.3">
      <c r="A74" s="1428"/>
      <c r="B74" s="3144" t="s">
        <v>64</v>
      </c>
      <c r="C74" s="3474"/>
      <c r="D74" s="3328"/>
      <c r="E74" s="3328">
        <f>C74+D74*1</f>
        <v>0</v>
      </c>
      <c r="F74" s="3662">
        <f t="shared" si="51"/>
        <v>0</v>
      </c>
      <c r="G74" s="3663"/>
      <c r="H74" s="3314"/>
      <c r="I74" s="3314"/>
      <c r="J74" s="3328">
        <f>H74+I74*1</f>
        <v>0</v>
      </c>
      <c r="K74" s="3328"/>
      <c r="L74" s="3328"/>
      <c r="M74" s="3548">
        <v>0</v>
      </c>
      <c r="N74" s="3548">
        <v>0</v>
      </c>
      <c r="O74" s="3664">
        <v>0</v>
      </c>
      <c r="P74" s="3664"/>
      <c r="Q74" s="3327"/>
      <c r="R74" s="3548"/>
      <c r="S74" s="3548"/>
      <c r="T74" s="3664">
        <f>R74+S74*1</f>
        <v>0</v>
      </c>
      <c r="U74" s="3664"/>
      <c r="V74" s="3664"/>
      <c r="W74" s="3314"/>
      <c r="X74" s="3314"/>
      <c r="Y74" s="3328">
        <f>W74+X74*1</f>
        <v>0</v>
      </c>
      <c r="Z74" s="3328"/>
      <c r="AA74" s="3328"/>
      <c r="AB74" s="3314">
        <v>9790.3799999999992</v>
      </c>
      <c r="AC74" s="3314"/>
      <c r="AD74" s="2028">
        <f>AB74+AC74*1</f>
        <v>9790.3799999999992</v>
      </c>
      <c r="AE74" s="3328"/>
      <c r="AF74" s="3390" t="s">
        <v>1089</v>
      </c>
      <c r="AG74" s="3323">
        <f>75723.42+980.76+11769.17</f>
        <v>88473.349999999991</v>
      </c>
      <c r="AH74" s="3314"/>
      <c r="AI74" s="3314">
        <f>AG74+AH74*1</f>
        <v>88473.349999999991</v>
      </c>
      <c r="AJ74" s="568">
        <f t="shared" si="166"/>
        <v>8.1792057171694341E-2</v>
      </c>
      <c r="AK74" s="3390" t="s">
        <v>1217</v>
      </c>
      <c r="AL74" s="3314">
        <f>412864.46+26759.46+2229.96</f>
        <v>441853.88000000006</v>
      </c>
      <c r="AM74" s="3314"/>
      <c r="AN74" s="3314">
        <f>AL74+AM74*1</f>
        <v>441853.88000000006</v>
      </c>
      <c r="AO74" s="1679">
        <f>AN74/$AI$89</f>
        <v>0.40848614655707038</v>
      </c>
      <c r="AP74" s="3275" t="s">
        <v>1302</v>
      </c>
      <c r="AQ74" s="3274">
        <f>53861+37574.77+21880</f>
        <v>113315.76999999999</v>
      </c>
      <c r="AR74" s="3327"/>
      <c r="AS74" s="3314">
        <f>AQ74+AR74*1</f>
        <v>113315.76999999999</v>
      </c>
      <c r="AT74" s="1679">
        <f>AS74/$AI$89</f>
        <v>0.10475843786060511</v>
      </c>
      <c r="AU74" s="3275" t="s">
        <v>1354</v>
      </c>
      <c r="AV74" s="1326">
        <v>107438.08</v>
      </c>
      <c r="AW74" s="3327"/>
      <c r="AX74" s="3314">
        <f>AV74+AW74*1</f>
        <v>107438.08</v>
      </c>
      <c r="AY74" s="1679">
        <f>AX74/$AI$89</f>
        <v>9.9324616754955838E-2</v>
      </c>
      <c r="AZ74" s="3275" t="s">
        <v>1452</v>
      </c>
      <c r="BA74" s="3278">
        <f>274122.37-29988.4</f>
        <v>244133.97</v>
      </c>
      <c r="BB74" s="3327"/>
      <c r="BC74" s="3665">
        <f>BA74+BB74*1</f>
        <v>244133.97</v>
      </c>
      <c r="BD74" s="1366">
        <f t="shared" ref="BD74:BD80" si="167">BC74/$BC$89</f>
        <v>3.6003314467687342E-2</v>
      </c>
      <c r="BE74" s="3519" t="s">
        <v>1575</v>
      </c>
      <c r="BF74" s="3666">
        <v>718163.23</v>
      </c>
      <c r="BG74" s="3288">
        <v>0</v>
      </c>
      <c r="BH74" s="2028">
        <v>718163.23</v>
      </c>
      <c r="BI74" s="3327"/>
      <c r="BJ74" s="3276"/>
      <c r="BK74" s="3666">
        <f t="shared" ref="BK74:BL74" si="168">BP74+BU74+BZ74+CE74+CJ74+CO74+CT74+CY74+DD74+DI74+DN74+DS74</f>
        <v>0</v>
      </c>
      <c r="BL74" s="3288">
        <f t="shared" si="168"/>
        <v>0</v>
      </c>
      <c r="BM74" s="2028">
        <f>BK74+BL74*1</f>
        <v>0</v>
      </c>
      <c r="BN74" s="3327"/>
      <c r="BO74" s="3276"/>
      <c r="BP74" s="3278"/>
      <c r="BQ74" s="3327"/>
      <c r="BR74" s="3667">
        <f>BP74+BQ74*1</f>
        <v>0</v>
      </c>
      <c r="BS74" s="3668"/>
      <c r="BT74" s="3519"/>
      <c r="BU74" s="3274"/>
      <c r="BV74" s="3274"/>
      <c r="BW74" s="2028">
        <f>BU74+BV74*1</f>
        <v>0</v>
      </c>
      <c r="BX74" s="3327"/>
      <c r="BY74" s="3327"/>
      <c r="BZ74" s="3274"/>
      <c r="CA74" s="3274"/>
      <c r="CB74" s="2028">
        <f>BZ74+CA74*1</f>
        <v>0</v>
      </c>
      <c r="CC74" s="3327"/>
      <c r="CD74" s="3276"/>
      <c r="CE74" s="3274"/>
      <c r="CF74" s="3274"/>
      <c r="CG74" s="3366">
        <f>CE74+CF74*1</f>
        <v>0</v>
      </c>
      <c r="CH74" s="3327"/>
      <c r="CI74" s="3327"/>
      <c r="CJ74" s="3274"/>
      <c r="CK74" s="2520"/>
      <c r="CL74" s="3274">
        <f>CJ74+CK74*1</f>
        <v>0</v>
      </c>
      <c r="CM74" s="3327"/>
      <c r="CN74" s="3276"/>
      <c r="CO74" s="3274"/>
      <c r="CP74" s="2520"/>
      <c r="CQ74" s="3274">
        <f>CO74+CP74*1</f>
        <v>0</v>
      </c>
      <c r="CR74" s="3327"/>
      <c r="CS74" s="3276"/>
      <c r="CT74" s="3274"/>
      <c r="CU74" s="2520"/>
      <c r="CV74" s="3274">
        <f>CT74+CU74*1</f>
        <v>0</v>
      </c>
      <c r="CW74" s="3327"/>
      <c r="CX74" s="3276"/>
      <c r="CY74" s="3274"/>
      <c r="CZ74" s="2520"/>
      <c r="DA74" s="3274">
        <f>CY74+CZ74*1</f>
        <v>0</v>
      </c>
      <c r="DB74" s="3327"/>
      <c r="DC74" s="3276"/>
      <c r="DD74" s="3274"/>
      <c r="DE74" s="2520"/>
      <c r="DF74" s="3274">
        <f>DD74+DE74*1</f>
        <v>0</v>
      </c>
      <c r="DG74" s="3327"/>
      <c r="DH74" s="3500"/>
      <c r="DI74" s="3288"/>
      <c r="DJ74" s="2520"/>
      <c r="DK74" s="3274">
        <f>DI74+DJ74*1</f>
        <v>0</v>
      </c>
      <c r="DL74" s="3327"/>
      <c r="DM74" s="3500"/>
      <c r="DN74" s="3288"/>
      <c r="DO74" s="2520"/>
      <c r="DP74" s="3274">
        <f>DN74+DO74*1</f>
        <v>0</v>
      </c>
      <c r="DQ74" s="3327"/>
      <c r="DR74" s="3276"/>
      <c r="DS74" s="3288"/>
      <c r="DT74" s="2520"/>
      <c r="DU74" s="3274">
        <f>DS74+DT74*1</f>
        <v>0</v>
      </c>
      <c r="DV74" s="3327"/>
      <c r="DW74" s="3276"/>
      <c r="DX74" s="3417">
        <f t="shared" ref="DX74:DY74" si="169">R74+W74+AB74+AG74+AL74+AQ74+AV74+BA74+BP74+BU74+BZ74+CE74+CJ74+CO74+CT74+CY74+DD74+DI74+DN74+DS74+BF74</f>
        <v>1723168.6600000001</v>
      </c>
      <c r="DY74" s="3417">
        <f t="shared" si="169"/>
        <v>0</v>
      </c>
      <c r="DZ74" s="3283">
        <f>DX74+DY74*1</f>
        <v>1723168.6600000001</v>
      </c>
      <c r="EA74" s="3327"/>
      <c r="EB74" s="3327"/>
      <c r="ED74" s="3288">
        <v>784911.72</v>
      </c>
      <c r="EE74" s="3288">
        <f t="shared" ref="EE74" si="170">ED74-BM74</f>
        <v>784911.72</v>
      </c>
      <c r="EF74" s="3496"/>
    </row>
    <row r="75" spans="1:136" s="1411" customFormat="1" ht="14.4" thickBot="1" x14ac:dyDescent="0.3">
      <c r="A75" s="1414"/>
      <c r="B75" s="1431" t="s">
        <v>48</v>
      </c>
      <c r="C75" s="1465">
        <f>C38-C41-C50-C54</f>
        <v>-1230542.02</v>
      </c>
      <c r="D75" s="1465">
        <f>D38-D41-D50-D54</f>
        <v>-1189256.33</v>
      </c>
      <c r="E75" s="1969">
        <f>E38-E41-E50-E54</f>
        <v>-2419798.35</v>
      </c>
      <c r="F75" s="195"/>
      <c r="G75" s="298"/>
      <c r="H75" s="1465">
        <f>H38-H41-H50-H54</f>
        <v>4135465.3388500009</v>
      </c>
      <c r="I75" s="1465">
        <f>I38-I41-I50-I54</f>
        <v>-1312276.8000000005</v>
      </c>
      <c r="J75" s="1969">
        <f>J38-J41-J50-J54</f>
        <v>2823188.5388499987</v>
      </c>
      <c r="K75" s="1969"/>
      <c r="L75" s="1969"/>
      <c r="M75" s="3669">
        <v>15112887.767400002</v>
      </c>
      <c r="N75" s="3669">
        <v>-10324959.719999999</v>
      </c>
      <c r="O75" s="3670">
        <v>4787928.0473999996</v>
      </c>
      <c r="P75" s="3671"/>
      <c r="Q75" s="1465"/>
      <c r="R75" s="3669">
        <f>R38-R41-R50-R54</f>
        <v>52901.422000000006</v>
      </c>
      <c r="S75" s="3669">
        <f>S38-S41-S50-S54</f>
        <v>-668803.32094999996</v>
      </c>
      <c r="T75" s="3670">
        <f>T38-T41-T50-T54</f>
        <v>-615901.89895000006</v>
      </c>
      <c r="U75" s="3671"/>
      <c r="V75" s="3671"/>
      <c r="W75" s="1465">
        <f>W38-W41-W50-W54</f>
        <v>1193394.5639999998</v>
      </c>
      <c r="X75" s="1465">
        <f>X38-X41-X50-X54</f>
        <v>-903283.35</v>
      </c>
      <c r="Y75" s="1523">
        <f>Y38-Y41-Y50-Y54</f>
        <v>290111.21399999998</v>
      </c>
      <c r="Z75" s="1969"/>
      <c r="AA75" s="1969"/>
      <c r="AB75" s="1465">
        <f>AB38-AB41-AB50-AB54</f>
        <v>477483.65600000008</v>
      </c>
      <c r="AC75" s="1465">
        <f>AC38-AC41-AC50-AC54</f>
        <v>-316637</v>
      </c>
      <c r="AD75" s="1523">
        <f>AD38-AD41-AD50-AD54</f>
        <v>160846.6560000001</v>
      </c>
      <c r="AE75" s="1969"/>
      <c r="AF75" s="1969"/>
      <c r="AG75" s="1465">
        <f>AG38-AG41-AG50-AG54</f>
        <v>752443.98</v>
      </c>
      <c r="AH75" s="1465">
        <f>AH38-AH41-AH50-AH54</f>
        <v>-420539.59000000008</v>
      </c>
      <c r="AI75" s="1523">
        <f>AI38-AI41-AI50-AI54</f>
        <v>331904.39</v>
      </c>
      <c r="AJ75" s="1027">
        <f t="shared" si="166"/>
        <v>0.30683977539469615</v>
      </c>
      <c r="AK75" s="1969"/>
      <c r="AL75" s="1465">
        <f>AL38-AL41-AL50-AL54</f>
        <v>3391997.9059999995</v>
      </c>
      <c r="AM75" s="1465">
        <f>AM38-AM41-AM50-AM54</f>
        <v>-1594487.18</v>
      </c>
      <c r="AN75" s="1523">
        <f>AN38-AN41-AN50-AN54</f>
        <v>1797510.7260000005</v>
      </c>
      <c r="AO75" s="1027">
        <f>AN75/$AI$89</f>
        <v>1.6617670752574178</v>
      </c>
      <c r="AP75" s="1969"/>
      <c r="AQ75" s="1465">
        <f>AQ38-AQ41-AQ50-AQ54</f>
        <v>6092377.1299999999</v>
      </c>
      <c r="AR75" s="1465">
        <f>AR38-AR41-AR50-AR54</f>
        <v>-2050566.3199999998</v>
      </c>
      <c r="AS75" s="1523">
        <f>AS38-AS41-AS50-AS54</f>
        <v>4041810.8100000005</v>
      </c>
      <c r="AT75" s="1027">
        <f>AS75/$AI$89</f>
        <v>3.7365830597427623</v>
      </c>
      <c r="AU75" s="1465"/>
      <c r="AV75" s="1465">
        <f>AV38-AV41-AV50-AV54</f>
        <v>6746563.0199999986</v>
      </c>
      <c r="AW75" s="1465">
        <f>AW38-AW41-AW50-AW54</f>
        <v>-2775184.17</v>
      </c>
      <c r="AX75" s="1523">
        <f>AX38-AX41-AX50-AX54</f>
        <v>3971378.8499999973</v>
      </c>
      <c r="AY75" s="1027">
        <f>AX75/$AI$89</f>
        <v>3.6714699505518618</v>
      </c>
      <c r="AZ75" s="1330"/>
      <c r="BA75" s="1465">
        <f>BA38-BA41-BA50-BA54</f>
        <v>7665258.3899999997</v>
      </c>
      <c r="BB75" s="1465">
        <f>BB38-BB41-BB50-BB54</f>
        <v>-2375415.0099999998</v>
      </c>
      <c r="BC75" s="1523">
        <f>BC38-BC41-BC50-BC54</f>
        <v>5289843.38</v>
      </c>
      <c r="BD75" s="1027"/>
      <c r="BE75" s="1330"/>
      <c r="BF75" s="1465">
        <v>25097579.851999994</v>
      </c>
      <c r="BG75" s="1969">
        <v>-12195946.310000001</v>
      </c>
      <c r="BH75" s="1523">
        <v>12901633.541999998</v>
      </c>
      <c r="BI75" s="1969"/>
      <c r="BJ75" s="1969"/>
      <c r="BK75" s="1465">
        <f>BK38-BK41-BK50-BK54</f>
        <v>0</v>
      </c>
      <c r="BL75" s="1969">
        <f>BL38-BL41-BL50-BL54</f>
        <v>0</v>
      </c>
      <c r="BM75" s="1523">
        <f>BM38-BM41-BM50-BM54</f>
        <v>0</v>
      </c>
      <c r="BN75" s="1969"/>
      <c r="BO75" s="1969"/>
      <c r="BP75" s="1465">
        <f>BP38-BP41-BP50-BP54</f>
        <v>0</v>
      </c>
      <c r="BQ75" s="1465">
        <f>BQ38-BQ41-BQ50-BQ54</f>
        <v>0</v>
      </c>
      <c r="BR75" s="1523">
        <f>BR38-BR41-BR50-BR54</f>
        <v>0</v>
      </c>
      <c r="BS75" s="1969"/>
      <c r="BT75" s="1330"/>
      <c r="BU75" s="1465">
        <f>BU38-BU41-BU50-BU54</f>
        <v>0</v>
      </c>
      <c r="BV75" s="1465">
        <f>BV38-BV41-BV50-BV54</f>
        <v>0</v>
      </c>
      <c r="BW75" s="1523">
        <f>BW38-BW41-BW50-BW54</f>
        <v>0</v>
      </c>
      <c r="BX75" s="1969"/>
      <c r="BY75" s="1969"/>
      <c r="BZ75" s="1465">
        <f>BZ38-BZ41-BZ50-BZ54</f>
        <v>0</v>
      </c>
      <c r="CA75" s="1465">
        <f>CA38-CA41-CA50-CA54</f>
        <v>0</v>
      </c>
      <c r="CB75" s="1523">
        <f>CB38-CB41-CB50-CB54</f>
        <v>0</v>
      </c>
      <c r="CC75" s="1969"/>
      <c r="CD75" s="1969"/>
      <c r="CE75" s="1465">
        <f>CE38-CE41-CE50-CE54</f>
        <v>0</v>
      </c>
      <c r="CF75" s="1465">
        <f>CF38-CF41-CF50-CF54</f>
        <v>0</v>
      </c>
      <c r="CG75" s="1523">
        <f>CG38-CG41-CG50-CG54</f>
        <v>0</v>
      </c>
      <c r="CH75" s="1969"/>
      <c r="CI75" s="1969"/>
      <c r="CJ75" s="1465">
        <f>CJ38-CJ41-CJ50-CJ54</f>
        <v>0</v>
      </c>
      <c r="CK75" s="1465">
        <f>CK38-CK41-CK50-CK54</f>
        <v>0</v>
      </c>
      <c r="CL75" s="1523">
        <f>CL38-CL41-CL50-CL54</f>
        <v>0</v>
      </c>
      <c r="CM75" s="1969"/>
      <c r="CN75" s="1969"/>
      <c r="CO75" s="1465">
        <f>CO38-CO41-CO50-CO54</f>
        <v>0</v>
      </c>
      <c r="CP75" s="1465">
        <f>CP38-CP41-CP50-CP54</f>
        <v>0</v>
      </c>
      <c r="CQ75" s="1523">
        <f>CQ38-CQ41-CQ50-CQ54</f>
        <v>0</v>
      </c>
      <c r="CR75" s="1969"/>
      <c r="CS75" s="1969"/>
      <c r="CT75" s="1465">
        <f>CT38-CT41-CT50-CT54</f>
        <v>0</v>
      </c>
      <c r="CU75" s="1465">
        <f>CU38-CU41-CU50-CU54</f>
        <v>0</v>
      </c>
      <c r="CV75" s="1523">
        <f>CV38-CV41-CV50-CV54</f>
        <v>0</v>
      </c>
      <c r="CW75" s="1969"/>
      <c r="CX75" s="1969"/>
      <c r="CY75" s="1465">
        <f>CY38-CY41-CY50-CY54</f>
        <v>0</v>
      </c>
      <c r="CZ75" s="1465">
        <f>CZ38-CZ41-CZ50-CZ54</f>
        <v>0</v>
      </c>
      <c r="DA75" s="1523">
        <f>DA38-DA41-DA50-DA54</f>
        <v>0</v>
      </c>
      <c r="DB75" s="1969"/>
      <c r="DC75" s="1465"/>
      <c r="DD75" s="1465">
        <f>DD38-DD41-DD50-DD54</f>
        <v>0</v>
      </c>
      <c r="DE75" s="1465">
        <f>DE38-DE41-DE50-DE54</f>
        <v>0</v>
      </c>
      <c r="DF75" s="1523">
        <f>DF38-DF41-DF50-DF54</f>
        <v>0</v>
      </c>
      <c r="DG75" s="1969"/>
      <c r="DH75" s="1465"/>
      <c r="DI75" s="1465">
        <f>DI38-DI41-DI50-DI54</f>
        <v>0</v>
      </c>
      <c r="DJ75" s="1465">
        <f>DJ38-DJ41-DJ50-DJ54</f>
        <v>0</v>
      </c>
      <c r="DK75" s="1523">
        <f>DK38-DK41-DK50-DK54</f>
        <v>0</v>
      </c>
      <c r="DL75" s="1969"/>
      <c r="DM75" s="1465"/>
      <c r="DN75" s="1465">
        <f>DN38-DN41-DN50-DN54</f>
        <v>0</v>
      </c>
      <c r="DO75" s="1465">
        <f>DO38-DO41-DO50-DO54</f>
        <v>0</v>
      </c>
      <c r="DP75" s="1523">
        <f>DP38-DP41-DP50-DP54</f>
        <v>0</v>
      </c>
      <c r="DQ75" s="1969"/>
      <c r="DR75" s="1969"/>
      <c r="DS75" s="1465">
        <f>DS38-DS41-DS50-DS54</f>
        <v>0</v>
      </c>
      <c r="DT75" s="1465">
        <f>DT38-DT41-DT50-DT54</f>
        <v>0</v>
      </c>
      <c r="DU75" s="1523">
        <f>DU38-DU41-DU50-DU54</f>
        <v>0</v>
      </c>
      <c r="DV75" s="1969"/>
      <c r="DW75" s="1969"/>
      <c r="DX75" s="1465">
        <f>DX38-DX41-DX50-DX54</f>
        <v>51469999.919999994</v>
      </c>
      <c r="DY75" s="1465">
        <f>DY38-DY41-DY50-DY54</f>
        <v>-23300862.250949997</v>
      </c>
      <c r="DZ75" s="1523">
        <f>DZ38-DZ41-DZ50-DZ54</f>
        <v>28169137.669050004</v>
      </c>
      <c r="EA75" s="1969"/>
      <c r="EB75" s="1969"/>
      <c r="ED75" s="1465">
        <f>ED38-ED41-ED50-ED54</f>
        <v>6578986.0300000031</v>
      </c>
      <c r="EE75" s="1465">
        <f>EE38-EE41-EE50-EE54</f>
        <v>6583036.0300000031</v>
      </c>
      <c r="EF75" s="3496"/>
    </row>
    <row r="76" spans="1:136" s="1411" customFormat="1" ht="14.4" thickBot="1" x14ac:dyDescent="0.3">
      <c r="A76" s="1581"/>
      <c r="B76" s="1444" t="s">
        <v>49</v>
      </c>
      <c r="C76" s="2019">
        <f>C75/C5</f>
        <v>-68.363445555555558</v>
      </c>
      <c r="D76" s="2019" t="e">
        <f>D75/D5</f>
        <v>#DIV/0!</v>
      </c>
      <c r="E76" s="2020">
        <f>E75/E5</f>
        <v>-134.43324166666667</v>
      </c>
      <c r="F76" s="1170"/>
      <c r="G76" s="3256"/>
      <c r="H76" s="2019">
        <f>H75/H5</f>
        <v>0.4258665517125248</v>
      </c>
      <c r="I76" s="2019">
        <f>I75/I5</f>
        <v>-0.26430984882192277</v>
      </c>
      <c r="J76" s="2020">
        <f>J75/J5</f>
        <v>0.19237262260352486</v>
      </c>
      <c r="K76" s="2020"/>
      <c r="L76" s="2020"/>
      <c r="M76" s="3610">
        <v>0.66902753438171014</v>
      </c>
      <c r="N76" s="3610" t="e">
        <v>#DIV/0!</v>
      </c>
      <c r="O76" s="3611">
        <v>0.21195523619640699</v>
      </c>
      <c r="P76" s="3611"/>
      <c r="Q76" s="2019"/>
      <c r="R76" s="3610">
        <f>R75/R5</f>
        <v>9.099754364840458E-2</v>
      </c>
      <c r="S76" s="3610" t="e">
        <f>S75/S5</f>
        <v>#DIV/0!</v>
      </c>
      <c r="T76" s="3611">
        <f>T75/T5</f>
        <v>-1.0594339020383592</v>
      </c>
      <c r="U76" s="3611"/>
      <c r="V76" s="3611"/>
      <c r="W76" s="2019">
        <f>W75/W5</f>
        <v>0.49401424708143626</v>
      </c>
      <c r="X76" s="2019" t="e">
        <f>X75/X5</f>
        <v>#DIV/0!</v>
      </c>
      <c r="Y76" s="2020">
        <f>Y75/Y5</f>
        <v>0.12009361972767578</v>
      </c>
      <c r="Z76" s="2020"/>
      <c r="AA76" s="2020"/>
      <c r="AB76" s="2019">
        <f>AB75/AB5</f>
        <v>0.5087287263939394</v>
      </c>
      <c r="AC76" s="2019">
        <f>AC75/AC5</f>
        <v>-110.05804657629476</v>
      </c>
      <c r="AD76" s="2020">
        <f>AD75/AD5</f>
        <v>0.1708482745919935</v>
      </c>
      <c r="AE76" s="2020"/>
      <c r="AF76" s="2020"/>
      <c r="AG76" s="2019">
        <f>AG75/AG5</f>
        <v>0.59149546216489779</v>
      </c>
      <c r="AH76" s="2019">
        <f>AH75/AH5</f>
        <v>-20.133283192373728</v>
      </c>
      <c r="AI76" s="2020">
        <f>AI75/AI5</f>
        <v>0.2566948162053076</v>
      </c>
      <c r="AJ76" s="1026">
        <f t="shared" si="166"/>
        <v>2.3730984621631366E-7</v>
      </c>
      <c r="AK76" s="2020"/>
      <c r="AL76" s="2019">
        <f>AL75/AL5</f>
        <v>0.59520524433699229</v>
      </c>
      <c r="AM76" s="2019" t="e">
        <f>AM75/AM5</f>
        <v>#DIV/0!</v>
      </c>
      <c r="AN76" s="2020">
        <f>AN75/AN5</f>
        <v>0.31541523329796384</v>
      </c>
      <c r="AO76" s="1026">
        <f>AN76/$AI$89</f>
        <v>2.9159583981764417E-7</v>
      </c>
      <c r="AP76" s="2020"/>
      <c r="AQ76" s="2019">
        <f>AQ75/AQ5</f>
        <v>0.60523423379963159</v>
      </c>
      <c r="AR76" s="2019">
        <f>AR75/AR5</f>
        <v>-113.9203511111111</v>
      </c>
      <c r="AS76" s="2020">
        <f>AS75/AS5</f>
        <v>0.40080837472073499</v>
      </c>
      <c r="AT76" s="1026">
        <f>AS76/$AI$89</f>
        <v>3.7054029829380545E-7</v>
      </c>
      <c r="AU76" s="2019"/>
      <c r="AV76" s="2019">
        <f>AV75/AV5</f>
        <v>0.60034801297066342</v>
      </c>
      <c r="AW76" s="2019">
        <f>AW75/AW5</f>
        <v>-283.18205816326531</v>
      </c>
      <c r="AX76" s="2020">
        <f>AX75/AX5</f>
        <v>0.35308823637199893</v>
      </c>
      <c r="AY76" s="1026">
        <f>AX76/$AI$89</f>
        <v>3.2642386906329722E-7</v>
      </c>
      <c r="AZ76" s="1331"/>
      <c r="BA76" s="2019">
        <f>BA75/BA5</f>
        <v>0.65685966034010734</v>
      </c>
      <c r="BB76" s="2019" t="e">
        <f>BB75/BB5</f>
        <v>#DIV/0!</v>
      </c>
      <c r="BC76" s="2020">
        <f>BC75/BC5</f>
        <v>0.45330301329074513</v>
      </c>
      <c r="BD76" s="1026"/>
      <c r="BE76" s="2019"/>
      <c r="BF76" s="2019">
        <v>0.47090328847658308</v>
      </c>
      <c r="BG76" s="2020" t="e">
        <v>#DIV/0!</v>
      </c>
      <c r="BH76" s="2020">
        <v>0.24207201242009169</v>
      </c>
      <c r="BI76" s="2020"/>
      <c r="BJ76" s="2020"/>
      <c r="BK76" s="2019" t="e">
        <f>BK75/BK5</f>
        <v>#DIV/0!</v>
      </c>
      <c r="BL76" s="2020" t="e">
        <f>BL75/BL5</f>
        <v>#DIV/0!</v>
      </c>
      <c r="BM76" s="2020" t="e">
        <f>BM75/BM5</f>
        <v>#DIV/0!</v>
      </c>
      <c r="BN76" s="2020"/>
      <c r="BO76" s="2020"/>
      <c r="BP76" s="2019" t="e">
        <f>BP75/BP5</f>
        <v>#DIV/0!</v>
      </c>
      <c r="BQ76" s="2019" t="e">
        <f>BQ75/BQ5</f>
        <v>#DIV/0!</v>
      </c>
      <c r="BR76" s="2020" t="e">
        <f>BR75/BR5</f>
        <v>#DIV/0!</v>
      </c>
      <c r="BS76" s="2020"/>
      <c r="BT76" s="2019"/>
      <c r="BU76" s="2019" t="e">
        <f>BU75/BU5</f>
        <v>#DIV/0!</v>
      </c>
      <c r="BV76" s="2019" t="e">
        <f>BV75/BV5</f>
        <v>#DIV/0!</v>
      </c>
      <c r="BW76" s="2020" t="e">
        <f>BW75/BW5</f>
        <v>#DIV/0!</v>
      </c>
      <c r="BX76" s="2020"/>
      <c r="BY76" s="2020"/>
      <c r="BZ76" s="2019" t="e">
        <f>BZ75/BZ5</f>
        <v>#DIV/0!</v>
      </c>
      <c r="CA76" s="2019" t="e">
        <f>CA75/CA5</f>
        <v>#DIV/0!</v>
      </c>
      <c r="CB76" s="2020" t="e">
        <f>CB75/CB5</f>
        <v>#DIV/0!</v>
      </c>
      <c r="CC76" s="2020"/>
      <c r="CD76" s="2020"/>
      <c r="CE76" s="2019" t="e">
        <f>CE75/CE5</f>
        <v>#DIV/0!</v>
      </c>
      <c r="CF76" s="2019" t="e">
        <f>CF75/CF5</f>
        <v>#DIV/0!</v>
      </c>
      <c r="CG76" s="2020" t="e">
        <f>CG75/CG5</f>
        <v>#DIV/0!</v>
      </c>
      <c r="CH76" s="2020"/>
      <c r="CI76" s="2020"/>
      <c r="CJ76" s="2019" t="e">
        <f>CJ75/CJ5</f>
        <v>#DIV/0!</v>
      </c>
      <c r="CK76" s="2019" t="e">
        <f>CK75/CK5</f>
        <v>#DIV/0!</v>
      </c>
      <c r="CL76" s="2020" t="e">
        <f>CL75/CL5</f>
        <v>#DIV/0!</v>
      </c>
      <c r="CM76" s="2020"/>
      <c r="CN76" s="2020"/>
      <c r="CO76" s="2019" t="e">
        <f>CO75/CO5</f>
        <v>#DIV/0!</v>
      </c>
      <c r="CP76" s="2019" t="e">
        <f>CP75/CP5</f>
        <v>#DIV/0!</v>
      </c>
      <c r="CQ76" s="2020" t="e">
        <f>CQ75/CQ5</f>
        <v>#DIV/0!</v>
      </c>
      <c r="CR76" s="2020"/>
      <c r="CS76" s="2020"/>
      <c r="CT76" s="2019" t="e">
        <f>CT75/CT5</f>
        <v>#DIV/0!</v>
      </c>
      <c r="CU76" s="2019" t="str">
        <f>IFERROR(CU75/CU5,"")</f>
        <v/>
      </c>
      <c r="CV76" s="2020" t="e">
        <f>CV75/CV5</f>
        <v>#DIV/0!</v>
      </c>
      <c r="CW76" s="2020"/>
      <c r="CX76" s="2020"/>
      <c r="CY76" s="2019" t="e">
        <f>CY75/CY5</f>
        <v>#DIV/0!</v>
      </c>
      <c r="CZ76" s="2019" t="str">
        <f>IFERROR(CZ75/CZ5,"")</f>
        <v/>
      </c>
      <c r="DA76" s="2020" t="e">
        <f>DA75/DA5</f>
        <v>#DIV/0!</v>
      </c>
      <c r="DB76" s="2020"/>
      <c r="DC76" s="2019"/>
      <c r="DD76" s="2019" t="e">
        <f>DD75/DD5</f>
        <v>#DIV/0!</v>
      </c>
      <c r="DE76" s="2019" t="str">
        <f>IFERROR(DE75/DE5,"")</f>
        <v/>
      </c>
      <c r="DF76" s="2020" t="e">
        <f>DF75/DF5</f>
        <v>#DIV/0!</v>
      </c>
      <c r="DG76" s="2020"/>
      <c r="DH76" s="2019"/>
      <c r="DI76" s="2019" t="e">
        <f>DI75/DI5</f>
        <v>#DIV/0!</v>
      </c>
      <c r="DJ76" s="2019" t="str">
        <f>IFERROR(DJ75/DJ5,"")</f>
        <v/>
      </c>
      <c r="DK76" s="2020" t="e">
        <f>DK75/DK5</f>
        <v>#DIV/0!</v>
      </c>
      <c r="DL76" s="2020"/>
      <c r="DM76" s="2019"/>
      <c r="DN76" s="2019" t="e">
        <f>DN75/DN5</f>
        <v>#DIV/0!</v>
      </c>
      <c r="DO76" s="2019" t="str">
        <f>IFERROR(DO75/DO5,"")</f>
        <v/>
      </c>
      <c r="DP76" s="2020" t="e">
        <f>DP75/DP5</f>
        <v>#DIV/0!</v>
      </c>
      <c r="DQ76" s="2020"/>
      <c r="DR76" s="2020"/>
      <c r="DS76" s="2019">
        <f>IFERROR(DS75/DS5,0)</f>
        <v>0</v>
      </c>
      <c r="DT76" s="2019" t="str">
        <f>IFERROR(DT75/DT5,"")</f>
        <v/>
      </c>
      <c r="DU76" s="2020">
        <f>IFERROR(DU75/DU5,0)</f>
        <v>0</v>
      </c>
      <c r="DV76" s="2020"/>
      <c r="DW76" s="2020"/>
      <c r="DX76" s="2019">
        <f>DX75/DX5</f>
        <v>0.52965346299844507</v>
      </c>
      <c r="DY76" s="2019">
        <f>DY75/DY5</f>
        <v>-451.87552920714484</v>
      </c>
      <c r="DZ76" s="2020">
        <f>DZ75/DZ5</f>
        <v>0.28972155856358245</v>
      </c>
      <c r="EA76" s="2020"/>
      <c r="EB76" s="2020"/>
      <c r="ED76" s="2019">
        <f>ED75/ED5</f>
        <v>0.1365803010160245</v>
      </c>
      <c r="EE76" s="2020">
        <f>EE75/EE5</f>
        <v>0.13666437935523856</v>
      </c>
      <c r="EF76" s="3496"/>
    </row>
    <row r="77" spans="1:136" s="1411" customFormat="1" ht="14.4" customHeight="1" thickBot="1" x14ac:dyDescent="0.3">
      <c r="A77" s="1581"/>
      <c r="B77" s="3331" t="s">
        <v>9</v>
      </c>
      <c r="C77" s="2868">
        <f>C78-C79</f>
        <v>0</v>
      </c>
      <c r="D77" s="2868">
        <f>D78-D79</f>
        <v>0</v>
      </c>
      <c r="E77" s="2868">
        <f>E78-E79</f>
        <v>-162171.31772727272</v>
      </c>
      <c r="F77" s="3672"/>
      <c r="G77" s="3673"/>
      <c r="H77" s="2865">
        <f>H78-H79</f>
        <v>-855981.14727272722</v>
      </c>
      <c r="I77" s="2865">
        <f>I78-I79</f>
        <v>0</v>
      </c>
      <c r="J77" s="2866">
        <f>J78-J79</f>
        <v>-855981.14727272722</v>
      </c>
      <c r="K77" s="2868"/>
      <c r="L77" s="2868"/>
      <c r="M77" s="3660">
        <v>0</v>
      </c>
      <c r="N77" s="3660">
        <v>0</v>
      </c>
      <c r="O77" s="3674">
        <v>-1472008.6906768305</v>
      </c>
      <c r="P77" s="3675"/>
      <c r="Q77" s="3138"/>
      <c r="R77" s="3660">
        <f>R78-R79</f>
        <v>-99936.1284178161</v>
      </c>
      <c r="S77" s="3660">
        <f>S78-S79</f>
        <v>0</v>
      </c>
      <c r="T77" s="3674">
        <f>T78-T79</f>
        <v>-99936.1284178161</v>
      </c>
      <c r="U77" s="3675"/>
      <c r="V77" s="3675"/>
      <c r="W77" s="2865">
        <f>W78-W79</f>
        <v>-134973.37413793104</v>
      </c>
      <c r="X77" s="2865">
        <f>X78-X79</f>
        <v>0</v>
      </c>
      <c r="Y77" s="2866">
        <f>Y78-Y79</f>
        <v>-134973.37413793104</v>
      </c>
      <c r="Z77" s="2868"/>
      <c r="AA77" s="2868"/>
      <c r="AB77" s="2865">
        <f>AB78-AB79</f>
        <v>-47743.471264367814</v>
      </c>
      <c r="AC77" s="2865">
        <f>AC78-AC79</f>
        <v>0</v>
      </c>
      <c r="AD77" s="2866">
        <f>AD78-AD79</f>
        <v>-47743.471264367814</v>
      </c>
      <c r="AE77" s="2868"/>
      <c r="AF77" s="2868"/>
      <c r="AG77" s="2865">
        <f>AG78-AG79</f>
        <v>-32125.188224763533</v>
      </c>
      <c r="AH77" s="2865">
        <f>AH78-AH79</f>
        <v>0</v>
      </c>
      <c r="AI77" s="2866">
        <f>AI78-AI79</f>
        <v>-32125.188224763533</v>
      </c>
      <c r="AJ77" s="944">
        <f t="shared" si="166"/>
        <v>-2.969917191935539E-2</v>
      </c>
      <c r="AK77" s="2868"/>
      <c r="AL77" s="2865">
        <f>AL78-AL79</f>
        <v>-56957.142230985854</v>
      </c>
      <c r="AM77" s="2865">
        <f>AM78-AM79</f>
        <v>0</v>
      </c>
      <c r="AN77" s="2866">
        <f>AN78-AN79</f>
        <v>-56957.142230985854</v>
      </c>
      <c r="AO77" s="546">
        <f>AN77/$AN$89</f>
        <v>-1.2532410983946529E-2</v>
      </c>
      <c r="AP77" s="2868"/>
      <c r="AQ77" s="3138">
        <f>AQ78-AQ79</f>
        <v>-102113.28362164569</v>
      </c>
      <c r="AR77" s="3138">
        <f>AR78-AR79</f>
        <v>0</v>
      </c>
      <c r="AS77" s="2866">
        <f>AS78-AS79</f>
        <v>-102113.28362164569</v>
      </c>
      <c r="AT77" s="546">
        <f>AS77/$AN$89</f>
        <v>-2.2468220615369336E-2</v>
      </c>
      <c r="AU77" s="3138"/>
      <c r="AV77" s="3138">
        <f>AV78-AV79</f>
        <v>-132124.18966204868</v>
      </c>
      <c r="AW77" s="3138">
        <f>AW78-AW79</f>
        <v>-4500</v>
      </c>
      <c r="AX77" s="2866">
        <f>AX78-AX79</f>
        <v>-136624.18966204868</v>
      </c>
      <c r="AY77" s="546">
        <f>AX77/$AN$89</f>
        <v>-3.0061734632851087E-2</v>
      </c>
      <c r="AZ77" s="3676"/>
      <c r="BA77" s="3138">
        <f>BA78-BA79</f>
        <v>-116471.62137166855</v>
      </c>
      <c r="BB77" s="3138">
        <f>BB78-BB79</f>
        <v>0</v>
      </c>
      <c r="BC77" s="2866">
        <f>BC78-BC79</f>
        <v>-116471.62137166855</v>
      </c>
      <c r="BD77" s="1363"/>
      <c r="BE77" s="3138"/>
      <c r="BF77" s="2865">
        <v>-877115.40366370254</v>
      </c>
      <c r="BG77" s="2866">
        <v>0</v>
      </c>
      <c r="BH77" s="2866">
        <v>-877115.40366370254</v>
      </c>
      <c r="BI77" s="2868"/>
      <c r="BJ77" s="2868"/>
      <c r="BK77" s="2865">
        <f>BK78-BK79</f>
        <v>0</v>
      </c>
      <c r="BL77" s="2866">
        <f>BL78-BL79</f>
        <v>0</v>
      </c>
      <c r="BM77" s="2866">
        <f>BM78-BM79</f>
        <v>0</v>
      </c>
      <c r="BN77" s="2868"/>
      <c r="BO77" s="2868"/>
      <c r="BP77" s="3138">
        <f>BP78-BP79</f>
        <v>0</v>
      </c>
      <c r="BQ77" s="3138">
        <f>BQ78-BQ79</f>
        <v>0</v>
      </c>
      <c r="BR77" s="2866">
        <f>BR78-BR79</f>
        <v>0</v>
      </c>
      <c r="BS77" s="2868"/>
      <c r="BT77" s="3138"/>
      <c r="BU77" s="3138">
        <f>BU78-BU79</f>
        <v>0</v>
      </c>
      <c r="BV77" s="3138">
        <f>BV78-BV79</f>
        <v>0</v>
      </c>
      <c r="BW77" s="2866">
        <f>BW78-BW79</f>
        <v>0</v>
      </c>
      <c r="BX77" s="2868"/>
      <c r="BY77" s="2868"/>
      <c r="BZ77" s="2865">
        <f>BZ78-BZ79</f>
        <v>0</v>
      </c>
      <c r="CA77" s="2865">
        <f>CA78-CA79</f>
        <v>0</v>
      </c>
      <c r="CB77" s="2866">
        <f>CB78-CB79</f>
        <v>0</v>
      </c>
      <c r="CC77" s="2868"/>
      <c r="CD77" s="2868"/>
      <c r="CE77" s="2865">
        <f>CE78-CE79</f>
        <v>0</v>
      </c>
      <c r="CF77" s="2865">
        <f>CF78-CF79</f>
        <v>0</v>
      </c>
      <c r="CG77" s="2866">
        <f>CG78-CG79</f>
        <v>0</v>
      </c>
      <c r="CH77" s="2868"/>
      <c r="CI77" s="2868"/>
      <c r="CJ77" s="2865">
        <f>CJ78-CJ79</f>
        <v>0</v>
      </c>
      <c r="CK77" s="2865">
        <f>CK78-CK79</f>
        <v>0</v>
      </c>
      <c r="CL77" s="2866">
        <f>CL78-CL79</f>
        <v>0</v>
      </c>
      <c r="CM77" s="2868"/>
      <c r="CN77" s="2868"/>
      <c r="CO77" s="2865">
        <f>CO78-CO79</f>
        <v>0</v>
      </c>
      <c r="CP77" s="2865">
        <f>CP78-CP79</f>
        <v>0</v>
      </c>
      <c r="CQ77" s="2866">
        <f>CQ78-CQ79</f>
        <v>0</v>
      </c>
      <c r="CR77" s="2868"/>
      <c r="CS77" s="2868"/>
      <c r="CT77" s="2865">
        <f>CT78-CT79</f>
        <v>0</v>
      </c>
      <c r="CU77" s="2865">
        <f>CU78-CU79</f>
        <v>0</v>
      </c>
      <c r="CV77" s="2866">
        <f>CV78-CV79</f>
        <v>0</v>
      </c>
      <c r="CW77" s="2868"/>
      <c r="CX77" s="2868"/>
      <c r="CY77" s="2865">
        <f>CY78-CY79</f>
        <v>0</v>
      </c>
      <c r="CZ77" s="2865">
        <f>CZ78-CZ79</f>
        <v>0</v>
      </c>
      <c r="DA77" s="2866">
        <f>DA78-DA79</f>
        <v>0</v>
      </c>
      <c r="DB77" s="2868"/>
      <c r="DC77" s="3138"/>
      <c r="DD77" s="2865">
        <f>DD78-DD79</f>
        <v>0</v>
      </c>
      <c r="DE77" s="2865">
        <f>DE78-DE79</f>
        <v>0</v>
      </c>
      <c r="DF77" s="2866">
        <f>DF78-DF79</f>
        <v>0</v>
      </c>
      <c r="DG77" s="2868"/>
      <c r="DH77" s="3138"/>
      <c r="DI77" s="2865">
        <f>DI78-DI79</f>
        <v>0</v>
      </c>
      <c r="DJ77" s="2865">
        <f>DJ78-DJ79</f>
        <v>0</v>
      </c>
      <c r="DK77" s="2866">
        <f>DK78-DK79</f>
        <v>0</v>
      </c>
      <c r="DL77" s="2868"/>
      <c r="DM77" s="3138"/>
      <c r="DN77" s="2865">
        <f>DN78-DN79</f>
        <v>0</v>
      </c>
      <c r="DO77" s="2865">
        <f>DO78-DO79</f>
        <v>0</v>
      </c>
      <c r="DP77" s="2866">
        <f>DP78-DP79</f>
        <v>0</v>
      </c>
      <c r="DQ77" s="2868"/>
      <c r="DR77" s="2868"/>
      <c r="DS77" s="2865">
        <f>DS78-DS79</f>
        <v>0</v>
      </c>
      <c r="DT77" s="2865">
        <f>DT78-DT79</f>
        <v>0</v>
      </c>
      <c r="DU77" s="2866">
        <f>DU78-DU79</f>
        <v>0</v>
      </c>
      <c r="DV77" s="2868"/>
      <c r="DW77" s="2868"/>
      <c r="DX77" s="2865">
        <f>DX78-DX79</f>
        <v>-1599559.8025949297</v>
      </c>
      <c r="DY77" s="2865">
        <f>DY78-DY79</f>
        <v>-4500</v>
      </c>
      <c r="DZ77" s="2866">
        <f>DZ78-DZ79</f>
        <v>-1604059.8025949297</v>
      </c>
      <c r="EA77" s="2868"/>
      <c r="EB77" s="2868"/>
      <c r="ED77" s="2865">
        <f>ED78-ED79</f>
        <v>-968476.53000000014</v>
      </c>
      <c r="EE77" s="2865">
        <f>EE78-EE79</f>
        <v>-968476.53000000014</v>
      </c>
      <c r="EF77" s="3496"/>
    </row>
    <row r="78" spans="1:136" s="1411" customFormat="1" ht="13.95" customHeight="1" x14ac:dyDescent="0.25">
      <c r="A78" s="1420"/>
      <c r="B78" s="1415" t="s">
        <v>43</v>
      </c>
      <c r="C78" s="3334"/>
      <c r="D78" s="3334"/>
      <c r="E78" s="3334">
        <f>C78+D78*1</f>
        <v>0</v>
      </c>
      <c r="F78" s="1992"/>
      <c r="G78" s="3242"/>
      <c r="H78" s="3274"/>
      <c r="I78" s="3274"/>
      <c r="J78" s="3333">
        <f>H78+I78*1</f>
        <v>0</v>
      </c>
      <c r="K78" s="3333"/>
      <c r="L78" s="3333"/>
      <c r="M78" s="3497">
        <v>0</v>
      </c>
      <c r="N78" s="3497">
        <v>0</v>
      </c>
      <c r="O78" s="3677">
        <v>0</v>
      </c>
      <c r="P78" s="3677"/>
      <c r="Q78" s="3334"/>
      <c r="R78" s="3497"/>
      <c r="S78" s="3497"/>
      <c r="T78" s="3677">
        <f>R78+S78*1.15</f>
        <v>0</v>
      </c>
      <c r="U78" s="3677"/>
      <c r="V78" s="3677"/>
      <c r="W78" s="3274"/>
      <c r="X78" s="3274"/>
      <c r="Y78" s="3333">
        <f>W78+X78*1.15</f>
        <v>0</v>
      </c>
      <c r="Z78" s="3333"/>
      <c r="AA78" s="3333"/>
      <c r="AB78" s="3274"/>
      <c r="AC78" s="3274"/>
      <c r="AD78" s="3333">
        <f>AB78+AC78*1.15</f>
        <v>0</v>
      </c>
      <c r="AE78" s="3333"/>
      <c r="AF78" s="3333"/>
      <c r="AG78" s="3274"/>
      <c r="AH78" s="3274"/>
      <c r="AI78" s="3678">
        <f>AG78+AH78*1.15</f>
        <v>0</v>
      </c>
      <c r="AJ78" s="624">
        <f t="shared" si="166"/>
        <v>0</v>
      </c>
      <c r="AK78" s="3334"/>
      <c r="AL78" s="3274"/>
      <c r="AM78" s="3274"/>
      <c r="AN78" s="3678">
        <f>AL78+AM78*1.15</f>
        <v>0</v>
      </c>
      <c r="AO78" s="3516">
        <f>AN78/$AN$89</f>
        <v>0</v>
      </c>
      <c r="AP78" s="3333"/>
      <c r="AQ78" s="3334"/>
      <c r="AR78" s="3334"/>
      <c r="AS78" s="3678">
        <f>AQ78+AR78*1.15</f>
        <v>0</v>
      </c>
      <c r="AT78" s="3516">
        <f>AS78/$AS$89</f>
        <v>0</v>
      </c>
      <c r="AU78" s="3334"/>
      <c r="AV78" s="3334"/>
      <c r="AW78" s="3334"/>
      <c r="AX78" s="3678">
        <f>AV78+AW78*1.15</f>
        <v>0</v>
      </c>
      <c r="AY78" s="3516">
        <f>AX78/$AS$89</f>
        <v>0</v>
      </c>
      <c r="AZ78" s="3334"/>
      <c r="BA78" s="3278"/>
      <c r="BB78" s="3334"/>
      <c r="BC78" s="3344">
        <f>BA78+BB78*1.15</f>
        <v>0</v>
      </c>
      <c r="BD78" s="1025">
        <f t="shared" si="167"/>
        <v>0</v>
      </c>
      <c r="BE78" s="3276"/>
      <c r="BF78" s="3666">
        <v>147210.88000000003</v>
      </c>
      <c r="BG78" s="3288">
        <v>0</v>
      </c>
      <c r="BH78" s="3274">
        <v>147210.88000000003</v>
      </c>
      <c r="BI78" s="3333"/>
      <c r="BJ78" s="3276"/>
      <c r="BK78" s="3666">
        <f t="shared" ref="BK78:BL79" si="171">BP78+BU78+BZ78+CE78+CJ78+CO78+CT78+CY78+DD78+DI78+DN78+DS78</f>
        <v>0</v>
      </c>
      <c r="BL78" s="3288">
        <f t="shared" si="171"/>
        <v>0</v>
      </c>
      <c r="BM78" s="3274">
        <f>BK78+BL78</f>
        <v>0</v>
      </c>
      <c r="BN78" s="3333"/>
      <c r="BO78" s="3276"/>
      <c r="BP78" s="3278"/>
      <c r="BQ78" s="3334"/>
      <c r="BR78" s="3489">
        <f>BP78+BQ78</f>
        <v>0</v>
      </c>
      <c r="BS78" s="3482">
        <f>BR78/$BC$89</f>
        <v>0</v>
      </c>
      <c r="BT78" s="3276"/>
      <c r="BU78" s="3274"/>
      <c r="BV78" s="3274"/>
      <c r="BW78" s="3333">
        <f>BU78+BV78*1.15</f>
        <v>0</v>
      </c>
      <c r="BX78" s="3333"/>
      <c r="BY78" s="3333"/>
      <c r="BZ78" s="3274"/>
      <c r="CA78" s="3274"/>
      <c r="CB78" s="3332">
        <f>BZ78+CA78*1.15</f>
        <v>0</v>
      </c>
      <c r="CC78" s="3333"/>
      <c r="CD78" s="3333"/>
      <c r="CE78" s="3274"/>
      <c r="CF78" s="3274"/>
      <c r="CG78" s="3366">
        <f>CE78+CF78*1.15</f>
        <v>0</v>
      </c>
      <c r="CH78" s="3333"/>
      <c r="CI78" s="3333"/>
      <c r="CJ78" s="3274"/>
      <c r="CK78" s="3274"/>
      <c r="CL78" s="3274">
        <f>CJ78+CK78</f>
        <v>0</v>
      </c>
      <c r="CM78" s="3333"/>
      <c r="CN78" s="3333"/>
      <c r="CO78" s="3274"/>
      <c r="CP78" s="3274"/>
      <c r="CQ78" s="3283">
        <f>CO78+CP78*1.15</f>
        <v>0</v>
      </c>
      <c r="CR78" s="3333"/>
      <c r="CS78" s="3333"/>
      <c r="CT78" s="3274"/>
      <c r="CU78" s="3274"/>
      <c r="CV78" s="3283">
        <f>CT78+CU78*1.15</f>
        <v>0</v>
      </c>
      <c r="CW78" s="3333"/>
      <c r="CX78" s="3333"/>
      <c r="CY78" s="3274"/>
      <c r="CZ78" s="3274"/>
      <c r="DA78" s="3283">
        <f>CY78+CZ78*1.15</f>
        <v>0</v>
      </c>
      <c r="DB78" s="3333"/>
      <c r="DC78" s="3333"/>
      <c r="DD78" s="3274"/>
      <c r="DE78" s="3274"/>
      <c r="DF78" s="3283">
        <f>DD78+DE78*1.15</f>
        <v>0</v>
      </c>
      <c r="DG78" s="3333"/>
      <c r="DH78" s="3679"/>
      <c r="DI78" s="3288"/>
      <c r="DJ78" s="3274"/>
      <c r="DK78" s="3283">
        <f>DI78+DJ78*1.15</f>
        <v>0</v>
      </c>
      <c r="DL78" s="3333"/>
      <c r="DM78" s="3679"/>
      <c r="DN78" s="3279"/>
      <c r="DO78" s="3274"/>
      <c r="DP78" s="3283">
        <f>DN78+DO78*1.15</f>
        <v>0</v>
      </c>
      <c r="DQ78" s="3333"/>
      <c r="DR78" s="3679"/>
      <c r="DS78" s="3288"/>
      <c r="DT78" s="3274"/>
      <c r="DU78" s="3283">
        <f>DS78+DT78*1.15</f>
        <v>0</v>
      </c>
      <c r="DV78" s="3333"/>
      <c r="DW78" s="3679"/>
      <c r="DX78" s="3417">
        <f t="shared" ref="DX78:DY79" si="172">R78+W78+AB78+AG78+AL78+AQ78+AV78+BA78+BP78+BU78+BZ78+CE78+CJ78+CO78+CT78+CY78+DD78+DI78+DN78+DS78+BF78</f>
        <v>147210.88000000003</v>
      </c>
      <c r="DY78" s="3417">
        <f t="shared" si="172"/>
        <v>0</v>
      </c>
      <c r="DZ78" s="3283">
        <f t="shared" ref="DZ78:DZ79" si="173">DX78+DY78*1</f>
        <v>147210.88000000003</v>
      </c>
      <c r="EA78" s="3333"/>
      <c r="EB78" s="3333"/>
      <c r="ED78" s="1359">
        <v>172853.58</v>
      </c>
      <c r="EE78" s="3501">
        <f>ED78-BM78</f>
        <v>172853.58</v>
      </c>
      <c r="EF78" s="3260"/>
    </row>
    <row r="79" spans="1:136" s="1411" customFormat="1" ht="13.95" customHeight="1" x14ac:dyDescent="0.25">
      <c r="A79" s="1420"/>
      <c r="B79" s="3289" t="s">
        <v>79</v>
      </c>
      <c r="C79" s="3311"/>
      <c r="D79" s="3311"/>
      <c r="E79" s="3680">
        <f>(D8+D41+D50+D54)/0.88*0.12</f>
        <v>162171.31772727272</v>
      </c>
      <c r="F79" s="3284"/>
      <c r="G79" s="3242"/>
      <c r="H79" s="3274">
        <f>J79</f>
        <v>855981.14727272722</v>
      </c>
      <c r="I79" s="3274"/>
      <c r="J79" s="2028">
        <f>(I8+I41+I50+I54)/0.88*0.12</f>
        <v>855981.14727272722</v>
      </c>
      <c r="K79" s="3311"/>
      <c r="L79" s="3311"/>
      <c r="M79" s="3274">
        <f>O79</f>
        <v>1472008.6906768305</v>
      </c>
      <c r="N79" s="3497">
        <v>0</v>
      </c>
      <c r="O79" s="3498">
        <v>1472008.6906768305</v>
      </c>
      <c r="P79" s="3587"/>
      <c r="Q79" s="3321"/>
      <c r="R79" s="3274">
        <f>T79</f>
        <v>99936.1284178161</v>
      </c>
      <c r="S79" s="3497"/>
      <c r="T79" s="2028">
        <f>($S$8+$S$41+$S$50+$S$54)/(1-'расчет 2022'!E4)*'расчет 2022'!E4</f>
        <v>99936.1284178161</v>
      </c>
      <c r="U79" s="3587"/>
      <c r="V79" s="3587"/>
      <c r="W79" s="3274">
        <f>Y79</f>
        <v>134973.37413793104</v>
      </c>
      <c r="X79" s="3274"/>
      <c r="Y79" s="2028">
        <f>(X8+X41+X50+X54)/(1-'расчет 2022'!E5)*'расчет 2022'!E5</f>
        <v>134973.37413793104</v>
      </c>
      <c r="Z79" s="3311"/>
      <c r="AA79" s="3311"/>
      <c r="AB79" s="3274">
        <f>AD79</f>
        <v>47743.471264367814</v>
      </c>
      <c r="AC79" s="3274"/>
      <c r="AD79" s="2028">
        <f>(AC8+AC41+AC50+AC54)/(1-'расчет 2022'!E6)*'расчет 2022'!E6</f>
        <v>47743.471264367814</v>
      </c>
      <c r="AE79" s="3295">
        <f>AD79/$AD$89</f>
        <v>5.6963174343967672E-2</v>
      </c>
      <c r="AF79" s="3311"/>
      <c r="AG79" s="3274">
        <f>AI79</f>
        <v>32125.188224763533</v>
      </c>
      <c r="AH79" s="3274"/>
      <c r="AI79" s="1997">
        <f>(AH8+AH41+AH50+AH54)/(1-'расчет 2022'!M7)*'расчет 2022'!M7</f>
        <v>32125.188224763533</v>
      </c>
      <c r="AJ79" s="3516">
        <f t="shared" si="166"/>
        <v>2.969917191935539E-2</v>
      </c>
      <c r="AK79" s="3311"/>
      <c r="AL79" s="3274">
        <f>AN79</f>
        <v>56957.142230985854</v>
      </c>
      <c r="AM79" s="3274"/>
      <c r="AN79" s="1997">
        <f>(AM8+AM41+AM50+AM54)/(1-'расчет 2022'!M8)*'расчет 2022'!M8</f>
        <v>56957.142230985854</v>
      </c>
      <c r="AO79" s="3516">
        <f>AN79/$AN$89</f>
        <v>1.2532410983946529E-2</v>
      </c>
      <c r="AP79" s="3311"/>
      <c r="AQ79" s="3274">
        <f>AS79</f>
        <v>102113.28362164569</v>
      </c>
      <c r="AR79" s="3311"/>
      <c r="AS79" s="1997">
        <f>(AR8+AR41+AR50+AR54)/(1-'расчет 2022'!M9)*'расчет 2022'!M9</f>
        <v>102113.28362164569</v>
      </c>
      <c r="AT79" s="3516"/>
      <c r="AU79" s="3311"/>
      <c r="AV79" s="3274">
        <f>AX79-AW79</f>
        <v>132124.18966204868</v>
      </c>
      <c r="AW79" s="3311">
        <v>4500</v>
      </c>
      <c r="AX79" s="1997">
        <f>(AW8+AW41+AW50+AW54)/(1-'расчет 2022'!M10)*'расчет 2022'!M10+AW79</f>
        <v>136624.18966204868</v>
      </c>
      <c r="AY79" s="3516"/>
      <c r="AZ79" s="3311" t="s">
        <v>1453</v>
      </c>
      <c r="BA79" s="3642">
        <f>BC79</f>
        <v>116471.62137166855</v>
      </c>
      <c r="BB79" s="3311"/>
      <c r="BC79" s="3642">
        <f>(BB8+BB41+BB50+BB54)/(1-'расчет 2022'!M11)*'расчет 2022'!M11</f>
        <v>116471.62137166855</v>
      </c>
      <c r="BD79" s="3426">
        <f t="shared" si="167"/>
        <v>1.7176488838507791E-2</v>
      </c>
      <c r="BE79" s="3276"/>
      <c r="BF79" s="3666">
        <v>1024326.2836637025</v>
      </c>
      <c r="BG79" s="3288">
        <v>0</v>
      </c>
      <c r="BH79" s="3274">
        <v>1024326.2836637025</v>
      </c>
      <c r="BI79" s="3311"/>
      <c r="BJ79" s="3276"/>
      <c r="BK79" s="3666">
        <f t="shared" si="171"/>
        <v>0</v>
      </c>
      <c r="BL79" s="3288">
        <f t="shared" si="171"/>
        <v>0</v>
      </c>
      <c r="BM79" s="3274">
        <f>BK79+BL79</f>
        <v>0</v>
      </c>
      <c r="BN79" s="3311"/>
      <c r="BO79" s="3276"/>
      <c r="BP79" s="3642">
        <f>(BQ8+BQ41+BQ50+BQ54)/(1-'расчет 2022'!M12)*'расчет 2022'!M12</f>
        <v>0</v>
      </c>
      <c r="BQ79" s="3311"/>
      <c r="BR79" s="3642">
        <f>BP79+BQ79</f>
        <v>0</v>
      </c>
      <c r="BS79" s="3426"/>
      <c r="BT79" s="3276"/>
      <c r="BU79" s="3274">
        <f>BW79</f>
        <v>0</v>
      </c>
      <c r="BV79" s="3274"/>
      <c r="BW79" s="2028">
        <f>(BV8+BV41+BV50+BV54)/(1-'расчет 2022'!M13)*'расчет 2022'!M13</f>
        <v>0</v>
      </c>
      <c r="BX79" s="3311"/>
      <c r="BY79" s="3276"/>
      <c r="BZ79" s="3274">
        <f>CB79</f>
        <v>0</v>
      </c>
      <c r="CA79" s="3274"/>
      <c r="CB79" s="2028">
        <f>(CA8+CA41+CA50+CA54)/(1-'расчет 2022'!M14)*'расчет 2022'!M14</f>
        <v>0</v>
      </c>
      <c r="CC79" s="3311"/>
      <c r="CD79" s="3276"/>
      <c r="CE79" s="3274">
        <f>CG79</f>
        <v>0</v>
      </c>
      <c r="CF79" s="3274"/>
      <c r="CG79" s="2028">
        <f>(CF8+CF41+CF50+CF54)/(1-'расчет 2022'!M15)*'расчет 2022'!M15</f>
        <v>0</v>
      </c>
      <c r="CH79" s="3311"/>
      <c r="CI79" s="3276"/>
      <c r="CJ79" s="3274">
        <f>(CK8+CK41+CK50+CK54)/(1-'расчет 2022'!M16)*'расчет 2022'!M16</f>
        <v>0</v>
      </c>
      <c r="CK79" s="3274"/>
      <c r="CL79" s="3274">
        <f>CJ79+CK79</f>
        <v>0</v>
      </c>
      <c r="CM79" s="3311"/>
      <c r="CN79" s="3276"/>
      <c r="CO79" s="3274">
        <f>(CP8+CP41+CP50+CP54)/(1-'расчет 2022'!M17)*'расчет 2022'!M17</f>
        <v>0</v>
      </c>
      <c r="CP79" s="3274"/>
      <c r="CQ79" s="2028">
        <f>CO79+CP79*1.15</f>
        <v>0</v>
      </c>
      <c r="CR79" s="3311"/>
      <c r="CS79" s="3276"/>
      <c r="CT79" s="3274">
        <f>(CU8+CU41+CU50+CU54)/(1-'расчет 2022'!M18)*'расчет 2022'!M18</f>
        <v>0</v>
      </c>
      <c r="CU79" s="3274"/>
      <c r="CV79" s="2028">
        <f>CT79+CU79*1.15</f>
        <v>0</v>
      </c>
      <c r="CW79" s="3311"/>
      <c r="CX79" s="3276"/>
      <c r="CY79" s="3274">
        <f>(CZ8+CZ41+CZ50+CZ54)/(1-'расчет 2022'!M19)*'расчет 2022'!M19</f>
        <v>0</v>
      </c>
      <c r="CZ79" s="3274"/>
      <c r="DA79" s="2028">
        <f>CY79+CZ79*1.15</f>
        <v>0</v>
      </c>
      <c r="DB79" s="3311"/>
      <c r="DC79" s="3276"/>
      <c r="DD79" s="3274">
        <f>(DE8+DE41+DE50+DE54)/(1-'расчет 2022'!M20)*'расчет 2022'!M20</f>
        <v>0</v>
      </c>
      <c r="DE79" s="3274"/>
      <c r="DF79" s="2028">
        <f>DD79+DE79*1.15</f>
        <v>0</v>
      </c>
      <c r="DG79" s="3311"/>
      <c r="DH79" s="3542"/>
      <c r="DI79" s="3274">
        <f>(DJ8+DJ41+DJ50+DJ54)/(1-'расчет 2022'!$M$21)*'расчет 2022'!$M$21</f>
        <v>0</v>
      </c>
      <c r="DJ79" s="3274"/>
      <c r="DK79" s="2028">
        <f>DI79+DJ79*1.15</f>
        <v>0</v>
      </c>
      <c r="DL79" s="3311"/>
      <c r="DM79" s="3276"/>
      <c r="DN79" s="3642"/>
      <c r="DO79" s="3274"/>
      <c r="DP79" s="2028">
        <f>DN79+DO79*1.15</f>
        <v>0</v>
      </c>
      <c r="DQ79" s="3311"/>
      <c r="DR79" s="3276"/>
      <c r="DS79" s="3642">
        <f>(DT8+DT41+DT50+DT54)/(1-'расчет 2022'!$M$23)*'расчет 2022'!$M$23</f>
        <v>0</v>
      </c>
      <c r="DT79" s="3274"/>
      <c r="DU79" s="2028">
        <f>DS79+DT79*1.15</f>
        <v>0</v>
      </c>
      <c r="DV79" s="3311"/>
      <c r="DW79" s="3276"/>
      <c r="DX79" s="3417">
        <f t="shared" si="172"/>
        <v>1746770.6825949298</v>
      </c>
      <c r="DY79" s="3417">
        <f t="shared" si="172"/>
        <v>4500</v>
      </c>
      <c r="DZ79" s="3283">
        <f t="shared" si="173"/>
        <v>1751270.6825949298</v>
      </c>
      <c r="EA79" s="3311"/>
      <c r="EB79" s="3311"/>
      <c r="ED79" s="1359">
        <v>1141330.1100000001</v>
      </c>
      <c r="EE79" s="3501">
        <f>ED79-BM79</f>
        <v>1141330.1100000001</v>
      </c>
      <c r="EF79" s="3260"/>
    </row>
    <row r="80" spans="1:136" ht="14.4" customHeight="1" thickBot="1" x14ac:dyDescent="0.3">
      <c r="A80" s="1412"/>
      <c r="B80" s="3335"/>
      <c r="C80" s="3336"/>
      <c r="D80" s="3336"/>
      <c r="E80" s="3336"/>
      <c r="F80" s="3681"/>
      <c r="G80" s="3682"/>
      <c r="H80" s="3336"/>
      <c r="I80" s="3336"/>
      <c r="J80" s="3336"/>
      <c r="K80" s="3336"/>
      <c r="L80" s="3336"/>
      <c r="M80" s="3497">
        <v>0</v>
      </c>
      <c r="N80" s="3497">
        <v>0</v>
      </c>
      <c r="O80" s="3683"/>
      <c r="P80" s="3683"/>
      <c r="Q80" s="3306"/>
      <c r="R80" s="3497"/>
      <c r="S80" s="3497"/>
      <c r="T80" s="3683"/>
      <c r="U80" s="3683"/>
      <c r="V80" s="3683"/>
      <c r="W80" s="3274"/>
      <c r="X80" s="3274"/>
      <c r="Y80" s="3336"/>
      <c r="Z80" s="3336"/>
      <c r="AA80" s="3336"/>
      <c r="AB80" s="3274"/>
      <c r="AC80" s="3274"/>
      <c r="AD80" s="3336"/>
      <c r="AE80" s="3336"/>
      <c r="AF80" s="3336"/>
      <c r="AG80" s="3274"/>
      <c r="AH80" s="3274"/>
      <c r="AI80" s="3684"/>
      <c r="AJ80" s="3516">
        <f t="shared" si="166"/>
        <v>0</v>
      </c>
      <c r="AK80" s="3336"/>
      <c r="AL80" s="3274"/>
      <c r="AM80" s="3274"/>
      <c r="AN80" s="3684"/>
      <c r="AO80" s="3516">
        <f>AN80/$AI$89</f>
        <v>0</v>
      </c>
      <c r="AP80" s="3336"/>
      <c r="AQ80" s="3306"/>
      <c r="AR80" s="3306"/>
      <c r="AS80" s="3684"/>
      <c r="AT80" s="3516">
        <f>AS80/$AI$89</f>
        <v>0</v>
      </c>
      <c r="AU80" s="3306"/>
      <c r="AV80" s="3306"/>
      <c r="AW80" s="3306"/>
      <c r="AX80" s="3684"/>
      <c r="AY80" s="3516">
        <f>AX80/$AI$89</f>
        <v>0</v>
      </c>
      <c r="AZ80" s="3306"/>
      <c r="BA80" s="3306"/>
      <c r="BB80" s="3306"/>
      <c r="BC80" s="3306"/>
      <c r="BD80" s="3026">
        <f t="shared" si="167"/>
        <v>0</v>
      </c>
      <c r="BE80" s="3306"/>
      <c r="BF80" s="3666"/>
      <c r="BG80" s="3288"/>
      <c r="BH80" s="3336"/>
      <c r="BI80" s="3336"/>
      <c r="BJ80" s="3336"/>
      <c r="BK80" s="3666"/>
      <c r="BL80" s="3288"/>
      <c r="BM80" s="3336"/>
      <c r="BN80" s="3336"/>
      <c r="BO80" s="3336"/>
      <c r="BP80" s="3306"/>
      <c r="BQ80" s="3306"/>
      <c r="BR80" s="3568"/>
      <c r="BS80" s="3484">
        <f>BR80/$BC$89</f>
        <v>0</v>
      </c>
      <c r="BT80" s="3306"/>
      <c r="BU80" s="3274"/>
      <c r="BV80" s="3274"/>
      <c r="BW80" s="3336"/>
      <c r="BX80" s="3336"/>
      <c r="BY80" s="3336"/>
      <c r="BZ80" s="3274"/>
      <c r="CA80" s="3274"/>
      <c r="CB80" s="3336"/>
      <c r="CC80" s="3336"/>
      <c r="CD80" s="3336"/>
      <c r="CE80" s="3274"/>
      <c r="CF80" s="3274"/>
      <c r="CG80" s="3336"/>
      <c r="CH80" s="3336"/>
      <c r="CI80" s="3336"/>
      <c r="CJ80" s="3274"/>
      <c r="CK80" s="3274"/>
      <c r="CL80" s="3336"/>
      <c r="CM80" s="3336"/>
      <c r="CN80" s="3336"/>
      <c r="CO80" s="3274"/>
      <c r="CP80" s="3274"/>
      <c r="CQ80" s="3336"/>
      <c r="CR80" s="3336"/>
      <c r="CS80" s="3336"/>
      <c r="CT80" s="3274"/>
      <c r="CU80" s="3274"/>
      <c r="CV80" s="3336"/>
      <c r="CW80" s="3336"/>
      <c r="CX80" s="3336"/>
      <c r="CY80" s="3274"/>
      <c r="CZ80" s="3274"/>
      <c r="DA80" s="3336"/>
      <c r="DB80" s="3336"/>
      <c r="DC80" s="3306"/>
      <c r="DD80" s="3274"/>
      <c r="DE80" s="3274"/>
      <c r="DF80" s="3336"/>
      <c r="DG80" s="3336"/>
      <c r="DH80" s="3568"/>
      <c r="DI80" s="3288"/>
      <c r="DJ80" s="3274"/>
      <c r="DK80" s="3336"/>
      <c r="DL80" s="3336"/>
      <c r="DM80" s="3568"/>
      <c r="DN80" s="3288"/>
      <c r="DO80" s="3274"/>
      <c r="DP80" s="3336"/>
      <c r="DQ80" s="3336"/>
      <c r="DR80" s="3306"/>
      <c r="DS80" s="3288"/>
      <c r="DT80" s="3274"/>
      <c r="DU80" s="3336"/>
      <c r="DV80" s="3336"/>
      <c r="DW80" s="3306"/>
      <c r="DX80" s="3288">
        <f>W80+AB80</f>
        <v>0</v>
      </c>
      <c r="DY80" s="3274">
        <f>X80+AC80</f>
        <v>0</v>
      </c>
      <c r="DZ80" s="3336"/>
      <c r="EA80" s="3336"/>
      <c r="EB80" s="3336"/>
      <c r="ED80" s="3288"/>
      <c r="EE80" s="3288"/>
    </row>
    <row r="81" spans="1:136" s="1411" customFormat="1" ht="14.4" customHeight="1" thickBot="1" x14ac:dyDescent="0.3">
      <c r="A81" s="1434"/>
      <c r="B81" s="3331" t="s">
        <v>12</v>
      </c>
      <c r="C81" s="2865">
        <f>(C75+C78)-C79</f>
        <v>-1230542.02</v>
      </c>
      <c r="D81" s="2865">
        <f>(D75+D78)-D79</f>
        <v>-1189256.33</v>
      </c>
      <c r="E81" s="2866">
        <f>(E75+E78)-E79</f>
        <v>-2581969.667727273</v>
      </c>
      <c r="F81" s="3685"/>
      <c r="G81" s="3686"/>
      <c r="H81" s="2865">
        <f>(H75+H78)-H79</f>
        <v>3279484.1915772734</v>
      </c>
      <c r="I81" s="2865">
        <f>(I75+I78)-I79</f>
        <v>-1312276.8000000005</v>
      </c>
      <c r="J81" s="2866">
        <f>(J75+J78)-J79</f>
        <v>1967207.3915772715</v>
      </c>
      <c r="K81" s="2868"/>
      <c r="L81" s="2868"/>
      <c r="M81" s="3660">
        <v>15112887.767400002</v>
      </c>
      <c r="N81" s="3660">
        <v>-10324959.719999999</v>
      </c>
      <c r="O81" s="3674">
        <v>3315919.3567231689</v>
      </c>
      <c r="P81" s="3675"/>
      <c r="Q81" s="3138"/>
      <c r="R81" s="3660">
        <f>(R75+R78)-R79</f>
        <v>-47034.706417816094</v>
      </c>
      <c r="S81" s="3660">
        <f>(S75+S78)-S79</f>
        <v>-668803.32094999996</v>
      </c>
      <c r="T81" s="3674">
        <f>(T75+T78)-T79</f>
        <v>-715838.02736781619</v>
      </c>
      <c r="U81" s="3675"/>
      <c r="V81" s="3675"/>
      <c r="W81" s="2865">
        <f>(W75+W78)-W79</f>
        <v>1058421.1898620687</v>
      </c>
      <c r="X81" s="2865">
        <f>(X75+X78)-X79</f>
        <v>-903283.35</v>
      </c>
      <c r="Y81" s="2866">
        <f>(Y75+Y78)-Y79</f>
        <v>155137.83986206894</v>
      </c>
      <c r="Z81" s="2868"/>
      <c r="AA81" s="2868"/>
      <c r="AB81" s="2865">
        <f>(AB75+AB78)-AB79</f>
        <v>429740.18473563227</v>
      </c>
      <c r="AC81" s="2865">
        <f>(AC75+AC78)-AC79</f>
        <v>-316637</v>
      </c>
      <c r="AD81" s="2866">
        <f>(AD75+AD78)-AD79</f>
        <v>113103.1847356323</v>
      </c>
      <c r="AE81" s="2868"/>
      <c r="AF81" s="2868"/>
      <c r="AG81" s="2865">
        <f>(AG75+AG78)-AG79</f>
        <v>720318.79177523649</v>
      </c>
      <c r="AH81" s="2865">
        <f>(AH75+AH78)-AH79</f>
        <v>-420539.59000000008</v>
      </c>
      <c r="AI81" s="2866">
        <f>(AI75+AI78)-AI79</f>
        <v>299779.20177523646</v>
      </c>
      <c r="AJ81" s="550">
        <f t="shared" si="166"/>
        <v>0.27714060347534075</v>
      </c>
      <c r="AK81" s="2868"/>
      <c r="AL81" s="2865">
        <f>(AL75+AL78)-AL79</f>
        <v>3335040.7637690138</v>
      </c>
      <c r="AM81" s="2865">
        <f>(AM75+AM78)-AM79</f>
        <v>-1594487.18</v>
      </c>
      <c r="AN81" s="2866">
        <f>(AN75+AN78)-AN79</f>
        <v>1740553.5837690146</v>
      </c>
      <c r="AO81" s="550">
        <f>AN81/$AN$89</f>
        <v>0.38297800762039275</v>
      </c>
      <c r="AP81" s="2868"/>
      <c r="AQ81" s="3138">
        <f>(AQ75+AQ78)-AQ79</f>
        <v>5990263.8463783544</v>
      </c>
      <c r="AR81" s="3138">
        <f>(AR75+AR78)-AR79</f>
        <v>-2050566.3199999998</v>
      </c>
      <c r="AS81" s="2866">
        <f>(AS75+AS78)-AS79</f>
        <v>3939697.526378355</v>
      </c>
      <c r="AT81" s="550">
        <f>AS81/$AN$89</f>
        <v>0.8668607064725703</v>
      </c>
      <c r="AU81" s="3138"/>
      <c r="AV81" s="3138">
        <f>(AV75+AV78)-AV79</f>
        <v>6614438.83033795</v>
      </c>
      <c r="AW81" s="3138">
        <f>(AW75+AW78)-AW79</f>
        <v>-2779684.17</v>
      </c>
      <c r="AX81" s="2866">
        <f>(AX75+AX78)-AX79</f>
        <v>3834754.6603379487</v>
      </c>
      <c r="AY81" s="550">
        <f>AX81/$AN$89</f>
        <v>0.84376988633068251</v>
      </c>
      <c r="AZ81" s="3676"/>
      <c r="BA81" s="3138">
        <f>(BA75+BA78)-BA79</f>
        <v>7548786.7686283309</v>
      </c>
      <c r="BB81" s="3138">
        <f>(BB75+BB78)-BB79</f>
        <v>-2375415.0099999998</v>
      </c>
      <c r="BC81" s="2866">
        <f>(BC75+BC78)-BC79</f>
        <v>5173371.7586283311</v>
      </c>
      <c r="BD81" s="1363"/>
      <c r="BE81" s="3138"/>
      <c r="BF81" s="2865">
        <v>24220464.448336292</v>
      </c>
      <c r="BG81" s="2866">
        <v>-12195946.310000001</v>
      </c>
      <c r="BH81" s="2866">
        <v>12024518.138336295</v>
      </c>
      <c r="BI81" s="2868"/>
      <c r="BJ81" s="2868"/>
      <c r="BK81" s="2865">
        <f>(BK75+BK78)-BK79</f>
        <v>0</v>
      </c>
      <c r="BL81" s="2866">
        <f>(BL75+BL78)-BL79</f>
        <v>0</v>
      </c>
      <c r="BM81" s="2866">
        <f>(BM75+BM78)-BM79</f>
        <v>0</v>
      </c>
      <c r="BN81" s="2868"/>
      <c r="BO81" s="2868"/>
      <c r="BP81" s="3138">
        <f>(BP75+BP78)-BP79</f>
        <v>0</v>
      </c>
      <c r="BQ81" s="3138">
        <f>(BQ75+BQ78)-BQ79</f>
        <v>0</v>
      </c>
      <c r="BR81" s="2866">
        <f>(BR75+BR78)-BR79</f>
        <v>0</v>
      </c>
      <c r="BS81" s="2868"/>
      <c r="BT81" s="3138"/>
      <c r="BU81" s="3138">
        <f>(BU75+BU78)-BU79</f>
        <v>0</v>
      </c>
      <c r="BV81" s="3138">
        <f>(BV75+BV78)-BV79</f>
        <v>0</v>
      </c>
      <c r="BW81" s="2866">
        <f>(BW75+BW78)-BW79</f>
        <v>0</v>
      </c>
      <c r="BX81" s="2868"/>
      <c r="BY81" s="2868"/>
      <c r="BZ81" s="2865">
        <f>(BZ75+BZ78)-BZ79</f>
        <v>0</v>
      </c>
      <c r="CA81" s="2865">
        <f>(CA75+CA78)-CA79</f>
        <v>0</v>
      </c>
      <c r="CB81" s="2866">
        <f>(CB75+CB78)-CB79</f>
        <v>0</v>
      </c>
      <c r="CC81" s="2868"/>
      <c r="CD81" s="2868"/>
      <c r="CE81" s="2865">
        <f>(CE75+CE78)-CE79</f>
        <v>0</v>
      </c>
      <c r="CF81" s="2865">
        <f>(CF75+CF78)-CF79</f>
        <v>0</v>
      </c>
      <c r="CG81" s="2866">
        <f>(CG75+CG78)-CG79</f>
        <v>0</v>
      </c>
      <c r="CH81" s="2868"/>
      <c r="CI81" s="2868"/>
      <c r="CJ81" s="2865">
        <f>(CJ75+CJ78)-CJ79</f>
        <v>0</v>
      </c>
      <c r="CK81" s="2865">
        <f>(CK75+CK78)-CK79</f>
        <v>0</v>
      </c>
      <c r="CL81" s="2866">
        <f>(CL75+CL78)-CL79</f>
        <v>0</v>
      </c>
      <c r="CM81" s="2868"/>
      <c r="CN81" s="2868"/>
      <c r="CO81" s="2865">
        <f>(CO75+CO78)-CO79</f>
        <v>0</v>
      </c>
      <c r="CP81" s="2865">
        <f>(CP75+CP78)-CP79</f>
        <v>0</v>
      </c>
      <c r="CQ81" s="2866">
        <f>(CQ75+CQ78)-CQ79</f>
        <v>0</v>
      </c>
      <c r="CR81" s="2868"/>
      <c r="CS81" s="2868"/>
      <c r="CT81" s="2865">
        <f>(CT75+CT78)-CT79</f>
        <v>0</v>
      </c>
      <c r="CU81" s="2865">
        <f>(CU75+CU78)-CU79</f>
        <v>0</v>
      </c>
      <c r="CV81" s="2866">
        <f>(CV75+CV78)-CV79</f>
        <v>0</v>
      </c>
      <c r="CW81" s="2868"/>
      <c r="CX81" s="2868"/>
      <c r="CY81" s="2865">
        <f>(CY75+CY78)-CY79</f>
        <v>0</v>
      </c>
      <c r="CZ81" s="2865">
        <f>(CZ75+CZ78)-CZ79</f>
        <v>0</v>
      </c>
      <c r="DA81" s="2866">
        <f>(DA75+DA78)-DA79</f>
        <v>0</v>
      </c>
      <c r="DB81" s="2868"/>
      <c r="DC81" s="3138"/>
      <c r="DD81" s="2865">
        <f>(DD75+DD78)-DD79</f>
        <v>0</v>
      </c>
      <c r="DE81" s="2865">
        <f>(DE75+DE78)-DE79</f>
        <v>0</v>
      </c>
      <c r="DF81" s="2866">
        <f>(DF75+DF78)-DF79</f>
        <v>0</v>
      </c>
      <c r="DG81" s="2868"/>
      <c r="DH81" s="3138"/>
      <c r="DI81" s="2865">
        <f>(DI75+DI78)-DI79</f>
        <v>0</v>
      </c>
      <c r="DJ81" s="2865">
        <f>(DJ75+DJ78)-DJ79</f>
        <v>0</v>
      </c>
      <c r="DK81" s="2866">
        <f>(DK75+DK78)-DK79</f>
        <v>0</v>
      </c>
      <c r="DL81" s="2868"/>
      <c r="DM81" s="3138"/>
      <c r="DN81" s="2865">
        <f>(DN75+DN78)-DN79</f>
        <v>0</v>
      </c>
      <c r="DO81" s="2865">
        <f>(DO75+DO78)-DO79</f>
        <v>0</v>
      </c>
      <c r="DP81" s="2866">
        <f>(DP75+DP78)-DP79</f>
        <v>0</v>
      </c>
      <c r="DQ81" s="2868"/>
      <c r="DR81" s="2868"/>
      <c r="DS81" s="2865">
        <f>(DS75+DS78)-DS79</f>
        <v>0</v>
      </c>
      <c r="DT81" s="2865">
        <f>(DT75+DT78)-DT79</f>
        <v>0</v>
      </c>
      <c r="DU81" s="2866">
        <f>(DU75+DU78)-DU79</f>
        <v>0</v>
      </c>
      <c r="DV81" s="2868"/>
      <c r="DW81" s="2868"/>
      <c r="DX81" s="2865">
        <f>(DX75+DX78)-DX79</f>
        <v>49870440.117405064</v>
      </c>
      <c r="DY81" s="2865">
        <f>(DY75+DY78)-DY79</f>
        <v>-23305362.250949997</v>
      </c>
      <c r="DZ81" s="2866">
        <f>(DZ75+DZ78)-DZ79</f>
        <v>26565077.866455074</v>
      </c>
      <c r="EA81" s="2868"/>
      <c r="EB81" s="2868"/>
      <c r="ED81" s="2865">
        <f>(ED75+ED78)-ED79</f>
        <v>5610509.5000000028</v>
      </c>
      <c r="EE81" s="2865">
        <f>(EE75+EE78)-EE79</f>
        <v>5614559.5000000028</v>
      </c>
      <c r="EF81" s="3496"/>
    </row>
    <row r="82" spans="1:136" s="1411" customFormat="1" ht="13.95" customHeight="1" thickBot="1" x14ac:dyDescent="0.3">
      <c r="A82" s="1580"/>
      <c r="B82" s="1415" t="s">
        <v>38</v>
      </c>
      <c r="C82" s="3687"/>
      <c r="D82" s="3366"/>
      <c r="E82" s="3332">
        <f>C82+D82</f>
        <v>0</v>
      </c>
      <c r="F82" s="3284"/>
      <c r="G82" s="3257"/>
      <c r="H82" s="3274"/>
      <c r="I82" s="3274"/>
      <c r="J82" s="3332">
        <f>H82+I82</f>
        <v>0</v>
      </c>
      <c r="K82" s="3321"/>
      <c r="L82" s="3321"/>
      <c r="M82" s="3497">
        <v>0</v>
      </c>
      <c r="N82" s="3497">
        <v>0</v>
      </c>
      <c r="O82" s="3688">
        <v>0</v>
      </c>
      <c r="P82" s="3689"/>
      <c r="Q82" s="3321"/>
      <c r="R82" s="3497"/>
      <c r="S82" s="3497"/>
      <c r="T82" s="3688">
        <f>R82+S82</f>
        <v>0</v>
      </c>
      <c r="U82" s="3689"/>
      <c r="V82" s="3689"/>
      <c r="W82" s="3274"/>
      <c r="X82" s="3274"/>
      <c r="Y82" s="3332">
        <f>W82+X82</f>
        <v>0</v>
      </c>
      <c r="Z82" s="3321"/>
      <c r="AA82" s="3321"/>
      <c r="AB82" s="3274"/>
      <c r="AC82" s="3274"/>
      <c r="AD82" s="3332">
        <f>AB82+AC82</f>
        <v>0</v>
      </c>
      <c r="AE82" s="3321"/>
      <c r="AF82" s="3321"/>
      <c r="AG82" s="3274"/>
      <c r="AH82" s="3274"/>
      <c r="AI82" s="3332">
        <f>AG82+AH82</f>
        <v>0</v>
      </c>
      <c r="AJ82" s="568">
        <f t="shared" si="166"/>
        <v>0</v>
      </c>
      <c r="AK82" s="3321"/>
      <c r="AL82" s="3274"/>
      <c r="AM82" s="3274"/>
      <c r="AN82" s="3332">
        <f>AL82+AM82</f>
        <v>0</v>
      </c>
      <c r="AO82" s="568">
        <f t="shared" ref="AO82:AO87" si="174">AN82/$AI$89</f>
        <v>0</v>
      </c>
      <c r="AP82" s="3321"/>
      <c r="AQ82" s="3321"/>
      <c r="AR82" s="3321"/>
      <c r="AS82" s="3332">
        <f>AQ82+AR82</f>
        <v>0</v>
      </c>
      <c r="AT82" s="568">
        <f t="shared" ref="AT82:AT87" si="175">AS82/$AI$89</f>
        <v>0</v>
      </c>
      <c r="AU82" s="3321"/>
      <c r="AV82" s="3321"/>
      <c r="AW82" s="3321"/>
      <c r="AX82" s="3332">
        <f>AV82+AW82</f>
        <v>0</v>
      </c>
      <c r="AY82" s="568">
        <f t="shared" ref="AY82:AY87" si="176">AX82/$AI$89</f>
        <v>0</v>
      </c>
      <c r="AZ82" s="3321"/>
      <c r="BA82" s="3321"/>
      <c r="BB82" s="3321"/>
      <c r="BC82" s="3332">
        <f>BA82+BB82</f>
        <v>0</v>
      </c>
      <c r="BD82" s="568">
        <f>BC82/$AI$89</f>
        <v>0</v>
      </c>
      <c r="BE82" s="3321"/>
      <c r="BF82" s="3666">
        <v>0</v>
      </c>
      <c r="BG82" s="3288">
        <v>0</v>
      </c>
      <c r="BH82" s="3332">
        <v>0</v>
      </c>
      <c r="BI82" s="3321"/>
      <c r="BJ82" s="3321"/>
      <c r="BK82" s="3666">
        <f>BP82+BU82+BZ82+CE82+CJ82+CO82+CT82+CY82+DD82+DI82</f>
        <v>0</v>
      </c>
      <c r="BL82" s="3288">
        <f>BQ82+BV82+CA82+CF82+CK82+CP82+CU82+CZ82+DE82+DJ82</f>
        <v>0</v>
      </c>
      <c r="BM82" s="3332">
        <f>BK82+BL82</f>
        <v>0</v>
      </c>
      <c r="BN82" s="3321"/>
      <c r="BO82" s="3321"/>
      <c r="BP82" s="3321"/>
      <c r="BQ82" s="3321"/>
      <c r="BR82" s="3332">
        <f>BP82+BQ82</f>
        <v>0</v>
      </c>
      <c r="BS82" s="3640">
        <f>BR82/$AI$89</f>
        <v>0</v>
      </c>
      <c r="BT82" s="3321"/>
      <c r="BU82" s="3321"/>
      <c r="BV82" s="3321"/>
      <c r="BW82" s="3332">
        <f>BU82+BV82</f>
        <v>0</v>
      </c>
      <c r="BX82" s="3321"/>
      <c r="BY82" s="3321"/>
      <c r="BZ82" s="3274"/>
      <c r="CA82" s="3274"/>
      <c r="CB82" s="3332">
        <f>BZ82+CA82</f>
        <v>0</v>
      </c>
      <c r="CC82" s="3321"/>
      <c r="CD82" s="3321"/>
      <c r="CE82" s="3274"/>
      <c r="CF82" s="3274"/>
      <c r="CG82" s="3332">
        <f>CE82+CF82</f>
        <v>0</v>
      </c>
      <c r="CH82" s="3321"/>
      <c r="CI82" s="3321"/>
      <c r="CJ82" s="3274"/>
      <c r="CK82" s="3274"/>
      <c r="CL82" s="3332">
        <f>CJ82+CK82</f>
        <v>0</v>
      </c>
      <c r="CM82" s="3321"/>
      <c r="CN82" s="3321"/>
      <c r="CO82" s="3274"/>
      <c r="CP82" s="3274"/>
      <c r="CQ82" s="3332">
        <f>CO82+CP82</f>
        <v>0</v>
      </c>
      <c r="CR82" s="3321"/>
      <c r="CS82" s="3321"/>
      <c r="CT82" s="3274"/>
      <c r="CU82" s="3274"/>
      <c r="CV82" s="3332">
        <f>CT82+CU82</f>
        <v>0</v>
      </c>
      <c r="CW82" s="3321"/>
      <c r="CX82" s="3321"/>
      <c r="CY82" s="3274"/>
      <c r="CZ82" s="3274"/>
      <c r="DA82" s="3332">
        <f>CY82+CZ82</f>
        <v>0</v>
      </c>
      <c r="DB82" s="3321"/>
      <c r="DC82" s="3321"/>
      <c r="DD82" s="3274"/>
      <c r="DE82" s="3274"/>
      <c r="DF82" s="3332">
        <f>DD82+DE82</f>
        <v>0</v>
      </c>
      <c r="DG82" s="3321"/>
      <c r="DH82" s="3641"/>
      <c r="DI82" s="3288"/>
      <c r="DJ82" s="3274"/>
      <c r="DK82" s="3332">
        <f>DI82+DJ82</f>
        <v>0</v>
      </c>
      <c r="DL82" s="3321"/>
      <c r="DM82" s="3641"/>
      <c r="DN82" s="3288"/>
      <c r="DO82" s="3274"/>
      <c r="DP82" s="3332">
        <f>DN82+DO82</f>
        <v>0</v>
      </c>
      <c r="DQ82" s="3321"/>
      <c r="DR82" s="3321"/>
      <c r="DS82" s="3288"/>
      <c r="DT82" s="3274"/>
      <c r="DU82" s="3332">
        <f>DS82+DT82</f>
        <v>0</v>
      </c>
      <c r="DV82" s="3321"/>
      <c r="DW82" s="3321"/>
      <c r="DX82" s="3288">
        <f>R82+W82+AB82+AG82+AL82+AQ82+AV82+BA82+BP82+BU82+BZ82+CE82+CJ82+CO82+CT82+CY82+DD82</f>
        <v>0</v>
      </c>
      <c r="DY82" s="3274">
        <f>S82+X82+AC82+AH82+AM82+AR82+AW82+BB82+BQ82+BV82+CA82+CF82+CK82+CP82+CU82+CZ82+DE82</f>
        <v>0</v>
      </c>
      <c r="DZ82" s="3332">
        <f>DX82+DY82</f>
        <v>0</v>
      </c>
      <c r="EA82" s="3321"/>
      <c r="EB82" s="3321"/>
      <c r="ED82" s="3288"/>
      <c r="EE82" s="3288"/>
      <c r="EF82" s="3496"/>
    </row>
    <row r="83" spans="1:136" s="1411" customFormat="1" ht="13.95" customHeight="1" thickBot="1" x14ac:dyDescent="0.3">
      <c r="A83" s="1420"/>
      <c r="B83" s="3337" t="s">
        <v>13</v>
      </c>
      <c r="C83" s="3338">
        <f>(C81+C7)-C36</f>
        <v>-1230542.02</v>
      </c>
      <c r="D83" s="3338">
        <f>(D81+D7)-D36</f>
        <v>-1189256.33</v>
      </c>
      <c r="E83" s="3339">
        <f>(E81+E7)-E36</f>
        <v>-2581969.667727273</v>
      </c>
      <c r="F83" s="3690"/>
      <c r="G83" s="3691"/>
      <c r="H83" s="3338">
        <f>(H81+H7)-H36</f>
        <v>3279484.1915772734</v>
      </c>
      <c r="I83" s="3338">
        <f>(I81+I7)-I36</f>
        <v>-1312276.8000000005</v>
      </c>
      <c r="J83" s="3339">
        <f>(J81+J7)-J36</f>
        <v>1967207.3915772715</v>
      </c>
      <c r="K83" s="3340"/>
      <c r="L83" s="3340"/>
      <c r="M83" s="3692">
        <v>15112887.767400002</v>
      </c>
      <c r="N83" s="3692">
        <v>-10324959.719999999</v>
      </c>
      <c r="O83" s="3693">
        <v>3315919.3567231689</v>
      </c>
      <c r="P83" s="3694"/>
      <c r="Q83" s="3341"/>
      <c r="R83" s="3692">
        <f>(R81+R7)-R36</f>
        <v>-47034.706417816094</v>
      </c>
      <c r="S83" s="3692">
        <f>(S81+S7)-S36</f>
        <v>-668803.32094999996</v>
      </c>
      <c r="T83" s="3693">
        <f>(T81+T7)-T36</f>
        <v>-715838.02736781619</v>
      </c>
      <c r="U83" s="3694"/>
      <c r="V83" s="3694"/>
      <c r="W83" s="3338">
        <f>(W81+W7)-W36</f>
        <v>1058421.1898620687</v>
      </c>
      <c r="X83" s="3338">
        <f>(X81+X7)-X36</f>
        <v>-903283.35</v>
      </c>
      <c r="Y83" s="3339">
        <f>(Y81+Y7)-Y36</f>
        <v>155137.83986206894</v>
      </c>
      <c r="Z83" s="3340"/>
      <c r="AA83" s="3340"/>
      <c r="AB83" s="3338">
        <f>(AB81+AB7)-AB36</f>
        <v>429740.18473563227</v>
      </c>
      <c r="AC83" s="3338">
        <f>(AC81+AC7)-AC36</f>
        <v>-316637</v>
      </c>
      <c r="AD83" s="3339">
        <f>(AD81+AD7)-AD36</f>
        <v>113103.1847356323</v>
      </c>
      <c r="AE83" s="3340"/>
      <c r="AF83" s="3340"/>
      <c r="AG83" s="3338">
        <f>(AG81+AG7)-AG36</f>
        <v>720318.79177523649</v>
      </c>
      <c r="AH83" s="3338">
        <f>(AH81+AH7)-AH36</f>
        <v>-420539.59000000008</v>
      </c>
      <c r="AI83" s="3339">
        <f>(AI81+AI7)-AI36</f>
        <v>299779.20177523646</v>
      </c>
      <c r="AJ83" s="1543">
        <f t="shared" si="166"/>
        <v>0.27714060347534075</v>
      </c>
      <c r="AK83" s="3340"/>
      <c r="AL83" s="3338">
        <f>(AL81+AL7)-AL36</f>
        <v>3190424.7637690138</v>
      </c>
      <c r="AM83" s="3338">
        <f>(AM81+AM7)-AM36</f>
        <v>-1594487.18</v>
      </c>
      <c r="AN83" s="3339">
        <f>(AN81+AN7)-AN36</f>
        <v>1595937.5837690146</v>
      </c>
      <c r="AO83" s="1543">
        <f t="shared" si="174"/>
        <v>1.4754162478768011</v>
      </c>
      <c r="AP83" s="3340"/>
      <c r="AQ83" s="3341">
        <f>(AQ81+AQ7)-AQ36</f>
        <v>5952961.8463783544</v>
      </c>
      <c r="AR83" s="3341">
        <f>(AR81+AR7)-AR36</f>
        <v>-2050566.3199999998</v>
      </c>
      <c r="AS83" s="3339">
        <f>(AS81+AS7)-AS36</f>
        <v>3902395.526378355</v>
      </c>
      <c r="AT83" s="1543">
        <f t="shared" si="175"/>
        <v>3.6076960802332305</v>
      </c>
      <c r="AU83" s="3341"/>
      <c r="AV83" s="3341">
        <f>(AV81+AV7)-AV36</f>
        <v>6614235.1903379504</v>
      </c>
      <c r="AW83" s="3341">
        <f>(AW81+AW7)-AW36</f>
        <v>-2775184.17</v>
      </c>
      <c r="AX83" s="3339">
        <f>(AX81)-AX36</f>
        <v>3827840.6603379487</v>
      </c>
      <c r="AY83" s="1543">
        <f t="shared" si="176"/>
        <v>3.5387714168673141</v>
      </c>
      <c r="AZ83" s="3695"/>
      <c r="BA83" s="3341">
        <f>(BA81+BA7)-BA36</f>
        <v>7514720.4586283313</v>
      </c>
      <c r="BB83" s="3341">
        <f>(BB81+BB7)-BB36</f>
        <v>-2375415.0099999998</v>
      </c>
      <c r="BC83" s="3339">
        <f>(BC81)-BC36</f>
        <v>5132811.7586283311</v>
      </c>
      <c r="BD83" s="1543"/>
      <c r="BE83" s="3341"/>
      <c r="BF83" s="3338">
        <v>24104816.588336293</v>
      </c>
      <c r="BG83" s="3339">
        <v>-12195946.310000001</v>
      </c>
      <c r="BH83" s="3338">
        <v>11908870.278336296</v>
      </c>
      <c r="BI83" s="3340"/>
      <c r="BJ83" s="3340"/>
      <c r="BK83" s="3338">
        <f>BK81-BK36</f>
        <v>0</v>
      </c>
      <c r="BL83" s="3339">
        <f>BL81-BL36</f>
        <v>0</v>
      </c>
      <c r="BM83" s="3338">
        <f>BM81-BM36</f>
        <v>0</v>
      </c>
      <c r="BN83" s="3340"/>
      <c r="BO83" s="3340"/>
      <c r="BP83" s="3341">
        <f>(BP81+BP7)-BP36</f>
        <v>0</v>
      </c>
      <c r="BQ83" s="3341">
        <f>(BQ81+BQ7)-BQ36</f>
        <v>0</v>
      </c>
      <c r="BR83" s="3339">
        <f>(BR81)-BR36</f>
        <v>0</v>
      </c>
      <c r="BS83" s="3340"/>
      <c r="BT83" s="3341"/>
      <c r="BU83" s="3341">
        <f>(BU81+BU7)-BU36</f>
        <v>0</v>
      </c>
      <c r="BV83" s="3341">
        <f>(BV81+BV7)-BV36</f>
        <v>0</v>
      </c>
      <c r="BW83" s="3339">
        <f>(BW81)-BW36</f>
        <v>0</v>
      </c>
      <c r="BX83" s="3340"/>
      <c r="BY83" s="3340"/>
      <c r="BZ83" s="3338">
        <f>(BZ81+BZ7)-BZ36</f>
        <v>0</v>
      </c>
      <c r="CA83" s="3338">
        <f>(CA81+CA7)-CA36</f>
        <v>0</v>
      </c>
      <c r="CB83" s="3339">
        <f>(CB81+CB7)-CB36</f>
        <v>0</v>
      </c>
      <c r="CC83" s="3340"/>
      <c r="CD83" s="3340"/>
      <c r="CE83" s="3338">
        <f>(CE81+CE7)-CE36</f>
        <v>0</v>
      </c>
      <c r="CF83" s="3338">
        <f>(CF81+CF7)-CF36</f>
        <v>0</v>
      </c>
      <c r="CG83" s="3339">
        <f>(CG81+CG7)-CG36</f>
        <v>0</v>
      </c>
      <c r="CH83" s="3340"/>
      <c r="CI83" s="3340"/>
      <c r="CJ83" s="3338">
        <f>(CJ81+CJ7)-CJ36</f>
        <v>0</v>
      </c>
      <c r="CK83" s="3338">
        <f>(CK81+CK7)-CK36</f>
        <v>0</v>
      </c>
      <c r="CL83" s="3339">
        <f>(CL81+CL7)-CL36</f>
        <v>0</v>
      </c>
      <c r="CM83" s="3340"/>
      <c r="CN83" s="3340"/>
      <c r="CO83" s="3338">
        <f>(CO81+CO7)-CO36</f>
        <v>0</v>
      </c>
      <c r="CP83" s="3338">
        <f>(CP81+CP7)-CP36</f>
        <v>0</v>
      </c>
      <c r="CQ83" s="3339">
        <f>(CQ81+CQ7)-CQ36</f>
        <v>0</v>
      </c>
      <c r="CR83" s="3340"/>
      <c r="CS83" s="3340"/>
      <c r="CT83" s="3338">
        <f>(CT81+CT7)-CT36</f>
        <v>0</v>
      </c>
      <c r="CU83" s="3338">
        <f>(CU81+CU7)-CU36</f>
        <v>0</v>
      </c>
      <c r="CV83" s="3339">
        <f>(CV81+CV7)-CV36</f>
        <v>0</v>
      </c>
      <c r="CW83" s="3340"/>
      <c r="CX83" s="3340"/>
      <c r="CY83" s="3338">
        <f>(CY81+CY7)-CY36</f>
        <v>0</v>
      </c>
      <c r="CZ83" s="3338">
        <f>(CZ81+CZ7)-CZ36</f>
        <v>0</v>
      </c>
      <c r="DA83" s="3339">
        <f>(DA81+DA7)-DA36</f>
        <v>0</v>
      </c>
      <c r="DB83" s="3340"/>
      <c r="DC83" s="3341"/>
      <c r="DD83" s="3338">
        <f>(DD81+DD7)-DD36</f>
        <v>0</v>
      </c>
      <c r="DE83" s="3338">
        <f>(DE81+DE7)-DE36</f>
        <v>0</v>
      </c>
      <c r="DF83" s="3339">
        <f>(DF81+DF7)-DF36</f>
        <v>0</v>
      </c>
      <c r="DG83" s="3340"/>
      <c r="DH83" s="3341"/>
      <c r="DI83" s="3338">
        <f>(DI81+DI7)-DI36</f>
        <v>0</v>
      </c>
      <c r="DJ83" s="3338">
        <f>(DJ81+DJ7)-DJ36</f>
        <v>0</v>
      </c>
      <c r="DK83" s="3339">
        <f>(DK81+DK7)-DK36</f>
        <v>0</v>
      </c>
      <c r="DL83" s="3340"/>
      <c r="DM83" s="3341"/>
      <c r="DN83" s="3338">
        <f>(DN81+DN7)-DN36</f>
        <v>0</v>
      </c>
      <c r="DO83" s="3338">
        <f>(DO81+DO7)-DO36</f>
        <v>0</v>
      </c>
      <c r="DP83" s="3339">
        <f>(DP81+DP7)-DP36</f>
        <v>0</v>
      </c>
      <c r="DQ83" s="3340"/>
      <c r="DR83" s="3340"/>
      <c r="DS83" s="3338">
        <f>(DS81+DS7)-DS36</f>
        <v>0</v>
      </c>
      <c r="DT83" s="3338">
        <f>(DT81+DT7)-DT36</f>
        <v>0</v>
      </c>
      <c r="DU83" s="3339">
        <f>(DU81+DU7)-DU36</f>
        <v>0</v>
      </c>
      <c r="DV83" s="3340"/>
      <c r="DW83" s="3340"/>
      <c r="DX83" s="3338">
        <f>(DX81+DX7)-DX36</f>
        <v>49538604.307405062</v>
      </c>
      <c r="DY83" s="3338">
        <f>(DY81+DY7)-DY36</f>
        <v>-23300862.250949997</v>
      </c>
      <c r="DZ83" s="3339">
        <f>(DZ81)-DZ36</f>
        <v>26220038.006455075</v>
      </c>
      <c r="EA83" s="3340"/>
      <c r="EB83" s="3340"/>
      <c r="ED83" s="3338">
        <f>ED81-ED36</f>
        <v>5443247.9000000032</v>
      </c>
      <c r="EE83" s="3338">
        <f>EE81-EE36</f>
        <v>5447297.9000000032</v>
      </c>
      <c r="EF83" s="3496"/>
    </row>
    <row r="84" spans="1:136" s="1411" customFormat="1" ht="13.95" customHeight="1" thickBot="1" x14ac:dyDescent="0.3">
      <c r="A84" s="1420"/>
      <c r="B84" s="3368" t="s">
        <v>14</v>
      </c>
      <c r="C84" s="3489">
        <f>C83-C73-C82</f>
        <v>-1230542.02</v>
      </c>
      <c r="D84" s="3489">
        <f>D83-D73-D82</f>
        <v>-1189256.33</v>
      </c>
      <c r="E84" s="3344">
        <f>E83-E73-E82</f>
        <v>-2581969.667727273</v>
      </c>
      <c r="F84" s="3696"/>
      <c r="G84" s="3697"/>
      <c r="H84" s="3489">
        <f>H83-H73-H82</f>
        <v>3279484.1915772734</v>
      </c>
      <c r="I84" s="3489">
        <f>I83-I73-I82</f>
        <v>-1312276.8000000005</v>
      </c>
      <c r="J84" s="3344">
        <f>J83-J73-J82</f>
        <v>1967207.3915772715</v>
      </c>
      <c r="K84" s="3345"/>
      <c r="L84" s="3345"/>
      <c r="M84" s="3698">
        <v>15112887.767400002</v>
      </c>
      <c r="N84" s="3698">
        <v>-10324959.719999999</v>
      </c>
      <c r="O84" s="3698">
        <v>3315919.3567231689</v>
      </c>
      <c r="P84" s="3699"/>
      <c r="Q84" s="3345"/>
      <c r="R84" s="3698">
        <f>R83-R73-R82</f>
        <v>-47034.706417816094</v>
      </c>
      <c r="S84" s="3698">
        <f>S83-S73-S82</f>
        <v>-668803.32094999996</v>
      </c>
      <c r="T84" s="3698">
        <f>T83-T73-T82</f>
        <v>-715838.02736781619</v>
      </c>
      <c r="U84" s="3699"/>
      <c r="V84" s="3699"/>
      <c r="W84" s="3344">
        <f>W83-W73-W82</f>
        <v>1058421.1898620687</v>
      </c>
      <c r="X84" s="3344">
        <f>X83-X73-X82</f>
        <v>-903283.35</v>
      </c>
      <c r="Y84" s="3344">
        <f>Y83-Y73-Y82</f>
        <v>155137.83986206894</v>
      </c>
      <c r="Z84" s="3345"/>
      <c r="AA84" s="3345"/>
      <c r="AB84" s="3344">
        <f>AB83-AB73-AB82</f>
        <v>419949.80473563226</v>
      </c>
      <c r="AC84" s="3344">
        <f>AC83-AC73-AC82</f>
        <v>-316637</v>
      </c>
      <c r="AD84" s="3344">
        <f>AD83-AD73-AD82</f>
        <v>103312.80473563229</v>
      </c>
      <c r="AE84" s="3345"/>
      <c r="AF84" s="3345"/>
      <c r="AG84" s="3344">
        <f>AG83-AG73-AG82</f>
        <v>631845.44177523651</v>
      </c>
      <c r="AH84" s="3344">
        <f>AH83-AH73-AH82</f>
        <v>-420539.59000000008</v>
      </c>
      <c r="AI84" s="3344">
        <f>AI83-AI73-AI82</f>
        <v>211305.85177523649</v>
      </c>
      <c r="AJ84" s="563">
        <f t="shared" si="166"/>
        <v>0.19534854630364643</v>
      </c>
      <c r="AK84" s="3345"/>
      <c r="AL84" s="3344">
        <f>AL83-AL73-AL82</f>
        <v>2748570.8837690139</v>
      </c>
      <c r="AM84" s="3344">
        <f>AM83-AM73-AM82</f>
        <v>-1594487.18</v>
      </c>
      <c r="AN84" s="3344">
        <f>AN83-AN73-AN82</f>
        <v>1154083.7037690144</v>
      </c>
      <c r="AO84" s="563">
        <f t="shared" si="174"/>
        <v>1.0669301013197308</v>
      </c>
      <c r="AP84" s="3345"/>
      <c r="AQ84" s="3345">
        <f>AQ83-AQ73-AQ82</f>
        <v>5952961.8463783544</v>
      </c>
      <c r="AR84" s="3345">
        <f>AR83-AR73-AR82</f>
        <v>-2050566.3199999998</v>
      </c>
      <c r="AS84" s="3344">
        <f>AS83-AS73-AS82</f>
        <v>3789079.756378355</v>
      </c>
      <c r="AT84" s="563">
        <f t="shared" si="175"/>
        <v>3.5029376423726255</v>
      </c>
      <c r="AU84" s="3345"/>
      <c r="AV84" s="3345">
        <f>AV83-AV73-AV82</f>
        <v>6506797.1103379503</v>
      </c>
      <c r="AW84" s="3345">
        <f>AW83-AW73-AW82</f>
        <v>-2775184.17</v>
      </c>
      <c r="AX84" s="3344">
        <f>AX83-AX73-AX82</f>
        <v>3720402.5803379486</v>
      </c>
      <c r="AY84" s="563">
        <f t="shared" si="176"/>
        <v>3.4394468001123579</v>
      </c>
      <c r="AZ84" s="3258"/>
      <c r="BA84" s="3345">
        <f>BA83-BA73-BA82</f>
        <v>7270586.4886283316</v>
      </c>
      <c r="BB84" s="3345">
        <f>BB83-BB73-BB82</f>
        <v>-2375415.0099999998</v>
      </c>
      <c r="BC84" s="3344">
        <f>BC83-BC73-BC82</f>
        <v>4888677.7886283314</v>
      </c>
      <c r="BD84" s="563"/>
      <c r="BE84" s="3345"/>
      <c r="BF84" s="2871">
        <v>23386653.358336292</v>
      </c>
      <c r="BG84" s="2873">
        <v>-12195946.310000001</v>
      </c>
      <c r="BH84" s="2873">
        <v>11190707.048336295</v>
      </c>
      <c r="BI84" s="2874"/>
      <c r="BJ84" s="3561"/>
      <c r="BK84" s="2871">
        <f>BK83-BK73-BK82</f>
        <v>0</v>
      </c>
      <c r="BL84" s="2873">
        <f>BL83-BL73-BL82</f>
        <v>0</v>
      </c>
      <c r="BM84" s="2873">
        <f>BM83-BM73-BM82</f>
        <v>0</v>
      </c>
      <c r="BN84" s="2874"/>
      <c r="BO84" s="3561"/>
      <c r="BP84" s="2874">
        <f>BP83-BP73-BP82</f>
        <v>0</v>
      </c>
      <c r="BQ84" s="2874">
        <f>BQ83-BQ73-BQ82</f>
        <v>0</v>
      </c>
      <c r="BR84" s="2873">
        <f>BR83-BR73-BR82</f>
        <v>0</v>
      </c>
      <c r="BS84" s="2874"/>
      <c r="BT84" s="2874"/>
      <c r="BU84" s="2874">
        <f>BU83-BU73-BU82</f>
        <v>0</v>
      </c>
      <c r="BV84" s="3345">
        <f>BV83-BV73-BV82</f>
        <v>0</v>
      </c>
      <c r="BW84" s="3344">
        <f>BW83-BW73-BW82</f>
        <v>0</v>
      </c>
      <c r="BX84" s="3345"/>
      <c r="BY84" s="3345"/>
      <c r="BZ84" s="3344">
        <f>BZ83-BZ73-BZ82</f>
        <v>0</v>
      </c>
      <c r="CA84" s="3344">
        <f>CA83-CA73-CA82</f>
        <v>0</v>
      </c>
      <c r="CB84" s="3344">
        <f>CB83-CB73-CB82</f>
        <v>0</v>
      </c>
      <c r="CC84" s="3345"/>
      <c r="CD84" s="3345"/>
      <c r="CE84" s="3344">
        <f>CE83-CE73-CE82</f>
        <v>0</v>
      </c>
      <c r="CF84" s="3344">
        <f>CF83-CF73-CF82</f>
        <v>0</v>
      </c>
      <c r="CG84" s="3344">
        <f>CG83-CG73-CG82</f>
        <v>0</v>
      </c>
      <c r="CH84" s="3345"/>
      <c r="CI84" s="3345"/>
      <c r="CJ84" s="3344">
        <f>CJ83-CJ73-CJ82</f>
        <v>0</v>
      </c>
      <c r="CK84" s="2873">
        <f>CK83-CK73-CK82</f>
        <v>0</v>
      </c>
      <c r="CL84" s="2873">
        <f>CL83-CL73-CL82</f>
        <v>0</v>
      </c>
      <c r="CM84" s="3345"/>
      <c r="CN84" s="3345"/>
      <c r="CO84" s="3344">
        <f>CO83-CO73-CO82</f>
        <v>0</v>
      </c>
      <c r="CP84" s="2873">
        <f>CP83-CP73-CP82</f>
        <v>0</v>
      </c>
      <c r="CQ84" s="2873">
        <f>CQ83-CQ73-CQ82</f>
        <v>0</v>
      </c>
      <c r="CR84" s="3345"/>
      <c r="CS84" s="3345"/>
      <c r="CT84" s="3344">
        <f>CT83-CT73-CT82</f>
        <v>0</v>
      </c>
      <c r="CU84" s="2873">
        <f>CU83-CU73-CU82</f>
        <v>0</v>
      </c>
      <c r="CV84" s="2873">
        <f>CV83-CV73-CV82</f>
        <v>0</v>
      </c>
      <c r="CW84" s="3345"/>
      <c r="CX84" s="3345"/>
      <c r="CY84" s="2873">
        <f>CY83-CY73-CY82</f>
        <v>0</v>
      </c>
      <c r="CZ84" s="2873">
        <f>CZ83-CZ73-CZ82</f>
        <v>0</v>
      </c>
      <c r="DA84" s="2873">
        <f>DA83-DA73-DA82</f>
        <v>0</v>
      </c>
      <c r="DB84" s="2874"/>
      <c r="DC84" s="2874"/>
      <c r="DD84" s="2873">
        <f>DD83-DD73-DD82</f>
        <v>0</v>
      </c>
      <c r="DE84" s="2873">
        <f>DE83-DE73-DE82</f>
        <v>0</v>
      </c>
      <c r="DF84" s="2873">
        <f>DF83-DF73-DF82</f>
        <v>0</v>
      </c>
      <c r="DG84" s="2874"/>
      <c r="DH84" s="3700"/>
      <c r="DI84" s="2873">
        <f>DI83-DI73-DI82</f>
        <v>0</v>
      </c>
      <c r="DJ84" s="2873">
        <f>DJ83-DJ73-DJ82</f>
        <v>0</v>
      </c>
      <c r="DK84" s="2873">
        <f>DK83-DK73-DK82</f>
        <v>0</v>
      </c>
      <c r="DL84" s="2874"/>
      <c r="DM84" s="3700"/>
      <c r="DN84" s="2873">
        <f>DN83-DN73-DN82</f>
        <v>0</v>
      </c>
      <c r="DO84" s="2873">
        <f>DO83-DO73-DO82</f>
        <v>0</v>
      </c>
      <c r="DP84" s="2873">
        <f>DP83-DP73-DP82</f>
        <v>0</v>
      </c>
      <c r="DQ84" s="2874"/>
      <c r="DR84" s="2874"/>
      <c r="DS84" s="2873">
        <f>DS83-DS73-DS82</f>
        <v>0</v>
      </c>
      <c r="DT84" s="2873">
        <f>DT83-DT73-DT82</f>
        <v>0</v>
      </c>
      <c r="DU84" s="2873">
        <f>DU83-DU73-DU82</f>
        <v>0</v>
      </c>
      <c r="DV84" s="2874"/>
      <c r="DW84" s="2874"/>
      <c r="DX84" s="2873">
        <f>DX83-DX73-DX82</f>
        <v>47815435.647405058</v>
      </c>
      <c r="DY84" s="2873">
        <f>DY83-DY73-DY82</f>
        <v>-23300862.250949997</v>
      </c>
      <c r="DZ84" s="3344">
        <f>DZ83-DZ73-DZ82</f>
        <v>24496869.346455075</v>
      </c>
      <c r="EA84" s="3345"/>
      <c r="EB84" s="3345"/>
      <c r="ED84" s="2873">
        <f>ED83-ED73-ED82</f>
        <v>4658336.1800000034</v>
      </c>
      <c r="EE84" s="2873">
        <f>EE83-EE73-EE82</f>
        <v>4662386.1800000034</v>
      </c>
      <c r="EF84" s="3496"/>
    </row>
    <row r="85" spans="1:136" s="1411" customFormat="1" ht="13.95" customHeight="1" thickBot="1" x14ac:dyDescent="0.3">
      <c r="A85" s="1580"/>
      <c r="B85" s="1572" t="s">
        <v>44</v>
      </c>
      <c r="C85" s="3352"/>
      <c r="D85" s="3352"/>
      <c r="E85" s="3332">
        <f>C85+D85</f>
        <v>0</v>
      </c>
      <c r="F85" s="1574"/>
      <c r="G85" s="567"/>
      <c r="H85" s="3280"/>
      <c r="I85" s="3280"/>
      <c r="J85" s="2141">
        <f>H85+I85*1.15</f>
        <v>0</v>
      </c>
      <c r="K85" s="3352"/>
      <c r="L85" s="3352"/>
      <c r="M85" s="3701"/>
      <c r="N85" s="3701"/>
      <c r="O85" s="3702">
        <v>0</v>
      </c>
      <c r="P85" s="3703"/>
      <c r="Q85" s="3352"/>
      <c r="R85" s="3701"/>
      <c r="S85" s="3701"/>
      <c r="T85" s="3702">
        <f>R85+S85*1.15</f>
        <v>0</v>
      </c>
      <c r="U85" s="3703"/>
      <c r="V85" s="3703"/>
      <c r="W85" s="3280"/>
      <c r="X85" s="3280"/>
      <c r="Y85" s="2141">
        <f>W85+X85*1.15</f>
        <v>0</v>
      </c>
      <c r="Z85" s="3352"/>
      <c r="AA85" s="3352"/>
      <c r="AB85" s="3280"/>
      <c r="AC85" s="3280"/>
      <c r="AD85" s="2141">
        <f>AB85+AC85*1.15</f>
        <v>0</v>
      </c>
      <c r="AE85" s="3352"/>
      <c r="AF85" s="3352"/>
      <c r="AG85" s="3280"/>
      <c r="AH85" s="3280"/>
      <c r="AI85" s="2141">
        <f>AG85+AH85*1.15</f>
        <v>0</v>
      </c>
      <c r="AJ85" s="568">
        <f t="shared" si="166"/>
        <v>0</v>
      </c>
      <c r="AK85" s="3352"/>
      <c r="AL85" s="3280"/>
      <c r="AM85" s="3280"/>
      <c r="AN85" s="2141">
        <f>AL85+AM85*1.15</f>
        <v>0</v>
      </c>
      <c r="AO85" s="568">
        <f t="shared" si="174"/>
        <v>0</v>
      </c>
      <c r="AP85" s="3352"/>
      <c r="AQ85" s="3352">
        <v>1350</v>
      </c>
      <c r="AR85" s="3352">
        <v>9000</v>
      </c>
      <c r="AS85" s="2141">
        <f>AQ85+AR85</f>
        <v>10350</v>
      </c>
      <c r="AT85" s="568">
        <f t="shared" si="175"/>
        <v>9.5683931006007635E-3</v>
      </c>
      <c r="AU85" s="3352" t="s">
        <v>1362</v>
      </c>
      <c r="AV85" s="3352"/>
      <c r="AW85" s="3352"/>
      <c r="AX85" s="2141">
        <f>AV85+AW85*1.15</f>
        <v>0</v>
      </c>
      <c r="AY85" s="568">
        <f t="shared" si="176"/>
        <v>0</v>
      </c>
      <c r="AZ85" s="3352"/>
      <c r="BA85" s="3352"/>
      <c r="BB85" s="3352"/>
      <c r="BC85" s="2141">
        <f>BA85+BB85*1.15</f>
        <v>0</v>
      </c>
      <c r="BD85" s="568">
        <f>BC85/$AI$89</f>
        <v>0</v>
      </c>
      <c r="BE85" s="3352"/>
      <c r="BF85" s="3666">
        <v>2955500</v>
      </c>
      <c r="BG85" s="3288">
        <v>2628611</v>
      </c>
      <c r="BH85" s="3274">
        <v>5584111</v>
      </c>
      <c r="BI85" s="3321"/>
      <c r="BJ85" s="3276">
        <v>0</v>
      </c>
      <c r="BK85" s="3666">
        <f t="shared" ref="BK85:BL85" si="177">BP85+BU85+BZ85+CE85+CJ85+CO85+CT85+CY85+DD85+DI85+DN85+DS85</f>
        <v>0</v>
      </c>
      <c r="BL85" s="3288">
        <f t="shared" si="177"/>
        <v>0</v>
      </c>
      <c r="BM85" s="3274">
        <f>BK85+BL85</f>
        <v>0</v>
      </c>
      <c r="BN85" s="3321"/>
      <c r="BO85" s="3276">
        <f t="shared" ref="BO85" si="178">BM85-BR85-BW85-CB85-CG85-CL85-CQ85-CV85</f>
        <v>0</v>
      </c>
      <c r="BP85" s="3321"/>
      <c r="BQ85" s="3321"/>
      <c r="BR85" s="2028">
        <f>BP85+BQ85*1.15</f>
        <v>0</v>
      </c>
      <c r="BS85" s="3640">
        <f>BR85/$AI$89</f>
        <v>0</v>
      </c>
      <c r="BT85" s="3321"/>
      <c r="BU85" s="3321"/>
      <c r="BV85" s="3352"/>
      <c r="BW85" s="2141">
        <f>BU85+BV85*1.15</f>
        <v>0</v>
      </c>
      <c r="BX85" s="3352"/>
      <c r="BY85" s="3369"/>
      <c r="BZ85" s="3280"/>
      <c r="CA85" s="3280"/>
      <c r="CB85" s="3332">
        <f>BZ85+CA85</f>
        <v>0</v>
      </c>
      <c r="CC85" s="3352"/>
      <c r="CD85" s="3370"/>
      <c r="CE85" s="3279"/>
      <c r="CF85" s="3280"/>
      <c r="CG85" s="3332">
        <f>CE85+CF85</f>
        <v>0</v>
      </c>
      <c r="CH85" s="3372"/>
      <c r="CI85" s="3369"/>
      <c r="CJ85" s="3280"/>
      <c r="CK85" s="3274"/>
      <c r="CL85" s="3283">
        <f>CJ85+CK85</f>
        <v>0</v>
      </c>
      <c r="CM85" s="3372"/>
      <c r="CN85" s="3369"/>
      <c r="CO85" s="3280"/>
      <c r="CP85" s="3274"/>
      <c r="CQ85" s="3283">
        <f>CO85+CP85</f>
        <v>0</v>
      </c>
      <c r="CR85" s="3372"/>
      <c r="CS85" s="3369"/>
      <c r="CT85" s="3280"/>
      <c r="CU85" s="3274"/>
      <c r="CV85" s="3283">
        <f>CT85+CU85</f>
        <v>0</v>
      </c>
      <c r="CW85" s="3372"/>
      <c r="CX85" s="3369"/>
      <c r="CY85" s="3274"/>
      <c r="CZ85" s="3274"/>
      <c r="DA85" s="3283">
        <f>CY85+CZ85</f>
        <v>0</v>
      </c>
      <c r="DB85" s="3350"/>
      <c r="DC85" s="3347"/>
      <c r="DD85" s="3274"/>
      <c r="DE85" s="3274"/>
      <c r="DF85" s="3283">
        <f>DD85+DE85</f>
        <v>0</v>
      </c>
      <c r="DG85" s="3350"/>
      <c r="DH85" s="3704"/>
      <c r="DI85" s="3288"/>
      <c r="DJ85" s="3274"/>
      <c r="DK85" s="3283">
        <f>DI85+DJ85</f>
        <v>0</v>
      </c>
      <c r="DL85" s="3350"/>
      <c r="DM85" s="3704"/>
      <c r="DN85" s="3288"/>
      <c r="DO85" s="3274"/>
      <c r="DP85" s="3283">
        <f>DN85+DO85</f>
        <v>0</v>
      </c>
      <c r="DQ85" s="3350"/>
      <c r="DR85" s="3347"/>
      <c r="DS85" s="3288"/>
      <c r="DT85" s="3274"/>
      <c r="DU85" s="3283">
        <f>DS85+DT85</f>
        <v>0</v>
      </c>
      <c r="DV85" s="3350"/>
      <c r="DW85" s="3347"/>
      <c r="DX85" s="3417">
        <f t="shared" ref="DX85:DY85" si="179">R85+W85+AB85+AG85+AL85+AQ85+AV85+BA85+BP85+BU85+BZ85+CE85+CJ85+CO85+CT85+CY85+DD85+DI85+DN85+DS85+BF85</f>
        <v>2956850</v>
      </c>
      <c r="DY85" s="3417">
        <f t="shared" si="179"/>
        <v>2637611</v>
      </c>
      <c r="DZ85" s="3332">
        <f>DX85+DY85</f>
        <v>5594461</v>
      </c>
      <c r="EA85" s="3352"/>
      <c r="EB85" s="3352"/>
      <c r="ED85" s="3288"/>
      <c r="EE85" s="3288"/>
      <c r="EF85" s="3496"/>
    </row>
    <row r="86" spans="1:136" s="1411" customFormat="1" ht="28.2" thickBot="1" x14ac:dyDescent="0.3">
      <c r="A86" s="1420"/>
      <c r="B86" s="3445" t="s">
        <v>50</v>
      </c>
      <c r="C86" s="3705">
        <f>C84-C85</f>
        <v>-1230542.02</v>
      </c>
      <c r="D86" s="3705">
        <f>D84-D85</f>
        <v>-1189256.33</v>
      </c>
      <c r="E86" s="3355">
        <f>E84-E85</f>
        <v>-2581969.667727273</v>
      </c>
      <c r="F86" s="3706"/>
      <c r="G86" s="3707"/>
      <c r="H86" s="3432">
        <f>H84-H85</f>
        <v>3279484.1915772734</v>
      </c>
      <c r="I86" s="3432">
        <f>I84-I85</f>
        <v>-1312276.8000000005</v>
      </c>
      <c r="J86" s="3354">
        <f>J84-J85</f>
        <v>1967207.3915772715</v>
      </c>
      <c r="K86" s="3355"/>
      <c r="L86" s="3355"/>
      <c r="M86" s="3708">
        <v>15112887.767400002</v>
      </c>
      <c r="N86" s="3708">
        <v>-10324959.719999999</v>
      </c>
      <c r="O86" s="3708">
        <v>3315919.3567231689</v>
      </c>
      <c r="P86" s="3709"/>
      <c r="Q86" s="3355"/>
      <c r="R86" s="3708">
        <f>R84-R85</f>
        <v>-47034.706417816094</v>
      </c>
      <c r="S86" s="3708">
        <f>S84-S85</f>
        <v>-668803.32094999996</v>
      </c>
      <c r="T86" s="3708">
        <f>T84-T85</f>
        <v>-715838.02736781619</v>
      </c>
      <c r="U86" s="3709"/>
      <c r="V86" s="3709"/>
      <c r="W86" s="3354">
        <f>W84-W85</f>
        <v>1058421.1898620687</v>
      </c>
      <c r="X86" s="3354">
        <f>X84-X85</f>
        <v>-903283.35</v>
      </c>
      <c r="Y86" s="3354">
        <f>Y84-Y85</f>
        <v>155137.83986206894</v>
      </c>
      <c r="Z86" s="3355"/>
      <c r="AA86" s="3355"/>
      <c r="AB86" s="3354">
        <f>AB84-AB85</f>
        <v>419949.80473563226</v>
      </c>
      <c r="AC86" s="3354">
        <f>AC84-AC85</f>
        <v>-316637</v>
      </c>
      <c r="AD86" s="3354">
        <f>AD84-AD85</f>
        <v>103312.80473563229</v>
      </c>
      <c r="AE86" s="3355"/>
      <c r="AF86" s="3355"/>
      <c r="AG86" s="3354">
        <f>AG84-AG85</f>
        <v>631845.44177523651</v>
      </c>
      <c r="AH86" s="3354">
        <f>AH84-AH85</f>
        <v>-420539.59000000008</v>
      </c>
      <c r="AI86" s="3354">
        <f>AI84-AI85</f>
        <v>211305.85177523649</v>
      </c>
      <c r="AJ86" s="572">
        <f t="shared" si="166"/>
        <v>0.19534854630364643</v>
      </c>
      <c r="AK86" s="3355"/>
      <c r="AL86" s="3354">
        <f>AL84-AL85</f>
        <v>2748570.8837690139</v>
      </c>
      <c r="AM86" s="3354">
        <f>AM84-AM85</f>
        <v>-1594487.18</v>
      </c>
      <c r="AN86" s="3354">
        <f>AN84-AN85</f>
        <v>1154083.7037690144</v>
      </c>
      <c r="AO86" s="572">
        <f t="shared" si="174"/>
        <v>1.0669301013197308</v>
      </c>
      <c r="AP86" s="3355"/>
      <c r="AQ86" s="3354">
        <f>AQ84</f>
        <v>5952961.8463783544</v>
      </c>
      <c r="AR86" s="3354">
        <f>AR84</f>
        <v>-2050566.3199999998</v>
      </c>
      <c r="AS86" s="3354">
        <f>AS84</f>
        <v>3789079.756378355</v>
      </c>
      <c r="AT86" s="572">
        <f t="shared" si="175"/>
        <v>3.5029376423726255</v>
      </c>
      <c r="AU86" s="3355"/>
      <c r="AV86" s="3355">
        <f>AV84-AV85</f>
        <v>6506797.1103379503</v>
      </c>
      <c r="AW86" s="3355">
        <f>AW84-AW85</f>
        <v>-2775184.17</v>
      </c>
      <c r="AX86" s="3354">
        <f>AX84-AX85</f>
        <v>3720402.5803379486</v>
      </c>
      <c r="AY86" s="572">
        <f t="shared" si="176"/>
        <v>3.4394468001123579</v>
      </c>
      <c r="AZ86" s="3710"/>
      <c r="BA86" s="3355">
        <f>BA84-BA85</f>
        <v>7270586.4886283316</v>
      </c>
      <c r="BB86" s="3355">
        <f>BB84-BB85</f>
        <v>-2375415.0099999998</v>
      </c>
      <c r="BC86" s="3354">
        <f>BC84-BC85</f>
        <v>4888677.7886283314</v>
      </c>
      <c r="BD86" s="572"/>
      <c r="BE86" s="3355"/>
      <c r="BF86" s="3432">
        <v>23386653.358336292</v>
      </c>
      <c r="BG86" s="3354">
        <v>-12195946.310000001</v>
      </c>
      <c r="BH86" s="3354">
        <v>11190707.048336295</v>
      </c>
      <c r="BI86" s="3355"/>
      <c r="BJ86" s="3355"/>
      <c r="BK86" s="3432">
        <f t="shared" ref="BK86:BL86" si="180">BK84</f>
        <v>0</v>
      </c>
      <c r="BL86" s="3354">
        <f t="shared" si="180"/>
        <v>0</v>
      </c>
      <c r="BM86" s="3354">
        <f>BM84</f>
        <v>0</v>
      </c>
      <c r="BN86" s="3355"/>
      <c r="BO86" s="3355"/>
      <c r="BP86" s="3355">
        <f>BP84-BP85</f>
        <v>0</v>
      </c>
      <c r="BQ86" s="3355">
        <f>BQ84-BQ85</f>
        <v>0</v>
      </c>
      <c r="BR86" s="3354">
        <f>BR84</f>
        <v>0</v>
      </c>
      <c r="BS86" s="3355"/>
      <c r="BT86" s="3355"/>
      <c r="BU86" s="3355">
        <f>BU84-BU85</f>
        <v>0</v>
      </c>
      <c r="BV86" s="3355">
        <f>BV84-BV85</f>
        <v>0</v>
      </c>
      <c r="BW86" s="3354">
        <f>BW84</f>
        <v>0</v>
      </c>
      <c r="BX86" s="3355"/>
      <c r="BY86" s="3355"/>
      <c r="BZ86" s="3354">
        <f>BZ84-BZ85</f>
        <v>0</v>
      </c>
      <c r="CA86" s="3354">
        <f>CA84-CA85</f>
        <v>0</v>
      </c>
      <c r="CB86" s="3354">
        <f>CB84</f>
        <v>0</v>
      </c>
      <c r="CC86" s="3355"/>
      <c r="CD86" s="3355"/>
      <c r="CE86" s="3354">
        <f>CE84-CE85</f>
        <v>0</v>
      </c>
      <c r="CF86" s="3354">
        <f>CF84-CF85</f>
        <v>0</v>
      </c>
      <c r="CG86" s="3354">
        <f>CG84</f>
        <v>0</v>
      </c>
      <c r="CH86" s="3355"/>
      <c r="CI86" s="3355"/>
      <c r="CJ86" s="3354">
        <f>CJ84-CJ85</f>
        <v>0</v>
      </c>
      <c r="CK86" s="3354">
        <f>CK84-CK85</f>
        <v>0</v>
      </c>
      <c r="CL86" s="3354">
        <f>CL84</f>
        <v>0</v>
      </c>
      <c r="CM86" s="3355"/>
      <c r="CN86" s="3355"/>
      <c r="CO86" s="3354">
        <f>CO84-CO85</f>
        <v>0</v>
      </c>
      <c r="CP86" s="3354">
        <f>CP84-CP85</f>
        <v>0</v>
      </c>
      <c r="CQ86" s="3354">
        <f>CQ84</f>
        <v>0</v>
      </c>
      <c r="CR86" s="3355"/>
      <c r="CS86" s="3355"/>
      <c r="CT86" s="3354">
        <f>CT84-CT85</f>
        <v>0</v>
      </c>
      <c r="CU86" s="3354">
        <f>CU84-CU85</f>
        <v>0</v>
      </c>
      <c r="CV86" s="3354">
        <f>CV84</f>
        <v>0</v>
      </c>
      <c r="CW86" s="3355"/>
      <c r="CX86" s="3355"/>
      <c r="CY86" s="3354">
        <f>CY84-CY85</f>
        <v>0</v>
      </c>
      <c r="CZ86" s="3354">
        <f>CZ84-CZ85</f>
        <v>0</v>
      </c>
      <c r="DA86" s="3354">
        <f>DA84</f>
        <v>0</v>
      </c>
      <c r="DB86" s="3355"/>
      <c r="DC86" s="3355"/>
      <c r="DD86" s="3354">
        <f>DD84-DD85</f>
        <v>0</v>
      </c>
      <c r="DE86" s="3354">
        <f>DE84-DE85</f>
        <v>0</v>
      </c>
      <c r="DF86" s="3354">
        <f>DF84</f>
        <v>0</v>
      </c>
      <c r="DG86" s="3355"/>
      <c r="DH86" s="3705"/>
      <c r="DI86" s="3354">
        <f>DI84-DI85</f>
        <v>0</v>
      </c>
      <c r="DJ86" s="3354">
        <f>DJ84-DJ85</f>
        <v>0</v>
      </c>
      <c r="DK86" s="3354">
        <f>DK84</f>
        <v>0</v>
      </c>
      <c r="DL86" s="3355"/>
      <c r="DM86" s="3705"/>
      <c r="DN86" s="3354">
        <f>DN84-DN85</f>
        <v>0</v>
      </c>
      <c r="DO86" s="3354">
        <f>DO84-DO85</f>
        <v>0</v>
      </c>
      <c r="DP86" s="3354">
        <f>DP84</f>
        <v>0</v>
      </c>
      <c r="DQ86" s="3355"/>
      <c r="DR86" s="3355"/>
      <c r="DS86" s="3354">
        <f>DS84-DS85</f>
        <v>0</v>
      </c>
      <c r="DT86" s="3354">
        <f>DT84-DT85</f>
        <v>0</v>
      </c>
      <c r="DU86" s="3354">
        <f>DU84</f>
        <v>0</v>
      </c>
      <c r="DV86" s="3355"/>
      <c r="DW86" s="3355"/>
      <c r="DX86" s="3354">
        <f>DX84</f>
        <v>47815435.647405058</v>
      </c>
      <c r="DY86" s="3354">
        <f>DY84</f>
        <v>-23300862.250949997</v>
      </c>
      <c r="DZ86" s="3354">
        <f>DZ84</f>
        <v>24496869.346455075</v>
      </c>
      <c r="EA86" s="3355"/>
      <c r="EB86" s="3355"/>
      <c r="ED86" s="3354">
        <f t="shared" ref="ED86:EE86" si="181">ED84</f>
        <v>4658336.1800000034</v>
      </c>
      <c r="EE86" s="3354">
        <f t="shared" si="181"/>
        <v>4662386.1800000034</v>
      </c>
      <c r="EF86" s="3711"/>
    </row>
    <row r="87" spans="1:136" s="1411" customFormat="1" ht="14.4" thickBot="1" x14ac:dyDescent="0.3">
      <c r="A87" s="1582"/>
      <c r="B87" s="3446" t="s">
        <v>51</v>
      </c>
      <c r="C87" s="3139">
        <f>C86/C5</f>
        <v>-68.363445555555558</v>
      </c>
      <c r="D87" s="3139" t="e">
        <f>D86/D5</f>
        <v>#DIV/0!</v>
      </c>
      <c r="E87" s="2881">
        <f>E86/E5</f>
        <v>-143.44275931818183</v>
      </c>
      <c r="F87" s="3712"/>
      <c r="G87" s="3713"/>
      <c r="H87" s="2877">
        <f>H86/H5</f>
        <v>0.33771837257161641</v>
      </c>
      <c r="I87" s="2878">
        <f>I86/I5</f>
        <v>-0.26430984882192277</v>
      </c>
      <c r="J87" s="2879">
        <f>J86/J5</f>
        <v>0.13404589878255596</v>
      </c>
      <c r="K87" s="2881"/>
      <c r="L87" s="2881"/>
      <c r="M87" s="3714">
        <v>0.66902753438171014</v>
      </c>
      <c r="N87" s="3715" t="e">
        <v>#DIV/0!</v>
      </c>
      <c r="O87" s="3716">
        <v>0.14679136016761046</v>
      </c>
      <c r="P87" s="3717"/>
      <c r="Q87" s="3139"/>
      <c r="R87" s="3714">
        <f>R86/R5</f>
        <v>-8.0906005707088835E-2</v>
      </c>
      <c r="S87" s="3715" t="e">
        <f>S86/S5</f>
        <v>#DIV/0!</v>
      </c>
      <c r="T87" s="3716">
        <f>T86/T5</f>
        <v>-1.2313374513938526</v>
      </c>
      <c r="U87" s="3717"/>
      <c r="V87" s="3717"/>
      <c r="W87" s="2877">
        <f>W86/W5</f>
        <v>0.43814104989064445</v>
      </c>
      <c r="X87" s="2878" t="e">
        <f>X86/X5</f>
        <v>#DIV/0!</v>
      </c>
      <c r="Y87" s="2879">
        <f>Y86/Y5</f>
        <v>6.4220422536883981E-2</v>
      </c>
      <c r="Z87" s="2881"/>
      <c r="AA87" s="2881"/>
      <c r="AB87" s="2877">
        <f>AB86/AB5</f>
        <v>0.44743003583046564</v>
      </c>
      <c r="AC87" s="2878">
        <f>AC86/AC5</f>
        <v>-110.05804657629476</v>
      </c>
      <c r="AD87" s="2879">
        <f>AD86/AD5</f>
        <v>0.10973690638829509</v>
      </c>
      <c r="AE87" s="2881"/>
      <c r="AF87" s="2881"/>
      <c r="AG87" s="2877">
        <f>AG86/AG5</f>
        <v>0.49669307155547654</v>
      </c>
      <c r="AH87" s="2878">
        <f>AH86/AH5</f>
        <v>-20.133283192373728</v>
      </c>
      <c r="AI87" s="2879">
        <f>AI86/AI5</f>
        <v>0.16342392092057084</v>
      </c>
      <c r="AJ87" s="1543">
        <f t="shared" si="166"/>
        <v>1.5108254274488065E-7</v>
      </c>
      <c r="AK87" s="2881"/>
      <c r="AL87" s="2877">
        <f>AL86/AL5</f>
        <v>0.48230094763840309</v>
      </c>
      <c r="AM87" s="2878" t="e">
        <f>AM86/AM5</f>
        <v>#DIV/0!</v>
      </c>
      <c r="AN87" s="2879">
        <f>AN86/AN5</f>
        <v>0.20251093659937458</v>
      </c>
      <c r="AO87" s="1543">
        <f t="shared" si="174"/>
        <v>1.8721780179262362E-7</v>
      </c>
      <c r="AP87" s="2881"/>
      <c r="AQ87" s="3139">
        <f>AQ86/AQ5</f>
        <v>0.59138431929791635</v>
      </c>
      <c r="AR87" s="3139">
        <f>AR86/AR5</f>
        <v>-113.9203511111111</v>
      </c>
      <c r="AS87" s="2879">
        <f>AS86/AS5</f>
        <v>0.3757461618648219</v>
      </c>
      <c r="AT87" s="1543">
        <f t="shared" si="175"/>
        <v>3.4737072297242314E-7</v>
      </c>
      <c r="AU87" s="3139"/>
      <c r="AV87" s="3139">
        <f>AV86/AV5</f>
        <v>0.57901226215695289</v>
      </c>
      <c r="AW87" s="3139">
        <f>AW86/AW5</f>
        <v>-283.18205816326531</v>
      </c>
      <c r="AX87" s="2879">
        <f>AX86/AX5</f>
        <v>0.33077438222378636</v>
      </c>
      <c r="AY87" s="1543">
        <f t="shared" si="176"/>
        <v>3.0579510306527122E-7</v>
      </c>
      <c r="AZ87" s="3718"/>
      <c r="BA87" s="3139">
        <f>BA86/BA5</f>
        <v>0.62303900643769161</v>
      </c>
      <c r="BB87" s="3139" t="e">
        <f>BB86/BB5</f>
        <v>#DIV/0!</v>
      </c>
      <c r="BC87" s="2879">
        <f>BC86/BC5</f>
        <v>0.41892589504091499</v>
      </c>
      <c r="BD87" s="1543"/>
      <c r="BE87" s="3139"/>
      <c r="BF87" s="2877">
        <v>0.43880135207637899</v>
      </c>
      <c r="BG87" s="2878" t="e">
        <v>#DIV/0!</v>
      </c>
      <c r="BH87" s="2879">
        <v>0.2099700760198876</v>
      </c>
      <c r="BI87" s="2881"/>
      <c r="BJ87" s="2881"/>
      <c r="BK87" s="2877" t="e">
        <f>BK86/BK5</f>
        <v>#DIV/0!</v>
      </c>
      <c r="BL87" s="2878" t="e">
        <f>BL86/BL5</f>
        <v>#DIV/0!</v>
      </c>
      <c r="BM87" s="2879" t="e">
        <f>BM86/BM5</f>
        <v>#DIV/0!</v>
      </c>
      <c r="BN87" s="2881"/>
      <c r="BO87" s="2881"/>
      <c r="BP87" s="3139" t="e">
        <f>BP86/BP5</f>
        <v>#DIV/0!</v>
      </c>
      <c r="BQ87" s="3139" t="e">
        <f>BQ86/BQ5</f>
        <v>#DIV/0!</v>
      </c>
      <c r="BR87" s="2879" t="e">
        <f>BR86/BR5</f>
        <v>#DIV/0!</v>
      </c>
      <c r="BS87" s="2881"/>
      <c r="BT87" s="3139"/>
      <c r="BU87" s="3139" t="e">
        <f>BU86/BU5</f>
        <v>#DIV/0!</v>
      </c>
      <c r="BV87" s="3139" t="e">
        <f>BV86/BV5</f>
        <v>#DIV/0!</v>
      </c>
      <c r="BW87" s="2879" t="e">
        <f>BW86/BW5</f>
        <v>#DIV/0!</v>
      </c>
      <c r="BX87" s="2881"/>
      <c r="BY87" s="2881"/>
      <c r="BZ87" s="2877" t="e">
        <f>BZ86/BZ5</f>
        <v>#DIV/0!</v>
      </c>
      <c r="CA87" s="2878" t="e">
        <f>CA86/CA5</f>
        <v>#DIV/0!</v>
      </c>
      <c r="CB87" s="2879" t="e">
        <f>CB86/CB5</f>
        <v>#DIV/0!</v>
      </c>
      <c r="CC87" s="2881"/>
      <c r="CD87" s="2881"/>
      <c r="CE87" s="2877" t="e">
        <f>CE86/CE5</f>
        <v>#DIV/0!</v>
      </c>
      <c r="CF87" s="2878" t="e">
        <f>CF86/CF5</f>
        <v>#DIV/0!</v>
      </c>
      <c r="CG87" s="2879" t="e">
        <f>CG86/CG5</f>
        <v>#DIV/0!</v>
      </c>
      <c r="CH87" s="2881"/>
      <c r="CI87" s="2881"/>
      <c r="CJ87" s="2877" t="e">
        <f>CJ86/CJ5</f>
        <v>#DIV/0!</v>
      </c>
      <c r="CK87" s="2878" t="e">
        <f>CK86/CK5</f>
        <v>#DIV/0!</v>
      </c>
      <c r="CL87" s="2879" t="e">
        <f>CL86/CL5</f>
        <v>#DIV/0!</v>
      </c>
      <c r="CM87" s="2881"/>
      <c r="CN87" s="2881"/>
      <c r="CO87" s="2877" t="e">
        <f>CO86/CO5</f>
        <v>#DIV/0!</v>
      </c>
      <c r="CP87" s="2878" t="e">
        <f>CP86/CP5</f>
        <v>#DIV/0!</v>
      </c>
      <c r="CQ87" s="2879" t="e">
        <f>CQ86/CQ5</f>
        <v>#DIV/0!</v>
      </c>
      <c r="CR87" s="2881"/>
      <c r="CS87" s="2881"/>
      <c r="CT87" s="2877" t="e">
        <f>CT86/CT5</f>
        <v>#DIV/0!</v>
      </c>
      <c r="CU87" s="2878" t="str">
        <f>IFERROR(CU86/CU5,"")</f>
        <v/>
      </c>
      <c r="CV87" s="2879" t="e">
        <f>CV86/CV5</f>
        <v>#DIV/0!</v>
      </c>
      <c r="CW87" s="2881"/>
      <c r="CX87" s="2881"/>
      <c r="CY87" s="2877" t="e">
        <f>CY86/CY5</f>
        <v>#DIV/0!</v>
      </c>
      <c r="CZ87" s="2878" t="str">
        <f>IFERROR(CZ86/CZ5,"")</f>
        <v/>
      </c>
      <c r="DA87" s="2879" t="e">
        <f>DA86/DA5</f>
        <v>#DIV/0!</v>
      </c>
      <c r="DB87" s="2881"/>
      <c r="DC87" s="3139"/>
      <c r="DD87" s="2877" t="e">
        <f>DD86/DD5</f>
        <v>#DIV/0!</v>
      </c>
      <c r="DE87" s="2878" t="str">
        <f>IFERROR(DE86/DE5,"")</f>
        <v/>
      </c>
      <c r="DF87" s="2879" t="e">
        <f>DF86/DF5</f>
        <v>#DIV/0!</v>
      </c>
      <c r="DG87" s="2881"/>
      <c r="DH87" s="3139"/>
      <c r="DI87" s="2877" t="e">
        <f>DI86/DI5</f>
        <v>#DIV/0!</v>
      </c>
      <c r="DJ87" s="2878" t="str">
        <f>IFERROR(DJ86/DJ5,"")</f>
        <v/>
      </c>
      <c r="DK87" s="2879" t="e">
        <f>DK86/DK5</f>
        <v>#DIV/0!</v>
      </c>
      <c r="DL87" s="2881"/>
      <c r="DM87" s="3139"/>
      <c r="DN87" s="2877" t="e">
        <f>DN86/DN5</f>
        <v>#DIV/0!</v>
      </c>
      <c r="DO87" s="2878" t="str">
        <f>IFERROR(DO86/DO5,"")</f>
        <v/>
      </c>
      <c r="DP87" s="2879" t="e">
        <f>DP86/DP5</f>
        <v>#DIV/0!</v>
      </c>
      <c r="DQ87" s="2881"/>
      <c r="DR87" s="2881"/>
      <c r="DS87" s="2877">
        <f>IFERROR(DS86/DS5,0)</f>
        <v>0</v>
      </c>
      <c r="DT87" s="2878" t="str">
        <f>IFERROR(DT86/DT5,"")</f>
        <v/>
      </c>
      <c r="DU87" s="2879">
        <f>IFERROR(DU86/DU5,0)</f>
        <v>0</v>
      </c>
      <c r="DV87" s="2881"/>
      <c r="DW87" s="2881"/>
      <c r="DX87" s="2877">
        <f>DX86/DX5</f>
        <v>0.492046067899574</v>
      </c>
      <c r="DY87" s="3051">
        <f>DY86/DY5</f>
        <v>-451.87552920714484</v>
      </c>
      <c r="DZ87" s="2879">
        <f>DZ86/DZ5</f>
        <v>0.2519520210510855</v>
      </c>
      <c r="EA87" s="2881"/>
      <c r="EB87" s="2881"/>
      <c r="ED87" s="2877">
        <f>ED86/ED5</f>
        <v>9.6707449263004119E-2</v>
      </c>
      <c r="EE87" s="2879">
        <f>EE86/EE5</f>
        <v>9.679152760221818E-2</v>
      </c>
      <c r="EF87" s="3496"/>
    </row>
    <row r="88" spans="1:136" ht="13.8" x14ac:dyDescent="0.25">
      <c r="A88" s="1438"/>
      <c r="B88" s="1438"/>
      <c r="C88" s="1970"/>
      <c r="D88" s="1970"/>
      <c r="E88" s="1970"/>
      <c r="F88" s="208"/>
      <c r="G88" s="208"/>
      <c r="H88" s="1970"/>
      <c r="I88" s="1970"/>
      <c r="J88" s="1970"/>
      <c r="K88" s="1970"/>
      <c r="L88" s="1970"/>
      <c r="M88" s="3719"/>
      <c r="N88" s="3719"/>
      <c r="O88" s="3719"/>
      <c r="P88" s="3719"/>
      <c r="Q88" s="1970"/>
      <c r="R88" s="3719"/>
      <c r="S88" s="3719"/>
      <c r="T88" s="3719"/>
      <c r="U88" s="3719"/>
      <c r="V88" s="3719"/>
      <c r="W88" s="1970"/>
      <c r="X88" s="1970"/>
      <c r="Y88" s="1970"/>
      <c r="Z88" s="1970"/>
      <c r="AA88" s="1970"/>
      <c r="AB88" s="1970"/>
      <c r="AC88" s="1970"/>
      <c r="AD88" s="1970"/>
      <c r="AE88" s="1970"/>
      <c r="AF88" s="1970"/>
      <c r="AG88" s="1970"/>
      <c r="AH88" s="1970"/>
      <c r="AI88" s="1970"/>
      <c r="AJ88" s="1970"/>
      <c r="AK88" s="1970"/>
      <c r="AL88" s="1970"/>
      <c r="AM88" s="1970"/>
      <c r="AN88" s="1970"/>
      <c r="AO88" s="1970"/>
      <c r="AP88" s="1970"/>
      <c r="AQ88" s="1970"/>
      <c r="AR88" s="1970"/>
      <c r="AS88" s="1970"/>
      <c r="AT88" s="1970"/>
      <c r="AU88" s="1970"/>
      <c r="AV88" s="1970"/>
      <c r="AW88" s="1970"/>
      <c r="AX88" s="1970"/>
      <c r="AY88" s="1970"/>
      <c r="AZ88" s="1970"/>
      <c r="BA88" s="1970"/>
      <c r="BB88" s="1970"/>
      <c r="BC88" s="1970"/>
      <c r="BD88" s="1970"/>
      <c r="BE88" s="1970"/>
      <c r="BF88" s="1970"/>
      <c r="BG88" s="1970"/>
      <c r="BH88" s="1970"/>
      <c r="BI88" s="1970"/>
      <c r="BJ88" s="1970"/>
      <c r="BK88" s="1970"/>
      <c r="BL88" s="1970"/>
      <c r="BM88" s="1970"/>
      <c r="BN88" s="1970"/>
      <c r="BO88" s="1970"/>
      <c r="BP88" s="1970"/>
      <c r="BQ88" s="1970"/>
      <c r="BR88" s="1970"/>
      <c r="BS88" s="1970"/>
      <c r="BT88" s="1970"/>
      <c r="BU88" s="1970"/>
      <c r="BV88" s="1970"/>
      <c r="BW88" s="1970"/>
      <c r="BX88" s="1970"/>
      <c r="BY88" s="1970"/>
      <c r="BZ88" s="1970"/>
      <c r="CA88" s="1970"/>
      <c r="CB88" s="1970"/>
      <c r="CC88" s="1970"/>
      <c r="CD88" s="1970"/>
      <c r="CE88" s="1970"/>
      <c r="CF88" s="1970"/>
      <c r="CG88" s="1970"/>
      <c r="CH88" s="1970"/>
      <c r="CI88" s="1970"/>
      <c r="CJ88" s="1970"/>
      <c r="CK88" s="1970"/>
      <c r="CL88" s="1970"/>
      <c r="CM88" s="1970"/>
      <c r="CN88" s="1970"/>
      <c r="CO88" s="1970"/>
      <c r="CP88" s="1970"/>
      <c r="CQ88" s="1970"/>
      <c r="CR88" s="1970"/>
      <c r="CS88" s="1970"/>
      <c r="CT88" s="1970"/>
      <c r="CU88" s="1970"/>
      <c r="CV88" s="1970"/>
      <c r="CW88" s="1970"/>
      <c r="CX88" s="1970"/>
      <c r="CY88" s="1970"/>
      <c r="CZ88" s="1970"/>
      <c r="DA88" s="1970"/>
      <c r="DB88" s="1970"/>
      <c r="DC88" s="1970"/>
      <c r="DD88" s="1970"/>
      <c r="DE88" s="1970"/>
      <c r="DF88" s="1970"/>
      <c r="DG88" s="1970"/>
      <c r="DH88" s="1970"/>
      <c r="DI88" s="1970"/>
      <c r="DJ88" s="1970"/>
      <c r="DK88" s="1970"/>
      <c r="DL88" s="1970"/>
      <c r="DM88" s="1970"/>
      <c r="DN88" s="1970"/>
      <c r="DO88" s="1970"/>
      <c r="DP88" s="1970"/>
      <c r="DQ88" s="1970"/>
      <c r="DR88" s="1970"/>
      <c r="DS88" s="1970"/>
      <c r="DT88" s="1970"/>
      <c r="DU88" s="1970"/>
      <c r="DV88" s="1970"/>
      <c r="DW88" s="1970"/>
      <c r="DX88" s="1970"/>
      <c r="DY88" s="1970"/>
      <c r="DZ88" s="1970"/>
      <c r="EA88" s="1970"/>
      <c r="EB88" s="1970"/>
      <c r="ED88" s="1970"/>
      <c r="EE88" s="1970"/>
    </row>
    <row r="89" spans="1:136" ht="14.4" x14ac:dyDescent="0.3">
      <c r="B89" s="1577" t="s">
        <v>56</v>
      </c>
      <c r="E89" s="1976">
        <f>E8+E36+E41+E50+E54+E73+E79+E82+E85</f>
        <v>2599969.667727273</v>
      </c>
      <c r="J89" s="1976">
        <f>J8+J36+J41+J50+J54+J73+J79+J82+J85</f>
        <v>12708417.968422728</v>
      </c>
      <c r="O89" s="3720">
        <v>19273416.643276833</v>
      </c>
      <c r="R89" s="3721"/>
      <c r="S89" s="3721"/>
      <c r="T89" s="3720">
        <f>T8+T36+T41+T50+T54+T73+T79+T82+T85</f>
        <v>1297188.0273678161</v>
      </c>
      <c r="U89" s="3721"/>
      <c r="V89" s="3721"/>
      <c r="Y89" s="1976">
        <f>Y8+Y36+Y41+Y50+Y54+Y73+Y79+Y82+Y85</f>
        <v>2260570.9601379312</v>
      </c>
      <c r="AD89" s="1976">
        <f>AD8+AD36+AD41+AD50+AD54+AD73+AD79+AD82+AD85</f>
        <v>838146.25526436779</v>
      </c>
      <c r="AI89" s="1976">
        <f>AI8+AI36+AI41+AI50+AI54+AI73+AI79+AI82+AI85</f>
        <v>1081686.3282247635</v>
      </c>
      <c r="AN89" s="1976">
        <f>AN8+AN36+AN41+AN50+AN54+AN73+AN79+AN82+AN85</f>
        <v>4544787.2962309858</v>
      </c>
      <c r="AS89" s="1976">
        <f>AS8+AS36+AS41+AS50+AS54+AS73+AS79+AS82+AS85</f>
        <v>6305417.8436216442</v>
      </c>
      <c r="AV89" s="2140"/>
      <c r="AW89" s="2140"/>
      <c r="AX89" s="1976">
        <f>AX8+AX36+AX41+AX50+AX54+AX73+AX79+AX82+AX85</f>
        <v>7527150.9796620496</v>
      </c>
      <c r="AY89" s="2140"/>
      <c r="AZ89" s="2140"/>
      <c r="BC89" s="1976">
        <f>BC8+BC36+BC41+BC50+BC54+BC73+BC79+BC82+BC85</f>
        <v>6780874.861371669</v>
      </c>
      <c r="BH89" s="1976">
        <v>42253179.531663701</v>
      </c>
      <c r="BM89" s="1976">
        <f>BM8+BM36+BM41+BM50+BM54+BM73+BM79+BM82</f>
        <v>0</v>
      </c>
      <c r="BR89" s="1976">
        <f>BR8+BR36+BR41+BR50+BR54+BR73+BR79+BR82</f>
        <v>0</v>
      </c>
      <c r="BW89" s="1976">
        <f>BW8+BW36+BW41+BW50+BW54+BW73+BW79+BW82</f>
        <v>0</v>
      </c>
      <c r="CB89" s="1976">
        <f>CB8+CB36+CB41+CB50+CB54+CB73+CB79+CB82</f>
        <v>0</v>
      </c>
      <c r="CG89" s="1976">
        <f>CG8+CG36+CG41+CG50+CG54+CG73+CG79+CG82</f>
        <v>0</v>
      </c>
      <c r="CL89" s="1976">
        <f>CL8+CL36+CL41+CL50+CL54+CL73+CL79+CL82</f>
        <v>0</v>
      </c>
      <c r="CQ89" s="1976">
        <f>CQ8+CQ36+CQ41+CQ50+CQ54+CQ73+CQ79+CQ82</f>
        <v>0</v>
      </c>
      <c r="CV89" s="1976">
        <f>CV8+CV36+CV41+CV50+CV54+CV73+CV79+CV82</f>
        <v>0</v>
      </c>
      <c r="DA89" s="1976">
        <f>DA8+DA36+DA41+DA50+DA54+DA73+DA79+DA82</f>
        <v>0</v>
      </c>
      <c r="DF89" s="1976">
        <f>DF8+DF36+DF41+DF50+DF54+DF73+DF79+DF82</f>
        <v>0</v>
      </c>
      <c r="DK89" s="1976">
        <f>DK8+DK36+DK41+DK50+DK54+DK73+DK79+DK82</f>
        <v>0</v>
      </c>
      <c r="DP89" s="1976">
        <f>DP8+DP36+DP41+DP50+DP54+DP73+DP79+DP82</f>
        <v>0</v>
      </c>
      <c r="DU89" s="1976">
        <f>DU8+DU36+DU41+DU50+DU54+DU73+DU79+DU82</f>
        <v>0</v>
      </c>
      <c r="DZ89" s="1976">
        <f>DZ8+DZ36+DZ41+DZ50+DZ54+DZ73+DZ79+DZ82</f>
        <v>72878652.08354491</v>
      </c>
      <c r="EF89" s="3164"/>
    </row>
    <row r="90" spans="1:136" ht="14.4" x14ac:dyDescent="0.3">
      <c r="O90" s="1968" t="b">
        <v>1</v>
      </c>
      <c r="AV90" s="2140"/>
      <c r="AW90" s="2140"/>
      <c r="AX90" s="2140"/>
      <c r="AY90" s="2140"/>
      <c r="AZ90" s="2140"/>
      <c r="DZ90" s="1834" t="b">
        <f>T89+Y89+AD89+AI89+AN89+AS89+AX89+BC89+BR89+BW89+CB89+CG89+CL89+CQ89+CV89+DA89+DF89+DK89+DP89+DU89+BH89-10350=DZ89</f>
        <v>1</v>
      </c>
      <c r="EF90" s="3164"/>
    </row>
    <row r="91" spans="1:136" s="1411" customFormat="1" ht="13.2" hidden="1" customHeight="1" outlineLevel="1" x14ac:dyDescent="0.25">
      <c r="A91" s="1417"/>
      <c r="B91" s="1417"/>
      <c r="C91" s="1968"/>
      <c r="D91" s="1968"/>
      <c r="E91" s="1968"/>
      <c r="F91" s="1968"/>
      <c r="G91" s="1968"/>
      <c r="H91" s="1968"/>
      <c r="I91" s="1968"/>
      <c r="J91" s="1968"/>
      <c r="K91" s="1968"/>
      <c r="L91" s="1968"/>
      <c r="M91" s="1968"/>
      <c r="N91" s="1968"/>
      <c r="O91" s="1968"/>
      <c r="P91" s="1968"/>
      <c r="Q91" s="1968"/>
      <c r="R91" s="1968"/>
      <c r="S91" s="1968"/>
      <c r="T91" s="1968"/>
      <c r="U91" s="1968"/>
      <c r="V91" s="1968"/>
      <c r="W91" s="1968"/>
      <c r="X91" s="1968"/>
      <c r="Y91" s="1968"/>
      <c r="Z91" s="1968"/>
      <c r="AA91" s="1968"/>
      <c r="AB91" s="1968"/>
      <c r="AC91" s="1968"/>
      <c r="AD91" s="1968"/>
      <c r="AE91" s="1968"/>
      <c r="AF91" s="1968"/>
      <c r="AG91" s="1968"/>
      <c r="AH91" s="1968"/>
      <c r="AI91" s="1968"/>
      <c r="AJ91" s="1968"/>
      <c r="AK91" s="1968"/>
      <c r="AL91" s="1968"/>
      <c r="AM91" s="1968"/>
      <c r="AN91" s="1968"/>
      <c r="AO91" s="1968"/>
      <c r="AP91" s="1968"/>
      <c r="AQ91" s="1968"/>
      <c r="AR91" s="1968"/>
      <c r="AS91" s="1968"/>
      <c r="AT91" s="1968"/>
      <c r="AU91" s="1968"/>
      <c r="AV91" s="1968"/>
      <c r="AW91" s="1968"/>
      <c r="AX91" s="1968"/>
      <c r="AY91" s="1968"/>
      <c r="AZ91" s="1968"/>
      <c r="BA91" s="1968"/>
      <c r="BB91" s="1968"/>
      <c r="BC91" s="1968"/>
      <c r="BD91" s="1968"/>
      <c r="BE91" s="1968"/>
      <c r="BF91" s="1968"/>
      <c r="BG91" s="1968"/>
      <c r="BH91" s="1185">
        <v>11190707.048336295</v>
      </c>
      <c r="BI91" s="1968"/>
      <c r="BJ91" s="1968"/>
      <c r="BK91" s="1968"/>
      <c r="BL91" s="1968"/>
      <c r="BM91" s="1185">
        <f>BM5-BM89+BM78</f>
        <v>0</v>
      </c>
      <c r="BN91" s="1968"/>
      <c r="BO91" s="1968"/>
      <c r="BP91" s="1968"/>
      <c r="BQ91" s="1968"/>
      <c r="BR91" s="1185">
        <f>BR5-BR89+BR78</f>
        <v>0</v>
      </c>
      <c r="BS91" s="1968"/>
      <c r="BT91" s="1968"/>
      <c r="BU91" s="1968"/>
      <c r="BV91" s="1968"/>
      <c r="BW91" s="1185">
        <f>BW5-BW89+BW78</f>
        <v>0</v>
      </c>
      <c r="BX91" s="1968"/>
      <c r="BY91" s="1968"/>
      <c r="BZ91" s="1968"/>
      <c r="CA91" s="1968"/>
      <c r="CB91" s="1185">
        <f>CB5-CB89+CB78</f>
        <v>0</v>
      </c>
      <c r="CC91" s="1968"/>
      <c r="CD91" s="1968"/>
      <c r="CE91" s="1968"/>
      <c r="CF91" s="1968"/>
      <c r="CG91" s="1185">
        <f>CG5-CG89+CG78</f>
        <v>0</v>
      </c>
      <c r="CH91" s="1968"/>
      <c r="CI91" s="1968"/>
      <c r="CJ91" s="1968"/>
      <c r="CK91" s="1968"/>
      <c r="CL91" s="1185">
        <f>CL5-CL89+CL78</f>
        <v>0</v>
      </c>
      <c r="CM91" s="1968"/>
      <c r="CN91" s="1968"/>
      <c r="CO91" s="1968"/>
      <c r="CP91" s="1968"/>
      <c r="CQ91" s="1185">
        <f>CQ5-CQ89+CQ78</f>
        <v>0</v>
      </c>
      <c r="CR91" s="1968"/>
      <c r="CS91" s="1968"/>
      <c r="CT91" s="1968"/>
      <c r="CU91" s="1968"/>
      <c r="CV91" s="1185">
        <f>CV5-CV89+CV78</f>
        <v>0</v>
      </c>
      <c r="CW91" s="1968"/>
      <c r="CX91" s="1968"/>
      <c r="CY91" s="1968"/>
      <c r="CZ91" s="1968"/>
      <c r="DA91" s="1185">
        <f>DA5-DA89+DA78</f>
        <v>0</v>
      </c>
      <c r="DB91" s="1968"/>
      <c r="DC91" s="1968"/>
      <c r="DD91" s="1968"/>
      <c r="DE91" s="1968"/>
      <c r="DF91" s="1185">
        <f>DF5-DF89+DF78</f>
        <v>0</v>
      </c>
      <c r="DG91" s="1968"/>
      <c r="DH91" s="1968"/>
      <c r="DI91" s="1968"/>
      <c r="DJ91" s="1968"/>
      <c r="DK91" s="1185">
        <f>DK5-DK89+DK78</f>
        <v>0</v>
      </c>
      <c r="DL91" s="1968"/>
      <c r="DM91" s="1968"/>
      <c r="DN91" s="1968"/>
      <c r="DO91" s="1968"/>
      <c r="DP91" s="1185">
        <f>DP5-DP89+DP78</f>
        <v>0</v>
      </c>
      <c r="DQ91" s="1968"/>
      <c r="DR91" s="1968"/>
      <c r="DS91" s="1968"/>
      <c r="DT91" s="1968"/>
      <c r="DU91" s="1185">
        <f>DU5-DU89+DU78</f>
        <v>0</v>
      </c>
      <c r="DV91" s="1968"/>
      <c r="DW91" s="1968"/>
      <c r="DX91" s="1968"/>
      <c r="DY91" s="1968"/>
      <c r="DZ91" s="2485"/>
      <c r="EA91" s="1968"/>
      <c r="EB91" s="1968"/>
      <c r="ED91" s="1968">
        <v>-560700</v>
      </c>
      <c r="EE91" s="828" t="s">
        <v>2104</v>
      </c>
      <c r="EF91" s="3496"/>
    </row>
    <row r="92" spans="1:136" ht="13.2" hidden="1" customHeight="1" outlineLevel="1" x14ac:dyDescent="0.25">
      <c r="BG92" s="2489"/>
      <c r="BH92" s="2651"/>
      <c r="BL92" s="2489"/>
      <c r="BM92" s="2651"/>
      <c r="CT92" s="1075"/>
      <c r="DZ92" s="2489"/>
      <c r="EA92" s="2489"/>
      <c r="ED92" s="1968">
        <v>-675180.96999999881</v>
      </c>
      <c r="EE92" s="828" t="s">
        <v>2105</v>
      </c>
    </row>
    <row r="93" spans="1:136" s="1411" customFormat="1" ht="13.2" hidden="1" customHeight="1" outlineLevel="1" x14ac:dyDescent="0.25">
      <c r="A93" s="1417"/>
      <c r="B93" s="1670"/>
      <c r="C93" s="1968"/>
      <c r="D93" s="1968"/>
      <c r="E93" s="1968"/>
      <c r="F93" s="1968"/>
      <c r="G93" s="1968"/>
      <c r="H93" s="1968"/>
      <c r="I93" s="1968"/>
      <c r="J93" s="1968"/>
      <c r="K93" s="1968"/>
      <c r="L93" s="1968"/>
      <c r="M93" s="1968"/>
      <c r="N93" s="1968"/>
      <c r="O93" s="1968"/>
      <c r="P93" s="1968"/>
      <c r="Q93" s="1968"/>
      <c r="R93" s="1968"/>
      <c r="S93" s="1968"/>
      <c r="T93" s="687">
        <f>T5-T89</f>
        <v>-715838.02736781607</v>
      </c>
      <c r="U93" s="1968"/>
      <c r="V93" s="1968"/>
      <c r="W93" s="1968"/>
      <c r="X93" s="1968"/>
      <c r="Y93" s="687">
        <f>Y5-Y89</f>
        <v>155137.83986206865</v>
      </c>
      <c r="Z93" s="1968"/>
      <c r="AA93" s="1968"/>
      <c r="AB93" s="1968"/>
      <c r="AC93" s="1968"/>
      <c r="AD93" s="687">
        <f>AD5-AD89</f>
        <v>103312.80473563226</v>
      </c>
      <c r="AE93" s="1968"/>
      <c r="AF93" s="1968"/>
      <c r="AG93" s="1968"/>
      <c r="AH93" s="1968"/>
      <c r="AI93" s="687">
        <f>AI5-AI89</f>
        <v>211305.85177523643</v>
      </c>
      <c r="AJ93" s="1968"/>
      <c r="AK93" s="1968"/>
      <c r="AL93" s="1968"/>
      <c r="AM93" s="1968"/>
      <c r="AN93" s="687">
        <f>AN5-AN89</f>
        <v>1154083.7037690142</v>
      </c>
      <c r="AO93" s="1968"/>
      <c r="AP93" s="1968"/>
      <c r="AQ93" s="1968"/>
      <c r="AR93" s="1968"/>
      <c r="AS93" s="687">
        <f>AS5-AS89</f>
        <v>3778729.7563783554</v>
      </c>
      <c r="AT93" s="1968"/>
      <c r="AU93" s="1968"/>
      <c r="AV93" s="1968"/>
      <c r="AW93" s="1968"/>
      <c r="AX93" s="687">
        <f>AX5-AX89</f>
        <v>3720402.5803379491</v>
      </c>
      <c r="AY93" s="1968"/>
      <c r="AZ93" s="1968"/>
      <c r="BA93" s="1968"/>
      <c r="BB93" s="1968"/>
      <c r="BC93" s="687">
        <f>BC5-BC89</f>
        <v>4888677.7886283314</v>
      </c>
      <c r="BD93" s="1968"/>
      <c r="BE93" s="1968"/>
      <c r="BF93" s="1968"/>
      <c r="BG93" s="2491"/>
      <c r="BH93" s="1968">
        <v>5.5879354476928711E-9</v>
      </c>
      <c r="BI93" s="1968"/>
      <c r="BJ93" s="1968"/>
      <c r="BK93" s="1968"/>
      <c r="BL93" s="2491"/>
      <c r="BM93" s="1968">
        <f>BR89+BW89+CB89+CG89+CL89+CQ89+CV89-BM89+DA89+DF89+DK89+DP89+DU89</f>
        <v>0</v>
      </c>
      <c r="BN93" s="1968"/>
      <c r="BO93" s="1968"/>
      <c r="BP93" s="1968"/>
      <c r="BQ93" s="1968"/>
      <c r="BR93" s="687">
        <f>BR5-BR89+BR78</f>
        <v>0</v>
      </c>
      <c r="BS93" s="1968"/>
      <c r="BT93" s="1968"/>
      <c r="BU93" s="1968"/>
      <c r="BV93" s="1968"/>
      <c r="BW93" s="1968"/>
      <c r="BX93" s="1968"/>
      <c r="BY93" s="1968"/>
      <c r="BZ93" s="1968"/>
      <c r="CA93" s="1968"/>
      <c r="CB93" s="1968"/>
      <c r="CC93" s="1968"/>
      <c r="CD93" s="1968"/>
      <c r="CE93" s="1968"/>
      <c r="CF93" s="1968"/>
      <c r="CG93" s="1968">
        <f>CG91-CG86</f>
        <v>0</v>
      </c>
      <c r="CH93" s="1968"/>
      <c r="CI93" s="1968"/>
      <c r="CJ93" s="1968"/>
      <c r="CK93" s="1968"/>
      <c r="CL93" s="1968"/>
      <c r="CM93" s="1968"/>
      <c r="CN93" s="1968"/>
      <c r="CO93" s="1968"/>
      <c r="CP93" s="1968"/>
      <c r="CQ93" s="1968"/>
      <c r="CR93" s="1968"/>
      <c r="CS93" s="1968"/>
      <c r="CT93" s="1075"/>
      <c r="CU93" s="1968"/>
      <c r="CV93" s="1968"/>
      <c r="CW93" s="1968"/>
      <c r="CX93" s="1968"/>
      <c r="CY93" s="1968"/>
      <c r="CZ93" s="1968"/>
      <c r="DA93" s="1968"/>
      <c r="DB93" s="1968"/>
      <c r="DC93" s="1968"/>
      <c r="DD93" s="1968"/>
      <c r="DE93" s="1968"/>
      <c r="DF93" s="1968"/>
      <c r="DG93" s="1968"/>
      <c r="DH93" s="1968"/>
      <c r="DI93" s="1968"/>
      <c r="DJ93" s="1968"/>
      <c r="DK93" s="1968"/>
      <c r="DL93" s="1968"/>
      <c r="DM93" s="1968"/>
      <c r="DN93" s="1968"/>
      <c r="DO93" s="1968"/>
      <c r="DP93" s="1968"/>
      <c r="DQ93" s="1968"/>
      <c r="DR93" s="1968"/>
      <c r="DS93" s="1968"/>
      <c r="DT93" s="1968"/>
      <c r="DU93" s="1968"/>
      <c r="DV93" s="1968"/>
      <c r="DW93" s="1968"/>
      <c r="DX93" s="1968"/>
      <c r="DY93" s="1968"/>
      <c r="DZ93" s="1185"/>
      <c r="EA93" s="1347"/>
      <c r="EB93" s="1968"/>
      <c r="ED93" s="1968"/>
      <c r="EE93" s="1968"/>
      <c r="EF93" s="3496"/>
    </row>
    <row r="94" spans="1:136" s="1411" customFormat="1" ht="13.2" hidden="1" customHeight="1" outlineLevel="1" x14ac:dyDescent="0.25">
      <c r="A94" s="1417"/>
      <c r="B94" s="1670"/>
      <c r="C94" s="1968"/>
      <c r="D94" s="1968"/>
      <c r="E94" s="1968"/>
      <c r="F94" s="1968"/>
      <c r="G94" s="1968"/>
      <c r="H94" s="1968"/>
      <c r="I94" s="1968"/>
      <c r="J94" s="1968"/>
      <c r="K94" s="1968"/>
      <c r="L94" s="1968"/>
      <c r="M94" s="1968"/>
      <c r="N94" s="1968"/>
      <c r="O94" s="1968"/>
      <c r="P94" s="1968"/>
      <c r="Q94" s="1968"/>
      <c r="R94" s="1968"/>
      <c r="S94" s="1968"/>
      <c r="T94" s="1968"/>
      <c r="U94" s="1968"/>
      <c r="V94" s="1968"/>
      <c r="W94" s="1968"/>
      <c r="X94" s="1968"/>
      <c r="Y94" s="1968"/>
      <c r="Z94" s="1968"/>
      <c r="AA94" s="1968"/>
      <c r="AB94" s="1968"/>
      <c r="AC94" s="1968"/>
      <c r="AD94" s="1968"/>
      <c r="AE94" s="1968"/>
      <c r="AF94" s="1968"/>
      <c r="AG94" s="1669"/>
      <c r="AH94" s="1968"/>
      <c r="AI94" s="1968"/>
      <c r="AJ94" s="1968"/>
      <c r="AK94" s="1968"/>
      <c r="AL94" s="1968"/>
      <c r="AM94" s="1968"/>
      <c r="AN94" s="1968"/>
      <c r="AO94" s="1968"/>
      <c r="AP94" s="1968"/>
      <c r="AQ94" s="1968"/>
      <c r="AR94" s="1968"/>
      <c r="AS94" s="1968"/>
      <c r="AT94" s="1968"/>
      <c r="AU94" s="1968"/>
      <c r="AV94" s="1968"/>
      <c r="AW94" s="1968"/>
      <c r="AX94" s="1968"/>
      <c r="AY94" s="1968"/>
      <c r="AZ94" s="1968"/>
      <c r="BA94" s="1968"/>
      <c r="BB94" s="1968">
        <f>22*173000</f>
        <v>3806000</v>
      </c>
      <c r="BC94" s="1968"/>
      <c r="BD94" s="1968"/>
      <c r="BE94" s="1968"/>
      <c r="BF94" s="1968"/>
      <c r="BG94" s="2491"/>
      <c r="BH94" s="2490"/>
      <c r="BI94" s="1968"/>
      <c r="BJ94" s="1968"/>
      <c r="BK94" s="1968"/>
      <c r="BL94" s="2491"/>
      <c r="BM94" s="2490"/>
      <c r="BN94" s="1968"/>
      <c r="BO94" s="1968"/>
      <c r="BP94" s="1968"/>
      <c r="BQ94" s="1968"/>
      <c r="BR94" s="1968"/>
      <c r="BS94" s="1968"/>
      <c r="BT94" s="1968"/>
      <c r="BU94" s="1968"/>
      <c r="BV94" s="1968"/>
      <c r="BW94" s="1968"/>
      <c r="BX94" s="1968"/>
      <c r="BY94" s="1968"/>
      <c r="BZ94" s="1968"/>
      <c r="CA94" s="1968"/>
      <c r="CB94" s="1968"/>
      <c r="CC94" s="1968"/>
      <c r="CD94" s="1968"/>
      <c r="CE94" s="1968"/>
      <c r="CF94" s="1968"/>
      <c r="CG94" s="1968"/>
      <c r="CH94" s="1968"/>
      <c r="CI94" s="1968"/>
      <c r="CJ94" s="1968"/>
      <c r="CK94" s="1968"/>
      <c r="CL94" s="1968"/>
      <c r="CM94" s="1968"/>
      <c r="CN94" s="1968"/>
      <c r="CO94" s="1968"/>
      <c r="CP94" s="1968"/>
      <c r="CQ94" s="1968"/>
      <c r="CR94" s="1968"/>
      <c r="CS94" s="1968"/>
      <c r="CT94" s="1968" t="s">
        <v>1774</v>
      </c>
      <c r="CU94" s="921">
        <f>CV86+CQ86+CL86</f>
        <v>0</v>
      </c>
      <c r="CV94" s="1968">
        <f>9*102882</f>
        <v>925938</v>
      </c>
      <c r="CW94" s="828" t="s">
        <v>1782</v>
      </c>
      <c r="CX94" s="1968"/>
      <c r="CY94" s="1968" t="s">
        <v>1774</v>
      </c>
      <c r="CZ94" s="921">
        <f>CV86+CQ86+CL86+DA86</f>
        <v>0</v>
      </c>
      <c r="DA94" s="1968">
        <f>12*130000</f>
        <v>1560000</v>
      </c>
      <c r="DB94" s="828" t="s">
        <v>1923</v>
      </c>
      <c r="DC94" s="1968"/>
      <c r="DD94" s="1968" t="s">
        <v>1774</v>
      </c>
      <c r="DE94" s="1968">
        <f>CV86+CQ86+CL86+DA86+DF86</f>
        <v>0</v>
      </c>
      <c r="DF94" s="1968">
        <f>27*120000</f>
        <v>3240000</v>
      </c>
      <c r="DG94" s="3164" t="s">
        <v>2046</v>
      </c>
      <c r="DH94" s="1968"/>
      <c r="DI94" s="1968"/>
      <c r="DJ94" s="1968"/>
      <c r="DK94" s="1968"/>
      <c r="DL94" s="3164"/>
      <c r="DM94" s="1968"/>
      <c r="DN94" s="1968"/>
      <c r="DO94" s="1968"/>
      <c r="DP94" s="1968"/>
      <c r="DQ94" s="3164"/>
      <c r="DR94" s="1968"/>
      <c r="DS94" s="1968"/>
      <c r="DT94" s="1968"/>
      <c r="DU94" s="1968"/>
      <c r="DV94" s="3164"/>
      <c r="DW94" s="1968"/>
      <c r="DX94" s="1669"/>
      <c r="DY94" s="1968"/>
      <c r="DZ94" s="1185"/>
      <c r="EA94" s="1347"/>
      <c r="EB94" s="1968"/>
      <c r="ED94" s="1968"/>
      <c r="EE94" s="1669"/>
      <c r="EF94" s="3496"/>
    </row>
    <row r="95" spans="1:136" s="1411" customFormat="1" ht="13.2" hidden="1" customHeight="1" outlineLevel="1" x14ac:dyDescent="0.25">
      <c r="A95" s="1417"/>
      <c r="B95" s="1670"/>
      <c r="C95" s="1968"/>
      <c r="D95" s="1968"/>
      <c r="E95" s="1968"/>
      <c r="F95" s="1968"/>
      <c r="G95" s="1968"/>
      <c r="H95" s="1968"/>
      <c r="I95" s="1968"/>
      <c r="J95" s="1968"/>
      <c r="K95" s="1968"/>
      <c r="L95" s="1968"/>
      <c r="M95" s="1968"/>
      <c r="N95" s="1968"/>
      <c r="O95" s="1968"/>
      <c r="P95" s="1968"/>
      <c r="Q95" s="1968"/>
      <c r="R95" s="1968"/>
      <c r="S95" s="1968"/>
      <c r="T95" s="1968"/>
      <c r="U95" s="1968"/>
      <c r="V95" s="1968"/>
      <c r="W95" s="1968"/>
      <c r="X95" s="1968"/>
      <c r="Y95" s="1968"/>
      <c r="Z95" s="1968"/>
      <c r="AA95" s="1968"/>
      <c r="AB95" s="1968"/>
      <c r="AC95" s="1968"/>
      <c r="AD95" s="1968"/>
      <c r="AE95" s="1968"/>
      <c r="AF95" s="1968"/>
      <c r="AG95" s="1968"/>
      <c r="AH95" s="1968"/>
      <c r="AI95" s="1968"/>
      <c r="AJ95" s="1968"/>
      <c r="AK95" s="1968"/>
      <c r="AL95" s="1968"/>
      <c r="AM95" s="1075"/>
      <c r="AN95" s="1968"/>
      <c r="AO95" s="1968"/>
      <c r="AP95" s="1968"/>
      <c r="AQ95" s="1968"/>
      <c r="AR95" s="1968"/>
      <c r="AS95" s="1968"/>
      <c r="AT95" s="1968"/>
      <c r="AU95" s="1968"/>
      <c r="AV95" s="1968"/>
      <c r="AW95" s="1968"/>
      <c r="AX95" s="1968">
        <f>AX86-AX93</f>
        <v>0</v>
      </c>
      <c r="AY95" s="1968"/>
      <c r="AZ95" s="1968"/>
      <c r="BA95" s="1968"/>
      <c r="BB95" s="1968"/>
      <c r="BC95" s="1968">
        <f>BC86-BC93</f>
        <v>0</v>
      </c>
      <c r="BD95" s="1968"/>
      <c r="BE95" s="1968"/>
      <c r="BF95" s="1968"/>
      <c r="BG95" s="2491"/>
      <c r="BH95" s="828" t="s">
        <v>2106</v>
      </c>
      <c r="BI95" s="1968">
        <v>47248973.579999998</v>
      </c>
      <c r="BJ95" s="1968"/>
      <c r="BK95" s="1968"/>
      <c r="BL95" s="2491"/>
      <c r="BM95" s="828" t="s">
        <v>2106</v>
      </c>
      <c r="BN95" s="1968">
        <v>47248973.579999998</v>
      </c>
      <c r="BO95" s="1968"/>
      <c r="BP95" s="1968"/>
      <c r="BQ95" s="1968"/>
      <c r="BR95" s="1968">
        <f>BR86-BR93</f>
        <v>0</v>
      </c>
      <c r="BS95" s="1968"/>
      <c r="BT95" s="1968"/>
      <c r="BU95" s="1968"/>
      <c r="BV95" s="1968"/>
      <c r="BW95" s="1968"/>
      <c r="BX95" s="1968"/>
      <c r="BY95" s="1968"/>
      <c r="BZ95" s="1968"/>
      <c r="CA95" s="1968"/>
      <c r="CB95" s="1968"/>
      <c r="CC95" s="1968"/>
      <c r="CD95" s="1968"/>
      <c r="CE95" s="1968"/>
      <c r="CF95" s="1968"/>
      <c r="CG95" s="1968"/>
      <c r="CH95" s="1968"/>
      <c r="CI95" s="1968"/>
      <c r="CJ95" s="1968"/>
      <c r="CK95" s="1968"/>
      <c r="CL95" s="1968"/>
      <c r="CM95" s="1968"/>
      <c r="CN95" s="1968"/>
      <c r="CO95" s="1968"/>
      <c r="CP95" s="1968"/>
      <c r="CQ95" s="1968"/>
      <c r="CR95" s="1968"/>
      <c r="CS95" s="1968"/>
      <c r="CT95" s="1968"/>
      <c r="CU95" s="1968"/>
      <c r="CV95" s="1968">
        <f>5*210257</f>
        <v>1051285</v>
      </c>
      <c r="CW95" s="828" t="s">
        <v>1775</v>
      </c>
      <c r="CX95" s="1968"/>
      <c r="CY95" s="1968"/>
      <c r="CZ95" s="1968"/>
      <c r="DA95" s="1968">
        <f>7*235000</f>
        <v>1645000</v>
      </c>
      <c r="DB95" s="828" t="s">
        <v>1924</v>
      </c>
      <c r="DC95" s="1968"/>
      <c r="DD95" s="1968"/>
      <c r="DE95" s="1968"/>
      <c r="DF95" s="1968">
        <f>10*205000</f>
        <v>2050000</v>
      </c>
      <c r="DG95" s="3164" t="s">
        <v>2047</v>
      </c>
      <c r="DH95" s="1968"/>
      <c r="DI95" s="1968"/>
      <c r="DJ95" s="1968"/>
      <c r="DK95" s="1968"/>
      <c r="DL95" s="3164"/>
      <c r="DM95" s="1968"/>
      <c r="DN95" s="1968"/>
      <c r="DO95" s="1968"/>
      <c r="DP95" s="1968"/>
      <c r="DQ95" s="3164"/>
      <c r="DR95" s="1968"/>
      <c r="DS95" s="1968"/>
      <c r="DT95" s="1968"/>
      <c r="DU95" s="1968"/>
      <c r="DV95" s="3164"/>
      <c r="DW95" s="1968"/>
      <c r="DX95" s="1968"/>
      <c r="DY95" s="1968"/>
      <c r="DZ95" s="1968"/>
      <c r="EA95" s="1968"/>
      <c r="EB95" s="1968"/>
      <c r="ED95" s="1968"/>
      <c r="EE95" s="1968"/>
      <c r="EF95" s="3496"/>
    </row>
    <row r="96" spans="1:136" s="1411" customFormat="1" ht="13.2" hidden="1" customHeight="1" outlineLevel="1" x14ac:dyDescent="0.25">
      <c r="A96" s="1417"/>
      <c r="B96" s="1670"/>
      <c r="C96" s="1968"/>
      <c r="D96" s="1968"/>
      <c r="E96" s="1968"/>
      <c r="F96" s="1968"/>
      <c r="G96" s="1968"/>
      <c r="H96" s="1968"/>
      <c r="I96" s="1968"/>
      <c r="J96" s="1968"/>
      <c r="K96" s="1968"/>
      <c r="L96" s="1968"/>
      <c r="M96" s="1968"/>
      <c r="N96" s="1968"/>
      <c r="O96" s="1968"/>
      <c r="P96" s="1968"/>
      <c r="Q96" s="1968"/>
      <c r="R96" s="1968"/>
      <c r="S96" s="1968"/>
      <c r="T96" s="1968"/>
      <c r="U96" s="1968"/>
      <c r="V96" s="1968"/>
      <c r="W96" s="1968"/>
      <c r="X96" s="1968"/>
      <c r="Y96" s="1968"/>
      <c r="Z96" s="1968"/>
      <c r="AA96" s="1968"/>
      <c r="AB96" s="1968"/>
      <c r="AC96" s="1968"/>
      <c r="AD96" s="1968"/>
      <c r="AE96" s="1968"/>
      <c r="AF96" s="1968"/>
      <c r="AG96" s="1968"/>
      <c r="AH96" s="1968"/>
      <c r="AI96" s="1968"/>
      <c r="AJ96" s="1968"/>
      <c r="AK96" s="1968"/>
      <c r="AL96" s="1968"/>
      <c r="AM96" s="1075"/>
      <c r="AN96" s="1968"/>
      <c r="AO96" s="1968"/>
      <c r="AP96" s="1968"/>
      <c r="AQ96" s="1968"/>
      <c r="AR96" s="1968"/>
      <c r="AS96" s="1968"/>
      <c r="AT96" s="1968"/>
      <c r="AU96" s="1968"/>
      <c r="AV96" s="1968"/>
      <c r="AW96" s="1968"/>
      <c r="AX96" s="1968"/>
      <c r="AY96" s="1968"/>
      <c r="AZ96" s="1968"/>
      <c r="BA96" s="1968"/>
      <c r="BB96" s="1968"/>
      <c r="BC96" s="1968"/>
      <c r="BD96" s="1968"/>
      <c r="BE96" s="1968"/>
      <c r="BF96" s="1968"/>
      <c r="BG96" s="2491"/>
      <c r="BH96" s="2490"/>
      <c r="BI96" s="1968"/>
      <c r="BJ96" s="1968"/>
      <c r="BK96" s="1968"/>
      <c r="BL96" s="2491"/>
      <c r="BM96" s="2490"/>
      <c r="BN96" s="1968"/>
      <c r="BO96" s="1968"/>
      <c r="BP96" s="1968"/>
      <c r="BQ96" s="1968"/>
      <c r="BR96" s="1968"/>
      <c r="BS96" s="1968"/>
      <c r="BT96" s="1968"/>
      <c r="BU96" s="1968"/>
      <c r="BV96" s="1968"/>
      <c r="BW96" s="1968"/>
      <c r="BX96" s="1968"/>
      <c r="BY96" s="1968"/>
      <c r="BZ96" s="1968"/>
      <c r="CA96" s="1968"/>
      <c r="CB96" s="1968"/>
      <c r="CC96" s="1968"/>
      <c r="CD96" s="1968"/>
      <c r="CE96" s="1968"/>
      <c r="CF96" s="1968"/>
      <c r="CG96" s="1968"/>
      <c r="CH96" s="1968"/>
      <c r="CI96" s="1968"/>
      <c r="CJ96" s="1968"/>
      <c r="CK96" s="1968"/>
      <c r="CL96" s="1968"/>
      <c r="CM96" s="1968"/>
      <c r="CN96" s="1968"/>
      <c r="CO96" s="1968"/>
      <c r="CP96" s="1968"/>
      <c r="CQ96" s="1968"/>
      <c r="CR96" s="1968"/>
      <c r="CS96" s="1968"/>
      <c r="CT96" s="1968"/>
      <c r="CU96" s="1968"/>
      <c r="CV96" s="1968">
        <f>141000+258000</f>
        <v>399000</v>
      </c>
      <c r="CW96" s="828" t="s">
        <v>1776</v>
      </c>
      <c r="CX96" s="1968"/>
      <c r="CY96" s="1968"/>
      <c r="CZ96" s="1968"/>
      <c r="DA96" s="1968">
        <v>337000</v>
      </c>
      <c r="DB96" s="828" t="s">
        <v>1939</v>
      </c>
      <c r="DC96" s="1968"/>
      <c r="DD96" s="1968"/>
      <c r="DE96" s="1968"/>
      <c r="DF96" s="1968">
        <v>337000</v>
      </c>
      <c r="DG96" s="3164" t="s">
        <v>1939</v>
      </c>
      <c r="DH96" s="1968"/>
      <c r="DI96" s="1968"/>
      <c r="DJ96" s="1968"/>
      <c r="DK96" s="1968"/>
      <c r="DL96" s="3164"/>
      <c r="DM96" s="1968"/>
      <c r="DN96" s="1968"/>
      <c r="DO96" s="1968"/>
      <c r="DP96" s="1968"/>
      <c r="DQ96" s="3164"/>
      <c r="DR96" s="1968"/>
      <c r="DS96" s="1968"/>
      <c r="DT96" s="1968"/>
      <c r="DU96" s="1968"/>
      <c r="DV96" s="3164"/>
      <c r="DW96" s="1968"/>
      <c r="DX96" s="1075"/>
      <c r="DY96" s="1968"/>
      <c r="DZ96" s="2491"/>
      <c r="EA96" s="2490"/>
      <c r="EB96" s="1968"/>
      <c r="ED96" s="1075">
        <f>ED86+ED92+ED91</f>
        <v>3422455.2100000046</v>
      </c>
      <c r="EE96" s="1075">
        <f>ED97-ED96</f>
        <v>-4.6566128730773926E-9</v>
      </c>
      <c r="EF96" s="3496"/>
    </row>
    <row r="97" spans="1:136" ht="13.2" hidden="1" customHeight="1" outlineLevel="1" x14ac:dyDescent="0.25">
      <c r="BH97" s="828"/>
      <c r="BM97" s="828"/>
      <c r="CV97" s="1968">
        <f>252700*(2+5)</f>
        <v>1768900</v>
      </c>
      <c r="CW97" s="828" t="s">
        <v>1777</v>
      </c>
      <c r="DA97" s="1968">
        <f>252700*(2+5)</f>
        <v>1768900</v>
      </c>
      <c r="DB97" s="828" t="s">
        <v>1777</v>
      </c>
      <c r="DF97" s="1968">
        <f>252700*(2+5)</f>
        <v>1768900</v>
      </c>
      <c r="DG97" s="3164" t="s">
        <v>1777</v>
      </c>
      <c r="DL97" s="3164"/>
      <c r="DQ97" s="3164"/>
      <c r="DV97" s="3164"/>
      <c r="DX97" s="1075"/>
      <c r="DZ97" s="2491"/>
      <c r="EA97" s="2490"/>
      <c r="ED97" s="1075">
        <f>3983155.21+ED91</f>
        <v>3422455.21</v>
      </c>
      <c r="EE97" s="1075"/>
    </row>
    <row r="98" spans="1:136" s="1411" customFormat="1" ht="13.2" hidden="1" customHeight="1" outlineLevel="1" x14ac:dyDescent="0.25">
      <c r="A98" s="1417"/>
      <c r="B98" s="1417"/>
      <c r="C98" s="1968"/>
      <c r="D98" s="1968"/>
      <c r="E98" s="1968"/>
      <c r="F98" s="1968"/>
      <c r="G98" s="1968"/>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O98" s="1968"/>
      <c r="CP98" s="1968"/>
      <c r="CQ98" s="1968"/>
      <c r="CR98" s="1968"/>
      <c r="CS98" s="1968"/>
      <c r="CT98" s="1968"/>
      <c r="CU98" s="1968"/>
      <c r="CV98" s="1968">
        <f>-(CL54+CL73+CQ54+CQ41+CL41+CQ73+CV73+CV54+CV41)</f>
        <v>0</v>
      </c>
      <c r="CW98" s="828" t="s">
        <v>1778</v>
      </c>
      <c r="CX98" s="1968"/>
      <c r="CY98" s="1968"/>
      <c r="CZ98" s="1968"/>
      <c r="DA98" s="1968">
        <f>-(CL54+CL73+CQ54+CQ41+CL41+CQ73+CV73+CV54+CV41+DA41+DA54+DA73)</f>
        <v>0</v>
      </c>
      <c r="DB98" s="828" t="s">
        <v>1778</v>
      </c>
      <c r="DC98" s="1968"/>
      <c r="DD98" s="1968"/>
      <c r="DE98" s="1968"/>
      <c r="DF98" s="1968">
        <f>-(CL54+CL73+CQ54+CQ41+CL41+CQ73+CV73+CV54+CV41+DA41+DA54+DA73+DF41+DF54+DF73)</f>
        <v>0</v>
      </c>
      <c r="DG98" s="3164" t="s">
        <v>1778</v>
      </c>
      <c r="DH98" s="1968"/>
      <c r="DI98" s="1968"/>
      <c r="DJ98" s="1968"/>
      <c r="DK98" s="1968"/>
      <c r="DL98" s="3164"/>
      <c r="DM98" s="1968"/>
      <c r="DN98" s="1968"/>
      <c r="DO98" s="1968"/>
      <c r="DP98" s="1968"/>
      <c r="DQ98" s="3164"/>
      <c r="DR98" s="1968"/>
      <c r="DS98" s="1968"/>
      <c r="DT98" s="1968"/>
      <c r="DU98" s="1968"/>
      <c r="DV98" s="3164"/>
      <c r="DW98" s="1968"/>
      <c r="DX98" s="1968"/>
      <c r="DY98" s="1968"/>
      <c r="DZ98" s="1968"/>
      <c r="EA98" s="828"/>
      <c r="EB98" s="1968"/>
      <c r="ED98" s="1968"/>
      <c r="EE98" s="1968"/>
      <c r="EF98" s="3496"/>
    </row>
    <row r="99" spans="1:136" ht="13.2" hidden="1" customHeight="1" outlineLevel="1" x14ac:dyDescent="0.25">
      <c r="CV99" s="1968">
        <f>CU94-SUM(CV94:CV98)</f>
        <v>-4145123</v>
      </c>
      <c r="CW99" s="828" t="s">
        <v>1779</v>
      </c>
      <c r="DA99" s="1968">
        <f>55871.2+53956.1-48260.91-54110</f>
        <v>7456.3899999999849</v>
      </c>
      <c r="DB99" s="828" t="s">
        <v>1932</v>
      </c>
      <c r="DF99" s="1968">
        <f>55871.2+53956.1-48260.91-54110</f>
        <v>7456.3899999999849</v>
      </c>
      <c r="DG99" s="3164" t="s">
        <v>1932</v>
      </c>
      <c r="DL99" s="3164"/>
      <c r="DQ99" s="3164"/>
      <c r="DV99" s="3164"/>
    </row>
    <row r="100" spans="1:136" ht="14.4" collapsed="1" x14ac:dyDescent="0.3">
      <c r="AO100" s="828"/>
      <c r="AV100" s="2140"/>
      <c r="AW100" s="2140"/>
      <c r="AX100" s="2140"/>
      <c r="AY100" s="2140"/>
      <c r="AZ100" s="2140"/>
      <c r="DA100" s="1968">
        <f>78000-55000</f>
        <v>23000</v>
      </c>
      <c r="DB100" s="828" t="s">
        <v>1933</v>
      </c>
      <c r="DF100" s="1968">
        <f>78000-55000</f>
        <v>23000</v>
      </c>
      <c r="DG100" s="3164" t="s">
        <v>1933</v>
      </c>
      <c r="DL100" s="3164"/>
      <c r="DQ100" s="3164"/>
      <c r="DV100" s="3164"/>
    </row>
    <row r="101" spans="1:136" ht="14.4" x14ac:dyDescent="0.3">
      <c r="AV101" s="2140"/>
      <c r="AW101" s="2140"/>
      <c r="AX101" s="2140"/>
      <c r="AY101" s="2140"/>
      <c r="AZ101" s="2140"/>
      <c r="DA101" s="1968">
        <f>CZ94-SUM(DA94:DA100)</f>
        <v>-5341356.3899999997</v>
      </c>
      <c r="DB101" s="828" t="s">
        <v>1779</v>
      </c>
      <c r="DF101" s="3165">
        <f>DE94-SUM(DF94:DF100)</f>
        <v>-7426356.3899999997</v>
      </c>
      <c r="DG101" s="3164" t="s">
        <v>1779</v>
      </c>
      <c r="DK101" s="3165"/>
      <c r="DL101" s="3164"/>
      <c r="DQ101" s="3164"/>
      <c r="DU101" s="3165"/>
      <c r="DV101" s="3164"/>
    </row>
    <row r="102" spans="1:136" x14ac:dyDescent="0.25">
      <c r="DQ102" s="3164"/>
    </row>
    <row r="103" spans="1:136" x14ac:dyDescent="0.25">
      <c r="DQ103" s="3164"/>
    </row>
    <row r="104" spans="1:136" x14ac:dyDescent="0.25">
      <c r="DQ104" s="3164"/>
    </row>
    <row r="105" spans="1:136" x14ac:dyDescent="0.25">
      <c r="DQ105" s="3164"/>
    </row>
    <row r="106" spans="1:136" x14ac:dyDescent="0.25">
      <c r="DQ106" s="3164"/>
    </row>
    <row r="107" spans="1:136" x14ac:dyDescent="0.25">
      <c r="DQ107" s="3164"/>
    </row>
    <row r="108" spans="1:136" x14ac:dyDescent="0.25">
      <c r="DQ108" s="3164"/>
    </row>
    <row r="109" spans="1:136" x14ac:dyDescent="0.25">
      <c r="DQ109" s="3164"/>
    </row>
    <row r="110" spans="1:136" x14ac:dyDescent="0.25">
      <c r="DQ110" s="3164"/>
    </row>
    <row r="111" spans="1:136" x14ac:dyDescent="0.25">
      <c r="DQ111" s="828"/>
    </row>
    <row r="112" spans="1:136" x14ac:dyDescent="0.25">
      <c r="DQ112" s="828"/>
    </row>
    <row r="113" spans="121:136" s="1410" customFormat="1" x14ac:dyDescent="0.25">
      <c r="DQ113" s="828"/>
      <c r="EF113" s="1417"/>
    </row>
    <row r="114" spans="121:136" s="1410" customFormat="1" x14ac:dyDescent="0.25">
      <c r="DQ114" s="828"/>
      <c r="EF114" s="1417"/>
    </row>
    <row r="115" spans="121:136" s="1410" customFormat="1" x14ac:dyDescent="0.25">
      <c r="DQ115" s="828"/>
      <c r="EF115" s="1417"/>
    </row>
  </sheetData>
  <mergeCells count="32">
    <mergeCell ref="BZ2:CD3"/>
    <mergeCell ref="CE2:CI3"/>
    <mergeCell ref="CO2:CS3"/>
    <mergeCell ref="CT2:CX3"/>
    <mergeCell ref="CJ2:CN3"/>
    <mergeCell ref="H1:J1"/>
    <mergeCell ref="M2:Q3"/>
    <mergeCell ref="R2:V3"/>
    <mergeCell ref="W2:AA3"/>
    <mergeCell ref="AB2:AF3"/>
    <mergeCell ref="BU2:BY3"/>
    <mergeCell ref="A42:A48"/>
    <mergeCell ref="A2:B2"/>
    <mergeCell ref="A3:B3"/>
    <mergeCell ref="C2:F3"/>
    <mergeCell ref="H2:L3"/>
    <mergeCell ref="DX2:EB3"/>
    <mergeCell ref="ED2:ED3"/>
    <mergeCell ref="EE2:EE3"/>
    <mergeCell ref="AG2:AK3"/>
    <mergeCell ref="AL2:AP3"/>
    <mergeCell ref="DI2:DM3"/>
    <mergeCell ref="DN2:DR3"/>
    <mergeCell ref="DS2:DW3"/>
    <mergeCell ref="BP2:BT3"/>
    <mergeCell ref="BK2:BO3"/>
    <mergeCell ref="BA2:BE3"/>
    <mergeCell ref="AQ2:AU3"/>
    <mergeCell ref="AV2:AZ3"/>
    <mergeCell ref="BF2:BJ3"/>
    <mergeCell ref="DD2:DH3"/>
    <mergeCell ref="CY2:DC3"/>
  </mergeCells>
  <pageMargins left="0.39370078740157483" right="0.19685039370078741" top="0.19685039370078741" bottom="0.19685039370078741" header="0.11811023622047245" footer="0.11811023622047245"/>
  <pageSetup paperSize="9" scale="32" orientation="portrait" horizontalDpi="4294967295" verticalDpi="4294967295"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C000"/>
    <pageSetUpPr fitToPage="1"/>
  </sheetPr>
  <dimension ref="A1:CW98"/>
  <sheetViews>
    <sheetView showZeros="0" zoomScale="85" zoomScaleNormal="85" workbookViewId="0">
      <pane xSplit="2" ySplit="5" topLeftCell="AD69" activePane="bottomRight" state="frozen"/>
      <selection activeCell="Y90" sqref="Y90"/>
      <selection pane="topRight" activeCell="Y90" sqref="Y90"/>
      <selection pane="bottomLeft" activeCell="Y90" sqref="Y90"/>
      <selection pane="bottomRight" activeCell="AL94" sqref="AL94"/>
    </sheetView>
  </sheetViews>
  <sheetFormatPr defaultColWidth="2.88671875" defaultRowHeight="13.2" outlineLevelRow="3" outlineLevelCol="1" x14ac:dyDescent="0.25"/>
  <cols>
    <col min="1" max="1" width="2.33203125" style="1417" customWidth="1"/>
    <col min="2" max="2" width="53.109375" style="1417" customWidth="1"/>
    <col min="3" max="3" width="12.88671875" style="1968" customWidth="1" outlineLevel="1" collapsed="1"/>
    <col min="4" max="6" width="12.88671875" style="1968" customWidth="1" outlineLevel="1"/>
    <col min="7" max="7" width="26.109375" style="1968" customWidth="1" outlineLevel="1"/>
    <col min="8" max="8" width="12.88671875" style="1968" customWidth="1" outlineLevel="1" collapsed="1"/>
    <col min="9" max="11" width="12.88671875" style="1968" customWidth="1" outlineLevel="1"/>
    <col min="12" max="12" width="26.109375" style="1968" customWidth="1" outlineLevel="1"/>
    <col min="13" max="16" width="12.88671875" style="1968" customWidth="1" outlineLevel="1"/>
    <col min="17" max="17" width="26.109375" style="1968" customWidth="1" outlineLevel="1"/>
    <col min="18" max="18" width="13.44140625" style="1968" customWidth="1" outlineLevel="1" collapsed="1"/>
    <col min="19" max="22" width="13.44140625" style="1968" customWidth="1" outlineLevel="1"/>
    <col min="23" max="27" width="13.44140625" style="1968" customWidth="1"/>
    <col min="28" max="31" width="12.88671875" style="1968" hidden="1" customWidth="1" outlineLevel="1"/>
    <col min="32" max="32" width="29.33203125" style="1968" hidden="1" customWidth="1" outlineLevel="1"/>
    <col min="33" max="33" width="12.88671875" style="1968" customWidth="1" collapsed="1"/>
    <col min="34" max="36" width="12.88671875" style="1968" customWidth="1"/>
    <col min="37" max="37" width="26.109375" style="1968" customWidth="1"/>
    <col min="38" max="41" width="12.88671875" style="1968" customWidth="1"/>
    <col min="42" max="42" width="26.109375" style="1968" customWidth="1"/>
    <col min="43" max="46" width="12.88671875" style="1968" hidden="1" customWidth="1" outlineLevel="1"/>
    <col min="47" max="47" width="26.109375" style="1968" hidden="1" customWidth="1" outlineLevel="1"/>
    <col min="48" max="51" width="12.88671875" style="1968" hidden="1" customWidth="1" outlineLevel="1"/>
    <col min="52" max="52" width="26.109375" style="1968" hidden="1" customWidth="1" outlineLevel="1"/>
    <col min="53" max="56" width="12.88671875" style="1968" hidden="1" customWidth="1" outlineLevel="1"/>
    <col min="57" max="57" width="26.109375" style="1968" hidden="1" customWidth="1" outlineLevel="1"/>
    <col min="58" max="61" width="12.88671875" style="1968" hidden="1" customWidth="1" outlineLevel="1"/>
    <col min="62" max="62" width="26.109375" style="1968" hidden="1" customWidth="1" outlineLevel="1"/>
    <col min="63" max="66" width="12.88671875" style="1968" hidden="1" customWidth="1" outlineLevel="1"/>
    <col min="67" max="67" width="26.109375" style="1968" hidden="1" customWidth="1" outlineLevel="1"/>
    <col min="68" max="71" width="12.88671875" style="1968" hidden="1" customWidth="1" outlineLevel="1"/>
    <col min="72" max="72" width="26.109375" style="1968" hidden="1" customWidth="1" outlineLevel="1"/>
    <col min="73" max="76" width="12.88671875" style="1968" hidden="1" customWidth="1" outlineLevel="1"/>
    <col min="77" max="77" width="26.109375" style="1968" hidden="1" customWidth="1" outlineLevel="1"/>
    <col min="78" max="81" width="12.88671875" style="1968" hidden="1" customWidth="1" outlineLevel="1"/>
    <col min="82" max="82" width="26.109375" style="1968" hidden="1" customWidth="1" outlineLevel="1"/>
    <col min="83" max="86" width="12.88671875" style="1968" hidden="1" customWidth="1" outlineLevel="1"/>
    <col min="87" max="87" width="26.109375" style="1968" hidden="1" customWidth="1" outlineLevel="1"/>
    <col min="88" max="88" width="13.44140625" style="1968" customWidth="1" collapsed="1"/>
    <col min="89" max="91" width="13.44140625" style="1968" customWidth="1"/>
    <col min="92" max="92" width="14.33203125" style="1968" customWidth="1"/>
    <col min="93" max="93" width="2.88671875" style="1410"/>
    <col min="94" max="95" width="12.88671875" style="1968" customWidth="1"/>
    <col min="96" max="96" width="14.5546875" style="1968" customWidth="1"/>
    <col min="97" max="97" width="2.88671875" style="1410" customWidth="1" outlineLevel="1"/>
    <col min="98" max="98" width="11.6640625" style="1537" customWidth="1" outlineLevel="1"/>
    <col min="99" max="99" width="8.33203125" style="1410" customWidth="1" outlineLevel="1"/>
    <col min="100" max="100" width="8.44140625" style="1410" customWidth="1" outlineLevel="1"/>
    <col min="101" max="101" width="7.6640625" style="1410" bestFit="1" customWidth="1"/>
    <col min="102" max="16384" width="2.88671875" style="1410"/>
  </cols>
  <sheetData>
    <row r="1" spans="1:99" ht="13.8" thickBot="1" x14ac:dyDescent="0.3"/>
    <row r="2" spans="1:99" ht="13.8" x14ac:dyDescent="0.25">
      <c r="A2" s="4016" t="s">
        <v>2151</v>
      </c>
      <c r="B2" s="4017"/>
      <c r="C2" s="4095">
        <v>45200</v>
      </c>
      <c r="D2" s="4096"/>
      <c r="E2" s="4096"/>
      <c r="F2" s="4096"/>
      <c r="G2" s="4097"/>
      <c r="H2" s="4244">
        <v>45231</v>
      </c>
      <c r="I2" s="4245"/>
      <c r="J2" s="4245"/>
      <c r="K2" s="4245"/>
      <c r="L2" s="4246"/>
      <c r="M2" s="4250">
        <v>45261</v>
      </c>
      <c r="N2" s="4251"/>
      <c r="O2" s="4251"/>
      <c r="P2" s="4251"/>
      <c r="Q2" s="4252"/>
      <c r="R2" s="4326">
        <v>2023</v>
      </c>
      <c r="S2" s="4327"/>
      <c r="T2" s="4327"/>
      <c r="U2" s="4327"/>
      <c r="V2" s="4328"/>
      <c r="W2" s="4332">
        <v>2024</v>
      </c>
      <c r="X2" s="4333"/>
      <c r="Y2" s="4333"/>
      <c r="Z2" s="4333"/>
      <c r="AA2" s="4334"/>
      <c r="AB2" s="4308">
        <v>45292</v>
      </c>
      <c r="AC2" s="4309"/>
      <c r="AD2" s="4309"/>
      <c r="AE2" s="4309"/>
      <c r="AF2" s="4310"/>
      <c r="AG2" s="4314">
        <v>45323</v>
      </c>
      <c r="AH2" s="4315"/>
      <c r="AI2" s="4315"/>
      <c r="AJ2" s="4315"/>
      <c r="AK2" s="4316"/>
      <c r="AL2" s="4119">
        <v>45352</v>
      </c>
      <c r="AM2" s="4120"/>
      <c r="AN2" s="4120"/>
      <c r="AO2" s="4120"/>
      <c r="AP2" s="4121"/>
      <c r="AQ2" s="4095">
        <v>45383</v>
      </c>
      <c r="AR2" s="4096"/>
      <c r="AS2" s="4096"/>
      <c r="AT2" s="4096"/>
      <c r="AU2" s="4097"/>
      <c r="AV2" s="4107">
        <v>45413</v>
      </c>
      <c r="AW2" s="4108"/>
      <c r="AX2" s="4108"/>
      <c r="AY2" s="4108"/>
      <c r="AZ2" s="4109"/>
      <c r="BA2" s="4320">
        <v>45444</v>
      </c>
      <c r="BB2" s="4321"/>
      <c r="BC2" s="4321"/>
      <c r="BD2" s="4321"/>
      <c r="BE2" s="4322"/>
      <c r="BF2" s="4125">
        <v>45474</v>
      </c>
      <c r="BG2" s="4126"/>
      <c r="BH2" s="4126"/>
      <c r="BI2" s="4126"/>
      <c r="BJ2" s="4127"/>
      <c r="BK2" s="4296">
        <v>45505</v>
      </c>
      <c r="BL2" s="4297"/>
      <c r="BM2" s="4297"/>
      <c r="BN2" s="4297"/>
      <c r="BO2" s="4298"/>
      <c r="BP2" s="4107">
        <v>45536</v>
      </c>
      <c r="BQ2" s="4108"/>
      <c r="BR2" s="4108"/>
      <c r="BS2" s="4108"/>
      <c r="BT2" s="4109"/>
      <c r="BU2" s="4302">
        <v>45566</v>
      </c>
      <c r="BV2" s="4303"/>
      <c r="BW2" s="4303"/>
      <c r="BX2" s="4303"/>
      <c r="BY2" s="4304"/>
      <c r="BZ2" s="4113">
        <v>45597</v>
      </c>
      <c r="CA2" s="4114"/>
      <c r="CB2" s="4114"/>
      <c r="CC2" s="4114"/>
      <c r="CD2" s="4115"/>
      <c r="CE2" s="4107">
        <v>45627</v>
      </c>
      <c r="CF2" s="4108"/>
      <c r="CG2" s="4108"/>
      <c r="CH2" s="4108"/>
      <c r="CI2" s="4109"/>
      <c r="CJ2" s="4089" t="s">
        <v>2203</v>
      </c>
      <c r="CK2" s="4090"/>
      <c r="CL2" s="4090"/>
      <c r="CM2" s="4090"/>
      <c r="CN2" s="4091"/>
      <c r="CP2" s="4338" t="s">
        <v>2152</v>
      </c>
      <c r="CQ2" s="4339"/>
      <c r="CR2" s="4340"/>
    </row>
    <row r="3" spans="1:99" ht="14.4" thickBot="1" x14ac:dyDescent="0.3">
      <c r="A3" s="4035" t="s">
        <v>54</v>
      </c>
      <c r="B3" s="4036"/>
      <c r="C3" s="4098"/>
      <c r="D3" s="4099"/>
      <c r="E3" s="4099"/>
      <c r="F3" s="4099"/>
      <c r="G3" s="4100"/>
      <c r="H3" s="4247"/>
      <c r="I3" s="4248"/>
      <c r="J3" s="4248"/>
      <c r="K3" s="4248"/>
      <c r="L3" s="4249"/>
      <c r="M3" s="4253"/>
      <c r="N3" s="4254"/>
      <c r="O3" s="4254"/>
      <c r="P3" s="4254"/>
      <c r="Q3" s="4255"/>
      <c r="R3" s="4329"/>
      <c r="S3" s="4330"/>
      <c r="T3" s="4330"/>
      <c r="U3" s="4330"/>
      <c r="V3" s="4331"/>
      <c r="W3" s="4335"/>
      <c r="X3" s="4336"/>
      <c r="Y3" s="4336"/>
      <c r="Z3" s="4336"/>
      <c r="AA3" s="4337"/>
      <c r="AB3" s="4311"/>
      <c r="AC3" s="4312"/>
      <c r="AD3" s="4312"/>
      <c r="AE3" s="4312"/>
      <c r="AF3" s="4313"/>
      <c r="AG3" s="4317"/>
      <c r="AH3" s="4318"/>
      <c r="AI3" s="4318"/>
      <c r="AJ3" s="4318"/>
      <c r="AK3" s="4319"/>
      <c r="AL3" s="4122"/>
      <c r="AM3" s="4123"/>
      <c r="AN3" s="4123"/>
      <c r="AO3" s="4123"/>
      <c r="AP3" s="4124"/>
      <c r="AQ3" s="4098"/>
      <c r="AR3" s="4099"/>
      <c r="AS3" s="4099"/>
      <c r="AT3" s="4099"/>
      <c r="AU3" s="4100"/>
      <c r="AV3" s="4110"/>
      <c r="AW3" s="4111"/>
      <c r="AX3" s="4111"/>
      <c r="AY3" s="4111"/>
      <c r="AZ3" s="4112"/>
      <c r="BA3" s="4323"/>
      <c r="BB3" s="4324"/>
      <c r="BC3" s="4324"/>
      <c r="BD3" s="4324"/>
      <c r="BE3" s="4325"/>
      <c r="BF3" s="4128"/>
      <c r="BG3" s="4129"/>
      <c r="BH3" s="4129"/>
      <c r="BI3" s="4129"/>
      <c r="BJ3" s="4130"/>
      <c r="BK3" s="4299"/>
      <c r="BL3" s="4300"/>
      <c r="BM3" s="4300"/>
      <c r="BN3" s="4300"/>
      <c r="BO3" s="4301"/>
      <c r="BP3" s="4110"/>
      <c r="BQ3" s="4111"/>
      <c r="BR3" s="4111"/>
      <c r="BS3" s="4111"/>
      <c r="BT3" s="4112"/>
      <c r="BU3" s="4305"/>
      <c r="BV3" s="4306"/>
      <c r="BW3" s="4306"/>
      <c r="BX3" s="4306"/>
      <c r="BY3" s="4307"/>
      <c r="BZ3" s="4116"/>
      <c r="CA3" s="4117"/>
      <c r="CB3" s="4117"/>
      <c r="CC3" s="4117"/>
      <c r="CD3" s="4118"/>
      <c r="CE3" s="4110"/>
      <c r="CF3" s="4111"/>
      <c r="CG3" s="4111"/>
      <c r="CH3" s="4111"/>
      <c r="CI3" s="4112"/>
      <c r="CJ3" s="4092"/>
      <c r="CK3" s="4093"/>
      <c r="CL3" s="4093"/>
      <c r="CM3" s="4093"/>
      <c r="CN3" s="4094"/>
      <c r="CP3" s="4341"/>
      <c r="CQ3" s="4342"/>
      <c r="CR3" s="4343"/>
    </row>
    <row r="4" spans="1:99" ht="27" thickBot="1" x14ac:dyDescent="0.3">
      <c r="A4" s="1486"/>
      <c r="B4" s="1487" t="s">
        <v>11</v>
      </c>
      <c r="C4" s="1972" t="s">
        <v>55</v>
      </c>
      <c r="D4" s="1972" t="s">
        <v>18</v>
      </c>
      <c r="E4" s="1489" t="s">
        <v>39</v>
      </c>
      <c r="F4" s="1978" t="s">
        <v>40</v>
      </c>
      <c r="G4" s="1489" t="s">
        <v>19</v>
      </c>
      <c r="H4" s="1972"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55</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P4" s="1489" t="s">
        <v>2118</v>
      </c>
      <c r="CQ4" s="1489" t="s">
        <v>2177</v>
      </c>
      <c r="CR4" s="1489" t="s">
        <v>2099</v>
      </c>
    </row>
    <row r="5" spans="1:99" s="1411" customFormat="1" ht="14.4" thickBot="1" x14ac:dyDescent="0.3">
      <c r="A5" s="1477"/>
      <c r="B5" s="1478" t="s">
        <v>10</v>
      </c>
      <c r="C5" s="1481">
        <f>C6</f>
        <v>0</v>
      </c>
      <c r="D5" s="1481">
        <f>D6</f>
        <v>0</v>
      </c>
      <c r="E5" s="1481">
        <f>E6+E7</f>
        <v>0</v>
      </c>
      <c r="F5" s="1481"/>
      <c r="G5" s="1481"/>
      <c r="H5" s="1481">
        <f>H6</f>
        <v>0</v>
      </c>
      <c r="I5" s="1481">
        <f>I6</f>
        <v>0</v>
      </c>
      <c r="J5" s="1481">
        <f>J6+J7</f>
        <v>0</v>
      </c>
      <c r="K5" s="1481"/>
      <c r="L5" s="1481"/>
      <c r="M5" s="1481">
        <f>M6</f>
        <v>0</v>
      </c>
      <c r="N5" s="1481">
        <f>N6</f>
        <v>0</v>
      </c>
      <c r="O5" s="1481">
        <f>O6+O7</f>
        <v>0</v>
      </c>
      <c r="P5" s="1481"/>
      <c r="Q5" s="1481"/>
      <c r="R5" s="1481">
        <f>R6</f>
        <v>0</v>
      </c>
      <c r="S5" s="1481">
        <f>S6</f>
        <v>0</v>
      </c>
      <c r="T5" s="1481">
        <f>T6+T7</f>
        <v>0</v>
      </c>
      <c r="U5" s="1481"/>
      <c r="V5" s="1481"/>
      <c r="W5" s="1481">
        <f>W6</f>
        <v>687545.81</v>
      </c>
      <c r="X5" s="1481">
        <f>X6</f>
        <v>0</v>
      </c>
      <c r="Y5" s="1481">
        <f>Y6+Y7</f>
        <v>687545.81</v>
      </c>
      <c r="Z5" s="1481"/>
      <c r="AA5" s="1481"/>
      <c r="AB5" s="1481">
        <f>AB6</f>
        <v>0</v>
      </c>
      <c r="AC5" s="1481">
        <f>AC6</f>
        <v>0</v>
      </c>
      <c r="AD5" s="1481">
        <f>AD6+AD7</f>
        <v>0</v>
      </c>
      <c r="AE5" s="1481"/>
      <c r="AF5" s="1481"/>
      <c r="AG5" s="1481">
        <f>AG6</f>
        <v>687545.81</v>
      </c>
      <c r="AH5" s="1481">
        <f>AH6</f>
        <v>0</v>
      </c>
      <c r="AI5" s="1481">
        <f>AI6+AI7</f>
        <v>687545.81</v>
      </c>
      <c r="AJ5" s="1481"/>
      <c r="AK5" s="1481"/>
      <c r="AL5" s="1481">
        <f>AL6</f>
        <v>0</v>
      </c>
      <c r="AM5" s="1481">
        <f>AM6</f>
        <v>0</v>
      </c>
      <c r="AN5" s="1481">
        <f>AN6+AN7</f>
        <v>0</v>
      </c>
      <c r="AO5" s="1481"/>
      <c r="AP5" s="1481"/>
      <c r="AQ5" s="1481">
        <f>AQ6</f>
        <v>0</v>
      </c>
      <c r="AR5" s="1481">
        <f>AR6</f>
        <v>0</v>
      </c>
      <c r="AS5" s="1481">
        <f>AS6+AS7</f>
        <v>0</v>
      </c>
      <c r="AT5" s="1481"/>
      <c r="AU5" s="1481"/>
      <c r="AV5" s="1481">
        <f>AV6</f>
        <v>0</v>
      </c>
      <c r="AW5" s="1481">
        <f>AW6</f>
        <v>0</v>
      </c>
      <c r="AX5" s="1481">
        <f>AX6+AX7</f>
        <v>0</v>
      </c>
      <c r="AY5" s="1481"/>
      <c r="AZ5" s="1481"/>
      <c r="BA5" s="1481">
        <f>BA6</f>
        <v>0</v>
      </c>
      <c r="BB5" s="1481">
        <f>BB6</f>
        <v>0</v>
      </c>
      <c r="BC5" s="1481">
        <f>BC6+BC7</f>
        <v>0</v>
      </c>
      <c r="BD5" s="1481"/>
      <c r="BE5" s="1481"/>
      <c r="BF5" s="1481">
        <f>BF6</f>
        <v>0</v>
      </c>
      <c r="BG5" s="1481">
        <f>BG6</f>
        <v>0</v>
      </c>
      <c r="BH5" s="1481">
        <f>BH6+BH7</f>
        <v>0</v>
      </c>
      <c r="BI5" s="1481"/>
      <c r="BJ5" s="1481"/>
      <c r="BK5" s="1481">
        <f>BK6</f>
        <v>0</v>
      </c>
      <c r="BL5" s="1481">
        <f>BL6</f>
        <v>0</v>
      </c>
      <c r="BM5" s="1481">
        <f>BM6+BM7</f>
        <v>0</v>
      </c>
      <c r="BN5" s="1481"/>
      <c r="BO5" s="1481"/>
      <c r="BP5" s="1481">
        <f>BP6</f>
        <v>0</v>
      </c>
      <c r="BQ5" s="1481">
        <f>BQ6</f>
        <v>0</v>
      </c>
      <c r="BR5" s="1481">
        <f>BR6+BR7</f>
        <v>0</v>
      </c>
      <c r="BS5" s="1481"/>
      <c r="BT5" s="1481"/>
      <c r="BU5" s="1481">
        <f>BU6</f>
        <v>0</v>
      </c>
      <c r="BV5" s="1481">
        <f>BV6</f>
        <v>0</v>
      </c>
      <c r="BW5" s="1481">
        <f>BW6+BW7</f>
        <v>0</v>
      </c>
      <c r="BX5" s="1481"/>
      <c r="BY5" s="1481"/>
      <c r="BZ5" s="1481">
        <f>BZ6</f>
        <v>0</v>
      </c>
      <c r="CA5" s="1481">
        <f>CA6</f>
        <v>0</v>
      </c>
      <c r="CB5" s="1481">
        <f>CB6+CB7</f>
        <v>0</v>
      </c>
      <c r="CC5" s="1481"/>
      <c r="CD5" s="1481"/>
      <c r="CE5" s="1481">
        <f>CE6</f>
        <v>0</v>
      </c>
      <c r="CF5" s="1481">
        <f>CF6</f>
        <v>0</v>
      </c>
      <c r="CG5" s="1481">
        <f>CG6+CG7</f>
        <v>0</v>
      </c>
      <c r="CH5" s="1481"/>
      <c r="CI5" s="1481"/>
      <c r="CJ5" s="1481">
        <f>CJ6</f>
        <v>687545.81</v>
      </c>
      <c r="CK5" s="1481">
        <f>CK6</f>
        <v>0</v>
      </c>
      <c r="CL5" s="1481">
        <f>CL6</f>
        <v>687545.81</v>
      </c>
      <c r="CM5" s="1481"/>
      <c r="CN5" s="1481"/>
      <c r="CP5" s="1971">
        <f>CP6</f>
        <v>703731.23303999996</v>
      </c>
      <c r="CQ5" s="1971">
        <f>CQ6</f>
        <v>687545.81</v>
      </c>
      <c r="CR5" s="3447">
        <f>CR6</f>
        <v>16185.423039999907</v>
      </c>
      <c r="CT5" s="2644"/>
    </row>
    <row r="6" spans="1:99" s="1411" customFormat="1" ht="27.6" outlineLevel="1" x14ac:dyDescent="0.25">
      <c r="A6" s="1586"/>
      <c r="B6" s="1418" t="s">
        <v>17</v>
      </c>
      <c r="C6" s="3274"/>
      <c r="D6" s="3274"/>
      <c r="E6" s="2028">
        <f t="shared" ref="E6:E7" si="0">C6+D6</f>
        <v>0</v>
      </c>
      <c r="F6" s="3274"/>
      <c r="G6" s="3275"/>
      <c r="H6" s="3274"/>
      <c r="I6" s="3274"/>
      <c r="J6" s="2028">
        <f>H6+I6</f>
        <v>0</v>
      </c>
      <c r="K6" s="3274"/>
      <c r="L6" s="3275"/>
      <c r="M6" s="3274"/>
      <c r="N6" s="3274"/>
      <c r="O6" s="2028">
        <f t="shared" ref="O6:O7" si="1">M6+N6</f>
        <v>0</v>
      </c>
      <c r="P6" s="3274"/>
      <c r="Q6" s="3275"/>
      <c r="R6" s="3275">
        <f>M6+H6+C6</f>
        <v>0</v>
      </c>
      <c r="S6" s="3275">
        <f>N6+I6+D6</f>
        <v>0</v>
      </c>
      <c r="T6" s="2028">
        <f t="shared" ref="T6:T7" si="2">R6+S6</f>
        <v>0</v>
      </c>
      <c r="U6" s="3275"/>
      <c r="V6" s="3275"/>
      <c r="W6" s="3275">
        <f>AB6+AG6+AL6+AV6+BA6+BF6+BK6+BP6+BU6+BZ6+CE6+AQ6</f>
        <v>687545.81</v>
      </c>
      <c r="X6" s="3275">
        <f>AC6+AH6+AM6+AW6+BB6+BG6+BL6+BQ6+BV6+CA6+CF6+AR6</f>
        <v>0</v>
      </c>
      <c r="Y6" s="2028">
        <f t="shared" ref="Y6:Y7" si="3">W6+X6</f>
        <v>687545.81</v>
      </c>
      <c r="Z6" s="3275"/>
      <c r="AA6" s="3275"/>
      <c r="AB6" s="3274"/>
      <c r="AC6" s="3274"/>
      <c r="AD6" s="2028">
        <f t="shared" ref="AD6:AD7" si="4">AB6+AC6</f>
        <v>0</v>
      </c>
      <c r="AE6" s="3274"/>
      <c r="AF6" s="3275"/>
      <c r="AG6" s="3274">
        <v>687545.81</v>
      </c>
      <c r="AH6" s="3274"/>
      <c r="AI6" s="2028">
        <f t="shared" ref="AI6:AI7" si="5">AG6+AH6</f>
        <v>687545.81</v>
      </c>
      <c r="AJ6" s="3274"/>
      <c r="AK6" s="3275" t="s">
        <v>2178</v>
      </c>
      <c r="AL6" s="3274"/>
      <c r="AM6" s="3274"/>
      <c r="AN6" s="2028">
        <f t="shared" ref="AN6:AN7" si="6">AL6+AM6</f>
        <v>0</v>
      </c>
      <c r="AO6" s="3274"/>
      <c r="AP6" s="3275"/>
      <c r="AQ6" s="3274"/>
      <c r="AR6" s="3274"/>
      <c r="AS6" s="2028">
        <f t="shared" ref="AS6:AS7" si="7">AQ6+AR6</f>
        <v>0</v>
      </c>
      <c r="AT6" s="3274"/>
      <c r="AU6" s="3275"/>
      <c r="AV6" s="3274"/>
      <c r="AW6" s="3274"/>
      <c r="AX6" s="2028">
        <f t="shared" ref="AX6:AX7" si="8">AV6+AW6</f>
        <v>0</v>
      </c>
      <c r="AY6" s="3274"/>
      <c r="AZ6" s="3275"/>
      <c r="BA6" s="3274"/>
      <c r="BB6" s="3274"/>
      <c r="BC6" s="2028">
        <f t="shared" ref="BC6:BC7" si="9">BA6+BB6</f>
        <v>0</v>
      </c>
      <c r="BD6" s="3274"/>
      <c r="BE6" s="3275"/>
      <c r="BF6" s="3274"/>
      <c r="BG6" s="3274"/>
      <c r="BH6" s="2028">
        <f t="shared" ref="BH6:BH7" si="10">BF6+BG6</f>
        <v>0</v>
      </c>
      <c r="BI6" s="3274"/>
      <c r="BJ6" s="3275"/>
      <c r="BK6" s="3274"/>
      <c r="BL6" s="3274"/>
      <c r="BM6" s="2028">
        <f t="shared" ref="BM6:BM7" si="11">BK6+BL6</f>
        <v>0</v>
      </c>
      <c r="BN6" s="3274"/>
      <c r="BO6" s="3275"/>
      <c r="BP6" s="3274"/>
      <c r="BQ6" s="3274"/>
      <c r="BR6" s="2028">
        <f t="shared" ref="BR6:BR7" si="12">BP6+BQ6</f>
        <v>0</v>
      </c>
      <c r="BS6" s="3274"/>
      <c r="BT6" s="3275"/>
      <c r="BU6" s="3274"/>
      <c r="BV6" s="3274"/>
      <c r="BW6" s="2028">
        <f t="shared" ref="BW6:BW7" si="13">BU6+BV6</f>
        <v>0</v>
      </c>
      <c r="BX6" s="3274"/>
      <c r="BY6" s="3275"/>
      <c r="BZ6" s="3274"/>
      <c r="CA6" s="3274"/>
      <c r="CB6" s="2028">
        <f t="shared" ref="CB6:CB7" si="14">BZ6+CA6</f>
        <v>0</v>
      </c>
      <c r="CC6" s="3274"/>
      <c r="CD6" s="3275"/>
      <c r="CE6" s="3274"/>
      <c r="CF6" s="3274"/>
      <c r="CG6" s="2028">
        <f t="shared" ref="CG6:CG7" si="15">CE6+CF6</f>
        <v>0</v>
      </c>
      <c r="CH6" s="3274"/>
      <c r="CI6" s="3275"/>
      <c r="CJ6" s="3274">
        <f>C6+H6+M6+W6</f>
        <v>687545.81</v>
      </c>
      <c r="CK6" s="3274">
        <f>D6+I6+N6+X6</f>
        <v>0</v>
      </c>
      <c r="CL6" s="2028">
        <f>CJ6+CK6</f>
        <v>687545.81</v>
      </c>
      <c r="CM6" s="3274"/>
      <c r="CN6" s="3274"/>
      <c r="CP6" s="2028">
        <v>703731.23303999996</v>
      </c>
      <c r="CQ6" s="2028">
        <f>CL6</f>
        <v>687545.81</v>
      </c>
      <c r="CR6" s="3991">
        <f>CP6-CQ6</f>
        <v>16185.423039999907</v>
      </c>
      <c r="CS6" s="3232"/>
      <c r="CT6" s="2644"/>
    </row>
    <row r="7" spans="1:99" s="1411" customFormat="1" ht="14.4" outlineLevel="1" collapsed="1" thickBot="1" x14ac:dyDescent="0.3">
      <c r="A7" s="1586"/>
      <c r="B7" s="3993" t="s">
        <v>41</v>
      </c>
      <c r="C7" s="3274"/>
      <c r="D7" s="3274"/>
      <c r="E7" s="2028">
        <f t="shared" si="0"/>
        <v>0</v>
      </c>
      <c r="F7" s="3994"/>
      <c r="G7" s="3994"/>
      <c r="H7" s="3274"/>
      <c r="I7" s="3274"/>
      <c r="J7" s="2028">
        <f>H7+I7</f>
        <v>0</v>
      </c>
      <c r="K7" s="3994"/>
      <c r="L7" s="3994"/>
      <c r="M7" s="3274"/>
      <c r="N7" s="3274"/>
      <c r="O7" s="2028">
        <f t="shared" si="1"/>
        <v>0</v>
      </c>
      <c r="P7" s="3994"/>
      <c r="Q7" s="3994"/>
      <c r="R7" s="3275">
        <f>M7+H7+C7</f>
        <v>0</v>
      </c>
      <c r="S7" s="3275">
        <f>N7+I7+D7</f>
        <v>0</v>
      </c>
      <c r="T7" s="2028">
        <f t="shared" si="2"/>
        <v>0</v>
      </c>
      <c r="U7" s="3278"/>
      <c r="V7" s="3278"/>
      <c r="W7" s="3275">
        <f>AB7+AG7+AL7+AV7+BA7+BF7+BK7+BP7+BU7+BZ7+CE7+AQ7</f>
        <v>0</v>
      </c>
      <c r="X7" s="3275">
        <f>AC7+AH7+AM7+AW7+BB7+BG7+BL7+BQ7+BV7+CA7+CF7+AR7</f>
        <v>0</v>
      </c>
      <c r="Y7" s="2028">
        <f t="shared" si="3"/>
        <v>0</v>
      </c>
      <c r="Z7" s="3278"/>
      <c r="AA7" s="3278"/>
      <c r="AB7" s="3274"/>
      <c r="AC7" s="3274"/>
      <c r="AD7" s="2028">
        <f t="shared" si="4"/>
        <v>0</v>
      </c>
      <c r="AE7" s="3994"/>
      <c r="AF7" s="3994"/>
      <c r="AG7" s="3274"/>
      <c r="AH7" s="3274"/>
      <c r="AI7" s="2028">
        <f t="shared" si="5"/>
        <v>0</v>
      </c>
      <c r="AJ7" s="3994"/>
      <c r="AK7" s="3994"/>
      <c r="AL7" s="3274"/>
      <c r="AM7" s="3274"/>
      <c r="AN7" s="2028">
        <f t="shared" si="6"/>
        <v>0</v>
      </c>
      <c r="AO7" s="3994"/>
      <c r="AP7" s="3994"/>
      <c r="AQ7" s="3274"/>
      <c r="AR7" s="3274"/>
      <c r="AS7" s="2028">
        <f t="shared" si="7"/>
        <v>0</v>
      </c>
      <c r="AT7" s="3994"/>
      <c r="AU7" s="3994"/>
      <c r="AV7" s="3274"/>
      <c r="AW7" s="3274"/>
      <c r="AX7" s="2028">
        <f t="shared" si="8"/>
        <v>0</v>
      </c>
      <c r="AY7" s="3994"/>
      <c r="AZ7" s="3994"/>
      <c r="BA7" s="3274"/>
      <c r="BB7" s="3274"/>
      <c r="BC7" s="2028">
        <f t="shared" si="9"/>
        <v>0</v>
      </c>
      <c r="BD7" s="3994"/>
      <c r="BE7" s="3994"/>
      <c r="BF7" s="3274"/>
      <c r="BG7" s="3274"/>
      <c r="BH7" s="2028">
        <f t="shared" si="10"/>
        <v>0</v>
      </c>
      <c r="BI7" s="3994"/>
      <c r="BJ7" s="3994"/>
      <c r="BK7" s="3274"/>
      <c r="BL7" s="3274"/>
      <c r="BM7" s="2028">
        <f t="shared" si="11"/>
        <v>0</v>
      </c>
      <c r="BN7" s="3994"/>
      <c r="BO7" s="3994"/>
      <c r="BP7" s="3274"/>
      <c r="BQ7" s="3274"/>
      <c r="BR7" s="2028">
        <f t="shared" si="12"/>
        <v>0</v>
      </c>
      <c r="BS7" s="3994"/>
      <c r="BT7" s="3994"/>
      <c r="BU7" s="3274"/>
      <c r="BV7" s="3274"/>
      <c r="BW7" s="2028">
        <f t="shared" si="13"/>
        <v>0</v>
      </c>
      <c r="BX7" s="3994"/>
      <c r="BY7" s="3994"/>
      <c r="BZ7" s="3274"/>
      <c r="CA7" s="3274"/>
      <c r="CB7" s="2028">
        <f t="shared" si="14"/>
        <v>0</v>
      </c>
      <c r="CC7" s="3994"/>
      <c r="CD7" s="3994"/>
      <c r="CE7" s="3274"/>
      <c r="CF7" s="3274"/>
      <c r="CG7" s="2028">
        <f t="shared" si="15"/>
        <v>0</v>
      </c>
      <c r="CH7" s="3994"/>
      <c r="CI7" s="3994"/>
      <c r="CJ7" s="3274">
        <f>C7+H7+M7+W7</f>
        <v>0</v>
      </c>
      <c r="CK7" s="3274">
        <f>D7+I7+N7+X7</f>
        <v>0</v>
      </c>
      <c r="CL7" s="2028">
        <f>CJ7+CK7</f>
        <v>0</v>
      </c>
      <c r="CM7" s="3994"/>
      <c r="CN7" s="3994"/>
      <c r="CP7" s="2028"/>
      <c r="CQ7" s="2028"/>
      <c r="CR7" s="3449"/>
      <c r="CT7" s="2644"/>
    </row>
    <row r="8" spans="1:99" s="1411" customFormat="1" ht="14.4" outlineLevel="1" thickBot="1" x14ac:dyDescent="0.3">
      <c r="A8" s="1586"/>
      <c r="B8" s="1478" t="s">
        <v>16</v>
      </c>
      <c r="C8" s="1973">
        <f>SUM(C9:C33)</f>
        <v>0</v>
      </c>
      <c r="D8" s="1973">
        <f>SUM(D9:D33)</f>
        <v>0</v>
      </c>
      <c r="E8" s="1499">
        <f>SUM(E9:E33)</f>
        <v>0</v>
      </c>
      <c r="F8" s="1543" t="e">
        <f t="shared" ref="F8:F33" si="16">E8/$E$89</f>
        <v>#DIV/0!</v>
      </c>
      <c r="G8" s="1481"/>
      <c r="H8" s="1973">
        <f>SUM(H9:H33)</f>
        <v>0</v>
      </c>
      <c r="I8" s="1973">
        <f>SUM(I9:I33)</f>
        <v>0</v>
      </c>
      <c r="J8" s="1499">
        <f>SUM(J9:J33)</f>
        <v>0</v>
      </c>
      <c r="K8" s="1543" t="e">
        <f t="shared" ref="K8" si="17">J8/$E$89</f>
        <v>#DIV/0!</v>
      </c>
      <c r="L8" s="1481"/>
      <c r="M8" s="1973">
        <f>SUM(M9:M33)</f>
        <v>0</v>
      </c>
      <c r="N8" s="1973">
        <f>SUM(N9:N33)</f>
        <v>17586.8</v>
      </c>
      <c r="O8" s="1499">
        <f>SUM(O9:O33)</f>
        <v>17586.8</v>
      </c>
      <c r="P8" s="1543" t="e">
        <f t="shared" ref="P8" si="18">O8/$E$89</f>
        <v>#DIV/0!</v>
      </c>
      <c r="Q8" s="1481"/>
      <c r="R8" s="1973">
        <f>SUM(R9:R33)</f>
        <v>0</v>
      </c>
      <c r="S8" s="1973">
        <f>SUM(S9:S33)</f>
        <v>17586.8</v>
      </c>
      <c r="T8" s="1499">
        <f>SUM(T9:T33)</f>
        <v>17586.8</v>
      </c>
      <c r="U8" s="1543"/>
      <c r="V8" s="1481"/>
      <c r="W8" s="1973">
        <f>SUM(W9:W33)</f>
        <v>330236.196</v>
      </c>
      <c r="X8" s="1973">
        <f>SUM(X9:X33)</f>
        <v>99028.885999999999</v>
      </c>
      <c r="Y8" s="1499">
        <f>SUM(Y9:Y33)</f>
        <v>429265.08200000005</v>
      </c>
      <c r="Z8" s="1543"/>
      <c r="AA8" s="1481"/>
      <c r="AB8" s="1973">
        <f>SUM(AB9:AB33)</f>
        <v>217304.24400000004</v>
      </c>
      <c r="AC8" s="1973">
        <f>SUM(AC9:AC33)</f>
        <v>94528.885999999999</v>
      </c>
      <c r="AD8" s="1499">
        <f>SUM(AD9:AD33)</f>
        <v>311833.13</v>
      </c>
      <c r="AE8" s="1543"/>
      <c r="AF8" s="1481"/>
      <c r="AG8" s="1973">
        <f>SUM(AG9:AG33)</f>
        <v>112931.952</v>
      </c>
      <c r="AH8" s="1973">
        <f>SUM(AH9:AH33)</f>
        <v>4500</v>
      </c>
      <c r="AI8" s="1499">
        <f>SUM(AI9:AI33)</f>
        <v>117431.952</v>
      </c>
      <c r="AJ8" s="1543"/>
      <c r="AK8" s="1481"/>
      <c r="AL8" s="1973">
        <f>SUM(AL9:AL33)</f>
        <v>0</v>
      </c>
      <c r="AM8" s="1973">
        <f>SUM(AM9:AM33)</f>
        <v>0</v>
      </c>
      <c r="AN8" s="1499">
        <f>SUM(AN9:AN33)</f>
        <v>0</v>
      </c>
      <c r="AO8" s="1543"/>
      <c r="AP8" s="1481"/>
      <c r="AQ8" s="1973">
        <f>SUM(AQ9:AQ33)</f>
        <v>0</v>
      </c>
      <c r="AR8" s="1973">
        <f>SUM(AR9:AR33)</f>
        <v>0</v>
      </c>
      <c r="AS8" s="1499">
        <f>SUM(AS9:AS33)</f>
        <v>0</v>
      </c>
      <c r="AT8" s="1543"/>
      <c r="AU8" s="1481"/>
      <c r="AV8" s="1973">
        <f>SUM(AV9:AV33)</f>
        <v>0</v>
      </c>
      <c r="AW8" s="1973">
        <f>SUM(AW9:AW33)</f>
        <v>0</v>
      </c>
      <c r="AX8" s="1499">
        <f>SUM(AX9:AX33)</f>
        <v>0</v>
      </c>
      <c r="AY8" s="1543"/>
      <c r="AZ8" s="1481"/>
      <c r="BA8" s="1973">
        <f>SUM(BA9:BA33)</f>
        <v>0</v>
      </c>
      <c r="BB8" s="1973">
        <f>SUM(BB9:BB33)</f>
        <v>0</v>
      </c>
      <c r="BC8" s="1499">
        <f>SUM(BC9:BC33)</f>
        <v>0</v>
      </c>
      <c r="BD8" s="1543"/>
      <c r="BE8" s="1481"/>
      <c r="BF8" s="1973">
        <f>SUM(BF9:BF33)</f>
        <v>0</v>
      </c>
      <c r="BG8" s="1973">
        <f>SUM(BG9:BG33)</f>
        <v>0</v>
      </c>
      <c r="BH8" s="1499">
        <f>SUM(BH9:BH33)</f>
        <v>0</v>
      </c>
      <c r="BI8" s="1543"/>
      <c r="BJ8" s="1481"/>
      <c r="BK8" s="1973">
        <f>SUM(BK9:BK33)</f>
        <v>0</v>
      </c>
      <c r="BL8" s="1973">
        <f>SUM(BL9:BL33)</f>
        <v>0</v>
      </c>
      <c r="BM8" s="1499">
        <f>SUM(BM9:BM33)</f>
        <v>0</v>
      </c>
      <c r="BN8" s="1543"/>
      <c r="BO8" s="1481"/>
      <c r="BP8" s="1973">
        <f>SUM(BP9:BP33)</f>
        <v>0</v>
      </c>
      <c r="BQ8" s="1973">
        <f>SUM(BQ9:BQ33)</f>
        <v>0</v>
      </c>
      <c r="BR8" s="1499">
        <f>SUM(BR9:BR33)</f>
        <v>0</v>
      </c>
      <c r="BS8" s="1543"/>
      <c r="BT8" s="1481"/>
      <c r="BU8" s="1973">
        <f>SUM(BU9:BU33)</f>
        <v>0</v>
      </c>
      <c r="BV8" s="1973">
        <f>SUM(BV9:BV33)</f>
        <v>0</v>
      </c>
      <c r="BW8" s="1499">
        <f>SUM(BW9:BW33)</f>
        <v>0</v>
      </c>
      <c r="BX8" s="1543"/>
      <c r="BY8" s="1481"/>
      <c r="BZ8" s="1973">
        <f>SUM(BZ9:BZ33)</f>
        <v>0</v>
      </c>
      <c r="CA8" s="1973">
        <f>SUM(CA9:CA33)</f>
        <v>0</v>
      </c>
      <c r="CB8" s="1499">
        <f>SUM(CB9:CB33)</f>
        <v>0</v>
      </c>
      <c r="CC8" s="1543"/>
      <c r="CD8" s="1481"/>
      <c r="CE8" s="1973">
        <f>SUM(CE9:CE33)</f>
        <v>0</v>
      </c>
      <c r="CF8" s="1973">
        <f>SUM(CF9:CF33)</f>
        <v>0</v>
      </c>
      <c r="CG8" s="1499">
        <f>SUM(CG9:CG33)</f>
        <v>0</v>
      </c>
      <c r="CH8" s="1543"/>
      <c r="CI8" s="1481"/>
      <c r="CJ8" s="1973">
        <f>SUM(CJ9:CJ33)</f>
        <v>320278.20600000001</v>
      </c>
      <c r="CK8" s="1973">
        <f>SUM(CK9:CK33)</f>
        <v>116615.686</v>
      </c>
      <c r="CL8" s="1499">
        <f>SUM(CL9:CL33)</f>
        <v>436893.89199999999</v>
      </c>
      <c r="CM8" s="1543"/>
      <c r="CN8" s="1481"/>
      <c r="CP8" s="1499">
        <f>SUM(CP9:CP33)</f>
        <v>358173.49884000001</v>
      </c>
      <c r="CQ8" s="1499">
        <f>SUM(CQ9:CQ33)</f>
        <v>436893.89199999999</v>
      </c>
      <c r="CR8" s="3447">
        <f>SUM(CR9:CR33)</f>
        <v>-78720.393159999992</v>
      </c>
      <c r="CT8" s="2644"/>
    </row>
    <row r="9" spans="1:99" s="1411" customFormat="1" ht="27" customHeight="1" outlineLevel="2" x14ac:dyDescent="0.25">
      <c r="A9" s="1586"/>
      <c r="B9" s="1439" t="s">
        <v>74</v>
      </c>
      <c r="C9" s="3274"/>
      <c r="D9" s="3274"/>
      <c r="E9" s="3283">
        <f t="shared" ref="E9:E32" si="19">C9+D9</f>
        <v>0</v>
      </c>
      <c r="F9" s="3945" t="e">
        <f t="shared" si="16"/>
        <v>#DIV/0!</v>
      </c>
      <c r="G9" s="2063"/>
      <c r="H9" s="3274"/>
      <c r="I9" s="3274"/>
      <c r="J9" s="3283">
        <f t="shared" ref="J9:J32" si="20">H9+I9</f>
        <v>0</v>
      </c>
      <c r="K9" s="3945" t="e">
        <f>J9/J$89</f>
        <v>#DIV/0!</v>
      </c>
      <c r="L9" s="2063"/>
      <c r="M9" s="3274"/>
      <c r="N9" s="3274">
        <v>17586.8</v>
      </c>
      <c r="O9" s="3283">
        <f t="shared" ref="O9:O32" si="21">M9+N9</f>
        <v>17586.8</v>
      </c>
      <c r="P9" s="3945">
        <f t="shared" ref="P9:P33" si="22">O9/O$89</f>
        <v>0.86106134733301321</v>
      </c>
      <c r="Q9" s="2063"/>
      <c r="R9" s="3275">
        <f t="shared" ref="R9:S33" si="23">M9+H9+C9</f>
        <v>0</v>
      </c>
      <c r="S9" s="3275">
        <f t="shared" si="23"/>
        <v>17586.8</v>
      </c>
      <c r="T9" s="2028">
        <f t="shared" ref="T9:T33" si="24">R9+S9</f>
        <v>17586.8</v>
      </c>
      <c r="U9" s="2063"/>
      <c r="V9" s="2063"/>
      <c r="W9" s="3275">
        <f t="shared" ref="W9:X33" si="25">AB9+AG9+AL9+AV9+BA9+BF9+BK9+BP9+BU9+BZ9+CE9+AQ9</f>
        <v>99056.914000000004</v>
      </c>
      <c r="X9" s="3275">
        <f t="shared" si="25"/>
        <v>82928.885999999999</v>
      </c>
      <c r="Y9" s="2028">
        <f t="shared" ref="Y9:Y33" si="26">W9+X9</f>
        <v>181985.8</v>
      </c>
      <c r="Z9" s="2063"/>
      <c r="AA9" s="2063"/>
      <c r="AB9" s="3274">
        <v>99056.914000000004</v>
      </c>
      <c r="AC9" s="3274">
        <v>82928.885999999999</v>
      </c>
      <c r="AD9" s="3283">
        <f t="shared" ref="AD9:AD32" si="27">AB9+AC9</f>
        <v>181985.8</v>
      </c>
      <c r="AE9" s="3945">
        <f>AD9/AD$89</f>
        <v>0.55615467206085745</v>
      </c>
      <c r="AF9" s="2063" t="s">
        <v>2156</v>
      </c>
      <c r="AG9" s="3274"/>
      <c r="AH9" s="3274"/>
      <c r="AI9" s="3283">
        <f t="shared" ref="AI9:AI32" si="28">AG9+AH9</f>
        <v>0</v>
      </c>
      <c r="AJ9" s="3945">
        <f>AI9/AI$89</f>
        <v>0</v>
      </c>
      <c r="AK9" s="2063"/>
      <c r="AL9" s="3274"/>
      <c r="AM9" s="3274"/>
      <c r="AN9" s="3283">
        <f t="shared" ref="AN9:AN32" si="29">AL9+AM9</f>
        <v>0</v>
      </c>
      <c r="AO9" s="3945" t="e">
        <f>AN9/AN$89</f>
        <v>#DIV/0!</v>
      </c>
      <c r="AP9" s="2063"/>
      <c r="AQ9" s="3274"/>
      <c r="AR9" s="3274"/>
      <c r="AS9" s="3283">
        <f t="shared" ref="AS9:AS32" si="30">AQ9+AR9</f>
        <v>0</v>
      </c>
      <c r="AT9" s="3945" t="e">
        <f>AS9/AS$89</f>
        <v>#DIV/0!</v>
      </c>
      <c r="AU9" s="2063"/>
      <c r="AV9" s="3274"/>
      <c r="AW9" s="3274"/>
      <c r="AX9" s="3283">
        <f t="shared" ref="AX9:AX32" si="31">AV9+AW9</f>
        <v>0</v>
      </c>
      <c r="AY9" s="3945" t="e">
        <f>AX9/AX$89</f>
        <v>#DIV/0!</v>
      </c>
      <c r="AZ9" s="2063"/>
      <c r="BA9" s="3274"/>
      <c r="BB9" s="3274"/>
      <c r="BC9" s="3283">
        <f t="shared" ref="BC9:BC32" si="32">BA9+BB9</f>
        <v>0</v>
      </c>
      <c r="BD9" s="3945" t="e">
        <f>BC9/BC$89</f>
        <v>#DIV/0!</v>
      </c>
      <c r="BE9" s="2063"/>
      <c r="BF9" s="3274"/>
      <c r="BG9" s="3274"/>
      <c r="BH9" s="3283">
        <f t="shared" ref="BH9:BH32" si="33">BF9+BG9</f>
        <v>0</v>
      </c>
      <c r="BI9" s="3945" t="e">
        <f>BH9/BH$89</f>
        <v>#DIV/0!</v>
      </c>
      <c r="BJ9" s="2063"/>
      <c r="BK9" s="3274"/>
      <c r="BL9" s="3274"/>
      <c r="BM9" s="3283">
        <f t="shared" ref="BM9:BM32" si="34">BK9+BL9</f>
        <v>0</v>
      </c>
      <c r="BN9" s="3945" t="e">
        <f>BM9/BM$89</f>
        <v>#DIV/0!</v>
      </c>
      <c r="BO9" s="2063"/>
      <c r="BP9" s="3274"/>
      <c r="BQ9" s="3274"/>
      <c r="BR9" s="3283">
        <f t="shared" ref="BR9:BR32" si="35">BP9+BQ9</f>
        <v>0</v>
      </c>
      <c r="BS9" s="3945" t="e">
        <f>BR9/BR$89</f>
        <v>#DIV/0!</v>
      </c>
      <c r="BT9" s="2063"/>
      <c r="BU9" s="3274"/>
      <c r="BV9" s="3274"/>
      <c r="BW9" s="3283">
        <f t="shared" ref="BW9:BW32" si="36">BU9+BV9</f>
        <v>0</v>
      </c>
      <c r="BX9" s="3945" t="e">
        <f>BW9/BW$89</f>
        <v>#DIV/0!</v>
      </c>
      <c r="BY9" s="2063"/>
      <c r="BZ9" s="3274"/>
      <c r="CA9" s="3274"/>
      <c r="CB9" s="3283">
        <f t="shared" ref="CB9:CB32" si="37">BZ9+CA9</f>
        <v>0</v>
      </c>
      <c r="CC9" s="3945" t="e">
        <f>CB9/CB$89</f>
        <v>#DIV/0!</v>
      </c>
      <c r="CD9" s="2063"/>
      <c r="CE9" s="3274"/>
      <c r="CF9" s="3274"/>
      <c r="CG9" s="3283">
        <f t="shared" ref="CG9:CG32" si="38">CE9+CF9</f>
        <v>0</v>
      </c>
      <c r="CH9" s="3945" t="e">
        <f>CG9/CG$89</f>
        <v>#DIV/0!</v>
      </c>
      <c r="CI9" s="2063"/>
      <c r="CJ9" s="3274">
        <f t="shared" ref="CJ9:CK33" si="39">C9+H9+M9+W9</f>
        <v>99056.914000000004</v>
      </c>
      <c r="CK9" s="3274">
        <f t="shared" si="39"/>
        <v>100515.686</v>
      </c>
      <c r="CL9" s="3283">
        <f>CJ9+CK9*1</f>
        <v>199572.6</v>
      </c>
      <c r="CM9" s="3945">
        <f t="shared" ref="CM9:CM33" si="40">CL9/$CL$89</f>
        <v>0.43780068679161421</v>
      </c>
      <c r="CN9" s="1449"/>
      <c r="CP9" s="4344">
        <v>161944.035</v>
      </c>
      <c r="CQ9" s="2028">
        <f>CL9</f>
        <v>199572.6</v>
      </c>
      <c r="CR9" s="4347">
        <f>CP9-SUM(CQ9:CQ11)</f>
        <v>-78737.174999999988</v>
      </c>
      <c r="CS9" s="3232"/>
      <c r="CT9" s="3450">
        <f>CR9/CP9</f>
        <v>-0.48619990850542899</v>
      </c>
    </row>
    <row r="10" spans="1:99" s="1411" customFormat="1" ht="13.8" outlineLevel="2" x14ac:dyDescent="0.25">
      <c r="A10" s="1586"/>
      <c r="B10" s="1439" t="s">
        <v>72</v>
      </c>
      <c r="C10" s="3274"/>
      <c r="D10" s="3274"/>
      <c r="E10" s="3283">
        <f t="shared" si="19"/>
        <v>0</v>
      </c>
      <c r="F10" s="3945" t="e">
        <f t="shared" si="16"/>
        <v>#DIV/0!</v>
      </c>
      <c r="G10" s="2063"/>
      <c r="H10" s="3274"/>
      <c r="I10" s="3274"/>
      <c r="J10" s="3283">
        <f t="shared" si="20"/>
        <v>0</v>
      </c>
      <c r="K10" s="3945" t="e">
        <f t="shared" ref="K10:K33" si="41">J10/J$89</f>
        <v>#DIV/0!</v>
      </c>
      <c r="L10" s="2063"/>
      <c r="M10" s="3274"/>
      <c r="N10" s="3274"/>
      <c r="O10" s="3283">
        <f t="shared" si="21"/>
        <v>0</v>
      </c>
      <c r="P10" s="3945">
        <f t="shared" si="22"/>
        <v>0</v>
      </c>
      <c r="Q10" s="2063"/>
      <c r="R10" s="3275">
        <f t="shared" si="23"/>
        <v>0</v>
      </c>
      <c r="S10" s="3275">
        <f t="shared" si="23"/>
        <v>0</v>
      </c>
      <c r="T10" s="2028">
        <f t="shared" si="24"/>
        <v>0</v>
      </c>
      <c r="U10" s="2063"/>
      <c r="V10" s="2063"/>
      <c r="W10" s="3275">
        <f t="shared" si="25"/>
        <v>23995.15</v>
      </c>
      <c r="X10" s="3275">
        <f t="shared" si="25"/>
        <v>0</v>
      </c>
      <c r="Y10" s="2028">
        <f t="shared" si="26"/>
        <v>23995.15</v>
      </c>
      <c r="Z10" s="2063"/>
      <c r="AA10" s="2063"/>
      <c r="AB10" s="3274">
        <v>23995.15</v>
      </c>
      <c r="AC10" s="3274"/>
      <c r="AD10" s="3283">
        <f t="shared" si="27"/>
        <v>23995.15</v>
      </c>
      <c r="AE10" s="3945">
        <f t="shared" ref="AE10:AE33" si="42">AD10/AD$89</f>
        <v>7.3329978379088279E-2</v>
      </c>
      <c r="AF10" s="2063"/>
      <c r="AG10" s="3274"/>
      <c r="AH10" s="3274"/>
      <c r="AI10" s="3283">
        <f t="shared" si="28"/>
        <v>0</v>
      </c>
      <c r="AJ10" s="3945">
        <f t="shared" ref="AJ10:AJ33" si="43">AI10/AI$89</f>
        <v>0</v>
      </c>
      <c r="AK10" s="2063"/>
      <c r="AL10" s="3274"/>
      <c r="AM10" s="3274"/>
      <c r="AN10" s="3283">
        <f t="shared" si="29"/>
        <v>0</v>
      </c>
      <c r="AO10" s="3945" t="e">
        <f t="shared" ref="AO10:AO33" si="44">AN10/AN$89</f>
        <v>#DIV/0!</v>
      </c>
      <c r="AP10" s="2063"/>
      <c r="AQ10" s="3274"/>
      <c r="AR10" s="3274"/>
      <c r="AS10" s="3283">
        <f t="shared" si="30"/>
        <v>0</v>
      </c>
      <c r="AT10" s="3945" t="e">
        <f t="shared" ref="AT10:AT33" si="45">AS10/AS$89</f>
        <v>#DIV/0!</v>
      </c>
      <c r="AU10" s="2063"/>
      <c r="AV10" s="3274"/>
      <c r="AW10" s="3274"/>
      <c r="AX10" s="3283">
        <f t="shared" si="31"/>
        <v>0</v>
      </c>
      <c r="AY10" s="3945" t="e">
        <f t="shared" ref="AY10:AY33" si="46">AX10/AX$89</f>
        <v>#DIV/0!</v>
      </c>
      <c r="AZ10" s="2063"/>
      <c r="BA10" s="3274"/>
      <c r="BB10" s="3274"/>
      <c r="BC10" s="3283">
        <f t="shared" si="32"/>
        <v>0</v>
      </c>
      <c r="BD10" s="3945" t="e">
        <f t="shared" ref="BD10:BD33" si="47">BC10/BC$89</f>
        <v>#DIV/0!</v>
      </c>
      <c r="BE10" s="2063"/>
      <c r="BF10" s="3274"/>
      <c r="BG10" s="3274"/>
      <c r="BH10" s="3283">
        <f t="shared" si="33"/>
        <v>0</v>
      </c>
      <c r="BI10" s="3945" t="e">
        <f t="shared" ref="BI10:BI33" si="48">BH10/BH$89</f>
        <v>#DIV/0!</v>
      </c>
      <c r="BJ10" s="2063"/>
      <c r="BK10" s="3274"/>
      <c r="BL10" s="3274"/>
      <c r="BM10" s="3283">
        <f t="shared" si="34"/>
        <v>0</v>
      </c>
      <c r="BN10" s="3945" t="e">
        <f t="shared" ref="BN10:BN33" si="49">BM10/BM$89</f>
        <v>#DIV/0!</v>
      </c>
      <c r="BO10" s="2063"/>
      <c r="BP10" s="3274"/>
      <c r="BQ10" s="3274"/>
      <c r="BR10" s="3283">
        <f t="shared" si="35"/>
        <v>0</v>
      </c>
      <c r="BS10" s="3945" t="e">
        <f t="shared" ref="BS10:BS33" si="50">BR10/BR$89</f>
        <v>#DIV/0!</v>
      </c>
      <c r="BT10" s="2063"/>
      <c r="BU10" s="3274"/>
      <c r="BV10" s="3274"/>
      <c r="BW10" s="3283">
        <f t="shared" si="36"/>
        <v>0</v>
      </c>
      <c r="BX10" s="3945" t="e">
        <f t="shared" ref="BX10:BX33" si="51">BW10/BW$89</f>
        <v>#DIV/0!</v>
      </c>
      <c r="BY10" s="2063"/>
      <c r="BZ10" s="3274"/>
      <c r="CA10" s="3274"/>
      <c r="CB10" s="3283">
        <f t="shared" si="37"/>
        <v>0</v>
      </c>
      <c r="CC10" s="3945" t="e">
        <f t="shared" ref="CC10:CC33" si="52">CB10/CB$89</f>
        <v>#DIV/0!</v>
      </c>
      <c r="CD10" s="2063"/>
      <c r="CE10" s="3274"/>
      <c r="CF10" s="3274"/>
      <c r="CG10" s="3283">
        <f t="shared" si="38"/>
        <v>0</v>
      </c>
      <c r="CH10" s="3945" t="e">
        <f t="shared" ref="CH10:CH33" si="53">CG10/CG$89</f>
        <v>#DIV/0!</v>
      </c>
      <c r="CI10" s="2063"/>
      <c r="CJ10" s="3274">
        <f>C10+H10+M10+W10-4679.06</f>
        <v>19316.09</v>
      </c>
      <c r="CK10" s="3274">
        <f t="shared" si="39"/>
        <v>0</v>
      </c>
      <c r="CL10" s="3283">
        <f t="shared" ref="CL10:CL33" si="54">CJ10+CK10*1</f>
        <v>19316.09</v>
      </c>
      <c r="CM10" s="3945">
        <f t="shared" si="40"/>
        <v>4.2373539594757148E-2</v>
      </c>
      <c r="CN10" s="1449"/>
      <c r="CP10" s="4345"/>
      <c r="CQ10" s="2028">
        <f t="shared" ref="CQ10:CQ32" si="55">CL10</f>
        <v>19316.09</v>
      </c>
      <c r="CR10" s="4348"/>
      <c r="CT10" s="2644"/>
      <c r="CU10" s="933"/>
    </row>
    <row r="11" spans="1:99" s="1411" customFormat="1" ht="13.8" outlineLevel="2" x14ac:dyDescent="0.25">
      <c r="A11" s="1586"/>
      <c r="B11" s="1439" t="s">
        <v>69</v>
      </c>
      <c r="C11" s="3274"/>
      <c r="D11" s="3274"/>
      <c r="E11" s="3283">
        <f t="shared" si="19"/>
        <v>0</v>
      </c>
      <c r="F11" s="3945" t="e">
        <f t="shared" si="16"/>
        <v>#DIV/0!</v>
      </c>
      <c r="G11" s="1065"/>
      <c r="H11" s="3274"/>
      <c r="I11" s="3274"/>
      <c r="J11" s="3283">
        <f t="shared" si="20"/>
        <v>0</v>
      </c>
      <c r="K11" s="3945" t="e">
        <f t="shared" si="41"/>
        <v>#DIV/0!</v>
      </c>
      <c r="L11" s="1065"/>
      <c r="M11" s="3274"/>
      <c r="N11" s="3274"/>
      <c r="O11" s="3283">
        <f t="shared" si="21"/>
        <v>0</v>
      </c>
      <c r="P11" s="3945">
        <f t="shared" si="22"/>
        <v>0</v>
      </c>
      <c r="Q11" s="1065"/>
      <c r="R11" s="3275">
        <f t="shared" si="23"/>
        <v>0</v>
      </c>
      <c r="S11" s="3275">
        <f t="shared" si="23"/>
        <v>0</v>
      </c>
      <c r="T11" s="2028">
        <f t="shared" si="24"/>
        <v>0</v>
      </c>
      <c r="U11" s="1065"/>
      <c r="V11" s="1065"/>
      <c r="W11" s="3275">
        <f t="shared" si="25"/>
        <v>27071.45</v>
      </c>
      <c r="X11" s="3275">
        <f t="shared" si="25"/>
        <v>0</v>
      </c>
      <c r="Y11" s="2028">
        <f t="shared" si="26"/>
        <v>27071.45</v>
      </c>
      <c r="Z11" s="1065"/>
      <c r="AA11" s="1065"/>
      <c r="AB11" s="3274">
        <v>27071.45</v>
      </c>
      <c r="AC11" s="3274"/>
      <c r="AD11" s="3283">
        <f t="shared" si="27"/>
        <v>27071.45</v>
      </c>
      <c r="AE11" s="3945">
        <f t="shared" si="42"/>
        <v>8.2731253740467109E-2</v>
      </c>
      <c r="AF11" s="1065"/>
      <c r="AG11" s="3274"/>
      <c r="AH11" s="3274"/>
      <c r="AI11" s="3283">
        <f t="shared" si="28"/>
        <v>0</v>
      </c>
      <c r="AJ11" s="3945">
        <f t="shared" si="43"/>
        <v>0</v>
      </c>
      <c r="AK11" s="1065"/>
      <c r="AL11" s="3274"/>
      <c r="AM11" s="3274"/>
      <c r="AN11" s="3283">
        <f t="shared" si="29"/>
        <v>0</v>
      </c>
      <c r="AO11" s="3945" t="e">
        <f t="shared" si="44"/>
        <v>#DIV/0!</v>
      </c>
      <c r="AP11" s="1065"/>
      <c r="AQ11" s="3274"/>
      <c r="AR11" s="3274"/>
      <c r="AS11" s="3283">
        <f t="shared" si="30"/>
        <v>0</v>
      </c>
      <c r="AT11" s="3945" t="e">
        <f t="shared" si="45"/>
        <v>#DIV/0!</v>
      </c>
      <c r="AU11" s="1065"/>
      <c r="AV11" s="3274"/>
      <c r="AW11" s="3274"/>
      <c r="AX11" s="3283">
        <f t="shared" si="31"/>
        <v>0</v>
      </c>
      <c r="AY11" s="3945" t="e">
        <f t="shared" si="46"/>
        <v>#DIV/0!</v>
      </c>
      <c r="AZ11" s="1065"/>
      <c r="BA11" s="3274"/>
      <c r="BB11" s="3274"/>
      <c r="BC11" s="3283">
        <f t="shared" si="32"/>
        <v>0</v>
      </c>
      <c r="BD11" s="3945" t="e">
        <f t="shared" si="47"/>
        <v>#DIV/0!</v>
      </c>
      <c r="BE11" s="1065"/>
      <c r="BF11" s="3274"/>
      <c r="BG11" s="3274"/>
      <c r="BH11" s="3283">
        <f t="shared" si="33"/>
        <v>0</v>
      </c>
      <c r="BI11" s="3945" t="e">
        <f t="shared" si="48"/>
        <v>#DIV/0!</v>
      </c>
      <c r="BJ11" s="1065"/>
      <c r="BK11" s="3274"/>
      <c r="BL11" s="3274"/>
      <c r="BM11" s="3283">
        <f t="shared" si="34"/>
        <v>0</v>
      </c>
      <c r="BN11" s="3945" t="e">
        <f t="shared" si="49"/>
        <v>#DIV/0!</v>
      </c>
      <c r="BO11" s="1065"/>
      <c r="BP11" s="3274"/>
      <c r="BQ11" s="3274"/>
      <c r="BR11" s="3283">
        <f t="shared" si="35"/>
        <v>0</v>
      </c>
      <c r="BS11" s="3945" t="e">
        <f t="shared" si="50"/>
        <v>#DIV/0!</v>
      </c>
      <c r="BT11" s="1065"/>
      <c r="BU11" s="3274"/>
      <c r="BV11" s="3274"/>
      <c r="BW11" s="3283">
        <f t="shared" si="36"/>
        <v>0</v>
      </c>
      <c r="BX11" s="3945" t="e">
        <f t="shared" si="51"/>
        <v>#DIV/0!</v>
      </c>
      <c r="BY11" s="1065"/>
      <c r="BZ11" s="3274"/>
      <c r="CA11" s="3274"/>
      <c r="CB11" s="3283">
        <f t="shared" si="37"/>
        <v>0</v>
      </c>
      <c r="CC11" s="3945" t="e">
        <f t="shared" si="52"/>
        <v>#DIV/0!</v>
      </c>
      <c r="CD11" s="1065"/>
      <c r="CE11" s="3274"/>
      <c r="CF11" s="3274"/>
      <c r="CG11" s="3283">
        <f t="shared" si="38"/>
        <v>0</v>
      </c>
      <c r="CH11" s="3945" t="e">
        <f t="shared" si="53"/>
        <v>#DIV/0!</v>
      </c>
      <c r="CI11" s="1065"/>
      <c r="CJ11" s="3274">
        <f>C11+H11+M11+W11-5278.93</f>
        <v>21792.52</v>
      </c>
      <c r="CK11" s="3274">
        <f t="shared" si="39"/>
        <v>0</v>
      </c>
      <c r="CL11" s="3283">
        <f t="shared" si="54"/>
        <v>21792.52</v>
      </c>
      <c r="CM11" s="3945">
        <f t="shared" si="40"/>
        <v>4.7806062670526853E-2</v>
      </c>
      <c r="CN11" s="1449"/>
      <c r="CP11" s="4346"/>
      <c r="CQ11" s="2028">
        <f t="shared" si="55"/>
        <v>21792.52</v>
      </c>
      <c r="CR11" s="4349"/>
      <c r="CT11" s="2644"/>
      <c r="CU11" s="933"/>
    </row>
    <row r="12" spans="1:99" s="1411" customFormat="1" ht="13.8" outlineLevel="2" x14ac:dyDescent="0.25">
      <c r="A12" s="1586"/>
      <c r="B12" s="1439" t="s">
        <v>73</v>
      </c>
      <c r="C12" s="3274"/>
      <c r="D12" s="3274"/>
      <c r="E12" s="3283">
        <f t="shared" si="19"/>
        <v>0</v>
      </c>
      <c r="F12" s="3945" t="e">
        <f t="shared" si="16"/>
        <v>#DIV/0!</v>
      </c>
      <c r="G12" s="1065"/>
      <c r="H12" s="3274"/>
      <c r="I12" s="3274"/>
      <c r="J12" s="3283">
        <f t="shared" si="20"/>
        <v>0</v>
      </c>
      <c r="K12" s="3945" t="e">
        <f t="shared" si="41"/>
        <v>#DIV/0!</v>
      </c>
      <c r="L12" s="1065"/>
      <c r="M12" s="3274"/>
      <c r="N12" s="3274"/>
      <c r="O12" s="3283">
        <f t="shared" si="21"/>
        <v>0</v>
      </c>
      <c r="P12" s="3945">
        <f t="shared" si="22"/>
        <v>0</v>
      </c>
      <c r="Q12" s="1065"/>
      <c r="R12" s="3275">
        <f t="shared" si="23"/>
        <v>0</v>
      </c>
      <c r="S12" s="3275">
        <f t="shared" si="23"/>
        <v>0</v>
      </c>
      <c r="T12" s="2028">
        <f t="shared" si="24"/>
        <v>0</v>
      </c>
      <c r="U12" s="1065"/>
      <c r="V12" s="1065"/>
      <c r="W12" s="3275">
        <f t="shared" si="25"/>
        <v>0</v>
      </c>
      <c r="X12" s="3275">
        <f t="shared" si="25"/>
        <v>0</v>
      </c>
      <c r="Y12" s="2028">
        <f t="shared" si="26"/>
        <v>0</v>
      </c>
      <c r="Z12" s="1065"/>
      <c r="AA12" s="1065"/>
      <c r="AB12" s="3274"/>
      <c r="AC12" s="3274"/>
      <c r="AD12" s="3283">
        <f t="shared" si="27"/>
        <v>0</v>
      </c>
      <c r="AE12" s="3945">
        <f t="shared" si="42"/>
        <v>0</v>
      </c>
      <c r="AF12" s="1065"/>
      <c r="AG12" s="3274"/>
      <c r="AH12" s="3274"/>
      <c r="AI12" s="3283">
        <f t="shared" si="28"/>
        <v>0</v>
      </c>
      <c r="AJ12" s="3945">
        <f t="shared" si="43"/>
        <v>0</v>
      </c>
      <c r="AK12" s="1065"/>
      <c r="AL12" s="3274"/>
      <c r="AM12" s="3274"/>
      <c r="AN12" s="3283">
        <f t="shared" si="29"/>
        <v>0</v>
      </c>
      <c r="AO12" s="3945" t="e">
        <f t="shared" si="44"/>
        <v>#DIV/0!</v>
      </c>
      <c r="AP12" s="1065"/>
      <c r="AQ12" s="3274"/>
      <c r="AR12" s="3274"/>
      <c r="AS12" s="3283">
        <f t="shared" si="30"/>
        <v>0</v>
      </c>
      <c r="AT12" s="3945" t="e">
        <f t="shared" si="45"/>
        <v>#DIV/0!</v>
      </c>
      <c r="AU12" s="1065"/>
      <c r="AV12" s="3274"/>
      <c r="AW12" s="3274"/>
      <c r="AX12" s="3283">
        <f t="shared" si="31"/>
        <v>0</v>
      </c>
      <c r="AY12" s="3945" t="e">
        <f t="shared" si="46"/>
        <v>#DIV/0!</v>
      </c>
      <c r="AZ12" s="1065"/>
      <c r="BA12" s="3274"/>
      <c r="BB12" s="3274"/>
      <c r="BC12" s="3283">
        <f t="shared" si="32"/>
        <v>0</v>
      </c>
      <c r="BD12" s="3945" t="e">
        <f t="shared" si="47"/>
        <v>#DIV/0!</v>
      </c>
      <c r="BE12" s="1065"/>
      <c r="BF12" s="3274"/>
      <c r="BG12" s="3274"/>
      <c r="BH12" s="3283">
        <f t="shared" si="33"/>
        <v>0</v>
      </c>
      <c r="BI12" s="3945" t="e">
        <f t="shared" si="48"/>
        <v>#DIV/0!</v>
      </c>
      <c r="BJ12" s="1065"/>
      <c r="BK12" s="3274"/>
      <c r="BL12" s="3274"/>
      <c r="BM12" s="3283">
        <f t="shared" si="34"/>
        <v>0</v>
      </c>
      <c r="BN12" s="3945" t="e">
        <f t="shared" si="49"/>
        <v>#DIV/0!</v>
      </c>
      <c r="BO12" s="1065"/>
      <c r="BP12" s="3274"/>
      <c r="BQ12" s="3274"/>
      <c r="BR12" s="3283">
        <f t="shared" si="35"/>
        <v>0</v>
      </c>
      <c r="BS12" s="3945" t="e">
        <f t="shared" si="50"/>
        <v>#DIV/0!</v>
      </c>
      <c r="BT12" s="1065"/>
      <c r="BU12" s="3274"/>
      <c r="BV12" s="3274"/>
      <c r="BW12" s="3283">
        <f t="shared" si="36"/>
        <v>0</v>
      </c>
      <c r="BX12" s="3945" t="e">
        <f t="shared" si="51"/>
        <v>#DIV/0!</v>
      </c>
      <c r="BY12" s="1065"/>
      <c r="BZ12" s="3274"/>
      <c r="CA12" s="3274"/>
      <c r="CB12" s="3283">
        <f t="shared" si="37"/>
        <v>0</v>
      </c>
      <c r="CC12" s="3945" t="e">
        <f t="shared" si="52"/>
        <v>#DIV/0!</v>
      </c>
      <c r="CD12" s="1065"/>
      <c r="CE12" s="3274"/>
      <c r="CF12" s="3274"/>
      <c r="CG12" s="3283">
        <f t="shared" si="38"/>
        <v>0</v>
      </c>
      <c r="CH12" s="3945" t="e">
        <f t="shared" si="53"/>
        <v>#DIV/0!</v>
      </c>
      <c r="CI12" s="1065"/>
      <c r="CJ12" s="3274">
        <f t="shared" si="39"/>
        <v>0</v>
      </c>
      <c r="CK12" s="3274">
        <f t="shared" si="39"/>
        <v>0</v>
      </c>
      <c r="CL12" s="3283">
        <f t="shared" si="54"/>
        <v>0</v>
      </c>
      <c r="CM12" s="3945">
        <f t="shared" si="40"/>
        <v>0</v>
      </c>
      <c r="CN12" s="1449"/>
      <c r="CP12" s="3989"/>
      <c r="CQ12" s="2028">
        <f t="shared" si="55"/>
        <v>0</v>
      </c>
      <c r="CR12" s="3991">
        <f t="shared" ref="CR12:CR33" si="56">CP12-CQ12</f>
        <v>0</v>
      </c>
      <c r="CT12" s="2644"/>
    </row>
    <row r="13" spans="1:99" s="1411" customFormat="1" ht="13.8" outlineLevel="2" x14ac:dyDescent="0.25">
      <c r="A13" s="1586"/>
      <c r="B13" s="1439" t="s">
        <v>71</v>
      </c>
      <c r="C13" s="3274"/>
      <c r="D13" s="3274"/>
      <c r="E13" s="3283">
        <f t="shared" si="19"/>
        <v>0</v>
      </c>
      <c r="F13" s="3945" t="e">
        <f t="shared" si="16"/>
        <v>#DIV/0!</v>
      </c>
      <c r="G13" s="1065"/>
      <c r="H13" s="3274"/>
      <c r="I13" s="3274"/>
      <c r="J13" s="3283">
        <f t="shared" si="20"/>
        <v>0</v>
      </c>
      <c r="K13" s="3945" t="e">
        <f t="shared" si="41"/>
        <v>#DIV/0!</v>
      </c>
      <c r="L13" s="1065"/>
      <c r="M13" s="3274"/>
      <c r="N13" s="3274"/>
      <c r="O13" s="3283">
        <f t="shared" si="21"/>
        <v>0</v>
      </c>
      <c r="P13" s="3945">
        <f t="shared" si="22"/>
        <v>0</v>
      </c>
      <c r="Q13" s="1065"/>
      <c r="R13" s="3275">
        <f t="shared" si="23"/>
        <v>0</v>
      </c>
      <c r="S13" s="3275">
        <f t="shared" si="23"/>
        <v>0</v>
      </c>
      <c r="T13" s="2028">
        <f t="shared" si="24"/>
        <v>0</v>
      </c>
      <c r="U13" s="1065"/>
      <c r="V13" s="1065"/>
      <c r="W13" s="3275">
        <f t="shared" si="25"/>
        <v>0</v>
      </c>
      <c r="X13" s="3275">
        <f t="shared" si="25"/>
        <v>0</v>
      </c>
      <c r="Y13" s="2028">
        <f t="shared" si="26"/>
        <v>0</v>
      </c>
      <c r="Z13" s="1065"/>
      <c r="AA13" s="1065"/>
      <c r="AB13" s="3274"/>
      <c r="AC13" s="3274"/>
      <c r="AD13" s="3283">
        <f t="shared" si="27"/>
        <v>0</v>
      </c>
      <c r="AE13" s="3945">
        <f t="shared" si="42"/>
        <v>0</v>
      </c>
      <c r="AF13" s="1065"/>
      <c r="AG13" s="3274"/>
      <c r="AH13" s="3274"/>
      <c r="AI13" s="3283">
        <f t="shared" si="28"/>
        <v>0</v>
      </c>
      <c r="AJ13" s="3945">
        <f t="shared" si="43"/>
        <v>0</v>
      </c>
      <c r="AK13" s="1065"/>
      <c r="AL13" s="3274"/>
      <c r="AM13" s="3274"/>
      <c r="AN13" s="3283">
        <f t="shared" si="29"/>
        <v>0</v>
      </c>
      <c r="AO13" s="3945" t="e">
        <f t="shared" si="44"/>
        <v>#DIV/0!</v>
      </c>
      <c r="AP13" s="1065"/>
      <c r="AQ13" s="3274"/>
      <c r="AR13" s="3274"/>
      <c r="AS13" s="3283">
        <f t="shared" si="30"/>
        <v>0</v>
      </c>
      <c r="AT13" s="3945" t="e">
        <f t="shared" si="45"/>
        <v>#DIV/0!</v>
      </c>
      <c r="AU13" s="1065"/>
      <c r="AV13" s="3274"/>
      <c r="AW13" s="3274"/>
      <c r="AX13" s="3283">
        <f t="shared" si="31"/>
        <v>0</v>
      </c>
      <c r="AY13" s="3945" t="e">
        <f t="shared" si="46"/>
        <v>#DIV/0!</v>
      </c>
      <c r="AZ13" s="1065"/>
      <c r="BA13" s="3274"/>
      <c r="BB13" s="3274"/>
      <c r="BC13" s="3283">
        <f t="shared" si="32"/>
        <v>0</v>
      </c>
      <c r="BD13" s="3945" t="e">
        <f t="shared" si="47"/>
        <v>#DIV/0!</v>
      </c>
      <c r="BE13" s="1065"/>
      <c r="BF13" s="3274"/>
      <c r="BG13" s="3274"/>
      <c r="BH13" s="3283">
        <f t="shared" si="33"/>
        <v>0</v>
      </c>
      <c r="BI13" s="3945" t="e">
        <f t="shared" si="48"/>
        <v>#DIV/0!</v>
      </c>
      <c r="BJ13" s="1065"/>
      <c r="BK13" s="3274"/>
      <c r="BL13" s="3274"/>
      <c r="BM13" s="3283">
        <f t="shared" si="34"/>
        <v>0</v>
      </c>
      <c r="BN13" s="3945" t="e">
        <f t="shared" si="49"/>
        <v>#DIV/0!</v>
      </c>
      <c r="BO13" s="1065"/>
      <c r="BP13" s="3274"/>
      <c r="BQ13" s="3274"/>
      <c r="BR13" s="3283">
        <f t="shared" si="35"/>
        <v>0</v>
      </c>
      <c r="BS13" s="3945" t="e">
        <f t="shared" si="50"/>
        <v>#DIV/0!</v>
      </c>
      <c r="BT13" s="1065"/>
      <c r="BU13" s="3274"/>
      <c r="BV13" s="3274"/>
      <c r="BW13" s="3283">
        <f t="shared" si="36"/>
        <v>0</v>
      </c>
      <c r="BX13" s="3945" t="e">
        <f t="shared" si="51"/>
        <v>#DIV/0!</v>
      </c>
      <c r="BY13" s="1065"/>
      <c r="BZ13" s="3274"/>
      <c r="CA13" s="3274"/>
      <c r="CB13" s="3283">
        <f t="shared" si="37"/>
        <v>0</v>
      </c>
      <c r="CC13" s="3945" t="e">
        <f t="shared" si="52"/>
        <v>#DIV/0!</v>
      </c>
      <c r="CD13" s="1065"/>
      <c r="CE13" s="3274"/>
      <c r="CF13" s="3274"/>
      <c r="CG13" s="3283">
        <f t="shared" si="38"/>
        <v>0</v>
      </c>
      <c r="CH13" s="3945" t="e">
        <f t="shared" si="53"/>
        <v>#DIV/0!</v>
      </c>
      <c r="CI13" s="1065"/>
      <c r="CJ13" s="3274">
        <f t="shared" si="39"/>
        <v>0</v>
      </c>
      <c r="CK13" s="3274">
        <f t="shared" si="39"/>
        <v>0</v>
      </c>
      <c r="CL13" s="3283">
        <f t="shared" si="54"/>
        <v>0</v>
      </c>
      <c r="CM13" s="3945">
        <f t="shared" si="40"/>
        <v>0</v>
      </c>
      <c r="CN13" s="1449"/>
      <c r="CP13" s="3989"/>
      <c r="CQ13" s="2028">
        <f t="shared" si="55"/>
        <v>0</v>
      </c>
      <c r="CR13" s="3991">
        <f t="shared" si="56"/>
        <v>0</v>
      </c>
      <c r="CT13" s="2644"/>
    </row>
    <row r="14" spans="1:99" s="1411" customFormat="1" ht="13.8" outlineLevel="2" x14ac:dyDescent="0.25">
      <c r="A14" s="1586"/>
      <c r="B14" s="1439" t="s">
        <v>70</v>
      </c>
      <c r="C14" s="3274"/>
      <c r="D14" s="3274"/>
      <c r="E14" s="3283">
        <f t="shared" si="19"/>
        <v>0</v>
      </c>
      <c r="F14" s="3945" t="e">
        <f t="shared" si="16"/>
        <v>#DIV/0!</v>
      </c>
      <c r="G14" s="1065"/>
      <c r="H14" s="3274"/>
      <c r="I14" s="3274"/>
      <c r="J14" s="3283">
        <f t="shared" si="20"/>
        <v>0</v>
      </c>
      <c r="K14" s="3945" t="e">
        <f t="shared" si="41"/>
        <v>#DIV/0!</v>
      </c>
      <c r="L14" s="1065"/>
      <c r="M14" s="3274"/>
      <c r="N14" s="3274"/>
      <c r="O14" s="3283">
        <f t="shared" si="21"/>
        <v>0</v>
      </c>
      <c r="P14" s="3945">
        <f t="shared" si="22"/>
        <v>0</v>
      </c>
      <c r="Q14" s="1065"/>
      <c r="R14" s="3275">
        <f t="shared" si="23"/>
        <v>0</v>
      </c>
      <c r="S14" s="3275">
        <f t="shared" si="23"/>
        <v>0</v>
      </c>
      <c r="T14" s="2028">
        <f t="shared" si="24"/>
        <v>0</v>
      </c>
      <c r="U14" s="1065"/>
      <c r="V14" s="1065"/>
      <c r="W14" s="3275">
        <f t="shared" si="25"/>
        <v>0</v>
      </c>
      <c r="X14" s="3275">
        <f t="shared" si="25"/>
        <v>0</v>
      </c>
      <c r="Y14" s="2028">
        <f t="shared" si="26"/>
        <v>0</v>
      </c>
      <c r="Z14" s="1065"/>
      <c r="AA14" s="1065"/>
      <c r="AB14" s="3274"/>
      <c r="AC14" s="3274"/>
      <c r="AD14" s="3283">
        <f t="shared" si="27"/>
        <v>0</v>
      </c>
      <c r="AE14" s="3945">
        <f t="shared" si="42"/>
        <v>0</v>
      </c>
      <c r="AF14" s="1065"/>
      <c r="AG14" s="3274"/>
      <c r="AH14" s="3274"/>
      <c r="AI14" s="3283">
        <f t="shared" si="28"/>
        <v>0</v>
      </c>
      <c r="AJ14" s="3945">
        <f t="shared" si="43"/>
        <v>0</v>
      </c>
      <c r="AK14" s="1065"/>
      <c r="AL14" s="3274"/>
      <c r="AM14" s="3274"/>
      <c r="AN14" s="3283">
        <f t="shared" si="29"/>
        <v>0</v>
      </c>
      <c r="AO14" s="3945" t="e">
        <f t="shared" si="44"/>
        <v>#DIV/0!</v>
      </c>
      <c r="AP14" s="1065"/>
      <c r="AQ14" s="3274"/>
      <c r="AR14" s="3274"/>
      <c r="AS14" s="3283">
        <f t="shared" si="30"/>
        <v>0</v>
      </c>
      <c r="AT14" s="3945" t="e">
        <f t="shared" si="45"/>
        <v>#DIV/0!</v>
      </c>
      <c r="AU14" s="1065"/>
      <c r="AV14" s="3274"/>
      <c r="AW14" s="3274"/>
      <c r="AX14" s="3283">
        <f t="shared" si="31"/>
        <v>0</v>
      </c>
      <c r="AY14" s="3945" t="e">
        <f t="shared" si="46"/>
        <v>#DIV/0!</v>
      </c>
      <c r="AZ14" s="1065"/>
      <c r="BA14" s="3274"/>
      <c r="BB14" s="3274"/>
      <c r="BC14" s="3283">
        <f t="shared" si="32"/>
        <v>0</v>
      </c>
      <c r="BD14" s="3945" t="e">
        <f t="shared" si="47"/>
        <v>#DIV/0!</v>
      </c>
      <c r="BE14" s="1065"/>
      <c r="BF14" s="3274"/>
      <c r="BG14" s="3274"/>
      <c r="BH14" s="3283">
        <f t="shared" si="33"/>
        <v>0</v>
      </c>
      <c r="BI14" s="3945" t="e">
        <f t="shared" si="48"/>
        <v>#DIV/0!</v>
      </c>
      <c r="BJ14" s="1065"/>
      <c r="BK14" s="3274"/>
      <c r="BL14" s="3274"/>
      <c r="BM14" s="3283">
        <f t="shared" si="34"/>
        <v>0</v>
      </c>
      <c r="BN14" s="3945" t="e">
        <f t="shared" si="49"/>
        <v>#DIV/0!</v>
      </c>
      <c r="BO14" s="1065"/>
      <c r="BP14" s="3274"/>
      <c r="BQ14" s="3274"/>
      <c r="BR14" s="3283">
        <f t="shared" si="35"/>
        <v>0</v>
      </c>
      <c r="BS14" s="3945" t="e">
        <f t="shared" si="50"/>
        <v>#DIV/0!</v>
      </c>
      <c r="BT14" s="1065"/>
      <c r="BU14" s="3274"/>
      <c r="BV14" s="3274"/>
      <c r="BW14" s="3283">
        <f t="shared" si="36"/>
        <v>0</v>
      </c>
      <c r="BX14" s="3945" t="e">
        <f t="shared" si="51"/>
        <v>#DIV/0!</v>
      </c>
      <c r="BY14" s="1065"/>
      <c r="BZ14" s="3274"/>
      <c r="CA14" s="3274"/>
      <c r="CB14" s="3283">
        <f t="shared" si="37"/>
        <v>0</v>
      </c>
      <c r="CC14" s="3945" t="e">
        <f t="shared" si="52"/>
        <v>#DIV/0!</v>
      </c>
      <c r="CD14" s="1065"/>
      <c r="CE14" s="3274"/>
      <c r="CF14" s="3274"/>
      <c r="CG14" s="3283">
        <f t="shared" si="38"/>
        <v>0</v>
      </c>
      <c r="CH14" s="3945" t="e">
        <f t="shared" si="53"/>
        <v>#DIV/0!</v>
      </c>
      <c r="CI14" s="1065"/>
      <c r="CJ14" s="3274">
        <f t="shared" si="39"/>
        <v>0</v>
      </c>
      <c r="CK14" s="3274">
        <f t="shared" si="39"/>
        <v>0</v>
      </c>
      <c r="CL14" s="3283">
        <f t="shared" si="54"/>
        <v>0</v>
      </c>
      <c r="CM14" s="3945">
        <f t="shared" si="40"/>
        <v>0</v>
      </c>
      <c r="CN14" s="1449"/>
      <c r="CP14" s="3989"/>
      <c r="CQ14" s="2028">
        <f t="shared" si="55"/>
        <v>0</v>
      </c>
      <c r="CR14" s="3991">
        <f t="shared" si="56"/>
        <v>0</v>
      </c>
      <c r="CT14" s="2644"/>
    </row>
    <row r="15" spans="1:99" s="1411" customFormat="1" ht="13.8" outlineLevel="2" x14ac:dyDescent="0.25">
      <c r="A15" s="1586"/>
      <c r="B15" s="3923" t="s">
        <v>20</v>
      </c>
      <c r="C15" s="3274"/>
      <c r="D15" s="3274"/>
      <c r="E15" s="3283">
        <f t="shared" si="19"/>
        <v>0</v>
      </c>
      <c r="F15" s="3945" t="e">
        <f t="shared" si="16"/>
        <v>#DIV/0!</v>
      </c>
      <c r="G15" s="1065"/>
      <c r="H15" s="3274"/>
      <c r="I15" s="3274"/>
      <c r="J15" s="3283">
        <f t="shared" si="20"/>
        <v>0</v>
      </c>
      <c r="K15" s="3945" t="e">
        <f t="shared" si="41"/>
        <v>#DIV/0!</v>
      </c>
      <c r="L15" s="1065"/>
      <c r="M15" s="3274"/>
      <c r="N15" s="3274"/>
      <c r="O15" s="3283">
        <f t="shared" si="21"/>
        <v>0</v>
      </c>
      <c r="P15" s="3945">
        <f t="shared" si="22"/>
        <v>0</v>
      </c>
      <c r="Q15" s="1065"/>
      <c r="R15" s="3275">
        <f t="shared" si="23"/>
        <v>0</v>
      </c>
      <c r="S15" s="3275">
        <f t="shared" si="23"/>
        <v>0</v>
      </c>
      <c r="T15" s="2028">
        <f t="shared" si="24"/>
        <v>0</v>
      </c>
      <c r="U15" s="1065"/>
      <c r="V15" s="1065"/>
      <c r="W15" s="3275">
        <f t="shared" si="25"/>
        <v>0</v>
      </c>
      <c r="X15" s="3275">
        <f t="shared" si="25"/>
        <v>0</v>
      </c>
      <c r="Y15" s="2028">
        <f t="shared" si="26"/>
        <v>0</v>
      </c>
      <c r="Z15" s="1065"/>
      <c r="AA15" s="1065"/>
      <c r="AB15" s="3274"/>
      <c r="AC15" s="3274"/>
      <c r="AD15" s="3283">
        <f t="shared" si="27"/>
        <v>0</v>
      </c>
      <c r="AE15" s="3945">
        <f t="shared" si="42"/>
        <v>0</v>
      </c>
      <c r="AF15" s="1065"/>
      <c r="AG15" s="3274"/>
      <c r="AH15" s="3274"/>
      <c r="AI15" s="3283">
        <f t="shared" si="28"/>
        <v>0</v>
      </c>
      <c r="AJ15" s="3945">
        <f t="shared" si="43"/>
        <v>0</v>
      </c>
      <c r="AK15" s="1065"/>
      <c r="AL15" s="3274"/>
      <c r="AM15" s="3274"/>
      <c r="AN15" s="3283">
        <f t="shared" si="29"/>
        <v>0</v>
      </c>
      <c r="AO15" s="3945" t="e">
        <f t="shared" si="44"/>
        <v>#DIV/0!</v>
      </c>
      <c r="AP15" s="1065"/>
      <c r="AQ15" s="3274"/>
      <c r="AR15" s="3274"/>
      <c r="AS15" s="3283">
        <f t="shared" si="30"/>
        <v>0</v>
      </c>
      <c r="AT15" s="3945" t="e">
        <f t="shared" si="45"/>
        <v>#DIV/0!</v>
      </c>
      <c r="AU15" s="1065"/>
      <c r="AV15" s="3274"/>
      <c r="AW15" s="3274"/>
      <c r="AX15" s="3283">
        <f t="shared" si="31"/>
        <v>0</v>
      </c>
      <c r="AY15" s="3945" t="e">
        <f t="shared" si="46"/>
        <v>#DIV/0!</v>
      </c>
      <c r="AZ15" s="1065"/>
      <c r="BA15" s="3274"/>
      <c r="BB15" s="3274"/>
      <c r="BC15" s="3283">
        <f t="shared" si="32"/>
        <v>0</v>
      </c>
      <c r="BD15" s="3945" t="e">
        <f t="shared" si="47"/>
        <v>#DIV/0!</v>
      </c>
      <c r="BE15" s="1065"/>
      <c r="BF15" s="3274"/>
      <c r="BG15" s="3274"/>
      <c r="BH15" s="3283">
        <f t="shared" si="33"/>
        <v>0</v>
      </c>
      <c r="BI15" s="3945" t="e">
        <f t="shared" si="48"/>
        <v>#DIV/0!</v>
      </c>
      <c r="BJ15" s="1065"/>
      <c r="BK15" s="3274"/>
      <c r="BL15" s="3274"/>
      <c r="BM15" s="3283">
        <f t="shared" si="34"/>
        <v>0</v>
      </c>
      <c r="BN15" s="3945" t="e">
        <f t="shared" si="49"/>
        <v>#DIV/0!</v>
      </c>
      <c r="BO15" s="1065"/>
      <c r="BP15" s="3274"/>
      <c r="BQ15" s="3274"/>
      <c r="BR15" s="3283">
        <f t="shared" si="35"/>
        <v>0</v>
      </c>
      <c r="BS15" s="3945" t="e">
        <f t="shared" si="50"/>
        <v>#DIV/0!</v>
      </c>
      <c r="BT15" s="1065"/>
      <c r="BU15" s="3274"/>
      <c r="BV15" s="3274"/>
      <c r="BW15" s="3283">
        <f t="shared" si="36"/>
        <v>0</v>
      </c>
      <c r="BX15" s="3945" t="e">
        <f t="shared" si="51"/>
        <v>#DIV/0!</v>
      </c>
      <c r="BY15" s="1065"/>
      <c r="BZ15" s="3274"/>
      <c r="CA15" s="3274"/>
      <c r="CB15" s="3283">
        <f t="shared" si="37"/>
        <v>0</v>
      </c>
      <c r="CC15" s="3945" t="e">
        <f t="shared" si="52"/>
        <v>#DIV/0!</v>
      </c>
      <c r="CD15" s="1065"/>
      <c r="CE15" s="3274"/>
      <c r="CF15" s="3274"/>
      <c r="CG15" s="3283">
        <f t="shared" si="38"/>
        <v>0</v>
      </c>
      <c r="CH15" s="3945" t="e">
        <f t="shared" si="53"/>
        <v>#DIV/0!</v>
      </c>
      <c r="CI15" s="1065"/>
      <c r="CJ15" s="3274">
        <f t="shared" si="39"/>
        <v>0</v>
      </c>
      <c r="CK15" s="3274">
        <f t="shared" si="39"/>
        <v>0</v>
      </c>
      <c r="CL15" s="3283">
        <f t="shared" si="54"/>
        <v>0</v>
      </c>
      <c r="CM15" s="3945">
        <f t="shared" si="40"/>
        <v>0</v>
      </c>
      <c r="CN15" s="1449"/>
      <c r="CP15" s="3989"/>
      <c r="CQ15" s="2028">
        <f t="shared" si="55"/>
        <v>0</v>
      </c>
      <c r="CR15" s="3991">
        <f t="shared" si="56"/>
        <v>0</v>
      </c>
      <c r="CT15" s="2644"/>
    </row>
    <row r="16" spans="1:99" s="1411" customFormat="1" ht="22.2" customHeight="1" outlineLevel="2" x14ac:dyDescent="0.25">
      <c r="A16" s="1586"/>
      <c r="B16" s="3923" t="s">
        <v>21</v>
      </c>
      <c r="C16" s="3274"/>
      <c r="D16" s="3274"/>
      <c r="E16" s="3283">
        <f t="shared" si="19"/>
        <v>0</v>
      </c>
      <c r="F16" s="3945" t="e">
        <f t="shared" si="16"/>
        <v>#DIV/0!</v>
      </c>
      <c r="G16" s="1065"/>
      <c r="H16" s="3274"/>
      <c r="I16" s="3274"/>
      <c r="J16" s="3283">
        <f t="shared" si="20"/>
        <v>0</v>
      </c>
      <c r="K16" s="3945" t="e">
        <f t="shared" si="41"/>
        <v>#DIV/0!</v>
      </c>
      <c r="L16" s="1065"/>
      <c r="M16" s="3274"/>
      <c r="N16" s="3274"/>
      <c r="O16" s="3283">
        <f t="shared" si="21"/>
        <v>0</v>
      </c>
      <c r="P16" s="3945">
        <f t="shared" si="22"/>
        <v>0</v>
      </c>
      <c r="Q16" s="1065"/>
      <c r="R16" s="3275">
        <f t="shared" si="23"/>
        <v>0</v>
      </c>
      <c r="S16" s="3275">
        <f t="shared" si="23"/>
        <v>0</v>
      </c>
      <c r="T16" s="2028">
        <f t="shared" si="24"/>
        <v>0</v>
      </c>
      <c r="U16" s="1065"/>
      <c r="V16" s="1065"/>
      <c r="W16" s="3275">
        <f t="shared" si="25"/>
        <v>0</v>
      </c>
      <c r="X16" s="3275">
        <f t="shared" si="25"/>
        <v>4500</v>
      </c>
      <c r="Y16" s="2028">
        <f t="shared" si="26"/>
        <v>4500</v>
      </c>
      <c r="Z16" s="1065"/>
      <c r="AA16" s="1065"/>
      <c r="AB16" s="3274"/>
      <c r="AC16" s="3274"/>
      <c r="AD16" s="3283">
        <f t="shared" si="27"/>
        <v>0</v>
      </c>
      <c r="AE16" s="3945">
        <f t="shared" si="42"/>
        <v>0</v>
      </c>
      <c r="AF16" s="1065"/>
      <c r="AG16" s="3274"/>
      <c r="AH16" s="3274">
        <v>4500</v>
      </c>
      <c r="AI16" s="3283">
        <f t="shared" si="28"/>
        <v>4500</v>
      </c>
      <c r="AJ16" s="3945">
        <f t="shared" si="43"/>
        <v>3.8082500241108423E-2</v>
      </c>
      <c r="AK16" s="2063" t="s">
        <v>2179</v>
      </c>
      <c r="AL16" s="3274"/>
      <c r="AM16" s="3274"/>
      <c r="AN16" s="3283">
        <f t="shared" si="29"/>
        <v>0</v>
      </c>
      <c r="AO16" s="3945" t="e">
        <f t="shared" si="44"/>
        <v>#DIV/0!</v>
      </c>
      <c r="AP16" s="1065"/>
      <c r="AQ16" s="3274"/>
      <c r="AR16" s="3274"/>
      <c r="AS16" s="3283">
        <f t="shared" si="30"/>
        <v>0</v>
      </c>
      <c r="AT16" s="3945" t="e">
        <f t="shared" si="45"/>
        <v>#DIV/0!</v>
      </c>
      <c r="AU16" s="1065"/>
      <c r="AV16" s="3274"/>
      <c r="AW16" s="3274"/>
      <c r="AX16" s="3283">
        <f t="shared" si="31"/>
        <v>0</v>
      </c>
      <c r="AY16" s="3945" t="e">
        <f t="shared" si="46"/>
        <v>#DIV/0!</v>
      </c>
      <c r="AZ16" s="1065"/>
      <c r="BA16" s="3274"/>
      <c r="BB16" s="3274"/>
      <c r="BC16" s="3283">
        <f t="shared" si="32"/>
        <v>0</v>
      </c>
      <c r="BD16" s="3945" t="e">
        <f t="shared" si="47"/>
        <v>#DIV/0!</v>
      </c>
      <c r="BE16" s="1065"/>
      <c r="BF16" s="3274"/>
      <c r="BG16" s="3274"/>
      <c r="BH16" s="3283">
        <f t="shared" si="33"/>
        <v>0</v>
      </c>
      <c r="BI16" s="3945" t="e">
        <f t="shared" si="48"/>
        <v>#DIV/0!</v>
      </c>
      <c r="BJ16" s="1065"/>
      <c r="BK16" s="3274"/>
      <c r="BL16" s="3274"/>
      <c r="BM16" s="3283">
        <f t="shared" si="34"/>
        <v>0</v>
      </c>
      <c r="BN16" s="3945" t="e">
        <f t="shared" si="49"/>
        <v>#DIV/0!</v>
      </c>
      <c r="BO16" s="1065"/>
      <c r="BP16" s="3274"/>
      <c r="BQ16" s="3274"/>
      <c r="BR16" s="3283">
        <f t="shared" si="35"/>
        <v>0</v>
      </c>
      <c r="BS16" s="3945" t="e">
        <f t="shared" si="50"/>
        <v>#DIV/0!</v>
      </c>
      <c r="BT16" s="1065"/>
      <c r="BU16" s="3274"/>
      <c r="BV16" s="3274"/>
      <c r="BW16" s="3283">
        <f t="shared" si="36"/>
        <v>0</v>
      </c>
      <c r="BX16" s="3945" t="e">
        <f t="shared" si="51"/>
        <v>#DIV/0!</v>
      </c>
      <c r="BY16" s="1065"/>
      <c r="BZ16" s="3274"/>
      <c r="CA16" s="3274"/>
      <c r="CB16" s="3283">
        <f t="shared" si="37"/>
        <v>0</v>
      </c>
      <c r="CC16" s="3945" t="e">
        <f t="shared" si="52"/>
        <v>#DIV/0!</v>
      </c>
      <c r="CD16" s="1065"/>
      <c r="CE16" s="3274"/>
      <c r="CF16" s="3274"/>
      <c r="CG16" s="3283">
        <f t="shared" si="38"/>
        <v>0</v>
      </c>
      <c r="CH16" s="3945" t="e">
        <f t="shared" si="53"/>
        <v>#DIV/0!</v>
      </c>
      <c r="CI16" s="1065"/>
      <c r="CJ16" s="3274">
        <f t="shared" si="39"/>
        <v>0</v>
      </c>
      <c r="CK16" s="3274">
        <f t="shared" si="39"/>
        <v>4500</v>
      </c>
      <c r="CL16" s="3283">
        <f>CJ16+CK16*1</f>
        <v>4500</v>
      </c>
      <c r="CM16" s="3945">
        <f t="shared" si="40"/>
        <v>9.8716110857014622E-3</v>
      </c>
      <c r="CN16" s="1449"/>
      <c r="CP16" s="3989"/>
      <c r="CQ16" s="2028">
        <f t="shared" si="55"/>
        <v>4500</v>
      </c>
      <c r="CR16" s="3991">
        <f t="shared" si="56"/>
        <v>-4500</v>
      </c>
      <c r="CT16" s="2644"/>
    </row>
    <row r="17" spans="1:100" s="1411" customFormat="1" ht="13.8" outlineLevel="2" x14ac:dyDescent="0.25">
      <c r="A17" s="1586"/>
      <c r="B17" s="3923" t="s">
        <v>22</v>
      </c>
      <c r="C17" s="3274"/>
      <c r="D17" s="3274"/>
      <c r="E17" s="3283">
        <f t="shared" si="19"/>
        <v>0</v>
      </c>
      <c r="F17" s="3945" t="e">
        <f t="shared" si="16"/>
        <v>#DIV/0!</v>
      </c>
      <c r="G17" s="2063"/>
      <c r="H17" s="3274"/>
      <c r="I17" s="3274"/>
      <c r="J17" s="3283">
        <f t="shared" si="20"/>
        <v>0</v>
      </c>
      <c r="K17" s="3945" t="e">
        <f t="shared" si="41"/>
        <v>#DIV/0!</v>
      </c>
      <c r="L17" s="2063"/>
      <c r="M17" s="3274"/>
      <c r="N17" s="3274"/>
      <c r="O17" s="3283">
        <f t="shared" si="21"/>
        <v>0</v>
      </c>
      <c r="P17" s="3945">
        <f t="shared" si="22"/>
        <v>0</v>
      </c>
      <c r="Q17" s="2063"/>
      <c r="R17" s="3275">
        <f t="shared" si="23"/>
        <v>0</v>
      </c>
      <c r="S17" s="3275">
        <f t="shared" si="23"/>
        <v>0</v>
      </c>
      <c r="T17" s="2028">
        <f t="shared" si="24"/>
        <v>0</v>
      </c>
      <c r="U17" s="2063"/>
      <c r="V17" s="2063"/>
      <c r="W17" s="3275">
        <f t="shared" si="25"/>
        <v>0</v>
      </c>
      <c r="X17" s="3275">
        <f t="shared" si="25"/>
        <v>0</v>
      </c>
      <c r="Y17" s="2028">
        <f t="shared" si="26"/>
        <v>0</v>
      </c>
      <c r="Z17" s="2063"/>
      <c r="AA17" s="2063"/>
      <c r="AB17" s="3274"/>
      <c r="AC17" s="3274"/>
      <c r="AD17" s="3283">
        <f t="shared" si="27"/>
        <v>0</v>
      </c>
      <c r="AE17" s="3945">
        <f t="shared" si="42"/>
        <v>0</v>
      </c>
      <c r="AF17" s="2063"/>
      <c r="AG17" s="3274"/>
      <c r="AH17" s="3274"/>
      <c r="AI17" s="3283">
        <f t="shared" si="28"/>
        <v>0</v>
      </c>
      <c r="AJ17" s="3945">
        <f t="shared" si="43"/>
        <v>0</v>
      </c>
      <c r="AK17" s="2063"/>
      <c r="AL17" s="3274"/>
      <c r="AM17" s="3274"/>
      <c r="AN17" s="3283">
        <f t="shared" si="29"/>
        <v>0</v>
      </c>
      <c r="AO17" s="3945" t="e">
        <f t="shared" si="44"/>
        <v>#DIV/0!</v>
      </c>
      <c r="AP17" s="2063"/>
      <c r="AQ17" s="3274"/>
      <c r="AR17" s="3274"/>
      <c r="AS17" s="3283">
        <f t="shared" si="30"/>
        <v>0</v>
      </c>
      <c r="AT17" s="3945" t="e">
        <f t="shared" si="45"/>
        <v>#DIV/0!</v>
      </c>
      <c r="AU17" s="2063"/>
      <c r="AV17" s="3274"/>
      <c r="AW17" s="3274"/>
      <c r="AX17" s="3283">
        <f t="shared" si="31"/>
        <v>0</v>
      </c>
      <c r="AY17" s="3945" t="e">
        <f t="shared" si="46"/>
        <v>#DIV/0!</v>
      </c>
      <c r="AZ17" s="2063"/>
      <c r="BA17" s="3274"/>
      <c r="BB17" s="3274"/>
      <c r="BC17" s="3283">
        <f t="shared" si="32"/>
        <v>0</v>
      </c>
      <c r="BD17" s="3945" t="e">
        <f t="shared" si="47"/>
        <v>#DIV/0!</v>
      </c>
      <c r="BE17" s="2063"/>
      <c r="BF17" s="3274"/>
      <c r="BG17" s="3274"/>
      <c r="BH17" s="3283">
        <f t="shared" si="33"/>
        <v>0</v>
      </c>
      <c r="BI17" s="3945" t="e">
        <f t="shared" si="48"/>
        <v>#DIV/0!</v>
      </c>
      <c r="BJ17" s="2063"/>
      <c r="BK17" s="3274"/>
      <c r="BL17" s="3274"/>
      <c r="BM17" s="3283">
        <f t="shared" si="34"/>
        <v>0</v>
      </c>
      <c r="BN17" s="3945" t="e">
        <f t="shared" si="49"/>
        <v>#DIV/0!</v>
      </c>
      <c r="BO17" s="2063"/>
      <c r="BP17" s="3274"/>
      <c r="BQ17" s="3274"/>
      <c r="BR17" s="3283">
        <f t="shared" si="35"/>
        <v>0</v>
      </c>
      <c r="BS17" s="3945" t="e">
        <f t="shared" si="50"/>
        <v>#DIV/0!</v>
      </c>
      <c r="BT17" s="2063"/>
      <c r="BU17" s="3274"/>
      <c r="BV17" s="3274"/>
      <c r="BW17" s="3283">
        <f t="shared" si="36"/>
        <v>0</v>
      </c>
      <c r="BX17" s="3945" t="e">
        <f t="shared" si="51"/>
        <v>#DIV/0!</v>
      </c>
      <c r="BY17" s="2063"/>
      <c r="BZ17" s="3274"/>
      <c r="CA17" s="3274"/>
      <c r="CB17" s="3283">
        <f t="shared" si="37"/>
        <v>0</v>
      </c>
      <c r="CC17" s="3945" t="e">
        <f t="shared" si="52"/>
        <v>#DIV/0!</v>
      </c>
      <c r="CD17" s="2063"/>
      <c r="CE17" s="3274"/>
      <c r="CF17" s="3274"/>
      <c r="CG17" s="3283">
        <f t="shared" si="38"/>
        <v>0</v>
      </c>
      <c r="CH17" s="3945" t="e">
        <f t="shared" si="53"/>
        <v>#DIV/0!</v>
      </c>
      <c r="CI17" s="2063"/>
      <c r="CJ17" s="3274">
        <f t="shared" si="39"/>
        <v>0</v>
      </c>
      <c r="CK17" s="3274">
        <f t="shared" si="39"/>
        <v>0</v>
      </c>
      <c r="CL17" s="3283">
        <f t="shared" si="54"/>
        <v>0</v>
      </c>
      <c r="CM17" s="3945">
        <f t="shared" si="40"/>
        <v>0</v>
      </c>
      <c r="CN17" s="1449"/>
      <c r="CP17" s="3989"/>
      <c r="CQ17" s="2028">
        <f t="shared" si="55"/>
        <v>0</v>
      </c>
      <c r="CR17" s="3991">
        <f t="shared" si="56"/>
        <v>0</v>
      </c>
      <c r="CS17" s="3232"/>
      <c r="CT17" s="3450"/>
    </row>
    <row r="18" spans="1:100" s="1411" customFormat="1" ht="13.8" outlineLevel="2" x14ac:dyDescent="0.25">
      <c r="A18" s="1586"/>
      <c r="B18" s="3923" t="s">
        <v>0</v>
      </c>
      <c r="C18" s="3274"/>
      <c r="D18" s="3274"/>
      <c r="E18" s="3283">
        <f t="shared" si="19"/>
        <v>0</v>
      </c>
      <c r="F18" s="3945" t="e">
        <f t="shared" si="16"/>
        <v>#DIV/0!</v>
      </c>
      <c r="G18" s="1065"/>
      <c r="H18" s="3274"/>
      <c r="I18" s="3274"/>
      <c r="J18" s="3283">
        <f t="shared" si="20"/>
        <v>0</v>
      </c>
      <c r="K18" s="3945" t="e">
        <f t="shared" si="41"/>
        <v>#DIV/0!</v>
      </c>
      <c r="L18" s="1065"/>
      <c r="M18" s="3274"/>
      <c r="N18" s="3274"/>
      <c r="O18" s="3283">
        <f t="shared" si="21"/>
        <v>0</v>
      </c>
      <c r="P18" s="3945">
        <f t="shared" si="22"/>
        <v>0</v>
      </c>
      <c r="Q18" s="1065"/>
      <c r="R18" s="3275">
        <f t="shared" si="23"/>
        <v>0</v>
      </c>
      <c r="S18" s="3275">
        <f t="shared" si="23"/>
        <v>0</v>
      </c>
      <c r="T18" s="2028">
        <f t="shared" si="24"/>
        <v>0</v>
      </c>
      <c r="U18" s="1065"/>
      <c r="V18" s="1065"/>
      <c r="W18" s="3275">
        <f t="shared" si="25"/>
        <v>0</v>
      </c>
      <c r="X18" s="3275">
        <f t="shared" si="25"/>
        <v>11600</v>
      </c>
      <c r="Y18" s="2028">
        <f t="shared" si="26"/>
        <v>11600</v>
      </c>
      <c r="Z18" s="1065"/>
      <c r="AA18" s="1065"/>
      <c r="AB18" s="3274"/>
      <c r="AC18" s="3274">
        <v>11600</v>
      </c>
      <c r="AD18" s="3283">
        <f t="shared" si="27"/>
        <v>11600</v>
      </c>
      <c r="AE18" s="3945">
        <f t="shared" si="42"/>
        <v>3.5449986734711975E-2</v>
      </c>
      <c r="AF18" s="2063" t="s">
        <v>2157</v>
      </c>
      <c r="AG18" s="3274"/>
      <c r="AH18" s="3274"/>
      <c r="AI18" s="3283">
        <f t="shared" si="28"/>
        <v>0</v>
      </c>
      <c r="AJ18" s="3945">
        <f t="shared" si="43"/>
        <v>0</v>
      </c>
      <c r="AK18" s="1065"/>
      <c r="AL18" s="3274"/>
      <c r="AM18" s="3274"/>
      <c r="AN18" s="3283">
        <f t="shared" si="29"/>
        <v>0</v>
      </c>
      <c r="AO18" s="3945" t="e">
        <f t="shared" si="44"/>
        <v>#DIV/0!</v>
      </c>
      <c r="AP18" s="1065"/>
      <c r="AQ18" s="3274"/>
      <c r="AR18" s="3274"/>
      <c r="AS18" s="3283">
        <f t="shared" si="30"/>
        <v>0</v>
      </c>
      <c r="AT18" s="3945" t="e">
        <f t="shared" si="45"/>
        <v>#DIV/0!</v>
      </c>
      <c r="AU18" s="1065"/>
      <c r="AV18" s="3274"/>
      <c r="AW18" s="3274"/>
      <c r="AX18" s="3283">
        <f t="shared" si="31"/>
        <v>0</v>
      </c>
      <c r="AY18" s="3945" t="e">
        <f t="shared" si="46"/>
        <v>#DIV/0!</v>
      </c>
      <c r="AZ18" s="1065"/>
      <c r="BA18" s="3274"/>
      <c r="BB18" s="3274"/>
      <c r="BC18" s="3283">
        <f t="shared" si="32"/>
        <v>0</v>
      </c>
      <c r="BD18" s="3945" t="e">
        <f t="shared" si="47"/>
        <v>#DIV/0!</v>
      </c>
      <c r="BE18" s="1065"/>
      <c r="BF18" s="3274"/>
      <c r="BG18" s="3274"/>
      <c r="BH18" s="3283">
        <f t="shared" si="33"/>
        <v>0</v>
      </c>
      <c r="BI18" s="3945" t="e">
        <f t="shared" si="48"/>
        <v>#DIV/0!</v>
      </c>
      <c r="BJ18" s="1065"/>
      <c r="BK18" s="3274"/>
      <c r="BL18" s="3274"/>
      <c r="BM18" s="3283">
        <f t="shared" si="34"/>
        <v>0</v>
      </c>
      <c r="BN18" s="3945" t="e">
        <f t="shared" si="49"/>
        <v>#DIV/0!</v>
      </c>
      <c r="BO18" s="1065"/>
      <c r="BP18" s="3274"/>
      <c r="BQ18" s="3274"/>
      <c r="BR18" s="3283">
        <f t="shared" si="35"/>
        <v>0</v>
      </c>
      <c r="BS18" s="3945" t="e">
        <f t="shared" si="50"/>
        <v>#DIV/0!</v>
      </c>
      <c r="BT18" s="1065"/>
      <c r="BU18" s="3274"/>
      <c r="BV18" s="3274"/>
      <c r="BW18" s="3283">
        <f t="shared" si="36"/>
        <v>0</v>
      </c>
      <c r="BX18" s="3945" t="e">
        <f t="shared" si="51"/>
        <v>#DIV/0!</v>
      </c>
      <c r="BY18" s="1065"/>
      <c r="BZ18" s="3274"/>
      <c r="CA18" s="3274"/>
      <c r="CB18" s="3283">
        <f t="shared" si="37"/>
        <v>0</v>
      </c>
      <c r="CC18" s="3945" t="e">
        <f t="shared" si="52"/>
        <v>#DIV/0!</v>
      </c>
      <c r="CD18" s="1065"/>
      <c r="CE18" s="3274"/>
      <c r="CF18" s="3274"/>
      <c r="CG18" s="3283">
        <f t="shared" si="38"/>
        <v>0</v>
      </c>
      <c r="CH18" s="3945" t="e">
        <f t="shared" si="53"/>
        <v>#DIV/0!</v>
      </c>
      <c r="CI18" s="1065"/>
      <c r="CJ18" s="3274">
        <f t="shared" si="39"/>
        <v>0</v>
      </c>
      <c r="CK18" s="3274">
        <f t="shared" si="39"/>
        <v>11600</v>
      </c>
      <c r="CL18" s="3283">
        <f t="shared" si="54"/>
        <v>11600</v>
      </c>
      <c r="CM18" s="3945">
        <f t="shared" si="40"/>
        <v>2.5446819687585994E-2</v>
      </c>
      <c r="CN18" s="1449"/>
      <c r="CP18" s="3989">
        <v>13689.46384</v>
      </c>
      <c r="CQ18" s="2028">
        <f t="shared" si="55"/>
        <v>11600</v>
      </c>
      <c r="CR18" s="3991">
        <f t="shared" si="56"/>
        <v>2089.4638400000003</v>
      </c>
      <c r="CT18" s="2644"/>
    </row>
    <row r="19" spans="1:100" s="1411" customFormat="1" ht="13.8" outlineLevel="2" x14ac:dyDescent="0.25">
      <c r="A19" s="1586"/>
      <c r="B19" s="3923" t="s">
        <v>53</v>
      </c>
      <c r="C19" s="3274"/>
      <c r="D19" s="3274"/>
      <c r="E19" s="3283">
        <f t="shared" si="19"/>
        <v>0</v>
      </c>
      <c r="F19" s="3945" t="e">
        <f t="shared" si="16"/>
        <v>#DIV/0!</v>
      </c>
      <c r="G19" s="1065"/>
      <c r="H19" s="3274"/>
      <c r="I19" s="3274"/>
      <c r="J19" s="3283">
        <f t="shared" si="20"/>
        <v>0</v>
      </c>
      <c r="K19" s="3945" t="e">
        <f t="shared" si="41"/>
        <v>#DIV/0!</v>
      </c>
      <c r="L19" s="1065"/>
      <c r="M19" s="3274"/>
      <c r="N19" s="3274"/>
      <c r="O19" s="3283">
        <f t="shared" si="21"/>
        <v>0</v>
      </c>
      <c r="P19" s="3945">
        <f t="shared" si="22"/>
        <v>0</v>
      </c>
      <c r="Q19" s="1065"/>
      <c r="R19" s="3275">
        <f t="shared" si="23"/>
        <v>0</v>
      </c>
      <c r="S19" s="3275">
        <f t="shared" si="23"/>
        <v>0</v>
      </c>
      <c r="T19" s="2028">
        <f t="shared" si="24"/>
        <v>0</v>
      </c>
      <c r="U19" s="1065"/>
      <c r="V19" s="1065"/>
      <c r="W19" s="3275">
        <f t="shared" si="25"/>
        <v>0</v>
      </c>
      <c r="X19" s="3275">
        <f t="shared" si="25"/>
        <v>0</v>
      </c>
      <c r="Y19" s="2028">
        <f t="shared" si="26"/>
        <v>0</v>
      </c>
      <c r="Z19" s="1065"/>
      <c r="AA19" s="1065"/>
      <c r="AB19" s="3274"/>
      <c r="AC19" s="3274"/>
      <c r="AD19" s="3283">
        <f t="shared" si="27"/>
        <v>0</v>
      </c>
      <c r="AE19" s="3945">
        <f t="shared" si="42"/>
        <v>0</v>
      </c>
      <c r="AF19" s="1065"/>
      <c r="AG19" s="3274"/>
      <c r="AH19" s="3274"/>
      <c r="AI19" s="3283">
        <f t="shared" si="28"/>
        <v>0</v>
      </c>
      <c r="AJ19" s="3945">
        <f t="shared" si="43"/>
        <v>0</v>
      </c>
      <c r="AK19" s="1065"/>
      <c r="AL19" s="3274"/>
      <c r="AM19" s="3274"/>
      <c r="AN19" s="3283">
        <f t="shared" si="29"/>
        <v>0</v>
      </c>
      <c r="AO19" s="3945" t="e">
        <f t="shared" si="44"/>
        <v>#DIV/0!</v>
      </c>
      <c r="AP19" s="1065"/>
      <c r="AQ19" s="3274"/>
      <c r="AR19" s="3274"/>
      <c r="AS19" s="3283">
        <f t="shared" si="30"/>
        <v>0</v>
      </c>
      <c r="AT19" s="3945" t="e">
        <f t="shared" si="45"/>
        <v>#DIV/0!</v>
      </c>
      <c r="AU19" s="1065"/>
      <c r="AV19" s="3274"/>
      <c r="AW19" s="3274"/>
      <c r="AX19" s="3283">
        <f t="shared" si="31"/>
        <v>0</v>
      </c>
      <c r="AY19" s="3945" t="e">
        <f t="shared" si="46"/>
        <v>#DIV/0!</v>
      </c>
      <c r="AZ19" s="1065"/>
      <c r="BA19" s="3274"/>
      <c r="BB19" s="3274"/>
      <c r="BC19" s="3283">
        <f t="shared" si="32"/>
        <v>0</v>
      </c>
      <c r="BD19" s="3945" t="e">
        <f t="shared" si="47"/>
        <v>#DIV/0!</v>
      </c>
      <c r="BE19" s="1065"/>
      <c r="BF19" s="3274"/>
      <c r="BG19" s="3274"/>
      <c r="BH19" s="3283">
        <f t="shared" si="33"/>
        <v>0</v>
      </c>
      <c r="BI19" s="3945" t="e">
        <f t="shared" si="48"/>
        <v>#DIV/0!</v>
      </c>
      <c r="BJ19" s="1065"/>
      <c r="BK19" s="3274"/>
      <c r="BL19" s="3274"/>
      <c r="BM19" s="3283">
        <f t="shared" si="34"/>
        <v>0</v>
      </c>
      <c r="BN19" s="3945" t="e">
        <f t="shared" si="49"/>
        <v>#DIV/0!</v>
      </c>
      <c r="BO19" s="1065"/>
      <c r="BP19" s="3274"/>
      <c r="BQ19" s="3274"/>
      <c r="BR19" s="3283">
        <f t="shared" si="35"/>
        <v>0</v>
      </c>
      <c r="BS19" s="3945" t="e">
        <f t="shared" si="50"/>
        <v>#DIV/0!</v>
      </c>
      <c r="BT19" s="1065"/>
      <c r="BU19" s="3274"/>
      <c r="BV19" s="3274"/>
      <c r="BW19" s="3283">
        <f t="shared" si="36"/>
        <v>0</v>
      </c>
      <c r="BX19" s="3945" t="e">
        <f t="shared" si="51"/>
        <v>#DIV/0!</v>
      </c>
      <c r="BY19" s="1065"/>
      <c r="BZ19" s="3274"/>
      <c r="CA19" s="3274"/>
      <c r="CB19" s="3283">
        <f t="shared" si="37"/>
        <v>0</v>
      </c>
      <c r="CC19" s="3945" t="e">
        <f t="shared" si="52"/>
        <v>#DIV/0!</v>
      </c>
      <c r="CD19" s="1065"/>
      <c r="CE19" s="3274"/>
      <c r="CF19" s="3274"/>
      <c r="CG19" s="3283">
        <f t="shared" si="38"/>
        <v>0</v>
      </c>
      <c r="CH19" s="3945" t="e">
        <f t="shared" si="53"/>
        <v>#DIV/0!</v>
      </c>
      <c r="CI19" s="1065"/>
      <c r="CJ19" s="3274">
        <f t="shared" si="39"/>
        <v>0</v>
      </c>
      <c r="CK19" s="3274">
        <f t="shared" si="39"/>
        <v>0</v>
      </c>
      <c r="CL19" s="3283">
        <f t="shared" si="54"/>
        <v>0</v>
      </c>
      <c r="CM19" s="3945">
        <f t="shared" si="40"/>
        <v>0</v>
      </c>
      <c r="CN19" s="1449"/>
      <c r="CP19" s="3989"/>
      <c r="CQ19" s="2028">
        <f t="shared" si="55"/>
        <v>0</v>
      </c>
      <c r="CR19" s="3991">
        <f t="shared" si="56"/>
        <v>0</v>
      </c>
      <c r="CT19" s="2644"/>
    </row>
    <row r="20" spans="1:100" s="1411" customFormat="1" ht="13.8" outlineLevel="2" x14ac:dyDescent="0.25">
      <c r="A20" s="1586"/>
      <c r="B20" s="3923" t="s">
        <v>57</v>
      </c>
      <c r="C20" s="3274"/>
      <c r="D20" s="3274"/>
      <c r="E20" s="3283">
        <f t="shared" si="19"/>
        <v>0</v>
      </c>
      <c r="F20" s="3945" t="e">
        <f t="shared" si="16"/>
        <v>#DIV/0!</v>
      </c>
      <c r="G20" s="1065"/>
      <c r="H20" s="3274"/>
      <c r="I20" s="3274"/>
      <c r="J20" s="3283">
        <f t="shared" si="20"/>
        <v>0</v>
      </c>
      <c r="K20" s="3945" t="e">
        <f t="shared" si="41"/>
        <v>#DIV/0!</v>
      </c>
      <c r="L20" s="1065"/>
      <c r="M20" s="3274"/>
      <c r="N20" s="3274"/>
      <c r="O20" s="3283">
        <f t="shared" si="21"/>
        <v>0</v>
      </c>
      <c r="P20" s="3945">
        <f t="shared" si="22"/>
        <v>0</v>
      </c>
      <c r="Q20" s="1065"/>
      <c r="R20" s="3275">
        <f t="shared" si="23"/>
        <v>0</v>
      </c>
      <c r="S20" s="3275">
        <f t="shared" si="23"/>
        <v>0</v>
      </c>
      <c r="T20" s="2028">
        <f t="shared" si="24"/>
        <v>0</v>
      </c>
      <c r="U20" s="1065"/>
      <c r="V20" s="1065"/>
      <c r="W20" s="3275">
        <f t="shared" si="25"/>
        <v>0</v>
      </c>
      <c r="X20" s="3275">
        <f t="shared" si="25"/>
        <v>0</v>
      </c>
      <c r="Y20" s="2028">
        <f t="shared" si="26"/>
        <v>0</v>
      </c>
      <c r="Z20" s="1065"/>
      <c r="AA20" s="1065"/>
      <c r="AB20" s="3274"/>
      <c r="AC20" s="3274"/>
      <c r="AD20" s="3283">
        <f t="shared" si="27"/>
        <v>0</v>
      </c>
      <c r="AE20" s="3945">
        <f t="shared" si="42"/>
        <v>0</v>
      </c>
      <c r="AF20" s="1065"/>
      <c r="AG20" s="3274"/>
      <c r="AH20" s="3274"/>
      <c r="AI20" s="3283">
        <f t="shared" si="28"/>
        <v>0</v>
      </c>
      <c r="AJ20" s="3945">
        <f t="shared" si="43"/>
        <v>0</v>
      </c>
      <c r="AK20" s="1065"/>
      <c r="AL20" s="3274"/>
      <c r="AM20" s="3274"/>
      <c r="AN20" s="3283">
        <f t="shared" si="29"/>
        <v>0</v>
      </c>
      <c r="AO20" s="3945" t="e">
        <f t="shared" si="44"/>
        <v>#DIV/0!</v>
      </c>
      <c r="AP20" s="1065"/>
      <c r="AQ20" s="3274"/>
      <c r="AR20" s="3274"/>
      <c r="AS20" s="3283">
        <f t="shared" si="30"/>
        <v>0</v>
      </c>
      <c r="AT20" s="3945" t="e">
        <f t="shared" si="45"/>
        <v>#DIV/0!</v>
      </c>
      <c r="AU20" s="1065"/>
      <c r="AV20" s="3274"/>
      <c r="AW20" s="3274"/>
      <c r="AX20" s="3283">
        <f t="shared" si="31"/>
        <v>0</v>
      </c>
      <c r="AY20" s="3945" t="e">
        <f t="shared" si="46"/>
        <v>#DIV/0!</v>
      </c>
      <c r="AZ20" s="1065"/>
      <c r="BA20" s="3274"/>
      <c r="BB20" s="3274"/>
      <c r="BC20" s="3283">
        <f t="shared" si="32"/>
        <v>0</v>
      </c>
      <c r="BD20" s="3945" t="e">
        <f t="shared" si="47"/>
        <v>#DIV/0!</v>
      </c>
      <c r="BE20" s="1065"/>
      <c r="BF20" s="3274"/>
      <c r="BG20" s="3274"/>
      <c r="BH20" s="3283">
        <f t="shared" si="33"/>
        <v>0</v>
      </c>
      <c r="BI20" s="3945" t="e">
        <f t="shared" si="48"/>
        <v>#DIV/0!</v>
      </c>
      <c r="BJ20" s="1065"/>
      <c r="BK20" s="3274"/>
      <c r="BL20" s="3274"/>
      <c r="BM20" s="3283">
        <f t="shared" si="34"/>
        <v>0</v>
      </c>
      <c r="BN20" s="3945" t="e">
        <f t="shared" si="49"/>
        <v>#DIV/0!</v>
      </c>
      <c r="BO20" s="1065"/>
      <c r="BP20" s="3274"/>
      <c r="BQ20" s="3274"/>
      <c r="BR20" s="3283">
        <f t="shared" si="35"/>
        <v>0</v>
      </c>
      <c r="BS20" s="3945" t="e">
        <f t="shared" si="50"/>
        <v>#DIV/0!</v>
      </c>
      <c r="BT20" s="1065"/>
      <c r="BU20" s="3274"/>
      <c r="BV20" s="3274"/>
      <c r="BW20" s="3283">
        <f t="shared" si="36"/>
        <v>0</v>
      </c>
      <c r="BX20" s="3945" t="e">
        <f t="shared" si="51"/>
        <v>#DIV/0!</v>
      </c>
      <c r="BY20" s="1065"/>
      <c r="BZ20" s="3274"/>
      <c r="CA20" s="3274"/>
      <c r="CB20" s="3283">
        <f t="shared" si="37"/>
        <v>0</v>
      </c>
      <c r="CC20" s="3945" t="e">
        <f t="shared" si="52"/>
        <v>#DIV/0!</v>
      </c>
      <c r="CD20" s="1065"/>
      <c r="CE20" s="3274"/>
      <c r="CF20" s="3274"/>
      <c r="CG20" s="3283">
        <f t="shared" si="38"/>
        <v>0</v>
      </c>
      <c r="CH20" s="3945" t="e">
        <f t="shared" si="53"/>
        <v>#DIV/0!</v>
      </c>
      <c r="CI20" s="1065"/>
      <c r="CJ20" s="3274">
        <f t="shared" si="39"/>
        <v>0</v>
      </c>
      <c r="CK20" s="3274">
        <f t="shared" si="39"/>
        <v>0</v>
      </c>
      <c r="CL20" s="3283">
        <f t="shared" si="54"/>
        <v>0</v>
      </c>
      <c r="CM20" s="3945">
        <f t="shared" si="40"/>
        <v>0</v>
      </c>
      <c r="CN20" s="1449"/>
      <c r="CP20" s="3989"/>
      <c r="CQ20" s="2028">
        <f t="shared" si="55"/>
        <v>0</v>
      </c>
      <c r="CR20" s="3991">
        <f t="shared" si="56"/>
        <v>0</v>
      </c>
      <c r="CT20" s="2644"/>
    </row>
    <row r="21" spans="1:100" s="1411" customFormat="1" ht="13.8" outlineLevel="2" x14ac:dyDescent="0.25">
      <c r="A21" s="1586"/>
      <c r="B21" s="3923" t="s">
        <v>58</v>
      </c>
      <c r="C21" s="3274"/>
      <c r="D21" s="3274"/>
      <c r="E21" s="3283">
        <f t="shared" si="19"/>
        <v>0</v>
      </c>
      <c r="F21" s="3945" t="e">
        <f t="shared" si="16"/>
        <v>#DIV/0!</v>
      </c>
      <c r="G21" s="1630"/>
      <c r="H21" s="3274"/>
      <c r="I21" s="3274"/>
      <c r="J21" s="3283">
        <f t="shared" si="20"/>
        <v>0</v>
      </c>
      <c r="K21" s="3945" t="e">
        <f t="shared" si="41"/>
        <v>#DIV/0!</v>
      </c>
      <c r="L21" s="1630"/>
      <c r="M21" s="3274"/>
      <c r="N21" s="3274"/>
      <c r="O21" s="3283">
        <f t="shared" si="21"/>
        <v>0</v>
      </c>
      <c r="P21" s="3945">
        <f t="shared" si="22"/>
        <v>0</v>
      </c>
      <c r="Q21" s="1630"/>
      <c r="R21" s="3275">
        <f t="shared" si="23"/>
        <v>0</v>
      </c>
      <c r="S21" s="3275">
        <f t="shared" si="23"/>
        <v>0</v>
      </c>
      <c r="T21" s="2028">
        <f t="shared" si="24"/>
        <v>0</v>
      </c>
      <c r="U21" s="1630"/>
      <c r="V21" s="1630"/>
      <c r="W21" s="3275">
        <f t="shared" si="25"/>
        <v>0</v>
      </c>
      <c r="X21" s="3275">
        <f t="shared" si="25"/>
        <v>0</v>
      </c>
      <c r="Y21" s="2028">
        <f t="shared" si="26"/>
        <v>0</v>
      </c>
      <c r="Z21" s="1630"/>
      <c r="AA21" s="1630"/>
      <c r="AB21" s="3274"/>
      <c r="AC21" s="3274"/>
      <c r="AD21" s="3283">
        <f t="shared" si="27"/>
        <v>0</v>
      </c>
      <c r="AE21" s="3945">
        <f t="shared" si="42"/>
        <v>0</v>
      </c>
      <c r="AF21" s="1630"/>
      <c r="AG21" s="3274"/>
      <c r="AH21" s="3274"/>
      <c r="AI21" s="3283">
        <f t="shared" si="28"/>
        <v>0</v>
      </c>
      <c r="AJ21" s="3945">
        <f t="shared" si="43"/>
        <v>0</v>
      </c>
      <c r="AK21" s="1630"/>
      <c r="AL21" s="3274"/>
      <c r="AM21" s="3274"/>
      <c r="AN21" s="3283">
        <f t="shared" si="29"/>
        <v>0</v>
      </c>
      <c r="AO21" s="3945" t="e">
        <f t="shared" si="44"/>
        <v>#DIV/0!</v>
      </c>
      <c r="AP21" s="1630"/>
      <c r="AQ21" s="3274"/>
      <c r="AR21" s="3274"/>
      <c r="AS21" s="3283">
        <f t="shared" si="30"/>
        <v>0</v>
      </c>
      <c r="AT21" s="3945" t="e">
        <f t="shared" si="45"/>
        <v>#DIV/0!</v>
      </c>
      <c r="AU21" s="1630"/>
      <c r="AV21" s="3274"/>
      <c r="AW21" s="3274"/>
      <c r="AX21" s="3283">
        <f t="shared" si="31"/>
        <v>0</v>
      </c>
      <c r="AY21" s="3945" t="e">
        <f t="shared" si="46"/>
        <v>#DIV/0!</v>
      </c>
      <c r="AZ21" s="1630"/>
      <c r="BA21" s="3274"/>
      <c r="BB21" s="3274"/>
      <c r="BC21" s="3283">
        <f t="shared" si="32"/>
        <v>0</v>
      </c>
      <c r="BD21" s="3945" t="e">
        <f t="shared" si="47"/>
        <v>#DIV/0!</v>
      </c>
      <c r="BE21" s="1630"/>
      <c r="BF21" s="3274"/>
      <c r="BG21" s="3274"/>
      <c r="BH21" s="3283">
        <f t="shared" si="33"/>
        <v>0</v>
      </c>
      <c r="BI21" s="3945" t="e">
        <f t="shared" si="48"/>
        <v>#DIV/0!</v>
      </c>
      <c r="BJ21" s="1630"/>
      <c r="BK21" s="3274"/>
      <c r="BL21" s="3274"/>
      <c r="BM21" s="3283">
        <f t="shared" si="34"/>
        <v>0</v>
      </c>
      <c r="BN21" s="3945" t="e">
        <f t="shared" si="49"/>
        <v>#DIV/0!</v>
      </c>
      <c r="BO21" s="1630"/>
      <c r="BP21" s="3274"/>
      <c r="BQ21" s="3274"/>
      <c r="BR21" s="3283">
        <f t="shared" si="35"/>
        <v>0</v>
      </c>
      <c r="BS21" s="3945" t="e">
        <f t="shared" si="50"/>
        <v>#DIV/0!</v>
      </c>
      <c r="BT21" s="1630"/>
      <c r="BU21" s="3274"/>
      <c r="BV21" s="3274"/>
      <c r="BW21" s="3283">
        <f t="shared" si="36"/>
        <v>0</v>
      </c>
      <c r="BX21" s="3945" t="e">
        <f t="shared" si="51"/>
        <v>#DIV/0!</v>
      </c>
      <c r="BY21" s="1630"/>
      <c r="BZ21" s="3274"/>
      <c r="CA21" s="3274"/>
      <c r="CB21" s="3283">
        <f t="shared" si="37"/>
        <v>0</v>
      </c>
      <c r="CC21" s="3945" t="e">
        <f t="shared" si="52"/>
        <v>#DIV/0!</v>
      </c>
      <c r="CD21" s="1630"/>
      <c r="CE21" s="3274"/>
      <c r="CF21" s="3274"/>
      <c r="CG21" s="3283">
        <f t="shared" si="38"/>
        <v>0</v>
      </c>
      <c r="CH21" s="3945" t="e">
        <f t="shared" si="53"/>
        <v>#DIV/0!</v>
      </c>
      <c r="CI21" s="1630"/>
      <c r="CJ21" s="3274">
        <f t="shared" si="39"/>
        <v>0</v>
      </c>
      <c r="CK21" s="3274">
        <f t="shared" si="39"/>
        <v>0</v>
      </c>
      <c r="CL21" s="3283">
        <f t="shared" si="54"/>
        <v>0</v>
      </c>
      <c r="CM21" s="3945">
        <f t="shared" si="40"/>
        <v>0</v>
      </c>
      <c r="CN21" s="1449"/>
      <c r="CP21" s="3989"/>
      <c r="CQ21" s="2028">
        <f t="shared" si="55"/>
        <v>0</v>
      </c>
      <c r="CR21" s="3991">
        <f t="shared" si="56"/>
        <v>0</v>
      </c>
      <c r="CT21" s="2644"/>
    </row>
    <row r="22" spans="1:100" s="1411" customFormat="1" ht="13.8" outlineLevel="2" x14ac:dyDescent="0.25">
      <c r="A22" s="1586"/>
      <c r="B22" s="3923" t="s">
        <v>621</v>
      </c>
      <c r="C22" s="3274"/>
      <c r="D22" s="3274"/>
      <c r="E22" s="3283">
        <f t="shared" si="19"/>
        <v>0</v>
      </c>
      <c r="F22" s="3945" t="e">
        <f t="shared" si="16"/>
        <v>#DIV/0!</v>
      </c>
      <c r="G22" s="3275"/>
      <c r="H22" s="3274"/>
      <c r="I22" s="3274"/>
      <c r="J22" s="3283">
        <f t="shared" si="20"/>
        <v>0</v>
      </c>
      <c r="K22" s="3945" t="e">
        <f t="shared" si="41"/>
        <v>#DIV/0!</v>
      </c>
      <c r="L22" s="3275"/>
      <c r="M22" s="3274"/>
      <c r="N22" s="3274"/>
      <c r="O22" s="3283">
        <f t="shared" si="21"/>
        <v>0</v>
      </c>
      <c r="P22" s="3945">
        <f t="shared" si="22"/>
        <v>0</v>
      </c>
      <c r="Q22" s="3275"/>
      <c r="R22" s="3275">
        <f t="shared" si="23"/>
        <v>0</v>
      </c>
      <c r="S22" s="3275">
        <f t="shared" si="23"/>
        <v>0</v>
      </c>
      <c r="T22" s="2028">
        <f t="shared" si="24"/>
        <v>0</v>
      </c>
      <c r="U22" s="3275"/>
      <c r="V22" s="3275"/>
      <c r="W22" s="3275">
        <f t="shared" si="25"/>
        <v>0</v>
      </c>
      <c r="X22" s="3275">
        <f t="shared" si="25"/>
        <v>0</v>
      </c>
      <c r="Y22" s="2028">
        <f t="shared" si="26"/>
        <v>0</v>
      </c>
      <c r="Z22" s="3275"/>
      <c r="AA22" s="3275"/>
      <c r="AB22" s="3274"/>
      <c r="AC22" s="3274"/>
      <c r="AD22" s="3283">
        <f t="shared" si="27"/>
        <v>0</v>
      </c>
      <c r="AE22" s="3945">
        <f t="shared" si="42"/>
        <v>0</v>
      </c>
      <c r="AF22" s="3275"/>
      <c r="AG22" s="3274"/>
      <c r="AH22" s="3274"/>
      <c r="AI22" s="3283">
        <f t="shared" si="28"/>
        <v>0</v>
      </c>
      <c r="AJ22" s="3945">
        <f t="shared" si="43"/>
        <v>0</v>
      </c>
      <c r="AK22" s="3275"/>
      <c r="AL22" s="3274"/>
      <c r="AM22" s="3274"/>
      <c r="AN22" s="3283">
        <f t="shared" si="29"/>
        <v>0</v>
      </c>
      <c r="AO22" s="3945" t="e">
        <f t="shared" si="44"/>
        <v>#DIV/0!</v>
      </c>
      <c r="AP22" s="3275"/>
      <c r="AQ22" s="3274"/>
      <c r="AR22" s="3274"/>
      <c r="AS22" s="3283">
        <f t="shared" si="30"/>
        <v>0</v>
      </c>
      <c r="AT22" s="3945" t="e">
        <f t="shared" si="45"/>
        <v>#DIV/0!</v>
      </c>
      <c r="AU22" s="3275"/>
      <c r="AV22" s="3274"/>
      <c r="AW22" s="3274"/>
      <c r="AX22" s="3283">
        <f t="shared" si="31"/>
        <v>0</v>
      </c>
      <c r="AY22" s="3945" t="e">
        <f t="shared" si="46"/>
        <v>#DIV/0!</v>
      </c>
      <c r="AZ22" s="3275"/>
      <c r="BA22" s="3274"/>
      <c r="BB22" s="3274"/>
      <c r="BC22" s="3283">
        <f t="shared" si="32"/>
        <v>0</v>
      </c>
      <c r="BD22" s="3945" t="e">
        <f t="shared" si="47"/>
        <v>#DIV/0!</v>
      </c>
      <c r="BE22" s="3275"/>
      <c r="BF22" s="3274"/>
      <c r="BG22" s="3274"/>
      <c r="BH22" s="3283">
        <f t="shared" si="33"/>
        <v>0</v>
      </c>
      <c r="BI22" s="3945" t="e">
        <f t="shared" si="48"/>
        <v>#DIV/0!</v>
      </c>
      <c r="BJ22" s="3275"/>
      <c r="BK22" s="3274"/>
      <c r="BL22" s="3274"/>
      <c r="BM22" s="3283">
        <f t="shared" si="34"/>
        <v>0</v>
      </c>
      <c r="BN22" s="3945" t="e">
        <f t="shared" si="49"/>
        <v>#DIV/0!</v>
      </c>
      <c r="BO22" s="3275"/>
      <c r="BP22" s="3274"/>
      <c r="BQ22" s="3274"/>
      <c r="BR22" s="3283">
        <f t="shared" si="35"/>
        <v>0</v>
      </c>
      <c r="BS22" s="3945" t="e">
        <f t="shared" si="50"/>
        <v>#DIV/0!</v>
      </c>
      <c r="BT22" s="3275"/>
      <c r="BU22" s="3274"/>
      <c r="BV22" s="3274"/>
      <c r="BW22" s="3283">
        <f t="shared" si="36"/>
        <v>0</v>
      </c>
      <c r="BX22" s="3945" t="e">
        <f t="shared" si="51"/>
        <v>#DIV/0!</v>
      </c>
      <c r="BY22" s="3275"/>
      <c r="BZ22" s="3274"/>
      <c r="CA22" s="3274"/>
      <c r="CB22" s="3283">
        <f t="shared" si="37"/>
        <v>0</v>
      </c>
      <c r="CC22" s="3945" t="e">
        <f t="shared" si="52"/>
        <v>#DIV/0!</v>
      </c>
      <c r="CD22" s="3275"/>
      <c r="CE22" s="3274"/>
      <c r="CF22" s="3274"/>
      <c r="CG22" s="3283">
        <f t="shared" si="38"/>
        <v>0</v>
      </c>
      <c r="CH22" s="3945" t="e">
        <f t="shared" si="53"/>
        <v>#DIV/0!</v>
      </c>
      <c r="CI22" s="3275"/>
      <c r="CJ22" s="3274">
        <f t="shared" si="39"/>
        <v>0</v>
      </c>
      <c r="CK22" s="3274">
        <f t="shared" si="39"/>
        <v>0</v>
      </c>
      <c r="CL22" s="3283">
        <f t="shared" si="54"/>
        <v>0</v>
      </c>
      <c r="CM22" s="3945">
        <f t="shared" si="40"/>
        <v>0</v>
      </c>
      <c r="CN22" s="1449"/>
      <c r="CP22" s="3989"/>
      <c r="CQ22" s="2028">
        <f t="shared" si="55"/>
        <v>0</v>
      </c>
      <c r="CR22" s="3991">
        <f t="shared" si="56"/>
        <v>0</v>
      </c>
      <c r="CT22" s="3450">
        <f>CQ22</f>
        <v>0</v>
      </c>
    </row>
    <row r="23" spans="1:100" s="1411" customFormat="1" ht="13.8" outlineLevel="2" x14ac:dyDescent="0.25">
      <c r="A23" s="1586"/>
      <c r="B23" s="3923" t="s">
        <v>630</v>
      </c>
      <c r="C23" s="3274"/>
      <c r="D23" s="3274"/>
      <c r="E23" s="3283">
        <f t="shared" si="19"/>
        <v>0</v>
      </c>
      <c r="F23" s="3945" t="e">
        <f t="shared" si="16"/>
        <v>#DIV/0!</v>
      </c>
      <c r="G23" s="1065"/>
      <c r="H23" s="3274"/>
      <c r="I23" s="3274"/>
      <c r="J23" s="3283">
        <f t="shared" si="20"/>
        <v>0</v>
      </c>
      <c r="K23" s="3945" t="e">
        <f t="shared" si="41"/>
        <v>#DIV/0!</v>
      </c>
      <c r="L23" s="1065"/>
      <c r="M23" s="3274"/>
      <c r="N23" s="3274"/>
      <c r="O23" s="3283">
        <f t="shared" si="21"/>
        <v>0</v>
      </c>
      <c r="P23" s="3945">
        <f t="shared" si="22"/>
        <v>0</v>
      </c>
      <c r="Q23" s="1065"/>
      <c r="R23" s="3275">
        <f t="shared" si="23"/>
        <v>0</v>
      </c>
      <c r="S23" s="3275">
        <f t="shared" si="23"/>
        <v>0</v>
      </c>
      <c r="T23" s="2028">
        <f t="shared" si="24"/>
        <v>0</v>
      </c>
      <c r="U23" s="1065"/>
      <c r="V23" s="1065"/>
      <c r="W23" s="3275">
        <f t="shared" si="25"/>
        <v>0</v>
      </c>
      <c r="X23" s="3275">
        <f t="shared" si="25"/>
        <v>0</v>
      </c>
      <c r="Y23" s="2028">
        <f t="shared" si="26"/>
        <v>0</v>
      </c>
      <c r="Z23" s="1065"/>
      <c r="AA23" s="1065"/>
      <c r="AB23" s="3274"/>
      <c r="AC23" s="3274"/>
      <c r="AD23" s="3283">
        <f t="shared" si="27"/>
        <v>0</v>
      </c>
      <c r="AE23" s="3945">
        <f t="shared" si="42"/>
        <v>0</v>
      </c>
      <c r="AF23" s="1065"/>
      <c r="AG23" s="3274"/>
      <c r="AH23" s="3274"/>
      <c r="AI23" s="3283">
        <f t="shared" si="28"/>
        <v>0</v>
      </c>
      <c r="AJ23" s="3945">
        <f t="shared" si="43"/>
        <v>0</v>
      </c>
      <c r="AK23" s="1065"/>
      <c r="AL23" s="3274"/>
      <c r="AM23" s="3274"/>
      <c r="AN23" s="3283">
        <f t="shared" si="29"/>
        <v>0</v>
      </c>
      <c r="AO23" s="3945" t="e">
        <f t="shared" si="44"/>
        <v>#DIV/0!</v>
      </c>
      <c r="AP23" s="1065"/>
      <c r="AQ23" s="3274"/>
      <c r="AR23" s="3274"/>
      <c r="AS23" s="3283">
        <f t="shared" si="30"/>
        <v>0</v>
      </c>
      <c r="AT23" s="3945" t="e">
        <f t="shared" si="45"/>
        <v>#DIV/0!</v>
      </c>
      <c r="AU23" s="1065"/>
      <c r="AV23" s="3274"/>
      <c r="AW23" s="3274"/>
      <c r="AX23" s="3283">
        <f t="shared" si="31"/>
        <v>0</v>
      </c>
      <c r="AY23" s="3945" t="e">
        <f t="shared" si="46"/>
        <v>#DIV/0!</v>
      </c>
      <c r="AZ23" s="1065"/>
      <c r="BA23" s="3274"/>
      <c r="BB23" s="3274"/>
      <c r="BC23" s="3283">
        <f t="shared" si="32"/>
        <v>0</v>
      </c>
      <c r="BD23" s="3945" t="e">
        <f t="shared" si="47"/>
        <v>#DIV/0!</v>
      </c>
      <c r="BE23" s="1065"/>
      <c r="BF23" s="3274"/>
      <c r="BG23" s="3274"/>
      <c r="BH23" s="3283">
        <f t="shared" si="33"/>
        <v>0</v>
      </c>
      <c r="BI23" s="3945" t="e">
        <f t="shared" si="48"/>
        <v>#DIV/0!</v>
      </c>
      <c r="BJ23" s="1065"/>
      <c r="BK23" s="3274"/>
      <c r="BL23" s="3274"/>
      <c r="BM23" s="3283">
        <f t="shared" si="34"/>
        <v>0</v>
      </c>
      <c r="BN23" s="3945" t="e">
        <f t="shared" si="49"/>
        <v>#DIV/0!</v>
      </c>
      <c r="BO23" s="1065"/>
      <c r="BP23" s="3274"/>
      <c r="BQ23" s="3274"/>
      <c r="BR23" s="3283">
        <f t="shared" si="35"/>
        <v>0</v>
      </c>
      <c r="BS23" s="3945" t="e">
        <f t="shared" si="50"/>
        <v>#DIV/0!</v>
      </c>
      <c r="BT23" s="1065"/>
      <c r="BU23" s="3274"/>
      <c r="BV23" s="3274"/>
      <c r="BW23" s="3283">
        <f t="shared" si="36"/>
        <v>0</v>
      </c>
      <c r="BX23" s="3945" t="e">
        <f t="shared" si="51"/>
        <v>#DIV/0!</v>
      </c>
      <c r="BY23" s="1065"/>
      <c r="BZ23" s="3274"/>
      <c r="CA23" s="3274"/>
      <c r="CB23" s="3283">
        <f t="shared" si="37"/>
        <v>0</v>
      </c>
      <c r="CC23" s="3945" t="e">
        <f t="shared" si="52"/>
        <v>#DIV/0!</v>
      </c>
      <c r="CD23" s="1065"/>
      <c r="CE23" s="3274"/>
      <c r="CF23" s="3274"/>
      <c r="CG23" s="3283">
        <f t="shared" si="38"/>
        <v>0</v>
      </c>
      <c r="CH23" s="3945" t="e">
        <f t="shared" si="53"/>
        <v>#DIV/0!</v>
      </c>
      <c r="CI23" s="1065"/>
      <c r="CJ23" s="3274">
        <f t="shared" si="39"/>
        <v>0</v>
      </c>
      <c r="CK23" s="3274">
        <f t="shared" si="39"/>
        <v>0</v>
      </c>
      <c r="CL23" s="3283">
        <f t="shared" si="54"/>
        <v>0</v>
      </c>
      <c r="CM23" s="3945">
        <f t="shared" si="40"/>
        <v>0</v>
      </c>
      <c r="CN23" s="1449"/>
      <c r="CP23" s="3989"/>
      <c r="CQ23" s="2028">
        <f t="shared" si="55"/>
        <v>0</v>
      </c>
      <c r="CR23" s="3991">
        <f t="shared" si="56"/>
        <v>0</v>
      </c>
      <c r="CT23" s="2644"/>
    </row>
    <row r="24" spans="1:100" s="1411" customFormat="1" ht="13.8" outlineLevel="2" x14ac:dyDescent="0.25">
      <c r="A24" s="1586"/>
      <c r="B24" s="3923" t="s">
        <v>23</v>
      </c>
      <c r="C24" s="3274"/>
      <c r="D24" s="3274"/>
      <c r="E24" s="3283">
        <f t="shared" si="19"/>
        <v>0</v>
      </c>
      <c r="F24" s="3945" t="e">
        <f t="shared" si="16"/>
        <v>#DIV/0!</v>
      </c>
      <c r="G24" s="3275"/>
      <c r="H24" s="3274"/>
      <c r="I24" s="3274"/>
      <c r="J24" s="3283">
        <f t="shared" si="20"/>
        <v>0</v>
      </c>
      <c r="K24" s="3945" t="e">
        <f t="shared" si="41"/>
        <v>#DIV/0!</v>
      </c>
      <c r="L24" s="3275"/>
      <c r="M24" s="3274"/>
      <c r="N24" s="3274"/>
      <c r="O24" s="3283">
        <f t="shared" si="21"/>
        <v>0</v>
      </c>
      <c r="P24" s="3945">
        <f t="shared" si="22"/>
        <v>0</v>
      </c>
      <c r="Q24" s="3275"/>
      <c r="R24" s="3275">
        <f t="shared" si="23"/>
        <v>0</v>
      </c>
      <c r="S24" s="3275">
        <f t="shared" si="23"/>
        <v>0</v>
      </c>
      <c r="T24" s="2028">
        <f t="shared" si="24"/>
        <v>0</v>
      </c>
      <c r="U24" s="3275"/>
      <c r="V24" s="3275"/>
      <c r="W24" s="3275">
        <f t="shared" si="25"/>
        <v>64600</v>
      </c>
      <c r="X24" s="3275">
        <f t="shared" si="25"/>
        <v>0</v>
      </c>
      <c r="Y24" s="2028">
        <f t="shared" si="26"/>
        <v>64600</v>
      </c>
      <c r="Z24" s="3275"/>
      <c r="AA24" s="3275"/>
      <c r="AB24" s="3274">
        <v>64600</v>
      </c>
      <c r="AC24" s="3274"/>
      <c r="AD24" s="3283">
        <f t="shared" si="27"/>
        <v>64600</v>
      </c>
      <c r="AE24" s="3945">
        <f t="shared" si="42"/>
        <v>0.1974197537122753</v>
      </c>
      <c r="AF24" s="3275" t="s">
        <v>2155</v>
      </c>
      <c r="AG24" s="3274"/>
      <c r="AH24" s="3274"/>
      <c r="AI24" s="3283">
        <f t="shared" si="28"/>
        <v>0</v>
      </c>
      <c r="AJ24" s="3945">
        <f t="shared" si="43"/>
        <v>0</v>
      </c>
      <c r="AK24" s="3275"/>
      <c r="AL24" s="3274"/>
      <c r="AM24" s="3274"/>
      <c r="AN24" s="3283">
        <f t="shared" si="29"/>
        <v>0</v>
      </c>
      <c r="AO24" s="3945" t="e">
        <f t="shared" si="44"/>
        <v>#DIV/0!</v>
      </c>
      <c r="AP24" s="3275"/>
      <c r="AQ24" s="3274"/>
      <c r="AR24" s="3274"/>
      <c r="AS24" s="3283">
        <f t="shared" si="30"/>
        <v>0</v>
      </c>
      <c r="AT24" s="3945" t="e">
        <f t="shared" si="45"/>
        <v>#DIV/0!</v>
      </c>
      <c r="AU24" s="3275"/>
      <c r="AV24" s="3274"/>
      <c r="AW24" s="3274"/>
      <c r="AX24" s="3283">
        <f t="shared" si="31"/>
        <v>0</v>
      </c>
      <c r="AY24" s="3945" t="e">
        <f t="shared" si="46"/>
        <v>#DIV/0!</v>
      </c>
      <c r="AZ24" s="3275"/>
      <c r="BA24" s="3274"/>
      <c r="BB24" s="3274"/>
      <c r="BC24" s="3283">
        <f t="shared" si="32"/>
        <v>0</v>
      </c>
      <c r="BD24" s="3945" t="e">
        <f t="shared" si="47"/>
        <v>#DIV/0!</v>
      </c>
      <c r="BE24" s="3275"/>
      <c r="BF24" s="3274"/>
      <c r="BG24" s="3274"/>
      <c r="BH24" s="3283">
        <f t="shared" si="33"/>
        <v>0</v>
      </c>
      <c r="BI24" s="3945" t="e">
        <f t="shared" si="48"/>
        <v>#DIV/0!</v>
      </c>
      <c r="BJ24" s="3275"/>
      <c r="BK24" s="3274"/>
      <c r="BL24" s="3274"/>
      <c r="BM24" s="3283">
        <f t="shared" si="34"/>
        <v>0</v>
      </c>
      <c r="BN24" s="3945" t="e">
        <f t="shared" si="49"/>
        <v>#DIV/0!</v>
      </c>
      <c r="BO24" s="3275"/>
      <c r="BP24" s="3274"/>
      <c r="BQ24" s="3274"/>
      <c r="BR24" s="3283">
        <f t="shared" si="35"/>
        <v>0</v>
      </c>
      <c r="BS24" s="3945" t="e">
        <f t="shared" si="50"/>
        <v>#DIV/0!</v>
      </c>
      <c r="BT24" s="3275"/>
      <c r="BU24" s="3274"/>
      <c r="BV24" s="3274"/>
      <c r="BW24" s="3283">
        <f t="shared" si="36"/>
        <v>0</v>
      </c>
      <c r="BX24" s="3945" t="e">
        <f t="shared" si="51"/>
        <v>#DIV/0!</v>
      </c>
      <c r="BY24" s="3275"/>
      <c r="BZ24" s="3274"/>
      <c r="CA24" s="3274"/>
      <c r="CB24" s="3283">
        <f t="shared" si="37"/>
        <v>0</v>
      </c>
      <c r="CC24" s="3945" t="e">
        <f t="shared" si="52"/>
        <v>#DIV/0!</v>
      </c>
      <c r="CD24" s="3275"/>
      <c r="CE24" s="3274"/>
      <c r="CF24" s="3274"/>
      <c r="CG24" s="3283">
        <f t="shared" si="38"/>
        <v>0</v>
      </c>
      <c r="CH24" s="3945" t="e">
        <f t="shared" si="53"/>
        <v>#DIV/0!</v>
      </c>
      <c r="CI24" s="3275"/>
      <c r="CJ24" s="3274">
        <f t="shared" si="39"/>
        <v>64600</v>
      </c>
      <c r="CK24" s="3274">
        <f t="shared" si="39"/>
        <v>0</v>
      </c>
      <c r="CL24" s="3283">
        <f t="shared" si="54"/>
        <v>64600</v>
      </c>
      <c r="CM24" s="3945">
        <f t="shared" si="40"/>
        <v>0.14171246136362545</v>
      </c>
      <c r="CN24" s="1449"/>
      <c r="CP24" s="3989">
        <v>58000</v>
      </c>
      <c r="CQ24" s="2028">
        <f t="shared" si="55"/>
        <v>64600</v>
      </c>
      <c r="CR24" s="3991">
        <f t="shared" si="56"/>
        <v>-6600</v>
      </c>
      <c r="CT24" s="2644"/>
    </row>
    <row r="25" spans="1:100" s="1411" customFormat="1" ht="36" outlineLevel="2" x14ac:dyDescent="0.25">
      <c r="A25" s="1586"/>
      <c r="B25" s="3923" t="s">
        <v>24</v>
      </c>
      <c r="C25" s="3274"/>
      <c r="D25" s="3274"/>
      <c r="E25" s="3283">
        <f t="shared" si="19"/>
        <v>0</v>
      </c>
      <c r="F25" s="3945" t="e">
        <f t="shared" si="16"/>
        <v>#DIV/0!</v>
      </c>
      <c r="G25" s="3275"/>
      <c r="H25" s="3274"/>
      <c r="I25" s="3274"/>
      <c r="J25" s="3283">
        <f t="shared" si="20"/>
        <v>0</v>
      </c>
      <c r="K25" s="3945" t="e">
        <f t="shared" si="41"/>
        <v>#DIV/0!</v>
      </c>
      <c r="L25" s="3275"/>
      <c r="M25" s="3274"/>
      <c r="N25" s="3274"/>
      <c r="O25" s="3283">
        <f t="shared" si="21"/>
        <v>0</v>
      </c>
      <c r="P25" s="3945">
        <f t="shared" si="22"/>
        <v>0</v>
      </c>
      <c r="Q25" s="3275"/>
      <c r="R25" s="3275">
        <f t="shared" si="23"/>
        <v>0</v>
      </c>
      <c r="S25" s="3275">
        <f t="shared" si="23"/>
        <v>0</v>
      </c>
      <c r="T25" s="2028">
        <f t="shared" si="24"/>
        <v>0</v>
      </c>
      <c r="U25" s="3275"/>
      <c r="V25" s="3275"/>
      <c r="W25" s="3275">
        <f t="shared" si="25"/>
        <v>115512.682</v>
      </c>
      <c r="X25" s="3275">
        <f t="shared" si="25"/>
        <v>0</v>
      </c>
      <c r="Y25" s="2028">
        <f t="shared" si="26"/>
        <v>115512.682</v>
      </c>
      <c r="Z25" s="3275"/>
      <c r="AA25" s="3275"/>
      <c r="AB25" s="3274">
        <v>2580.73</v>
      </c>
      <c r="AC25" s="3274"/>
      <c r="AD25" s="3283">
        <f t="shared" si="27"/>
        <v>2580.73</v>
      </c>
      <c r="AE25" s="3945">
        <f t="shared" si="42"/>
        <v>7.88679691947183E-3</v>
      </c>
      <c r="AF25" s="3275" t="s">
        <v>2158</v>
      </c>
      <c r="AG25" s="3274">
        <v>112931.952</v>
      </c>
      <c r="AH25" s="3274"/>
      <c r="AI25" s="3283">
        <f t="shared" si="28"/>
        <v>112931.952</v>
      </c>
      <c r="AJ25" s="3945">
        <f t="shared" si="43"/>
        <v>0.95571801983752125</v>
      </c>
      <c r="AK25" s="2063" t="s">
        <v>2180</v>
      </c>
      <c r="AL25" s="3274"/>
      <c r="AM25" s="3274"/>
      <c r="AN25" s="3283">
        <f t="shared" si="29"/>
        <v>0</v>
      </c>
      <c r="AO25" s="3945" t="e">
        <f t="shared" si="44"/>
        <v>#DIV/0!</v>
      </c>
      <c r="AP25" s="3275"/>
      <c r="AQ25" s="3274"/>
      <c r="AR25" s="3274"/>
      <c r="AS25" s="3283">
        <f t="shared" si="30"/>
        <v>0</v>
      </c>
      <c r="AT25" s="3945" t="e">
        <f t="shared" si="45"/>
        <v>#DIV/0!</v>
      </c>
      <c r="AU25" s="3275"/>
      <c r="AV25" s="3274"/>
      <c r="AW25" s="3274"/>
      <c r="AX25" s="3283">
        <f t="shared" si="31"/>
        <v>0</v>
      </c>
      <c r="AY25" s="3945" t="e">
        <f t="shared" si="46"/>
        <v>#DIV/0!</v>
      </c>
      <c r="AZ25" s="3275"/>
      <c r="BA25" s="3274"/>
      <c r="BB25" s="3274"/>
      <c r="BC25" s="3283">
        <f t="shared" si="32"/>
        <v>0</v>
      </c>
      <c r="BD25" s="3945" t="e">
        <f t="shared" si="47"/>
        <v>#DIV/0!</v>
      </c>
      <c r="BE25" s="3275"/>
      <c r="BF25" s="3274"/>
      <c r="BG25" s="3274"/>
      <c r="BH25" s="3283">
        <f t="shared" si="33"/>
        <v>0</v>
      </c>
      <c r="BI25" s="3945" t="e">
        <f t="shared" si="48"/>
        <v>#DIV/0!</v>
      </c>
      <c r="BJ25" s="3275"/>
      <c r="BK25" s="3274"/>
      <c r="BL25" s="3274"/>
      <c r="BM25" s="3283">
        <f t="shared" si="34"/>
        <v>0</v>
      </c>
      <c r="BN25" s="3945" t="e">
        <f t="shared" si="49"/>
        <v>#DIV/0!</v>
      </c>
      <c r="BO25" s="3275"/>
      <c r="BP25" s="3274"/>
      <c r="BQ25" s="3274"/>
      <c r="BR25" s="3283">
        <f t="shared" si="35"/>
        <v>0</v>
      </c>
      <c r="BS25" s="3945" t="e">
        <f t="shared" si="50"/>
        <v>#DIV/0!</v>
      </c>
      <c r="BT25" s="3275"/>
      <c r="BU25" s="3274"/>
      <c r="BV25" s="3274"/>
      <c r="BW25" s="3283">
        <f t="shared" si="36"/>
        <v>0</v>
      </c>
      <c r="BX25" s="3945" t="e">
        <f t="shared" si="51"/>
        <v>#DIV/0!</v>
      </c>
      <c r="BY25" s="3275"/>
      <c r="BZ25" s="3274"/>
      <c r="CA25" s="3274"/>
      <c r="CB25" s="3283">
        <f t="shared" si="37"/>
        <v>0</v>
      </c>
      <c r="CC25" s="3945" t="e">
        <f t="shared" si="52"/>
        <v>#DIV/0!</v>
      </c>
      <c r="CD25" s="3275"/>
      <c r="CE25" s="3274"/>
      <c r="CF25" s="3274"/>
      <c r="CG25" s="3283">
        <f t="shared" si="38"/>
        <v>0</v>
      </c>
      <c r="CH25" s="3945" t="e">
        <f t="shared" si="53"/>
        <v>#DIV/0!</v>
      </c>
      <c r="CI25" s="3275"/>
      <c r="CJ25" s="3274">
        <f t="shared" si="39"/>
        <v>115512.682</v>
      </c>
      <c r="CK25" s="3274">
        <f t="shared" si="39"/>
        <v>0</v>
      </c>
      <c r="CL25" s="3283">
        <f t="shared" si="54"/>
        <v>115512.682</v>
      </c>
      <c r="CM25" s="3945">
        <f t="shared" si="40"/>
        <v>0.25339917159340175</v>
      </c>
      <c r="CN25" s="1449"/>
      <c r="CP25" s="3989">
        <v>124540</v>
      </c>
      <c r="CQ25" s="2028">
        <f>CL25</f>
        <v>115512.682</v>
      </c>
      <c r="CR25" s="3991">
        <f t="shared" si="56"/>
        <v>9027.3179999999993</v>
      </c>
      <c r="CS25" s="3232"/>
      <c r="CT25" s="2644"/>
    </row>
    <row r="26" spans="1:100" s="1411" customFormat="1" ht="13.8" outlineLevel="2" x14ac:dyDescent="0.25">
      <c r="A26" s="1586"/>
      <c r="B26" s="3923" t="s">
        <v>45</v>
      </c>
      <c r="C26" s="3274"/>
      <c r="D26" s="3274"/>
      <c r="E26" s="3283">
        <f t="shared" si="19"/>
        <v>0</v>
      </c>
      <c r="F26" s="3945" t="e">
        <f t="shared" si="16"/>
        <v>#DIV/0!</v>
      </c>
      <c r="G26" s="3275"/>
      <c r="H26" s="3274"/>
      <c r="I26" s="3274"/>
      <c r="J26" s="3283">
        <f t="shared" si="20"/>
        <v>0</v>
      </c>
      <c r="K26" s="3945" t="e">
        <f t="shared" si="41"/>
        <v>#DIV/0!</v>
      </c>
      <c r="L26" s="3275"/>
      <c r="M26" s="3274"/>
      <c r="N26" s="3274"/>
      <c r="O26" s="3283">
        <f t="shared" si="21"/>
        <v>0</v>
      </c>
      <c r="P26" s="3945">
        <f t="shared" si="22"/>
        <v>0</v>
      </c>
      <c r="Q26" s="3275"/>
      <c r="R26" s="3275">
        <f t="shared" si="23"/>
        <v>0</v>
      </c>
      <c r="S26" s="3275">
        <f t="shared" si="23"/>
        <v>0</v>
      </c>
      <c r="T26" s="2028">
        <f t="shared" si="24"/>
        <v>0</v>
      </c>
      <c r="U26" s="3275"/>
      <c r="V26" s="3275"/>
      <c r="W26" s="3275">
        <f t="shared" si="25"/>
        <v>0</v>
      </c>
      <c r="X26" s="3275">
        <f t="shared" si="25"/>
        <v>0</v>
      </c>
      <c r="Y26" s="2028">
        <f t="shared" si="26"/>
        <v>0</v>
      </c>
      <c r="Z26" s="3275"/>
      <c r="AA26" s="3275"/>
      <c r="AB26" s="3274"/>
      <c r="AC26" s="3274"/>
      <c r="AD26" s="3283">
        <f t="shared" si="27"/>
        <v>0</v>
      </c>
      <c r="AE26" s="3945">
        <f t="shared" si="42"/>
        <v>0</v>
      </c>
      <c r="AF26" s="3275"/>
      <c r="AG26" s="3274"/>
      <c r="AH26" s="3274"/>
      <c r="AI26" s="3283">
        <f t="shared" si="28"/>
        <v>0</v>
      </c>
      <c r="AJ26" s="3945">
        <f t="shared" si="43"/>
        <v>0</v>
      </c>
      <c r="AK26" s="3275"/>
      <c r="AL26" s="3274"/>
      <c r="AM26" s="3274"/>
      <c r="AN26" s="3283">
        <f t="shared" si="29"/>
        <v>0</v>
      </c>
      <c r="AO26" s="3945" t="e">
        <f t="shared" si="44"/>
        <v>#DIV/0!</v>
      </c>
      <c r="AP26" s="3275"/>
      <c r="AQ26" s="3274"/>
      <c r="AR26" s="3274"/>
      <c r="AS26" s="3283">
        <f t="shared" si="30"/>
        <v>0</v>
      </c>
      <c r="AT26" s="3945" t="e">
        <f t="shared" si="45"/>
        <v>#DIV/0!</v>
      </c>
      <c r="AU26" s="3275"/>
      <c r="AV26" s="3274"/>
      <c r="AW26" s="3274"/>
      <c r="AX26" s="3283">
        <f t="shared" si="31"/>
        <v>0</v>
      </c>
      <c r="AY26" s="3945" t="e">
        <f t="shared" si="46"/>
        <v>#DIV/0!</v>
      </c>
      <c r="AZ26" s="3275"/>
      <c r="BA26" s="3274"/>
      <c r="BB26" s="3274"/>
      <c r="BC26" s="3283">
        <f t="shared" si="32"/>
        <v>0</v>
      </c>
      <c r="BD26" s="3945" t="e">
        <f t="shared" si="47"/>
        <v>#DIV/0!</v>
      </c>
      <c r="BE26" s="3275"/>
      <c r="BF26" s="3274"/>
      <c r="BG26" s="3274"/>
      <c r="BH26" s="3283">
        <f t="shared" si="33"/>
        <v>0</v>
      </c>
      <c r="BI26" s="3945" t="e">
        <f t="shared" si="48"/>
        <v>#DIV/0!</v>
      </c>
      <c r="BJ26" s="3275"/>
      <c r="BK26" s="3274"/>
      <c r="BL26" s="3274"/>
      <c r="BM26" s="3283">
        <f t="shared" si="34"/>
        <v>0</v>
      </c>
      <c r="BN26" s="3945" t="e">
        <f t="shared" si="49"/>
        <v>#DIV/0!</v>
      </c>
      <c r="BO26" s="3275"/>
      <c r="BP26" s="3274"/>
      <c r="BQ26" s="3274"/>
      <c r="BR26" s="3283">
        <f t="shared" si="35"/>
        <v>0</v>
      </c>
      <c r="BS26" s="3945" t="e">
        <f t="shared" si="50"/>
        <v>#DIV/0!</v>
      </c>
      <c r="BT26" s="3275"/>
      <c r="BU26" s="3274"/>
      <c r="BV26" s="3274"/>
      <c r="BW26" s="3283">
        <f t="shared" si="36"/>
        <v>0</v>
      </c>
      <c r="BX26" s="3945" t="e">
        <f t="shared" si="51"/>
        <v>#DIV/0!</v>
      </c>
      <c r="BY26" s="3275"/>
      <c r="BZ26" s="3274"/>
      <c r="CA26" s="3274"/>
      <c r="CB26" s="3283">
        <f t="shared" si="37"/>
        <v>0</v>
      </c>
      <c r="CC26" s="3945" t="e">
        <f t="shared" si="52"/>
        <v>#DIV/0!</v>
      </c>
      <c r="CD26" s="3275"/>
      <c r="CE26" s="3274"/>
      <c r="CF26" s="3274"/>
      <c r="CG26" s="3283">
        <f t="shared" si="38"/>
        <v>0</v>
      </c>
      <c r="CH26" s="3945" t="e">
        <f t="shared" si="53"/>
        <v>#DIV/0!</v>
      </c>
      <c r="CI26" s="3275"/>
      <c r="CJ26" s="3274">
        <f t="shared" si="39"/>
        <v>0</v>
      </c>
      <c r="CK26" s="3274">
        <f t="shared" si="39"/>
        <v>0</v>
      </c>
      <c r="CL26" s="3283">
        <f t="shared" si="54"/>
        <v>0</v>
      </c>
      <c r="CM26" s="3945">
        <f t="shared" si="40"/>
        <v>0</v>
      </c>
      <c r="CN26" s="1449"/>
      <c r="CP26" s="3989"/>
      <c r="CQ26" s="2028">
        <f t="shared" si="55"/>
        <v>0</v>
      </c>
      <c r="CR26" s="3991">
        <f t="shared" si="56"/>
        <v>0</v>
      </c>
      <c r="CT26" s="2644"/>
    </row>
    <row r="27" spans="1:100" s="1411" customFormat="1" ht="13.8" outlineLevel="2" x14ac:dyDescent="0.25">
      <c r="A27" s="1586"/>
      <c r="B27" s="3923" t="s">
        <v>25</v>
      </c>
      <c r="C27" s="3274"/>
      <c r="D27" s="3274"/>
      <c r="E27" s="3283">
        <f t="shared" si="19"/>
        <v>0</v>
      </c>
      <c r="F27" s="3945" t="e">
        <f t="shared" si="16"/>
        <v>#DIV/0!</v>
      </c>
      <c r="G27" s="3275"/>
      <c r="H27" s="3274"/>
      <c r="I27" s="3274"/>
      <c r="J27" s="3283">
        <f t="shared" si="20"/>
        <v>0</v>
      </c>
      <c r="K27" s="3945" t="e">
        <f t="shared" si="41"/>
        <v>#DIV/0!</v>
      </c>
      <c r="L27" s="3275"/>
      <c r="M27" s="3274"/>
      <c r="N27" s="3274"/>
      <c r="O27" s="3283">
        <f t="shared" si="21"/>
        <v>0</v>
      </c>
      <c r="P27" s="3945">
        <f t="shared" si="22"/>
        <v>0</v>
      </c>
      <c r="Q27" s="3275"/>
      <c r="R27" s="3275">
        <f t="shared" si="23"/>
        <v>0</v>
      </c>
      <c r="S27" s="3275">
        <f t="shared" si="23"/>
        <v>0</v>
      </c>
      <c r="T27" s="2028">
        <f t="shared" si="24"/>
        <v>0</v>
      </c>
      <c r="U27" s="3275"/>
      <c r="V27" s="3275"/>
      <c r="W27" s="3275">
        <f t="shared" si="25"/>
        <v>0</v>
      </c>
      <c r="X27" s="3275">
        <f t="shared" si="25"/>
        <v>0</v>
      </c>
      <c r="Y27" s="2028">
        <f t="shared" si="26"/>
        <v>0</v>
      </c>
      <c r="Z27" s="3275"/>
      <c r="AA27" s="3275"/>
      <c r="AB27" s="3274"/>
      <c r="AC27" s="3274"/>
      <c r="AD27" s="3283">
        <f t="shared" si="27"/>
        <v>0</v>
      </c>
      <c r="AE27" s="3945">
        <f t="shared" si="42"/>
        <v>0</v>
      </c>
      <c r="AF27" s="3275"/>
      <c r="AG27" s="3274"/>
      <c r="AH27" s="3274"/>
      <c r="AI27" s="3283">
        <f t="shared" si="28"/>
        <v>0</v>
      </c>
      <c r="AJ27" s="3945">
        <f t="shared" si="43"/>
        <v>0</v>
      </c>
      <c r="AK27" s="3275"/>
      <c r="AL27" s="3274"/>
      <c r="AM27" s="3274"/>
      <c r="AN27" s="3283">
        <f t="shared" si="29"/>
        <v>0</v>
      </c>
      <c r="AO27" s="3945" t="e">
        <f t="shared" si="44"/>
        <v>#DIV/0!</v>
      </c>
      <c r="AP27" s="3275"/>
      <c r="AQ27" s="3274"/>
      <c r="AR27" s="3274"/>
      <c r="AS27" s="3283">
        <f t="shared" si="30"/>
        <v>0</v>
      </c>
      <c r="AT27" s="3945" t="e">
        <f t="shared" si="45"/>
        <v>#DIV/0!</v>
      </c>
      <c r="AU27" s="3275"/>
      <c r="AV27" s="3274"/>
      <c r="AW27" s="3274"/>
      <c r="AX27" s="3283">
        <f t="shared" si="31"/>
        <v>0</v>
      </c>
      <c r="AY27" s="3945" t="e">
        <f t="shared" si="46"/>
        <v>#DIV/0!</v>
      </c>
      <c r="AZ27" s="3275"/>
      <c r="BA27" s="3274"/>
      <c r="BB27" s="3274"/>
      <c r="BC27" s="3283">
        <f t="shared" si="32"/>
        <v>0</v>
      </c>
      <c r="BD27" s="3945" t="e">
        <f t="shared" si="47"/>
        <v>#DIV/0!</v>
      </c>
      <c r="BE27" s="3275"/>
      <c r="BF27" s="3274"/>
      <c r="BG27" s="3274"/>
      <c r="BH27" s="3283">
        <f t="shared" si="33"/>
        <v>0</v>
      </c>
      <c r="BI27" s="3945" t="e">
        <f t="shared" si="48"/>
        <v>#DIV/0!</v>
      </c>
      <c r="BJ27" s="3275"/>
      <c r="BK27" s="3274"/>
      <c r="BL27" s="3274"/>
      <c r="BM27" s="3283">
        <f t="shared" si="34"/>
        <v>0</v>
      </c>
      <c r="BN27" s="3945" t="e">
        <f t="shared" si="49"/>
        <v>#DIV/0!</v>
      </c>
      <c r="BO27" s="3275"/>
      <c r="BP27" s="3274"/>
      <c r="BQ27" s="3274"/>
      <c r="BR27" s="3283">
        <f t="shared" si="35"/>
        <v>0</v>
      </c>
      <c r="BS27" s="3945" t="e">
        <f t="shared" si="50"/>
        <v>#DIV/0!</v>
      </c>
      <c r="BT27" s="3275"/>
      <c r="BU27" s="3274"/>
      <c r="BV27" s="3274"/>
      <c r="BW27" s="3283">
        <f t="shared" si="36"/>
        <v>0</v>
      </c>
      <c r="BX27" s="3945" t="e">
        <f t="shared" si="51"/>
        <v>#DIV/0!</v>
      </c>
      <c r="BY27" s="3275"/>
      <c r="BZ27" s="3274"/>
      <c r="CA27" s="3274"/>
      <c r="CB27" s="3283">
        <f t="shared" si="37"/>
        <v>0</v>
      </c>
      <c r="CC27" s="3945" t="e">
        <f t="shared" si="52"/>
        <v>#DIV/0!</v>
      </c>
      <c r="CD27" s="3275"/>
      <c r="CE27" s="3274"/>
      <c r="CF27" s="3274"/>
      <c r="CG27" s="3283">
        <f t="shared" si="38"/>
        <v>0</v>
      </c>
      <c r="CH27" s="3945" t="e">
        <f t="shared" si="53"/>
        <v>#DIV/0!</v>
      </c>
      <c r="CI27" s="3275"/>
      <c r="CJ27" s="3274">
        <f t="shared" si="39"/>
        <v>0</v>
      </c>
      <c r="CK27" s="3274">
        <f t="shared" si="39"/>
        <v>0</v>
      </c>
      <c r="CL27" s="3283">
        <f t="shared" si="54"/>
        <v>0</v>
      </c>
      <c r="CM27" s="3945">
        <f t="shared" si="40"/>
        <v>0</v>
      </c>
      <c r="CN27" s="1449"/>
      <c r="CP27" s="3989"/>
      <c r="CQ27" s="2028">
        <f t="shared" si="55"/>
        <v>0</v>
      </c>
      <c r="CR27" s="3991">
        <f t="shared" si="56"/>
        <v>0</v>
      </c>
      <c r="CT27" s="3450"/>
    </row>
    <row r="28" spans="1:100" s="1411" customFormat="1" ht="13.8" outlineLevel="2" x14ac:dyDescent="0.25">
      <c r="A28" s="1586"/>
      <c r="B28" s="3923" t="s">
        <v>52</v>
      </c>
      <c r="C28" s="3274"/>
      <c r="D28" s="3274"/>
      <c r="E28" s="3283">
        <f t="shared" si="19"/>
        <v>0</v>
      </c>
      <c r="F28" s="3945" t="e">
        <f t="shared" si="16"/>
        <v>#DIV/0!</v>
      </c>
      <c r="G28" s="3275"/>
      <c r="H28" s="3274"/>
      <c r="I28" s="3274"/>
      <c r="J28" s="3283">
        <f t="shared" si="20"/>
        <v>0</v>
      </c>
      <c r="K28" s="3945" t="e">
        <f t="shared" si="41"/>
        <v>#DIV/0!</v>
      </c>
      <c r="L28" s="3275"/>
      <c r="M28" s="3274"/>
      <c r="N28" s="3274"/>
      <c r="O28" s="3283">
        <f t="shared" si="21"/>
        <v>0</v>
      </c>
      <c r="P28" s="3945">
        <f t="shared" si="22"/>
        <v>0</v>
      </c>
      <c r="Q28" s="3358"/>
      <c r="R28" s="3275">
        <f t="shared" si="23"/>
        <v>0</v>
      </c>
      <c r="S28" s="3275">
        <f t="shared" si="23"/>
        <v>0</v>
      </c>
      <c r="T28" s="2028">
        <f t="shared" si="24"/>
        <v>0</v>
      </c>
      <c r="U28" s="3358"/>
      <c r="V28" s="3358"/>
      <c r="W28" s="3275">
        <f t="shared" si="25"/>
        <v>0</v>
      </c>
      <c r="X28" s="3275">
        <f t="shared" si="25"/>
        <v>0</v>
      </c>
      <c r="Y28" s="2028">
        <f t="shared" si="26"/>
        <v>0</v>
      </c>
      <c r="Z28" s="3358"/>
      <c r="AA28" s="3358"/>
      <c r="AB28" s="3274"/>
      <c r="AC28" s="3274"/>
      <c r="AD28" s="3283">
        <f t="shared" si="27"/>
        <v>0</v>
      </c>
      <c r="AE28" s="3945">
        <f t="shared" si="42"/>
        <v>0</v>
      </c>
      <c r="AF28" s="3358"/>
      <c r="AG28" s="3274"/>
      <c r="AH28" s="3274"/>
      <c r="AI28" s="3283">
        <f t="shared" si="28"/>
        <v>0</v>
      </c>
      <c r="AJ28" s="3945">
        <f t="shared" si="43"/>
        <v>0</v>
      </c>
      <c r="AK28" s="3358"/>
      <c r="AL28" s="3274"/>
      <c r="AM28" s="3274"/>
      <c r="AN28" s="3283">
        <f t="shared" si="29"/>
        <v>0</v>
      </c>
      <c r="AO28" s="3945" t="e">
        <f t="shared" si="44"/>
        <v>#DIV/0!</v>
      </c>
      <c r="AP28" s="3358"/>
      <c r="AQ28" s="3274"/>
      <c r="AR28" s="3274"/>
      <c r="AS28" s="3283">
        <f t="shared" si="30"/>
        <v>0</v>
      </c>
      <c r="AT28" s="3945" t="e">
        <f t="shared" si="45"/>
        <v>#DIV/0!</v>
      </c>
      <c r="AU28" s="3358"/>
      <c r="AV28" s="3274"/>
      <c r="AW28" s="3274"/>
      <c r="AX28" s="3283">
        <f t="shared" si="31"/>
        <v>0</v>
      </c>
      <c r="AY28" s="3945" t="e">
        <f t="shared" si="46"/>
        <v>#DIV/0!</v>
      </c>
      <c r="AZ28" s="3358"/>
      <c r="BA28" s="3274"/>
      <c r="BB28" s="3274"/>
      <c r="BC28" s="3283">
        <f t="shared" si="32"/>
        <v>0</v>
      </c>
      <c r="BD28" s="3945" t="e">
        <f t="shared" si="47"/>
        <v>#DIV/0!</v>
      </c>
      <c r="BE28" s="3358"/>
      <c r="BF28" s="3274"/>
      <c r="BG28" s="3274"/>
      <c r="BH28" s="3283">
        <f t="shared" si="33"/>
        <v>0</v>
      </c>
      <c r="BI28" s="3945" t="e">
        <f t="shared" si="48"/>
        <v>#DIV/0!</v>
      </c>
      <c r="BJ28" s="3358"/>
      <c r="BK28" s="3274"/>
      <c r="BL28" s="3274"/>
      <c r="BM28" s="3283">
        <f t="shared" si="34"/>
        <v>0</v>
      </c>
      <c r="BN28" s="3945" t="e">
        <f t="shared" si="49"/>
        <v>#DIV/0!</v>
      </c>
      <c r="BO28" s="3358"/>
      <c r="BP28" s="3274"/>
      <c r="BQ28" s="3274"/>
      <c r="BR28" s="3283">
        <f t="shared" si="35"/>
        <v>0</v>
      </c>
      <c r="BS28" s="3945" t="e">
        <f t="shared" si="50"/>
        <v>#DIV/0!</v>
      </c>
      <c r="BT28" s="3358"/>
      <c r="BU28" s="3274"/>
      <c r="BV28" s="3274"/>
      <c r="BW28" s="3283">
        <f t="shared" si="36"/>
        <v>0</v>
      </c>
      <c r="BX28" s="3945" t="e">
        <f t="shared" si="51"/>
        <v>#DIV/0!</v>
      </c>
      <c r="BY28" s="3358"/>
      <c r="BZ28" s="3274"/>
      <c r="CA28" s="3274"/>
      <c r="CB28" s="3283">
        <f t="shared" si="37"/>
        <v>0</v>
      </c>
      <c r="CC28" s="3945" t="e">
        <f t="shared" si="52"/>
        <v>#DIV/0!</v>
      </c>
      <c r="CD28" s="3358"/>
      <c r="CE28" s="3274"/>
      <c r="CF28" s="3274"/>
      <c r="CG28" s="3283">
        <f t="shared" si="38"/>
        <v>0</v>
      </c>
      <c r="CH28" s="3945" t="e">
        <f t="shared" si="53"/>
        <v>#DIV/0!</v>
      </c>
      <c r="CI28" s="3358"/>
      <c r="CJ28" s="3274">
        <f t="shared" si="39"/>
        <v>0</v>
      </c>
      <c r="CK28" s="3274">
        <f t="shared" si="39"/>
        <v>0</v>
      </c>
      <c r="CL28" s="3283">
        <f t="shared" si="54"/>
        <v>0</v>
      </c>
      <c r="CM28" s="3945">
        <f t="shared" si="40"/>
        <v>0</v>
      </c>
      <c r="CN28" s="1449"/>
      <c r="CP28" s="3989"/>
      <c r="CQ28" s="2028">
        <f t="shared" si="55"/>
        <v>0</v>
      </c>
      <c r="CR28" s="3991">
        <f t="shared" si="56"/>
        <v>0</v>
      </c>
      <c r="CT28" s="3450"/>
    </row>
    <row r="29" spans="1:100" s="1411" customFormat="1" ht="13.8" outlineLevel="2" x14ac:dyDescent="0.25">
      <c r="A29" s="1586"/>
      <c r="B29" s="3923" t="s">
        <v>31</v>
      </c>
      <c r="C29" s="3274"/>
      <c r="D29" s="3274"/>
      <c r="E29" s="3283">
        <f t="shared" si="19"/>
        <v>0</v>
      </c>
      <c r="F29" s="3945" t="e">
        <f t="shared" si="16"/>
        <v>#DIV/0!</v>
      </c>
      <c r="G29" s="3275"/>
      <c r="H29" s="3274"/>
      <c r="I29" s="3274"/>
      <c r="J29" s="3283">
        <f t="shared" si="20"/>
        <v>0</v>
      </c>
      <c r="K29" s="3945" t="e">
        <f t="shared" si="41"/>
        <v>#DIV/0!</v>
      </c>
      <c r="L29" s="3275"/>
      <c r="M29" s="3274"/>
      <c r="N29" s="3274"/>
      <c r="O29" s="3283">
        <f t="shared" si="21"/>
        <v>0</v>
      </c>
      <c r="P29" s="3945">
        <f t="shared" si="22"/>
        <v>0</v>
      </c>
      <c r="Q29" s="3275"/>
      <c r="R29" s="3275">
        <f t="shared" si="23"/>
        <v>0</v>
      </c>
      <c r="S29" s="3275">
        <f t="shared" si="23"/>
        <v>0</v>
      </c>
      <c r="T29" s="2028">
        <f t="shared" si="24"/>
        <v>0</v>
      </c>
      <c r="U29" s="3275"/>
      <c r="V29" s="3275"/>
      <c r="W29" s="3275">
        <f t="shared" si="25"/>
        <v>0</v>
      </c>
      <c r="X29" s="3275">
        <f t="shared" si="25"/>
        <v>0</v>
      </c>
      <c r="Y29" s="2028">
        <f t="shared" si="26"/>
        <v>0</v>
      </c>
      <c r="Z29" s="3275"/>
      <c r="AA29" s="3275"/>
      <c r="AB29" s="3274"/>
      <c r="AC29" s="3274"/>
      <c r="AD29" s="3283">
        <f t="shared" si="27"/>
        <v>0</v>
      </c>
      <c r="AE29" s="3945">
        <f t="shared" si="42"/>
        <v>0</v>
      </c>
      <c r="AF29" s="3275"/>
      <c r="AG29" s="3274"/>
      <c r="AH29" s="3274"/>
      <c r="AI29" s="3283">
        <f t="shared" si="28"/>
        <v>0</v>
      </c>
      <c r="AJ29" s="3945">
        <f t="shared" si="43"/>
        <v>0</v>
      </c>
      <c r="AK29" s="3275"/>
      <c r="AL29" s="3274"/>
      <c r="AM29" s="3274"/>
      <c r="AN29" s="3283">
        <f t="shared" si="29"/>
        <v>0</v>
      </c>
      <c r="AO29" s="3945" t="e">
        <f t="shared" si="44"/>
        <v>#DIV/0!</v>
      </c>
      <c r="AP29" s="3275"/>
      <c r="AQ29" s="3274"/>
      <c r="AR29" s="3274"/>
      <c r="AS29" s="3283">
        <f t="shared" si="30"/>
        <v>0</v>
      </c>
      <c r="AT29" s="3945" t="e">
        <f t="shared" si="45"/>
        <v>#DIV/0!</v>
      </c>
      <c r="AU29" s="3275"/>
      <c r="AV29" s="3274"/>
      <c r="AW29" s="3274"/>
      <c r="AX29" s="3283">
        <f t="shared" si="31"/>
        <v>0</v>
      </c>
      <c r="AY29" s="3945" t="e">
        <f t="shared" si="46"/>
        <v>#DIV/0!</v>
      </c>
      <c r="AZ29" s="3275"/>
      <c r="BA29" s="3274"/>
      <c r="BB29" s="3274"/>
      <c r="BC29" s="3283">
        <f t="shared" si="32"/>
        <v>0</v>
      </c>
      <c r="BD29" s="3945" t="e">
        <f t="shared" si="47"/>
        <v>#DIV/0!</v>
      </c>
      <c r="BE29" s="3275"/>
      <c r="BF29" s="3274"/>
      <c r="BG29" s="3274"/>
      <c r="BH29" s="3283">
        <f t="shared" si="33"/>
        <v>0</v>
      </c>
      <c r="BI29" s="3945" t="e">
        <f t="shared" si="48"/>
        <v>#DIV/0!</v>
      </c>
      <c r="BJ29" s="3275"/>
      <c r="BK29" s="3274"/>
      <c r="BL29" s="3274"/>
      <c r="BM29" s="3283">
        <f t="shared" si="34"/>
        <v>0</v>
      </c>
      <c r="BN29" s="3945" t="e">
        <f t="shared" si="49"/>
        <v>#DIV/0!</v>
      </c>
      <c r="BO29" s="3275"/>
      <c r="BP29" s="3274"/>
      <c r="BQ29" s="3274"/>
      <c r="BR29" s="3283">
        <f t="shared" si="35"/>
        <v>0</v>
      </c>
      <c r="BS29" s="3945" t="e">
        <f t="shared" si="50"/>
        <v>#DIV/0!</v>
      </c>
      <c r="BT29" s="3275"/>
      <c r="BU29" s="3274"/>
      <c r="BV29" s="3274"/>
      <c r="BW29" s="3283">
        <f t="shared" si="36"/>
        <v>0</v>
      </c>
      <c r="BX29" s="3945" t="e">
        <f t="shared" si="51"/>
        <v>#DIV/0!</v>
      </c>
      <c r="BY29" s="3275"/>
      <c r="BZ29" s="3274"/>
      <c r="CA29" s="3274"/>
      <c r="CB29" s="3283">
        <f t="shared" si="37"/>
        <v>0</v>
      </c>
      <c r="CC29" s="3945" t="e">
        <f t="shared" si="52"/>
        <v>#DIV/0!</v>
      </c>
      <c r="CD29" s="3275"/>
      <c r="CE29" s="3274"/>
      <c r="CF29" s="3274"/>
      <c r="CG29" s="3283">
        <f t="shared" si="38"/>
        <v>0</v>
      </c>
      <c r="CH29" s="3945" t="e">
        <f t="shared" si="53"/>
        <v>#DIV/0!</v>
      </c>
      <c r="CI29" s="3275"/>
      <c r="CJ29" s="3274">
        <f t="shared" si="39"/>
        <v>0</v>
      </c>
      <c r="CK29" s="3274">
        <f t="shared" si="39"/>
        <v>0</v>
      </c>
      <c r="CL29" s="3283">
        <f t="shared" si="54"/>
        <v>0</v>
      </c>
      <c r="CM29" s="3945">
        <f t="shared" si="40"/>
        <v>0</v>
      </c>
      <c r="CN29" s="3946"/>
      <c r="CP29" s="3989"/>
      <c r="CQ29" s="2028">
        <f t="shared" si="55"/>
        <v>0</v>
      </c>
      <c r="CR29" s="3991">
        <f t="shared" si="56"/>
        <v>0</v>
      </c>
      <c r="CT29" s="2644"/>
    </row>
    <row r="30" spans="1:100" s="1411" customFormat="1" ht="13.8" outlineLevel="2" x14ac:dyDescent="0.25">
      <c r="A30" s="1586"/>
      <c r="B30" s="3923" t="s">
        <v>62</v>
      </c>
      <c r="C30" s="3274"/>
      <c r="D30" s="3274"/>
      <c r="E30" s="3283">
        <f t="shared" si="19"/>
        <v>0</v>
      </c>
      <c r="F30" s="3945" t="e">
        <f t="shared" si="16"/>
        <v>#DIV/0!</v>
      </c>
      <c r="G30" s="3276"/>
      <c r="H30" s="3274"/>
      <c r="I30" s="3274"/>
      <c r="J30" s="3283">
        <f t="shared" si="20"/>
        <v>0</v>
      </c>
      <c r="K30" s="3945" t="e">
        <f t="shared" si="41"/>
        <v>#DIV/0!</v>
      </c>
      <c r="L30" s="3276"/>
      <c r="M30" s="3274"/>
      <c r="N30" s="3274"/>
      <c r="O30" s="3283">
        <f t="shared" si="21"/>
        <v>0</v>
      </c>
      <c r="P30" s="3945">
        <f t="shared" si="22"/>
        <v>0</v>
      </c>
      <c r="Q30" s="3275"/>
      <c r="R30" s="3275">
        <f t="shared" si="23"/>
        <v>0</v>
      </c>
      <c r="S30" s="3275">
        <f t="shared" si="23"/>
        <v>0</v>
      </c>
      <c r="T30" s="2028">
        <f t="shared" si="24"/>
        <v>0</v>
      </c>
      <c r="U30" s="3275"/>
      <c r="V30" s="3275"/>
      <c r="W30" s="3275">
        <f t="shared" si="25"/>
        <v>0</v>
      </c>
      <c r="X30" s="3275">
        <f t="shared" si="25"/>
        <v>0</v>
      </c>
      <c r="Y30" s="2028">
        <f t="shared" si="26"/>
        <v>0</v>
      </c>
      <c r="Z30" s="3275"/>
      <c r="AA30" s="3275"/>
      <c r="AB30" s="3274"/>
      <c r="AC30" s="3274"/>
      <c r="AD30" s="3283">
        <f t="shared" si="27"/>
        <v>0</v>
      </c>
      <c r="AE30" s="3945">
        <f t="shared" si="42"/>
        <v>0</v>
      </c>
      <c r="AF30" s="3275"/>
      <c r="AG30" s="3274"/>
      <c r="AH30" s="3274"/>
      <c r="AI30" s="3283">
        <f t="shared" si="28"/>
        <v>0</v>
      </c>
      <c r="AJ30" s="3945">
        <f t="shared" si="43"/>
        <v>0</v>
      </c>
      <c r="AK30" s="3275"/>
      <c r="AL30" s="3274"/>
      <c r="AM30" s="3274"/>
      <c r="AN30" s="3283">
        <f t="shared" si="29"/>
        <v>0</v>
      </c>
      <c r="AO30" s="3945" t="e">
        <f t="shared" si="44"/>
        <v>#DIV/0!</v>
      </c>
      <c r="AP30" s="3275"/>
      <c r="AQ30" s="3274"/>
      <c r="AR30" s="3274"/>
      <c r="AS30" s="3283">
        <f t="shared" si="30"/>
        <v>0</v>
      </c>
      <c r="AT30" s="3945" t="e">
        <f t="shared" si="45"/>
        <v>#DIV/0!</v>
      </c>
      <c r="AU30" s="3275"/>
      <c r="AV30" s="3274"/>
      <c r="AW30" s="3274"/>
      <c r="AX30" s="3283">
        <f t="shared" si="31"/>
        <v>0</v>
      </c>
      <c r="AY30" s="3945" t="e">
        <f t="shared" si="46"/>
        <v>#DIV/0!</v>
      </c>
      <c r="AZ30" s="3275"/>
      <c r="BA30" s="3274"/>
      <c r="BB30" s="3274"/>
      <c r="BC30" s="3283">
        <f t="shared" si="32"/>
        <v>0</v>
      </c>
      <c r="BD30" s="3945" t="e">
        <f t="shared" si="47"/>
        <v>#DIV/0!</v>
      </c>
      <c r="BE30" s="3275"/>
      <c r="BF30" s="3274"/>
      <c r="BG30" s="3274"/>
      <c r="BH30" s="3283">
        <f t="shared" si="33"/>
        <v>0</v>
      </c>
      <c r="BI30" s="3945" t="e">
        <f t="shared" si="48"/>
        <v>#DIV/0!</v>
      </c>
      <c r="BJ30" s="3275"/>
      <c r="BK30" s="3274"/>
      <c r="BL30" s="3274"/>
      <c r="BM30" s="3283">
        <f t="shared" si="34"/>
        <v>0</v>
      </c>
      <c r="BN30" s="3945" t="e">
        <f t="shared" si="49"/>
        <v>#DIV/0!</v>
      </c>
      <c r="BO30" s="3275"/>
      <c r="BP30" s="3274"/>
      <c r="BQ30" s="3274"/>
      <c r="BR30" s="3283">
        <f t="shared" si="35"/>
        <v>0</v>
      </c>
      <c r="BS30" s="3945" t="e">
        <f t="shared" si="50"/>
        <v>#DIV/0!</v>
      </c>
      <c r="BT30" s="3275"/>
      <c r="BU30" s="3274"/>
      <c r="BV30" s="3274"/>
      <c r="BW30" s="3283">
        <f t="shared" si="36"/>
        <v>0</v>
      </c>
      <c r="BX30" s="3945" t="e">
        <f t="shared" si="51"/>
        <v>#DIV/0!</v>
      </c>
      <c r="BY30" s="3275"/>
      <c r="BZ30" s="3274"/>
      <c r="CA30" s="3274"/>
      <c r="CB30" s="3283">
        <f t="shared" si="37"/>
        <v>0</v>
      </c>
      <c r="CC30" s="3945" t="e">
        <f t="shared" si="52"/>
        <v>#DIV/0!</v>
      </c>
      <c r="CD30" s="3275"/>
      <c r="CE30" s="3274"/>
      <c r="CF30" s="3274"/>
      <c r="CG30" s="3283">
        <f t="shared" si="38"/>
        <v>0</v>
      </c>
      <c r="CH30" s="3945" t="e">
        <f t="shared" si="53"/>
        <v>#DIV/0!</v>
      </c>
      <c r="CI30" s="3275"/>
      <c r="CJ30" s="3274">
        <f t="shared" si="39"/>
        <v>0</v>
      </c>
      <c r="CK30" s="3274">
        <f t="shared" si="39"/>
        <v>0</v>
      </c>
      <c r="CL30" s="3283">
        <f t="shared" si="54"/>
        <v>0</v>
      </c>
      <c r="CM30" s="3945">
        <f t="shared" si="40"/>
        <v>0</v>
      </c>
      <c r="CN30" s="3946"/>
      <c r="CP30" s="3989"/>
      <c r="CQ30" s="2028">
        <f t="shared" si="55"/>
        <v>0</v>
      </c>
      <c r="CR30" s="3991">
        <f t="shared" si="56"/>
        <v>0</v>
      </c>
      <c r="CT30" s="3450"/>
    </row>
    <row r="31" spans="1:100" s="1411" customFormat="1" ht="13.8" outlineLevel="2" x14ac:dyDescent="0.25">
      <c r="A31" s="1586"/>
      <c r="B31" s="3923" t="s">
        <v>34</v>
      </c>
      <c r="C31" s="3274"/>
      <c r="D31" s="3274"/>
      <c r="E31" s="3283">
        <f t="shared" si="19"/>
        <v>0</v>
      </c>
      <c r="F31" s="3945" t="e">
        <f t="shared" si="16"/>
        <v>#DIV/0!</v>
      </c>
      <c r="G31" s="3276"/>
      <c r="H31" s="3274"/>
      <c r="I31" s="3274"/>
      <c r="J31" s="3283">
        <f t="shared" si="20"/>
        <v>0</v>
      </c>
      <c r="K31" s="3945" t="e">
        <f t="shared" si="41"/>
        <v>#DIV/0!</v>
      </c>
      <c r="L31" s="3276"/>
      <c r="M31" s="3274"/>
      <c r="N31" s="3274"/>
      <c r="O31" s="3283">
        <f t="shared" si="21"/>
        <v>0</v>
      </c>
      <c r="P31" s="3945">
        <f t="shared" si="22"/>
        <v>0</v>
      </c>
      <c r="Q31" s="3275"/>
      <c r="R31" s="3275">
        <f t="shared" si="23"/>
        <v>0</v>
      </c>
      <c r="S31" s="3275">
        <f t="shared" si="23"/>
        <v>0</v>
      </c>
      <c r="T31" s="2028">
        <f t="shared" si="24"/>
        <v>0</v>
      </c>
      <c r="U31" s="3275"/>
      <c r="V31" s="3275"/>
      <c r="W31" s="3275">
        <f t="shared" si="25"/>
        <v>0</v>
      </c>
      <c r="X31" s="3275">
        <f t="shared" si="25"/>
        <v>0</v>
      </c>
      <c r="Y31" s="2028">
        <f t="shared" si="26"/>
        <v>0</v>
      </c>
      <c r="Z31" s="3275"/>
      <c r="AA31" s="3275"/>
      <c r="AB31" s="3274"/>
      <c r="AC31" s="3274"/>
      <c r="AD31" s="3283">
        <f t="shared" si="27"/>
        <v>0</v>
      </c>
      <c r="AE31" s="3945">
        <f t="shared" si="42"/>
        <v>0</v>
      </c>
      <c r="AF31" s="3275"/>
      <c r="AG31" s="3274"/>
      <c r="AH31" s="3274"/>
      <c r="AI31" s="3283">
        <f t="shared" si="28"/>
        <v>0</v>
      </c>
      <c r="AJ31" s="3945">
        <f t="shared" si="43"/>
        <v>0</v>
      </c>
      <c r="AK31" s="3275"/>
      <c r="AL31" s="3274"/>
      <c r="AM31" s="3274"/>
      <c r="AN31" s="3283">
        <f t="shared" si="29"/>
        <v>0</v>
      </c>
      <c r="AO31" s="3945" t="e">
        <f t="shared" si="44"/>
        <v>#DIV/0!</v>
      </c>
      <c r="AP31" s="3275"/>
      <c r="AQ31" s="3274"/>
      <c r="AR31" s="3274"/>
      <c r="AS31" s="3283">
        <f t="shared" si="30"/>
        <v>0</v>
      </c>
      <c r="AT31" s="3945" t="e">
        <f t="shared" si="45"/>
        <v>#DIV/0!</v>
      </c>
      <c r="AU31" s="3275"/>
      <c r="AV31" s="3274"/>
      <c r="AW31" s="3274"/>
      <c r="AX31" s="3283">
        <f t="shared" si="31"/>
        <v>0</v>
      </c>
      <c r="AY31" s="3945" t="e">
        <f t="shared" si="46"/>
        <v>#DIV/0!</v>
      </c>
      <c r="AZ31" s="3275"/>
      <c r="BA31" s="3274"/>
      <c r="BB31" s="3274"/>
      <c r="BC31" s="3283">
        <f t="shared" si="32"/>
        <v>0</v>
      </c>
      <c r="BD31" s="3945" t="e">
        <f t="shared" si="47"/>
        <v>#DIV/0!</v>
      </c>
      <c r="BE31" s="3275"/>
      <c r="BF31" s="3274"/>
      <c r="BG31" s="3274"/>
      <c r="BH31" s="3283">
        <f t="shared" si="33"/>
        <v>0</v>
      </c>
      <c r="BI31" s="3945" t="e">
        <f t="shared" si="48"/>
        <v>#DIV/0!</v>
      </c>
      <c r="BJ31" s="3275"/>
      <c r="BK31" s="3274"/>
      <c r="BL31" s="3274"/>
      <c r="BM31" s="3283">
        <f t="shared" si="34"/>
        <v>0</v>
      </c>
      <c r="BN31" s="3945" t="e">
        <f t="shared" si="49"/>
        <v>#DIV/0!</v>
      </c>
      <c r="BO31" s="3275"/>
      <c r="BP31" s="3274"/>
      <c r="BQ31" s="3274"/>
      <c r="BR31" s="3283">
        <f t="shared" si="35"/>
        <v>0</v>
      </c>
      <c r="BS31" s="3945" t="e">
        <f t="shared" si="50"/>
        <v>#DIV/0!</v>
      </c>
      <c r="BT31" s="3275"/>
      <c r="BU31" s="3274"/>
      <c r="BV31" s="3274"/>
      <c r="BW31" s="3283">
        <f t="shared" si="36"/>
        <v>0</v>
      </c>
      <c r="BX31" s="3945" t="e">
        <f t="shared" si="51"/>
        <v>#DIV/0!</v>
      </c>
      <c r="BY31" s="3275"/>
      <c r="BZ31" s="3274"/>
      <c r="CA31" s="3274"/>
      <c r="CB31" s="3283">
        <f t="shared" si="37"/>
        <v>0</v>
      </c>
      <c r="CC31" s="3945" t="e">
        <f t="shared" si="52"/>
        <v>#DIV/0!</v>
      </c>
      <c r="CD31" s="3275"/>
      <c r="CE31" s="3274"/>
      <c r="CF31" s="3274"/>
      <c r="CG31" s="3283">
        <f t="shared" si="38"/>
        <v>0</v>
      </c>
      <c r="CH31" s="3945" t="e">
        <f t="shared" si="53"/>
        <v>#DIV/0!</v>
      </c>
      <c r="CI31" s="3275"/>
      <c r="CJ31" s="3274">
        <f t="shared" si="39"/>
        <v>0</v>
      </c>
      <c r="CK31" s="3274">
        <f t="shared" si="39"/>
        <v>0</v>
      </c>
      <c r="CL31" s="3283">
        <f t="shared" si="54"/>
        <v>0</v>
      </c>
      <c r="CM31" s="3945">
        <f t="shared" si="40"/>
        <v>0</v>
      </c>
      <c r="CN31" s="3946"/>
      <c r="CP31" s="3989"/>
      <c r="CQ31" s="2028">
        <f t="shared" si="55"/>
        <v>0</v>
      </c>
      <c r="CR31" s="3991">
        <f t="shared" si="56"/>
        <v>0</v>
      </c>
      <c r="CT31" s="3450"/>
      <c r="CV31" s="933"/>
    </row>
    <row r="32" spans="1:100" s="1411" customFormat="1" ht="13.8" outlineLevel="2" x14ac:dyDescent="0.25">
      <c r="A32" s="1586"/>
      <c r="B32" s="3995" t="s">
        <v>2</v>
      </c>
      <c r="C32" s="3274"/>
      <c r="D32" s="3274"/>
      <c r="E32" s="3283">
        <f t="shared" si="19"/>
        <v>0</v>
      </c>
      <c r="F32" s="3945" t="e">
        <f t="shared" si="16"/>
        <v>#DIV/0!</v>
      </c>
      <c r="G32" s="3948"/>
      <c r="H32" s="3274"/>
      <c r="I32" s="3274"/>
      <c r="J32" s="3283">
        <f t="shared" si="20"/>
        <v>0</v>
      </c>
      <c r="K32" s="3945" t="e">
        <f t="shared" si="41"/>
        <v>#DIV/0!</v>
      </c>
      <c r="L32" s="3948"/>
      <c r="M32" s="3274"/>
      <c r="N32" s="3274"/>
      <c r="O32" s="3283">
        <f t="shared" si="21"/>
        <v>0</v>
      </c>
      <c r="P32" s="3945">
        <f t="shared" si="22"/>
        <v>0</v>
      </c>
      <c r="Q32" s="3948"/>
      <c r="R32" s="3275">
        <f t="shared" si="23"/>
        <v>0</v>
      </c>
      <c r="S32" s="3275">
        <f t="shared" si="23"/>
        <v>0</v>
      </c>
      <c r="T32" s="2028">
        <f t="shared" si="24"/>
        <v>0</v>
      </c>
      <c r="U32" s="2064"/>
      <c r="V32" s="2064"/>
      <c r="W32" s="3275">
        <f t="shared" si="25"/>
        <v>0</v>
      </c>
      <c r="X32" s="3275">
        <f t="shared" si="25"/>
        <v>0</v>
      </c>
      <c r="Y32" s="2028">
        <f t="shared" si="26"/>
        <v>0</v>
      </c>
      <c r="Z32" s="2064"/>
      <c r="AA32" s="2064"/>
      <c r="AB32" s="3274"/>
      <c r="AC32" s="3274"/>
      <c r="AD32" s="3283">
        <f t="shared" si="27"/>
        <v>0</v>
      </c>
      <c r="AE32" s="3945">
        <f t="shared" si="42"/>
        <v>0</v>
      </c>
      <c r="AF32" s="3948"/>
      <c r="AG32" s="3274"/>
      <c r="AH32" s="3274"/>
      <c r="AI32" s="3283">
        <f t="shared" si="28"/>
        <v>0</v>
      </c>
      <c r="AJ32" s="3945">
        <f t="shared" si="43"/>
        <v>0</v>
      </c>
      <c r="AK32" s="3948"/>
      <c r="AL32" s="3274"/>
      <c r="AM32" s="3274"/>
      <c r="AN32" s="3283">
        <f t="shared" si="29"/>
        <v>0</v>
      </c>
      <c r="AO32" s="3945" t="e">
        <f t="shared" si="44"/>
        <v>#DIV/0!</v>
      </c>
      <c r="AP32" s="3948"/>
      <c r="AQ32" s="3274"/>
      <c r="AR32" s="3274"/>
      <c r="AS32" s="3283">
        <f t="shared" si="30"/>
        <v>0</v>
      </c>
      <c r="AT32" s="3945" t="e">
        <f t="shared" si="45"/>
        <v>#DIV/0!</v>
      </c>
      <c r="AU32" s="3948"/>
      <c r="AV32" s="3274"/>
      <c r="AW32" s="3274"/>
      <c r="AX32" s="3283">
        <f t="shared" si="31"/>
        <v>0</v>
      </c>
      <c r="AY32" s="3945" t="e">
        <f t="shared" si="46"/>
        <v>#DIV/0!</v>
      </c>
      <c r="AZ32" s="3948"/>
      <c r="BA32" s="3274"/>
      <c r="BB32" s="3274"/>
      <c r="BC32" s="3283">
        <f t="shared" si="32"/>
        <v>0</v>
      </c>
      <c r="BD32" s="3945" t="e">
        <f t="shared" si="47"/>
        <v>#DIV/0!</v>
      </c>
      <c r="BE32" s="3948"/>
      <c r="BF32" s="3274"/>
      <c r="BG32" s="3274"/>
      <c r="BH32" s="3283">
        <f t="shared" si="33"/>
        <v>0</v>
      </c>
      <c r="BI32" s="3945" t="e">
        <f t="shared" si="48"/>
        <v>#DIV/0!</v>
      </c>
      <c r="BJ32" s="3948"/>
      <c r="BK32" s="3274"/>
      <c r="BL32" s="3274"/>
      <c r="BM32" s="3283">
        <f t="shared" si="34"/>
        <v>0</v>
      </c>
      <c r="BN32" s="3945" t="e">
        <f t="shared" si="49"/>
        <v>#DIV/0!</v>
      </c>
      <c r="BO32" s="3948"/>
      <c r="BP32" s="3274"/>
      <c r="BQ32" s="3274"/>
      <c r="BR32" s="3283">
        <f t="shared" si="35"/>
        <v>0</v>
      </c>
      <c r="BS32" s="3945" t="e">
        <f t="shared" si="50"/>
        <v>#DIV/0!</v>
      </c>
      <c r="BT32" s="3948"/>
      <c r="BU32" s="3274"/>
      <c r="BV32" s="3274"/>
      <c r="BW32" s="3283">
        <f t="shared" si="36"/>
        <v>0</v>
      </c>
      <c r="BX32" s="3945" t="e">
        <f t="shared" si="51"/>
        <v>#DIV/0!</v>
      </c>
      <c r="BY32" s="3948"/>
      <c r="BZ32" s="3274"/>
      <c r="CA32" s="3274"/>
      <c r="CB32" s="3283">
        <f t="shared" si="37"/>
        <v>0</v>
      </c>
      <c r="CC32" s="3945" t="e">
        <f t="shared" si="52"/>
        <v>#DIV/0!</v>
      </c>
      <c r="CD32" s="3948"/>
      <c r="CE32" s="3274"/>
      <c r="CF32" s="3274"/>
      <c r="CG32" s="3283">
        <f t="shared" si="38"/>
        <v>0</v>
      </c>
      <c r="CH32" s="3945" t="e">
        <f t="shared" si="53"/>
        <v>#DIV/0!</v>
      </c>
      <c r="CI32" s="3948"/>
      <c r="CJ32" s="3949">
        <f t="shared" si="39"/>
        <v>0</v>
      </c>
      <c r="CK32" s="3996">
        <f t="shared" si="39"/>
        <v>0</v>
      </c>
      <c r="CL32" s="3283">
        <f t="shared" si="54"/>
        <v>0</v>
      </c>
      <c r="CM32" s="3945">
        <f t="shared" si="40"/>
        <v>0</v>
      </c>
      <c r="CN32" s="3946"/>
      <c r="CP32" s="3989"/>
      <c r="CQ32" s="2028">
        <f t="shared" si="55"/>
        <v>0</v>
      </c>
      <c r="CR32" s="3991">
        <f t="shared" si="56"/>
        <v>0</v>
      </c>
      <c r="CT32" s="2644"/>
    </row>
    <row r="33" spans="1:98" s="1411" customFormat="1" ht="14.4" outlineLevel="2" thickBot="1" x14ac:dyDescent="0.3">
      <c r="A33" s="1586"/>
      <c r="B33" s="3924" t="s">
        <v>75</v>
      </c>
      <c r="C33" s="3950"/>
      <c r="D33" s="3950"/>
      <c r="E33" s="3951">
        <f t="shared" ref="E33" si="57">C33+D33*1</f>
        <v>0</v>
      </c>
      <c r="F33" s="3952" t="e">
        <f t="shared" si="16"/>
        <v>#DIV/0!</v>
      </c>
      <c r="G33" s="3953"/>
      <c r="H33" s="3950"/>
      <c r="I33" s="3950"/>
      <c r="J33" s="3951">
        <f>H33+I33*1</f>
        <v>0</v>
      </c>
      <c r="K33" s="3952" t="e">
        <f t="shared" si="41"/>
        <v>#DIV/0!</v>
      </c>
      <c r="L33" s="3953"/>
      <c r="M33" s="3950"/>
      <c r="N33" s="3950"/>
      <c r="O33" s="3951">
        <f t="shared" ref="O33" si="58">M33+N33*1</f>
        <v>0</v>
      </c>
      <c r="P33" s="3945">
        <f t="shared" si="22"/>
        <v>0</v>
      </c>
      <c r="Q33" s="3953"/>
      <c r="R33" s="3954">
        <f t="shared" si="23"/>
        <v>0</v>
      </c>
      <c r="S33" s="3955">
        <f t="shared" si="23"/>
        <v>0</v>
      </c>
      <c r="T33" s="3956">
        <f t="shared" si="24"/>
        <v>0</v>
      </c>
      <c r="U33" s="3953"/>
      <c r="V33" s="3953"/>
      <c r="W33" s="3955">
        <f t="shared" si="25"/>
        <v>0</v>
      </c>
      <c r="X33" s="3955">
        <f t="shared" si="25"/>
        <v>0</v>
      </c>
      <c r="Y33" s="3956">
        <f t="shared" si="26"/>
        <v>0</v>
      </c>
      <c r="Z33" s="3953"/>
      <c r="AA33" s="3953"/>
      <c r="AB33" s="3950"/>
      <c r="AC33" s="3950"/>
      <c r="AD33" s="3951">
        <f t="shared" ref="AD33" si="59">AB33+AC33*1</f>
        <v>0</v>
      </c>
      <c r="AE33" s="3952">
        <f t="shared" si="42"/>
        <v>0</v>
      </c>
      <c r="AF33" s="3953"/>
      <c r="AG33" s="3950"/>
      <c r="AH33" s="3950"/>
      <c r="AI33" s="3951">
        <f t="shared" ref="AI33" si="60">AG33+AH33*1</f>
        <v>0</v>
      </c>
      <c r="AJ33" s="3952">
        <f t="shared" si="43"/>
        <v>0</v>
      </c>
      <c r="AK33" s="3953"/>
      <c r="AL33" s="3950"/>
      <c r="AM33" s="3950"/>
      <c r="AN33" s="3951">
        <f t="shared" ref="AN33" si="61">AL33+AM33*1</f>
        <v>0</v>
      </c>
      <c r="AO33" s="3952" t="e">
        <f t="shared" si="44"/>
        <v>#DIV/0!</v>
      </c>
      <c r="AP33" s="3953"/>
      <c r="AQ33" s="3950"/>
      <c r="AR33" s="3950"/>
      <c r="AS33" s="3951">
        <f t="shared" ref="AS33" si="62">AQ33+AR33*1</f>
        <v>0</v>
      </c>
      <c r="AT33" s="3952" t="e">
        <f t="shared" si="45"/>
        <v>#DIV/0!</v>
      </c>
      <c r="AU33" s="3953"/>
      <c r="AV33" s="3950"/>
      <c r="AW33" s="3950"/>
      <c r="AX33" s="3951">
        <f t="shared" ref="AX33" si="63">AV33+AW33*1</f>
        <v>0</v>
      </c>
      <c r="AY33" s="3952" t="e">
        <f t="shared" si="46"/>
        <v>#DIV/0!</v>
      </c>
      <c r="AZ33" s="3953"/>
      <c r="BA33" s="3950"/>
      <c r="BB33" s="3950"/>
      <c r="BC33" s="3951">
        <f t="shared" ref="BC33" si="64">BA33+BB33*1</f>
        <v>0</v>
      </c>
      <c r="BD33" s="3952" t="e">
        <f t="shared" si="47"/>
        <v>#DIV/0!</v>
      </c>
      <c r="BE33" s="3953"/>
      <c r="BF33" s="3950"/>
      <c r="BG33" s="3950"/>
      <c r="BH33" s="3951">
        <f t="shared" ref="BH33" si="65">BF33+BG33*1</f>
        <v>0</v>
      </c>
      <c r="BI33" s="3952" t="e">
        <f t="shared" si="48"/>
        <v>#DIV/0!</v>
      </c>
      <c r="BJ33" s="3953"/>
      <c r="BK33" s="3950"/>
      <c r="BL33" s="3950"/>
      <c r="BM33" s="3951">
        <f t="shared" ref="BM33" si="66">BK33+BL33*1</f>
        <v>0</v>
      </c>
      <c r="BN33" s="3952" t="e">
        <f t="shared" si="49"/>
        <v>#DIV/0!</v>
      </c>
      <c r="BO33" s="3953"/>
      <c r="BP33" s="3950"/>
      <c r="BQ33" s="3950"/>
      <c r="BR33" s="3951">
        <f t="shared" ref="BR33" si="67">BP33+BQ33*1</f>
        <v>0</v>
      </c>
      <c r="BS33" s="3952" t="e">
        <f t="shared" si="50"/>
        <v>#DIV/0!</v>
      </c>
      <c r="BT33" s="3953"/>
      <c r="BU33" s="3950"/>
      <c r="BV33" s="3950"/>
      <c r="BW33" s="3951">
        <f t="shared" ref="BW33" si="68">BU33+BV33*1</f>
        <v>0</v>
      </c>
      <c r="BX33" s="3952" t="e">
        <f t="shared" si="51"/>
        <v>#DIV/0!</v>
      </c>
      <c r="BY33" s="3953"/>
      <c r="BZ33" s="3950"/>
      <c r="CA33" s="3950"/>
      <c r="CB33" s="3951">
        <f t="shared" ref="CB33" si="69">BZ33+CA33*1</f>
        <v>0</v>
      </c>
      <c r="CC33" s="3952" t="e">
        <f t="shared" si="52"/>
        <v>#DIV/0!</v>
      </c>
      <c r="CD33" s="3953"/>
      <c r="CE33" s="3950"/>
      <c r="CF33" s="3950"/>
      <c r="CG33" s="3951">
        <f t="shared" ref="CG33" si="70">CE33+CF33*1</f>
        <v>0</v>
      </c>
      <c r="CH33" s="3952" t="e">
        <f t="shared" si="53"/>
        <v>#DIV/0!</v>
      </c>
      <c r="CI33" s="3953"/>
      <c r="CJ33" s="3957">
        <f t="shared" si="39"/>
        <v>0</v>
      </c>
      <c r="CK33" s="3950">
        <f t="shared" si="39"/>
        <v>0</v>
      </c>
      <c r="CL33" s="3951">
        <f t="shared" si="54"/>
        <v>0</v>
      </c>
      <c r="CM33" s="3925">
        <f t="shared" si="40"/>
        <v>0</v>
      </c>
      <c r="CN33" s="3926"/>
      <c r="CP33" s="3989"/>
      <c r="CQ33" s="3989"/>
      <c r="CR33" s="3991">
        <f t="shared" si="56"/>
        <v>0</v>
      </c>
      <c r="CT33" s="2644"/>
    </row>
    <row r="34" spans="1:98" s="1411" customFormat="1" ht="13.8" outlineLevel="2" x14ac:dyDescent="0.25">
      <c r="A34" s="1586"/>
      <c r="B34" s="1631"/>
      <c r="C34" s="3274"/>
      <c r="D34" s="3274"/>
      <c r="E34" s="3306"/>
      <c r="F34" s="3306"/>
      <c r="G34" s="3455"/>
      <c r="H34" s="3274"/>
      <c r="I34" s="3274"/>
      <c r="J34" s="3306"/>
      <c r="K34" s="3306"/>
      <c r="L34" s="3455"/>
      <c r="M34" s="3274"/>
      <c r="N34" s="3274"/>
      <c r="O34" s="3306"/>
      <c r="P34" s="3306"/>
      <c r="Q34" s="3455"/>
      <c r="R34" s="3455"/>
      <c r="S34" s="3455"/>
      <c r="T34" s="3455"/>
      <c r="U34" s="3455"/>
      <c r="V34" s="3455"/>
      <c r="W34" s="3455"/>
      <c r="X34" s="3455"/>
      <c r="Y34" s="3455"/>
      <c r="Z34" s="3455"/>
      <c r="AA34" s="3455"/>
      <c r="AB34" s="3274"/>
      <c r="AC34" s="3274"/>
      <c r="AD34" s="3306"/>
      <c r="AE34" s="3306"/>
      <c r="AF34" s="3455"/>
      <c r="AG34" s="3274"/>
      <c r="AH34" s="3274"/>
      <c r="AI34" s="3306"/>
      <c r="AJ34" s="3306"/>
      <c r="AK34" s="3455"/>
      <c r="AL34" s="3274"/>
      <c r="AM34" s="3274"/>
      <c r="AN34" s="3306"/>
      <c r="AO34" s="3306"/>
      <c r="AP34" s="3455"/>
      <c r="AQ34" s="3274"/>
      <c r="AR34" s="3274"/>
      <c r="AS34" s="3306"/>
      <c r="AT34" s="3306"/>
      <c r="AU34" s="3455"/>
      <c r="AV34" s="3274"/>
      <c r="AW34" s="3274"/>
      <c r="AX34" s="3306"/>
      <c r="AY34" s="3306"/>
      <c r="AZ34" s="3455"/>
      <c r="BA34" s="3274"/>
      <c r="BB34" s="3274"/>
      <c r="BC34" s="3306"/>
      <c r="BD34" s="3306"/>
      <c r="BE34" s="3455"/>
      <c r="BF34" s="3274"/>
      <c r="BG34" s="3274"/>
      <c r="BH34" s="3306"/>
      <c r="BI34" s="3306"/>
      <c r="BJ34" s="3455"/>
      <c r="BK34" s="3274"/>
      <c r="BL34" s="3274"/>
      <c r="BM34" s="3306"/>
      <c r="BN34" s="3306"/>
      <c r="BO34" s="3455"/>
      <c r="BP34" s="3274"/>
      <c r="BQ34" s="3274"/>
      <c r="BR34" s="3306"/>
      <c r="BS34" s="3306"/>
      <c r="BT34" s="3455"/>
      <c r="BU34" s="3274"/>
      <c r="BV34" s="3274"/>
      <c r="BW34" s="3306"/>
      <c r="BX34" s="3306"/>
      <c r="BY34" s="3455"/>
      <c r="BZ34" s="3274"/>
      <c r="CA34" s="3274"/>
      <c r="CB34" s="3306"/>
      <c r="CC34" s="3306"/>
      <c r="CD34" s="3455"/>
      <c r="CE34" s="3274"/>
      <c r="CF34" s="3274"/>
      <c r="CG34" s="3306"/>
      <c r="CH34" s="3306"/>
      <c r="CI34" s="3455"/>
      <c r="CJ34" s="3274"/>
      <c r="CK34" s="3274"/>
      <c r="CL34" s="3306"/>
      <c r="CM34" s="3306"/>
      <c r="CN34" s="3306"/>
      <c r="CP34" s="3456"/>
      <c r="CQ34" s="3456"/>
      <c r="CR34" s="3457"/>
      <c r="CT34" s="2644"/>
    </row>
    <row r="35" spans="1:98" s="1411" customFormat="1" ht="13.8" outlineLevel="1" x14ac:dyDescent="0.25">
      <c r="A35" s="1586"/>
      <c r="B35" s="3997" t="s">
        <v>80</v>
      </c>
      <c r="C35" s="3998">
        <f>C36</f>
        <v>0</v>
      </c>
      <c r="D35" s="3998">
        <f>D36</f>
        <v>0</v>
      </c>
      <c r="E35" s="3927">
        <f>E36</f>
        <v>0</v>
      </c>
      <c r="F35" s="3927"/>
      <c r="G35" s="3958"/>
      <c r="H35" s="3998">
        <f>H36</f>
        <v>0</v>
      </c>
      <c r="I35" s="3998">
        <f>I36</f>
        <v>0</v>
      </c>
      <c r="J35" s="3927">
        <f>J36</f>
        <v>0</v>
      </c>
      <c r="K35" s="3927"/>
      <c r="L35" s="3958"/>
      <c r="M35" s="3998">
        <f>M36</f>
        <v>0</v>
      </c>
      <c r="N35" s="3998">
        <f>N36</f>
        <v>0</v>
      </c>
      <c r="O35" s="3927">
        <f>O36</f>
        <v>0</v>
      </c>
      <c r="P35" s="3927"/>
      <c r="Q35" s="3958"/>
      <c r="R35" s="3998">
        <f>R36</f>
        <v>0</v>
      </c>
      <c r="S35" s="3998">
        <f>S36</f>
        <v>0</v>
      </c>
      <c r="T35" s="3927">
        <f>T36</f>
        <v>0</v>
      </c>
      <c r="U35" s="3987"/>
      <c r="V35" s="3987"/>
      <c r="W35" s="3998">
        <f>W36</f>
        <v>0</v>
      </c>
      <c r="X35" s="3998">
        <f>X36</f>
        <v>0</v>
      </c>
      <c r="Y35" s="3927">
        <f>Y36</f>
        <v>0</v>
      </c>
      <c r="Z35" s="3987"/>
      <c r="AA35" s="3987"/>
      <c r="AB35" s="3998">
        <f>AB36</f>
        <v>0</v>
      </c>
      <c r="AC35" s="3998">
        <f>AC36</f>
        <v>0</v>
      </c>
      <c r="AD35" s="3927">
        <f>AD36</f>
        <v>0</v>
      </c>
      <c r="AE35" s="3927"/>
      <c r="AF35" s="3958"/>
      <c r="AG35" s="3998">
        <f>AG36</f>
        <v>0</v>
      </c>
      <c r="AH35" s="3998">
        <f>AH36</f>
        <v>0</v>
      </c>
      <c r="AI35" s="3927">
        <f>AI36</f>
        <v>0</v>
      </c>
      <c r="AJ35" s="3927"/>
      <c r="AK35" s="3958"/>
      <c r="AL35" s="3998">
        <f>AL36</f>
        <v>0</v>
      </c>
      <c r="AM35" s="3998">
        <f>AM36</f>
        <v>0</v>
      </c>
      <c r="AN35" s="3927">
        <f>AN36</f>
        <v>0</v>
      </c>
      <c r="AO35" s="3927"/>
      <c r="AP35" s="3958"/>
      <c r="AQ35" s="3998">
        <f>AQ36</f>
        <v>0</v>
      </c>
      <c r="AR35" s="3998">
        <f>AR36</f>
        <v>0</v>
      </c>
      <c r="AS35" s="3927">
        <f>AS36</f>
        <v>0</v>
      </c>
      <c r="AT35" s="3927"/>
      <c r="AU35" s="3958"/>
      <c r="AV35" s="3998">
        <f>AV36</f>
        <v>0</v>
      </c>
      <c r="AW35" s="3998">
        <f>AW36</f>
        <v>0</v>
      </c>
      <c r="AX35" s="3927">
        <f>AX36</f>
        <v>0</v>
      </c>
      <c r="AY35" s="3927"/>
      <c r="AZ35" s="3958"/>
      <c r="BA35" s="3998">
        <f>BA36</f>
        <v>0</v>
      </c>
      <c r="BB35" s="3998">
        <f>BB36</f>
        <v>0</v>
      </c>
      <c r="BC35" s="3927">
        <f>BC36</f>
        <v>0</v>
      </c>
      <c r="BD35" s="3927"/>
      <c r="BE35" s="3958"/>
      <c r="BF35" s="3998">
        <f>BF36</f>
        <v>0</v>
      </c>
      <c r="BG35" s="3998">
        <f>BG36</f>
        <v>0</v>
      </c>
      <c r="BH35" s="3927">
        <f>BH36</f>
        <v>0</v>
      </c>
      <c r="BI35" s="3927"/>
      <c r="BJ35" s="3958"/>
      <c r="BK35" s="3998">
        <f>BK36</f>
        <v>0</v>
      </c>
      <c r="BL35" s="3998">
        <f>BL36</f>
        <v>0</v>
      </c>
      <c r="BM35" s="3927">
        <f>BM36</f>
        <v>0</v>
      </c>
      <c r="BN35" s="3927"/>
      <c r="BO35" s="3958"/>
      <c r="BP35" s="3998">
        <f>BP36</f>
        <v>0</v>
      </c>
      <c r="BQ35" s="3998">
        <f>BQ36</f>
        <v>0</v>
      </c>
      <c r="BR35" s="3927">
        <f>BR36</f>
        <v>0</v>
      </c>
      <c r="BS35" s="3927"/>
      <c r="BT35" s="3958"/>
      <c r="BU35" s="3998">
        <f>BU36</f>
        <v>0</v>
      </c>
      <c r="BV35" s="3998">
        <f>BV36</f>
        <v>0</v>
      </c>
      <c r="BW35" s="3927">
        <f>BW36</f>
        <v>0</v>
      </c>
      <c r="BX35" s="3927"/>
      <c r="BY35" s="3958"/>
      <c r="BZ35" s="3998">
        <f>BZ36</f>
        <v>0</v>
      </c>
      <c r="CA35" s="3998">
        <f>CA36</f>
        <v>0</v>
      </c>
      <c r="CB35" s="3927">
        <f>CB36</f>
        <v>0</v>
      </c>
      <c r="CC35" s="3927"/>
      <c r="CD35" s="3958"/>
      <c r="CE35" s="3998">
        <f>CE36</f>
        <v>0</v>
      </c>
      <c r="CF35" s="3998">
        <f>CF36</f>
        <v>0</v>
      </c>
      <c r="CG35" s="3927">
        <f>CG36</f>
        <v>0</v>
      </c>
      <c r="CH35" s="3927"/>
      <c r="CI35" s="3958"/>
      <c r="CJ35" s="3998">
        <f>CJ36</f>
        <v>0</v>
      </c>
      <c r="CK35" s="3998">
        <f>CK36</f>
        <v>0</v>
      </c>
      <c r="CL35" s="3927">
        <f>CL36</f>
        <v>0</v>
      </c>
      <c r="CM35" s="3927"/>
      <c r="CN35" s="3927"/>
      <c r="CP35" s="3927">
        <f>CP36</f>
        <v>0</v>
      </c>
      <c r="CQ35" s="3927">
        <f>CQ36</f>
        <v>0</v>
      </c>
      <c r="CR35" s="3959">
        <f>CR36</f>
        <v>0</v>
      </c>
      <c r="CT35" s="2644"/>
    </row>
    <row r="36" spans="1:98" s="1411" customFormat="1" ht="13.8" outlineLevel="3" x14ac:dyDescent="0.25">
      <c r="A36" s="1586"/>
      <c r="B36" s="3999" t="s">
        <v>81</v>
      </c>
      <c r="C36" s="3274"/>
      <c r="D36" s="3274"/>
      <c r="E36" s="2028">
        <f>C36+D36*1</f>
        <v>0</v>
      </c>
      <c r="F36" s="3945" t="e">
        <f>E36/$E$89</f>
        <v>#DIV/0!</v>
      </c>
      <c r="G36" s="4000"/>
      <c r="H36" s="3274"/>
      <c r="I36" s="3274"/>
      <c r="J36" s="2028">
        <f>H36+I36*1</f>
        <v>0</v>
      </c>
      <c r="K36" s="3945" t="e">
        <f t="shared" ref="K36" si="71">J36/J$89</f>
        <v>#DIV/0!</v>
      </c>
      <c r="L36" s="4000"/>
      <c r="M36" s="3274"/>
      <c r="N36" s="3274"/>
      <c r="O36" s="3283">
        <f t="shared" ref="O36" si="72">M36+N36</f>
        <v>0</v>
      </c>
      <c r="P36" s="3945">
        <f t="shared" ref="P36" si="73">O36/O$89</f>
        <v>0</v>
      </c>
      <c r="Q36" s="4000"/>
      <c r="R36" s="3275">
        <f t="shared" ref="R36:S36" si="74">M36+H36+C36</f>
        <v>0</v>
      </c>
      <c r="S36" s="3275">
        <f t="shared" si="74"/>
        <v>0</v>
      </c>
      <c r="T36" s="2028">
        <f t="shared" ref="T36" si="75">R36+S36</f>
        <v>0</v>
      </c>
      <c r="U36" s="3462"/>
      <c r="V36" s="3462"/>
      <c r="W36" s="3275">
        <f t="shared" ref="W36:X36" si="76">AB36+AG36+AL36+AV36+BA36+BF36+BK36+BP36+BU36+BZ36+CE36+AQ36</f>
        <v>0</v>
      </c>
      <c r="X36" s="3275">
        <f t="shared" si="76"/>
        <v>0</v>
      </c>
      <c r="Y36" s="2028">
        <f t="shared" ref="Y36" si="77">W36+X36</f>
        <v>0</v>
      </c>
      <c r="Z36" s="3462"/>
      <c r="AA36" s="3462"/>
      <c r="AB36" s="3274"/>
      <c r="AC36" s="3274"/>
      <c r="AD36" s="3283">
        <f t="shared" ref="AD36" si="78">AB36+AC36</f>
        <v>0</v>
      </c>
      <c r="AE36" s="3945">
        <f>AD36/AD$89</f>
        <v>0</v>
      </c>
      <c r="AF36" s="4000"/>
      <c r="AG36" s="3274"/>
      <c r="AH36" s="3274"/>
      <c r="AI36" s="3283">
        <f t="shared" ref="AI36" si="79">AG36+AH36</f>
        <v>0</v>
      </c>
      <c r="AJ36" s="3945">
        <f>AI36/AI$89</f>
        <v>0</v>
      </c>
      <c r="AK36" s="4000"/>
      <c r="AL36" s="3274"/>
      <c r="AM36" s="3274"/>
      <c r="AN36" s="3283">
        <f t="shared" ref="AN36" si="80">AL36+AM36</f>
        <v>0</v>
      </c>
      <c r="AO36" s="3945" t="e">
        <f>AN36/AN$89</f>
        <v>#DIV/0!</v>
      </c>
      <c r="AP36" s="4000"/>
      <c r="AQ36" s="3274"/>
      <c r="AR36" s="3274"/>
      <c r="AS36" s="3283">
        <f t="shared" ref="AS36" si="81">AQ36+AR36</f>
        <v>0</v>
      </c>
      <c r="AT36" s="3945" t="e">
        <f>AS36/AS$89</f>
        <v>#DIV/0!</v>
      </c>
      <c r="AU36" s="4000"/>
      <c r="AV36" s="3274"/>
      <c r="AW36" s="3274"/>
      <c r="AX36" s="3283">
        <f t="shared" ref="AX36" si="82">AV36+AW36</f>
        <v>0</v>
      </c>
      <c r="AY36" s="3945" t="e">
        <f>AX36/AX$89</f>
        <v>#DIV/0!</v>
      </c>
      <c r="AZ36" s="4000"/>
      <c r="BA36" s="3274"/>
      <c r="BB36" s="3274"/>
      <c r="BC36" s="3283">
        <f t="shared" ref="BC36" si="83">BA36+BB36</f>
        <v>0</v>
      </c>
      <c r="BD36" s="3945" t="e">
        <f>BC36/BC$89</f>
        <v>#DIV/0!</v>
      </c>
      <c r="BE36" s="4000"/>
      <c r="BF36" s="3274"/>
      <c r="BG36" s="3274"/>
      <c r="BH36" s="3283">
        <f t="shared" ref="BH36" si="84">BF36+BG36</f>
        <v>0</v>
      </c>
      <c r="BI36" s="3945" t="e">
        <f>BH36/BH$89</f>
        <v>#DIV/0!</v>
      </c>
      <c r="BJ36" s="4000"/>
      <c r="BK36" s="3274"/>
      <c r="BL36" s="3274"/>
      <c r="BM36" s="3283">
        <f t="shared" ref="BM36" si="85">BK36+BL36</f>
        <v>0</v>
      </c>
      <c r="BN36" s="3945" t="e">
        <f>BM36/BM$89</f>
        <v>#DIV/0!</v>
      </c>
      <c r="BO36" s="4000"/>
      <c r="BP36" s="3274"/>
      <c r="BQ36" s="3274"/>
      <c r="BR36" s="3283">
        <f t="shared" ref="BR36" si="86">BP36+BQ36</f>
        <v>0</v>
      </c>
      <c r="BS36" s="3945" t="e">
        <f>BR36/BR$89</f>
        <v>#DIV/0!</v>
      </c>
      <c r="BT36" s="4000"/>
      <c r="BU36" s="3274"/>
      <c r="BV36" s="3274"/>
      <c r="BW36" s="3283">
        <f t="shared" ref="BW36" si="87">BU36+BV36</f>
        <v>0</v>
      </c>
      <c r="BX36" s="3945" t="e">
        <f>BW36/BW$89</f>
        <v>#DIV/0!</v>
      </c>
      <c r="BY36" s="4000"/>
      <c r="BZ36" s="3274"/>
      <c r="CA36" s="3274"/>
      <c r="CB36" s="3283">
        <f t="shared" ref="CB36" si="88">BZ36+CA36</f>
        <v>0</v>
      </c>
      <c r="CC36" s="3945" t="e">
        <f>CB36/CB$89</f>
        <v>#DIV/0!</v>
      </c>
      <c r="CD36" s="4000"/>
      <c r="CE36" s="3274"/>
      <c r="CF36" s="3274"/>
      <c r="CG36" s="3283">
        <f t="shared" ref="CG36" si="89">CE36+CF36</f>
        <v>0</v>
      </c>
      <c r="CH36" s="3945" t="e">
        <f>CG36/CG$89</f>
        <v>#DIV/0!</v>
      </c>
      <c r="CI36" s="4000"/>
      <c r="CJ36" s="3274">
        <f t="shared" ref="CJ36:CK36" si="90">C36+H36+M36+W36</f>
        <v>0</v>
      </c>
      <c r="CK36" s="3274">
        <f t="shared" si="90"/>
        <v>0</v>
      </c>
      <c r="CL36" s="2028">
        <f>CJ36+CK36*1</f>
        <v>0</v>
      </c>
      <c r="CM36" s="3945">
        <f>CL36/$CL$89</f>
        <v>0</v>
      </c>
      <c r="CN36" s="4001"/>
      <c r="CP36" s="2028"/>
      <c r="CQ36" s="2028">
        <f t="shared" ref="CQ36" si="91">CL36</f>
        <v>0</v>
      </c>
      <c r="CR36" s="3991">
        <f t="shared" ref="CR36" si="92">CP36-CQ36</f>
        <v>0</v>
      </c>
      <c r="CT36" s="3450"/>
    </row>
    <row r="37" spans="1:98" s="1411" customFormat="1" ht="14.4" outlineLevel="1" thickBot="1" x14ac:dyDescent="0.3">
      <c r="A37" s="1413"/>
      <c r="B37" s="3960"/>
      <c r="C37" s="3274"/>
      <c r="D37" s="3274"/>
      <c r="E37" s="3961"/>
      <c r="F37" s="3961"/>
      <c r="G37" s="3962"/>
      <c r="H37" s="3274"/>
      <c r="I37" s="3274"/>
      <c r="J37" s="3961"/>
      <c r="K37" s="3961"/>
      <c r="L37" s="3962"/>
      <c r="M37" s="3274"/>
      <c r="N37" s="3274"/>
      <c r="O37" s="3961"/>
      <c r="P37" s="3961"/>
      <c r="Q37" s="3962"/>
      <c r="R37" s="3463"/>
      <c r="S37" s="3463"/>
      <c r="T37" s="3463"/>
      <c r="U37" s="3463"/>
      <c r="V37" s="3463"/>
      <c r="W37" s="3275">
        <f t="shared" ref="W37:X37" si="93">AB37+AG37+AL37+AV37+BA37+BF37+BK37+BP37+BU37+BZ37+CE37</f>
        <v>0</v>
      </c>
      <c r="X37" s="3275">
        <f t="shared" si="93"/>
        <v>0</v>
      </c>
      <c r="Y37" s="3463"/>
      <c r="Z37" s="3463"/>
      <c r="AA37" s="3463"/>
      <c r="AB37" s="3274"/>
      <c r="AC37" s="3274"/>
      <c r="AD37" s="3961"/>
      <c r="AE37" s="3961"/>
      <c r="AF37" s="3962"/>
      <c r="AG37" s="3274"/>
      <c r="AH37" s="3274"/>
      <c r="AI37" s="3961"/>
      <c r="AJ37" s="3961"/>
      <c r="AK37" s="3962"/>
      <c r="AL37" s="3274"/>
      <c r="AM37" s="3274"/>
      <c r="AN37" s="3961"/>
      <c r="AO37" s="3961"/>
      <c r="AP37" s="3962"/>
      <c r="AQ37" s="3274"/>
      <c r="AR37" s="3274"/>
      <c r="AS37" s="3961"/>
      <c r="AT37" s="3961"/>
      <c r="AU37" s="3962"/>
      <c r="AV37" s="3274"/>
      <c r="AW37" s="3274"/>
      <c r="AX37" s="3961"/>
      <c r="AY37" s="3961"/>
      <c r="AZ37" s="3962"/>
      <c r="BA37" s="3274"/>
      <c r="BB37" s="3274"/>
      <c r="BC37" s="3961"/>
      <c r="BD37" s="3961"/>
      <c r="BE37" s="3962"/>
      <c r="BF37" s="3274"/>
      <c r="BG37" s="3274"/>
      <c r="BH37" s="3961"/>
      <c r="BI37" s="3961"/>
      <c r="BJ37" s="3962"/>
      <c r="BK37" s="3274"/>
      <c r="BL37" s="3274"/>
      <c r="BM37" s="3961"/>
      <c r="BN37" s="3961"/>
      <c r="BO37" s="3962"/>
      <c r="BP37" s="3274"/>
      <c r="BQ37" s="3274"/>
      <c r="BR37" s="3961"/>
      <c r="BS37" s="3961"/>
      <c r="BT37" s="3962"/>
      <c r="BU37" s="3274"/>
      <c r="BV37" s="3274"/>
      <c r="BW37" s="3961"/>
      <c r="BX37" s="3961"/>
      <c r="BY37" s="3962"/>
      <c r="BZ37" s="3274"/>
      <c r="CA37" s="3274"/>
      <c r="CB37" s="3961"/>
      <c r="CC37" s="3961"/>
      <c r="CD37" s="3962"/>
      <c r="CE37" s="3274"/>
      <c r="CF37" s="3274"/>
      <c r="CG37" s="3961"/>
      <c r="CH37" s="3961"/>
      <c r="CI37" s="3962"/>
      <c r="CJ37" s="3274"/>
      <c r="CK37" s="3274"/>
      <c r="CL37" s="3961"/>
      <c r="CM37" s="3961"/>
      <c r="CN37" s="3961"/>
      <c r="CP37" s="3963"/>
      <c r="CQ37" s="3963"/>
      <c r="CR37" s="3964"/>
      <c r="CT37" s="2644"/>
    </row>
    <row r="38" spans="1:98" s="3837" customFormat="1" ht="14.4" thickBot="1" x14ac:dyDescent="0.3">
      <c r="A38" s="3832"/>
      <c r="B38" s="3833" t="s">
        <v>46</v>
      </c>
      <c r="C38" s="3834">
        <f>(C5)-(C8)</f>
        <v>0</v>
      </c>
      <c r="D38" s="3834">
        <f>(D5)-(D8)</f>
        <v>0</v>
      </c>
      <c r="E38" s="3834">
        <f>(E5)-(E8)</f>
        <v>0</v>
      </c>
      <c r="F38" s="3834"/>
      <c r="G38" s="3835"/>
      <c r="H38" s="3834">
        <f>(H5)-(H8)</f>
        <v>0</v>
      </c>
      <c r="I38" s="3834">
        <f>(I5)-(I8)</f>
        <v>0</v>
      </c>
      <c r="J38" s="3834">
        <f>(J5)-(J8)</f>
        <v>0</v>
      </c>
      <c r="K38" s="3834"/>
      <c r="L38" s="3835"/>
      <c r="M38" s="3834">
        <f>(M5)-(M8)</f>
        <v>0</v>
      </c>
      <c r="N38" s="3834">
        <f>(N5)-(N8)</f>
        <v>-17586.8</v>
      </c>
      <c r="O38" s="3834">
        <f>(O5)-(O8)</f>
        <v>-17586.8</v>
      </c>
      <c r="P38" s="3834"/>
      <c r="Q38" s="3835"/>
      <c r="R38" s="3834">
        <f>(R5)-(R8)</f>
        <v>0</v>
      </c>
      <c r="S38" s="3834">
        <f>(S5)-(S8)</f>
        <v>-17586.8</v>
      </c>
      <c r="T38" s="3834">
        <f>(T5)-(T8)</f>
        <v>-17586.8</v>
      </c>
      <c r="U38" s="3835"/>
      <c r="V38" s="3835"/>
      <c r="W38" s="3834">
        <f>(W5)-(W8)</f>
        <v>357309.61400000006</v>
      </c>
      <c r="X38" s="3834">
        <f>(X5)-(X8)</f>
        <v>-99028.885999999999</v>
      </c>
      <c r="Y38" s="3834">
        <f>(Y5)-(Y8)</f>
        <v>258280.728</v>
      </c>
      <c r="Z38" s="3835"/>
      <c r="AA38" s="3835"/>
      <c r="AB38" s="3834">
        <f>(AB5)-(AB8)</f>
        <v>-217304.24400000004</v>
      </c>
      <c r="AC38" s="3834">
        <f>(AC5)-(AC8)</f>
        <v>-94528.885999999999</v>
      </c>
      <c r="AD38" s="3834">
        <f>(AD5)-(AD8)</f>
        <v>-311833.13</v>
      </c>
      <c r="AE38" s="3834"/>
      <c r="AF38" s="3835"/>
      <c r="AG38" s="3834">
        <f>(AG5)-(AG8)</f>
        <v>574613.85800000001</v>
      </c>
      <c r="AH38" s="3834">
        <f>(AH5)-(AH8)</f>
        <v>-4500</v>
      </c>
      <c r="AI38" s="3834">
        <f>(AI5)-(AI8)</f>
        <v>570113.85800000001</v>
      </c>
      <c r="AJ38" s="3834"/>
      <c r="AK38" s="3835"/>
      <c r="AL38" s="3834">
        <f>(AL5)-(AL8)</f>
        <v>0</v>
      </c>
      <c r="AM38" s="3834">
        <f>(AM5)-(AM8)</f>
        <v>0</v>
      </c>
      <c r="AN38" s="3834">
        <f>(AN5)-(AN8)</f>
        <v>0</v>
      </c>
      <c r="AO38" s="3834"/>
      <c r="AP38" s="3835"/>
      <c r="AQ38" s="3834">
        <f>(AQ5)-(AQ8)</f>
        <v>0</v>
      </c>
      <c r="AR38" s="3834">
        <f>(AR5)-(AR8)</f>
        <v>0</v>
      </c>
      <c r="AS38" s="3834">
        <f>(AS5)-(AS8)</f>
        <v>0</v>
      </c>
      <c r="AT38" s="3834"/>
      <c r="AU38" s="3835"/>
      <c r="AV38" s="3834">
        <f>(AV5)-(AV8)</f>
        <v>0</v>
      </c>
      <c r="AW38" s="3834">
        <f>(AW5)-(AW8)</f>
        <v>0</v>
      </c>
      <c r="AX38" s="3834">
        <f>(AX5)-(AX8)</f>
        <v>0</v>
      </c>
      <c r="AY38" s="3834"/>
      <c r="AZ38" s="3835"/>
      <c r="BA38" s="3834">
        <f>(BA5)-(BA8)</f>
        <v>0</v>
      </c>
      <c r="BB38" s="3834">
        <f>(BB5)-(BB8)</f>
        <v>0</v>
      </c>
      <c r="BC38" s="3834">
        <f>(BC5)-(BC8)</f>
        <v>0</v>
      </c>
      <c r="BD38" s="3834"/>
      <c r="BE38" s="3835"/>
      <c r="BF38" s="3834">
        <f>(BF5)-(BF8)</f>
        <v>0</v>
      </c>
      <c r="BG38" s="3834">
        <f>(BG5)-(BG8)</f>
        <v>0</v>
      </c>
      <c r="BH38" s="3834">
        <f>(BH5)-(BH8)</f>
        <v>0</v>
      </c>
      <c r="BI38" s="3834"/>
      <c r="BJ38" s="3835"/>
      <c r="BK38" s="3834">
        <f>(BK5)-(BK8)</f>
        <v>0</v>
      </c>
      <c r="BL38" s="3834">
        <f>(BL5)-(BL8)</f>
        <v>0</v>
      </c>
      <c r="BM38" s="3834">
        <f>(BM5)-(BM8)</f>
        <v>0</v>
      </c>
      <c r="BN38" s="3834"/>
      <c r="BO38" s="3835"/>
      <c r="BP38" s="3834">
        <f>(BP5)-(BP8)</f>
        <v>0</v>
      </c>
      <c r="BQ38" s="3834">
        <f>(BQ5)-(BQ8)</f>
        <v>0</v>
      </c>
      <c r="BR38" s="3834">
        <f>(BR5)-(BR8)</f>
        <v>0</v>
      </c>
      <c r="BS38" s="3834"/>
      <c r="BT38" s="3835"/>
      <c r="BU38" s="3834">
        <f>(BU5)-(BU8)</f>
        <v>0</v>
      </c>
      <c r="BV38" s="3834">
        <f>(BV5)-(BV8)</f>
        <v>0</v>
      </c>
      <c r="BW38" s="3834">
        <f>(BW5)-(BW8)</f>
        <v>0</v>
      </c>
      <c r="BX38" s="3834"/>
      <c r="BY38" s="3835"/>
      <c r="BZ38" s="3834">
        <f>(BZ5)-(BZ8)</f>
        <v>0</v>
      </c>
      <c r="CA38" s="3834">
        <f>(CA5)-(CA8)</f>
        <v>0</v>
      </c>
      <c r="CB38" s="3834">
        <f>(CB5)-(CB8)</f>
        <v>0</v>
      </c>
      <c r="CC38" s="3834"/>
      <c r="CD38" s="3835"/>
      <c r="CE38" s="3834">
        <f>(CE5)-(CE8)</f>
        <v>0</v>
      </c>
      <c r="CF38" s="3834">
        <f>(CF5)-(CF8)</f>
        <v>0</v>
      </c>
      <c r="CG38" s="3834">
        <f>(CG5)-(CG8)</f>
        <v>0</v>
      </c>
      <c r="CH38" s="3834"/>
      <c r="CI38" s="3835"/>
      <c r="CJ38" s="3836">
        <f>(CJ5)-(CJ8)</f>
        <v>367267.60400000005</v>
      </c>
      <c r="CK38" s="3836">
        <f>(CK5)-(CK8)</f>
        <v>-116615.686</v>
      </c>
      <c r="CL38" s="3836">
        <f>(CL5)-(CL8)</f>
        <v>250651.91800000006</v>
      </c>
      <c r="CM38" s="3834"/>
      <c r="CN38" s="3834"/>
      <c r="CP38" s="3834">
        <f>(CP5)-(CP8)</f>
        <v>345557.73419999995</v>
      </c>
      <c r="CQ38" s="3842">
        <f>(CQ5)-(CQ8)</f>
        <v>250651.91800000006</v>
      </c>
      <c r="CR38" s="3834">
        <f>(CR5)-(CR8)</f>
        <v>94905.816199999899</v>
      </c>
      <c r="CT38" s="3843"/>
    </row>
    <row r="39" spans="1:98" ht="13.8" x14ac:dyDescent="0.25">
      <c r="A39" s="1580"/>
      <c r="B39" s="1423" t="s">
        <v>47</v>
      </c>
      <c r="C39" s="2019">
        <f>IFERROR(C38/(C5),0)</f>
        <v>0</v>
      </c>
      <c r="D39" s="2019">
        <f>IFERROR(D38/(D5),0)</f>
        <v>0</v>
      </c>
      <c r="E39" s="2020">
        <f>IFERROR(E38/(E5),0)</f>
        <v>0</v>
      </c>
      <c r="F39" s="2020"/>
      <c r="G39" s="1066"/>
      <c r="H39" s="2019">
        <f>IFERROR(H38/(H5),0)</f>
        <v>0</v>
      </c>
      <c r="I39" s="2019">
        <f>IFERROR(I38/(I5),0)</f>
        <v>0</v>
      </c>
      <c r="J39" s="2020">
        <f>IFERROR(J38/(J5),0)</f>
        <v>0</v>
      </c>
      <c r="K39" s="2020"/>
      <c r="L39" s="1066"/>
      <c r="M39" s="2019">
        <f>IFERROR(M38/(M5),0)</f>
        <v>0</v>
      </c>
      <c r="N39" s="2019">
        <f>IFERROR(N38/(N5),0)</f>
        <v>0</v>
      </c>
      <c r="O39" s="2020">
        <f>IFERROR(O38/(O5),0)</f>
        <v>0</v>
      </c>
      <c r="P39" s="2020"/>
      <c r="Q39" s="1066"/>
      <c r="R39" s="3466"/>
      <c r="S39" s="3466"/>
      <c r="T39" s="3466"/>
      <c r="U39" s="3466"/>
      <c r="V39" s="3466"/>
      <c r="W39" s="3466"/>
      <c r="X39" s="3466"/>
      <c r="Y39" s="3466"/>
      <c r="Z39" s="3466"/>
      <c r="AA39" s="3466"/>
      <c r="AB39" s="2019">
        <f>IFERROR(AB38/(AB5),0)</f>
        <v>0</v>
      </c>
      <c r="AC39" s="2019">
        <f>IFERROR(AC38/(AC5),0)</f>
        <v>0</v>
      </c>
      <c r="AD39" s="2020">
        <f>IFERROR(AD38/(AD5),0)</f>
        <v>0</v>
      </c>
      <c r="AE39" s="2020"/>
      <c r="AF39" s="1066"/>
      <c r="AG39" s="2019">
        <f>IFERROR(AG38/(AG5),0)</f>
        <v>0.8357462872183018</v>
      </c>
      <c r="AH39" s="2019">
        <f>IFERROR(AH38/(AH5),0)</f>
        <v>0</v>
      </c>
      <c r="AI39" s="2020">
        <f>IFERROR(AI38/(AI5),0)</f>
        <v>0.82920126878527545</v>
      </c>
      <c r="AJ39" s="2020"/>
      <c r="AK39" s="1066"/>
      <c r="AL39" s="2019">
        <f>IFERROR(AL38/(AL5),0)</f>
        <v>0</v>
      </c>
      <c r="AM39" s="2019">
        <f>IFERROR(AM38/(AM5),0)</f>
        <v>0</v>
      </c>
      <c r="AN39" s="2020">
        <f>IFERROR(AN38/(AN5),0)</f>
        <v>0</v>
      </c>
      <c r="AO39" s="2020"/>
      <c r="AP39" s="1066"/>
      <c r="AQ39" s="2019">
        <f>IFERROR(AQ38/(AQ5),0)</f>
        <v>0</v>
      </c>
      <c r="AR39" s="2019">
        <f>IFERROR(AR38/(AR5),0)</f>
        <v>0</v>
      </c>
      <c r="AS39" s="2020">
        <f>IFERROR(AS38/(AS5),0)</f>
        <v>0</v>
      </c>
      <c r="AT39" s="2020"/>
      <c r="AU39" s="1066"/>
      <c r="AV39" s="2019">
        <f>IFERROR(AV38/(AV5),0)</f>
        <v>0</v>
      </c>
      <c r="AW39" s="2019">
        <f>IFERROR(AW38/(AW5),0)</f>
        <v>0</v>
      </c>
      <c r="AX39" s="2020">
        <f>IFERROR(AX38/(AX5),0)</f>
        <v>0</v>
      </c>
      <c r="AY39" s="2020"/>
      <c r="AZ39" s="1066"/>
      <c r="BA39" s="2019">
        <f>IFERROR(BA38/(BA5),0)</f>
        <v>0</v>
      </c>
      <c r="BB39" s="2019">
        <f>IFERROR(BB38/(BB5),0)</f>
        <v>0</v>
      </c>
      <c r="BC39" s="2020">
        <f>IFERROR(BC38/(BC5),0)</f>
        <v>0</v>
      </c>
      <c r="BD39" s="2020"/>
      <c r="BE39" s="1066"/>
      <c r="BF39" s="2019">
        <f>IFERROR(BF38/(BF5),0)</f>
        <v>0</v>
      </c>
      <c r="BG39" s="2019">
        <f>IFERROR(BG38/(BG5),0)</f>
        <v>0</v>
      </c>
      <c r="BH39" s="2020">
        <f>IFERROR(BH38/(BH5),0)</f>
        <v>0</v>
      </c>
      <c r="BI39" s="2020"/>
      <c r="BJ39" s="1066"/>
      <c r="BK39" s="2019">
        <f>IFERROR(BK38/(BK5),0)</f>
        <v>0</v>
      </c>
      <c r="BL39" s="2019">
        <f>IFERROR(BL38/(BL5),0)</f>
        <v>0</v>
      </c>
      <c r="BM39" s="2020">
        <f>IFERROR(BM38/(BM5),0)</f>
        <v>0</v>
      </c>
      <c r="BN39" s="2020"/>
      <c r="BO39" s="1066"/>
      <c r="BP39" s="2019">
        <f>IFERROR(BP38/(BP5),0)</f>
        <v>0</v>
      </c>
      <c r="BQ39" s="2019">
        <f>IFERROR(BQ38/(BQ5),0)</f>
        <v>0</v>
      </c>
      <c r="BR39" s="2020">
        <f>IFERROR(BR38/(BR5),0)</f>
        <v>0</v>
      </c>
      <c r="BS39" s="2020"/>
      <c r="BT39" s="1066"/>
      <c r="BU39" s="2019">
        <f>IFERROR(BU38/(BU5),0)</f>
        <v>0</v>
      </c>
      <c r="BV39" s="2019">
        <f>IFERROR(BV38/(BV5),0)</f>
        <v>0</v>
      </c>
      <c r="BW39" s="2020">
        <f>IFERROR(BW38/(BW5),0)</f>
        <v>0</v>
      </c>
      <c r="BX39" s="2020"/>
      <c r="BY39" s="1066"/>
      <c r="BZ39" s="2019">
        <f>IFERROR(BZ38/(BZ5),0)</f>
        <v>0</v>
      </c>
      <c r="CA39" s="2019">
        <f>IFERROR(CA38/(CA5),0)</f>
        <v>0</v>
      </c>
      <c r="CB39" s="2020">
        <f>IFERROR(CB38/(CB5),0)</f>
        <v>0</v>
      </c>
      <c r="CC39" s="2020"/>
      <c r="CD39" s="1066"/>
      <c r="CE39" s="2019">
        <f>IFERROR(CE38/(CE5),0)</f>
        <v>0</v>
      </c>
      <c r="CF39" s="2019">
        <f>IFERROR(CF38/(CF5),0)</f>
        <v>0</v>
      </c>
      <c r="CG39" s="2020">
        <f>IFERROR(CG38/(CG5),0)</f>
        <v>0</v>
      </c>
      <c r="CH39" s="2020"/>
      <c r="CI39" s="1066"/>
      <c r="CJ39" s="2019">
        <f>IFERROR(CJ38/(CJ5),0)</f>
        <v>0.53417183067408991</v>
      </c>
      <c r="CK39" s="2019">
        <f>IFERROR(CK38/(CK5),0)</f>
        <v>0</v>
      </c>
      <c r="CL39" s="2020">
        <f>IFERROR(CL38/(CL5),0)</f>
        <v>0.36456031635186614</v>
      </c>
      <c r="CM39" s="2020"/>
      <c r="CN39" s="2020"/>
      <c r="CP39" s="2020">
        <f>CP38/(CP5)</f>
        <v>0.4910365178865928</v>
      </c>
      <c r="CQ39" s="2020">
        <f>IFERROR(CQ38/(CQ5),0)</f>
        <v>0.36456031635186614</v>
      </c>
      <c r="CR39" s="2020">
        <f>CR38/(CR5)</f>
        <v>5.8636599096269553</v>
      </c>
    </row>
    <row r="40" spans="1:98" ht="14.4" outlineLevel="1" thickBot="1" x14ac:dyDescent="0.3">
      <c r="A40" s="1582"/>
      <c r="B40" s="3965"/>
      <c r="C40" s="3966"/>
      <c r="D40" s="3966"/>
      <c r="E40" s="3966"/>
      <c r="F40" s="3966"/>
      <c r="G40" s="3967"/>
      <c r="H40" s="3966"/>
      <c r="I40" s="3966"/>
      <c r="J40" s="3966"/>
      <c r="K40" s="3966"/>
      <c r="L40" s="3967"/>
      <c r="M40" s="3966"/>
      <c r="N40" s="3966"/>
      <c r="O40" s="3966"/>
      <c r="P40" s="3966"/>
      <c r="Q40" s="3967"/>
      <c r="R40" s="3967"/>
      <c r="S40" s="3967"/>
      <c r="T40" s="3967"/>
      <c r="U40" s="3967"/>
      <c r="V40" s="3967"/>
      <c r="W40" s="3967"/>
      <c r="X40" s="3967"/>
      <c r="Y40" s="3967"/>
      <c r="Z40" s="3967"/>
      <c r="AA40" s="3967"/>
      <c r="AB40" s="3966"/>
      <c r="AC40" s="3966"/>
      <c r="AD40" s="3966"/>
      <c r="AE40" s="3966"/>
      <c r="AF40" s="3967"/>
      <c r="AG40" s="3966"/>
      <c r="AH40" s="3966"/>
      <c r="AI40" s="3966"/>
      <c r="AJ40" s="3966"/>
      <c r="AK40" s="3967"/>
      <c r="AL40" s="3966"/>
      <c r="AM40" s="3966"/>
      <c r="AN40" s="3966"/>
      <c r="AO40" s="3966"/>
      <c r="AP40" s="3967"/>
      <c r="AQ40" s="3966"/>
      <c r="AR40" s="3966"/>
      <c r="AS40" s="3966"/>
      <c r="AT40" s="3966"/>
      <c r="AU40" s="3967"/>
      <c r="AV40" s="3966"/>
      <c r="AW40" s="3966"/>
      <c r="AX40" s="3966"/>
      <c r="AY40" s="3966"/>
      <c r="AZ40" s="3967"/>
      <c r="BA40" s="3966"/>
      <c r="BB40" s="3966"/>
      <c r="BC40" s="3966"/>
      <c r="BD40" s="3966"/>
      <c r="BE40" s="3967"/>
      <c r="BF40" s="3966"/>
      <c r="BG40" s="3966"/>
      <c r="BH40" s="3966"/>
      <c r="BI40" s="3966"/>
      <c r="BJ40" s="3967"/>
      <c r="BK40" s="3966"/>
      <c r="BL40" s="3966"/>
      <c r="BM40" s="3966"/>
      <c r="BN40" s="3966"/>
      <c r="BO40" s="3967"/>
      <c r="BP40" s="3966"/>
      <c r="BQ40" s="3966"/>
      <c r="BR40" s="3966"/>
      <c r="BS40" s="3966"/>
      <c r="BT40" s="3967"/>
      <c r="BU40" s="3966"/>
      <c r="BV40" s="3966"/>
      <c r="BW40" s="3966"/>
      <c r="BX40" s="3966"/>
      <c r="BY40" s="3967"/>
      <c r="BZ40" s="3966"/>
      <c r="CA40" s="3966"/>
      <c r="CB40" s="3966"/>
      <c r="CC40" s="3966"/>
      <c r="CD40" s="3967"/>
      <c r="CE40" s="3966"/>
      <c r="CF40" s="3966"/>
      <c r="CG40" s="3966"/>
      <c r="CH40" s="3966"/>
      <c r="CI40" s="3967"/>
      <c r="CJ40" s="3966"/>
      <c r="CK40" s="3966"/>
      <c r="CL40" s="3966"/>
      <c r="CM40" s="3966"/>
      <c r="CN40" s="3966"/>
      <c r="CP40" s="3968"/>
      <c r="CQ40" s="3968"/>
      <c r="CR40" s="3968"/>
    </row>
    <row r="41" spans="1:98" ht="13.8" outlineLevel="1" x14ac:dyDescent="0.25">
      <c r="A41" s="1420"/>
      <c r="B41" s="1430" t="s">
        <v>26</v>
      </c>
      <c r="C41" s="2029">
        <f>SUM(C42:C48)</f>
        <v>0</v>
      </c>
      <c r="D41" s="2029">
        <f>SUM(D42:D48)</f>
        <v>0</v>
      </c>
      <c r="E41" s="2030">
        <f>SUM(E42:E48)</f>
        <v>0</v>
      </c>
      <c r="F41" s="3947" t="e">
        <f>E41/$E$89</f>
        <v>#DIV/0!</v>
      </c>
      <c r="G41" s="1067"/>
      <c r="H41" s="2029">
        <f>SUM(H42:H48)</f>
        <v>0</v>
      </c>
      <c r="I41" s="2029">
        <f>SUM(I42:I48)</f>
        <v>0</v>
      </c>
      <c r="J41" s="2030">
        <f>SUM(J42:J48)</f>
        <v>0</v>
      </c>
      <c r="K41" s="3947" t="e">
        <f>J41/$E$89</f>
        <v>#DIV/0!</v>
      </c>
      <c r="L41" s="1067"/>
      <c r="M41" s="2029">
        <f>SUM(M42:M48)</f>
        <v>0</v>
      </c>
      <c r="N41" s="2029">
        <f>SUM(N42:N48)</f>
        <v>0</v>
      </c>
      <c r="O41" s="2030">
        <f>SUM(O42:O48)</f>
        <v>0</v>
      </c>
      <c r="P41" s="3947" t="e">
        <f>O41/$E$89</f>
        <v>#DIV/0!</v>
      </c>
      <c r="Q41" s="1067"/>
      <c r="R41" s="2029">
        <f>SUM(R42:R48)</f>
        <v>0</v>
      </c>
      <c r="S41" s="2029">
        <f>SUM(S42:S48)</f>
        <v>0</v>
      </c>
      <c r="T41" s="2030">
        <f>SUM(T42:T48)</f>
        <v>0</v>
      </c>
      <c r="U41" s="3947"/>
      <c r="V41" s="3467"/>
      <c r="W41" s="2029">
        <f>SUM(W42:W48)</f>
        <v>0</v>
      </c>
      <c r="X41" s="2029">
        <f>SUM(X42:X48)</f>
        <v>0</v>
      </c>
      <c r="Y41" s="2030">
        <f>SUM(Y42:Y48)</f>
        <v>0</v>
      </c>
      <c r="Z41" s="3947"/>
      <c r="AA41" s="3467"/>
      <c r="AB41" s="2029">
        <f>SUM(AB42:AB48)</f>
        <v>0</v>
      </c>
      <c r="AC41" s="2029">
        <f>SUM(AC42:AC48)</f>
        <v>0</v>
      </c>
      <c r="AD41" s="2030">
        <f>SUM(AD42:AD48)</f>
        <v>0</v>
      </c>
      <c r="AE41" s="3947"/>
      <c r="AF41" s="1067"/>
      <c r="AG41" s="2029">
        <f>SUM(AG42:AG48)</f>
        <v>0</v>
      </c>
      <c r="AH41" s="2029">
        <f>SUM(AH42:AH48)</f>
        <v>0</v>
      </c>
      <c r="AI41" s="2030">
        <f>SUM(AI42:AI48)</f>
        <v>0</v>
      </c>
      <c r="AJ41" s="3947"/>
      <c r="AK41" s="1067"/>
      <c r="AL41" s="2029">
        <f>SUM(AL42:AL48)</f>
        <v>0</v>
      </c>
      <c r="AM41" s="2029">
        <f>SUM(AM42:AM48)</f>
        <v>0</v>
      </c>
      <c r="AN41" s="2030">
        <f>SUM(AN42:AN48)</f>
        <v>0</v>
      </c>
      <c r="AO41" s="3947"/>
      <c r="AP41" s="1067"/>
      <c r="AQ41" s="2029">
        <f>SUM(AQ42:AQ48)</f>
        <v>0</v>
      </c>
      <c r="AR41" s="2029">
        <f>SUM(AR42:AR48)</f>
        <v>0</v>
      </c>
      <c r="AS41" s="2030">
        <f>SUM(AS42:AS48)</f>
        <v>0</v>
      </c>
      <c r="AT41" s="3947"/>
      <c r="AU41" s="1067"/>
      <c r="AV41" s="2029">
        <f>SUM(AV42:AV48)</f>
        <v>0</v>
      </c>
      <c r="AW41" s="2029">
        <f>SUM(AW42:AW48)</f>
        <v>0</v>
      </c>
      <c r="AX41" s="2030">
        <f>SUM(AX42:AX48)</f>
        <v>0</v>
      </c>
      <c r="AY41" s="3947"/>
      <c r="AZ41" s="1067"/>
      <c r="BA41" s="2029">
        <f>SUM(BA42:BA48)</f>
        <v>0</v>
      </c>
      <c r="BB41" s="2029">
        <f>SUM(BB42:BB48)</f>
        <v>0</v>
      </c>
      <c r="BC41" s="2030">
        <f>SUM(BC42:BC48)</f>
        <v>0</v>
      </c>
      <c r="BD41" s="3947"/>
      <c r="BE41" s="1067"/>
      <c r="BF41" s="2029">
        <f>SUM(BF42:BF48)</f>
        <v>0</v>
      </c>
      <c r="BG41" s="2029">
        <f>SUM(BG42:BG48)</f>
        <v>0</v>
      </c>
      <c r="BH41" s="2030">
        <f>SUM(BH42:BH48)</f>
        <v>0</v>
      </c>
      <c r="BI41" s="3947"/>
      <c r="BJ41" s="1067"/>
      <c r="BK41" s="2029">
        <f>SUM(BK42:BK48)</f>
        <v>0</v>
      </c>
      <c r="BL41" s="2029">
        <f>SUM(BL42:BL48)</f>
        <v>0</v>
      </c>
      <c r="BM41" s="2030">
        <f>SUM(BM42:BM48)</f>
        <v>0</v>
      </c>
      <c r="BN41" s="3947"/>
      <c r="BO41" s="1067"/>
      <c r="BP41" s="2029">
        <f>SUM(BP42:BP48)</f>
        <v>0</v>
      </c>
      <c r="BQ41" s="2029">
        <f>SUM(BQ42:BQ48)</f>
        <v>0</v>
      </c>
      <c r="BR41" s="2030">
        <f>SUM(BR42:BR48)</f>
        <v>0</v>
      </c>
      <c r="BS41" s="3947"/>
      <c r="BT41" s="1067"/>
      <c r="BU41" s="2029">
        <f>SUM(BU42:BU48)</f>
        <v>0</v>
      </c>
      <c r="BV41" s="2029">
        <f>SUM(BV42:BV48)</f>
        <v>0</v>
      </c>
      <c r="BW41" s="2030">
        <f>SUM(BW42:BW48)</f>
        <v>0</v>
      </c>
      <c r="BX41" s="3947"/>
      <c r="BY41" s="1067"/>
      <c r="BZ41" s="2029">
        <f>SUM(BZ42:BZ48)</f>
        <v>0</v>
      </c>
      <c r="CA41" s="2029">
        <f>SUM(CA42:CA48)</f>
        <v>0</v>
      </c>
      <c r="CB41" s="2030">
        <f>SUM(CB42:CB48)</f>
        <v>0</v>
      </c>
      <c r="CC41" s="3947"/>
      <c r="CD41" s="1067"/>
      <c r="CE41" s="2029">
        <f>SUM(CE42:CE48)</f>
        <v>0</v>
      </c>
      <c r="CF41" s="2029">
        <f>SUM(CF42:CF48)</f>
        <v>0</v>
      </c>
      <c r="CG41" s="2030">
        <f>SUM(CG42:CG48)</f>
        <v>0</v>
      </c>
      <c r="CH41" s="3947"/>
      <c r="CI41" s="1067"/>
      <c r="CJ41" s="2029">
        <f>SUM(CJ42:CJ48)</f>
        <v>0</v>
      </c>
      <c r="CK41" s="2029">
        <f>SUM(CK42:CK48)</f>
        <v>0</v>
      </c>
      <c r="CL41" s="2030">
        <f>SUM(CL42:CL48)</f>
        <v>0</v>
      </c>
      <c r="CM41" s="3947">
        <f t="shared" ref="CM41:CM49" si="94">CL41/$CL$89</f>
        <v>0</v>
      </c>
      <c r="CN41" s="2022"/>
      <c r="CP41" s="2030">
        <f>SUM(CP42:CP48)</f>
        <v>0</v>
      </c>
      <c r="CQ41" s="2030">
        <f>SUM(CQ42:CQ48)</f>
        <v>0</v>
      </c>
      <c r="CR41" s="2030"/>
    </row>
    <row r="42" spans="1:98" ht="13.8" outlineLevel="2" x14ac:dyDescent="0.25">
      <c r="A42" s="4015"/>
      <c r="B42" s="4002" t="s">
        <v>7</v>
      </c>
      <c r="C42" s="3274"/>
      <c r="D42" s="3274"/>
      <c r="E42" s="3283">
        <f t="shared" ref="E42:E48" si="95">C42+D42</f>
        <v>0</v>
      </c>
      <c r="F42" s="3945" t="e">
        <f t="shared" ref="F42:F48" si="96">E42/$E$89</f>
        <v>#DIV/0!</v>
      </c>
      <c r="G42" s="4003"/>
      <c r="H42" s="3274"/>
      <c r="I42" s="3274"/>
      <c r="J42" s="3283">
        <f t="shared" ref="J42:J48" si="97">H42+I42</f>
        <v>0</v>
      </c>
      <c r="K42" s="3945" t="e">
        <f t="shared" ref="K42:K48" si="98">J42/J$89</f>
        <v>#DIV/0!</v>
      </c>
      <c r="L42" s="4003"/>
      <c r="M42" s="3274"/>
      <c r="N42" s="3274"/>
      <c r="O42" s="3283">
        <f t="shared" ref="O42:O48" si="99">M42+N42</f>
        <v>0</v>
      </c>
      <c r="P42" s="3945">
        <f t="shared" ref="P42:P48" si="100">O42/O$89</f>
        <v>0</v>
      </c>
      <c r="Q42" s="4003"/>
      <c r="R42" s="3275">
        <f t="shared" ref="R42:S48" si="101">M42+H42+C42</f>
        <v>0</v>
      </c>
      <c r="S42" s="3275">
        <f t="shared" si="101"/>
        <v>0</v>
      </c>
      <c r="T42" s="2028">
        <f t="shared" ref="T42:T48" si="102">R42+S42</f>
        <v>0</v>
      </c>
      <c r="U42" s="3469"/>
      <c r="V42" s="3469"/>
      <c r="W42" s="3275">
        <f t="shared" ref="W42:X48" si="103">AB42+AG42+AL42+AV42+BA42+BF42+BK42+BP42+BU42+BZ42+CE42+AQ42</f>
        <v>0</v>
      </c>
      <c r="X42" s="3275">
        <f t="shared" si="103"/>
        <v>0</v>
      </c>
      <c r="Y42" s="2028">
        <f t="shared" ref="Y42:Y48" si="104">W42+X42</f>
        <v>0</v>
      </c>
      <c r="Z42" s="3469"/>
      <c r="AA42" s="3469"/>
      <c r="AB42" s="3274"/>
      <c r="AC42" s="3274"/>
      <c r="AD42" s="3283">
        <f t="shared" ref="AD42:AD48" si="105">AB42+AC42</f>
        <v>0</v>
      </c>
      <c r="AE42" s="3945">
        <f t="shared" ref="AE42:AE49" si="106">AD42/AD$89</f>
        <v>0</v>
      </c>
      <c r="AF42" s="4003"/>
      <c r="AG42" s="3274"/>
      <c r="AH42" s="3274"/>
      <c r="AI42" s="3283">
        <f t="shared" ref="AI42:AI48" si="107">AG42+AH42</f>
        <v>0</v>
      </c>
      <c r="AJ42" s="3945">
        <f t="shared" ref="AJ42:AJ49" si="108">AI42/AI$89</f>
        <v>0</v>
      </c>
      <c r="AK42" s="4003"/>
      <c r="AL42" s="3274"/>
      <c r="AM42" s="3274"/>
      <c r="AN42" s="3283">
        <f t="shared" ref="AN42:AN48" si="109">AL42+AM42</f>
        <v>0</v>
      </c>
      <c r="AO42" s="3945" t="e">
        <f t="shared" ref="AO42:AO49" si="110">AN42/AN$89</f>
        <v>#DIV/0!</v>
      </c>
      <c r="AP42" s="4003"/>
      <c r="AQ42" s="3274"/>
      <c r="AR42" s="3274"/>
      <c r="AS42" s="3283">
        <f t="shared" ref="AS42:AS48" si="111">AQ42+AR42</f>
        <v>0</v>
      </c>
      <c r="AT42" s="3945" t="e">
        <f t="shared" ref="AT42:AT49" si="112">AS42/AS$89</f>
        <v>#DIV/0!</v>
      </c>
      <c r="AU42" s="4003"/>
      <c r="AV42" s="3274"/>
      <c r="AW42" s="3274"/>
      <c r="AX42" s="3283">
        <f t="shared" ref="AX42:AX48" si="113">AV42+AW42</f>
        <v>0</v>
      </c>
      <c r="AY42" s="3945" t="e">
        <f t="shared" ref="AY42:AY49" si="114">AX42/AX$89</f>
        <v>#DIV/0!</v>
      </c>
      <c r="AZ42" s="4003"/>
      <c r="BA42" s="3274"/>
      <c r="BB42" s="3274"/>
      <c r="BC42" s="3283">
        <f t="shared" ref="BC42:BC48" si="115">BA42+BB42</f>
        <v>0</v>
      </c>
      <c r="BD42" s="3945" t="e">
        <f t="shared" ref="BD42:BD49" si="116">BC42/BC$89</f>
        <v>#DIV/0!</v>
      </c>
      <c r="BE42" s="4003"/>
      <c r="BF42" s="3274"/>
      <c r="BG42" s="3274"/>
      <c r="BH42" s="3283">
        <f t="shared" ref="BH42:BH48" si="117">BF42+BG42</f>
        <v>0</v>
      </c>
      <c r="BI42" s="3945" t="e">
        <f t="shared" ref="BI42:BI49" si="118">BH42/BH$89</f>
        <v>#DIV/0!</v>
      </c>
      <c r="BJ42" s="4003"/>
      <c r="BK42" s="3274"/>
      <c r="BL42" s="3274"/>
      <c r="BM42" s="3283">
        <f t="shared" ref="BM42:BM48" si="119">BK42+BL42</f>
        <v>0</v>
      </c>
      <c r="BN42" s="3945" t="e">
        <f t="shared" ref="BN42:BN49" si="120">BM42/BM$89</f>
        <v>#DIV/0!</v>
      </c>
      <c r="BO42" s="4003"/>
      <c r="BP42" s="3274"/>
      <c r="BQ42" s="3274"/>
      <c r="BR42" s="3283">
        <f t="shared" ref="BR42:BR48" si="121">BP42+BQ42</f>
        <v>0</v>
      </c>
      <c r="BS42" s="3945" t="e">
        <f t="shared" ref="BS42:BS49" si="122">BR42/BR$89</f>
        <v>#DIV/0!</v>
      </c>
      <c r="BT42" s="4003"/>
      <c r="BU42" s="3274"/>
      <c r="BV42" s="3274"/>
      <c r="BW42" s="3283">
        <f t="shared" ref="BW42:BW48" si="123">BU42+BV42</f>
        <v>0</v>
      </c>
      <c r="BX42" s="3945" t="e">
        <f t="shared" ref="BX42:BX49" si="124">BW42/BW$89</f>
        <v>#DIV/0!</v>
      </c>
      <c r="BY42" s="4003"/>
      <c r="BZ42" s="3274"/>
      <c r="CA42" s="3274"/>
      <c r="CB42" s="3283">
        <f t="shared" ref="CB42:CB48" si="125">BZ42+CA42</f>
        <v>0</v>
      </c>
      <c r="CC42" s="3945" t="e">
        <f t="shared" ref="CC42:CC49" si="126">CB42/CB$89</f>
        <v>#DIV/0!</v>
      </c>
      <c r="CD42" s="4003"/>
      <c r="CE42" s="3274"/>
      <c r="CF42" s="3274"/>
      <c r="CG42" s="3283">
        <f t="shared" ref="CG42:CG48" si="127">CE42+CF42</f>
        <v>0</v>
      </c>
      <c r="CH42" s="3945" t="e">
        <f t="shared" ref="CH42:CH49" si="128">CG42/CG$89</f>
        <v>#DIV/0!</v>
      </c>
      <c r="CI42" s="4003"/>
      <c r="CJ42" s="3274">
        <f t="shared" ref="CJ42:CK48" si="129">C42+H42+M42+W42</f>
        <v>0</v>
      </c>
      <c r="CK42" s="3274">
        <f t="shared" si="129"/>
        <v>0</v>
      </c>
      <c r="CL42" s="2028">
        <f t="shared" ref="CL42:CL48" si="130">CJ42+CK42*1</f>
        <v>0</v>
      </c>
      <c r="CM42" s="3945">
        <f t="shared" si="94"/>
        <v>0</v>
      </c>
      <c r="CN42" s="3946"/>
      <c r="CP42" s="2028">
        <f t="shared" ref="CP42:CQ48" si="131">CN42+CO42*1</f>
        <v>0</v>
      </c>
      <c r="CQ42" s="2028">
        <f t="shared" si="131"/>
        <v>0</v>
      </c>
      <c r="CR42" s="3991"/>
    </row>
    <row r="43" spans="1:98" ht="13.8" outlineLevel="2" x14ac:dyDescent="0.25">
      <c r="A43" s="4015"/>
      <c r="B43" s="4002" t="s">
        <v>27</v>
      </c>
      <c r="C43" s="3274"/>
      <c r="D43" s="3274"/>
      <c r="E43" s="3283">
        <f t="shared" si="95"/>
        <v>0</v>
      </c>
      <c r="F43" s="3945" t="e">
        <f t="shared" si="96"/>
        <v>#DIV/0!</v>
      </c>
      <c r="G43" s="4003"/>
      <c r="H43" s="3274"/>
      <c r="I43" s="3274"/>
      <c r="J43" s="3283">
        <f t="shared" si="97"/>
        <v>0</v>
      </c>
      <c r="K43" s="3945" t="e">
        <f t="shared" si="98"/>
        <v>#DIV/0!</v>
      </c>
      <c r="L43" s="4003"/>
      <c r="M43" s="3274"/>
      <c r="N43" s="3274"/>
      <c r="O43" s="3283">
        <f t="shared" si="99"/>
        <v>0</v>
      </c>
      <c r="P43" s="3945">
        <f t="shared" si="100"/>
        <v>0</v>
      </c>
      <c r="Q43" s="4003"/>
      <c r="R43" s="3275">
        <f t="shared" si="101"/>
        <v>0</v>
      </c>
      <c r="S43" s="3275">
        <f t="shared" si="101"/>
        <v>0</v>
      </c>
      <c r="T43" s="2028">
        <f t="shared" si="102"/>
        <v>0</v>
      </c>
      <c r="U43" s="3469"/>
      <c r="V43" s="3469"/>
      <c r="W43" s="3275">
        <f t="shared" si="103"/>
        <v>0</v>
      </c>
      <c r="X43" s="3275">
        <f t="shared" si="103"/>
        <v>0</v>
      </c>
      <c r="Y43" s="2028">
        <f t="shared" si="104"/>
        <v>0</v>
      </c>
      <c r="Z43" s="3469"/>
      <c r="AA43" s="3469"/>
      <c r="AB43" s="3274"/>
      <c r="AC43" s="3274"/>
      <c r="AD43" s="3283">
        <f t="shared" si="105"/>
        <v>0</v>
      </c>
      <c r="AE43" s="3945">
        <f t="shared" si="106"/>
        <v>0</v>
      </c>
      <c r="AF43" s="4003"/>
      <c r="AG43" s="3274"/>
      <c r="AH43" s="3274"/>
      <c r="AI43" s="3283">
        <f t="shared" si="107"/>
        <v>0</v>
      </c>
      <c r="AJ43" s="3945">
        <f t="shared" si="108"/>
        <v>0</v>
      </c>
      <c r="AK43" s="4003"/>
      <c r="AL43" s="3274"/>
      <c r="AM43" s="3274"/>
      <c r="AN43" s="3283">
        <f t="shared" si="109"/>
        <v>0</v>
      </c>
      <c r="AO43" s="3945" t="e">
        <f t="shared" si="110"/>
        <v>#DIV/0!</v>
      </c>
      <c r="AP43" s="4003"/>
      <c r="AQ43" s="3274"/>
      <c r="AR43" s="3274"/>
      <c r="AS43" s="3283">
        <f t="shared" si="111"/>
        <v>0</v>
      </c>
      <c r="AT43" s="3945" t="e">
        <f t="shared" si="112"/>
        <v>#DIV/0!</v>
      </c>
      <c r="AU43" s="4003"/>
      <c r="AV43" s="3274"/>
      <c r="AW43" s="3274"/>
      <c r="AX43" s="3283">
        <f t="shared" si="113"/>
        <v>0</v>
      </c>
      <c r="AY43" s="3945" t="e">
        <f t="shared" si="114"/>
        <v>#DIV/0!</v>
      </c>
      <c r="AZ43" s="4003"/>
      <c r="BA43" s="3274"/>
      <c r="BB43" s="3274"/>
      <c r="BC43" s="3283">
        <f t="shared" si="115"/>
        <v>0</v>
      </c>
      <c r="BD43" s="3945" t="e">
        <f t="shared" si="116"/>
        <v>#DIV/0!</v>
      </c>
      <c r="BE43" s="4003"/>
      <c r="BF43" s="3274"/>
      <c r="BG43" s="3274"/>
      <c r="BH43" s="3283">
        <f t="shared" si="117"/>
        <v>0</v>
      </c>
      <c r="BI43" s="3945" t="e">
        <f t="shared" si="118"/>
        <v>#DIV/0!</v>
      </c>
      <c r="BJ43" s="4003"/>
      <c r="BK43" s="3274"/>
      <c r="BL43" s="3274"/>
      <c r="BM43" s="3283">
        <f t="shared" si="119"/>
        <v>0</v>
      </c>
      <c r="BN43" s="3945" t="e">
        <f t="shared" si="120"/>
        <v>#DIV/0!</v>
      </c>
      <c r="BO43" s="4003"/>
      <c r="BP43" s="3274"/>
      <c r="BQ43" s="3274"/>
      <c r="BR43" s="3283">
        <f t="shared" si="121"/>
        <v>0</v>
      </c>
      <c r="BS43" s="3945" t="e">
        <f t="shared" si="122"/>
        <v>#DIV/0!</v>
      </c>
      <c r="BT43" s="4003"/>
      <c r="BU43" s="3274"/>
      <c r="BV43" s="3274"/>
      <c r="BW43" s="3283">
        <f t="shared" si="123"/>
        <v>0</v>
      </c>
      <c r="BX43" s="3945" t="e">
        <f t="shared" si="124"/>
        <v>#DIV/0!</v>
      </c>
      <c r="BY43" s="4003"/>
      <c r="BZ43" s="3274"/>
      <c r="CA43" s="3274"/>
      <c r="CB43" s="3283">
        <f t="shared" si="125"/>
        <v>0</v>
      </c>
      <c r="CC43" s="3945" t="e">
        <f t="shared" si="126"/>
        <v>#DIV/0!</v>
      </c>
      <c r="CD43" s="4003"/>
      <c r="CE43" s="3274"/>
      <c r="CF43" s="3274"/>
      <c r="CG43" s="3283">
        <f t="shared" si="127"/>
        <v>0</v>
      </c>
      <c r="CH43" s="3945" t="e">
        <f t="shared" si="128"/>
        <v>#DIV/0!</v>
      </c>
      <c r="CI43" s="4003"/>
      <c r="CJ43" s="3274">
        <f t="shared" si="129"/>
        <v>0</v>
      </c>
      <c r="CK43" s="3274">
        <f t="shared" si="129"/>
        <v>0</v>
      </c>
      <c r="CL43" s="2028">
        <f t="shared" si="130"/>
        <v>0</v>
      </c>
      <c r="CM43" s="3945">
        <f t="shared" si="94"/>
        <v>0</v>
      </c>
      <c r="CN43" s="3946"/>
      <c r="CP43" s="2028">
        <f t="shared" si="131"/>
        <v>0</v>
      </c>
      <c r="CQ43" s="2028">
        <f t="shared" si="131"/>
        <v>0</v>
      </c>
      <c r="CR43" s="3991"/>
    </row>
    <row r="44" spans="1:98" ht="13.8" outlineLevel="2" x14ac:dyDescent="0.25">
      <c r="A44" s="4015"/>
      <c r="B44" s="3999" t="s">
        <v>28</v>
      </c>
      <c r="C44" s="3274"/>
      <c r="D44" s="3274"/>
      <c r="E44" s="3283">
        <f t="shared" si="95"/>
        <v>0</v>
      </c>
      <c r="F44" s="3945" t="e">
        <f t="shared" si="96"/>
        <v>#DIV/0!</v>
      </c>
      <c r="G44" s="4003"/>
      <c r="H44" s="3274"/>
      <c r="I44" s="3274"/>
      <c r="J44" s="3283">
        <f t="shared" si="97"/>
        <v>0</v>
      </c>
      <c r="K44" s="3945" t="e">
        <f t="shared" si="98"/>
        <v>#DIV/0!</v>
      </c>
      <c r="L44" s="4003"/>
      <c r="M44" s="3274"/>
      <c r="N44" s="3274"/>
      <c r="O44" s="3283">
        <f t="shared" si="99"/>
        <v>0</v>
      </c>
      <c r="P44" s="3945">
        <f t="shared" si="100"/>
        <v>0</v>
      </c>
      <c r="Q44" s="4003"/>
      <c r="R44" s="3275">
        <f t="shared" si="101"/>
        <v>0</v>
      </c>
      <c r="S44" s="3275">
        <f t="shared" si="101"/>
        <v>0</v>
      </c>
      <c r="T44" s="2028">
        <f t="shared" si="102"/>
        <v>0</v>
      </c>
      <c r="U44" s="3469"/>
      <c r="V44" s="3469"/>
      <c r="W44" s="3275">
        <f t="shared" si="103"/>
        <v>0</v>
      </c>
      <c r="X44" s="3275">
        <f t="shared" si="103"/>
        <v>0</v>
      </c>
      <c r="Y44" s="2028">
        <f t="shared" si="104"/>
        <v>0</v>
      </c>
      <c r="Z44" s="3469"/>
      <c r="AA44" s="3469"/>
      <c r="AB44" s="3274"/>
      <c r="AC44" s="3274"/>
      <c r="AD44" s="3283">
        <f t="shared" si="105"/>
        <v>0</v>
      </c>
      <c r="AE44" s="3945">
        <f t="shared" si="106"/>
        <v>0</v>
      </c>
      <c r="AF44" s="4003"/>
      <c r="AG44" s="3274"/>
      <c r="AH44" s="3274"/>
      <c r="AI44" s="3283">
        <f t="shared" si="107"/>
        <v>0</v>
      </c>
      <c r="AJ44" s="3945">
        <f t="shared" si="108"/>
        <v>0</v>
      </c>
      <c r="AK44" s="4003"/>
      <c r="AL44" s="3274"/>
      <c r="AM44" s="3274"/>
      <c r="AN44" s="3283">
        <f t="shared" si="109"/>
        <v>0</v>
      </c>
      <c r="AO44" s="3945" t="e">
        <f t="shared" si="110"/>
        <v>#DIV/0!</v>
      </c>
      <c r="AP44" s="4003"/>
      <c r="AQ44" s="3274"/>
      <c r="AR44" s="3274"/>
      <c r="AS44" s="3283">
        <f t="shared" si="111"/>
        <v>0</v>
      </c>
      <c r="AT44" s="3945" t="e">
        <f t="shared" si="112"/>
        <v>#DIV/0!</v>
      </c>
      <c r="AU44" s="4003"/>
      <c r="AV44" s="3274"/>
      <c r="AW44" s="3274"/>
      <c r="AX44" s="3283">
        <f t="shared" si="113"/>
        <v>0</v>
      </c>
      <c r="AY44" s="3945" t="e">
        <f t="shared" si="114"/>
        <v>#DIV/0!</v>
      </c>
      <c r="AZ44" s="4003"/>
      <c r="BA44" s="3274"/>
      <c r="BB44" s="3274"/>
      <c r="BC44" s="3283">
        <f t="shared" si="115"/>
        <v>0</v>
      </c>
      <c r="BD44" s="3945" t="e">
        <f t="shared" si="116"/>
        <v>#DIV/0!</v>
      </c>
      <c r="BE44" s="4003"/>
      <c r="BF44" s="3274"/>
      <c r="BG44" s="3274"/>
      <c r="BH44" s="3283">
        <f t="shared" si="117"/>
        <v>0</v>
      </c>
      <c r="BI44" s="3945" t="e">
        <f t="shared" si="118"/>
        <v>#DIV/0!</v>
      </c>
      <c r="BJ44" s="4003"/>
      <c r="BK44" s="3274"/>
      <c r="BL44" s="3274"/>
      <c r="BM44" s="3283">
        <f t="shared" si="119"/>
        <v>0</v>
      </c>
      <c r="BN44" s="3945" t="e">
        <f t="shared" si="120"/>
        <v>#DIV/0!</v>
      </c>
      <c r="BO44" s="4003"/>
      <c r="BP44" s="3274"/>
      <c r="BQ44" s="3274"/>
      <c r="BR44" s="3283">
        <f t="shared" si="121"/>
        <v>0</v>
      </c>
      <c r="BS44" s="3945" t="e">
        <f t="shared" si="122"/>
        <v>#DIV/0!</v>
      </c>
      <c r="BT44" s="4003"/>
      <c r="BU44" s="3274"/>
      <c r="BV44" s="3274"/>
      <c r="BW44" s="3283">
        <f t="shared" si="123"/>
        <v>0</v>
      </c>
      <c r="BX44" s="3945" t="e">
        <f t="shared" si="124"/>
        <v>#DIV/0!</v>
      </c>
      <c r="BY44" s="4003"/>
      <c r="BZ44" s="3274"/>
      <c r="CA44" s="3274"/>
      <c r="CB44" s="3283">
        <f t="shared" si="125"/>
        <v>0</v>
      </c>
      <c r="CC44" s="3945" t="e">
        <f t="shared" si="126"/>
        <v>#DIV/0!</v>
      </c>
      <c r="CD44" s="4003"/>
      <c r="CE44" s="3274"/>
      <c r="CF44" s="3274"/>
      <c r="CG44" s="3283">
        <f t="shared" si="127"/>
        <v>0</v>
      </c>
      <c r="CH44" s="3945" t="e">
        <f t="shared" si="128"/>
        <v>#DIV/0!</v>
      </c>
      <c r="CI44" s="4003"/>
      <c r="CJ44" s="3274">
        <f t="shared" si="129"/>
        <v>0</v>
      </c>
      <c r="CK44" s="3274">
        <f t="shared" si="129"/>
        <v>0</v>
      </c>
      <c r="CL44" s="2028">
        <f t="shared" si="130"/>
        <v>0</v>
      </c>
      <c r="CM44" s="3945">
        <f t="shared" si="94"/>
        <v>0</v>
      </c>
      <c r="CN44" s="3946"/>
      <c r="CP44" s="2028">
        <f t="shared" si="131"/>
        <v>0</v>
      </c>
      <c r="CQ44" s="2028">
        <f t="shared" si="131"/>
        <v>0</v>
      </c>
      <c r="CR44" s="3991"/>
    </row>
    <row r="45" spans="1:98" ht="13.8" outlineLevel="2" x14ac:dyDescent="0.25">
      <c r="A45" s="4015"/>
      <c r="B45" s="4002" t="s">
        <v>8</v>
      </c>
      <c r="C45" s="3274"/>
      <c r="D45" s="3274"/>
      <c r="E45" s="3283">
        <f t="shared" si="95"/>
        <v>0</v>
      </c>
      <c r="F45" s="3945" t="e">
        <f t="shared" si="96"/>
        <v>#DIV/0!</v>
      </c>
      <c r="G45" s="4003"/>
      <c r="H45" s="3274"/>
      <c r="I45" s="3274"/>
      <c r="J45" s="3283">
        <f t="shared" si="97"/>
        <v>0</v>
      </c>
      <c r="K45" s="3945" t="e">
        <f t="shared" si="98"/>
        <v>#DIV/0!</v>
      </c>
      <c r="L45" s="4003"/>
      <c r="M45" s="3274"/>
      <c r="N45" s="3274"/>
      <c r="O45" s="3283">
        <f t="shared" si="99"/>
        <v>0</v>
      </c>
      <c r="P45" s="3945">
        <f t="shared" si="100"/>
        <v>0</v>
      </c>
      <c r="Q45" s="4003"/>
      <c r="R45" s="3275">
        <f t="shared" si="101"/>
        <v>0</v>
      </c>
      <c r="S45" s="3275">
        <f t="shared" si="101"/>
        <v>0</v>
      </c>
      <c r="T45" s="2028">
        <f t="shared" si="102"/>
        <v>0</v>
      </c>
      <c r="U45" s="3469"/>
      <c r="V45" s="3469"/>
      <c r="W45" s="3275">
        <f t="shared" si="103"/>
        <v>0</v>
      </c>
      <c r="X45" s="3275">
        <f t="shared" si="103"/>
        <v>0</v>
      </c>
      <c r="Y45" s="2028">
        <f t="shared" si="104"/>
        <v>0</v>
      </c>
      <c r="Z45" s="3469"/>
      <c r="AA45" s="3469"/>
      <c r="AB45" s="3274"/>
      <c r="AC45" s="3274"/>
      <c r="AD45" s="3283">
        <f t="shared" si="105"/>
        <v>0</v>
      </c>
      <c r="AE45" s="3945">
        <f t="shared" si="106"/>
        <v>0</v>
      </c>
      <c r="AF45" s="4003"/>
      <c r="AG45" s="3274"/>
      <c r="AH45" s="3274"/>
      <c r="AI45" s="3283">
        <f t="shared" si="107"/>
        <v>0</v>
      </c>
      <c r="AJ45" s="3945">
        <f t="shared" si="108"/>
        <v>0</v>
      </c>
      <c r="AK45" s="4003"/>
      <c r="AL45" s="3274"/>
      <c r="AM45" s="3274"/>
      <c r="AN45" s="3283">
        <f t="shared" si="109"/>
        <v>0</v>
      </c>
      <c r="AO45" s="3945" t="e">
        <f t="shared" si="110"/>
        <v>#DIV/0!</v>
      </c>
      <c r="AP45" s="4003"/>
      <c r="AQ45" s="3274"/>
      <c r="AR45" s="3274"/>
      <c r="AS45" s="3283">
        <f t="shared" si="111"/>
        <v>0</v>
      </c>
      <c r="AT45" s="3945" t="e">
        <f t="shared" si="112"/>
        <v>#DIV/0!</v>
      </c>
      <c r="AU45" s="4003"/>
      <c r="AV45" s="3274"/>
      <c r="AW45" s="3274"/>
      <c r="AX45" s="3283">
        <f t="shared" si="113"/>
        <v>0</v>
      </c>
      <c r="AY45" s="3945" t="e">
        <f t="shared" si="114"/>
        <v>#DIV/0!</v>
      </c>
      <c r="AZ45" s="4003"/>
      <c r="BA45" s="3274"/>
      <c r="BB45" s="3274"/>
      <c r="BC45" s="3283">
        <f t="shared" si="115"/>
        <v>0</v>
      </c>
      <c r="BD45" s="3945" t="e">
        <f t="shared" si="116"/>
        <v>#DIV/0!</v>
      </c>
      <c r="BE45" s="4003"/>
      <c r="BF45" s="3274"/>
      <c r="BG45" s="3274"/>
      <c r="BH45" s="3283">
        <f t="shared" si="117"/>
        <v>0</v>
      </c>
      <c r="BI45" s="3945" t="e">
        <f t="shared" si="118"/>
        <v>#DIV/0!</v>
      </c>
      <c r="BJ45" s="4003"/>
      <c r="BK45" s="3274"/>
      <c r="BL45" s="3274"/>
      <c r="BM45" s="3283">
        <f t="shared" si="119"/>
        <v>0</v>
      </c>
      <c r="BN45" s="3945" t="e">
        <f t="shared" si="120"/>
        <v>#DIV/0!</v>
      </c>
      <c r="BO45" s="4003"/>
      <c r="BP45" s="3274"/>
      <c r="BQ45" s="3274"/>
      <c r="BR45" s="3283">
        <f t="shared" si="121"/>
        <v>0</v>
      </c>
      <c r="BS45" s="3945" t="e">
        <f t="shared" si="122"/>
        <v>#DIV/0!</v>
      </c>
      <c r="BT45" s="4003"/>
      <c r="BU45" s="3274"/>
      <c r="BV45" s="3274"/>
      <c r="BW45" s="3283">
        <f t="shared" si="123"/>
        <v>0</v>
      </c>
      <c r="BX45" s="3945" t="e">
        <f t="shared" si="124"/>
        <v>#DIV/0!</v>
      </c>
      <c r="BY45" s="4003"/>
      <c r="BZ45" s="3274"/>
      <c r="CA45" s="3274"/>
      <c r="CB45" s="3283">
        <f t="shared" si="125"/>
        <v>0</v>
      </c>
      <c r="CC45" s="3945" t="e">
        <f t="shared" si="126"/>
        <v>#DIV/0!</v>
      </c>
      <c r="CD45" s="4003"/>
      <c r="CE45" s="3274"/>
      <c r="CF45" s="3274"/>
      <c r="CG45" s="3283">
        <f t="shared" si="127"/>
        <v>0</v>
      </c>
      <c r="CH45" s="3945" t="e">
        <f t="shared" si="128"/>
        <v>#DIV/0!</v>
      </c>
      <c r="CI45" s="4003"/>
      <c r="CJ45" s="3274">
        <f t="shared" si="129"/>
        <v>0</v>
      </c>
      <c r="CK45" s="3274">
        <f t="shared" si="129"/>
        <v>0</v>
      </c>
      <c r="CL45" s="2028">
        <f t="shared" si="130"/>
        <v>0</v>
      </c>
      <c r="CM45" s="3945">
        <f t="shared" si="94"/>
        <v>0</v>
      </c>
      <c r="CN45" s="3946"/>
      <c r="CP45" s="2028">
        <f t="shared" si="131"/>
        <v>0</v>
      </c>
      <c r="CQ45" s="2028">
        <f t="shared" si="131"/>
        <v>0</v>
      </c>
      <c r="CR45" s="3991"/>
    </row>
    <row r="46" spans="1:98" ht="13.8" outlineLevel="2" x14ac:dyDescent="0.25">
      <c r="A46" s="4015"/>
      <c r="B46" s="4002" t="s">
        <v>29</v>
      </c>
      <c r="C46" s="3274"/>
      <c r="D46" s="3274"/>
      <c r="E46" s="3283">
        <f t="shared" si="95"/>
        <v>0</v>
      </c>
      <c r="F46" s="3945" t="e">
        <f t="shared" si="96"/>
        <v>#DIV/0!</v>
      </c>
      <c r="G46" s="4003"/>
      <c r="H46" s="3274"/>
      <c r="I46" s="3274"/>
      <c r="J46" s="3283">
        <f t="shared" si="97"/>
        <v>0</v>
      </c>
      <c r="K46" s="3945" t="e">
        <f t="shared" si="98"/>
        <v>#DIV/0!</v>
      </c>
      <c r="L46" s="4003"/>
      <c r="M46" s="3274"/>
      <c r="N46" s="3274"/>
      <c r="O46" s="3283">
        <f t="shared" si="99"/>
        <v>0</v>
      </c>
      <c r="P46" s="3945">
        <f t="shared" si="100"/>
        <v>0</v>
      </c>
      <c r="Q46" s="4003"/>
      <c r="R46" s="3275">
        <f t="shared" si="101"/>
        <v>0</v>
      </c>
      <c r="S46" s="3275">
        <f t="shared" si="101"/>
        <v>0</v>
      </c>
      <c r="T46" s="2028">
        <f t="shared" si="102"/>
        <v>0</v>
      </c>
      <c r="U46" s="3469"/>
      <c r="V46" s="3469"/>
      <c r="W46" s="3275">
        <f t="shared" si="103"/>
        <v>0</v>
      </c>
      <c r="X46" s="3275">
        <f t="shared" si="103"/>
        <v>0</v>
      </c>
      <c r="Y46" s="2028">
        <f t="shared" si="104"/>
        <v>0</v>
      </c>
      <c r="Z46" s="3469"/>
      <c r="AA46" s="3469"/>
      <c r="AB46" s="3274"/>
      <c r="AC46" s="3274"/>
      <c r="AD46" s="3283">
        <f t="shared" si="105"/>
        <v>0</v>
      </c>
      <c r="AE46" s="3945">
        <f t="shared" si="106"/>
        <v>0</v>
      </c>
      <c r="AF46" s="4003"/>
      <c r="AG46" s="3274"/>
      <c r="AH46" s="3274"/>
      <c r="AI46" s="3283">
        <f t="shared" si="107"/>
        <v>0</v>
      </c>
      <c r="AJ46" s="3945">
        <f t="shared" si="108"/>
        <v>0</v>
      </c>
      <c r="AK46" s="4003"/>
      <c r="AL46" s="3274"/>
      <c r="AM46" s="3274"/>
      <c r="AN46" s="3283">
        <f t="shared" si="109"/>
        <v>0</v>
      </c>
      <c r="AO46" s="3945" t="e">
        <f t="shared" si="110"/>
        <v>#DIV/0!</v>
      </c>
      <c r="AP46" s="4003"/>
      <c r="AQ46" s="3274"/>
      <c r="AR46" s="3274"/>
      <c r="AS46" s="3283">
        <f t="shared" si="111"/>
        <v>0</v>
      </c>
      <c r="AT46" s="3945" t="e">
        <f t="shared" si="112"/>
        <v>#DIV/0!</v>
      </c>
      <c r="AU46" s="4003"/>
      <c r="AV46" s="3274"/>
      <c r="AW46" s="3274"/>
      <c r="AX46" s="3283">
        <f t="shared" si="113"/>
        <v>0</v>
      </c>
      <c r="AY46" s="3945" t="e">
        <f t="shared" si="114"/>
        <v>#DIV/0!</v>
      </c>
      <c r="AZ46" s="4003"/>
      <c r="BA46" s="3274"/>
      <c r="BB46" s="3274"/>
      <c r="BC46" s="3283">
        <f t="shared" si="115"/>
        <v>0</v>
      </c>
      <c r="BD46" s="3945" t="e">
        <f t="shared" si="116"/>
        <v>#DIV/0!</v>
      </c>
      <c r="BE46" s="4003"/>
      <c r="BF46" s="3274"/>
      <c r="BG46" s="3274"/>
      <c r="BH46" s="3283">
        <f t="shared" si="117"/>
        <v>0</v>
      </c>
      <c r="BI46" s="3945" t="e">
        <f t="shared" si="118"/>
        <v>#DIV/0!</v>
      </c>
      <c r="BJ46" s="4003"/>
      <c r="BK46" s="3274"/>
      <c r="BL46" s="3274"/>
      <c r="BM46" s="3283">
        <f t="shared" si="119"/>
        <v>0</v>
      </c>
      <c r="BN46" s="3945" t="e">
        <f t="shared" si="120"/>
        <v>#DIV/0!</v>
      </c>
      <c r="BO46" s="4003"/>
      <c r="BP46" s="3274"/>
      <c r="BQ46" s="3274"/>
      <c r="BR46" s="3283">
        <f t="shared" si="121"/>
        <v>0</v>
      </c>
      <c r="BS46" s="3945" t="e">
        <f t="shared" si="122"/>
        <v>#DIV/0!</v>
      </c>
      <c r="BT46" s="4003"/>
      <c r="BU46" s="3274"/>
      <c r="BV46" s="3274"/>
      <c r="BW46" s="3283">
        <f t="shared" si="123"/>
        <v>0</v>
      </c>
      <c r="BX46" s="3945" t="e">
        <f t="shared" si="124"/>
        <v>#DIV/0!</v>
      </c>
      <c r="BY46" s="4003"/>
      <c r="BZ46" s="3274"/>
      <c r="CA46" s="3274"/>
      <c r="CB46" s="3283">
        <f t="shared" si="125"/>
        <v>0</v>
      </c>
      <c r="CC46" s="3945" t="e">
        <f t="shared" si="126"/>
        <v>#DIV/0!</v>
      </c>
      <c r="CD46" s="4003"/>
      <c r="CE46" s="3274"/>
      <c r="CF46" s="3274"/>
      <c r="CG46" s="3283">
        <f t="shared" si="127"/>
        <v>0</v>
      </c>
      <c r="CH46" s="3945" t="e">
        <f t="shared" si="128"/>
        <v>#DIV/0!</v>
      </c>
      <c r="CI46" s="4003"/>
      <c r="CJ46" s="3274">
        <f t="shared" si="129"/>
        <v>0</v>
      </c>
      <c r="CK46" s="3274">
        <f t="shared" si="129"/>
        <v>0</v>
      </c>
      <c r="CL46" s="2028">
        <f t="shared" si="130"/>
        <v>0</v>
      </c>
      <c r="CM46" s="3945">
        <f t="shared" si="94"/>
        <v>0</v>
      </c>
      <c r="CN46" s="3946"/>
      <c r="CP46" s="2028">
        <f t="shared" si="131"/>
        <v>0</v>
      </c>
      <c r="CQ46" s="2028">
        <f t="shared" si="131"/>
        <v>0</v>
      </c>
      <c r="CR46" s="3991"/>
    </row>
    <row r="47" spans="1:98" ht="13.8" outlineLevel="2" x14ac:dyDescent="0.25">
      <c r="A47" s="4015"/>
      <c r="B47" s="4002" t="s">
        <v>30</v>
      </c>
      <c r="C47" s="3274"/>
      <c r="D47" s="3274"/>
      <c r="E47" s="3283">
        <f t="shared" si="95"/>
        <v>0</v>
      </c>
      <c r="F47" s="3945" t="e">
        <f t="shared" si="96"/>
        <v>#DIV/0!</v>
      </c>
      <c r="G47" s="4003"/>
      <c r="H47" s="3274"/>
      <c r="I47" s="3274"/>
      <c r="J47" s="3283">
        <f t="shared" si="97"/>
        <v>0</v>
      </c>
      <c r="K47" s="3945" t="e">
        <f t="shared" si="98"/>
        <v>#DIV/0!</v>
      </c>
      <c r="L47" s="4003"/>
      <c r="M47" s="3274"/>
      <c r="N47" s="3274"/>
      <c r="O47" s="3283">
        <f t="shared" si="99"/>
        <v>0</v>
      </c>
      <c r="P47" s="3945">
        <f t="shared" si="100"/>
        <v>0</v>
      </c>
      <c r="Q47" s="4003"/>
      <c r="R47" s="3275">
        <f t="shared" si="101"/>
        <v>0</v>
      </c>
      <c r="S47" s="3275">
        <f t="shared" si="101"/>
        <v>0</v>
      </c>
      <c r="T47" s="2028">
        <f t="shared" si="102"/>
        <v>0</v>
      </c>
      <c r="U47" s="3469"/>
      <c r="V47" s="3469"/>
      <c r="W47" s="3275">
        <f t="shared" si="103"/>
        <v>0</v>
      </c>
      <c r="X47" s="3275">
        <f t="shared" si="103"/>
        <v>0</v>
      </c>
      <c r="Y47" s="2028">
        <f t="shared" si="104"/>
        <v>0</v>
      </c>
      <c r="Z47" s="3469"/>
      <c r="AA47" s="3469"/>
      <c r="AB47" s="3274"/>
      <c r="AC47" s="3274"/>
      <c r="AD47" s="3283">
        <f t="shared" si="105"/>
        <v>0</v>
      </c>
      <c r="AE47" s="3945">
        <f t="shared" si="106"/>
        <v>0</v>
      </c>
      <c r="AF47" s="4003"/>
      <c r="AG47" s="3274"/>
      <c r="AH47" s="3274"/>
      <c r="AI47" s="3283">
        <f t="shared" si="107"/>
        <v>0</v>
      </c>
      <c r="AJ47" s="3945">
        <f t="shared" si="108"/>
        <v>0</v>
      </c>
      <c r="AK47" s="4003"/>
      <c r="AL47" s="3274"/>
      <c r="AM47" s="3274"/>
      <c r="AN47" s="3283">
        <f t="shared" si="109"/>
        <v>0</v>
      </c>
      <c r="AO47" s="3945" t="e">
        <f t="shared" si="110"/>
        <v>#DIV/0!</v>
      </c>
      <c r="AP47" s="4003"/>
      <c r="AQ47" s="3274"/>
      <c r="AR47" s="3274"/>
      <c r="AS47" s="3283">
        <f t="shared" si="111"/>
        <v>0</v>
      </c>
      <c r="AT47" s="3945" t="e">
        <f t="shared" si="112"/>
        <v>#DIV/0!</v>
      </c>
      <c r="AU47" s="4003"/>
      <c r="AV47" s="3274"/>
      <c r="AW47" s="3274"/>
      <c r="AX47" s="3283">
        <f t="shared" si="113"/>
        <v>0</v>
      </c>
      <c r="AY47" s="3945" t="e">
        <f t="shared" si="114"/>
        <v>#DIV/0!</v>
      </c>
      <c r="AZ47" s="4003"/>
      <c r="BA47" s="3274"/>
      <c r="BB47" s="3274"/>
      <c r="BC47" s="3283">
        <f t="shared" si="115"/>
        <v>0</v>
      </c>
      <c r="BD47" s="3945" t="e">
        <f t="shared" si="116"/>
        <v>#DIV/0!</v>
      </c>
      <c r="BE47" s="4003"/>
      <c r="BF47" s="3274"/>
      <c r="BG47" s="3274"/>
      <c r="BH47" s="3283">
        <f t="shared" si="117"/>
        <v>0</v>
      </c>
      <c r="BI47" s="3945" t="e">
        <f t="shared" si="118"/>
        <v>#DIV/0!</v>
      </c>
      <c r="BJ47" s="4003"/>
      <c r="BK47" s="3274"/>
      <c r="BL47" s="3274"/>
      <c r="BM47" s="3283">
        <f t="shared" si="119"/>
        <v>0</v>
      </c>
      <c r="BN47" s="3945" t="e">
        <f t="shared" si="120"/>
        <v>#DIV/0!</v>
      </c>
      <c r="BO47" s="4003"/>
      <c r="BP47" s="3274"/>
      <c r="BQ47" s="3274"/>
      <c r="BR47" s="3283">
        <f t="shared" si="121"/>
        <v>0</v>
      </c>
      <c r="BS47" s="3945" t="e">
        <f t="shared" si="122"/>
        <v>#DIV/0!</v>
      </c>
      <c r="BT47" s="4003"/>
      <c r="BU47" s="3274"/>
      <c r="BV47" s="3274"/>
      <c r="BW47" s="3283">
        <f t="shared" si="123"/>
        <v>0</v>
      </c>
      <c r="BX47" s="3945" t="e">
        <f t="shared" si="124"/>
        <v>#DIV/0!</v>
      </c>
      <c r="BY47" s="4003"/>
      <c r="BZ47" s="3274"/>
      <c r="CA47" s="3274"/>
      <c r="CB47" s="3283">
        <f t="shared" si="125"/>
        <v>0</v>
      </c>
      <c r="CC47" s="3945" t="e">
        <f t="shared" si="126"/>
        <v>#DIV/0!</v>
      </c>
      <c r="CD47" s="4003"/>
      <c r="CE47" s="3274"/>
      <c r="CF47" s="3274"/>
      <c r="CG47" s="3283">
        <f t="shared" si="127"/>
        <v>0</v>
      </c>
      <c r="CH47" s="3945" t="e">
        <f t="shared" si="128"/>
        <v>#DIV/0!</v>
      </c>
      <c r="CI47" s="4003"/>
      <c r="CJ47" s="3274">
        <f t="shared" si="129"/>
        <v>0</v>
      </c>
      <c r="CK47" s="3274">
        <f t="shared" si="129"/>
        <v>0</v>
      </c>
      <c r="CL47" s="2028">
        <f t="shared" si="130"/>
        <v>0</v>
      </c>
      <c r="CM47" s="3945">
        <f t="shared" si="94"/>
        <v>0</v>
      </c>
      <c r="CN47" s="3946"/>
      <c r="CP47" s="2028">
        <f t="shared" si="131"/>
        <v>0</v>
      </c>
      <c r="CQ47" s="2028">
        <f t="shared" si="131"/>
        <v>0</v>
      </c>
      <c r="CR47" s="3991"/>
    </row>
    <row r="48" spans="1:98" ht="13.8" outlineLevel="2" x14ac:dyDescent="0.25">
      <c r="A48" s="4015"/>
      <c r="B48" s="4002" t="s">
        <v>15</v>
      </c>
      <c r="C48" s="3274"/>
      <c r="D48" s="3274"/>
      <c r="E48" s="3283">
        <f t="shared" si="95"/>
        <v>0</v>
      </c>
      <c r="F48" s="3945" t="e">
        <f t="shared" si="96"/>
        <v>#DIV/0!</v>
      </c>
      <c r="G48" s="4003"/>
      <c r="H48" s="3274"/>
      <c r="I48" s="3274"/>
      <c r="J48" s="3283">
        <f t="shared" si="97"/>
        <v>0</v>
      </c>
      <c r="K48" s="3945" t="e">
        <f t="shared" si="98"/>
        <v>#DIV/0!</v>
      </c>
      <c r="L48" s="4003"/>
      <c r="M48" s="3274"/>
      <c r="N48" s="3274"/>
      <c r="O48" s="3283">
        <f t="shared" si="99"/>
        <v>0</v>
      </c>
      <c r="P48" s="3945">
        <f t="shared" si="100"/>
        <v>0</v>
      </c>
      <c r="Q48" s="4003"/>
      <c r="R48" s="3275">
        <f t="shared" si="101"/>
        <v>0</v>
      </c>
      <c r="S48" s="3275">
        <f t="shared" si="101"/>
        <v>0</v>
      </c>
      <c r="T48" s="2028">
        <f t="shared" si="102"/>
        <v>0</v>
      </c>
      <c r="U48" s="3969"/>
      <c r="V48" s="4003"/>
      <c r="W48" s="4004">
        <f t="shared" si="103"/>
        <v>0</v>
      </c>
      <c r="X48" s="4004">
        <f t="shared" si="103"/>
        <v>0</v>
      </c>
      <c r="Y48" s="3928">
        <f t="shared" si="104"/>
        <v>0</v>
      </c>
      <c r="Z48" s="4003"/>
      <c r="AA48" s="4003"/>
      <c r="AB48" s="3996"/>
      <c r="AC48" s="3996"/>
      <c r="AD48" s="4005">
        <f t="shared" si="105"/>
        <v>0</v>
      </c>
      <c r="AE48" s="3945">
        <f t="shared" si="106"/>
        <v>0</v>
      </c>
      <c r="AF48" s="4003"/>
      <c r="AG48" s="3996"/>
      <c r="AH48" s="3274"/>
      <c r="AI48" s="3283">
        <f t="shared" si="107"/>
        <v>0</v>
      </c>
      <c r="AJ48" s="3945">
        <f t="shared" si="108"/>
        <v>0</v>
      </c>
      <c r="AK48" s="4003"/>
      <c r="AL48" s="3274"/>
      <c r="AM48" s="3274"/>
      <c r="AN48" s="3283">
        <f t="shared" si="109"/>
        <v>0</v>
      </c>
      <c r="AO48" s="3945" t="e">
        <f t="shared" si="110"/>
        <v>#DIV/0!</v>
      </c>
      <c r="AP48" s="4003"/>
      <c r="AQ48" s="3274"/>
      <c r="AR48" s="3274"/>
      <c r="AS48" s="3283">
        <f t="shared" si="111"/>
        <v>0</v>
      </c>
      <c r="AT48" s="3945" t="e">
        <f t="shared" si="112"/>
        <v>#DIV/0!</v>
      </c>
      <c r="AU48" s="4003"/>
      <c r="AV48" s="3274"/>
      <c r="AW48" s="3274"/>
      <c r="AX48" s="3283">
        <f t="shared" si="113"/>
        <v>0</v>
      </c>
      <c r="AY48" s="3945" t="e">
        <f t="shared" si="114"/>
        <v>#DIV/0!</v>
      </c>
      <c r="AZ48" s="4003"/>
      <c r="BA48" s="3274"/>
      <c r="BB48" s="3274"/>
      <c r="BC48" s="3283">
        <f t="shared" si="115"/>
        <v>0</v>
      </c>
      <c r="BD48" s="3945" t="e">
        <f t="shared" si="116"/>
        <v>#DIV/0!</v>
      </c>
      <c r="BE48" s="4003"/>
      <c r="BF48" s="3274"/>
      <c r="BG48" s="3274"/>
      <c r="BH48" s="3283">
        <f t="shared" si="117"/>
        <v>0</v>
      </c>
      <c r="BI48" s="3945" t="e">
        <f t="shared" si="118"/>
        <v>#DIV/0!</v>
      </c>
      <c r="BJ48" s="4003"/>
      <c r="BK48" s="3274"/>
      <c r="BL48" s="3274"/>
      <c r="BM48" s="3283">
        <f t="shared" si="119"/>
        <v>0</v>
      </c>
      <c r="BN48" s="3945" t="e">
        <f t="shared" si="120"/>
        <v>#DIV/0!</v>
      </c>
      <c r="BO48" s="4003"/>
      <c r="BP48" s="3274"/>
      <c r="BQ48" s="3274"/>
      <c r="BR48" s="3283">
        <f t="shared" si="121"/>
        <v>0</v>
      </c>
      <c r="BS48" s="3945" t="e">
        <f t="shared" si="122"/>
        <v>#DIV/0!</v>
      </c>
      <c r="BT48" s="4003"/>
      <c r="BU48" s="3274"/>
      <c r="BV48" s="3274"/>
      <c r="BW48" s="3283">
        <f t="shared" si="123"/>
        <v>0</v>
      </c>
      <c r="BX48" s="3945" t="e">
        <f t="shared" si="124"/>
        <v>#DIV/0!</v>
      </c>
      <c r="BY48" s="4003"/>
      <c r="BZ48" s="3274"/>
      <c r="CA48" s="3274"/>
      <c r="CB48" s="3283">
        <f t="shared" si="125"/>
        <v>0</v>
      </c>
      <c r="CC48" s="3945" t="e">
        <f t="shared" si="126"/>
        <v>#DIV/0!</v>
      </c>
      <c r="CD48" s="4003"/>
      <c r="CE48" s="3274"/>
      <c r="CF48" s="3274"/>
      <c r="CG48" s="3283">
        <f t="shared" si="127"/>
        <v>0</v>
      </c>
      <c r="CH48" s="3945" t="e">
        <f t="shared" si="128"/>
        <v>#DIV/0!</v>
      </c>
      <c r="CI48" s="4003"/>
      <c r="CJ48" s="3274">
        <f t="shared" si="129"/>
        <v>0</v>
      </c>
      <c r="CK48" s="3274">
        <f t="shared" si="129"/>
        <v>0</v>
      </c>
      <c r="CL48" s="2028">
        <f t="shared" si="130"/>
        <v>0</v>
      </c>
      <c r="CM48" s="3945">
        <f t="shared" si="94"/>
        <v>0</v>
      </c>
      <c r="CN48" s="3946"/>
      <c r="CP48" s="2028">
        <f t="shared" si="131"/>
        <v>0</v>
      </c>
      <c r="CQ48" s="2028">
        <f t="shared" si="131"/>
        <v>0</v>
      </c>
      <c r="CR48" s="3991"/>
    </row>
    <row r="49" spans="1:98" s="1411" customFormat="1" ht="14.4" outlineLevel="2" thickBot="1" x14ac:dyDescent="0.3">
      <c r="A49" s="1420"/>
      <c r="B49" s="4006"/>
      <c r="C49" s="3274"/>
      <c r="D49" s="3274"/>
      <c r="E49" s="3961"/>
      <c r="F49" s="3952"/>
      <c r="G49" s="3962"/>
      <c r="H49" s="3274"/>
      <c r="I49" s="3274"/>
      <c r="J49" s="3961"/>
      <c r="K49" s="3952"/>
      <c r="L49" s="3962"/>
      <c r="M49" s="3274"/>
      <c r="N49" s="3274"/>
      <c r="O49" s="3961"/>
      <c r="P49" s="3952"/>
      <c r="Q49" s="3962"/>
      <c r="R49" s="3463"/>
      <c r="S49" s="3463"/>
      <c r="T49" s="3463"/>
      <c r="U49" s="3820"/>
      <c r="V49" s="3821"/>
      <c r="W49" s="3821"/>
      <c r="X49" s="3821"/>
      <c r="Y49" s="3821"/>
      <c r="Z49" s="3821"/>
      <c r="AA49" s="3821"/>
      <c r="AB49" s="3314"/>
      <c r="AC49" s="3314"/>
      <c r="AD49" s="3961"/>
      <c r="AE49" s="3952">
        <f t="shared" si="106"/>
        <v>0</v>
      </c>
      <c r="AF49" s="3962"/>
      <c r="AG49" s="3314"/>
      <c r="AH49" s="3274"/>
      <c r="AI49" s="3961"/>
      <c r="AJ49" s="3952">
        <f t="shared" si="108"/>
        <v>0</v>
      </c>
      <c r="AK49" s="3962"/>
      <c r="AL49" s="3274"/>
      <c r="AM49" s="3274"/>
      <c r="AN49" s="3961"/>
      <c r="AO49" s="3952" t="e">
        <f t="shared" si="110"/>
        <v>#DIV/0!</v>
      </c>
      <c r="AP49" s="3962"/>
      <c r="AQ49" s="3274"/>
      <c r="AR49" s="3274"/>
      <c r="AS49" s="3961"/>
      <c r="AT49" s="3952" t="e">
        <f t="shared" si="112"/>
        <v>#DIV/0!</v>
      </c>
      <c r="AU49" s="3962"/>
      <c r="AV49" s="3274"/>
      <c r="AW49" s="3274"/>
      <c r="AX49" s="3961"/>
      <c r="AY49" s="3952" t="e">
        <f t="shared" si="114"/>
        <v>#DIV/0!</v>
      </c>
      <c r="AZ49" s="3962"/>
      <c r="BA49" s="3274"/>
      <c r="BB49" s="3274"/>
      <c r="BC49" s="3961"/>
      <c r="BD49" s="3952" t="e">
        <f t="shared" si="116"/>
        <v>#DIV/0!</v>
      </c>
      <c r="BE49" s="3962"/>
      <c r="BF49" s="3274"/>
      <c r="BG49" s="3274"/>
      <c r="BH49" s="3961"/>
      <c r="BI49" s="3952" t="e">
        <f t="shared" si="118"/>
        <v>#DIV/0!</v>
      </c>
      <c r="BJ49" s="3962"/>
      <c r="BK49" s="3274"/>
      <c r="BL49" s="3274"/>
      <c r="BM49" s="3961"/>
      <c r="BN49" s="3952" t="e">
        <f t="shared" si="120"/>
        <v>#DIV/0!</v>
      </c>
      <c r="BO49" s="3962"/>
      <c r="BP49" s="3274"/>
      <c r="BQ49" s="3274"/>
      <c r="BR49" s="3961"/>
      <c r="BS49" s="3952" t="e">
        <f t="shared" si="122"/>
        <v>#DIV/0!</v>
      </c>
      <c r="BT49" s="3962"/>
      <c r="BU49" s="3274"/>
      <c r="BV49" s="3274"/>
      <c r="BW49" s="3961"/>
      <c r="BX49" s="3952" t="e">
        <f t="shared" si="124"/>
        <v>#DIV/0!</v>
      </c>
      <c r="BY49" s="3962"/>
      <c r="BZ49" s="3274"/>
      <c r="CA49" s="3274"/>
      <c r="CB49" s="3961"/>
      <c r="CC49" s="3952" t="e">
        <f t="shared" si="126"/>
        <v>#DIV/0!</v>
      </c>
      <c r="CD49" s="3962"/>
      <c r="CE49" s="3274"/>
      <c r="CF49" s="3274"/>
      <c r="CG49" s="3961"/>
      <c r="CH49" s="3952" t="e">
        <f t="shared" si="128"/>
        <v>#DIV/0!</v>
      </c>
      <c r="CI49" s="3962"/>
      <c r="CJ49" s="3274"/>
      <c r="CK49" s="3274"/>
      <c r="CL49" s="3961"/>
      <c r="CM49" s="3945">
        <f t="shared" si="94"/>
        <v>0</v>
      </c>
      <c r="CN49" s="3961"/>
      <c r="CP49" s="3963"/>
      <c r="CQ49" s="3963"/>
      <c r="CR49" s="3991"/>
      <c r="CT49" s="2644"/>
    </row>
    <row r="50" spans="1:98" s="1411" customFormat="1" ht="13.8" outlineLevel="1" x14ac:dyDescent="0.25">
      <c r="A50" s="1580"/>
      <c r="B50" s="1425" t="s">
        <v>59</v>
      </c>
      <c r="C50" s="2031">
        <f>C52+C51</f>
        <v>0</v>
      </c>
      <c r="D50" s="2031">
        <f>D52+D51</f>
        <v>0</v>
      </c>
      <c r="E50" s="2030">
        <f>SUM(E51:E52)</f>
        <v>0</v>
      </c>
      <c r="F50" s="3947" t="e">
        <f>E50/$E$89</f>
        <v>#DIV/0!</v>
      </c>
      <c r="G50" s="1067"/>
      <c r="H50" s="2031">
        <f>H52+H51</f>
        <v>0</v>
      </c>
      <c r="I50" s="2031">
        <f>I52+I51</f>
        <v>0</v>
      </c>
      <c r="J50" s="2030">
        <f>SUM(J51:J52)</f>
        <v>0</v>
      </c>
      <c r="K50" s="3947" t="e">
        <f>J50/$E$89</f>
        <v>#DIV/0!</v>
      </c>
      <c r="L50" s="1067"/>
      <c r="M50" s="2031">
        <f>M52+M51</f>
        <v>0</v>
      </c>
      <c r="N50" s="2031">
        <f>N52+N51</f>
        <v>0</v>
      </c>
      <c r="O50" s="2030">
        <f>SUM(O51:O52)</f>
        <v>0</v>
      </c>
      <c r="P50" s="3947" t="e">
        <f>O50/$E$89</f>
        <v>#DIV/0!</v>
      </c>
      <c r="Q50" s="1067"/>
      <c r="R50" s="2031">
        <f>R52+R51</f>
        <v>0</v>
      </c>
      <c r="S50" s="2031">
        <f>S52+S51</f>
        <v>0</v>
      </c>
      <c r="T50" s="2031">
        <f>SUM(T51:T52)</f>
        <v>0</v>
      </c>
      <c r="U50" s="1550"/>
      <c r="V50" s="3467"/>
      <c r="W50" s="2029">
        <f>W52+W51</f>
        <v>0</v>
      </c>
      <c r="X50" s="2029">
        <f>X52+X51</f>
        <v>0</v>
      </c>
      <c r="Y50" s="2029">
        <f>SUM(Y51:Y52)</f>
        <v>0</v>
      </c>
      <c r="Z50" s="1550"/>
      <c r="AA50" s="3467"/>
      <c r="AB50" s="2029">
        <f>AB52+AB51</f>
        <v>0</v>
      </c>
      <c r="AC50" s="2029">
        <f>AC52+AC51</f>
        <v>0</v>
      </c>
      <c r="AD50" s="2029">
        <f>SUM(AD51:AD52)</f>
        <v>0</v>
      </c>
      <c r="AE50" s="1550"/>
      <c r="AF50" s="3822"/>
      <c r="AG50" s="2029">
        <f>AG52+AG51</f>
        <v>0</v>
      </c>
      <c r="AH50" s="2031">
        <f>AH52+AH51</f>
        <v>0</v>
      </c>
      <c r="AI50" s="2031">
        <f>SUM(AI51:AI52)</f>
        <v>0</v>
      </c>
      <c r="AJ50" s="1550"/>
      <c r="AK50" s="1067"/>
      <c r="AL50" s="2031">
        <f>AL52+AL51</f>
        <v>0</v>
      </c>
      <c r="AM50" s="2031">
        <f>AM52+AM51</f>
        <v>0</v>
      </c>
      <c r="AN50" s="2031">
        <f>SUM(AN51:AN52)</f>
        <v>0</v>
      </c>
      <c r="AO50" s="1550"/>
      <c r="AP50" s="1067"/>
      <c r="AQ50" s="2031">
        <f>AQ52+AQ51</f>
        <v>0</v>
      </c>
      <c r="AR50" s="2031">
        <f>AR52+AR51</f>
        <v>0</v>
      </c>
      <c r="AS50" s="2031">
        <f>SUM(AS51:AS52)</f>
        <v>0</v>
      </c>
      <c r="AT50" s="1550"/>
      <c r="AU50" s="1067"/>
      <c r="AV50" s="2031">
        <f>AV52+AV51</f>
        <v>0</v>
      </c>
      <c r="AW50" s="2031">
        <f>AW52+AW51</f>
        <v>0</v>
      </c>
      <c r="AX50" s="2031">
        <f>SUM(AX51:AX52)</f>
        <v>0</v>
      </c>
      <c r="AY50" s="1550"/>
      <c r="AZ50" s="1067"/>
      <c r="BA50" s="2031">
        <f>BA52+BA51</f>
        <v>0</v>
      </c>
      <c r="BB50" s="2031">
        <f>BB52+BB51</f>
        <v>0</v>
      </c>
      <c r="BC50" s="2031">
        <f>SUM(BC51:BC52)</f>
        <v>0</v>
      </c>
      <c r="BD50" s="1550"/>
      <c r="BE50" s="1067"/>
      <c r="BF50" s="2031">
        <f>BF52+BF51</f>
        <v>0</v>
      </c>
      <c r="BG50" s="2031">
        <f>BG52+BG51</f>
        <v>0</v>
      </c>
      <c r="BH50" s="2031">
        <f>SUM(BH51:BH52)</f>
        <v>0</v>
      </c>
      <c r="BI50" s="1550"/>
      <c r="BJ50" s="1067"/>
      <c r="BK50" s="2031">
        <f>BK52+BK51</f>
        <v>0</v>
      </c>
      <c r="BL50" s="2031">
        <f>BL52+BL51</f>
        <v>0</v>
      </c>
      <c r="BM50" s="2031">
        <f>SUM(BM51:BM52)</f>
        <v>0</v>
      </c>
      <c r="BN50" s="1550"/>
      <c r="BO50" s="1067"/>
      <c r="BP50" s="2031">
        <f>BP52+BP51</f>
        <v>0</v>
      </c>
      <c r="BQ50" s="2031">
        <f>BQ52+BQ51</f>
        <v>0</v>
      </c>
      <c r="BR50" s="2031">
        <f>SUM(BR51:BR52)</f>
        <v>0</v>
      </c>
      <c r="BS50" s="1550"/>
      <c r="BT50" s="1067"/>
      <c r="BU50" s="2031">
        <f>BU52+BU51</f>
        <v>0</v>
      </c>
      <c r="BV50" s="2031">
        <f>BV52+BV51</f>
        <v>0</v>
      </c>
      <c r="BW50" s="2031">
        <f>SUM(BW51:BW52)</f>
        <v>0</v>
      </c>
      <c r="BX50" s="1550"/>
      <c r="BY50" s="1067"/>
      <c r="BZ50" s="2031">
        <f>BZ52+BZ51</f>
        <v>0</v>
      </c>
      <c r="CA50" s="2031">
        <f>CA52+CA51</f>
        <v>0</v>
      </c>
      <c r="CB50" s="2031">
        <f>SUM(CB51:CB52)</f>
        <v>0</v>
      </c>
      <c r="CC50" s="1550"/>
      <c r="CD50" s="1067"/>
      <c r="CE50" s="2031">
        <f>CE52+CE51</f>
        <v>0</v>
      </c>
      <c r="CF50" s="2031">
        <f>CF52+CF51</f>
        <v>0</v>
      </c>
      <c r="CG50" s="2031">
        <f>SUM(CG51:CG52)</f>
        <v>0</v>
      </c>
      <c r="CH50" s="1550"/>
      <c r="CI50" s="1067"/>
      <c r="CJ50" s="2031">
        <f>CJ52+CJ51</f>
        <v>0</v>
      </c>
      <c r="CK50" s="2031">
        <f>CK52+CK51</f>
        <v>0</v>
      </c>
      <c r="CL50" s="2031">
        <f>SUM(CL51:CL52)</f>
        <v>0</v>
      </c>
      <c r="CM50" s="2022"/>
      <c r="CN50" s="2022"/>
      <c r="CP50" s="2031">
        <f>SUM(CP51:CP52)</f>
        <v>0</v>
      </c>
      <c r="CQ50" s="2031">
        <f>SUM(CQ51:CQ52)</f>
        <v>0</v>
      </c>
      <c r="CR50" s="2031"/>
      <c r="CT50" s="2644"/>
    </row>
    <row r="51" spans="1:98" s="1411" customFormat="1" ht="13.8" outlineLevel="1" x14ac:dyDescent="0.25">
      <c r="A51" s="1581"/>
      <c r="B51" s="4002" t="s">
        <v>60</v>
      </c>
      <c r="C51" s="3274"/>
      <c r="D51" s="3274"/>
      <c r="E51" s="3283">
        <f t="shared" ref="E51:E52" si="132">C51+D51</f>
        <v>0</v>
      </c>
      <c r="F51" s="3945" t="e">
        <f t="shared" ref="F51:F71" si="133">E51/$E$89</f>
        <v>#DIV/0!</v>
      </c>
      <c r="G51" s="4000"/>
      <c r="H51" s="3274"/>
      <c r="I51" s="3274"/>
      <c r="J51" s="3283">
        <f>H51+I51</f>
        <v>0</v>
      </c>
      <c r="K51" s="3945" t="e">
        <f t="shared" ref="K51:K52" si="134">J51/J$89</f>
        <v>#DIV/0!</v>
      </c>
      <c r="L51" s="4000"/>
      <c r="M51" s="3274"/>
      <c r="N51" s="3274"/>
      <c r="O51" s="3283">
        <f t="shared" ref="O51:O52" si="135">M51+N51</f>
        <v>0</v>
      </c>
      <c r="P51" s="3945">
        <f t="shared" ref="P51:P53" si="136">O51/O$89</f>
        <v>0</v>
      </c>
      <c r="Q51" s="4000"/>
      <c r="R51" s="3275">
        <f t="shared" ref="R51:S52" si="137">M51+H51+C51</f>
        <v>0</v>
      </c>
      <c r="S51" s="3275">
        <f t="shared" si="137"/>
        <v>0</v>
      </c>
      <c r="T51" s="2028">
        <f t="shared" ref="T51:T52" si="138">R51+S51</f>
        <v>0</v>
      </c>
      <c r="U51" s="3462"/>
      <c r="V51" s="3462"/>
      <c r="W51" s="3275">
        <f t="shared" ref="W51:X52" si="139">AB51+AG51+AL51+AV51+BA51+BF51+BK51+BP51+BU51+BZ51+CE51+AQ51</f>
        <v>0</v>
      </c>
      <c r="X51" s="3275">
        <f t="shared" si="139"/>
        <v>0</v>
      </c>
      <c r="Y51" s="2028">
        <f t="shared" ref="Y51:Y52" si="140">W51+X51</f>
        <v>0</v>
      </c>
      <c r="Z51" s="3462"/>
      <c r="AA51" s="3462"/>
      <c r="AB51" s="3274"/>
      <c r="AC51" s="3274"/>
      <c r="AD51" s="3283">
        <f t="shared" ref="AD51:AD52" si="141">AB51+AC51</f>
        <v>0</v>
      </c>
      <c r="AE51" s="3945">
        <f t="shared" ref="AE51:AE53" si="142">AD51/AD$89</f>
        <v>0</v>
      </c>
      <c r="AF51" s="4000"/>
      <c r="AG51" s="3274"/>
      <c r="AH51" s="3274"/>
      <c r="AI51" s="3283">
        <f t="shared" ref="AI51:AI52" si="143">AG51+AH51</f>
        <v>0</v>
      </c>
      <c r="AJ51" s="3945">
        <f t="shared" ref="AJ51:AJ53" si="144">AI51/AI$89</f>
        <v>0</v>
      </c>
      <c r="AK51" s="4000"/>
      <c r="AL51" s="3274"/>
      <c r="AM51" s="3274"/>
      <c r="AN51" s="3283">
        <f t="shared" ref="AN51:AN52" si="145">AL51+AM51</f>
        <v>0</v>
      </c>
      <c r="AO51" s="3945" t="e">
        <f t="shared" ref="AO51:AO53" si="146">AN51/AN$89</f>
        <v>#DIV/0!</v>
      </c>
      <c r="AP51" s="4000"/>
      <c r="AQ51" s="3274"/>
      <c r="AR51" s="3274"/>
      <c r="AS51" s="3283">
        <f t="shared" ref="AS51:AS52" si="147">AQ51+AR51</f>
        <v>0</v>
      </c>
      <c r="AT51" s="3945" t="e">
        <f t="shared" ref="AT51:AT53" si="148">AS51/AS$89</f>
        <v>#DIV/0!</v>
      </c>
      <c r="AU51" s="4000"/>
      <c r="AV51" s="3274"/>
      <c r="AW51" s="3274"/>
      <c r="AX51" s="3283">
        <f t="shared" ref="AX51:AX52" si="149">AV51+AW51</f>
        <v>0</v>
      </c>
      <c r="AY51" s="3945" t="e">
        <f t="shared" ref="AY51:AY53" si="150">AX51/AX$89</f>
        <v>#DIV/0!</v>
      </c>
      <c r="AZ51" s="4000"/>
      <c r="BA51" s="3274"/>
      <c r="BB51" s="3274"/>
      <c r="BC51" s="3283">
        <f t="shared" ref="BC51:BC52" si="151">BA51+BB51</f>
        <v>0</v>
      </c>
      <c r="BD51" s="3945" t="e">
        <f t="shared" ref="BD51:BD53" si="152">BC51/BC$89</f>
        <v>#DIV/0!</v>
      </c>
      <c r="BE51" s="4000"/>
      <c r="BF51" s="3274"/>
      <c r="BG51" s="3274"/>
      <c r="BH51" s="3283">
        <f t="shared" ref="BH51:BH52" si="153">BF51+BG51</f>
        <v>0</v>
      </c>
      <c r="BI51" s="3945" t="e">
        <f t="shared" ref="BI51:BI53" si="154">BH51/BH$89</f>
        <v>#DIV/0!</v>
      </c>
      <c r="BJ51" s="4000"/>
      <c r="BK51" s="3274"/>
      <c r="BL51" s="3274"/>
      <c r="BM51" s="3283">
        <f t="shared" ref="BM51:BM52" si="155">BK51+BL51</f>
        <v>0</v>
      </c>
      <c r="BN51" s="3945" t="e">
        <f t="shared" ref="BN51:BN53" si="156">BM51/BM$89</f>
        <v>#DIV/0!</v>
      </c>
      <c r="BO51" s="4000"/>
      <c r="BP51" s="3274"/>
      <c r="BQ51" s="3274"/>
      <c r="BR51" s="3283">
        <f t="shared" ref="BR51:BR52" si="157">BP51+BQ51</f>
        <v>0</v>
      </c>
      <c r="BS51" s="3945" t="e">
        <f t="shared" ref="BS51:BS53" si="158">BR51/BR$89</f>
        <v>#DIV/0!</v>
      </c>
      <c r="BT51" s="4000"/>
      <c r="BU51" s="3274"/>
      <c r="BV51" s="3274"/>
      <c r="BW51" s="3283">
        <f t="shared" ref="BW51:BW52" si="159">BU51+BV51</f>
        <v>0</v>
      </c>
      <c r="BX51" s="3945" t="e">
        <f t="shared" ref="BX51:BX53" si="160">BW51/BW$89</f>
        <v>#DIV/0!</v>
      </c>
      <c r="BY51" s="4000"/>
      <c r="BZ51" s="3274"/>
      <c r="CA51" s="3274"/>
      <c r="CB51" s="3283">
        <f t="shared" ref="CB51:CB52" si="161">BZ51+CA51</f>
        <v>0</v>
      </c>
      <c r="CC51" s="3945" t="e">
        <f t="shared" ref="CC51:CC53" si="162">CB51/CB$89</f>
        <v>#DIV/0!</v>
      </c>
      <c r="CD51" s="4000"/>
      <c r="CE51" s="3274"/>
      <c r="CF51" s="3274"/>
      <c r="CG51" s="3283">
        <f t="shared" ref="CG51:CG52" si="163">CE51+CF51</f>
        <v>0</v>
      </c>
      <c r="CH51" s="3945" t="e">
        <f t="shared" ref="CH51:CH53" si="164">CG51/CG$89</f>
        <v>#DIV/0!</v>
      </c>
      <c r="CI51" s="4000"/>
      <c r="CJ51" s="3274">
        <f t="shared" ref="CJ51:CK53" si="165">C51+H51+M51+W51</f>
        <v>0</v>
      </c>
      <c r="CK51" s="3274">
        <f t="shared" si="165"/>
        <v>0</v>
      </c>
      <c r="CL51" s="2028">
        <f>CJ51+CK51*1</f>
        <v>0</v>
      </c>
      <c r="CM51" s="3945">
        <f>CL51/$CL$89</f>
        <v>0</v>
      </c>
      <c r="CN51" s="4001"/>
      <c r="CP51" s="2028">
        <f>CN51+CO51*1</f>
        <v>0</v>
      </c>
      <c r="CQ51" s="2028">
        <f>CO51+CP51*1</f>
        <v>0</v>
      </c>
      <c r="CR51" s="3991"/>
      <c r="CT51" s="2644"/>
    </row>
    <row r="52" spans="1:98" ht="13.8" outlineLevel="2" x14ac:dyDescent="0.25">
      <c r="A52" s="1581"/>
      <c r="B52" s="4002" t="s">
        <v>61</v>
      </c>
      <c r="C52" s="3274"/>
      <c r="D52" s="3274"/>
      <c r="E52" s="3283">
        <f t="shared" si="132"/>
        <v>0</v>
      </c>
      <c r="F52" s="3945" t="e">
        <f t="shared" si="133"/>
        <v>#DIV/0!</v>
      </c>
      <c r="G52" s="4000"/>
      <c r="H52" s="3274"/>
      <c r="I52" s="3274"/>
      <c r="J52" s="3283">
        <f>H52+I52</f>
        <v>0</v>
      </c>
      <c r="K52" s="3945" t="e">
        <f t="shared" si="134"/>
        <v>#DIV/0!</v>
      </c>
      <c r="L52" s="4000"/>
      <c r="M52" s="3274"/>
      <c r="N52" s="3274"/>
      <c r="O52" s="3283">
        <f t="shared" si="135"/>
        <v>0</v>
      </c>
      <c r="P52" s="3945">
        <f t="shared" si="136"/>
        <v>0</v>
      </c>
      <c r="Q52" s="4000"/>
      <c r="R52" s="3275">
        <f t="shared" si="137"/>
        <v>0</v>
      </c>
      <c r="S52" s="3275">
        <f t="shared" si="137"/>
        <v>0</v>
      </c>
      <c r="T52" s="2028">
        <f t="shared" si="138"/>
        <v>0</v>
      </c>
      <c r="U52" s="3462"/>
      <c r="V52" s="3462"/>
      <c r="W52" s="3275">
        <f t="shared" si="139"/>
        <v>0</v>
      </c>
      <c r="X52" s="3275">
        <f t="shared" si="139"/>
        <v>0</v>
      </c>
      <c r="Y52" s="2028">
        <f t="shared" si="140"/>
        <v>0</v>
      </c>
      <c r="Z52" s="3462"/>
      <c r="AA52" s="3462"/>
      <c r="AB52" s="3274"/>
      <c r="AC52" s="3274"/>
      <c r="AD52" s="3283">
        <f t="shared" si="141"/>
        <v>0</v>
      </c>
      <c r="AE52" s="3945">
        <f t="shared" si="142"/>
        <v>0</v>
      </c>
      <c r="AF52" s="4000"/>
      <c r="AG52" s="3274"/>
      <c r="AH52" s="3274"/>
      <c r="AI52" s="3283">
        <f t="shared" si="143"/>
        <v>0</v>
      </c>
      <c r="AJ52" s="3945">
        <f t="shared" si="144"/>
        <v>0</v>
      </c>
      <c r="AK52" s="4000"/>
      <c r="AL52" s="3274"/>
      <c r="AM52" s="3274"/>
      <c r="AN52" s="3283">
        <f t="shared" si="145"/>
        <v>0</v>
      </c>
      <c r="AO52" s="3945" t="e">
        <f t="shared" si="146"/>
        <v>#DIV/0!</v>
      </c>
      <c r="AP52" s="4000"/>
      <c r="AQ52" s="3274"/>
      <c r="AR52" s="3274"/>
      <c r="AS52" s="3283">
        <f t="shared" si="147"/>
        <v>0</v>
      </c>
      <c r="AT52" s="3945" t="e">
        <f t="shared" si="148"/>
        <v>#DIV/0!</v>
      </c>
      <c r="AU52" s="4000"/>
      <c r="AV52" s="3274"/>
      <c r="AW52" s="3274"/>
      <c r="AX52" s="3283">
        <f t="shared" si="149"/>
        <v>0</v>
      </c>
      <c r="AY52" s="3945" t="e">
        <f t="shared" si="150"/>
        <v>#DIV/0!</v>
      </c>
      <c r="AZ52" s="4000"/>
      <c r="BA52" s="3274"/>
      <c r="BB52" s="3274"/>
      <c r="BC52" s="3283">
        <f t="shared" si="151"/>
        <v>0</v>
      </c>
      <c r="BD52" s="3945" t="e">
        <f t="shared" si="152"/>
        <v>#DIV/0!</v>
      </c>
      <c r="BE52" s="4000"/>
      <c r="BF52" s="3274"/>
      <c r="BG52" s="3274"/>
      <c r="BH52" s="3283">
        <f t="shared" si="153"/>
        <v>0</v>
      </c>
      <c r="BI52" s="3945" t="e">
        <f t="shared" si="154"/>
        <v>#DIV/0!</v>
      </c>
      <c r="BJ52" s="4000"/>
      <c r="BK52" s="3274"/>
      <c r="BL52" s="3274"/>
      <c r="BM52" s="3283">
        <f t="shared" si="155"/>
        <v>0</v>
      </c>
      <c r="BN52" s="3945" t="e">
        <f t="shared" si="156"/>
        <v>#DIV/0!</v>
      </c>
      <c r="BO52" s="4000"/>
      <c r="BP52" s="3274"/>
      <c r="BQ52" s="3274"/>
      <c r="BR52" s="3283">
        <f t="shared" si="157"/>
        <v>0</v>
      </c>
      <c r="BS52" s="3945" t="e">
        <f t="shared" si="158"/>
        <v>#DIV/0!</v>
      </c>
      <c r="BT52" s="4000"/>
      <c r="BU52" s="3274"/>
      <c r="BV52" s="3274"/>
      <c r="BW52" s="3283">
        <f t="shared" si="159"/>
        <v>0</v>
      </c>
      <c r="BX52" s="3945" t="e">
        <f t="shared" si="160"/>
        <v>#DIV/0!</v>
      </c>
      <c r="BY52" s="4000"/>
      <c r="BZ52" s="3274"/>
      <c r="CA52" s="3274"/>
      <c r="CB52" s="3283">
        <f t="shared" si="161"/>
        <v>0</v>
      </c>
      <c r="CC52" s="3945" t="e">
        <f t="shared" si="162"/>
        <v>#DIV/0!</v>
      </c>
      <c r="CD52" s="4000"/>
      <c r="CE52" s="3274"/>
      <c r="CF52" s="3274"/>
      <c r="CG52" s="3283">
        <f t="shared" si="163"/>
        <v>0</v>
      </c>
      <c r="CH52" s="3945" t="e">
        <f t="shared" si="164"/>
        <v>#DIV/0!</v>
      </c>
      <c r="CI52" s="4000"/>
      <c r="CJ52" s="3274">
        <f t="shared" si="165"/>
        <v>0</v>
      </c>
      <c r="CK52" s="3274">
        <f t="shared" si="165"/>
        <v>0</v>
      </c>
      <c r="CL52" s="2028">
        <f>CJ52+CK52*1</f>
        <v>0</v>
      </c>
      <c r="CM52" s="3945">
        <f>CL52/$CL$89</f>
        <v>0</v>
      </c>
      <c r="CN52" s="4001"/>
      <c r="CP52" s="2028">
        <f>CN52+CO52*1</f>
        <v>0</v>
      </c>
      <c r="CQ52" s="2028">
        <f>CO52+CP52*1</f>
        <v>0</v>
      </c>
      <c r="CR52" s="3991"/>
    </row>
    <row r="53" spans="1:98" ht="14.4" outlineLevel="1" thickBot="1" x14ac:dyDescent="0.3">
      <c r="A53" s="1428"/>
      <c r="B53" s="3970"/>
      <c r="C53" s="3274"/>
      <c r="D53" s="3274"/>
      <c r="E53" s="3929"/>
      <c r="F53" s="3945" t="e">
        <f t="shared" si="133"/>
        <v>#DIV/0!</v>
      </c>
      <c r="G53" s="3930"/>
      <c r="H53" s="3274"/>
      <c r="I53" s="3274"/>
      <c r="J53" s="3929"/>
      <c r="K53" s="3945" t="e">
        <f t="shared" ref="K53:K54" si="166">J53/$E$89</f>
        <v>#DIV/0!</v>
      </c>
      <c r="L53" s="3930"/>
      <c r="M53" s="3274"/>
      <c r="N53" s="3274"/>
      <c r="O53" s="3929"/>
      <c r="P53" s="3945">
        <f t="shared" si="136"/>
        <v>0</v>
      </c>
      <c r="Q53" s="3930"/>
      <c r="R53" s="3971"/>
      <c r="S53" s="3930"/>
      <c r="T53" s="3930"/>
      <c r="U53" s="3930"/>
      <c r="V53" s="3930"/>
      <c r="W53" s="3930"/>
      <c r="X53" s="3930"/>
      <c r="Y53" s="3930"/>
      <c r="Z53" s="3930"/>
      <c r="AA53" s="3930"/>
      <c r="AB53" s="3950"/>
      <c r="AC53" s="3950"/>
      <c r="AD53" s="3929"/>
      <c r="AE53" s="3952">
        <f t="shared" si="142"/>
        <v>0</v>
      </c>
      <c r="AF53" s="3930"/>
      <c r="AG53" s="3950"/>
      <c r="AH53" s="3950"/>
      <c r="AI53" s="3929"/>
      <c r="AJ53" s="3952">
        <f t="shared" si="144"/>
        <v>0</v>
      </c>
      <c r="AK53" s="3930"/>
      <c r="AL53" s="3950"/>
      <c r="AM53" s="3950"/>
      <c r="AN53" s="3929"/>
      <c r="AO53" s="3952" t="e">
        <f t="shared" si="146"/>
        <v>#DIV/0!</v>
      </c>
      <c r="AP53" s="3930"/>
      <c r="AQ53" s="3950"/>
      <c r="AR53" s="3950"/>
      <c r="AS53" s="3929"/>
      <c r="AT53" s="3952" t="e">
        <f t="shared" si="148"/>
        <v>#DIV/0!</v>
      </c>
      <c r="AU53" s="3930"/>
      <c r="AV53" s="3950"/>
      <c r="AW53" s="3950"/>
      <c r="AX53" s="3929"/>
      <c r="AY53" s="3952" t="e">
        <f t="shared" si="150"/>
        <v>#DIV/0!</v>
      </c>
      <c r="AZ53" s="3930"/>
      <c r="BA53" s="3950"/>
      <c r="BB53" s="3950"/>
      <c r="BC53" s="3929"/>
      <c r="BD53" s="3952" t="e">
        <f t="shared" si="152"/>
        <v>#DIV/0!</v>
      </c>
      <c r="BE53" s="3930"/>
      <c r="BF53" s="3950"/>
      <c r="BG53" s="3950"/>
      <c r="BH53" s="3929"/>
      <c r="BI53" s="3952" t="e">
        <f t="shared" si="154"/>
        <v>#DIV/0!</v>
      </c>
      <c r="BJ53" s="3930"/>
      <c r="BK53" s="3950"/>
      <c r="BL53" s="3950"/>
      <c r="BM53" s="3929"/>
      <c r="BN53" s="3952" t="e">
        <f t="shared" si="156"/>
        <v>#DIV/0!</v>
      </c>
      <c r="BO53" s="3930"/>
      <c r="BP53" s="3950"/>
      <c r="BQ53" s="3950"/>
      <c r="BR53" s="3929"/>
      <c r="BS53" s="3952" t="e">
        <f t="shared" si="158"/>
        <v>#DIV/0!</v>
      </c>
      <c r="BT53" s="3930"/>
      <c r="BU53" s="3950"/>
      <c r="BV53" s="3950"/>
      <c r="BW53" s="3929"/>
      <c r="BX53" s="3952" t="e">
        <f t="shared" si="160"/>
        <v>#DIV/0!</v>
      </c>
      <c r="BY53" s="3930"/>
      <c r="BZ53" s="3950"/>
      <c r="CA53" s="3950"/>
      <c r="CB53" s="3929"/>
      <c r="CC53" s="3952" t="e">
        <f t="shared" si="162"/>
        <v>#DIV/0!</v>
      </c>
      <c r="CD53" s="3930"/>
      <c r="CE53" s="3950"/>
      <c r="CF53" s="3950"/>
      <c r="CG53" s="3929"/>
      <c r="CH53" s="3952" t="e">
        <f t="shared" si="164"/>
        <v>#DIV/0!</v>
      </c>
      <c r="CI53" s="3930"/>
      <c r="CJ53" s="3950">
        <f t="shared" si="165"/>
        <v>0</v>
      </c>
      <c r="CK53" s="3950">
        <f t="shared" si="165"/>
        <v>0</v>
      </c>
      <c r="CL53" s="3929"/>
      <c r="CM53" s="3929"/>
      <c r="CN53" s="3929"/>
      <c r="CP53" s="3972"/>
      <c r="CQ53" s="3972"/>
      <c r="CR53" s="3991"/>
    </row>
    <row r="54" spans="1:98" ht="13.8" outlineLevel="1" x14ac:dyDescent="0.25">
      <c r="A54" s="1585"/>
      <c r="B54" s="1425" t="s">
        <v>1</v>
      </c>
      <c r="C54" s="2031">
        <f>SUM(C55:C72)</f>
        <v>0</v>
      </c>
      <c r="D54" s="2031">
        <f>SUM(D55:D72)</f>
        <v>0</v>
      </c>
      <c r="E54" s="2030">
        <f>SUM(E55:E72)</f>
        <v>0</v>
      </c>
      <c r="F54" s="3947" t="e">
        <f t="shared" si="133"/>
        <v>#DIV/0!</v>
      </c>
      <c r="G54" s="1067"/>
      <c r="H54" s="2031">
        <f>SUM(H55:H72)</f>
        <v>0</v>
      </c>
      <c r="I54" s="2031">
        <f>SUM(I55:I72)</f>
        <v>0</v>
      </c>
      <c r="J54" s="2030">
        <f>SUM(J55:J72)</f>
        <v>0</v>
      </c>
      <c r="K54" s="3947" t="e">
        <f t="shared" si="166"/>
        <v>#DIV/0!</v>
      </c>
      <c r="L54" s="1067"/>
      <c r="M54" s="2031">
        <f>SUM(M55:M72)</f>
        <v>0</v>
      </c>
      <c r="N54" s="2031">
        <f>SUM(N55:N72)</f>
        <v>0</v>
      </c>
      <c r="O54" s="2030">
        <f>SUM(O55:O72)</f>
        <v>0</v>
      </c>
      <c r="P54" s="3947" t="e">
        <f t="shared" ref="P54" si="167">O54/$E$89</f>
        <v>#DIV/0!</v>
      </c>
      <c r="Q54" s="1067"/>
      <c r="R54" s="2029">
        <f>SUM(R55:R72)</f>
        <v>0</v>
      </c>
      <c r="S54" s="2029">
        <f>SUM(S55:S72)</f>
        <v>0</v>
      </c>
      <c r="T54" s="2029">
        <f>SUM(T55:T72)</f>
        <v>0</v>
      </c>
      <c r="U54" s="1550"/>
      <c r="V54" s="3467"/>
      <c r="W54" s="2029">
        <f>SUM(W55:W72)</f>
        <v>0</v>
      </c>
      <c r="X54" s="2029">
        <f>SUM(X55:X72)</f>
        <v>0</v>
      </c>
      <c r="Y54" s="2029">
        <f>SUM(Y55:Y72)</f>
        <v>0</v>
      </c>
      <c r="Z54" s="1550"/>
      <c r="AA54" s="3467"/>
      <c r="AB54" s="2029">
        <f>SUM(AB55:AB72)</f>
        <v>0</v>
      </c>
      <c r="AC54" s="2029">
        <f>SUM(AC55:AC72)</f>
        <v>0</v>
      </c>
      <c r="AD54" s="2029">
        <f>SUM(AD55:AD72)</f>
        <v>0</v>
      </c>
      <c r="AE54" s="1550"/>
      <c r="AF54" s="3822"/>
      <c r="AG54" s="2029">
        <f>SUM(AG55:AG72)</f>
        <v>0</v>
      </c>
      <c r="AH54" s="2029">
        <f>SUM(AH55:AH72)</f>
        <v>0</v>
      </c>
      <c r="AI54" s="2029">
        <f>SUM(AI55:AI72)</f>
        <v>0</v>
      </c>
      <c r="AJ54" s="1550"/>
      <c r="AK54" s="3822"/>
      <c r="AL54" s="2029">
        <f>SUM(AL55:AL72)</f>
        <v>0</v>
      </c>
      <c r="AM54" s="2029">
        <f>SUM(AM55:AM72)</f>
        <v>0</v>
      </c>
      <c r="AN54" s="2029">
        <f>SUM(AN55:AN72)</f>
        <v>0</v>
      </c>
      <c r="AO54" s="1550"/>
      <c r="AP54" s="3822"/>
      <c r="AQ54" s="2029">
        <f>SUM(AQ55:AQ72)</f>
        <v>0</v>
      </c>
      <c r="AR54" s="2029">
        <f>SUM(AR55:AR72)</f>
        <v>0</v>
      </c>
      <c r="AS54" s="2029">
        <f>SUM(AS55:AS72)</f>
        <v>0</v>
      </c>
      <c r="AT54" s="1550"/>
      <c r="AU54" s="3822"/>
      <c r="AV54" s="2029">
        <f>SUM(AV55:AV72)</f>
        <v>0</v>
      </c>
      <c r="AW54" s="2029">
        <f>SUM(AW55:AW72)</f>
        <v>0</v>
      </c>
      <c r="AX54" s="2029">
        <f>SUM(AX55:AX72)</f>
        <v>0</v>
      </c>
      <c r="AY54" s="1550"/>
      <c r="AZ54" s="3822"/>
      <c r="BA54" s="2029">
        <f>SUM(BA55:BA72)</f>
        <v>0</v>
      </c>
      <c r="BB54" s="2029">
        <f>SUM(BB55:BB72)</f>
        <v>0</v>
      </c>
      <c r="BC54" s="2029">
        <f>SUM(BC55:BC72)</f>
        <v>0</v>
      </c>
      <c r="BD54" s="1550"/>
      <c r="BE54" s="3822"/>
      <c r="BF54" s="2029">
        <f>SUM(BF55:BF72)</f>
        <v>0</v>
      </c>
      <c r="BG54" s="2029">
        <f>SUM(BG55:BG72)</f>
        <v>0</v>
      </c>
      <c r="BH54" s="2029">
        <f>SUM(BH55:BH72)</f>
        <v>0</v>
      </c>
      <c r="BI54" s="1550"/>
      <c r="BJ54" s="3822"/>
      <c r="BK54" s="2029">
        <f>SUM(BK55:BK72)</f>
        <v>0</v>
      </c>
      <c r="BL54" s="2029">
        <f>SUM(BL55:BL72)</f>
        <v>0</v>
      </c>
      <c r="BM54" s="2029">
        <f>SUM(BM55:BM72)</f>
        <v>0</v>
      </c>
      <c r="BN54" s="1550"/>
      <c r="BO54" s="3822"/>
      <c r="BP54" s="2029">
        <f>SUM(BP55:BP72)</f>
        <v>0</v>
      </c>
      <c r="BQ54" s="2029">
        <f>SUM(BQ55:BQ72)</f>
        <v>0</v>
      </c>
      <c r="BR54" s="2029">
        <f>SUM(BR55:BR72)</f>
        <v>0</v>
      </c>
      <c r="BS54" s="1550"/>
      <c r="BT54" s="3822"/>
      <c r="BU54" s="2029">
        <f>SUM(BU55:BU72)</f>
        <v>0</v>
      </c>
      <c r="BV54" s="2029">
        <f>SUM(BV55:BV72)</f>
        <v>0</v>
      </c>
      <c r="BW54" s="2029">
        <f>SUM(BW55:BW72)</f>
        <v>0</v>
      </c>
      <c r="BX54" s="1550"/>
      <c r="BY54" s="3822"/>
      <c r="BZ54" s="2029">
        <f>SUM(BZ55:BZ72)</f>
        <v>0</v>
      </c>
      <c r="CA54" s="2029">
        <f>SUM(CA55:CA72)</f>
        <v>0</v>
      </c>
      <c r="CB54" s="2029">
        <f>SUM(CB55:CB72)</f>
        <v>0</v>
      </c>
      <c r="CC54" s="1550"/>
      <c r="CD54" s="3822"/>
      <c r="CE54" s="2029">
        <f>SUM(CE55:CE72)</f>
        <v>0</v>
      </c>
      <c r="CF54" s="2029">
        <f>SUM(CF55:CF72)</f>
        <v>0</v>
      </c>
      <c r="CG54" s="2029">
        <f>SUM(CG55:CG72)</f>
        <v>0</v>
      </c>
      <c r="CH54" s="1550"/>
      <c r="CI54" s="3822"/>
      <c r="CJ54" s="2029">
        <f>SUM(CJ55:CJ72)</f>
        <v>0</v>
      </c>
      <c r="CK54" s="2029">
        <f>SUM(CK55:CK72)</f>
        <v>0</v>
      </c>
      <c r="CL54" s="2029">
        <f>SUM(CL55:CL72)</f>
        <v>0</v>
      </c>
      <c r="CM54" s="1550">
        <f t="shared" ref="CM54:CM71" si="168">CL54/$CL$89</f>
        <v>0</v>
      </c>
      <c r="CN54" s="1071"/>
      <c r="CP54" s="2031">
        <f>SUM(CP55:CP72)</f>
        <v>0</v>
      </c>
      <c r="CQ54" s="2031">
        <f>SUM(CQ55:CQ72)</f>
        <v>0</v>
      </c>
      <c r="CR54" s="2031"/>
    </row>
    <row r="55" spans="1:98" ht="13.8" outlineLevel="2" x14ac:dyDescent="0.25">
      <c r="A55" s="1586"/>
      <c r="B55" s="3999" t="s">
        <v>77</v>
      </c>
      <c r="C55" s="3283"/>
      <c r="D55" s="3283"/>
      <c r="E55" s="3283">
        <f t="shared" ref="E55:E71" si="169">C55+D55</f>
        <v>0</v>
      </c>
      <c r="F55" s="3945" t="e">
        <f t="shared" si="133"/>
        <v>#DIV/0!</v>
      </c>
      <c r="G55" s="4003"/>
      <c r="H55" s="3283"/>
      <c r="I55" s="3283"/>
      <c r="J55" s="3283">
        <f t="shared" ref="J55:J71" si="170">H55+I55</f>
        <v>0</v>
      </c>
      <c r="K55" s="3945" t="e">
        <f t="shared" ref="K55:K72" si="171">J55/J$89</f>
        <v>#DIV/0!</v>
      </c>
      <c r="L55" s="4003"/>
      <c r="M55" s="3283"/>
      <c r="N55" s="3283"/>
      <c r="O55" s="3283">
        <f t="shared" ref="O55:O71" si="172">M55+N55</f>
        <v>0</v>
      </c>
      <c r="P55" s="3945">
        <f t="shared" ref="P55:P72" si="173">O55/O$89</f>
        <v>0</v>
      </c>
      <c r="Q55" s="4003"/>
      <c r="R55" s="3275">
        <f t="shared" ref="R55:S71" si="174">M55+H55+C55</f>
        <v>0</v>
      </c>
      <c r="S55" s="3275">
        <f t="shared" si="174"/>
        <v>0</v>
      </c>
      <c r="T55" s="2028">
        <f t="shared" ref="T55:T71" si="175">R55+S55</f>
        <v>0</v>
      </c>
      <c r="U55" s="3469"/>
      <c r="V55" s="3469"/>
      <c r="W55" s="3275">
        <f t="shared" ref="W55:X71" si="176">AB55+AG55+AL55+AV55+BA55+BF55+BK55+BP55+BU55+BZ55+CE55+AQ55</f>
        <v>0</v>
      </c>
      <c r="X55" s="3275">
        <f t="shared" si="176"/>
        <v>0</v>
      </c>
      <c r="Y55" s="2028">
        <f t="shared" ref="Y55:Y71" si="177">W55+X55</f>
        <v>0</v>
      </c>
      <c r="Z55" s="3469"/>
      <c r="AA55" s="3469"/>
      <c r="AB55" s="3283"/>
      <c r="AC55" s="3283"/>
      <c r="AD55" s="3283">
        <f t="shared" ref="AD55:AD71" si="178">AB55+AC55</f>
        <v>0</v>
      </c>
      <c r="AE55" s="3945">
        <f t="shared" ref="AE55:AE71" si="179">AD55/AD$89</f>
        <v>0</v>
      </c>
      <c r="AF55" s="4003"/>
      <c r="AG55" s="3283"/>
      <c r="AH55" s="3283"/>
      <c r="AI55" s="3283">
        <f t="shared" ref="AI55:AI71" si="180">AG55+AH55</f>
        <v>0</v>
      </c>
      <c r="AJ55" s="3945">
        <f t="shared" ref="AJ55:AJ71" si="181">AI55/AI$89</f>
        <v>0</v>
      </c>
      <c r="AK55" s="4003"/>
      <c r="AL55" s="3283"/>
      <c r="AM55" s="3283"/>
      <c r="AN55" s="3283">
        <f t="shared" ref="AN55:AN71" si="182">AL55+AM55</f>
        <v>0</v>
      </c>
      <c r="AO55" s="3945" t="e">
        <f t="shared" ref="AO55:AO71" si="183">AN55/AN$89</f>
        <v>#DIV/0!</v>
      </c>
      <c r="AP55" s="4003"/>
      <c r="AQ55" s="3283"/>
      <c r="AR55" s="3283"/>
      <c r="AS55" s="3283">
        <f t="shared" ref="AS55:AS71" si="184">AQ55+AR55</f>
        <v>0</v>
      </c>
      <c r="AT55" s="3945" t="e">
        <f t="shared" ref="AT55:AT71" si="185">AS55/AS$89</f>
        <v>#DIV/0!</v>
      </c>
      <c r="AU55" s="4003"/>
      <c r="AV55" s="3283"/>
      <c r="AW55" s="3283"/>
      <c r="AX55" s="3283">
        <f t="shared" ref="AX55:AX71" si="186">AV55+AW55</f>
        <v>0</v>
      </c>
      <c r="AY55" s="3945" t="e">
        <f t="shared" ref="AY55:AY71" si="187">AX55/AX$89</f>
        <v>#DIV/0!</v>
      </c>
      <c r="AZ55" s="4003"/>
      <c r="BA55" s="3283"/>
      <c r="BB55" s="3283"/>
      <c r="BC55" s="3283">
        <f t="shared" ref="BC55:BC71" si="188">BA55+BB55</f>
        <v>0</v>
      </c>
      <c r="BD55" s="3945" t="e">
        <f t="shared" ref="BD55:BD71" si="189">BC55/BC$89</f>
        <v>#DIV/0!</v>
      </c>
      <c r="BE55" s="4003"/>
      <c r="BF55" s="3283"/>
      <c r="BG55" s="3283"/>
      <c r="BH55" s="3283">
        <f t="shared" ref="BH55:BH71" si="190">BF55+BG55</f>
        <v>0</v>
      </c>
      <c r="BI55" s="3945" t="e">
        <f t="shared" ref="BI55:BI71" si="191">BH55/BH$89</f>
        <v>#DIV/0!</v>
      </c>
      <c r="BJ55" s="4003"/>
      <c r="BK55" s="3283"/>
      <c r="BL55" s="3283"/>
      <c r="BM55" s="3283">
        <f t="shared" ref="BM55:BM71" si="192">BK55+BL55</f>
        <v>0</v>
      </c>
      <c r="BN55" s="3945" t="e">
        <f t="shared" ref="BN55:BN71" si="193">BM55/BM$89</f>
        <v>#DIV/0!</v>
      </c>
      <c r="BO55" s="4003"/>
      <c r="BP55" s="3283"/>
      <c r="BQ55" s="3283"/>
      <c r="BR55" s="3283">
        <f t="shared" ref="BR55:BR71" si="194">BP55+BQ55</f>
        <v>0</v>
      </c>
      <c r="BS55" s="3945" t="e">
        <f t="shared" ref="BS55:BS71" si="195">BR55/BR$89</f>
        <v>#DIV/0!</v>
      </c>
      <c r="BT55" s="4003"/>
      <c r="BU55" s="3283"/>
      <c r="BV55" s="3283"/>
      <c r="BW55" s="3283">
        <f t="shared" ref="BW55:BW71" si="196">BU55+BV55</f>
        <v>0</v>
      </c>
      <c r="BX55" s="3945" t="e">
        <f t="shared" ref="BX55:BX71" si="197">BW55/BW$89</f>
        <v>#DIV/0!</v>
      </c>
      <c r="BY55" s="4003"/>
      <c r="BZ55" s="3283"/>
      <c r="CA55" s="3283"/>
      <c r="CB55" s="3283">
        <f t="shared" ref="CB55:CB71" si="198">BZ55+CA55</f>
        <v>0</v>
      </c>
      <c r="CC55" s="3945" t="e">
        <f t="shared" ref="CC55:CC71" si="199">CB55/CB$89</f>
        <v>#DIV/0!</v>
      </c>
      <c r="CD55" s="4003"/>
      <c r="CE55" s="3283"/>
      <c r="CF55" s="3283"/>
      <c r="CG55" s="3283">
        <f t="shared" ref="CG55:CG71" si="200">CE55+CF55</f>
        <v>0</v>
      </c>
      <c r="CH55" s="3945" t="e">
        <f t="shared" ref="CH55:CH71" si="201">CG55/CG$89</f>
        <v>#DIV/0!</v>
      </c>
      <c r="CI55" s="4003"/>
      <c r="CJ55" s="3274">
        <f t="shared" ref="CJ55:CK71" si="202">C55+H55+M55+W55</f>
        <v>0</v>
      </c>
      <c r="CK55" s="3274">
        <f t="shared" si="202"/>
        <v>0</v>
      </c>
      <c r="CL55" s="2028">
        <f t="shared" ref="CL55:CL71" si="203">CJ55+CK55*1</f>
        <v>0</v>
      </c>
      <c r="CM55" s="3945">
        <f t="shared" si="168"/>
        <v>0</v>
      </c>
      <c r="CN55" s="3946"/>
      <c r="CP55" s="2028"/>
      <c r="CQ55" s="2028">
        <f t="shared" ref="CQ55:CQ71" si="204">CO55+CP55*1</f>
        <v>0</v>
      </c>
      <c r="CR55" s="3991"/>
    </row>
    <row r="56" spans="1:98" ht="13.8" outlineLevel="2" x14ac:dyDescent="0.25">
      <c r="A56" s="1586"/>
      <c r="B56" s="3999" t="s">
        <v>76</v>
      </c>
      <c r="C56" s="3283"/>
      <c r="D56" s="3283"/>
      <c r="E56" s="3283">
        <f t="shared" si="169"/>
        <v>0</v>
      </c>
      <c r="F56" s="3945" t="e">
        <f t="shared" si="133"/>
        <v>#DIV/0!</v>
      </c>
      <c r="G56" s="4003"/>
      <c r="H56" s="3283"/>
      <c r="I56" s="3283"/>
      <c r="J56" s="3283">
        <f t="shared" si="170"/>
        <v>0</v>
      </c>
      <c r="K56" s="3945" t="e">
        <f t="shared" si="171"/>
        <v>#DIV/0!</v>
      </c>
      <c r="L56" s="4003"/>
      <c r="M56" s="3283"/>
      <c r="N56" s="3283"/>
      <c r="O56" s="3283">
        <f t="shared" si="172"/>
        <v>0</v>
      </c>
      <c r="P56" s="3945">
        <f t="shared" si="173"/>
        <v>0</v>
      </c>
      <c r="Q56" s="4003"/>
      <c r="R56" s="3275">
        <f t="shared" si="174"/>
        <v>0</v>
      </c>
      <c r="S56" s="3275">
        <f t="shared" si="174"/>
        <v>0</v>
      </c>
      <c r="T56" s="2028">
        <f t="shared" si="175"/>
        <v>0</v>
      </c>
      <c r="U56" s="3469"/>
      <c r="V56" s="3469"/>
      <c r="W56" s="3275">
        <f t="shared" si="176"/>
        <v>0</v>
      </c>
      <c r="X56" s="3275">
        <f t="shared" si="176"/>
        <v>0</v>
      </c>
      <c r="Y56" s="2028">
        <f t="shared" si="177"/>
        <v>0</v>
      </c>
      <c r="Z56" s="3469"/>
      <c r="AA56" s="3469"/>
      <c r="AB56" s="3283"/>
      <c r="AC56" s="3283"/>
      <c r="AD56" s="3283">
        <f t="shared" si="178"/>
        <v>0</v>
      </c>
      <c r="AE56" s="3945">
        <f t="shared" si="179"/>
        <v>0</v>
      </c>
      <c r="AF56" s="4003"/>
      <c r="AG56" s="3283"/>
      <c r="AH56" s="3283"/>
      <c r="AI56" s="3283">
        <f t="shared" si="180"/>
        <v>0</v>
      </c>
      <c r="AJ56" s="3945">
        <f t="shared" si="181"/>
        <v>0</v>
      </c>
      <c r="AK56" s="4003"/>
      <c r="AL56" s="3283"/>
      <c r="AM56" s="3283"/>
      <c r="AN56" s="3283">
        <f t="shared" si="182"/>
        <v>0</v>
      </c>
      <c r="AO56" s="3945" t="e">
        <f t="shared" si="183"/>
        <v>#DIV/0!</v>
      </c>
      <c r="AP56" s="4003"/>
      <c r="AQ56" s="3283"/>
      <c r="AR56" s="3283"/>
      <c r="AS56" s="3283">
        <f t="shared" si="184"/>
        <v>0</v>
      </c>
      <c r="AT56" s="3945" t="e">
        <f t="shared" si="185"/>
        <v>#DIV/0!</v>
      </c>
      <c r="AU56" s="4003"/>
      <c r="AV56" s="3283"/>
      <c r="AW56" s="3283"/>
      <c r="AX56" s="3283">
        <f t="shared" si="186"/>
        <v>0</v>
      </c>
      <c r="AY56" s="3945" t="e">
        <f t="shared" si="187"/>
        <v>#DIV/0!</v>
      </c>
      <c r="AZ56" s="4003"/>
      <c r="BA56" s="3283"/>
      <c r="BB56" s="3283"/>
      <c r="BC56" s="3283">
        <f t="shared" si="188"/>
        <v>0</v>
      </c>
      <c r="BD56" s="3945" t="e">
        <f t="shared" si="189"/>
        <v>#DIV/0!</v>
      </c>
      <c r="BE56" s="4003"/>
      <c r="BF56" s="3283"/>
      <c r="BG56" s="3283"/>
      <c r="BH56" s="3283">
        <f t="shared" si="190"/>
        <v>0</v>
      </c>
      <c r="BI56" s="3945" t="e">
        <f t="shared" si="191"/>
        <v>#DIV/0!</v>
      </c>
      <c r="BJ56" s="4003"/>
      <c r="BK56" s="3283"/>
      <c r="BL56" s="3283"/>
      <c r="BM56" s="3283">
        <f t="shared" si="192"/>
        <v>0</v>
      </c>
      <c r="BN56" s="3945" t="e">
        <f t="shared" si="193"/>
        <v>#DIV/0!</v>
      </c>
      <c r="BO56" s="4003"/>
      <c r="BP56" s="3283"/>
      <c r="BQ56" s="3283"/>
      <c r="BR56" s="3283">
        <f t="shared" si="194"/>
        <v>0</v>
      </c>
      <c r="BS56" s="3945" t="e">
        <f t="shared" si="195"/>
        <v>#DIV/0!</v>
      </c>
      <c r="BT56" s="4003"/>
      <c r="BU56" s="3283"/>
      <c r="BV56" s="3283"/>
      <c r="BW56" s="3283">
        <f t="shared" si="196"/>
        <v>0</v>
      </c>
      <c r="BX56" s="3945" t="e">
        <f t="shared" si="197"/>
        <v>#DIV/0!</v>
      </c>
      <c r="BY56" s="4003"/>
      <c r="BZ56" s="3283"/>
      <c r="CA56" s="3283"/>
      <c r="CB56" s="3283">
        <f t="shared" si="198"/>
        <v>0</v>
      </c>
      <c r="CC56" s="3945" t="e">
        <f t="shared" si="199"/>
        <v>#DIV/0!</v>
      </c>
      <c r="CD56" s="4003"/>
      <c r="CE56" s="3283"/>
      <c r="CF56" s="3283"/>
      <c r="CG56" s="3283">
        <f t="shared" si="200"/>
        <v>0</v>
      </c>
      <c r="CH56" s="3945" t="e">
        <f t="shared" si="201"/>
        <v>#DIV/0!</v>
      </c>
      <c r="CI56" s="4003"/>
      <c r="CJ56" s="3274">
        <f t="shared" si="202"/>
        <v>0</v>
      </c>
      <c r="CK56" s="3274">
        <f t="shared" si="202"/>
        <v>0</v>
      </c>
      <c r="CL56" s="2028">
        <f t="shared" si="203"/>
        <v>0</v>
      </c>
      <c r="CM56" s="3945">
        <f t="shared" si="168"/>
        <v>0</v>
      </c>
      <c r="CN56" s="3946"/>
      <c r="CP56" s="2028"/>
      <c r="CQ56" s="2028">
        <f t="shared" si="204"/>
        <v>0</v>
      </c>
      <c r="CR56" s="3991"/>
    </row>
    <row r="57" spans="1:98" ht="13.8" outlineLevel="2" x14ac:dyDescent="0.25">
      <c r="A57" s="1586"/>
      <c r="B57" s="3999" t="s">
        <v>68</v>
      </c>
      <c r="C57" s="3283"/>
      <c r="D57" s="3283"/>
      <c r="E57" s="3283">
        <f t="shared" si="169"/>
        <v>0</v>
      </c>
      <c r="F57" s="3945" t="e">
        <f t="shared" si="133"/>
        <v>#DIV/0!</v>
      </c>
      <c r="G57" s="4003"/>
      <c r="H57" s="3283"/>
      <c r="I57" s="3283"/>
      <c r="J57" s="3283">
        <f t="shared" si="170"/>
        <v>0</v>
      </c>
      <c r="K57" s="3945" t="e">
        <f t="shared" si="171"/>
        <v>#DIV/0!</v>
      </c>
      <c r="L57" s="4003"/>
      <c r="M57" s="3283"/>
      <c r="N57" s="3283"/>
      <c r="O57" s="3283">
        <f t="shared" si="172"/>
        <v>0</v>
      </c>
      <c r="P57" s="3945">
        <f t="shared" si="173"/>
        <v>0</v>
      </c>
      <c r="Q57" s="4003"/>
      <c r="R57" s="3275">
        <f t="shared" si="174"/>
        <v>0</v>
      </c>
      <c r="S57" s="3275">
        <f t="shared" si="174"/>
        <v>0</v>
      </c>
      <c r="T57" s="2028">
        <f t="shared" si="175"/>
        <v>0</v>
      </c>
      <c r="U57" s="3469"/>
      <c r="V57" s="3469"/>
      <c r="W57" s="3275">
        <f t="shared" si="176"/>
        <v>0</v>
      </c>
      <c r="X57" s="3275">
        <f t="shared" si="176"/>
        <v>0</v>
      </c>
      <c r="Y57" s="2028">
        <f t="shared" si="177"/>
        <v>0</v>
      </c>
      <c r="Z57" s="3469"/>
      <c r="AA57" s="3469"/>
      <c r="AB57" s="3283"/>
      <c r="AC57" s="3283"/>
      <c r="AD57" s="3283">
        <f t="shared" si="178"/>
        <v>0</v>
      </c>
      <c r="AE57" s="3945">
        <f t="shared" si="179"/>
        <v>0</v>
      </c>
      <c r="AF57" s="4003"/>
      <c r="AG57" s="3283"/>
      <c r="AH57" s="3283"/>
      <c r="AI57" s="3283">
        <f t="shared" si="180"/>
        <v>0</v>
      </c>
      <c r="AJ57" s="3945">
        <f t="shared" si="181"/>
        <v>0</v>
      </c>
      <c r="AK57" s="4003"/>
      <c r="AL57" s="3283"/>
      <c r="AM57" s="3283"/>
      <c r="AN57" s="3283">
        <f t="shared" si="182"/>
        <v>0</v>
      </c>
      <c r="AO57" s="3945" t="e">
        <f t="shared" si="183"/>
        <v>#DIV/0!</v>
      </c>
      <c r="AP57" s="4003"/>
      <c r="AQ57" s="3283"/>
      <c r="AR57" s="3283"/>
      <c r="AS57" s="3283">
        <f t="shared" si="184"/>
        <v>0</v>
      </c>
      <c r="AT57" s="3945" t="e">
        <f t="shared" si="185"/>
        <v>#DIV/0!</v>
      </c>
      <c r="AU57" s="4003"/>
      <c r="AV57" s="3283"/>
      <c r="AW57" s="3283"/>
      <c r="AX57" s="3283">
        <f t="shared" si="186"/>
        <v>0</v>
      </c>
      <c r="AY57" s="3945" t="e">
        <f t="shared" si="187"/>
        <v>#DIV/0!</v>
      </c>
      <c r="AZ57" s="4003"/>
      <c r="BA57" s="3283"/>
      <c r="BB57" s="3283"/>
      <c r="BC57" s="3283">
        <f t="shared" si="188"/>
        <v>0</v>
      </c>
      <c r="BD57" s="3945" t="e">
        <f t="shared" si="189"/>
        <v>#DIV/0!</v>
      </c>
      <c r="BE57" s="4003"/>
      <c r="BF57" s="3283"/>
      <c r="BG57" s="3283"/>
      <c r="BH57" s="3283">
        <f t="shared" si="190"/>
        <v>0</v>
      </c>
      <c r="BI57" s="3945" t="e">
        <f t="shared" si="191"/>
        <v>#DIV/0!</v>
      </c>
      <c r="BJ57" s="4003"/>
      <c r="BK57" s="3283"/>
      <c r="BL57" s="3283"/>
      <c r="BM57" s="3283">
        <f t="shared" si="192"/>
        <v>0</v>
      </c>
      <c r="BN57" s="3945" t="e">
        <f t="shared" si="193"/>
        <v>#DIV/0!</v>
      </c>
      <c r="BO57" s="4003"/>
      <c r="BP57" s="3283"/>
      <c r="BQ57" s="3283"/>
      <c r="BR57" s="3283">
        <f t="shared" si="194"/>
        <v>0</v>
      </c>
      <c r="BS57" s="3945" t="e">
        <f t="shared" si="195"/>
        <v>#DIV/0!</v>
      </c>
      <c r="BT57" s="4003"/>
      <c r="BU57" s="3283"/>
      <c r="BV57" s="3283"/>
      <c r="BW57" s="3283">
        <f t="shared" si="196"/>
        <v>0</v>
      </c>
      <c r="BX57" s="3945" t="e">
        <f t="shared" si="197"/>
        <v>#DIV/0!</v>
      </c>
      <c r="BY57" s="4003"/>
      <c r="BZ57" s="3283"/>
      <c r="CA57" s="3283"/>
      <c r="CB57" s="3283">
        <f t="shared" si="198"/>
        <v>0</v>
      </c>
      <c r="CC57" s="3945" t="e">
        <f t="shared" si="199"/>
        <v>#DIV/0!</v>
      </c>
      <c r="CD57" s="4003"/>
      <c r="CE57" s="3283"/>
      <c r="CF57" s="3283"/>
      <c r="CG57" s="3283">
        <f t="shared" si="200"/>
        <v>0</v>
      </c>
      <c r="CH57" s="3945" t="e">
        <f t="shared" si="201"/>
        <v>#DIV/0!</v>
      </c>
      <c r="CI57" s="4003"/>
      <c r="CJ57" s="3274">
        <f t="shared" si="202"/>
        <v>0</v>
      </c>
      <c r="CK57" s="3274">
        <f t="shared" si="202"/>
        <v>0</v>
      </c>
      <c r="CL57" s="2028">
        <f t="shared" si="203"/>
        <v>0</v>
      </c>
      <c r="CM57" s="3945">
        <f t="shared" si="168"/>
        <v>0</v>
      </c>
      <c r="CN57" s="3946"/>
      <c r="CP57" s="2028"/>
      <c r="CQ57" s="2028">
        <f t="shared" si="204"/>
        <v>0</v>
      </c>
      <c r="CR57" s="3991"/>
    </row>
    <row r="58" spans="1:98" ht="13.8" outlineLevel="2" x14ac:dyDescent="0.25">
      <c r="A58" s="1586"/>
      <c r="B58" s="3999" t="s">
        <v>67</v>
      </c>
      <c r="C58" s="3283"/>
      <c r="D58" s="3283"/>
      <c r="E58" s="3283">
        <f t="shared" si="169"/>
        <v>0</v>
      </c>
      <c r="F58" s="3945" t="e">
        <f t="shared" si="133"/>
        <v>#DIV/0!</v>
      </c>
      <c r="G58" s="4003"/>
      <c r="H58" s="3283"/>
      <c r="I58" s="3283"/>
      <c r="J58" s="3283">
        <f t="shared" si="170"/>
        <v>0</v>
      </c>
      <c r="K58" s="3945" t="e">
        <f t="shared" si="171"/>
        <v>#DIV/0!</v>
      </c>
      <c r="L58" s="4003"/>
      <c r="M58" s="3283"/>
      <c r="N58" s="3283"/>
      <c r="O58" s="3283">
        <f t="shared" si="172"/>
        <v>0</v>
      </c>
      <c r="P58" s="3945">
        <f t="shared" si="173"/>
        <v>0</v>
      </c>
      <c r="Q58" s="4003"/>
      <c r="R58" s="3275">
        <f t="shared" si="174"/>
        <v>0</v>
      </c>
      <c r="S58" s="3275">
        <f t="shared" si="174"/>
        <v>0</v>
      </c>
      <c r="T58" s="2028">
        <f t="shared" si="175"/>
        <v>0</v>
      </c>
      <c r="U58" s="3469"/>
      <c r="V58" s="3469"/>
      <c r="W58" s="3275">
        <f t="shared" si="176"/>
        <v>0</v>
      </c>
      <c r="X58" s="3275">
        <f t="shared" si="176"/>
        <v>0</v>
      </c>
      <c r="Y58" s="2028">
        <f t="shared" si="177"/>
        <v>0</v>
      </c>
      <c r="Z58" s="3469"/>
      <c r="AA58" s="3469"/>
      <c r="AB58" s="3283"/>
      <c r="AC58" s="3283"/>
      <c r="AD58" s="3283">
        <f t="shared" si="178"/>
        <v>0</v>
      </c>
      <c r="AE58" s="3945">
        <f t="shared" si="179"/>
        <v>0</v>
      </c>
      <c r="AF58" s="4003"/>
      <c r="AG58" s="3283"/>
      <c r="AH58" s="3283"/>
      <c r="AI58" s="3283">
        <f t="shared" si="180"/>
        <v>0</v>
      </c>
      <c r="AJ58" s="3945">
        <f t="shared" si="181"/>
        <v>0</v>
      </c>
      <c r="AK58" s="4003"/>
      <c r="AL58" s="3283"/>
      <c r="AM58" s="3283"/>
      <c r="AN58" s="3283">
        <f t="shared" si="182"/>
        <v>0</v>
      </c>
      <c r="AO58" s="3945" t="e">
        <f t="shared" si="183"/>
        <v>#DIV/0!</v>
      </c>
      <c r="AP58" s="4003"/>
      <c r="AQ58" s="3283"/>
      <c r="AR58" s="3283"/>
      <c r="AS58" s="3283">
        <f t="shared" si="184"/>
        <v>0</v>
      </c>
      <c r="AT58" s="3945" t="e">
        <f t="shared" si="185"/>
        <v>#DIV/0!</v>
      </c>
      <c r="AU58" s="4003"/>
      <c r="AV58" s="3283"/>
      <c r="AW58" s="3283"/>
      <c r="AX58" s="3283">
        <f t="shared" si="186"/>
        <v>0</v>
      </c>
      <c r="AY58" s="3945" t="e">
        <f t="shared" si="187"/>
        <v>#DIV/0!</v>
      </c>
      <c r="AZ58" s="4003"/>
      <c r="BA58" s="3283"/>
      <c r="BB58" s="3283"/>
      <c r="BC58" s="3283">
        <f t="shared" si="188"/>
        <v>0</v>
      </c>
      <c r="BD58" s="3945" t="e">
        <f t="shared" si="189"/>
        <v>#DIV/0!</v>
      </c>
      <c r="BE58" s="4003"/>
      <c r="BF58" s="3283"/>
      <c r="BG58" s="3283"/>
      <c r="BH58" s="3283">
        <f t="shared" si="190"/>
        <v>0</v>
      </c>
      <c r="BI58" s="3945" t="e">
        <f t="shared" si="191"/>
        <v>#DIV/0!</v>
      </c>
      <c r="BJ58" s="4003"/>
      <c r="BK58" s="3283"/>
      <c r="BL58" s="3283"/>
      <c r="BM58" s="3283">
        <f t="shared" si="192"/>
        <v>0</v>
      </c>
      <c r="BN58" s="3945" t="e">
        <f t="shared" si="193"/>
        <v>#DIV/0!</v>
      </c>
      <c r="BO58" s="4003"/>
      <c r="BP58" s="3283"/>
      <c r="BQ58" s="3283"/>
      <c r="BR58" s="3283">
        <f t="shared" si="194"/>
        <v>0</v>
      </c>
      <c r="BS58" s="3945" t="e">
        <f t="shared" si="195"/>
        <v>#DIV/0!</v>
      </c>
      <c r="BT58" s="4003"/>
      <c r="BU58" s="3283"/>
      <c r="BV58" s="3283"/>
      <c r="BW58" s="3283">
        <f t="shared" si="196"/>
        <v>0</v>
      </c>
      <c r="BX58" s="3945" t="e">
        <f t="shared" si="197"/>
        <v>#DIV/0!</v>
      </c>
      <c r="BY58" s="4003"/>
      <c r="BZ58" s="3283"/>
      <c r="CA58" s="3283"/>
      <c r="CB58" s="3283">
        <f t="shared" si="198"/>
        <v>0</v>
      </c>
      <c r="CC58" s="3945" t="e">
        <f t="shared" si="199"/>
        <v>#DIV/0!</v>
      </c>
      <c r="CD58" s="4003"/>
      <c r="CE58" s="3283"/>
      <c r="CF58" s="3283"/>
      <c r="CG58" s="3283">
        <f t="shared" si="200"/>
        <v>0</v>
      </c>
      <c r="CH58" s="3945" t="e">
        <f t="shared" si="201"/>
        <v>#DIV/0!</v>
      </c>
      <c r="CI58" s="4003"/>
      <c r="CJ58" s="3274">
        <f t="shared" si="202"/>
        <v>0</v>
      </c>
      <c r="CK58" s="3274">
        <f t="shared" si="202"/>
        <v>0</v>
      </c>
      <c r="CL58" s="2028">
        <f t="shared" si="203"/>
        <v>0</v>
      </c>
      <c r="CM58" s="3945">
        <f t="shared" si="168"/>
        <v>0</v>
      </c>
      <c r="CN58" s="3946"/>
      <c r="CP58" s="2028"/>
      <c r="CQ58" s="2028">
        <f t="shared" si="204"/>
        <v>0</v>
      </c>
      <c r="CR58" s="3991"/>
    </row>
    <row r="59" spans="1:98" ht="13.8" outlineLevel="2" x14ac:dyDescent="0.25">
      <c r="A59" s="1586"/>
      <c r="B59" s="3999" t="s">
        <v>66</v>
      </c>
      <c r="C59" s="3283"/>
      <c r="D59" s="3283"/>
      <c r="E59" s="3283">
        <f t="shared" si="169"/>
        <v>0</v>
      </c>
      <c r="F59" s="3945" t="e">
        <f t="shared" si="133"/>
        <v>#DIV/0!</v>
      </c>
      <c r="G59" s="4003"/>
      <c r="H59" s="3283"/>
      <c r="I59" s="3283"/>
      <c r="J59" s="3283">
        <f t="shared" si="170"/>
        <v>0</v>
      </c>
      <c r="K59" s="3945" t="e">
        <f t="shared" si="171"/>
        <v>#DIV/0!</v>
      </c>
      <c r="L59" s="4003"/>
      <c r="M59" s="3283"/>
      <c r="N59" s="3283"/>
      <c r="O59" s="3283">
        <f t="shared" si="172"/>
        <v>0</v>
      </c>
      <c r="P59" s="3945">
        <f t="shared" si="173"/>
        <v>0</v>
      </c>
      <c r="Q59" s="4003"/>
      <c r="R59" s="3275">
        <f t="shared" si="174"/>
        <v>0</v>
      </c>
      <c r="S59" s="3275">
        <f t="shared" si="174"/>
        <v>0</v>
      </c>
      <c r="T59" s="2028">
        <f t="shared" si="175"/>
        <v>0</v>
      </c>
      <c r="U59" s="3469"/>
      <c r="V59" s="3469"/>
      <c r="W59" s="3275">
        <f t="shared" si="176"/>
        <v>0</v>
      </c>
      <c r="X59" s="3275">
        <f t="shared" si="176"/>
        <v>0</v>
      </c>
      <c r="Y59" s="2028">
        <f t="shared" si="177"/>
        <v>0</v>
      </c>
      <c r="Z59" s="3469"/>
      <c r="AA59" s="3469"/>
      <c r="AB59" s="3283"/>
      <c r="AC59" s="3283"/>
      <c r="AD59" s="3283">
        <f t="shared" si="178"/>
        <v>0</v>
      </c>
      <c r="AE59" s="3945">
        <f t="shared" si="179"/>
        <v>0</v>
      </c>
      <c r="AF59" s="4003"/>
      <c r="AG59" s="3283"/>
      <c r="AH59" s="3283"/>
      <c r="AI59" s="3283">
        <f t="shared" si="180"/>
        <v>0</v>
      </c>
      <c r="AJ59" s="3945">
        <f t="shared" si="181"/>
        <v>0</v>
      </c>
      <c r="AK59" s="4003"/>
      <c r="AL59" s="3283"/>
      <c r="AM59" s="3283"/>
      <c r="AN59" s="3283">
        <f t="shared" si="182"/>
        <v>0</v>
      </c>
      <c r="AO59" s="3945" t="e">
        <f t="shared" si="183"/>
        <v>#DIV/0!</v>
      </c>
      <c r="AP59" s="4003"/>
      <c r="AQ59" s="3283"/>
      <c r="AR59" s="3283"/>
      <c r="AS59" s="3283">
        <f t="shared" si="184"/>
        <v>0</v>
      </c>
      <c r="AT59" s="3945" t="e">
        <f t="shared" si="185"/>
        <v>#DIV/0!</v>
      </c>
      <c r="AU59" s="4003"/>
      <c r="AV59" s="3283"/>
      <c r="AW59" s="3283"/>
      <c r="AX59" s="3283">
        <f t="shared" si="186"/>
        <v>0</v>
      </c>
      <c r="AY59" s="3945" t="e">
        <f t="shared" si="187"/>
        <v>#DIV/0!</v>
      </c>
      <c r="AZ59" s="4003"/>
      <c r="BA59" s="3283"/>
      <c r="BB59" s="3283"/>
      <c r="BC59" s="3283">
        <f t="shared" si="188"/>
        <v>0</v>
      </c>
      <c r="BD59" s="3945" t="e">
        <f t="shared" si="189"/>
        <v>#DIV/0!</v>
      </c>
      <c r="BE59" s="4003"/>
      <c r="BF59" s="3283"/>
      <c r="BG59" s="3283"/>
      <c r="BH59" s="3283">
        <f t="shared" si="190"/>
        <v>0</v>
      </c>
      <c r="BI59" s="3945" t="e">
        <f t="shared" si="191"/>
        <v>#DIV/0!</v>
      </c>
      <c r="BJ59" s="4003"/>
      <c r="BK59" s="3283"/>
      <c r="BL59" s="3283"/>
      <c r="BM59" s="3283">
        <f t="shared" si="192"/>
        <v>0</v>
      </c>
      <c r="BN59" s="3945" t="e">
        <f t="shared" si="193"/>
        <v>#DIV/0!</v>
      </c>
      <c r="BO59" s="4003"/>
      <c r="BP59" s="3283"/>
      <c r="BQ59" s="3283"/>
      <c r="BR59" s="3283">
        <f t="shared" si="194"/>
        <v>0</v>
      </c>
      <c r="BS59" s="3945" t="e">
        <f t="shared" si="195"/>
        <v>#DIV/0!</v>
      </c>
      <c r="BT59" s="4003"/>
      <c r="BU59" s="3283"/>
      <c r="BV59" s="3283"/>
      <c r="BW59" s="3283">
        <f t="shared" si="196"/>
        <v>0</v>
      </c>
      <c r="BX59" s="3945" t="e">
        <f t="shared" si="197"/>
        <v>#DIV/0!</v>
      </c>
      <c r="BY59" s="4003"/>
      <c r="BZ59" s="3283"/>
      <c r="CA59" s="3283"/>
      <c r="CB59" s="3283">
        <f t="shared" si="198"/>
        <v>0</v>
      </c>
      <c r="CC59" s="3945" t="e">
        <f t="shared" si="199"/>
        <v>#DIV/0!</v>
      </c>
      <c r="CD59" s="4003"/>
      <c r="CE59" s="3283"/>
      <c r="CF59" s="3283"/>
      <c r="CG59" s="3283">
        <f t="shared" si="200"/>
        <v>0</v>
      </c>
      <c r="CH59" s="3945" t="e">
        <f t="shared" si="201"/>
        <v>#DIV/0!</v>
      </c>
      <c r="CI59" s="4003"/>
      <c r="CJ59" s="3274">
        <f t="shared" si="202"/>
        <v>0</v>
      </c>
      <c r="CK59" s="3274">
        <f t="shared" si="202"/>
        <v>0</v>
      </c>
      <c r="CL59" s="2028">
        <f t="shared" si="203"/>
        <v>0</v>
      </c>
      <c r="CM59" s="3945">
        <f t="shared" si="168"/>
        <v>0</v>
      </c>
      <c r="CN59" s="3946"/>
      <c r="CP59" s="2028"/>
      <c r="CQ59" s="2028">
        <f t="shared" si="204"/>
        <v>0</v>
      </c>
      <c r="CR59" s="3991"/>
    </row>
    <row r="60" spans="1:98" ht="13.8" outlineLevel="2" x14ac:dyDescent="0.25">
      <c r="A60" s="1586"/>
      <c r="B60" s="3999" t="s">
        <v>65</v>
      </c>
      <c r="C60" s="3283"/>
      <c r="D60" s="3283"/>
      <c r="E60" s="3283">
        <f t="shared" si="169"/>
        <v>0</v>
      </c>
      <c r="F60" s="3945" t="e">
        <f t="shared" si="133"/>
        <v>#DIV/0!</v>
      </c>
      <c r="G60" s="4003"/>
      <c r="H60" s="3283"/>
      <c r="I60" s="3283"/>
      <c r="J60" s="3283">
        <f t="shared" si="170"/>
        <v>0</v>
      </c>
      <c r="K60" s="3945" t="e">
        <f t="shared" si="171"/>
        <v>#DIV/0!</v>
      </c>
      <c r="L60" s="4003"/>
      <c r="M60" s="3283"/>
      <c r="N60" s="3283"/>
      <c r="O60" s="3283">
        <f t="shared" si="172"/>
        <v>0</v>
      </c>
      <c r="P60" s="3945">
        <f t="shared" si="173"/>
        <v>0</v>
      </c>
      <c r="Q60" s="4003"/>
      <c r="R60" s="3275">
        <f t="shared" si="174"/>
        <v>0</v>
      </c>
      <c r="S60" s="3275">
        <f t="shared" si="174"/>
        <v>0</v>
      </c>
      <c r="T60" s="2028">
        <f t="shared" si="175"/>
        <v>0</v>
      </c>
      <c r="U60" s="3469"/>
      <c r="V60" s="3469"/>
      <c r="W60" s="3275">
        <f t="shared" si="176"/>
        <v>0</v>
      </c>
      <c r="X60" s="3275">
        <f t="shared" si="176"/>
        <v>0</v>
      </c>
      <c r="Y60" s="2028">
        <f t="shared" si="177"/>
        <v>0</v>
      </c>
      <c r="Z60" s="3469"/>
      <c r="AA60" s="3469"/>
      <c r="AB60" s="3283"/>
      <c r="AC60" s="3283"/>
      <c r="AD60" s="3283">
        <f t="shared" si="178"/>
        <v>0</v>
      </c>
      <c r="AE60" s="3945">
        <f t="shared" si="179"/>
        <v>0</v>
      </c>
      <c r="AF60" s="4003"/>
      <c r="AG60" s="3283"/>
      <c r="AH60" s="3283"/>
      <c r="AI60" s="3283">
        <f t="shared" si="180"/>
        <v>0</v>
      </c>
      <c r="AJ60" s="3945">
        <f t="shared" si="181"/>
        <v>0</v>
      </c>
      <c r="AK60" s="4003"/>
      <c r="AL60" s="3283"/>
      <c r="AM60" s="3283"/>
      <c r="AN60" s="3283">
        <f t="shared" si="182"/>
        <v>0</v>
      </c>
      <c r="AO60" s="3945" t="e">
        <f t="shared" si="183"/>
        <v>#DIV/0!</v>
      </c>
      <c r="AP60" s="4003"/>
      <c r="AQ60" s="3283"/>
      <c r="AR60" s="3283"/>
      <c r="AS60" s="3283">
        <f t="shared" si="184"/>
        <v>0</v>
      </c>
      <c r="AT60" s="3945" t="e">
        <f t="shared" si="185"/>
        <v>#DIV/0!</v>
      </c>
      <c r="AU60" s="4003"/>
      <c r="AV60" s="3283"/>
      <c r="AW60" s="3283"/>
      <c r="AX60" s="3283">
        <f t="shared" si="186"/>
        <v>0</v>
      </c>
      <c r="AY60" s="3945" t="e">
        <f t="shared" si="187"/>
        <v>#DIV/0!</v>
      </c>
      <c r="AZ60" s="4003"/>
      <c r="BA60" s="3283"/>
      <c r="BB60" s="3283"/>
      <c r="BC60" s="3283">
        <f t="shared" si="188"/>
        <v>0</v>
      </c>
      <c r="BD60" s="3945" t="e">
        <f t="shared" si="189"/>
        <v>#DIV/0!</v>
      </c>
      <c r="BE60" s="4003"/>
      <c r="BF60" s="3283"/>
      <c r="BG60" s="3283"/>
      <c r="BH60" s="3283">
        <f t="shared" si="190"/>
        <v>0</v>
      </c>
      <c r="BI60" s="3945" t="e">
        <f t="shared" si="191"/>
        <v>#DIV/0!</v>
      </c>
      <c r="BJ60" s="4003"/>
      <c r="BK60" s="3283"/>
      <c r="BL60" s="3283"/>
      <c r="BM60" s="3283">
        <f t="shared" si="192"/>
        <v>0</v>
      </c>
      <c r="BN60" s="3945" t="e">
        <f t="shared" si="193"/>
        <v>#DIV/0!</v>
      </c>
      <c r="BO60" s="4003"/>
      <c r="BP60" s="3283"/>
      <c r="BQ60" s="3283"/>
      <c r="BR60" s="3283">
        <f t="shared" si="194"/>
        <v>0</v>
      </c>
      <c r="BS60" s="3945" t="e">
        <f t="shared" si="195"/>
        <v>#DIV/0!</v>
      </c>
      <c r="BT60" s="4003"/>
      <c r="BU60" s="3283"/>
      <c r="BV60" s="3283"/>
      <c r="BW60" s="3283">
        <f t="shared" si="196"/>
        <v>0</v>
      </c>
      <c r="BX60" s="3945" t="e">
        <f t="shared" si="197"/>
        <v>#DIV/0!</v>
      </c>
      <c r="BY60" s="4003"/>
      <c r="BZ60" s="3283"/>
      <c r="CA60" s="3283"/>
      <c r="CB60" s="3283">
        <f t="shared" si="198"/>
        <v>0</v>
      </c>
      <c r="CC60" s="3945" t="e">
        <f t="shared" si="199"/>
        <v>#DIV/0!</v>
      </c>
      <c r="CD60" s="4003"/>
      <c r="CE60" s="3283"/>
      <c r="CF60" s="3283"/>
      <c r="CG60" s="3283">
        <f t="shared" si="200"/>
        <v>0</v>
      </c>
      <c r="CH60" s="3945" t="e">
        <f t="shared" si="201"/>
        <v>#DIV/0!</v>
      </c>
      <c r="CI60" s="4003"/>
      <c r="CJ60" s="3274">
        <f t="shared" si="202"/>
        <v>0</v>
      </c>
      <c r="CK60" s="3274">
        <f t="shared" si="202"/>
        <v>0</v>
      </c>
      <c r="CL60" s="2028">
        <f t="shared" si="203"/>
        <v>0</v>
      </c>
      <c r="CM60" s="3945">
        <f t="shared" si="168"/>
        <v>0</v>
      </c>
      <c r="CN60" s="3946"/>
      <c r="CP60" s="2028"/>
      <c r="CQ60" s="2028">
        <f t="shared" si="204"/>
        <v>0</v>
      </c>
      <c r="CR60" s="3991"/>
    </row>
    <row r="61" spans="1:98" ht="13.8" outlineLevel="2" x14ac:dyDescent="0.25">
      <c r="A61" s="1586"/>
      <c r="B61" s="3999" t="s">
        <v>32</v>
      </c>
      <c r="C61" s="3283"/>
      <c r="D61" s="3283"/>
      <c r="E61" s="3283">
        <f t="shared" si="169"/>
        <v>0</v>
      </c>
      <c r="F61" s="3945" t="e">
        <f t="shared" si="133"/>
        <v>#DIV/0!</v>
      </c>
      <c r="G61" s="4003"/>
      <c r="H61" s="3283"/>
      <c r="I61" s="3283"/>
      <c r="J61" s="3283">
        <f t="shared" si="170"/>
        <v>0</v>
      </c>
      <c r="K61" s="3945" t="e">
        <f t="shared" si="171"/>
        <v>#DIV/0!</v>
      </c>
      <c r="L61" s="4003"/>
      <c r="M61" s="3283"/>
      <c r="N61" s="3283"/>
      <c r="O61" s="3283">
        <f t="shared" si="172"/>
        <v>0</v>
      </c>
      <c r="P61" s="3945">
        <f t="shared" si="173"/>
        <v>0</v>
      </c>
      <c r="Q61" s="4003"/>
      <c r="R61" s="3275">
        <f t="shared" si="174"/>
        <v>0</v>
      </c>
      <c r="S61" s="3275">
        <f t="shared" si="174"/>
        <v>0</v>
      </c>
      <c r="T61" s="2028">
        <f t="shared" si="175"/>
        <v>0</v>
      </c>
      <c r="U61" s="3469"/>
      <c r="V61" s="3469"/>
      <c r="W61" s="3275">
        <f t="shared" si="176"/>
        <v>0</v>
      </c>
      <c r="X61" s="3275">
        <f t="shared" si="176"/>
        <v>0</v>
      </c>
      <c r="Y61" s="2028">
        <f t="shared" si="177"/>
        <v>0</v>
      </c>
      <c r="Z61" s="3469"/>
      <c r="AA61" s="3469"/>
      <c r="AB61" s="3283"/>
      <c r="AC61" s="3283"/>
      <c r="AD61" s="3283">
        <f t="shared" si="178"/>
        <v>0</v>
      </c>
      <c r="AE61" s="3945">
        <f t="shared" si="179"/>
        <v>0</v>
      </c>
      <c r="AF61" s="4003"/>
      <c r="AG61" s="3283"/>
      <c r="AH61" s="3283"/>
      <c r="AI61" s="3283">
        <f t="shared" si="180"/>
        <v>0</v>
      </c>
      <c r="AJ61" s="3945">
        <f t="shared" si="181"/>
        <v>0</v>
      </c>
      <c r="AK61" s="4003"/>
      <c r="AL61" s="3283"/>
      <c r="AM61" s="3283"/>
      <c r="AN61" s="3283">
        <f t="shared" si="182"/>
        <v>0</v>
      </c>
      <c r="AO61" s="3945" t="e">
        <f t="shared" si="183"/>
        <v>#DIV/0!</v>
      </c>
      <c r="AP61" s="4003"/>
      <c r="AQ61" s="3283"/>
      <c r="AR61" s="3283"/>
      <c r="AS61" s="3283">
        <f t="shared" si="184"/>
        <v>0</v>
      </c>
      <c r="AT61" s="3945" t="e">
        <f t="shared" si="185"/>
        <v>#DIV/0!</v>
      </c>
      <c r="AU61" s="4003"/>
      <c r="AV61" s="3283"/>
      <c r="AW61" s="3283"/>
      <c r="AX61" s="3283">
        <f t="shared" si="186"/>
        <v>0</v>
      </c>
      <c r="AY61" s="3945" t="e">
        <f t="shared" si="187"/>
        <v>#DIV/0!</v>
      </c>
      <c r="AZ61" s="4003"/>
      <c r="BA61" s="3283"/>
      <c r="BB61" s="3283"/>
      <c r="BC61" s="3283">
        <f t="shared" si="188"/>
        <v>0</v>
      </c>
      <c r="BD61" s="3945" t="e">
        <f t="shared" si="189"/>
        <v>#DIV/0!</v>
      </c>
      <c r="BE61" s="4003"/>
      <c r="BF61" s="3283"/>
      <c r="BG61" s="3283"/>
      <c r="BH61" s="3283">
        <f t="shared" si="190"/>
        <v>0</v>
      </c>
      <c r="BI61" s="3945" t="e">
        <f t="shared" si="191"/>
        <v>#DIV/0!</v>
      </c>
      <c r="BJ61" s="4003"/>
      <c r="BK61" s="3283"/>
      <c r="BL61" s="3283"/>
      <c r="BM61" s="3283">
        <f t="shared" si="192"/>
        <v>0</v>
      </c>
      <c r="BN61" s="3945" t="e">
        <f t="shared" si="193"/>
        <v>#DIV/0!</v>
      </c>
      <c r="BO61" s="4003"/>
      <c r="BP61" s="3283"/>
      <c r="BQ61" s="3283"/>
      <c r="BR61" s="3283">
        <f t="shared" si="194"/>
        <v>0</v>
      </c>
      <c r="BS61" s="3945" t="e">
        <f t="shared" si="195"/>
        <v>#DIV/0!</v>
      </c>
      <c r="BT61" s="4003"/>
      <c r="BU61" s="3283"/>
      <c r="BV61" s="3283"/>
      <c r="BW61" s="3283">
        <f t="shared" si="196"/>
        <v>0</v>
      </c>
      <c r="BX61" s="3945" t="e">
        <f t="shared" si="197"/>
        <v>#DIV/0!</v>
      </c>
      <c r="BY61" s="4003"/>
      <c r="BZ61" s="3283"/>
      <c r="CA61" s="3283"/>
      <c r="CB61" s="3283">
        <f t="shared" si="198"/>
        <v>0</v>
      </c>
      <c r="CC61" s="3945" t="e">
        <f t="shared" si="199"/>
        <v>#DIV/0!</v>
      </c>
      <c r="CD61" s="4003"/>
      <c r="CE61" s="3283"/>
      <c r="CF61" s="3283"/>
      <c r="CG61" s="3283">
        <f t="shared" si="200"/>
        <v>0</v>
      </c>
      <c r="CH61" s="3945" t="e">
        <f t="shared" si="201"/>
        <v>#DIV/0!</v>
      </c>
      <c r="CI61" s="4003"/>
      <c r="CJ61" s="3274">
        <f t="shared" si="202"/>
        <v>0</v>
      </c>
      <c r="CK61" s="3274">
        <f t="shared" si="202"/>
        <v>0</v>
      </c>
      <c r="CL61" s="2028">
        <f t="shared" si="203"/>
        <v>0</v>
      </c>
      <c r="CM61" s="3945">
        <f t="shared" si="168"/>
        <v>0</v>
      </c>
      <c r="CN61" s="3946"/>
      <c r="CP61" s="2028"/>
      <c r="CQ61" s="2028">
        <f t="shared" si="204"/>
        <v>0</v>
      </c>
      <c r="CR61" s="3991"/>
    </row>
    <row r="62" spans="1:98" ht="13.8" outlineLevel="2" x14ac:dyDescent="0.25">
      <c r="A62" s="1586"/>
      <c r="B62" s="3999" t="s">
        <v>33</v>
      </c>
      <c r="C62" s="3283"/>
      <c r="D62" s="3283"/>
      <c r="E62" s="3283">
        <f t="shared" si="169"/>
        <v>0</v>
      </c>
      <c r="F62" s="3945" t="e">
        <f t="shared" si="133"/>
        <v>#DIV/0!</v>
      </c>
      <c r="G62" s="4003"/>
      <c r="H62" s="3283"/>
      <c r="I62" s="3283"/>
      <c r="J62" s="3283">
        <f t="shared" si="170"/>
        <v>0</v>
      </c>
      <c r="K62" s="3945" t="e">
        <f t="shared" si="171"/>
        <v>#DIV/0!</v>
      </c>
      <c r="L62" s="4003"/>
      <c r="M62" s="3283"/>
      <c r="N62" s="3283"/>
      <c r="O62" s="3283">
        <f t="shared" si="172"/>
        <v>0</v>
      </c>
      <c r="P62" s="3945">
        <f t="shared" si="173"/>
        <v>0</v>
      </c>
      <c r="Q62" s="4003"/>
      <c r="R62" s="3275">
        <f t="shared" si="174"/>
        <v>0</v>
      </c>
      <c r="S62" s="3275">
        <f t="shared" si="174"/>
        <v>0</v>
      </c>
      <c r="T62" s="2028">
        <f t="shared" si="175"/>
        <v>0</v>
      </c>
      <c r="U62" s="3469"/>
      <c r="V62" s="3469"/>
      <c r="W62" s="3275">
        <f t="shared" si="176"/>
        <v>0</v>
      </c>
      <c r="X62" s="3275">
        <f t="shared" si="176"/>
        <v>0</v>
      </c>
      <c r="Y62" s="2028">
        <f t="shared" si="177"/>
        <v>0</v>
      </c>
      <c r="Z62" s="3469"/>
      <c r="AA62" s="3469"/>
      <c r="AB62" s="3283"/>
      <c r="AC62" s="3283"/>
      <c r="AD62" s="3283">
        <f t="shared" si="178"/>
        <v>0</v>
      </c>
      <c r="AE62" s="3945">
        <f t="shared" si="179"/>
        <v>0</v>
      </c>
      <c r="AF62" s="4003"/>
      <c r="AG62" s="3283"/>
      <c r="AH62" s="3283"/>
      <c r="AI62" s="3283">
        <f t="shared" si="180"/>
        <v>0</v>
      </c>
      <c r="AJ62" s="3945">
        <f t="shared" si="181"/>
        <v>0</v>
      </c>
      <c r="AK62" s="4003"/>
      <c r="AL62" s="3283"/>
      <c r="AM62" s="3283"/>
      <c r="AN62" s="3283">
        <f t="shared" si="182"/>
        <v>0</v>
      </c>
      <c r="AO62" s="3945" t="e">
        <f t="shared" si="183"/>
        <v>#DIV/0!</v>
      </c>
      <c r="AP62" s="4003"/>
      <c r="AQ62" s="3283"/>
      <c r="AR62" s="3283"/>
      <c r="AS62" s="3283">
        <f t="shared" si="184"/>
        <v>0</v>
      </c>
      <c r="AT62" s="3945" t="e">
        <f t="shared" si="185"/>
        <v>#DIV/0!</v>
      </c>
      <c r="AU62" s="4003"/>
      <c r="AV62" s="3283"/>
      <c r="AW62" s="3283"/>
      <c r="AX62" s="3283">
        <f t="shared" si="186"/>
        <v>0</v>
      </c>
      <c r="AY62" s="3945" t="e">
        <f t="shared" si="187"/>
        <v>#DIV/0!</v>
      </c>
      <c r="AZ62" s="4003"/>
      <c r="BA62" s="3283"/>
      <c r="BB62" s="3283"/>
      <c r="BC62" s="3283">
        <f t="shared" si="188"/>
        <v>0</v>
      </c>
      <c r="BD62" s="3945" t="e">
        <f t="shared" si="189"/>
        <v>#DIV/0!</v>
      </c>
      <c r="BE62" s="4003"/>
      <c r="BF62" s="3283"/>
      <c r="BG62" s="3283"/>
      <c r="BH62" s="3283">
        <f t="shared" si="190"/>
        <v>0</v>
      </c>
      <c r="BI62" s="3945" t="e">
        <f t="shared" si="191"/>
        <v>#DIV/0!</v>
      </c>
      <c r="BJ62" s="4003"/>
      <c r="BK62" s="3283"/>
      <c r="BL62" s="3283"/>
      <c r="BM62" s="3283">
        <f t="shared" si="192"/>
        <v>0</v>
      </c>
      <c r="BN62" s="3945" t="e">
        <f t="shared" si="193"/>
        <v>#DIV/0!</v>
      </c>
      <c r="BO62" s="4003"/>
      <c r="BP62" s="3283"/>
      <c r="BQ62" s="3283"/>
      <c r="BR62" s="3283">
        <f t="shared" si="194"/>
        <v>0</v>
      </c>
      <c r="BS62" s="3945" t="e">
        <f t="shared" si="195"/>
        <v>#DIV/0!</v>
      </c>
      <c r="BT62" s="4003"/>
      <c r="BU62" s="3283"/>
      <c r="BV62" s="3283"/>
      <c r="BW62" s="3283">
        <f t="shared" si="196"/>
        <v>0</v>
      </c>
      <c r="BX62" s="3945" t="e">
        <f t="shared" si="197"/>
        <v>#DIV/0!</v>
      </c>
      <c r="BY62" s="4003"/>
      <c r="BZ62" s="3283"/>
      <c r="CA62" s="3283"/>
      <c r="CB62" s="3283">
        <f t="shared" si="198"/>
        <v>0</v>
      </c>
      <c r="CC62" s="3945" t="e">
        <f t="shared" si="199"/>
        <v>#DIV/0!</v>
      </c>
      <c r="CD62" s="4003"/>
      <c r="CE62" s="3283"/>
      <c r="CF62" s="3283"/>
      <c r="CG62" s="3283">
        <f t="shared" si="200"/>
        <v>0</v>
      </c>
      <c r="CH62" s="3945" t="e">
        <f t="shared" si="201"/>
        <v>#DIV/0!</v>
      </c>
      <c r="CI62" s="4003"/>
      <c r="CJ62" s="3274">
        <f t="shared" si="202"/>
        <v>0</v>
      </c>
      <c r="CK62" s="3274">
        <f t="shared" si="202"/>
        <v>0</v>
      </c>
      <c r="CL62" s="2028">
        <f t="shared" si="203"/>
        <v>0</v>
      </c>
      <c r="CM62" s="3945">
        <f t="shared" si="168"/>
        <v>0</v>
      </c>
      <c r="CN62" s="3946"/>
      <c r="CP62" s="2028"/>
      <c r="CQ62" s="2028">
        <f t="shared" si="204"/>
        <v>0</v>
      </c>
      <c r="CR62" s="3991"/>
    </row>
    <row r="63" spans="1:98" ht="13.8" outlineLevel="2" x14ac:dyDescent="0.25">
      <c r="A63" s="1586"/>
      <c r="B63" s="3999" t="s">
        <v>35</v>
      </c>
      <c r="C63" s="3283"/>
      <c r="D63" s="3283"/>
      <c r="E63" s="3283">
        <f t="shared" si="169"/>
        <v>0</v>
      </c>
      <c r="F63" s="3945" t="e">
        <f t="shared" si="133"/>
        <v>#DIV/0!</v>
      </c>
      <c r="G63" s="4003"/>
      <c r="H63" s="3283"/>
      <c r="I63" s="3283"/>
      <c r="J63" s="3283">
        <f t="shared" si="170"/>
        <v>0</v>
      </c>
      <c r="K63" s="3945" t="e">
        <f t="shared" si="171"/>
        <v>#DIV/0!</v>
      </c>
      <c r="L63" s="4003"/>
      <c r="M63" s="3283"/>
      <c r="N63" s="3283"/>
      <c r="O63" s="3283">
        <f t="shared" si="172"/>
        <v>0</v>
      </c>
      <c r="P63" s="3945">
        <f t="shared" si="173"/>
        <v>0</v>
      </c>
      <c r="Q63" s="4003"/>
      <c r="R63" s="3275">
        <f t="shared" si="174"/>
        <v>0</v>
      </c>
      <c r="S63" s="3275">
        <f t="shared" si="174"/>
        <v>0</v>
      </c>
      <c r="T63" s="2028">
        <f t="shared" si="175"/>
        <v>0</v>
      </c>
      <c r="U63" s="3469"/>
      <c r="V63" s="3469"/>
      <c r="W63" s="3275">
        <f t="shared" si="176"/>
        <v>0</v>
      </c>
      <c r="X63" s="3275">
        <f t="shared" si="176"/>
        <v>0</v>
      </c>
      <c r="Y63" s="2028">
        <f t="shared" si="177"/>
        <v>0</v>
      </c>
      <c r="Z63" s="3469"/>
      <c r="AA63" s="3469"/>
      <c r="AB63" s="3283"/>
      <c r="AC63" s="3283"/>
      <c r="AD63" s="3283">
        <f t="shared" si="178"/>
        <v>0</v>
      </c>
      <c r="AE63" s="3945">
        <f t="shared" si="179"/>
        <v>0</v>
      </c>
      <c r="AF63" s="4003"/>
      <c r="AG63" s="3283"/>
      <c r="AH63" s="3283"/>
      <c r="AI63" s="3283">
        <f t="shared" si="180"/>
        <v>0</v>
      </c>
      <c r="AJ63" s="3945">
        <f t="shared" si="181"/>
        <v>0</v>
      </c>
      <c r="AK63" s="4003"/>
      <c r="AL63" s="3283"/>
      <c r="AM63" s="3283"/>
      <c r="AN63" s="3283">
        <f t="shared" si="182"/>
        <v>0</v>
      </c>
      <c r="AO63" s="3945" t="e">
        <f t="shared" si="183"/>
        <v>#DIV/0!</v>
      </c>
      <c r="AP63" s="4003"/>
      <c r="AQ63" s="3283"/>
      <c r="AR63" s="3283"/>
      <c r="AS63" s="3283">
        <f t="shared" si="184"/>
        <v>0</v>
      </c>
      <c r="AT63" s="3945" t="e">
        <f t="shared" si="185"/>
        <v>#DIV/0!</v>
      </c>
      <c r="AU63" s="4003"/>
      <c r="AV63" s="3283"/>
      <c r="AW63" s="3283"/>
      <c r="AX63" s="3283">
        <f t="shared" si="186"/>
        <v>0</v>
      </c>
      <c r="AY63" s="3945" t="e">
        <f t="shared" si="187"/>
        <v>#DIV/0!</v>
      </c>
      <c r="AZ63" s="4003"/>
      <c r="BA63" s="3283"/>
      <c r="BB63" s="3283"/>
      <c r="BC63" s="3283">
        <f t="shared" si="188"/>
        <v>0</v>
      </c>
      <c r="BD63" s="3945" t="e">
        <f t="shared" si="189"/>
        <v>#DIV/0!</v>
      </c>
      <c r="BE63" s="4003"/>
      <c r="BF63" s="3283"/>
      <c r="BG63" s="3283"/>
      <c r="BH63" s="3283">
        <f t="shared" si="190"/>
        <v>0</v>
      </c>
      <c r="BI63" s="3945" t="e">
        <f t="shared" si="191"/>
        <v>#DIV/0!</v>
      </c>
      <c r="BJ63" s="4003"/>
      <c r="BK63" s="3283"/>
      <c r="BL63" s="3283"/>
      <c r="BM63" s="3283">
        <f t="shared" si="192"/>
        <v>0</v>
      </c>
      <c r="BN63" s="3945" t="e">
        <f t="shared" si="193"/>
        <v>#DIV/0!</v>
      </c>
      <c r="BO63" s="4003"/>
      <c r="BP63" s="3283"/>
      <c r="BQ63" s="3283"/>
      <c r="BR63" s="3283">
        <f t="shared" si="194"/>
        <v>0</v>
      </c>
      <c r="BS63" s="3945" t="e">
        <f t="shared" si="195"/>
        <v>#DIV/0!</v>
      </c>
      <c r="BT63" s="4003"/>
      <c r="BU63" s="3283"/>
      <c r="BV63" s="3283"/>
      <c r="BW63" s="3283">
        <f t="shared" si="196"/>
        <v>0</v>
      </c>
      <c r="BX63" s="3945" t="e">
        <f t="shared" si="197"/>
        <v>#DIV/0!</v>
      </c>
      <c r="BY63" s="4003"/>
      <c r="BZ63" s="3283"/>
      <c r="CA63" s="3283"/>
      <c r="CB63" s="3283">
        <f t="shared" si="198"/>
        <v>0</v>
      </c>
      <c r="CC63" s="3945" t="e">
        <f t="shared" si="199"/>
        <v>#DIV/0!</v>
      </c>
      <c r="CD63" s="4003"/>
      <c r="CE63" s="3283"/>
      <c r="CF63" s="3283"/>
      <c r="CG63" s="3283">
        <f t="shared" si="200"/>
        <v>0</v>
      </c>
      <c r="CH63" s="3945" t="e">
        <f t="shared" si="201"/>
        <v>#DIV/0!</v>
      </c>
      <c r="CI63" s="4003"/>
      <c r="CJ63" s="3274">
        <f t="shared" si="202"/>
        <v>0</v>
      </c>
      <c r="CK63" s="3274">
        <f t="shared" si="202"/>
        <v>0</v>
      </c>
      <c r="CL63" s="2028">
        <f t="shared" si="203"/>
        <v>0</v>
      </c>
      <c r="CM63" s="3945">
        <f t="shared" si="168"/>
        <v>0</v>
      </c>
      <c r="CN63" s="3946"/>
      <c r="CP63" s="2028"/>
      <c r="CQ63" s="2028">
        <f t="shared" si="204"/>
        <v>0</v>
      </c>
      <c r="CR63" s="3991"/>
    </row>
    <row r="64" spans="1:98" ht="13.8" outlineLevel="2" x14ac:dyDescent="0.25">
      <c r="A64" s="1586"/>
      <c r="B64" s="3999" t="s">
        <v>63</v>
      </c>
      <c r="C64" s="3283"/>
      <c r="D64" s="3283"/>
      <c r="E64" s="3283">
        <f t="shared" si="169"/>
        <v>0</v>
      </c>
      <c r="F64" s="3945" t="e">
        <f t="shared" si="133"/>
        <v>#DIV/0!</v>
      </c>
      <c r="G64" s="4003"/>
      <c r="H64" s="3283"/>
      <c r="I64" s="3283"/>
      <c r="J64" s="3283">
        <f t="shared" si="170"/>
        <v>0</v>
      </c>
      <c r="K64" s="3945" t="e">
        <f t="shared" si="171"/>
        <v>#DIV/0!</v>
      </c>
      <c r="L64" s="4003"/>
      <c r="M64" s="3283"/>
      <c r="N64" s="3283"/>
      <c r="O64" s="3283">
        <f t="shared" si="172"/>
        <v>0</v>
      </c>
      <c r="P64" s="3945">
        <f t="shared" si="173"/>
        <v>0</v>
      </c>
      <c r="Q64" s="4003"/>
      <c r="R64" s="3275">
        <f t="shared" si="174"/>
        <v>0</v>
      </c>
      <c r="S64" s="3275">
        <f t="shared" si="174"/>
        <v>0</v>
      </c>
      <c r="T64" s="2028">
        <f t="shared" si="175"/>
        <v>0</v>
      </c>
      <c r="U64" s="3469"/>
      <c r="V64" s="3469"/>
      <c r="W64" s="3275">
        <f t="shared" si="176"/>
        <v>0</v>
      </c>
      <c r="X64" s="3275">
        <f t="shared" si="176"/>
        <v>0</v>
      </c>
      <c r="Y64" s="2028">
        <f t="shared" si="177"/>
        <v>0</v>
      </c>
      <c r="Z64" s="3469"/>
      <c r="AA64" s="3469"/>
      <c r="AB64" s="3283"/>
      <c r="AC64" s="3283"/>
      <c r="AD64" s="3283">
        <f t="shared" si="178"/>
        <v>0</v>
      </c>
      <c r="AE64" s="3945">
        <f t="shared" si="179"/>
        <v>0</v>
      </c>
      <c r="AF64" s="4003"/>
      <c r="AG64" s="3283"/>
      <c r="AH64" s="3283"/>
      <c r="AI64" s="3283">
        <f t="shared" si="180"/>
        <v>0</v>
      </c>
      <c r="AJ64" s="3945">
        <f t="shared" si="181"/>
        <v>0</v>
      </c>
      <c r="AK64" s="4003"/>
      <c r="AL64" s="3283"/>
      <c r="AM64" s="3283"/>
      <c r="AN64" s="3283">
        <f t="shared" si="182"/>
        <v>0</v>
      </c>
      <c r="AO64" s="3945" t="e">
        <f t="shared" si="183"/>
        <v>#DIV/0!</v>
      </c>
      <c r="AP64" s="4003"/>
      <c r="AQ64" s="3283"/>
      <c r="AR64" s="3283"/>
      <c r="AS64" s="3283">
        <f t="shared" si="184"/>
        <v>0</v>
      </c>
      <c r="AT64" s="3945" t="e">
        <f t="shared" si="185"/>
        <v>#DIV/0!</v>
      </c>
      <c r="AU64" s="4003"/>
      <c r="AV64" s="3283"/>
      <c r="AW64" s="3283"/>
      <c r="AX64" s="3283">
        <f t="shared" si="186"/>
        <v>0</v>
      </c>
      <c r="AY64" s="3945" t="e">
        <f t="shared" si="187"/>
        <v>#DIV/0!</v>
      </c>
      <c r="AZ64" s="4003"/>
      <c r="BA64" s="3283"/>
      <c r="BB64" s="3283"/>
      <c r="BC64" s="3283">
        <f t="shared" si="188"/>
        <v>0</v>
      </c>
      <c r="BD64" s="3945" t="e">
        <f t="shared" si="189"/>
        <v>#DIV/0!</v>
      </c>
      <c r="BE64" s="4003"/>
      <c r="BF64" s="3283"/>
      <c r="BG64" s="3283"/>
      <c r="BH64" s="3283">
        <f t="shared" si="190"/>
        <v>0</v>
      </c>
      <c r="BI64" s="3945" t="e">
        <f t="shared" si="191"/>
        <v>#DIV/0!</v>
      </c>
      <c r="BJ64" s="4003"/>
      <c r="BK64" s="3283"/>
      <c r="BL64" s="3283"/>
      <c r="BM64" s="3283">
        <f t="shared" si="192"/>
        <v>0</v>
      </c>
      <c r="BN64" s="3945" t="e">
        <f t="shared" si="193"/>
        <v>#DIV/0!</v>
      </c>
      <c r="BO64" s="4003"/>
      <c r="BP64" s="3283"/>
      <c r="BQ64" s="3283"/>
      <c r="BR64" s="3283">
        <f t="shared" si="194"/>
        <v>0</v>
      </c>
      <c r="BS64" s="3945" t="e">
        <f t="shared" si="195"/>
        <v>#DIV/0!</v>
      </c>
      <c r="BT64" s="4003"/>
      <c r="BU64" s="3283"/>
      <c r="BV64" s="3283"/>
      <c r="BW64" s="3283">
        <f t="shared" si="196"/>
        <v>0</v>
      </c>
      <c r="BX64" s="3945" t="e">
        <f t="shared" si="197"/>
        <v>#DIV/0!</v>
      </c>
      <c r="BY64" s="4003"/>
      <c r="BZ64" s="3283"/>
      <c r="CA64" s="3283"/>
      <c r="CB64" s="3283">
        <f t="shared" si="198"/>
        <v>0</v>
      </c>
      <c r="CC64" s="3945" t="e">
        <f t="shared" si="199"/>
        <v>#DIV/0!</v>
      </c>
      <c r="CD64" s="4003"/>
      <c r="CE64" s="3283"/>
      <c r="CF64" s="3283"/>
      <c r="CG64" s="3283">
        <f t="shared" si="200"/>
        <v>0</v>
      </c>
      <c r="CH64" s="3945" t="e">
        <f t="shared" si="201"/>
        <v>#DIV/0!</v>
      </c>
      <c r="CI64" s="4003"/>
      <c r="CJ64" s="3274">
        <f t="shared" si="202"/>
        <v>0</v>
      </c>
      <c r="CK64" s="3274">
        <f t="shared" si="202"/>
        <v>0</v>
      </c>
      <c r="CL64" s="2028">
        <f t="shared" si="203"/>
        <v>0</v>
      </c>
      <c r="CM64" s="3945">
        <f t="shared" si="168"/>
        <v>0</v>
      </c>
      <c r="CN64" s="3946"/>
      <c r="CP64" s="2028"/>
      <c r="CQ64" s="2028">
        <f t="shared" si="204"/>
        <v>0</v>
      </c>
      <c r="CR64" s="3991"/>
    </row>
    <row r="65" spans="1:98" ht="13.8" outlineLevel="2" x14ac:dyDescent="0.25">
      <c r="A65" s="1586"/>
      <c r="B65" s="3999" t="s">
        <v>36</v>
      </c>
      <c r="C65" s="3274"/>
      <c r="D65" s="3274"/>
      <c r="E65" s="3283">
        <f t="shared" si="169"/>
        <v>0</v>
      </c>
      <c r="F65" s="3945" t="e">
        <f t="shared" si="133"/>
        <v>#DIV/0!</v>
      </c>
      <c r="G65" s="4003"/>
      <c r="H65" s="3274"/>
      <c r="I65" s="3274"/>
      <c r="J65" s="3283">
        <f t="shared" si="170"/>
        <v>0</v>
      </c>
      <c r="K65" s="3945" t="e">
        <f t="shared" si="171"/>
        <v>#DIV/0!</v>
      </c>
      <c r="L65" s="4003"/>
      <c r="M65" s="3274"/>
      <c r="N65" s="3274"/>
      <c r="O65" s="3283">
        <f t="shared" si="172"/>
        <v>0</v>
      </c>
      <c r="P65" s="3945">
        <f t="shared" si="173"/>
        <v>0</v>
      </c>
      <c r="Q65" s="4003"/>
      <c r="R65" s="3275">
        <f t="shared" si="174"/>
        <v>0</v>
      </c>
      <c r="S65" s="3275">
        <f t="shared" si="174"/>
        <v>0</v>
      </c>
      <c r="T65" s="2028">
        <f t="shared" si="175"/>
        <v>0</v>
      </c>
      <c r="U65" s="3469"/>
      <c r="V65" s="3469"/>
      <c r="W65" s="3275">
        <f t="shared" si="176"/>
        <v>0</v>
      </c>
      <c r="X65" s="3275">
        <f t="shared" si="176"/>
        <v>0</v>
      </c>
      <c r="Y65" s="2028">
        <f t="shared" si="177"/>
        <v>0</v>
      </c>
      <c r="Z65" s="3469"/>
      <c r="AA65" s="3469"/>
      <c r="AB65" s="3274"/>
      <c r="AC65" s="3274"/>
      <c r="AD65" s="3283">
        <f t="shared" si="178"/>
        <v>0</v>
      </c>
      <c r="AE65" s="3945">
        <f t="shared" si="179"/>
        <v>0</v>
      </c>
      <c r="AF65" s="4003"/>
      <c r="AG65" s="3274"/>
      <c r="AH65" s="3274"/>
      <c r="AI65" s="3283">
        <f t="shared" si="180"/>
        <v>0</v>
      </c>
      <c r="AJ65" s="3945">
        <f t="shared" si="181"/>
        <v>0</v>
      </c>
      <c r="AK65" s="4003"/>
      <c r="AL65" s="3274"/>
      <c r="AM65" s="3274"/>
      <c r="AN65" s="3283">
        <f t="shared" si="182"/>
        <v>0</v>
      </c>
      <c r="AO65" s="3945" t="e">
        <f t="shared" si="183"/>
        <v>#DIV/0!</v>
      </c>
      <c r="AP65" s="4003"/>
      <c r="AQ65" s="3274"/>
      <c r="AR65" s="3274"/>
      <c r="AS65" s="3283">
        <f t="shared" si="184"/>
        <v>0</v>
      </c>
      <c r="AT65" s="3945" t="e">
        <f t="shared" si="185"/>
        <v>#DIV/0!</v>
      </c>
      <c r="AU65" s="4003"/>
      <c r="AV65" s="3274"/>
      <c r="AW65" s="3274"/>
      <c r="AX65" s="3283">
        <f t="shared" si="186"/>
        <v>0</v>
      </c>
      <c r="AY65" s="3945" t="e">
        <f t="shared" si="187"/>
        <v>#DIV/0!</v>
      </c>
      <c r="AZ65" s="4003"/>
      <c r="BA65" s="3274"/>
      <c r="BB65" s="3274"/>
      <c r="BC65" s="3283">
        <f t="shared" si="188"/>
        <v>0</v>
      </c>
      <c r="BD65" s="3945" t="e">
        <f t="shared" si="189"/>
        <v>#DIV/0!</v>
      </c>
      <c r="BE65" s="4003"/>
      <c r="BF65" s="3274"/>
      <c r="BG65" s="3274"/>
      <c r="BH65" s="3283">
        <f t="shared" si="190"/>
        <v>0</v>
      </c>
      <c r="BI65" s="3945" t="e">
        <f t="shared" si="191"/>
        <v>#DIV/0!</v>
      </c>
      <c r="BJ65" s="4003"/>
      <c r="BK65" s="3274"/>
      <c r="BL65" s="3274"/>
      <c r="BM65" s="3283">
        <f t="shared" si="192"/>
        <v>0</v>
      </c>
      <c r="BN65" s="3945" t="e">
        <f t="shared" si="193"/>
        <v>#DIV/0!</v>
      </c>
      <c r="BO65" s="4003"/>
      <c r="BP65" s="3274"/>
      <c r="BQ65" s="3274"/>
      <c r="BR65" s="3283">
        <f t="shared" si="194"/>
        <v>0</v>
      </c>
      <c r="BS65" s="3945" t="e">
        <f t="shared" si="195"/>
        <v>#DIV/0!</v>
      </c>
      <c r="BT65" s="4003"/>
      <c r="BU65" s="3274"/>
      <c r="BV65" s="3274"/>
      <c r="BW65" s="3283">
        <f t="shared" si="196"/>
        <v>0</v>
      </c>
      <c r="BX65" s="3945" t="e">
        <f t="shared" si="197"/>
        <v>#DIV/0!</v>
      </c>
      <c r="BY65" s="4003"/>
      <c r="BZ65" s="3274"/>
      <c r="CA65" s="3274"/>
      <c r="CB65" s="3283">
        <f t="shared" si="198"/>
        <v>0</v>
      </c>
      <c r="CC65" s="3945" t="e">
        <f t="shared" si="199"/>
        <v>#DIV/0!</v>
      </c>
      <c r="CD65" s="4003"/>
      <c r="CE65" s="3274"/>
      <c r="CF65" s="3274"/>
      <c r="CG65" s="3283">
        <f t="shared" si="200"/>
        <v>0</v>
      </c>
      <c r="CH65" s="3945" t="e">
        <f t="shared" si="201"/>
        <v>#DIV/0!</v>
      </c>
      <c r="CI65" s="4003"/>
      <c r="CJ65" s="3274">
        <f t="shared" si="202"/>
        <v>0</v>
      </c>
      <c r="CK65" s="3274">
        <f t="shared" si="202"/>
        <v>0</v>
      </c>
      <c r="CL65" s="2028">
        <f t="shared" si="203"/>
        <v>0</v>
      </c>
      <c r="CM65" s="3945">
        <f t="shared" si="168"/>
        <v>0</v>
      </c>
      <c r="CN65" s="3946"/>
      <c r="CP65" s="2028"/>
      <c r="CQ65" s="2028">
        <f t="shared" si="204"/>
        <v>0</v>
      </c>
      <c r="CR65" s="3991"/>
    </row>
    <row r="66" spans="1:98" s="1411" customFormat="1" ht="13.8" outlineLevel="2" x14ac:dyDescent="0.25">
      <c r="A66" s="1586"/>
      <c r="B66" s="3999" t="s">
        <v>37</v>
      </c>
      <c r="C66" s="3274"/>
      <c r="D66" s="3274"/>
      <c r="E66" s="3283">
        <f t="shared" si="169"/>
        <v>0</v>
      </c>
      <c r="F66" s="3945" t="e">
        <f t="shared" si="133"/>
        <v>#DIV/0!</v>
      </c>
      <c r="G66" s="4003"/>
      <c r="H66" s="3274"/>
      <c r="I66" s="3274"/>
      <c r="J66" s="3283">
        <f t="shared" si="170"/>
        <v>0</v>
      </c>
      <c r="K66" s="3945" t="e">
        <f t="shared" si="171"/>
        <v>#DIV/0!</v>
      </c>
      <c r="L66" s="4003"/>
      <c r="M66" s="3274"/>
      <c r="N66" s="3274"/>
      <c r="O66" s="3283">
        <f t="shared" si="172"/>
        <v>0</v>
      </c>
      <c r="P66" s="3945">
        <f t="shared" si="173"/>
        <v>0</v>
      </c>
      <c r="Q66" s="4003"/>
      <c r="R66" s="3275">
        <f t="shared" si="174"/>
        <v>0</v>
      </c>
      <c r="S66" s="3275">
        <f t="shared" si="174"/>
        <v>0</v>
      </c>
      <c r="T66" s="2028">
        <f t="shared" si="175"/>
        <v>0</v>
      </c>
      <c r="U66" s="3469"/>
      <c r="V66" s="3469"/>
      <c r="W66" s="3275">
        <f t="shared" si="176"/>
        <v>0</v>
      </c>
      <c r="X66" s="3275">
        <f t="shared" si="176"/>
        <v>0</v>
      </c>
      <c r="Y66" s="2028">
        <f t="shared" si="177"/>
        <v>0</v>
      </c>
      <c r="Z66" s="3469"/>
      <c r="AA66" s="3469"/>
      <c r="AB66" s="3274"/>
      <c r="AC66" s="3274"/>
      <c r="AD66" s="3283">
        <f t="shared" si="178"/>
        <v>0</v>
      </c>
      <c r="AE66" s="3945">
        <f t="shared" si="179"/>
        <v>0</v>
      </c>
      <c r="AF66" s="4003"/>
      <c r="AG66" s="3274"/>
      <c r="AH66" s="3274"/>
      <c r="AI66" s="3283">
        <f t="shared" si="180"/>
        <v>0</v>
      </c>
      <c r="AJ66" s="3945">
        <f t="shared" si="181"/>
        <v>0</v>
      </c>
      <c r="AK66" s="4003"/>
      <c r="AL66" s="3274"/>
      <c r="AM66" s="3274"/>
      <c r="AN66" s="3283">
        <f t="shared" si="182"/>
        <v>0</v>
      </c>
      <c r="AO66" s="3945" t="e">
        <f t="shared" si="183"/>
        <v>#DIV/0!</v>
      </c>
      <c r="AP66" s="4003"/>
      <c r="AQ66" s="3274"/>
      <c r="AR66" s="3274"/>
      <c r="AS66" s="3283">
        <f t="shared" si="184"/>
        <v>0</v>
      </c>
      <c r="AT66" s="3945" t="e">
        <f t="shared" si="185"/>
        <v>#DIV/0!</v>
      </c>
      <c r="AU66" s="4003"/>
      <c r="AV66" s="3274"/>
      <c r="AW66" s="3274"/>
      <c r="AX66" s="3283">
        <f t="shared" si="186"/>
        <v>0</v>
      </c>
      <c r="AY66" s="3945" t="e">
        <f t="shared" si="187"/>
        <v>#DIV/0!</v>
      </c>
      <c r="AZ66" s="4003"/>
      <c r="BA66" s="3274"/>
      <c r="BB66" s="3274"/>
      <c r="BC66" s="3283">
        <f t="shared" si="188"/>
        <v>0</v>
      </c>
      <c r="BD66" s="3945" t="e">
        <f t="shared" si="189"/>
        <v>#DIV/0!</v>
      </c>
      <c r="BE66" s="4003"/>
      <c r="BF66" s="3274"/>
      <c r="BG66" s="3274"/>
      <c r="BH66" s="3283">
        <f t="shared" si="190"/>
        <v>0</v>
      </c>
      <c r="BI66" s="3945" t="e">
        <f t="shared" si="191"/>
        <v>#DIV/0!</v>
      </c>
      <c r="BJ66" s="4003"/>
      <c r="BK66" s="3274"/>
      <c r="BL66" s="3274"/>
      <c r="BM66" s="3283">
        <f t="shared" si="192"/>
        <v>0</v>
      </c>
      <c r="BN66" s="3945" t="e">
        <f t="shared" si="193"/>
        <v>#DIV/0!</v>
      </c>
      <c r="BO66" s="4003"/>
      <c r="BP66" s="3274"/>
      <c r="BQ66" s="3274"/>
      <c r="BR66" s="3283">
        <f t="shared" si="194"/>
        <v>0</v>
      </c>
      <c r="BS66" s="3945" t="e">
        <f t="shared" si="195"/>
        <v>#DIV/0!</v>
      </c>
      <c r="BT66" s="4003"/>
      <c r="BU66" s="3274"/>
      <c r="BV66" s="3274"/>
      <c r="BW66" s="3283">
        <f t="shared" si="196"/>
        <v>0</v>
      </c>
      <c r="BX66" s="3945" t="e">
        <f t="shared" si="197"/>
        <v>#DIV/0!</v>
      </c>
      <c r="BY66" s="4003"/>
      <c r="BZ66" s="3274"/>
      <c r="CA66" s="3274"/>
      <c r="CB66" s="3283">
        <f t="shared" si="198"/>
        <v>0</v>
      </c>
      <c r="CC66" s="3945" t="e">
        <f t="shared" si="199"/>
        <v>#DIV/0!</v>
      </c>
      <c r="CD66" s="4003"/>
      <c r="CE66" s="3274"/>
      <c r="CF66" s="3274"/>
      <c r="CG66" s="3283">
        <f t="shared" si="200"/>
        <v>0</v>
      </c>
      <c r="CH66" s="3945" t="e">
        <f t="shared" si="201"/>
        <v>#DIV/0!</v>
      </c>
      <c r="CI66" s="4003"/>
      <c r="CJ66" s="3274">
        <f t="shared" si="202"/>
        <v>0</v>
      </c>
      <c r="CK66" s="3274">
        <f t="shared" si="202"/>
        <v>0</v>
      </c>
      <c r="CL66" s="2028">
        <f t="shared" si="203"/>
        <v>0</v>
      </c>
      <c r="CM66" s="3945">
        <f t="shared" si="168"/>
        <v>0</v>
      </c>
      <c r="CN66" s="3946"/>
      <c r="CP66" s="2028"/>
      <c r="CQ66" s="2028">
        <f t="shared" si="204"/>
        <v>0</v>
      </c>
      <c r="CR66" s="3991"/>
      <c r="CT66" s="2644"/>
    </row>
    <row r="67" spans="1:98" s="1411" customFormat="1" ht="13.8" outlineLevel="2" x14ac:dyDescent="0.25">
      <c r="A67" s="1586"/>
      <c r="B67" s="3999" t="s">
        <v>3</v>
      </c>
      <c r="C67" s="3274"/>
      <c r="D67" s="3274"/>
      <c r="E67" s="3283">
        <f t="shared" si="169"/>
        <v>0</v>
      </c>
      <c r="F67" s="3945" t="e">
        <f t="shared" si="133"/>
        <v>#DIV/0!</v>
      </c>
      <c r="G67" s="4003"/>
      <c r="H67" s="3274"/>
      <c r="I67" s="3274"/>
      <c r="J67" s="3283">
        <f t="shared" si="170"/>
        <v>0</v>
      </c>
      <c r="K67" s="3945" t="e">
        <f t="shared" si="171"/>
        <v>#DIV/0!</v>
      </c>
      <c r="L67" s="4003"/>
      <c r="M67" s="3274"/>
      <c r="N67" s="3274"/>
      <c r="O67" s="3283">
        <f t="shared" si="172"/>
        <v>0</v>
      </c>
      <c r="P67" s="3945">
        <f t="shared" si="173"/>
        <v>0</v>
      </c>
      <c r="Q67" s="4003"/>
      <c r="R67" s="3275">
        <f t="shared" si="174"/>
        <v>0</v>
      </c>
      <c r="S67" s="3275">
        <f t="shared" si="174"/>
        <v>0</v>
      </c>
      <c r="T67" s="2028">
        <f t="shared" si="175"/>
        <v>0</v>
      </c>
      <c r="U67" s="3469"/>
      <c r="V67" s="3469"/>
      <c r="W67" s="3275">
        <f t="shared" si="176"/>
        <v>0</v>
      </c>
      <c r="X67" s="3275">
        <f t="shared" si="176"/>
        <v>0</v>
      </c>
      <c r="Y67" s="2028">
        <f t="shared" si="177"/>
        <v>0</v>
      </c>
      <c r="Z67" s="3469"/>
      <c r="AA67" s="3469"/>
      <c r="AB67" s="3274"/>
      <c r="AC67" s="3274"/>
      <c r="AD67" s="3283">
        <f t="shared" si="178"/>
        <v>0</v>
      </c>
      <c r="AE67" s="3945">
        <f t="shared" si="179"/>
        <v>0</v>
      </c>
      <c r="AF67" s="4003"/>
      <c r="AG67" s="3274"/>
      <c r="AH67" s="3274"/>
      <c r="AI67" s="3283">
        <f t="shared" si="180"/>
        <v>0</v>
      </c>
      <c r="AJ67" s="3945">
        <f t="shared" si="181"/>
        <v>0</v>
      </c>
      <c r="AK67" s="4003"/>
      <c r="AL67" s="3274"/>
      <c r="AM67" s="3274"/>
      <c r="AN67" s="3283">
        <f t="shared" si="182"/>
        <v>0</v>
      </c>
      <c r="AO67" s="3945" t="e">
        <f t="shared" si="183"/>
        <v>#DIV/0!</v>
      </c>
      <c r="AP67" s="4003"/>
      <c r="AQ67" s="3274"/>
      <c r="AR67" s="3274"/>
      <c r="AS67" s="3283">
        <f t="shared" si="184"/>
        <v>0</v>
      </c>
      <c r="AT67" s="3945" t="e">
        <f t="shared" si="185"/>
        <v>#DIV/0!</v>
      </c>
      <c r="AU67" s="4003"/>
      <c r="AV67" s="3274"/>
      <c r="AW67" s="3274"/>
      <c r="AX67" s="3283">
        <f t="shared" si="186"/>
        <v>0</v>
      </c>
      <c r="AY67" s="3945" t="e">
        <f t="shared" si="187"/>
        <v>#DIV/0!</v>
      </c>
      <c r="AZ67" s="4003"/>
      <c r="BA67" s="3274"/>
      <c r="BB67" s="3274"/>
      <c r="BC67" s="3283">
        <f t="shared" si="188"/>
        <v>0</v>
      </c>
      <c r="BD67" s="3945" t="e">
        <f t="shared" si="189"/>
        <v>#DIV/0!</v>
      </c>
      <c r="BE67" s="4003"/>
      <c r="BF67" s="3274"/>
      <c r="BG67" s="3274"/>
      <c r="BH67" s="3283">
        <f t="shared" si="190"/>
        <v>0</v>
      </c>
      <c r="BI67" s="3945" t="e">
        <f t="shared" si="191"/>
        <v>#DIV/0!</v>
      </c>
      <c r="BJ67" s="4003"/>
      <c r="BK67" s="3274"/>
      <c r="BL67" s="3274"/>
      <c r="BM67" s="3283">
        <f t="shared" si="192"/>
        <v>0</v>
      </c>
      <c r="BN67" s="3945" t="e">
        <f t="shared" si="193"/>
        <v>#DIV/0!</v>
      </c>
      <c r="BO67" s="4003"/>
      <c r="BP67" s="3274"/>
      <c r="BQ67" s="3274"/>
      <c r="BR67" s="3283">
        <f t="shared" si="194"/>
        <v>0</v>
      </c>
      <c r="BS67" s="3945" t="e">
        <f t="shared" si="195"/>
        <v>#DIV/0!</v>
      </c>
      <c r="BT67" s="4003"/>
      <c r="BU67" s="3274"/>
      <c r="BV67" s="3274"/>
      <c r="BW67" s="3283">
        <f t="shared" si="196"/>
        <v>0</v>
      </c>
      <c r="BX67" s="3945" t="e">
        <f t="shared" si="197"/>
        <v>#DIV/0!</v>
      </c>
      <c r="BY67" s="4003"/>
      <c r="BZ67" s="3274"/>
      <c r="CA67" s="3274"/>
      <c r="CB67" s="3283">
        <f t="shared" si="198"/>
        <v>0</v>
      </c>
      <c r="CC67" s="3945" t="e">
        <f t="shared" si="199"/>
        <v>#DIV/0!</v>
      </c>
      <c r="CD67" s="4003"/>
      <c r="CE67" s="3274"/>
      <c r="CF67" s="3274"/>
      <c r="CG67" s="3283">
        <f t="shared" si="200"/>
        <v>0</v>
      </c>
      <c r="CH67" s="3945" t="e">
        <f t="shared" si="201"/>
        <v>#DIV/0!</v>
      </c>
      <c r="CI67" s="4003"/>
      <c r="CJ67" s="3274">
        <f t="shared" si="202"/>
        <v>0</v>
      </c>
      <c r="CK67" s="3274">
        <f t="shared" si="202"/>
        <v>0</v>
      </c>
      <c r="CL67" s="2028">
        <f t="shared" si="203"/>
        <v>0</v>
      </c>
      <c r="CM67" s="3945">
        <f t="shared" si="168"/>
        <v>0</v>
      </c>
      <c r="CN67" s="3946"/>
      <c r="CP67" s="2028"/>
      <c r="CQ67" s="2028">
        <f t="shared" si="204"/>
        <v>0</v>
      </c>
      <c r="CR67" s="3991"/>
      <c r="CT67" s="2644"/>
    </row>
    <row r="68" spans="1:98" s="1411" customFormat="1" ht="13.8" outlineLevel="2" x14ac:dyDescent="0.25">
      <c r="A68" s="1586"/>
      <c r="B68" s="3999" t="s">
        <v>5</v>
      </c>
      <c r="C68" s="3274"/>
      <c r="D68" s="3274"/>
      <c r="E68" s="3283">
        <f t="shared" si="169"/>
        <v>0</v>
      </c>
      <c r="F68" s="3945" t="e">
        <f t="shared" si="133"/>
        <v>#DIV/0!</v>
      </c>
      <c r="G68" s="3274"/>
      <c r="H68" s="3274"/>
      <c r="I68" s="3274"/>
      <c r="J68" s="3283">
        <f t="shared" si="170"/>
        <v>0</v>
      </c>
      <c r="K68" s="3945" t="e">
        <f t="shared" si="171"/>
        <v>#DIV/0!</v>
      </c>
      <c r="L68" s="3274"/>
      <c r="M68" s="3274"/>
      <c r="N68" s="3274"/>
      <c r="O68" s="3283">
        <f t="shared" si="172"/>
        <v>0</v>
      </c>
      <c r="P68" s="3945">
        <f t="shared" si="173"/>
        <v>0</v>
      </c>
      <c r="Q68" s="3274"/>
      <c r="R68" s="3275">
        <f t="shared" si="174"/>
        <v>0</v>
      </c>
      <c r="S68" s="3275">
        <f t="shared" si="174"/>
        <v>0</v>
      </c>
      <c r="T68" s="2028">
        <f t="shared" si="175"/>
        <v>0</v>
      </c>
      <c r="U68" s="3274"/>
      <c r="V68" s="3274"/>
      <c r="W68" s="3275">
        <f t="shared" si="176"/>
        <v>0</v>
      </c>
      <c r="X68" s="3275">
        <f t="shared" si="176"/>
        <v>0</v>
      </c>
      <c r="Y68" s="2028">
        <f t="shared" si="177"/>
        <v>0</v>
      </c>
      <c r="Z68" s="3274"/>
      <c r="AA68" s="3274"/>
      <c r="AB68" s="3274"/>
      <c r="AC68" s="3274"/>
      <c r="AD68" s="3283">
        <f t="shared" si="178"/>
        <v>0</v>
      </c>
      <c r="AE68" s="3945">
        <f t="shared" si="179"/>
        <v>0</v>
      </c>
      <c r="AF68" s="3274"/>
      <c r="AG68" s="3274"/>
      <c r="AH68" s="3274"/>
      <c r="AI68" s="3283">
        <f t="shared" si="180"/>
        <v>0</v>
      </c>
      <c r="AJ68" s="3945">
        <f t="shared" si="181"/>
        <v>0</v>
      </c>
      <c r="AK68" s="3274"/>
      <c r="AL68" s="3274"/>
      <c r="AM68" s="3274"/>
      <c r="AN68" s="3283">
        <f t="shared" si="182"/>
        <v>0</v>
      </c>
      <c r="AO68" s="3945" t="e">
        <f t="shared" si="183"/>
        <v>#DIV/0!</v>
      </c>
      <c r="AP68" s="3274"/>
      <c r="AQ68" s="3274"/>
      <c r="AR68" s="3274"/>
      <c r="AS68" s="3283">
        <f t="shared" si="184"/>
        <v>0</v>
      </c>
      <c r="AT68" s="3945" t="e">
        <f t="shared" si="185"/>
        <v>#DIV/0!</v>
      </c>
      <c r="AU68" s="3274"/>
      <c r="AV68" s="3274"/>
      <c r="AW68" s="3274"/>
      <c r="AX68" s="3283">
        <f t="shared" si="186"/>
        <v>0</v>
      </c>
      <c r="AY68" s="3945" t="e">
        <f t="shared" si="187"/>
        <v>#DIV/0!</v>
      </c>
      <c r="AZ68" s="3274"/>
      <c r="BA68" s="3274"/>
      <c r="BB68" s="3274"/>
      <c r="BC68" s="3283">
        <f t="shared" si="188"/>
        <v>0</v>
      </c>
      <c r="BD68" s="3945" t="e">
        <f t="shared" si="189"/>
        <v>#DIV/0!</v>
      </c>
      <c r="BE68" s="3274"/>
      <c r="BF68" s="3274"/>
      <c r="BG68" s="3274"/>
      <c r="BH68" s="3283">
        <f t="shared" si="190"/>
        <v>0</v>
      </c>
      <c r="BI68" s="3945" t="e">
        <f t="shared" si="191"/>
        <v>#DIV/0!</v>
      </c>
      <c r="BJ68" s="3274"/>
      <c r="BK68" s="3274"/>
      <c r="BL68" s="3274"/>
      <c r="BM68" s="3283">
        <f t="shared" si="192"/>
        <v>0</v>
      </c>
      <c r="BN68" s="3945" t="e">
        <f t="shared" si="193"/>
        <v>#DIV/0!</v>
      </c>
      <c r="BO68" s="3274"/>
      <c r="BP68" s="3274"/>
      <c r="BQ68" s="3274"/>
      <c r="BR68" s="3283">
        <f t="shared" si="194"/>
        <v>0</v>
      </c>
      <c r="BS68" s="3945" t="e">
        <f t="shared" si="195"/>
        <v>#DIV/0!</v>
      </c>
      <c r="BT68" s="3274"/>
      <c r="BU68" s="3274"/>
      <c r="BV68" s="3274"/>
      <c r="BW68" s="3283">
        <f t="shared" si="196"/>
        <v>0</v>
      </c>
      <c r="BX68" s="3945" t="e">
        <f t="shared" si="197"/>
        <v>#DIV/0!</v>
      </c>
      <c r="BY68" s="3274"/>
      <c r="BZ68" s="3274"/>
      <c r="CA68" s="3274"/>
      <c r="CB68" s="3283">
        <f t="shared" si="198"/>
        <v>0</v>
      </c>
      <c r="CC68" s="3945" t="e">
        <f t="shared" si="199"/>
        <v>#DIV/0!</v>
      </c>
      <c r="CD68" s="3274"/>
      <c r="CE68" s="3274"/>
      <c r="CF68" s="3274"/>
      <c r="CG68" s="3283">
        <f t="shared" si="200"/>
        <v>0</v>
      </c>
      <c r="CH68" s="3945" t="e">
        <f t="shared" si="201"/>
        <v>#DIV/0!</v>
      </c>
      <c r="CI68" s="3274"/>
      <c r="CJ68" s="3274">
        <f t="shared" si="202"/>
        <v>0</v>
      </c>
      <c r="CK68" s="3274">
        <f t="shared" si="202"/>
        <v>0</v>
      </c>
      <c r="CL68" s="2028">
        <f t="shared" si="203"/>
        <v>0</v>
      </c>
      <c r="CM68" s="3945">
        <f t="shared" si="168"/>
        <v>0</v>
      </c>
      <c r="CN68" s="3946"/>
      <c r="CP68" s="2028"/>
      <c r="CQ68" s="2028">
        <f t="shared" si="204"/>
        <v>0</v>
      </c>
      <c r="CR68" s="3991"/>
      <c r="CT68" s="2644"/>
    </row>
    <row r="69" spans="1:98" s="1411" customFormat="1" ht="13.8" outlineLevel="2" x14ac:dyDescent="0.25">
      <c r="A69" s="1586"/>
      <c r="B69" s="3999" t="s">
        <v>42</v>
      </c>
      <c r="C69" s="3274"/>
      <c r="D69" s="3274"/>
      <c r="E69" s="3283">
        <f t="shared" si="169"/>
        <v>0</v>
      </c>
      <c r="F69" s="3945" t="e">
        <f t="shared" si="133"/>
        <v>#DIV/0!</v>
      </c>
      <c r="G69" s="4003"/>
      <c r="H69" s="3274"/>
      <c r="I69" s="3274"/>
      <c r="J69" s="3283">
        <f t="shared" si="170"/>
        <v>0</v>
      </c>
      <c r="K69" s="3945" t="e">
        <f t="shared" si="171"/>
        <v>#DIV/0!</v>
      </c>
      <c r="L69" s="4003"/>
      <c r="M69" s="3274"/>
      <c r="N69" s="3274"/>
      <c r="O69" s="3283">
        <f t="shared" si="172"/>
        <v>0</v>
      </c>
      <c r="P69" s="3945">
        <f t="shared" si="173"/>
        <v>0</v>
      </c>
      <c r="Q69" s="4003"/>
      <c r="R69" s="3275">
        <f t="shared" si="174"/>
        <v>0</v>
      </c>
      <c r="S69" s="3275">
        <f t="shared" si="174"/>
        <v>0</v>
      </c>
      <c r="T69" s="2028">
        <f t="shared" si="175"/>
        <v>0</v>
      </c>
      <c r="U69" s="3469"/>
      <c r="V69" s="3469"/>
      <c r="W69" s="3275">
        <f t="shared" si="176"/>
        <v>0</v>
      </c>
      <c r="X69" s="3275">
        <f t="shared" si="176"/>
        <v>0</v>
      </c>
      <c r="Y69" s="2028">
        <f t="shared" si="177"/>
        <v>0</v>
      </c>
      <c r="Z69" s="3469"/>
      <c r="AA69" s="3469"/>
      <c r="AB69" s="3274"/>
      <c r="AC69" s="3274"/>
      <c r="AD69" s="3283">
        <f t="shared" si="178"/>
        <v>0</v>
      </c>
      <c r="AE69" s="3945">
        <f t="shared" si="179"/>
        <v>0</v>
      </c>
      <c r="AF69" s="4003"/>
      <c r="AG69" s="3274"/>
      <c r="AH69" s="3274"/>
      <c r="AI69" s="3283">
        <f t="shared" si="180"/>
        <v>0</v>
      </c>
      <c r="AJ69" s="3945">
        <f t="shared" si="181"/>
        <v>0</v>
      </c>
      <c r="AK69" s="4003"/>
      <c r="AL69" s="3274"/>
      <c r="AM69" s="3274"/>
      <c r="AN69" s="3283">
        <f t="shared" si="182"/>
        <v>0</v>
      </c>
      <c r="AO69" s="3945" t="e">
        <f t="shared" si="183"/>
        <v>#DIV/0!</v>
      </c>
      <c r="AP69" s="4003"/>
      <c r="AQ69" s="3274"/>
      <c r="AR69" s="3274"/>
      <c r="AS69" s="3283">
        <f t="shared" si="184"/>
        <v>0</v>
      </c>
      <c r="AT69" s="3945" t="e">
        <f t="shared" si="185"/>
        <v>#DIV/0!</v>
      </c>
      <c r="AU69" s="4003"/>
      <c r="AV69" s="3274"/>
      <c r="AW69" s="3274"/>
      <c r="AX69" s="3283">
        <f t="shared" si="186"/>
        <v>0</v>
      </c>
      <c r="AY69" s="3945" t="e">
        <f t="shared" si="187"/>
        <v>#DIV/0!</v>
      </c>
      <c r="AZ69" s="4003"/>
      <c r="BA69" s="3274"/>
      <c r="BB69" s="3274"/>
      <c r="BC69" s="3283">
        <f t="shared" si="188"/>
        <v>0</v>
      </c>
      <c r="BD69" s="3945" t="e">
        <f t="shared" si="189"/>
        <v>#DIV/0!</v>
      </c>
      <c r="BE69" s="4003"/>
      <c r="BF69" s="3274"/>
      <c r="BG69" s="3274"/>
      <c r="BH69" s="3283">
        <f t="shared" si="190"/>
        <v>0</v>
      </c>
      <c r="BI69" s="3945" t="e">
        <f t="shared" si="191"/>
        <v>#DIV/0!</v>
      </c>
      <c r="BJ69" s="4003"/>
      <c r="BK69" s="3274"/>
      <c r="BL69" s="3274"/>
      <c r="BM69" s="3283">
        <f t="shared" si="192"/>
        <v>0</v>
      </c>
      <c r="BN69" s="3945" t="e">
        <f t="shared" si="193"/>
        <v>#DIV/0!</v>
      </c>
      <c r="BO69" s="4003"/>
      <c r="BP69" s="3274"/>
      <c r="BQ69" s="3274"/>
      <c r="BR69" s="3283">
        <f t="shared" si="194"/>
        <v>0</v>
      </c>
      <c r="BS69" s="3945" t="e">
        <f t="shared" si="195"/>
        <v>#DIV/0!</v>
      </c>
      <c r="BT69" s="4003"/>
      <c r="BU69" s="3274"/>
      <c r="BV69" s="3274"/>
      <c r="BW69" s="3283">
        <f t="shared" si="196"/>
        <v>0</v>
      </c>
      <c r="BX69" s="3945" t="e">
        <f t="shared" si="197"/>
        <v>#DIV/0!</v>
      </c>
      <c r="BY69" s="4003"/>
      <c r="BZ69" s="3274"/>
      <c r="CA69" s="3274"/>
      <c r="CB69" s="3283">
        <f t="shared" si="198"/>
        <v>0</v>
      </c>
      <c r="CC69" s="3945" t="e">
        <f t="shared" si="199"/>
        <v>#DIV/0!</v>
      </c>
      <c r="CD69" s="4003"/>
      <c r="CE69" s="3274"/>
      <c r="CF69" s="3274"/>
      <c r="CG69" s="3283">
        <f t="shared" si="200"/>
        <v>0</v>
      </c>
      <c r="CH69" s="3945" t="e">
        <f t="shared" si="201"/>
        <v>#DIV/0!</v>
      </c>
      <c r="CI69" s="4003"/>
      <c r="CJ69" s="3274">
        <f t="shared" si="202"/>
        <v>0</v>
      </c>
      <c r="CK69" s="3274">
        <f t="shared" si="202"/>
        <v>0</v>
      </c>
      <c r="CL69" s="2028">
        <f t="shared" si="203"/>
        <v>0</v>
      </c>
      <c r="CM69" s="3945">
        <f t="shared" si="168"/>
        <v>0</v>
      </c>
      <c r="CN69" s="3946"/>
      <c r="CP69" s="2028"/>
      <c r="CQ69" s="2028">
        <f t="shared" si="204"/>
        <v>0</v>
      </c>
      <c r="CR69" s="3991"/>
      <c r="CT69" s="2644"/>
    </row>
    <row r="70" spans="1:98" s="1411" customFormat="1" ht="13.8" outlineLevel="2" x14ac:dyDescent="0.25">
      <c r="A70" s="1586"/>
      <c r="B70" s="3999" t="s">
        <v>6</v>
      </c>
      <c r="C70" s="3274"/>
      <c r="D70" s="3274"/>
      <c r="E70" s="3283">
        <f t="shared" si="169"/>
        <v>0</v>
      </c>
      <c r="F70" s="3945" t="e">
        <f t="shared" si="133"/>
        <v>#DIV/0!</v>
      </c>
      <c r="G70" s="4003"/>
      <c r="H70" s="3274"/>
      <c r="I70" s="3274"/>
      <c r="J70" s="3283">
        <f t="shared" si="170"/>
        <v>0</v>
      </c>
      <c r="K70" s="3945" t="e">
        <f t="shared" si="171"/>
        <v>#DIV/0!</v>
      </c>
      <c r="L70" s="4003"/>
      <c r="M70" s="3274"/>
      <c r="N70" s="3274"/>
      <c r="O70" s="3283">
        <f t="shared" si="172"/>
        <v>0</v>
      </c>
      <c r="P70" s="3945">
        <f t="shared" si="173"/>
        <v>0</v>
      </c>
      <c r="Q70" s="4003"/>
      <c r="R70" s="3275">
        <f t="shared" si="174"/>
        <v>0</v>
      </c>
      <c r="S70" s="3275">
        <f t="shared" si="174"/>
        <v>0</v>
      </c>
      <c r="T70" s="2028">
        <f t="shared" si="175"/>
        <v>0</v>
      </c>
      <c r="U70" s="3469"/>
      <c r="V70" s="3469"/>
      <c r="W70" s="3275">
        <f t="shared" si="176"/>
        <v>0</v>
      </c>
      <c r="X70" s="3275">
        <f t="shared" si="176"/>
        <v>0</v>
      </c>
      <c r="Y70" s="2028">
        <f t="shared" si="177"/>
        <v>0</v>
      </c>
      <c r="Z70" s="3469"/>
      <c r="AA70" s="3469"/>
      <c r="AB70" s="3274"/>
      <c r="AC70" s="3274"/>
      <c r="AD70" s="3283">
        <f t="shared" si="178"/>
        <v>0</v>
      </c>
      <c r="AE70" s="3945">
        <f t="shared" si="179"/>
        <v>0</v>
      </c>
      <c r="AF70" s="4003"/>
      <c r="AG70" s="3274"/>
      <c r="AH70" s="3274"/>
      <c r="AI70" s="3283">
        <f t="shared" si="180"/>
        <v>0</v>
      </c>
      <c r="AJ70" s="3945">
        <f t="shared" si="181"/>
        <v>0</v>
      </c>
      <c r="AK70" s="4003"/>
      <c r="AL70" s="3274"/>
      <c r="AM70" s="3274"/>
      <c r="AN70" s="3283">
        <f t="shared" si="182"/>
        <v>0</v>
      </c>
      <c r="AO70" s="3945" t="e">
        <f t="shared" si="183"/>
        <v>#DIV/0!</v>
      </c>
      <c r="AP70" s="4003"/>
      <c r="AQ70" s="3274"/>
      <c r="AR70" s="3274"/>
      <c r="AS70" s="3283">
        <f t="shared" si="184"/>
        <v>0</v>
      </c>
      <c r="AT70" s="3945" t="e">
        <f t="shared" si="185"/>
        <v>#DIV/0!</v>
      </c>
      <c r="AU70" s="4003"/>
      <c r="AV70" s="3274"/>
      <c r="AW70" s="3274"/>
      <c r="AX70" s="3283">
        <f t="shared" si="186"/>
        <v>0</v>
      </c>
      <c r="AY70" s="3945" t="e">
        <f t="shared" si="187"/>
        <v>#DIV/0!</v>
      </c>
      <c r="AZ70" s="4003"/>
      <c r="BA70" s="3274"/>
      <c r="BB70" s="3274"/>
      <c r="BC70" s="3283">
        <f t="shared" si="188"/>
        <v>0</v>
      </c>
      <c r="BD70" s="3945" t="e">
        <f t="shared" si="189"/>
        <v>#DIV/0!</v>
      </c>
      <c r="BE70" s="4003"/>
      <c r="BF70" s="3274"/>
      <c r="BG70" s="3274"/>
      <c r="BH70" s="3283">
        <f t="shared" si="190"/>
        <v>0</v>
      </c>
      <c r="BI70" s="3945" t="e">
        <f t="shared" si="191"/>
        <v>#DIV/0!</v>
      </c>
      <c r="BJ70" s="4003"/>
      <c r="BK70" s="3274"/>
      <c r="BL70" s="3274"/>
      <c r="BM70" s="3283">
        <f t="shared" si="192"/>
        <v>0</v>
      </c>
      <c r="BN70" s="3945" t="e">
        <f t="shared" si="193"/>
        <v>#DIV/0!</v>
      </c>
      <c r="BO70" s="4003"/>
      <c r="BP70" s="3274"/>
      <c r="BQ70" s="3274"/>
      <c r="BR70" s="3283">
        <f t="shared" si="194"/>
        <v>0</v>
      </c>
      <c r="BS70" s="3945" t="e">
        <f t="shared" si="195"/>
        <v>#DIV/0!</v>
      </c>
      <c r="BT70" s="4003"/>
      <c r="BU70" s="3274"/>
      <c r="BV70" s="3274"/>
      <c r="BW70" s="3283">
        <f t="shared" si="196"/>
        <v>0</v>
      </c>
      <c r="BX70" s="3945" t="e">
        <f t="shared" si="197"/>
        <v>#DIV/0!</v>
      </c>
      <c r="BY70" s="4003"/>
      <c r="BZ70" s="3274"/>
      <c r="CA70" s="3274"/>
      <c r="CB70" s="3283">
        <f t="shared" si="198"/>
        <v>0</v>
      </c>
      <c r="CC70" s="3945" t="e">
        <f t="shared" si="199"/>
        <v>#DIV/0!</v>
      </c>
      <c r="CD70" s="4003"/>
      <c r="CE70" s="3274"/>
      <c r="CF70" s="3274"/>
      <c r="CG70" s="3283">
        <f t="shared" si="200"/>
        <v>0</v>
      </c>
      <c r="CH70" s="3945" t="e">
        <f t="shared" si="201"/>
        <v>#DIV/0!</v>
      </c>
      <c r="CI70" s="4003"/>
      <c r="CJ70" s="3274">
        <f t="shared" si="202"/>
        <v>0</v>
      </c>
      <c r="CK70" s="3274">
        <f t="shared" si="202"/>
        <v>0</v>
      </c>
      <c r="CL70" s="2028">
        <f t="shared" si="203"/>
        <v>0</v>
      </c>
      <c r="CM70" s="3945">
        <f t="shared" si="168"/>
        <v>0</v>
      </c>
      <c r="CN70" s="3946"/>
      <c r="CP70" s="2028"/>
      <c r="CQ70" s="2028">
        <f t="shared" si="204"/>
        <v>0</v>
      </c>
      <c r="CR70" s="3991"/>
      <c r="CT70" s="2644"/>
    </row>
    <row r="71" spans="1:98" s="1411" customFormat="1" ht="13.8" outlineLevel="2" x14ac:dyDescent="0.25">
      <c r="A71" s="1586"/>
      <c r="B71" s="3999" t="s">
        <v>78</v>
      </c>
      <c r="C71" s="3274"/>
      <c r="D71" s="3274"/>
      <c r="E71" s="3283">
        <f t="shared" si="169"/>
        <v>0</v>
      </c>
      <c r="F71" s="3945" t="e">
        <f t="shared" si="133"/>
        <v>#DIV/0!</v>
      </c>
      <c r="G71" s="4003"/>
      <c r="H71" s="3274"/>
      <c r="I71" s="3274"/>
      <c r="J71" s="3283">
        <f t="shared" si="170"/>
        <v>0</v>
      </c>
      <c r="K71" s="3945" t="e">
        <f t="shared" si="171"/>
        <v>#DIV/0!</v>
      </c>
      <c r="L71" s="4003"/>
      <c r="M71" s="3274"/>
      <c r="N71" s="3274"/>
      <c r="O71" s="3283">
        <f t="shared" si="172"/>
        <v>0</v>
      </c>
      <c r="P71" s="3945">
        <f t="shared" si="173"/>
        <v>0</v>
      </c>
      <c r="Q71" s="4003"/>
      <c r="R71" s="3275">
        <f t="shared" si="174"/>
        <v>0</v>
      </c>
      <c r="S71" s="3275">
        <f t="shared" si="174"/>
        <v>0</v>
      </c>
      <c r="T71" s="2028">
        <f t="shared" si="175"/>
        <v>0</v>
      </c>
      <c r="U71" s="3469"/>
      <c r="V71" s="3469"/>
      <c r="W71" s="3275">
        <f t="shared" si="176"/>
        <v>0</v>
      </c>
      <c r="X71" s="3275">
        <f t="shared" si="176"/>
        <v>0</v>
      </c>
      <c r="Y71" s="2028">
        <f t="shared" si="177"/>
        <v>0</v>
      </c>
      <c r="Z71" s="3469"/>
      <c r="AA71" s="3469"/>
      <c r="AB71" s="3274"/>
      <c r="AC71" s="3274"/>
      <c r="AD71" s="3283">
        <f t="shared" si="178"/>
        <v>0</v>
      </c>
      <c r="AE71" s="3945">
        <f t="shared" si="179"/>
        <v>0</v>
      </c>
      <c r="AF71" s="4003"/>
      <c r="AG71" s="3274"/>
      <c r="AH71" s="3274"/>
      <c r="AI71" s="3283">
        <f t="shared" si="180"/>
        <v>0</v>
      </c>
      <c r="AJ71" s="3945">
        <f t="shared" si="181"/>
        <v>0</v>
      </c>
      <c r="AK71" s="4003"/>
      <c r="AL71" s="3274"/>
      <c r="AM71" s="3274"/>
      <c r="AN71" s="3283">
        <f t="shared" si="182"/>
        <v>0</v>
      </c>
      <c r="AO71" s="3945" t="e">
        <f t="shared" si="183"/>
        <v>#DIV/0!</v>
      </c>
      <c r="AP71" s="4003"/>
      <c r="AQ71" s="3274"/>
      <c r="AR71" s="3274"/>
      <c r="AS71" s="3283">
        <f t="shared" si="184"/>
        <v>0</v>
      </c>
      <c r="AT71" s="3945" t="e">
        <f t="shared" si="185"/>
        <v>#DIV/0!</v>
      </c>
      <c r="AU71" s="4003"/>
      <c r="AV71" s="3274"/>
      <c r="AW71" s="3274"/>
      <c r="AX71" s="3283">
        <f t="shared" si="186"/>
        <v>0</v>
      </c>
      <c r="AY71" s="3945" t="e">
        <f t="shared" si="187"/>
        <v>#DIV/0!</v>
      </c>
      <c r="AZ71" s="4003"/>
      <c r="BA71" s="3274"/>
      <c r="BB71" s="3274"/>
      <c r="BC71" s="3283">
        <f t="shared" si="188"/>
        <v>0</v>
      </c>
      <c r="BD71" s="3945" t="e">
        <f t="shared" si="189"/>
        <v>#DIV/0!</v>
      </c>
      <c r="BE71" s="4003"/>
      <c r="BF71" s="3274"/>
      <c r="BG71" s="3274"/>
      <c r="BH71" s="3283">
        <f t="shared" si="190"/>
        <v>0</v>
      </c>
      <c r="BI71" s="3945" t="e">
        <f t="shared" si="191"/>
        <v>#DIV/0!</v>
      </c>
      <c r="BJ71" s="4003"/>
      <c r="BK71" s="3274"/>
      <c r="BL71" s="3274"/>
      <c r="BM71" s="3283">
        <f t="shared" si="192"/>
        <v>0</v>
      </c>
      <c r="BN71" s="3945" t="e">
        <f t="shared" si="193"/>
        <v>#DIV/0!</v>
      </c>
      <c r="BO71" s="4003"/>
      <c r="BP71" s="3274"/>
      <c r="BQ71" s="3274"/>
      <c r="BR71" s="3283">
        <f t="shared" si="194"/>
        <v>0</v>
      </c>
      <c r="BS71" s="3945" t="e">
        <f t="shared" si="195"/>
        <v>#DIV/0!</v>
      </c>
      <c r="BT71" s="4003"/>
      <c r="BU71" s="3274"/>
      <c r="BV71" s="3274"/>
      <c r="BW71" s="3283">
        <f t="shared" si="196"/>
        <v>0</v>
      </c>
      <c r="BX71" s="3945" t="e">
        <f t="shared" si="197"/>
        <v>#DIV/0!</v>
      </c>
      <c r="BY71" s="4003"/>
      <c r="BZ71" s="3274"/>
      <c r="CA71" s="3274"/>
      <c r="CB71" s="3283">
        <f t="shared" si="198"/>
        <v>0</v>
      </c>
      <c r="CC71" s="3945" t="e">
        <f t="shared" si="199"/>
        <v>#DIV/0!</v>
      </c>
      <c r="CD71" s="4003"/>
      <c r="CE71" s="3274"/>
      <c r="CF71" s="3274"/>
      <c r="CG71" s="3283">
        <f t="shared" si="200"/>
        <v>0</v>
      </c>
      <c r="CH71" s="3945" t="e">
        <f t="shared" si="201"/>
        <v>#DIV/0!</v>
      </c>
      <c r="CI71" s="4003"/>
      <c r="CJ71" s="3274">
        <f t="shared" si="202"/>
        <v>0</v>
      </c>
      <c r="CK71" s="3274">
        <f t="shared" si="202"/>
        <v>0</v>
      </c>
      <c r="CL71" s="2028">
        <f t="shared" si="203"/>
        <v>0</v>
      </c>
      <c r="CM71" s="3945">
        <f t="shared" si="168"/>
        <v>0</v>
      </c>
      <c r="CN71" s="3946"/>
      <c r="CP71" s="2028"/>
      <c r="CQ71" s="2028">
        <f t="shared" si="204"/>
        <v>0</v>
      </c>
      <c r="CR71" s="3991"/>
      <c r="CT71" s="2644"/>
    </row>
    <row r="72" spans="1:98" s="1411" customFormat="1" ht="13.8" outlineLevel="2" x14ac:dyDescent="0.25">
      <c r="A72" s="1586"/>
      <c r="B72" s="4007"/>
      <c r="C72" s="3996"/>
      <c r="D72" s="3996"/>
      <c r="E72" s="3928"/>
      <c r="F72" s="3945"/>
      <c r="G72" s="4003"/>
      <c r="H72" s="3996"/>
      <c r="I72" s="3996"/>
      <c r="J72" s="3928"/>
      <c r="K72" s="3945" t="e">
        <f t="shared" si="171"/>
        <v>#DIV/0!</v>
      </c>
      <c r="L72" s="4003"/>
      <c r="M72" s="3996"/>
      <c r="N72" s="3996"/>
      <c r="O72" s="3928"/>
      <c r="P72" s="3945">
        <f t="shared" si="173"/>
        <v>0</v>
      </c>
      <c r="Q72" s="4003"/>
      <c r="R72" s="4003"/>
      <c r="S72" s="4003"/>
      <c r="T72" s="4003"/>
      <c r="U72" s="4003"/>
      <c r="V72" s="4003"/>
      <c r="W72" s="4003"/>
      <c r="X72" s="4003"/>
      <c r="Y72" s="4003"/>
      <c r="Z72" s="4003"/>
      <c r="AA72" s="4003"/>
      <c r="AB72" s="3996"/>
      <c r="AC72" s="3996"/>
      <c r="AD72" s="3928"/>
      <c r="AE72" s="3945"/>
      <c r="AF72" s="4003"/>
      <c r="AG72" s="3996"/>
      <c r="AH72" s="3996"/>
      <c r="AI72" s="3928"/>
      <c r="AJ72" s="3945"/>
      <c r="AK72" s="4003"/>
      <c r="AL72" s="3996"/>
      <c r="AM72" s="3996"/>
      <c r="AN72" s="3928"/>
      <c r="AO72" s="3945"/>
      <c r="AP72" s="4003"/>
      <c r="AQ72" s="3996"/>
      <c r="AR72" s="3996"/>
      <c r="AS72" s="3928"/>
      <c r="AT72" s="3945"/>
      <c r="AU72" s="4003"/>
      <c r="AV72" s="3996"/>
      <c r="AW72" s="3996"/>
      <c r="AX72" s="3928"/>
      <c r="AY72" s="3945"/>
      <c r="AZ72" s="4003"/>
      <c r="BA72" s="3996"/>
      <c r="BB72" s="3996"/>
      <c r="BC72" s="3928"/>
      <c r="BD72" s="3945"/>
      <c r="BE72" s="4003"/>
      <c r="BF72" s="3996"/>
      <c r="BG72" s="3996"/>
      <c r="BH72" s="3928"/>
      <c r="BI72" s="3945"/>
      <c r="BJ72" s="4003"/>
      <c r="BK72" s="3996"/>
      <c r="BL72" s="3996"/>
      <c r="BM72" s="3928"/>
      <c r="BN72" s="3945"/>
      <c r="BO72" s="4003"/>
      <c r="BP72" s="3996"/>
      <c r="BQ72" s="3996"/>
      <c r="BR72" s="3928"/>
      <c r="BS72" s="3945"/>
      <c r="BT72" s="4003"/>
      <c r="BU72" s="3996"/>
      <c r="BV72" s="3996"/>
      <c r="BW72" s="3928"/>
      <c r="BX72" s="3945"/>
      <c r="BY72" s="4003"/>
      <c r="BZ72" s="3996"/>
      <c r="CA72" s="3996"/>
      <c r="CB72" s="3928"/>
      <c r="CC72" s="3945"/>
      <c r="CD72" s="4003"/>
      <c r="CE72" s="3996"/>
      <c r="CF72" s="3996"/>
      <c r="CG72" s="3928"/>
      <c r="CH72" s="3945"/>
      <c r="CI72" s="4003"/>
      <c r="CJ72" s="3996"/>
      <c r="CK72" s="3996"/>
      <c r="CL72" s="3928"/>
      <c r="CM72" s="3945">
        <f>CL72/$CL$89</f>
        <v>0</v>
      </c>
      <c r="CN72" s="3946"/>
      <c r="CP72" s="2046"/>
      <c r="CQ72" s="2046"/>
      <c r="CR72" s="3990"/>
      <c r="CT72" s="2644"/>
    </row>
    <row r="73" spans="1:98" s="1411" customFormat="1" ht="14.4" outlineLevel="1" thickBot="1" x14ac:dyDescent="0.3">
      <c r="A73" s="1586"/>
      <c r="B73" s="3824" t="s">
        <v>4</v>
      </c>
      <c r="C73" s="555">
        <f>C74</f>
        <v>0</v>
      </c>
      <c r="D73" s="3825">
        <f>D74</f>
        <v>0</v>
      </c>
      <c r="E73" s="3826">
        <f>E74</f>
        <v>0</v>
      </c>
      <c r="F73" s="3825"/>
      <c r="G73" s="3827"/>
      <c r="H73" s="555">
        <f>H74</f>
        <v>0</v>
      </c>
      <c r="I73" s="3825">
        <f>I74</f>
        <v>0</v>
      </c>
      <c r="J73" s="3826">
        <f>J74</f>
        <v>0</v>
      </c>
      <c r="K73" s="3825"/>
      <c r="L73" s="3827"/>
      <c r="M73" s="555">
        <f>M74</f>
        <v>0</v>
      </c>
      <c r="N73" s="3825">
        <f>N74</f>
        <v>0</v>
      </c>
      <c r="O73" s="3826">
        <f>O74</f>
        <v>0</v>
      </c>
      <c r="P73" s="3825"/>
      <c r="Q73" s="3827"/>
      <c r="R73" s="555">
        <f>R74</f>
        <v>0</v>
      </c>
      <c r="S73" s="3825">
        <f>S74</f>
        <v>0</v>
      </c>
      <c r="T73" s="3826">
        <f>T74</f>
        <v>0</v>
      </c>
      <c r="U73" s="3825"/>
      <c r="V73" s="3828"/>
      <c r="W73" s="555">
        <f>W74</f>
        <v>0</v>
      </c>
      <c r="X73" s="3825">
        <f>X74</f>
        <v>0</v>
      </c>
      <c r="Y73" s="3826">
        <f>Y74</f>
        <v>0</v>
      </c>
      <c r="Z73" s="3825"/>
      <c r="AA73" s="3828"/>
      <c r="AB73" s="555">
        <f>AB74</f>
        <v>0</v>
      </c>
      <c r="AC73" s="3825">
        <f>AC74</f>
        <v>0</v>
      </c>
      <c r="AD73" s="3826">
        <f>AD74</f>
        <v>0</v>
      </c>
      <c r="AE73" s="3825"/>
      <c r="AF73" s="3827"/>
      <c r="AG73" s="555">
        <f>AG74</f>
        <v>0</v>
      </c>
      <c r="AH73" s="3825">
        <f>AH74</f>
        <v>0</v>
      </c>
      <c r="AI73" s="3826">
        <f>AI74</f>
        <v>0</v>
      </c>
      <c r="AJ73" s="3825"/>
      <c r="AK73" s="3827"/>
      <c r="AL73" s="555">
        <f>AL74</f>
        <v>0</v>
      </c>
      <c r="AM73" s="3825">
        <f>AM74</f>
        <v>0</v>
      </c>
      <c r="AN73" s="3826">
        <f>AN74</f>
        <v>0</v>
      </c>
      <c r="AO73" s="3825"/>
      <c r="AP73" s="3827"/>
      <c r="AQ73" s="555">
        <f>AQ74</f>
        <v>0</v>
      </c>
      <c r="AR73" s="3825">
        <f>AR74</f>
        <v>0</v>
      </c>
      <c r="AS73" s="3826">
        <f>AS74</f>
        <v>0</v>
      </c>
      <c r="AT73" s="3825"/>
      <c r="AU73" s="3827"/>
      <c r="AV73" s="555">
        <f>AV74</f>
        <v>0</v>
      </c>
      <c r="AW73" s="3825">
        <f>AW74</f>
        <v>0</v>
      </c>
      <c r="AX73" s="3826">
        <f>AX74</f>
        <v>0</v>
      </c>
      <c r="AY73" s="3825"/>
      <c r="AZ73" s="3827"/>
      <c r="BA73" s="555">
        <f>BA74</f>
        <v>0</v>
      </c>
      <c r="BB73" s="3825">
        <f>BB74</f>
        <v>0</v>
      </c>
      <c r="BC73" s="3826">
        <f>BC74</f>
        <v>0</v>
      </c>
      <c r="BD73" s="3825"/>
      <c r="BE73" s="3827"/>
      <c r="BF73" s="555">
        <f>BF74</f>
        <v>0</v>
      </c>
      <c r="BG73" s="3825">
        <f>BG74</f>
        <v>0</v>
      </c>
      <c r="BH73" s="3826">
        <f>BH74</f>
        <v>0</v>
      </c>
      <c r="BI73" s="3825"/>
      <c r="BJ73" s="3827"/>
      <c r="BK73" s="555">
        <f>BK74</f>
        <v>0</v>
      </c>
      <c r="BL73" s="3825">
        <f>BL74</f>
        <v>0</v>
      </c>
      <c r="BM73" s="3826">
        <f>BM74</f>
        <v>0</v>
      </c>
      <c r="BN73" s="3825"/>
      <c r="BO73" s="3827"/>
      <c r="BP73" s="555">
        <f>BP74</f>
        <v>0</v>
      </c>
      <c r="BQ73" s="3825">
        <f>BQ74</f>
        <v>0</v>
      </c>
      <c r="BR73" s="3826">
        <f>BR74</f>
        <v>0</v>
      </c>
      <c r="BS73" s="3825"/>
      <c r="BT73" s="3827"/>
      <c r="BU73" s="555">
        <f>BU74</f>
        <v>0</v>
      </c>
      <c r="BV73" s="3825">
        <f>BV74</f>
        <v>0</v>
      </c>
      <c r="BW73" s="3826">
        <f>BW74</f>
        <v>0</v>
      </c>
      <c r="BX73" s="3825"/>
      <c r="BY73" s="3827"/>
      <c r="BZ73" s="555">
        <f>BZ74</f>
        <v>0</v>
      </c>
      <c r="CA73" s="3825">
        <f>CA74</f>
        <v>0</v>
      </c>
      <c r="CB73" s="3826">
        <f>CB74</f>
        <v>0</v>
      </c>
      <c r="CC73" s="3825"/>
      <c r="CD73" s="3827"/>
      <c r="CE73" s="555">
        <f>CE74</f>
        <v>0</v>
      </c>
      <c r="CF73" s="3825">
        <f>CF74</f>
        <v>0</v>
      </c>
      <c r="CG73" s="3826">
        <f>CG74</f>
        <v>0</v>
      </c>
      <c r="CH73" s="3825"/>
      <c r="CI73" s="3827"/>
      <c r="CJ73" s="555">
        <f>CJ74</f>
        <v>0</v>
      </c>
      <c r="CK73" s="3829">
        <f>CK74</f>
        <v>0</v>
      </c>
      <c r="CL73" s="3826">
        <f>CL74</f>
        <v>0</v>
      </c>
      <c r="CM73" s="3825"/>
      <c r="CN73" s="3825"/>
      <c r="CP73" s="3973">
        <f>CP74</f>
        <v>0</v>
      </c>
      <c r="CQ73" s="3973">
        <f>CQ74</f>
        <v>0</v>
      </c>
      <c r="CR73" s="3973"/>
      <c r="CT73" s="2644"/>
    </row>
    <row r="74" spans="1:98" s="1411" customFormat="1" ht="14.4" outlineLevel="1" thickBot="1" x14ac:dyDescent="0.3">
      <c r="A74" s="1428"/>
      <c r="B74" s="1061" t="s">
        <v>64</v>
      </c>
      <c r="C74" s="3274"/>
      <c r="D74" s="3274"/>
      <c r="E74" s="3327">
        <f>C74+D74*1</f>
        <v>0</v>
      </c>
      <c r="F74" s="3327"/>
      <c r="G74" s="3475"/>
      <c r="H74" s="3274"/>
      <c r="I74" s="3274"/>
      <c r="J74" s="3327">
        <f>H74+I74*1</f>
        <v>0</v>
      </c>
      <c r="K74" s="3945" t="e">
        <f t="shared" ref="K74" si="205">J74/J$89</f>
        <v>#DIV/0!</v>
      </c>
      <c r="L74" s="3475"/>
      <c r="M74" s="3274"/>
      <c r="N74" s="3274"/>
      <c r="O74" s="3327">
        <f>M74+N74*1</f>
        <v>0</v>
      </c>
      <c r="P74" s="3945">
        <f t="shared" ref="P74" si="206">O74/O$89</f>
        <v>0</v>
      </c>
      <c r="Q74" s="3475"/>
      <c r="R74" s="3476"/>
      <c r="S74" s="3476"/>
      <c r="T74" s="3476"/>
      <c r="U74" s="3476"/>
      <c r="V74" s="3476"/>
      <c r="W74" s="3275">
        <f t="shared" ref="W74:X74" si="207">AB74+AG74+AL74+AV74+BA74+BF74+BK74+BP74+BU74+BZ74+CE74+AQ74</f>
        <v>0</v>
      </c>
      <c r="X74" s="3275">
        <f t="shared" si="207"/>
        <v>0</v>
      </c>
      <c r="Y74" s="3476"/>
      <c r="Z74" s="3476"/>
      <c r="AA74" s="3476"/>
      <c r="AB74" s="3274"/>
      <c r="AC74" s="3274"/>
      <c r="AD74" s="3327">
        <f>AB74+AC74*1</f>
        <v>0</v>
      </c>
      <c r="AE74" s="3327"/>
      <c r="AF74" s="3475"/>
      <c r="AG74" s="3274"/>
      <c r="AH74" s="3274"/>
      <c r="AI74" s="3327">
        <f>AG74+AH74*1</f>
        <v>0</v>
      </c>
      <c r="AJ74" s="3327"/>
      <c r="AK74" s="3475"/>
      <c r="AL74" s="3274"/>
      <c r="AM74" s="3274"/>
      <c r="AN74" s="3327">
        <f>AL74+AM74*1</f>
        <v>0</v>
      </c>
      <c r="AO74" s="3327"/>
      <c r="AP74" s="3475"/>
      <c r="AQ74" s="3274"/>
      <c r="AR74" s="3274"/>
      <c r="AS74" s="3327">
        <f>AQ74+AR74*1</f>
        <v>0</v>
      </c>
      <c r="AT74" s="3327"/>
      <c r="AU74" s="3475"/>
      <c r="AV74" s="3274"/>
      <c r="AW74" s="3274"/>
      <c r="AX74" s="3327">
        <f>AV74+AW74*1</f>
        <v>0</v>
      </c>
      <c r="AY74" s="3327"/>
      <c r="AZ74" s="3475"/>
      <c r="BA74" s="3274"/>
      <c r="BB74" s="3274"/>
      <c r="BC74" s="3327">
        <f>BA74+BB74*1</f>
        <v>0</v>
      </c>
      <c r="BD74" s="3327"/>
      <c r="BE74" s="3475"/>
      <c r="BF74" s="3274"/>
      <c r="BG74" s="3274"/>
      <c r="BH74" s="3327">
        <f>BF74+BG74*1</f>
        <v>0</v>
      </c>
      <c r="BI74" s="3327"/>
      <c r="BJ74" s="3475"/>
      <c r="BK74" s="3274"/>
      <c r="BL74" s="3274"/>
      <c r="BM74" s="3327">
        <f>BK74+BL74*1</f>
        <v>0</v>
      </c>
      <c r="BN74" s="3327"/>
      <c r="BO74" s="3475"/>
      <c r="BP74" s="3274"/>
      <c r="BQ74" s="3274"/>
      <c r="BR74" s="3327">
        <f>BP74+BQ74*1</f>
        <v>0</v>
      </c>
      <c r="BS74" s="3327"/>
      <c r="BT74" s="3475"/>
      <c r="BU74" s="3274"/>
      <c r="BV74" s="3274"/>
      <c r="BW74" s="3327">
        <f>BU74+BV74*1</f>
        <v>0</v>
      </c>
      <c r="BX74" s="3327"/>
      <c r="BY74" s="3475"/>
      <c r="BZ74" s="3274"/>
      <c r="CA74" s="3274"/>
      <c r="CB74" s="3327">
        <f>BZ74+CA74*1</f>
        <v>0</v>
      </c>
      <c r="CC74" s="3327"/>
      <c r="CD74" s="3475"/>
      <c r="CE74" s="3274"/>
      <c r="CF74" s="3274"/>
      <c r="CG74" s="3327">
        <f>CE74+CF74*1</f>
        <v>0</v>
      </c>
      <c r="CH74" s="3327"/>
      <c r="CI74" s="3475"/>
      <c r="CJ74" s="3274">
        <f>C74+H74+M74</f>
        <v>0</v>
      </c>
      <c r="CK74" s="3274">
        <f>D74+I74+N74</f>
        <v>0</v>
      </c>
      <c r="CL74" s="3327">
        <f>CJ74+CK74*1</f>
        <v>0</v>
      </c>
      <c r="CM74" s="3327"/>
      <c r="CN74" s="3327"/>
      <c r="CP74" s="3974">
        <f>CN74+CO74*1</f>
        <v>0</v>
      </c>
      <c r="CQ74" s="3974">
        <f>CO74+CP74*1</f>
        <v>0</v>
      </c>
      <c r="CR74" s="3974"/>
      <c r="CT74" s="2644"/>
    </row>
    <row r="75" spans="1:98" s="1411" customFormat="1" ht="14.4" thickBot="1" x14ac:dyDescent="0.3">
      <c r="A75" s="1414"/>
      <c r="B75" s="1431" t="s">
        <v>48</v>
      </c>
      <c r="C75" s="1465">
        <f>C38-C41-C50-C54</f>
        <v>0</v>
      </c>
      <c r="D75" s="1465">
        <f>D38-D41-D50-D54</f>
        <v>0</v>
      </c>
      <c r="E75" s="1523">
        <f>E38-E41-E50-E54</f>
        <v>0</v>
      </c>
      <c r="F75" s="1969"/>
      <c r="G75" s="1068"/>
      <c r="H75" s="1465">
        <f>H38-H41-H50-H54</f>
        <v>0</v>
      </c>
      <c r="I75" s="1465">
        <f>I38-I41-I50-I54</f>
        <v>0</v>
      </c>
      <c r="J75" s="1523">
        <f>J38-J41-J50-J54</f>
        <v>0</v>
      </c>
      <c r="K75" s="1969"/>
      <c r="L75" s="1068"/>
      <c r="M75" s="1465">
        <f>M38-M41-M50-M54</f>
        <v>0</v>
      </c>
      <c r="N75" s="1465">
        <f>N38-N41-N50-N54</f>
        <v>-17586.8</v>
      </c>
      <c r="O75" s="1523">
        <f>O38-O41-O50-O54</f>
        <v>-17586.8</v>
      </c>
      <c r="P75" s="1969"/>
      <c r="Q75" s="1068"/>
      <c r="R75" s="1465">
        <f>R38-R41-R50-R54</f>
        <v>0</v>
      </c>
      <c r="S75" s="1465">
        <f>S38-S41-S50-S54</f>
        <v>-17586.8</v>
      </c>
      <c r="T75" s="1523">
        <f>T38-T41-T50-T54</f>
        <v>-17586.8</v>
      </c>
      <c r="U75" s="3477"/>
      <c r="V75" s="3477"/>
      <c r="W75" s="1465">
        <f>W38-W41-W50-W54</f>
        <v>357309.61400000006</v>
      </c>
      <c r="X75" s="1465">
        <f>X38-X41-X50-X54</f>
        <v>-99028.885999999999</v>
      </c>
      <c r="Y75" s="1523">
        <f>Y38-Y41-Y50-Y54</f>
        <v>258280.728</v>
      </c>
      <c r="Z75" s="3477"/>
      <c r="AA75" s="3477"/>
      <c r="AB75" s="1465">
        <f>AB38-AB41-AB50-AB54</f>
        <v>-217304.24400000004</v>
      </c>
      <c r="AC75" s="1465">
        <f>AC38-AC41-AC50-AC54</f>
        <v>-94528.885999999999</v>
      </c>
      <c r="AD75" s="1523">
        <f>AD38-AD41-AD50-AD54</f>
        <v>-311833.13</v>
      </c>
      <c r="AE75" s="1969"/>
      <c r="AF75" s="1068"/>
      <c r="AG75" s="1465">
        <f>AG38-AG41-AG50-AG54</f>
        <v>574613.85800000001</v>
      </c>
      <c r="AH75" s="1465">
        <f>AH38-AH41-AH50-AH54</f>
        <v>-4500</v>
      </c>
      <c r="AI75" s="1523">
        <f>AI38-AI41-AI50-AI54</f>
        <v>570113.85800000001</v>
      </c>
      <c r="AJ75" s="1969"/>
      <c r="AK75" s="1068"/>
      <c r="AL75" s="1465">
        <f>AL38-AL41-AL50-AL54</f>
        <v>0</v>
      </c>
      <c r="AM75" s="1465">
        <f>AM38-AM41-AM50-AM54</f>
        <v>0</v>
      </c>
      <c r="AN75" s="1523">
        <f>AN38-AN41-AN50-AN54</f>
        <v>0</v>
      </c>
      <c r="AO75" s="1969"/>
      <c r="AP75" s="1068"/>
      <c r="AQ75" s="1465">
        <f>AQ38-AQ41-AQ50-AQ54</f>
        <v>0</v>
      </c>
      <c r="AR75" s="1465">
        <f>AR38-AR41-AR50-AR54</f>
        <v>0</v>
      </c>
      <c r="AS75" s="1523">
        <f>AS38-AS41-AS50-AS54</f>
        <v>0</v>
      </c>
      <c r="AT75" s="1969"/>
      <c r="AU75" s="1068"/>
      <c r="AV75" s="1465">
        <f>AV38-AV41-AV50-AV54</f>
        <v>0</v>
      </c>
      <c r="AW75" s="1465">
        <f>AW38-AW41-AW50-AW54</f>
        <v>0</v>
      </c>
      <c r="AX75" s="1523">
        <f>AX38-AX41-AX50-AX54</f>
        <v>0</v>
      </c>
      <c r="AY75" s="1969"/>
      <c r="AZ75" s="1068"/>
      <c r="BA75" s="1465">
        <f>BA38-BA41-BA50-BA54</f>
        <v>0</v>
      </c>
      <c r="BB75" s="1465">
        <f>BB38-BB41-BB50-BB54</f>
        <v>0</v>
      </c>
      <c r="BC75" s="1523">
        <f>BC38-BC41-BC50-BC54</f>
        <v>0</v>
      </c>
      <c r="BD75" s="1969"/>
      <c r="BE75" s="1068"/>
      <c r="BF75" s="1465">
        <f>BF38-BF41-BF50-BF54</f>
        <v>0</v>
      </c>
      <c r="BG75" s="1465">
        <f>BG38-BG41-BG50-BG54</f>
        <v>0</v>
      </c>
      <c r="BH75" s="1523">
        <f>BH38-BH41-BH50-BH54</f>
        <v>0</v>
      </c>
      <c r="BI75" s="1969"/>
      <c r="BJ75" s="1068"/>
      <c r="BK75" s="1465">
        <f>BK38-BK41-BK50-BK54</f>
        <v>0</v>
      </c>
      <c r="BL75" s="1465">
        <f>BL38-BL41-BL50-BL54</f>
        <v>0</v>
      </c>
      <c r="BM75" s="1523">
        <f>BM38-BM41-BM50-BM54</f>
        <v>0</v>
      </c>
      <c r="BN75" s="1969"/>
      <c r="BO75" s="1068"/>
      <c r="BP75" s="1465">
        <f>BP38-BP41-BP50-BP54</f>
        <v>0</v>
      </c>
      <c r="BQ75" s="1465">
        <f>BQ38-BQ41-BQ50-BQ54</f>
        <v>0</v>
      </c>
      <c r="BR75" s="1523">
        <f>BR38-BR41-BR50-BR54</f>
        <v>0</v>
      </c>
      <c r="BS75" s="1969"/>
      <c r="BT75" s="1068"/>
      <c r="BU75" s="1465">
        <f>BU38-BU41-BU50-BU54</f>
        <v>0</v>
      </c>
      <c r="BV75" s="1465">
        <f>BV38-BV41-BV50-BV54</f>
        <v>0</v>
      </c>
      <c r="BW75" s="1523">
        <f>BW38-BW41-BW50-BW54</f>
        <v>0</v>
      </c>
      <c r="BX75" s="1969"/>
      <c r="BY75" s="1068"/>
      <c r="BZ75" s="1465">
        <f>BZ38-BZ41-BZ50-BZ54</f>
        <v>0</v>
      </c>
      <c r="CA75" s="1465">
        <f>CA38-CA41-CA50-CA54</f>
        <v>0</v>
      </c>
      <c r="CB75" s="1523">
        <f>CB38-CB41-CB50-CB54</f>
        <v>0</v>
      </c>
      <c r="CC75" s="1969"/>
      <c r="CD75" s="1068"/>
      <c r="CE75" s="1465">
        <f>CE38-CE41-CE50-CE54</f>
        <v>0</v>
      </c>
      <c r="CF75" s="1465">
        <f>CF38-CF41-CF50-CF54</f>
        <v>0</v>
      </c>
      <c r="CG75" s="1523">
        <f>CG38-CG41-CG50-CG54</f>
        <v>0</v>
      </c>
      <c r="CH75" s="1969"/>
      <c r="CI75" s="1068"/>
      <c r="CJ75" s="1465">
        <f>CJ38-CJ41-CJ50-CJ54</f>
        <v>367267.60400000005</v>
      </c>
      <c r="CK75" s="1465">
        <f>CK38-CK41-CK50-CK54</f>
        <v>-116615.686</v>
      </c>
      <c r="CL75" s="1523">
        <f>CL38-CL41-CL50-CL54</f>
        <v>250651.91800000006</v>
      </c>
      <c r="CM75" s="1969"/>
      <c r="CN75" s="1969"/>
      <c r="CP75" s="3478">
        <f>CP38-CP41-CP50-CP54</f>
        <v>345557.73419999995</v>
      </c>
      <c r="CQ75" s="3478">
        <f>CQ38-CQ41-CQ50-CQ54</f>
        <v>250651.91800000006</v>
      </c>
      <c r="CR75" s="3478">
        <f>CR38-CR41-CR50-CR54</f>
        <v>94905.816199999899</v>
      </c>
      <c r="CT75" s="2644"/>
    </row>
    <row r="76" spans="1:98" s="1411" customFormat="1" ht="13.8" x14ac:dyDescent="0.25">
      <c r="A76" s="1581"/>
      <c r="B76" s="1444" t="s">
        <v>49</v>
      </c>
      <c r="C76" s="2019">
        <f>IFERROR(C75/C5,0)</f>
        <v>0</v>
      </c>
      <c r="D76" s="2019">
        <f>IFERROR(D75/D5,0)</f>
        <v>0</v>
      </c>
      <c r="E76" s="2020">
        <f>IFERROR(E75/E5,0)</f>
        <v>0</v>
      </c>
      <c r="F76" s="2020"/>
      <c r="G76" s="1066"/>
      <c r="H76" s="2019">
        <f>IFERROR(H75/H5,0)</f>
        <v>0</v>
      </c>
      <c r="I76" s="2019">
        <f>IFERROR(I75/I5,0)</f>
        <v>0</v>
      </c>
      <c r="J76" s="2020">
        <f>IFERROR(J75/J5,0)</f>
        <v>0</v>
      </c>
      <c r="K76" s="2020"/>
      <c r="L76" s="1066"/>
      <c r="M76" s="2019">
        <f>IFERROR(M75/M5,0)</f>
        <v>0</v>
      </c>
      <c r="N76" s="2019">
        <f>IFERROR(N75/N5,0)</f>
        <v>0</v>
      </c>
      <c r="O76" s="2020">
        <f>IFERROR(O75/O5,0)</f>
        <v>0</v>
      </c>
      <c r="P76" s="2020"/>
      <c r="Q76" s="1066"/>
      <c r="R76" s="3466"/>
      <c r="S76" s="3466"/>
      <c r="T76" s="3466"/>
      <c r="U76" s="3466"/>
      <c r="V76" s="3466"/>
      <c r="W76" s="3466"/>
      <c r="X76" s="3466"/>
      <c r="Y76" s="3466"/>
      <c r="Z76" s="3466"/>
      <c r="AA76" s="3466"/>
      <c r="AB76" s="2019">
        <f>IFERROR(AB75/AB5,0)</f>
        <v>0</v>
      </c>
      <c r="AC76" s="2019">
        <f>IFERROR(AC75/AC5,0)</f>
        <v>0</v>
      </c>
      <c r="AD76" s="2020">
        <f>IFERROR(AD75/AD5,0)</f>
        <v>0</v>
      </c>
      <c r="AE76" s="2020"/>
      <c r="AF76" s="1066"/>
      <c r="AG76" s="2019">
        <f>IFERROR(AG75/AG5,0)</f>
        <v>0.8357462872183018</v>
      </c>
      <c r="AH76" s="2019">
        <f>IFERROR(AH75/AH5,0)</f>
        <v>0</v>
      </c>
      <c r="AI76" s="2020">
        <f>IFERROR(AI75/AI5,0)</f>
        <v>0.82920126878527545</v>
      </c>
      <c r="AJ76" s="2020"/>
      <c r="AK76" s="1066"/>
      <c r="AL76" s="2019">
        <f>IFERROR(AL75/AL5,0)</f>
        <v>0</v>
      </c>
      <c r="AM76" s="2019">
        <f>IFERROR(AM75/AM5,0)</f>
        <v>0</v>
      </c>
      <c r="AN76" s="2020">
        <f>IFERROR(AN75/AN5,0)</f>
        <v>0</v>
      </c>
      <c r="AO76" s="2020"/>
      <c r="AP76" s="1066"/>
      <c r="AQ76" s="2019">
        <f>IFERROR(AQ75/AQ5,0)</f>
        <v>0</v>
      </c>
      <c r="AR76" s="2019">
        <f>IFERROR(AR75/AR5,0)</f>
        <v>0</v>
      </c>
      <c r="AS76" s="2020">
        <f>IFERROR(AS75/AS5,0)</f>
        <v>0</v>
      </c>
      <c r="AT76" s="2020"/>
      <c r="AU76" s="1066"/>
      <c r="AV76" s="2019">
        <f>IFERROR(AV75/AV5,0)</f>
        <v>0</v>
      </c>
      <c r="AW76" s="2019">
        <f>IFERROR(AW75/AW5,0)</f>
        <v>0</v>
      </c>
      <c r="AX76" s="2020">
        <f>IFERROR(AX75/AX5,0)</f>
        <v>0</v>
      </c>
      <c r="AY76" s="2020"/>
      <c r="AZ76" s="1066"/>
      <c r="BA76" s="2019">
        <f>IFERROR(BA75/BA5,0)</f>
        <v>0</v>
      </c>
      <c r="BB76" s="2019">
        <f>IFERROR(BB75/BB5,0)</f>
        <v>0</v>
      </c>
      <c r="BC76" s="2020">
        <f>IFERROR(BC75/BC5,0)</f>
        <v>0</v>
      </c>
      <c r="BD76" s="2020"/>
      <c r="BE76" s="1066"/>
      <c r="BF76" s="2019">
        <f>IFERROR(BF75/BF5,0)</f>
        <v>0</v>
      </c>
      <c r="BG76" s="2019">
        <f>IFERROR(BG75/BG5,0)</f>
        <v>0</v>
      </c>
      <c r="BH76" s="2020">
        <f>IFERROR(BH75/BH5,0)</f>
        <v>0</v>
      </c>
      <c r="BI76" s="2020"/>
      <c r="BJ76" s="1066"/>
      <c r="BK76" s="2019">
        <f>IFERROR(BK75/BK5,0)</f>
        <v>0</v>
      </c>
      <c r="BL76" s="2019">
        <f>IFERROR(BL75/BL5,0)</f>
        <v>0</v>
      </c>
      <c r="BM76" s="2020">
        <f>IFERROR(BM75/BM5,0)</f>
        <v>0</v>
      </c>
      <c r="BN76" s="2020"/>
      <c r="BO76" s="1066"/>
      <c r="BP76" s="2019">
        <f>IFERROR(BP75/BP5,0)</f>
        <v>0</v>
      </c>
      <c r="BQ76" s="2019">
        <f>IFERROR(BQ75/BQ5,0)</f>
        <v>0</v>
      </c>
      <c r="BR76" s="2020">
        <f>IFERROR(BR75/BR5,0)</f>
        <v>0</v>
      </c>
      <c r="BS76" s="2020"/>
      <c r="BT76" s="1066"/>
      <c r="BU76" s="2019">
        <f>IFERROR(BU75/BU5,0)</f>
        <v>0</v>
      </c>
      <c r="BV76" s="2019">
        <f>IFERROR(BV75/BV5,0)</f>
        <v>0</v>
      </c>
      <c r="BW76" s="2020">
        <f>IFERROR(BW75/BW5,0)</f>
        <v>0</v>
      </c>
      <c r="BX76" s="2020"/>
      <c r="BY76" s="1066"/>
      <c r="BZ76" s="2019">
        <f>IFERROR(BZ75/BZ5,0)</f>
        <v>0</v>
      </c>
      <c r="CA76" s="2019">
        <f>IFERROR(CA75/CA5,0)</f>
        <v>0</v>
      </c>
      <c r="CB76" s="2020">
        <f>IFERROR(CB75/CB5,0)</f>
        <v>0</v>
      </c>
      <c r="CC76" s="2020"/>
      <c r="CD76" s="1066"/>
      <c r="CE76" s="2019">
        <f>IFERROR(CE75/CE5,0)</f>
        <v>0</v>
      </c>
      <c r="CF76" s="2019">
        <f>IFERROR(CF75/CF5,0)</f>
        <v>0</v>
      </c>
      <c r="CG76" s="2020">
        <f>IFERROR(CG75/CG5,0)</f>
        <v>0</v>
      </c>
      <c r="CH76" s="2020"/>
      <c r="CI76" s="1066"/>
      <c r="CJ76" s="2019">
        <f>IFERROR(CJ75/CJ5,0)</f>
        <v>0.53417183067408991</v>
      </c>
      <c r="CK76" s="2019">
        <f>IFERROR(CK75/CK5,0)</f>
        <v>0</v>
      </c>
      <c r="CL76" s="2020">
        <f>IFERROR(CL75/CL5,0)</f>
        <v>0.36456031635186614</v>
      </c>
      <c r="CM76" s="2020"/>
      <c r="CN76" s="2020"/>
      <c r="CP76" s="2020">
        <f>CP75/CP5</f>
        <v>0.4910365178865928</v>
      </c>
      <c r="CQ76" s="2020">
        <f>IFERROR(CQ75/CQ5,0)</f>
        <v>0.36456031635186614</v>
      </c>
      <c r="CR76" s="2020">
        <f>CR75/CR5</f>
        <v>5.8636599096269553</v>
      </c>
      <c r="CT76" s="2644"/>
    </row>
    <row r="77" spans="1:98" s="1411" customFormat="1" ht="14.4" outlineLevel="1" thickBot="1" x14ac:dyDescent="0.3">
      <c r="A77" s="1581"/>
      <c r="B77" s="3975" t="s">
        <v>9</v>
      </c>
      <c r="C77" s="3931">
        <f>C78-C79</f>
        <v>0</v>
      </c>
      <c r="D77" s="3931">
        <f>D78-D79</f>
        <v>0</v>
      </c>
      <c r="E77" s="3932">
        <f>E78-E79</f>
        <v>0</v>
      </c>
      <c r="F77" s="3933"/>
      <c r="G77" s="3976"/>
      <c r="H77" s="3931">
        <f>H78-H79</f>
        <v>0</v>
      </c>
      <c r="I77" s="3931">
        <f>I78-I79</f>
        <v>0</v>
      </c>
      <c r="J77" s="3932">
        <f>J78-J79</f>
        <v>0</v>
      </c>
      <c r="K77" s="3933"/>
      <c r="L77" s="3976"/>
      <c r="M77" s="3931">
        <f>M78-M79</f>
        <v>-2837.7609845013167</v>
      </c>
      <c r="N77" s="3931">
        <f>N78-N79</f>
        <v>0</v>
      </c>
      <c r="O77" s="3932">
        <f>O78-O79</f>
        <v>-2837.7609845013167</v>
      </c>
      <c r="P77" s="3933"/>
      <c r="Q77" s="3976"/>
      <c r="R77" s="3931">
        <f>R78-R79</f>
        <v>-2837.7609845013167</v>
      </c>
      <c r="S77" s="3931">
        <f>S78-S79</f>
        <v>0</v>
      </c>
      <c r="T77" s="3932">
        <f>T78-T79</f>
        <v>-2837.7609845013167</v>
      </c>
      <c r="U77" s="3977"/>
      <c r="V77" s="3977"/>
      <c r="W77" s="3931">
        <f>W78-W79</f>
        <v>-16120.989601674482</v>
      </c>
      <c r="X77" s="3931">
        <f>X78-X79</f>
        <v>0</v>
      </c>
      <c r="Y77" s="3932">
        <f>Y78-Y79</f>
        <v>-16120.989601674482</v>
      </c>
      <c r="Z77" s="3977"/>
      <c r="AA77" s="3977"/>
      <c r="AB77" s="3931">
        <f>AB78-AB79</f>
        <v>-15388.431091347151</v>
      </c>
      <c r="AC77" s="3931">
        <f>AC78-AC79</f>
        <v>0</v>
      </c>
      <c r="AD77" s="3932">
        <f>AD78-AD79</f>
        <v>-15388.431091347151</v>
      </c>
      <c r="AE77" s="3933"/>
      <c r="AF77" s="3976"/>
      <c r="AG77" s="3931">
        <f>AG78-AG79</f>
        <v>-732.55851032733187</v>
      </c>
      <c r="AH77" s="3931">
        <f>AH78-AH79</f>
        <v>0</v>
      </c>
      <c r="AI77" s="3932">
        <f>AI78-AI79</f>
        <v>-732.55851032733187</v>
      </c>
      <c r="AJ77" s="3933"/>
      <c r="AK77" s="3976"/>
      <c r="AL77" s="3931">
        <f>AL78-AL79</f>
        <v>0</v>
      </c>
      <c r="AM77" s="3931">
        <f>AM78-AM79</f>
        <v>0</v>
      </c>
      <c r="AN77" s="3932">
        <f>AN78-AN79</f>
        <v>0</v>
      </c>
      <c r="AO77" s="3933"/>
      <c r="AP77" s="3976"/>
      <c r="AQ77" s="3931">
        <f>AQ78-AQ79</f>
        <v>0</v>
      </c>
      <c r="AR77" s="3931">
        <f>AR78-AR79</f>
        <v>0</v>
      </c>
      <c r="AS77" s="3932">
        <f>AS78-AS79</f>
        <v>0</v>
      </c>
      <c r="AT77" s="3933"/>
      <c r="AU77" s="3976"/>
      <c r="AV77" s="3931">
        <f>AV78-AV79</f>
        <v>0</v>
      </c>
      <c r="AW77" s="3931">
        <f>AW78-AW79</f>
        <v>0</v>
      </c>
      <c r="AX77" s="3932">
        <f>AX78-AX79</f>
        <v>0</v>
      </c>
      <c r="AY77" s="3933"/>
      <c r="AZ77" s="3976"/>
      <c r="BA77" s="3931">
        <f>BA78-BA79</f>
        <v>0</v>
      </c>
      <c r="BB77" s="3931">
        <f>BB78-BB79</f>
        <v>0</v>
      </c>
      <c r="BC77" s="3932">
        <f>BC78-BC79</f>
        <v>0</v>
      </c>
      <c r="BD77" s="3933"/>
      <c r="BE77" s="3976"/>
      <c r="BF77" s="3931">
        <f>BF78-BF79</f>
        <v>0</v>
      </c>
      <c r="BG77" s="3931">
        <f>BG78-BG79</f>
        <v>0</v>
      </c>
      <c r="BH77" s="3932">
        <f>BH78-BH79</f>
        <v>0</v>
      </c>
      <c r="BI77" s="3933"/>
      <c r="BJ77" s="3976"/>
      <c r="BK77" s="3931">
        <f>BK78-BK79</f>
        <v>0</v>
      </c>
      <c r="BL77" s="3931">
        <f>BL78-BL79</f>
        <v>0</v>
      </c>
      <c r="BM77" s="3932">
        <f>BM78-BM79</f>
        <v>0</v>
      </c>
      <c r="BN77" s="3933"/>
      <c r="BO77" s="3976"/>
      <c r="BP77" s="3931">
        <f>BP78-BP79</f>
        <v>0</v>
      </c>
      <c r="BQ77" s="3931">
        <f>BQ78-BQ79</f>
        <v>0</v>
      </c>
      <c r="BR77" s="3932">
        <f>BR78-BR79</f>
        <v>0</v>
      </c>
      <c r="BS77" s="3933"/>
      <c r="BT77" s="3976"/>
      <c r="BU77" s="3931">
        <f>BU78-BU79</f>
        <v>0</v>
      </c>
      <c r="BV77" s="3931">
        <f>BV78-BV79</f>
        <v>0</v>
      </c>
      <c r="BW77" s="3932">
        <f>BW78-BW79</f>
        <v>0</v>
      </c>
      <c r="BX77" s="3933"/>
      <c r="BY77" s="3976"/>
      <c r="BZ77" s="3931">
        <f>BZ78-BZ79</f>
        <v>0</v>
      </c>
      <c r="CA77" s="3931">
        <f>CA78-CA79</f>
        <v>0</v>
      </c>
      <c r="CB77" s="3932">
        <f>CB78-CB79</f>
        <v>0</v>
      </c>
      <c r="CC77" s="3933"/>
      <c r="CD77" s="3976"/>
      <c r="CE77" s="3931">
        <f>CE78-CE79</f>
        <v>0</v>
      </c>
      <c r="CF77" s="3931">
        <f>CF78-CF79</f>
        <v>0</v>
      </c>
      <c r="CG77" s="3932">
        <f>CG78-CG79</f>
        <v>0</v>
      </c>
      <c r="CH77" s="3933"/>
      <c r="CI77" s="3976"/>
      <c r="CJ77" s="3931">
        <f>CJ78-CJ79</f>
        <v>-18958.7505861758</v>
      </c>
      <c r="CK77" s="3931">
        <f>CK78-CK79</f>
        <v>0</v>
      </c>
      <c r="CL77" s="3932">
        <f>CL78-CL79</f>
        <v>-18958.7505861758</v>
      </c>
      <c r="CM77" s="3933"/>
      <c r="CN77" s="3933"/>
      <c r="CP77" s="3932">
        <f>CP78-CP79</f>
        <v>0</v>
      </c>
      <c r="CQ77" s="3932">
        <f>CQ78-CQ79</f>
        <v>-18958.7505861758</v>
      </c>
      <c r="CR77" s="3932"/>
      <c r="CT77" s="2644"/>
    </row>
    <row r="78" spans="1:98" s="1411" customFormat="1" ht="13.8" outlineLevel="2" x14ac:dyDescent="0.25">
      <c r="A78" s="1420"/>
      <c r="B78" s="1415" t="s">
        <v>43</v>
      </c>
      <c r="C78" s="3274"/>
      <c r="D78" s="3274"/>
      <c r="E78" s="3333">
        <f>C78+D78*1.15</f>
        <v>0</v>
      </c>
      <c r="F78" s="3333"/>
      <c r="G78" s="3480"/>
      <c r="H78" s="3274"/>
      <c r="I78" s="3274"/>
      <c r="J78" s="3333">
        <f>H78+I78*1.15</f>
        <v>0</v>
      </c>
      <c r="K78" s="3945" t="e">
        <f t="shared" ref="K78:K79" si="208">J78/J$89</f>
        <v>#DIV/0!</v>
      </c>
      <c r="L78" s="3480"/>
      <c r="M78" s="3274"/>
      <c r="N78" s="3274"/>
      <c r="O78" s="3333">
        <f>M78+N78*1.15</f>
        <v>0</v>
      </c>
      <c r="P78" s="3945">
        <f t="shared" ref="P78:P79" si="209">O78/O$89</f>
        <v>0</v>
      </c>
      <c r="Q78" s="3480"/>
      <c r="R78" s="3275">
        <f t="shared" ref="R78:S79" si="210">M78+H78+C78</f>
        <v>0</v>
      </c>
      <c r="S78" s="3275">
        <f t="shared" si="210"/>
        <v>0</v>
      </c>
      <c r="T78" s="2028">
        <f t="shared" ref="T78:T79" si="211">R78+S78</f>
        <v>0</v>
      </c>
      <c r="U78" s="3481"/>
      <c r="V78" s="3481"/>
      <c r="W78" s="3275">
        <f t="shared" ref="W78:X79" si="212">AB78+AG78+AL78+AV78+BA78+BF78+BK78+BP78+BU78+BZ78+CE78+AQ78</f>
        <v>0</v>
      </c>
      <c r="X78" s="3275">
        <f t="shared" si="212"/>
        <v>0</v>
      </c>
      <c r="Y78" s="2028">
        <f t="shared" ref="Y78:Y79" si="213">W78+X78</f>
        <v>0</v>
      </c>
      <c r="Z78" s="3481"/>
      <c r="AA78" s="3481"/>
      <c r="AB78" s="3274"/>
      <c r="AC78" s="3274"/>
      <c r="AD78" s="3333">
        <f>AB78+AC78*1.15</f>
        <v>0</v>
      </c>
      <c r="AE78" s="3333"/>
      <c r="AF78" s="3480"/>
      <c r="AG78" s="3274"/>
      <c r="AH78" s="3274"/>
      <c r="AI78" s="3333">
        <f>AG78+AH78*1.15</f>
        <v>0</v>
      </c>
      <c r="AJ78" s="3333"/>
      <c r="AK78" s="3480"/>
      <c r="AL78" s="3274"/>
      <c r="AM78" s="3274"/>
      <c r="AN78" s="3333">
        <f>AL78+AM78*1.15</f>
        <v>0</v>
      </c>
      <c r="AO78" s="3333"/>
      <c r="AP78" s="3480"/>
      <c r="AQ78" s="3274"/>
      <c r="AR78" s="3274"/>
      <c r="AS78" s="3333">
        <f>AQ78+AR78*1.15</f>
        <v>0</v>
      </c>
      <c r="AT78" s="3333"/>
      <c r="AU78" s="3480"/>
      <c r="AV78" s="3274"/>
      <c r="AW78" s="3274"/>
      <c r="AX78" s="3333">
        <f>AV78+AW78*1.15</f>
        <v>0</v>
      </c>
      <c r="AY78" s="3333"/>
      <c r="AZ78" s="3480"/>
      <c r="BA78" s="3274"/>
      <c r="BB78" s="3274"/>
      <c r="BC78" s="3333">
        <f>BA78+BB78*1.15</f>
        <v>0</v>
      </c>
      <c r="BD78" s="3333"/>
      <c r="BE78" s="3480"/>
      <c r="BF78" s="3274"/>
      <c r="BG78" s="3274"/>
      <c r="BH78" s="3333">
        <f>BF78+BG78*1.15</f>
        <v>0</v>
      </c>
      <c r="BI78" s="3333"/>
      <c r="BJ78" s="3480"/>
      <c r="BK78" s="3274"/>
      <c r="BL78" s="3274"/>
      <c r="BM78" s="3333">
        <f>BK78+BL78*1.15</f>
        <v>0</v>
      </c>
      <c r="BN78" s="3333"/>
      <c r="BO78" s="3480"/>
      <c r="BP78" s="3274"/>
      <c r="BQ78" s="3274"/>
      <c r="BR78" s="3333">
        <f>BP78+BQ78*1.15</f>
        <v>0</v>
      </c>
      <c r="BS78" s="3333"/>
      <c r="BT78" s="3480"/>
      <c r="BU78" s="3274"/>
      <c r="BV78" s="3274"/>
      <c r="BW78" s="3333">
        <f>BU78+BV78*1.15</f>
        <v>0</v>
      </c>
      <c r="BX78" s="3333"/>
      <c r="BY78" s="3480"/>
      <c r="BZ78" s="3274"/>
      <c r="CA78" s="3274"/>
      <c r="CB78" s="3333">
        <f>BZ78+CA78*1.15</f>
        <v>0</v>
      </c>
      <c r="CC78" s="3333"/>
      <c r="CD78" s="3480"/>
      <c r="CE78" s="3274"/>
      <c r="CF78" s="3274"/>
      <c r="CG78" s="3333">
        <f>CE78+CF78*1.15</f>
        <v>0</v>
      </c>
      <c r="CH78" s="3333"/>
      <c r="CI78" s="3480"/>
      <c r="CJ78" s="3274">
        <f t="shared" ref="CJ78:CK79" si="214">C78+H78+M78+W78</f>
        <v>0</v>
      </c>
      <c r="CK78" s="3274">
        <f t="shared" si="214"/>
        <v>0</v>
      </c>
      <c r="CL78" s="3333">
        <f>CJ78+CK78*1.15</f>
        <v>0</v>
      </c>
      <c r="CM78" s="3333"/>
      <c r="CN78" s="3333"/>
      <c r="CP78" s="3482"/>
      <c r="CQ78" s="3482">
        <f>CO78+CP78*1.15</f>
        <v>0</v>
      </c>
      <c r="CR78" s="3991"/>
      <c r="CT78" s="2644"/>
    </row>
    <row r="79" spans="1:98" s="1411" customFormat="1" ht="13.8" outlineLevel="2" x14ac:dyDescent="0.25">
      <c r="A79" s="1420"/>
      <c r="B79" s="4008" t="s">
        <v>79</v>
      </c>
      <c r="C79" s="3274">
        <v>0</v>
      </c>
      <c r="D79" s="3274"/>
      <c r="E79" s="2028">
        <f>C79+D79</f>
        <v>0</v>
      </c>
      <c r="F79" s="4001"/>
      <c r="G79" s="4000"/>
      <c r="H79" s="3274">
        <v>0</v>
      </c>
      <c r="I79" s="3274"/>
      <c r="J79" s="2028">
        <f>H79+I79</f>
        <v>0</v>
      </c>
      <c r="K79" s="3945" t="e">
        <f t="shared" si="208"/>
        <v>#DIV/0!</v>
      </c>
      <c r="L79" s="4000"/>
      <c r="M79" s="3274">
        <v>2837.7609845013167</v>
      </c>
      <c r="N79" s="3274"/>
      <c r="O79" s="2028">
        <f>M79+N79</f>
        <v>2837.7609845013167</v>
      </c>
      <c r="P79" s="3945">
        <f t="shared" si="209"/>
        <v>0.13893865266698671</v>
      </c>
      <c r="Q79" s="4000"/>
      <c r="R79" s="3275">
        <f t="shared" si="210"/>
        <v>2837.7609845013167</v>
      </c>
      <c r="S79" s="3275">
        <f t="shared" si="210"/>
        <v>0</v>
      </c>
      <c r="T79" s="2028">
        <f t="shared" si="211"/>
        <v>2837.7609845013167</v>
      </c>
      <c r="U79" s="3462"/>
      <c r="V79" s="3462"/>
      <c r="W79" s="3275">
        <f t="shared" si="212"/>
        <v>16120.989601674482</v>
      </c>
      <c r="X79" s="3275">
        <f t="shared" si="212"/>
        <v>0</v>
      </c>
      <c r="Y79" s="2028">
        <f t="shared" si="213"/>
        <v>16120.989601674482</v>
      </c>
      <c r="Z79" s="3462"/>
      <c r="AA79" s="3462"/>
      <c r="AB79" s="3274">
        <v>15388.431091347151</v>
      </c>
      <c r="AC79" s="3274"/>
      <c r="AD79" s="2028">
        <f>AB79+AC79</f>
        <v>15388.431091347151</v>
      </c>
      <c r="AE79" s="4001"/>
      <c r="AF79" s="4000"/>
      <c r="AG79" s="3274">
        <v>732.55851032733187</v>
      </c>
      <c r="AH79" s="3274"/>
      <c r="AI79" s="2028">
        <f>AG79+AH79</f>
        <v>732.55851032733187</v>
      </c>
      <c r="AJ79" s="4001"/>
      <c r="AK79" s="4000"/>
      <c r="AL79" s="3274">
        <v>0</v>
      </c>
      <c r="AM79" s="3274"/>
      <c r="AN79" s="2028">
        <f>AL79+AM79</f>
        <v>0</v>
      </c>
      <c r="AO79" s="4001"/>
      <c r="AP79" s="4000"/>
      <c r="AQ79" s="3274">
        <v>0</v>
      </c>
      <c r="AR79" s="3274"/>
      <c r="AS79" s="2028">
        <f>AQ79+AR79</f>
        <v>0</v>
      </c>
      <c r="AT79" s="4001"/>
      <c r="AU79" s="4000"/>
      <c r="AV79" s="3274">
        <v>0</v>
      </c>
      <c r="AW79" s="3274"/>
      <c r="AX79" s="2028">
        <f>AV79+AW79</f>
        <v>0</v>
      </c>
      <c r="AY79" s="4001"/>
      <c r="AZ79" s="4000"/>
      <c r="BA79" s="3274">
        <v>0</v>
      </c>
      <c r="BB79" s="3274"/>
      <c r="BC79" s="2028">
        <f>BA79+BB79</f>
        <v>0</v>
      </c>
      <c r="BD79" s="4001"/>
      <c r="BE79" s="4000"/>
      <c r="BF79" s="3274">
        <v>0</v>
      </c>
      <c r="BG79" s="3274"/>
      <c r="BH79" s="2028">
        <f>BF79+BG79</f>
        <v>0</v>
      </c>
      <c r="BI79" s="4001"/>
      <c r="BJ79" s="4000"/>
      <c r="BK79" s="3274"/>
      <c r="BL79" s="3274"/>
      <c r="BM79" s="2028">
        <f>BK79+BL79</f>
        <v>0</v>
      </c>
      <c r="BN79" s="4001"/>
      <c r="BO79" s="4000"/>
      <c r="BP79" s="3274">
        <v>0</v>
      </c>
      <c r="BQ79" s="3274"/>
      <c r="BR79" s="2028">
        <f>BP79+BQ79</f>
        <v>0</v>
      </c>
      <c r="BS79" s="4001"/>
      <c r="BT79" s="4000"/>
      <c r="BU79" s="3274">
        <v>0</v>
      </c>
      <c r="BV79" s="3274"/>
      <c r="BW79" s="2028">
        <f>BU79+BV79</f>
        <v>0</v>
      </c>
      <c r="BX79" s="4001"/>
      <c r="BY79" s="4000"/>
      <c r="BZ79" s="3274">
        <v>0</v>
      </c>
      <c r="CA79" s="3274"/>
      <c r="CB79" s="2028">
        <f>BZ79+CA79</f>
        <v>0</v>
      </c>
      <c r="CC79" s="4001"/>
      <c r="CD79" s="4000"/>
      <c r="CE79" s="3274">
        <v>0</v>
      </c>
      <c r="CF79" s="3274"/>
      <c r="CG79" s="2028">
        <f>CE79+CF79</f>
        <v>0</v>
      </c>
      <c r="CH79" s="4001"/>
      <c r="CI79" s="4000"/>
      <c r="CJ79" s="3274">
        <f t="shared" si="214"/>
        <v>18958.7505861758</v>
      </c>
      <c r="CK79" s="3274">
        <f t="shared" si="214"/>
        <v>0</v>
      </c>
      <c r="CL79" s="2028">
        <f t="shared" ref="CL79" si="215">CJ79+CK79*1</f>
        <v>18958.7505861758</v>
      </c>
      <c r="CM79" s="4001"/>
      <c r="CN79" s="4001"/>
      <c r="CP79" s="2028"/>
      <c r="CQ79" s="2028">
        <f>CJ79</f>
        <v>18958.7505861758</v>
      </c>
      <c r="CR79" s="3991">
        <f t="shared" ref="CR79" si="216">CP79-CQ79</f>
        <v>-18958.7505861758</v>
      </c>
      <c r="CT79" s="2644"/>
    </row>
    <row r="80" spans="1:98" ht="13.8" outlineLevel="2" x14ac:dyDescent="0.25">
      <c r="A80" s="1412"/>
      <c r="B80" s="4007"/>
      <c r="C80" s="3274"/>
      <c r="D80" s="3274"/>
      <c r="E80" s="4009"/>
      <c r="F80" s="4009"/>
      <c r="G80" s="4010"/>
      <c r="H80" s="3274"/>
      <c r="I80" s="3274"/>
      <c r="J80" s="4009"/>
      <c r="K80" s="4009"/>
      <c r="L80" s="4010"/>
      <c r="M80" s="3274"/>
      <c r="N80" s="3274"/>
      <c r="O80" s="4009"/>
      <c r="P80" s="4009"/>
      <c r="Q80" s="4010"/>
      <c r="R80" s="3455"/>
      <c r="S80" s="3455"/>
      <c r="T80" s="3455"/>
      <c r="U80" s="3455"/>
      <c r="V80" s="3455"/>
      <c r="W80" s="3455"/>
      <c r="X80" s="3455"/>
      <c r="Y80" s="3455"/>
      <c r="Z80" s="3455"/>
      <c r="AA80" s="3455"/>
      <c r="AB80" s="3274"/>
      <c r="AC80" s="3274"/>
      <c r="AD80" s="4009"/>
      <c r="AE80" s="4009"/>
      <c r="AF80" s="4010"/>
      <c r="AG80" s="3274"/>
      <c r="AH80" s="3274"/>
      <c r="AI80" s="4009"/>
      <c r="AJ80" s="4009"/>
      <c r="AK80" s="4010"/>
      <c r="AL80" s="3274"/>
      <c r="AM80" s="3274"/>
      <c r="AN80" s="4009"/>
      <c r="AO80" s="4009"/>
      <c r="AP80" s="4010"/>
      <c r="AQ80" s="3274"/>
      <c r="AR80" s="3274"/>
      <c r="AS80" s="4009"/>
      <c r="AT80" s="4009"/>
      <c r="AU80" s="4010"/>
      <c r="AV80" s="3274"/>
      <c r="AW80" s="3274"/>
      <c r="AX80" s="4009"/>
      <c r="AY80" s="4009"/>
      <c r="AZ80" s="4010"/>
      <c r="BA80" s="3274"/>
      <c r="BB80" s="3274"/>
      <c r="BC80" s="4009"/>
      <c r="BD80" s="4009"/>
      <c r="BE80" s="4010"/>
      <c r="BF80" s="3274"/>
      <c r="BG80" s="3274"/>
      <c r="BH80" s="4009"/>
      <c r="BI80" s="4009"/>
      <c r="BJ80" s="4010"/>
      <c r="BK80" s="3274"/>
      <c r="BL80" s="3274"/>
      <c r="BM80" s="4009"/>
      <c r="BN80" s="4009"/>
      <c r="BO80" s="4010"/>
      <c r="BP80" s="3274"/>
      <c r="BQ80" s="3274"/>
      <c r="BR80" s="4009"/>
      <c r="BS80" s="4009"/>
      <c r="BT80" s="4010"/>
      <c r="BU80" s="3274"/>
      <c r="BV80" s="3274"/>
      <c r="BW80" s="4009"/>
      <c r="BX80" s="4009"/>
      <c r="BY80" s="4010"/>
      <c r="BZ80" s="3274"/>
      <c r="CA80" s="3274"/>
      <c r="CB80" s="4009"/>
      <c r="CC80" s="4009"/>
      <c r="CD80" s="4010"/>
      <c r="CE80" s="3274"/>
      <c r="CF80" s="3274"/>
      <c r="CG80" s="4009"/>
      <c r="CH80" s="4009"/>
      <c r="CI80" s="4010"/>
      <c r="CJ80" s="3274">
        <f>C80+H80+M80</f>
        <v>0</v>
      </c>
      <c r="CK80" s="3274">
        <f>D80+I80+N80</f>
        <v>0</v>
      </c>
      <c r="CL80" s="4009"/>
      <c r="CM80" s="4009"/>
      <c r="CN80" s="4009"/>
      <c r="CP80" s="3978"/>
      <c r="CQ80" s="3978"/>
      <c r="CR80" s="3991"/>
    </row>
    <row r="81" spans="1:101" s="1411" customFormat="1" ht="14.4" outlineLevel="1" thickBot="1" x14ac:dyDescent="0.3">
      <c r="A81" s="1434"/>
      <c r="B81" s="3975" t="s">
        <v>12</v>
      </c>
      <c r="C81" s="3931">
        <f>(C75+C78)-C79</f>
        <v>0</v>
      </c>
      <c r="D81" s="3931">
        <f>(D75+D78)-D79</f>
        <v>0</v>
      </c>
      <c r="E81" s="3932">
        <f>(E75+E78)-E79</f>
        <v>0</v>
      </c>
      <c r="F81" s="3933"/>
      <c r="G81" s="3976"/>
      <c r="H81" s="3931">
        <f>(H75+H78)-H79</f>
        <v>0</v>
      </c>
      <c r="I81" s="3931">
        <f>(I75+I78)-I79</f>
        <v>0</v>
      </c>
      <c r="J81" s="3932">
        <f>(J75+J78)-J79</f>
        <v>0</v>
      </c>
      <c r="K81" s="3933"/>
      <c r="L81" s="3976"/>
      <c r="M81" s="3931">
        <f>(M75+M78)-M79</f>
        <v>-2837.7609845013167</v>
      </c>
      <c r="N81" s="3931">
        <f>(N75+N78)-N79</f>
        <v>-17586.8</v>
      </c>
      <c r="O81" s="3932">
        <f>(O75+O78)-O79</f>
        <v>-20424.560984501317</v>
      </c>
      <c r="P81" s="3933"/>
      <c r="Q81" s="3976"/>
      <c r="R81" s="3931">
        <f>(R75+R78)-R79</f>
        <v>-2837.7609845013167</v>
      </c>
      <c r="S81" s="3931">
        <f>(S75+S78)-S79</f>
        <v>-17586.8</v>
      </c>
      <c r="T81" s="3932">
        <f>(T75+T78)-T79</f>
        <v>-20424.560984501317</v>
      </c>
      <c r="U81" s="3977"/>
      <c r="V81" s="3977"/>
      <c r="W81" s="3931">
        <f>(W75+W78)-W79</f>
        <v>341188.62439832557</v>
      </c>
      <c r="X81" s="3931">
        <f>(X75+X78)-X79</f>
        <v>-99028.885999999999</v>
      </c>
      <c r="Y81" s="3932">
        <f>(Y75+Y78)-Y79</f>
        <v>242159.73839832551</v>
      </c>
      <c r="Z81" s="3977"/>
      <c r="AA81" s="3977"/>
      <c r="AB81" s="3931">
        <f>(AB75+AB78)-AB79</f>
        <v>-232692.67509134719</v>
      </c>
      <c r="AC81" s="3931">
        <f>(AC75+AC78)-AC79</f>
        <v>-94528.885999999999</v>
      </c>
      <c r="AD81" s="3932">
        <f>(AD75+AD78)-AD79</f>
        <v>-327221.56109134713</v>
      </c>
      <c r="AE81" s="3933"/>
      <c r="AF81" s="3976"/>
      <c r="AG81" s="3931">
        <f>(AG75+AG78)-AG79</f>
        <v>573881.29948967264</v>
      </c>
      <c r="AH81" s="3931">
        <f>(AH75+AH78)-AH79</f>
        <v>-4500</v>
      </c>
      <c r="AI81" s="3932">
        <f>(AI75+AI78)-AI79</f>
        <v>569381.29948967264</v>
      </c>
      <c r="AJ81" s="3933"/>
      <c r="AK81" s="3976"/>
      <c r="AL81" s="3931">
        <f>(AL75+AL78)-AL79</f>
        <v>0</v>
      </c>
      <c r="AM81" s="3931">
        <f>(AM75+AM78)-AM79</f>
        <v>0</v>
      </c>
      <c r="AN81" s="3932">
        <f>(AN75+AN78)-AN79</f>
        <v>0</v>
      </c>
      <c r="AO81" s="3933"/>
      <c r="AP81" s="3976"/>
      <c r="AQ81" s="3931">
        <f>(AQ75+AQ78)-AQ79</f>
        <v>0</v>
      </c>
      <c r="AR81" s="3931">
        <f>(AR75+AR78)-AR79</f>
        <v>0</v>
      </c>
      <c r="AS81" s="3932">
        <f>(AS75+AS78)-AS79</f>
        <v>0</v>
      </c>
      <c r="AT81" s="3933"/>
      <c r="AU81" s="3976"/>
      <c r="AV81" s="3931">
        <f>(AV75+AV78)-AV79</f>
        <v>0</v>
      </c>
      <c r="AW81" s="3931">
        <f>(AW75+AW78)-AW79</f>
        <v>0</v>
      </c>
      <c r="AX81" s="3932">
        <f>(AX75+AX78)-AX79</f>
        <v>0</v>
      </c>
      <c r="AY81" s="3933"/>
      <c r="AZ81" s="3976"/>
      <c r="BA81" s="3931">
        <f>(BA75+BA78)-BA79</f>
        <v>0</v>
      </c>
      <c r="BB81" s="3931">
        <f>(BB75+BB78)-BB79</f>
        <v>0</v>
      </c>
      <c r="BC81" s="3932">
        <f>(BC75+BC78)-BC79</f>
        <v>0</v>
      </c>
      <c r="BD81" s="3933"/>
      <c r="BE81" s="3976"/>
      <c r="BF81" s="3931">
        <f>(BF75+BF78)-BF79</f>
        <v>0</v>
      </c>
      <c r="BG81" s="3931">
        <f>(BG75+BG78)-BG79</f>
        <v>0</v>
      </c>
      <c r="BH81" s="3932">
        <f>(BH75+BH78)-BH79</f>
        <v>0</v>
      </c>
      <c r="BI81" s="3933"/>
      <c r="BJ81" s="3976"/>
      <c r="BK81" s="3931">
        <f>(BK75+BK78)-BK79</f>
        <v>0</v>
      </c>
      <c r="BL81" s="3931">
        <f>(BL75+BL78)-BL79</f>
        <v>0</v>
      </c>
      <c r="BM81" s="3932">
        <f>(BM75+BM78)-BM79</f>
        <v>0</v>
      </c>
      <c r="BN81" s="3933"/>
      <c r="BO81" s="3976"/>
      <c r="BP81" s="3931">
        <f>(BP75+BP78)-BP79</f>
        <v>0</v>
      </c>
      <c r="BQ81" s="3931">
        <f>(BQ75+BQ78)-BQ79</f>
        <v>0</v>
      </c>
      <c r="BR81" s="3932">
        <f>(BR75+BR78)-BR79</f>
        <v>0</v>
      </c>
      <c r="BS81" s="3933"/>
      <c r="BT81" s="3976"/>
      <c r="BU81" s="3931">
        <f>(BU75+BU78)-BU79</f>
        <v>0</v>
      </c>
      <c r="BV81" s="3931">
        <f>(BV75+BV78)-BV79</f>
        <v>0</v>
      </c>
      <c r="BW81" s="3932">
        <f>(BW75+BW78)-BW79</f>
        <v>0</v>
      </c>
      <c r="BX81" s="3933"/>
      <c r="BY81" s="3976"/>
      <c r="BZ81" s="3931">
        <f>(BZ75+BZ78)-BZ79</f>
        <v>0</v>
      </c>
      <c r="CA81" s="3931">
        <f>(CA75+CA78)-CA79</f>
        <v>0</v>
      </c>
      <c r="CB81" s="3932">
        <f>(CB75+CB78)-CB79</f>
        <v>0</v>
      </c>
      <c r="CC81" s="3933"/>
      <c r="CD81" s="3976"/>
      <c r="CE81" s="3931">
        <f>(CE75+CE78)-CE79</f>
        <v>0</v>
      </c>
      <c r="CF81" s="3931">
        <f>(CF75+CF78)-CF79</f>
        <v>0</v>
      </c>
      <c r="CG81" s="3932">
        <f>(CG75+CG78)-CG79</f>
        <v>0</v>
      </c>
      <c r="CH81" s="3933"/>
      <c r="CI81" s="3976"/>
      <c r="CJ81" s="3931">
        <f>(CJ75+CJ78)-CJ79</f>
        <v>348308.85341382422</v>
      </c>
      <c r="CK81" s="3931">
        <f>(CK75+CK78)-CK79</f>
        <v>-116615.686</v>
      </c>
      <c r="CL81" s="3932">
        <f>(CL75+CL78)-CL79</f>
        <v>231693.16741382427</v>
      </c>
      <c r="CM81" s="3933"/>
      <c r="CN81" s="3933"/>
      <c r="CP81" s="3932">
        <f>(CP75+CP78)-CP79</f>
        <v>345557.73419999995</v>
      </c>
      <c r="CQ81" s="3979">
        <f>(CQ75+CQ78)-CQ79</f>
        <v>231693.16741382427</v>
      </c>
      <c r="CR81" s="3932">
        <f>(CR75+CR78)-CR79</f>
        <v>113864.5667861757</v>
      </c>
      <c r="CT81" s="2644"/>
    </row>
    <row r="82" spans="1:101" s="1411" customFormat="1" ht="13.8" outlineLevel="2" x14ac:dyDescent="0.25">
      <c r="A82" s="1580"/>
      <c r="B82" s="1415" t="s">
        <v>38</v>
      </c>
      <c r="C82" s="3274"/>
      <c r="D82" s="3274"/>
      <c r="E82" s="3332">
        <f>C82+D82</f>
        <v>0</v>
      </c>
      <c r="F82" s="3321"/>
      <c r="G82" s="3462"/>
      <c r="H82" s="3274"/>
      <c r="I82" s="3274"/>
      <c r="J82" s="3332">
        <f>H82+I82</f>
        <v>0</v>
      </c>
      <c r="K82" s="3945" t="e">
        <f t="shared" ref="K82" si="217">J82/J$89</f>
        <v>#DIV/0!</v>
      </c>
      <c r="L82" s="3462"/>
      <c r="M82" s="3274"/>
      <c r="N82" s="3274"/>
      <c r="O82" s="3332">
        <f>M82+N82</f>
        <v>0</v>
      </c>
      <c r="P82" s="3945">
        <f t="shared" ref="P82" si="218">O82/O$89</f>
        <v>0</v>
      </c>
      <c r="Q82" s="3462"/>
      <c r="R82" s="3275">
        <f t="shared" ref="R82:S82" si="219">M82+H82+C82</f>
        <v>0</v>
      </c>
      <c r="S82" s="3275">
        <f t="shared" si="219"/>
        <v>0</v>
      </c>
      <c r="T82" s="2028">
        <f t="shared" ref="T82" si="220">R82+S82</f>
        <v>0</v>
      </c>
      <c r="U82" s="3462"/>
      <c r="V82" s="3462"/>
      <c r="W82" s="3275">
        <f t="shared" ref="W82:X82" si="221">AB82+AG82+AL82+AV82+BA82+BF82+BK82+BP82+BU82+BZ82+CE82+AQ82</f>
        <v>0</v>
      </c>
      <c r="X82" s="3275">
        <f t="shared" si="221"/>
        <v>0</v>
      </c>
      <c r="Y82" s="2028">
        <f t="shared" ref="Y82" si="222">W82+X82</f>
        <v>0</v>
      </c>
      <c r="Z82" s="3462"/>
      <c r="AA82" s="3462"/>
      <c r="AB82" s="3274"/>
      <c r="AC82" s="3274"/>
      <c r="AD82" s="3332">
        <f>AB82+AC82</f>
        <v>0</v>
      </c>
      <c r="AE82" s="3321"/>
      <c r="AF82" s="3462"/>
      <c r="AG82" s="3274"/>
      <c r="AH82" s="3274"/>
      <c r="AI82" s="3332">
        <f>AG82+AH82</f>
        <v>0</v>
      </c>
      <c r="AJ82" s="3321"/>
      <c r="AK82" s="3462"/>
      <c r="AL82" s="3274"/>
      <c r="AM82" s="3274"/>
      <c r="AN82" s="3332">
        <f>AL82+AM82</f>
        <v>0</v>
      </c>
      <c r="AO82" s="3321"/>
      <c r="AP82" s="3462"/>
      <c r="AQ82" s="3274"/>
      <c r="AR82" s="3274"/>
      <c r="AS82" s="3332">
        <f>AQ82+AR82</f>
        <v>0</v>
      </c>
      <c r="AT82" s="3321"/>
      <c r="AU82" s="3462"/>
      <c r="AV82" s="3274"/>
      <c r="AW82" s="3274"/>
      <c r="AX82" s="3332">
        <f>AV82+AW82</f>
        <v>0</v>
      </c>
      <c r="AY82" s="3321"/>
      <c r="AZ82" s="3462"/>
      <c r="BA82" s="3274"/>
      <c r="BB82" s="3274"/>
      <c r="BC82" s="3332">
        <f>BA82+BB82</f>
        <v>0</v>
      </c>
      <c r="BD82" s="3321"/>
      <c r="BE82" s="3462"/>
      <c r="BF82" s="3274"/>
      <c r="BG82" s="3274"/>
      <c r="BH82" s="3332">
        <f>BF82+BG82</f>
        <v>0</v>
      </c>
      <c r="BI82" s="3321"/>
      <c r="BJ82" s="3462"/>
      <c r="BK82" s="3274"/>
      <c r="BL82" s="3274"/>
      <c r="BM82" s="3332">
        <f>BK82+BL82</f>
        <v>0</v>
      </c>
      <c r="BN82" s="3321"/>
      <c r="BO82" s="3462"/>
      <c r="BP82" s="3274"/>
      <c r="BQ82" s="3274"/>
      <c r="BR82" s="3332">
        <f>BP82+BQ82</f>
        <v>0</v>
      </c>
      <c r="BS82" s="3321"/>
      <c r="BT82" s="3462"/>
      <c r="BU82" s="3274"/>
      <c r="BV82" s="3274"/>
      <c r="BW82" s="3332">
        <f>BU82+BV82</f>
        <v>0</v>
      </c>
      <c r="BX82" s="3321"/>
      <c r="BY82" s="3462"/>
      <c r="BZ82" s="3274"/>
      <c r="CA82" s="3274"/>
      <c r="CB82" s="3332">
        <f>BZ82+CA82</f>
        <v>0</v>
      </c>
      <c r="CC82" s="3321"/>
      <c r="CD82" s="3462"/>
      <c r="CE82" s="3274"/>
      <c r="CF82" s="3274"/>
      <c r="CG82" s="3332">
        <f>CE82+CF82</f>
        <v>0</v>
      </c>
      <c r="CH82" s="3321"/>
      <c r="CI82" s="3462"/>
      <c r="CJ82" s="3274"/>
      <c r="CK82" s="3274"/>
      <c r="CL82" s="3332">
        <f>CJ82+CK82</f>
        <v>0</v>
      </c>
      <c r="CM82" s="3321"/>
      <c r="CN82" s="3321"/>
      <c r="CP82" s="3366">
        <f>CN82+CO82</f>
        <v>0</v>
      </c>
      <c r="CQ82" s="3366">
        <f>CO82+CP82</f>
        <v>0</v>
      </c>
      <c r="CR82" s="3366"/>
      <c r="CT82" s="2644"/>
    </row>
    <row r="83" spans="1:101" s="1411" customFormat="1" ht="13.8" outlineLevel="1" x14ac:dyDescent="0.25">
      <c r="A83" s="1420"/>
      <c r="B83" s="4011" t="s">
        <v>13</v>
      </c>
      <c r="C83" s="4012">
        <f>(C81+C7)-C36</f>
        <v>0</v>
      </c>
      <c r="D83" s="4012">
        <f>(D81+D7)-D36</f>
        <v>0</v>
      </c>
      <c r="E83" s="3934">
        <f>(E81+E7)-E36</f>
        <v>0</v>
      </c>
      <c r="F83" s="3935"/>
      <c r="G83" s="3980"/>
      <c r="H83" s="4012">
        <f>(H81+H7)-H36</f>
        <v>0</v>
      </c>
      <c r="I83" s="4012">
        <f>(I81+I7)-I36</f>
        <v>0</v>
      </c>
      <c r="J83" s="3934">
        <f>(J81+J7)-J36</f>
        <v>0</v>
      </c>
      <c r="K83" s="3935"/>
      <c r="L83" s="3980"/>
      <c r="M83" s="4012">
        <f>(M81+M7)-M36</f>
        <v>-2837.7609845013167</v>
      </c>
      <c r="N83" s="4012">
        <f>(N81+N7)-N36</f>
        <v>-17586.8</v>
      </c>
      <c r="O83" s="3934">
        <f>(O81+O7)-O36</f>
        <v>-20424.560984501317</v>
      </c>
      <c r="P83" s="3935"/>
      <c r="Q83" s="3980"/>
      <c r="R83" s="4012">
        <f>(R81+R7)-R36</f>
        <v>-2837.7609845013167</v>
      </c>
      <c r="S83" s="4012">
        <f>(S81+S7)-S36</f>
        <v>-17586.8</v>
      </c>
      <c r="T83" s="3934">
        <f>(T81+T7)-T36</f>
        <v>-20424.560984501317</v>
      </c>
      <c r="U83" s="3988"/>
      <c r="V83" s="3988"/>
      <c r="W83" s="4012">
        <f>(W81+W7)-W36</f>
        <v>341188.62439832557</v>
      </c>
      <c r="X83" s="4012">
        <f>(X81+X7)-X36</f>
        <v>-99028.885999999999</v>
      </c>
      <c r="Y83" s="3934">
        <f>(Y81+Y7)-Y36</f>
        <v>242159.73839832551</v>
      </c>
      <c r="Z83" s="3988"/>
      <c r="AA83" s="3988"/>
      <c r="AB83" s="4012">
        <f>(AB81+AB7)-AB36</f>
        <v>-232692.67509134719</v>
      </c>
      <c r="AC83" s="4012">
        <f>(AC81+AC7)-AC36</f>
        <v>-94528.885999999999</v>
      </c>
      <c r="AD83" s="3934">
        <f>(AD81+AD7)-AD36</f>
        <v>-327221.56109134713</v>
      </c>
      <c r="AE83" s="3935"/>
      <c r="AF83" s="3980"/>
      <c r="AG83" s="4012">
        <f>(AG81+AG7)-AG36</f>
        <v>573881.29948967264</v>
      </c>
      <c r="AH83" s="4012">
        <f>(AH81+AH7)-AH36</f>
        <v>-4500</v>
      </c>
      <c r="AI83" s="3934">
        <f>(AI81+AI7)-AI36</f>
        <v>569381.29948967264</v>
      </c>
      <c r="AJ83" s="3935"/>
      <c r="AK83" s="3980"/>
      <c r="AL83" s="4012">
        <f>(AL81+AL7)-AL36</f>
        <v>0</v>
      </c>
      <c r="AM83" s="4012">
        <f>(AM81+AM7)-AM36</f>
        <v>0</v>
      </c>
      <c r="AN83" s="3934">
        <f>(AN81+AN7)-AN36</f>
        <v>0</v>
      </c>
      <c r="AO83" s="3935"/>
      <c r="AP83" s="3980"/>
      <c r="AQ83" s="4012">
        <f>(AQ81+AQ7)-AQ36</f>
        <v>0</v>
      </c>
      <c r="AR83" s="4012">
        <f>(AR81+AR7)-AR36</f>
        <v>0</v>
      </c>
      <c r="AS83" s="3934">
        <f>(AS81+AS7)-AS36</f>
        <v>0</v>
      </c>
      <c r="AT83" s="3935"/>
      <c r="AU83" s="3980"/>
      <c r="AV83" s="4012">
        <f>(AV81+AV7)-AV36</f>
        <v>0</v>
      </c>
      <c r="AW83" s="4012">
        <f>(AW81+AW7)-AW36</f>
        <v>0</v>
      </c>
      <c r="AX83" s="3934">
        <f>(AX81+AX7)-AX36</f>
        <v>0</v>
      </c>
      <c r="AY83" s="3935"/>
      <c r="AZ83" s="3980"/>
      <c r="BA83" s="4012">
        <f>(BA81+BA7)-BA36</f>
        <v>0</v>
      </c>
      <c r="BB83" s="4012">
        <f>(BB81+BB7)-BB36</f>
        <v>0</v>
      </c>
      <c r="BC83" s="3934">
        <f>(BC81+BC7)-BC36</f>
        <v>0</v>
      </c>
      <c r="BD83" s="3935"/>
      <c r="BE83" s="3980"/>
      <c r="BF83" s="4012">
        <f>(BF81+BF7)-BF36</f>
        <v>0</v>
      </c>
      <c r="BG83" s="4012">
        <f>(BG81+BG7)-BG36</f>
        <v>0</v>
      </c>
      <c r="BH83" s="3934">
        <f>(BH81+BH7)-BH36</f>
        <v>0</v>
      </c>
      <c r="BI83" s="3935"/>
      <c r="BJ83" s="3980"/>
      <c r="BK83" s="4012">
        <f>(BK81+BK7)-BK36</f>
        <v>0</v>
      </c>
      <c r="BL83" s="4012">
        <f>(BL81+BL7)-BL36</f>
        <v>0</v>
      </c>
      <c r="BM83" s="3934">
        <f>(BM81+BM7)-BM36</f>
        <v>0</v>
      </c>
      <c r="BN83" s="3935"/>
      <c r="BO83" s="3980"/>
      <c r="BP83" s="4012">
        <f>(BP81+BP7)-BP36</f>
        <v>0</v>
      </c>
      <c r="BQ83" s="4012">
        <f>(BQ81+BQ7)-BQ36</f>
        <v>0</v>
      </c>
      <c r="BR83" s="3934">
        <f>(BR81+BR7)-BR36</f>
        <v>0</v>
      </c>
      <c r="BS83" s="3935"/>
      <c r="BT83" s="3980"/>
      <c r="BU83" s="4012">
        <f>(BU81+BU7)-BU36</f>
        <v>0</v>
      </c>
      <c r="BV83" s="4012">
        <f>(BV81+BV7)-BV36</f>
        <v>0</v>
      </c>
      <c r="BW83" s="3934">
        <f>(BW81+BW7)-BW36</f>
        <v>0</v>
      </c>
      <c r="BX83" s="3935"/>
      <c r="BY83" s="3980"/>
      <c r="BZ83" s="4012">
        <f>(BZ81+BZ7)-BZ36</f>
        <v>0</v>
      </c>
      <c r="CA83" s="4012">
        <f>(CA81+CA7)-CA36</f>
        <v>0</v>
      </c>
      <c r="CB83" s="3934">
        <f>(CB81+CB7)-CB36</f>
        <v>0</v>
      </c>
      <c r="CC83" s="3935"/>
      <c r="CD83" s="3980"/>
      <c r="CE83" s="4012">
        <f>(CE81+CE7)-CE36</f>
        <v>0</v>
      </c>
      <c r="CF83" s="4012">
        <f>(CF81+CF7)-CF36</f>
        <v>0</v>
      </c>
      <c r="CG83" s="3934">
        <f>(CG81+CG7)-CG36</f>
        <v>0</v>
      </c>
      <c r="CH83" s="3935"/>
      <c r="CI83" s="3980"/>
      <c r="CJ83" s="4012">
        <f>(CJ81+CJ7)-CJ36</f>
        <v>348308.85341382422</v>
      </c>
      <c r="CK83" s="4012">
        <f>(CK81+CK7)-CK36</f>
        <v>-116615.686</v>
      </c>
      <c r="CL83" s="3934">
        <f>(CL81+CL7)-CL36</f>
        <v>231693.16741382427</v>
      </c>
      <c r="CM83" s="3935"/>
      <c r="CN83" s="3935"/>
      <c r="CP83" s="3488">
        <f>(CP81+CP7)-CP36</f>
        <v>345557.73419999995</v>
      </c>
      <c r="CQ83" s="3488">
        <f>(CQ81+CQ7)-CQ36</f>
        <v>231693.16741382427</v>
      </c>
      <c r="CR83" s="3488">
        <f>(CR81+CR7)-CR36</f>
        <v>113864.5667861757</v>
      </c>
      <c r="CT83" s="2644"/>
    </row>
    <row r="84" spans="1:101" s="1411" customFormat="1" ht="14.4" outlineLevel="1" thickBot="1" x14ac:dyDescent="0.3">
      <c r="A84" s="1420"/>
      <c r="B84" s="3981" t="s">
        <v>14</v>
      </c>
      <c r="C84" s="3936">
        <f>C83-C73-C82</f>
        <v>0</v>
      </c>
      <c r="D84" s="3936">
        <f>D83-D73-D82</f>
        <v>0</v>
      </c>
      <c r="E84" s="3936">
        <f>E83-E73-E82</f>
        <v>0</v>
      </c>
      <c r="F84" s="3937"/>
      <c r="G84" s="3982"/>
      <c r="H84" s="3936">
        <f>H83-H73-H82</f>
        <v>0</v>
      </c>
      <c r="I84" s="3936">
        <f>I83-I73-I82</f>
        <v>0</v>
      </c>
      <c r="J84" s="3936">
        <f>J83-J73-J82</f>
        <v>0</v>
      </c>
      <c r="K84" s="3937"/>
      <c r="L84" s="3982"/>
      <c r="M84" s="3936">
        <f>M83-M73-M82</f>
        <v>-2837.7609845013167</v>
      </c>
      <c r="N84" s="3936">
        <f>N83-N73-N82</f>
        <v>-17586.8</v>
      </c>
      <c r="O84" s="3936">
        <f>O83-O73-O82</f>
        <v>-20424.560984501317</v>
      </c>
      <c r="P84" s="3937"/>
      <c r="Q84" s="3982"/>
      <c r="R84" s="3936">
        <f>R83-R73-R82</f>
        <v>-2837.7609845013167</v>
      </c>
      <c r="S84" s="3936">
        <f>S83-S73-S82</f>
        <v>-17586.8</v>
      </c>
      <c r="T84" s="3936">
        <f>T83-T73-T82</f>
        <v>-20424.560984501317</v>
      </c>
      <c r="U84" s="3982"/>
      <c r="V84" s="3982"/>
      <c r="W84" s="3954">
        <f t="shared" ref="W84:X84" si="223">AB84+AG84+AL84+AV84+BA84+BF84+BK84+BP84+BU84+BZ84+CE84</f>
        <v>341188.62439832545</v>
      </c>
      <c r="X84" s="3955">
        <f t="shared" si="223"/>
        <v>-99028.885999999999</v>
      </c>
      <c r="Y84" s="3936">
        <f>Y83-Y73-Y82</f>
        <v>242159.73839832551</v>
      </c>
      <c r="Z84" s="3982"/>
      <c r="AA84" s="3982"/>
      <c r="AB84" s="3936">
        <f>AB83-AB73-AB82</f>
        <v>-232692.67509134719</v>
      </c>
      <c r="AC84" s="3936">
        <f>AC83-AC73-AC82</f>
        <v>-94528.885999999999</v>
      </c>
      <c r="AD84" s="3936">
        <f>AD83-AD73-AD82</f>
        <v>-327221.56109134713</v>
      </c>
      <c r="AE84" s="3937"/>
      <c r="AF84" s="3982"/>
      <c r="AG84" s="3936">
        <f>AG83-AG73-AG82</f>
        <v>573881.29948967264</v>
      </c>
      <c r="AH84" s="3936">
        <f>AH83-AH73-AH82</f>
        <v>-4500</v>
      </c>
      <c r="AI84" s="3936">
        <f>AI83-AI73-AI82</f>
        <v>569381.29948967264</v>
      </c>
      <c r="AJ84" s="3937"/>
      <c r="AK84" s="3982"/>
      <c r="AL84" s="3936">
        <f>AL83-AL73-AL82</f>
        <v>0</v>
      </c>
      <c r="AM84" s="3936">
        <f>AM83-AM73-AM82</f>
        <v>0</v>
      </c>
      <c r="AN84" s="3936">
        <f>AN83-AN73-AN82</f>
        <v>0</v>
      </c>
      <c r="AO84" s="3937"/>
      <c r="AP84" s="3982"/>
      <c r="AQ84" s="3936">
        <f>AQ83-AQ73-AQ82</f>
        <v>0</v>
      </c>
      <c r="AR84" s="3936">
        <f>AR83-AR73-AR82</f>
        <v>0</v>
      </c>
      <c r="AS84" s="3936">
        <f>AS83-AS73-AS82</f>
        <v>0</v>
      </c>
      <c r="AT84" s="3937"/>
      <c r="AU84" s="3982"/>
      <c r="AV84" s="3936">
        <f>AV83-AV73-AV82</f>
        <v>0</v>
      </c>
      <c r="AW84" s="3936">
        <f>AW83-AW73-AW82</f>
        <v>0</v>
      </c>
      <c r="AX84" s="3936">
        <f>AX83-AX73-AX82</f>
        <v>0</v>
      </c>
      <c r="AY84" s="3937"/>
      <c r="AZ84" s="3982"/>
      <c r="BA84" s="3936">
        <f>BA83-BA73-BA82</f>
        <v>0</v>
      </c>
      <c r="BB84" s="3936">
        <f>BB83-BB73-BB82</f>
        <v>0</v>
      </c>
      <c r="BC84" s="3936">
        <f>BC83-BC73-BC82</f>
        <v>0</v>
      </c>
      <c r="BD84" s="3937"/>
      <c r="BE84" s="3982"/>
      <c r="BF84" s="3936">
        <f>BF83-BF73-BF82</f>
        <v>0</v>
      </c>
      <c r="BG84" s="3936">
        <f>BG83-BG73-BG82</f>
        <v>0</v>
      </c>
      <c r="BH84" s="3936">
        <f>BH83-BH73-BH82</f>
        <v>0</v>
      </c>
      <c r="BI84" s="3937"/>
      <c r="BJ84" s="3982"/>
      <c r="BK84" s="3936">
        <f>BK83-BK73-BK82</f>
        <v>0</v>
      </c>
      <c r="BL84" s="3936">
        <f>BL83-BL73-BL82</f>
        <v>0</v>
      </c>
      <c r="BM84" s="3936">
        <f>BM83-BM73-BM82</f>
        <v>0</v>
      </c>
      <c r="BN84" s="3937"/>
      <c r="BO84" s="3982"/>
      <c r="BP84" s="3936">
        <f>BP83-BP73-BP82</f>
        <v>0</v>
      </c>
      <c r="BQ84" s="3936">
        <f>BQ83-BQ73-BQ82</f>
        <v>0</v>
      </c>
      <c r="BR84" s="3936">
        <f>BR83-BR73-BR82</f>
        <v>0</v>
      </c>
      <c r="BS84" s="3937"/>
      <c r="BT84" s="3982"/>
      <c r="BU84" s="3936">
        <f>BU83-BU73-BU82</f>
        <v>0</v>
      </c>
      <c r="BV84" s="3936">
        <f>BV83-BV73-BV82</f>
        <v>0</v>
      </c>
      <c r="BW84" s="3936">
        <f>BW83-BW73-BW82</f>
        <v>0</v>
      </c>
      <c r="BX84" s="3937"/>
      <c r="BY84" s="3982"/>
      <c r="BZ84" s="3936">
        <f>BZ83-BZ73-BZ82</f>
        <v>0</v>
      </c>
      <c r="CA84" s="3936">
        <f>CA83-CA73-CA82</f>
        <v>0</v>
      </c>
      <c r="CB84" s="3936">
        <f>CB83-CB73-CB82</f>
        <v>0</v>
      </c>
      <c r="CC84" s="3937"/>
      <c r="CD84" s="3982"/>
      <c r="CE84" s="3936">
        <f>CE83-CE73-CE82</f>
        <v>0</v>
      </c>
      <c r="CF84" s="3936">
        <f>CF83-CF73-CF82</f>
        <v>0</v>
      </c>
      <c r="CG84" s="3936">
        <f>CG83-CG73-CG82</f>
        <v>0</v>
      </c>
      <c r="CH84" s="3937"/>
      <c r="CI84" s="3982"/>
      <c r="CJ84" s="3950">
        <f t="shared" ref="CJ84:CK84" si="224">C84+H84+M84+W84</f>
        <v>338350.86341382412</v>
      </c>
      <c r="CK84" s="3950">
        <f t="shared" si="224"/>
        <v>-116615.686</v>
      </c>
      <c r="CL84" s="3936">
        <f>CL83-CL73-CL82</f>
        <v>231693.16741382427</v>
      </c>
      <c r="CM84" s="3937"/>
      <c r="CN84" s="3937"/>
      <c r="CP84" s="3235">
        <f>CP83-CP73-CP82</f>
        <v>345557.73419999995</v>
      </c>
      <c r="CQ84" s="3491">
        <f>CQ83-CQ73-CQ82</f>
        <v>231693.16741382427</v>
      </c>
      <c r="CR84" s="3235">
        <f>CR83-CR73-CR82</f>
        <v>113864.5667861757</v>
      </c>
      <c r="CT84" s="2644"/>
    </row>
    <row r="85" spans="1:101" s="1411" customFormat="1" ht="13.8" outlineLevel="3" x14ac:dyDescent="0.25">
      <c r="A85" s="1580"/>
      <c r="B85" s="1418" t="s">
        <v>44</v>
      </c>
      <c r="C85" s="3274"/>
      <c r="D85" s="3274"/>
      <c r="E85" s="2028">
        <f>C85+D85*1.15</f>
        <v>0</v>
      </c>
      <c r="F85" s="3321"/>
      <c r="G85" s="3462"/>
      <c r="H85" s="3274"/>
      <c r="I85" s="3274"/>
      <c r="J85" s="2028">
        <f>H85+I85*1.15</f>
        <v>0</v>
      </c>
      <c r="K85" s="3945" t="e">
        <f t="shared" ref="K85" si="225">J85/J$89</f>
        <v>#DIV/0!</v>
      </c>
      <c r="L85" s="3462"/>
      <c r="M85" s="3274"/>
      <c r="N85" s="3274"/>
      <c r="O85" s="2028">
        <f>M85+N85*1.15</f>
        <v>0</v>
      </c>
      <c r="P85" s="3945">
        <f t="shared" ref="P85" si="226">O85/O$89</f>
        <v>0</v>
      </c>
      <c r="Q85" s="3462"/>
      <c r="R85" s="3275">
        <f t="shared" ref="R85:S85" si="227">M85+H85+C85</f>
        <v>0</v>
      </c>
      <c r="S85" s="3275">
        <f t="shared" si="227"/>
        <v>0</v>
      </c>
      <c r="T85" s="2028">
        <f t="shared" ref="T85" si="228">R85+S85</f>
        <v>0</v>
      </c>
      <c r="U85" s="3462"/>
      <c r="V85" s="3462"/>
      <c r="W85" s="3275">
        <f t="shared" ref="W85:X85" si="229">AB85+AG85+AL85+AV85+BA85+BF85+BK85+BP85+BU85+BZ85+CE85+AQ85</f>
        <v>0</v>
      </c>
      <c r="X85" s="3275">
        <f t="shared" si="229"/>
        <v>0</v>
      </c>
      <c r="Y85" s="2028">
        <f t="shared" ref="Y85" si="230">W85+X85</f>
        <v>0</v>
      </c>
      <c r="Z85" s="3462"/>
      <c r="AA85" s="3462"/>
      <c r="AB85" s="3274"/>
      <c r="AC85" s="3274"/>
      <c r="AD85" s="2028">
        <f>AB85+AC85*1.15</f>
        <v>0</v>
      </c>
      <c r="AE85" s="3321"/>
      <c r="AF85" s="3462"/>
      <c r="AG85" s="3274"/>
      <c r="AH85" s="3274"/>
      <c r="AI85" s="2028">
        <f>AG85+AH85*1.15</f>
        <v>0</v>
      </c>
      <c r="AJ85" s="3321"/>
      <c r="AK85" s="3462"/>
      <c r="AL85" s="3274"/>
      <c r="AM85" s="3274"/>
      <c r="AN85" s="2028">
        <f>AL85+AM85*1.15</f>
        <v>0</v>
      </c>
      <c r="AO85" s="3321"/>
      <c r="AP85" s="3462"/>
      <c r="AQ85" s="3274"/>
      <c r="AR85" s="3274"/>
      <c r="AS85" s="2028">
        <f>AQ85+AR85*1.15</f>
        <v>0</v>
      </c>
      <c r="AT85" s="3321"/>
      <c r="AU85" s="3462"/>
      <c r="AV85" s="3274"/>
      <c r="AW85" s="3274"/>
      <c r="AX85" s="2028">
        <f>AV85+AW85*1.15</f>
        <v>0</v>
      </c>
      <c r="AY85" s="3321"/>
      <c r="AZ85" s="3462"/>
      <c r="BA85" s="3274"/>
      <c r="BB85" s="3274"/>
      <c r="BC85" s="2028">
        <f>BA85+BB85*1.15</f>
        <v>0</v>
      </c>
      <c r="BD85" s="3321"/>
      <c r="BE85" s="3462"/>
      <c r="BF85" s="3274"/>
      <c r="BG85" s="3274"/>
      <c r="BH85" s="2028">
        <f>BF85+BG85*1.15</f>
        <v>0</v>
      </c>
      <c r="BI85" s="3321"/>
      <c r="BJ85" s="3462"/>
      <c r="BK85" s="3274"/>
      <c r="BL85" s="3274"/>
      <c r="BM85" s="2028">
        <f>BK85+BL85*1.15</f>
        <v>0</v>
      </c>
      <c r="BN85" s="3321"/>
      <c r="BO85" s="3462"/>
      <c r="BP85" s="3274"/>
      <c r="BQ85" s="3274"/>
      <c r="BR85" s="2028">
        <f>BP85+BQ85*1.15</f>
        <v>0</v>
      </c>
      <c r="BS85" s="3321"/>
      <c r="BT85" s="3462"/>
      <c r="BU85" s="3274"/>
      <c r="BV85" s="3274"/>
      <c r="BW85" s="2028">
        <f>BU85+BV85*1.15</f>
        <v>0</v>
      </c>
      <c r="BX85" s="3321"/>
      <c r="BY85" s="3462"/>
      <c r="BZ85" s="3274"/>
      <c r="CA85" s="3274"/>
      <c r="CB85" s="2028">
        <f>BZ85+CA85*1.15</f>
        <v>0</v>
      </c>
      <c r="CC85" s="3321"/>
      <c r="CD85" s="3462"/>
      <c r="CE85" s="3274"/>
      <c r="CF85" s="3274"/>
      <c r="CG85" s="2028">
        <f>CE85+CF85*1.15</f>
        <v>0</v>
      </c>
      <c r="CH85" s="3321"/>
      <c r="CI85" s="3462"/>
      <c r="CJ85" s="3274">
        <f>C85+H85+M85</f>
        <v>0</v>
      </c>
      <c r="CK85" s="3274">
        <f>D85+I85+N85</f>
        <v>0</v>
      </c>
      <c r="CL85" s="2028">
        <f>CJ85+CK85*1.15</f>
        <v>0</v>
      </c>
      <c r="CM85" s="3321"/>
      <c r="CN85" s="3321"/>
      <c r="CP85" s="2141">
        <f>CN85+CO85*1.15</f>
        <v>0</v>
      </c>
      <c r="CQ85" s="2141">
        <f>CO85+CP85*1.15</f>
        <v>0</v>
      </c>
      <c r="CR85" s="2141"/>
      <c r="CT85" s="2644"/>
    </row>
    <row r="86" spans="1:101" s="1411" customFormat="1" ht="27.6" x14ac:dyDescent="0.25">
      <c r="A86" s="1420"/>
      <c r="B86" s="4013" t="s">
        <v>50</v>
      </c>
      <c r="C86" s="3938">
        <f>C84-C85</f>
        <v>0</v>
      </c>
      <c r="D86" s="3938">
        <f>D84-D85</f>
        <v>0</v>
      </c>
      <c r="E86" s="3938">
        <f>E84-E85</f>
        <v>0</v>
      </c>
      <c r="F86" s="3939"/>
      <c r="G86" s="3983"/>
      <c r="H86" s="3938">
        <f>H84-H85</f>
        <v>0</v>
      </c>
      <c r="I86" s="3938">
        <f>I84-I85</f>
        <v>0</v>
      </c>
      <c r="J86" s="3938">
        <f>J84-J85</f>
        <v>0</v>
      </c>
      <c r="K86" s="3939"/>
      <c r="L86" s="3983"/>
      <c r="M86" s="3938">
        <f>M84-M85</f>
        <v>-2837.7609845013167</v>
      </c>
      <c r="N86" s="3938">
        <f>N84-N85</f>
        <v>-17586.8</v>
      </c>
      <c r="O86" s="3938">
        <f>O84-O85</f>
        <v>-20424.560984501317</v>
      </c>
      <c r="P86" s="3939"/>
      <c r="Q86" s="3983"/>
      <c r="R86" s="3938">
        <f>R84-R85</f>
        <v>-2837.7609845013167</v>
      </c>
      <c r="S86" s="3938">
        <f>S84-S85</f>
        <v>-17586.8</v>
      </c>
      <c r="T86" s="3938">
        <f>T84-T85</f>
        <v>-20424.560984501317</v>
      </c>
      <c r="U86" s="3983"/>
      <c r="V86" s="3983"/>
      <c r="W86" s="3938">
        <f>W84-W85</f>
        <v>341188.62439832545</v>
      </c>
      <c r="X86" s="3938">
        <f>X84-X85</f>
        <v>-99028.885999999999</v>
      </c>
      <c r="Y86" s="3938">
        <f>Y84-Y85</f>
        <v>242159.73839832551</v>
      </c>
      <c r="Z86" s="3983"/>
      <c r="AA86" s="3983"/>
      <c r="AB86" s="3938">
        <f>AB84-AB85</f>
        <v>-232692.67509134719</v>
      </c>
      <c r="AC86" s="3938">
        <f>AC84-AC85</f>
        <v>-94528.885999999999</v>
      </c>
      <c r="AD86" s="3938">
        <f>AD84-AD85</f>
        <v>-327221.56109134713</v>
      </c>
      <c r="AE86" s="3939"/>
      <c r="AF86" s="3983"/>
      <c r="AG86" s="3938">
        <f>AG84-AG85</f>
        <v>573881.29948967264</v>
      </c>
      <c r="AH86" s="3938">
        <f>AH84-AH85</f>
        <v>-4500</v>
      </c>
      <c r="AI86" s="3938">
        <f>AI84-AI85</f>
        <v>569381.29948967264</v>
      </c>
      <c r="AJ86" s="3939"/>
      <c r="AK86" s="3983"/>
      <c r="AL86" s="3938">
        <f>AL84-AL85</f>
        <v>0</v>
      </c>
      <c r="AM86" s="3938">
        <f>AM84-AM85</f>
        <v>0</v>
      </c>
      <c r="AN86" s="3938">
        <f>AN84-AN85</f>
        <v>0</v>
      </c>
      <c r="AO86" s="3939"/>
      <c r="AP86" s="3983"/>
      <c r="AQ86" s="3938">
        <f>AQ84-AQ85</f>
        <v>0</v>
      </c>
      <c r="AR86" s="3938">
        <f>AR84-AR85</f>
        <v>0</v>
      </c>
      <c r="AS86" s="3938">
        <f>AS84-AS85</f>
        <v>0</v>
      </c>
      <c r="AT86" s="3939"/>
      <c r="AU86" s="3983"/>
      <c r="AV86" s="3938">
        <f>AV84-AV85</f>
        <v>0</v>
      </c>
      <c r="AW86" s="3938">
        <f>AW84-AW85</f>
        <v>0</v>
      </c>
      <c r="AX86" s="3938">
        <f>AX84-AX85</f>
        <v>0</v>
      </c>
      <c r="AY86" s="3939"/>
      <c r="AZ86" s="3983"/>
      <c r="BA86" s="3938">
        <f>BA84-BA85</f>
        <v>0</v>
      </c>
      <c r="BB86" s="3938">
        <f>BB84-BB85</f>
        <v>0</v>
      </c>
      <c r="BC86" s="3938">
        <f>BC84-BC85</f>
        <v>0</v>
      </c>
      <c r="BD86" s="3939"/>
      <c r="BE86" s="3983"/>
      <c r="BF86" s="3938">
        <f>BF84-BF85</f>
        <v>0</v>
      </c>
      <c r="BG86" s="3938">
        <f>BG84-BG85</f>
        <v>0</v>
      </c>
      <c r="BH86" s="3938">
        <f>BH84-BH85</f>
        <v>0</v>
      </c>
      <c r="BI86" s="3939"/>
      <c r="BJ86" s="3983"/>
      <c r="BK86" s="3938">
        <f>BK84-BK85</f>
        <v>0</v>
      </c>
      <c r="BL86" s="3938">
        <f>BL84-BL85</f>
        <v>0</v>
      </c>
      <c r="BM86" s="3938">
        <f>BM84-BM85</f>
        <v>0</v>
      </c>
      <c r="BN86" s="3939"/>
      <c r="BO86" s="3983"/>
      <c r="BP86" s="3938">
        <f>BP84-BP85</f>
        <v>0</v>
      </c>
      <c r="BQ86" s="3938">
        <f>BQ84-BQ85</f>
        <v>0</v>
      </c>
      <c r="BR86" s="3938">
        <f>BR84-BR85</f>
        <v>0</v>
      </c>
      <c r="BS86" s="3939"/>
      <c r="BT86" s="3983"/>
      <c r="BU86" s="3938">
        <f>BU84-BU85</f>
        <v>0</v>
      </c>
      <c r="BV86" s="3938">
        <f>BV84-BV85</f>
        <v>0</v>
      </c>
      <c r="BW86" s="3938">
        <f>BW84-BW85</f>
        <v>0</v>
      </c>
      <c r="BX86" s="3939"/>
      <c r="BY86" s="3983"/>
      <c r="BZ86" s="3938">
        <f>BZ84-BZ85</f>
        <v>0</v>
      </c>
      <c r="CA86" s="3938">
        <f>CA84-CA85</f>
        <v>0</v>
      </c>
      <c r="CB86" s="3938">
        <f>CB84-CB85</f>
        <v>0</v>
      </c>
      <c r="CC86" s="3939"/>
      <c r="CD86" s="3983"/>
      <c r="CE86" s="3938">
        <f>CE84-CE85</f>
        <v>0</v>
      </c>
      <c r="CF86" s="3938">
        <f>CF84-CF85</f>
        <v>0</v>
      </c>
      <c r="CG86" s="3938">
        <f>CG84-CG85</f>
        <v>0</v>
      </c>
      <c r="CH86" s="3939"/>
      <c r="CI86" s="3983"/>
      <c r="CJ86" s="3938">
        <f>CJ84-CJ85</f>
        <v>338350.86341382412</v>
      </c>
      <c r="CK86" s="3938">
        <f>CK84-CK85</f>
        <v>-116615.686</v>
      </c>
      <c r="CL86" s="3938">
        <f>CL84-CL85</f>
        <v>231693.16741382427</v>
      </c>
      <c r="CM86" s="3939"/>
      <c r="CN86" s="3939"/>
      <c r="CP86" s="3488">
        <f>CP84-CP85</f>
        <v>345557.73419999995</v>
      </c>
      <c r="CQ86" s="3488">
        <f>CQ84-CQ85</f>
        <v>231693.16741382427</v>
      </c>
      <c r="CR86" s="3488">
        <f>CQ86-CP86</f>
        <v>-113864.56678617568</v>
      </c>
      <c r="CT86" s="2644"/>
      <c r="CW86" s="933"/>
    </row>
    <row r="87" spans="1:101" s="1411" customFormat="1" ht="14.4" thickBot="1" x14ac:dyDescent="0.3">
      <c r="A87" s="1582"/>
      <c r="B87" s="3984" t="s">
        <v>51</v>
      </c>
      <c r="C87" s="3940">
        <f>IFERROR(C86/C5,0)</f>
        <v>0</v>
      </c>
      <c r="D87" s="3941">
        <f>IFERROR(D86/D5,0)</f>
        <v>0</v>
      </c>
      <c r="E87" s="3942">
        <f>IFERROR(E86/E5,0)</f>
        <v>0</v>
      </c>
      <c r="F87" s="3943"/>
      <c r="G87" s="3985"/>
      <c r="H87" s="3940">
        <f>IFERROR(H86/H5,0)</f>
        <v>0</v>
      </c>
      <c r="I87" s="3941">
        <f>IFERROR(I86/I5,0)</f>
        <v>0</v>
      </c>
      <c r="J87" s="3942">
        <f>IFERROR(J86/J5,0)</f>
        <v>0</v>
      </c>
      <c r="K87" s="3943"/>
      <c r="L87" s="3985"/>
      <c r="M87" s="3940">
        <f>IFERROR(M86/M5,0)</f>
        <v>0</v>
      </c>
      <c r="N87" s="3941">
        <f>IFERROR(N86/N5,0)</f>
        <v>0</v>
      </c>
      <c r="O87" s="3942">
        <f>IFERROR(O86/O5,0)</f>
        <v>0</v>
      </c>
      <c r="P87" s="3943"/>
      <c r="Q87" s="3985"/>
      <c r="R87" s="3986"/>
      <c r="S87" s="3986"/>
      <c r="T87" s="3986"/>
      <c r="U87" s="3986"/>
      <c r="V87" s="3986"/>
      <c r="W87" s="3986"/>
      <c r="X87" s="3986"/>
      <c r="Y87" s="3986"/>
      <c r="Z87" s="3986"/>
      <c r="AA87" s="3986"/>
      <c r="AB87" s="3940">
        <f>IFERROR(AB86/AB5,0)</f>
        <v>0</v>
      </c>
      <c r="AC87" s="3941">
        <f>IFERROR(AC86/AC5,0)</f>
        <v>0</v>
      </c>
      <c r="AD87" s="3942">
        <f>IFERROR(AD86/AD5,0)</f>
        <v>0</v>
      </c>
      <c r="AE87" s="3943"/>
      <c r="AF87" s="3985"/>
      <c r="AG87" s="3940">
        <f>IFERROR(AG86/AG5,0)</f>
        <v>0.83468081856199894</v>
      </c>
      <c r="AH87" s="3941">
        <f>IFERROR(AH86/AH5,0)</f>
        <v>0</v>
      </c>
      <c r="AI87" s="3942">
        <f>IFERROR(AI86/AI5,0)</f>
        <v>0.82813580012897259</v>
      </c>
      <c r="AJ87" s="3943"/>
      <c r="AK87" s="3985"/>
      <c r="AL87" s="3940">
        <f>IFERROR(AL86/AL5,0)</f>
        <v>0</v>
      </c>
      <c r="AM87" s="3941">
        <f>IFERROR(AM86/AM5,0)</f>
        <v>0</v>
      </c>
      <c r="AN87" s="3942">
        <f>IFERROR(AN86/AN5,0)</f>
        <v>0</v>
      </c>
      <c r="AO87" s="3943"/>
      <c r="AP87" s="3985"/>
      <c r="AQ87" s="3940">
        <f>IFERROR(AQ86/AQ5,0)</f>
        <v>0</v>
      </c>
      <c r="AR87" s="3941">
        <f>IFERROR(AR86/AR5,0)</f>
        <v>0</v>
      </c>
      <c r="AS87" s="3942">
        <f>IFERROR(AS86/AS5,0)</f>
        <v>0</v>
      </c>
      <c r="AT87" s="3943"/>
      <c r="AU87" s="3985"/>
      <c r="AV87" s="3940">
        <f>IFERROR(AV86/AV5,0)</f>
        <v>0</v>
      </c>
      <c r="AW87" s="3941">
        <f>IFERROR(AW86/AW5,0)</f>
        <v>0</v>
      </c>
      <c r="AX87" s="3942">
        <f>IFERROR(AX86/AX5,0)</f>
        <v>0</v>
      </c>
      <c r="AY87" s="3943"/>
      <c r="AZ87" s="3985"/>
      <c r="BA87" s="3940">
        <f>IFERROR(BA86/BA5,0)</f>
        <v>0</v>
      </c>
      <c r="BB87" s="3941">
        <f>IFERROR(BB86/BB5,0)</f>
        <v>0</v>
      </c>
      <c r="BC87" s="3942">
        <f>IFERROR(BC86/BC5,0)</f>
        <v>0</v>
      </c>
      <c r="BD87" s="3943"/>
      <c r="BE87" s="3985"/>
      <c r="BF87" s="3940">
        <f>IFERROR(BF86/BF5,0)</f>
        <v>0</v>
      </c>
      <c r="BG87" s="3941">
        <f>IFERROR(BG86/BG5,0)</f>
        <v>0</v>
      </c>
      <c r="BH87" s="3942">
        <f>IFERROR(BH86/BH5,0)</f>
        <v>0</v>
      </c>
      <c r="BI87" s="3943"/>
      <c r="BJ87" s="3985"/>
      <c r="BK87" s="3940">
        <f>IFERROR(BK86/BK5,0)</f>
        <v>0</v>
      </c>
      <c r="BL87" s="3941">
        <f>IFERROR(BL86/BL5,0)</f>
        <v>0</v>
      </c>
      <c r="BM87" s="3942">
        <f>IFERROR(BM86/BM5,0)</f>
        <v>0</v>
      </c>
      <c r="BN87" s="3943"/>
      <c r="BO87" s="3985"/>
      <c r="BP87" s="3940">
        <f>IFERROR(BP86/BP5,0)</f>
        <v>0</v>
      </c>
      <c r="BQ87" s="3941">
        <f>IFERROR(BQ86/BQ5,0)</f>
        <v>0</v>
      </c>
      <c r="BR87" s="3942">
        <f>IFERROR(BR86/BR5,0)</f>
        <v>0</v>
      </c>
      <c r="BS87" s="3943"/>
      <c r="BT87" s="3985"/>
      <c r="BU87" s="3940">
        <f>IFERROR(BU86/BU5,0)</f>
        <v>0</v>
      </c>
      <c r="BV87" s="3941">
        <f>IFERROR(BV86/BV5,0)</f>
        <v>0</v>
      </c>
      <c r="BW87" s="3942">
        <f>IFERROR(BW86/BW5,0)</f>
        <v>0</v>
      </c>
      <c r="BX87" s="3943"/>
      <c r="BY87" s="3985"/>
      <c r="BZ87" s="3940">
        <f>IFERROR(BZ86/BZ5,0)</f>
        <v>0</v>
      </c>
      <c r="CA87" s="3941">
        <f>IFERROR(CA86/CA5,0)</f>
        <v>0</v>
      </c>
      <c r="CB87" s="3942">
        <f>IFERROR(CB86/CB5,0)</f>
        <v>0</v>
      </c>
      <c r="CC87" s="3943"/>
      <c r="CD87" s="3985"/>
      <c r="CE87" s="3940">
        <f>IFERROR(CE86/CE5,0)</f>
        <v>0</v>
      </c>
      <c r="CF87" s="3941">
        <f>IFERROR(CF86/CF5,0)</f>
        <v>0</v>
      </c>
      <c r="CG87" s="3942">
        <f>IFERROR(CG86/CG5,0)</f>
        <v>0</v>
      </c>
      <c r="CH87" s="3943"/>
      <c r="CI87" s="3985"/>
      <c r="CJ87" s="3940">
        <f>IFERROR(CJ86/CJ5,0)</f>
        <v>0.49211391952752076</v>
      </c>
      <c r="CK87" s="3941">
        <f>IFERROR(CK86/CK5,0)</f>
        <v>0</v>
      </c>
      <c r="CL87" s="3942">
        <f>IFERROR(CL86/CL5,0)</f>
        <v>0.3369857892288286</v>
      </c>
      <c r="CM87" s="3943"/>
      <c r="CN87" s="3943"/>
      <c r="CP87" s="3942">
        <f>CP86/CP5</f>
        <v>0.4910365178865928</v>
      </c>
      <c r="CQ87" s="3942">
        <f>IFERROR(CQ86/CQ5,0)</f>
        <v>0.3369857892288286</v>
      </c>
      <c r="CR87" s="3942"/>
      <c r="CT87" s="2644"/>
    </row>
    <row r="88" spans="1:101" ht="13.8" x14ac:dyDescent="0.25">
      <c r="A88" s="1438"/>
      <c r="B88" s="1438"/>
      <c r="C88" s="1970"/>
      <c r="D88" s="1970"/>
      <c r="E88" s="1970"/>
      <c r="F88" s="1970"/>
      <c r="G88" s="1626"/>
      <c r="H88" s="1970"/>
      <c r="I88" s="1970"/>
      <c r="J88" s="1970"/>
      <c r="K88" s="1970"/>
      <c r="L88" s="1626"/>
      <c r="M88" s="1970"/>
      <c r="N88" s="1970"/>
      <c r="O88" s="1970"/>
      <c r="P88" s="1970"/>
      <c r="Q88" s="1626"/>
      <c r="R88" s="1626"/>
      <c r="S88" s="1626"/>
      <c r="T88" s="1626"/>
      <c r="U88" s="1626"/>
      <c r="V88" s="1626"/>
      <c r="W88" s="1626"/>
      <c r="X88" s="1626"/>
      <c r="Y88" s="1626"/>
      <c r="Z88" s="1626"/>
      <c r="AA88" s="1626"/>
      <c r="AB88" s="1970"/>
      <c r="AC88" s="1970"/>
      <c r="AD88" s="1970"/>
      <c r="AE88" s="1970"/>
      <c r="AF88" s="1626"/>
      <c r="AG88" s="1970"/>
      <c r="AH88" s="1970"/>
      <c r="AI88" s="1970"/>
      <c r="AJ88" s="1970"/>
      <c r="AK88" s="1626"/>
      <c r="AL88" s="1970"/>
      <c r="AM88" s="1970"/>
      <c r="AN88" s="1970"/>
      <c r="AO88" s="1970"/>
      <c r="AP88" s="1626"/>
      <c r="AQ88" s="1970"/>
      <c r="AR88" s="1970"/>
      <c r="AS88" s="1970"/>
      <c r="AT88" s="1970"/>
      <c r="AU88" s="1626"/>
      <c r="AV88" s="1970"/>
      <c r="AW88" s="1970"/>
      <c r="AX88" s="1970"/>
      <c r="AY88" s="1970"/>
      <c r="AZ88" s="1626"/>
      <c r="BA88" s="1970"/>
      <c r="BB88" s="1970"/>
      <c r="BC88" s="1970"/>
      <c r="BD88" s="1970"/>
      <c r="BE88" s="1626"/>
      <c r="BF88" s="1970"/>
      <c r="BG88" s="1970"/>
      <c r="BH88" s="1970"/>
      <c r="BI88" s="1970"/>
      <c r="BJ88" s="1626"/>
      <c r="BK88" s="1970"/>
      <c r="BL88" s="1970"/>
      <c r="BM88" s="1970"/>
      <c r="BN88" s="1970"/>
      <c r="BO88" s="1626"/>
      <c r="BP88" s="1970"/>
      <c r="BQ88" s="1970"/>
      <c r="BR88" s="1970"/>
      <c r="BS88" s="1970"/>
      <c r="BT88" s="1626"/>
      <c r="BU88" s="1970"/>
      <c r="BV88" s="1970"/>
      <c r="BW88" s="1970"/>
      <c r="BX88" s="1970"/>
      <c r="BY88" s="1626"/>
      <c r="BZ88" s="1970"/>
      <c r="CA88" s="1970"/>
      <c r="CB88" s="1970"/>
      <c r="CC88" s="1970"/>
      <c r="CD88" s="1626"/>
      <c r="CE88" s="1970"/>
      <c r="CF88" s="1970"/>
      <c r="CG88" s="1970"/>
      <c r="CH88" s="1970"/>
      <c r="CI88" s="1626"/>
      <c r="CJ88" s="1970"/>
      <c r="CK88" s="1970"/>
      <c r="CL88" s="1970"/>
      <c r="CM88" s="1970"/>
      <c r="CN88" s="1970"/>
      <c r="CP88" s="1970"/>
      <c r="CQ88" s="1970"/>
      <c r="CR88" s="1970"/>
    </row>
    <row r="89" spans="1:101" x14ac:dyDescent="0.25">
      <c r="B89" s="1577" t="s">
        <v>56</v>
      </c>
      <c r="E89" s="1976">
        <f>E8+E36+E41+E50+E54+E73+E79+E82+E85</f>
        <v>0</v>
      </c>
      <c r="G89" s="1979"/>
      <c r="J89" s="1976">
        <f>J8+J36+J41+J50+J54+J73+J79+J82+J85</f>
        <v>0</v>
      </c>
      <c r="L89" s="1979"/>
      <c r="O89" s="1976">
        <f>O8+O36+O41+O50+O54+O73+O79+O82+O85</f>
        <v>20424.560984501317</v>
      </c>
      <c r="Q89" s="1979"/>
      <c r="R89" s="1979"/>
      <c r="S89" s="1979"/>
      <c r="T89" s="1976">
        <f>T8+T36+T41+T50+T54+T73+T79+T82+T85</f>
        <v>20424.560984501317</v>
      </c>
      <c r="U89" s="1979"/>
      <c r="V89" s="1979"/>
      <c r="W89" s="1979"/>
      <c r="X89" s="1979"/>
      <c r="Y89" s="1976">
        <f>Y8+Y36+Y41+Y50+Y54+Y73+Y79+Y82+Y85</f>
        <v>445386.07160167454</v>
      </c>
      <c r="Z89" s="1979"/>
      <c r="AA89" s="1979"/>
      <c r="AD89" s="1976">
        <f>AD8+AD36+AD41+AD50+AD54+AD73+AD79+AD82+AD85</f>
        <v>327221.56109134713</v>
      </c>
      <c r="AF89" s="1979"/>
      <c r="AI89" s="1976">
        <f>AI8+AI36+AI41+AI50+AI54+AI73+AI79+AI82+AI85</f>
        <v>118164.51051032734</v>
      </c>
      <c r="AK89" s="1979"/>
      <c r="AN89" s="1976">
        <f>AN8+AN36+AN41+AN50+AN54+AN73+AN79+AN82+AN85</f>
        <v>0</v>
      </c>
      <c r="AP89" s="1979"/>
      <c r="AS89" s="1976">
        <f>AS8+AS36+AS41+AS50+AS54+AS73+AS79+AS82+AS85</f>
        <v>0</v>
      </c>
      <c r="AU89" s="1979"/>
      <c r="AX89" s="1976">
        <f>AX8+AX36+AX41+AX50+AX54+AX73+AX79+AX82+AX85</f>
        <v>0</v>
      </c>
      <c r="AZ89" s="1979"/>
      <c r="BC89" s="1976">
        <f>BC8+BC36+BC41+BC50+BC54+BC73+BC79+BC82+BC85</f>
        <v>0</v>
      </c>
      <c r="BE89" s="1979"/>
      <c r="BH89" s="1976">
        <f>BH8+BH36+BH41+BH50+BH54+BH73+BH79+BH82+BH85</f>
        <v>0</v>
      </c>
      <c r="BJ89" s="1979"/>
      <c r="BM89" s="1976">
        <f>BM8+BM36+BM41+BM50+BM54+BM73+BM79+BM82+BM85</f>
        <v>0</v>
      </c>
      <c r="BO89" s="1979"/>
      <c r="BR89" s="1976">
        <f>BR8+BR36+BR41+BR50+BR54+BR73+BR79+BR82+BR85</f>
        <v>0</v>
      </c>
      <c r="BT89" s="1979"/>
      <c r="BW89" s="1976">
        <f>BW8+BW36+BW41+BW50+BW54+BW73+BW79+BW82+BW85</f>
        <v>0</v>
      </c>
      <c r="BY89" s="1979"/>
      <c r="CB89" s="1976">
        <f>CB8+CB36+CB41+CB50+CB54+CB73+CB79+CB82+CB85</f>
        <v>0</v>
      </c>
      <c r="CD89" s="1979"/>
      <c r="CG89" s="1976">
        <f>CG8+CG36+CG41+CG50+CG54+CG73+CG79+CG82+CG85</f>
        <v>0</v>
      </c>
      <c r="CI89" s="1979"/>
      <c r="CL89" s="1976">
        <f>CL8+CL36+CL41+CL50+CL54+CL73+CL79+CL82+CL85</f>
        <v>455852.64258617582</v>
      </c>
    </row>
    <row r="90" spans="1:101" x14ac:dyDescent="0.25">
      <c r="C90" s="1979"/>
      <c r="D90" s="1979"/>
      <c r="E90" s="1979"/>
      <c r="F90" s="1979"/>
      <c r="G90" s="1979"/>
      <c r="H90" s="1979"/>
      <c r="I90" s="1979"/>
      <c r="J90" s="1979"/>
      <c r="K90" s="1979"/>
      <c r="L90" s="1979"/>
      <c r="M90" s="1979"/>
      <c r="N90" s="1979"/>
      <c r="O90" s="1979"/>
      <c r="P90" s="1979"/>
      <c r="Q90" s="1979"/>
      <c r="R90" s="1979"/>
      <c r="S90" s="1979"/>
      <c r="T90" s="1621" t="b">
        <f>O89+J89+E89=T89</f>
        <v>1</v>
      </c>
      <c r="U90" s="1979"/>
      <c r="V90" s="1979"/>
      <c r="W90" s="1979"/>
      <c r="X90" s="1979"/>
      <c r="Y90" s="1621"/>
      <c r="Z90" s="1979"/>
      <c r="AA90" s="1979"/>
      <c r="AB90" s="1979"/>
      <c r="AC90" s="1979"/>
      <c r="AD90" s="1979"/>
      <c r="AE90" s="1979"/>
      <c r="AF90" s="1979"/>
      <c r="AG90" s="1979"/>
      <c r="AH90" s="1979"/>
      <c r="AI90" s="1979"/>
      <c r="AJ90" s="1979"/>
      <c r="AK90" s="1979"/>
      <c r="AL90" s="1979"/>
      <c r="AM90" s="1979"/>
      <c r="AN90" s="1979"/>
      <c r="AO90" s="1979"/>
      <c r="AP90" s="1979"/>
      <c r="AQ90" s="1979"/>
      <c r="AR90" s="1979"/>
      <c r="AS90" s="1979"/>
      <c r="AT90" s="1979"/>
      <c r="AU90" s="1979"/>
      <c r="AV90" s="1979"/>
      <c r="AW90" s="1979"/>
      <c r="AX90" s="1979"/>
      <c r="AY90" s="1979"/>
      <c r="AZ90" s="1979"/>
      <c r="BA90" s="1979"/>
      <c r="BB90" s="1979"/>
      <c r="BC90" s="1979"/>
      <c r="BD90" s="1979"/>
      <c r="BE90" s="1979"/>
      <c r="BF90" s="1979"/>
      <c r="BG90" s="1979"/>
      <c r="BH90" s="1979"/>
      <c r="BI90" s="1979"/>
      <c r="BJ90" s="1979"/>
      <c r="BK90" s="1979"/>
      <c r="BL90" s="1979"/>
      <c r="BM90" s="1979"/>
      <c r="BN90" s="1979"/>
      <c r="BO90" s="1979"/>
      <c r="BP90" s="1979"/>
      <c r="BQ90" s="1979"/>
      <c r="BR90" s="1979"/>
      <c r="BS90" s="1979"/>
      <c r="BT90" s="1979"/>
      <c r="BU90" s="1979"/>
      <c r="BV90" s="1979"/>
      <c r="BW90" s="1979"/>
      <c r="BX90" s="1979"/>
      <c r="BY90" s="1979"/>
      <c r="BZ90" s="1979"/>
      <c r="CA90" s="1979"/>
      <c r="CB90" s="1979"/>
      <c r="CC90" s="1979"/>
      <c r="CD90" s="1979"/>
      <c r="CE90" s="1979"/>
      <c r="CF90" s="1979"/>
      <c r="CG90" s="1979"/>
      <c r="CH90" s="1979"/>
      <c r="CI90" s="1979"/>
      <c r="CL90" s="1607"/>
    </row>
    <row r="91" spans="1:101" s="1411" customFormat="1" x14ac:dyDescent="0.25">
      <c r="A91" s="1417"/>
      <c r="B91" s="1417"/>
      <c r="C91" s="1979"/>
      <c r="D91" s="1979"/>
      <c r="E91" s="1979"/>
      <c r="F91" s="1979"/>
      <c r="G91" s="1979"/>
      <c r="H91" s="1979"/>
      <c r="I91" s="1979"/>
      <c r="J91" s="1979"/>
      <c r="K91" s="1979"/>
      <c r="L91" s="1979"/>
      <c r="M91" s="1979"/>
      <c r="N91" s="1979"/>
      <c r="O91" s="1979"/>
      <c r="P91" s="1979"/>
      <c r="Q91" s="1979"/>
      <c r="R91" s="1979"/>
      <c r="S91" s="1979"/>
      <c r="T91" s="1979"/>
      <c r="U91" s="1979"/>
      <c r="V91" s="1979"/>
      <c r="W91" s="1979"/>
      <c r="X91" s="1979"/>
      <c r="Y91" s="1979"/>
      <c r="Z91" s="1979"/>
      <c r="AA91" s="1979"/>
      <c r="AB91" s="1979"/>
      <c r="AC91" s="1979"/>
      <c r="AD91" s="1979"/>
      <c r="AE91" s="1979"/>
      <c r="AF91" s="1979"/>
      <c r="AG91" s="1979"/>
      <c r="AH91" s="1979"/>
      <c r="AI91" s="1979"/>
      <c r="AJ91" s="1979"/>
      <c r="AK91" s="1979"/>
      <c r="AL91" s="1979"/>
      <c r="AM91" s="1979"/>
      <c r="AN91" s="1979"/>
      <c r="AO91" s="1979"/>
      <c r="AP91" s="1979"/>
      <c r="AQ91" s="1979"/>
      <c r="AR91" s="1979"/>
      <c r="AS91" s="1979"/>
      <c r="AT91" s="1979"/>
      <c r="AU91" s="1979"/>
      <c r="AV91" s="1979"/>
      <c r="AW91" s="1979"/>
      <c r="AX91" s="1979"/>
      <c r="AY91" s="1979"/>
      <c r="AZ91" s="1979"/>
      <c r="BA91" s="1979"/>
      <c r="BB91" s="1979"/>
      <c r="BC91" s="1979"/>
      <c r="BD91" s="1979"/>
      <c r="BE91" s="1979"/>
      <c r="BF91" s="1979"/>
      <c r="BG91" s="1979"/>
      <c r="BH91" s="1979"/>
      <c r="BI91" s="1979"/>
      <c r="BJ91" s="1979"/>
      <c r="BK91" s="1979"/>
      <c r="BL91" s="1979"/>
      <c r="BM91" s="1979"/>
      <c r="BN91" s="1979"/>
      <c r="BO91" s="1979"/>
      <c r="BP91" s="1979"/>
      <c r="BQ91" s="1979"/>
      <c r="BR91" s="1979"/>
      <c r="BS91" s="1979"/>
      <c r="BT91" s="1979"/>
      <c r="BU91" s="1979"/>
      <c r="BV91" s="1979"/>
      <c r="BW91" s="1979"/>
      <c r="BX91" s="1979"/>
      <c r="BY91" s="1979"/>
      <c r="BZ91" s="1979"/>
      <c r="CA91" s="1979"/>
      <c r="CB91" s="1979"/>
      <c r="CC91" s="1979"/>
      <c r="CD91" s="1979"/>
      <c r="CE91" s="1979"/>
      <c r="CF91" s="1979"/>
      <c r="CG91" s="1979"/>
      <c r="CH91" s="1979"/>
      <c r="CI91" s="1979"/>
      <c r="CJ91" s="1968"/>
      <c r="CK91" s="1968"/>
      <c r="CL91" s="1968"/>
      <c r="CM91" s="1968"/>
      <c r="CN91" s="1968"/>
      <c r="CP91" s="1968"/>
      <c r="CQ91" s="1968"/>
      <c r="CR91" s="1968"/>
      <c r="CT91" s="2644"/>
    </row>
    <row r="92" spans="1:101" x14ac:dyDescent="0.25">
      <c r="C92" s="1979"/>
      <c r="D92" s="1979"/>
      <c r="E92" s="1979"/>
      <c r="F92" s="1979"/>
      <c r="G92" s="1979"/>
      <c r="H92" s="1979"/>
      <c r="I92" s="1979"/>
      <c r="J92" s="1979"/>
      <c r="K92" s="1979"/>
      <c r="L92" s="1979"/>
      <c r="M92" s="1979"/>
      <c r="N92" s="1979"/>
      <c r="O92" s="1979"/>
      <c r="P92" s="1979"/>
      <c r="Q92" s="1979"/>
      <c r="R92" s="1979"/>
      <c r="S92" s="1979"/>
      <c r="T92" s="1979"/>
      <c r="U92" s="1979"/>
      <c r="V92" s="1979"/>
      <c r="W92" s="1979"/>
      <c r="X92" s="1979"/>
      <c r="Y92" s="1979"/>
      <c r="Z92" s="1979"/>
      <c r="AA92" s="1979"/>
      <c r="AB92" s="1979"/>
      <c r="AC92" s="1979"/>
      <c r="AD92" s="1979"/>
      <c r="AE92" s="1979"/>
      <c r="AF92" s="1979"/>
      <c r="AG92" s="1979"/>
      <c r="AH92" s="1979"/>
      <c r="AI92" s="1979"/>
      <c r="AJ92" s="1979"/>
      <c r="AK92" s="1979"/>
      <c r="AL92" s="1979"/>
      <c r="AM92" s="1979"/>
      <c r="AN92" s="1979"/>
      <c r="AO92" s="1979"/>
      <c r="AP92" s="1979"/>
      <c r="AQ92" s="1979"/>
      <c r="AR92" s="1979"/>
      <c r="AS92" s="1979"/>
      <c r="AT92" s="1979"/>
      <c r="AU92" s="1979"/>
      <c r="AV92" s="1979"/>
      <c r="AW92" s="1979"/>
      <c r="AX92" s="1979"/>
      <c r="AY92" s="1979"/>
      <c r="AZ92" s="1979"/>
      <c r="BA92" s="1979"/>
      <c r="BB92" s="1979"/>
      <c r="BC92" s="1979"/>
      <c r="BD92" s="1979"/>
      <c r="BE92" s="1979"/>
      <c r="BF92" s="1979"/>
      <c r="BG92" s="1979"/>
      <c r="BH92" s="1979"/>
      <c r="BI92" s="1979"/>
      <c r="BJ92" s="1979"/>
      <c r="BK92" s="1979"/>
      <c r="BL92" s="1979"/>
      <c r="BM92" s="1979"/>
      <c r="BN92" s="1979"/>
      <c r="BO92" s="1979"/>
      <c r="BP92" s="1979"/>
      <c r="BQ92" s="1979"/>
      <c r="BR92" s="1979"/>
      <c r="BS92" s="1979"/>
      <c r="BT92" s="1979"/>
      <c r="BU92" s="1979"/>
      <c r="BV92" s="1979"/>
      <c r="BW92" s="1979"/>
      <c r="BX92" s="1979"/>
      <c r="BY92" s="1979"/>
      <c r="BZ92" s="1979"/>
      <c r="CA92" s="1979"/>
      <c r="CB92" s="1979"/>
      <c r="CC92" s="1979"/>
      <c r="CD92" s="1979"/>
      <c r="CE92" s="1979"/>
      <c r="CF92" s="1979"/>
      <c r="CG92" s="1979"/>
      <c r="CH92" s="1979"/>
      <c r="CI92" s="1979"/>
    </row>
    <row r="93" spans="1:101" s="1411" customFormat="1" x14ac:dyDescent="0.25">
      <c r="A93" s="1417"/>
      <c r="B93" s="1670"/>
      <c r="C93" s="1979"/>
      <c r="D93" s="1979"/>
      <c r="E93" s="1979"/>
      <c r="F93" s="1979"/>
      <c r="G93" s="1979"/>
      <c r="H93" s="1979"/>
      <c r="I93" s="1979"/>
      <c r="J93" s="1979"/>
      <c r="K93" s="1979"/>
      <c r="L93" s="1979"/>
      <c r="M93" s="1979"/>
      <c r="N93" s="1979"/>
      <c r="O93" s="1979"/>
      <c r="P93" s="1979"/>
      <c r="Q93" s="1979"/>
      <c r="R93" s="1979"/>
      <c r="S93" s="1979"/>
      <c r="T93" s="1979"/>
      <c r="U93" s="1979"/>
      <c r="V93" s="1979"/>
      <c r="W93" s="1979"/>
      <c r="X93" s="1979"/>
      <c r="Y93" s="1979"/>
      <c r="Z93" s="1979"/>
      <c r="AA93" s="1979"/>
      <c r="AB93" s="1979"/>
      <c r="AC93" s="1979"/>
      <c r="AD93" s="1979"/>
      <c r="AE93" s="1979"/>
      <c r="AF93" s="1979"/>
      <c r="AG93" s="1979"/>
      <c r="AH93" s="1979"/>
      <c r="AI93" s="1979"/>
      <c r="AJ93" s="1979"/>
      <c r="AK93" s="1979"/>
      <c r="AL93" s="1979"/>
      <c r="AM93" s="1979"/>
      <c r="AN93" s="1979"/>
      <c r="AO93" s="1979"/>
      <c r="AP93" s="1979"/>
      <c r="AQ93" s="1979"/>
      <c r="AR93" s="1979"/>
      <c r="AS93" s="1979"/>
      <c r="AT93" s="1979"/>
      <c r="AU93" s="1979"/>
      <c r="AV93" s="1979"/>
      <c r="AW93" s="1979"/>
      <c r="AX93" s="1979"/>
      <c r="AY93" s="1979"/>
      <c r="AZ93" s="1979"/>
      <c r="BA93" s="1979"/>
      <c r="BB93" s="1979"/>
      <c r="BC93" s="1979"/>
      <c r="BD93" s="1979"/>
      <c r="BE93" s="1979"/>
      <c r="BF93" s="1979"/>
      <c r="BG93" s="1979"/>
      <c r="BH93" s="1979"/>
      <c r="BI93" s="1979"/>
      <c r="BJ93" s="1979"/>
      <c r="BK93" s="1979"/>
      <c r="BL93" s="1979"/>
      <c r="BM93" s="1979"/>
      <c r="BN93" s="1979"/>
      <c r="BO93" s="1979"/>
      <c r="BP93" s="1979"/>
      <c r="BQ93" s="1979"/>
      <c r="BR93" s="1979"/>
      <c r="BS93" s="1979"/>
      <c r="BT93" s="1979"/>
      <c r="BU93" s="1979"/>
      <c r="BV93" s="1979"/>
      <c r="BW93" s="1979"/>
      <c r="BX93" s="1979"/>
      <c r="BY93" s="1979"/>
      <c r="BZ93" s="1979"/>
      <c r="CA93" s="1979"/>
      <c r="CB93" s="1979"/>
      <c r="CC93" s="1979"/>
      <c r="CD93" s="1979"/>
      <c r="CE93" s="1979"/>
      <c r="CF93" s="1979"/>
      <c r="CG93" s="1979"/>
      <c r="CH93" s="1979"/>
      <c r="CI93" s="1979"/>
      <c r="CJ93" s="1968"/>
      <c r="CK93" s="1968"/>
      <c r="CL93" s="687"/>
      <c r="CM93" s="1968"/>
      <c r="CN93" s="1968"/>
      <c r="CP93" s="1968"/>
      <c r="CQ93" s="1968"/>
      <c r="CR93" s="1968"/>
      <c r="CT93" s="2644"/>
    </row>
    <row r="94" spans="1:101" s="1411" customFormat="1" x14ac:dyDescent="0.25">
      <c r="A94" s="1417"/>
      <c r="B94" s="1670"/>
      <c r="C94" s="1979"/>
      <c r="D94" s="1979"/>
      <c r="E94" s="1979"/>
      <c r="F94" s="1979"/>
      <c r="G94" s="1979"/>
      <c r="H94" s="1979"/>
      <c r="I94" s="1979"/>
      <c r="J94" s="1979"/>
      <c r="K94" s="1979"/>
      <c r="L94" s="1979"/>
      <c r="M94" s="1979"/>
      <c r="N94" s="1979"/>
      <c r="O94" s="1979"/>
      <c r="P94" s="1979"/>
      <c r="Q94" s="1979"/>
      <c r="R94" s="1979"/>
      <c r="S94" s="1979"/>
      <c r="T94" s="1979"/>
      <c r="U94" s="1979"/>
      <c r="V94" s="1979"/>
      <c r="W94" s="1979"/>
      <c r="X94" s="1979"/>
      <c r="Y94" s="1979"/>
      <c r="Z94" s="1979"/>
      <c r="AA94" s="1979"/>
      <c r="AB94" s="1979"/>
      <c r="AC94" s="1979"/>
      <c r="AD94" s="1979"/>
      <c r="AE94" s="1979"/>
      <c r="AF94" s="1979"/>
      <c r="AG94" s="1979"/>
      <c r="AH94" s="1979"/>
      <c r="AI94" s="1979"/>
      <c r="AJ94" s="1979"/>
      <c r="AK94" s="1979"/>
      <c r="AL94" s="1979"/>
      <c r="AM94" s="1979"/>
      <c r="AN94" s="1979"/>
      <c r="AO94" s="1979"/>
      <c r="AP94" s="1979"/>
      <c r="AQ94" s="1979"/>
      <c r="AR94" s="1979"/>
      <c r="AS94" s="1979"/>
      <c r="AT94" s="1979"/>
      <c r="AU94" s="1979"/>
      <c r="AV94" s="1979"/>
      <c r="AW94" s="1979"/>
      <c r="AX94" s="1979"/>
      <c r="AY94" s="1979"/>
      <c r="AZ94" s="1979"/>
      <c r="BA94" s="1979"/>
      <c r="BB94" s="1979"/>
      <c r="BC94" s="1979"/>
      <c r="BD94" s="1979"/>
      <c r="BE94" s="1979"/>
      <c r="BF94" s="1979"/>
      <c r="BG94" s="1979"/>
      <c r="BH94" s="1979"/>
      <c r="BI94" s="1979"/>
      <c r="BJ94" s="1979"/>
      <c r="BK94" s="1979"/>
      <c r="BL94" s="1979"/>
      <c r="BM94" s="1979"/>
      <c r="BN94" s="1979"/>
      <c r="BO94" s="1979"/>
      <c r="BP94" s="1979"/>
      <c r="BQ94" s="1979"/>
      <c r="BR94" s="1979"/>
      <c r="BS94" s="1979"/>
      <c r="BT94" s="1979"/>
      <c r="BU94" s="1979"/>
      <c r="BV94" s="1979"/>
      <c r="BW94" s="1979"/>
      <c r="BX94" s="1979"/>
      <c r="BY94" s="1979"/>
      <c r="BZ94" s="1979"/>
      <c r="CA94" s="1979"/>
      <c r="CB94" s="1979"/>
      <c r="CC94" s="1979"/>
      <c r="CD94" s="1979"/>
      <c r="CE94" s="1979"/>
      <c r="CF94" s="1979"/>
      <c r="CG94" s="1979"/>
      <c r="CH94" s="1979"/>
      <c r="CI94" s="1979"/>
      <c r="CJ94" s="1968"/>
      <c r="CK94" s="1968"/>
      <c r="CL94" s="1968"/>
      <c r="CM94" s="1968"/>
      <c r="CN94" s="1968"/>
      <c r="CP94" s="1968"/>
      <c r="CQ94" s="1968"/>
      <c r="CR94" s="1968"/>
      <c r="CT94" s="2644"/>
    </row>
    <row r="95" spans="1:101" s="1411" customFormat="1" x14ac:dyDescent="0.25">
      <c r="A95" s="1417"/>
      <c r="B95" s="1670"/>
      <c r="C95" s="1979"/>
      <c r="D95" s="1979"/>
      <c r="E95" s="1979"/>
      <c r="F95" s="1979"/>
      <c r="G95" s="1979"/>
      <c r="H95" s="1979"/>
      <c r="I95" s="1979"/>
      <c r="J95" s="1979"/>
      <c r="K95" s="1979"/>
      <c r="L95" s="1979"/>
      <c r="M95" s="1979"/>
      <c r="N95" s="1979"/>
      <c r="O95" s="1979"/>
      <c r="P95" s="1979"/>
      <c r="Q95" s="1979"/>
      <c r="R95" s="1979"/>
      <c r="S95" s="1979"/>
      <c r="T95" s="1979"/>
      <c r="U95" s="1979"/>
      <c r="V95" s="1979"/>
      <c r="W95" s="1979"/>
      <c r="X95" s="1979"/>
      <c r="Y95" s="1979"/>
      <c r="Z95" s="1979"/>
      <c r="AA95" s="1979"/>
      <c r="AB95" s="1979"/>
      <c r="AC95" s="1979"/>
      <c r="AD95" s="1979"/>
      <c r="AE95" s="1979"/>
      <c r="AF95" s="1979"/>
      <c r="AG95" s="1979"/>
      <c r="AH95" s="1979"/>
      <c r="AI95" s="1979"/>
      <c r="AJ95" s="1979"/>
      <c r="AK95" s="1979"/>
      <c r="AL95" s="1979"/>
      <c r="AM95" s="1979"/>
      <c r="AN95" s="1979"/>
      <c r="AO95" s="1979"/>
      <c r="AP95" s="1979"/>
      <c r="AQ95" s="1979"/>
      <c r="AR95" s="1979"/>
      <c r="AS95" s="1979"/>
      <c r="AT95" s="1979"/>
      <c r="AU95" s="1979"/>
      <c r="AV95" s="1979"/>
      <c r="AW95" s="1979"/>
      <c r="AX95" s="1979"/>
      <c r="AY95" s="1979"/>
      <c r="AZ95" s="1979"/>
      <c r="BA95" s="1979"/>
      <c r="BB95" s="1979"/>
      <c r="BC95" s="1979"/>
      <c r="BD95" s="1979"/>
      <c r="BE95" s="1979"/>
      <c r="BF95" s="1979"/>
      <c r="BG95" s="1979"/>
      <c r="BH95" s="1979"/>
      <c r="BI95" s="1979"/>
      <c r="BJ95" s="1979"/>
      <c r="BK95" s="1979"/>
      <c r="BL95" s="1979"/>
      <c r="BM95" s="1979"/>
      <c r="BN95" s="1979"/>
      <c r="BO95" s="1979"/>
      <c r="BP95" s="1979"/>
      <c r="BQ95" s="1979"/>
      <c r="BR95" s="1979"/>
      <c r="BS95" s="1979"/>
      <c r="BT95" s="1979"/>
      <c r="BU95" s="1979"/>
      <c r="BV95" s="1979"/>
      <c r="BW95" s="1979"/>
      <c r="BX95" s="1979"/>
      <c r="BY95" s="1979"/>
      <c r="BZ95" s="1979"/>
      <c r="CA95" s="1979"/>
      <c r="CB95" s="1979"/>
      <c r="CC95" s="1979"/>
      <c r="CD95" s="1979"/>
      <c r="CE95" s="1979"/>
      <c r="CF95" s="1979"/>
      <c r="CG95" s="1979"/>
      <c r="CH95" s="1979"/>
      <c r="CI95" s="1979"/>
      <c r="CJ95" s="1968"/>
      <c r="CK95" s="1968"/>
      <c r="CL95" s="1968"/>
      <c r="CM95" s="1968"/>
      <c r="CN95" s="1968"/>
      <c r="CP95" s="1968"/>
      <c r="CQ95" s="1968"/>
      <c r="CR95" s="1968"/>
      <c r="CT95" s="2644"/>
    </row>
    <row r="96" spans="1:101" s="1411" customFormat="1" x14ac:dyDescent="0.25">
      <c r="A96" s="1417"/>
      <c r="B96" s="1670"/>
      <c r="C96" s="1979"/>
      <c r="D96" s="1979"/>
      <c r="E96" s="1979"/>
      <c r="F96" s="1979"/>
      <c r="G96" s="1979"/>
      <c r="H96" s="1979"/>
      <c r="I96" s="1979"/>
      <c r="J96" s="1979"/>
      <c r="K96" s="1979"/>
      <c r="L96" s="1979"/>
      <c r="M96" s="1979"/>
      <c r="N96" s="1979"/>
      <c r="O96" s="1979"/>
      <c r="P96" s="1979"/>
      <c r="Q96" s="1979"/>
      <c r="R96" s="1979"/>
      <c r="S96" s="1979"/>
      <c r="T96" s="1979"/>
      <c r="U96" s="1979"/>
      <c r="V96" s="1979"/>
      <c r="W96" s="1979"/>
      <c r="X96" s="1979"/>
      <c r="Y96" s="1979"/>
      <c r="Z96" s="1979"/>
      <c r="AA96" s="1979"/>
      <c r="AB96" s="1979"/>
      <c r="AC96" s="1979"/>
      <c r="AD96" s="1979"/>
      <c r="AE96" s="1979"/>
      <c r="AF96" s="1979"/>
      <c r="AG96" s="1979"/>
      <c r="AH96" s="1979"/>
      <c r="AI96" s="1979"/>
      <c r="AJ96" s="1979"/>
      <c r="AK96" s="1979"/>
      <c r="AL96" s="1979"/>
      <c r="AM96" s="1979"/>
      <c r="AN96" s="1979"/>
      <c r="AO96" s="1979"/>
      <c r="AP96" s="1979"/>
      <c r="AQ96" s="1979"/>
      <c r="AR96" s="1979"/>
      <c r="AS96" s="1979"/>
      <c r="AT96" s="1979"/>
      <c r="AU96" s="1979"/>
      <c r="AV96" s="1979"/>
      <c r="AW96" s="1979"/>
      <c r="AX96" s="1979"/>
      <c r="AY96" s="1979"/>
      <c r="AZ96" s="1979"/>
      <c r="BA96" s="1979"/>
      <c r="BB96" s="1979"/>
      <c r="BC96" s="1979"/>
      <c r="BD96" s="1979"/>
      <c r="BE96" s="1979"/>
      <c r="BF96" s="1979"/>
      <c r="BG96" s="1979"/>
      <c r="BH96" s="1979"/>
      <c r="BI96" s="1979"/>
      <c r="BJ96" s="1979"/>
      <c r="BK96" s="1979"/>
      <c r="BL96" s="1979"/>
      <c r="BM96" s="1979"/>
      <c r="BN96" s="1979"/>
      <c r="BO96" s="1979"/>
      <c r="BP96" s="1979"/>
      <c r="BQ96" s="1979"/>
      <c r="BR96" s="1979"/>
      <c r="BS96" s="1979"/>
      <c r="BT96" s="1979"/>
      <c r="BU96" s="1979"/>
      <c r="BV96" s="1979"/>
      <c r="BW96" s="1979"/>
      <c r="BX96" s="1979"/>
      <c r="BY96" s="1979"/>
      <c r="BZ96" s="1979"/>
      <c r="CA96" s="1979"/>
      <c r="CB96" s="1979"/>
      <c r="CC96" s="1979"/>
      <c r="CD96" s="1979"/>
      <c r="CE96" s="1979"/>
      <c r="CF96" s="1979"/>
      <c r="CG96" s="1979"/>
      <c r="CH96" s="1979"/>
      <c r="CI96" s="1979"/>
      <c r="CJ96" s="1968"/>
      <c r="CK96" s="1968"/>
      <c r="CL96" s="1968"/>
      <c r="CM96" s="1968"/>
      <c r="CN96" s="1968"/>
      <c r="CP96" s="1968"/>
      <c r="CQ96" s="1968"/>
      <c r="CR96" s="1968"/>
      <c r="CT96" s="2644"/>
    </row>
    <row r="97" spans="1:98" x14ac:dyDescent="0.25">
      <c r="C97" s="1979"/>
      <c r="D97" s="1979"/>
      <c r="E97" s="1979"/>
      <c r="F97" s="1979"/>
      <c r="G97" s="1979"/>
      <c r="H97" s="1979"/>
      <c r="I97" s="1979"/>
      <c r="J97" s="1979"/>
      <c r="K97" s="1979"/>
      <c r="L97" s="1979"/>
      <c r="M97" s="1979"/>
      <c r="N97" s="1979"/>
      <c r="O97" s="1979"/>
      <c r="P97" s="1979"/>
      <c r="Q97" s="1979"/>
      <c r="R97" s="1979"/>
      <c r="S97" s="1979"/>
      <c r="T97" s="1979"/>
      <c r="U97" s="1979"/>
      <c r="V97" s="1979"/>
      <c r="W97" s="1979"/>
      <c r="X97" s="1979"/>
      <c r="Y97" s="1979"/>
      <c r="Z97" s="1979"/>
      <c r="AA97" s="1979"/>
      <c r="AB97" s="1979"/>
      <c r="AC97" s="1979"/>
      <c r="AD97" s="1979"/>
      <c r="AE97" s="1979"/>
      <c r="AF97" s="1979"/>
      <c r="AG97" s="1979"/>
      <c r="AH97" s="1979"/>
      <c r="AI97" s="1979"/>
      <c r="AJ97" s="1979"/>
      <c r="AK97" s="1979"/>
      <c r="AL97" s="1979"/>
      <c r="AM97" s="1979"/>
      <c r="AN97" s="1979"/>
      <c r="AO97" s="1979"/>
      <c r="AP97" s="1979"/>
      <c r="AQ97" s="1979"/>
      <c r="AR97" s="1979"/>
      <c r="AS97" s="1979"/>
      <c r="AT97" s="1979"/>
      <c r="AU97" s="1979"/>
      <c r="AV97" s="1979"/>
      <c r="AW97" s="1979"/>
      <c r="AX97" s="1979"/>
      <c r="AY97" s="1979"/>
      <c r="AZ97" s="1979"/>
      <c r="BA97" s="1979"/>
      <c r="BB97" s="1979"/>
      <c r="BC97" s="1979"/>
      <c r="BD97" s="1979"/>
      <c r="BE97" s="1979"/>
      <c r="BF97" s="1979"/>
      <c r="BG97" s="1979"/>
      <c r="BH97" s="1979"/>
      <c r="BI97" s="1979"/>
      <c r="BJ97" s="1979"/>
      <c r="BK97" s="1979"/>
      <c r="BL97" s="1979"/>
      <c r="BM97" s="1979"/>
      <c r="BN97" s="1979"/>
      <c r="BO97" s="1979"/>
      <c r="BP97" s="1979"/>
      <c r="BQ97" s="1979"/>
      <c r="BR97" s="1979"/>
      <c r="BS97" s="1979"/>
      <c r="BT97" s="1979"/>
      <c r="BU97" s="1979"/>
      <c r="BV97" s="1979"/>
      <c r="BW97" s="1979"/>
      <c r="BX97" s="1979"/>
      <c r="BY97" s="1979"/>
      <c r="BZ97" s="1979"/>
      <c r="CA97" s="1979"/>
      <c r="CB97" s="1979"/>
      <c r="CC97" s="1979"/>
      <c r="CD97" s="1979"/>
      <c r="CE97" s="1979"/>
      <c r="CF97" s="1979"/>
      <c r="CG97" s="1979"/>
      <c r="CH97" s="1979"/>
      <c r="CI97" s="1979"/>
    </row>
    <row r="98" spans="1:98" s="1411" customFormat="1" x14ac:dyDescent="0.25">
      <c r="A98" s="1417"/>
      <c r="B98" s="1417"/>
      <c r="C98" s="1968"/>
      <c r="D98" s="1968"/>
      <c r="E98" s="1968"/>
      <c r="F98" s="1968"/>
      <c r="G98" s="1968"/>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P98" s="1968"/>
      <c r="CQ98" s="1968"/>
      <c r="CR98" s="1968"/>
      <c r="CT98" s="2644"/>
    </row>
  </sheetData>
  <mergeCells count="24">
    <mergeCell ref="A42:A48"/>
    <mergeCell ref="BF2:BJ3"/>
    <mergeCell ref="BK2:BO3"/>
    <mergeCell ref="BP2:BT3"/>
    <mergeCell ref="BU2:BY3"/>
    <mergeCell ref="AB2:AF3"/>
    <mergeCell ref="AG2:AK3"/>
    <mergeCell ref="AL2:AP3"/>
    <mergeCell ref="AQ2:AU3"/>
    <mergeCell ref="AV2:AZ3"/>
    <mergeCell ref="BA2:BE3"/>
    <mergeCell ref="W2:AA3"/>
    <mergeCell ref="A2:B2"/>
    <mergeCell ref="C2:G3"/>
    <mergeCell ref="H2:L3"/>
    <mergeCell ref="M2:Q3"/>
    <mergeCell ref="CP9:CP11"/>
    <mergeCell ref="CR9:CR11"/>
    <mergeCell ref="CJ2:CN3"/>
    <mergeCell ref="CP2:CR3"/>
    <mergeCell ref="A3:B3"/>
    <mergeCell ref="BZ2:CD3"/>
    <mergeCell ref="CE2:CI3"/>
    <mergeCell ref="R2:V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FC000"/>
    <pageSetUpPr fitToPage="1"/>
  </sheetPr>
  <dimension ref="A1:CW98"/>
  <sheetViews>
    <sheetView showZeros="0" zoomScale="70" zoomScaleNormal="70" workbookViewId="0">
      <pane xSplit="2" ySplit="5" topLeftCell="CJ6" activePane="bottomRight" state="frozen"/>
      <selection activeCell="Y90" sqref="Y90"/>
      <selection pane="topRight" activeCell="Y90" sqref="Y90"/>
      <selection pane="bottomLeft" activeCell="Y90" sqref="Y90"/>
      <selection pane="bottomRight" activeCell="CX48" sqref="CX48"/>
    </sheetView>
  </sheetViews>
  <sheetFormatPr defaultColWidth="2.88671875" defaultRowHeight="13.2" outlineLevelRow="3" outlineLevelCol="1" x14ac:dyDescent="0.25"/>
  <cols>
    <col min="1" max="1" width="2.33203125" style="1417" customWidth="1"/>
    <col min="2" max="2" width="53.109375" style="1417" customWidth="1"/>
    <col min="3" max="3" width="12.88671875" style="1968" hidden="1" customWidth="1" outlineLevel="1" collapsed="1"/>
    <col min="4" max="6" width="12.88671875" style="1968" hidden="1" customWidth="1" outlineLevel="1"/>
    <col min="7" max="7" width="26.109375" style="1968" hidden="1" customWidth="1" outlineLevel="1"/>
    <col min="8" max="8" width="12.88671875" style="1968" hidden="1" customWidth="1" outlineLevel="1" collapsed="1"/>
    <col min="9" max="11" width="12.88671875" style="1968" hidden="1" customWidth="1" outlineLevel="1"/>
    <col min="12" max="12" width="26.109375" style="1968" hidden="1" customWidth="1" outlineLevel="1"/>
    <col min="13" max="16" width="12.88671875" style="1968" hidden="1" customWidth="1" outlineLevel="1"/>
    <col min="17" max="17" width="26.109375" style="1968" hidden="1" customWidth="1" outlineLevel="1"/>
    <col min="18" max="18" width="13.44140625" style="1968" customWidth="1" collapsed="1"/>
    <col min="19" max="27" width="13.44140625" style="1968" customWidth="1"/>
    <col min="28" max="31" width="12.88671875" style="1968" customWidth="1"/>
    <col min="32" max="32" width="29.33203125" style="1968" customWidth="1"/>
    <col min="33" max="36" width="12.88671875" style="1968" hidden="1" customWidth="1" outlineLevel="1"/>
    <col min="37" max="37" width="26.109375" style="1968" hidden="1" customWidth="1" outlineLevel="1"/>
    <col min="38" max="41" width="12.88671875" style="1968" hidden="1" customWidth="1" outlineLevel="1"/>
    <col min="42" max="42" width="26.109375" style="1968" hidden="1" customWidth="1" outlineLevel="1"/>
    <col min="43" max="46" width="12.88671875" style="1968" hidden="1" customWidth="1" outlineLevel="1"/>
    <col min="47" max="47" width="26.109375" style="1968" hidden="1" customWidth="1" outlineLevel="1"/>
    <col min="48" max="51" width="12.88671875" style="1968" hidden="1" customWidth="1" outlineLevel="1"/>
    <col min="52" max="52" width="26.109375" style="1968" hidden="1" customWidth="1" outlineLevel="1"/>
    <col min="53" max="56" width="12.88671875" style="1968" hidden="1" customWidth="1" outlineLevel="1"/>
    <col min="57" max="57" width="26.109375" style="1968" hidden="1" customWidth="1" outlineLevel="1"/>
    <col min="58" max="61" width="12.88671875" style="1968" hidden="1" customWidth="1" outlineLevel="1"/>
    <col min="62" max="62" width="26.109375" style="1968" hidden="1" customWidth="1" outlineLevel="1"/>
    <col min="63" max="66" width="12.88671875" style="1968" hidden="1" customWidth="1" outlineLevel="1"/>
    <col min="67" max="67" width="26.109375" style="1968" hidden="1" customWidth="1" outlineLevel="1"/>
    <col min="68" max="71" width="12.88671875" style="1968" hidden="1" customWidth="1" outlineLevel="1"/>
    <col min="72" max="72" width="26.109375" style="1968" hidden="1" customWidth="1" outlineLevel="1"/>
    <col min="73" max="76" width="12.88671875" style="1968" hidden="1" customWidth="1" outlineLevel="1"/>
    <col min="77" max="77" width="26.109375" style="1968" hidden="1" customWidth="1" outlineLevel="1"/>
    <col min="78" max="81" width="12.88671875" style="1968" hidden="1" customWidth="1" outlineLevel="1"/>
    <col min="82" max="82" width="26.109375" style="1968" hidden="1" customWidth="1" outlineLevel="1"/>
    <col min="83" max="86" width="12.88671875" style="1968" hidden="1" customWidth="1" outlineLevel="1"/>
    <col min="87" max="87" width="26.109375" style="1968" hidden="1" customWidth="1" outlineLevel="1"/>
    <col min="88" max="88" width="13.44140625" style="1968" customWidth="1" collapsed="1"/>
    <col min="89" max="91" width="13.44140625" style="1968" customWidth="1"/>
    <col min="92" max="92" width="14.33203125" style="1968" customWidth="1"/>
    <col min="93" max="93" width="2.88671875" style="1410"/>
    <col min="94" max="95" width="12.88671875" style="1968" customWidth="1"/>
    <col min="96" max="96" width="14.5546875" style="1968" customWidth="1"/>
    <col min="97" max="97" width="2.88671875" style="1410" customWidth="1" outlineLevel="1"/>
    <col min="98" max="98" width="11.6640625" style="1537" customWidth="1" outlineLevel="1"/>
    <col min="99" max="99" width="8.33203125" style="1410" customWidth="1" outlineLevel="1"/>
    <col min="100" max="100" width="8.44140625" style="1410" customWidth="1" outlineLevel="1"/>
    <col min="101" max="101" width="7.6640625" style="1410" bestFit="1" customWidth="1"/>
    <col min="102" max="16384" width="2.88671875" style="1410"/>
  </cols>
  <sheetData>
    <row r="1" spans="1:98" ht="13.8" thickBot="1" x14ac:dyDescent="0.3"/>
    <row r="2" spans="1:98" ht="13.8" x14ac:dyDescent="0.25">
      <c r="A2" s="4016" t="s">
        <v>2153</v>
      </c>
      <c r="B2" s="4017"/>
      <c r="C2" s="4095">
        <v>45200</v>
      </c>
      <c r="D2" s="4096"/>
      <c r="E2" s="4096"/>
      <c r="F2" s="4096"/>
      <c r="G2" s="4097"/>
      <c r="H2" s="4244">
        <v>45231</v>
      </c>
      <c r="I2" s="4245"/>
      <c r="J2" s="4245"/>
      <c r="K2" s="4245"/>
      <c r="L2" s="4246"/>
      <c r="M2" s="4250">
        <v>45261</v>
      </c>
      <c r="N2" s="4251"/>
      <c r="O2" s="4251"/>
      <c r="P2" s="4251"/>
      <c r="Q2" s="4252"/>
      <c r="R2" s="4326">
        <v>2023</v>
      </c>
      <c r="S2" s="4327"/>
      <c r="T2" s="4327"/>
      <c r="U2" s="4327"/>
      <c r="V2" s="4328"/>
      <c r="W2" s="4332">
        <v>2024</v>
      </c>
      <c r="X2" s="4333"/>
      <c r="Y2" s="4333"/>
      <c r="Z2" s="4333"/>
      <c r="AA2" s="4334"/>
      <c r="AB2" s="4308">
        <v>45292</v>
      </c>
      <c r="AC2" s="4309"/>
      <c r="AD2" s="4309"/>
      <c r="AE2" s="4309"/>
      <c r="AF2" s="4310"/>
      <c r="AG2" s="4314">
        <v>45323</v>
      </c>
      <c r="AH2" s="4315"/>
      <c r="AI2" s="4315"/>
      <c r="AJ2" s="4315"/>
      <c r="AK2" s="4316"/>
      <c r="AL2" s="4119">
        <v>45352</v>
      </c>
      <c r="AM2" s="4120"/>
      <c r="AN2" s="4120"/>
      <c r="AO2" s="4120"/>
      <c r="AP2" s="4121"/>
      <c r="AQ2" s="4095">
        <v>45383</v>
      </c>
      <c r="AR2" s="4096"/>
      <c r="AS2" s="4096"/>
      <c r="AT2" s="4096"/>
      <c r="AU2" s="4097"/>
      <c r="AV2" s="4107">
        <v>45413</v>
      </c>
      <c r="AW2" s="4108"/>
      <c r="AX2" s="4108"/>
      <c r="AY2" s="4108"/>
      <c r="AZ2" s="4109"/>
      <c r="BA2" s="4320">
        <v>45444</v>
      </c>
      <c r="BB2" s="4321"/>
      <c r="BC2" s="4321"/>
      <c r="BD2" s="4321"/>
      <c r="BE2" s="4322"/>
      <c r="BF2" s="4125">
        <v>45474</v>
      </c>
      <c r="BG2" s="4126"/>
      <c r="BH2" s="4126"/>
      <c r="BI2" s="4126"/>
      <c r="BJ2" s="4127"/>
      <c r="BK2" s="4296">
        <v>45505</v>
      </c>
      <c r="BL2" s="4297"/>
      <c r="BM2" s="4297"/>
      <c r="BN2" s="4297"/>
      <c r="BO2" s="4298"/>
      <c r="BP2" s="4107">
        <v>45536</v>
      </c>
      <c r="BQ2" s="4108"/>
      <c r="BR2" s="4108"/>
      <c r="BS2" s="4108"/>
      <c r="BT2" s="4109"/>
      <c r="BU2" s="4302">
        <v>45566</v>
      </c>
      <c r="BV2" s="4303"/>
      <c r="BW2" s="4303"/>
      <c r="BX2" s="4303"/>
      <c r="BY2" s="4304"/>
      <c r="BZ2" s="4113">
        <v>45597</v>
      </c>
      <c r="CA2" s="4114"/>
      <c r="CB2" s="4114"/>
      <c r="CC2" s="4114"/>
      <c r="CD2" s="4115"/>
      <c r="CE2" s="4107">
        <v>45627</v>
      </c>
      <c r="CF2" s="4108"/>
      <c r="CG2" s="4108"/>
      <c r="CH2" s="4108"/>
      <c r="CI2" s="4109"/>
      <c r="CJ2" s="4089" t="s">
        <v>2135</v>
      </c>
      <c r="CK2" s="4090"/>
      <c r="CL2" s="4090"/>
      <c r="CM2" s="4090"/>
      <c r="CN2" s="4091"/>
      <c r="CP2" s="4338" t="s">
        <v>2154</v>
      </c>
      <c r="CQ2" s="4339"/>
      <c r="CR2" s="4340"/>
    </row>
    <row r="3" spans="1:98" ht="14.4" thickBot="1" x14ac:dyDescent="0.3">
      <c r="A3" s="4035" t="s">
        <v>54</v>
      </c>
      <c r="B3" s="4036"/>
      <c r="C3" s="4098"/>
      <c r="D3" s="4099"/>
      <c r="E3" s="4099"/>
      <c r="F3" s="4099"/>
      <c r="G3" s="4100"/>
      <c r="H3" s="4247"/>
      <c r="I3" s="4248"/>
      <c r="J3" s="4248"/>
      <c r="K3" s="4248"/>
      <c r="L3" s="4249"/>
      <c r="M3" s="4253"/>
      <c r="N3" s="4254"/>
      <c r="O3" s="4254"/>
      <c r="P3" s="4254"/>
      <c r="Q3" s="4255"/>
      <c r="R3" s="4329"/>
      <c r="S3" s="4330"/>
      <c r="T3" s="4330"/>
      <c r="U3" s="4330"/>
      <c r="V3" s="4331"/>
      <c r="W3" s="4335"/>
      <c r="X3" s="4336"/>
      <c r="Y3" s="4336"/>
      <c r="Z3" s="4336"/>
      <c r="AA3" s="4337"/>
      <c r="AB3" s="4311"/>
      <c r="AC3" s="4312"/>
      <c r="AD3" s="4312"/>
      <c r="AE3" s="4312"/>
      <c r="AF3" s="4313"/>
      <c r="AG3" s="4317"/>
      <c r="AH3" s="4318"/>
      <c r="AI3" s="4318"/>
      <c r="AJ3" s="4318"/>
      <c r="AK3" s="4319"/>
      <c r="AL3" s="4122"/>
      <c r="AM3" s="4123"/>
      <c r="AN3" s="4123"/>
      <c r="AO3" s="4123"/>
      <c r="AP3" s="4124"/>
      <c r="AQ3" s="4098"/>
      <c r="AR3" s="4099"/>
      <c r="AS3" s="4099"/>
      <c r="AT3" s="4099"/>
      <c r="AU3" s="4100"/>
      <c r="AV3" s="4110"/>
      <c r="AW3" s="4111"/>
      <c r="AX3" s="4111"/>
      <c r="AY3" s="4111"/>
      <c r="AZ3" s="4112"/>
      <c r="BA3" s="4323"/>
      <c r="BB3" s="4324"/>
      <c r="BC3" s="4324"/>
      <c r="BD3" s="4324"/>
      <c r="BE3" s="4325"/>
      <c r="BF3" s="4128"/>
      <c r="BG3" s="4129"/>
      <c r="BH3" s="4129"/>
      <c r="BI3" s="4129"/>
      <c r="BJ3" s="4130"/>
      <c r="BK3" s="4299"/>
      <c r="BL3" s="4300"/>
      <c r="BM3" s="4300"/>
      <c r="BN3" s="4300"/>
      <c r="BO3" s="4301"/>
      <c r="BP3" s="4110"/>
      <c r="BQ3" s="4111"/>
      <c r="BR3" s="4111"/>
      <c r="BS3" s="4111"/>
      <c r="BT3" s="4112"/>
      <c r="BU3" s="4305"/>
      <c r="BV3" s="4306"/>
      <c r="BW3" s="4306"/>
      <c r="BX3" s="4306"/>
      <c r="BY3" s="4307"/>
      <c r="BZ3" s="4116"/>
      <c r="CA3" s="4117"/>
      <c r="CB3" s="4117"/>
      <c r="CC3" s="4117"/>
      <c r="CD3" s="4118"/>
      <c r="CE3" s="4110"/>
      <c r="CF3" s="4111"/>
      <c r="CG3" s="4111"/>
      <c r="CH3" s="4111"/>
      <c r="CI3" s="4112"/>
      <c r="CJ3" s="4092"/>
      <c r="CK3" s="4093"/>
      <c r="CL3" s="4093"/>
      <c r="CM3" s="4093"/>
      <c r="CN3" s="4094"/>
      <c r="CP3" s="4341"/>
      <c r="CQ3" s="4342"/>
      <c r="CR3" s="4343"/>
    </row>
    <row r="4" spans="1:98" ht="27" thickBot="1" x14ac:dyDescent="0.3">
      <c r="A4" s="1486"/>
      <c r="B4" s="1487" t="s">
        <v>11</v>
      </c>
      <c r="C4" s="1972" t="s">
        <v>55</v>
      </c>
      <c r="D4" s="1972" t="s">
        <v>18</v>
      </c>
      <c r="E4" s="1489" t="s">
        <v>39</v>
      </c>
      <c r="F4" s="1978" t="s">
        <v>40</v>
      </c>
      <c r="G4" s="1489" t="s">
        <v>19</v>
      </c>
      <c r="H4" s="1972"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55</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P4" s="1489" t="s">
        <v>2118</v>
      </c>
      <c r="CQ4" s="1489" t="s">
        <v>2136</v>
      </c>
      <c r="CR4" s="1489" t="s">
        <v>2099</v>
      </c>
    </row>
    <row r="5" spans="1:98" s="1411" customFormat="1" ht="14.4" thickBot="1" x14ac:dyDescent="0.3">
      <c r="A5" s="1477"/>
      <c r="B5" s="1478" t="s">
        <v>10</v>
      </c>
      <c r="C5" s="1481">
        <f>C6</f>
        <v>0</v>
      </c>
      <c r="D5" s="1481">
        <f>D6</f>
        <v>0</v>
      </c>
      <c r="E5" s="1481">
        <f>E6+E7</f>
        <v>0</v>
      </c>
      <c r="F5" s="1481"/>
      <c r="G5" s="1481"/>
      <c r="H5" s="1481">
        <f>H6</f>
        <v>0</v>
      </c>
      <c r="I5" s="1481">
        <f>I6</f>
        <v>0</v>
      </c>
      <c r="J5" s="1481">
        <f>J6+J7</f>
        <v>0</v>
      </c>
      <c r="K5" s="1481"/>
      <c r="L5" s="1481"/>
      <c r="M5" s="1481">
        <f>M6</f>
        <v>0</v>
      </c>
      <c r="N5" s="1481">
        <f>N6</f>
        <v>0</v>
      </c>
      <c r="O5" s="1481">
        <f>O6+O7</f>
        <v>0</v>
      </c>
      <c r="P5" s="1481"/>
      <c r="Q5" s="1481"/>
      <c r="R5" s="1481">
        <f>R6</f>
        <v>0</v>
      </c>
      <c r="S5" s="1481">
        <f>S6</f>
        <v>0</v>
      </c>
      <c r="T5" s="1481">
        <f>T6+T7</f>
        <v>0</v>
      </c>
      <c r="U5" s="1481"/>
      <c r="V5" s="1481"/>
      <c r="W5" s="1481">
        <f>W6</f>
        <v>0</v>
      </c>
      <c r="X5" s="1481">
        <f>X6</f>
        <v>0</v>
      </c>
      <c r="Y5" s="1481">
        <f>Y6+Y7</f>
        <v>0</v>
      </c>
      <c r="Z5" s="1481"/>
      <c r="AA5" s="1481"/>
      <c r="AB5" s="1481">
        <f>AB6</f>
        <v>0</v>
      </c>
      <c r="AC5" s="1481">
        <f>AC6</f>
        <v>0</v>
      </c>
      <c r="AD5" s="1481">
        <f>AD6+AD7</f>
        <v>0</v>
      </c>
      <c r="AE5" s="1481"/>
      <c r="AF5" s="1481"/>
      <c r="AG5" s="1481">
        <f>AG6</f>
        <v>0</v>
      </c>
      <c r="AH5" s="1481">
        <f>AH6</f>
        <v>0</v>
      </c>
      <c r="AI5" s="1481">
        <f>AI6+AI7</f>
        <v>0</v>
      </c>
      <c r="AJ5" s="1481"/>
      <c r="AK5" s="1481"/>
      <c r="AL5" s="1481">
        <f>AL6</f>
        <v>0</v>
      </c>
      <c r="AM5" s="1481">
        <f>AM6</f>
        <v>0</v>
      </c>
      <c r="AN5" s="1481">
        <f>AN6+AN7</f>
        <v>0</v>
      </c>
      <c r="AO5" s="1481"/>
      <c r="AP5" s="1481"/>
      <c r="AQ5" s="1481">
        <f>AQ6</f>
        <v>0</v>
      </c>
      <c r="AR5" s="1481">
        <f>AR6</f>
        <v>0</v>
      </c>
      <c r="AS5" s="1481">
        <f>AS6+AS7</f>
        <v>0</v>
      </c>
      <c r="AT5" s="1481"/>
      <c r="AU5" s="1481"/>
      <c r="AV5" s="1481">
        <f>AV6</f>
        <v>0</v>
      </c>
      <c r="AW5" s="1481">
        <f>AW6</f>
        <v>0</v>
      </c>
      <c r="AX5" s="1481">
        <f>AX6+AX7</f>
        <v>0</v>
      </c>
      <c r="AY5" s="1481"/>
      <c r="AZ5" s="1481"/>
      <c r="BA5" s="1481">
        <f>BA6</f>
        <v>0</v>
      </c>
      <c r="BB5" s="1481">
        <f>BB6</f>
        <v>0</v>
      </c>
      <c r="BC5" s="1481">
        <f>BC6+BC7</f>
        <v>0</v>
      </c>
      <c r="BD5" s="1481"/>
      <c r="BE5" s="1481"/>
      <c r="BF5" s="1481">
        <f>BF6</f>
        <v>0</v>
      </c>
      <c r="BG5" s="1481">
        <f>BG6</f>
        <v>0</v>
      </c>
      <c r="BH5" s="1481">
        <f>BH6+BH7</f>
        <v>0</v>
      </c>
      <c r="BI5" s="1481"/>
      <c r="BJ5" s="1481"/>
      <c r="BK5" s="1481">
        <f>BK6</f>
        <v>0</v>
      </c>
      <c r="BL5" s="1481">
        <f>BL6</f>
        <v>0</v>
      </c>
      <c r="BM5" s="1481">
        <f>BM6+BM7</f>
        <v>0</v>
      </c>
      <c r="BN5" s="1481"/>
      <c r="BO5" s="1481"/>
      <c r="BP5" s="1481">
        <f>BP6</f>
        <v>0</v>
      </c>
      <c r="BQ5" s="1481">
        <f>BQ6</f>
        <v>0</v>
      </c>
      <c r="BR5" s="1481">
        <f>BR6+BR7</f>
        <v>0</v>
      </c>
      <c r="BS5" s="1481"/>
      <c r="BT5" s="1481"/>
      <c r="BU5" s="1481">
        <f>BU6</f>
        <v>0</v>
      </c>
      <c r="BV5" s="1481">
        <f>BV6</f>
        <v>0</v>
      </c>
      <c r="BW5" s="1481">
        <f>BW6+BW7</f>
        <v>0</v>
      </c>
      <c r="BX5" s="1481"/>
      <c r="BY5" s="1481"/>
      <c r="BZ5" s="1481">
        <f>BZ6</f>
        <v>0</v>
      </c>
      <c r="CA5" s="1481">
        <f>CA6</f>
        <v>0</v>
      </c>
      <c r="CB5" s="1481">
        <f>CB6+CB7</f>
        <v>0</v>
      </c>
      <c r="CC5" s="1481"/>
      <c r="CD5" s="1481"/>
      <c r="CE5" s="1481">
        <f>CE6</f>
        <v>0</v>
      </c>
      <c r="CF5" s="1481">
        <f>CF6</f>
        <v>0</v>
      </c>
      <c r="CG5" s="1481">
        <f>CG6+CG7</f>
        <v>0</v>
      </c>
      <c r="CH5" s="1481"/>
      <c r="CI5" s="1481"/>
      <c r="CJ5" s="1481">
        <f>CJ6</f>
        <v>0</v>
      </c>
      <c r="CK5" s="1481">
        <f>CK6</f>
        <v>0</v>
      </c>
      <c r="CL5" s="1481">
        <f>CL6</f>
        <v>0</v>
      </c>
      <c r="CM5" s="1481"/>
      <c r="CN5" s="1481"/>
      <c r="CP5" s="1971">
        <f>CP6</f>
        <v>0</v>
      </c>
      <c r="CQ5" s="1971">
        <f>CQ6</f>
        <v>0</v>
      </c>
      <c r="CR5" s="3447">
        <f>CR6</f>
        <v>0</v>
      </c>
      <c r="CT5" s="2644"/>
    </row>
    <row r="6" spans="1:98" s="1411" customFormat="1" ht="13.8" outlineLevel="1" x14ac:dyDescent="0.25">
      <c r="A6" s="1586"/>
      <c r="B6" s="1418" t="s">
        <v>17</v>
      </c>
      <c r="C6" s="3274"/>
      <c r="D6" s="3274"/>
      <c r="E6" s="2028">
        <f t="shared" ref="E6:E7" si="0">C6+D6</f>
        <v>0</v>
      </c>
      <c r="F6" s="3274"/>
      <c r="G6" s="3275"/>
      <c r="H6" s="3274"/>
      <c r="I6" s="3274"/>
      <c r="J6" s="2028">
        <f>H6+I6</f>
        <v>0</v>
      </c>
      <c r="K6" s="3274"/>
      <c r="L6" s="3275"/>
      <c r="M6" s="3274"/>
      <c r="N6" s="3274"/>
      <c r="O6" s="2028">
        <f t="shared" ref="O6:O7" si="1">M6+N6</f>
        <v>0</v>
      </c>
      <c r="P6" s="3274"/>
      <c r="Q6" s="3275"/>
      <c r="R6" s="3275">
        <f>M6+H6+C6</f>
        <v>0</v>
      </c>
      <c r="S6" s="3275">
        <f>N6+I6+D6</f>
        <v>0</v>
      </c>
      <c r="T6" s="2028">
        <f t="shared" ref="T6:T7" si="2">R6+S6</f>
        <v>0</v>
      </c>
      <c r="U6" s="3275"/>
      <c r="V6" s="3275"/>
      <c r="W6" s="3275">
        <f>AB6+AG6+AL6+AV6+BA6+BF6+BK6+BP6+BU6+BZ6+CE6+AQ6</f>
        <v>0</v>
      </c>
      <c r="X6" s="3275">
        <f>AC6+AH6+AM6+AW6+BB6+BG6+BL6+BQ6+BV6+CA6+CF6+AR6</f>
        <v>0</v>
      </c>
      <c r="Y6" s="2028">
        <f t="shared" ref="Y6:Y7" si="3">W6+X6</f>
        <v>0</v>
      </c>
      <c r="Z6" s="3275"/>
      <c r="AA6" s="3275"/>
      <c r="AB6" s="3274"/>
      <c r="AC6" s="3274"/>
      <c r="AD6" s="2028">
        <f t="shared" ref="AD6:AD7" si="4">AB6+AC6</f>
        <v>0</v>
      </c>
      <c r="AE6" s="3274"/>
      <c r="AF6" s="3275"/>
      <c r="AG6" s="3274"/>
      <c r="AH6" s="3274"/>
      <c r="AI6" s="2028">
        <f t="shared" ref="AI6:AI7" si="5">AG6+AH6</f>
        <v>0</v>
      </c>
      <c r="AJ6" s="3274"/>
      <c r="AK6" s="3275"/>
      <c r="AL6" s="3274"/>
      <c r="AM6" s="3274"/>
      <c r="AN6" s="2028">
        <f t="shared" ref="AN6:AN7" si="6">AL6+AM6</f>
        <v>0</v>
      </c>
      <c r="AO6" s="3274"/>
      <c r="AP6" s="3275"/>
      <c r="AQ6" s="3274"/>
      <c r="AR6" s="3274"/>
      <c r="AS6" s="2028">
        <f t="shared" ref="AS6:AS7" si="7">AQ6+AR6</f>
        <v>0</v>
      </c>
      <c r="AT6" s="3274"/>
      <c r="AU6" s="3275"/>
      <c r="AV6" s="3274"/>
      <c r="AW6" s="3274"/>
      <c r="AX6" s="2028">
        <f t="shared" ref="AX6:AX7" si="8">AV6+AW6</f>
        <v>0</v>
      </c>
      <c r="AY6" s="3274"/>
      <c r="AZ6" s="3275"/>
      <c r="BA6" s="3274"/>
      <c r="BB6" s="3274"/>
      <c r="BC6" s="2028">
        <f t="shared" ref="BC6:BC7" si="9">BA6+BB6</f>
        <v>0</v>
      </c>
      <c r="BD6" s="3274"/>
      <c r="BE6" s="3275"/>
      <c r="BF6" s="3274"/>
      <c r="BG6" s="3274"/>
      <c r="BH6" s="2028">
        <f t="shared" ref="BH6:BH7" si="10">BF6+BG6</f>
        <v>0</v>
      </c>
      <c r="BI6" s="3274"/>
      <c r="BJ6" s="3275"/>
      <c r="BK6" s="3274"/>
      <c r="BL6" s="3274"/>
      <c r="BM6" s="2028">
        <f t="shared" ref="BM6:BM7" si="11">BK6+BL6</f>
        <v>0</v>
      </c>
      <c r="BN6" s="3274"/>
      <c r="BO6" s="3275"/>
      <c r="BP6" s="3274"/>
      <c r="BQ6" s="3274"/>
      <c r="BR6" s="2028">
        <f t="shared" ref="BR6:BR7" si="12">BP6+BQ6</f>
        <v>0</v>
      </c>
      <c r="BS6" s="3274"/>
      <c r="BT6" s="3275"/>
      <c r="BU6" s="3274"/>
      <c r="BV6" s="3274"/>
      <c r="BW6" s="2028">
        <f t="shared" ref="BW6:BW7" si="13">BU6+BV6</f>
        <v>0</v>
      </c>
      <c r="BX6" s="3274"/>
      <c r="BY6" s="3275"/>
      <c r="BZ6" s="3274"/>
      <c r="CA6" s="3274"/>
      <c r="CB6" s="2028">
        <f t="shared" ref="CB6:CB7" si="14">BZ6+CA6</f>
        <v>0</v>
      </c>
      <c r="CC6" s="3274"/>
      <c r="CD6" s="3275"/>
      <c r="CE6" s="3274"/>
      <c r="CF6" s="3274"/>
      <c r="CG6" s="2028">
        <f t="shared" ref="CG6:CG7" si="15">CE6+CF6</f>
        <v>0</v>
      </c>
      <c r="CH6" s="3274"/>
      <c r="CI6" s="3275"/>
      <c r="CJ6" s="3274">
        <f>C6+H6+M6+W6</f>
        <v>0</v>
      </c>
      <c r="CK6" s="3274">
        <f>D6+I6+N6+X6</f>
        <v>0</v>
      </c>
      <c r="CL6" s="2028">
        <f>CJ6+CK6</f>
        <v>0</v>
      </c>
      <c r="CM6" s="3274"/>
      <c r="CN6" s="3274"/>
      <c r="CP6" s="2028"/>
      <c r="CQ6" s="2028"/>
      <c r="CR6" s="3448">
        <f>CP6-CQ6</f>
        <v>0</v>
      </c>
      <c r="CS6" s="3230"/>
      <c r="CT6" s="2644"/>
    </row>
    <row r="7" spans="1:98" s="1411" customFormat="1" ht="14.4" outlineLevel="1" collapsed="1" thickBot="1" x14ac:dyDescent="0.3">
      <c r="A7" s="1586"/>
      <c r="B7" s="3231" t="s">
        <v>41</v>
      </c>
      <c r="C7" s="3274"/>
      <c r="D7" s="3274"/>
      <c r="E7" s="2028">
        <f t="shared" si="0"/>
        <v>0</v>
      </c>
      <c r="F7" s="3277"/>
      <c r="G7" s="3277"/>
      <c r="H7" s="3274"/>
      <c r="I7" s="3274"/>
      <c r="J7" s="2028">
        <f>H7+I7</f>
        <v>0</v>
      </c>
      <c r="K7" s="3277"/>
      <c r="L7" s="3277"/>
      <c r="M7" s="3274"/>
      <c r="N7" s="3274"/>
      <c r="O7" s="2028">
        <f t="shared" si="1"/>
        <v>0</v>
      </c>
      <c r="P7" s="3277"/>
      <c r="Q7" s="3277"/>
      <c r="R7" s="3275">
        <f>M7+H7+C7</f>
        <v>0</v>
      </c>
      <c r="S7" s="3275">
        <f>N7+I7+D7</f>
        <v>0</v>
      </c>
      <c r="T7" s="2028">
        <f t="shared" si="2"/>
        <v>0</v>
      </c>
      <c r="U7" s="3278"/>
      <c r="V7" s="3278"/>
      <c r="W7" s="3275">
        <f>AB7+AG7+AL7+AV7+BA7+BF7+BK7+BP7+BU7+BZ7+CE7+AQ7</f>
        <v>0</v>
      </c>
      <c r="X7" s="3275">
        <f>AC7+AH7+AM7+AW7+BB7+BG7+BL7+BQ7+BV7+CA7+CF7+AR7</f>
        <v>0</v>
      </c>
      <c r="Y7" s="2028">
        <f t="shared" si="3"/>
        <v>0</v>
      </c>
      <c r="Z7" s="3278"/>
      <c r="AA7" s="3278"/>
      <c r="AB7" s="3274"/>
      <c r="AC7" s="3274"/>
      <c r="AD7" s="2028">
        <f t="shared" si="4"/>
        <v>0</v>
      </c>
      <c r="AE7" s="3277"/>
      <c r="AF7" s="3277"/>
      <c r="AG7" s="3274"/>
      <c r="AH7" s="3274"/>
      <c r="AI7" s="2028">
        <f t="shared" si="5"/>
        <v>0</v>
      </c>
      <c r="AJ7" s="3277"/>
      <c r="AK7" s="3277"/>
      <c r="AL7" s="3274"/>
      <c r="AM7" s="3274"/>
      <c r="AN7" s="2028">
        <f t="shared" si="6"/>
        <v>0</v>
      </c>
      <c r="AO7" s="3277"/>
      <c r="AP7" s="3277"/>
      <c r="AQ7" s="3274"/>
      <c r="AR7" s="3274"/>
      <c r="AS7" s="2028">
        <f t="shared" si="7"/>
        <v>0</v>
      </c>
      <c r="AT7" s="3277"/>
      <c r="AU7" s="3277"/>
      <c r="AV7" s="3274"/>
      <c r="AW7" s="3274"/>
      <c r="AX7" s="2028">
        <f t="shared" si="8"/>
        <v>0</v>
      </c>
      <c r="AY7" s="3277"/>
      <c r="AZ7" s="3277"/>
      <c r="BA7" s="3274"/>
      <c r="BB7" s="3274"/>
      <c r="BC7" s="2028">
        <f t="shared" si="9"/>
        <v>0</v>
      </c>
      <c r="BD7" s="3277"/>
      <c r="BE7" s="3277"/>
      <c r="BF7" s="3274"/>
      <c r="BG7" s="3274"/>
      <c r="BH7" s="2028">
        <f t="shared" si="10"/>
        <v>0</v>
      </c>
      <c r="BI7" s="3277"/>
      <c r="BJ7" s="3277"/>
      <c r="BK7" s="3274"/>
      <c r="BL7" s="3274"/>
      <c r="BM7" s="2028">
        <f t="shared" si="11"/>
        <v>0</v>
      </c>
      <c r="BN7" s="3277"/>
      <c r="BO7" s="3277"/>
      <c r="BP7" s="3274"/>
      <c r="BQ7" s="3274"/>
      <c r="BR7" s="2028">
        <f t="shared" si="12"/>
        <v>0</v>
      </c>
      <c r="BS7" s="3277"/>
      <c r="BT7" s="3277"/>
      <c r="BU7" s="3274"/>
      <c r="BV7" s="3274"/>
      <c r="BW7" s="2028">
        <f t="shared" si="13"/>
        <v>0</v>
      </c>
      <c r="BX7" s="3277"/>
      <c r="BY7" s="3277"/>
      <c r="BZ7" s="3274"/>
      <c r="CA7" s="3274"/>
      <c r="CB7" s="2028">
        <f t="shared" si="14"/>
        <v>0</v>
      </c>
      <c r="CC7" s="3277"/>
      <c r="CD7" s="3277"/>
      <c r="CE7" s="3274"/>
      <c r="CF7" s="3274"/>
      <c r="CG7" s="2028">
        <f t="shared" si="15"/>
        <v>0</v>
      </c>
      <c r="CH7" s="3277"/>
      <c r="CI7" s="3277"/>
      <c r="CJ7" s="3274">
        <f>C7+H7+M7+W7</f>
        <v>0</v>
      </c>
      <c r="CK7" s="3274">
        <f>D7+I7+N7+X7</f>
        <v>0</v>
      </c>
      <c r="CL7" s="2028">
        <f>CJ7+CK7</f>
        <v>0</v>
      </c>
      <c r="CM7" s="3277"/>
      <c r="CN7" s="3277"/>
      <c r="CP7" s="2028"/>
      <c r="CQ7" s="2028"/>
      <c r="CR7" s="3449"/>
      <c r="CT7" s="2644"/>
    </row>
    <row r="8" spans="1:98" s="1411" customFormat="1" ht="14.4" outlineLevel="1" thickBot="1" x14ac:dyDescent="0.3">
      <c r="A8" s="1586"/>
      <c r="B8" s="1478" t="s">
        <v>16</v>
      </c>
      <c r="C8" s="1973">
        <f>SUM(C9:C33)</f>
        <v>0</v>
      </c>
      <c r="D8" s="1973">
        <f>SUM(D9:D33)</f>
        <v>0</v>
      </c>
      <c r="E8" s="1499">
        <f>SUM(E9:E33)</f>
        <v>0</v>
      </c>
      <c r="F8" s="1543" t="e">
        <f t="shared" ref="F8:F33" si="16">E8/$E$89</f>
        <v>#DIV/0!</v>
      </c>
      <c r="G8" s="1481"/>
      <c r="H8" s="1973">
        <f>SUM(H9:H33)</f>
        <v>0</v>
      </c>
      <c r="I8" s="1973">
        <f>SUM(I9:I33)</f>
        <v>0</v>
      </c>
      <c r="J8" s="1499">
        <f>SUM(J9:J33)</f>
        <v>0</v>
      </c>
      <c r="K8" s="1543" t="e">
        <f t="shared" ref="K8" si="17">J8/$E$89</f>
        <v>#DIV/0!</v>
      </c>
      <c r="L8" s="1481"/>
      <c r="M8" s="1973">
        <f>SUM(M9:M33)</f>
        <v>0</v>
      </c>
      <c r="N8" s="1973">
        <f>SUM(N9:N33)</f>
        <v>0</v>
      </c>
      <c r="O8" s="1499">
        <f>SUM(O9:O33)</f>
        <v>0</v>
      </c>
      <c r="P8" s="1543" t="e">
        <f t="shared" ref="P8" si="18">O8/$E$89</f>
        <v>#DIV/0!</v>
      </c>
      <c r="Q8" s="1481"/>
      <c r="R8" s="1973">
        <f>SUM(R9:R33)</f>
        <v>0</v>
      </c>
      <c r="S8" s="1973">
        <f>SUM(S9:S33)</f>
        <v>0</v>
      </c>
      <c r="T8" s="1499">
        <f>SUM(T9:T33)</f>
        <v>0</v>
      </c>
      <c r="U8" s="1543"/>
      <c r="V8" s="1481"/>
      <c r="W8" s="1973">
        <f>SUM(W9:W33)</f>
        <v>0</v>
      </c>
      <c r="X8" s="1973">
        <f>SUM(X9:X33)</f>
        <v>0</v>
      </c>
      <c r="Y8" s="1499">
        <f>SUM(Y9:Y33)</f>
        <v>0</v>
      </c>
      <c r="Z8" s="1543"/>
      <c r="AA8" s="1481"/>
      <c r="AB8" s="1973">
        <f>SUM(AB9:AB33)</f>
        <v>0</v>
      </c>
      <c r="AC8" s="1973">
        <f>SUM(AC9:AC33)</f>
        <v>0</v>
      </c>
      <c r="AD8" s="1499">
        <f>SUM(AD9:AD33)</f>
        <v>0</v>
      </c>
      <c r="AE8" s="1543"/>
      <c r="AF8" s="1481"/>
      <c r="AG8" s="1973">
        <f>SUM(AG9:AG33)</f>
        <v>0</v>
      </c>
      <c r="AH8" s="1973">
        <f>SUM(AH9:AH33)</f>
        <v>0</v>
      </c>
      <c r="AI8" s="1499">
        <f>SUM(AI9:AI33)</f>
        <v>0</v>
      </c>
      <c r="AJ8" s="1543"/>
      <c r="AK8" s="1481"/>
      <c r="AL8" s="1973">
        <f>SUM(AL9:AL33)</f>
        <v>0</v>
      </c>
      <c r="AM8" s="1973">
        <f>SUM(AM9:AM33)</f>
        <v>0</v>
      </c>
      <c r="AN8" s="1499">
        <f>SUM(AN9:AN33)</f>
        <v>0</v>
      </c>
      <c r="AO8" s="1543"/>
      <c r="AP8" s="1481"/>
      <c r="AQ8" s="1973">
        <f>SUM(AQ9:AQ33)</f>
        <v>0</v>
      </c>
      <c r="AR8" s="1973">
        <f>SUM(AR9:AR33)</f>
        <v>0</v>
      </c>
      <c r="AS8" s="1499">
        <f>SUM(AS9:AS33)</f>
        <v>0</v>
      </c>
      <c r="AT8" s="1543"/>
      <c r="AU8" s="1481"/>
      <c r="AV8" s="1973">
        <f>SUM(AV9:AV33)</f>
        <v>0</v>
      </c>
      <c r="AW8" s="1973">
        <f>SUM(AW9:AW33)</f>
        <v>0</v>
      </c>
      <c r="AX8" s="1499">
        <f>SUM(AX9:AX33)</f>
        <v>0</v>
      </c>
      <c r="AY8" s="1543"/>
      <c r="AZ8" s="1481"/>
      <c r="BA8" s="1973">
        <f>SUM(BA9:BA33)</f>
        <v>0</v>
      </c>
      <c r="BB8" s="1973">
        <f>SUM(BB9:BB33)</f>
        <v>0</v>
      </c>
      <c r="BC8" s="1499">
        <f>SUM(BC9:BC33)</f>
        <v>0</v>
      </c>
      <c r="BD8" s="1543"/>
      <c r="BE8" s="1481"/>
      <c r="BF8" s="1973">
        <f>SUM(BF9:BF33)</f>
        <v>0</v>
      </c>
      <c r="BG8" s="1973">
        <f>SUM(BG9:BG33)</f>
        <v>0</v>
      </c>
      <c r="BH8" s="1499">
        <f>SUM(BH9:BH33)</f>
        <v>0</v>
      </c>
      <c r="BI8" s="1543"/>
      <c r="BJ8" s="1481"/>
      <c r="BK8" s="1973">
        <f>SUM(BK9:BK33)</f>
        <v>0</v>
      </c>
      <c r="BL8" s="1973">
        <f>SUM(BL9:BL33)</f>
        <v>0</v>
      </c>
      <c r="BM8" s="1499">
        <f>SUM(BM9:BM33)</f>
        <v>0</v>
      </c>
      <c r="BN8" s="1543"/>
      <c r="BO8" s="1481"/>
      <c r="BP8" s="1973">
        <f>SUM(BP9:BP33)</f>
        <v>0</v>
      </c>
      <c r="BQ8" s="1973">
        <f>SUM(BQ9:BQ33)</f>
        <v>0</v>
      </c>
      <c r="BR8" s="1499">
        <f>SUM(BR9:BR33)</f>
        <v>0</v>
      </c>
      <c r="BS8" s="1543"/>
      <c r="BT8" s="1481"/>
      <c r="BU8" s="1973">
        <f>SUM(BU9:BU33)</f>
        <v>0</v>
      </c>
      <c r="BV8" s="1973">
        <f>SUM(BV9:BV33)</f>
        <v>0</v>
      </c>
      <c r="BW8" s="1499">
        <f>SUM(BW9:BW33)</f>
        <v>0</v>
      </c>
      <c r="BX8" s="1543"/>
      <c r="BY8" s="1481"/>
      <c r="BZ8" s="1973">
        <f>SUM(BZ9:BZ33)</f>
        <v>0</v>
      </c>
      <c r="CA8" s="1973">
        <f>SUM(CA9:CA33)</f>
        <v>0</v>
      </c>
      <c r="CB8" s="1499">
        <f>SUM(CB9:CB33)</f>
        <v>0</v>
      </c>
      <c r="CC8" s="1543"/>
      <c r="CD8" s="1481"/>
      <c r="CE8" s="1973">
        <f>SUM(CE9:CE33)</f>
        <v>0</v>
      </c>
      <c r="CF8" s="1973">
        <f>SUM(CF9:CF33)</f>
        <v>0</v>
      </c>
      <c r="CG8" s="1499">
        <f>SUM(CG9:CG33)</f>
        <v>0</v>
      </c>
      <c r="CH8" s="1543"/>
      <c r="CI8" s="1481"/>
      <c r="CJ8" s="1973">
        <f>SUM(CJ9:CJ33)</f>
        <v>0</v>
      </c>
      <c r="CK8" s="1973">
        <f>SUM(CK9:CK33)</f>
        <v>0</v>
      </c>
      <c r="CL8" s="1499">
        <f>SUM(CL9:CL33)</f>
        <v>0</v>
      </c>
      <c r="CM8" s="1543"/>
      <c r="CN8" s="1481"/>
      <c r="CP8" s="1499">
        <f>SUM(CP9:CP33)</f>
        <v>0</v>
      </c>
      <c r="CQ8" s="1499">
        <f>SUM(CQ9:CQ33)</f>
        <v>0</v>
      </c>
      <c r="CR8" s="3447">
        <f>SUM(CR9:CR33)</f>
        <v>0</v>
      </c>
      <c r="CT8" s="2644"/>
    </row>
    <row r="9" spans="1:98" s="1411" customFormat="1" ht="13.8" outlineLevel="2" x14ac:dyDescent="0.25">
      <c r="A9" s="1586"/>
      <c r="B9" s="1439" t="s">
        <v>74</v>
      </c>
      <c r="C9" s="3274"/>
      <c r="D9" s="3274"/>
      <c r="E9" s="3283">
        <f t="shared" ref="E9:E32" si="19">C9+D9</f>
        <v>0</v>
      </c>
      <c r="F9" s="3284" t="e">
        <f t="shared" si="16"/>
        <v>#DIV/0!</v>
      </c>
      <c r="G9" s="2063"/>
      <c r="H9" s="3274"/>
      <c r="I9" s="3274"/>
      <c r="J9" s="3283">
        <f t="shared" ref="J9:J32" si="20">H9+I9</f>
        <v>0</v>
      </c>
      <c r="K9" s="3284" t="e">
        <f>J9/J$89</f>
        <v>#DIV/0!</v>
      </c>
      <c r="L9" s="2063"/>
      <c r="M9" s="3274"/>
      <c r="N9" s="3274"/>
      <c r="O9" s="3283">
        <f t="shared" ref="O9:O32" si="21">M9+N9</f>
        <v>0</v>
      </c>
      <c r="P9" s="3284" t="e">
        <f t="shared" ref="P9:P33" si="22">O9/O$89</f>
        <v>#DIV/0!</v>
      </c>
      <c r="Q9" s="2063"/>
      <c r="R9" s="3275">
        <f t="shared" ref="R9:S33" si="23">M9+H9+C9</f>
        <v>0</v>
      </c>
      <c r="S9" s="3275">
        <f t="shared" si="23"/>
        <v>0</v>
      </c>
      <c r="T9" s="2028">
        <f t="shared" ref="T9:T33" si="24">R9+S9</f>
        <v>0</v>
      </c>
      <c r="U9" s="2063"/>
      <c r="V9" s="2063"/>
      <c r="W9" s="3275">
        <f t="shared" ref="W9:X33" si="25">AB9+AG9+AL9+AV9+BA9+BF9+BK9+BP9+BU9+BZ9+CE9+AQ9</f>
        <v>0</v>
      </c>
      <c r="X9" s="3275">
        <f t="shared" si="25"/>
        <v>0</v>
      </c>
      <c r="Y9" s="2028">
        <f t="shared" ref="Y9:Y33" si="26">W9+X9</f>
        <v>0</v>
      </c>
      <c r="Z9" s="2063"/>
      <c r="AA9" s="2063"/>
      <c r="AB9" s="3274"/>
      <c r="AC9" s="3274"/>
      <c r="AD9" s="3283">
        <f t="shared" ref="AD9:AD32" si="27">AB9+AC9</f>
        <v>0</v>
      </c>
      <c r="AE9" s="3284" t="e">
        <f>AD9/AD$89</f>
        <v>#DIV/0!</v>
      </c>
      <c r="AF9" s="2063"/>
      <c r="AG9" s="3274"/>
      <c r="AH9" s="3274"/>
      <c r="AI9" s="3283">
        <f t="shared" ref="AI9:AI32" si="28">AG9+AH9</f>
        <v>0</v>
      </c>
      <c r="AJ9" s="3284" t="e">
        <f>AI9/AI$89</f>
        <v>#DIV/0!</v>
      </c>
      <c r="AK9" s="2063"/>
      <c r="AL9" s="3274"/>
      <c r="AM9" s="3274"/>
      <c r="AN9" s="3283">
        <f t="shared" ref="AN9:AN32" si="29">AL9+AM9</f>
        <v>0</v>
      </c>
      <c r="AO9" s="3284" t="e">
        <f>AN9/AN$89</f>
        <v>#DIV/0!</v>
      </c>
      <c r="AP9" s="2063"/>
      <c r="AQ9" s="3274"/>
      <c r="AR9" s="3274"/>
      <c r="AS9" s="3283">
        <f t="shared" ref="AS9:AS32" si="30">AQ9+AR9</f>
        <v>0</v>
      </c>
      <c r="AT9" s="3284" t="e">
        <f>AS9/AS$89</f>
        <v>#DIV/0!</v>
      </c>
      <c r="AU9" s="2063"/>
      <c r="AV9" s="3274"/>
      <c r="AW9" s="3274"/>
      <c r="AX9" s="3283">
        <f t="shared" ref="AX9:AX32" si="31">AV9+AW9</f>
        <v>0</v>
      </c>
      <c r="AY9" s="3284" t="e">
        <f>AX9/AX$89</f>
        <v>#DIV/0!</v>
      </c>
      <c r="AZ9" s="2063"/>
      <c r="BA9" s="3274"/>
      <c r="BB9" s="3274"/>
      <c r="BC9" s="3283">
        <f t="shared" ref="BC9:BC32" si="32">BA9+BB9</f>
        <v>0</v>
      </c>
      <c r="BD9" s="3284" t="e">
        <f>BC9/BC$89</f>
        <v>#DIV/0!</v>
      </c>
      <c r="BE9" s="2063"/>
      <c r="BF9" s="3274"/>
      <c r="BG9" s="3274"/>
      <c r="BH9" s="3283">
        <f t="shared" ref="BH9:BH32" si="33">BF9+BG9</f>
        <v>0</v>
      </c>
      <c r="BI9" s="3284" t="e">
        <f>BH9/BH$89</f>
        <v>#DIV/0!</v>
      </c>
      <c r="BJ9" s="2063"/>
      <c r="BK9" s="3274"/>
      <c r="BL9" s="3274"/>
      <c r="BM9" s="3283">
        <f t="shared" ref="BM9:BM32" si="34">BK9+BL9</f>
        <v>0</v>
      </c>
      <c r="BN9" s="3284" t="e">
        <f>BM9/BM$89</f>
        <v>#DIV/0!</v>
      </c>
      <c r="BO9" s="2063"/>
      <c r="BP9" s="3274"/>
      <c r="BQ9" s="3274"/>
      <c r="BR9" s="3283">
        <f t="shared" ref="BR9:BR32" si="35">BP9+BQ9</f>
        <v>0</v>
      </c>
      <c r="BS9" s="3284" t="e">
        <f>BR9/BR$89</f>
        <v>#DIV/0!</v>
      </c>
      <c r="BT9" s="2063"/>
      <c r="BU9" s="3274"/>
      <c r="BV9" s="3274"/>
      <c r="BW9" s="3283">
        <f t="shared" ref="BW9:BW32" si="36">BU9+BV9</f>
        <v>0</v>
      </c>
      <c r="BX9" s="3284" t="e">
        <f>BW9/BW$89</f>
        <v>#DIV/0!</v>
      </c>
      <c r="BY9" s="2063"/>
      <c r="BZ9" s="3274"/>
      <c r="CA9" s="3274"/>
      <c r="CB9" s="3283">
        <f t="shared" ref="CB9:CB32" si="37">BZ9+CA9</f>
        <v>0</v>
      </c>
      <c r="CC9" s="3284" t="e">
        <f>CB9/CB$89</f>
        <v>#DIV/0!</v>
      </c>
      <c r="CD9" s="2063"/>
      <c r="CE9" s="3274"/>
      <c r="CF9" s="3274"/>
      <c r="CG9" s="3283">
        <f t="shared" ref="CG9:CG32" si="38">CE9+CF9</f>
        <v>0</v>
      </c>
      <c r="CH9" s="3284" t="e">
        <f>CG9/CG$89</f>
        <v>#DIV/0!</v>
      </c>
      <c r="CI9" s="2063"/>
      <c r="CJ9" s="3274">
        <f t="shared" ref="CJ9:CK33" si="39">C9+H9+M9+W9</f>
        <v>0</v>
      </c>
      <c r="CK9" s="3274">
        <f t="shared" si="39"/>
        <v>0</v>
      </c>
      <c r="CL9" s="3283">
        <f>CJ9+CK9*1</f>
        <v>0</v>
      </c>
      <c r="CM9" s="3284" t="e">
        <f t="shared" ref="CM9:CM33" si="40">CL9/$CL$89</f>
        <v>#DIV/0!</v>
      </c>
      <c r="CN9" s="1449"/>
      <c r="CP9" s="3398"/>
      <c r="CQ9" s="2028">
        <f t="shared" ref="CQ9:CQ32" si="41">CL9</f>
        <v>0</v>
      </c>
      <c r="CR9" s="3448">
        <f>CP9-CQ9</f>
        <v>0</v>
      </c>
      <c r="CS9" s="3232"/>
      <c r="CT9" s="3450"/>
    </row>
    <row r="10" spans="1:98" s="1411" customFormat="1" ht="13.8" outlineLevel="2" x14ac:dyDescent="0.25">
      <c r="A10" s="1586"/>
      <c r="B10" s="1439" t="s">
        <v>72</v>
      </c>
      <c r="C10" s="3274"/>
      <c r="D10" s="3274"/>
      <c r="E10" s="3283">
        <f t="shared" si="19"/>
        <v>0</v>
      </c>
      <c r="F10" s="3284" t="e">
        <f t="shared" si="16"/>
        <v>#DIV/0!</v>
      </c>
      <c r="G10" s="2063"/>
      <c r="H10" s="3274"/>
      <c r="I10" s="3274"/>
      <c r="J10" s="3283">
        <f t="shared" si="20"/>
        <v>0</v>
      </c>
      <c r="K10" s="3284" t="e">
        <f t="shared" ref="K10:K33" si="42">J10/J$89</f>
        <v>#DIV/0!</v>
      </c>
      <c r="L10" s="2063"/>
      <c r="M10" s="3274"/>
      <c r="N10" s="3274"/>
      <c r="O10" s="3283">
        <f t="shared" si="21"/>
        <v>0</v>
      </c>
      <c r="P10" s="3284" t="e">
        <f t="shared" si="22"/>
        <v>#DIV/0!</v>
      </c>
      <c r="Q10" s="2063"/>
      <c r="R10" s="3275">
        <f t="shared" si="23"/>
        <v>0</v>
      </c>
      <c r="S10" s="3275">
        <f t="shared" si="23"/>
        <v>0</v>
      </c>
      <c r="T10" s="2028">
        <f t="shared" si="24"/>
        <v>0</v>
      </c>
      <c r="U10" s="2063"/>
      <c r="V10" s="2063"/>
      <c r="W10" s="3275">
        <f t="shared" si="25"/>
        <v>0</v>
      </c>
      <c r="X10" s="3275">
        <f t="shared" si="25"/>
        <v>0</v>
      </c>
      <c r="Y10" s="2028">
        <f t="shared" si="26"/>
        <v>0</v>
      </c>
      <c r="Z10" s="2063"/>
      <c r="AA10" s="2063"/>
      <c r="AB10" s="3274"/>
      <c r="AC10" s="3274"/>
      <c r="AD10" s="3283">
        <f t="shared" si="27"/>
        <v>0</v>
      </c>
      <c r="AE10" s="3284" t="e">
        <f t="shared" ref="AE10:AE33" si="43">AD10/AD$89</f>
        <v>#DIV/0!</v>
      </c>
      <c r="AF10" s="2063"/>
      <c r="AG10" s="3274"/>
      <c r="AH10" s="3274"/>
      <c r="AI10" s="3283">
        <f t="shared" si="28"/>
        <v>0</v>
      </c>
      <c r="AJ10" s="3284" t="e">
        <f t="shared" ref="AJ10:AJ33" si="44">AI10/AI$89</f>
        <v>#DIV/0!</v>
      </c>
      <c r="AK10" s="2063"/>
      <c r="AL10" s="3274"/>
      <c r="AM10" s="3274"/>
      <c r="AN10" s="3283">
        <f t="shared" si="29"/>
        <v>0</v>
      </c>
      <c r="AO10" s="3284" t="e">
        <f t="shared" ref="AO10:AO33" si="45">AN10/AN$89</f>
        <v>#DIV/0!</v>
      </c>
      <c r="AP10" s="2063"/>
      <c r="AQ10" s="3274"/>
      <c r="AR10" s="3274"/>
      <c r="AS10" s="3283">
        <f t="shared" si="30"/>
        <v>0</v>
      </c>
      <c r="AT10" s="3284" t="e">
        <f t="shared" ref="AT10:AT33" si="46">AS10/AS$89</f>
        <v>#DIV/0!</v>
      </c>
      <c r="AU10" s="2063"/>
      <c r="AV10" s="3274"/>
      <c r="AW10" s="3274"/>
      <c r="AX10" s="3283">
        <f t="shared" si="31"/>
        <v>0</v>
      </c>
      <c r="AY10" s="3284" t="e">
        <f t="shared" ref="AY10:AY33" si="47">AX10/AX$89</f>
        <v>#DIV/0!</v>
      </c>
      <c r="AZ10" s="2063"/>
      <c r="BA10" s="3274"/>
      <c r="BB10" s="3274"/>
      <c r="BC10" s="3283">
        <f t="shared" si="32"/>
        <v>0</v>
      </c>
      <c r="BD10" s="3284" t="e">
        <f t="shared" ref="BD10:BD33" si="48">BC10/BC$89</f>
        <v>#DIV/0!</v>
      </c>
      <c r="BE10" s="2063"/>
      <c r="BF10" s="3274"/>
      <c r="BG10" s="3274"/>
      <c r="BH10" s="3283">
        <f t="shared" si="33"/>
        <v>0</v>
      </c>
      <c r="BI10" s="3284" t="e">
        <f t="shared" ref="BI10:BI33" si="49">BH10/BH$89</f>
        <v>#DIV/0!</v>
      </c>
      <c r="BJ10" s="2063"/>
      <c r="BK10" s="3274"/>
      <c r="BL10" s="3274"/>
      <c r="BM10" s="3283">
        <f t="shared" si="34"/>
        <v>0</v>
      </c>
      <c r="BN10" s="3284" t="e">
        <f t="shared" ref="BN10:BN33" si="50">BM10/BM$89</f>
        <v>#DIV/0!</v>
      </c>
      <c r="BO10" s="2063"/>
      <c r="BP10" s="3274"/>
      <c r="BQ10" s="3274"/>
      <c r="BR10" s="3283">
        <f t="shared" si="35"/>
        <v>0</v>
      </c>
      <c r="BS10" s="3284" t="e">
        <f t="shared" ref="BS10:BS33" si="51">BR10/BR$89</f>
        <v>#DIV/0!</v>
      </c>
      <c r="BT10" s="2063"/>
      <c r="BU10" s="3274"/>
      <c r="BV10" s="3274"/>
      <c r="BW10" s="3283">
        <f t="shared" si="36"/>
        <v>0</v>
      </c>
      <c r="BX10" s="3284" t="e">
        <f t="shared" ref="BX10:BX33" si="52">BW10/BW$89</f>
        <v>#DIV/0!</v>
      </c>
      <c r="BY10" s="2063"/>
      <c r="BZ10" s="3274"/>
      <c r="CA10" s="3274"/>
      <c r="CB10" s="3283">
        <f t="shared" si="37"/>
        <v>0</v>
      </c>
      <c r="CC10" s="3284" t="e">
        <f t="shared" ref="CC10:CC33" si="53">CB10/CB$89</f>
        <v>#DIV/0!</v>
      </c>
      <c r="CD10" s="2063"/>
      <c r="CE10" s="3274"/>
      <c r="CF10" s="3274"/>
      <c r="CG10" s="3283">
        <f t="shared" si="38"/>
        <v>0</v>
      </c>
      <c r="CH10" s="3284" t="e">
        <f t="shared" ref="CH10:CH33" si="54">CG10/CG$89</f>
        <v>#DIV/0!</v>
      </c>
      <c r="CI10" s="2063"/>
      <c r="CJ10" s="3274">
        <f t="shared" si="39"/>
        <v>0</v>
      </c>
      <c r="CK10" s="3274">
        <f t="shared" si="39"/>
        <v>0</v>
      </c>
      <c r="CL10" s="3283">
        <f t="shared" ref="CL10:CL33" si="55">CJ10+CK10*1</f>
        <v>0</v>
      </c>
      <c r="CM10" s="3284" t="e">
        <f t="shared" si="40"/>
        <v>#DIV/0!</v>
      </c>
      <c r="CN10" s="1449"/>
      <c r="CP10" s="3398"/>
      <c r="CQ10" s="2028">
        <f t="shared" si="41"/>
        <v>0</v>
      </c>
      <c r="CR10" s="3448">
        <f t="shared" ref="CR10:CR33" si="56">CP10-CQ10</f>
        <v>0</v>
      </c>
      <c r="CT10" s="2644"/>
    </row>
    <row r="11" spans="1:98" s="1411" customFormat="1" ht="13.8" outlineLevel="2" x14ac:dyDescent="0.25">
      <c r="A11" s="1586"/>
      <c r="B11" s="1439" t="s">
        <v>69</v>
      </c>
      <c r="C11" s="3274"/>
      <c r="D11" s="3274"/>
      <c r="E11" s="3283">
        <f t="shared" si="19"/>
        <v>0</v>
      </c>
      <c r="F11" s="3284" t="e">
        <f t="shared" si="16"/>
        <v>#DIV/0!</v>
      </c>
      <c r="G11" s="1065"/>
      <c r="H11" s="3274"/>
      <c r="I11" s="3274"/>
      <c r="J11" s="3283">
        <f t="shared" si="20"/>
        <v>0</v>
      </c>
      <c r="K11" s="3284" t="e">
        <f t="shared" si="42"/>
        <v>#DIV/0!</v>
      </c>
      <c r="L11" s="1065"/>
      <c r="M11" s="3274"/>
      <c r="N11" s="3274"/>
      <c r="O11" s="3283">
        <f t="shared" si="21"/>
        <v>0</v>
      </c>
      <c r="P11" s="3284" t="e">
        <f t="shared" si="22"/>
        <v>#DIV/0!</v>
      </c>
      <c r="Q11" s="1065"/>
      <c r="R11" s="3275">
        <f t="shared" si="23"/>
        <v>0</v>
      </c>
      <c r="S11" s="3275">
        <f t="shared" si="23"/>
        <v>0</v>
      </c>
      <c r="T11" s="2028">
        <f t="shared" si="24"/>
        <v>0</v>
      </c>
      <c r="U11" s="1065"/>
      <c r="V11" s="1065"/>
      <c r="W11" s="3275">
        <f t="shared" si="25"/>
        <v>0</v>
      </c>
      <c r="X11" s="3275">
        <f t="shared" si="25"/>
        <v>0</v>
      </c>
      <c r="Y11" s="2028">
        <f t="shared" si="26"/>
        <v>0</v>
      </c>
      <c r="Z11" s="1065"/>
      <c r="AA11" s="1065"/>
      <c r="AB11" s="3274"/>
      <c r="AC11" s="3274"/>
      <c r="AD11" s="3283">
        <f t="shared" si="27"/>
        <v>0</v>
      </c>
      <c r="AE11" s="3284" t="e">
        <f t="shared" si="43"/>
        <v>#DIV/0!</v>
      </c>
      <c r="AF11" s="1065"/>
      <c r="AG11" s="3274"/>
      <c r="AH11" s="3274"/>
      <c r="AI11" s="3283">
        <f t="shared" si="28"/>
        <v>0</v>
      </c>
      <c r="AJ11" s="3284" t="e">
        <f t="shared" si="44"/>
        <v>#DIV/0!</v>
      </c>
      <c r="AK11" s="1065"/>
      <c r="AL11" s="3274"/>
      <c r="AM11" s="3274"/>
      <c r="AN11" s="3283">
        <f t="shared" si="29"/>
        <v>0</v>
      </c>
      <c r="AO11" s="3284" t="e">
        <f t="shared" si="45"/>
        <v>#DIV/0!</v>
      </c>
      <c r="AP11" s="1065"/>
      <c r="AQ11" s="3274"/>
      <c r="AR11" s="3274"/>
      <c r="AS11" s="3283">
        <f t="shared" si="30"/>
        <v>0</v>
      </c>
      <c r="AT11" s="3284" t="e">
        <f t="shared" si="46"/>
        <v>#DIV/0!</v>
      </c>
      <c r="AU11" s="1065"/>
      <c r="AV11" s="3274"/>
      <c r="AW11" s="3274"/>
      <c r="AX11" s="3283">
        <f t="shared" si="31"/>
        <v>0</v>
      </c>
      <c r="AY11" s="3284" t="e">
        <f t="shared" si="47"/>
        <v>#DIV/0!</v>
      </c>
      <c r="AZ11" s="1065"/>
      <c r="BA11" s="3274"/>
      <c r="BB11" s="3274"/>
      <c r="BC11" s="3283">
        <f t="shared" si="32"/>
        <v>0</v>
      </c>
      <c r="BD11" s="3284" t="e">
        <f t="shared" si="48"/>
        <v>#DIV/0!</v>
      </c>
      <c r="BE11" s="1065"/>
      <c r="BF11" s="3274"/>
      <c r="BG11" s="3274"/>
      <c r="BH11" s="3283">
        <f t="shared" si="33"/>
        <v>0</v>
      </c>
      <c r="BI11" s="3284" t="e">
        <f t="shared" si="49"/>
        <v>#DIV/0!</v>
      </c>
      <c r="BJ11" s="1065"/>
      <c r="BK11" s="3274"/>
      <c r="BL11" s="3274"/>
      <c r="BM11" s="3283">
        <f t="shared" si="34"/>
        <v>0</v>
      </c>
      <c r="BN11" s="3284" t="e">
        <f t="shared" si="50"/>
        <v>#DIV/0!</v>
      </c>
      <c r="BO11" s="1065"/>
      <c r="BP11" s="3274"/>
      <c r="BQ11" s="3274"/>
      <c r="BR11" s="3283">
        <f t="shared" si="35"/>
        <v>0</v>
      </c>
      <c r="BS11" s="3284" t="e">
        <f t="shared" si="51"/>
        <v>#DIV/0!</v>
      </c>
      <c r="BT11" s="1065"/>
      <c r="BU11" s="3274"/>
      <c r="BV11" s="3274"/>
      <c r="BW11" s="3283">
        <f t="shared" si="36"/>
        <v>0</v>
      </c>
      <c r="BX11" s="3284" t="e">
        <f t="shared" si="52"/>
        <v>#DIV/0!</v>
      </c>
      <c r="BY11" s="1065"/>
      <c r="BZ11" s="3274"/>
      <c r="CA11" s="3274"/>
      <c r="CB11" s="3283">
        <f t="shared" si="37"/>
        <v>0</v>
      </c>
      <c r="CC11" s="3284" t="e">
        <f t="shared" si="53"/>
        <v>#DIV/0!</v>
      </c>
      <c r="CD11" s="1065"/>
      <c r="CE11" s="3274"/>
      <c r="CF11" s="3274"/>
      <c r="CG11" s="3283">
        <f t="shared" si="38"/>
        <v>0</v>
      </c>
      <c r="CH11" s="3284" t="e">
        <f t="shared" si="54"/>
        <v>#DIV/0!</v>
      </c>
      <c r="CI11" s="1065"/>
      <c r="CJ11" s="3274">
        <f t="shared" si="39"/>
        <v>0</v>
      </c>
      <c r="CK11" s="3274">
        <f t="shared" si="39"/>
        <v>0</v>
      </c>
      <c r="CL11" s="3283">
        <f t="shared" si="55"/>
        <v>0</v>
      </c>
      <c r="CM11" s="3284" t="e">
        <f t="shared" si="40"/>
        <v>#DIV/0!</v>
      </c>
      <c r="CN11" s="1449"/>
      <c r="CP11" s="3398"/>
      <c r="CQ11" s="2028">
        <f t="shared" si="41"/>
        <v>0</v>
      </c>
      <c r="CR11" s="3448">
        <f t="shared" si="56"/>
        <v>0</v>
      </c>
      <c r="CT11" s="2644"/>
    </row>
    <row r="12" spans="1:98" s="1411" customFormat="1" ht="13.8" outlineLevel="2" x14ac:dyDescent="0.25">
      <c r="A12" s="1586"/>
      <c r="B12" s="1439" t="s">
        <v>73</v>
      </c>
      <c r="C12" s="3274"/>
      <c r="D12" s="3274"/>
      <c r="E12" s="3283">
        <f t="shared" si="19"/>
        <v>0</v>
      </c>
      <c r="F12" s="3284" t="e">
        <f t="shared" si="16"/>
        <v>#DIV/0!</v>
      </c>
      <c r="G12" s="1065"/>
      <c r="H12" s="3274"/>
      <c r="I12" s="3274"/>
      <c r="J12" s="3283">
        <f t="shared" si="20"/>
        <v>0</v>
      </c>
      <c r="K12" s="3284" t="e">
        <f t="shared" si="42"/>
        <v>#DIV/0!</v>
      </c>
      <c r="L12" s="1065"/>
      <c r="M12" s="3274"/>
      <c r="N12" s="3274"/>
      <c r="O12" s="3283">
        <f t="shared" si="21"/>
        <v>0</v>
      </c>
      <c r="P12" s="3284" t="e">
        <f t="shared" si="22"/>
        <v>#DIV/0!</v>
      </c>
      <c r="Q12" s="1065"/>
      <c r="R12" s="3275">
        <f t="shared" si="23"/>
        <v>0</v>
      </c>
      <c r="S12" s="3275">
        <f t="shared" si="23"/>
        <v>0</v>
      </c>
      <c r="T12" s="2028">
        <f t="shared" si="24"/>
        <v>0</v>
      </c>
      <c r="U12" s="1065"/>
      <c r="V12" s="1065"/>
      <c r="W12" s="3275">
        <f t="shared" si="25"/>
        <v>0</v>
      </c>
      <c r="X12" s="3275">
        <f t="shared" si="25"/>
        <v>0</v>
      </c>
      <c r="Y12" s="2028">
        <f t="shared" si="26"/>
        <v>0</v>
      </c>
      <c r="Z12" s="1065"/>
      <c r="AA12" s="1065"/>
      <c r="AB12" s="3274"/>
      <c r="AC12" s="3274"/>
      <c r="AD12" s="3283">
        <f t="shared" si="27"/>
        <v>0</v>
      </c>
      <c r="AE12" s="3284" t="e">
        <f t="shared" si="43"/>
        <v>#DIV/0!</v>
      </c>
      <c r="AF12" s="1065"/>
      <c r="AG12" s="3274"/>
      <c r="AH12" s="3274"/>
      <c r="AI12" s="3283">
        <f t="shared" si="28"/>
        <v>0</v>
      </c>
      <c r="AJ12" s="3284" t="e">
        <f t="shared" si="44"/>
        <v>#DIV/0!</v>
      </c>
      <c r="AK12" s="1065"/>
      <c r="AL12" s="3274"/>
      <c r="AM12" s="3274"/>
      <c r="AN12" s="3283">
        <f t="shared" si="29"/>
        <v>0</v>
      </c>
      <c r="AO12" s="3284" t="e">
        <f t="shared" si="45"/>
        <v>#DIV/0!</v>
      </c>
      <c r="AP12" s="1065"/>
      <c r="AQ12" s="3274"/>
      <c r="AR12" s="3274"/>
      <c r="AS12" s="3283">
        <f t="shared" si="30"/>
        <v>0</v>
      </c>
      <c r="AT12" s="3284" t="e">
        <f t="shared" si="46"/>
        <v>#DIV/0!</v>
      </c>
      <c r="AU12" s="1065"/>
      <c r="AV12" s="3274"/>
      <c r="AW12" s="3274"/>
      <c r="AX12" s="3283">
        <f t="shared" si="31"/>
        <v>0</v>
      </c>
      <c r="AY12" s="3284" t="e">
        <f t="shared" si="47"/>
        <v>#DIV/0!</v>
      </c>
      <c r="AZ12" s="1065"/>
      <c r="BA12" s="3274"/>
      <c r="BB12" s="3274"/>
      <c r="BC12" s="3283">
        <f t="shared" si="32"/>
        <v>0</v>
      </c>
      <c r="BD12" s="3284" t="e">
        <f t="shared" si="48"/>
        <v>#DIV/0!</v>
      </c>
      <c r="BE12" s="1065"/>
      <c r="BF12" s="3274"/>
      <c r="BG12" s="3274"/>
      <c r="BH12" s="3283">
        <f t="shared" si="33"/>
        <v>0</v>
      </c>
      <c r="BI12" s="3284" t="e">
        <f t="shared" si="49"/>
        <v>#DIV/0!</v>
      </c>
      <c r="BJ12" s="1065"/>
      <c r="BK12" s="3274"/>
      <c r="BL12" s="3274"/>
      <c r="BM12" s="3283">
        <f t="shared" si="34"/>
        <v>0</v>
      </c>
      <c r="BN12" s="3284" t="e">
        <f t="shared" si="50"/>
        <v>#DIV/0!</v>
      </c>
      <c r="BO12" s="1065"/>
      <c r="BP12" s="3274"/>
      <c r="BQ12" s="3274"/>
      <c r="BR12" s="3283">
        <f t="shared" si="35"/>
        <v>0</v>
      </c>
      <c r="BS12" s="3284" t="e">
        <f t="shared" si="51"/>
        <v>#DIV/0!</v>
      </c>
      <c r="BT12" s="1065"/>
      <c r="BU12" s="3274"/>
      <c r="BV12" s="3274"/>
      <c r="BW12" s="3283">
        <f t="shared" si="36"/>
        <v>0</v>
      </c>
      <c r="BX12" s="3284" t="e">
        <f t="shared" si="52"/>
        <v>#DIV/0!</v>
      </c>
      <c r="BY12" s="1065"/>
      <c r="BZ12" s="3274"/>
      <c r="CA12" s="3274"/>
      <c r="CB12" s="3283">
        <f t="shared" si="37"/>
        <v>0</v>
      </c>
      <c r="CC12" s="3284" t="e">
        <f t="shared" si="53"/>
        <v>#DIV/0!</v>
      </c>
      <c r="CD12" s="1065"/>
      <c r="CE12" s="3274"/>
      <c r="CF12" s="3274"/>
      <c r="CG12" s="3283">
        <f t="shared" si="38"/>
        <v>0</v>
      </c>
      <c r="CH12" s="3284" t="e">
        <f t="shared" si="54"/>
        <v>#DIV/0!</v>
      </c>
      <c r="CI12" s="1065"/>
      <c r="CJ12" s="3274">
        <f t="shared" si="39"/>
        <v>0</v>
      </c>
      <c r="CK12" s="3274">
        <f t="shared" si="39"/>
        <v>0</v>
      </c>
      <c r="CL12" s="3283">
        <f t="shared" si="55"/>
        <v>0</v>
      </c>
      <c r="CM12" s="3284" t="e">
        <f t="shared" si="40"/>
        <v>#DIV/0!</v>
      </c>
      <c r="CN12" s="1449"/>
      <c r="CP12" s="3398"/>
      <c r="CQ12" s="2028">
        <f t="shared" si="41"/>
        <v>0</v>
      </c>
      <c r="CR12" s="3448">
        <f t="shared" si="56"/>
        <v>0</v>
      </c>
      <c r="CT12" s="2644"/>
    </row>
    <row r="13" spans="1:98" s="1411" customFormat="1" ht="13.8" outlineLevel="2" x14ac:dyDescent="0.25">
      <c r="A13" s="1586"/>
      <c r="B13" s="1439" t="s">
        <v>71</v>
      </c>
      <c r="C13" s="3274"/>
      <c r="D13" s="3274"/>
      <c r="E13" s="3283">
        <f t="shared" si="19"/>
        <v>0</v>
      </c>
      <c r="F13" s="3284" t="e">
        <f t="shared" si="16"/>
        <v>#DIV/0!</v>
      </c>
      <c r="G13" s="1065"/>
      <c r="H13" s="3274"/>
      <c r="I13" s="3274"/>
      <c r="J13" s="3283">
        <f t="shared" si="20"/>
        <v>0</v>
      </c>
      <c r="K13" s="3284" t="e">
        <f t="shared" si="42"/>
        <v>#DIV/0!</v>
      </c>
      <c r="L13" s="1065"/>
      <c r="M13" s="3274"/>
      <c r="N13" s="3274"/>
      <c r="O13" s="3283">
        <f t="shared" si="21"/>
        <v>0</v>
      </c>
      <c r="P13" s="3284" t="e">
        <f t="shared" si="22"/>
        <v>#DIV/0!</v>
      </c>
      <c r="Q13" s="1065"/>
      <c r="R13" s="3275">
        <f t="shared" si="23"/>
        <v>0</v>
      </c>
      <c r="S13" s="3275">
        <f t="shared" si="23"/>
        <v>0</v>
      </c>
      <c r="T13" s="2028">
        <f t="shared" si="24"/>
        <v>0</v>
      </c>
      <c r="U13" s="1065"/>
      <c r="V13" s="1065"/>
      <c r="W13" s="3275">
        <f t="shared" si="25"/>
        <v>0</v>
      </c>
      <c r="X13" s="3275">
        <f t="shared" si="25"/>
        <v>0</v>
      </c>
      <c r="Y13" s="2028">
        <f t="shared" si="26"/>
        <v>0</v>
      </c>
      <c r="Z13" s="1065"/>
      <c r="AA13" s="1065"/>
      <c r="AB13" s="3274"/>
      <c r="AC13" s="3274"/>
      <c r="AD13" s="3283">
        <f t="shared" si="27"/>
        <v>0</v>
      </c>
      <c r="AE13" s="3284" t="e">
        <f t="shared" si="43"/>
        <v>#DIV/0!</v>
      </c>
      <c r="AF13" s="1065"/>
      <c r="AG13" s="3274"/>
      <c r="AH13" s="3274"/>
      <c r="AI13" s="3283">
        <f t="shared" si="28"/>
        <v>0</v>
      </c>
      <c r="AJ13" s="3284" t="e">
        <f t="shared" si="44"/>
        <v>#DIV/0!</v>
      </c>
      <c r="AK13" s="1065"/>
      <c r="AL13" s="3274"/>
      <c r="AM13" s="3274"/>
      <c r="AN13" s="3283">
        <f t="shared" si="29"/>
        <v>0</v>
      </c>
      <c r="AO13" s="3284" t="e">
        <f t="shared" si="45"/>
        <v>#DIV/0!</v>
      </c>
      <c r="AP13" s="1065"/>
      <c r="AQ13" s="3274"/>
      <c r="AR13" s="3274"/>
      <c r="AS13" s="3283">
        <f t="shared" si="30"/>
        <v>0</v>
      </c>
      <c r="AT13" s="3284" t="e">
        <f t="shared" si="46"/>
        <v>#DIV/0!</v>
      </c>
      <c r="AU13" s="1065"/>
      <c r="AV13" s="3274"/>
      <c r="AW13" s="3274"/>
      <c r="AX13" s="3283">
        <f t="shared" si="31"/>
        <v>0</v>
      </c>
      <c r="AY13" s="3284" t="e">
        <f t="shared" si="47"/>
        <v>#DIV/0!</v>
      </c>
      <c r="AZ13" s="1065"/>
      <c r="BA13" s="3274"/>
      <c r="BB13" s="3274"/>
      <c r="BC13" s="3283">
        <f t="shared" si="32"/>
        <v>0</v>
      </c>
      <c r="BD13" s="3284" t="e">
        <f t="shared" si="48"/>
        <v>#DIV/0!</v>
      </c>
      <c r="BE13" s="1065"/>
      <c r="BF13" s="3274"/>
      <c r="BG13" s="3274"/>
      <c r="BH13" s="3283">
        <f t="shared" si="33"/>
        <v>0</v>
      </c>
      <c r="BI13" s="3284" t="e">
        <f t="shared" si="49"/>
        <v>#DIV/0!</v>
      </c>
      <c r="BJ13" s="1065"/>
      <c r="BK13" s="3274"/>
      <c r="BL13" s="3274"/>
      <c r="BM13" s="3283">
        <f t="shared" si="34"/>
        <v>0</v>
      </c>
      <c r="BN13" s="3284" t="e">
        <f t="shared" si="50"/>
        <v>#DIV/0!</v>
      </c>
      <c r="BO13" s="1065"/>
      <c r="BP13" s="3274"/>
      <c r="BQ13" s="3274"/>
      <c r="BR13" s="3283">
        <f t="shared" si="35"/>
        <v>0</v>
      </c>
      <c r="BS13" s="3284" t="e">
        <f t="shared" si="51"/>
        <v>#DIV/0!</v>
      </c>
      <c r="BT13" s="1065"/>
      <c r="BU13" s="3274"/>
      <c r="BV13" s="3274"/>
      <c r="BW13" s="3283">
        <f t="shared" si="36"/>
        <v>0</v>
      </c>
      <c r="BX13" s="3284" t="e">
        <f t="shared" si="52"/>
        <v>#DIV/0!</v>
      </c>
      <c r="BY13" s="1065"/>
      <c r="BZ13" s="3274"/>
      <c r="CA13" s="3274"/>
      <c r="CB13" s="3283">
        <f t="shared" si="37"/>
        <v>0</v>
      </c>
      <c r="CC13" s="3284" t="e">
        <f t="shared" si="53"/>
        <v>#DIV/0!</v>
      </c>
      <c r="CD13" s="1065"/>
      <c r="CE13" s="3274"/>
      <c r="CF13" s="3274"/>
      <c r="CG13" s="3283">
        <f t="shared" si="38"/>
        <v>0</v>
      </c>
      <c r="CH13" s="3284" t="e">
        <f t="shared" si="54"/>
        <v>#DIV/0!</v>
      </c>
      <c r="CI13" s="1065"/>
      <c r="CJ13" s="3274">
        <f t="shared" si="39"/>
        <v>0</v>
      </c>
      <c r="CK13" s="3274">
        <f t="shared" si="39"/>
        <v>0</v>
      </c>
      <c r="CL13" s="3283">
        <f t="shared" si="55"/>
        <v>0</v>
      </c>
      <c r="CM13" s="3284" t="e">
        <f t="shared" si="40"/>
        <v>#DIV/0!</v>
      </c>
      <c r="CN13" s="1449"/>
      <c r="CP13" s="3398"/>
      <c r="CQ13" s="2028">
        <f t="shared" si="41"/>
        <v>0</v>
      </c>
      <c r="CR13" s="3448">
        <f t="shared" si="56"/>
        <v>0</v>
      </c>
      <c r="CT13" s="2644"/>
    </row>
    <row r="14" spans="1:98" s="1411" customFormat="1" ht="13.8" outlineLevel="2" x14ac:dyDescent="0.25">
      <c r="A14" s="1586"/>
      <c r="B14" s="1439" t="s">
        <v>70</v>
      </c>
      <c r="C14" s="3274"/>
      <c r="D14" s="3274"/>
      <c r="E14" s="3283">
        <f t="shared" si="19"/>
        <v>0</v>
      </c>
      <c r="F14" s="3284" t="e">
        <f t="shared" si="16"/>
        <v>#DIV/0!</v>
      </c>
      <c r="G14" s="1065"/>
      <c r="H14" s="3274"/>
      <c r="I14" s="3274"/>
      <c r="J14" s="3283">
        <f t="shared" si="20"/>
        <v>0</v>
      </c>
      <c r="K14" s="3284" t="e">
        <f t="shared" si="42"/>
        <v>#DIV/0!</v>
      </c>
      <c r="L14" s="1065"/>
      <c r="M14" s="3274"/>
      <c r="N14" s="3274"/>
      <c r="O14" s="3283">
        <f t="shared" si="21"/>
        <v>0</v>
      </c>
      <c r="P14" s="3284" t="e">
        <f t="shared" si="22"/>
        <v>#DIV/0!</v>
      </c>
      <c r="Q14" s="1065"/>
      <c r="R14" s="3275">
        <f t="shared" si="23"/>
        <v>0</v>
      </c>
      <c r="S14" s="3275">
        <f t="shared" si="23"/>
        <v>0</v>
      </c>
      <c r="T14" s="2028">
        <f t="shared" si="24"/>
        <v>0</v>
      </c>
      <c r="U14" s="1065"/>
      <c r="V14" s="1065"/>
      <c r="W14" s="3275">
        <f t="shared" si="25"/>
        <v>0</v>
      </c>
      <c r="X14" s="3275">
        <f t="shared" si="25"/>
        <v>0</v>
      </c>
      <c r="Y14" s="2028">
        <f t="shared" si="26"/>
        <v>0</v>
      </c>
      <c r="Z14" s="1065"/>
      <c r="AA14" s="1065"/>
      <c r="AB14" s="3274"/>
      <c r="AC14" s="3274"/>
      <c r="AD14" s="3283">
        <f t="shared" si="27"/>
        <v>0</v>
      </c>
      <c r="AE14" s="3284" t="e">
        <f t="shared" si="43"/>
        <v>#DIV/0!</v>
      </c>
      <c r="AF14" s="1065"/>
      <c r="AG14" s="3274"/>
      <c r="AH14" s="3274"/>
      <c r="AI14" s="3283">
        <f t="shared" si="28"/>
        <v>0</v>
      </c>
      <c r="AJ14" s="3284" t="e">
        <f t="shared" si="44"/>
        <v>#DIV/0!</v>
      </c>
      <c r="AK14" s="1065"/>
      <c r="AL14" s="3274"/>
      <c r="AM14" s="3274"/>
      <c r="AN14" s="3283">
        <f t="shared" si="29"/>
        <v>0</v>
      </c>
      <c r="AO14" s="3284" t="e">
        <f t="shared" si="45"/>
        <v>#DIV/0!</v>
      </c>
      <c r="AP14" s="1065"/>
      <c r="AQ14" s="3274"/>
      <c r="AR14" s="3274"/>
      <c r="AS14" s="3283">
        <f t="shared" si="30"/>
        <v>0</v>
      </c>
      <c r="AT14" s="3284" t="e">
        <f t="shared" si="46"/>
        <v>#DIV/0!</v>
      </c>
      <c r="AU14" s="1065"/>
      <c r="AV14" s="3274"/>
      <c r="AW14" s="3274"/>
      <c r="AX14" s="3283">
        <f t="shared" si="31"/>
        <v>0</v>
      </c>
      <c r="AY14" s="3284" t="e">
        <f t="shared" si="47"/>
        <v>#DIV/0!</v>
      </c>
      <c r="AZ14" s="1065"/>
      <c r="BA14" s="3274"/>
      <c r="BB14" s="3274"/>
      <c r="BC14" s="3283">
        <f t="shared" si="32"/>
        <v>0</v>
      </c>
      <c r="BD14" s="3284" t="e">
        <f t="shared" si="48"/>
        <v>#DIV/0!</v>
      </c>
      <c r="BE14" s="1065"/>
      <c r="BF14" s="3274"/>
      <c r="BG14" s="3274"/>
      <c r="BH14" s="3283">
        <f t="shared" si="33"/>
        <v>0</v>
      </c>
      <c r="BI14" s="3284" t="e">
        <f t="shared" si="49"/>
        <v>#DIV/0!</v>
      </c>
      <c r="BJ14" s="1065"/>
      <c r="BK14" s="3274"/>
      <c r="BL14" s="3274"/>
      <c r="BM14" s="3283">
        <f t="shared" si="34"/>
        <v>0</v>
      </c>
      <c r="BN14" s="3284" t="e">
        <f t="shared" si="50"/>
        <v>#DIV/0!</v>
      </c>
      <c r="BO14" s="1065"/>
      <c r="BP14" s="3274"/>
      <c r="BQ14" s="3274"/>
      <c r="BR14" s="3283">
        <f t="shared" si="35"/>
        <v>0</v>
      </c>
      <c r="BS14" s="3284" t="e">
        <f t="shared" si="51"/>
        <v>#DIV/0!</v>
      </c>
      <c r="BT14" s="1065"/>
      <c r="BU14" s="3274"/>
      <c r="BV14" s="3274"/>
      <c r="BW14" s="3283">
        <f t="shared" si="36"/>
        <v>0</v>
      </c>
      <c r="BX14" s="3284" t="e">
        <f t="shared" si="52"/>
        <v>#DIV/0!</v>
      </c>
      <c r="BY14" s="1065"/>
      <c r="BZ14" s="3274"/>
      <c r="CA14" s="3274"/>
      <c r="CB14" s="3283">
        <f t="shared" si="37"/>
        <v>0</v>
      </c>
      <c r="CC14" s="3284" t="e">
        <f t="shared" si="53"/>
        <v>#DIV/0!</v>
      </c>
      <c r="CD14" s="1065"/>
      <c r="CE14" s="3274"/>
      <c r="CF14" s="3274"/>
      <c r="CG14" s="3283">
        <f t="shared" si="38"/>
        <v>0</v>
      </c>
      <c r="CH14" s="3284" t="e">
        <f t="shared" si="54"/>
        <v>#DIV/0!</v>
      </c>
      <c r="CI14" s="1065"/>
      <c r="CJ14" s="3274">
        <f t="shared" si="39"/>
        <v>0</v>
      </c>
      <c r="CK14" s="3274">
        <f t="shared" si="39"/>
        <v>0</v>
      </c>
      <c r="CL14" s="3283">
        <f t="shared" si="55"/>
        <v>0</v>
      </c>
      <c r="CM14" s="3284" t="e">
        <f t="shared" si="40"/>
        <v>#DIV/0!</v>
      </c>
      <c r="CN14" s="1449"/>
      <c r="CP14" s="3398"/>
      <c r="CQ14" s="2028">
        <f t="shared" si="41"/>
        <v>0</v>
      </c>
      <c r="CR14" s="3448">
        <f t="shared" si="56"/>
        <v>0</v>
      </c>
      <c r="CT14" s="2644"/>
    </row>
    <row r="15" spans="1:98" s="1411" customFormat="1" ht="13.8" outlineLevel="2" x14ac:dyDescent="0.25">
      <c r="A15" s="1586"/>
      <c r="B15" s="3451" t="s">
        <v>20</v>
      </c>
      <c r="C15" s="3274"/>
      <c r="D15" s="3274"/>
      <c r="E15" s="3283">
        <f t="shared" si="19"/>
        <v>0</v>
      </c>
      <c r="F15" s="3284" t="e">
        <f t="shared" si="16"/>
        <v>#DIV/0!</v>
      </c>
      <c r="G15" s="1065"/>
      <c r="H15" s="3274"/>
      <c r="I15" s="3274"/>
      <c r="J15" s="3283">
        <f t="shared" si="20"/>
        <v>0</v>
      </c>
      <c r="K15" s="3284" t="e">
        <f t="shared" si="42"/>
        <v>#DIV/0!</v>
      </c>
      <c r="L15" s="1065"/>
      <c r="M15" s="3274"/>
      <c r="N15" s="3274"/>
      <c r="O15" s="3283">
        <f t="shared" si="21"/>
        <v>0</v>
      </c>
      <c r="P15" s="3284" t="e">
        <f t="shared" si="22"/>
        <v>#DIV/0!</v>
      </c>
      <c r="Q15" s="1065"/>
      <c r="R15" s="3275">
        <f t="shared" si="23"/>
        <v>0</v>
      </c>
      <c r="S15" s="3275">
        <f t="shared" si="23"/>
        <v>0</v>
      </c>
      <c r="T15" s="2028">
        <f t="shared" si="24"/>
        <v>0</v>
      </c>
      <c r="U15" s="1065"/>
      <c r="V15" s="1065"/>
      <c r="W15" s="3275">
        <f t="shared" si="25"/>
        <v>0</v>
      </c>
      <c r="X15" s="3275">
        <f t="shared" si="25"/>
        <v>0</v>
      </c>
      <c r="Y15" s="2028">
        <f t="shared" si="26"/>
        <v>0</v>
      </c>
      <c r="Z15" s="1065"/>
      <c r="AA15" s="1065"/>
      <c r="AB15" s="3274"/>
      <c r="AC15" s="3274"/>
      <c r="AD15" s="3283">
        <f t="shared" si="27"/>
        <v>0</v>
      </c>
      <c r="AE15" s="3284" t="e">
        <f t="shared" si="43"/>
        <v>#DIV/0!</v>
      </c>
      <c r="AF15" s="1065"/>
      <c r="AG15" s="3274"/>
      <c r="AH15" s="3274"/>
      <c r="AI15" s="3283">
        <f t="shared" si="28"/>
        <v>0</v>
      </c>
      <c r="AJ15" s="3284" t="e">
        <f t="shared" si="44"/>
        <v>#DIV/0!</v>
      </c>
      <c r="AK15" s="1065"/>
      <c r="AL15" s="3274"/>
      <c r="AM15" s="3274"/>
      <c r="AN15" s="3283">
        <f t="shared" si="29"/>
        <v>0</v>
      </c>
      <c r="AO15" s="3284" t="e">
        <f t="shared" si="45"/>
        <v>#DIV/0!</v>
      </c>
      <c r="AP15" s="1065"/>
      <c r="AQ15" s="3274"/>
      <c r="AR15" s="3274"/>
      <c r="AS15" s="3283">
        <f t="shared" si="30"/>
        <v>0</v>
      </c>
      <c r="AT15" s="3284" t="e">
        <f t="shared" si="46"/>
        <v>#DIV/0!</v>
      </c>
      <c r="AU15" s="1065"/>
      <c r="AV15" s="3274"/>
      <c r="AW15" s="3274"/>
      <c r="AX15" s="3283">
        <f t="shared" si="31"/>
        <v>0</v>
      </c>
      <c r="AY15" s="3284" t="e">
        <f t="shared" si="47"/>
        <v>#DIV/0!</v>
      </c>
      <c r="AZ15" s="1065"/>
      <c r="BA15" s="3274"/>
      <c r="BB15" s="3274"/>
      <c r="BC15" s="3283">
        <f t="shared" si="32"/>
        <v>0</v>
      </c>
      <c r="BD15" s="3284" t="e">
        <f t="shared" si="48"/>
        <v>#DIV/0!</v>
      </c>
      <c r="BE15" s="1065"/>
      <c r="BF15" s="3274"/>
      <c r="BG15" s="3274"/>
      <c r="BH15" s="3283">
        <f t="shared" si="33"/>
        <v>0</v>
      </c>
      <c r="BI15" s="3284" t="e">
        <f t="shared" si="49"/>
        <v>#DIV/0!</v>
      </c>
      <c r="BJ15" s="1065"/>
      <c r="BK15" s="3274"/>
      <c r="BL15" s="3274"/>
      <c r="BM15" s="3283">
        <f t="shared" si="34"/>
        <v>0</v>
      </c>
      <c r="BN15" s="3284" t="e">
        <f t="shared" si="50"/>
        <v>#DIV/0!</v>
      </c>
      <c r="BO15" s="1065"/>
      <c r="BP15" s="3274"/>
      <c r="BQ15" s="3274"/>
      <c r="BR15" s="3283">
        <f t="shared" si="35"/>
        <v>0</v>
      </c>
      <c r="BS15" s="3284" t="e">
        <f t="shared" si="51"/>
        <v>#DIV/0!</v>
      </c>
      <c r="BT15" s="1065"/>
      <c r="BU15" s="3274"/>
      <c r="BV15" s="3274"/>
      <c r="BW15" s="3283">
        <f t="shared" si="36"/>
        <v>0</v>
      </c>
      <c r="BX15" s="3284" t="e">
        <f t="shared" si="52"/>
        <v>#DIV/0!</v>
      </c>
      <c r="BY15" s="1065"/>
      <c r="BZ15" s="3274"/>
      <c r="CA15" s="3274"/>
      <c r="CB15" s="3283">
        <f t="shared" si="37"/>
        <v>0</v>
      </c>
      <c r="CC15" s="3284" t="e">
        <f t="shared" si="53"/>
        <v>#DIV/0!</v>
      </c>
      <c r="CD15" s="1065"/>
      <c r="CE15" s="3274"/>
      <c r="CF15" s="3274"/>
      <c r="CG15" s="3283">
        <f t="shared" si="38"/>
        <v>0</v>
      </c>
      <c r="CH15" s="3284" t="e">
        <f t="shared" si="54"/>
        <v>#DIV/0!</v>
      </c>
      <c r="CI15" s="1065"/>
      <c r="CJ15" s="3274">
        <f t="shared" si="39"/>
        <v>0</v>
      </c>
      <c r="CK15" s="3274">
        <f t="shared" si="39"/>
        <v>0</v>
      </c>
      <c r="CL15" s="3283">
        <f t="shared" si="55"/>
        <v>0</v>
      </c>
      <c r="CM15" s="3284" t="e">
        <f t="shared" si="40"/>
        <v>#DIV/0!</v>
      </c>
      <c r="CN15" s="1449"/>
      <c r="CP15" s="3398"/>
      <c r="CQ15" s="2028">
        <f t="shared" si="41"/>
        <v>0</v>
      </c>
      <c r="CR15" s="3448">
        <f t="shared" si="56"/>
        <v>0</v>
      </c>
      <c r="CT15" s="2644"/>
    </row>
    <row r="16" spans="1:98" s="1411" customFormat="1" ht="13.8" outlineLevel="2" x14ac:dyDescent="0.25">
      <c r="A16" s="1586"/>
      <c r="B16" s="3451" t="s">
        <v>21</v>
      </c>
      <c r="C16" s="3274"/>
      <c r="D16" s="3274"/>
      <c r="E16" s="3283">
        <f t="shared" si="19"/>
        <v>0</v>
      </c>
      <c r="F16" s="3284" t="e">
        <f t="shared" si="16"/>
        <v>#DIV/0!</v>
      </c>
      <c r="G16" s="1065"/>
      <c r="H16" s="3274"/>
      <c r="I16" s="3274"/>
      <c r="J16" s="3283">
        <f t="shared" si="20"/>
        <v>0</v>
      </c>
      <c r="K16" s="3284" t="e">
        <f t="shared" si="42"/>
        <v>#DIV/0!</v>
      </c>
      <c r="L16" s="1065"/>
      <c r="M16" s="3274"/>
      <c r="N16" s="3274"/>
      <c r="O16" s="3283">
        <f t="shared" si="21"/>
        <v>0</v>
      </c>
      <c r="P16" s="3284" t="e">
        <f t="shared" si="22"/>
        <v>#DIV/0!</v>
      </c>
      <c r="Q16" s="1065"/>
      <c r="R16" s="3275">
        <f t="shared" si="23"/>
        <v>0</v>
      </c>
      <c r="S16" s="3275">
        <f t="shared" si="23"/>
        <v>0</v>
      </c>
      <c r="T16" s="2028">
        <f t="shared" si="24"/>
        <v>0</v>
      </c>
      <c r="U16" s="1065"/>
      <c r="V16" s="1065"/>
      <c r="W16" s="3275">
        <f t="shared" si="25"/>
        <v>0</v>
      </c>
      <c r="X16" s="3275">
        <f t="shared" si="25"/>
        <v>0</v>
      </c>
      <c r="Y16" s="2028">
        <f t="shared" si="26"/>
        <v>0</v>
      </c>
      <c r="Z16" s="1065"/>
      <c r="AA16" s="1065"/>
      <c r="AB16" s="3274"/>
      <c r="AC16" s="3274"/>
      <c r="AD16" s="3283">
        <f t="shared" si="27"/>
        <v>0</v>
      </c>
      <c r="AE16" s="3284" t="e">
        <f t="shared" si="43"/>
        <v>#DIV/0!</v>
      </c>
      <c r="AF16" s="1065"/>
      <c r="AG16" s="3274"/>
      <c r="AH16" s="3274"/>
      <c r="AI16" s="3283">
        <f t="shared" si="28"/>
        <v>0</v>
      </c>
      <c r="AJ16" s="3284" t="e">
        <f t="shared" si="44"/>
        <v>#DIV/0!</v>
      </c>
      <c r="AK16" s="1065"/>
      <c r="AL16" s="3274"/>
      <c r="AM16" s="3274"/>
      <c r="AN16" s="3283">
        <f t="shared" si="29"/>
        <v>0</v>
      </c>
      <c r="AO16" s="3284" t="e">
        <f t="shared" si="45"/>
        <v>#DIV/0!</v>
      </c>
      <c r="AP16" s="1065"/>
      <c r="AQ16" s="3274"/>
      <c r="AR16" s="3274"/>
      <c r="AS16" s="3283">
        <f t="shared" si="30"/>
        <v>0</v>
      </c>
      <c r="AT16" s="3284" t="e">
        <f t="shared" si="46"/>
        <v>#DIV/0!</v>
      </c>
      <c r="AU16" s="1065"/>
      <c r="AV16" s="3274"/>
      <c r="AW16" s="3274"/>
      <c r="AX16" s="3283">
        <f t="shared" si="31"/>
        <v>0</v>
      </c>
      <c r="AY16" s="3284" t="e">
        <f t="shared" si="47"/>
        <v>#DIV/0!</v>
      </c>
      <c r="AZ16" s="1065"/>
      <c r="BA16" s="3274"/>
      <c r="BB16" s="3274"/>
      <c r="BC16" s="3283">
        <f t="shared" si="32"/>
        <v>0</v>
      </c>
      <c r="BD16" s="3284" t="e">
        <f t="shared" si="48"/>
        <v>#DIV/0!</v>
      </c>
      <c r="BE16" s="1065"/>
      <c r="BF16" s="3274"/>
      <c r="BG16" s="3274"/>
      <c r="BH16" s="3283">
        <f t="shared" si="33"/>
        <v>0</v>
      </c>
      <c r="BI16" s="3284" t="e">
        <f t="shared" si="49"/>
        <v>#DIV/0!</v>
      </c>
      <c r="BJ16" s="1065"/>
      <c r="BK16" s="3274"/>
      <c r="BL16" s="3274"/>
      <c r="BM16" s="3283">
        <f t="shared" si="34"/>
        <v>0</v>
      </c>
      <c r="BN16" s="3284" t="e">
        <f t="shared" si="50"/>
        <v>#DIV/0!</v>
      </c>
      <c r="BO16" s="1065"/>
      <c r="BP16" s="3274"/>
      <c r="BQ16" s="3274"/>
      <c r="BR16" s="3283">
        <f t="shared" si="35"/>
        <v>0</v>
      </c>
      <c r="BS16" s="3284" t="e">
        <f t="shared" si="51"/>
        <v>#DIV/0!</v>
      </c>
      <c r="BT16" s="1065"/>
      <c r="BU16" s="3274"/>
      <c r="BV16" s="3274"/>
      <c r="BW16" s="3283">
        <f t="shared" si="36"/>
        <v>0</v>
      </c>
      <c r="BX16" s="3284" t="e">
        <f t="shared" si="52"/>
        <v>#DIV/0!</v>
      </c>
      <c r="BY16" s="1065"/>
      <c r="BZ16" s="3274"/>
      <c r="CA16" s="3274"/>
      <c r="CB16" s="3283">
        <f t="shared" si="37"/>
        <v>0</v>
      </c>
      <c r="CC16" s="3284" t="e">
        <f t="shared" si="53"/>
        <v>#DIV/0!</v>
      </c>
      <c r="CD16" s="1065"/>
      <c r="CE16" s="3274"/>
      <c r="CF16" s="3274"/>
      <c r="CG16" s="3283">
        <f t="shared" si="38"/>
        <v>0</v>
      </c>
      <c r="CH16" s="3284" t="e">
        <f t="shared" si="54"/>
        <v>#DIV/0!</v>
      </c>
      <c r="CI16" s="1065"/>
      <c r="CJ16" s="3274">
        <f t="shared" si="39"/>
        <v>0</v>
      </c>
      <c r="CK16" s="3274">
        <f t="shared" si="39"/>
        <v>0</v>
      </c>
      <c r="CL16" s="3283">
        <f>CJ16+CK16*1</f>
        <v>0</v>
      </c>
      <c r="CM16" s="3284" t="e">
        <f t="shared" si="40"/>
        <v>#DIV/0!</v>
      </c>
      <c r="CN16" s="1449"/>
      <c r="CP16" s="3398"/>
      <c r="CQ16" s="2028">
        <f t="shared" si="41"/>
        <v>0</v>
      </c>
      <c r="CR16" s="3448">
        <f t="shared" si="56"/>
        <v>0</v>
      </c>
      <c r="CT16" s="2644"/>
    </row>
    <row r="17" spans="1:100" s="1411" customFormat="1" ht="13.8" outlineLevel="2" x14ac:dyDescent="0.25">
      <c r="A17" s="1586"/>
      <c r="B17" s="3451" t="s">
        <v>22</v>
      </c>
      <c r="C17" s="3274"/>
      <c r="D17" s="3274"/>
      <c r="E17" s="3283">
        <f t="shared" si="19"/>
        <v>0</v>
      </c>
      <c r="F17" s="3284" t="e">
        <f t="shared" si="16"/>
        <v>#DIV/0!</v>
      </c>
      <c r="G17" s="2063"/>
      <c r="H17" s="3274"/>
      <c r="I17" s="3274"/>
      <c r="J17" s="3283">
        <f t="shared" si="20"/>
        <v>0</v>
      </c>
      <c r="K17" s="3284" t="e">
        <f t="shared" si="42"/>
        <v>#DIV/0!</v>
      </c>
      <c r="L17" s="2063"/>
      <c r="M17" s="3274"/>
      <c r="N17" s="3274"/>
      <c r="O17" s="3283">
        <f t="shared" si="21"/>
        <v>0</v>
      </c>
      <c r="P17" s="3284" t="e">
        <f t="shared" si="22"/>
        <v>#DIV/0!</v>
      </c>
      <c r="Q17" s="2063"/>
      <c r="R17" s="3275">
        <f t="shared" si="23"/>
        <v>0</v>
      </c>
      <c r="S17" s="3275">
        <f t="shared" si="23"/>
        <v>0</v>
      </c>
      <c r="T17" s="2028">
        <f t="shared" si="24"/>
        <v>0</v>
      </c>
      <c r="U17" s="2063"/>
      <c r="V17" s="2063"/>
      <c r="W17" s="3275">
        <f t="shared" si="25"/>
        <v>0</v>
      </c>
      <c r="X17" s="3275">
        <f t="shared" si="25"/>
        <v>0</v>
      </c>
      <c r="Y17" s="2028">
        <f t="shared" si="26"/>
        <v>0</v>
      </c>
      <c r="Z17" s="2063"/>
      <c r="AA17" s="2063"/>
      <c r="AB17" s="3274"/>
      <c r="AC17" s="3274"/>
      <c r="AD17" s="3283">
        <f t="shared" si="27"/>
        <v>0</v>
      </c>
      <c r="AE17" s="3284" t="e">
        <f t="shared" si="43"/>
        <v>#DIV/0!</v>
      </c>
      <c r="AF17" s="2063"/>
      <c r="AG17" s="3274"/>
      <c r="AH17" s="3274"/>
      <c r="AI17" s="3283">
        <f t="shared" si="28"/>
        <v>0</v>
      </c>
      <c r="AJ17" s="3284" t="e">
        <f t="shared" si="44"/>
        <v>#DIV/0!</v>
      </c>
      <c r="AK17" s="2063"/>
      <c r="AL17" s="3274"/>
      <c r="AM17" s="3274"/>
      <c r="AN17" s="3283">
        <f t="shared" si="29"/>
        <v>0</v>
      </c>
      <c r="AO17" s="3284" t="e">
        <f t="shared" si="45"/>
        <v>#DIV/0!</v>
      </c>
      <c r="AP17" s="2063"/>
      <c r="AQ17" s="3274"/>
      <c r="AR17" s="3274"/>
      <c r="AS17" s="3283">
        <f t="shared" si="30"/>
        <v>0</v>
      </c>
      <c r="AT17" s="3284" t="e">
        <f t="shared" si="46"/>
        <v>#DIV/0!</v>
      </c>
      <c r="AU17" s="2063"/>
      <c r="AV17" s="3274"/>
      <c r="AW17" s="3274"/>
      <c r="AX17" s="3283">
        <f t="shared" si="31"/>
        <v>0</v>
      </c>
      <c r="AY17" s="3284" t="e">
        <f t="shared" si="47"/>
        <v>#DIV/0!</v>
      </c>
      <c r="AZ17" s="2063"/>
      <c r="BA17" s="3274"/>
      <c r="BB17" s="3274"/>
      <c r="BC17" s="3283">
        <f t="shared" si="32"/>
        <v>0</v>
      </c>
      <c r="BD17" s="3284" t="e">
        <f t="shared" si="48"/>
        <v>#DIV/0!</v>
      </c>
      <c r="BE17" s="2063"/>
      <c r="BF17" s="3274"/>
      <c r="BG17" s="3274"/>
      <c r="BH17" s="3283">
        <f t="shared" si="33"/>
        <v>0</v>
      </c>
      <c r="BI17" s="3284" t="e">
        <f t="shared" si="49"/>
        <v>#DIV/0!</v>
      </c>
      <c r="BJ17" s="2063"/>
      <c r="BK17" s="3274"/>
      <c r="BL17" s="3274"/>
      <c r="BM17" s="3283">
        <f t="shared" si="34"/>
        <v>0</v>
      </c>
      <c r="BN17" s="3284" t="e">
        <f t="shared" si="50"/>
        <v>#DIV/0!</v>
      </c>
      <c r="BO17" s="2063"/>
      <c r="BP17" s="3274"/>
      <c r="BQ17" s="3274"/>
      <c r="BR17" s="3283">
        <f t="shared" si="35"/>
        <v>0</v>
      </c>
      <c r="BS17" s="3284" t="e">
        <f t="shared" si="51"/>
        <v>#DIV/0!</v>
      </c>
      <c r="BT17" s="2063"/>
      <c r="BU17" s="3274"/>
      <c r="BV17" s="3274"/>
      <c r="BW17" s="3283">
        <f t="shared" si="36"/>
        <v>0</v>
      </c>
      <c r="BX17" s="3284" t="e">
        <f t="shared" si="52"/>
        <v>#DIV/0!</v>
      </c>
      <c r="BY17" s="2063"/>
      <c r="BZ17" s="3274"/>
      <c r="CA17" s="3274"/>
      <c r="CB17" s="3283">
        <f t="shared" si="37"/>
        <v>0</v>
      </c>
      <c r="CC17" s="3284" t="e">
        <f t="shared" si="53"/>
        <v>#DIV/0!</v>
      </c>
      <c r="CD17" s="2063"/>
      <c r="CE17" s="3274"/>
      <c r="CF17" s="3274"/>
      <c r="CG17" s="3283">
        <f t="shared" si="38"/>
        <v>0</v>
      </c>
      <c r="CH17" s="3284" t="e">
        <f t="shared" si="54"/>
        <v>#DIV/0!</v>
      </c>
      <c r="CI17" s="2063"/>
      <c r="CJ17" s="3274">
        <f t="shared" si="39"/>
        <v>0</v>
      </c>
      <c r="CK17" s="3274">
        <f t="shared" si="39"/>
        <v>0</v>
      </c>
      <c r="CL17" s="3283">
        <f t="shared" si="55"/>
        <v>0</v>
      </c>
      <c r="CM17" s="3284" t="e">
        <f t="shared" si="40"/>
        <v>#DIV/0!</v>
      </c>
      <c r="CN17" s="1449"/>
      <c r="CP17" s="3398"/>
      <c r="CQ17" s="2028">
        <f t="shared" si="41"/>
        <v>0</v>
      </c>
      <c r="CR17" s="3448">
        <f t="shared" si="56"/>
        <v>0</v>
      </c>
      <c r="CS17" s="3232"/>
      <c r="CT17" s="3450"/>
    </row>
    <row r="18" spans="1:100" s="1411" customFormat="1" ht="13.8" outlineLevel="2" x14ac:dyDescent="0.25">
      <c r="A18" s="1586"/>
      <c r="B18" s="3451" t="s">
        <v>0</v>
      </c>
      <c r="C18" s="3274"/>
      <c r="D18" s="3274"/>
      <c r="E18" s="3283">
        <f t="shared" si="19"/>
        <v>0</v>
      </c>
      <c r="F18" s="3284" t="e">
        <f t="shared" si="16"/>
        <v>#DIV/0!</v>
      </c>
      <c r="G18" s="1065"/>
      <c r="H18" s="3274"/>
      <c r="I18" s="3274"/>
      <c r="J18" s="3283">
        <f t="shared" si="20"/>
        <v>0</v>
      </c>
      <c r="K18" s="3284" t="e">
        <f t="shared" si="42"/>
        <v>#DIV/0!</v>
      </c>
      <c r="L18" s="1065"/>
      <c r="M18" s="3274"/>
      <c r="N18" s="3274"/>
      <c r="O18" s="3283">
        <f t="shared" si="21"/>
        <v>0</v>
      </c>
      <c r="P18" s="3284" t="e">
        <f t="shared" si="22"/>
        <v>#DIV/0!</v>
      </c>
      <c r="Q18" s="1065"/>
      <c r="R18" s="3275">
        <f t="shared" si="23"/>
        <v>0</v>
      </c>
      <c r="S18" s="3275">
        <f t="shared" si="23"/>
        <v>0</v>
      </c>
      <c r="T18" s="2028">
        <f t="shared" si="24"/>
        <v>0</v>
      </c>
      <c r="U18" s="1065"/>
      <c r="V18" s="1065"/>
      <c r="W18" s="3275">
        <f t="shared" si="25"/>
        <v>0</v>
      </c>
      <c r="X18" s="3275">
        <f t="shared" si="25"/>
        <v>0</v>
      </c>
      <c r="Y18" s="2028">
        <f t="shared" si="26"/>
        <v>0</v>
      </c>
      <c r="Z18" s="1065"/>
      <c r="AA18" s="1065"/>
      <c r="AB18" s="3274"/>
      <c r="AC18" s="3274"/>
      <c r="AD18" s="3283">
        <f t="shared" si="27"/>
        <v>0</v>
      </c>
      <c r="AE18" s="3284" t="e">
        <f t="shared" si="43"/>
        <v>#DIV/0!</v>
      </c>
      <c r="AF18" s="1065"/>
      <c r="AG18" s="3274"/>
      <c r="AH18" s="3274"/>
      <c r="AI18" s="3283">
        <f t="shared" si="28"/>
        <v>0</v>
      </c>
      <c r="AJ18" s="3284" t="e">
        <f t="shared" si="44"/>
        <v>#DIV/0!</v>
      </c>
      <c r="AK18" s="1065"/>
      <c r="AL18" s="3274"/>
      <c r="AM18" s="3274"/>
      <c r="AN18" s="3283">
        <f t="shared" si="29"/>
        <v>0</v>
      </c>
      <c r="AO18" s="3284" t="e">
        <f t="shared" si="45"/>
        <v>#DIV/0!</v>
      </c>
      <c r="AP18" s="1065"/>
      <c r="AQ18" s="3274"/>
      <c r="AR18" s="3274"/>
      <c r="AS18" s="3283">
        <f t="shared" si="30"/>
        <v>0</v>
      </c>
      <c r="AT18" s="3284" t="e">
        <f t="shared" si="46"/>
        <v>#DIV/0!</v>
      </c>
      <c r="AU18" s="1065"/>
      <c r="AV18" s="3274"/>
      <c r="AW18" s="3274"/>
      <c r="AX18" s="3283">
        <f t="shared" si="31"/>
        <v>0</v>
      </c>
      <c r="AY18" s="3284" t="e">
        <f t="shared" si="47"/>
        <v>#DIV/0!</v>
      </c>
      <c r="AZ18" s="1065"/>
      <c r="BA18" s="3274"/>
      <c r="BB18" s="3274"/>
      <c r="BC18" s="3283">
        <f t="shared" si="32"/>
        <v>0</v>
      </c>
      <c r="BD18" s="3284" t="e">
        <f t="shared" si="48"/>
        <v>#DIV/0!</v>
      </c>
      <c r="BE18" s="1065"/>
      <c r="BF18" s="3274"/>
      <c r="BG18" s="3274"/>
      <c r="BH18" s="3283">
        <f t="shared" si="33"/>
        <v>0</v>
      </c>
      <c r="BI18" s="3284" t="e">
        <f t="shared" si="49"/>
        <v>#DIV/0!</v>
      </c>
      <c r="BJ18" s="1065"/>
      <c r="BK18" s="3274"/>
      <c r="BL18" s="3274"/>
      <c r="BM18" s="3283">
        <f t="shared" si="34"/>
        <v>0</v>
      </c>
      <c r="BN18" s="3284" t="e">
        <f t="shared" si="50"/>
        <v>#DIV/0!</v>
      </c>
      <c r="BO18" s="1065"/>
      <c r="BP18" s="3274"/>
      <c r="BQ18" s="3274"/>
      <c r="BR18" s="3283">
        <f t="shared" si="35"/>
        <v>0</v>
      </c>
      <c r="BS18" s="3284" t="e">
        <f t="shared" si="51"/>
        <v>#DIV/0!</v>
      </c>
      <c r="BT18" s="1065"/>
      <c r="BU18" s="3274"/>
      <c r="BV18" s="3274"/>
      <c r="BW18" s="3283">
        <f t="shared" si="36"/>
        <v>0</v>
      </c>
      <c r="BX18" s="3284" t="e">
        <f t="shared" si="52"/>
        <v>#DIV/0!</v>
      </c>
      <c r="BY18" s="1065"/>
      <c r="BZ18" s="3274"/>
      <c r="CA18" s="3274"/>
      <c r="CB18" s="3283">
        <f t="shared" si="37"/>
        <v>0</v>
      </c>
      <c r="CC18" s="3284" t="e">
        <f t="shared" si="53"/>
        <v>#DIV/0!</v>
      </c>
      <c r="CD18" s="1065"/>
      <c r="CE18" s="3274"/>
      <c r="CF18" s="3274"/>
      <c r="CG18" s="3283">
        <f t="shared" si="38"/>
        <v>0</v>
      </c>
      <c r="CH18" s="3284" t="e">
        <f t="shared" si="54"/>
        <v>#DIV/0!</v>
      </c>
      <c r="CI18" s="1065"/>
      <c r="CJ18" s="3274">
        <f t="shared" si="39"/>
        <v>0</v>
      </c>
      <c r="CK18" s="3274">
        <f t="shared" si="39"/>
        <v>0</v>
      </c>
      <c r="CL18" s="3283">
        <f t="shared" si="55"/>
        <v>0</v>
      </c>
      <c r="CM18" s="3284" t="e">
        <f t="shared" si="40"/>
        <v>#DIV/0!</v>
      </c>
      <c r="CN18" s="1449"/>
      <c r="CP18" s="3398"/>
      <c r="CQ18" s="2028">
        <f t="shared" si="41"/>
        <v>0</v>
      </c>
      <c r="CR18" s="3448">
        <f t="shared" si="56"/>
        <v>0</v>
      </c>
      <c r="CT18" s="2644"/>
    </row>
    <row r="19" spans="1:100" s="1411" customFormat="1" ht="13.8" outlineLevel="2" x14ac:dyDescent="0.25">
      <c r="A19" s="1586"/>
      <c r="B19" s="3451" t="s">
        <v>53</v>
      </c>
      <c r="C19" s="3274"/>
      <c r="D19" s="3274"/>
      <c r="E19" s="3283">
        <f t="shared" si="19"/>
        <v>0</v>
      </c>
      <c r="F19" s="3284" t="e">
        <f t="shared" si="16"/>
        <v>#DIV/0!</v>
      </c>
      <c r="G19" s="1065"/>
      <c r="H19" s="3274"/>
      <c r="I19" s="3274"/>
      <c r="J19" s="3283">
        <f t="shared" si="20"/>
        <v>0</v>
      </c>
      <c r="K19" s="3284" t="e">
        <f t="shared" si="42"/>
        <v>#DIV/0!</v>
      </c>
      <c r="L19" s="1065"/>
      <c r="M19" s="3274"/>
      <c r="N19" s="3274"/>
      <c r="O19" s="3283">
        <f t="shared" si="21"/>
        <v>0</v>
      </c>
      <c r="P19" s="3284" t="e">
        <f t="shared" si="22"/>
        <v>#DIV/0!</v>
      </c>
      <c r="Q19" s="1065"/>
      <c r="R19" s="3275">
        <f t="shared" si="23"/>
        <v>0</v>
      </c>
      <c r="S19" s="3275">
        <f t="shared" si="23"/>
        <v>0</v>
      </c>
      <c r="T19" s="2028">
        <f t="shared" si="24"/>
        <v>0</v>
      </c>
      <c r="U19" s="1065"/>
      <c r="V19" s="1065"/>
      <c r="W19" s="3275">
        <f t="shared" si="25"/>
        <v>0</v>
      </c>
      <c r="X19" s="3275">
        <f t="shared" si="25"/>
        <v>0</v>
      </c>
      <c r="Y19" s="2028">
        <f t="shared" si="26"/>
        <v>0</v>
      </c>
      <c r="Z19" s="1065"/>
      <c r="AA19" s="1065"/>
      <c r="AB19" s="3274"/>
      <c r="AC19" s="3274"/>
      <c r="AD19" s="3283">
        <f t="shared" si="27"/>
        <v>0</v>
      </c>
      <c r="AE19" s="3284" t="e">
        <f t="shared" si="43"/>
        <v>#DIV/0!</v>
      </c>
      <c r="AF19" s="1065"/>
      <c r="AG19" s="3274"/>
      <c r="AH19" s="3274"/>
      <c r="AI19" s="3283">
        <f t="shared" si="28"/>
        <v>0</v>
      </c>
      <c r="AJ19" s="3284" t="e">
        <f t="shared" si="44"/>
        <v>#DIV/0!</v>
      </c>
      <c r="AK19" s="1065"/>
      <c r="AL19" s="3274"/>
      <c r="AM19" s="3274"/>
      <c r="AN19" s="3283">
        <f t="shared" si="29"/>
        <v>0</v>
      </c>
      <c r="AO19" s="3284" t="e">
        <f t="shared" si="45"/>
        <v>#DIV/0!</v>
      </c>
      <c r="AP19" s="1065"/>
      <c r="AQ19" s="3274"/>
      <c r="AR19" s="3274"/>
      <c r="AS19" s="3283">
        <f t="shared" si="30"/>
        <v>0</v>
      </c>
      <c r="AT19" s="3284" t="e">
        <f t="shared" si="46"/>
        <v>#DIV/0!</v>
      </c>
      <c r="AU19" s="1065"/>
      <c r="AV19" s="3274"/>
      <c r="AW19" s="3274"/>
      <c r="AX19" s="3283">
        <f t="shared" si="31"/>
        <v>0</v>
      </c>
      <c r="AY19" s="3284" t="e">
        <f t="shared" si="47"/>
        <v>#DIV/0!</v>
      </c>
      <c r="AZ19" s="1065"/>
      <c r="BA19" s="3274"/>
      <c r="BB19" s="3274"/>
      <c r="BC19" s="3283">
        <f t="shared" si="32"/>
        <v>0</v>
      </c>
      <c r="BD19" s="3284" t="e">
        <f t="shared" si="48"/>
        <v>#DIV/0!</v>
      </c>
      <c r="BE19" s="1065"/>
      <c r="BF19" s="3274"/>
      <c r="BG19" s="3274"/>
      <c r="BH19" s="3283">
        <f t="shared" si="33"/>
        <v>0</v>
      </c>
      <c r="BI19" s="3284" t="e">
        <f t="shared" si="49"/>
        <v>#DIV/0!</v>
      </c>
      <c r="BJ19" s="1065"/>
      <c r="BK19" s="3274"/>
      <c r="BL19" s="3274"/>
      <c r="BM19" s="3283">
        <f t="shared" si="34"/>
        <v>0</v>
      </c>
      <c r="BN19" s="3284" t="e">
        <f t="shared" si="50"/>
        <v>#DIV/0!</v>
      </c>
      <c r="BO19" s="1065"/>
      <c r="BP19" s="3274"/>
      <c r="BQ19" s="3274"/>
      <c r="BR19" s="3283">
        <f t="shared" si="35"/>
        <v>0</v>
      </c>
      <c r="BS19" s="3284" t="e">
        <f t="shared" si="51"/>
        <v>#DIV/0!</v>
      </c>
      <c r="BT19" s="1065"/>
      <c r="BU19" s="3274"/>
      <c r="BV19" s="3274"/>
      <c r="BW19" s="3283">
        <f t="shared" si="36"/>
        <v>0</v>
      </c>
      <c r="BX19" s="3284" t="e">
        <f t="shared" si="52"/>
        <v>#DIV/0!</v>
      </c>
      <c r="BY19" s="1065"/>
      <c r="BZ19" s="3274"/>
      <c r="CA19" s="3274"/>
      <c r="CB19" s="3283">
        <f t="shared" si="37"/>
        <v>0</v>
      </c>
      <c r="CC19" s="3284" t="e">
        <f t="shared" si="53"/>
        <v>#DIV/0!</v>
      </c>
      <c r="CD19" s="1065"/>
      <c r="CE19" s="3274"/>
      <c r="CF19" s="3274"/>
      <c r="CG19" s="3283">
        <f t="shared" si="38"/>
        <v>0</v>
      </c>
      <c r="CH19" s="3284" t="e">
        <f t="shared" si="54"/>
        <v>#DIV/0!</v>
      </c>
      <c r="CI19" s="1065"/>
      <c r="CJ19" s="3274">
        <f t="shared" si="39"/>
        <v>0</v>
      </c>
      <c r="CK19" s="3274">
        <f t="shared" si="39"/>
        <v>0</v>
      </c>
      <c r="CL19" s="3283">
        <f t="shared" si="55"/>
        <v>0</v>
      </c>
      <c r="CM19" s="3284" t="e">
        <f t="shared" si="40"/>
        <v>#DIV/0!</v>
      </c>
      <c r="CN19" s="1449"/>
      <c r="CP19" s="3398"/>
      <c r="CQ19" s="2028">
        <f t="shared" si="41"/>
        <v>0</v>
      </c>
      <c r="CR19" s="3448">
        <f t="shared" si="56"/>
        <v>0</v>
      </c>
      <c r="CT19" s="2644"/>
    </row>
    <row r="20" spans="1:100" s="1411" customFormat="1" ht="13.8" outlineLevel="2" x14ac:dyDescent="0.25">
      <c r="A20" s="1586"/>
      <c r="B20" s="3451" t="s">
        <v>57</v>
      </c>
      <c r="C20" s="3274"/>
      <c r="D20" s="3274"/>
      <c r="E20" s="3283">
        <f t="shared" si="19"/>
        <v>0</v>
      </c>
      <c r="F20" s="3284" t="e">
        <f t="shared" si="16"/>
        <v>#DIV/0!</v>
      </c>
      <c r="G20" s="1065"/>
      <c r="H20" s="3274"/>
      <c r="I20" s="3274"/>
      <c r="J20" s="3283">
        <f t="shared" si="20"/>
        <v>0</v>
      </c>
      <c r="K20" s="3284" t="e">
        <f t="shared" si="42"/>
        <v>#DIV/0!</v>
      </c>
      <c r="L20" s="1065"/>
      <c r="M20" s="3274"/>
      <c r="N20" s="3274"/>
      <c r="O20" s="3283">
        <f t="shared" si="21"/>
        <v>0</v>
      </c>
      <c r="P20" s="3284" t="e">
        <f t="shared" si="22"/>
        <v>#DIV/0!</v>
      </c>
      <c r="Q20" s="1065"/>
      <c r="R20" s="3275">
        <f t="shared" si="23"/>
        <v>0</v>
      </c>
      <c r="S20" s="3275">
        <f t="shared" si="23"/>
        <v>0</v>
      </c>
      <c r="T20" s="2028">
        <f t="shared" si="24"/>
        <v>0</v>
      </c>
      <c r="U20" s="1065"/>
      <c r="V20" s="1065"/>
      <c r="W20" s="3275">
        <f t="shared" si="25"/>
        <v>0</v>
      </c>
      <c r="X20" s="3275">
        <f t="shared" si="25"/>
        <v>0</v>
      </c>
      <c r="Y20" s="2028">
        <f t="shared" si="26"/>
        <v>0</v>
      </c>
      <c r="Z20" s="1065"/>
      <c r="AA20" s="1065"/>
      <c r="AB20" s="3274"/>
      <c r="AC20" s="3274"/>
      <c r="AD20" s="3283">
        <f t="shared" si="27"/>
        <v>0</v>
      </c>
      <c r="AE20" s="3284" t="e">
        <f t="shared" si="43"/>
        <v>#DIV/0!</v>
      </c>
      <c r="AF20" s="1065"/>
      <c r="AG20" s="3274"/>
      <c r="AH20" s="3274"/>
      <c r="AI20" s="3283">
        <f t="shared" si="28"/>
        <v>0</v>
      </c>
      <c r="AJ20" s="3284" t="e">
        <f t="shared" si="44"/>
        <v>#DIV/0!</v>
      </c>
      <c r="AK20" s="1065"/>
      <c r="AL20" s="3274"/>
      <c r="AM20" s="3274"/>
      <c r="AN20" s="3283">
        <f t="shared" si="29"/>
        <v>0</v>
      </c>
      <c r="AO20" s="3284" t="e">
        <f t="shared" si="45"/>
        <v>#DIV/0!</v>
      </c>
      <c r="AP20" s="1065"/>
      <c r="AQ20" s="3274"/>
      <c r="AR20" s="3274"/>
      <c r="AS20" s="3283">
        <f t="shared" si="30"/>
        <v>0</v>
      </c>
      <c r="AT20" s="3284" t="e">
        <f t="shared" si="46"/>
        <v>#DIV/0!</v>
      </c>
      <c r="AU20" s="1065"/>
      <c r="AV20" s="3274"/>
      <c r="AW20" s="3274"/>
      <c r="AX20" s="3283">
        <f t="shared" si="31"/>
        <v>0</v>
      </c>
      <c r="AY20" s="3284" t="e">
        <f t="shared" si="47"/>
        <v>#DIV/0!</v>
      </c>
      <c r="AZ20" s="1065"/>
      <c r="BA20" s="3274"/>
      <c r="BB20" s="3274"/>
      <c r="BC20" s="3283">
        <f t="shared" si="32"/>
        <v>0</v>
      </c>
      <c r="BD20" s="3284" t="e">
        <f t="shared" si="48"/>
        <v>#DIV/0!</v>
      </c>
      <c r="BE20" s="1065"/>
      <c r="BF20" s="3274"/>
      <c r="BG20" s="3274"/>
      <c r="BH20" s="3283">
        <f t="shared" si="33"/>
        <v>0</v>
      </c>
      <c r="BI20" s="3284" t="e">
        <f t="shared" si="49"/>
        <v>#DIV/0!</v>
      </c>
      <c r="BJ20" s="1065"/>
      <c r="BK20" s="3274"/>
      <c r="BL20" s="3274"/>
      <c r="BM20" s="3283">
        <f t="shared" si="34"/>
        <v>0</v>
      </c>
      <c r="BN20" s="3284" t="e">
        <f t="shared" si="50"/>
        <v>#DIV/0!</v>
      </c>
      <c r="BO20" s="1065"/>
      <c r="BP20" s="3274"/>
      <c r="BQ20" s="3274"/>
      <c r="BR20" s="3283">
        <f t="shared" si="35"/>
        <v>0</v>
      </c>
      <c r="BS20" s="3284" t="e">
        <f t="shared" si="51"/>
        <v>#DIV/0!</v>
      </c>
      <c r="BT20" s="1065"/>
      <c r="BU20" s="3274"/>
      <c r="BV20" s="3274"/>
      <c r="BW20" s="3283">
        <f t="shared" si="36"/>
        <v>0</v>
      </c>
      <c r="BX20" s="3284" t="e">
        <f t="shared" si="52"/>
        <v>#DIV/0!</v>
      </c>
      <c r="BY20" s="1065"/>
      <c r="BZ20" s="3274"/>
      <c r="CA20" s="3274"/>
      <c r="CB20" s="3283">
        <f t="shared" si="37"/>
        <v>0</v>
      </c>
      <c r="CC20" s="3284" t="e">
        <f t="shared" si="53"/>
        <v>#DIV/0!</v>
      </c>
      <c r="CD20" s="1065"/>
      <c r="CE20" s="3274"/>
      <c r="CF20" s="3274"/>
      <c r="CG20" s="3283">
        <f t="shared" si="38"/>
        <v>0</v>
      </c>
      <c r="CH20" s="3284" t="e">
        <f t="shared" si="54"/>
        <v>#DIV/0!</v>
      </c>
      <c r="CI20" s="1065"/>
      <c r="CJ20" s="3274">
        <f t="shared" si="39"/>
        <v>0</v>
      </c>
      <c r="CK20" s="3274">
        <f t="shared" si="39"/>
        <v>0</v>
      </c>
      <c r="CL20" s="3283">
        <f t="shared" si="55"/>
        <v>0</v>
      </c>
      <c r="CM20" s="3284" t="e">
        <f t="shared" si="40"/>
        <v>#DIV/0!</v>
      </c>
      <c r="CN20" s="1449"/>
      <c r="CP20" s="3398"/>
      <c r="CQ20" s="2028">
        <f t="shared" si="41"/>
        <v>0</v>
      </c>
      <c r="CR20" s="3448">
        <f t="shared" si="56"/>
        <v>0</v>
      </c>
      <c r="CT20" s="2644"/>
    </row>
    <row r="21" spans="1:100" s="1411" customFormat="1" ht="13.8" outlineLevel="2" x14ac:dyDescent="0.25">
      <c r="A21" s="1586"/>
      <c r="B21" s="3451" t="s">
        <v>58</v>
      </c>
      <c r="C21" s="3274"/>
      <c r="D21" s="3274"/>
      <c r="E21" s="3283">
        <f t="shared" si="19"/>
        <v>0</v>
      </c>
      <c r="F21" s="3284" t="e">
        <f t="shared" si="16"/>
        <v>#DIV/0!</v>
      </c>
      <c r="G21" s="1630"/>
      <c r="H21" s="3274"/>
      <c r="I21" s="3274"/>
      <c r="J21" s="3283">
        <f t="shared" si="20"/>
        <v>0</v>
      </c>
      <c r="K21" s="3284" t="e">
        <f t="shared" si="42"/>
        <v>#DIV/0!</v>
      </c>
      <c r="L21" s="1630"/>
      <c r="M21" s="3274"/>
      <c r="N21" s="3274"/>
      <c r="O21" s="3283">
        <f t="shared" si="21"/>
        <v>0</v>
      </c>
      <c r="P21" s="3284" t="e">
        <f t="shared" si="22"/>
        <v>#DIV/0!</v>
      </c>
      <c r="Q21" s="1630"/>
      <c r="R21" s="3275">
        <f t="shared" si="23"/>
        <v>0</v>
      </c>
      <c r="S21" s="3275">
        <f t="shared" si="23"/>
        <v>0</v>
      </c>
      <c r="T21" s="2028">
        <f t="shared" si="24"/>
        <v>0</v>
      </c>
      <c r="U21" s="1630"/>
      <c r="V21" s="1630"/>
      <c r="W21" s="3275">
        <f t="shared" si="25"/>
        <v>0</v>
      </c>
      <c r="X21" s="3275">
        <f t="shared" si="25"/>
        <v>0</v>
      </c>
      <c r="Y21" s="2028">
        <f t="shared" si="26"/>
        <v>0</v>
      </c>
      <c r="Z21" s="1630"/>
      <c r="AA21" s="1630"/>
      <c r="AB21" s="3274"/>
      <c r="AC21" s="3274"/>
      <c r="AD21" s="3283">
        <f t="shared" si="27"/>
        <v>0</v>
      </c>
      <c r="AE21" s="3284" t="e">
        <f t="shared" si="43"/>
        <v>#DIV/0!</v>
      </c>
      <c r="AF21" s="1630"/>
      <c r="AG21" s="3274"/>
      <c r="AH21" s="3274"/>
      <c r="AI21" s="3283">
        <f t="shared" si="28"/>
        <v>0</v>
      </c>
      <c r="AJ21" s="3284" t="e">
        <f t="shared" si="44"/>
        <v>#DIV/0!</v>
      </c>
      <c r="AK21" s="1630"/>
      <c r="AL21" s="3274"/>
      <c r="AM21" s="3274"/>
      <c r="AN21" s="3283">
        <f t="shared" si="29"/>
        <v>0</v>
      </c>
      <c r="AO21" s="3284" t="e">
        <f t="shared" si="45"/>
        <v>#DIV/0!</v>
      </c>
      <c r="AP21" s="1630"/>
      <c r="AQ21" s="3274"/>
      <c r="AR21" s="3274"/>
      <c r="AS21" s="3283">
        <f t="shared" si="30"/>
        <v>0</v>
      </c>
      <c r="AT21" s="3284" t="e">
        <f t="shared" si="46"/>
        <v>#DIV/0!</v>
      </c>
      <c r="AU21" s="1630"/>
      <c r="AV21" s="3274"/>
      <c r="AW21" s="3274"/>
      <c r="AX21" s="3283">
        <f t="shared" si="31"/>
        <v>0</v>
      </c>
      <c r="AY21" s="3284" t="e">
        <f t="shared" si="47"/>
        <v>#DIV/0!</v>
      </c>
      <c r="AZ21" s="1630"/>
      <c r="BA21" s="3274"/>
      <c r="BB21" s="3274"/>
      <c r="BC21" s="3283">
        <f t="shared" si="32"/>
        <v>0</v>
      </c>
      <c r="BD21" s="3284" t="e">
        <f t="shared" si="48"/>
        <v>#DIV/0!</v>
      </c>
      <c r="BE21" s="1630"/>
      <c r="BF21" s="3274"/>
      <c r="BG21" s="3274"/>
      <c r="BH21" s="3283">
        <f t="shared" si="33"/>
        <v>0</v>
      </c>
      <c r="BI21" s="3284" t="e">
        <f t="shared" si="49"/>
        <v>#DIV/0!</v>
      </c>
      <c r="BJ21" s="1630"/>
      <c r="BK21" s="3274"/>
      <c r="BL21" s="3274"/>
      <c r="BM21" s="3283">
        <f t="shared" si="34"/>
        <v>0</v>
      </c>
      <c r="BN21" s="3284" t="e">
        <f t="shared" si="50"/>
        <v>#DIV/0!</v>
      </c>
      <c r="BO21" s="1630"/>
      <c r="BP21" s="3274"/>
      <c r="BQ21" s="3274"/>
      <c r="BR21" s="3283">
        <f t="shared" si="35"/>
        <v>0</v>
      </c>
      <c r="BS21" s="3284" t="e">
        <f t="shared" si="51"/>
        <v>#DIV/0!</v>
      </c>
      <c r="BT21" s="1630"/>
      <c r="BU21" s="3274"/>
      <c r="BV21" s="3274"/>
      <c r="BW21" s="3283">
        <f t="shared" si="36"/>
        <v>0</v>
      </c>
      <c r="BX21" s="3284" t="e">
        <f t="shared" si="52"/>
        <v>#DIV/0!</v>
      </c>
      <c r="BY21" s="1630"/>
      <c r="BZ21" s="3274"/>
      <c r="CA21" s="3274"/>
      <c r="CB21" s="3283">
        <f t="shared" si="37"/>
        <v>0</v>
      </c>
      <c r="CC21" s="3284" t="e">
        <f t="shared" si="53"/>
        <v>#DIV/0!</v>
      </c>
      <c r="CD21" s="1630"/>
      <c r="CE21" s="3274"/>
      <c r="CF21" s="3274"/>
      <c r="CG21" s="3283">
        <f t="shared" si="38"/>
        <v>0</v>
      </c>
      <c r="CH21" s="3284" t="e">
        <f t="shared" si="54"/>
        <v>#DIV/0!</v>
      </c>
      <c r="CI21" s="1630"/>
      <c r="CJ21" s="3274">
        <f t="shared" si="39"/>
        <v>0</v>
      </c>
      <c r="CK21" s="3274">
        <f t="shared" si="39"/>
        <v>0</v>
      </c>
      <c r="CL21" s="3283">
        <f t="shared" si="55"/>
        <v>0</v>
      </c>
      <c r="CM21" s="3284" t="e">
        <f t="shared" si="40"/>
        <v>#DIV/0!</v>
      </c>
      <c r="CN21" s="1449"/>
      <c r="CP21" s="3398"/>
      <c r="CQ21" s="2028">
        <f t="shared" si="41"/>
        <v>0</v>
      </c>
      <c r="CR21" s="3448">
        <f t="shared" si="56"/>
        <v>0</v>
      </c>
      <c r="CT21" s="2644"/>
    </row>
    <row r="22" spans="1:100" s="1411" customFormat="1" ht="13.8" outlineLevel="2" x14ac:dyDescent="0.25">
      <c r="A22" s="1586"/>
      <c r="B22" s="3451" t="s">
        <v>621</v>
      </c>
      <c r="C22" s="3274"/>
      <c r="D22" s="3274"/>
      <c r="E22" s="3283">
        <f t="shared" si="19"/>
        <v>0</v>
      </c>
      <c r="F22" s="3284" t="e">
        <f t="shared" si="16"/>
        <v>#DIV/0!</v>
      </c>
      <c r="G22" s="3275"/>
      <c r="H22" s="3274"/>
      <c r="I22" s="3274"/>
      <c r="J22" s="3283">
        <f t="shared" si="20"/>
        <v>0</v>
      </c>
      <c r="K22" s="3284" t="e">
        <f t="shared" si="42"/>
        <v>#DIV/0!</v>
      </c>
      <c r="L22" s="3275"/>
      <c r="M22" s="3274"/>
      <c r="N22" s="3274"/>
      <c r="O22" s="3283">
        <f t="shared" si="21"/>
        <v>0</v>
      </c>
      <c r="P22" s="3284" t="e">
        <f t="shared" si="22"/>
        <v>#DIV/0!</v>
      </c>
      <c r="Q22" s="3275"/>
      <c r="R22" s="3275">
        <f t="shared" si="23"/>
        <v>0</v>
      </c>
      <c r="S22" s="3275">
        <f t="shared" si="23"/>
        <v>0</v>
      </c>
      <c r="T22" s="2028">
        <f t="shared" si="24"/>
        <v>0</v>
      </c>
      <c r="U22" s="3275"/>
      <c r="V22" s="3275"/>
      <c r="W22" s="3275">
        <f t="shared" si="25"/>
        <v>0</v>
      </c>
      <c r="X22" s="3275">
        <f t="shared" si="25"/>
        <v>0</v>
      </c>
      <c r="Y22" s="2028">
        <f t="shared" si="26"/>
        <v>0</v>
      </c>
      <c r="Z22" s="3275"/>
      <c r="AA22" s="3275"/>
      <c r="AB22" s="3274"/>
      <c r="AC22" s="3274"/>
      <c r="AD22" s="3283">
        <f t="shared" si="27"/>
        <v>0</v>
      </c>
      <c r="AE22" s="3284" t="e">
        <f t="shared" si="43"/>
        <v>#DIV/0!</v>
      </c>
      <c r="AF22" s="3275"/>
      <c r="AG22" s="3274"/>
      <c r="AH22" s="3274"/>
      <c r="AI22" s="3283">
        <f t="shared" si="28"/>
        <v>0</v>
      </c>
      <c r="AJ22" s="3284" t="e">
        <f t="shared" si="44"/>
        <v>#DIV/0!</v>
      </c>
      <c r="AK22" s="3275"/>
      <c r="AL22" s="3274"/>
      <c r="AM22" s="3274"/>
      <c r="AN22" s="3283">
        <f t="shared" si="29"/>
        <v>0</v>
      </c>
      <c r="AO22" s="3284" t="e">
        <f t="shared" si="45"/>
        <v>#DIV/0!</v>
      </c>
      <c r="AP22" s="3275"/>
      <c r="AQ22" s="3274"/>
      <c r="AR22" s="3274"/>
      <c r="AS22" s="3283">
        <f t="shared" si="30"/>
        <v>0</v>
      </c>
      <c r="AT22" s="3284" t="e">
        <f t="shared" si="46"/>
        <v>#DIV/0!</v>
      </c>
      <c r="AU22" s="3275"/>
      <c r="AV22" s="3274"/>
      <c r="AW22" s="3274"/>
      <c r="AX22" s="3283">
        <f t="shared" si="31"/>
        <v>0</v>
      </c>
      <c r="AY22" s="3284" t="e">
        <f t="shared" si="47"/>
        <v>#DIV/0!</v>
      </c>
      <c r="AZ22" s="3275"/>
      <c r="BA22" s="3274"/>
      <c r="BB22" s="3274"/>
      <c r="BC22" s="3283">
        <f t="shared" si="32"/>
        <v>0</v>
      </c>
      <c r="BD22" s="3284" t="e">
        <f t="shared" si="48"/>
        <v>#DIV/0!</v>
      </c>
      <c r="BE22" s="3275"/>
      <c r="BF22" s="3274"/>
      <c r="BG22" s="3274"/>
      <c r="BH22" s="3283">
        <f t="shared" si="33"/>
        <v>0</v>
      </c>
      <c r="BI22" s="3284" t="e">
        <f t="shared" si="49"/>
        <v>#DIV/0!</v>
      </c>
      <c r="BJ22" s="3275"/>
      <c r="BK22" s="3274"/>
      <c r="BL22" s="3274"/>
      <c r="BM22" s="3283">
        <f t="shared" si="34"/>
        <v>0</v>
      </c>
      <c r="BN22" s="3284" t="e">
        <f t="shared" si="50"/>
        <v>#DIV/0!</v>
      </c>
      <c r="BO22" s="3275"/>
      <c r="BP22" s="3274"/>
      <c r="BQ22" s="3274"/>
      <c r="BR22" s="3283">
        <f t="shared" si="35"/>
        <v>0</v>
      </c>
      <c r="BS22" s="3284" t="e">
        <f t="shared" si="51"/>
        <v>#DIV/0!</v>
      </c>
      <c r="BT22" s="3275"/>
      <c r="BU22" s="3274"/>
      <c r="BV22" s="3274"/>
      <c r="BW22" s="3283">
        <f t="shared" si="36"/>
        <v>0</v>
      </c>
      <c r="BX22" s="3284" t="e">
        <f t="shared" si="52"/>
        <v>#DIV/0!</v>
      </c>
      <c r="BY22" s="3275"/>
      <c r="BZ22" s="3274"/>
      <c r="CA22" s="3274"/>
      <c r="CB22" s="3283">
        <f t="shared" si="37"/>
        <v>0</v>
      </c>
      <c r="CC22" s="3284" t="e">
        <f t="shared" si="53"/>
        <v>#DIV/0!</v>
      </c>
      <c r="CD22" s="3275"/>
      <c r="CE22" s="3274"/>
      <c r="CF22" s="3274"/>
      <c r="CG22" s="3283">
        <f t="shared" si="38"/>
        <v>0</v>
      </c>
      <c r="CH22" s="3284" t="e">
        <f t="shared" si="54"/>
        <v>#DIV/0!</v>
      </c>
      <c r="CI22" s="3275"/>
      <c r="CJ22" s="3274">
        <f t="shared" si="39"/>
        <v>0</v>
      </c>
      <c r="CK22" s="3274">
        <f t="shared" si="39"/>
        <v>0</v>
      </c>
      <c r="CL22" s="3283">
        <f t="shared" si="55"/>
        <v>0</v>
      </c>
      <c r="CM22" s="3284" t="e">
        <f t="shared" si="40"/>
        <v>#DIV/0!</v>
      </c>
      <c r="CN22" s="1449"/>
      <c r="CP22" s="3398"/>
      <c r="CQ22" s="2028">
        <f t="shared" si="41"/>
        <v>0</v>
      </c>
      <c r="CR22" s="3448">
        <f t="shared" si="56"/>
        <v>0</v>
      </c>
      <c r="CT22" s="3450">
        <f>CQ22</f>
        <v>0</v>
      </c>
    </row>
    <row r="23" spans="1:100" s="1411" customFormat="1" ht="13.8" outlineLevel="2" x14ac:dyDescent="0.25">
      <c r="A23" s="1586"/>
      <c r="B23" s="3451" t="s">
        <v>630</v>
      </c>
      <c r="C23" s="3274"/>
      <c r="D23" s="3274"/>
      <c r="E23" s="3283">
        <f t="shared" si="19"/>
        <v>0</v>
      </c>
      <c r="F23" s="3284" t="e">
        <f t="shared" si="16"/>
        <v>#DIV/0!</v>
      </c>
      <c r="G23" s="1065"/>
      <c r="H23" s="3274"/>
      <c r="I23" s="3274"/>
      <c r="J23" s="3283">
        <f t="shared" si="20"/>
        <v>0</v>
      </c>
      <c r="K23" s="3284" t="e">
        <f t="shared" si="42"/>
        <v>#DIV/0!</v>
      </c>
      <c r="L23" s="1065"/>
      <c r="M23" s="3274"/>
      <c r="N23" s="3274"/>
      <c r="O23" s="3283">
        <f t="shared" si="21"/>
        <v>0</v>
      </c>
      <c r="P23" s="3284" t="e">
        <f t="shared" si="22"/>
        <v>#DIV/0!</v>
      </c>
      <c r="Q23" s="1065"/>
      <c r="R23" s="3275">
        <f t="shared" si="23"/>
        <v>0</v>
      </c>
      <c r="S23" s="3275">
        <f t="shared" si="23"/>
        <v>0</v>
      </c>
      <c r="T23" s="2028">
        <f t="shared" si="24"/>
        <v>0</v>
      </c>
      <c r="U23" s="1065"/>
      <c r="V23" s="1065"/>
      <c r="W23" s="3275">
        <f t="shared" si="25"/>
        <v>0</v>
      </c>
      <c r="X23" s="3275">
        <f t="shared" si="25"/>
        <v>0</v>
      </c>
      <c r="Y23" s="2028">
        <f t="shared" si="26"/>
        <v>0</v>
      </c>
      <c r="Z23" s="1065"/>
      <c r="AA23" s="1065"/>
      <c r="AB23" s="3274"/>
      <c r="AC23" s="3274"/>
      <c r="AD23" s="3283">
        <f t="shared" si="27"/>
        <v>0</v>
      </c>
      <c r="AE23" s="3284" t="e">
        <f t="shared" si="43"/>
        <v>#DIV/0!</v>
      </c>
      <c r="AF23" s="1065"/>
      <c r="AG23" s="3274"/>
      <c r="AH23" s="3274"/>
      <c r="AI23" s="3283">
        <f t="shared" si="28"/>
        <v>0</v>
      </c>
      <c r="AJ23" s="3284" t="e">
        <f t="shared" si="44"/>
        <v>#DIV/0!</v>
      </c>
      <c r="AK23" s="1065"/>
      <c r="AL23" s="3274"/>
      <c r="AM23" s="3274"/>
      <c r="AN23" s="3283">
        <f t="shared" si="29"/>
        <v>0</v>
      </c>
      <c r="AO23" s="3284" t="e">
        <f t="shared" si="45"/>
        <v>#DIV/0!</v>
      </c>
      <c r="AP23" s="1065"/>
      <c r="AQ23" s="3274"/>
      <c r="AR23" s="3274"/>
      <c r="AS23" s="3283">
        <f t="shared" si="30"/>
        <v>0</v>
      </c>
      <c r="AT23" s="3284" t="e">
        <f t="shared" si="46"/>
        <v>#DIV/0!</v>
      </c>
      <c r="AU23" s="1065"/>
      <c r="AV23" s="3274"/>
      <c r="AW23" s="3274"/>
      <c r="AX23" s="3283">
        <f t="shared" si="31"/>
        <v>0</v>
      </c>
      <c r="AY23" s="3284" t="e">
        <f t="shared" si="47"/>
        <v>#DIV/0!</v>
      </c>
      <c r="AZ23" s="1065"/>
      <c r="BA23" s="3274"/>
      <c r="BB23" s="3274"/>
      <c r="BC23" s="3283">
        <f t="shared" si="32"/>
        <v>0</v>
      </c>
      <c r="BD23" s="3284" t="e">
        <f t="shared" si="48"/>
        <v>#DIV/0!</v>
      </c>
      <c r="BE23" s="1065"/>
      <c r="BF23" s="3274"/>
      <c r="BG23" s="3274"/>
      <c r="BH23" s="3283">
        <f t="shared" si="33"/>
        <v>0</v>
      </c>
      <c r="BI23" s="3284" t="e">
        <f t="shared" si="49"/>
        <v>#DIV/0!</v>
      </c>
      <c r="BJ23" s="1065"/>
      <c r="BK23" s="3274"/>
      <c r="BL23" s="3274"/>
      <c r="BM23" s="3283">
        <f t="shared" si="34"/>
        <v>0</v>
      </c>
      <c r="BN23" s="3284" t="e">
        <f t="shared" si="50"/>
        <v>#DIV/0!</v>
      </c>
      <c r="BO23" s="1065"/>
      <c r="BP23" s="3274"/>
      <c r="BQ23" s="3274"/>
      <c r="BR23" s="3283">
        <f t="shared" si="35"/>
        <v>0</v>
      </c>
      <c r="BS23" s="3284" t="e">
        <f t="shared" si="51"/>
        <v>#DIV/0!</v>
      </c>
      <c r="BT23" s="1065"/>
      <c r="BU23" s="3274"/>
      <c r="BV23" s="3274"/>
      <c r="BW23" s="3283">
        <f t="shared" si="36"/>
        <v>0</v>
      </c>
      <c r="BX23" s="3284" t="e">
        <f t="shared" si="52"/>
        <v>#DIV/0!</v>
      </c>
      <c r="BY23" s="1065"/>
      <c r="BZ23" s="3274"/>
      <c r="CA23" s="3274"/>
      <c r="CB23" s="3283">
        <f t="shared" si="37"/>
        <v>0</v>
      </c>
      <c r="CC23" s="3284" t="e">
        <f t="shared" si="53"/>
        <v>#DIV/0!</v>
      </c>
      <c r="CD23" s="1065"/>
      <c r="CE23" s="3274"/>
      <c r="CF23" s="3274"/>
      <c r="CG23" s="3283">
        <f t="shared" si="38"/>
        <v>0</v>
      </c>
      <c r="CH23" s="3284" t="e">
        <f t="shared" si="54"/>
        <v>#DIV/0!</v>
      </c>
      <c r="CI23" s="1065"/>
      <c r="CJ23" s="3274">
        <f t="shared" si="39"/>
        <v>0</v>
      </c>
      <c r="CK23" s="3274">
        <f t="shared" si="39"/>
        <v>0</v>
      </c>
      <c r="CL23" s="3283">
        <f t="shared" si="55"/>
        <v>0</v>
      </c>
      <c r="CM23" s="3284" t="e">
        <f t="shared" si="40"/>
        <v>#DIV/0!</v>
      </c>
      <c r="CN23" s="1449"/>
      <c r="CP23" s="3398"/>
      <c r="CQ23" s="2028">
        <f t="shared" si="41"/>
        <v>0</v>
      </c>
      <c r="CR23" s="3448">
        <f t="shared" si="56"/>
        <v>0</v>
      </c>
      <c r="CT23" s="2644"/>
    </row>
    <row r="24" spans="1:100" s="1411" customFormat="1" ht="13.8" outlineLevel="2" x14ac:dyDescent="0.25">
      <c r="A24" s="1586"/>
      <c r="B24" s="3451" t="s">
        <v>23</v>
      </c>
      <c r="C24" s="3274"/>
      <c r="D24" s="3274"/>
      <c r="E24" s="3283">
        <f t="shared" si="19"/>
        <v>0</v>
      </c>
      <c r="F24" s="3284" t="e">
        <f t="shared" si="16"/>
        <v>#DIV/0!</v>
      </c>
      <c r="G24" s="3275"/>
      <c r="H24" s="3274"/>
      <c r="I24" s="3274"/>
      <c r="J24" s="3283">
        <f t="shared" si="20"/>
        <v>0</v>
      </c>
      <c r="K24" s="3284" t="e">
        <f t="shared" si="42"/>
        <v>#DIV/0!</v>
      </c>
      <c r="L24" s="3275"/>
      <c r="M24" s="3274"/>
      <c r="N24" s="3274"/>
      <c r="O24" s="3283">
        <f t="shared" si="21"/>
        <v>0</v>
      </c>
      <c r="P24" s="3284" t="e">
        <f t="shared" si="22"/>
        <v>#DIV/0!</v>
      </c>
      <c r="Q24" s="3275"/>
      <c r="R24" s="3275">
        <f t="shared" si="23"/>
        <v>0</v>
      </c>
      <c r="S24" s="3275">
        <f t="shared" si="23"/>
        <v>0</v>
      </c>
      <c r="T24" s="2028">
        <f t="shared" si="24"/>
        <v>0</v>
      </c>
      <c r="U24" s="3275"/>
      <c r="V24" s="3275"/>
      <c r="W24" s="3275">
        <f t="shared" si="25"/>
        <v>0</v>
      </c>
      <c r="X24" s="3275">
        <f t="shared" si="25"/>
        <v>0</v>
      </c>
      <c r="Y24" s="2028">
        <f t="shared" si="26"/>
        <v>0</v>
      </c>
      <c r="Z24" s="3275"/>
      <c r="AA24" s="3275"/>
      <c r="AB24" s="3274"/>
      <c r="AC24" s="3274"/>
      <c r="AD24" s="3283">
        <f t="shared" si="27"/>
        <v>0</v>
      </c>
      <c r="AE24" s="3284" t="e">
        <f t="shared" si="43"/>
        <v>#DIV/0!</v>
      </c>
      <c r="AF24" s="3275"/>
      <c r="AG24" s="3274"/>
      <c r="AH24" s="3274"/>
      <c r="AI24" s="3283">
        <f t="shared" si="28"/>
        <v>0</v>
      </c>
      <c r="AJ24" s="3284" t="e">
        <f t="shared" si="44"/>
        <v>#DIV/0!</v>
      </c>
      <c r="AK24" s="3275"/>
      <c r="AL24" s="3274"/>
      <c r="AM24" s="3274"/>
      <c r="AN24" s="3283">
        <f t="shared" si="29"/>
        <v>0</v>
      </c>
      <c r="AO24" s="3284" t="e">
        <f t="shared" si="45"/>
        <v>#DIV/0!</v>
      </c>
      <c r="AP24" s="3275"/>
      <c r="AQ24" s="3274"/>
      <c r="AR24" s="3274"/>
      <c r="AS24" s="3283">
        <f t="shared" si="30"/>
        <v>0</v>
      </c>
      <c r="AT24" s="3284" t="e">
        <f t="shared" si="46"/>
        <v>#DIV/0!</v>
      </c>
      <c r="AU24" s="3275"/>
      <c r="AV24" s="3274"/>
      <c r="AW24" s="3274"/>
      <c r="AX24" s="3283">
        <f t="shared" si="31"/>
        <v>0</v>
      </c>
      <c r="AY24" s="3284" t="e">
        <f t="shared" si="47"/>
        <v>#DIV/0!</v>
      </c>
      <c r="AZ24" s="3275"/>
      <c r="BA24" s="3274"/>
      <c r="BB24" s="3274"/>
      <c r="BC24" s="3283">
        <f t="shared" si="32"/>
        <v>0</v>
      </c>
      <c r="BD24" s="3284" t="e">
        <f t="shared" si="48"/>
        <v>#DIV/0!</v>
      </c>
      <c r="BE24" s="3275"/>
      <c r="BF24" s="3274"/>
      <c r="BG24" s="3274"/>
      <c r="BH24" s="3283">
        <f t="shared" si="33"/>
        <v>0</v>
      </c>
      <c r="BI24" s="3284" t="e">
        <f t="shared" si="49"/>
        <v>#DIV/0!</v>
      </c>
      <c r="BJ24" s="3275"/>
      <c r="BK24" s="3274"/>
      <c r="BL24" s="3274"/>
      <c r="BM24" s="3283">
        <f t="shared" si="34"/>
        <v>0</v>
      </c>
      <c r="BN24" s="3284" t="e">
        <f t="shared" si="50"/>
        <v>#DIV/0!</v>
      </c>
      <c r="BO24" s="3275"/>
      <c r="BP24" s="3274"/>
      <c r="BQ24" s="3274"/>
      <c r="BR24" s="3283">
        <f t="shared" si="35"/>
        <v>0</v>
      </c>
      <c r="BS24" s="3284" t="e">
        <f t="shared" si="51"/>
        <v>#DIV/0!</v>
      </c>
      <c r="BT24" s="3275"/>
      <c r="BU24" s="3274"/>
      <c r="BV24" s="3274"/>
      <c r="BW24" s="3283">
        <f t="shared" si="36"/>
        <v>0</v>
      </c>
      <c r="BX24" s="3284" t="e">
        <f t="shared" si="52"/>
        <v>#DIV/0!</v>
      </c>
      <c r="BY24" s="3275"/>
      <c r="BZ24" s="3274"/>
      <c r="CA24" s="3274"/>
      <c r="CB24" s="3283">
        <f t="shared" si="37"/>
        <v>0</v>
      </c>
      <c r="CC24" s="3284" t="e">
        <f t="shared" si="53"/>
        <v>#DIV/0!</v>
      </c>
      <c r="CD24" s="3275"/>
      <c r="CE24" s="3274"/>
      <c r="CF24" s="3274"/>
      <c r="CG24" s="3283">
        <f t="shared" si="38"/>
        <v>0</v>
      </c>
      <c r="CH24" s="3284" t="e">
        <f t="shared" si="54"/>
        <v>#DIV/0!</v>
      </c>
      <c r="CI24" s="3275"/>
      <c r="CJ24" s="3274">
        <f t="shared" si="39"/>
        <v>0</v>
      </c>
      <c r="CK24" s="3274">
        <f t="shared" si="39"/>
        <v>0</v>
      </c>
      <c r="CL24" s="3283">
        <f t="shared" si="55"/>
        <v>0</v>
      </c>
      <c r="CM24" s="3284" t="e">
        <f t="shared" si="40"/>
        <v>#DIV/0!</v>
      </c>
      <c r="CN24" s="1449"/>
      <c r="CP24" s="3398"/>
      <c r="CQ24" s="2028">
        <f t="shared" si="41"/>
        <v>0</v>
      </c>
      <c r="CR24" s="3448">
        <f t="shared" si="56"/>
        <v>0</v>
      </c>
      <c r="CT24" s="2644"/>
    </row>
    <row r="25" spans="1:100" s="1411" customFormat="1" ht="13.8" outlineLevel="2" x14ac:dyDescent="0.25">
      <c r="A25" s="1586"/>
      <c r="B25" s="3451" t="s">
        <v>24</v>
      </c>
      <c r="C25" s="3274"/>
      <c r="D25" s="3274"/>
      <c r="E25" s="3283">
        <f t="shared" si="19"/>
        <v>0</v>
      </c>
      <c r="F25" s="3284" t="e">
        <f t="shared" si="16"/>
        <v>#DIV/0!</v>
      </c>
      <c r="G25" s="3275"/>
      <c r="H25" s="3274"/>
      <c r="I25" s="3274"/>
      <c r="J25" s="3283">
        <f t="shared" si="20"/>
        <v>0</v>
      </c>
      <c r="K25" s="3284" t="e">
        <f t="shared" si="42"/>
        <v>#DIV/0!</v>
      </c>
      <c r="L25" s="3275"/>
      <c r="M25" s="3274"/>
      <c r="N25" s="3274"/>
      <c r="O25" s="3283">
        <f t="shared" si="21"/>
        <v>0</v>
      </c>
      <c r="P25" s="3284" t="e">
        <f t="shared" si="22"/>
        <v>#DIV/0!</v>
      </c>
      <c r="Q25" s="3275"/>
      <c r="R25" s="3275">
        <f t="shared" si="23"/>
        <v>0</v>
      </c>
      <c r="S25" s="3275">
        <f t="shared" si="23"/>
        <v>0</v>
      </c>
      <c r="T25" s="2028">
        <f t="shared" si="24"/>
        <v>0</v>
      </c>
      <c r="U25" s="3275"/>
      <c r="V25" s="3275"/>
      <c r="W25" s="3275">
        <f t="shared" si="25"/>
        <v>0</v>
      </c>
      <c r="X25" s="3275">
        <f t="shared" si="25"/>
        <v>0</v>
      </c>
      <c r="Y25" s="2028">
        <f t="shared" si="26"/>
        <v>0</v>
      </c>
      <c r="Z25" s="3275"/>
      <c r="AA25" s="3275"/>
      <c r="AB25" s="3274"/>
      <c r="AC25" s="3274"/>
      <c r="AD25" s="3283">
        <f t="shared" si="27"/>
        <v>0</v>
      </c>
      <c r="AE25" s="3284" t="e">
        <f t="shared" si="43"/>
        <v>#DIV/0!</v>
      </c>
      <c r="AF25" s="3275"/>
      <c r="AG25" s="3274"/>
      <c r="AH25" s="3274"/>
      <c r="AI25" s="3283">
        <f t="shared" si="28"/>
        <v>0</v>
      </c>
      <c r="AJ25" s="3284" t="e">
        <f t="shared" si="44"/>
        <v>#DIV/0!</v>
      </c>
      <c r="AK25" s="3275"/>
      <c r="AL25" s="3274"/>
      <c r="AM25" s="3274"/>
      <c r="AN25" s="3283">
        <f t="shared" si="29"/>
        <v>0</v>
      </c>
      <c r="AO25" s="3284" t="e">
        <f t="shared" si="45"/>
        <v>#DIV/0!</v>
      </c>
      <c r="AP25" s="3275"/>
      <c r="AQ25" s="3274"/>
      <c r="AR25" s="3274"/>
      <c r="AS25" s="3283">
        <f t="shared" si="30"/>
        <v>0</v>
      </c>
      <c r="AT25" s="3284" t="e">
        <f t="shared" si="46"/>
        <v>#DIV/0!</v>
      </c>
      <c r="AU25" s="3275"/>
      <c r="AV25" s="3274"/>
      <c r="AW25" s="3274"/>
      <c r="AX25" s="3283">
        <f t="shared" si="31"/>
        <v>0</v>
      </c>
      <c r="AY25" s="3284" t="e">
        <f t="shared" si="47"/>
        <v>#DIV/0!</v>
      </c>
      <c r="AZ25" s="3275"/>
      <c r="BA25" s="3274"/>
      <c r="BB25" s="3274"/>
      <c r="BC25" s="3283">
        <f t="shared" si="32"/>
        <v>0</v>
      </c>
      <c r="BD25" s="3284" t="e">
        <f t="shared" si="48"/>
        <v>#DIV/0!</v>
      </c>
      <c r="BE25" s="3275"/>
      <c r="BF25" s="3274"/>
      <c r="BG25" s="3274"/>
      <c r="BH25" s="3283">
        <f t="shared" si="33"/>
        <v>0</v>
      </c>
      <c r="BI25" s="3284" t="e">
        <f t="shared" si="49"/>
        <v>#DIV/0!</v>
      </c>
      <c r="BJ25" s="3275"/>
      <c r="BK25" s="3274"/>
      <c r="BL25" s="3274"/>
      <c r="BM25" s="3283">
        <f t="shared" si="34"/>
        <v>0</v>
      </c>
      <c r="BN25" s="3284" t="e">
        <f t="shared" si="50"/>
        <v>#DIV/0!</v>
      </c>
      <c r="BO25" s="3275"/>
      <c r="BP25" s="3274"/>
      <c r="BQ25" s="3274"/>
      <c r="BR25" s="3283">
        <f t="shared" si="35"/>
        <v>0</v>
      </c>
      <c r="BS25" s="3284" t="e">
        <f t="shared" si="51"/>
        <v>#DIV/0!</v>
      </c>
      <c r="BT25" s="3275"/>
      <c r="BU25" s="3274"/>
      <c r="BV25" s="3274"/>
      <c r="BW25" s="3283">
        <f t="shared" si="36"/>
        <v>0</v>
      </c>
      <c r="BX25" s="3284" t="e">
        <f t="shared" si="52"/>
        <v>#DIV/0!</v>
      </c>
      <c r="BY25" s="3275"/>
      <c r="BZ25" s="3274"/>
      <c r="CA25" s="3274"/>
      <c r="CB25" s="3283">
        <f t="shared" si="37"/>
        <v>0</v>
      </c>
      <c r="CC25" s="3284" t="e">
        <f t="shared" si="53"/>
        <v>#DIV/0!</v>
      </c>
      <c r="CD25" s="3275"/>
      <c r="CE25" s="3274"/>
      <c r="CF25" s="3274"/>
      <c r="CG25" s="3283">
        <f t="shared" si="38"/>
        <v>0</v>
      </c>
      <c r="CH25" s="3284" t="e">
        <f t="shared" si="54"/>
        <v>#DIV/0!</v>
      </c>
      <c r="CI25" s="3275"/>
      <c r="CJ25" s="3274">
        <f t="shared" si="39"/>
        <v>0</v>
      </c>
      <c r="CK25" s="3274">
        <f t="shared" si="39"/>
        <v>0</v>
      </c>
      <c r="CL25" s="3283">
        <f t="shared" si="55"/>
        <v>0</v>
      </c>
      <c r="CM25" s="3284" t="e">
        <f t="shared" si="40"/>
        <v>#DIV/0!</v>
      </c>
      <c r="CN25" s="1449"/>
      <c r="CP25" s="3398"/>
      <c r="CQ25" s="2028"/>
      <c r="CR25" s="3448">
        <f t="shared" si="56"/>
        <v>0</v>
      </c>
      <c r="CS25" s="3230"/>
      <c r="CT25" s="2644"/>
    </row>
    <row r="26" spans="1:100" s="1411" customFormat="1" ht="13.8" outlineLevel="2" x14ac:dyDescent="0.25">
      <c r="A26" s="1586"/>
      <c r="B26" s="3451" t="s">
        <v>45</v>
      </c>
      <c r="C26" s="3274"/>
      <c r="D26" s="3274"/>
      <c r="E26" s="3283">
        <f t="shared" si="19"/>
        <v>0</v>
      </c>
      <c r="F26" s="3284" t="e">
        <f t="shared" si="16"/>
        <v>#DIV/0!</v>
      </c>
      <c r="G26" s="3275"/>
      <c r="H26" s="3274"/>
      <c r="I26" s="3274"/>
      <c r="J26" s="3283">
        <f t="shared" si="20"/>
        <v>0</v>
      </c>
      <c r="K26" s="3284" t="e">
        <f t="shared" si="42"/>
        <v>#DIV/0!</v>
      </c>
      <c r="L26" s="3275"/>
      <c r="M26" s="3274"/>
      <c r="N26" s="3274"/>
      <c r="O26" s="3283">
        <f t="shared" si="21"/>
        <v>0</v>
      </c>
      <c r="P26" s="3284" t="e">
        <f t="shared" si="22"/>
        <v>#DIV/0!</v>
      </c>
      <c r="Q26" s="3275"/>
      <c r="R26" s="3275">
        <f t="shared" si="23"/>
        <v>0</v>
      </c>
      <c r="S26" s="3275">
        <f t="shared" si="23"/>
        <v>0</v>
      </c>
      <c r="T26" s="2028">
        <f t="shared" si="24"/>
        <v>0</v>
      </c>
      <c r="U26" s="3275"/>
      <c r="V26" s="3275"/>
      <c r="W26" s="3275">
        <f t="shared" si="25"/>
        <v>0</v>
      </c>
      <c r="X26" s="3275">
        <f t="shared" si="25"/>
        <v>0</v>
      </c>
      <c r="Y26" s="2028">
        <f t="shared" si="26"/>
        <v>0</v>
      </c>
      <c r="Z26" s="3275"/>
      <c r="AA26" s="3275"/>
      <c r="AB26" s="3274"/>
      <c r="AC26" s="3274"/>
      <c r="AD26" s="3283">
        <f t="shared" si="27"/>
        <v>0</v>
      </c>
      <c r="AE26" s="3284" t="e">
        <f t="shared" si="43"/>
        <v>#DIV/0!</v>
      </c>
      <c r="AF26" s="3275"/>
      <c r="AG26" s="3274"/>
      <c r="AH26" s="3274"/>
      <c r="AI26" s="3283">
        <f t="shared" si="28"/>
        <v>0</v>
      </c>
      <c r="AJ26" s="3284" t="e">
        <f t="shared" si="44"/>
        <v>#DIV/0!</v>
      </c>
      <c r="AK26" s="3275"/>
      <c r="AL26" s="3274"/>
      <c r="AM26" s="3274"/>
      <c r="AN26" s="3283">
        <f t="shared" si="29"/>
        <v>0</v>
      </c>
      <c r="AO26" s="3284" t="e">
        <f t="shared" si="45"/>
        <v>#DIV/0!</v>
      </c>
      <c r="AP26" s="3275"/>
      <c r="AQ26" s="3274"/>
      <c r="AR26" s="3274"/>
      <c r="AS26" s="3283">
        <f t="shared" si="30"/>
        <v>0</v>
      </c>
      <c r="AT26" s="3284" t="e">
        <f t="shared" si="46"/>
        <v>#DIV/0!</v>
      </c>
      <c r="AU26" s="3275"/>
      <c r="AV26" s="3274"/>
      <c r="AW26" s="3274"/>
      <c r="AX26" s="3283">
        <f t="shared" si="31"/>
        <v>0</v>
      </c>
      <c r="AY26" s="3284" t="e">
        <f t="shared" si="47"/>
        <v>#DIV/0!</v>
      </c>
      <c r="AZ26" s="3275"/>
      <c r="BA26" s="3274"/>
      <c r="BB26" s="3274"/>
      <c r="BC26" s="3283">
        <f t="shared" si="32"/>
        <v>0</v>
      </c>
      <c r="BD26" s="3284" t="e">
        <f t="shared" si="48"/>
        <v>#DIV/0!</v>
      </c>
      <c r="BE26" s="3275"/>
      <c r="BF26" s="3274"/>
      <c r="BG26" s="3274"/>
      <c r="BH26" s="3283">
        <f t="shared" si="33"/>
        <v>0</v>
      </c>
      <c r="BI26" s="3284" t="e">
        <f t="shared" si="49"/>
        <v>#DIV/0!</v>
      </c>
      <c r="BJ26" s="3275"/>
      <c r="BK26" s="3274"/>
      <c r="BL26" s="3274"/>
      <c r="BM26" s="3283">
        <f t="shared" si="34"/>
        <v>0</v>
      </c>
      <c r="BN26" s="3284" t="e">
        <f t="shared" si="50"/>
        <v>#DIV/0!</v>
      </c>
      <c r="BO26" s="3275"/>
      <c r="BP26" s="3274"/>
      <c r="BQ26" s="3274"/>
      <c r="BR26" s="3283">
        <f t="shared" si="35"/>
        <v>0</v>
      </c>
      <c r="BS26" s="3284" t="e">
        <f t="shared" si="51"/>
        <v>#DIV/0!</v>
      </c>
      <c r="BT26" s="3275"/>
      <c r="BU26" s="3274"/>
      <c r="BV26" s="3274"/>
      <c r="BW26" s="3283">
        <f t="shared" si="36"/>
        <v>0</v>
      </c>
      <c r="BX26" s="3284" t="e">
        <f t="shared" si="52"/>
        <v>#DIV/0!</v>
      </c>
      <c r="BY26" s="3275"/>
      <c r="BZ26" s="3274"/>
      <c r="CA26" s="3274"/>
      <c r="CB26" s="3283">
        <f t="shared" si="37"/>
        <v>0</v>
      </c>
      <c r="CC26" s="3284" t="e">
        <f t="shared" si="53"/>
        <v>#DIV/0!</v>
      </c>
      <c r="CD26" s="3275"/>
      <c r="CE26" s="3274"/>
      <c r="CF26" s="3274"/>
      <c r="CG26" s="3283">
        <f t="shared" si="38"/>
        <v>0</v>
      </c>
      <c r="CH26" s="3284" t="e">
        <f t="shared" si="54"/>
        <v>#DIV/0!</v>
      </c>
      <c r="CI26" s="3275"/>
      <c r="CJ26" s="3274">
        <f t="shared" si="39"/>
        <v>0</v>
      </c>
      <c r="CK26" s="3274">
        <f t="shared" si="39"/>
        <v>0</v>
      </c>
      <c r="CL26" s="3283">
        <f t="shared" si="55"/>
        <v>0</v>
      </c>
      <c r="CM26" s="3284" t="e">
        <f t="shared" si="40"/>
        <v>#DIV/0!</v>
      </c>
      <c r="CN26" s="1449"/>
      <c r="CP26" s="3398"/>
      <c r="CQ26" s="2028"/>
      <c r="CR26" s="3448">
        <f t="shared" si="56"/>
        <v>0</v>
      </c>
      <c r="CS26" s="3230"/>
      <c r="CT26" s="2644"/>
    </row>
    <row r="27" spans="1:100" s="1411" customFormat="1" ht="13.8" outlineLevel="2" x14ac:dyDescent="0.25">
      <c r="A27" s="1586"/>
      <c r="B27" s="3451" t="s">
        <v>25</v>
      </c>
      <c r="C27" s="3274"/>
      <c r="D27" s="3274"/>
      <c r="E27" s="3283">
        <f t="shared" si="19"/>
        <v>0</v>
      </c>
      <c r="F27" s="3284" t="e">
        <f t="shared" si="16"/>
        <v>#DIV/0!</v>
      </c>
      <c r="G27" s="3275"/>
      <c r="H27" s="3274"/>
      <c r="I27" s="3274"/>
      <c r="J27" s="3283">
        <f t="shared" si="20"/>
        <v>0</v>
      </c>
      <c r="K27" s="3284" t="e">
        <f t="shared" si="42"/>
        <v>#DIV/0!</v>
      </c>
      <c r="L27" s="3275"/>
      <c r="M27" s="3274"/>
      <c r="N27" s="3274"/>
      <c r="O27" s="3283">
        <f t="shared" si="21"/>
        <v>0</v>
      </c>
      <c r="P27" s="3284" t="e">
        <f t="shared" si="22"/>
        <v>#DIV/0!</v>
      </c>
      <c r="Q27" s="3275"/>
      <c r="R27" s="3275">
        <f t="shared" si="23"/>
        <v>0</v>
      </c>
      <c r="S27" s="3275">
        <f t="shared" si="23"/>
        <v>0</v>
      </c>
      <c r="T27" s="2028">
        <f t="shared" si="24"/>
        <v>0</v>
      </c>
      <c r="U27" s="3275"/>
      <c r="V27" s="3275"/>
      <c r="W27" s="3275">
        <f t="shared" si="25"/>
        <v>0</v>
      </c>
      <c r="X27" s="3275">
        <f t="shared" si="25"/>
        <v>0</v>
      </c>
      <c r="Y27" s="2028">
        <f t="shared" si="26"/>
        <v>0</v>
      </c>
      <c r="Z27" s="3275"/>
      <c r="AA27" s="3275"/>
      <c r="AB27" s="3274"/>
      <c r="AC27" s="3274"/>
      <c r="AD27" s="3283">
        <f t="shared" si="27"/>
        <v>0</v>
      </c>
      <c r="AE27" s="3284" t="e">
        <f t="shared" si="43"/>
        <v>#DIV/0!</v>
      </c>
      <c r="AF27" s="3275"/>
      <c r="AG27" s="3274"/>
      <c r="AH27" s="3274"/>
      <c r="AI27" s="3283">
        <f t="shared" si="28"/>
        <v>0</v>
      </c>
      <c r="AJ27" s="3284" t="e">
        <f t="shared" si="44"/>
        <v>#DIV/0!</v>
      </c>
      <c r="AK27" s="3275"/>
      <c r="AL27" s="3274"/>
      <c r="AM27" s="3274"/>
      <c r="AN27" s="3283">
        <f t="shared" si="29"/>
        <v>0</v>
      </c>
      <c r="AO27" s="3284" t="e">
        <f t="shared" si="45"/>
        <v>#DIV/0!</v>
      </c>
      <c r="AP27" s="3275"/>
      <c r="AQ27" s="3274"/>
      <c r="AR27" s="3274"/>
      <c r="AS27" s="3283">
        <f t="shared" si="30"/>
        <v>0</v>
      </c>
      <c r="AT27" s="3284" t="e">
        <f t="shared" si="46"/>
        <v>#DIV/0!</v>
      </c>
      <c r="AU27" s="3275"/>
      <c r="AV27" s="3274"/>
      <c r="AW27" s="3274"/>
      <c r="AX27" s="3283">
        <f t="shared" si="31"/>
        <v>0</v>
      </c>
      <c r="AY27" s="3284" t="e">
        <f t="shared" si="47"/>
        <v>#DIV/0!</v>
      </c>
      <c r="AZ27" s="3275"/>
      <c r="BA27" s="3274"/>
      <c r="BB27" s="3274"/>
      <c r="BC27" s="3283">
        <f t="shared" si="32"/>
        <v>0</v>
      </c>
      <c r="BD27" s="3284" t="e">
        <f t="shared" si="48"/>
        <v>#DIV/0!</v>
      </c>
      <c r="BE27" s="3275"/>
      <c r="BF27" s="3274"/>
      <c r="BG27" s="3274"/>
      <c r="BH27" s="3283">
        <f t="shared" si="33"/>
        <v>0</v>
      </c>
      <c r="BI27" s="3284" t="e">
        <f t="shared" si="49"/>
        <v>#DIV/0!</v>
      </c>
      <c r="BJ27" s="3275"/>
      <c r="BK27" s="3274"/>
      <c r="BL27" s="3274"/>
      <c r="BM27" s="3283">
        <f t="shared" si="34"/>
        <v>0</v>
      </c>
      <c r="BN27" s="3284" t="e">
        <f t="shared" si="50"/>
        <v>#DIV/0!</v>
      </c>
      <c r="BO27" s="3275"/>
      <c r="BP27" s="3274"/>
      <c r="BQ27" s="3274"/>
      <c r="BR27" s="3283">
        <f t="shared" si="35"/>
        <v>0</v>
      </c>
      <c r="BS27" s="3284" t="e">
        <f t="shared" si="51"/>
        <v>#DIV/0!</v>
      </c>
      <c r="BT27" s="3275"/>
      <c r="BU27" s="3274"/>
      <c r="BV27" s="3274"/>
      <c r="BW27" s="3283">
        <f t="shared" si="36"/>
        <v>0</v>
      </c>
      <c r="BX27" s="3284" t="e">
        <f t="shared" si="52"/>
        <v>#DIV/0!</v>
      </c>
      <c r="BY27" s="3275"/>
      <c r="BZ27" s="3274"/>
      <c r="CA27" s="3274"/>
      <c r="CB27" s="3283">
        <f t="shared" si="37"/>
        <v>0</v>
      </c>
      <c r="CC27" s="3284" t="e">
        <f t="shared" si="53"/>
        <v>#DIV/0!</v>
      </c>
      <c r="CD27" s="3275"/>
      <c r="CE27" s="3274"/>
      <c r="CF27" s="3274"/>
      <c r="CG27" s="3283">
        <f t="shared" si="38"/>
        <v>0</v>
      </c>
      <c r="CH27" s="3284" t="e">
        <f t="shared" si="54"/>
        <v>#DIV/0!</v>
      </c>
      <c r="CI27" s="3275"/>
      <c r="CJ27" s="3274">
        <f t="shared" si="39"/>
        <v>0</v>
      </c>
      <c r="CK27" s="3274">
        <f t="shared" si="39"/>
        <v>0</v>
      </c>
      <c r="CL27" s="3283">
        <f t="shared" si="55"/>
        <v>0</v>
      </c>
      <c r="CM27" s="3284" t="e">
        <f t="shared" si="40"/>
        <v>#DIV/0!</v>
      </c>
      <c r="CN27" s="1449"/>
      <c r="CP27" s="3398"/>
      <c r="CQ27" s="2028">
        <f t="shared" si="41"/>
        <v>0</v>
      </c>
      <c r="CR27" s="3448">
        <f t="shared" si="56"/>
        <v>0</v>
      </c>
      <c r="CS27" s="3232"/>
      <c r="CT27" s="3450"/>
    </row>
    <row r="28" spans="1:100" s="1411" customFormat="1" ht="13.8" outlineLevel="2" x14ac:dyDescent="0.25">
      <c r="A28" s="1586"/>
      <c r="B28" s="3451" t="s">
        <v>52</v>
      </c>
      <c r="C28" s="3274"/>
      <c r="D28" s="3274"/>
      <c r="E28" s="3283">
        <f t="shared" si="19"/>
        <v>0</v>
      </c>
      <c r="F28" s="3284" t="e">
        <f t="shared" si="16"/>
        <v>#DIV/0!</v>
      </c>
      <c r="G28" s="3275"/>
      <c r="H28" s="3274"/>
      <c r="I28" s="3274"/>
      <c r="J28" s="3283">
        <f t="shared" si="20"/>
        <v>0</v>
      </c>
      <c r="K28" s="3284" t="e">
        <f t="shared" si="42"/>
        <v>#DIV/0!</v>
      </c>
      <c r="L28" s="3275"/>
      <c r="M28" s="3274"/>
      <c r="N28" s="3274"/>
      <c r="O28" s="3283">
        <f t="shared" si="21"/>
        <v>0</v>
      </c>
      <c r="P28" s="3284" t="e">
        <f t="shared" si="22"/>
        <v>#DIV/0!</v>
      </c>
      <c r="Q28" s="3358"/>
      <c r="R28" s="3275">
        <f t="shared" si="23"/>
        <v>0</v>
      </c>
      <c r="S28" s="3275">
        <f t="shared" si="23"/>
        <v>0</v>
      </c>
      <c r="T28" s="2028">
        <f t="shared" si="24"/>
        <v>0</v>
      </c>
      <c r="U28" s="3358"/>
      <c r="V28" s="3358"/>
      <c r="W28" s="3275">
        <f t="shared" si="25"/>
        <v>0</v>
      </c>
      <c r="X28" s="3275">
        <f t="shared" si="25"/>
        <v>0</v>
      </c>
      <c r="Y28" s="2028">
        <f t="shared" si="26"/>
        <v>0</v>
      </c>
      <c r="Z28" s="3358"/>
      <c r="AA28" s="3358"/>
      <c r="AB28" s="3274"/>
      <c r="AC28" s="3274"/>
      <c r="AD28" s="3283">
        <f t="shared" si="27"/>
        <v>0</v>
      </c>
      <c r="AE28" s="3284" t="e">
        <f t="shared" si="43"/>
        <v>#DIV/0!</v>
      </c>
      <c r="AF28" s="3358"/>
      <c r="AG28" s="3274"/>
      <c r="AH28" s="3274"/>
      <c r="AI28" s="3283">
        <f t="shared" si="28"/>
        <v>0</v>
      </c>
      <c r="AJ28" s="3284" t="e">
        <f t="shared" si="44"/>
        <v>#DIV/0!</v>
      </c>
      <c r="AK28" s="3358"/>
      <c r="AL28" s="3274"/>
      <c r="AM28" s="3274"/>
      <c r="AN28" s="3283">
        <f t="shared" si="29"/>
        <v>0</v>
      </c>
      <c r="AO28" s="3284" t="e">
        <f t="shared" si="45"/>
        <v>#DIV/0!</v>
      </c>
      <c r="AP28" s="3358"/>
      <c r="AQ28" s="3274"/>
      <c r="AR28" s="3274"/>
      <c r="AS28" s="3283">
        <f t="shared" si="30"/>
        <v>0</v>
      </c>
      <c r="AT28" s="3284" t="e">
        <f t="shared" si="46"/>
        <v>#DIV/0!</v>
      </c>
      <c r="AU28" s="3358"/>
      <c r="AV28" s="3274"/>
      <c r="AW28" s="3274"/>
      <c r="AX28" s="3283">
        <f t="shared" si="31"/>
        <v>0</v>
      </c>
      <c r="AY28" s="3284" t="e">
        <f t="shared" si="47"/>
        <v>#DIV/0!</v>
      </c>
      <c r="AZ28" s="3358"/>
      <c r="BA28" s="3274"/>
      <c r="BB28" s="3274"/>
      <c r="BC28" s="3283">
        <f t="shared" si="32"/>
        <v>0</v>
      </c>
      <c r="BD28" s="3284" t="e">
        <f t="shared" si="48"/>
        <v>#DIV/0!</v>
      </c>
      <c r="BE28" s="3358"/>
      <c r="BF28" s="3274"/>
      <c r="BG28" s="3274"/>
      <c r="BH28" s="3283">
        <f t="shared" si="33"/>
        <v>0</v>
      </c>
      <c r="BI28" s="3284" t="e">
        <f t="shared" si="49"/>
        <v>#DIV/0!</v>
      </c>
      <c r="BJ28" s="3358"/>
      <c r="BK28" s="3274"/>
      <c r="BL28" s="3274"/>
      <c r="BM28" s="3283">
        <f t="shared" si="34"/>
        <v>0</v>
      </c>
      <c r="BN28" s="3284" t="e">
        <f t="shared" si="50"/>
        <v>#DIV/0!</v>
      </c>
      <c r="BO28" s="3358"/>
      <c r="BP28" s="3274"/>
      <c r="BQ28" s="3274"/>
      <c r="BR28" s="3283">
        <f t="shared" si="35"/>
        <v>0</v>
      </c>
      <c r="BS28" s="3284" t="e">
        <f t="shared" si="51"/>
        <v>#DIV/0!</v>
      </c>
      <c r="BT28" s="3358"/>
      <c r="BU28" s="3274"/>
      <c r="BV28" s="3274"/>
      <c r="BW28" s="3283">
        <f t="shared" si="36"/>
        <v>0</v>
      </c>
      <c r="BX28" s="3284" t="e">
        <f t="shared" si="52"/>
        <v>#DIV/0!</v>
      </c>
      <c r="BY28" s="3358"/>
      <c r="BZ28" s="3274"/>
      <c r="CA28" s="3274"/>
      <c r="CB28" s="3283">
        <f t="shared" si="37"/>
        <v>0</v>
      </c>
      <c r="CC28" s="3284" t="e">
        <f t="shared" si="53"/>
        <v>#DIV/0!</v>
      </c>
      <c r="CD28" s="3358"/>
      <c r="CE28" s="3274"/>
      <c r="CF28" s="3274"/>
      <c r="CG28" s="3283">
        <f t="shared" si="38"/>
        <v>0</v>
      </c>
      <c r="CH28" s="3284" t="e">
        <f t="shared" si="54"/>
        <v>#DIV/0!</v>
      </c>
      <c r="CI28" s="3358"/>
      <c r="CJ28" s="3274">
        <f t="shared" si="39"/>
        <v>0</v>
      </c>
      <c r="CK28" s="3274">
        <f t="shared" si="39"/>
        <v>0</v>
      </c>
      <c r="CL28" s="3283">
        <f t="shared" si="55"/>
        <v>0</v>
      </c>
      <c r="CM28" s="3284" t="e">
        <f t="shared" si="40"/>
        <v>#DIV/0!</v>
      </c>
      <c r="CN28" s="1449"/>
      <c r="CP28" s="3398"/>
      <c r="CQ28" s="2028">
        <f t="shared" si="41"/>
        <v>0</v>
      </c>
      <c r="CR28" s="3448">
        <f t="shared" si="56"/>
        <v>0</v>
      </c>
      <c r="CS28" s="3232"/>
      <c r="CT28" s="3450"/>
    </row>
    <row r="29" spans="1:100" s="1411" customFormat="1" ht="13.8" outlineLevel="2" x14ac:dyDescent="0.25">
      <c r="A29" s="1586"/>
      <c r="B29" s="3451" t="s">
        <v>31</v>
      </c>
      <c r="C29" s="3274"/>
      <c r="D29" s="3274"/>
      <c r="E29" s="3283">
        <f t="shared" si="19"/>
        <v>0</v>
      </c>
      <c r="F29" s="3284" t="e">
        <f t="shared" si="16"/>
        <v>#DIV/0!</v>
      </c>
      <c r="G29" s="3275"/>
      <c r="H29" s="3274"/>
      <c r="I29" s="3274"/>
      <c r="J29" s="3283">
        <f t="shared" si="20"/>
        <v>0</v>
      </c>
      <c r="K29" s="3284" t="e">
        <f t="shared" si="42"/>
        <v>#DIV/0!</v>
      </c>
      <c r="L29" s="3275"/>
      <c r="M29" s="3274"/>
      <c r="N29" s="3274"/>
      <c r="O29" s="3283">
        <f t="shared" si="21"/>
        <v>0</v>
      </c>
      <c r="P29" s="3284" t="e">
        <f t="shared" si="22"/>
        <v>#DIV/0!</v>
      </c>
      <c r="Q29" s="3275"/>
      <c r="R29" s="3275">
        <f t="shared" si="23"/>
        <v>0</v>
      </c>
      <c r="S29" s="3275">
        <f t="shared" si="23"/>
        <v>0</v>
      </c>
      <c r="T29" s="2028">
        <f t="shared" si="24"/>
        <v>0</v>
      </c>
      <c r="U29" s="3275"/>
      <c r="V29" s="3275"/>
      <c r="W29" s="3275">
        <f t="shared" si="25"/>
        <v>0</v>
      </c>
      <c r="X29" s="3275">
        <f t="shared" si="25"/>
        <v>0</v>
      </c>
      <c r="Y29" s="2028">
        <f t="shared" si="26"/>
        <v>0</v>
      </c>
      <c r="Z29" s="3275"/>
      <c r="AA29" s="3275"/>
      <c r="AB29" s="3274"/>
      <c r="AC29" s="3274"/>
      <c r="AD29" s="3283">
        <f t="shared" si="27"/>
        <v>0</v>
      </c>
      <c r="AE29" s="3284" t="e">
        <f t="shared" si="43"/>
        <v>#DIV/0!</v>
      </c>
      <c r="AF29" s="3275"/>
      <c r="AG29" s="3274"/>
      <c r="AH29" s="3274"/>
      <c r="AI29" s="3283">
        <f t="shared" si="28"/>
        <v>0</v>
      </c>
      <c r="AJ29" s="3284" t="e">
        <f t="shared" si="44"/>
        <v>#DIV/0!</v>
      </c>
      <c r="AK29" s="3275"/>
      <c r="AL29" s="3274"/>
      <c r="AM29" s="3274"/>
      <c r="AN29" s="3283">
        <f t="shared" si="29"/>
        <v>0</v>
      </c>
      <c r="AO29" s="3284" t="e">
        <f t="shared" si="45"/>
        <v>#DIV/0!</v>
      </c>
      <c r="AP29" s="3275"/>
      <c r="AQ29" s="3274"/>
      <c r="AR29" s="3274"/>
      <c r="AS29" s="3283">
        <f t="shared" si="30"/>
        <v>0</v>
      </c>
      <c r="AT29" s="3284" t="e">
        <f t="shared" si="46"/>
        <v>#DIV/0!</v>
      </c>
      <c r="AU29" s="3275"/>
      <c r="AV29" s="3274"/>
      <c r="AW29" s="3274"/>
      <c r="AX29" s="3283">
        <f t="shared" si="31"/>
        <v>0</v>
      </c>
      <c r="AY29" s="3284" t="e">
        <f t="shared" si="47"/>
        <v>#DIV/0!</v>
      </c>
      <c r="AZ29" s="3275"/>
      <c r="BA29" s="3274"/>
      <c r="BB29" s="3274"/>
      <c r="BC29" s="3283">
        <f t="shared" si="32"/>
        <v>0</v>
      </c>
      <c r="BD29" s="3284" t="e">
        <f t="shared" si="48"/>
        <v>#DIV/0!</v>
      </c>
      <c r="BE29" s="3275"/>
      <c r="BF29" s="3274"/>
      <c r="BG29" s="3274"/>
      <c r="BH29" s="3283">
        <f t="shared" si="33"/>
        <v>0</v>
      </c>
      <c r="BI29" s="3284" t="e">
        <f t="shared" si="49"/>
        <v>#DIV/0!</v>
      </c>
      <c r="BJ29" s="3275"/>
      <c r="BK29" s="3274"/>
      <c r="BL29" s="3274"/>
      <c r="BM29" s="3283">
        <f t="shared" si="34"/>
        <v>0</v>
      </c>
      <c r="BN29" s="3284" t="e">
        <f t="shared" si="50"/>
        <v>#DIV/0!</v>
      </c>
      <c r="BO29" s="3275"/>
      <c r="BP29" s="3274"/>
      <c r="BQ29" s="3274"/>
      <c r="BR29" s="3283">
        <f t="shared" si="35"/>
        <v>0</v>
      </c>
      <c r="BS29" s="3284" t="e">
        <f t="shared" si="51"/>
        <v>#DIV/0!</v>
      </c>
      <c r="BT29" s="3275"/>
      <c r="BU29" s="3274"/>
      <c r="BV29" s="3274"/>
      <c r="BW29" s="3283">
        <f t="shared" si="36"/>
        <v>0</v>
      </c>
      <c r="BX29" s="3284" t="e">
        <f t="shared" si="52"/>
        <v>#DIV/0!</v>
      </c>
      <c r="BY29" s="3275"/>
      <c r="BZ29" s="3274"/>
      <c r="CA29" s="3274"/>
      <c r="CB29" s="3283">
        <f t="shared" si="37"/>
        <v>0</v>
      </c>
      <c r="CC29" s="3284" t="e">
        <f t="shared" si="53"/>
        <v>#DIV/0!</v>
      </c>
      <c r="CD29" s="3275"/>
      <c r="CE29" s="3274"/>
      <c r="CF29" s="3274"/>
      <c r="CG29" s="3283">
        <f t="shared" si="38"/>
        <v>0</v>
      </c>
      <c r="CH29" s="3284" t="e">
        <f t="shared" si="54"/>
        <v>#DIV/0!</v>
      </c>
      <c r="CI29" s="3275"/>
      <c r="CJ29" s="3274">
        <f t="shared" si="39"/>
        <v>0</v>
      </c>
      <c r="CK29" s="3274">
        <f t="shared" si="39"/>
        <v>0</v>
      </c>
      <c r="CL29" s="3283">
        <f t="shared" si="55"/>
        <v>0</v>
      </c>
      <c r="CM29" s="3284" t="e">
        <f t="shared" si="40"/>
        <v>#DIV/0!</v>
      </c>
      <c r="CN29" s="3295"/>
      <c r="CP29" s="3398"/>
      <c r="CQ29" s="2028">
        <f t="shared" si="41"/>
        <v>0</v>
      </c>
      <c r="CR29" s="3448">
        <f t="shared" si="56"/>
        <v>0</v>
      </c>
      <c r="CT29" s="2644"/>
    </row>
    <row r="30" spans="1:100" s="1411" customFormat="1" ht="13.8" outlineLevel="2" x14ac:dyDescent="0.25">
      <c r="A30" s="1586"/>
      <c r="B30" s="3451" t="s">
        <v>62</v>
      </c>
      <c r="C30" s="3274"/>
      <c r="D30" s="3274"/>
      <c r="E30" s="3283">
        <f t="shared" si="19"/>
        <v>0</v>
      </c>
      <c r="F30" s="3284" t="e">
        <f t="shared" si="16"/>
        <v>#DIV/0!</v>
      </c>
      <c r="G30" s="3276"/>
      <c r="H30" s="3274"/>
      <c r="I30" s="3274"/>
      <c r="J30" s="3283">
        <f t="shared" si="20"/>
        <v>0</v>
      </c>
      <c r="K30" s="3284" t="e">
        <f t="shared" si="42"/>
        <v>#DIV/0!</v>
      </c>
      <c r="L30" s="3276"/>
      <c r="M30" s="3274"/>
      <c r="N30" s="3274"/>
      <c r="O30" s="3283">
        <f t="shared" si="21"/>
        <v>0</v>
      </c>
      <c r="P30" s="3284" t="e">
        <f t="shared" si="22"/>
        <v>#DIV/0!</v>
      </c>
      <c r="Q30" s="3275"/>
      <c r="R30" s="3275">
        <f t="shared" si="23"/>
        <v>0</v>
      </c>
      <c r="S30" s="3275">
        <f t="shared" si="23"/>
        <v>0</v>
      </c>
      <c r="T30" s="2028">
        <f t="shared" si="24"/>
        <v>0</v>
      </c>
      <c r="U30" s="3275"/>
      <c r="V30" s="3275"/>
      <c r="W30" s="3275">
        <f t="shared" si="25"/>
        <v>0</v>
      </c>
      <c r="X30" s="3275">
        <f t="shared" si="25"/>
        <v>0</v>
      </c>
      <c r="Y30" s="2028">
        <f t="shared" si="26"/>
        <v>0</v>
      </c>
      <c r="Z30" s="3275"/>
      <c r="AA30" s="3275"/>
      <c r="AB30" s="3274"/>
      <c r="AC30" s="3274"/>
      <c r="AD30" s="3283">
        <f t="shared" si="27"/>
        <v>0</v>
      </c>
      <c r="AE30" s="3284" t="e">
        <f t="shared" si="43"/>
        <v>#DIV/0!</v>
      </c>
      <c r="AF30" s="3275"/>
      <c r="AG30" s="3274"/>
      <c r="AH30" s="3274"/>
      <c r="AI30" s="3283">
        <f t="shared" si="28"/>
        <v>0</v>
      </c>
      <c r="AJ30" s="3284" t="e">
        <f t="shared" si="44"/>
        <v>#DIV/0!</v>
      </c>
      <c r="AK30" s="3275"/>
      <c r="AL30" s="3274"/>
      <c r="AM30" s="3274"/>
      <c r="AN30" s="3283">
        <f t="shared" si="29"/>
        <v>0</v>
      </c>
      <c r="AO30" s="3284" t="e">
        <f t="shared" si="45"/>
        <v>#DIV/0!</v>
      </c>
      <c r="AP30" s="3275"/>
      <c r="AQ30" s="3274"/>
      <c r="AR30" s="3274"/>
      <c r="AS30" s="3283">
        <f t="shared" si="30"/>
        <v>0</v>
      </c>
      <c r="AT30" s="3284" t="e">
        <f t="shared" si="46"/>
        <v>#DIV/0!</v>
      </c>
      <c r="AU30" s="3275"/>
      <c r="AV30" s="3274"/>
      <c r="AW30" s="3274"/>
      <c r="AX30" s="3283">
        <f t="shared" si="31"/>
        <v>0</v>
      </c>
      <c r="AY30" s="3284" t="e">
        <f t="shared" si="47"/>
        <v>#DIV/0!</v>
      </c>
      <c r="AZ30" s="3275"/>
      <c r="BA30" s="3274"/>
      <c r="BB30" s="3274"/>
      <c r="BC30" s="3283">
        <f t="shared" si="32"/>
        <v>0</v>
      </c>
      <c r="BD30" s="3284" t="e">
        <f t="shared" si="48"/>
        <v>#DIV/0!</v>
      </c>
      <c r="BE30" s="3275"/>
      <c r="BF30" s="3274"/>
      <c r="BG30" s="3274"/>
      <c r="BH30" s="3283">
        <f t="shared" si="33"/>
        <v>0</v>
      </c>
      <c r="BI30" s="3284" t="e">
        <f t="shared" si="49"/>
        <v>#DIV/0!</v>
      </c>
      <c r="BJ30" s="3275"/>
      <c r="BK30" s="3274"/>
      <c r="BL30" s="3274"/>
      <c r="BM30" s="3283">
        <f t="shared" si="34"/>
        <v>0</v>
      </c>
      <c r="BN30" s="3284" t="e">
        <f t="shared" si="50"/>
        <v>#DIV/0!</v>
      </c>
      <c r="BO30" s="3275"/>
      <c r="BP30" s="3274"/>
      <c r="BQ30" s="3274"/>
      <c r="BR30" s="3283">
        <f t="shared" si="35"/>
        <v>0</v>
      </c>
      <c r="BS30" s="3284" t="e">
        <f t="shared" si="51"/>
        <v>#DIV/0!</v>
      </c>
      <c r="BT30" s="3275"/>
      <c r="BU30" s="3274"/>
      <c r="BV30" s="3274"/>
      <c r="BW30" s="3283">
        <f t="shared" si="36"/>
        <v>0</v>
      </c>
      <c r="BX30" s="3284" t="e">
        <f t="shared" si="52"/>
        <v>#DIV/0!</v>
      </c>
      <c r="BY30" s="3275"/>
      <c r="BZ30" s="3274"/>
      <c r="CA30" s="3274"/>
      <c r="CB30" s="3283">
        <f t="shared" si="37"/>
        <v>0</v>
      </c>
      <c r="CC30" s="3284" t="e">
        <f t="shared" si="53"/>
        <v>#DIV/0!</v>
      </c>
      <c r="CD30" s="3275"/>
      <c r="CE30" s="3274"/>
      <c r="CF30" s="3274"/>
      <c r="CG30" s="3283">
        <f t="shared" si="38"/>
        <v>0</v>
      </c>
      <c r="CH30" s="3284" t="e">
        <f t="shared" si="54"/>
        <v>#DIV/0!</v>
      </c>
      <c r="CI30" s="3275"/>
      <c r="CJ30" s="3274">
        <f t="shared" si="39"/>
        <v>0</v>
      </c>
      <c r="CK30" s="3274">
        <f t="shared" si="39"/>
        <v>0</v>
      </c>
      <c r="CL30" s="3283">
        <f t="shared" si="55"/>
        <v>0</v>
      </c>
      <c r="CM30" s="3284" t="e">
        <f t="shared" si="40"/>
        <v>#DIV/0!</v>
      </c>
      <c r="CN30" s="3295"/>
      <c r="CP30" s="3398"/>
      <c r="CQ30" s="2028">
        <f t="shared" si="41"/>
        <v>0</v>
      </c>
      <c r="CR30" s="3448">
        <f t="shared" si="56"/>
        <v>0</v>
      </c>
      <c r="CS30" s="3232"/>
      <c r="CT30" s="3450"/>
    </row>
    <row r="31" spans="1:100" s="1411" customFormat="1" ht="13.8" outlineLevel="2" x14ac:dyDescent="0.25">
      <c r="A31" s="1586"/>
      <c r="B31" s="3451" t="s">
        <v>34</v>
      </c>
      <c r="C31" s="3274"/>
      <c r="D31" s="3274"/>
      <c r="E31" s="3283">
        <f t="shared" si="19"/>
        <v>0</v>
      </c>
      <c r="F31" s="3284" t="e">
        <f t="shared" si="16"/>
        <v>#DIV/0!</v>
      </c>
      <c r="G31" s="3276"/>
      <c r="H31" s="3274"/>
      <c r="I31" s="3274"/>
      <c r="J31" s="3283">
        <f t="shared" si="20"/>
        <v>0</v>
      </c>
      <c r="K31" s="3284" t="e">
        <f t="shared" si="42"/>
        <v>#DIV/0!</v>
      </c>
      <c r="L31" s="3276"/>
      <c r="M31" s="3274"/>
      <c r="N31" s="3274"/>
      <c r="O31" s="3283">
        <f t="shared" si="21"/>
        <v>0</v>
      </c>
      <c r="P31" s="3284" t="e">
        <f t="shared" si="22"/>
        <v>#DIV/0!</v>
      </c>
      <c r="Q31" s="3275"/>
      <c r="R31" s="3275">
        <f t="shared" si="23"/>
        <v>0</v>
      </c>
      <c r="S31" s="3275">
        <f t="shared" si="23"/>
        <v>0</v>
      </c>
      <c r="T31" s="2028">
        <f t="shared" si="24"/>
        <v>0</v>
      </c>
      <c r="U31" s="3275"/>
      <c r="V31" s="3275"/>
      <c r="W31" s="3275">
        <f t="shared" si="25"/>
        <v>0</v>
      </c>
      <c r="X31" s="3275">
        <f t="shared" si="25"/>
        <v>0</v>
      </c>
      <c r="Y31" s="2028">
        <f t="shared" si="26"/>
        <v>0</v>
      </c>
      <c r="Z31" s="3275"/>
      <c r="AA31" s="3275"/>
      <c r="AB31" s="3274"/>
      <c r="AC31" s="3274"/>
      <c r="AD31" s="3283">
        <f t="shared" si="27"/>
        <v>0</v>
      </c>
      <c r="AE31" s="3284" t="e">
        <f t="shared" si="43"/>
        <v>#DIV/0!</v>
      </c>
      <c r="AF31" s="3275"/>
      <c r="AG31" s="3274"/>
      <c r="AH31" s="3274"/>
      <c r="AI31" s="3283">
        <f t="shared" si="28"/>
        <v>0</v>
      </c>
      <c r="AJ31" s="3284" t="e">
        <f t="shared" si="44"/>
        <v>#DIV/0!</v>
      </c>
      <c r="AK31" s="3275"/>
      <c r="AL31" s="3274"/>
      <c r="AM31" s="3274"/>
      <c r="AN31" s="3283">
        <f t="shared" si="29"/>
        <v>0</v>
      </c>
      <c r="AO31" s="3284" t="e">
        <f t="shared" si="45"/>
        <v>#DIV/0!</v>
      </c>
      <c r="AP31" s="3275"/>
      <c r="AQ31" s="3274"/>
      <c r="AR31" s="3274"/>
      <c r="AS31" s="3283">
        <f t="shared" si="30"/>
        <v>0</v>
      </c>
      <c r="AT31" s="3284" t="e">
        <f t="shared" si="46"/>
        <v>#DIV/0!</v>
      </c>
      <c r="AU31" s="3275"/>
      <c r="AV31" s="3274"/>
      <c r="AW31" s="3274"/>
      <c r="AX31" s="3283">
        <f t="shared" si="31"/>
        <v>0</v>
      </c>
      <c r="AY31" s="3284" t="e">
        <f t="shared" si="47"/>
        <v>#DIV/0!</v>
      </c>
      <c r="AZ31" s="3275"/>
      <c r="BA31" s="3274"/>
      <c r="BB31" s="3274"/>
      <c r="BC31" s="3283">
        <f t="shared" si="32"/>
        <v>0</v>
      </c>
      <c r="BD31" s="3284" t="e">
        <f t="shared" si="48"/>
        <v>#DIV/0!</v>
      </c>
      <c r="BE31" s="3275"/>
      <c r="BF31" s="3274"/>
      <c r="BG31" s="3274"/>
      <c r="BH31" s="3283">
        <f t="shared" si="33"/>
        <v>0</v>
      </c>
      <c r="BI31" s="3284" t="e">
        <f t="shared" si="49"/>
        <v>#DIV/0!</v>
      </c>
      <c r="BJ31" s="3275"/>
      <c r="BK31" s="3274"/>
      <c r="BL31" s="3274"/>
      <c r="BM31" s="3283">
        <f t="shared" si="34"/>
        <v>0</v>
      </c>
      <c r="BN31" s="3284" t="e">
        <f t="shared" si="50"/>
        <v>#DIV/0!</v>
      </c>
      <c r="BO31" s="3275"/>
      <c r="BP31" s="3274"/>
      <c r="BQ31" s="3274"/>
      <c r="BR31" s="3283">
        <f t="shared" si="35"/>
        <v>0</v>
      </c>
      <c r="BS31" s="3284" t="e">
        <f t="shared" si="51"/>
        <v>#DIV/0!</v>
      </c>
      <c r="BT31" s="3275"/>
      <c r="BU31" s="3274"/>
      <c r="BV31" s="3274"/>
      <c r="BW31" s="3283">
        <f t="shared" si="36"/>
        <v>0</v>
      </c>
      <c r="BX31" s="3284" t="e">
        <f t="shared" si="52"/>
        <v>#DIV/0!</v>
      </c>
      <c r="BY31" s="3275"/>
      <c r="BZ31" s="3274"/>
      <c r="CA31" s="3274"/>
      <c r="CB31" s="3283">
        <f t="shared" si="37"/>
        <v>0</v>
      </c>
      <c r="CC31" s="3284" t="e">
        <f t="shared" si="53"/>
        <v>#DIV/0!</v>
      </c>
      <c r="CD31" s="3275"/>
      <c r="CE31" s="3274"/>
      <c r="CF31" s="3274"/>
      <c r="CG31" s="3283">
        <f t="shared" si="38"/>
        <v>0</v>
      </c>
      <c r="CH31" s="3284" t="e">
        <f t="shared" si="54"/>
        <v>#DIV/0!</v>
      </c>
      <c r="CI31" s="3275"/>
      <c r="CJ31" s="3274">
        <f t="shared" si="39"/>
        <v>0</v>
      </c>
      <c r="CK31" s="3274">
        <f t="shared" si="39"/>
        <v>0</v>
      </c>
      <c r="CL31" s="3283">
        <f t="shared" si="55"/>
        <v>0</v>
      </c>
      <c r="CM31" s="3284" t="e">
        <f t="shared" si="40"/>
        <v>#DIV/0!</v>
      </c>
      <c r="CN31" s="3295"/>
      <c r="CP31" s="3398"/>
      <c r="CQ31" s="2028">
        <f t="shared" si="41"/>
        <v>0</v>
      </c>
      <c r="CR31" s="3448">
        <f t="shared" si="56"/>
        <v>0</v>
      </c>
      <c r="CS31" s="3232"/>
      <c r="CT31" s="3450"/>
      <c r="CV31" s="933"/>
    </row>
    <row r="32" spans="1:100" s="1411" customFormat="1" ht="13.8" outlineLevel="2" x14ac:dyDescent="0.25">
      <c r="A32" s="1586"/>
      <c r="B32" s="3453" t="s">
        <v>2</v>
      </c>
      <c r="C32" s="3274"/>
      <c r="D32" s="3274"/>
      <c r="E32" s="3283">
        <f t="shared" si="19"/>
        <v>0</v>
      </c>
      <c r="F32" s="3284" t="e">
        <f t="shared" si="16"/>
        <v>#DIV/0!</v>
      </c>
      <c r="G32" s="3452"/>
      <c r="H32" s="3274"/>
      <c r="I32" s="3274"/>
      <c r="J32" s="3283">
        <f t="shared" si="20"/>
        <v>0</v>
      </c>
      <c r="K32" s="3284" t="e">
        <f t="shared" si="42"/>
        <v>#DIV/0!</v>
      </c>
      <c r="L32" s="3452"/>
      <c r="M32" s="3274"/>
      <c r="N32" s="3274"/>
      <c r="O32" s="3283">
        <f t="shared" si="21"/>
        <v>0</v>
      </c>
      <c r="P32" s="3284" t="e">
        <f t="shared" si="22"/>
        <v>#DIV/0!</v>
      </c>
      <c r="Q32" s="3452"/>
      <c r="R32" s="3275">
        <f t="shared" si="23"/>
        <v>0</v>
      </c>
      <c r="S32" s="3275">
        <f t="shared" si="23"/>
        <v>0</v>
      </c>
      <c r="T32" s="2028">
        <f t="shared" si="24"/>
        <v>0</v>
      </c>
      <c r="U32" s="2064"/>
      <c r="V32" s="2064"/>
      <c r="W32" s="3275">
        <f t="shared" si="25"/>
        <v>0</v>
      </c>
      <c r="X32" s="3275">
        <f t="shared" si="25"/>
        <v>0</v>
      </c>
      <c r="Y32" s="2028">
        <f t="shared" si="26"/>
        <v>0</v>
      </c>
      <c r="Z32" s="2064"/>
      <c r="AA32" s="2064"/>
      <c r="AB32" s="3274"/>
      <c r="AC32" s="3274"/>
      <c r="AD32" s="3283">
        <f t="shared" si="27"/>
        <v>0</v>
      </c>
      <c r="AE32" s="3284" t="e">
        <f t="shared" si="43"/>
        <v>#DIV/0!</v>
      </c>
      <c r="AF32" s="3452"/>
      <c r="AG32" s="3274"/>
      <c r="AH32" s="3274"/>
      <c r="AI32" s="3283">
        <f t="shared" si="28"/>
        <v>0</v>
      </c>
      <c r="AJ32" s="3284" t="e">
        <f t="shared" si="44"/>
        <v>#DIV/0!</v>
      </c>
      <c r="AK32" s="3452"/>
      <c r="AL32" s="3274"/>
      <c r="AM32" s="3274"/>
      <c r="AN32" s="3283">
        <f t="shared" si="29"/>
        <v>0</v>
      </c>
      <c r="AO32" s="3284" t="e">
        <f t="shared" si="45"/>
        <v>#DIV/0!</v>
      </c>
      <c r="AP32" s="3452"/>
      <c r="AQ32" s="3274"/>
      <c r="AR32" s="3274"/>
      <c r="AS32" s="3283">
        <f t="shared" si="30"/>
        <v>0</v>
      </c>
      <c r="AT32" s="3284" t="e">
        <f t="shared" si="46"/>
        <v>#DIV/0!</v>
      </c>
      <c r="AU32" s="3452"/>
      <c r="AV32" s="3274"/>
      <c r="AW32" s="3274"/>
      <c r="AX32" s="3283">
        <f t="shared" si="31"/>
        <v>0</v>
      </c>
      <c r="AY32" s="3284" t="e">
        <f t="shared" si="47"/>
        <v>#DIV/0!</v>
      </c>
      <c r="AZ32" s="3452"/>
      <c r="BA32" s="3274"/>
      <c r="BB32" s="3274"/>
      <c r="BC32" s="3283">
        <f t="shared" si="32"/>
        <v>0</v>
      </c>
      <c r="BD32" s="3284" t="e">
        <f t="shared" si="48"/>
        <v>#DIV/0!</v>
      </c>
      <c r="BE32" s="3452"/>
      <c r="BF32" s="3274"/>
      <c r="BG32" s="3274"/>
      <c r="BH32" s="3283">
        <f t="shared" si="33"/>
        <v>0</v>
      </c>
      <c r="BI32" s="3284" t="e">
        <f t="shared" si="49"/>
        <v>#DIV/0!</v>
      </c>
      <c r="BJ32" s="3452"/>
      <c r="BK32" s="3274"/>
      <c r="BL32" s="3274"/>
      <c r="BM32" s="3283">
        <f t="shared" si="34"/>
        <v>0</v>
      </c>
      <c r="BN32" s="3284" t="e">
        <f t="shared" si="50"/>
        <v>#DIV/0!</v>
      </c>
      <c r="BO32" s="3452"/>
      <c r="BP32" s="3274"/>
      <c r="BQ32" s="3274"/>
      <c r="BR32" s="3283">
        <f t="shared" si="35"/>
        <v>0</v>
      </c>
      <c r="BS32" s="3284" t="e">
        <f t="shared" si="51"/>
        <v>#DIV/0!</v>
      </c>
      <c r="BT32" s="3452"/>
      <c r="BU32" s="3274"/>
      <c r="BV32" s="3274"/>
      <c r="BW32" s="3283">
        <f t="shared" si="36"/>
        <v>0</v>
      </c>
      <c r="BX32" s="3284" t="e">
        <f t="shared" si="52"/>
        <v>#DIV/0!</v>
      </c>
      <c r="BY32" s="3452"/>
      <c r="BZ32" s="3274"/>
      <c r="CA32" s="3274"/>
      <c r="CB32" s="3283">
        <f t="shared" si="37"/>
        <v>0</v>
      </c>
      <c r="CC32" s="3284" t="e">
        <f t="shared" si="53"/>
        <v>#DIV/0!</v>
      </c>
      <c r="CD32" s="3452"/>
      <c r="CE32" s="3274"/>
      <c r="CF32" s="3274"/>
      <c r="CG32" s="3283">
        <f t="shared" si="38"/>
        <v>0</v>
      </c>
      <c r="CH32" s="3284" t="e">
        <f t="shared" si="54"/>
        <v>#DIV/0!</v>
      </c>
      <c r="CI32" s="3452"/>
      <c r="CJ32" s="3417">
        <f t="shared" si="39"/>
        <v>0</v>
      </c>
      <c r="CK32" s="3454">
        <f t="shared" si="39"/>
        <v>0</v>
      </c>
      <c r="CL32" s="3283">
        <f t="shared" si="55"/>
        <v>0</v>
      </c>
      <c r="CM32" s="3284" t="e">
        <f t="shared" si="40"/>
        <v>#DIV/0!</v>
      </c>
      <c r="CN32" s="3295"/>
      <c r="CP32" s="3398"/>
      <c r="CQ32" s="2028">
        <f t="shared" si="41"/>
        <v>0</v>
      </c>
      <c r="CR32" s="3448">
        <f t="shared" si="56"/>
        <v>0</v>
      </c>
      <c r="CT32" s="2644"/>
    </row>
    <row r="33" spans="1:98" s="1411" customFormat="1" ht="14.4" outlineLevel="2" thickBot="1" x14ac:dyDescent="0.3">
      <c r="A33" s="1586"/>
      <c r="B33" s="2855" t="s">
        <v>75</v>
      </c>
      <c r="C33" s="3301"/>
      <c r="D33" s="3301"/>
      <c r="E33" s="3302">
        <f t="shared" ref="E33" si="57">C33+D33*1</f>
        <v>0</v>
      </c>
      <c r="F33" s="3026" t="e">
        <f t="shared" si="16"/>
        <v>#DIV/0!</v>
      </c>
      <c r="G33" s="3830"/>
      <c r="H33" s="3301"/>
      <c r="I33" s="3301"/>
      <c r="J33" s="3302">
        <f>H33+I33*1</f>
        <v>0</v>
      </c>
      <c r="K33" s="3026" t="e">
        <f t="shared" si="42"/>
        <v>#DIV/0!</v>
      </c>
      <c r="L33" s="3830"/>
      <c r="M33" s="3301"/>
      <c r="N33" s="3301"/>
      <c r="O33" s="3302">
        <f t="shared" ref="O33" si="58">M33+N33*1</f>
        <v>0</v>
      </c>
      <c r="P33" s="3284" t="e">
        <f t="shared" si="22"/>
        <v>#DIV/0!</v>
      </c>
      <c r="Q33" s="3830"/>
      <c r="R33" s="3424">
        <f t="shared" si="23"/>
        <v>0</v>
      </c>
      <c r="S33" s="3423">
        <f t="shared" si="23"/>
        <v>0</v>
      </c>
      <c r="T33" s="3215">
        <f t="shared" si="24"/>
        <v>0</v>
      </c>
      <c r="U33" s="3830"/>
      <c r="V33" s="3830"/>
      <c r="W33" s="3423">
        <f t="shared" si="25"/>
        <v>0</v>
      </c>
      <c r="X33" s="3423">
        <f t="shared" si="25"/>
        <v>0</v>
      </c>
      <c r="Y33" s="3215">
        <f t="shared" si="26"/>
        <v>0</v>
      </c>
      <c r="Z33" s="3830"/>
      <c r="AA33" s="3830"/>
      <c r="AB33" s="3301"/>
      <c r="AC33" s="3301"/>
      <c r="AD33" s="3302">
        <f t="shared" ref="AD33" si="59">AB33+AC33*1</f>
        <v>0</v>
      </c>
      <c r="AE33" s="3026" t="e">
        <f t="shared" si="43"/>
        <v>#DIV/0!</v>
      </c>
      <c r="AF33" s="3830"/>
      <c r="AG33" s="3301"/>
      <c r="AH33" s="3301"/>
      <c r="AI33" s="3302">
        <f t="shared" ref="AI33" si="60">AG33+AH33*1</f>
        <v>0</v>
      </c>
      <c r="AJ33" s="3026" t="e">
        <f t="shared" si="44"/>
        <v>#DIV/0!</v>
      </c>
      <c r="AK33" s="3830"/>
      <c r="AL33" s="3301"/>
      <c r="AM33" s="3301"/>
      <c r="AN33" s="3302">
        <f t="shared" ref="AN33" si="61">AL33+AM33*1</f>
        <v>0</v>
      </c>
      <c r="AO33" s="3026" t="e">
        <f t="shared" si="45"/>
        <v>#DIV/0!</v>
      </c>
      <c r="AP33" s="3830"/>
      <c r="AQ33" s="3301"/>
      <c r="AR33" s="3301"/>
      <c r="AS33" s="3302">
        <f t="shared" ref="AS33" si="62">AQ33+AR33*1</f>
        <v>0</v>
      </c>
      <c r="AT33" s="3026" t="e">
        <f t="shared" si="46"/>
        <v>#DIV/0!</v>
      </c>
      <c r="AU33" s="3830"/>
      <c r="AV33" s="3301"/>
      <c r="AW33" s="3301"/>
      <c r="AX33" s="3302">
        <f t="shared" ref="AX33" si="63">AV33+AW33*1</f>
        <v>0</v>
      </c>
      <c r="AY33" s="3026" t="e">
        <f t="shared" si="47"/>
        <v>#DIV/0!</v>
      </c>
      <c r="AZ33" s="3830"/>
      <c r="BA33" s="3301"/>
      <c r="BB33" s="3301"/>
      <c r="BC33" s="3302">
        <f t="shared" ref="BC33" si="64">BA33+BB33*1</f>
        <v>0</v>
      </c>
      <c r="BD33" s="3026" t="e">
        <f t="shared" si="48"/>
        <v>#DIV/0!</v>
      </c>
      <c r="BE33" s="3830"/>
      <c r="BF33" s="3301"/>
      <c r="BG33" s="3301"/>
      <c r="BH33" s="3302">
        <f t="shared" ref="BH33" si="65">BF33+BG33*1</f>
        <v>0</v>
      </c>
      <c r="BI33" s="3026" t="e">
        <f t="shared" si="49"/>
        <v>#DIV/0!</v>
      </c>
      <c r="BJ33" s="3830"/>
      <c r="BK33" s="3301"/>
      <c r="BL33" s="3301"/>
      <c r="BM33" s="3302">
        <f t="shared" ref="BM33" si="66">BK33+BL33*1</f>
        <v>0</v>
      </c>
      <c r="BN33" s="3026" t="e">
        <f t="shared" si="50"/>
        <v>#DIV/0!</v>
      </c>
      <c r="BO33" s="3830"/>
      <c r="BP33" s="3301"/>
      <c r="BQ33" s="3301"/>
      <c r="BR33" s="3302">
        <f t="shared" ref="BR33" si="67">BP33+BQ33*1</f>
        <v>0</v>
      </c>
      <c r="BS33" s="3026" t="e">
        <f t="shared" si="51"/>
        <v>#DIV/0!</v>
      </c>
      <c r="BT33" s="3830"/>
      <c r="BU33" s="3301"/>
      <c r="BV33" s="3301"/>
      <c r="BW33" s="3302">
        <f t="shared" ref="BW33" si="68">BU33+BV33*1</f>
        <v>0</v>
      </c>
      <c r="BX33" s="3026" t="e">
        <f t="shared" si="52"/>
        <v>#DIV/0!</v>
      </c>
      <c r="BY33" s="3830"/>
      <c r="BZ33" s="3301"/>
      <c r="CA33" s="3301"/>
      <c r="CB33" s="3302">
        <f t="shared" ref="CB33" si="69">BZ33+CA33*1</f>
        <v>0</v>
      </c>
      <c r="CC33" s="3026" t="e">
        <f t="shared" si="53"/>
        <v>#DIV/0!</v>
      </c>
      <c r="CD33" s="3830"/>
      <c r="CE33" s="3301"/>
      <c r="CF33" s="3301"/>
      <c r="CG33" s="3302">
        <f t="shared" ref="CG33" si="70">CE33+CF33*1</f>
        <v>0</v>
      </c>
      <c r="CH33" s="3026" t="e">
        <f t="shared" si="54"/>
        <v>#DIV/0!</v>
      </c>
      <c r="CI33" s="3830"/>
      <c r="CJ33" s="3300">
        <f t="shared" si="39"/>
        <v>0</v>
      </c>
      <c r="CK33" s="3301">
        <f t="shared" si="39"/>
        <v>0</v>
      </c>
      <c r="CL33" s="3302">
        <f t="shared" si="55"/>
        <v>0</v>
      </c>
      <c r="CM33" s="2883" t="e">
        <f t="shared" si="40"/>
        <v>#DIV/0!</v>
      </c>
      <c r="CN33" s="2885"/>
      <c r="CP33" s="3398"/>
      <c r="CQ33" s="3398"/>
      <c r="CR33" s="3448">
        <f t="shared" si="56"/>
        <v>0</v>
      </c>
      <c r="CT33" s="2644"/>
    </row>
    <row r="34" spans="1:98" s="1411" customFormat="1" ht="13.8" outlineLevel="2" x14ac:dyDescent="0.25">
      <c r="A34" s="1586"/>
      <c r="B34" s="1631"/>
      <c r="C34" s="3274"/>
      <c r="D34" s="3274"/>
      <c r="E34" s="3306"/>
      <c r="F34" s="3306"/>
      <c r="G34" s="3455"/>
      <c r="H34" s="3274"/>
      <c r="I34" s="3274"/>
      <c r="J34" s="3306"/>
      <c r="K34" s="3306"/>
      <c r="L34" s="3455"/>
      <c r="M34" s="3274"/>
      <c r="N34" s="3274"/>
      <c r="O34" s="3306"/>
      <c r="P34" s="3306"/>
      <c r="Q34" s="3455"/>
      <c r="R34" s="3455"/>
      <c r="S34" s="3455"/>
      <c r="T34" s="3455"/>
      <c r="U34" s="3455"/>
      <c r="V34" s="3455"/>
      <c r="W34" s="3455"/>
      <c r="X34" s="3455"/>
      <c r="Y34" s="3455"/>
      <c r="Z34" s="3455"/>
      <c r="AA34" s="3455"/>
      <c r="AB34" s="3274"/>
      <c r="AC34" s="3274"/>
      <c r="AD34" s="3306"/>
      <c r="AE34" s="3306"/>
      <c r="AF34" s="3455"/>
      <c r="AG34" s="3274"/>
      <c r="AH34" s="3274"/>
      <c r="AI34" s="3306"/>
      <c r="AJ34" s="3306"/>
      <c r="AK34" s="3455"/>
      <c r="AL34" s="3274"/>
      <c r="AM34" s="3274"/>
      <c r="AN34" s="3306"/>
      <c r="AO34" s="3306"/>
      <c r="AP34" s="3455"/>
      <c r="AQ34" s="3274"/>
      <c r="AR34" s="3274"/>
      <c r="AS34" s="3306"/>
      <c r="AT34" s="3306"/>
      <c r="AU34" s="3455"/>
      <c r="AV34" s="3274"/>
      <c r="AW34" s="3274"/>
      <c r="AX34" s="3306"/>
      <c r="AY34" s="3306"/>
      <c r="AZ34" s="3455"/>
      <c r="BA34" s="3274"/>
      <c r="BB34" s="3274"/>
      <c r="BC34" s="3306"/>
      <c r="BD34" s="3306"/>
      <c r="BE34" s="3455"/>
      <c r="BF34" s="3274"/>
      <c r="BG34" s="3274"/>
      <c r="BH34" s="3306"/>
      <c r="BI34" s="3306"/>
      <c r="BJ34" s="3455"/>
      <c r="BK34" s="3274"/>
      <c r="BL34" s="3274"/>
      <c r="BM34" s="3306"/>
      <c r="BN34" s="3306"/>
      <c r="BO34" s="3455"/>
      <c r="BP34" s="3274"/>
      <c r="BQ34" s="3274"/>
      <c r="BR34" s="3306"/>
      <c r="BS34" s="3306"/>
      <c r="BT34" s="3455"/>
      <c r="BU34" s="3274"/>
      <c r="BV34" s="3274"/>
      <c r="BW34" s="3306"/>
      <c r="BX34" s="3306"/>
      <c r="BY34" s="3455"/>
      <c r="BZ34" s="3274"/>
      <c r="CA34" s="3274"/>
      <c r="CB34" s="3306"/>
      <c r="CC34" s="3306"/>
      <c r="CD34" s="3455"/>
      <c r="CE34" s="3274"/>
      <c r="CF34" s="3274"/>
      <c r="CG34" s="3306"/>
      <c r="CH34" s="3306"/>
      <c r="CI34" s="3455"/>
      <c r="CJ34" s="3274"/>
      <c r="CK34" s="3274"/>
      <c r="CL34" s="3306"/>
      <c r="CM34" s="3306"/>
      <c r="CN34" s="3306"/>
      <c r="CP34" s="3456"/>
      <c r="CQ34" s="3456"/>
      <c r="CR34" s="3457"/>
      <c r="CT34" s="2644"/>
    </row>
    <row r="35" spans="1:98" s="1411" customFormat="1" ht="13.8" outlineLevel="1" x14ac:dyDescent="0.25">
      <c r="A35" s="1586"/>
      <c r="B35" s="3307" t="s">
        <v>80</v>
      </c>
      <c r="C35" s="3308">
        <f>C36</f>
        <v>0</v>
      </c>
      <c r="D35" s="3308">
        <f>D36</f>
        <v>0</v>
      </c>
      <c r="E35" s="3309">
        <f>E36</f>
        <v>0</v>
      </c>
      <c r="F35" s="3309"/>
      <c r="G35" s="3458"/>
      <c r="H35" s="3308">
        <f>H36</f>
        <v>0</v>
      </c>
      <c r="I35" s="3308">
        <f>I36</f>
        <v>0</v>
      </c>
      <c r="J35" s="3309">
        <f>J36</f>
        <v>0</v>
      </c>
      <c r="K35" s="3309"/>
      <c r="L35" s="3458"/>
      <c r="M35" s="3308">
        <f>M36</f>
        <v>0</v>
      </c>
      <c r="N35" s="3308">
        <f>N36</f>
        <v>0</v>
      </c>
      <c r="O35" s="3309">
        <f>O36</f>
        <v>0</v>
      </c>
      <c r="P35" s="3309"/>
      <c r="Q35" s="3458"/>
      <c r="R35" s="3308">
        <f>R36</f>
        <v>0</v>
      </c>
      <c r="S35" s="3308">
        <f>S36</f>
        <v>0</v>
      </c>
      <c r="T35" s="3309">
        <f>T36</f>
        <v>0</v>
      </c>
      <c r="U35" s="3459"/>
      <c r="V35" s="3459"/>
      <c r="W35" s="3308">
        <f>W36</f>
        <v>0</v>
      </c>
      <c r="X35" s="3308">
        <f>X36</f>
        <v>0</v>
      </c>
      <c r="Y35" s="3309">
        <f>Y36</f>
        <v>0</v>
      </c>
      <c r="Z35" s="3459"/>
      <c r="AA35" s="3459"/>
      <c r="AB35" s="3308">
        <f>AB36</f>
        <v>0</v>
      </c>
      <c r="AC35" s="3308">
        <f>AC36</f>
        <v>0</v>
      </c>
      <c r="AD35" s="3309">
        <f>AD36</f>
        <v>0</v>
      </c>
      <c r="AE35" s="3309"/>
      <c r="AF35" s="3458"/>
      <c r="AG35" s="3308">
        <f>AG36</f>
        <v>0</v>
      </c>
      <c r="AH35" s="3308">
        <f>AH36</f>
        <v>0</v>
      </c>
      <c r="AI35" s="3309">
        <f>AI36</f>
        <v>0</v>
      </c>
      <c r="AJ35" s="3309"/>
      <c r="AK35" s="3458"/>
      <c r="AL35" s="3308">
        <f>AL36</f>
        <v>0</v>
      </c>
      <c r="AM35" s="3308">
        <f>AM36</f>
        <v>0</v>
      </c>
      <c r="AN35" s="3309">
        <f>AN36</f>
        <v>0</v>
      </c>
      <c r="AO35" s="3309"/>
      <c r="AP35" s="3458"/>
      <c r="AQ35" s="3308">
        <f>AQ36</f>
        <v>0</v>
      </c>
      <c r="AR35" s="3308">
        <f>AR36</f>
        <v>0</v>
      </c>
      <c r="AS35" s="3309">
        <f>AS36</f>
        <v>0</v>
      </c>
      <c r="AT35" s="3309"/>
      <c r="AU35" s="3458"/>
      <c r="AV35" s="3308">
        <f>AV36</f>
        <v>0</v>
      </c>
      <c r="AW35" s="3308">
        <f>AW36</f>
        <v>0</v>
      </c>
      <c r="AX35" s="3309">
        <f>AX36</f>
        <v>0</v>
      </c>
      <c r="AY35" s="3309"/>
      <c r="AZ35" s="3458"/>
      <c r="BA35" s="3308">
        <f>BA36</f>
        <v>0</v>
      </c>
      <c r="BB35" s="3308">
        <f>BB36</f>
        <v>0</v>
      </c>
      <c r="BC35" s="3309">
        <f>BC36</f>
        <v>0</v>
      </c>
      <c r="BD35" s="3309"/>
      <c r="BE35" s="3458"/>
      <c r="BF35" s="3308">
        <f>BF36</f>
        <v>0</v>
      </c>
      <c r="BG35" s="3308">
        <f>BG36</f>
        <v>0</v>
      </c>
      <c r="BH35" s="3309">
        <f>BH36</f>
        <v>0</v>
      </c>
      <c r="BI35" s="3309"/>
      <c r="BJ35" s="3458"/>
      <c r="BK35" s="3308">
        <f>BK36</f>
        <v>0</v>
      </c>
      <c r="BL35" s="3308">
        <f>BL36</f>
        <v>0</v>
      </c>
      <c r="BM35" s="3309">
        <f>BM36</f>
        <v>0</v>
      </c>
      <c r="BN35" s="3309"/>
      <c r="BO35" s="3458"/>
      <c r="BP35" s="3308">
        <f>BP36</f>
        <v>0</v>
      </c>
      <c r="BQ35" s="3308">
        <f>BQ36</f>
        <v>0</v>
      </c>
      <c r="BR35" s="3309">
        <f>BR36</f>
        <v>0</v>
      </c>
      <c r="BS35" s="3309"/>
      <c r="BT35" s="3458"/>
      <c r="BU35" s="3308">
        <f>BU36</f>
        <v>0</v>
      </c>
      <c r="BV35" s="3308">
        <f>BV36</f>
        <v>0</v>
      </c>
      <c r="BW35" s="3309">
        <f>BW36</f>
        <v>0</v>
      </c>
      <c r="BX35" s="3309"/>
      <c r="BY35" s="3458"/>
      <c r="BZ35" s="3308">
        <f>BZ36</f>
        <v>0</v>
      </c>
      <c r="CA35" s="3308">
        <f>CA36</f>
        <v>0</v>
      </c>
      <c r="CB35" s="3309">
        <f>CB36</f>
        <v>0</v>
      </c>
      <c r="CC35" s="3309"/>
      <c r="CD35" s="3458"/>
      <c r="CE35" s="3308">
        <f>CE36</f>
        <v>0</v>
      </c>
      <c r="CF35" s="3308">
        <f>CF36</f>
        <v>0</v>
      </c>
      <c r="CG35" s="3309">
        <f>CG36</f>
        <v>0</v>
      </c>
      <c r="CH35" s="3309"/>
      <c r="CI35" s="3458"/>
      <c r="CJ35" s="3308">
        <f>CJ36</f>
        <v>0</v>
      </c>
      <c r="CK35" s="3308">
        <f>CK36</f>
        <v>0</v>
      </c>
      <c r="CL35" s="3309">
        <f>CL36</f>
        <v>0</v>
      </c>
      <c r="CM35" s="3309"/>
      <c r="CN35" s="3309"/>
      <c r="CP35" s="3309">
        <f>CP36</f>
        <v>0</v>
      </c>
      <c r="CQ35" s="3309">
        <f>CQ36</f>
        <v>0</v>
      </c>
      <c r="CR35" s="3460">
        <f>CR36</f>
        <v>0</v>
      </c>
      <c r="CT35" s="2644"/>
    </row>
    <row r="36" spans="1:98" s="1411" customFormat="1" ht="13.8" outlineLevel="3" x14ac:dyDescent="0.25">
      <c r="A36" s="1586"/>
      <c r="B36" s="3310" t="s">
        <v>81</v>
      </c>
      <c r="C36" s="3274"/>
      <c r="D36" s="3274"/>
      <c r="E36" s="2028">
        <f>C36+D36*1</f>
        <v>0</v>
      </c>
      <c r="F36" s="3284" t="e">
        <f>E36/$E$89</f>
        <v>#DIV/0!</v>
      </c>
      <c r="G36" s="3461"/>
      <c r="H36" s="3274"/>
      <c r="I36" s="3274"/>
      <c r="J36" s="2028">
        <f>H36+I36*1</f>
        <v>0</v>
      </c>
      <c r="K36" s="3284" t="e">
        <f t="shared" ref="K36" si="71">J36/J$89</f>
        <v>#DIV/0!</v>
      </c>
      <c r="L36" s="3461"/>
      <c r="M36" s="3274"/>
      <c r="N36" s="3274"/>
      <c r="O36" s="3283">
        <f t="shared" ref="O36" si="72">M36+N36</f>
        <v>0</v>
      </c>
      <c r="P36" s="3284" t="e">
        <f t="shared" ref="P36" si="73">O36/O$89</f>
        <v>#DIV/0!</v>
      </c>
      <c r="Q36" s="3461"/>
      <c r="R36" s="3275">
        <f t="shared" ref="R36:S36" si="74">M36+H36+C36</f>
        <v>0</v>
      </c>
      <c r="S36" s="3275">
        <f t="shared" si="74"/>
        <v>0</v>
      </c>
      <c r="T36" s="2028">
        <f t="shared" ref="T36" si="75">R36+S36</f>
        <v>0</v>
      </c>
      <c r="U36" s="3462"/>
      <c r="V36" s="3462"/>
      <c r="W36" s="3275">
        <f t="shared" ref="W36:X36" si="76">AB36+AG36+AL36+AV36+BA36+BF36+BK36+BP36+BU36+BZ36+CE36+AQ36</f>
        <v>0</v>
      </c>
      <c r="X36" s="3275">
        <f t="shared" si="76"/>
        <v>0</v>
      </c>
      <c r="Y36" s="2028">
        <f t="shared" ref="Y36" si="77">W36+X36</f>
        <v>0</v>
      </c>
      <c r="Z36" s="3462"/>
      <c r="AA36" s="3462"/>
      <c r="AB36" s="3274"/>
      <c r="AC36" s="3274"/>
      <c r="AD36" s="3283">
        <f t="shared" ref="AD36" si="78">AB36+AC36</f>
        <v>0</v>
      </c>
      <c r="AE36" s="3284" t="e">
        <f>AD36/AD$89</f>
        <v>#DIV/0!</v>
      </c>
      <c r="AF36" s="3461"/>
      <c r="AG36" s="3274"/>
      <c r="AH36" s="3274"/>
      <c r="AI36" s="3283">
        <f t="shared" ref="AI36" si="79">AG36+AH36</f>
        <v>0</v>
      </c>
      <c r="AJ36" s="3284" t="e">
        <f>AI36/AI$89</f>
        <v>#DIV/0!</v>
      </c>
      <c r="AK36" s="3461"/>
      <c r="AL36" s="3274"/>
      <c r="AM36" s="3274"/>
      <c r="AN36" s="3283">
        <f t="shared" ref="AN36" si="80">AL36+AM36</f>
        <v>0</v>
      </c>
      <c r="AO36" s="3284" t="e">
        <f>AN36/AN$89</f>
        <v>#DIV/0!</v>
      </c>
      <c r="AP36" s="3461"/>
      <c r="AQ36" s="3274"/>
      <c r="AR36" s="3274"/>
      <c r="AS36" s="3283">
        <f t="shared" ref="AS36" si="81">AQ36+AR36</f>
        <v>0</v>
      </c>
      <c r="AT36" s="3284" t="e">
        <f>AS36/AS$89</f>
        <v>#DIV/0!</v>
      </c>
      <c r="AU36" s="3461"/>
      <c r="AV36" s="3274"/>
      <c r="AW36" s="3274"/>
      <c r="AX36" s="3283">
        <f t="shared" ref="AX36" si="82">AV36+AW36</f>
        <v>0</v>
      </c>
      <c r="AY36" s="3284" t="e">
        <f>AX36/AX$89</f>
        <v>#DIV/0!</v>
      </c>
      <c r="AZ36" s="3461"/>
      <c r="BA36" s="3274"/>
      <c r="BB36" s="3274"/>
      <c r="BC36" s="3283">
        <f t="shared" ref="BC36" si="83">BA36+BB36</f>
        <v>0</v>
      </c>
      <c r="BD36" s="3284" t="e">
        <f>BC36/BC$89</f>
        <v>#DIV/0!</v>
      </c>
      <c r="BE36" s="3461"/>
      <c r="BF36" s="3274"/>
      <c r="BG36" s="3274"/>
      <c r="BH36" s="3283">
        <f t="shared" ref="BH36" si="84">BF36+BG36</f>
        <v>0</v>
      </c>
      <c r="BI36" s="3284" t="e">
        <f>BH36/BH$89</f>
        <v>#DIV/0!</v>
      </c>
      <c r="BJ36" s="3461"/>
      <c r="BK36" s="3274"/>
      <c r="BL36" s="3274"/>
      <c r="BM36" s="3283">
        <f t="shared" ref="BM36" si="85">BK36+BL36</f>
        <v>0</v>
      </c>
      <c r="BN36" s="3284" t="e">
        <f>BM36/BM$89</f>
        <v>#DIV/0!</v>
      </c>
      <c r="BO36" s="3461"/>
      <c r="BP36" s="3274"/>
      <c r="BQ36" s="3274"/>
      <c r="BR36" s="3283">
        <f t="shared" ref="BR36" si="86">BP36+BQ36</f>
        <v>0</v>
      </c>
      <c r="BS36" s="3284" t="e">
        <f>BR36/BR$89</f>
        <v>#DIV/0!</v>
      </c>
      <c r="BT36" s="3461"/>
      <c r="BU36" s="3274"/>
      <c r="BV36" s="3274"/>
      <c r="BW36" s="3283">
        <f t="shared" ref="BW36" si="87">BU36+BV36</f>
        <v>0</v>
      </c>
      <c r="BX36" s="3284" t="e">
        <f>BW36/BW$89</f>
        <v>#DIV/0!</v>
      </c>
      <c r="BY36" s="3461"/>
      <c r="BZ36" s="3274"/>
      <c r="CA36" s="3274"/>
      <c r="CB36" s="3283">
        <f t="shared" ref="CB36" si="88">BZ36+CA36</f>
        <v>0</v>
      </c>
      <c r="CC36" s="3284" t="e">
        <f>CB36/CB$89</f>
        <v>#DIV/0!</v>
      </c>
      <c r="CD36" s="3461"/>
      <c r="CE36" s="3274"/>
      <c r="CF36" s="3274"/>
      <c r="CG36" s="3283">
        <f t="shared" ref="CG36" si="89">CE36+CF36</f>
        <v>0</v>
      </c>
      <c r="CH36" s="3284" t="e">
        <f>CG36/CG$89</f>
        <v>#DIV/0!</v>
      </c>
      <c r="CI36" s="3461"/>
      <c r="CJ36" s="3274">
        <f t="shared" ref="CJ36:CK36" si="90">C36+H36+M36+W36</f>
        <v>0</v>
      </c>
      <c r="CK36" s="3274">
        <f t="shared" si="90"/>
        <v>0</v>
      </c>
      <c r="CL36" s="2028">
        <f>CJ36+CK36*1</f>
        <v>0</v>
      </c>
      <c r="CM36" s="3284" t="e">
        <f>CL36/$CL$89</f>
        <v>#DIV/0!</v>
      </c>
      <c r="CN36" s="3311"/>
      <c r="CP36" s="2028"/>
      <c r="CQ36" s="2028">
        <f t="shared" ref="CQ36" si="91">CL36</f>
        <v>0</v>
      </c>
      <c r="CR36" s="3448">
        <f t="shared" ref="CR36" si="92">CP36-CQ36</f>
        <v>0</v>
      </c>
      <c r="CT36" s="3450"/>
    </row>
    <row r="37" spans="1:98" s="1411" customFormat="1" ht="14.4" outlineLevel="1" thickBot="1" x14ac:dyDescent="0.3">
      <c r="A37" s="1413"/>
      <c r="B37" s="3732"/>
      <c r="C37" s="3274"/>
      <c r="D37" s="3274"/>
      <c r="E37" s="3313"/>
      <c r="F37" s="3313"/>
      <c r="G37" s="3831"/>
      <c r="H37" s="3274"/>
      <c r="I37" s="3274"/>
      <c r="J37" s="3313"/>
      <c r="K37" s="3313"/>
      <c r="L37" s="3831"/>
      <c r="M37" s="3274"/>
      <c r="N37" s="3274"/>
      <c r="O37" s="3313"/>
      <c r="P37" s="3313"/>
      <c r="Q37" s="3831"/>
      <c r="R37" s="3463"/>
      <c r="S37" s="3463"/>
      <c r="T37" s="3463"/>
      <c r="U37" s="3463"/>
      <c r="V37" s="3463"/>
      <c r="W37" s="3275">
        <f t="shared" ref="W37:X37" si="93">AB37+AG37+AL37+AV37+BA37+BF37+BK37+BP37+BU37+BZ37+CE37</f>
        <v>0</v>
      </c>
      <c r="X37" s="3275">
        <f t="shared" si="93"/>
        <v>0</v>
      </c>
      <c r="Y37" s="3463"/>
      <c r="Z37" s="3463"/>
      <c r="AA37" s="3463"/>
      <c r="AB37" s="3274"/>
      <c r="AC37" s="3274"/>
      <c r="AD37" s="3313"/>
      <c r="AE37" s="3313"/>
      <c r="AF37" s="3831"/>
      <c r="AG37" s="3274"/>
      <c r="AH37" s="3274"/>
      <c r="AI37" s="3313"/>
      <c r="AJ37" s="3313"/>
      <c r="AK37" s="3831"/>
      <c r="AL37" s="3274"/>
      <c r="AM37" s="3274"/>
      <c r="AN37" s="3313"/>
      <c r="AO37" s="3313"/>
      <c r="AP37" s="3831"/>
      <c r="AQ37" s="3274"/>
      <c r="AR37" s="3274"/>
      <c r="AS37" s="3313"/>
      <c r="AT37" s="3313"/>
      <c r="AU37" s="3831"/>
      <c r="AV37" s="3274"/>
      <c r="AW37" s="3274"/>
      <c r="AX37" s="3313"/>
      <c r="AY37" s="3313"/>
      <c r="AZ37" s="3831"/>
      <c r="BA37" s="3274"/>
      <c r="BB37" s="3274"/>
      <c r="BC37" s="3313"/>
      <c r="BD37" s="3313"/>
      <c r="BE37" s="3831"/>
      <c r="BF37" s="3274"/>
      <c r="BG37" s="3274"/>
      <c r="BH37" s="3313"/>
      <c r="BI37" s="3313"/>
      <c r="BJ37" s="3831"/>
      <c r="BK37" s="3274"/>
      <c r="BL37" s="3274"/>
      <c r="BM37" s="3313"/>
      <c r="BN37" s="3313"/>
      <c r="BO37" s="3831"/>
      <c r="BP37" s="3274"/>
      <c r="BQ37" s="3274"/>
      <c r="BR37" s="3313"/>
      <c r="BS37" s="3313"/>
      <c r="BT37" s="3831"/>
      <c r="BU37" s="3274"/>
      <c r="BV37" s="3274"/>
      <c r="BW37" s="3313"/>
      <c r="BX37" s="3313"/>
      <c r="BY37" s="3831"/>
      <c r="BZ37" s="3274"/>
      <c r="CA37" s="3274"/>
      <c r="CB37" s="3313"/>
      <c r="CC37" s="3313"/>
      <c r="CD37" s="3831"/>
      <c r="CE37" s="3274"/>
      <c r="CF37" s="3274"/>
      <c r="CG37" s="3313"/>
      <c r="CH37" s="3313"/>
      <c r="CI37" s="3831"/>
      <c r="CJ37" s="3274"/>
      <c r="CK37" s="3274"/>
      <c r="CL37" s="3313"/>
      <c r="CM37" s="3313"/>
      <c r="CN37" s="3313"/>
      <c r="CP37" s="3464"/>
      <c r="CQ37" s="3464"/>
      <c r="CR37" s="3465"/>
      <c r="CT37" s="2644"/>
    </row>
    <row r="38" spans="1:98" s="3837" customFormat="1" ht="14.4" thickBot="1" x14ac:dyDescent="0.3">
      <c r="A38" s="3832"/>
      <c r="B38" s="3833" t="s">
        <v>46</v>
      </c>
      <c r="C38" s="3834">
        <f>(C5)-(C8)</f>
        <v>0</v>
      </c>
      <c r="D38" s="3834">
        <f>(D5)-(D8)</f>
        <v>0</v>
      </c>
      <c r="E38" s="3834">
        <f>(E5)-(E8)</f>
        <v>0</v>
      </c>
      <c r="F38" s="3834"/>
      <c r="G38" s="3835"/>
      <c r="H38" s="3834">
        <f>(H5)-(H8)</f>
        <v>0</v>
      </c>
      <c r="I38" s="3834">
        <f>(I5)-(I8)</f>
        <v>0</v>
      </c>
      <c r="J38" s="3834">
        <f>(J5)-(J8)</f>
        <v>0</v>
      </c>
      <c r="K38" s="3834"/>
      <c r="L38" s="3835"/>
      <c r="M38" s="3834">
        <f>(M5)-(M8)</f>
        <v>0</v>
      </c>
      <c r="N38" s="3834">
        <f>(N5)-(N8)</f>
        <v>0</v>
      </c>
      <c r="O38" s="3834">
        <f>(O5)-(O8)</f>
        <v>0</v>
      </c>
      <c r="P38" s="3834"/>
      <c r="Q38" s="3835"/>
      <c r="R38" s="3834">
        <f>(R5)-(R8)</f>
        <v>0</v>
      </c>
      <c r="S38" s="3834">
        <f>(S5)-(S8)</f>
        <v>0</v>
      </c>
      <c r="T38" s="3834">
        <f>(T5)-(T8)</f>
        <v>0</v>
      </c>
      <c r="U38" s="3835"/>
      <c r="V38" s="3835"/>
      <c r="W38" s="3834">
        <f>(W5)-(W8)</f>
        <v>0</v>
      </c>
      <c r="X38" s="3834">
        <f>(X5)-(X8)</f>
        <v>0</v>
      </c>
      <c r="Y38" s="3834">
        <f>(Y5)-(Y8)</f>
        <v>0</v>
      </c>
      <c r="Z38" s="3835"/>
      <c r="AA38" s="3835"/>
      <c r="AB38" s="3834">
        <f>(AB5)-(AB8)</f>
        <v>0</v>
      </c>
      <c r="AC38" s="3834">
        <f>(AC5)-(AC8)</f>
        <v>0</v>
      </c>
      <c r="AD38" s="3834">
        <f>(AD5)-(AD8)</f>
        <v>0</v>
      </c>
      <c r="AE38" s="3834"/>
      <c r="AF38" s="3835"/>
      <c r="AG38" s="3834">
        <f>(AG5)-(AG8)</f>
        <v>0</v>
      </c>
      <c r="AH38" s="3834">
        <f>(AH5)-(AH8)</f>
        <v>0</v>
      </c>
      <c r="AI38" s="3834">
        <f>(AI5)-(AI8)</f>
        <v>0</v>
      </c>
      <c r="AJ38" s="3834"/>
      <c r="AK38" s="3835"/>
      <c r="AL38" s="3834">
        <f>(AL5)-(AL8)</f>
        <v>0</v>
      </c>
      <c r="AM38" s="3834">
        <f>(AM5)-(AM8)</f>
        <v>0</v>
      </c>
      <c r="AN38" s="3834">
        <f>(AN5)-(AN8)</f>
        <v>0</v>
      </c>
      <c r="AO38" s="3834"/>
      <c r="AP38" s="3835"/>
      <c r="AQ38" s="3834">
        <f>(AQ5)-(AQ8)</f>
        <v>0</v>
      </c>
      <c r="AR38" s="3834">
        <f>(AR5)-(AR8)</f>
        <v>0</v>
      </c>
      <c r="AS38" s="3834">
        <f>(AS5)-(AS8)</f>
        <v>0</v>
      </c>
      <c r="AT38" s="3834"/>
      <c r="AU38" s="3835"/>
      <c r="AV38" s="3834">
        <f>(AV5)-(AV8)</f>
        <v>0</v>
      </c>
      <c r="AW38" s="3834">
        <f>(AW5)-(AW8)</f>
        <v>0</v>
      </c>
      <c r="AX38" s="3834">
        <f>(AX5)-(AX8)</f>
        <v>0</v>
      </c>
      <c r="AY38" s="3834"/>
      <c r="AZ38" s="3835"/>
      <c r="BA38" s="3834">
        <f>(BA5)-(BA8)</f>
        <v>0</v>
      </c>
      <c r="BB38" s="3834">
        <f>(BB5)-(BB8)</f>
        <v>0</v>
      </c>
      <c r="BC38" s="3834">
        <f>(BC5)-(BC8)</f>
        <v>0</v>
      </c>
      <c r="BD38" s="3834"/>
      <c r="BE38" s="3835"/>
      <c r="BF38" s="3834">
        <f>(BF5)-(BF8)</f>
        <v>0</v>
      </c>
      <c r="BG38" s="3834">
        <f>(BG5)-(BG8)</f>
        <v>0</v>
      </c>
      <c r="BH38" s="3834">
        <f>(BH5)-(BH8)</f>
        <v>0</v>
      </c>
      <c r="BI38" s="3834"/>
      <c r="BJ38" s="3835"/>
      <c r="BK38" s="3834">
        <f>(BK5)-(BK8)</f>
        <v>0</v>
      </c>
      <c r="BL38" s="3834">
        <f>(BL5)-(BL8)</f>
        <v>0</v>
      </c>
      <c r="BM38" s="3834">
        <f>(BM5)-(BM8)</f>
        <v>0</v>
      </c>
      <c r="BN38" s="3834"/>
      <c r="BO38" s="3835"/>
      <c r="BP38" s="3834">
        <f>(BP5)-(BP8)</f>
        <v>0</v>
      </c>
      <c r="BQ38" s="3834">
        <f>(BQ5)-(BQ8)</f>
        <v>0</v>
      </c>
      <c r="BR38" s="3834">
        <f>(BR5)-(BR8)</f>
        <v>0</v>
      </c>
      <c r="BS38" s="3834"/>
      <c r="BT38" s="3835"/>
      <c r="BU38" s="3834">
        <f>(BU5)-(BU8)</f>
        <v>0</v>
      </c>
      <c r="BV38" s="3834">
        <f>(BV5)-(BV8)</f>
        <v>0</v>
      </c>
      <c r="BW38" s="3834">
        <f>(BW5)-(BW8)</f>
        <v>0</v>
      </c>
      <c r="BX38" s="3834"/>
      <c r="BY38" s="3835"/>
      <c r="BZ38" s="3834">
        <f>(BZ5)-(BZ8)</f>
        <v>0</v>
      </c>
      <c r="CA38" s="3834">
        <f>(CA5)-(CA8)</f>
        <v>0</v>
      </c>
      <c r="CB38" s="3834">
        <f>(CB5)-(CB8)</f>
        <v>0</v>
      </c>
      <c r="CC38" s="3834"/>
      <c r="CD38" s="3835"/>
      <c r="CE38" s="3834">
        <f>(CE5)-(CE8)</f>
        <v>0</v>
      </c>
      <c r="CF38" s="3834">
        <f>(CF5)-(CF8)</f>
        <v>0</v>
      </c>
      <c r="CG38" s="3834">
        <f>(CG5)-(CG8)</f>
        <v>0</v>
      </c>
      <c r="CH38" s="3834"/>
      <c r="CI38" s="3835"/>
      <c r="CJ38" s="3836">
        <f>(CJ5)-(CJ8)</f>
        <v>0</v>
      </c>
      <c r="CK38" s="3836">
        <f>(CK5)-(CK8)</f>
        <v>0</v>
      </c>
      <c r="CL38" s="3836">
        <f>(CL5)-(CL8)</f>
        <v>0</v>
      </c>
      <c r="CM38" s="3834"/>
      <c r="CN38" s="3834"/>
      <c r="CP38" s="3834">
        <f>(CP5)-(CP8)</f>
        <v>0</v>
      </c>
      <c r="CQ38" s="3842">
        <f>(CQ5)-(CQ8)</f>
        <v>0</v>
      </c>
      <c r="CR38" s="3834">
        <f>(CR5)-(CR8)</f>
        <v>0</v>
      </c>
      <c r="CT38" s="3843"/>
    </row>
    <row r="39" spans="1:98" ht="13.8" x14ac:dyDescent="0.25">
      <c r="A39" s="1580"/>
      <c r="B39" s="1423" t="s">
        <v>47</v>
      </c>
      <c r="C39" s="2019">
        <f>IFERROR(C38/(C5),0)</f>
        <v>0</v>
      </c>
      <c r="D39" s="2019">
        <f>IFERROR(D38/(D5),0)</f>
        <v>0</v>
      </c>
      <c r="E39" s="2020">
        <f>IFERROR(E38/(E5),0)</f>
        <v>0</v>
      </c>
      <c r="F39" s="2020"/>
      <c r="G39" s="1066"/>
      <c r="H39" s="2019">
        <f>IFERROR(H38/(H5),0)</f>
        <v>0</v>
      </c>
      <c r="I39" s="2019">
        <f>IFERROR(I38/(I5),0)</f>
        <v>0</v>
      </c>
      <c r="J39" s="2020">
        <f>IFERROR(J38/(J5),0)</f>
        <v>0</v>
      </c>
      <c r="K39" s="2020"/>
      <c r="L39" s="1066"/>
      <c r="M39" s="2019">
        <f>IFERROR(M38/(M5),0)</f>
        <v>0</v>
      </c>
      <c r="N39" s="2019">
        <f>IFERROR(N38/(N5),0)</f>
        <v>0</v>
      </c>
      <c r="O39" s="2020">
        <f>IFERROR(O38/(O5),0)</f>
        <v>0</v>
      </c>
      <c r="P39" s="2020"/>
      <c r="Q39" s="1066"/>
      <c r="R39" s="3466"/>
      <c r="S39" s="3466"/>
      <c r="T39" s="3466"/>
      <c r="U39" s="3466"/>
      <c r="V39" s="3466"/>
      <c r="W39" s="3466"/>
      <c r="X39" s="3466"/>
      <c r="Y39" s="3466"/>
      <c r="Z39" s="3466"/>
      <c r="AA39" s="3466"/>
      <c r="AB39" s="2019">
        <f>IFERROR(AB38/(AB5),0)</f>
        <v>0</v>
      </c>
      <c r="AC39" s="2019">
        <f>IFERROR(AC38/(AC5),0)</f>
        <v>0</v>
      </c>
      <c r="AD39" s="2020">
        <f>IFERROR(AD38/(AD5),0)</f>
        <v>0</v>
      </c>
      <c r="AE39" s="2020"/>
      <c r="AF39" s="1066"/>
      <c r="AG39" s="2019">
        <f>IFERROR(AG38/(AG5),0)</f>
        <v>0</v>
      </c>
      <c r="AH39" s="2019">
        <f>IFERROR(AH38/(AH5),0)</f>
        <v>0</v>
      </c>
      <c r="AI39" s="2020">
        <f>IFERROR(AI38/(AI5),0)</f>
        <v>0</v>
      </c>
      <c r="AJ39" s="2020"/>
      <c r="AK39" s="1066"/>
      <c r="AL39" s="2019">
        <f>IFERROR(AL38/(AL5),0)</f>
        <v>0</v>
      </c>
      <c r="AM39" s="2019">
        <f>IFERROR(AM38/(AM5),0)</f>
        <v>0</v>
      </c>
      <c r="AN39" s="2020">
        <f>IFERROR(AN38/(AN5),0)</f>
        <v>0</v>
      </c>
      <c r="AO39" s="2020"/>
      <c r="AP39" s="1066"/>
      <c r="AQ39" s="2019">
        <f>IFERROR(AQ38/(AQ5),0)</f>
        <v>0</v>
      </c>
      <c r="AR39" s="2019">
        <f>IFERROR(AR38/(AR5),0)</f>
        <v>0</v>
      </c>
      <c r="AS39" s="2020">
        <f>IFERROR(AS38/(AS5),0)</f>
        <v>0</v>
      </c>
      <c r="AT39" s="2020"/>
      <c r="AU39" s="1066"/>
      <c r="AV39" s="2019">
        <f>IFERROR(AV38/(AV5),0)</f>
        <v>0</v>
      </c>
      <c r="AW39" s="2019">
        <f>IFERROR(AW38/(AW5),0)</f>
        <v>0</v>
      </c>
      <c r="AX39" s="2020">
        <f>IFERROR(AX38/(AX5),0)</f>
        <v>0</v>
      </c>
      <c r="AY39" s="2020"/>
      <c r="AZ39" s="1066"/>
      <c r="BA39" s="2019">
        <f>IFERROR(BA38/(BA5),0)</f>
        <v>0</v>
      </c>
      <c r="BB39" s="2019">
        <f>IFERROR(BB38/(BB5),0)</f>
        <v>0</v>
      </c>
      <c r="BC39" s="2020">
        <f>IFERROR(BC38/(BC5),0)</f>
        <v>0</v>
      </c>
      <c r="BD39" s="2020"/>
      <c r="BE39" s="1066"/>
      <c r="BF39" s="2019">
        <f>IFERROR(BF38/(BF5),0)</f>
        <v>0</v>
      </c>
      <c r="BG39" s="2019">
        <f>IFERROR(BG38/(BG5),0)</f>
        <v>0</v>
      </c>
      <c r="BH39" s="2020">
        <f>IFERROR(BH38/(BH5),0)</f>
        <v>0</v>
      </c>
      <c r="BI39" s="2020"/>
      <c r="BJ39" s="1066"/>
      <c r="BK39" s="2019">
        <f>IFERROR(BK38/(BK5),0)</f>
        <v>0</v>
      </c>
      <c r="BL39" s="2019">
        <f>IFERROR(BL38/(BL5),0)</f>
        <v>0</v>
      </c>
      <c r="BM39" s="2020">
        <f>IFERROR(BM38/(BM5),0)</f>
        <v>0</v>
      </c>
      <c r="BN39" s="2020"/>
      <c r="BO39" s="1066"/>
      <c r="BP39" s="2019">
        <f>IFERROR(BP38/(BP5),0)</f>
        <v>0</v>
      </c>
      <c r="BQ39" s="2019">
        <f>IFERROR(BQ38/(BQ5),0)</f>
        <v>0</v>
      </c>
      <c r="BR39" s="2020">
        <f>IFERROR(BR38/(BR5),0)</f>
        <v>0</v>
      </c>
      <c r="BS39" s="2020"/>
      <c r="BT39" s="1066"/>
      <c r="BU39" s="2019">
        <f>IFERROR(BU38/(BU5),0)</f>
        <v>0</v>
      </c>
      <c r="BV39" s="2019">
        <f>IFERROR(BV38/(BV5),0)</f>
        <v>0</v>
      </c>
      <c r="BW39" s="2020">
        <f>IFERROR(BW38/(BW5),0)</f>
        <v>0</v>
      </c>
      <c r="BX39" s="2020"/>
      <c r="BY39" s="1066"/>
      <c r="BZ39" s="2019">
        <f>IFERROR(BZ38/(BZ5),0)</f>
        <v>0</v>
      </c>
      <c r="CA39" s="2019">
        <f>IFERROR(CA38/(CA5),0)</f>
        <v>0</v>
      </c>
      <c r="CB39" s="2020">
        <f>IFERROR(CB38/(CB5),0)</f>
        <v>0</v>
      </c>
      <c r="CC39" s="2020"/>
      <c r="CD39" s="1066"/>
      <c r="CE39" s="2019">
        <f>IFERROR(CE38/(CE5),0)</f>
        <v>0</v>
      </c>
      <c r="CF39" s="2019">
        <f>IFERROR(CF38/(CF5),0)</f>
        <v>0</v>
      </c>
      <c r="CG39" s="2020">
        <f>IFERROR(CG38/(CG5),0)</f>
        <v>0</v>
      </c>
      <c r="CH39" s="2020"/>
      <c r="CI39" s="1066"/>
      <c r="CJ39" s="2019">
        <f>IFERROR(CJ38/(CJ5),0)</f>
        <v>0</v>
      </c>
      <c r="CK39" s="2019">
        <f>IFERROR(CK38/(CK5),0)</f>
        <v>0</v>
      </c>
      <c r="CL39" s="2020">
        <f>IFERROR(CL38/(CL5),0)</f>
        <v>0</v>
      </c>
      <c r="CM39" s="2020"/>
      <c r="CN39" s="2020"/>
      <c r="CP39" s="2020" t="e">
        <f>CP38/(CP5)</f>
        <v>#DIV/0!</v>
      </c>
      <c r="CQ39" s="2020">
        <f>IFERROR(CQ38/(CQ5),0)</f>
        <v>0</v>
      </c>
      <c r="CR39" s="2020" t="e">
        <f>CR38/(CR5)</f>
        <v>#DIV/0!</v>
      </c>
    </row>
    <row r="40" spans="1:98" ht="14.4" outlineLevel="1" thickBot="1" x14ac:dyDescent="0.3">
      <c r="A40" s="1582"/>
      <c r="B40" s="3734"/>
      <c r="C40" s="3317"/>
      <c r="D40" s="3317"/>
      <c r="E40" s="3317"/>
      <c r="F40" s="3317"/>
      <c r="G40" s="3838"/>
      <c r="H40" s="3317"/>
      <c r="I40" s="3317"/>
      <c r="J40" s="3317"/>
      <c r="K40" s="3317"/>
      <c r="L40" s="3838"/>
      <c r="M40" s="3317"/>
      <c r="N40" s="3317"/>
      <c r="O40" s="3317"/>
      <c r="P40" s="3317"/>
      <c r="Q40" s="3838"/>
      <c r="R40" s="3838"/>
      <c r="S40" s="3838"/>
      <c r="T40" s="3838"/>
      <c r="U40" s="3838"/>
      <c r="V40" s="3838"/>
      <c r="W40" s="3838"/>
      <c r="X40" s="3838"/>
      <c r="Y40" s="3838"/>
      <c r="Z40" s="3838"/>
      <c r="AA40" s="3838"/>
      <c r="AB40" s="3317"/>
      <c r="AC40" s="3317"/>
      <c r="AD40" s="3317"/>
      <c r="AE40" s="3317"/>
      <c r="AF40" s="3838"/>
      <c r="AG40" s="3317"/>
      <c r="AH40" s="3317"/>
      <c r="AI40" s="3317"/>
      <c r="AJ40" s="3317"/>
      <c r="AK40" s="3838"/>
      <c r="AL40" s="3317"/>
      <c r="AM40" s="3317"/>
      <c r="AN40" s="3317"/>
      <c r="AO40" s="3317"/>
      <c r="AP40" s="3838"/>
      <c r="AQ40" s="3317"/>
      <c r="AR40" s="3317"/>
      <c r="AS40" s="3317"/>
      <c r="AT40" s="3317"/>
      <c r="AU40" s="3838"/>
      <c r="AV40" s="3317"/>
      <c r="AW40" s="3317"/>
      <c r="AX40" s="3317"/>
      <c r="AY40" s="3317"/>
      <c r="AZ40" s="3838"/>
      <c r="BA40" s="3317"/>
      <c r="BB40" s="3317"/>
      <c r="BC40" s="3317"/>
      <c r="BD40" s="3317"/>
      <c r="BE40" s="3838"/>
      <c r="BF40" s="3317"/>
      <c r="BG40" s="3317"/>
      <c r="BH40" s="3317"/>
      <c r="BI40" s="3317"/>
      <c r="BJ40" s="3838"/>
      <c r="BK40" s="3317"/>
      <c r="BL40" s="3317"/>
      <c r="BM40" s="3317"/>
      <c r="BN40" s="3317"/>
      <c r="BO40" s="3838"/>
      <c r="BP40" s="3317"/>
      <c r="BQ40" s="3317"/>
      <c r="BR40" s="3317"/>
      <c r="BS40" s="3317"/>
      <c r="BT40" s="3838"/>
      <c r="BU40" s="3317"/>
      <c r="BV40" s="3317"/>
      <c r="BW40" s="3317"/>
      <c r="BX40" s="3317"/>
      <c r="BY40" s="3838"/>
      <c r="BZ40" s="3317"/>
      <c r="CA40" s="3317"/>
      <c r="CB40" s="3317"/>
      <c r="CC40" s="3317"/>
      <c r="CD40" s="3838"/>
      <c r="CE40" s="3317"/>
      <c r="CF40" s="3317"/>
      <c r="CG40" s="3317"/>
      <c r="CH40" s="3317"/>
      <c r="CI40" s="3838"/>
      <c r="CJ40" s="3317"/>
      <c r="CK40" s="3317"/>
      <c r="CL40" s="3317"/>
      <c r="CM40" s="3317"/>
      <c r="CN40" s="3317"/>
      <c r="CP40" s="3394"/>
      <c r="CQ40" s="3394"/>
      <c r="CR40" s="3394"/>
    </row>
    <row r="41" spans="1:98" ht="13.8" outlineLevel="1" x14ac:dyDescent="0.25">
      <c r="A41" s="1420"/>
      <c r="B41" s="1430" t="s">
        <v>26</v>
      </c>
      <c r="C41" s="2029">
        <f>SUM(C42:C48)</f>
        <v>0</v>
      </c>
      <c r="D41" s="2029">
        <f>SUM(D42:D48)</f>
        <v>0</v>
      </c>
      <c r="E41" s="2030">
        <f>SUM(E42:E48)</f>
        <v>0</v>
      </c>
      <c r="F41" s="3318" t="e">
        <f>E41/$E$89</f>
        <v>#DIV/0!</v>
      </c>
      <c r="G41" s="1067"/>
      <c r="H41" s="2029">
        <f>SUM(H42:H48)</f>
        <v>0</v>
      </c>
      <c r="I41" s="2029">
        <f>SUM(I42:I48)</f>
        <v>0</v>
      </c>
      <c r="J41" s="2030">
        <f>SUM(J42:J48)</f>
        <v>0</v>
      </c>
      <c r="K41" s="3318" t="e">
        <f>J41/$E$89</f>
        <v>#DIV/0!</v>
      </c>
      <c r="L41" s="1067"/>
      <c r="M41" s="2029">
        <f>SUM(M42:M48)</f>
        <v>0</v>
      </c>
      <c r="N41" s="2029">
        <f>SUM(N42:N48)</f>
        <v>0</v>
      </c>
      <c r="O41" s="2030">
        <f>SUM(O42:O48)</f>
        <v>0</v>
      </c>
      <c r="P41" s="3318" t="e">
        <f>O41/$E$89</f>
        <v>#DIV/0!</v>
      </c>
      <c r="Q41" s="1067"/>
      <c r="R41" s="2029">
        <f>SUM(R42:R48)</f>
        <v>0</v>
      </c>
      <c r="S41" s="2029">
        <f>SUM(S42:S48)</f>
        <v>0</v>
      </c>
      <c r="T41" s="2030">
        <f>SUM(T42:T48)</f>
        <v>0</v>
      </c>
      <c r="U41" s="3318"/>
      <c r="V41" s="3467"/>
      <c r="W41" s="2029">
        <f>SUM(W42:W48)</f>
        <v>0</v>
      </c>
      <c r="X41" s="2029">
        <f>SUM(X42:X48)</f>
        <v>0</v>
      </c>
      <c r="Y41" s="2030">
        <f>SUM(Y42:Y48)</f>
        <v>0</v>
      </c>
      <c r="Z41" s="3318"/>
      <c r="AA41" s="3467"/>
      <c r="AB41" s="2029">
        <f>SUM(AB42:AB48)</f>
        <v>0</v>
      </c>
      <c r="AC41" s="2029">
        <f>SUM(AC42:AC48)</f>
        <v>0</v>
      </c>
      <c r="AD41" s="2030">
        <f>SUM(AD42:AD48)</f>
        <v>0</v>
      </c>
      <c r="AE41" s="3318"/>
      <c r="AF41" s="1067"/>
      <c r="AG41" s="2029">
        <f>SUM(AG42:AG48)</f>
        <v>0</v>
      </c>
      <c r="AH41" s="2029">
        <f>SUM(AH42:AH48)</f>
        <v>0</v>
      </c>
      <c r="AI41" s="2030">
        <f>SUM(AI42:AI48)</f>
        <v>0</v>
      </c>
      <c r="AJ41" s="3318"/>
      <c r="AK41" s="1067"/>
      <c r="AL41" s="2029">
        <f>SUM(AL42:AL48)</f>
        <v>0</v>
      </c>
      <c r="AM41" s="2029">
        <f>SUM(AM42:AM48)</f>
        <v>0</v>
      </c>
      <c r="AN41" s="2030">
        <f>SUM(AN42:AN48)</f>
        <v>0</v>
      </c>
      <c r="AO41" s="3318"/>
      <c r="AP41" s="1067"/>
      <c r="AQ41" s="2029">
        <f>SUM(AQ42:AQ48)</f>
        <v>0</v>
      </c>
      <c r="AR41" s="2029">
        <f>SUM(AR42:AR48)</f>
        <v>0</v>
      </c>
      <c r="AS41" s="2030">
        <f>SUM(AS42:AS48)</f>
        <v>0</v>
      </c>
      <c r="AT41" s="3318"/>
      <c r="AU41" s="1067"/>
      <c r="AV41" s="2029">
        <f>SUM(AV42:AV48)</f>
        <v>0</v>
      </c>
      <c r="AW41" s="2029">
        <f>SUM(AW42:AW48)</f>
        <v>0</v>
      </c>
      <c r="AX41" s="2030">
        <f>SUM(AX42:AX48)</f>
        <v>0</v>
      </c>
      <c r="AY41" s="3318"/>
      <c r="AZ41" s="1067"/>
      <c r="BA41" s="2029">
        <f>SUM(BA42:BA48)</f>
        <v>0</v>
      </c>
      <c r="BB41" s="2029">
        <f>SUM(BB42:BB48)</f>
        <v>0</v>
      </c>
      <c r="BC41" s="2030">
        <f>SUM(BC42:BC48)</f>
        <v>0</v>
      </c>
      <c r="BD41" s="3318"/>
      <c r="BE41" s="1067"/>
      <c r="BF41" s="2029">
        <f>SUM(BF42:BF48)</f>
        <v>0</v>
      </c>
      <c r="BG41" s="2029">
        <f>SUM(BG42:BG48)</f>
        <v>0</v>
      </c>
      <c r="BH41" s="2030">
        <f>SUM(BH42:BH48)</f>
        <v>0</v>
      </c>
      <c r="BI41" s="3318"/>
      <c r="BJ41" s="1067"/>
      <c r="BK41" s="2029">
        <f>SUM(BK42:BK48)</f>
        <v>0</v>
      </c>
      <c r="BL41" s="2029">
        <f>SUM(BL42:BL48)</f>
        <v>0</v>
      </c>
      <c r="BM41" s="2030">
        <f>SUM(BM42:BM48)</f>
        <v>0</v>
      </c>
      <c r="BN41" s="3318"/>
      <c r="BO41" s="1067"/>
      <c r="BP41" s="2029">
        <f>SUM(BP42:BP48)</f>
        <v>0</v>
      </c>
      <c r="BQ41" s="2029">
        <f>SUM(BQ42:BQ48)</f>
        <v>0</v>
      </c>
      <c r="BR41" s="2030">
        <f>SUM(BR42:BR48)</f>
        <v>0</v>
      </c>
      <c r="BS41" s="3318"/>
      <c r="BT41" s="1067"/>
      <c r="BU41" s="2029">
        <f>SUM(BU42:BU48)</f>
        <v>0</v>
      </c>
      <c r="BV41" s="2029">
        <f>SUM(BV42:BV48)</f>
        <v>0</v>
      </c>
      <c r="BW41" s="2030">
        <f>SUM(BW42:BW48)</f>
        <v>0</v>
      </c>
      <c r="BX41" s="3318"/>
      <c r="BY41" s="1067"/>
      <c r="BZ41" s="2029">
        <f>SUM(BZ42:BZ48)</f>
        <v>0</v>
      </c>
      <c r="CA41" s="2029">
        <f>SUM(CA42:CA48)</f>
        <v>0</v>
      </c>
      <c r="CB41" s="2030">
        <f>SUM(CB42:CB48)</f>
        <v>0</v>
      </c>
      <c r="CC41" s="3318"/>
      <c r="CD41" s="1067"/>
      <c r="CE41" s="2029">
        <f>SUM(CE42:CE48)</f>
        <v>0</v>
      </c>
      <c r="CF41" s="2029">
        <f>SUM(CF42:CF48)</f>
        <v>0</v>
      </c>
      <c r="CG41" s="2030">
        <f>SUM(CG42:CG48)</f>
        <v>0</v>
      </c>
      <c r="CH41" s="3318"/>
      <c r="CI41" s="1067"/>
      <c r="CJ41" s="2029">
        <f>SUM(CJ42:CJ48)</f>
        <v>0</v>
      </c>
      <c r="CK41" s="2029">
        <f>SUM(CK42:CK48)</f>
        <v>0</v>
      </c>
      <c r="CL41" s="2030">
        <f>SUM(CL42:CL48)</f>
        <v>0</v>
      </c>
      <c r="CM41" s="3318" t="e">
        <f t="shared" ref="CM41:CM49" si="94">CL41/$CL$89</f>
        <v>#DIV/0!</v>
      </c>
      <c r="CN41" s="2022"/>
      <c r="CP41" s="2030">
        <f>SUM(CP42:CP48)</f>
        <v>0</v>
      </c>
      <c r="CQ41" s="2030">
        <f>SUM(CQ42:CQ48)</f>
        <v>0</v>
      </c>
      <c r="CR41" s="2030"/>
    </row>
    <row r="42" spans="1:98" ht="13.8" outlineLevel="2" x14ac:dyDescent="0.25">
      <c r="A42" s="4015"/>
      <c r="B42" s="3319" t="s">
        <v>7</v>
      </c>
      <c r="C42" s="3274"/>
      <c r="D42" s="3274"/>
      <c r="E42" s="3283">
        <f t="shared" ref="E42:E48" si="95">C42+D42</f>
        <v>0</v>
      </c>
      <c r="F42" s="3284" t="e">
        <f t="shared" ref="F42:F48" si="96">E42/$E$89</f>
        <v>#DIV/0!</v>
      </c>
      <c r="G42" s="3468"/>
      <c r="H42" s="3274"/>
      <c r="I42" s="3274"/>
      <c r="J42" s="3283">
        <f t="shared" ref="J42:J48" si="97">H42+I42</f>
        <v>0</v>
      </c>
      <c r="K42" s="3284" t="e">
        <f t="shared" ref="K42:K48" si="98">J42/J$89</f>
        <v>#DIV/0!</v>
      </c>
      <c r="L42" s="3468"/>
      <c r="M42" s="3274"/>
      <c r="N42" s="3274"/>
      <c r="O42" s="3283">
        <f t="shared" ref="O42:O48" si="99">M42+N42</f>
        <v>0</v>
      </c>
      <c r="P42" s="3284" t="e">
        <f t="shared" ref="P42:P48" si="100">O42/O$89</f>
        <v>#DIV/0!</v>
      </c>
      <c r="Q42" s="3468"/>
      <c r="R42" s="3275">
        <f t="shared" ref="R42:S48" si="101">M42+H42+C42</f>
        <v>0</v>
      </c>
      <c r="S42" s="3275">
        <f t="shared" si="101"/>
        <v>0</v>
      </c>
      <c r="T42" s="2028">
        <f t="shared" ref="T42:T48" si="102">R42+S42</f>
        <v>0</v>
      </c>
      <c r="U42" s="3469"/>
      <c r="V42" s="3469"/>
      <c r="W42" s="3275">
        <f t="shared" ref="W42:X48" si="103">AB42+AG42+AL42+AV42+BA42+BF42+BK42+BP42+BU42+BZ42+CE42+AQ42</f>
        <v>0</v>
      </c>
      <c r="X42" s="3275">
        <f t="shared" si="103"/>
        <v>0</v>
      </c>
      <c r="Y42" s="2028">
        <f t="shared" ref="Y42:Y48" si="104">W42+X42</f>
        <v>0</v>
      </c>
      <c r="Z42" s="3469"/>
      <c r="AA42" s="3469"/>
      <c r="AB42" s="3274"/>
      <c r="AC42" s="3274"/>
      <c r="AD42" s="3283">
        <f t="shared" ref="AD42:AD48" si="105">AB42+AC42</f>
        <v>0</v>
      </c>
      <c r="AE42" s="3284" t="e">
        <f t="shared" ref="AE42:AE49" si="106">AD42/AD$89</f>
        <v>#DIV/0!</v>
      </c>
      <c r="AF42" s="3468"/>
      <c r="AG42" s="3274"/>
      <c r="AH42" s="3274"/>
      <c r="AI42" s="3283">
        <f t="shared" ref="AI42:AI48" si="107">AG42+AH42</f>
        <v>0</v>
      </c>
      <c r="AJ42" s="3284" t="e">
        <f t="shared" ref="AJ42:AJ49" si="108">AI42/AI$89</f>
        <v>#DIV/0!</v>
      </c>
      <c r="AK42" s="3468"/>
      <c r="AL42" s="3274"/>
      <c r="AM42" s="3274"/>
      <c r="AN42" s="3283">
        <f t="shared" ref="AN42:AN48" si="109">AL42+AM42</f>
        <v>0</v>
      </c>
      <c r="AO42" s="3284" t="e">
        <f t="shared" ref="AO42:AO49" si="110">AN42/AN$89</f>
        <v>#DIV/0!</v>
      </c>
      <c r="AP42" s="3468"/>
      <c r="AQ42" s="3274"/>
      <c r="AR42" s="3274"/>
      <c r="AS42" s="3283">
        <f t="shared" ref="AS42:AS48" si="111">AQ42+AR42</f>
        <v>0</v>
      </c>
      <c r="AT42" s="3284" t="e">
        <f t="shared" ref="AT42:AT49" si="112">AS42/AS$89</f>
        <v>#DIV/0!</v>
      </c>
      <c r="AU42" s="3468"/>
      <c r="AV42" s="3274"/>
      <c r="AW42" s="3274"/>
      <c r="AX42" s="3283">
        <f t="shared" ref="AX42:AX48" si="113">AV42+AW42</f>
        <v>0</v>
      </c>
      <c r="AY42" s="3284" t="e">
        <f t="shared" ref="AY42:AY49" si="114">AX42/AX$89</f>
        <v>#DIV/0!</v>
      </c>
      <c r="AZ42" s="3468"/>
      <c r="BA42" s="3274"/>
      <c r="BB42" s="3274"/>
      <c r="BC42" s="3283">
        <f t="shared" ref="BC42:BC48" si="115">BA42+BB42</f>
        <v>0</v>
      </c>
      <c r="BD42" s="3284" t="e">
        <f t="shared" ref="BD42:BD49" si="116">BC42/BC$89</f>
        <v>#DIV/0!</v>
      </c>
      <c r="BE42" s="3468"/>
      <c r="BF42" s="3274"/>
      <c r="BG42" s="3274"/>
      <c r="BH42" s="3283">
        <f t="shared" ref="BH42:BH48" si="117">BF42+BG42</f>
        <v>0</v>
      </c>
      <c r="BI42" s="3284" t="e">
        <f t="shared" ref="BI42:BI49" si="118">BH42/BH$89</f>
        <v>#DIV/0!</v>
      </c>
      <c r="BJ42" s="3468"/>
      <c r="BK42" s="3274"/>
      <c r="BL42" s="3274"/>
      <c r="BM42" s="3283">
        <f t="shared" ref="BM42:BM48" si="119">BK42+BL42</f>
        <v>0</v>
      </c>
      <c r="BN42" s="3284" t="e">
        <f t="shared" ref="BN42:BN49" si="120">BM42/BM$89</f>
        <v>#DIV/0!</v>
      </c>
      <c r="BO42" s="3468"/>
      <c r="BP42" s="3274"/>
      <c r="BQ42" s="3274"/>
      <c r="BR42" s="3283">
        <f t="shared" ref="BR42:BR48" si="121">BP42+BQ42</f>
        <v>0</v>
      </c>
      <c r="BS42" s="3284" t="e">
        <f t="shared" ref="BS42:BS49" si="122">BR42/BR$89</f>
        <v>#DIV/0!</v>
      </c>
      <c r="BT42" s="3468"/>
      <c r="BU42" s="3274"/>
      <c r="BV42" s="3274"/>
      <c r="BW42" s="3283">
        <f t="shared" ref="BW42:BW48" si="123">BU42+BV42</f>
        <v>0</v>
      </c>
      <c r="BX42" s="3284" t="e">
        <f t="shared" ref="BX42:BX49" si="124">BW42/BW$89</f>
        <v>#DIV/0!</v>
      </c>
      <c r="BY42" s="3468"/>
      <c r="BZ42" s="3274"/>
      <c r="CA42" s="3274"/>
      <c r="CB42" s="3283">
        <f t="shared" ref="CB42:CB48" si="125">BZ42+CA42</f>
        <v>0</v>
      </c>
      <c r="CC42" s="3284" t="e">
        <f t="shared" ref="CC42:CC49" si="126">CB42/CB$89</f>
        <v>#DIV/0!</v>
      </c>
      <c r="CD42" s="3468"/>
      <c r="CE42" s="3274"/>
      <c r="CF42" s="3274"/>
      <c r="CG42" s="3283">
        <f t="shared" ref="CG42:CG48" si="127">CE42+CF42</f>
        <v>0</v>
      </c>
      <c r="CH42" s="3284" t="e">
        <f t="shared" ref="CH42:CH49" si="128">CG42/CG$89</f>
        <v>#DIV/0!</v>
      </c>
      <c r="CI42" s="3468"/>
      <c r="CJ42" s="3274">
        <f t="shared" ref="CJ42:CK48" si="129">C42+H42+M42+W42</f>
        <v>0</v>
      </c>
      <c r="CK42" s="3274">
        <f t="shared" si="129"/>
        <v>0</v>
      </c>
      <c r="CL42" s="2028">
        <f t="shared" ref="CL42:CL48" si="130">CJ42+CK42*1</f>
        <v>0</v>
      </c>
      <c r="CM42" s="3284" t="e">
        <f t="shared" si="94"/>
        <v>#DIV/0!</v>
      </c>
      <c r="CN42" s="3295"/>
      <c r="CP42" s="2028">
        <f t="shared" ref="CP42:CQ48" si="131">CN42+CO42*1</f>
        <v>0</v>
      </c>
      <c r="CQ42" s="2028">
        <f t="shared" si="131"/>
        <v>0</v>
      </c>
      <c r="CR42" s="3448"/>
    </row>
    <row r="43" spans="1:98" ht="13.8" outlineLevel="2" x14ac:dyDescent="0.25">
      <c r="A43" s="4015"/>
      <c r="B43" s="3319" t="s">
        <v>27</v>
      </c>
      <c r="C43" s="3274"/>
      <c r="D43" s="3274"/>
      <c r="E43" s="3283">
        <f t="shared" si="95"/>
        <v>0</v>
      </c>
      <c r="F43" s="3284" t="e">
        <f t="shared" si="96"/>
        <v>#DIV/0!</v>
      </c>
      <c r="G43" s="3468"/>
      <c r="H43" s="3274"/>
      <c r="I43" s="3274"/>
      <c r="J43" s="3283">
        <f t="shared" si="97"/>
        <v>0</v>
      </c>
      <c r="K43" s="3284" t="e">
        <f t="shared" si="98"/>
        <v>#DIV/0!</v>
      </c>
      <c r="L43" s="3468"/>
      <c r="M43" s="3274"/>
      <c r="N43" s="3274"/>
      <c r="O43" s="3283">
        <f t="shared" si="99"/>
        <v>0</v>
      </c>
      <c r="P43" s="3284" t="e">
        <f t="shared" si="100"/>
        <v>#DIV/0!</v>
      </c>
      <c r="Q43" s="3468"/>
      <c r="R43" s="3275">
        <f t="shared" si="101"/>
        <v>0</v>
      </c>
      <c r="S43" s="3275">
        <f t="shared" si="101"/>
        <v>0</v>
      </c>
      <c r="T43" s="2028">
        <f t="shared" si="102"/>
        <v>0</v>
      </c>
      <c r="U43" s="3469"/>
      <c r="V43" s="3469"/>
      <c r="W43" s="3275">
        <f t="shared" si="103"/>
        <v>0</v>
      </c>
      <c r="X43" s="3275">
        <f t="shared" si="103"/>
        <v>0</v>
      </c>
      <c r="Y43" s="2028">
        <f t="shared" si="104"/>
        <v>0</v>
      </c>
      <c r="Z43" s="3469"/>
      <c r="AA43" s="3469"/>
      <c r="AB43" s="3274"/>
      <c r="AC43" s="3274"/>
      <c r="AD43" s="3283">
        <f t="shared" si="105"/>
        <v>0</v>
      </c>
      <c r="AE43" s="3284" t="e">
        <f t="shared" si="106"/>
        <v>#DIV/0!</v>
      </c>
      <c r="AF43" s="3468"/>
      <c r="AG43" s="3274"/>
      <c r="AH43" s="3274"/>
      <c r="AI43" s="3283">
        <f t="shared" si="107"/>
        <v>0</v>
      </c>
      <c r="AJ43" s="3284" t="e">
        <f t="shared" si="108"/>
        <v>#DIV/0!</v>
      </c>
      <c r="AK43" s="3468"/>
      <c r="AL43" s="3274"/>
      <c r="AM43" s="3274"/>
      <c r="AN43" s="3283">
        <f t="shared" si="109"/>
        <v>0</v>
      </c>
      <c r="AO43" s="3284" t="e">
        <f t="shared" si="110"/>
        <v>#DIV/0!</v>
      </c>
      <c r="AP43" s="3468"/>
      <c r="AQ43" s="3274"/>
      <c r="AR43" s="3274"/>
      <c r="AS43" s="3283">
        <f t="shared" si="111"/>
        <v>0</v>
      </c>
      <c r="AT43" s="3284" t="e">
        <f t="shared" si="112"/>
        <v>#DIV/0!</v>
      </c>
      <c r="AU43" s="3468"/>
      <c r="AV43" s="3274"/>
      <c r="AW43" s="3274"/>
      <c r="AX43" s="3283">
        <f t="shared" si="113"/>
        <v>0</v>
      </c>
      <c r="AY43" s="3284" t="e">
        <f t="shared" si="114"/>
        <v>#DIV/0!</v>
      </c>
      <c r="AZ43" s="3468"/>
      <c r="BA43" s="3274"/>
      <c r="BB43" s="3274"/>
      <c r="BC43" s="3283">
        <f t="shared" si="115"/>
        <v>0</v>
      </c>
      <c r="BD43" s="3284" t="e">
        <f t="shared" si="116"/>
        <v>#DIV/0!</v>
      </c>
      <c r="BE43" s="3468"/>
      <c r="BF43" s="3274"/>
      <c r="BG43" s="3274"/>
      <c r="BH43" s="3283">
        <f t="shared" si="117"/>
        <v>0</v>
      </c>
      <c r="BI43" s="3284" t="e">
        <f t="shared" si="118"/>
        <v>#DIV/0!</v>
      </c>
      <c r="BJ43" s="3468"/>
      <c r="BK43" s="3274"/>
      <c r="BL43" s="3274"/>
      <c r="BM43" s="3283">
        <f t="shared" si="119"/>
        <v>0</v>
      </c>
      <c r="BN43" s="3284" t="e">
        <f t="shared" si="120"/>
        <v>#DIV/0!</v>
      </c>
      <c r="BO43" s="3468"/>
      <c r="BP43" s="3274"/>
      <c r="BQ43" s="3274"/>
      <c r="BR43" s="3283">
        <f t="shared" si="121"/>
        <v>0</v>
      </c>
      <c r="BS43" s="3284" t="e">
        <f t="shared" si="122"/>
        <v>#DIV/0!</v>
      </c>
      <c r="BT43" s="3468"/>
      <c r="BU43" s="3274"/>
      <c r="BV43" s="3274"/>
      <c r="BW43" s="3283">
        <f t="shared" si="123"/>
        <v>0</v>
      </c>
      <c r="BX43" s="3284" t="e">
        <f t="shared" si="124"/>
        <v>#DIV/0!</v>
      </c>
      <c r="BY43" s="3468"/>
      <c r="BZ43" s="3274"/>
      <c r="CA43" s="3274"/>
      <c r="CB43" s="3283">
        <f t="shared" si="125"/>
        <v>0</v>
      </c>
      <c r="CC43" s="3284" t="e">
        <f t="shared" si="126"/>
        <v>#DIV/0!</v>
      </c>
      <c r="CD43" s="3468"/>
      <c r="CE43" s="3274"/>
      <c r="CF43" s="3274"/>
      <c r="CG43" s="3283">
        <f t="shared" si="127"/>
        <v>0</v>
      </c>
      <c r="CH43" s="3284" t="e">
        <f t="shared" si="128"/>
        <v>#DIV/0!</v>
      </c>
      <c r="CI43" s="3468"/>
      <c r="CJ43" s="3274">
        <f t="shared" si="129"/>
        <v>0</v>
      </c>
      <c r="CK43" s="3274">
        <f t="shared" si="129"/>
        <v>0</v>
      </c>
      <c r="CL43" s="2028">
        <f t="shared" si="130"/>
        <v>0</v>
      </c>
      <c r="CM43" s="3284" t="e">
        <f t="shared" si="94"/>
        <v>#DIV/0!</v>
      </c>
      <c r="CN43" s="3295"/>
      <c r="CP43" s="2028">
        <f t="shared" si="131"/>
        <v>0</v>
      </c>
      <c r="CQ43" s="2028">
        <f t="shared" si="131"/>
        <v>0</v>
      </c>
      <c r="CR43" s="3448"/>
    </row>
    <row r="44" spans="1:98" ht="13.8" outlineLevel="2" x14ac:dyDescent="0.25">
      <c r="A44" s="4015"/>
      <c r="B44" s="3310" t="s">
        <v>28</v>
      </c>
      <c r="C44" s="3274"/>
      <c r="D44" s="3274"/>
      <c r="E44" s="3283">
        <f t="shared" si="95"/>
        <v>0</v>
      </c>
      <c r="F44" s="3284" t="e">
        <f t="shared" si="96"/>
        <v>#DIV/0!</v>
      </c>
      <c r="G44" s="3468"/>
      <c r="H44" s="3274"/>
      <c r="I44" s="3274"/>
      <c r="J44" s="3283">
        <f t="shared" si="97"/>
        <v>0</v>
      </c>
      <c r="K44" s="3284" t="e">
        <f t="shared" si="98"/>
        <v>#DIV/0!</v>
      </c>
      <c r="L44" s="3468"/>
      <c r="M44" s="3274"/>
      <c r="N44" s="3274"/>
      <c r="O44" s="3283">
        <f t="shared" si="99"/>
        <v>0</v>
      </c>
      <c r="P44" s="3284" t="e">
        <f t="shared" si="100"/>
        <v>#DIV/0!</v>
      </c>
      <c r="Q44" s="3468"/>
      <c r="R44" s="3275">
        <f t="shared" si="101"/>
        <v>0</v>
      </c>
      <c r="S44" s="3275">
        <f t="shared" si="101"/>
        <v>0</v>
      </c>
      <c r="T44" s="2028">
        <f t="shared" si="102"/>
        <v>0</v>
      </c>
      <c r="U44" s="3469"/>
      <c r="V44" s="3469"/>
      <c r="W44" s="3275">
        <f t="shared" si="103"/>
        <v>0</v>
      </c>
      <c r="X44" s="3275">
        <f t="shared" si="103"/>
        <v>0</v>
      </c>
      <c r="Y44" s="2028">
        <f t="shared" si="104"/>
        <v>0</v>
      </c>
      <c r="Z44" s="3469"/>
      <c r="AA44" s="3469"/>
      <c r="AB44" s="3274"/>
      <c r="AC44" s="3274"/>
      <c r="AD44" s="3283">
        <f t="shared" si="105"/>
        <v>0</v>
      </c>
      <c r="AE44" s="3284" t="e">
        <f t="shared" si="106"/>
        <v>#DIV/0!</v>
      </c>
      <c r="AF44" s="3468"/>
      <c r="AG44" s="3274"/>
      <c r="AH44" s="3274"/>
      <c r="AI44" s="3283">
        <f t="shared" si="107"/>
        <v>0</v>
      </c>
      <c r="AJ44" s="3284" t="e">
        <f t="shared" si="108"/>
        <v>#DIV/0!</v>
      </c>
      <c r="AK44" s="3468"/>
      <c r="AL44" s="3274"/>
      <c r="AM44" s="3274"/>
      <c r="AN44" s="3283">
        <f t="shared" si="109"/>
        <v>0</v>
      </c>
      <c r="AO44" s="3284" t="e">
        <f t="shared" si="110"/>
        <v>#DIV/0!</v>
      </c>
      <c r="AP44" s="3468"/>
      <c r="AQ44" s="3274"/>
      <c r="AR44" s="3274"/>
      <c r="AS44" s="3283">
        <f t="shared" si="111"/>
        <v>0</v>
      </c>
      <c r="AT44" s="3284" t="e">
        <f t="shared" si="112"/>
        <v>#DIV/0!</v>
      </c>
      <c r="AU44" s="3468"/>
      <c r="AV44" s="3274"/>
      <c r="AW44" s="3274"/>
      <c r="AX44" s="3283">
        <f t="shared" si="113"/>
        <v>0</v>
      </c>
      <c r="AY44" s="3284" t="e">
        <f t="shared" si="114"/>
        <v>#DIV/0!</v>
      </c>
      <c r="AZ44" s="3468"/>
      <c r="BA44" s="3274"/>
      <c r="BB44" s="3274"/>
      <c r="BC44" s="3283">
        <f t="shared" si="115"/>
        <v>0</v>
      </c>
      <c r="BD44" s="3284" t="e">
        <f t="shared" si="116"/>
        <v>#DIV/0!</v>
      </c>
      <c r="BE44" s="3468"/>
      <c r="BF44" s="3274"/>
      <c r="BG44" s="3274"/>
      <c r="BH44" s="3283">
        <f t="shared" si="117"/>
        <v>0</v>
      </c>
      <c r="BI44" s="3284" t="e">
        <f t="shared" si="118"/>
        <v>#DIV/0!</v>
      </c>
      <c r="BJ44" s="3468"/>
      <c r="BK44" s="3274"/>
      <c r="BL44" s="3274"/>
      <c r="BM44" s="3283">
        <f t="shared" si="119"/>
        <v>0</v>
      </c>
      <c r="BN44" s="3284" t="e">
        <f t="shared" si="120"/>
        <v>#DIV/0!</v>
      </c>
      <c r="BO44" s="3468"/>
      <c r="BP44" s="3274"/>
      <c r="BQ44" s="3274"/>
      <c r="BR44" s="3283">
        <f t="shared" si="121"/>
        <v>0</v>
      </c>
      <c r="BS44" s="3284" t="e">
        <f t="shared" si="122"/>
        <v>#DIV/0!</v>
      </c>
      <c r="BT44" s="3468"/>
      <c r="BU44" s="3274"/>
      <c r="BV44" s="3274"/>
      <c r="BW44" s="3283">
        <f t="shared" si="123"/>
        <v>0</v>
      </c>
      <c r="BX44" s="3284" t="e">
        <f t="shared" si="124"/>
        <v>#DIV/0!</v>
      </c>
      <c r="BY44" s="3468"/>
      <c r="BZ44" s="3274"/>
      <c r="CA44" s="3274"/>
      <c r="CB44" s="3283">
        <f t="shared" si="125"/>
        <v>0</v>
      </c>
      <c r="CC44" s="3284" t="e">
        <f t="shared" si="126"/>
        <v>#DIV/0!</v>
      </c>
      <c r="CD44" s="3468"/>
      <c r="CE44" s="3274"/>
      <c r="CF44" s="3274"/>
      <c r="CG44" s="3283">
        <f t="shared" si="127"/>
        <v>0</v>
      </c>
      <c r="CH44" s="3284" t="e">
        <f t="shared" si="128"/>
        <v>#DIV/0!</v>
      </c>
      <c r="CI44" s="3468"/>
      <c r="CJ44" s="3274">
        <f t="shared" si="129"/>
        <v>0</v>
      </c>
      <c r="CK44" s="3274">
        <f t="shared" si="129"/>
        <v>0</v>
      </c>
      <c r="CL44" s="2028">
        <f t="shared" si="130"/>
        <v>0</v>
      </c>
      <c r="CM44" s="3284" t="e">
        <f t="shared" si="94"/>
        <v>#DIV/0!</v>
      </c>
      <c r="CN44" s="3295"/>
      <c r="CP44" s="2028">
        <f t="shared" si="131"/>
        <v>0</v>
      </c>
      <c r="CQ44" s="2028">
        <f t="shared" si="131"/>
        <v>0</v>
      </c>
      <c r="CR44" s="3448"/>
    </row>
    <row r="45" spans="1:98" ht="13.8" outlineLevel="2" x14ac:dyDescent="0.25">
      <c r="A45" s="4015"/>
      <c r="B45" s="3319" t="s">
        <v>8</v>
      </c>
      <c r="C45" s="3274"/>
      <c r="D45" s="3274"/>
      <c r="E45" s="3283">
        <f t="shared" si="95"/>
        <v>0</v>
      </c>
      <c r="F45" s="3284" t="e">
        <f t="shared" si="96"/>
        <v>#DIV/0!</v>
      </c>
      <c r="G45" s="3468"/>
      <c r="H45" s="3274"/>
      <c r="I45" s="3274"/>
      <c r="J45" s="3283">
        <f t="shared" si="97"/>
        <v>0</v>
      </c>
      <c r="K45" s="3284" t="e">
        <f t="shared" si="98"/>
        <v>#DIV/0!</v>
      </c>
      <c r="L45" s="3468"/>
      <c r="M45" s="3274"/>
      <c r="N45" s="3274"/>
      <c r="O45" s="3283">
        <f t="shared" si="99"/>
        <v>0</v>
      </c>
      <c r="P45" s="3284" t="e">
        <f t="shared" si="100"/>
        <v>#DIV/0!</v>
      </c>
      <c r="Q45" s="3468"/>
      <c r="R45" s="3275">
        <f t="shared" si="101"/>
        <v>0</v>
      </c>
      <c r="S45" s="3275">
        <f t="shared" si="101"/>
        <v>0</v>
      </c>
      <c r="T45" s="2028">
        <f t="shared" si="102"/>
        <v>0</v>
      </c>
      <c r="U45" s="3469"/>
      <c r="V45" s="3469"/>
      <c r="W45" s="3275">
        <f t="shared" si="103"/>
        <v>0</v>
      </c>
      <c r="X45" s="3275">
        <f t="shared" si="103"/>
        <v>0</v>
      </c>
      <c r="Y45" s="2028">
        <f t="shared" si="104"/>
        <v>0</v>
      </c>
      <c r="Z45" s="3469"/>
      <c r="AA45" s="3469"/>
      <c r="AB45" s="3274"/>
      <c r="AC45" s="3274"/>
      <c r="AD45" s="3283">
        <f t="shared" si="105"/>
        <v>0</v>
      </c>
      <c r="AE45" s="3284" t="e">
        <f t="shared" si="106"/>
        <v>#DIV/0!</v>
      </c>
      <c r="AF45" s="3468"/>
      <c r="AG45" s="3274"/>
      <c r="AH45" s="3274"/>
      <c r="AI45" s="3283">
        <f t="shared" si="107"/>
        <v>0</v>
      </c>
      <c r="AJ45" s="3284" t="e">
        <f t="shared" si="108"/>
        <v>#DIV/0!</v>
      </c>
      <c r="AK45" s="3468"/>
      <c r="AL45" s="3274"/>
      <c r="AM45" s="3274"/>
      <c r="AN45" s="3283">
        <f t="shared" si="109"/>
        <v>0</v>
      </c>
      <c r="AO45" s="3284" t="e">
        <f t="shared" si="110"/>
        <v>#DIV/0!</v>
      </c>
      <c r="AP45" s="3468"/>
      <c r="AQ45" s="3274"/>
      <c r="AR45" s="3274"/>
      <c r="AS45" s="3283">
        <f t="shared" si="111"/>
        <v>0</v>
      </c>
      <c r="AT45" s="3284" t="e">
        <f t="shared" si="112"/>
        <v>#DIV/0!</v>
      </c>
      <c r="AU45" s="3468"/>
      <c r="AV45" s="3274"/>
      <c r="AW45" s="3274"/>
      <c r="AX45" s="3283">
        <f t="shared" si="113"/>
        <v>0</v>
      </c>
      <c r="AY45" s="3284" t="e">
        <f t="shared" si="114"/>
        <v>#DIV/0!</v>
      </c>
      <c r="AZ45" s="3468"/>
      <c r="BA45" s="3274"/>
      <c r="BB45" s="3274"/>
      <c r="BC45" s="3283">
        <f t="shared" si="115"/>
        <v>0</v>
      </c>
      <c r="BD45" s="3284" t="e">
        <f t="shared" si="116"/>
        <v>#DIV/0!</v>
      </c>
      <c r="BE45" s="3468"/>
      <c r="BF45" s="3274"/>
      <c r="BG45" s="3274"/>
      <c r="BH45" s="3283">
        <f t="shared" si="117"/>
        <v>0</v>
      </c>
      <c r="BI45" s="3284" t="e">
        <f t="shared" si="118"/>
        <v>#DIV/0!</v>
      </c>
      <c r="BJ45" s="3468"/>
      <c r="BK45" s="3274"/>
      <c r="BL45" s="3274"/>
      <c r="BM45" s="3283">
        <f t="shared" si="119"/>
        <v>0</v>
      </c>
      <c r="BN45" s="3284" t="e">
        <f t="shared" si="120"/>
        <v>#DIV/0!</v>
      </c>
      <c r="BO45" s="3468"/>
      <c r="BP45" s="3274"/>
      <c r="BQ45" s="3274"/>
      <c r="BR45" s="3283">
        <f t="shared" si="121"/>
        <v>0</v>
      </c>
      <c r="BS45" s="3284" t="e">
        <f t="shared" si="122"/>
        <v>#DIV/0!</v>
      </c>
      <c r="BT45" s="3468"/>
      <c r="BU45" s="3274"/>
      <c r="BV45" s="3274"/>
      <c r="BW45" s="3283">
        <f t="shared" si="123"/>
        <v>0</v>
      </c>
      <c r="BX45" s="3284" t="e">
        <f t="shared" si="124"/>
        <v>#DIV/0!</v>
      </c>
      <c r="BY45" s="3468"/>
      <c r="BZ45" s="3274"/>
      <c r="CA45" s="3274"/>
      <c r="CB45" s="3283">
        <f t="shared" si="125"/>
        <v>0</v>
      </c>
      <c r="CC45" s="3284" t="e">
        <f t="shared" si="126"/>
        <v>#DIV/0!</v>
      </c>
      <c r="CD45" s="3468"/>
      <c r="CE45" s="3274"/>
      <c r="CF45" s="3274"/>
      <c r="CG45" s="3283">
        <f t="shared" si="127"/>
        <v>0</v>
      </c>
      <c r="CH45" s="3284" t="e">
        <f t="shared" si="128"/>
        <v>#DIV/0!</v>
      </c>
      <c r="CI45" s="3468"/>
      <c r="CJ45" s="3274">
        <f t="shared" si="129"/>
        <v>0</v>
      </c>
      <c r="CK45" s="3274">
        <f t="shared" si="129"/>
        <v>0</v>
      </c>
      <c r="CL45" s="2028">
        <f t="shared" si="130"/>
        <v>0</v>
      </c>
      <c r="CM45" s="3284" t="e">
        <f t="shared" si="94"/>
        <v>#DIV/0!</v>
      </c>
      <c r="CN45" s="3295"/>
      <c r="CP45" s="2028">
        <f t="shared" si="131"/>
        <v>0</v>
      </c>
      <c r="CQ45" s="2028">
        <f t="shared" si="131"/>
        <v>0</v>
      </c>
      <c r="CR45" s="3448"/>
    </row>
    <row r="46" spans="1:98" ht="13.8" outlineLevel="2" x14ac:dyDescent="0.25">
      <c r="A46" s="4015"/>
      <c r="B46" s="3319" t="s">
        <v>29</v>
      </c>
      <c r="C46" s="3274"/>
      <c r="D46" s="3274"/>
      <c r="E46" s="3283">
        <f t="shared" si="95"/>
        <v>0</v>
      </c>
      <c r="F46" s="3284" t="e">
        <f t="shared" si="96"/>
        <v>#DIV/0!</v>
      </c>
      <c r="G46" s="3468"/>
      <c r="H46" s="3274"/>
      <c r="I46" s="3274"/>
      <c r="J46" s="3283">
        <f t="shared" si="97"/>
        <v>0</v>
      </c>
      <c r="K46" s="3284" t="e">
        <f t="shared" si="98"/>
        <v>#DIV/0!</v>
      </c>
      <c r="L46" s="3468"/>
      <c r="M46" s="3274"/>
      <c r="N46" s="3274"/>
      <c r="O46" s="3283">
        <f t="shared" si="99"/>
        <v>0</v>
      </c>
      <c r="P46" s="3284" t="e">
        <f t="shared" si="100"/>
        <v>#DIV/0!</v>
      </c>
      <c r="Q46" s="3468"/>
      <c r="R46" s="3275">
        <f t="shared" si="101"/>
        <v>0</v>
      </c>
      <c r="S46" s="3275">
        <f t="shared" si="101"/>
        <v>0</v>
      </c>
      <c r="T46" s="2028">
        <f t="shared" si="102"/>
        <v>0</v>
      </c>
      <c r="U46" s="3469"/>
      <c r="V46" s="3469"/>
      <c r="W46" s="3275">
        <f t="shared" si="103"/>
        <v>0</v>
      </c>
      <c r="X46" s="3275">
        <f t="shared" si="103"/>
        <v>0</v>
      </c>
      <c r="Y46" s="2028">
        <f t="shared" si="104"/>
        <v>0</v>
      </c>
      <c r="Z46" s="3469"/>
      <c r="AA46" s="3469"/>
      <c r="AB46" s="3274"/>
      <c r="AC46" s="3274"/>
      <c r="AD46" s="3283">
        <f t="shared" si="105"/>
        <v>0</v>
      </c>
      <c r="AE46" s="3284" t="e">
        <f t="shared" si="106"/>
        <v>#DIV/0!</v>
      </c>
      <c r="AF46" s="3468"/>
      <c r="AG46" s="3274"/>
      <c r="AH46" s="3274"/>
      <c r="AI46" s="3283">
        <f t="shared" si="107"/>
        <v>0</v>
      </c>
      <c r="AJ46" s="3284" t="e">
        <f t="shared" si="108"/>
        <v>#DIV/0!</v>
      </c>
      <c r="AK46" s="3468"/>
      <c r="AL46" s="3274"/>
      <c r="AM46" s="3274"/>
      <c r="AN46" s="3283">
        <f t="shared" si="109"/>
        <v>0</v>
      </c>
      <c r="AO46" s="3284" t="e">
        <f t="shared" si="110"/>
        <v>#DIV/0!</v>
      </c>
      <c r="AP46" s="3468"/>
      <c r="AQ46" s="3274"/>
      <c r="AR46" s="3274"/>
      <c r="AS46" s="3283">
        <f t="shared" si="111"/>
        <v>0</v>
      </c>
      <c r="AT46" s="3284" t="e">
        <f t="shared" si="112"/>
        <v>#DIV/0!</v>
      </c>
      <c r="AU46" s="3468"/>
      <c r="AV46" s="3274"/>
      <c r="AW46" s="3274"/>
      <c r="AX46" s="3283">
        <f t="shared" si="113"/>
        <v>0</v>
      </c>
      <c r="AY46" s="3284" t="e">
        <f t="shared" si="114"/>
        <v>#DIV/0!</v>
      </c>
      <c r="AZ46" s="3468"/>
      <c r="BA46" s="3274"/>
      <c r="BB46" s="3274"/>
      <c r="BC46" s="3283">
        <f t="shared" si="115"/>
        <v>0</v>
      </c>
      <c r="BD46" s="3284" t="e">
        <f t="shared" si="116"/>
        <v>#DIV/0!</v>
      </c>
      <c r="BE46" s="3468"/>
      <c r="BF46" s="3274"/>
      <c r="BG46" s="3274"/>
      <c r="BH46" s="3283">
        <f t="shared" si="117"/>
        <v>0</v>
      </c>
      <c r="BI46" s="3284" t="e">
        <f t="shared" si="118"/>
        <v>#DIV/0!</v>
      </c>
      <c r="BJ46" s="3468"/>
      <c r="BK46" s="3274"/>
      <c r="BL46" s="3274"/>
      <c r="BM46" s="3283">
        <f t="shared" si="119"/>
        <v>0</v>
      </c>
      <c r="BN46" s="3284" t="e">
        <f t="shared" si="120"/>
        <v>#DIV/0!</v>
      </c>
      <c r="BO46" s="3468"/>
      <c r="BP46" s="3274"/>
      <c r="BQ46" s="3274"/>
      <c r="BR46" s="3283">
        <f t="shared" si="121"/>
        <v>0</v>
      </c>
      <c r="BS46" s="3284" t="e">
        <f t="shared" si="122"/>
        <v>#DIV/0!</v>
      </c>
      <c r="BT46" s="3468"/>
      <c r="BU46" s="3274"/>
      <c r="BV46" s="3274"/>
      <c r="BW46" s="3283">
        <f t="shared" si="123"/>
        <v>0</v>
      </c>
      <c r="BX46" s="3284" t="e">
        <f t="shared" si="124"/>
        <v>#DIV/0!</v>
      </c>
      <c r="BY46" s="3468"/>
      <c r="BZ46" s="3274"/>
      <c r="CA46" s="3274"/>
      <c r="CB46" s="3283">
        <f t="shared" si="125"/>
        <v>0</v>
      </c>
      <c r="CC46" s="3284" t="e">
        <f t="shared" si="126"/>
        <v>#DIV/0!</v>
      </c>
      <c r="CD46" s="3468"/>
      <c r="CE46" s="3274"/>
      <c r="CF46" s="3274"/>
      <c r="CG46" s="3283">
        <f t="shared" si="127"/>
        <v>0</v>
      </c>
      <c r="CH46" s="3284" t="e">
        <f t="shared" si="128"/>
        <v>#DIV/0!</v>
      </c>
      <c r="CI46" s="3468"/>
      <c r="CJ46" s="3274">
        <f t="shared" si="129"/>
        <v>0</v>
      </c>
      <c r="CK46" s="3274">
        <f t="shared" si="129"/>
        <v>0</v>
      </c>
      <c r="CL46" s="2028">
        <f t="shared" si="130"/>
        <v>0</v>
      </c>
      <c r="CM46" s="3284" t="e">
        <f t="shared" si="94"/>
        <v>#DIV/0!</v>
      </c>
      <c r="CN46" s="3295"/>
      <c r="CP46" s="2028">
        <f t="shared" si="131"/>
        <v>0</v>
      </c>
      <c r="CQ46" s="2028">
        <f t="shared" si="131"/>
        <v>0</v>
      </c>
      <c r="CR46" s="3448"/>
    </row>
    <row r="47" spans="1:98" ht="13.8" outlineLevel="2" x14ac:dyDescent="0.25">
      <c r="A47" s="4015"/>
      <c r="B47" s="3319" t="s">
        <v>30</v>
      </c>
      <c r="C47" s="3274"/>
      <c r="D47" s="3274"/>
      <c r="E47" s="3283">
        <f t="shared" si="95"/>
        <v>0</v>
      </c>
      <c r="F47" s="3284" t="e">
        <f t="shared" si="96"/>
        <v>#DIV/0!</v>
      </c>
      <c r="G47" s="3468"/>
      <c r="H47" s="3274"/>
      <c r="I47" s="3274"/>
      <c r="J47" s="3283">
        <f t="shared" si="97"/>
        <v>0</v>
      </c>
      <c r="K47" s="3284" t="e">
        <f t="shared" si="98"/>
        <v>#DIV/0!</v>
      </c>
      <c r="L47" s="3468"/>
      <c r="M47" s="3274"/>
      <c r="N47" s="3274"/>
      <c r="O47" s="3283">
        <f t="shared" si="99"/>
        <v>0</v>
      </c>
      <c r="P47" s="3284" t="e">
        <f t="shared" si="100"/>
        <v>#DIV/0!</v>
      </c>
      <c r="Q47" s="3468"/>
      <c r="R47" s="3275">
        <f t="shared" si="101"/>
        <v>0</v>
      </c>
      <c r="S47" s="3275">
        <f t="shared" si="101"/>
        <v>0</v>
      </c>
      <c r="T47" s="2028">
        <f t="shared" si="102"/>
        <v>0</v>
      </c>
      <c r="U47" s="3469"/>
      <c r="V47" s="3469"/>
      <c r="W47" s="3275">
        <f t="shared" si="103"/>
        <v>0</v>
      </c>
      <c r="X47" s="3275">
        <f t="shared" si="103"/>
        <v>0</v>
      </c>
      <c r="Y47" s="2028">
        <f t="shared" si="104"/>
        <v>0</v>
      </c>
      <c r="Z47" s="3469"/>
      <c r="AA47" s="3469"/>
      <c r="AB47" s="3274"/>
      <c r="AC47" s="3274"/>
      <c r="AD47" s="3283">
        <f t="shared" si="105"/>
        <v>0</v>
      </c>
      <c r="AE47" s="3284" t="e">
        <f t="shared" si="106"/>
        <v>#DIV/0!</v>
      </c>
      <c r="AF47" s="3468"/>
      <c r="AG47" s="3274"/>
      <c r="AH47" s="3274"/>
      <c r="AI47" s="3283">
        <f t="shared" si="107"/>
        <v>0</v>
      </c>
      <c r="AJ47" s="3284" t="e">
        <f t="shared" si="108"/>
        <v>#DIV/0!</v>
      </c>
      <c r="AK47" s="3468"/>
      <c r="AL47" s="3274"/>
      <c r="AM47" s="3274"/>
      <c r="AN47" s="3283">
        <f t="shared" si="109"/>
        <v>0</v>
      </c>
      <c r="AO47" s="3284" t="e">
        <f t="shared" si="110"/>
        <v>#DIV/0!</v>
      </c>
      <c r="AP47" s="3468"/>
      <c r="AQ47" s="3274"/>
      <c r="AR47" s="3274"/>
      <c r="AS47" s="3283">
        <f t="shared" si="111"/>
        <v>0</v>
      </c>
      <c r="AT47" s="3284" t="e">
        <f t="shared" si="112"/>
        <v>#DIV/0!</v>
      </c>
      <c r="AU47" s="3468"/>
      <c r="AV47" s="3274"/>
      <c r="AW47" s="3274"/>
      <c r="AX47" s="3283">
        <f t="shared" si="113"/>
        <v>0</v>
      </c>
      <c r="AY47" s="3284" t="e">
        <f t="shared" si="114"/>
        <v>#DIV/0!</v>
      </c>
      <c r="AZ47" s="3468"/>
      <c r="BA47" s="3274"/>
      <c r="BB47" s="3274"/>
      <c r="BC47" s="3283">
        <f t="shared" si="115"/>
        <v>0</v>
      </c>
      <c r="BD47" s="3284" t="e">
        <f t="shared" si="116"/>
        <v>#DIV/0!</v>
      </c>
      <c r="BE47" s="3468"/>
      <c r="BF47" s="3274"/>
      <c r="BG47" s="3274"/>
      <c r="BH47" s="3283">
        <f t="shared" si="117"/>
        <v>0</v>
      </c>
      <c r="BI47" s="3284" t="e">
        <f t="shared" si="118"/>
        <v>#DIV/0!</v>
      </c>
      <c r="BJ47" s="3468"/>
      <c r="BK47" s="3274"/>
      <c r="BL47" s="3274"/>
      <c r="BM47" s="3283">
        <f t="shared" si="119"/>
        <v>0</v>
      </c>
      <c r="BN47" s="3284" t="e">
        <f t="shared" si="120"/>
        <v>#DIV/0!</v>
      </c>
      <c r="BO47" s="3468"/>
      <c r="BP47" s="3274"/>
      <c r="BQ47" s="3274"/>
      <c r="BR47" s="3283">
        <f t="shared" si="121"/>
        <v>0</v>
      </c>
      <c r="BS47" s="3284" t="e">
        <f t="shared" si="122"/>
        <v>#DIV/0!</v>
      </c>
      <c r="BT47" s="3468"/>
      <c r="BU47" s="3274"/>
      <c r="BV47" s="3274"/>
      <c r="BW47" s="3283">
        <f t="shared" si="123"/>
        <v>0</v>
      </c>
      <c r="BX47" s="3284" t="e">
        <f t="shared" si="124"/>
        <v>#DIV/0!</v>
      </c>
      <c r="BY47" s="3468"/>
      <c r="BZ47" s="3274"/>
      <c r="CA47" s="3274"/>
      <c r="CB47" s="3283">
        <f t="shared" si="125"/>
        <v>0</v>
      </c>
      <c r="CC47" s="3284" t="e">
        <f t="shared" si="126"/>
        <v>#DIV/0!</v>
      </c>
      <c r="CD47" s="3468"/>
      <c r="CE47" s="3274"/>
      <c r="CF47" s="3274"/>
      <c r="CG47" s="3283">
        <f t="shared" si="127"/>
        <v>0</v>
      </c>
      <c r="CH47" s="3284" t="e">
        <f t="shared" si="128"/>
        <v>#DIV/0!</v>
      </c>
      <c r="CI47" s="3468"/>
      <c r="CJ47" s="3274">
        <f t="shared" si="129"/>
        <v>0</v>
      </c>
      <c r="CK47" s="3274">
        <f t="shared" si="129"/>
        <v>0</v>
      </c>
      <c r="CL47" s="2028">
        <f t="shared" si="130"/>
        <v>0</v>
      </c>
      <c r="CM47" s="3284" t="e">
        <f t="shared" si="94"/>
        <v>#DIV/0!</v>
      </c>
      <c r="CN47" s="3295"/>
      <c r="CP47" s="2028">
        <f t="shared" si="131"/>
        <v>0</v>
      </c>
      <c r="CQ47" s="2028">
        <f t="shared" si="131"/>
        <v>0</v>
      </c>
      <c r="CR47" s="3448"/>
    </row>
    <row r="48" spans="1:98" ht="13.8" outlineLevel="2" x14ac:dyDescent="0.25">
      <c r="A48" s="4015"/>
      <c r="B48" s="3319" t="s">
        <v>15</v>
      </c>
      <c r="C48" s="3274"/>
      <c r="D48" s="3274"/>
      <c r="E48" s="3283">
        <f t="shared" si="95"/>
        <v>0</v>
      </c>
      <c r="F48" s="3284" t="e">
        <f t="shared" si="96"/>
        <v>#DIV/0!</v>
      </c>
      <c r="G48" s="3468"/>
      <c r="H48" s="3274"/>
      <c r="I48" s="3274"/>
      <c r="J48" s="3283">
        <f t="shared" si="97"/>
        <v>0</v>
      </c>
      <c r="K48" s="3284" t="e">
        <f t="shared" si="98"/>
        <v>#DIV/0!</v>
      </c>
      <c r="L48" s="3468"/>
      <c r="M48" s="3274"/>
      <c r="N48" s="3274"/>
      <c r="O48" s="3283">
        <f t="shared" si="99"/>
        <v>0</v>
      </c>
      <c r="P48" s="3284" t="e">
        <f t="shared" si="100"/>
        <v>#DIV/0!</v>
      </c>
      <c r="Q48" s="3468"/>
      <c r="R48" s="3275">
        <f t="shared" si="101"/>
        <v>0</v>
      </c>
      <c r="S48" s="3275">
        <f t="shared" si="101"/>
        <v>0</v>
      </c>
      <c r="T48" s="2028">
        <f t="shared" si="102"/>
        <v>0</v>
      </c>
      <c r="U48" s="3817"/>
      <c r="V48" s="3468"/>
      <c r="W48" s="3818">
        <f t="shared" si="103"/>
        <v>0</v>
      </c>
      <c r="X48" s="3818">
        <f t="shared" si="103"/>
        <v>0</v>
      </c>
      <c r="Y48" s="3470">
        <f t="shared" si="104"/>
        <v>0</v>
      </c>
      <c r="Z48" s="3468"/>
      <c r="AA48" s="3468"/>
      <c r="AB48" s="3454"/>
      <c r="AC48" s="3454"/>
      <c r="AD48" s="3819">
        <f t="shared" si="105"/>
        <v>0</v>
      </c>
      <c r="AE48" s="3284" t="e">
        <f t="shared" si="106"/>
        <v>#DIV/0!</v>
      </c>
      <c r="AF48" s="3468"/>
      <c r="AG48" s="3454"/>
      <c r="AH48" s="3274"/>
      <c r="AI48" s="3283">
        <f t="shared" si="107"/>
        <v>0</v>
      </c>
      <c r="AJ48" s="3284" t="e">
        <f t="shared" si="108"/>
        <v>#DIV/0!</v>
      </c>
      <c r="AK48" s="3468"/>
      <c r="AL48" s="3274"/>
      <c r="AM48" s="3274"/>
      <c r="AN48" s="3283">
        <f t="shared" si="109"/>
        <v>0</v>
      </c>
      <c r="AO48" s="3284" t="e">
        <f t="shared" si="110"/>
        <v>#DIV/0!</v>
      </c>
      <c r="AP48" s="3468"/>
      <c r="AQ48" s="3274"/>
      <c r="AR48" s="3274"/>
      <c r="AS48" s="3283">
        <f t="shared" si="111"/>
        <v>0</v>
      </c>
      <c r="AT48" s="3284" t="e">
        <f t="shared" si="112"/>
        <v>#DIV/0!</v>
      </c>
      <c r="AU48" s="3468"/>
      <c r="AV48" s="3274"/>
      <c r="AW48" s="3274"/>
      <c r="AX48" s="3283">
        <f t="shared" si="113"/>
        <v>0</v>
      </c>
      <c r="AY48" s="3284" t="e">
        <f t="shared" si="114"/>
        <v>#DIV/0!</v>
      </c>
      <c r="AZ48" s="3468"/>
      <c r="BA48" s="3274"/>
      <c r="BB48" s="3274"/>
      <c r="BC48" s="3283">
        <f t="shared" si="115"/>
        <v>0</v>
      </c>
      <c r="BD48" s="3284" t="e">
        <f t="shared" si="116"/>
        <v>#DIV/0!</v>
      </c>
      <c r="BE48" s="3468"/>
      <c r="BF48" s="3274"/>
      <c r="BG48" s="3274"/>
      <c r="BH48" s="3283">
        <f t="shared" si="117"/>
        <v>0</v>
      </c>
      <c r="BI48" s="3284" t="e">
        <f t="shared" si="118"/>
        <v>#DIV/0!</v>
      </c>
      <c r="BJ48" s="3468"/>
      <c r="BK48" s="3274"/>
      <c r="BL48" s="3274"/>
      <c r="BM48" s="3283">
        <f t="shared" si="119"/>
        <v>0</v>
      </c>
      <c r="BN48" s="3284" t="e">
        <f t="shared" si="120"/>
        <v>#DIV/0!</v>
      </c>
      <c r="BO48" s="3468"/>
      <c r="BP48" s="3274"/>
      <c r="BQ48" s="3274"/>
      <c r="BR48" s="3283">
        <f t="shared" si="121"/>
        <v>0</v>
      </c>
      <c r="BS48" s="3284" t="e">
        <f t="shared" si="122"/>
        <v>#DIV/0!</v>
      </c>
      <c r="BT48" s="3468"/>
      <c r="BU48" s="3274"/>
      <c r="BV48" s="3274"/>
      <c r="BW48" s="3283">
        <f t="shared" si="123"/>
        <v>0</v>
      </c>
      <c r="BX48" s="3284" t="e">
        <f t="shared" si="124"/>
        <v>#DIV/0!</v>
      </c>
      <c r="BY48" s="3468"/>
      <c r="BZ48" s="3274"/>
      <c r="CA48" s="3274"/>
      <c r="CB48" s="3283">
        <f t="shared" si="125"/>
        <v>0</v>
      </c>
      <c r="CC48" s="3284" t="e">
        <f t="shared" si="126"/>
        <v>#DIV/0!</v>
      </c>
      <c r="CD48" s="3468"/>
      <c r="CE48" s="3274"/>
      <c r="CF48" s="3274"/>
      <c r="CG48" s="3283">
        <f t="shared" si="127"/>
        <v>0</v>
      </c>
      <c r="CH48" s="3284" t="e">
        <f t="shared" si="128"/>
        <v>#DIV/0!</v>
      </c>
      <c r="CI48" s="3468"/>
      <c r="CJ48" s="3274">
        <f t="shared" si="129"/>
        <v>0</v>
      </c>
      <c r="CK48" s="3274">
        <f t="shared" si="129"/>
        <v>0</v>
      </c>
      <c r="CL48" s="2028">
        <f t="shared" si="130"/>
        <v>0</v>
      </c>
      <c r="CM48" s="3284" t="e">
        <f t="shared" si="94"/>
        <v>#DIV/0!</v>
      </c>
      <c r="CN48" s="3295"/>
      <c r="CP48" s="2028">
        <f t="shared" si="131"/>
        <v>0</v>
      </c>
      <c r="CQ48" s="2028">
        <f t="shared" si="131"/>
        <v>0</v>
      </c>
      <c r="CR48" s="3448"/>
    </row>
    <row r="49" spans="1:98" s="1411" customFormat="1" ht="14.4" outlineLevel="2" thickBot="1" x14ac:dyDescent="0.3">
      <c r="A49" s="1420"/>
      <c r="B49" s="3320"/>
      <c r="C49" s="3274"/>
      <c r="D49" s="3274"/>
      <c r="E49" s="3313"/>
      <c r="F49" s="3026"/>
      <c r="G49" s="3831"/>
      <c r="H49" s="3274"/>
      <c r="I49" s="3274"/>
      <c r="J49" s="3313"/>
      <c r="K49" s="3026"/>
      <c r="L49" s="3831"/>
      <c r="M49" s="3274"/>
      <c r="N49" s="3274"/>
      <c r="O49" s="3313"/>
      <c r="P49" s="3026"/>
      <c r="Q49" s="3831"/>
      <c r="R49" s="3463"/>
      <c r="S49" s="3463"/>
      <c r="T49" s="3463"/>
      <c r="U49" s="3820"/>
      <c r="V49" s="3821"/>
      <c r="W49" s="3821"/>
      <c r="X49" s="3821"/>
      <c r="Y49" s="3821"/>
      <c r="Z49" s="3821"/>
      <c r="AA49" s="3821"/>
      <c r="AB49" s="3314"/>
      <c r="AC49" s="3314"/>
      <c r="AD49" s="3313"/>
      <c r="AE49" s="3026" t="e">
        <f t="shared" si="106"/>
        <v>#DIV/0!</v>
      </c>
      <c r="AF49" s="3831"/>
      <c r="AG49" s="3314"/>
      <c r="AH49" s="3274"/>
      <c r="AI49" s="3313"/>
      <c r="AJ49" s="3026" t="e">
        <f t="shared" si="108"/>
        <v>#DIV/0!</v>
      </c>
      <c r="AK49" s="3831"/>
      <c r="AL49" s="3274"/>
      <c r="AM49" s="3274"/>
      <c r="AN49" s="3313"/>
      <c r="AO49" s="3026" t="e">
        <f t="shared" si="110"/>
        <v>#DIV/0!</v>
      </c>
      <c r="AP49" s="3831"/>
      <c r="AQ49" s="3274"/>
      <c r="AR49" s="3274"/>
      <c r="AS49" s="3313"/>
      <c r="AT49" s="3026" t="e">
        <f t="shared" si="112"/>
        <v>#DIV/0!</v>
      </c>
      <c r="AU49" s="3831"/>
      <c r="AV49" s="3274"/>
      <c r="AW49" s="3274"/>
      <c r="AX49" s="3313"/>
      <c r="AY49" s="3026" t="e">
        <f t="shared" si="114"/>
        <v>#DIV/0!</v>
      </c>
      <c r="AZ49" s="3831"/>
      <c r="BA49" s="3274"/>
      <c r="BB49" s="3274"/>
      <c r="BC49" s="3313"/>
      <c r="BD49" s="3026" t="e">
        <f t="shared" si="116"/>
        <v>#DIV/0!</v>
      </c>
      <c r="BE49" s="3831"/>
      <c r="BF49" s="3274"/>
      <c r="BG49" s="3274"/>
      <c r="BH49" s="3313"/>
      <c r="BI49" s="3026" t="e">
        <f t="shared" si="118"/>
        <v>#DIV/0!</v>
      </c>
      <c r="BJ49" s="3831"/>
      <c r="BK49" s="3274"/>
      <c r="BL49" s="3274"/>
      <c r="BM49" s="3313"/>
      <c r="BN49" s="3026" t="e">
        <f t="shared" si="120"/>
        <v>#DIV/0!</v>
      </c>
      <c r="BO49" s="3831"/>
      <c r="BP49" s="3274"/>
      <c r="BQ49" s="3274"/>
      <c r="BR49" s="3313"/>
      <c r="BS49" s="3026" t="e">
        <f t="shared" si="122"/>
        <v>#DIV/0!</v>
      </c>
      <c r="BT49" s="3831"/>
      <c r="BU49" s="3274"/>
      <c r="BV49" s="3274"/>
      <c r="BW49" s="3313"/>
      <c r="BX49" s="3026" t="e">
        <f t="shared" si="124"/>
        <v>#DIV/0!</v>
      </c>
      <c r="BY49" s="3831"/>
      <c r="BZ49" s="3274"/>
      <c r="CA49" s="3274"/>
      <c r="CB49" s="3313"/>
      <c r="CC49" s="3026" t="e">
        <f t="shared" si="126"/>
        <v>#DIV/0!</v>
      </c>
      <c r="CD49" s="3831"/>
      <c r="CE49" s="3274"/>
      <c r="CF49" s="3274"/>
      <c r="CG49" s="3313"/>
      <c r="CH49" s="3026" t="e">
        <f t="shared" si="128"/>
        <v>#DIV/0!</v>
      </c>
      <c r="CI49" s="3831"/>
      <c r="CJ49" s="3274"/>
      <c r="CK49" s="3274"/>
      <c r="CL49" s="3313"/>
      <c r="CM49" s="3284" t="e">
        <f t="shared" si="94"/>
        <v>#DIV/0!</v>
      </c>
      <c r="CN49" s="3313"/>
      <c r="CP49" s="3464"/>
      <c r="CQ49" s="3464"/>
      <c r="CR49" s="3448"/>
      <c r="CT49" s="2644"/>
    </row>
    <row r="50" spans="1:98" s="1411" customFormat="1" ht="13.8" outlineLevel="1" x14ac:dyDescent="0.25">
      <c r="A50" s="1580"/>
      <c r="B50" s="1425" t="s">
        <v>59</v>
      </c>
      <c r="C50" s="2031">
        <f>C52+C51</f>
        <v>0</v>
      </c>
      <c r="D50" s="2031">
        <f>D52+D51</f>
        <v>0</v>
      </c>
      <c r="E50" s="2030">
        <f>SUM(E51:E52)</f>
        <v>0</v>
      </c>
      <c r="F50" s="3318" t="e">
        <f>E50/$E$89</f>
        <v>#DIV/0!</v>
      </c>
      <c r="G50" s="1067"/>
      <c r="H50" s="2031">
        <f>H52+H51</f>
        <v>0</v>
      </c>
      <c r="I50" s="2031">
        <f>I52+I51</f>
        <v>0</v>
      </c>
      <c r="J50" s="2030">
        <f>SUM(J51:J52)</f>
        <v>0</v>
      </c>
      <c r="K50" s="3318" t="e">
        <f>J50/$E$89</f>
        <v>#DIV/0!</v>
      </c>
      <c r="L50" s="1067"/>
      <c r="M50" s="2031">
        <f>M52+M51</f>
        <v>0</v>
      </c>
      <c r="N50" s="2031">
        <f>N52+N51</f>
        <v>0</v>
      </c>
      <c r="O50" s="2030">
        <f>SUM(O51:O52)</f>
        <v>0</v>
      </c>
      <c r="P50" s="3318" t="e">
        <f>O50/$E$89</f>
        <v>#DIV/0!</v>
      </c>
      <c r="Q50" s="1067"/>
      <c r="R50" s="2031">
        <f>R52+R51</f>
        <v>0</v>
      </c>
      <c r="S50" s="2031">
        <f>S52+S51</f>
        <v>0</v>
      </c>
      <c r="T50" s="2031">
        <f>SUM(T51:T52)</f>
        <v>0</v>
      </c>
      <c r="U50" s="1550"/>
      <c r="V50" s="3467"/>
      <c r="W50" s="2029">
        <f>W52+W51</f>
        <v>0</v>
      </c>
      <c r="X50" s="2029">
        <f>X52+X51</f>
        <v>0</v>
      </c>
      <c r="Y50" s="2029">
        <f>SUM(Y51:Y52)</f>
        <v>0</v>
      </c>
      <c r="Z50" s="1550"/>
      <c r="AA50" s="3467"/>
      <c r="AB50" s="2029">
        <f>AB52+AB51</f>
        <v>0</v>
      </c>
      <c r="AC50" s="2029">
        <f>AC52+AC51</f>
        <v>0</v>
      </c>
      <c r="AD50" s="2029">
        <f>SUM(AD51:AD52)</f>
        <v>0</v>
      </c>
      <c r="AE50" s="1550"/>
      <c r="AF50" s="3822"/>
      <c r="AG50" s="2029">
        <f>AG52+AG51</f>
        <v>0</v>
      </c>
      <c r="AH50" s="2031">
        <f>AH52+AH51</f>
        <v>0</v>
      </c>
      <c r="AI50" s="2031">
        <f>SUM(AI51:AI52)</f>
        <v>0</v>
      </c>
      <c r="AJ50" s="1550"/>
      <c r="AK50" s="1067"/>
      <c r="AL50" s="2031">
        <f>AL52+AL51</f>
        <v>0</v>
      </c>
      <c r="AM50" s="2031">
        <f>AM52+AM51</f>
        <v>0</v>
      </c>
      <c r="AN50" s="2031">
        <f>SUM(AN51:AN52)</f>
        <v>0</v>
      </c>
      <c r="AO50" s="1550"/>
      <c r="AP50" s="1067"/>
      <c r="AQ50" s="2031">
        <f>AQ52+AQ51</f>
        <v>0</v>
      </c>
      <c r="AR50" s="2031">
        <f>AR52+AR51</f>
        <v>0</v>
      </c>
      <c r="AS50" s="2031">
        <f>SUM(AS51:AS52)</f>
        <v>0</v>
      </c>
      <c r="AT50" s="1550"/>
      <c r="AU50" s="1067"/>
      <c r="AV50" s="2031">
        <f>AV52+AV51</f>
        <v>0</v>
      </c>
      <c r="AW50" s="2031">
        <f>AW52+AW51</f>
        <v>0</v>
      </c>
      <c r="AX50" s="2031">
        <f>SUM(AX51:AX52)</f>
        <v>0</v>
      </c>
      <c r="AY50" s="1550"/>
      <c r="AZ50" s="1067"/>
      <c r="BA50" s="2031">
        <f>BA52+BA51</f>
        <v>0</v>
      </c>
      <c r="BB50" s="2031">
        <f>BB52+BB51</f>
        <v>0</v>
      </c>
      <c r="BC50" s="2031">
        <f>SUM(BC51:BC52)</f>
        <v>0</v>
      </c>
      <c r="BD50" s="1550"/>
      <c r="BE50" s="1067"/>
      <c r="BF50" s="2031">
        <f>BF52+BF51</f>
        <v>0</v>
      </c>
      <c r="BG50" s="2031">
        <f>BG52+BG51</f>
        <v>0</v>
      </c>
      <c r="BH50" s="2031">
        <f>SUM(BH51:BH52)</f>
        <v>0</v>
      </c>
      <c r="BI50" s="1550"/>
      <c r="BJ50" s="1067"/>
      <c r="BK50" s="2031">
        <f>BK52+BK51</f>
        <v>0</v>
      </c>
      <c r="BL50" s="2031">
        <f>BL52+BL51</f>
        <v>0</v>
      </c>
      <c r="BM50" s="2031">
        <f>SUM(BM51:BM52)</f>
        <v>0</v>
      </c>
      <c r="BN50" s="1550"/>
      <c r="BO50" s="1067"/>
      <c r="BP50" s="2031">
        <f>BP52+BP51</f>
        <v>0</v>
      </c>
      <c r="BQ50" s="2031">
        <f>BQ52+BQ51</f>
        <v>0</v>
      </c>
      <c r="BR50" s="2031">
        <f>SUM(BR51:BR52)</f>
        <v>0</v>
      </c>
      <c r="BS50" s="1550"/>
      <c r="BT50" s="1067"/>
      <c r="BU50" s="2031">
        <f>BU52+BU51</f>
        <v>0</v>
      </c>
      <c r="BV50" s="2031">
        <f>BV52+BV51</f>
        <v>0</v>
      </c>
      <c r="BW50" s="2031">
        <f>SUM(BW51:BW52)</f>
        <v>0</v>
      </c>
      <c r="BX50" s="1550"/>
      <c r="BY50" s="1067"/>
      <c r="BZ50" s="2031">
        <f>BZ52+BZ51</f>
        <v>0</v>
      </c>
      <c r="CA50" s="2031">
        <f>CA52+CA51</f>
        <v>0</v>
      </c>
      <c r="CB50" s="2031">
        <f>SUM(CB51:CB52)</f>
        <v>0</v>
      </c>
      <c r="CC50" s="1550"/>
      <c r="CD50" s="1067"/>
      <c r="CE50" s="2031">
        <f>CE52+CE51</f>
        <v>0</v>
      </c>
      <c r="CF50" s="2031">
        <f>CF52+CF51</f>
        <v>0</v>
      </c>
      <c r="CG50" s="2031">
        <f>SUM(CG51:CG52)</f>
        <v>0</v>
      </c>
      <c r="CH50" s="1550"/>
      <c r="CI50" s="1067"/>
      <c r="CJ50" s="2031">
        <f>CJ52+CJ51</f>
        <v>0</v>
      </c>
      <c r="CK50" s="2031">
        <f>CK52+CK51</f>
        <v>0</v>
      </c>
      <c r="CL50" s="2031">
        <f>SUM(CL51:CL52)</f>
        <v>0</v>
      </c>
      <c r="CM50" s="2022"/>
      <c r="CN50" s="2022"/>
      <c r="CP50" s="2031">
        <f>SUM(CP51:CP52)</f>
        <v>0</v>
      </c>
      <c r="CQ50" s="2031">
        <f>SUM(CQ51:CQ52)</f>
        <v>0</v>
      </c>
      <c r="CR50" s="2031"/>
      <c r="CT50" s="2644"/>
    </row>
    <row r="51" spans="1:98" s="1411" customFormat="1" ht="13.8" outlineLevel="1" x14ac:dyDescent="0.25">
      <c r="A51" s="1581"/>
      <c r="B51" s="3319" t="s">
        <v>60</v>
      </c>
      <c r="C51" s="3274"/>
      <c r="D51" s="3274"/>
      <c r="E51" s="3283">
        <f t="shared" ref="E51:E52" si="132">C51+D51</f>
        <v>0</v>
      </c>
      <c r="F51" s="3284" t="e">
        <f t="shared" ref="F51:F71" si="133">E51/$E$89</f>
        <v>#DIV/0!</v>
      </c>
      <c r="G51" s="3461"/>
      <c r="H51" s="3274"/>
      <c r="I51" s="3274"/>
      <c r="J51" s="3283">
        <f>H51+I51</f>
        <v>0</v>
      </c>
      <c r="K51" s="3284" t="e">
        <f t="shared" ref="K51:K52" si="134">J51/J$89</f>
        <v>#DIV/0!</v>
      </c>
      <c r="L51" s="3461"/>
      <c r="M51" s="3274"/>
      <c r="N51" s="3274"/>
      <c r="O51" s="3283">
        <f t="shared" ref="O51:O52" si="135">M51+N51</f>
        <v>0</v>
      </c>
      <c r="P51" s="3284" t="e">
        <f t="shared" ref="P51:P53" si="136">O51/O$89</f>
        <v>#DIV/0!</v>
      </c>
      <c r="Q51" s="3461"/>
      <c r="R51" s="3275">
        <f t="shared" ref="R51:S52" si="137">M51+H51+C51</f>
        <v>0</v>
      </c>
      <c r="S51" s="3275">
        <f t="shared" si="137"/>
        <v>0</v>
      </c>
      <c r="T51" s="2028">
        <f t="shared" ref="T51:T52" si="138">R51+S51</f>
        <v>0</v>
      </c>
      <c r="U51" s="3462"/>
      <c r="V51" s="3462"/>
      <c r="W51" s="3275">
        <f t="shared" ref="W51:X52" si="139">AB51+AG51+AL51+AV51+BA51+BF51+BK51+BP51+BU51+BZ51+CE51+AQ51</f>
        <v>0</v>
      </c>
      <c r="X51" s="3275">
        <f t="shared" si="139"/>
        <v>0</v>
      </c>
      <c r="Y51" s="2028">
        <f t="shared" ref="Y51:Y52" si="140">W51+X51</f>
        <v>0</v>
      </c>
      <c r="Z51" s="3462"/>
      <c r="AA51" s="3462"/>
      <c r="AB51" s="3274"/>
      <c r="AC51" s="3274"/>
      <c r="AD51" s="3283">
        <f t="shared" ref="AD51:AD52" si="141">AB51+AC51</f>
        <v>0</v>
      </c>
      <c r="AE51" s="3284" t="e">
        <f t="shared" ref="AE51:AE53" si="142">AD51/AD$89</f>
        <v>#DIV/0!</v>
      </c>
      <c r="AF51" s="3461"/>
      <c r="AG51" s="3274"/>
      <c r="AH51" s="3274"/>
      <c r="AI51" s="3283">
        <f t="shared" ref="AI51:AI52" si="143">AG51+AH51</f>
        <v>0</v>
      </c>
      <c r="AJ51" s="3284" t="e">
        <f t="shared" ref="AJ51:AJ53" si="144">AI51/AI$89</f>
        <v>#DIV/0!</v>
      </c>
      <c r="AK51" s="3461"/>
      <c r="AL51" s="3274"/>
      <c r="AM51" s="3274"/>
      <c r="AN51" s="3283">
        <f t="shared" ref="AN51:AN52" si="145">AL51+AM51</f>
        <v>0</v>
      </c>
      <c r="AO51" s="3284" t="e">
        <f t="shared" ref="AO51:AO53" si="146">AN51/AN$89</f>
        <v>#DIV/0!</v>
      </c>
      <c r="AP51" s="3461"/>
      <c r="AQ51" s="3274"/>
      <c r="AR51" s="3274"/>
      <c r="AS51" s="3283">
        <f t="shared" ref="AS51:AS52" si="147">AQ51+AR51</f>
        <v>0</v>
      </c>
      <c r="AT51" s="3284" t="e">
        <f t="shared" ref="AT51:AT53" si="148">AS51/AS$89</f>
        <v>#DIV/0!</v>
      </c>
      <c r="AU51" s="3461"/>
      <c r="AV51" s="3274"/>
      <c r="AW51" s="3274"/>
      <c r="AX51" s="3283">
        <f t="shared" ref="AX51:AX52" si="149">AV51+AW51</f>
        <v>0</v>
      </c>
      <c r="AY51" s="3284" t="e">
        <f t="shared" ref="AY51:AY53" si="150">AX51/AX$89</f>
        <v>#DIV/0!</v>
      </c>
      <c r="AZ51" s="3461"/>
      <c r="BA51" s="3274"/>
      <c r="BB51" s="3274"/>
      <c r="BC51" s="3283">
        <f t="shared" ref="BC51:BC52" si="151">BA51+BB51</f>
        <v>0</v>
      </c>
      <c r="BD51" s="3284" t="e">
        <f t="shared" ref="BD51:BD53" si="152">BC51/BC$89</f>
        <v>#DIV/0!</v>
      </c>
      <c r="BE51" s="3461"/>
      <c r="BF51" s="3274"/>
      <c r="BG51" s="3274"/>
      <c r="BH51" s="3283">
        <f t="shared" ref="BH51:BH52" si="153">BF51+BG51</f>
        <v>0</v>
      </c>
      <c r="BI51" s="3284" t="e">
        <f t="shared" ref="BI51:BI53" si="154">BH51/BH$89</f>
        <v>#DIV/0!</v>
      </c>
      <c r="BJ51" s="3461"/>
      <c r="BK51" s="3274"/>
      <c r="BL51" s="3274"/>
      <c r="BM51" s="3283">
        <f t="shared" ref="BM51:BM52" si="155">BK51+BL51</f>
        <v>0</v>
      </c>
      <c r="BN51" s="3284" t="e">
        <f t="shared" ref="BN51:BN53" si="156">BM51/BM$89</f>
        <v>#DIV/0!</v>
      </c>
      <c r="BO51" s="3461"/>
      <c r="BP51" s="3274"/>
      <c r="BQ51" s="3274"/>
      <c r="BR51" s="3283">
        <f t="shared" ref="BR51:BR52" si="157">BP51+BQ51</f>
        <v>0</v>
      </c>
      <c r="BS51" s="3284" t="e">
        <f t="shared" ref="BS51:BS53" si="158">BR51/BR$89</f>
        <v>#DIV/0!</v>
      </c>
      <c r="BT51" s="3461"/>
      <c r="BU51" s="3274"/>
      <c r="BV51" s="3274"/>
      <c r="BW51" s="3283">
        <f t="shared" ref="BW51:BW52" si="159">BU51+BV51</f>
        <v>0</v>
      </c>
      <c r="BX51" s="3284" t="e">
        <f t="shared" ref="BX51:BX53" si="160">BW51/BW$89</f>
        <v>#DIV/0!</v>
      </c>
      <c r="BY51" s="3461"/>
      <c r="BZ51" s="3274"/>
      <c r="CA51" s="3274"/>
      <c r="CB51" s="3283">
        <f t="shared" ref="CB51:CB52" si="161">BZ51+CA51</f>
        <v>0</v>
      </c>
      <c r="CC51" s="3284" t="e">
        <f t="shared" ref="CC51:CC53" si="162">CB51/CB$89</f>
        <v>#DIV/0!</v>
      </c>
      <c r="CD51" s="3461"/>
      <c r="CE51" s="3274"/>
      <c r="CF51" s="3274"/>
      <c r="CG51" s="3283">
        <f t="shared" ref="CG51:CG52" si="163">CE51+CF51</f>
        <v>0</v>
      </c>
      <c r="CH51" s="3284" t="e">
        <f t="shared" ref="CH51:CH53" si="164">CG51/CG$89</f>
        <v>#DIV/0!</v>
      </c>
      <c r="CI51" s="3461"/>
      <c r="CJ51" s="3274">
        <f t="shared" ref="CJ51:CK53" si="165">C51+H51+M51+W51</f>
        <v>0</v>
      </c>
      <c r="CK51" s="3274">
        <f t="shared" si="165"/>
        <v>0</v>
      </c>
      <c r="CL51" s="2028">
        <f>CJ51+CK51*1</f>
        <v>0</v>
      </c>
      <c r="CM51" s="3284" t="e">
        <f>CL51/$CL$89</f>
        <v>#DIV/0!</v>
      </c>
      <c r="CN51" s="3311"/>
      <c r="CP51" s="2028">
        <f>CN51+CO51*1</f>
        <v>0</v>
      </c>
      <c r="CQ51" s="2028">
        <f>CO51+CP51*1</f>
        <v>0</v>
      </c>
      <c r="CR51" s="3448"/>
      <c r="CT51" s="2644"/>
    </row>
    <row r="52" spans="1:98" ht="13.8" outlineLevel="2" x14ac:dyDescent="0.25">
      <c r="A52" s="1581"/>
      <c r="B52" s="3319" t="s">
        <v>61</v>
      </c>
      <c r="C52" s="3274"/>
      <c r="D52" s="3274"/>
      <c r="E52" s="3283">
        <f t="shared" si="132"/>
        <v>0</v>
      </c>
      <c r="F52" s="3284" t="e">
        <f t="shared" si="133"/>
        <v>#DIV/0!</v>
      </c>
      <c r="G52" s="3461"/>
      <c r="H52" s="3274"/>
      <c r="I52" s="3274"/>
      <c r="J52" s="3283">
        <f>H52+I52</f>
        <v>0</v>
      </c>
      <c r="K52" s="3284" t="e">
        <f t="shared" si="134"/>
        <v>#DIV/0!</v>
      </c>
      <c r="L52" s="3461"/>
      <c r="M52" s="3274"/>
      <c r="N52" s="3274"/>
      <c r="O52" s="3283">
        <f t="shared" si="135"/>
        <v>0</v>
      </c>
      <c r="P52" s="3284" t="e">
        <f t="shared" si="136"/>
        <v>#DIV/0!</v>
      </c>
      <c r="Q52" s="3461"/>
      <c r="R52" s="3275">
        <f t="shared" si="137"/>
        <v>0</v>
      </c>
      <c r="S52" s="3275">
        <f t="shared" si="137"/>
        <v>0</v>
      </c>
      <c r="T52" s="2028">
        <f t="shared" si="138"/>
        <v>0</v>
      </c>
      <c r="U52" s="3462"/>
      <c r="V52" s="3462"/>
      <c r="W52" s="3275">
        <f t="shared" si="139"/>
        <v>0</v>
      </c>
      <c r="X52" s="3275">
        <f t="shared" si="139"/>
        <v>0</v>
      </c>
      <c r="Y52" s="2028">
        <f t="shared" si="140"/>
        <v>0</v>
      </c>
      <c r="Z52" s="3462"/>
      <c r="AA52" s="3462"/>
      <c r="AB52" s="3274"/>
      <c r="AC52" s="3274"/>
      <c r="AD52" s="3283">
        <f t="shared" si="141"/>
        <v>0</v>
      </c>
      <c r="AE52" s="3284" t="e">
        <f t="shared" si="142"/>
        <v>#DIV/0!</v>
      </c>
      <c r="AF52" s="3461"/>
      <c r="AG52" s="3274"/>
      <c r="AH52" s="3274"/>
      <c r="AI52" s="3283">
        <f t="shared" si="143"/>
        <v>0</v>
      </c>
      <c r="AJ52" s="3284" t="e">
        <f t="shared" si="144"/>
        <v>#DIV/0!</v>
      </c>
      <c r="AK52" s="3461"/>
      <c r="AL52" s="3274"/>
      <c r="AM52" s="3274"/>
      <c r="AN52" s="3283">
        <f t="shared" si="145"/>
        <v>0</v>
      </c>
      <c r="AO52" s="3284" t="e">
        <f t="shared" si="146"/>
        <v>#DIV/0!</v>
      </c>
      <c r="AP52" s="3461"/>
      <c r="AQ52" s="3274"/>
      <c r="AR52" s="3274"/>
      <c r="AS52" s="3283">
        <f t="shared" si="147"/>
        <v>0</v>
      </c>
      <c r="AT52" s="3284" t="e">
        <f t="shared" si="148"/>
        <v>#DIV/0!</v>
      </c>
      <c r="AU52" s="3461"/>
      <c r="AV52" s="3274"/>
      <c r="AW52" s="3274"/>
      <c r="AX52" s="3283">
        <f t="shared" si="149"/>
        <v>0</v>
      </c>
      <c r="AY52" s="3284" t="e">
        <f t="shared" si="150"/>
        <v>#DIV/0!</v>
      </c>
      <c r="AZ52" s="3461"/>
      <c r="BA52" s="3274"/>
      <c r="BB52" s="3274"/>
      <c r="BC52" s="3283">
        <f t="shared" si="151"/>
        <v>0</v>
      </c>
      <c r="BD52" s="3284" t="e">
        <f t="shared" si="152"/>
        <v>#DIV/0!</v>
      </c>
      <c r="BE52" s="3461"/>
      <c r="BF52" s="3274"/>
      <c r="BG52" s="3274"/>
      <c r="BH52" s="3283">
        <f t="shared" si="153"/>
        <v>0</v>
      </c>
      <c r="BI52" s="3284" t="e">
        <f t="shared" si="154"/>
        <v>#DIV/0!</v>
      </c>
      <c r="BJ52" s="3461"/>
      <c r="BK52" s="3274"/>
      <c r="BL52" s="3274"/>
      <c r="BM52" s="3283">
        <f t="shared" si="155"/>
        <v>0</v>
      </c>
      <c r="BN52" s="3284" t="e">
        <f t="shared" si="156"/>
        <v>#DIV/0!</v>
      </c>
      <c r="BO52" s="3461"/>
      <c r="BP52" s="3274"/>
      <c r="BQ52" s="3274"/>
      <c r="BR52" s="3283">
        <f t="shared" si="157"/>
        <v>0</v>
      </c>
      <c r="BS52" s="3284" t="e">
        <f t="shared" si="158"/>
        <v>#DIV/0!</v>
      </c>
      <c r="BT52" s="3461"/>
      <c r="BU52" s="3274"/>
      <c r="BV52" s="3274"/>
      <c r="BW52" s="3283">
        <f t="shared" si="159"/>
        <v>0</v>
      </c>
      <c r="BX52" s="3284" t="e">
        <f t="shared" si="160"/>
        <v>#DIV/0!</v>
      </c>
      <c r="BY52" s="3461"/>
      <c r="BZ52" s="3274"/>
      <c r="CA52" s="3274"/>
      <c r="CB52" s="3283">
        <f t="shared" si="161"/>
        <v>0</v>
      </c>
      <c r="CC52" s="3284" t="e">
        <f t="shared" si="162"/>
        <v>#DIV/0!</v>
      </c>
      <c r="CD52" s="3461"/>
      <c r="CE52" s="3274"/>
      <c r="CF52" s="3274"/>
      <c r="CG52" s="3283">
        <f t="shared" si="163"/>
        <v>0</v>
      </c>
      <c r="CH52" s="3284" t="e">
        <f t="shared" si="164"/>
        <v>#DIV/0!</v>
      </c>
      <c r="CI52" s="3461"/>
      <c r="CJ52" s="3274">
        <f t="shared" si="165"/>
        <v>0</v>
      </c>
      <c r="CK52" s="3274">
        <f t="shared" si="165"/>
        <v>0</v>
      </c>
      <c r="CL52" s="2028">
        <f>CJ52+CK52*1</f>
        <v>0</v>
      </c>
      <c r="CM52" s="3284" t="e">
        <f>CL52/$CL$89</f>
        <v>#DIV/0!</v>
      </c>
      <c r="CN52" s="3311"/>
      <c r="CP52" s="2028">
        <f>CN52+CO52*1</f>
        <v>0</v>
      </c>
      <c r="CQ52" s="2028">
        <f>CO52+CP52*1</f>
        <v>0</v>
      </c>
      <c r="CR52" s="3448"/>
    </row>
    <row r="53" spans="1:98" ht="14.4" outlineLevel="1" thickBot="1" x14ac:dyDescent="0.3">
      <c r="A53" s="1428"/>
      <c r="B53" s="3736"/>
      <c r="C53" s="3274"/>
      <c r="D53" s="3274"/>
      <c r="E53" s="3227"/>
      <c r="F53" s="3284" t="e">
        <f t="shared" si="133"/>
        <v>#DIV/0!</v>
      </c>
      <c r="G53" s="3839"/>
      <c r="H53" s="3274"/>
      <c r="I53" s="3274"/>
      <c r="J53" s="3227"/>
      <c r="K53" s="3284" t="e">
        <f t="shared" ref="K53:K54" si="166">J53/$E$89</f>
        <v>#DIV/0!</v>
      </c>
      <c r="L53" s="3839"/>
      <c r="M53" s="3274"/>
      <c r="N53" s="3274"/>
      <c r="O53" s="3227"/>
      <c r="P53" s="3284" t="e">
        <f t="shared" si="136"/>
        <v>#DIV/0!</v>
      </c>
      <c r="Q53" s="3839"/>
      <c r="R53" s="3823"/>
      <c r="S53" s="3839"/>
      <c r="T53" s="3839"/>
      <c r="U53" s="3839"/>
      <c r="V53" s="3839"/>
      <c r="W53" s="3839"/>
      <c r="X53" s="3839"/>
      <c r="Y53" s="3839"/>
      <c r="Z53" s="3839"/>
      <c r="AA53" s="3839"/>
      <c r="AB53" s="3301"/>
      <c r="AC53" s="3301"/>
      <c r="AD53" s="3227"/>
      <c r="AE53" s="3026" t="e">
        <f t="shared" si="142"/>
        <v>#DIV/0!</v>
      </c>
      <c r="AF53" s="3839"/>
      <c r="AG53" s="3301"/>
      <c r="AH53" s="3301"/>
      <c r="AI53" s="3227"/>
      <c r="AJ53" s="3026" t="e">
        <f t="shared" si="144"/>
        <v>#DIV/0!</v>
      </c>
      <c r="AK53" s="3839"/>
      <c r="AL53" s="3301"/>
      <c r="AM53" s="3301"/>
      <c r="AN53" s="3227"/>
      <c r="AO53" s="3026" t="e">
        <f t="shared" si="146"/>
        <v>#DIV/0!</v>
      </c>
      <c r="AP53" s="3839"/>
      <c r="AQ53" s="3301"/>
      <c r="AR53" s="3301"/>
      <c r="AS53" s="3227"/>
      <c r="AT53" s="3026" t="e">
        <f t="shared" si="148"/>
        <v>#DIV/0!</v>
      </c>
      <c r="AU53" s="3839"/>
      <c r="AV53" s="3301"/>
      <c r="AW53" s="3301"/>
      <c r="AX53" s="3227"/>
      <c r="AY53" s="3026" t="e">
        <f t="shared" si="150"/>
        <v>#DIV/0!</v>
      </c>
      <c r="AZ53" s="3839"/>
      <c r="BA53" s="3301"/>
      <c r="BB53" s="3301"/>
      <c r="BC53" s="3227"/>
      <c r="BD53" s="3026" t="e">
        <f t="shared" si="152"/>
        <v>#DIV/0!</v>
      </c>
      <c r="BE53" s="3839"/>
      <c r="BF53" s="3301"/>
      <c r="BG53" s="3301"/>
      <c r="BH53" s="3227"/>
      <c r="BI53" s="3026" t="e">
        <f t="shared" si="154"/>
        <v>#DIV/0!</v>
      </c>
      <c r="BJ53" s="3839"/>
      <c r="BK53" s="3301"/>
      <c r="BL53" s="3301"/>
      <c r="BM53" s="3227"/>
      <c r="BN53" s="3026" t="e">
        <f t="shared" si="156"/>
        <v>#DIV/0!</v>
      </c>
      <c r="BO53" s="3839"/>
      <c r="BP53" s="3301"/>
      <c r="BQ53" s="3301"/>
      <c r="BR53" s="3227"/>
      <c r="BS53" s="3026" t="e">
        <f t="shared" si="158"/>
        <v>#DIV/0!</v>
      </c>
      <c r="BT53" s="3839"/>
      <c r="BU53" s="3301"/>
      <c r="BV53" s="3301"/>
      <c r="BW53" s="3227"/>
      <c r="BX53" s="3026" t="e">
        <f t="shared" si="160"/>
        <v>#DIV/0!</v>
      </c>
      <c r="BY53" s="3839"/>
      <c r="BZ53" s="3301"/>
      <c r="CA53" s="3301"/>
      <c r="CB53" s="3227"/>
      <c r="CC53" s="3026" t="e">
        <f t="shared" si="162"/>
        <v>#DIV/0!</v>
      </c>
      <c r="CD53" s="3839"/>
      <c r="CE53" s="3301"/>
      <c r="CF53" s="3301"/>
      <c r="CG53" s="3227"/>
      <c r="CH53" s="3026" t="e">
        <f t="shared" si="164"/>
        <v>#DIV/0!</v>
      </c>
      <c r="CI53" s="3839"/>
      <c r="CJ53" s="3301">
        <f t="shared" si="165"/>
        <v>0</v>
      </c>
      <c r="CK53" s="3301">
        <f t="shared" si="165"/>
        <v>0</v>
      </c>
      <c r="CL53" s="3227"/>
      <c r="CM53" s="3227"/>
      <c r="CN53" s="3227"/>
      <c r="CP53" s="3037"/>
      <c r="CQ53" s="3037"/>
      <c r="CR53" s="3448"/>
    </row>
    <row r="54" spans="1:98" ht="13.8" outlineLevel="1" x14ac:dyDescent="0.25">
      <c r="A54" s="1585"/>
      <c r="B54" s="1425" t="s">
        <v>1</v>
      </c>
      <c r="C54" s="2031">
        <f>SUM(C55:C72)</f>
        <v>0</v>
      </c>
      <c r="D54" s="2031">
        <f>SUM(D55:D72)</f>
        <v>0</v>
      </c>
      <c r="E54" s="2030">
        <f>SUM(E55:E72)</f>
        <v>0</v>
      </c>
      <c r="F54" s="3318" t="e">
        <f t="shared" si="133"/>
        <v>#DIV/0!</v>
      </c>
      <c r="G54" s="1067"/>
      <c r="H54" s="2031">
        <f>SUM(H55:H72)</f>
        <v>0</v>
      </c>
      <c r="I54" s="2031">
        <f>SUM(I55:I72)</f>
        <v>0</v>
      </c>
      <c r="J54" s="2030">
        <f>SUM(J55:J72)</f>
        <v>0</v>
      </c>
      <c r="K54" s="3318" t="e">
        <f t="shared" si="166"/>
        <v>#DIV/0!</v>
      </c>
      <c r="L54" s="1067"/>
      <c r="M54" s="2031">
        <f>SUM(M55:M72)</f>
        <v>0</v>
      </c>
      <c r="N54" s="2031">
        <f>SUM(N55:N72)</f>
        <v>0</v>
      </c>
      <c r="O54" s="2030">
        <f>SUM(O55:O72)</f>
        <v>0</v>
      </c>
      <c r="P54" s="3318" t="e">
        <f t="shared" ref="P54" si="167">O54/$E$89</f>
        <v>#DIV/0!</v>
      </c>
      <c r="Q54" s="1067"/>
      <c r="R54" s="2029">
        <f>SUM(R55:R72)</f>
        <v>0</v>
      </c>
      <c r="S54" s="2029">
        <f>SUM(S55:S72)</f>
        <v>0</v>
      </c>
      <c r="T54" s="2029">
        <f>SUM(T55:T72)</f>
        <v>0</v>
      </c>
      <c r="U54" s="1550"/>
      <c r="V54" s="3467"/>
      <c r="W54" s="2029">
        <f>SUM(W55:W72)</f>
        <v>0</v>
      </c>
      <c r="X54" s="2029">
        <f>SUM(X55:X72)</f>
        <v>0</v>
      </c>
      <c r="Y54" s="2029">
        <f>SUM(Y55:Y72)</f>
        <v>0</v>
      </c>
      <c r="Z54" s="1550"/>
      <c r="AA54" s="3467"/>
      <c r="AB54" s="2029">
        <f>SUM(AB55:AB72)</f>
        <v>0</v>
      </c>
      <c r="AC54" s="2029">
        <f>SUM(AC55:AC72)</f>
        <v>0</v>
      </c>
      <c r="AD54" s="2029">
        <f>SUM(AD55:AD72)</f>
        <v>0</v>
      </c>
      <c r="AE54" s="1550"/>
      <c r="AF54" s="3822"/>
      <c r="AG54" s="2029">
        <f>SUM(AG55:AG72)</f>
        <v>0</v>
      </c>
      <c r="AH54" s="2029">
        <f>SUM(AH55:AH72)</f>
        <v>0</v>
      </c>
      <c r="AI54" s="2029">
        <f>SUM(AI55:AI72)</f>
        <v>0</v>
      </c>
      <c r="AJ54" s="1550"/>
      <c r="AK54" s="3822"/>
      <c r="AL54" s="2029">
        <f>SUM(AL55:AL72)</f>
        <v>0</v>
      </c>
      <c r="AM54" s="2029">
        <f>SUM(AM55:AM72)</f>
        <v>0</v>
      </c>
      <c r="AN54" s="2029">
        <f>SUM(AN55:AN72)</f>
        <v>0</v>
      </c>
      <c r="AO54" s="1550"/>
      <c r="AP54" s="3822"/>
      <c r="AQ54" s="2029">
        <f>SUM(AQ55:AQ72)</f>
        <v>0</v>
      </c>
      <c r="AR54" s="2029">
        <f>SUM(AR55:AR72)</f>
        <v>0</v>
      </c>
      <c r="AS54" s="2029">
        <f>SUM(AS55:AS72)</f>
        <v>0</v>
      </c>
      <c r="AT54" s="1550"/>
      <c r="AU54" s="3822"/>
      <c r="AV54" s="2029">
        <f>SUM(AV55:AV72)</f>
        <v>0</v>
      </c>
      <c r="AW54" s="2029">
        <f>SUM(AW55:AW72)</f>
        <v>0</v>
      </c>
      <c r="AX54" s="2029">
        <f>SUM(AX55:AX72)</f>
        <v>0</v>
      </c>
      <c r="AY54" s="1550"/>
      <c r="AZ54" s="3822"/>
      <c r="BA54" s="2029">
        <f>SUM(BA55:BA72)</f>
        <v>0</v>
      </c>
      <c r="BB54" s="2029">
        <f>SUM(BB55:BB72)</f>
        <v>0</v>
      </c>
      <c r="BC54" s="2029">
        <f>SUM(BC55:BC72)</f>
        <v>0</v>
      </c>
      <c r="BD54" s="1550"/>
      <c r="BE54" s="3822"/>
      <c r="BF54" s="2029">
        <f>SUM(BF55:BF72)</f>
        <v>0</v>
      </c>
      <c r="BG54" s="2029">
        <f>SUM(BG55:BG72)</f>
        <v>0</v>
      </c>
      <c r="BH54" s="2029">
        <f>SUM(BH55:BH72)</f>
        <v>0</v>
      </c>
      <c r="BI54" s="1550"/>
      <c r="BJ54" s="3822"/>
      <c r="BK54" s="2029">
        <f>SUM(BK55:BK72)</f>
        <v>0</v>
      </c>
      <c r="BL54" s="2029">
        <f>SUM(BL55:BL72)</f>
        <v>0</v>
      </c>
      <c r="BM54" s="2029">
        <f>SUM(BM55:BM72)</f>
        <v>0</v>
      </c>
      <c r="BN54" s="1550"/>
      <c r="BO54" s="3822"/>
      <c r="BP54" s="2029">
        <f>SUM(BP55:BP72)</f>
        <v>0</v>
      </c>
      <c r="BQ54" s="2029">
        <f>SUM(BQ55:BQ72)</f>
        <v>0</v>
      </c>
      <c r="BR54" s="2029">
        <f>SUM(BR55:BR72)</f>
        <v>0</v>
      </c>
      <c r="BS54" s="1550"/>
      <c r="BT54" s="3822"/>
      <c r="BU54" s="2029">
        <f>SUM(BU55:BU72)</f>
        <v>0</v>
      </c>
      <c r="BV54" s="2029">
        <f>SUM(BV55:BV72)</f>
        <v>0</v>
      </c>
      <c r="BW54" s="2029">
        <f>SUM(BW55:BW72)</f>
        <v>0</v>
      </c>
      <c r="BX54" s="1550"/>
      <c r="BY54" s="3822"/>
      <c r="BZ54" s="2029">
        <f>SUM(BZ55:BZ72)</f>
        <v>0</v>
      </c>
      <c r="CA54" s="2029">
        <f>SUM(CA55:CA72)</f>
        <v>0</v>
      </c>
      <c r="CB54" s="2029">
        <f>SUM(CB55:CB72)</f>
        <v>0</v>
      </c>
      <c r="CC54" s="1550"/>
      <c r="CD54" s="3822"/>
      <c r="CE54" s="2029">
        <f>SUM(CE55:CE72)</f>
        <v>0</v>
      </c>
      <c r="CF54" s="2029">
        <f>SUM(CF55:CF72)</f>
        <v>0</v>
      </c>
      <c r="CG54" s="2029">
        <f>SUM(CG55:CG72)</f>
        <v>0</v>
      </c>
      <c r="CH54" s="1550"/>
      <c r="CI54" s="3822"/>
      <c r="CJ54" s="2029">
        <f>SUM(CJ55:CJ72)</f>
        <v>0</v>
      </c>
      <c r="CK54" s="2029">
        <f>SUM(CK55:CK72)</f>
        <v>0</v>
      </c>
      <c r="CL54" s="2029">
        <f>SUM(CL55:CL72)</f>
        <v>0</v>
      </c>
      <c r="CM54" s="1550" t="e">
        <f t="shared" ref="CM54:CM71" si="168">CL54/$CL$89</f>
        <v>#DIV/0!</v>
      </c>
      <c r="CN54" s="1071"/>
      <c r="CP54" s="2031">
        <f>SUM(CP55:CP72)</f>
        <v>0</v>
      </c>
      <c r="CQ54" s="2031">
        <f>SUM(CQ55:CQ72)</f>
        <v>0</v>
      </c>
      <c r="CR54" s="2031"/>
    </row>
    <row r="55" spans="1:98" ht="13.8" outlineLevel="2" x14ac:dyDescent="0.25">
      <c r="A55" s="1586"/>
      <c r="B55" s="3310" t="s">
        <v>77</v>
      </c>
      <c r="C55" s="3283"/>
      <c r="D55" s="3283"/>
      <c r="E55" s="3283">
        <f t="shared" ref="E55:E71" si="169">C55+D55</f>
        <v>0</v>
      </c>
      <c r="F55" s="3284" t="e">
        <f t="shared" si="133"/>
        <v>#DIV/0!</v>
      </c>
      <c r="G55" s="3468"/>
      <c r="H55" s="3283"/>
      <c r="I55" s="3283"/>
      <c r="J55" s="3283">
        <f t="shared" ref="J55:J71" si="170">H55+I55</f>
        <v>0</v>
      </c>
      <c r="K55" s="3284" t="e">
        <f t="shared" ref="K55:K72" si="171">J55/J$89</f>
        <v>#DIV/0!</v>
      </c>
      <c r="L55" s="3468"/>
      <c r="M55" s="3283"/>
      <c r="N55" s="3283"/>
      <c r="O55" s="3283">
        <f t="shared" ref="O55:O71" si="172">M55+N55</f>
        <v>0</v>
      </c>
      <c r="P55" s="3284" t="e">
        <f t="shared" ref="P55:P72" si="173">O55/O$89</f>
        <v>#DIV/0!</v>
      </c>
      <c r="Q55" s="3468"/>
      <c r="R55" s="3275">
        <f t="shared" ref="R55:S71" si="174">M55+H55+C55</f>
        <v>0</v>
      </c>
      <c r="S55" s="3275">
        <f t="shared" si="174"/>
        <v>0</v>
      </c>
      <c r="T55" s="2028">
        <f t="shared" ref="T55:T71" si="175">R55+S55</f>
        <v>0</v>
      </c>
      <c r="U55" s="3469"/>
      <c r="V55" s="3469"/>
      <c r="W55" s="3275">
        <f t="shared" ref="W55:X71" si="176">AB55+AG55+AL55+AV55+BA55+BF55+BK55+BP55+BU55+BZ55+CE55+AQ55</f>
        <v>0</v>
      </c>
      <c r="X55" s="3275">
        <f t="shared" si="176"/>
        <v>0</v>
      </c>
      <c r="Y55" s="2028">
        <f t="shared" ref="Y55:Y71" si="177">W55+X55</f>
        <v>0</v>
      </c>
      <c r="Z55" s="3469"/>
      <c r="AA55" s="3469"/>
      <c r="AB55" s="3283"/>
      <c r="AC55" s="3283"/>
      <c r="AD55" s="3283">
        <f t="shared" ref="AD55:AD71" si="178">AB55+AC55</f>
        <v>0</v>
      </c>
      <c r="AE55" s="3284" t="e">
        <f t="shared" ref="AE55:AE71" si="179">AD55/AD$89</f>
        <v>#DIV/0!</v>
      </c>
      <c r="AF55" s="3468"/>
      <c r="AG55" s="3283"/>
      <c r="AH55" s="3283"/>
      <c r="AI55" s="3283">
        <f t="shared" ref="AI55:AI71" si="180">AG55+AH55</f>
        <v>0</v>
      </c>
      <c r="AJ55" s="3284" t="e">
        <f t="shared" ref="AJ55:AJ71" si="181">AI55/AI$89</f>
        <v>#DIV/0!</v>
      </c>
      <c r="AK55" s="3468"/>
      <c r="AL55" s="3283"/>
      <c r="AM55" s="3283"/>
      <c r="AN55" s="3283">
        <f t="shared" ref="AN55:AN71" si="182">AL55+AM55</f>
        <v>0</v>
      </c>
      <c r="AO55" s="3284" t="e">
        <f t="shared" ref="AO55:AO71" si="183">AN55/AN$89</f>
        <v>#DIV/0!</v>
      </c>
      <c r="AP55" s="3468"/>
      <c r="AQ55" s="3283"/>
      <c r="AR55" s="3283"/>
      <c r="AS55" s="3283">
        <f t="shared" ref="AS55:AS71" si="184">AQ55+AR55</f>
        <v>0</v>
      </c>
      <c r="AT55" s="3284" t="e">
        <f t="shared" ref="AT55:AT71" si="185">AS55/AS$89</f>
        <v>#DIV/0!</v>
      </c>
      <c r="AU55" s="3468"/>
      <c r="AV55" s="3283"/>
      <c r="AW55" s="3283"/>
      <c r="AX55" s="3283">
        <f t="shared" ref="AX55:AX71" si="186">AV55+AW55</f>
        <v>0</v>
      </c>
      <c r="AY55" s="3284" t="e">
        <f t="shared" ref="AY55:AY71" si="187">AX55/AX$89</f>
        <v>#DIV/0!</v>
      </c>
      <c r="AZ55" s="3468"/>
      <c r="BA55" s="3283"/>
      <c r="BB55" s="3283"/>
      <c r="BC55" s="3283">
        <f t="shared" ref="BC55:BC71" si="188">BA55+BB55</f>
        <v>0</v>
      </c>
      <c r="BD55" s="3284" t="e">
        <f t="shared" ref="BD55:BD71" si="189">BC55/BC$89</f>
        <v>#DIV/0!</v>
      </c>
      <c r="BE55" s="3468"/>
      <c r="BF55" s="3283"/>
      <c r="BG55" s="3283"/>
      <c r="BH55" s="3283">
        <f t="shared" ref="BH55:BH71" si="190">BF55+BG55</f>
        <v>0</v>
      </c>
      <c r="BI55" s="3284" t="e">
        <f t="shared" ref="BI55:BI71" si="191">BH55/BH$89</f>
        <v>#DIV/0!</v>
      </c>
      <c r="BJ55" s="3468"/>
      <c r="BK55" s="3283"/>
      <c r="BL55" s="3283"/>
      <c r="BM55" s="3283">
        <f t="shared" ref="BM55:BM71" si="192">BK55+BL55</f>
        <v>0</v>
      </c>
      <c r="BN55" s="3284" t="e">
        <f t="shared" ref="BN55:BN71" si="193">BM55/BM$89</f>
        <v>#DIV/0!</v>
      </c>
      <c r="BO55" s="3468"/>
      <c r="BP55" s="3283"/>
      <c r="BQ55" s="3283"/>
      <c r="BR55" s="3283">
        <f t="shared" ref="BR55:BR71" si="194">BP55+BQ55</f>
        <v>0</v>
      </c>
      <c r="BS55" s="3284" t="e">
        <f t="shared" ref="BS55:BS71" si="195">BR55/BR$89</f>
        <v>#DIV/0!</v>
      </c>
      <c r="BT55" s="3468"/>
      <c r="BU55" s="3283"/>
      <c r="BV55" s="3283"/>
      <c r="BW55" s="3283">
        <f t="shared" ref="BW55:BW71" si="196">BU55+BV55</f>
        <v>0</v>
      </c>
      <c r="BX55" s="3284" t="e">
        <f t="shared" ref="BX55:BX71" si="197">BW55/BW$89</f>
        <v>#DIV/0!</v>
      </c>
      <c r="BY55" s="3468"/>
      <c r="BZ55" s="3283"/>
      <c r="CA55" s="3283"/>
      <c r="CB55" s="3283">
        <f t="shared" ref="CB55:CB71" si="198">BZ55+CA55</f>
        <v>0</v>
      </c>
      <c r="CC55" s="3284" t="e">
        <f t="shared" ref="CC55:CC71" si="199">CB55/CB$89</f>
        <v>#DIV/0!</v>
      </c>
      <c r="CD55" s="3468"/>
      <c r="CE55" s="3283"/>
      <c r="CF55" s="3283"/>
      <c r="CG55" s="3283">
        <f t="shared" ref="CG55:CG71" si="200">CE55+CF55</f>
        <v>0</v>
      </c>
      <c r="CH55" s="3284" t="e">
        <f t="shared" ref="CH55:CH71" si="201">CG55/CG$89</f>
        <v>#DIV/0!</v>
      </c>
      <c r="CI55" s="3468"/>
      <c r="CJ55" s="3274">
        <f t="shared" ref="CJ55:CK71" si="202">C55+H55+M55+W55</f>
        <v>0</v>
      </c>
      <c r="CK55" s="3274">
        <f t="shared" si="202"/>
        <v>0</v>
      </c>
      <c r="CL55" s="2028">
        <f t="shared" ref="CL55:CL71" si="203">CJ55+CK55*1</f>
        <v>0</v>
      </c>
      <c r="CM55" s="3284" t="e">
        <f t="shared" si="168"/>
        <v>#DIV/0!</v>
      </c>
      <c r="CN55" s="3295"/>
      <c r="CP55" s="2028">
        <f t="shared" ref="CP55:CQ71" si="204">CN55+CO55*1</f>
        <v>0</v>
      </c>
      <c r="CQ55" s="2028">
        <f t="shared" si="204"/>
        <v>0</v>
      </c>
      <c r="CR55" s="3448"/>
    </row>
    <row r="56" spans="1:98" ht="13.8" outlineLevel="2" x14ac:dyDescent="0.25">
      <c r="A56" s="1586"/>
      <c r="B56" s="3310" t="s">
        <v>76</v>
      </c>
      <c r="C56" s="3283"/>
      <c r="D56" s="3283"/>
      <c r="E56" s="3283">
        <f t="shared" si="169"/>
        <v>0</v>
      </c>
      <c r="F56" s="3284" t="e">
        <f t="shared" si="133"/>
        <v>#DIV/0!</v>
      </c>
      <c r="G56" s="3468"/>
      <c r="H56" s="3283"/>
      <c r="I56" s="3283"/>
      <c r="J56" s="3283">
        <f t="shared" si="170"/>
        <v>0</v>
      </c>
      <c r="K56" s="3284" t="e">
        <f t="shared" si="171"/>
        <v>#DIV/0!</v>
      </c>
      <c r="L56" s="3468"/>
      <c r="M56" s="3283"/>
      <c r="N56" s="3283"/>
      <c r="O56" s="3283">
        <f t="shared" si="172"/>
        <v>0</v>
      </c>
      <c r="P56" s="3284" t="e">
        <f t="shared" si="173"/>
        <v>#DIV/0!</v>
      </c>
      <c r="Q56" s="3468"/>
      <c r="R56" s="3275">
        <f t="shared" si="174"/>
        <v>0</v>
      </c>
      <c r="S56" s="3275">
        <f t="shared" si="174"/>
        <v>0</v>
      </c>
      <c r="T56" s="2028">
        <f t="shared" si="175"/>
        <v>0</v>
      </c>
      <c r="U56" s="3469"/>
      <c r="V56" s="3469"/>
      <c r="W56" s="3275">
        <f t="shared" si="176"/>
        <v>0</v>
      </c>
      <c r="X56" s="3275">
        <f t="shared" si="176"/>
        <v>0</v>
      </c>
      <c r="Y56" s="2028">
        <f t="shared" si="177"/>
        <v>0</v>
      </c>
      <c r="Z56" s="3469"/>
      <c r="AA56" s="3469"/>
      <c r="AB56" s="3283"/>
      <c r="AC56" s="3283"/>
      <c r="AD56" s="3283">
        <f t="shared" si="178"/>
        <v>0</v>
      </c>
      <c r="AE56" s="3284" t="e">
        <f t="shared" si="179"/>
        <v>#DIV/0!</v>
      </c>
      <c r="AF56" s="3468"/>
      <c r="AG56" s="3283"/>
      <c r="AH56" s="3283"/>
      <c r="AI56" s="3283">
        <f t="shared" si="180"/>
        <v>0</v>
      </c>
      <c r="AJ56" s="3284" t="e">
        <f t="shared" si="181"/>
        <v>#DIV/0!</v>
      </c>
      <c r="AK56" s="3468"/>
      <c r="AL56" s="3283"/>
      <c r="AM56" s="3283"/>
      <c r="AN56" s="3283">
        <f t="shared" si="182"/>
        <v>0</v>
      </c>
      <c r="AO56" s="3284" t="e">
        <f t="shared" si="183"/>
        <v>#DIV/0!</v>
      </c>
      <c r="AP56" s="3468"/>
      <c r="AQ56" s="3283"/>
      <c r="AR56" s="3283"/>
      <c r="AS56" s="3283">
        <f t="shared" si="184"/>
        <v>0</v>
      </c>
      <c r="AT56" s="3284" t="e">
        <f t="shared" si="185"/>
        <v>#DIV/0!</v>
      </c>
      <c r="AU56" s="3468"/>
      <c r="AV56" s="3283"/>
      <c r="AW56" s="3283"/>
      <c r="AX56" s="3283">
        <f t="shared" si="186"/>
        <v>0</v>
      </c>
      <c r="AY56" s="3284" t="e">
        <f t="shared" si="187"/>
        <v>#DIV/0!</v>
      </c>
      <c r="AZ56" s="3468"/>
      <c r="BA56" s="3283"/>
      <c r="BB56" s="3283"/>
      <c r="BC56" s="3283">
        <f t="shared" si="188"/>
        <v>0</v>
      </c>
      <c r="BD56" s="3284" t="e">
        <f t="shared" si="189"/>
        <v>#DIV/0!</v>
      </c>
      <c r="BE56" s="3468"/>
      <c r="BF56" s="3283"/>
      <c r="BG56" s="3283"/>
      <c r="BH56" s="3283">
        <f t="shared" si="190"/>
        <v>0</v>
      </c>
      <c r="BI56" s="3284" t="e">
        <f t="shared" si="191"/>
        <v>#DIV/0!</v>
      </c>
      <c r="BJ56" s="3468"/>
      <c r="BK56" s="3283"/>
      <c r="BL56" s="3283"/>
      <c r="BM56" s="3283">
        <f t="shared" si="192"/>
        <v>0</v>
      </c>
      <c r="BN56" s="3284" t="e">
        <f t="shared" si="193"/>
        <v>#DIV/0!</v>
      </c>
      <c r="BO56" s="3468"/>
      <c r="BP56" s="3283"/>
      <c r="BQ56" s="3283"/>
      <c r="BR56" s="3283">
        <f t="shared" si="194"/>
        <v>0</v>
      </c>
      <c r="BS56" s="3284" t="e">
        <f t="shared" si="195"/>
        <v>#DIV/0!</v>
      </c>
      <c r="BT56" s="3468"/>
      <c r="BU56" s="3283"/>
      <c r="BV56" s="3283"/>
      <c r="BW56" s="3283">
        <f t="shared" si="196"/>
        <v>0</v>
      </c>
      <c r="BX56" s="3284" t="e">
        <f t="shared" si="197"/>
        <v>#DIV/0!</v>
      </c>
      <c r="BY56" s="3468"/>
      <c r="BZ56" s="3283"/>
      <c r="CA56" s="3283"/>
      <c r="CB56" s="3283">
        <f t="shared" si="198"/>
        <v>0</v>
      </c>
      <c r="CC56" s="3284" t="e">
        <f t="shared" si="199"/>
        <v>#DIV/0!</v>
      </c>
      <c r="CD56" s="3468"/>
      <c r="CE56" s="3283"/>
      <c r="CF56" s="3283"/>
      <c r="CG56" s="3283">
        <f t="shared" si="200"/>
        <v>0</v>
      </c>
      <c r="CH56" s="3284" t="e">
        <f t="shared" si="201"/>
        <v>#DIV/0!</v>
      </c>
      <c r="CI56" s="3468"/>
      <c r="CJ56" s="3274">
        <f t="shared" si="202"/>
        <v>0</v>
      </c>
      <c r="CK56" s="3274">
        <f t="shared" si="202"/>
        <v>0</v>
      </c>
      <c r="CL56" s="2028">
        <f t="shared" si="203"/>
        <v>0</v>
      </c>
      <c r="CM56" s="3284" t="e">
        <f t="shared" si="168"/>
        <v>#DIV/0!</v>
      </c>
      <c r="CN56" s="3295"/>
      <c r="CP56" s="2028">
        <f t="shared" si="204"/>
        <v>0</v>
      </c>
      <c r="CQ56" s="2028">
        <f t="shared" si="204"/>
        <v>0</v>
      </c>
      <c r="CR56" s="3448"/>
    </row>
    <row r="57" spans="1:98" ht="13.8" outlineLevel="2" x14ac:dyDescent="0.25">
      <c r="A57" s="1586"/>
      <c r="B57" s="3310" t="s">
        <v>68</v>
      </c>
      <c r="C57" s="3283"/>
      <c r="D57" s="3283"/>
      <c r="E57" s="3283">
        <f t="shared" si="169"/>
        <v>0</v>
      </c>
      <c r="F57" s="3284" t="e">
        <f t="shared" si="133"/>
        <v>#DIV/0!</v>
      </c>
      <c r="G57" s="3468"/>
      <c r="H57" s="3283"/>
      <c r="I57" s="3283"/>
      <c r="J57" s="3283">
        <f t="shared" si="170"/>
        <v>0</v>
      </c>
      <c r="K57" s="3284" t="e">
        <f t="shared" si="171"/>
        <v>#DIV/0!</v>
      </c>
      <c r="L57" s="3468"/>
      <c r="M57" s="3283"/>
      <c r="N57" s="3283"/>
      <c r="O57" s="3283">
        <f t="shared" si="172"/>
        <v>0</v>
      </c>
      <c r="P57" s="3284" t="e">
        <f t="shared" si="173"/>
        <v>#DIV/0!</v>
      </c>
      <c r="Q57" s="3468"/>
      <c r="R57" s="3275">
        <f t="shared" si="174"/>
        <v>0</v>
      </c>
      <c r="S57" s="3275">
        <f t="shared" si="174"/>
        <v>0</v>
      </c>
      <c r="T57" s="2028">
        <f t="shared" si="175"/>
        <v>0</v>
      </c>
      <c r="U57" s="3469"/>
      <c r="V57" s="3469"/>
      <c r="W57" s="3275">
        <f t="shared" si="176"/>
        <v>0</v>
      </c>
      <c r="X57" s="3275">
        <f t="shared" si="176"/>
        <v>0</v>
      </c>
      <c r="Y57" s="2028">
        <f t="shared" si="177"/>
        <v>0</v>
      </c>
      <c r="Z57" s="3469"/>
      <c r="AA57" s="3469"/>
      <c r="AB57" s="3283"/>
      <c r="AC57" s="3283"/>
      <c r="AD57" s="3283">
        <f t="shared" si="178"/>
        <v>0</v>
      </c>
      <c r="AE57" s="3284" t="e">
        <f t="shared" si="179"/>
        <v>#DIV/0!</v>
      </c>
      <c r="AF57" s="3468"/>
      <c r="AG57" s="3283"/>
      <c r="AH57" s="3283"/>
      <c r="AI57" s="3283">
        <f t="shared" si="180"/>
        <v>0</v>
      </c>
      <c r="AJ57" s="3284" t="e">
        <f t="shared" si="181"/>
        <v>#DIV/0!</v>
      </c>
      <c r="AK57" s="3468"/>
      <c r="AL57" s="3283"/>
      <c r="AM57" s="3283"/>
      <c r="AN57" s="3283">
        <f t="shared" si="182"/>
        <v>0</v>
      </c>
      <c r="AO57" s="3284" t="e">
        <f t="shared" si="183"/>
        <v>#DIV/0!</v>
      </c>
      <c r="AP57" s="3468"/>
      <c r="AQ57" s="3283"/>
      <c r="AR57" s="3283"/>
      <c r="AS57" s="3283">
        <f t="shared" si="184"/>
        <v>0</v>
      </c>
      <c r="AT57" s="3284" t="e">
        <f t="shared" si="185"/>
        <v>#DIV/0!</v>
      </c>
      <c r="AU57" s="3468"/>
      <c r="AV57" s="3283"/>
      <c r="AW57" s="3283"/>
      <c r="AX57" s="3283">
        <f t="shared" si="186"/>
        <v>0</v>
      </c>
      <c r="AY57" s="3284" t="e">
        <f t="shared" si="187"/>
        <v>#DIV/0!</v>
      </c>
      <c r="AZ57" s="3468"/>
      <c r="BA57" s="3283"/>
      <c r="BB57" s="3283"/>
      <c r="BC57" s="3283">
        <f t="shared" si="188"/>
        <v>0</v>
      </c>
      <c r="BD57" s="3284" t="e">
        <f t="shared" si="189"/>
        <v>#DIV/0!</v>
      </c>
      <c r="BE57" s="3468"/>
      <c r="BF57" s="3283"/>
      <c r="BG57" s="3283"/>
      <c r="BH57" s="3283">
        <f t="shared" si="190"/>
        <v>0</v>
      </c>
      <c r="BI57" s="3284" t="e">
        <f t="shared" si="191"/>
        <v>#DIV/0!</v>
      </c>
      <c r="BJ57" s="3468"/>
      <c r="BK57" s="3283"/>
      <c r="BL57" s="3283"/>
      <c r="BM57" s="3283">
        <f t="shared" si="192"/>
        <v>0</v>
      </c>
      <c r="BN57" s="3284" t="e">
        <f t="shared" si="193"/>
        <v>#DIV/0!</v>
      </c>
      <c r="BO57" s="3468"/>
      <c r="BP57" s="3283"/>
      <c r="BQ57" s="3283"/>
      <c r="BR57" s="3283">
        <f t="shared" si="194"/>
        <v>0</v>
      </c>
      <c r="BS57" s="3284" t="e">
        <f t="shared" si="195"/>
        <v>#DIV/0!</v>
      </c>
      <c r="BT57" s="3468"/>
      <c r="BU57" s="3283"/>
      <c r="BV57" s="3283"/>
      <c r="BW57" s="3283">
        <f t="shared" si="196"/>
        <v>0</v>
      </c>
      <c r="BX57" s="3284" t="e">
        <f t="shared" si="197"/>
        <v>#DIV/0!</v>
      </c>
      <c r="BY57" s="3468"/>
      <c r="BZ57" s="3283"/>
      <c r="CA57" s="3283"/>
      <c r="CB57" s="3283">
        <f t="shared" si="198"/>
        <v>0</v>
      </c>
      <c r="CC57" s="3284" t="e">
        <f t="shared" si="199"/>
        <v>#DIV/0!</v>
      </c>
      <c r="CD57" s="3468"/>
      <c r="CE57" s="3283"/>
      <c r="CF57" s="3283"/>
      <c r="CG57" s="3283">
        <f t="shared" si="200"/>
        <v>0</v>
      </c>
      <c r="CH57" s="3284" t="e">
        <f t="shared" si="201"/>
        <v>#DIV/0!</v>
      </c>
      <c r="CI57" s="3468"/>
      <c r="CJ57" s="3274">
        <f t="shared" si="202"/>
        <v>0</v>
      </c>
      <c r="CK57" s="3274">
        <f t="shared" si="202"/>
        <v>0</v>
      </c>
      <c r="CL57" s="2028">
        <f t="shared" si="203"/>
        <v>0</v>
      </c>
      <c r="CM57" s="3284" t="e">
        <f t="shared" si="168"/>
        <v>#DIV/0!</v>
      </c>
      <c r="CN57" s="3295"/>
      <c r="CP57" s="2028">
        <f t="shared" si="204"/>
        <v>0</v>
      </c>
      <c r="CQ57" s="2028">
        <f t="shared" si="204"/>
        <v>0</v>
      </c>
      <c r="CR57" s="3448"/>
    </row>
    <row r="58" spans="1:98" ht="13.8" outlineLevel="2" x14ac:dyDescent="0.25">
      <c r="A58" s="1586"/>
      <c r="B58" s="3310" t="s">
        <v>67</v>
      </c>
      <c r="C58" s="3283"/>
      <c r="D58" s="3283"/>
      <c r="E58" s="3283">
        <f t="shared" si="169"/>
        <v>0</v>
      </c>
      <c r="F58" s="3284" t="e">
        <f t="shared" si="133"/>
        <v>#DIV/0!</v>
      </c>
      <c r="G58" s="3468"/>
      <c r="H58" s="3283"/>
      <c r="I58" s="3283"/>
      <c r="J58" s="3283">
        <f t="shared" si="170"/>
        <v>0</v>
      </c>
      <c r="K58" s="3284" t="e">
        <f t="shared" si="171"/>
        <v>#DIV/0!</v>
      </c>
      <c r="L58" s="3468"/>
      <c r="M58" s="3283"/>
      <c r="N58" s="3283"/>
      <c r="O58" s="3283">
        <f t="shared" si="172"/>
        <v>0</v>
      </c>
      <c r="P58" s="3284" t="e">
        <f t="shared" si="173"/>
        <v>#DIV/0!</v>
      </c>
      <c r="Q58" s="3468"/>
      <c r="R58" s="3275">
        <f t="shared" si="174"/>
        <v>0</v>
      </c>
      <c r="S58" s="3275">
        <f t="shared" si="174"/>
        <v>0</v>
      </c>
      <c r="T58" s="2028">
        <f t="shared" si="175"/>
        <v>0</v>
      </c>
      <c r="U58" s="3469"/>
      <c r="V58" s="3469"/>
      <c r="W58" s="3275">
        <f t="shared" si="176"/>
        <v>0</v>
      </c>
      <c r="X58" s="3275">
        <f t="shared" si="176"/>
        <v>0</v>
      </c>
      <c r="Y58" s="2028">
        <f t="shared" si="177"/>
        <v>0</v>
      </c>
      <c r="Z58" s="3469"/>
      <c r="AA58" s="3469"/>
      <c r="AB58" s="3283"/>
      <c r="AC58" s="3283"/>
      <c r="AD58" s="3283">
        <f t="shared" si="178"/>
        <v>0</v>
      </c>
      <c r="AE58" s="3284" t="e">
        <f t="shared" si="179"/>
        <v>#DIV/0!</v>
      </c>
      <c r="AF58" s="3468"/>
      <c r="AG58" s="3283"/>
      <c r="AH58" s="3283"/>
      <c r="AI58" s="3283">
        <f t="shared" si="180"/>
        <v>0</v>
      </c>
      <c r="AJ58" s="3284" t="e">
        <f t="shared" si="181"/>
        <v>#DIV/0!</v>
      </c>
      <c r="AK58" s="3468"/>
      <c r="AL58" s="3283"/>
      <c r="AM58" s="3283"/>
      <c r="AN58" s="3283">
        <f t="shared" si="182"/>
        <v>0</v>
      </c>
      <c r="AO58" s="3284" t="e">
        <f t="shared" si="183"/>
        <v>#DIV/0!</v>
      </c>
      <c r="AP58" s="3468"/>
      <c r="AQ58" s="3283"/>
      <c r="AR58" s="3283"/>
      <c r="AS58" s="3283">
        <f t="shared" si="184"/>
        <v>0</v>
      </c>
      <c r="AT58" s="3284" t="e">
        <f t="shared" si="185"/>
        <v>#DIV/0!</v>
      </c>
      <c r="AU58" s="3468"/>
      <c r="AV58" s="3283"/>
      <c r="AW58" s="3283"/>
      <c r="AX58" s="3283">
        <f t="shared" si="186"/>
        <v>0</v>
      </c>
      <c r="AY58" s="3284" t="e">
        <f t="shared" si="187"/>
        <v>#DIV/0!</v>
      </c>
      <c r="AZ58" s="3468"/>
      <c r="BA58" s="3283"/>
      <c r="BB58" s="3283"/>
      <c r="BC58" s="3283">
        <f t="shared" si="188"/>
        <v>0</v>
      </c>
      <c r="BD58" s="3284" t="e">
        <f t="shared" si="189"/>
        <v>#DIV/0!</v>
      </c>
      <c r="BE58" s="3468"/>
      <c r="BF58" s="3283"/>
      <c r="BG58" s="3283"/>
      <c r="BH58" s="3283">
        <f t="shared" si="190"/>
        <v>0</v>
      </c>
      <c r="BI58" s="3284" t="e">
        <f t="shared" si="191"/>
        <v>#DIV/0!</v>
      </c>
      <c r="BJ58" s="3468"/>
      <c r="BK58" s="3283"/>
      <c r="BL58" s="3283"/>
      <c r="BM58" s="3283">
        <f t="shared" si="192"/>
        <v>0</v>
      </c>
      <c r="BN58" s="3284" t="e">
        <f t="shared" si="193"/>
        <v>#DIV/0!</v>
      </c>
      <c r="BO58" s="3468"/>
      <c r="BP58" s="3283"/>
      <c r="BQ58" s="3283"/>
      <c r="BR58" s="3283">
        <f t="shared" si="194"/>
        <v>0</v>
      </c>
      <c r="BS58" s="3284" t="e">
        <f t="shared" si="195"/>
        <v>#DIV/0!</v>
      </c>
      <c r="BT58" s="3468"/>
      <c r="BU58" s="3283"/>
      <c r="BV58" s="3283"/>
      <c r="BW58" s="3283">
        <f t="shared" si="196"/>
        <v>0</v>
      </c>
      <c r="BX58" s="3284" t="e">
        <f t="shared" si="197"/>
        <v>#DIV/0!</v>
      </c>
      <c r="BY58" s="3468"/>
      <c r="BZ58" s="3283"/>
      <c r="CA58" s="3283"/>
      <c r="CB58" s="3283">
        <f t="shared" si="198"/>
        <v>0</v>
      </c>
      <c r="CC58" s="3284" t="e">
        <f t="shared" si="199"/>
        <v>#DIV/0!</v>
      </c>
      <c r="CD58" s="3468"/>
      <c r="CE58" s="3283"/>
      <c r="CF58" s="3283"/>
      <c r="CG58" s="3283">
        <f t="shared" si="200"/>
        <v>0</v>
      </c>
      <c r="CH58" s="3284" t="e">
        <f t="shared" si="201"/>
        <v>#DIV/0!</v>
      </c>
      <c r="CI58" s="3468"/>
      <c r="CJ58" s="3274">
        <f t="shared" si="202"/>
        <v>0</v>
      </c>
      <c r="CK58" s="3274">
        <f t="shared" si="202"/>
        <v>0</v>
      </c>
      <c r="CL58" s="2028">
        <f t="shared" si="203"/>
        <v>0</v>
      </c>
      <c r="CM58" s="3284" t="e">
        <f t="shared" si="168"/>
        <v>#DIV/0!</v>
      </c>
      <c r="CN58" s="3295"/>
      <c r="CP58" s="2028">
        <f t="shared" si="204"/>
        <v>0</v>
      </c>
      <c r="CQ58" s="2028">
        <f t="shared" si="204"/>
        <v>0</v>
      </c>
      <c r="CR58" s="3448"/>
    </row>
    <row r="59" spans="1:98" ht="13.8" outlineLevel="2" x14ac:dyDescent="0.25">
      <c r="A59" s="1586"/>
      <c r="B59" s="3310" t="s">
        <v>66</v>
      </c>
      <c r="C59" s="3283"/>
      <c r="D59" s="3283"/>
      <c r="E59" s="3283">
        <f t="shared" si="169"/>
        <v>0</v>
      </c>
      <c r="F59" s="3284" t="e">
        <f t="shared" si="133"/>
        <v>#DIV/0!</v>
      </c>
      <c r="G59" s="3468"/>
      <c r="H59" s="3283"/>
      <c r="I59" s="3283"/>
      <c r="J59" s="3283">
        <f t="shared" si="170"/>
        <v>0</v>
      </c>
      <c r="K59" s="3284" t="e">
        <f t="shared" si="171"/>
        <v>#DIV/0!</v>
      </c>
      <c r="L59" s="3468"/>
      <c r="M59" s="3283"/>
      <c r="N59" s="3283"/>
      <c r="O59" s="3283">
        <f t="shared" si="172"/>
        <v>0</v>
      </c>
      <c r="P59" s="3284" t="e">
        <f t="shared" si="173"/>
        <v>#DIV/0!</v>
      </c>
      <c r="Q59" s="3468"/>
      <c r="R59" s="3275">
        <f t="shared" si="174"/>
        <v>0</v>
      </c>
      <c r="S59" s="3275">
        <f t="shared" si="174"/>
        <v>0</v>
      </c>
      <c r="T59" s="2028">
        <f t="shared" si="175"/>
        <v>0</v>
      </c>
      <c r="U59" s="3469"/>
      <c r="V59" s="3469"/>
      <c r="W59" s="3275">
        <f t="shared" si="176"/>
        <v>0</v>
      </c>
      <c r="X59" s="3275">
        <f t="shared" si="176"/>
        <v>0</v>
      </c>
      <c r="Y59" s="2028">
        <f t="shared" si="177"/>
        <v>0</v>
      </c>
      <c r="Z59" s="3469"/>
      <c r="AA59" s="3469"/>
      <c r="AB59" s="3283"/>
      <c r="AC59" s="3283"/>
      <c r="AD59" s="3283">
        <f t="shared" si="178"/>
        <v>0</v>
      </c>
      <c r="AE59" s="3284" t="e">
        <f t="shared" si="179"/>
        <v>#DIV/0!</v>
      </c>
      <c r="AF59" s="3468"/>
      <c r="AG59" s="3283"/>
      <c r="AH59" s="3283"/>
      <c r="AI59" s="3283">
        <f t="shared" si="180"/>
        <v>0</v>
      </c>
      <c r="AJ59" s="3284" t="e">
        <f t="shared" si="181"/>
        <v>#DIV/0!</v>
      </c>
      <c r="AK59" s="3468"/>
      <c r="AL59" s="3283"/>
      <c r="AM59" s="3283"/>
      <c r="AN59" s="3283">
        <f t="shared" si="182"/>
        <v>0</v>
      </c>
      <c r="AO59" s="3284" t="e">
        <f t="shared" si="183"/>
        <v>#DIV/0!</v>
      </c>
      <c r="AP59" s="3468"/>
      <c r="AQ59" s="3283"/>
      <c r="AR59" s="3283"/>
      <c r="AS59" s="3283">
        <f t="shared" si="184"/>
        <v>0</v>
      </c>
      <c r="AT59" s="3284" t="e">
        <f t="shared" si="185"/>
        <v>#DIV/0!</v>
      </c>
      <c r="AU59" s="3468"/>
      <c r="AV59" s="3283"/>
      <c r="AW59" s="3283"/>
      <c r="AX59" s="3283">
        <f t="shared" si="186"/>
        <v>0</v>
      </c>
      <c r="AY59" s="3284" t="e">
        <f t="shared" si="187"/>
        <v>#DIV/0!</v>
      </c>
      <c r="AZ59" s="3468"/>
      <c r="BA59" s="3283"/>
      <c r="BB59" s="3283"/>
      <c r="BC59" s="3283">
        <f t="shared" si="188"/>
        <v>0</v>
      </c>
      <c r="BD59" s="3284" t="e">
        <f t="shared" si="189"/>
        <v>#DIV/0!</v>
      </c>
      <c r="BE59" s="3468"/>
      <c r="BF59" s="3283"/>
      <c r="BG59" s="3283"/>
      <c r="BH59" s="3283">
        <f t="shared" si="190"/>
        <v>0</v>
      </c>
      <c r="BI59" s="3284" t="e">
        <f t="shared" si="191"/>
        <v>#DIV/0!</v>
      </c>
      <c r="BJ59" s="3468"/>
      <c r="BK59" s="3283"/>
      <c r="BL59" s="3283"/>
      <c r="BM59" s="3283">
        <f t="shared" si="192"/>
        <v>0</v>
      </c>
      <c r="BN59" s="3284" t="e">
        <f t="shared" si="193"/>
        <v>#DIV/0!</v>
      </c>
      <c r="BO59" s="3468"/>
      <c r="BP59" s="3283"/>
      <c r="BQ59" s="3283"/>
      <c r="BR59" s="3283">
        <f t="shared" si="194"/>
        <v>0</v>
      </c>
      <c r="BS59" s="3284" t="e">
        <f t="shared" si="195"/>
        <v>#DIV/0!</v>
      </c>
      <c r="BT59" s="3468"/>
      <c r="BU59" s="3283"/>
      <c r="BV59" s="3283"/>
      <c r="BW59" s="3283">
        <f t="shared" si="196"/>
        <v>0</v>
      </c>
      <c r="BX59" s="3284" t="e">
        <f t="shared" si="197"/>
        <v>#DIV/0!</v>
      </c>
      <c r="BY59" s="3468"/>
      <c r="BZ59" s="3283"/>
      <c r="CA59" s="3283"/>
      <c r="CB59" s="3283">
        <f t="shared" si="198"/>
        <v>0</v>
      </c>
      <c r="CC59" s="3284" t="e">
        <f t="shared" si="199"/>
        <v>#DIV/0!</v>
      </c>
      <c r="CD59" s="3468"/>
      <c r="CE59" s="3283"/>
      <c r="CF59" s="3283"/>
      <c r="CG59" s="3283">
        <f t="shared" si="200"/>
        <v>0</v>
      </c>
      <c r="CH59" s="3284" t="e">
        <f t="shared" si="201"/>
        <v>#DIV/0!</v>
      </c>
      <c r="CI59" s="3468"/>
      <c r="CJ59" s="3274">
        <f t="shared" si="202"/>
        <v>0</v>
      </c>
      <c r="CK59" s="3274">
        <f t="shared" si="202"/>
        <v>0</v>
      </c>
      <c r="CL59" s="2028">
        <f t="shared" si="203"/>
        <v>0</v>
      </c>
      <c r="CM59" s="3284" t="e">
        <f t="shared" si="168"/>
        <v>#DIV/0!</v>
      </c>
      <c r="CN59" s="3295"/>
      <c r="CP59" s="2028">
        <f t="shared" si="204"/>
        <v>0</v>
      </c>
      <c r="CQ59" s="2028">
        <f t="shared" si="204"/>
        <v>0</v>
      </c>
      <c r="CR59" s="3448"/>
    </row>
    <row r="60" spans="1:98" ht="13.8" outlineLevel="2" x14ac:dyDescent="0.25">
      <c r="A60" s="1586"/>
      <c r="B60" s="3310" t="s">
        <v>65</v>
      </c>
      <c r="C60" s="3283"/>
      <c r="D60" s="3283"/>
      <c r="E60" s="3283">
        <f t="shared" si="169"/>
        <v>0</v>
      </c>
      <c r="F60" s="3284" t="e">
        <f t="shared" si="133"/>
        <v>#DIV/0!</v>
      </c>
      <c r="G60" s="3468"/>
      <c r="H60" s="3283"/>
      <c r="I60" s="3283"/>
      <c r="J60" s="3283">
        <f t="shared" si="170"/>
        <v>0</v>
      </c>
      <c r="K60" s="3284" t="e">
        <f t="shared" si="171"/>
        <v>#DIV/0!</v>
      </c>
      <c r="L60" s="3468"/>
      <c r="M60" s="3283"/>
      <c r="N60" s="3283"/>
      <c r="O60" s="3283">
        <f t="shared" si="172"/>
        <v>0</v>
      </c>
      <c r="P60" s="3284" t="e">
        <f t="shared" si="173"/>
        <v>#DIV/0!</v>
      </c>
      <c r="Q60" s="3468"/>
      <c r="R60" s="3275">
        <f t="shared" si="174"/>
        <v>0</v>
      </c>
      <c r="S60" s="3275">
        <f t="shared" si="174"/>
        <v>0</v>
      </c>
      <c r="T60" s="2028">
        <f t="shared" si="175"/>
        <v>0</v>
      </c>
      <c r="U60" s="3469"/>
      <c r="V60" s="3469"/>
      <c r="W60" s="3275">
        <f t="shared" si="176"/>
        <v>0</v>
      </c>
      <c r="X60" s="3275">
        <f t="shared" si="176"/>
        <v>0</v>
      </c>
      <c r="Y60" s="2028">
        <f t="shared" si="177"/>
        <v>0</v>
      </c>
      <c r="Z60" s="3469"/>
      <c r="AA60" s="3469"/>
      <c r="AB60" s="3283"/>
      <c r="AC60" s="3283"/>
      <c r="AD60" s="3283">
        <f t="shared" si="178"/>
        <v>0</v>
      </c>
      <c r="AE60" s="3284" t="e">
        <f t="shared" si="179"/>
        <v>#DIV/0!</v>
      </c>
      <c r="AF60" s="3468"/>
      <c r="AG60" s="3283"/>
      <c r="AH60" s="3283"/>
      <c r="AI60" s="3283">
        <f t="shared" si="180"/>
        <v>0</v>
      </c>
      <c r="AJ60" s="3284" t="e">
        <f t="shared" si="181"/>
        <v>#DIV/0!</v>
      </c>
      <c r="AK60" s="3468"/>
      <c r="AL60" s="3283"/>
      <c r="AM60" s="3283"/>
      <c r="AN60" s="3283">
        <f t="shared" si="182"/>
        <v>0</v>
      </c>
      <c r="AO60" s="3284" t="e">
        <f t="shared" si="183"/>
        <v>#DIV/0!</v>
      </c>
      <c r="AP60" s="3468"/>
      <c r="AQ60" s="3283"/>
      <c r="AR60" s="3283"/>
      <c r="AS60" s="3283">
        <f t="shared" si="184"/>
        <v>0</v>
      </c>
      <c r="AT60" s="3284" t="e">
        <f t="shared" si="185"/>
        <v>#DIV/0!</v>
      </c>
      <c r="AU60" s="3468"/>
      <c r="AV60" s="3283"/>
      <c r="AW60" s="3283"/>
      <c r="AX60" s="3283">
        <f t="shared" si="186"/>
        <v>0</v>
      </c>
      <c r="AY60" s="3284" t="e">
        <f t="shared" si="187"/>
        <v>#DIV/0!</v>
      </c>
      <c r="AZ60" s="3468"/>
      <c r="BA60" s="3283"/>
      <c r="BB60" s="3283"/>
      <c r="BC60" s="3283">
        <f t="shared" si="188"/>
        <v>0</v>
      </c>
      <c r="BD60" s="3284" t="e">
        <f t="shared" si="189"/>
        <v>#DIV/0!</v>
      </c>
      <c r="BE60" s="3468"/>
      <c r="BF60" s="3283"/>
      <c r="BG60" s="3283"/>
      <c r="BH60" s="3283">
        <f t="shared" si="190"/>
        <v>0</v>
      </c>
      <c r="BI60" s="3284" t="e">
        <f t="shared" si="191"/>
        <v>#DIV/0!</v>
      </c>
      <c r="BJ60" s="3468"/>
      <c r="BK60" s="3283"/>
      <c r="BL60" s="3283"/>
      <c r="BM60" s="3283">
        <f t="shared" si="192"/>
        <v>0</v>
      </c>
      <c r="BN60" s="3284" t="e">
        <f t="shared" si="193"/>
        <v>#DIV/0!</v>
      </c>
      <c r="BO60" s="3468"/>
      <c r="BP60" s="3283"/>
      <c r="BQ60" s="3283"/>
      <c r="BR60" s="3283">
        <f t="shared" si="194"/>
        <v>0</v>
      </c>
      <c r="BS60" s="3284" t="e">
        <f t="shared" si="195"/>
        <v>#DIV/0!</v>
      </c>
      <c r="BT60" s="3468"/>
      <c r="BU60" s="3283"/>
      <c r="BV60" s="3283"/>
      <c r="BW60" s="3283">
        <f t="shared" si="196"/>
        <v>0</v>
      </c>
      <c r="BX60" s="3284" t="e">
        <f t="shared" si="197"/>
        <v>#DIV/0!</v>
      </c>
      <c r="BY60" s="3468"/>
      <c r="BZ60" s="3283"/>
      <c r="CA60" s="3283"/>
      <c r="CB60" s="3283">
        <f t="shared" si="198"/>
        <v>0</v>
      </c>
      <c r="CC60" s="3284" t="e">
        <f t="shared" si="199"/>
        <v>#DIV/0!</v>
      </c>
      <c r="CD60" s="3468"/>
      <c r="CE60" s="3283"/>
      <c r="CF60" s="3283"/>
      <c r="CG60" s="3283">
        <f t="shared" si="200"/>
        <v>0</v>
      </c>
      <c r="CH60" s="3284" t="e">
        <f t="shared" si="201"/>
        <v>#DIV/0!</v>
      </c>
      <c r="CI60" s="3468"/>
      <c r="CJ60" s="3274">
        <f t="shared" si="202"/>
        <v>0</v>
      </c>
      <c r="CK60" s="3274">
        <f t="shared" si="202"/>
        <v>0</v>
      </c>
      <c r="CL60" s="2028">
        <f t="shared" si="203"/>
        <v>0</v>
      </c>
      <c r="CM60" s="3284" t="e">
        <f t="shared" si="168"/>
        <v>#DIV/0!</v>
      </c>
      <c r="CN60" s="3295"/>
      <c r="CP60" s="2028">
        <f t="shared" si="204"/>
        <v>0</v>
      </c>
      <c r="CQ60" s="2028">
        <f t="shared" si="204"/>
        <v>0</v>
      </c>
      <c r="CR60" s="3448"/>
    </row>
    <row r="61" spans="1:98" ht="13.8" outlineLevel="2" x14ac:dyDescent="0.25">
      <c r="A61" s="1586"/>
      <c r="B61" s="3310" t="s">
        <v>32</v>
      </c>
      <c r="C61" s="3283"/>
      <c r="D61" s="3283"/>
      <c r="E61" s="3283">
        <f t="shared" si="169"/>
        <v>0</v>
      </c>
      <c r="F61" s="3284" t="e">
        <f t="shared" si="133"/>
        <v>#DIV/0!</v>
      </c>
      <c r="G61" s="3468"/>
      <c r="H61" s="3283"/>
      <c r="I61" s="3283"/>
      <c r="J61" s="3283">
        <f t="shared" si="170"/>
        <v>0</v>
      </c>
      <c r="K61" s="3284" t="e">
        <f t="shared" si="171"/>
        <v>#DIV/0!</v>
      </c>
      <c r="L61" s="3468"/>
      <c r="M61" s="3283"/>
      <c r="N61" s="3283"/>
      <c r="O61" s="3283">
        <f t="shared" si="172"/>
        <v>0</v>
      </c>
      <c r="P61" s="3284" t="e">
        <f t="shared" si="173"/>
        <v>#DIV/0!</v>
      </c>
      <c r="Q61" s="3468"/>
      <c r="R61" s="3275">
        <f t="shared" si="174"/>
        <v>0</v>
      </c>
      <c r="S61" s="3275">
        <f t="shared" si="174"/>
        <v>0</v>
      </c>
      <c r="T61" s="2028">
        <f t="shared" si="175"/>
        <v>0</v>
      </c>
      <c r="U61" s="3469"/>
      <c r="V61" s="3469"/>
      <c r="W61" s="3275">
        <f t="shared" si="176"/>
        <v>0</v>
      </c>
      <c r="X61" s="3275">
        <f t="shared" si="176"/>
        <v>0</v>
      </c>
      <c r="Y61" s="2028">
        <f t="shared" si="177"/>
        <v>0</v>
      </c>
      <c r="Z61" s="3469"/>
      <c r="AA61" s="3469"/>
      <c r="AB61" s="3283"/>
      <c r="AC61" s="3283"/>
      <c r="AD61" s="3283">
        <f t="shared" si="178"/>
        <v>0</v>
      </c>
      <c r="AE61" s="3284" t="e">
        <f t="shared" si="179"/>
        <v>#DIV/0!</v>
      </c>
      <c r="AF61" s="3468"/>
      <c r="AG61" s="3283"/>
      <c r="AH61" s="3283"/>
      <c r="AI61" s="3283">
        <f t="shared" si="180"/>
        <v>0</v>
      </c>
      <c r="AJ61" s="3284" t="e">
        <f t="shared" si="181"/>
        <v>#DIV/0!</v>
      </c>
      <c r="AK61" s="3468"/>
      <c r="AL61" s="3283"/>
      <c r="AM61" s="3283"/>
      <c r="AN61" s="3283">
        <f t="shared" si="182"/>
        <v>0</v>
      </c>
      <c r="AO61" s="3284" t="e">
        <f t="shared" si="183"/>
        <v>#DIV/0!</v>
      </c>
      <c r="AP61" s="3468"/>
      <c r="AQ61" s="3283"/>
      <c r="AR61" s="3283"/>
      <c r="AS61" s="3283">
        <f t="shared" si="184"/>
        <v>0</v>
      </c>
      <c r="AT61" s="3284" t="e">
        <f t="shared" si="185"/>
        <v>#DIV/0!</v>
      </c>
      <c r="AU61" s="3468"/>
      <c r="AV61" s="3283"/>
      <c r="AW61" s="3283"/>
      <c r="AX61" s="3283">
        <f t="shared" si="186"/>
        <v>0</v>
      </c>
      <c r="AY61" s="3284" t="e">
        <f t="shared" si="187"/>
        <v>#DIV/0!</v>
      </c>
      <c r="AZ61" s="3468"/>
      <c r="BA61" s="3283"/>
      <c r="BB61" s="3283"/>
      <c r="BC61" s="3283">
        <f t="shared" si="188"/>
        <v>0</v>
      </c>
      <c r="BD61" s="3284" t="e">
        <f t="shared" si="189"/>
        <v>#DIV/0!</v>
      </c>
      <c r="BE61" s="3468"/>
      <c r="BF61" s="3283"/>
      <c r="BG61" s="3283"/>
      <c r="BH61" s="3283">
        <f t="shared" si="190"/>
        <v>0</v>
      </c>
      <c r="BI61" s="3284" t="e">
        <f t="shared" si="191"/>
        <v>#DIV/0!</v>
      </c>
      <c r="BJ61" s="3468"/>
      <c r="BK61" s="3283"/>
      <c r="BL61" s="3283"/>
      <c r="BM61" s="3283">
        <f t="shared" si="192"/>
        <v>0</v>
      </c>
      <c r="BN61" s="3284" t="e">
        <f t="shared" si="193"/>
        <v>#DIV/0!</v>
      </c>
      <c r="BO61" s="3468"/>
      <c r="BP61" s="3283"/>
      <c r="BQ61" s="3283"/>
      <c r="BR61" s="3283">
        <f t="shared" si="194"/>
        <v>0</v>
      </c>
      <c r="BS61" s="3284" t="e">
        <f t="shared" si="195"/>
        <v>#DIV/0!</v>
      </c>
      <c r="BT61" s="3468"/>
      <c r="BU61" s="3283"/>
      <c r="BV61" s="3283"/>
      <c r="BW61" s="3283">
        <f t="shared" si="196"/>
        <v>0</v>
      </c>
      <c r="BX61" s="3284" t="e">
        <f t="shared" si="197"/>
        <v>#DIV/0!</v>
      </c>
      <c r="BY61" s="3468"/>
      <c r="BZ61" s="3283"/>
      <c r="CA61" s="3283"/>
      <c r="CB61" s="3283">
        <f t="shared" si="198"/>
        <v>0</v>
      </c>
      <c r="CC61" s="3284" t="e">
        <f t="shared" si="199"/>
        <v>#DIV/0!</v>
      </c>
      <c r="CD61" s="3468"/>
      <c r="CE61" s="3283"/>
      <c r="CF61" s="3283"/>
      <c r="CG61" s="3283">
        <f t="shared" si="200"/>
        <v>0</v>
      </c>
      <c r="CH61" s="3284" t="e">
        <f t="shared" si="201"/>
        <v>#DIV/0!</v>
      </c>
      <c r="CI61" s="3468"/>
      <c r="CJ61" s="3274">
        <f t="shared" si="202"/>
        <v>0</v>
      </c>
      <c r="CK61" s="3274">
        <f t="shared" si="202"/>
        <v>0</v>
      </c>
      <c r="CL61" s="2028">
        <f t="shared" si="203"/>
        <v>0</v>
      </c>
      <c r="CM61" s="3284" t="e">
        <f t="shared" si="168"/>
        <v>#DIV/0!</v>
      </c>
      <c r="CN61" s="3295"/>
      <c r="CP61" s="2028">
        <f t="shared" si="204"/>
        <v>0</v>
      </c>
      <c r="CQ61" s="2028">
        <f t="shared" si="204"/>
        <v>0</v>
      </c>
      <c r="CR61" s="3448"/>
    </row>
    <row r="62" spans="1:98" ht="13.8" outlineLevel="2" x14ac:dyDescent="0.25">
      <c r="A62" s="1586"/>
      <c r="B62" s="3310" t="s">
        <v>33</v>
      </c>
      <c r="C62" s="3283"/>
      <c r="D62" s="3283"/>
      <c r="E62" s="3283">
        <f t="shared" si="169"/>
        <v>0</v>
      </c>
      <c r="F62" s="3284" t="e">
        <f t="shared" si="133"/>
        <v>#DIV/0!</v>
      </c>
      <c r="G62" s="3468"/>
      <c r="H62" s="3283"/>
      <c r="I62" s="3283"/>
      <c r="J62" s="3283">
        <f t="shared" si="170"/>
        <v>0</v>
      </c>
      <c r="K62" s="3284" t="e">
        <f t="shared" si="171"/>
        <v>#DIV/0!</v>
      </c>
      <c r="L62" s="3468"/>
      <c r="M62" s="3283"/>
      <c r="N62" s="3283"/>
      <c r="O62" s="3283">
        <f t="shared" si="172"/>
        <v>0</v>
      </c>
      <c r="P62" s="3284" t="e">
        <f t="shared" si="173"/>
        <v>#DIV/0!</v>
      </c>
      <c r="Q62" s="3468"/>
      <c r="R62" s="3275">
        <f t="shared" si="174"/>
        <v>0</v>
      </c>
      <c r="S62" s="3275">
        <f t="shared" si="174"/>
        <v>0</v>
      </c>
      <c r="T62" s="2028">
        <f t="shared" si="175"/>
        <v>0</v>
      </c>
      <c r="U62" s="3469"/>
      <c r="V62" s="3469"/>
      <c r="W62" s="3275">
        <f t="shared" si="176"/>
        <v>0</v>
      </c>
      <c r="X62" s="3275">
        <f t="shared" si="176"/>
        <v>0</v>
      </c>
      <c r="Y62" s="2028">
        <f t="shared" si="177"/>
        <v>0</v>
      </c>
      <c r="Z62" s="3469"/>
      <c r="AA62" s="3469"/>
      <c r="AB62" s="3283"/>
      <c r="AC62" s="3283"/>
      <c r="AD62" s="3283">
        <f t="shared" si="178"/>
        <v>0</v>
      </c>
      <c r="AE62" s="3284" t="e">
        <f t="shared" si="179"/>
        <v>#DIV/0!</v>
      </c>
      <c r="AF62" s="3468"/>
      <c r="AG62" s="3283"/>
      <c r="AH62" s="3283"/>
      <c r="AI62" s="3283">
        <f t="shared" si="180"/>
        <v>0</v>
      </c>
      <c r="AJ62" s="3284" t="e">
        <f t="shared" si="181"/>
        <v>#DIV/0!</v>
      </c>
      <c r="AK62" s="3468"/>
      <c r="AL62" s="3283"/>
      <c r="AM62" s="3283"/>
      <c r="AN62" s="3283">
        <f t="shared" si="182"/>
        <v>0</v>
      </c>
      <c r="AO62" s="3284" t="e">
        <f t="shared" si="183"/>
        <v>#DIV/0!</v>
      </c>
      <c r="AP62" s="3468"/>
      <c r="AQ62" s="3283"/>
      <c r="AR62" s="3283"/>
      <c r="AS62" s="3283">
        <f t="shared" si="184"/>
        <v>0</v>
      </c>
      <c r="AT62" s="3284" t="e">
        <f t="shared" si="185"/>
        <v>#DIV/0!</v>
      </c>
      <c r="AU62" s="3468"/>
      <c r="AV62" s="3283"/>
      <c r="AW62" s="3283"/>
      <c r="AX62" s="3283">
        <f t="shared" si="186"/>
        <v>0</v>
      </c>
      <c r="AY62" s="3284" t="e">
        <f t="shared" si="187"/>
        <v>#DIV/0!</v>
      </c>
      <c r="AZ62" s="3468"/>
      <c r="BA62" s="3283"/>
      <c r="BB62" s="3283"/>
      <c r="BC62" s="3283">
        <f t="shared" si="188"/>
        <v>0</v>
      </c>
      <c r="BD62" s="3284" t="e">
        <f t="shared" si="189"/>
        <v>#DIV/0!</v>
      </c>
      <c r="BE62" s="3468"/>
      <c r="BF62" s="3283"/>
      <c r="BG62" s="3283"/>
      <c r="BH62" s="3283">
        <f t="shared" si="190"/>
        <v>0</v>
      </c>
      <c r="BI62" s="3284" t="e">
        <f t="shared" si="191"/>
        <v>#DIV/0!</v>
      </c>
      <c r="BJ62" s="3468"/>
      <c r="BK62" s="3283"/>
      <c r="BL62" s="3283"/>
      <c r="BM62" s="3283">
        <f t="shared" si="192"/>
        <v>0</v>
      </c>
      <c r="BN62" s="3284" t="e">
        <f t="shared" si="193"/>
        <v>#DIV/0!</v>
      </c>
      <c r="BO62" s="3468"/>
      <c r="BP62" s="3283"/>
      <c r="BQ62" s="3283"/>
      <c r="BR62" s="3283">
        <f t="shared" si="194"/>
        <v>0</v>
      </c>
      <c r="BS62" s="3284" t="e">
        <f t="shared" si="195"/>
        <v>#DIV/0!</v>
      </c>
      <c r="BT62" s="3468"/>
      <c r="BU62" s="3283"/>
      <c r="BV62" s="3283"/>
      <c r="BW62" s="3283">
        <f t="shared" si="196"/>
        <v>0</v>
      </c>
      <c r="BX62" s="3284" t="e">
        <f t="shared" si="197"/>
        <v>#DIV/0!</v>
      </c>
      <c r="BY62" s="3468"/>
      <c r="BZ62" s="3283"/>
      <c r="CA62" s="3283"/>
      <c r="CB62" s="3283">
        <f t="shared" si="198"/>
        <v>0</v>
      </c>
      <c r="CC62" s="3284" t="e">
        <f t="shared" si="199"/>
        <v>#DIV/0!</v>
      </c>
      <c r="CD62" s="3468"/>
      <c r="CE62" s="3283"/>
      <c r="CF62" s="3283"/>
      <c r="CG62" s="3283">
        <f t="shared" si="200"/>
        <v>0</v>
      </c>
      <c r="CH62" s="3284" t="e">
        <f t="shared" si="201"/>
        <v>#DIV/0!</v>
      </c>
      <c r="CI62" s="3468"/>
      <c r="CJ62" s="3274">
        <f t="shared" si="202"/>
        <v>0</v>
      </c>
      <c r="CK62" s="3274">
        <f t="shared" si="202"/>
        <v>0</v>
      </c>
      <c r="CL62" s="2028">
        <f t="shared" si="203"/>
        <v>0</v>
      </c>
      <c r="CM62" s="3284" t="e">
        <f t="shared" si="168"/>
        <v>#DIV/0!</v>
      </c>
      <c r="CN62" s="3295"/>
      <c r="CP62" s="2028">
        <f t="shared" si="204"/>
        <v>0</v>
      </c>
      <c r="CQ62" s="2028">
        <f t="shared" si="204"/>
        <v>0</v>
      </c>
      <c r="CR62" s="3448"/>
    </row>
    <row r="63" spans="1:98" ht="13.8" outlineLevel="2" x14ac:dyDescent="0.25">
      <c r="A63" s="1586"/>
      <c r="B63" s="3310" t="s">
        <v>35</v>
      </c>
      <c r="C63" s="3283"/>
      <c r="D63" s="3283"/>
      <c r="E63" s="3283">
        <f t="shared" si="169"/>
        <v>0</v>
      </c>
      <c r="F63" s="3284" t="e">
        <f t="shared" si="133"/>
        <v>#DIV/0!</v>
      </c>
      <c r="G63" s="3468"/>
      <c r="H63" s="3283"/>
      <c r="I63" s="3283"/>
      <c r="J63" s="3283">
        <f t="shared" si="170"/>
        <v>0</v>
      </c>
      <c r="K63" s="3284" t="e">
        <f t="shared" si="171"/>
        <v>#DIV/0!</v>
      </c>
      <c r="L63" s="3468"/>
      <c r="M63" s="3283"/>
      <c r="N63" s="3283"/>
      <c r="O63" s="3283">
        <f t="shared" si="172"/>
        <v>0</v>
      </c>
      <c r="P63" s="3284" t="e">
        <f t="shared" si="173"/>
        <v>#DIV/0!</v>
      </c>
      <c r="Q63" s="3468"/>
      <c r="R63" s="3275">
        <f t="shared" si="174"/>
        <v>0</v>
      </c>
      <c r="S63" s="3275">
        <f t="shared" si="174"/>
        <v>0</v>
      </c>
      <c r="T63" s="2028">
        <f t="shared" si="175"/>
        <v>0</v>
      </c>
      <c r="U63" s="3469"/>
      <c r="V63" s="3469"/>
      <c r="W63" s="3275">
        <f t="shared" si="176"/>
        <v>0</v>
      </c>
      <c r="X63" s="3275">
        <f t="shared" si="176"/>
        <v>0</v>
      </c>
      <c r="Y63" s="2028">
        <f t="shared" si="177"/>
        <v>0</v>
      </c>
      <c r="Z63" s="3469"/>
      <c r="AA63" s="3469"/>
      <c r="AB63" s="3283"/>
      <c r="AC63" s="3283"/>
      <c r="AD63" s="3283">
        <f t="shared" si="178"/>
        <v>0</v>
      </c>
      <c r="AE63" s="3284" t="e">
        <f t="shared" si="179"/>
        <v>#DIV/0!</v>
      </c>
      <c r="AF63" s="3468"/>
      <c r="AG63" s="3283"/>
      <c r="AH63" s="3283"/>
      <c r="AI63" s="3283">
        <f t="shared" si="180"/>
        <v>0</v>
      </c>
      <c r="AJ63" s="3284" t="e">
        <f t="shared" si="181"/>
        <v>#DIV/0!</v>
      </c>
      <c r="AK63" s="3468"/>
      <c r="AL63" s="3283"/>
      <c r="AM63" s="3283"/>
      <c r="AN63" s="3283">
        <f t="shared" si="182"/>
        <v>0</v>
      </c>
      <c r="AO63" s="3284" t="e">
        <f t="shared" si="183"/>
        <v>#DIV/0!</v>
      </c>
      <c r="AP63" s="3468"/>
      <c r="AQ63" s="3283"/>
      <c r="AR63" s="3283"/>
      <c r="AS63" s="3283">
        <f t="shared" si="184"/>
        <v>0</v>
      </c>
      <c r="AT63" s="3284" t="e">
        <f t="shared" si="185"/>
        <v>#DIV/0!</v>
      </c>
      <c r="AU63" s="3468"/>
      <c r="AV63" s="3283"/>
      <c r="AW63" s="3283"/>
      <c r="AX63" s="3283">
        <f t="shared" si="186"/>
        <v>0</v>
      </c>
      <c r="AY63" s="3284" t="e">
        <f t="shared" si="187"/>
        <v>#DIV/0!</v>
      </c>
      <c r="AZ63" s="3468"/>
      <c r="BA63" s="3283"/>
      <c r="BB63" s="3283"/>
      <c r="BC63" s="3283">
        <f t="shared" si="188"/>
        <v>0</v>
      </c>
      <c r="BD63" s="3284" t="e">
        <f t="shared" si="189"/>
        <v>#DIV/0!</v>
      </c>
      <c r="BE63" s="3468"/>
      <c r="BF63" s="3283"/>
      <c r="BG63" s="3283"/>
      <c r="BH63" s="3283">
        <f t="shared" si="190"/>
        <v>0</v>
      </c>
      <c r="BI63" s="3284" t="e">
        <f t="shared" si="191"/>
        <v>#DIV/0!</v>
      </c>
      <c r="BJ63" s="3468"/>
      <c r="BK63" s="3283"/>
      <c r="BL63" s="3283"/>
      <c r="BM63" s="3283">
        <f t="shared" si="192"/>
        <v>0</v>
      </c>
      <c r="BN63" s="3284" t="e">
        <f t="shared" si="193"/>
        <v>#DIV/0!</v>
      </c>
      <c r="BO63" s="3468"/>
      <c r="BP63" s="3283"/>
      <c r="BQ63" s="3283"/>
      <c r="BR63" s="3283">
        <f t="shared" si="194"/>
        <v>0</v>
      </c>
      <c r="BS63" s="3284" t="e">
        <f t="shared" si="195"/>
        <v>#DIV/0!</v>
      </c>
      <c r="BT63" s="3468"/>
      <c r="BU63" s="3283"/>
      <c r="BV63" s="3283"/>
      <c r="BW63" s="3283">
        <f t="shared" si="196"/>
        <v>0</v>
      </c>
      <c r="BX63" s="3284" t="e">
        <f t="shared" si="197"/>
        <v>#DIV/0!</v>
      </c>
      <c r="BY63" s="3468"/>
      <c r="BZ63" s="3283"/>
      <c r="CA63" s="3283"/>
      <c r="CB63" s="3283">
        <f t="shared" si="198"/>
        <v>0</v>
      </c>
      <c r="CC63" s="3284" t="e">
        <f t="shared" si="199"/>
        <v>#DIV/0!</v>
      </c>
      <c r="CD63" s="3468"/>
      <c r="CE63" s="3283"/>
      <c r="CF63" s="3283"/>
      <c r="CG63" s="3283">
        <f t="shared" si="200"/>
        <v>0</v>
      </c>
      <c r="CH63" s="3284" t="e">
        <f t="shared" si="201"/>
        <v>#DIV/0!</v>
      </c>
      <c r="CI63" s="3468"/>
      <c r="CJ63" s="3274">
        <f t="shared" si="202"/>
        <v>0</v>
      </c>
      <c r="CK63" s="3274">
        <f t="shared" si="202"/>
        <v>0</v>
      </c>
      <c r="CL63" s="2028">
        <f t="shared" si="203"/>
        <v>0</v>
      </c>
      <c r="CM63" s="3284" t="e">
        <f t="shared" si="168"/>
        <v>#DIV/0!</v>
      </c>
      <c r="CN63" s="3295"/>
      <c r="CP63" s="2028">
        <f t="shared" si="204"/>
        <v>0</v>
      </c>
      <c r="CQ63" s="2028">
        <f t="shared" si="204"/>
        <v>0</v>
      </c>
      <c r="CR63" s="3448"/>
    </row>
    <row r="64" spans="1:98" ht="13.8" outlineLevel="2" x14ac:dyDescent="0.25">
      <c r="A64" s="1586"/>
      <c r="B64" s="3310" t="s">
        <v>63</v>
      </c>
      <c r="C64" s="3283"/>
      <c r="D64" s="3283"/>
      <c r="E64" s="3283">
        <f t="shared" si="169"/>
        <v>0</v>
      </c>
      <c r="F64" s="3284" t="e">
        <f t="shared" si="133"/>
        <v>#DIV/0!</v>
      </c>
      <c r="G64" s="3468"/>
      <c r="H64" s="3283"/>
      <c r="I64" s="3283"/>
      <c r="J64" s="3283">
        <f t="shared" si="170"/>
        <v>0</v>
      </c>
      <c r="K64" s="3284" t="e">
        <f t="shared" si="171"/>
        <v>#DIV/0!</v>
      </c>
      <c r="L64" s="3468"/>
      <c r="M64" s="3283"/>
      <c r="N64" s="3283"/>
      <c r="O64" s="3283">
        <f t="shared" si="172"/>
        <v>0</v>
      </c>
      <c r="P64" s="3284" t="e">
        <f t="shared" si="173"/>
        <v>#DIV/0!</v>
      </c>
      <c r="Q64" s="3468"/>
      <c r="R64" s="3275">
        <f t="shared" si="174"/>
        <v>0</v>
      </c>
      <c r="S64" s="3275">
        <f t="shared" si="174"/>
        <v>0</v>
      </c>
      <c r="T64" s="2028">
        <f t="shared" si="175"/>
        <v>0</v>
      </c>
      <c r="U64" s="3469"/>
      <c r="V64" s="3469"/>
      <c r="W64" s="3275">
        <f t="shared" si="176"/>
        <v>0</v>
      </c>
      <c r="X64" s="3275">
        <f t="shared" si="176"/>
        <v>0</v>
      </c>
      <c r="Y64" s="2028">
        <f t="shared" si="177"/>
        <v>0</v>
      </c>
      <c r="Z64" s="3469"/>
      <c r="AA64" s="3469"/>
      <c r="AB64" s="3283"/>
      <c r="AC64" s="3283"/>
      <c r="AD64" s="3283">
        <f t="shared" si="178"/>
        <v>0</v>
      </c>
      <c r="AE64" s="3284" t="e">
        <f t="shared" si="179"/>
        <v>#DIV/0!</v>
      </c>
      <c r="AF64" s="3468"/>
      <c r="AG64" s="3283"/>
      <c r="AH64" s="3283"/>
      <c r="AI64" s="3283">
        <f t="shared" si="180"/>
        <v>0</v>
      </c>
      <c r="AJ64" s="3284" t="e">
        <f t="shared" si="181"/>
        <v>#DIV/0!</v>
      </c>
      <c r="AK64" s="3468"/>
      <c r="AL64" s="3283"/>
      <c r="AM64" s="3283"/>
      <c r="AN64" s="3283">
        <f t="shared" si="182"/>
        <v>0</v>
      </c>
      <c r="AO64" s="3284" t="e">
        <f t="shared" si="183"/>
        <v>#DIV/0!</v>
      </c>
      <c r="AP64" s="3468"/>
      <c r="AQ64" s="3283"/>
      <c r="AR64" s="3283"/>
      <c r="AS64" s="3283">
        <f t="shared" si="184"/>
        <v>0</v>
      </c>
      <c r="AT64" s="3284" t="e">
        <f t="shared" si="185"/>
        <v>#DIV/0!</v>
      </c>
      <c r="AU64" s="3468"/>
      <c r="AV64" s="3283"/>
      <c r="AW64" s="3283"/>
      <c r="AX64" s="3283">
        <f t="shared" si="186"/>
        <v>0</v>
      </c>
      <c r="AY64" s="3284" t="e">
        <f t="shared" si="187"/>
        <v>#DIV/0!</v>
      </c>
      <c r="AZ64" s="3468"/>
      <c r="BA64" s="3283"/>
      <c r="BB64" s="3283"/>
      <c r="BC64" s="3283">
        <f t="shared" si="188"/>
        <v>0</v>
      </c>
      <c r="BD64" s="3284" t="e">
        <f t="shared" si="189"/>
        <v>#DIV/0!</v>
      </c>
      <c r="BE64" s="3468"/>
      <c r="BF64" s="3283"/>
      <c r="BG64" s="3283"/>
      <c r="BH64" s="3283">
        <f t="shared" si="190"/>
        <v>0</v>
      </c>
      <c r="BI64" s="3284" t="e">
        <f t="shared" si="191"/>
        <v>#DIV/0!</v>
      </c>
      <c r="BJ64" s="3468"/>
      <c r="BK64" s="3283"/>
      <c r="BL64" s="3283"/>
      <c r="BM64" s="3283">
        <f t="shared" si="192"/>
        <v>0</v>
      </c>
      <c r="BN64" s="3284" t="e">
        <f t="shared" si="193"/>
        <v>#DIV/0!</v>
      </c>
      <c r="BO64" s="3468"/>
      <c r="BP64" s="3283"/>
      <c r="BQ64" s="3283"/>
      <c r="BR64" s="3283">
        <f t="shared" si="194"/>
        <v>0</v>
      </c>
      <c r="BS64" s="3284" t="e">
        <f t="shared" si="195"/>
        <v>#DIV/0!</v>
      </c>
      <c r="BT64" s="3468"/>
      <c r="BU64" s="3283"/>
      <c r="BV64" s="3283"/>
      <c r="BW64" s="3283">
        <f t="shared" si="196"/>
        <v>0</v>
      </c>
      <c r="BX64" s="3284" t="e">
        <f t="shared" si="197"/>
        <v>#DIV/0!</v>
      </c>
      <c r="BY64" s="3468"/>
      <c r="BZ64" s="3283"/>
      <c r="CA64" s="3283"/>
      <c r="CB64" s="3283">
        <f t="shared" si="198"/>
        <v>0</v>
      </c>
      <c r="CC64" s="3284" t="e">
        <f t="shared" si="199"/>
        <v>#DIV/0!</v>
      </c>
      <c r="CD64" s="3468"/>
      <c r="CE64" s="3283"/>
      <c r="CF64" s="3283"/>
      <c r="CG64" s="3283">
        <f t="shared" si="200"/>
        <v>0</v>
      </c>
      <c r="CH64" s="3284" t="e">
        <f t="shared" si="201"/>
        <v>#DIV/0!</v>
      </c>
      <c r="CI64" s="3468"/>
      <c r="CJ64" s="3274">
        <f t="shared" si="202"/>
        <v>0</v>
      </c>
      <c r="CK64" s="3274">
        <f t="shared" si="202"/>
        <v>0</v>
      </c>
      <c r="CL64" s="2028">
        <f t="shared" si="203"/>
        <v>0</v>
      </c>
      <c r="CM64" s="3284" t="e">
        <f t="shared" si="168"/>
        <v>#DIV/0!</v>
      </c>
      <c r="CN64" s="3295"/>
      <c r="CP64" s="2028">
        <f t="shared" si="204"/>
        <v>0</v>
      </c>
      <c r="CQ64" s="2028">
        <f t="shared" si="204"/>
        <v>0</v>
      </c>
      <c r="CR64" s="3448"/>
    </row>
    <row r="65" spans="1:98" ht="13.8" outlineLevel="2" x14ac:dyDescent="0.25">
      <c r="A65" s="1586"/>
      <c r="B65" s="3310" t="s">
        <v>36</v>
      </c>
      <c r="C65" s="3274"/>
      <c r="D65" s="3274"/>
      <c r="E65" s="3283">
        <f t="shared" si="169"/>
        <v>0</v>
      </c>
      <c r="F65" s="3284" t="e">
        <f t="shared" si="133"/>
        <v>#DIV/0!</v>
      </c>
      <c r="G65" s="3468"/>
      <c r="H65" s="3274"/>
      <c r="I65" s="3274"/>
      <c r="J65" s="3283">
        <f t="shared" si="170"/>
        <v>0</v>
      </c>
      <c r="K65" s="3284" t="e">
        <f t="shared" si="171"/>
        <v>#DIV/0!</v>
      </c>
      <c r="L65" s="3468"/>
      <c r="M65" s="3274"/>
      <c r="N65" s="3274"/>
      <c r="O65" s="3283">
        <f t="shared" si="172"/>
        <v>0</v>
      </c>
      <c r="P65" s="3284" t="e">
        <f t="shared" si="173"/>
        <v>#DIV/0!</v>
      </c>
      <c r="Q65" s="3468"/>
      <c r="R65" s="3275">
        <f t="shared" si="174"/>
        <v>0</v>
      </c>
      <c r="S65" s="3275">
        <f t="shared" si="174"/>
        <v>0</v>
      </c>
      <c r="T65" s="2028">
        <f t="shared" si="175"/>
        <v>0</v>
      </c>
      <c r="U65" s="3469"/>
      <c r="V65" s="3469"/>
      <c r="W65" s="3275">
        <f t="shared" si="176"/>
        <v>0</v>
      </c>
      <c r="X65" s="3275">
        <f t="shared" si="176"/>
        <v>0</v>
      </c>
      <c r="Y65" s="2028">
        <f t="shared" si="177"/>
        <v>0</v>
      </c>
      <c r="Z65" s="3469"/>
      <c r="AA65" s="3469"/>
      <c r="AB65" s="3274"/>
      <c r="AC65" s="3274"/>
      <c r="AD65" s="3283">
        <f t="shared" si="178"/>
        <v>0</v>
      </c>
      <c r="AE65" s="3284" t="e">
        <f t="shared" si="179"/>
        <v>#DIV/0!</v>
      </c>
      <c r="AF65" s="3468"/>
      <c r="AG65" s="3274"/>
      <c r="AH65" s="3274"/>
      <c r="AI65" s="3283">
        <f t="shared" si="180"/>
        <v>0</v>
      </c>
      <c r="AJ65" s="3284" t="e">
        <f t="shared" si="181"/>
        <v>#DIV/0!</v>
      </c>
      <c r="AK65" s="3468"/>
      <c r="AL65" s="3274"/>
      <c r="AM65" s="3274"/>
      <c r="AN65" s="3283">
        <f t="shared" si="182"/>
        <v>0</v>
      </c>
      <c r="AO65" s="3284" t="e">
        <f t="shared" si="183"/>
        <v>#DIV/0!</v>
      </c>
      <c r="AP65" s="3468"/>
      <c r="AQ65" s="3274"/>
      <c r="AR65" s="3274"/>
      <c r="AS65" s="3283">
        <f t="shared" si="184"/>
        <v>0</v>
      </c>
      <c r="AT65" s="3284" t="e">
        <f t="shared" si="185"/>
        <v>#DIV/0!</v>
      </c>
      <c r="AU65" s="3468"/>
      <c r="AV65" s="3274"/>
      <c r="AW65" s="3274"/>
      <c r="AX65" s="3283">
        <f t="shared" si="186"/>
        <v>0</v>
      </c>
      <c r="AY65" s="3284" t="e">
        <f t="shared" si="187"/>
        <v>#DIV/0!</v>
      </c>
      <c r="AZ65" s="3468"/>
      <c r="BA65" s="3274"/>
      <c r="BB65" s="3274"/>
      <c r="BC65" s="3283">
        <f t="shared" si="188"/>
        <v>0</v>
      </c>
      <c r="BD65" s="3284" t="e">
        <f t="shared" si="189"/>
        <v>#DIV/0!</v>
      </c>
      <c r="BE65" s="3468"/>
      <c r="BF65" s="3274"/>
      <c r="BG65" s="3274"/>
      <c r="BH65" s="3283">
        <f t="shared" si="190"/>
        <v>0</v>
      </c>
      <c r="BI65" s="3284" t="e">
        <f t="shared" si="191"/>
        <v>#DIV/0!</v>
      </c>
      <c r="BJ65" s="3468"/>
      <c r="BK65" s="3274"/>
      <c r="BL65" s="3274"/>
      <c r="BM65" s="3283">
        <f t="shared" si="192"/>
        <v>0</v>
      </c>
      <c r="BN65" s="3284" t="e">
        <f t="shared" si="193"/>
        <v>#DIV/0!</v>
      </c>
      <c r="BO65" s="3468"/>
      <c r="BP65" s="3274"/>
      <c r="BQ65" s="3274"/>
      <c r="BR65" s="3283">
        <f t="shared" si="194"/>
        <v>0</v>
      </c>
      <c r="BS65" s="3284" t="e">
        <f t="shared" si="195"/>
        <v>#DIV/0!</v>
      </c>
      <c r="BT65" s="3468"/>
      <c r="BU65" s="3274"/>
      <c r="BV65" s="3274"/>
      <c r="BW65" s="3283">
        <f t="shared" si="196"/>
        <v>0</v>
      </c>
      <c r="BX65" s="3284" t="e">
        <f t="shared" si="197"/>
        <v>#DIV/0!</v>
      </c>
      <c r="BY65" s="3468"/>
      <c r="BZ65" s="3274"/>
      <c r="CA65" s="3274"/>
      <c r="CB65" s="3283">
        <f t="shared" si="198"/>
        <v>0</v>
      </c>
      <c r="CC65" s="3284" t="e">
        <f t="shared" si="199"/>
        <v>#DIV/0!</v>
      </c>
      <c r="CD65" s="3468"/>
      <c r="CE65" s="3274"/>
      <c r="CF65" s="3274"/>
      <c r="CG65" s="3283">
        <f t="shared" si="200"/>
        <v>0</v>
      </c>
      <c r="CH65" s="3284" t="e">
        <f t="shared" si="201"/>
        <v>#DIV/0!</v>
      </c>
      <c r="CI65" s="3468"/>
      <c r="CJ65" s="3274">
        <f t="shared" si="202"/>
        <v>0</v>
      </c>
      <c r="CK65" s="3274">
        <f t="shared" si="202"/>
        <v>0</v>
      </c>
      <c r="CL65" s="2028">
        <f t="shared" si="203"/>
        <v>0</v>
      </c>
      <c r="CM65" s="3284" t="e">
        <f t="shared" si="168"/>
        <v>#DIV/0!</v>
      </c>
      <c r="CN65" s="3295"/>
      <c r="CP65" s="2028">
        <f t="shared" si="204"/>
        <v>0</v>
      </c>
      <c r="CQ65" s="2028">
        <f t="shared" si="204"/>
        <v>0</v>
      </c>
      <c r="CR65" s="3448"/>
    </row>
    <row r="66" spans="1:98" s="1411" customFormat="1" ht="13.8" outlineLevel="2" x14ac:dyDescent="0.25">
      <c r="A66" s="1586"/>
      <c r="B66" s="3310" t="s">
        <v>37</v>
      </c>
      <c r="C66" s="3274"/>
      <c r="D66" s="3274"/>
      <c r="E66" s="3283">
        <f t="shared" si="169"/>
        <v>0</v>
      </c>
      <c r="F66" s="3284" t="e">
        <f t="shared" si="133"/>
        <v>#DIV/0!</v>
      </c>
      <c r="G66" s="3468"/>
      <c r="H66" s="3274"/>
      <c r="I66" s="3274"/>
      <c r="J66" s="3283">
        <f t="shared" si="170"/>
        <v>0</v>
      </c>
      <c r="K66" s="3284" t="e">
        <f t="shared" si="171"/>
        <v>#DIV/0!</v>
      </c>
      <c r="L66" s="3468"/>
      <c r="M66" s="3274"/>
      <c r="N66" s="3274"/>
      <c r="O66" s="3283">
        <f t="shared" si="172"/>
        <v>0</v>
      </c>
      <c r="P66" s="3284" t="e">
        <f t="shared" si="173"/>
        <v>#DIV/0!</v>
      </c>
      <c r="Q66" s="3468"/>
      <c r="R66" s="3275">
        <f t="shared" si="174"/>
        <v>0</v>
      </c>
      <c r="S66" s="3275">
        <f t="shared" si="174"/>
        <v>0</v>
      </c>
      <c r="T66" s="2028">
        <f t="shared" si="175"/>
        <v>0</v>
      </c>
      <c r="U66" s="3469"/>
      <c r="V66" s="3469"/>
      <c r="W66" s="3275">
        <f t="shared" si="176"/>
        <v>0</v>
      </c>
      <c r="X66" s="3275">
        <f t="shared" si="176"/>
        <v>0</v>
      </c>
      <c r="Y66" s="2028">
        <f t="shared" si="177"/>
        <v>0</v>
      </c>
      <c r="Z66" s="3469"/>
      <c r="AA66" s="3469"/>
      <c r="AB66" s="3274"/>
      <c r="AC66" s="3274"/>
      <c r="AD66" s="3283">
        <f t="shared" si="178"/>
        <v>0</v>
      </c>
      <c r="AE66" s="3284" t="e">
        <f t="shared" si="179"/>
        <v>#DIV/0!</v>
      </c>
      <c r="AF66" s="3468"/>
      <c r="AG66" s="3274"/>
      <c r="AH66" s="3274"/>
      <c r="AI66" s="3283">
        <f t="shared" si="180"/>
        <v>0</v>
      </c>
      <c r="AJ66" s="3284" t="e">
        <f t="shared" si="181"/>
        <v>#DIV/0!</v>
      </c>
      <c r="AK66" s="3468"/>
      <c r="AL66" s="3274"/>
      <c r="AM66" s="3274"/>
      <c r="AN66" s="3283">
        <f t="shared" si="182"/>
        <v>0</v>
      </c>
      <c r="AO66" s="3284" t="e">
        <f t="shared" si="183"/>
        <v>#DIV/0!</v>
      </c>
      <c r="AP66" s="3468"/>
      <c r="AQ66" s="3274"/>
      <c r="AR66" s="3274"/>
      <c r="AS66" s="3283">
        <f t="shared" si="184"/>
        <v>0</v>
      </c>
      <c r="AT66" s="3284" t="e">
        <f t="shared" si="185"/>
        <v>#DIV/0!</v>
      </c>
      <c r="AU66" s="3468"/>
      <c r="AV66" s="3274"/>
      <c r="AW66" s="3274"/>
      <c r="AX66" s="3283">
        <f t="shared" si="186"/>
        <v>0</v>
      </c>
      <c r="AY66" s="3284" t="e">
        <f t="shared" si="187"/>
        <v>#DIV/0!</v>
      </c>
      <c r="AZ66" s="3468"/>
      <c r="BA66" s="3274"/>
      <c r="BB66" s="3274"/>
      <c r="BC66" s="3283">
        <f t="shared" si="188"/>
        <v>0</v>
      </c>
      <c r="BD66" s="3284" t="e">
        <f t="shared" si="189"/>
        <v>#DIV/0!</v>
      </c>
      <c r="BE66" s="3468"/>
      <c r="BF66" s="3274"/>
      <c r="BG66" s="3274"/>
      <c r="BH66" s="3283">
        <f t="shared" si="190"/>
        <v>0</v>
      </c>
      <c r="BI66" s="3284" t="e">
        <f t="shared" si="191"/>
        <v>#DIV/0!</v>
      </c>
      <c r="BJ66" s="3468"/>
      <c r="BK66" s="3274"/>
      <c r="BL66" s="3274"/>
      <c r="BM66" s="3283">
        <f t="shared" si="192"/>
        <v>0</v>
      </c>
      <c r="BN66" s="3284" t="e">
        <f t="shared" si="193"/>
        <v>#DIV/0!</v>
      </c>
      <c r="BO66" s="3468"/>
      <c r="BP66" s="3274"/>
      <c r="BQ66" s="3274"/>
      <c r="BR66" s="3283">
        <f t="shared" si="194"/>
        <v>0</v>
      </c>
      <c r="BS66" s="3284" t="e">
        <f t="shared" si="195"/>
        <v>#DIV/0!</v>
      </c>
      <c r="BT66" s="3468"/>
      <c r="BU66" s="3274"/>
      <c r="BV66" s="3274"/>
      <c r="BW66" s="3283">
        <f t="shared" si="196"/>
        <v>0</v>
      </c>
      <c r="BX66" s="3284" t="e">
        <f t="shared" si="197"/>
        <v>#DIV/0!</v>
      </c>
      <c r="BY66" s="3468"/>
      <c r="BZ66" s="3274"/>
      <c r="CA66" s="3274"/>
      <c r="CB66" s="3283">
        <f t="shared" si="198"/>
        <v>0</v>
      </c>
      <c r="CC66" s="3284" t="e">
        <f t="shared" si="199"/>
        <v>#DIV/0!</v>
      </c>
      <c r="CD66" s="3468"/>
      <c r="CE66" s="3274"/>
      <c r="CF66" s="3274"/>
      <c r="CG66" s="3283">
        <f t="shared" si="200"/>
        <v>0</v>
      </c>
      <c r="CH66" s="3284" t="e">
        <f t="shared" si="201"/>
        <v>#DIV/0!</v>
      </c>
      <c r="CI66" s="3468"/>
      <c r="CJ66" s="3274">
        <f t="shared" si="202"/>
        <v>0</v>
      </c>
      <c r="CK66" s="3274">
        <f t="shared" si="202"/>
        <v>0</v>
      </c>
      <c r="CL66" s="2028">
        <f t="shared" si="203"/>
        <v>0</v>
      </c>
      <c r="CM66" s="3284" t="e">
        <f t="shared" si="168"/>
        <v>#DIV/0!</v>
      </c>
      <c r="CN66" s="3295"/>
      <c r="CP66" s="2028">
        <f t="shared" si="204"/>
        <v>0</v>
      </c>
      <c r="CQ66" s="2028">
        <f t="shared" si="204"/>
        <v>0</v>
      </c>
      <c r="CR66" s="3448"/>
      <c r="CT66" s="2644"/>
    </row>
    <row r="67" spans="1:98" s="1411" customFormat="1" ht="13.8" outlineLevel="2" x14ac:dyDescent="0.25">
      <c r="A67" s="1586"/>
      <c r="B67" s="3310" t="s">
        <v>3</v>
      </c>
      <c r="C67" s="3274"/>
      <c r="D67" s="3274"/>
      <c r="E67" s="3283">
        <f t="shared" si="169"/>
        <v>0</v>
      </c>
      <c r="F67" s="3284" t="e">
        <f t="shared" si="133"/>
        <v>#DIV/0!</v>
      </c>
      <c r="G67" s="3468"/>
      <c r="H67" s="3274"/>
      <c r="I67" s="3274"/>
      <c r="J67" s="3283">
        <f t="shared" si="170"/>
        <v>0</v>
      </c>
      <c r="K67" s="3284" t="e">
        <f t="shared" si="171"/>
        <v>#DIV/0!</v>
      </c>
      <c r="L67" s="3468"/>
      <c r="M67" s="3274"/>
      <c r="N67" s="3274"/>
      <c r="O67" s="3283">
        <f t="shared" si="172"/>
        <v>0</v>
      </c>
      <c r="P67" s="3284" t="e">
        <f t="shared" si="173"/>
        <v>#DIV/0!</v>
      </c>
      <c r="Q67" s="3468"/>
      <c r="R67" s="3275">
        <f t="shared" si="174"/>
        <v>0</v>
      </c>
      <c r="S67" s="3275">
        <f t="shared" si="174"/>
        <v>0</v>
      </c>
      <c r="T67" s="2028">
        <f t="shared" si="175"/>
        <v>0</v>
      </c>
      <c r="U67" s="3469"/>
      <c r="V67" s="3469"/>
      <c r="W67" s="3275">
        <f t="shared" si="176"/>
        <v>0</v>
      </c>
      <c r="X67" s="3275">
        <f t="shared" si="176"/>
        <v>0</v>
      </c>
      <c r="Y67" s="2028">
        <f t="shared" si="177"/>
        <v>0</v>
      </c>
      <c r="Z67" s="3469"/>
      <c r="AA67" s="3469"/>
      <c r="AB67" s="3274"/>
      <c r="AC67" s="3274"/>
      <c r="AD67" s="3283">
        <f t="shared" si="178"/>
        <v>0</v>
      </c>
      <c r="AE67" s="3284" t="e">
        <f t="shared" si="179"/>
        <v>#DIV/0!</v>
      </c>
      <c r="AF67" s="3468"/>
      <c r="AG67" s="3274"/>
      <c r="AH67" s="3274"/>
      <c r="AI67" s="3283">
        <f t="shared" si="180"/>
        <v>0</v>
      </c>
      <c r="AJ67" s="3284" t="e">
        <f t="shared" si="181"/>
        <v>#DIV/0!</v>
      </c>
      <c r="AK67" s="3468"/>
      <c r="AL67" s="3274"/>
      <c r="AM67" s="3274"/>
      <c r="AN67" s="3283">
        <f t="shared" si="182"/>
        <v>0</v>
      </c>
      <c r="AO67" s="3284" t="e">
        <f t="shared" si="183"/>
        <v>#DIV/0!</v>
      </c>
      <c r="AP67" s="3468"/>
      <c r="AQ67" s="3274"/>
      <c r="AR67" s="3274"/>
      <c r="AS67" s="3283">
        <f t="shared" si="184"/>
        <v>0</v>
      </c>
      <c r="AT67" s="3284" t="e">
        <f t="shared" si="185"/>
        <v>#DIV/0!</v>
      </c>
      <c r="AU67" s="3468"/>
      <c r="AV67" s="3274"/>
      <c r="AW67" s="3274"/>
      <c r="AX67" s="3283">
        <f t="shared" si="186"/>
        <v>0</v>
      </c>
      <c r="AY67" s="3284" t="e">
        <f t="shared" si="187"/>
        <v>#DIV/0!</v>
      </c>
      <c r="AZ67" s="3468"/>
      <c r="BA67" s="3274"/>
      <c r="BB67" s="3274"/>
      <c r="BC67" s="3283">
        <f t="shared" si="188"/>
        <v>0</v>
      </c>
      <c r="BD67" s="3284" t="e">
        <f t="shared" si="189"/>
        <v>#DIV/0!</v>
      </c>
      <c r="BE67" s="3468"/>
      <c r="BF67" s="3274"/>
      <c r="BG67" s="3274"/>
      <c r="BH67" s="3283">
        <f t="shared" si="190"/>
        <v>0</v>
      </c>
      <c r="BI67" s="3284" t="e">
        <f t="shared" si="191"/>
        <v>#DIV/0!</v>
      </c>
      <c r="BJ67" s="3468"/>
      <c r="BK67" s="3274"/>
      <c r="BL67" s="3274"/>
      <c r="BM67" s="3283">
        <f t="shared" si="192"/>
        <v>0</v>
      </c>
      <c r="BN67" s="3284" t="e">
        <f t="shared" si="193"/>
        <v>#DIV/0!</v>
      </c>
      <c r="BO67" s="3468"/>
      <c r="BP67" s="3274"/>
      <c r="BQ67" s="3274"/>
      <c r="BR67" s="3283">
        <f t="shared" si="194"/>
        <v>0</v>
      </c>
      <c r="BS67" s="3284" t="e">
        <f t="shared" si="195"/>
        <v>#DIV/0!</v>
      </c>
      <c r="BT67" s="3468"/>
      <c r="BU67" s="3274"/>
      <c r="BV67" s="3274"/>
      <c r="BW67" s="3283">
        <f t="shared" si="196"/>
        <v>0</v>
      </c>
      <c r="BX67" s="3284" t="e">
        <f t="shared" si="197"/>
        <v>#DIV/0!</v>
      </c>
      <c r="BY67" s="3468"/>
      <c r="BZ67" s="3274"/>
      <c r="CA67" s="3274"/>
      <c r="CB67" s="3283">
        <f t="shared" si="198"/>
        <v>0</v>
      </c>
      <c r="CC67" s="3284" t="e">
        <f t="shared" si="199"/>
        <v>#DIV/0!</v>
      </c>
      <c r="CD67" s="3468"/>
      <c r="CE67" s="3274"/>
      <c r="CF67" s="3274"/>
      <c r="CG67" s="3283">
        <f t="shared" si="200"/>
        <v>0</v>
      </c>
      <c r="CH67" s="3284" t="e">
        <f t="shared" si="201"/>
        <v>#DIV/0!</v>
      </c>
      <c r="CI67" s="3468"/>
      <c r="CJ67" s="3274">
        <f t="shared" si="202"/>
        <v>0</v>
      </c>
      <c r="CK67" s="3274">
        <f t="shared" si="202"/>
        <v>0</v>
      </c>
      <c r="CL67" s="2028">
        <f t="shared" si="203"/>
        <v>0</v>
      </c>
      <c r="CM67" s="3284" t="e">
        <f t="shared" si="168"/>
        <v>#DIV/0!</v>
      </c>
      <c r="CN67" s="3295"/>
      <c r="CP67" s="2028">
        <f t="shared" si="204"/>
        <v>0</v>
      </c>
      <c r="CQ67" s="2028">
        <f t="shared" si="204"/>
        <v>0</v>
      </c>
      <c r="CR67" s="3448"/>
      <c r="CT67" s="2644"/>
    </row>
    <row r="68" spans="1:98" s="1411" customFormat="1" ht="13.8" outlineLevel="2" x14ac:dyDescent="0.25">
      <c r="A68" s="1586"/>
      <c r="B68" s="3310" t="s">
        <v>5</v>
      </c>
      <c r="C68" s="3274"/>
      <c r="D68" s="3274"/>
      <c r="E68" s="3283">
        <f t="shared" si="169"/>
        <v>0</v>
      </c>
      <c r="F68" s="3284" t="e">
        <f t="shared" si="133"/>
        <v>#DIV/0!</v>
      </c>
      <c r="G68" s="3274"/>
      <c r="H68" s="3274"/>
      <c r="I68" s="3274"/>
      <c r="J68" s="3283">
        <f t="shared" si="170"/>
        <v>0</v>
      </c>
      <c r="K68" s="3284" t="e">
        <f t="shared" si="171"/>
        <v>#DIV/0!</v>
      </c>
      <c r="L68" s="3274"/>
      <c r="M68" s="3274"/>
      <c r="N68" s="3274"/>
      <c r="O68" s="3283">
        <f t="shared" si="172"/>
        <v>0</v>
      </c>
      <c r="P68" s="3284" t="e">
        <f t="shared" si="173"/>
        <v>#DIV/0!</v>
      </c>
      <c r="Q68" s="3274"/>
      <c r="R68" s="3275">
        <f t="shared" si="174"/>
        <v>0</v>
      </c>
      <c r="S68" s="3275">
        <f t="shared" si="174"/>
        <v>0</v>
      </c>
      <c r="T68" s="2028">
        <f t="shared" si="175"/>
        <v>0</v>
      </c>
      <c r="U68" s="3274"/>
      <c r="V68" s="3274"/>
      <c r="W68" s="3275">
        <f t="shared" si="176"/>
        <v>0</v>
      </c>
      <c r="X68" s="3275">
        <f t="shared" si="176"/>
        <v>0</v>
      </c>
      <c r="Y68" s="2028">
        <f t="shared" si="177"/>
        <v>0</v>
      </c>
      <c r="Z68" s="3274"/>
      <c r="AA68" s="3274"/>
      <c r="AB68" s="3274"/>
      <c r="AC68" s="3274"/>
      <c r="AD68" s="3283">
        <f t="shared" si="178"/>
        <v>0</v>
      </c>
      <c r="AE68" s="3284" t="e">
        <f t="shared" si="179"/>
        <v>#DIV/0!</v>
      </c>
      <c r="AF68" s="3274"/>
      <c r="AG68" s="3274"/>
      <c r="AH68" s="3274"/>
      <c r="AI68" s="3283">
        <f t="shared" si="180"/>
        <v>0</v>
      </c>
      <c r="AJ68" s="3284" t="e">
        <f t="shared" si="181"/>
        <v>#DIV/0!</v>
      </c>
      <c r="AK68" s="3274"/>
      <c r="AL68" s="3274"/>
      <c r="AM68" s="3274"/>
      <c r="AN68" s="3283">
        <f t="shared" si="182"/>
        <v>0</v>
      </c>
      <c r="AO68" s="3284" t="e">
        <f t="shared" si="183"/>
        <v>#DIV/0!</v>
      </c>
      <c r="AP68" s="3274"/>
      <c r="AQ68" s="3274"/>
      <c r="AR68" s="3274"/>
      <c r="AS68" s="3283">
        <f t="shared" si="184"/>
        <v>0</v>
      </c>
      <c r="AT68" s="3284" t="e">
        <f t="shared" si="185"/>
        <v>#DIV/0!</v>
      </c>
      <c r="AU68" s="3274"/>
      <c r="AV68" s="3274"/>
      <c r="AW68" s="3274"/>
      <c r="AX68" s="3283">
        <f t="shared" si="186"/>
        <v>0</v>
      </c>
      <c r="AY68" s="3284" t="e">
        <f t="shared" si="187"/>
        <v>#DIV/0!</v>
      </c>
      <c r="AZ68" s="3274"/>
      <c r="BA68" s="3274"/>
      <c r="BB68" s="3274"/>
      <c r="BC68" s="3283">
        <f t="shared" si="188"/>
        <v>0</v>
      </c>
      <c r="BD68" s="3284" t="e">
        <f t="shared" si="189"/>
        <v>#DIV/0!</v>
      </c>
      <c r="BE68" s="3274"/>
      <c r="BF68" s="3274"/>
      <c r="BG68" s="3274"/>
      <c r="BH68" s="3283">
        <f t="shared" si="190"/>
        <v>0</v>
      </c>
      <c r="BI68" s="3284" t="e">
        <f t="shared" si="191"/>
        <v>#DIV/0!</v>
      </c>
      <c r="BJ68" s="3274"/>
      <c r="BK68" s="3274"/>
      <c r="BL68" s="3274"/>
      <c r="BM68" s="3283">
        <f t="shared" si="192"/>
        <v>0</v>
      </c>
      <c r="BN68" s="3284" t="e">
        <f t="shared" si="193"/>
        <v>#DIV/0!</v>
      </c>
      <c r="BO68" s="3274"/>
      <c r="BP68" s="3274"/>
      <c r="BQ68" s="3274"/>
      <c r="BR68" s="3283">
        <f t="shared" si="194"/>
        <v>0</v>
      </c>
      <c r="BS68" s="3284" t="e">
        <f t="shared" si="195"/>
        <v>#DIV/0!</v>
      </c>
      <c r="BT68" s="3274"/>
      <c r="BU68" s="3274"/>
      <c r="BV68" s="3274"/>
      <c r="BW68" s="3283">
        <f t="shared" si="196"/>
        <v>0</v>
      </c>
      <c r="BX68" s="3284" t="e">
        <f t="shared" si="197"/>
        <v>#DIV/0!</v>
      </c>
      <c r="BY68" s="3274"/>
      <c r="BZ68" s="3274"/>
      <c r="CA68" s="3274"/>
      <c r="CB68" s="3283">
        <f t="shared" si="198"/>
        <v>0</v>
      </c>
      <c r="CC68" s="3284" t="e">
        <f t="shared" si="199"/>
        <v>#DIV/0!</v>
      </c>
      <c r="CD68" s="3274"/>
      <c r="CE68" s="3274"/>
      <c r="CF68" s="3274"/>
      <c r="CG68" s="3283">
        <f t="shared" si="200"/>
        <v>0</v>
      </c>
      <c r="CH68" s="3284" t="e">
        <f t="shared" si="201"/>
        <v>#DIV/0!</v>
      </c>
      <c r="CI68" s="3274"/>
      <c r="CJ68" s="3274">
        <f t="shared" si="202"/>
        <v>0</v>
      </c>
      <c r="CK68" s="3274">
        <f t="shared" si="202"/>
        <v>0</v>
      </c>
      <c r="CL68" s="2028">
        <f t="shared" si="203"/>
        <v>0</v>
      </c>
      <c r="CM68" s="3284" t="e">
        <f t="shared" si="168"/>
        <v>#DIV/0!</v>
      </c>
      <c r="CN68" s="3295"/>
      <c r="CP68" s="2028">
        <f t="shared" si="204"/>
        <v>0</v>
      </c>
      <c r="CQ68" s="2028">
        <f t="shared" si="204"/>
        <v>0</v>
      </c>
      <c r="CR68" s="3448"/>
      <c r="CT68" s="2644"/>
    </row>
    <row r="69" spans="1:98" s="1411" customFormat="1" ht="13.8" outlineLevel="2" x14ac:dyDescent="0.25">
      <c r="A69" s="1586"/>
      <c r="B69" s="3310" t="s">
        <v>42</v>
      </c>
      <c r="C69" s="3274"/>
      <c r="D69" s="3274"/>
      <c r="E69" s="3283">
        <f t="shared" si="169"/>
        <v>0</v>
      </c>
      <c r="F69" s="3284" t="e">
        <f t="shared" si="133"/>
        <v>#DIV/0!</v>
      </c>
      <c r="G69" s="3468"/>
      <c r="H69" s="3274"/>
      <c r="I69" s="3274"/>
      <c r="J69" s="3283">
        <f t="shared" si="170"/>
        <v>0</v>
      </c>
      <c r="K69" s="3284" t="e">
        <f t="shared" si="171"/>
        <v>#DIV/0!</v>
      </c>
      <c r="L69" s="3468"/>
      <c r="M69" s="3274"/>
      <c r="N69" s="3274"/>
      <c r="O69" s="3283">
        <f t="shared" si="172"/>
        <v>0</v>
      </c>
      <c r="P69" s="3284" t="e">
        <f t="shared" si="173"/>
        <v>#DIV/0!</v>
      </c>
      <c r="Q69" s="3468"/>
      <c r="R69" s="3275">
        <f t="shared" si="174"/>
        <v>0</v>
      </c>
      <c r="S69" s="3275">
        <f t="shared" si="174"/>
        <v>0</v>
      </c>
      <c r="T69" s="2028">
        <f t="shared" si="175"/>
        <v>0</v>
      </c>
      <c r="U69" s="3469"/>
      <c r="V69" s="3469"/>
      <c r="W69" s="3275">
        <f t="shared" si="176"/>
        <v>0</v>
      </c>
      <c r="X69" s="3275">
        <f t="shared" si="176"/>
        <v>0</v>
      </c>
      <c r="Y69" s="2028">
        <f t="shared" si="177"/>
        <v>0</v>
      </c>
      <c r="Z69" s="3469"/>
      <c r="AA69" s="3469"/>
      <c r="AB69" s="3274"/>
      <c r="AC69" s="3274"/>
      <c r="AD69" s="3283">
        <f t="shared" si="178"/>
        <v>0</v>
      </c>
      <c r="AE69" s="3284" t="e">
        <f t="shared" si="179"/>
        <v>#DIV/0!</v>
      </c>
      <c r="AF69" s="3468"/>
      <c r="AG69" s="3274"/>
      <c r="AH69" s="3274"/>
      <c r="AI69" s="3283">
        <f t="shared" si="180"/>
        <v>0</v>
      </c>
      <c r="AJ69" s="3284" t="e">
        <f t="shared" si="181"/>
        <v>#DIV/0!</v>
      </c>
      <c r="AK69" s="3468"/>
      <c r="AL69" s="3274"/>
      <c r="AM69" s="3274"/>
      <c r="AN69" s="3283">
        <f t="shared" si="182"/>
        <v>0</v>
      </c>
      <c r="AO69" s="3284" t="e">
        <f t="shared" si="183"/>
        <v>#DIV/0!</v>
      </c>
      <c r="AP69" s="3468"/>
      <c r="AQ69" s="3274"/>
      <c r="AR69" s="3274"/>
      <c r="AS69" s="3283">
        <f t="shared" si="184"/>
        <v>0</v>
      </c>
      <c r="AT69" s="3284" t="e">
        <f t="shared" si="185"/>
        <v>#DIV/0!</v>
      </c>
      <c r="AU69" s="3468"/>
      <c r="AV69" s="3274"/>
      <c r="AW69" s="3274"/>
      <c r="AX69" s="3283">
        <f t="shared" si="186"/>
        <v>0</v>
      </c>
      <c r="AY69" s="3284" t="e">
        <f t="shared" si="187"/>
        <v>#DIV/0!</v>
      </c>
      <c r="AZ69" s="3468"/>
      <c r="BA69" s="3274"/>
      <c r="BB69" s="3274"/>
      <c r="BC69" s="3283">
        <f t="shared" si="188"/>
        <v>0</v>
      </c>
      <c r="BD69" s="3284" t="e">
        <f t="shared" si="189"/>
        <v>#DIV/0!</v>
      </c>
      <c r="BE69" s="3468"/>
      <c r="BF69" s="3274"/>
      <c r="BG69" s="3274"/>
      <c r="BH69" s="3283">
        <f t="shared" si="190"/>
        <v>0</v>
      </c>
      <c r="BI69" s="3284" t="e">
        <f t="shared" si="191"/>
        <v>#DIV/0!</v>
      </c>
      <c r="BJ69" s="3468"/>
      <c r="BK69" s="3274"/>
      <c r="BL69" s="3274"/>
      <c r="BM69" s="3283">
        <f t="shared" si="192"/>
        <v>0</v>
      </c>
      <c r="BN69" s="3284" t="e">
        <f t="shared" si="193"/>
        <v>#DIV/0!</v>
      </c>
      <c r="BO69" s="3468"/>
      <c r="BP69" s="3274"/>
      <c r="BQ69" s="3274"/>
      <c r="BR69" s="3283">
        <f t="shared" si="194"/>
        <v>0</v>
      </c>
      <c r="BS69" s="3284" t="e">
        <f t="shared" si="195"/>
        <v>#DIV/0!</v>
      </c>
      <c r="BT69" s="3468"/>
      <c r="BU69" s="3274"/>
      <c r="BV69" s="3274"/>
      <c r="BW69" s="3283">
        <f t="shared" si="196"/>
        <v>0</v>
      </c>
      <c r="BX69" s="3284" t="e">
        <f t="shared" si="197"/>
        <v>#DIV/0!</v>
      </c>
      <c r="BY69" s="3468"/>
      <c r="BZ69" s="3274"/>
      <c r="CA69" s="3274"/>
      <c r="CB69" s="3283">
        <f t="shared" si="198"/>
        <v>0</v>
      </c>
      <c r="CC69" s="3284" t="e">
        <f t="shared" si="199"/>
        <v>#DIV/0!</v>
      </c>
      <c r="CD69" s="3468"/>
      <c r="CE69" s="3274"/>
      <c r="CF69" s="3274"/>
      <c r="CG69" s="3283">
        <f t="shared" si="200"/>
        <v>0</v>
      </c>
      <c r="CH69" s="3284" t="e">
        <f t="shared" si="201"/>
        <v>#DIV/0!</v>
      </c>
      <c r="CI69" s="3468"/>
      <c r="CJ69" s="3274">
        <f t="shared" si="202"/>
        <v>0</v>
      </c>
      <c r="CK69" s="3274">
        <f t="shared" si="202"/>
        <v>0</v>
      </c>
      <c r="CL69" s="2028">
        <f t="shared" si="203"/>
        <v>0</v>
      </c>
      <c r="CM69" s="3284" t="e">
        <f t="shared" si="168"/>
        <v>#DIV/0!</v>
      </c>
      <c r="CN69" s="3295"/>
      <c r="CP69" s="2028">
        <f t="shared" si="204"/>
        <v>0</v>
      </c>
      <c r="CQ69" s="2028">
        <f t="shared" si="204"/>
        <v>0</v>
      </c>
      <c r="CR69" s="3448"/>
      <c r="CT69" s="2644"/>
    </row>
    <row r="70" spans="1:98" s="1411" customFormat="1" ht="13.8" outlineLevel="2" x14ac:dyDescent="0.25">
      <c r="A70" s="1586"/>
      <c r="B70" s="3310" t="s">
        <v>6</v>
      </c>
      <c r="C70" s="3274"/>
      <c r="D70" s="3274"/>
      <c r="E70" s="3283">
        <f t="shared" si="169"/>
        <v>0</v>
      </c>
      <c r="F70" s="3284" t="e">
        <f t="shared" si="133"/>
        <v>#DIV/0!</v>
      </c>
      <c r="G70" s="3468"/>
      <c r="H70" s="3274"/>
      <c r="I70" s="3274"/>
      <c r="J70" s="3283">
        <f t="shared" si="170"/>
        <v>0</v>
      </c>
      <c r="K70" s="3284" t="e">
        <f t="shared" si="171"/>
        <v>#DIV/0!</v>
      </c>
      <c r="L70" s="3468"/>
      <c r="M70" s="3274"/>
      <c r="N70" s="3274"/>
      <c r="O70" s="3283">
        <f t="shared" si="172"/>
        <v>0</v>
      </c>
      <c r="P70" s="3284" t="e">
        <f t="shared" si="173"/>
        <v>#DIV/0!</v>
      </c>
      <c r="Q70" s="3468"/>
      <c r="R70" s="3275">
        <f t="shared" si="174"/>
        <v>0</v>
      </c>
      <c r="S70" s="3275">
        <f t="shared" si="174"/>
        <v>0</v>
      </c>
      <c r="T70" s="2028">
        <f t="shared" si="175"/>
        <v>0</v>
      </c>
      <c r="U70" s="3469"/>
      <c r="V70" s="3469"/>
      <c r="W70" s="3275">
        <f t="shared" si="176"/>
        <v>0</v>
      </c>
      <c r="X70" s="3275">
        <f t="shared" si="176"/>
        <v>0</v>
      </c>
      <c r="Y70" s="2028">
        <f t="shared" si="177"/>
        <v>0</v>
      </c>
      <c r="Z70" s="3469"/>
      <c r="AA70" s="3469"/>
      <c r="AB70" s="3274"/>
      <c r="AC70" s="3274"/>
      <c r="AD70" s="3283">
        <f t="shared" si="178"/>
        <v>0</v>
      </c>
      <c r="AE70" s="3284" t="e">
        <f t="shared" si="179"/>
        <v>#DIV/0!</v>
      </c>
      <c r="AF70" s="3468"/>
      <c r="AG70" s="3274"/>
      <c r="AH70" s="3274"/>
      <c r="AI70" s="3283">
        <f t="shared" si="180"/>
        <v>0</v>
      </c>
      <c r="AJ70" s="3284" t="e">
        <f t="shared" si="181"/>
        <v>#DIV/0!</v>
      </c>
      <c r="AK70" s="3468"/>
      <c r="AL70" s="3274"/>
      <c r="AM70" s="3274"/>
      <c r="AN70" s="3283">
        <f t="shared" si="182"/>
        <v>0</v>
      </c>
      <c r="AO70" s="3284" t="e">
        <f t="shared" si="183"/>
        <v>#DIV/0!</v>
      </c>
      <c r="AP70" s="3468"/>
      <c r="AQ70" s="3274"/>
      <c r="AR70" s="3274"/>
      <c r="AS70" s="3283">
        <f t="shared" si="184"/>
        <v>0</v>
      </c>
      <c r="AT70" s="3284" t="e">
        <f t="shared" si="185"/>
        <v>#DIV/0!</v>
      </c>
      <c r="AU70" s="3468"/>
      <c r="AV70" s="3274"/>
      <c r="AW70" s="3274"/>
      <c r="AX70" s="3283">
        <f t="shared" si="186"/>
        <v>0</v>
      </c>
      <c r="AY70" s="3284" t="e">
        <f t="shared" si="187"/>
        <v>#DIV/0!</v>
      </c>
      <c r="AZ70" s="3468"/>
      <c r="BA70" s="3274"/>
      <c r="BB70" s="3274"/>
      <c r="BC70" s="3283">
        <f t="shared" si="188"/>
        <v>0</v>
      </c>
      <c r="BD70" s="3284" t="e">
        <f t="shared" si="189"/>
        <v>#DIV/0!</v>
      </c>
      <c r="BE70" s="3468"/>
      <c r="BF70" s="3274"/>
      <c r="BG70" s="3274"/>
      <c r="BH70" s="3283">
        <f t="shared" si="190"/>
        <v>0</v>
      </c>
      <c r="BI70" s="3284" t="e">
        <f t="shared" si="191"/>
        <v>#DIV/0!</v>
      </c>
      <c r="BJ70" s="3468"/>
      <c r="BK70" s="3274"/>
      <c r="BL70" s="3274"/>
      <c r="BM70" s="3283">
        <f t="shared" si="192"/>
        <v>0</v>
      </c>
      <c r="BN70" s="3284" t="e">
        <f t="shared" si="193"/>
        <v>#DIV/0!</v>
      </c>
      <c r="BO70" s="3468"/>
      <c r="BP70" s="3274"/>
      <c r="BQ70" s="3274"/>
      <c r="BR70" s="3283">
        <f t="shared" si="194"/>
        <v>0</v>
      </c>
      <c r="BS70" s="3284" t="e">
        <f t="shared" si="195"/>
        <v>#DIV/0!</v>
      </c>
      <c r="BT70" s="3468"/>
      <c r="BU70" s="3274"/>
      <c r="BV70" s="3274"/>
      <c r="BW70" s="3283">
        <f t="shared" si="196"/>
        <v>0</v>
      </c>
      <c r="BX70" s="3284" t="e">
        <f t="shared" si="197"/>
        <v>#DIV/0!</v>
      </c>
      <c r="BY70" s="3468"/>
      <c r="BZ70" s="3274"/>
      <c r="CA70" s="3274"/>
      <c r="CB70" s="3283">
        <f t="shared" si="198"/>
        <v>0</v>
      </c>
      <c r="CC70" s="3284" t="e">
        <f t="shared" si="199"/>
        <v>#DIV/0!</v>
      </c>
      <c r="CD70" s="3468"/>
      <c r="CE70" s="3274"/>
      <c r="CF70" s="3274"/>
      <c r="CG70" s="3283">
        <f t="shared" si="200"/>
        <v>0</v>
      </c>
      <c r="CH70" s="3284" t="e">
        <f t="shared" si="201"/>
        <v>#DIV/0!</v>
      </c>
      <c r="CI70" s="3468"/>
      <c r="CJ70" s="3274">
        <f t="shared" si="202"/>
        <v>0</v>
      </c>
      <c r="CK70" s="3274">
        <f t="shared" si="202"/>
        <v>0</v>
      </c>
      <c r="CL70" s="2028">
        <f t="shared" si="203"/>
        <v>0</v>
      </c>
      <c r="CM70" s="3284" t="e">
        <f t="shared" si="168"/>
        <v>#DIV/0!</v>
      </c>
      <c r="CN70" s="3295"/>
      <c r="CP70" s="2028">
        <f t="shared" si="204"/>
        <v>0</v>
      </c>
      <c r="CQ70" s="2028">
        <f t="shared" si="204"/>
        <v>0</v>
      </c>
      <c r="CR70" s="3448"/>
      <c r="CT70" s="2644"/>
    </row>
    <row r="71" spans="1:98" s="1411" customFormat="1" ht="13.8" outlineLevel="2" x14ac:dyDescent="0.25">
      <c r="A71" s="1586"/>
      <c r="B71" s="3310" t="s">
        <v>78</v>
      </c>
      <c r="C71" s="3274"/>
      <c r="D71" s="3274"/>
      <c r="E71" s="3283">
        <f t="shared" si="169"/>
        <v>0</v>
      </c>
      <c r="F71" s="3284" t="e">
        <f t="shared" si="133"/>
        <v>#DIV/0!</v>
      </c>
      <c r="G71" s="3468"/>
      <c r="H71" s="3274"/>
      <c r="I71" s="3274"/>
      <c r="J71" s="3283">
        <f t="shared" si="170"/>
        <v>0</v>
      </c>
      <c r="K71" s="3284" t="e">
        <f t="shared" si="171"/>
        <v>#DIV/0!</v>
      </c>
      <c r="L71" s="3468"/>
      <c r="M71" s="3274"/>
      <c r="N71" s="3274"/>
      <c r="O71" s="3283">
        <f t="shared" si="172"/>
        <v>0</v>
      </c>
      <c r="P71" s="3284" t="e">
        <f t="shared" si="173"/>
        <v>#DIV/0!</v>
      </c>
      <c r="Q71" s="3468"/>
      <c r="R71" s="3275">
        <f t="shared" si="174"/>
        <v>0</v>
      </c>
      <c r="S71" s="3275">
        <f t="shared" si="174"/>
        <v>0</v>
      </c>
      <c r="T71" s="2028">
        <f t="shared" si="175"/>
        <v>0</v>
      </c>
      <c r="U71" s="3469"/>
      <c r="V71" s="3469"/>
      <c r="W71" s="3275">
        <f t="shared" si="176"/>
        <v>0</v>
      </c>
      <c r="X71" s="3275">
        <f t="shared" si="176"/>
        <v>0</v>
      </c>
      <c r="Y71" s="2028">
        <f t="shared" si="177"/>
        <v>0</v>
      </c>
      <c r="Z71" s="3469"/>
      <c r="AA71" s="3469"/>
      <c r="AB71" s="3274"/>
      <c r="AC71" s="3274"/>
      <c r="AD71" s="3283">
        <f t="shared" si="178"/>
        <v>0</v>
      </c>
      <c r="AE71" s="3284" t="e">
        <f t="shared" si="179"/>
        <v>#DIV/0!</v>
      </c>
      <c r="AF71" s="3468"/>
      <c r="AG71" s="3274"/>
      <c r="AH71" s="3274"/>
      <c r="AI71" s="3283">
        <f t="shared" si="180"/>
        <v>0</v>
      </c>
      <c r="AJ71" s="3284" t="e">
        <f t="shared" si="181"/>
        <v>#DIV/0!</v>
      </c>
      <c r="AK71" s="3468"/>
      <c r="AL71" s="3274"/>
      <c r="AM71" s="3274"/>
      <c r="AN71" s="3283">
        <f t="shared" si="182"/>
        <v>0</v>
      </c>
      <c r="AO71" s="3284" t="e">
        <f t="shared" si="183"/>
        <v>#DIV/0!</v>
      </c>
      <c r="AP71" s="3468"/>
      <c r="AQ71" s="3274"/>
      <c r="AR71" s="3274"/>
      <c r="AS71" s="3283">
        <f t="shared" si="184"/>
        <v>0</v>
      </c>
      <c r="AT71" s="3284" t="e">
        <f t="shared" si="185"/>
        <v>#DIV/0!</v>
      </c>
      <c r="AU71" s="3468"/>
      <c r="AV71" s="3274"/>
      <c r="AW71" s="3274"/>
      <c r="AX71" s="3283">
        <f t="shared" si="186"/>
        <v>0</v>
      </c>
      <c r="AY71" s="3284" t="e">
        <f t="shared" si="187"/>
        <v>#DIV/0!</v>
      </c>
      <c r="AZ71" s="3468"/>
      <c r="BA71" s="3274"/>
      <c r="BB71" s="3274"/>
      <c r="BC71" s="3283">
        <f t="shared" si="188"/>
        <v>0</v>
      </c>
      <c r="BD71" s="3284" t="e">
        <f t="shared" si="189"/>
        <v>#DIV/0!</v>
      </c>
      <c r="BE71" s="3468"/>
      <c r="BF71" s="3274"/>
      <c r="BG71" s="3274"/>
      <c r="BH71" s="3283">
        <f t="shared" si="190"/>
        <v>0</v>
      </c>
      <c r="BI71" s="3284" t="e">
        <f t="shared" si="191"/>
        <v>#DIV/0!</v>
      </c>
      <c r="BJ71" s="3468"/>
      <c r="BK71" s="3274"/>
      <c r="BL71" s="3274"/>
      <c r="BM71" s="3283">
        <f t="shared" si="192"/>
        <v>0</v>
      </c>
      <c r="BN71" s="3284" t="e">
        <f t="shared" si="193"/>
        <v>#DIV/0!</v>
      </c>
      <c r="BO71" s="3468"/>
      <c r="BP71" s="3274"/>
      <c r="BQ71" s="3274"/>
      <c r="BR71" s="3283">
        <f t="shared" si="194"/>
        <v>0</v>
      </c>
      <c r="BS71" s="3284" t="e">
        <f t="shared" si="195"/>
        <v>#DIV/0!</v>
      </c>
      <c r="BT71" s="3468"/>
      <c r="BU71" s="3274"/>
      <c r="BV71" s="3274"/>
      <c r="BW71" s="3283">
        <f t="shared" si="196"/>
        <v>0</v>
      </c>
      <c r="BX71" s="3284" t="e">
        <f t="shared" si="197"/>
        <v>#DIV/0!</v>
      </c>
      <c r="BY71" s="3468"/>
      <c r="BZ71" s="3274"/>
      <c r="CA71" s="3274"/>
      <c r="CB71" s="3283">
        <f t="shared" si="198"/>
        <v>0</v>
      </c>
      <c r="CC71" s="3284" t="e">
        <f t="shared" si="199"/>
        <v>#DIV/0!</v>
      </c>
      <c r="CD71" s="3468"/>
      <c r="CE71" s="3274"/>
      <c r="CF71" s="3274"/>
      <c r="CG71" s="3283">
        <f t="shared" si="200"/>
        <v>0</v>
      </c>
      <c r="CH71" s="3284" t="e">
        <f t="shared" si="201"/>
        <v>#DIV/0!</v>
      </c>
      <c r="CI71" s="3468"/>
      <c r="CJ71" s="3274">
        <f t="shared" si="202"/>
        <v>0</v>
      </c>
      <c r="CK71" s="3274">
        <f t="shared" si="202"/>
        <v>0</v>
      </c>
      <c r="CL71" s="2028">
        <f t="shared" si="203"/>
        <v>0</v>
      </c>
      <c r="CM71" s="3284" t="e">
        <f t="shared" si="168"/>
        <v>#DIV/0!</v>
      </c>
      <c r="CN71" s="3295"/>
      <c r="CP71" s="2028">
        <f t="shared" si="204"/>
        <v>0</v>
      </c>
      <c r="CQ71" s="2028">
        <f t="shared" si="204"/>
        <v>0</v>
      </c>
      <c r="CR71" s="3448"/>
      <c r="CT71" s="2644"/>
    </row>
    <row r="72" spans="1:98" s="1411" customFormat="1" ht="13.8" outlineLevel="2" x14ac:dyDescent="0.25">
      <c r="A72" s="1586"/>
      <c r="B72" s="3335"/>
      <c r="C72" s="3454"/>
      <c r="D72" s="3454"/>
      <c r="E72" s="3470"/>
      <c r="F72" s="3284"/>
      <c r="G72" s="3468"/>
      <c r="H72" s="3454"/>
      <c r="I72" s="3454"/>
      <c r="J72" s="3470"/>
      <c r="K72" s="3284" t="e">
        <f t="shared" si="171"/>
        <v>#DIV/0!</v>
      </c>
      <c r="L72" s="3468"/>
      <c r="M72" s="3454"/>
      <c r="N72" s="3454"/>
      <c r="O72" s="3470"/>
      <c r="P72" s="3284" t="e">
        <f t="shared" si="173"/>
        <v>#DIV/0!</v>
      </c>
      <c r="Q72" s="3468"/>
      <c r="R72" s="3468"/>
      <c r="S72" s="3468"/>
      <c r="T72" s="3468"/>
      <c r="U72" s="3468"/>
      <c r="V72" s="3468"/>
      <c r="W72" s="3468"/>
      <c r="X72" s="3468"/>
      <c r="Y72" s="3468"/>
      <c r="Z72" s="3468"/>
      <c r="AA72" s="3468"/>
      <c r="AB72" s="3454"/>
      <c r="AC72" s="3454"/>
      <c r="AD72" s="3470"/>
      <c r="AE72" s="3284"/>
      <c r="AF72" s="3468"/>
      <c r="AG72" s="3454"/>
      <c r="AH72" s="3454"/>
      <c r="AI72" s="3470"/>
      <c r="AJ72" s="3284"/>
      <c r="AK72" s="3468"/>
      <c r="AL72" s="3454"/>
      <c r="AM72" s="3454"/>
      <c r="AN72" s="3470"/>
      <c r="AO72" s="3284"/>
      <c r="AP72" s="3468"/>
      <c r="AQ72" s="3454"/>
      <c r="AR72" s="3454"/>
      <c r="AS72" s="3470"/>
      <c r="AT72" s="3284"/>
      <c r="AU72" s="3468"/>
      <c r="AV72" s="3454"/>
      <c r="AW72" s="3454"/>
      <c r="AX72" s="3470"/>
      <c r="AY72" s="3284"/>
      <c r="AZ72" s="3468"/>
      <c r="BA72" s="3454"/>
      <c r="BB72" s="3454"/>
      <c r="BC72" s="3470"/>
      <c r="BD72" s="3284"/>
      <c r="BE72" s="3468"/>
      <c r="BF72" s="3454"/>
      <c r="BG72" s="3454"/>
      <c r="BH72" s="3470"/>
      <c r="BI72" s="3284"/>
      <c r="BJ72" s="3468"/>
      <c r="BK72" s="3454"/>
      <c r="BL72" s="3454"/>
      <c r="BM72" s="3470"/>
      <c r="BN72" s="3284"/>
      <c r="BO72" s="3468"/>
      <c r="BP72" s="3454"/>
      <c r="BQ72" s="3454"/>
      <c r="BR72" s="3470"/>
      <c r="BS72" s="3284"/>
      <c r="BT72" s="3468"/>
      <c r="BU72" s="3454"/>
      <c r="BV72" s="3454"/>
      <c r="BW72" s="3470"/>
      <c r="BX72" s="3284"/>
      <c r="BY72" s="3468"/>
      <c r="BZ72" s="3454"/>
      <c r="CA72" s="3454"/>
      <c r="CB72" s="3470"/>
      <c r="CC72" s="3284"/>
      <c r="CD72" s="3468"/>
      <c r="CE72" s="3454"/>
      <c r="CF72" s="3454"/>
      <c r="CG72" s="3470"/>
      <c r="CH72" s="3284"/>
      <c r="CI72" s="3468"/>
      <c r="CJ72" s="3454"/>
      <c r="CK72" s="3454"/>
      <c r="CL72" s="3470"/>
      <c r="CM72" s="3284" t="e">
        <f>CL72/$CL$89</f>
        <v>#DIV/0!</v>
      </c>
      <c r="CN72" s="3295"/>
      <c r="CP72" s="2046"/>
      <c r="CQ72" s="2046"/>
      <c r="CR72" s="3471"/>
      <c r="CT72" s="2644"/>
    </row>
    <row r="73" spans="1:98" s="1411" customFormat="1" ht="14.4" outlineLevel="1" thickBot="1" x14ac:dyDescent="0.3">
      <c r="A73" s="1586"/>
      <c r="B73" s="3824" t="s">
        <v>4</v>
      </c>
      <c r="C73" s="555">
        <f>C74</f>
        <v>0</v>
      </c>
      <c r="D73" s="3825">
        <f>D74</f>
        <v>0</v>
      </c>
      <c r="E73" s="3826">
        <f>E74</f>
        <v>0</v>
      </c>
      <c r="F73" s="3825"/>
      <c r="G73" s="3827"/>
      <c r="H73" s="555">
        <f>H74</f>
        <v>0</v>
      </c>
      <c r="I73" s="3825">
        <f>I74</f>
        <v>0</v>
      </c>
      <c r="J73" s="3826">
        <f>J74</f>
        <v>0</v>
      </c>
      <c r="K73" s="3825"/>
      <c r="L73" s="3827"/>
      <c r="M73" s="555">
        <f>M74</f>
        <v>0</v>
      </c>
      <c r="N73" s="3825">
        <f>N74</f>
        <v>0</v>
      </c>
      <c r="O73" s="3826">
        <f>O74</f>
        <v>0</v>
      </c>
      <c r="P73" s="3825"/>
      <c r="Q73" s="3827"/>
      <c r="R73" s="555">
        <f>R74</f>
        <v>0</v>
      </c>
      <c r="S73" s="3825">
        <f>S74</f>
        <v>0</v>
      </c>
      <c r="T73" s="3826">
        <f>T74</f>
        <v>0</v>
      </c>
      <c r="U73" s="3825"/>
      <c r="V73" s="3828"/>
      <c r="W73" s="555">
        <f>W74</f>
        <v>0</v>
      </c>
      <c r="X73" s="3825">
        <f>X74</f>
        <v>0</v>
      </c>
      <c r="Y73" s="3826">
        <f>Y74</f>
        <v>0</v>
      </c>
      <c r="Z73" s="3825"/>
      <c r="AA73" s="3828"/>
      <c r="AB73" s="555">
        <f>AB74</f>
        <v>0</v>
      </c>
      <c r="AC73" s="3825">
        <f>AC74</f>
        <v>0</v>
      </c>
      <c r="AD73" s="3826">
        <f>AD74</f>
        <v>0</v>
      </c>
      <c r="AE73" s="3825"/>
      <c r="AF73" s="3827"/>
      <c r="AG73" s="555">
        <f>AG74</f>
        <v>0</v>
      </c>
      <c r="AH73" s="3825">
        <f>AH74</f>
        <v>0</v>
      </c>
      <c r="AI73" s="3826">
        <f>AI74</f>
        <v>0</v>
      </c>
      <c r="AJ73" s="3825"/>
      <c r="AK73" s="3827"/>
      <c r="AL73" s="555">
        <f>AL74</f>
        <v>0</v>
      </c>
      <c r="AM73" s="3825">
        <f>AM74</f>
        <v>0</v>
      </c>
      <c r="AN73" s="3826">
        <f>AN74</f>
        <v>0</v>
      </c>
      <c r="AO73" s="3825"/>
      <c r="AP73" s="3827"/>
      <c r="AQ73" s="555">
        <f>AQ74</f>
        <v>0</v>
      </c>
      <c r="AR73" s="3825">
        <f>AR74</f>
        <v>0</v>
      </c>
      <c r="AS73" s="3826">
        <f>AS74</f>
        <v>0</v>
      </c>
      <c r="AT73" s="3825"/>
      <c r="AU73" s="3827"/>
      <c r="AV73" s="555">
        <f>AV74</f>
        <v>0</v>
      </c>
      <c r="AW73" s="3825">
        <f>AW74</f>
        <v>0</v>
      </c>
      <c r="AX73" s="3826">
        <f>AX74</f>
        <v>0</v>
      </c>
      <c r="AY73" s="3825"/>
      <c r="AZ73" s="3827"/>
      <c r="BA73" s="555">
        <f>BA74</f>
        <v>0</v>
      </c>
      <c r="BB73" s="3825">
        <f>BB74</f>
        <v>0</v>
      </c>
      <c r="BC73" s="3826">
        <f>BC74</f>
        <v>0</v>
      </c>
      <c r="BD73" s="3825"/>
      <c r="BE73" s="3827"/>
      <c r="BF73" s="555">
        <f>BF74</f>
        <v>0</v>
      </c>
      <c r="BG73" s="3825">
        <f>BG74</f>
        <v>0</v>
      </c>
      <c r="BH73" s="3826">
        <f>BH74</f>
        <v>0</v>
      </c>
      <c r="BI73" s="3825"/>
      <c r="BJ73" s="3827"/>
      <c r="BK73" s="555">
        <f>BK74</f>
        <v>0</v>
      </c>
      <c r="BL73" s="3825">
        <f>BL74</f>
        <v>0</v>
      </c>
      <c r="BM73" s="3826">
        <f>BM74</f>
        <v>0</v>
      </c>
      <c r="BN73" s="3825"/>
      <c r="BO73" s="3827"/>
      <c r="BP73" s="555">
        <f>BP74</f>
        <v>0</v>
      </c>
      <c r="BQ73" s="3825">
        <f>BQ74</f>
        <v>0</v>
      </c>
      <c r="BR73" s="3826">
        <f>BR74</f>
        <v>0</v>
      </c>
      <c r="BS73" s="3825"/>
      <c r="BT73" s="3827"/>
      <c r="BU73" s="555">
        <f>BU74</f>
        <v>0</v>
      </c>
      <c r="BV73" s="3825">
        <f>BV74</f>
        <v>0</v>
      </c>
      <c r="BW73" s="3826">
        <f>BW74</f>
        <v>0</v>
      </c>
      <c r="BX73" s="3825"/>
      <c r="BY73" s="3827"/>
      <c r="BZ73" s="555">
        <f>BZ74</f>
        <v>0</v>
      </c>
      <c r="CA73" s="3825">
        <f>CA74</f>
        <v>0</v>
      </c>
      <c r="CB73" s="3826">
        <f>CB74</f>
        <v>0</v>
      </c>
      <c r="CC73" s="3825"/>
      <c r="CD73" s="3827"/>
      <c r="CE73" s="555">
        <f>CE74</f>
        <v>0</v>
      </c>
      <c r="CF73" s="3825">
        <f>CF74</f>
        <v>0</v>
      </c>
      <c r="CG73" s="3826">
        <f>CG74</f>
        <v>0</v>
      </c>
      <c r="CH73" s="3825"/>
      <c r="CI73" s="3827"/>
      <c r="CJ73" s="555">
        <f>CJ74</f>
        <v>0</v>
      </c>
      <c r="CK73" s="3829">
        <f>CK74</f>
        <v>0</v>
      </c>
      <c r="CL73" s="3826">
        <f>CL74</f>
        <v>0</v>
      </c>
      <c r="CM73" s="3825"/>
      <c r="CN73" s="3825"/>
      <c r="CP73" s="3473">
        <f>CP74</f>
        <v>0</v>
      </c>
      <c r="CQ73" s="3473">
        <f>CQ74</f>
        <v>0</v>
      </c>
      <c r="CR73" s="3473"/>
      <c r="CT73" s="2644"/>
    </row>
    <row r="74" spans="1:98" s="1411" customFormat="1" ht="14.4" outlineLevel="1" thickBot="1" x14ac:dyDescent="0.3">
      <c r="A74" s="1428"/>
      <c r="B74" s="1061" t="s">
        <v>64</v>
      </c>
      <c r="C74" s="3274"/>
      <c r="D74" s="3274"/>
      <c r="E74" s="3327">
        <f>C74+D74*1</f>
        <v>0</v>
      </c>
      <c r="F74" s="3327"/>
      <c r="G74" s="3475"/>
      <c r="H74" s="3274"/>
      <c r="I74" s="3274"/>
      <c r="J74" s="3327">
        <f>H74+I74*1</f>
        <v>0</v>
      </c>
      <c r="K74" s="3284" t="e">
        <f t="shared" ref="K74" si="205">J74/J$89</f>
        <v>#DIV/0!</v>
      </c>
      <c r="L74" s="3475"/>
      <c r="M74" s="3274"/>
      <c r="N74" s="3274"/>
      <c r="O74" s="3327">
        <f>M74+N74*1</f>
        <v>0</v>
      </c>
      <c r="P74" s="3284" t="e">
        <f t="shared" ref="P74" si="206">O74/O$89</f>
        <v>#DIV/0!</v>
      </c>
      <c r="Q74" s="3475"/>
      <c r="R74" s="3476"/>
      <c r="S74" s="3476"/>
      <c r="T74" s="3476"/>
      <c r="U74" s="3476"/>
      <c r="V74" s="3476"/>
      <c r="W74" s="3275">
        <f t="shared" ref="W74:X74" si="207">AB74+AG74+AL74+AV74+BA74+BF74+BK74+BP74+BU74+BZ74+CE74+AQ74</f>
        <v>0</v>
      </c>
      <c r="X74" s="3275">
        <f t="shared" si="207"/>
        <v>0</v>
      </c>
      <c r="Y74" s="3476"/>
      <c r="Z74" s="3476"/>
      <c r="AA74" s="3476"/>
      <c r="AB74" s="3274"/>
      <c r="AC74" s="3274"/>
      <c r="AD74" s="3327">
        <f>AB74+AC74*1</f>
        <v>0</v>
      </c>
      <c r="AE74" s="3327"/>
      <c r="AF74" s="3475"/>
      <c r="AG74" s="3274"/>
      <c r="AH74" s="3274"/>
      <c r="AI74" s="3327">
        <f>AG74+AH74*1</f>
        <v>0</v>
      </c>
      <c r="AJ74" s="3327"/>
      <c r="AK74" s="3475"/>
      <c r="AL74" s="3274"/>
      <c r="AM74" s="3274"/>
      <c r="AN74" s="3327">
        <f>AL74+AM74*1</f>
        <v>0</v>
      </c>
      <c r="AO74" s="3327"/>
      <c r="AP74" s="3475"/>
      <c r="AQ74" s="3274"/>
      <c r="AR74" s="3274"/>
      <c r="AS74" s="3327">
        <f>AQ74+AR74*1</f>
        <v>0</v>
      </c>
      <c r="AT74" s="3327"/>
      <c r="AU74" s="3475"/>
      <c r="AV74" s="3274"/>
      <c r="AW74" s="3274"/>
      <c r="AX74" s="3327">
        <f>AV74+AW74*1</f>
        <v>0</v>
      </c>
      <c r="AY74" s="3327"/>
      <c r="AZ74" s="3475"/>
      <c r="BA74" s="3274"/>
      <c r="BB74" s="3274"/>
      <c r="BC74" s="3327">
        <f>BA74+BB74*1</f>
        <v>0</v>
      </c>
      <c r="BD74" s="3327"/>
      <c r="BE74" s="3475"/>
      <c r="BF74" s="3274"/>
      <c r="BG74" s="3274"/>
      <c r="BH74" s="3327">
        <f>BF74+BG74*1</f>
        <v>0</v>
      </c>
      <c r="BI74" s="3327"/>
      <c r="BJ74" s="3475"/>
      <c r="BK74" s="3274"/>
      <c r="BL74" s="3274"/>
      <c r="BM74" s="3327">
        <f>BK74+BL74*1</f>
        <v>0</v>
      </c>
      <c r="BN74" s="3327"/>
      <c r="BO74" s="3475"/>
      <c r="BP74" s="3274"/>
      <c r="BQ74" s="3274"/>
      <c r="BR74" s="3327">
        <f>BP74+BQ74*1</f>
        <v>0</v>
      </c>
      <c r="BS74" s="3327"/>
      <c r="BT74" s="3475"/>
      <c r="BU74" s="3274"/>
      <c r="BV74" s="3274"/>
      <c r="BW74" s="3327">
        <f>BU74+BV74*1</f>
        <v>0</v>
      </c>
      <c r="BX74" s="3327"/>
      <c r="BY74" s="3475"/>
      <c r="BZ74" s="3274"/>
      <c r="CA74" s="3274"/>
      <c r="CB74" s="3327">
        <f>BZ74+CA74*1</f>
        <v>0</v>
      </c>
      <c r="CC74" s="3327"/>
      <c r="CD74" s="3475"/>
      <c r="CE74" s="3274"/>
      <c r="CF74" s="3274"/>
      <c r="CG74" s="3327">
        <f>CE74+CF74*1</f>
        <v>0</v>
      </c>
      <c r="CH74" s="3327"/>
      <c r="CI74" s="3475"/>
      <c r="CJ74" s="3274">
        <f>C74+H74+M74</f>
        <v>0</v>
      </c>
      <c r="CK74" s="3274">
        <f>D74+I74+N74</f>
        <v>0</v>
      </c>
      <c r="CL74" s="3327">
        <f>CJ74+CK74*1</f>
        <v>0</v>
      </c>
      <c r="CM74" s="3327"/>
      <c r="CN74" s="3327"/>
      <c r="CP74" s="3474">
        <f>CN74+CO74*1</f>
        <v>0</v>
      </c>
      <c r="CQ74" s="3474">
        <f>CO74+CP74*1</f>
        <v>0</v>
      </c>
      <c r="CR74" s="3474"/>
      <c r="CT74" s="2644"/>
    </row>
    <row r="75" spans="1:98" s="1411" customFormat="1" ht="14.4" thickBot="1" x14ac:dyDescent="0.3">
      <c r="A75" s="1414"/>
      <c r="B75" s="1431" t="s">
        <v>48</v>
      </c>
      <c r="C75" s="1465">
        <f>C38-C41-C50-C54</f>
        <v>0</v>
      </c>
      <c r="D75" s="1465">
        <f>D38-D41-D50-D54</f>
        <v>0</v>
      </c>
      <c r="E75" s="1523">
        <f>E38-E41-E50-E54</f>
        <v>0</v>
      </c>
      <c r="F75" s="1969"/>
      <c r="G75" s="1068"/>
      <c r="H75" s="1465">
        <f>H38-H41-H50-H54</f>
        <v>0</v>
      </c>
      <c r="I75" s="1465">
        <f>I38-I41-I50-I54</f>
        <v>0</v>
      </c>
      <c r="J75" s="1523">
        <f>J38-J41-J50-J54</f>
        <v>0</v>
      </c>
      <c r="K75" s="1969"/>
      <c r="L75" s="1068"/>
      <c r="M75" s="1465">
        <f>M38-M41-M50-M54</f>
        <v>0</v>
      </c>
      <c r="N75" s="1465">
        <f>N38-N41-N50-N54</f>
        <v>0</v>
      </c>
      <c r="O75" s="1523">
        <f>O38-O41-O50-O54</f>
        <v>0</v>
      </c>
      <c r="P75" s="1969"/>
      <c r="Q75" s="1068"/>
      <c r="R75" s="1465">
        <f>R38-R41-R50-R54</f>
        <v>0</v>
      </c>
      <c r="S75" s="1465">
        <f>S38-S41-S50-S54</f>
        <v>0</v>
      </c>
      <c r="T75" s="1523">
        <f>T38-T41-T50-T54</f>
        <v>0</v>
      </c>
      <c r="U75" s="3477"/>
      <c r="V75" s="3477"/>
      <c r="W75" s="1465">
        <f>W38-W41-W50-W54</f>
        <v>0</v>
      </c>
      <c r="X75" s="1465">
        <f>X38-X41-X50-X54</f>
        <v>0</v>
      </c>
      <c r="Y75" s="1523">
        <f>Y38-Y41-Y50-Y54</f>
        <v>0</v>
      </c>
      <c r="Z75" s="3477"/>
      <c r="AA75" s="3477"/>
      <c r="AB75" s="1465">
        <f>AB38-AB41-AB50-AB54</f>
        <v>0</v>
      </c>
      <c r="AC75" s="1465">
        <f>AC38-AC41-AC50-AC54</f>
        <v>0</v>
      </c>
      <c r="AD75" s="1523">
        <f>AD38-AD41-AD50-AD54</f>
        <v>0</v>
      </c>
      <c r="AE75" s="1969"/>
      <c r="AF75" s="1068"/>
      <c r="AG75" s="1465">
        <f>AG38-AG41-AG50-AG54</f>
        <v>0</v>
      </c>
      <c r="AH75" s="1465">
        <f>AH38-AH41-AH50-AH54</f>
        <v>0</v>
      </c>
      <c r="AI75" s="1523">
        <f>AI38-AI41-AI50-AI54</f>
        <v>0</v>
      </c>
      <c r="AJ75" s="1969"/>
      <c r="AK75" s="1068"/>
      <c r="AL75" s="1465">
        <f>AL38-AL41-AL50-AL54</f>
        <v>0</v>
      </c>
      <c r="AM75" s="1465">
        <f>AM38-AM41-AM50-AM54</f>
        <v>0</v>
      </c>
      <c r="AN75" s="1523">
        <f>AN38-AN41-AN50-AN54</f>
        <v>0</v>
      </c>
      <c r="AO75" s="1969"/>
      <c r="AP75" s="1068"/>
      <c r="AQ75" s="1465">
        <f>AQ38-AQ41-AQ50-AQ54</f>
        <v>0</v>
      </c>
      <c r="AR75" s="1465">
        <f>AR38-AR41-AR50-AR54</f>
        <v>0</v>
      </c>
      <c r="AS75" s="1523">
        <f>AS38-AS41-AS50-AS54</f>
        <v>0</v>
      </c>
      <c r="AT75" s="1969"/>
      <c r="AU75" s="1068"/>
      <c r="AV75" s="1465">
        <f>AV38-AV41-AV50-AV54</f>
        <v>0</v>
      </c>
      <c r="AW75" s="1465">
        <f>AW38-AW41-AW50-AW54</f>
        <v>0</v>
      </c>
      <c r="AX75" s="1523">
        <f>AX38-AX41-AX50-AX54</f>
        <v>0</v>
      </c>
      <c r="AY75" s="1969"/>
      <c r="AZ75" s="1068"/>
      <c r="BA75" s="1465">
        <f>BA38-BA41-BA50-BA54</f>
        <v>0</v>
      </c>
      <c r="BB75" s="1465">
        <f>BB38-BB41-BB50-BB54</f>
        <v>0</v>
      </c>
      <c r="BC75" s="1523">
        <f>BC38-BC41-BC50-BC54</f>
        <v>0</v>
      </c>
      <c r="BD75" s="1969"/>
      <c r="BE75" s="1068"/>
      <c r="BF75" s="1465">
        <f>BF38-BF41-BF50-BF54</f>
        <v>0</v>
      </c>
      <c r="BG75" s="1465">
        <f>BG38-BG41-BG50-BG54</f>
        <v>0</v>
      </c>
      <c r="BH75" s="1523">
        <f>BH38-BH41-BH50-BH54</f>
        <v>0</v>
      </c>
      <c r="BI75" s="1969"/>
      <c r="BJ75" s="1068"/>
      <c r="BK75" s="1465">
        <f>BK38-BK41-BK50-BK54</f>
        <v>0</v>
      </c>
      <c r="BL75" s="1465">
        <f>BL38-BL41-BL50-BL54</f>
        <v>0</v>
      </c>
      <c r="BM75" s="1523">
        <f>BM38-BM41-BM50-BM54</f>
        <v>0</v>
      </c>
      <c r="BN75" s="1969"/>
      <c r="BO75" s="1068"/>
      <c r="BP75" s="1465">
        <f>BP38-BP41-BP50-BP54</f>
        <v>0</v>
      </c>
      <c r="BQ75" s="1465">
        <f>BQ38-BQ41-BQ50-BQ54</f>
        <v>0</v>
      </c>
      <c r="BR75" s="1523">
        <f>BR38-BR41-BR50-BR54</f>
        <v>0</v>
      </c>
      <c r="BS75" s="1969"/>
      <c r="BT75" s="1068"/>
      <c r="BU75" s="1465">
        <f>BU38-BU41-BU50-BU54</f>
        <v>0</v>
      </c>
      <c r="BV75" s="1465">
        <f>BV38-BV41-BV50-BV54</f>
        <v>0</v>
      </c>
      <c r="BW75" s="1523">
        <f>BW38-BW41-BW50-BW54</f>
        <v>0</v>
      </c>
      <c r="BX75" s="1969"/>
      <c r="BY75" s="1068"/>
      <c r="BZ75" s="1465">
        <f>BZ38-BZ41-BZ50-BZ54</f>
        <v>0</v>
      </c>
      <c r="CA75" s="1465">
        <f>CA38-CA41-CA50-CA54</f>
        <v>0</v>
      </c>
      <c r="CB75" s="1523">
        <f>CB38-CB41-CB50-CB54</f>
        <v>0</v>
      </c>
      <c r="CC75" s="1969"/>
      <c r="CD75" s="1068"/>
      <c r="CE75" s="1465">
        <f>CE38-CE41-CE50-CE54</f>
        <v>0</v>
      </c>
      <c r="CF75" s="1465">
        <f>CF38-CF41-CF50-CF54</f>
        <v>0</v>
      </c>
      <c r="CG75" s="1523">
        <f>CG38-CG41-CG50-CG54</f>
        <v>0</v>
      </c>
      <c r="CH75" s="1969"/>
      <c r="CI75" s="1068"/>
      <c r="CJ75" s="1465">
        <f>CJ38-CJ41-CJ50-CJ54</f>
        <v>0</v>
      </c>
      <c r="CK75" s="1465">
        <f>CK38-CK41-CK50-CK54</f>
        <v>0</v>
      </c>
      <c r="CL75" s="1523">
        <f>CL38-CL41-CL50-CL54</f>
        <v>0</v>
      </c>
      <c r="CM75" s="1969"/>
      <c r="CN75" s="1969"/>
      <c r="CP75" s="3478">
        <f>CP38-CP41-CP50-CP54</f>
        <v>0</v>
      </c>
      <c r="CQ75" s="3478">
        <f>CQ38-CQ41-CQ50-CQ54</f>
        <v>0</v>
      </c>
      <c r="CR75" s="3478">
        <f>CR38-CR41-CR50-CR54</f>
        <v>0</v>
      </c>
      <c r="CT75" s="2644"/>
    </row>
    <row r="76" spans="1:98" s="1411" customFormat="1" ht="13.8" x14ac:dyDescent="0.25">
      <c r="A76" s="1581"/>
      <c r="B76" s="1444" t="s">
        <v>49</v>
      </c>
      <c r="C76" s="2019">
        <f>IFERROR(C75/C5,0)</f>
        <v>0</v>
      </c>
      <c r="D76" s="2019">
        <f>IFERROR(D75/D5,0)</f>
        <v>0</v>
      </c>
      <c r="E76" s="2020">
        <f>IFERROR(E75/E5,0)</f>
        <v>0</v>
      </c>
      <c r="F76" s="2020"/>
      <c r="G76" s="1066"/>
      <c r="H76" s="2019">
        <f>IFERROR(H75/H5,0)</f>
        <v>0</v>
      </c>
      <c r="I76" s="2019">
        <f>IFERROR(I75/I5,0)</f>
        <v>0</v>
      </c>
      <c r="J76" s="2020">
        <f>IFERROR(J75/J5,0)</f>
        <v>0</v>
      </c>
      <c r="K76" s="2020"/>
      <c r="L76" s="1066"/>
      <c r="M76" s="2019">
        <f>IFERROR(M75/M5,0)</f>
        <v>0</v>
      </c>
      <c r="N76" s="2019">
        <f>IFERROR(N75/N5,0)</f>
        <v>0</v>
      </c>
      <c r="O76" s="2020">
        <f>IFERROR(O75/O5,0)</f>
        <v>0</v>
      </c>
      <c r="P76" s="2020"/>
      <c r="Q76" s="1066"/>
      <c r="R76" s="3466"/>
      <c r="S76" s="3466"/>
      <c r="T76" s="3466"/>
      <c r="U76" s="3466"/>
      <c r="V76" s="3466"/>
      <c r="W76" s="3466"/>
      <c r="X76" s="3466"/>
      <c r="Y76" s="3466"/>
      <c r="Z76" s="3466"/>
      <c r="AA76" s="3466"/>
      <c r="AB76" s="2019">
        <f>IFERROR(AB75/AB5,0)</f>
        <v>0</v>
      </c>
      <c r="AC76" s="2019">
        <f>IFERROR(AC75/AC5,0)</f>
        <v>0</v>
      </c>
      <c r="AD76" s="2020">
        <f>IFERROR(AD75/AD5,0)</f>
        <v>0</v>
      </c>
      <c r="AE76" s="2020"/>
      <c r="AF76" s="1066"/>
      <c r="AG76" s="2019">
        <f>IFERROR(AG75/AG5,0)</f>
        <v>0</v>
      </c>
      <c r="AH76" s="2019">
        <f>IFERROR(AH75/AH5,0)</f>
        <v>0</v>
      </c>
      <c r="AI76" s="2020">
        <f>IFERROR(AI75/AI5,0)</f>
        <v>0</v>
      </c>
      <c r="AJ76" s="2020"/>
      <c r="AK76" s="1066"/>
      <c r="AL76" s="2019">
        <f>IFERROR(AL75/AL5,0)</f>
        <v>0</v>
      </c>
      <c r="AM76" s="2019">
        <f>IFERROR(AM75/AM5,0)</f>
        <v>0</v>
      </c>
      <c r="AN76" s="2020">
        <f>IFERROR(AN75/AN5,0)</f>
        <v>0</v>
      </c>
      <c r="AO76" s="2020"/>
      <c r="AP76" s="1066"/>
      <c r="AQ76" s="2019">
        <f>IFERROR(AQ75/AQ5,0)</f>
        <v>0</v>
      </c>
      <c r="AR76" s="2019">
        <f>IFERROR(AR75/AR5,0)</f>
        <v>0</v>
      </c>
      <c r="AS76" s="2020">
        <f>IFERROR(AS75/AS5,0)</f>
        <v>0</v>
      </c>
      <c r="AT76" s="2020"/>
      <c r="AU76" s="1066"/>
      <c r="AV76" s="2019">
        <f>IFERROR(AV75/AV5,0)</f>
        <v>0</v>
      </c>
      <c r="AW76" s="2019">
        <f>IFERROR(AW75/AW5,0)</f>
        <v>0</v>
      </c>
      <c r="AX76" s="2020">
        <f>IFERROR(AX75/AX5,0)</f>
        <v>0</v>
      </c>
      <c r="AY76" s="2020"/>
      <c r="AZ76" s="1066"/>
      <c r="BA76" s="2019">
        <f>IFERROR(BA75/BA5,0)</f>
        <v>0</v>
      </c>
      <c r="BB76" s="2019">
        <f>IFERROR(BB75/BB5,0)</f>
        <v>0</v>
      </c>
      <c r="BC76" s="2020">
        <f>IFERROR(BC75/BC5,0)</f>
        <v>0</v>
      </c>
      <c r="BD76" s="2020"/>
      <c r="BE76" s="1066"/>
      <c r="BF76" s="2019">
        <f>IFERROR(BF75/BF5,0)</f>
        <v>0</v>
      </c>
      <c r="BG76" s="2019">
        <f>IFERROR(BG75/BG5,0)</f>
        <v>0</v>
      </c>
      <c r="BH76" s="2020">
        <f>IFERROR(BH75/BH5,0)</f>
        <v>0</v>
      </c>
      <c r="BI76" s="2020"/>
      <c r="BJ76" s="1066"/>
      <c r="BK76" s="2019">
        <f>IFERROR(BK75/BK5,0)</f>
        <v>0</v>
      </c>
      <c r="BL76" s="2019">
        <f>IFERROR(BL75/BL5,0)</f>
        <v>0</v>
      </c>
      <c r="BM76" s="2020">
        <f>IFERROR(BM75/BM5,0)</f>
        <v>0</v>
      </c>
      <c r="BN76" s="2020"/>
      <c r="BO76" s="1066"/>
      <c r="BP76" s="2019">
        <f>IFERROR(BP75/BP5,0)</f>
        <v>0</v>
      </c>
      <c r="BQ76" s="2019">
        <f>IFERROR(BQ75/BQ5,0)</f>
        <v>0</v>
      </c>
      <c r="BR76" s="2020">
        <f>IFERROR(BR75/BR5,0)</f>
        <v>0</v>
      </c>
      <c r="BS76" s="2020"/>
      <c r="BT76" s="1066"/>
      <c r="BU76" s="2019">
        <f>IFERROR(BU75/BU5,0)</f>
        <v>0</v>
      </c>
      <c r="BV76" s="2019">
        <f>IFERROR(BV75/BV5,0)</f>
        <v>0</v>
      </c>
      <c r="BW76" s="2020">
        <f>IFERROR(BW75/BW5,0)</f>
        <v>0</v>
      </c>
      <c r="BX76" s="2020"/>
      <c r="BY76" s="1066"/>
      <c r="BZ76" s="2019">
        <f>IFERROR(BZ75/BZ5,0)</f>
        <v>0</v>
      </c>
      <c r="CA76" s="2019">
        <f>IFERROR(CA75/CA5,0)</f>
        <v>0</v>
      </c>
      <c r="CB76" s="2020">
        <f>IFERROR(CB75/CB5,0)</f>
        <v>0</v>
      </c>
      <c r="CC76" s="2020"/>
      <c r="CD76" s="1066"/>
      <c r="CE76" s="2019">
        <f>IFERROR(CE75/CE5,0)</f>
        <v>0</v>
      </c>
      <c r="CF76" s="2019">
        <f>IFERROR(CF75/CF5,0)</f>
        <v>0</v>
      </c>
      <c r="CG76" s="2020">
        <f>IFERROR(CG75/CG5,0)</f>
        <v>0</v>
      </c>
      <c r="CH76" s="2020"/>
      <c r="CI76" s="1066"/>
      <c r="CJ76" s="2019">
        <f>IFERROR(CJ75/CJ5,0)</f>
        <v>0</v>
      </c>
      <c r="CK76" s="2019">
        <f>IFERROR(CK75/CK5,0)</f>
        <v>0</v>
      </c>
      <c r="CL76" s="2020">
        <f>IFERROR(CL75/CL5,0)</f>
        <v>0</v>
      </c>
      <c r="CM76" s="2020"/>
      <c r="CN76" s="2020"/>
      <c r="CP76" s="2020" t="e">
        <f>CP75/CP5</f>
        <v>#DIV/0!</v>
      </c>
      <c r="CQ76" s="2020">
        <f>IFERROR(CQ75/CQ5,0)</f>
        <v>0</v>
      </c>
      <c r="CR76" s="2020" t="e">
        <f>CR75/CR5</f>
        <v>#DIV/0!</v>
      </c>
      <c r="CT76" s="2644"/>
    </row>
    <row r="77" spans="1:98" s="1411" customFormat="1" ht="14.4" outlineLevel="1" thickBot="1" x14ac:dyDescent="0.3">
      <c r="A77" s="1581"/>
      <c r="B77" s="3331" t="s">
        <v>9</v>
      </c>
      <c r="C77" s="2865">
        <f>C78-C79</f>
        <v>0</v>
      </c>
      <c r="D77" s="2865">
        <f>D78-D79</f>
        <v>0</v>
      </c>
      <c r="E77" s="2866">
        <f>E78-E79</f>
        <v>0</v>
      </c>
      <c r="F77" s="2868"/>
      <c r="G77" s="3479"/>
      <c r="H77" s="2865">
        <f>H78-H79</f>
        <v>0</v>
      </c>
      <c r="I77" s="2865">
        <f>I78-I79</f>
        <v>0</v>
      </c>
      <c r="J77" s="2866">
        <f>J78-J79</f>
        <v>0</v>
      </c>
      <c r="K77" s="2868"/>
      <c r="L77" s="3479"/>
      <c r="M77" s="2865">
        <f>M78-M79</f>
        <v>0</v>
      </c>
      <c r="N77" s="2865">
        <f>N78-N79</f>
        <v>0</v>
      </c>
      <c r="O77" s="2866">
        <f>O78-O79</f>
        <v>0</v>
      </c>
      <c r="P77" s="2868"/>
      <c r="Q77" s="3479"/>
      <c r="R77" s="2865">
        <f>R78-R79</f>
        <v>0</v>
      </c>
      <c r="S77" s="2865">
        <f>S78-S79</f>
        <v>0</v>
      </c>
      <c r="T77" s="2866">
        <f>T78-T79</f>
        <v>0</v>
      </c>
      <c r="U77" s="3840"/>
      <c r="V77" s="3840"/>
      <c r="W77" s="2865">
        <f>W78-W79</f>
        <v>0</v>
      </c>
      <c r="X77" s="2865">
        <f>X78-X79</f>
        <v>0</v>
      </c>
      <c r="Y77" s="2866">
        <f>Y78-Y79</f>
        <v>0</v>
      </c>
      <c r="Z77" s="3840"/>
      <c r="AA77" s="3840"/>
      <c r="AB77" s="2865">
        <f>AB78-AB79</f>
        <v>0</v>
      </c>
      <c r="AC77" s="2865">
        <f>AC78-AC79</f>
        <v>0</v>
      </c>
      <c r="AD77" s="2866">
        <f>AD78-AD79</f>
        <v>0</v>
      </c>
      <c r="AE77" s="2868"/>
      <c r="AF77" s="3479"/>
      <c r="AG77" s="2865">
        <f>AG78-AG79</f>
        <v>0</v>
      </c>
      <c r="AH77" s="2865">
        <f>AH78-AH79</f>
        <v>0</v>
      </c>
      <c r="AI77" s="2866">
        <f>AI78-AI79</f>
        <v>0</v>
      </c>
      <c r="AJ77" s="2868"/>
      <c r="AK77" s="3479"/>
      <c r="AL77" s="2865">
        <f>AL78-AL79</f>
        <v>0</v>
      </c>
      <c r="AM77" s="2865">
        <f>AM78-AM79</f>
        <v>0</v>
      </c>
      <c r="AN77" s="2866">
        <f>AN78-AN79</f>
        <v>0</v>
      </c>
      <c r="AO77" s="2868"/>
      <c r="AP77" s="3479"/>
      <c r="AQ77" s="2865">
        <f>AQ78-AQ79</f>
        <v>0</v>
      </c>
      <c r="AR77" s="2865">
        <f>AR78-AR79</f>
        <v>0</v>
      </c>
      <c r="AS77" s="2866">
        <f>AS78-AS79</f>
        <v>0</v>
      </c>
      <c r="AT77" s="2868"/>
      <c r="AU77" s="3479"/>
      <c r="AV77" s="2865">
        <f>AV78-AV79</f>
        <v>0</v>
      </c>
      <c r="AW77" s="2865">
        <f>AW78-AW79</f>
        <v>0</v>
      </c>
      <c r="AX77" s="2866">
        <f>AX78-AX79</f>
        <v>0</v>
      </c>
      <c r="AY77" s="2868"/>
      <c r="AZ77" s="3479"/>
      <c r="BA77" s="2865">
        <f>BA78-BA79</f>
        <v>0</v>
      </c>
      <c r="BB77" s="2865">
        <f>BB78-BB79</f>
        <v>0</v>
      </c>
      <c r="BC77" s="2866">
        <f>BC78-BC79</f>
        <v>0</v>
      </c>
      <c r="BD77" s="2868"/>
      <c r="BE77" s="3479"/>
      <c r="BF77" s="2865">
        <f>BF78-BF79</f>
        <v>0</v>
      </c>
      <c r="BG77" s="2865">
        <f>BG78-BG79</f>
        <v>0</v>
      </c>
      <c r="BH77" s="2866">
        <f>BH78-BH79</f>
        <v>0</v>
      </c>
      <c r="BI77" s="2868"/>
      <c r="BJ77" s="3479"/>
      <c r="BK77" s="2865">
        <f>BK78-BK79</f>
        <v>0</v>
      </c>
      <c r="BL77" s="2865">
        <f>BL78-BL79</f>
        <v>0</v>
      </c>
      <c r="BM77" s="2866">
        <f>BM78-BM79</f>
        <v>0</v>
      </c>
      <c r="BN77" s="2868"/>
      <c r="BO77" s="3479"/>
      <c r="BP77" s="2865">
        <f>BP78-BP79</f>
        <v>0</v>
      </c>
      <c r="BQ77" s="2865">
        <f>BQ78-BQ79</f>
        <v>0</v>
      </c>
      <c r="BR77" s="2866">
        <f>BR78-BR79</f>
        <v>0</v>
      </c>
      <c r="BS77" s="2868"/>
      <c r="BT77" s="3479"/>
      <c r="BU77" s="2865">
        <f>BU78-BU79</f>
        <v>0</v>
      </c>
      <c r="BV77" s="2865">
        <f>BV78-BV79</f>
        <v>0</v>
      </c>
      <c r="BW77" s="2866">
        <f>BW78-BW79</f>
        <v>0</v>
      </c>
      <c r="BX77" s="2868"/>
      <c r="BY77" s="3479"/>
      <c r="BZ77" s="2865">
        <f>BZ78-BZ79</f>
        <v>0</v>
      </c>
      <c r="CA77" s="2865">
        <f>CA78-CA79</f>
        <v>0</v>
      </c>
      <c r="CB77" s="2866">
        <f>CB78-CB79</f>
        <v>0</v>
      </c>
      <c r="CC77" s="2868"/>
      <c r="CD77" s="3479"/>
      <c r="CE77" s="2865">
        <f>CE78-CE79</f>
        <v>0</v>
      </c>
      <c r="CF77" s="2865">
        <f>CF78-CF79</f>
        <v>0</v>
      </c>
      <c r="CG77" s="2866">
        <f>CG78-CG79</f>
        <v>0</v>
      </c>
      <c r="CH77" s="2868"/>
      <c r="CI77" s="3479"/>
      <c r="CJ77" s="2865">
        <f>CJ78-CJ79</f>
        <v>0</v>
      </c>
      <c r="CK77" s="2865">
        <f>CK78-CK79</f>
        <v>0</v>
      </c>
      <c r="CL77" s="2866">
        <f>CL78-CL79</f>
        <v>0</v>
      </c>
      <c r="CM77" s="2868"/>
      <c r="CN77" s="2868"/>
      <c r="CP77" s="2866">
        <f>CP78-CP79</f>
        <v>0</v>
      </c>
      <c r="CQ77" s="2866">
        <f>CQ78-CQ79</f>
        <v>0</v>
      </c>
      <c r="CR77" s="2866"/>
      <c r="CT77" s="2644"/>
    </row>
    <row r="78" spans="1:98" s="1411" customFormat="1" ht="13.8" outlineLevel="2" x14ac:dyDescent="0.25">
      <c r="A78" s="1420"/>
      <c r="B78" s="1415" t="s">
        <v>43</v>
      </c>
      <c r="C78" s="3274"/>
      <c r="D78" s="3274"/>
      <c r="E78" s="3333">
        <f>C78+D78*1.15</f>
        <v>0</v>
      </c>
      <c r="F78" s="3333"/>
      <c r="G78" s="3480"/>
      <c r="H78" s="3274"/>
      <c r="I78" s="3274"/>
      <c r="J78" s="3333">
        <f>H78+I78*1.15</f>
        <v>0</v>
      </c>
      <c r="K78" s="3284" t="e">
        <f t="shared" ref="K78:K79" si="208">J78/J$89</f>
        <v>#DIV/0!</v>
      </c>
      <c r="L78" s="3480"/>
      <c r="M78" s="3274"/>
      <c r="N78" s="3274"/>
      <c r="O78" s="3333">
        <f>M78+N78*1.15</f>
        <v>0</v>
      </c>
      <c r="P78" s="3284" t="e">
        <f t="shared" ref="P78:P79" si="209">O78/O$89</f>
        <v>#DIV/0!</v>
      </c>
      <c r="Q78" s="3480"/>
      <c r="R78" s="3275">
        <f t="shared" ref="R78:S79" si="210">M78+H78+C78</f>
        <v>0</v>
      </c>
      <c r="S78" s="3275">
        <f t="shared" si="210"/>
        <v>0</v>
      </c>
      <c r="T78" s="2028">
        <f t="shared" ref="T78:T79" si="211">R78+S78</f>
        <v>0</v>
      </c>
      <c r="U78" s="3481"/>
      <c r="V78" s="3481"/>
      <c r="W78" s="3275">
        <f t="shared" ref="W78:X79" si="212">AB78+AG78+AL78+AV78+BA78+BF78+BK78+BP78+BU78+BZ78+CE78+AQ78</f>
        <v>0</v>
      </c>
      <c r="X78" s="3275">
        <f t="shared" si="212"/>
        <v>0</v>
      </c>
      <c r="Y78" s="2028">
        <f t="shared" ref="Y78:Y79" si="213">W78+X78</f>
        <v>0</v>
      </c>
      <c r="Z78" s="3481"/>
      <c r="AA78" s="3481"/>
      <c r="AB78" s="3274"/>
      <c r="AC78" s="3274"/>
      <c r="AD78" s="3333">
        <f>AB78+AC78*1.15</f>
        <v>0</v>
      </c>
      <c r="AE78" s="3333"/>
      <c r="AF78" s="3480"/>
      <c r="AG78" s="3274"/>
      <c r="AH78" s="3274"/>
      <c r="AI78" s="3333">
        <f>AG78+AH78*1.15</f>
        <v>0</v>
      </c>
      <c r="AJ78" s="3333"/>
      <c r="AK78" s="3480"/>
      <c r="AL78" s="3274"/>
      <c r="AM78" s="3274"/>
      <c r="AN78" s="3333">
        <f>AL78+AM78*1.15</f>
        <v>0</v>
      </c>
      <c r="AO78" s="3333"/>
      <c r="AP78" s="3480"/>
      <c r="AQ78" s="3274"/>
      <c r="AR78" s="3274"/>
      <c r="AS78" s="3333">
        <f>AQ78+AR78*1.15</f>
        <v>0</v>
      </c>
      <c r="AT78" s="3333"/>
      <c r="AU78" s="3480"/>
      <c r="AV78" s="3274"/>
      <c r="AW78" s="3274"/>
      <c r="AX78" s="3333">
        <f>AV78+AW78*1.15</f>
        <v>0</v>
      </c>
      <c r="AY78" s="3333"/>
      <c r="AZ78" s="3480"/>
      <c r="BA78" s="3274"/>
      <c r="BB78" s="3274"/>
      <c r="BC78" s="3333">
        <f>BA78+BB78*1.15</f>
        <v>0</v>
      </c>
      <c r="BD78" s="3333"/>
      <c r="BE78" s="3480"/>
      <c r="BF78" s="3274"/>
      <c r="BG78" s="3274"/>
      <c r="BH78" s="3333">
        <f>BF78+BG78*1.15</f>
        <v>0</v>
      </c>
      <c r="BI78" s="3333"/>
      <c r="BJ78" s="3480"/>
      <c r="BK78" s="3274"/>
      <c r="BL78" s="3274"/>
      <c r="BM78" s="3333">
        <f>BK78+BL78*1.15</f>
        <v>0</v>
      </c>
      <c r="BN78" s="3333"/>
      <c r="BO78" s="3480"/>
      <c r="BP78" s="3274"/>
      <c r="BQ78" s="3274"/>
      <c r="BR78" s="3333">
        <f>BP78+BQ78*1.15</f>
        <v>0</v>
      </c>
      <c r="BS78" s="3333"/>
      <c r="BT78" s="3480"/>
      <c r="BU78" s="3274"/>
      <c r="BV78" s="3274"/>
      <c r="BW78" s="3333">
        <f>BU78+BV78*1.15</f>
        <v>0</v>
      </c>
      <c r="BX78" s="3333"/>
      <c r="BY78" s="3480"/>
      <c r="BZ78" s="3274"/>
      <c r="CA78" s="3274"/>
      <c r="CB78" s="3333">
        <f>BZ78+CA78*1.15</f>
        <v>0</v>
      </c>
      <c r="CC78" s="3333"/>
      <c r="CD78" s="3480"/>
      <c r="CE78" s="3274"/>
      <c r="CF78" s="3274"/>
      <c r="CG78" s="3333">
        <f>CE78+CF78*1.15</f>
        <v>0</v>
      </c>
      <c r="CH78" s="3333"/>
      <c r="CI78" s="3480"/>
      <c r="CJ78" s="3274">
        <f t="shared" ref="CJ78:CK79" si="214">C78+H78+M78+W78</f>
        <v>0</v>
      </c>
      <c r="CK78" s="3274">
        <f t="shared" si="214"/>
        <v>0</v>
      </c>
      <c r="CL78" s="3333">
        <f>CJ78+CK78*1.15</f>
        <v>0</v>
      </c>
      <c r="CM78" s="3333"/>
      <c r="CN78" s="3333"/>
      <c r="CP78" s="3482">
        <f>CN78+CO78*1.15</f>
        <v>0</v>
      </c>
      <c r="CQ78" s="3482">
        <f>CO78+CP78*1.15</f>
        <v>0</v>
      </c>
      <c r="CR78" s="3448"/>
      <c r="CT78" s="2644"/>
    </row>
    <row r="79" spans="1:98" s="1411" customFormat="1" ht="13.8" outlineLevel="2" x14ac:dyDescent="0.25">
      <c r="A79" s="1420"/>
      <c r="B79" s="3289" t="s">
        <v>79</v>
      </c>
      <c r="C79" s="3274">
        <f>(D8+D41+D50+D54)/(1-'расчет 2022'!$M$21)*'расчет 2022'!$M$21</f>
        <v>0</v>
      </c>
      <c r="D79" s="3274"/>
      <c r="E79" s="2028">
        <f>C79+D79</f>
        <v>0</v>
      </c>
      <c r="F79" s="3311"/>
      <c r="G79" s="3461"/>
      <c r="H79" s="3274">
        <f>(I8+I41+I50+I54)/(1-'расчет 2022'!$M$23)*'расчет 2022'!$M$23</f>
        <v>0</v>
      </c>
      <c r="I79" s="3274"/>
      <c r="J79" s="2028">
        <f>H79+I79</f>
        <v>0</v>
      </c>
      <c r="K79" s="3284" t="e">
        <f t="shared" si="208"/>
        <v>#DIV/0!</v>
      </c>
      <c r="L79" s="3461"/>
      <c r="M79" s="3274">
        <f>(N8+N41+N50+N54)/(1-'расчет 2022'!$M$23)*'расчет 2022'!$M$23</f>
        <v>0</v>
      </c>
      <c r="N79" s="3274"/>
      <c r="O79" s="2028">
        <f>M79+N79</f>
        <v>0</v>
      </c>
      <c r="P79" s="3284" t="e">
        <f t="shared" si="209"/>
        <v>#DIV/0!</v>
      </c>
      <c r="Q79" s="3461"/>
      <c r="R79" s="3275">
        <f t="shared" si="210"/>
        <v>0</v>
      </c>
      <c r="S79" s="3275">
        <f t="shared" si="210"/>
        <v>0</v>
      </c>
      <c r="T79" s="2028">
        <f t="shared" si="211"/>
        <v>0</v>
      </c>
      <c r="U79" s="3462"/>
      <c r="V79" s="3462"/>
      <c r="W79" s="3275">
        <f t="shared" si="212"/>
        <v>0</v>
      </c>
      <c r="X79" s="3275">
        <f t="shared" si="212"/>
        <v>0</v>
      </c>
      <c r="Y79" s="2028">
        <f t="shared" si="213"/>
        <v>0</v>
      </c>
      <c r="Z79" s="3462"/>
      <c r="AA79" s="3462"/>
      <c r="AB79" s="3274">
        <f>(AC8+AC41+AC50+AC54)/(1-'расчет 2022'!$M$23)*'расчет 2022'!$M$23</f>
        <v>0</v>
      </c>
      <c r="AC79" s="3274"/>
      <c r="AD79" s="2028">
        <f>AB79+AC79</f>
        <v>0</v>
      </c>
      <c r="AE79" s="3311"/>
      <c r="AF79" s="3461"/>
      <c r="AG79" s="3274">
        <f>(AH8+AH41+AH50+AH54)/(1-'расчет 2022'!$M$23)*'расчет 2022'!$M$23</f>
        <v>0</v>
      </c>
      <c r="AH79" s="3274"/>
      <c r="AI79" s="2028">
        <f>AG79+AH79</f>
        <v>0</v>
      </c>
      <c r="AJ79" s="3311"/>
      <c r="AK79" s="3461"/>
      <c r="AL79" s="3274">
        <f>(AM8+AM41+AM50+AM54)/(1-'расчет 2022'!$M$23)*'расчет 2022'!$M$23</f>
        <v>0</v>
      </c>
      <c r="AM79" s="3274"/>
      <c r="AN79" s="2028">
        <f>AL79+AM79</f>
        <v>0</v>
      </c>
      <c r="AO79" s="3311"/>
      <c r="AP79" s="3461"/>
      <c r="AQ79" s="3274">
        <f>(AR8+AR41+AR50+AR54)/(1-'расчет 2022'!$M$23)*'расчет 2022'!$M$23</f>
        <v>0</v>
      </c>
      <c r="AR79" s="3274"/>
      <c r="AS79" s="2028">
        <f>AQ79+AR79</f>
        <v>0</v>
      </c>
      <c r="AT79" s="3311"/>
      <c r="AU79" s="3461"/>
      <c r="AV79" s="3274">
        <f>(AW8+AW41+AW50+AW54)/(1-'расчет 2022'!$M$23)*'расчет 2022'!$M$23</f>
        <v>0</v>
      </c>
      <c r="AW79" s="3274"/>
      <c r="AX79" s="2028">
        <f>AV79+AW79</f>
        <v>0</v>
      </c>
      <c r="AY79" s="3311"/>
      <c r="AZ79" s="3461"/>
      <c r="BA79" s="3274">
        <f>(BB8+BB41+BB50+BB54)/(1-'расчет 2022'!$M$23)*'расчет 2022'!$M$23</f>
        <v>0</v>
      </c>
      <c r="BB79" s="3274"/>
      <c r="BC79" s="2028">
        <f>BA79+BB79</f>
        <v>0</v>
      </c>
      <c r="BD79" s="3311"/>
      <c r="BE79" s="3461"/>
      <c r="BF79" s="3274">
        <f>(BG8+BG41+BG50+BG54)/(1-'расчет 2022'!$M$23)*'расчет 2022'!$M$23</f>
        <v>0</v>
      </c>
      <c r="BG79" s="3274"/>
      <c r="BH79" s="2028">
        <f>BF79+BG79</f>
        <v>0</v>
      </c>
      <c r="BI79" s="3311"/>
      <c r="BJ79" s="3461"/>
      <c r="BK79" s="3274"/>
      <c r="BL79" s="3274"/>
      <c r="BM79" s="2028">
        <f>BK79+BL79</f>
        <v>0</v>
      </c>
      <c r="BN79" s="3311"/>
      <c r="BO79" s="3461"/>
      <c r="BP79" s="3274">
        <f>(BQ8+BQ41+BQ50+BQ54)/(1-'расчет 2022'!$M$23)*'расчет 2022'!$M$23</f>
        <v>0</v>
      </c>
      <c r="BQ79" s="3274"/>
      <c r="BR79" s="2028">
        <f>BP79+BQ79</f>
        <v>0</v>
      </c>
      <c r="BS79" s="3311"/>
      <c r="BT79" s="3461"/>
      <c r="BU79" s="3274">
        <f>(BV8+BV41+BV50+BV54)/(1-'расчет 2022'!$M$23)*'расчет 2022'!$M$23</f>
        <v>0</v>
      </c>
      <c r="BV79" s="3274"/>
      <c r="BW79" s="2028">
        <f>BU79+BV79</f>
        <v>0</v>
      </c>
      <c r="BX79" s="3311"/>
      <c r="BY79" s="3461"/>
      <c r="BZ79" s="3274">
        <f>(CA8+CA41+CA50+CA54)/(1-'расчет 2022'!$M$23)*'расчет 2022'!$M$23</f>
        <v>0</v>
      </c>
      <c r="CA79" s="3274"/>
      <c r="CB79" s="2028">
        <f>BZ79+CA79</f>
        <v>0</v>
      </c>
      <c r="CC79" s="3311"/>
      <c r="CD79" s="3461"/>
      <c r="CE79" s="3274">
        <f>(CF8+CF41+CF50+CF54)/(1-'расчет 2022'!$M$23)*'расчет 2022'!$M$23</f>
        <v>0</v>
      </c>
      <c r="CF79" s="3274"/>
      <c r="CG79" s="2028">
        <f>CE79+CF79</f>
        <v>0</v>
      </c>
      <c r="CH79" s="3311"/>
      <c r="CI79" s="3461"/>
      <c r="CJ79" s="3274">
        <f t="shared" si="214"/>
        <v>0</v>
      </c>
      <c r="CK79" s="3274">
        <f t="shared" si="214"/>
        <v>0</v>
      </c>
      <c r="CL79" s="2028">
        <f t="shared" ref="CL79" si="215">CJ79+CK79*1</f>
        <v>0</v>
      </c>
      <c r="CM79" s="3311"/>
      <c r="CN79" s="3311"/>
      <c r="CP79" s="2028">
        <f t="shared" ref="CP79" si="216">CN79+CO79*1</f>
        <v>0</v>
      </c>
      <c r="CQ79" s="2028"/>
      <c r="CR79" s="3448">
        <f t="shared" ref="CR79" si="217">CP79-CQ79</f>
        <v>0</v>
      </c>
      <c r="CT79" s="2644"/>
    </row>
    <row r="80" spans="1:98" ht="13.8" outlineLevel="2" x14ac:dyDescent="0.25">
      <c r="A80" s="1412"/>
      <c r="B80" s="3335"/>
      <c r="C80" s="3274"/>
      <c r="D80" s="3274"/>
      <c r="E80" s="3336"/>
      <c r="F80" s="3336"/>
      <c r="G80" s="3483"/>
      <c r="H80" s="3274"/>
      <c r="I80" s="3274"/>
      <c r="J80" s="3336"/>
      <c r="K80" s="3336"/>
      <c r="L80" s="3483"/>
      <c r="M80" s="3274"/>
      <c r="N80" s="3274"/>
      <c r="O80" s="3336"/>
      <c r="P80" s="3336"/>
      <c r="Q80" s="3483"/>
      <c r="R80" s="3455"/>
      <c r="S80" s="3455"/>
      <c r="T80" s="3455"/>
      <c r="U80" s="3455"/>
      <c r="V80" s="3455"/>
      <c r="W80" s="3455"/>
      <c r="X80" s="3455"/>
      <c r="Y80" s="3455"/>
      <c r="Z80" s="3455"/>
      <c r="AA80" s="3455"/>
      <c r="AB80" s="3274"/>
      <c r="AC80" s="3274"/>
      <c r="AD80" s="3336"/>
      <c r="AE80" s="3336"/>
      <c r="AF80" s="3483"/>
      <c r="AG80" s="3274"/>
      <c r="AH80" s="3274"/>
      <c r="AI80" s="3336"/>
      <c r="AJ80" s="3336"/>
      <c r="AK80" s="3483"/>
      <c r="AL80" s="3274"/>
      <c r="AM80" s="3274"/>
      <c r="AN80" s="3336"/>
      <c r="AO80" s="3336"/>
      <c r="AP80" s="3483"/>
      <c r="AQ80" s="3274"/>
      <c r="AR80" s="3274"/>
      <c r="AS80" s="3336"/>
      <c r="AT80" s="3336"/>
      <c r="AU80" s="3483"/>
      <c r="AV80" s="3274"/>
      <c r="AW80" s="3274"/>
      <c r="AX80" s="3336"/>
      <c r="AY80" s="3336"/>
      <c r="AZ80" s="3483"/>
      <c r="BA80" s="3274"/>
      <c r="BB80" s="3274"/>
      <c r="BC80" s="3336"/>
      <c r="BD80" s="3336"/>
      <c r="BE80" s="3483"/>
      <c r="BF80" s="3274"/>
      <c r="BG80" s="3274"/>
      <c r="BH80" s="3336"/>
      <c r="BI80" s="3336"/>
      <c r="BJ80" s="3483"/>
      <c r="BK80" s="3274"/>
      <c r="BL80" s="3274"/>
      <c r="BM80" s="3336"/>
      <c r="BN80" s="3336"/>
      <c r="BO80" s="3483"/>
      <c r="BP80" s="3274"/>
      <c r="BQ80" s="3274"/>
      <c r="BR80" s="3336"/>
      <c r="BS80" s="3336"/>
      <c r="BT80" s="3483"/>
      <c r="BU80" s="3274"/>
      <c r="BV80" s="3274"/>
      <c r="BW80" s="3336"/>
      <c r="BX80" s="3336"/>
      <c r="BY80" s="3483"/>
      <c r="BZ80" s="3274"/>
      <c r="CA80" s="3274"/>
      <c r="CB80" s="3336"/>
      <c r="CC80" s="3336"/>
      <c r="CD80" s="3483"/>
      <c r="CE80" s="3274"/>
      <c r="CF80" s="3274"/>
      <c r="CG80" s="3336"/>
      <c r="CH80" s="3336"/>
      <c r="CI80" s="3483"/>
      <c r="CJ80" s="3274">
        <f>C80+H80+M80</f>
        <v>0</v>
      </c>
      <c r="CK80" s="3274">
        <f>D80+I80+N80</f>
        <v>0</v>
      </c>
      <c r="CL80" s="3336"/>
      <c r="CM80" s="3336"/>
      <c r="CN80" s="3336"/>
      <c r="CP80" s="3484"/>
      <c r="CQ80" s="3484"/>
      <c r="CR80" s="3448"/>
    </row>
    <row r="81" spans="1:101" s="1411" customFormat="1" ht="14.4" outlineLevel="1" thickBot="1" x14ac:dyDescent="0.3">
      <c r="A81" s="1434"/>
      <c r="B81" s="3331" t="s">
        <v>12</v>
      </c>
      <c r="C81" s="2865">
        <f>(C75+C78)-C79</f>
        <v>0</v>
      </c>
      <c r="D81" s="2865">
        <f>(D75+D78)-D79</f>
        <v>0</v>
      </c>
      <c r="E81" s="2866">
        <f>(E75+E78)-E79</f>
        <v>0</v>
      </c>
      <c r="F81" s="2868"/>
      <c r="G81" s="3479"/>
      <c r="H81" s="2865">
        <f>(H75+H78)-H79</f>
        <v>0</v>
      </c>
      <c r="I81" s="2865">
        <f>(I75+I78)-I79</f>
        <v>0</v>
      </c>
      <c r="J81" s="2866">
        <f>(J75+J78)-J79</f>
        <v>0</v>
      </c>
      <c r="K81" s="2868"/>
      <c r="L81" s="3479"/>
      <c r="M81" s="2865">
        <f>(M75+M78)-M79</f>
        <v>0</v>
      </c>
      <c r="N81" s="2865">
        <f>(N75+N78)-N79</f>
        <v>0</v>
      </c>
      <c r="O81" s="2866">
        <f>(O75+O78)-O79</f>
        <v>0</v>
      </c>
      <c r="P81" s="2868"/>
      <c r="Q81" s="3479"/>
      <c r="R81" s="2865">
        <f>(R75+R78)-R79</f>
        <v>0</v>
      </c>
      <c r="S81" s="2865">
        <f>(S75+S78)-S79</f>
        <v>0</v>
      </c>
      <c r="T81" s="2866">
        <f>(T75+T78)-T79</f>
        <v>0</v>
      </c>
      <c r="U81" s="3840"/>
      <c r="V81" s="3840"/>
      <c r="W81" s="2865">
        <f>(W75+W78)-W79</f>
        <v>0</v>
      </c>
      <c r="X81" s="2865">
        <f>(X75+X78)-X79</f>
        <v>0</v>
      </c>
      <c r="Y81" s="2866">
        <f>(Y75+Y78)-Y79</f>
        <v>0</v>
      </c>
      <c r="Z81" s="3840"/>
      <c r="AA81" s="3840"/>
      <c r="AB81" s="2865">
        <f>(AB75+AB78)-AB79</f>
        <v>0</v>
      </c>
      <c r="AC81" s="2865">
        <f>(AC75+AC78)-AC79</f>
        <v>0</v>
      </c>
      <c r="AD81" s="2866">
        <f>(AD75+AD78)-AD79</f>
        <v>0</v>
      </c>
      <c r="AE81" s="2868"/>
      <c r="AF81" s="3479"/>
      <c r="AG81" s="2865">
        <f>(AG75+AG78)-AG79</f>
        <v>0</v>
      </c>
      <c r="AH81" s="2865">
        <f>(AH75+AH78)-AH79</f>
        <v>0</v>
      </c>
      <c r="AI81" s="2866">
        <f>(AI75+AI78)-AI79</f>
        <v>0</v>
      </c>
      <c r="AJ81" s="2868"/>
      <c r="AK81" s="3479"/>
      <c r="AL81" s="2865">
        <f>(AL75+AL78)-AL79</f>
        <v>0</v>
      </c>
      <c r="AM81" s="2865">
        <f>(AM75+AM78)-AM79</f>
        <v>0</v>
      </c>
      <c r="AN81" s="2866">
        <f>(AN75+AN78)-AN79</f>
        <v>0</v>
      </c>
      <c r="AO81" s="2868"/>
      <c r="AP81" s="3479"/>
      <c r="AQ81" s="2865">
        <f>(AQ75+AQ78)-AQ79</f>
        <v>0</v>
      </c>
      <c r="AR81" s="2865">
        <f>(AR75+AR78)-AR79</f>
        <v>0</v>
      </c>
      <c r="AS81" s="2866">
        <f>(AS75+AS78)-AS79</f>
        <v>0</v>
      </c>
      <c r="AT81" s="2868"/>
      <c r="AU81" s="3479"/>
      <c r="AV81" s="2865">
        <f>(AV75+AV78)-AV79</f>
        <v>0</v>
      </c>
      <c r="AW81" s="2865">
        <f>(AW75+AW78)-AW79</f>
        <v>0</v>
      </c>
      <c r="AX81" s="2866">
        <f>(AX75+AX78)-AX79</f>
        <v>0</v>
      </c>
      <c r="AY81" s="2868"/>
      <c r="AZ81" s="3479"/>
      <c r="BA81" s="2865">
        <f>(BA75+BA78)-BA79</f>
        <v>0</v>
      </c>
      <c r="BB81" s="2865">
        <f>(BB75+BB78)-BB79</f>
        <v>0</v>
      </c>
      <c r="BC81" s="2866">
        <f>(BC75+BC78)-BC79</f>
        <v>0</v>
      </c>
      <c r="BD81" s="2868"/>
      <c r="BE81" s="3479"/>
      <c r="BF81" s="2865">
        <f>(BF75+BF78)-BF79</f>
        <v>0</v>
      </c>
      <c r="BG81" s="2865">
        <f>(BG75+BG78)-BG79</f>
        <v>0</v>
      </c>
      <c r="BH81" s="2866">
        <f>(BH75+BH78)-BH79</f>
        <v>0</v>
      </c>
      <c r="BI81" s="2868"/>
      <c r="BJ81" s="3479"/>
      <c r="BK81" s="2865">
        <f>(BK75+BK78)-BK79</f>
        <v>0</v>
      </c>
      <c r="BL81" s="2865">
        <f>(BL75+BL78)-BL79</f>
        <v>0</v>
      </c>
      <c r="BM81" s="2866">
        <f>(BM75+BM78)-BM79</f>
        <v>0</v>
      </c>
      <c r="BN81" s="2868"/>
      <c r="BO81" s="3479"/>
      <c r="BP81" s="2865">
        <f>(BP75+BP78)-BP79</f>
        <v>0</v>
      </c>
      <c r="BQ81" s="2865">
        <f>(BQ75+BQ78)-BQ79</f>
        <v>0</v>
      </c>
      <c r="BR81" s="2866">
        <f>(BR75+BR78)-BR79</f>
        <v>0</v>
      </c>
      <c r="BS81" s="2868"/>
      <c r="BT81" s="3479"/>
      <c r="BU81" s="2865">
        <f>(BU75+BU78)-BU79</f>
        <v>0</v>
      </c>
      <c r="BV81" s="2865">
        <f>(BV75+BV78)-BV79</f>
        <v>0</v>
      </c>
      <c r="BW81" s="2866">
        <f>(BW75+BW78)-BW79</f>
        <v>0</v>
      </c>
      <c r="BX81" s="2868"/>
      <c r="BY81" s="3479"/>
      <c r="BZ81" s="2865">
        <f>(BZ75+BZ78)-BZ79</f>
        <v>0</v>
      </c>
      <c r="CA81" s="2865">
        <f>(CA75+CA78)-CA79</f>
        <v>0</v>
      </c>
      <c r="CB81" s="2866">
        <f>(CB75+CB78)-CB79</f>
        <v>0</v>
      </c>
      <c r="CC81" s="2868"/>
      <c r="CD81" s="3479"/>
      <c r="CE81" s="2865">
        <f>(CE75+CE78)-CE79</f>
        <v>0</v>
      </c>
      <c r="CF81" s="2865">
        <f>(CF75+CF78)-CF79</f>
        <v>0</v>
      </c>
      <c r="CG81" s="2866">
        <f>(CG75+CG78)-CG79</f>
        <v>0</v>
      </c>
      <c r="CH81" s="2868"/>
      <c r="CI81" s="3479"/>
      <c r="CJ81" s="2865">
        <f>(CJ75+CJ78)-CJ79</f>
        <v>0</v>
      </c>
      <c r="CK81" s="2865">
        <f>(CK75+CK78)-CK79</f>
        <v>0</v>
      </c>
      <c r="CL81" s="2866">
        <f>(CL75+CL78)-CL79</f>
        <v>0</v>
      </c>
      <c r="CM81" s="2868"/>
      <c r="CN81" s="2868"/>
      <c r="CP81" s="2866">
        <f>(CP75+CP78)-CP79</f>
        <v>0</v>
      </c>
      <c r="CQ81" s="3485">
        <f>(CQ75+CQ78)-CQ79</f>
        <v>0</v>
      </c>
      <c r="CR81" s="2866">
        <f>(CR75+CR78)-CR79</f>
        <v>0</v>
      </c>
      <c r="CT81" s="2644"/>
    </row>
    <row r="82" spans="1:101" s="1411" customFormat="1" ht="13.8" outlineLevel="2" x14ac:dyDescent="0.25">
      <c r="A82" s="1580"/>
      <c r="B82" s="1415" t="s">
        <v>38</v>
      </c>
      <c r="C82" s="3274"/>
      <c r="D82" s="3274"/>
      <c r="E82" s="3332">
        <f>C82+D82</f>
        <v>0</v>
      </c>
      <c r="F82" s="3321"/>
      <c r="G82" s="3462"/>
      <c r="H82" s="3274"/>
      <c r="I82" s="3274"/>
      <c r="J82" s="3332">
        <f>H82+I82</f>
        <v>0</v>
      </c>
      <c r="K82" s="3284" t="e">
        <f t="shared" ref="K82" si="218">J82/J$89</f>
        <v>#DIV/0!</v>
      </c>
      <c r="L82" s="3462"/>
      <c r="M82" s="3274"/>
      <c r="N82" s="3274"/>
      <c r="O82" s="3332">
        <f>M82+N82</f>
        <v>0</v>
      </c>
      <c r="P82" s="3284" t="e">
        <f t="shared" ref="P82" si="219">O82/O$89</f>
        <v>#DIV/0!</v>
      </c>
      <c r="Q82" s="3462"/>
      <c r="R82" s="3275">
        <f t="shared" ref="R82:S82" si="220">M82+H82+C82</f>
        <v>0</v>
      </c>
      <c r="S82" s="3275">
        <f t="shared" si="220"/>
        <v>0</v>
      </c>
      <c r="T82" s="2028">
        <f t="shared" ref="T82" si="221">R82+S82</f>
        <v>0</v>
      </c>
      <c r="U82" s="3462"/>
      <c r="V82" s="3462"/>
      <c r="W82" s="3275">
        <f t="shared" ref="W82:X82" si="222">AB82+AG82+AL82+AV82+BA82+BF82+BK82+BP82+BU82+BZ82+CE82+AQ82</f>
        <v>0</v>
      </c>
      <c r="X82" s="3275">
        <f t="shared" si="222"/>
        <v>0</v>
      </c>
      <c r="Y82" s="2028">
        <f t="shared" ref="Y82" si="223">W82+X82</f>
        <v>0</v>
      </c>
      <c r="Z82" s="3462"/>
      <c r="AA82" s="3462"/>
      <c r="AB82" s="3274"/>
      <c r="AC82" s="3274"/>
      <c r="AD82" s="3332">
        <f>AB82+AC82</f>
        <v>0</v>
      </c>
      <c r="AE82" s="3321"/>
      <c r="AF82" s="3462"/>
      <c r="AG82" s="3274"/>
      <c r="AH82" s="3274"/>
      <c r="AI82" s="3332">
        <f>AG82+AH82</f>
        <v>0</v>
      </c>
      <c r="AJ82" s="3321"/>
      <c r="AK82" s="3462"/>
      <c r="AL82" s="3274"/>
      <c r="AM82" s="3274"/>
      <c r="AN82" s="3332">
        <f>AL82+AM82</f>
        <v>0</v>
      </c>
      <c r="AO82" s="3321"/>
      <c r="AP82" s="3462"/>
      <c r="AQ82" s="3274"/>
      <c r="AR82" s="3274"/>
      <c r="AS82" s="3332">
        <f>AQ82+AR82</f>
        <v>0</v>
      </c>
      <c r="AT82" s="3321"/>
      <c r="AU82" s="3462"/>
      <c r="AV82" s="3274"/>
      <c r="AW82" s="3274"/>
      <c r="AX82" s="3332">
        <f>AV82+AW82</f>
        <v>0</v>
      </c>
      <c r="AY82" s="3321"/>
      <c r="AZ82" s="3462"/>
      <c r="BA82" s="3274"/>
      <c r="BB82" s="3274"/>
      <c r="BC82" s="3332">
        <f>BA82+BB82</f>
        <v>0</v>
      </c>
      <c r="BD82" s="3321"/>
      <c r="BE82" s="3462"/>
      <c r="BF82" s="3274"/>
      <c r="BG82" s="3274"/>
      <c r="BH82" s="3332">
        <f>BF82+BG82</f>
        <v>0</v>
      </c>
      <c r="BI82" s="3321"/>
      <c r="BJ82" s="3462"/>
      <c r="BK82" s="3274"/>
      <c r="BL82" s="3274"/>
      <c r="BM82" s="3332">
        <f>BK82+BL82</f>
        <v>0</v>
      </c>
      <c r="BN82" s="3321"/>
      <c r="BO82" s="3462"/>
      <c r="BP82" s="3274"/>
      <c r="BQ82" s="3274"/>
      <c r="BR82" s="3332">
        <f>BP82+BQ82</f>
        <v>0</v>
      </c>
      <c r="BS82" s="3321"/>
      <c r="BT82" s="3462"/>
      <c r="BU82" s="3274"/>
      <c r="BV82" s="3274"/>
      <c r="BW82" s="3332">
        <f>BU82+BV82</f>
        <v>0</v>
      </c>
      <c r="BX82" s="3321"/>
      <c r="BY82" s="3462"/>
      <c r="BZ82" s="3274"/>
      <c r="CA82" s="3274"/>
      <c r="CB82" s="3332">
        <f>BZ82+CA82</f>
        <v>0</v>
      </c>
      <c r="CC82" s="3321"/>
      <c r="CD82" s="3462"/>
      <c r="CE82" s="3274"/>
      <c r="CF82" s="3274"/>
      <c r="CG82" s="3332">
        <f>CE82+CF82</f>
        <v>0</v>
      </c>
      <c r="CH82" s="3321"/>
      <c r="CI82" s="3462"/>
      <c r="CJ82" s="3274"/>
      <c r="CK82" s="3274"/>
      <c r="CL82" s="3332">
        <f>CJ82+CK82</f>
        <v>0</v>
      </c>
      <c r="CM82" s="3321"/>
      <c r="CN82" s="3321"/>
      <c r="CP82" s="3366">
        <f>CN82+CO82</f>
        <v>0</v>
      </c>
      <c r="CQ82" s="3366">
        <f>CO82+CP82</f>
        <v>0</v>
      </c>
      <c r="CR82" s="3366"/>
      <c r="CT82" s="2644"/>
    </row>
    <row r="83" spans="1:101" s="1411" customFormat="1" ht="13.8" outlineLevel="1" x14ac:dyDescent="0.25">
      <c r="A83" s="1420"/>
      <c r="B83" s="3337" t="s">
        <v>13</v>
      </c>
      <c r="C83" s="3338">
        <f>(C81+C7)-C36</f>
        <v>0</v>
      </c>
      <c r="D83" s="3338">
        <f>(D81+D7)-D36</f>
        <v>0</v>
      </c>
      <c r="E83" s="3339">
        <f>(E81+E7)-E36</f>
        <v>0</v>
      </c>
      <c r="F83" s="3340"/>
      <c r="G83" s="3486"/>
      <c r="H83" s="3338">
        <f>(H81+H7)-H36</f>
        <v>0</v>
      </c>
      <c r="I83" s="3338">
        <f>(I81+I7)-I36</f>
        <v>0</v>
      </c>
      <c r="J83" s="3339">
        <f>(J81+J7)-J36</f>
        <v>0</v>
      </c>
      <c r="K83" s="3340"/>
      <c r="L83" s="3486"/>
      <c r="M83" s="3338">
        <f>(M81+M7)-M36</f>
        <v>0</v>
      </c>
      <c r="N83" s="3338">
        <f>(N81+N7)-N36</f>
        <v>0</v>
      </c>
      <c r="O83" s="3339">
        <f>(O81+O7)-O36</f>
        <v>0</v>
      </c>
      <c r="P83" s="3340"/>
      <c r="Q83" s="3486"/>
      <c r="R83" s="3338">
        <f>(R81+R7)-R36</f>
        <v>0</v>
      </c>
      <c r="S83" s="3338">
        <f>(S81+S7)-S36</f>
        <v>0</v>
      </c>
      <c r="T83" s="3339">
        <f>(T81+T7)-T36</f>
        <v>0</v>
      </c>
      <c r="U83" s="3487"/>
      <c r="V83" s="3487"/>
      <c r="W83" s="3338">
        <f>(W81+W7)-W36</f>
        <v>0</v>
      </c>
      <c r="X83" s="3338">
        <f>(X81+X7)-X36</f>
        <v>0</v>
      </c>
      <c r="Y83" s="3339">
        <f>(Y81+Y7)-Y36</f>
        <v>0</v>
      </c>
      <c r="Z83" s="3487"/>
      <c r="AA83" s="3487"/>
      <c r="AB83" s="3338">
        <f>(AB81+AB7)-AB36</f>
        <v>0</v>
      </c>
      <c r="AC83" s="3338">
        <f>(AC81+AC7)-AC36</f>
        <v>0</v>
      </c>
      <c r="AD83" s="3339">
        <f>(AD81+AD7)-AD36</f>
        <v>0</v>
      </c>
      <c r="AE83" s="3340"/>
      <c r="AF83" s="3486"/>
      <c r="AG83" s="3338">
        <f>(AG81+AG7)-AG36</f>
        <v>0</v>
      </c>
      <c r="AH83" s="3338">
        <f>(AH81+AH7)-AH36</f>
        <v>0</v>
      </c>
      <c r="AI83" s="3339">
        <f>(AI81+AI7)-AI36</f>
        <v>0</v>
      </c>
      <c r="AJ83" s="3340"/>
      <c r="AK83" s="3486"/>
      <c r="AL83" s="3338">
        <f>(AL81+AL7)-AL36</f>
        <v>0</v>
      </c>
      <c r="AM83" s="3338">
        <f>(AM81+AM7)-AM36</f>
        <v>0</v>
      </c>
      <c r="AN83" s="3339">
        <f>(AN81+AN7)-AN36</f>
        <v>0</v>
      </c>
      <c r="AO83" s="3340"/>
      <c r="AP83" s="3486"/>
      <c r="AQ83" s="3338">
        <f>(AQ81+AQ7)-AQ36</f>
        <v>0</v>
      </c>
      <c r="AR83" s="3338">
        <f>(AR81+AR7)-AR36</f>
        <v>0</v>
      </c>
      <c r="AS83" s="3339">
        <f>(AS81+AS7)-AS36</f>
        <v>0</v>
      </c>
      <c r="AT83" s="3340"/>
      <c r="AU83" s="3486"/>
      <c r="AV83" s="3338">
        <f>(AV81+AV7)-AV36</f>
        <v>0</v>
      </c>
      <c r="AW83" s="3338">
        <f>(AW81+AW7)-AW36</f>
        <v>0</v>
      </c>
      <c r="AX83" s="3339">
        <f>(AX81+AX7)-AX36</f>
        <v>0</v>
      </c>
      <c r="AY83" s="3340"/>
      <c r="AZ83" s="3486"/>
      <c r="BA83" s="3338">
        <f>(BA81+BA7)-BA36</f>
        <v>0</v>
      </c>
      <c r="BB83" s="3338">
        <f>(BB81+BB7)-BB36</f>
        <v>0</v>
      </c>
      <c r="BC83" s="3339">
        <f>(BC81+BC7)-BC36</f>
        <v>0</v>
      </c>
      <c r="BD83" s="3340"/>
      <c r="BE83" s="3486"/>
      <c r="BF83" s="3338">
        <f>(BF81+BF7)-BF36</f>
        <v>0</v>
      </c>
      <c r="BG83" s="3338">
        <f>(BG81+BG7)-BG36</f>
        <v>0</v>
      </c>
      <c r="BH83" s="3339">
        <f>(BH81+BH7)-BH36</f>
        <v>0</v>
      </c>
      <c r="BI83" s="3340"/>
      <c r="BJ83" s="3486"/>
      <c r="BK83" s="3338">
        <f>(BK81+BK7)-BK36</f>
        <v>0</v>
      </c>
      <c r="BL83" s="3338">
        <f>(BL81+BL7)-BL36</f>
        <v>0</v>
      </c>
      <c r="BM83" s="3339">
        <f>(BM81+BM7)-BM36</f>
        <v>0</v>
      </c>
      <c r="BN83" s="3340"/>
      <c r="BO83" s="3486"/>
      <c r="BP83" s="3338">
        <f>(BP81+BP7)-BP36</f>
        <v>0</v>
      </c>
      <c r="BQ83" s="3338">
        <f>(BQ81+BQ7)-BQ36</f>
        <v>0</v>
      </c>
      <c r="BR83" s="3339">
        <f>(BR81+BR7)-BR36</f>
        <v>0</v>
      </c>
      <c r="BS83" s="3340"/>
      <c r="BT83" s="3486"/>
      <c r="BU83" s="3338">
        <f>(BU81+BU7)-BU36</f>
        <v>0</v>
      </c>
      <c r="BV83" s="3338">
        <f>(BV81+BV7)-BV36</f>
        <v>0</v>
      </c>
      <c r="BW83" s="3339">
        <f>(BW81+BW7)-BW36</f>
        <v>0</v>
      </c>
      <c r="BX83" s="3340"/>
      <c r="BY83" s="3486"/>
      <c r="BZ83" s="3338">
        <f>(BZ81+BZ7)-BZ36</f>
        <v>0</v>
      </c>
      <c r="CA83" s="3338">
        <f>(CA81+CA7)-CA36</f>
        <v>0</v>
      </c>
      <c r="CB83" s="3339">
        <f>(CB81+CB7)-CB36</f>
        <v>0</v>
      </c>
      <c r="CC83" s="3340"/>
      <c r="CD83" s="3486"/>
      <c r="CE83" s="3338">
        <f>(CE81+CE7)-CE36</f>
        <v>0</v>
      </c>
      <c r="CF83" s="3338">
        <f>(CF81+CF7)-CF36</f>
        <v>0</v>
      </c>
      <c r="CG83" s="3339">
        <f>(CG81+CG7)-CG36</f>
        <v>0</v>
      </c>
      <c r="CH83" s="3340"/>
      <c r="CI83" s="3486"/>
      <c r="CJ83" s="3338">
        <f>(CJ81+CJ7)-CJ36</f>
        <v>0</v>
      </c>
      <c r="CK83" s="3338">
        <f>(CK81+CK7)-CK36</f>
        <v>0</v>
      </c>
      <c r="CL83" s="3339">
        <f>(CL81+CL7)-CL36</f>
        <v>0</v>
      </c>
      <c r="CM83" s="3340"/>
      <c r="CN83" s="3340"/>
      <c r="CP83" s="3488">
        <f>(CP81+CP7)-CP36</f>
        <v>0</v>
      </c>
      <c r="CQ83" s="3488">
        <f>(CQ81+CQ7)-CQ36</f>
        <v>0</v>
      </c>
      <c r="CR83" s="3488">
        <f>(CR81+CR7)-CR36</f>
        <v>0</v>
      </c>
      <c r="CT83" s="2644"/>
    </row>
    <row r="84" spans="1:101" s="1411" customFormat="1" ht="14.4" outlineLevel="1" thickBot="1" x14ac:dyDescent="0.3">
      <c r="A84" s="1420"/>
      <c r="B84" s="3146" t="s">
        <v>14</v>
      </c>
      <c r="C84" s="2873">
        <f>C83-C73-C82</f>
        <v>0</v>
      </c>
      <c r="D84" s="2873">
        <f>D83-D73-D82</f>
        <v>0</v>
      </c>
      <c r="E84" s="2873">
        <f>E83-E73-E82</f>
        <v>0</v>
      </c>
      <c r="F84" s="2874"/>
      <c r="G84" s="3490"/>
      <c r="H84" s="2873">
        <f>H83-H73-H82</f>
        <v>0</v>
      </c>
      <c r="I84" s="2873">
        <f>I83-I73-I82</f>
        <v>0</v>
      </c>
      <c r="J84" s="2873">
        <f>J83-J73-J82</f>
        <v>0</v>
      </c>
      <c r="K84" s="2874"/>
      <c r="L84" s="3490"/>
      <c r="M84" s="2873">
        <f>M83-M73-M82</f>
        <v>0</v>
      </c>
      <c r="N84" s="2873">
        <f>N83-N73-N82</f>
        <v>0</v>
      </c>
      <c r="O84" s="2873">
        <f>O83-O73-O82</f>
        <v>0</v>
      </c>
      <c r="P84" s="2874"/>
      <c r="Q84" s="3490"/>
      <c r="R84" s="2873">
        <f>R83-R73-R82</f>
        <v>0</v>
      </c>
      <c r="S84" s="2873">
        <f>S83-S73-S82</f>
        <v>0</v>
      </c>
      <c r="T84" s="2873">
        <f>T83-T73-T82</f>
        <v>0</v>
      </c>
      <c r="U84" s="3490"/>
      <c r="V84" s="3490"/>
      <c r="W84" s="3424">
        <f t="shared" ref="W84:X84" si="224">AB84+AG84+AL84+AV84+BA84+BF84+BK84+BP84+BU84+BZ84+CE84</f>
        <v>0</v>
      </c>
      <c r="X84" s="3423">
        <f t="shared" si="224"/>
        <v>0</v>
      </c>
      <c r="Y84" s="2873">
        <f>Y83-Y73-Y82</f>
        <v>0</v>
      </c>
      <c r="Z84" s="3490"/>
      <c r="AA84" s="3490"/>
      <c r="AB84" s="2873">
        <f>AB83-AB73-AB82</f>
        <v>0</v>
      </c>
      <c r="AC84" s="2873">
        <f>AC83-AC73-AC82</f>
        <v>0</v>
      </c>
      <c r="AD84" s="2873">
        <f>AD83-AD73-AD82</f>
        <v>0</v>
      </c>
      <c r="AE84" s="2874"/>
      <c r="AF84" s="3490"/>
      <c r="AG84" s="2873">
        <f>AG83-AG73-AG82</f>
        <v>0</v>
      </c>
      <c r="AH84" s="2873">
        <f>AH83-AH73-AH82</f>
        <v>0</v>
      </c>
      <c r="AI84" s="2873">
        <f>AI83-AI73-AI82</f>
        <v>0</v>
      </c>
      <c r="AJ84" s="2874"/>
      <c r="AK84" s="3490"/>
      <c r="AL84" s="2873">
        <f>AL83-AL73-AL82</f>
        <v>0</v>
      </c>
      <c r="AM84" s="2873">
        <f>AM83-AM73-AM82</f>
        <v>0</v>
      </c>
      <c r="AN84" s="2873">
        <f>AN83-AN73-AN82</f>
        <v>0</v>
      </c>
      <c r="AO84" s="2874"/>
      <c r="AP84" s="3490"/>
      <c r="AQ84" s="2873">
        <f>AQ83-AQ73-AQ82</f>
        <v>0</v>
      </c>
      <c r="AR84" s="2873">
        <f>AR83-AR73-AR82</f>
        <v>0</v>
      </c>
      <c r="AS84" s="2873">
        <f>AS83-AS73-AS82</f>
        <v>0</v>
      </c>
      <c r="AT84" s="2874"/>
      <c r="AU84" s="3490"/>
      <c r="AV84" s="2873">
        <f>AV83-AV73-AV82</f>
        <v>0</v>
      </c>
      <c r="AW84" s="2873">
        <f>AW83-AW73-AW82</f>
        <v>0</v>
      </c>
      <c r="AX84" s="2873">
        <f>AX83-AX73-AX82</f>
        <v>0</v>
      </c>
      <c r="AY84" s="2874"/>
      <c r="AZ84" s="3490"/>
      <c r="BA84" s="2873">
        <f>BA83-BA73-BA82</f>
        <v>0</v>
      </c>
      <c r="BB84" s="2873">
        <f>BB83-BB73-BB82</f>
        <v>0</v>
      </c>
      <c r="BC84" s="2873">
        <f>BC83-BC73-BC82</f>
        <v>0</v>
      </c>
      <c r="BD84" s="2874"/>
      <c r="BE84" s="3490"/>
      <c r="BF84" s="2873">
        <f>BF83-BF73-BF82</f>
        <v>0</v>
      </c>
      <c r="BG84" s="2873">
        <f>BG83-BG73-BG82</f>
        <v>0</v>
      </c>
      <c r="BH84" s="2873">
        <f>BH83-BH73-BH82</f>
        <v>0</v>
      </c>
      <c r="BI84" s="2874"/>
      <c r="BJ84" s="3490"/>
      <c r="BK84" s="2873">
        <f>BK83-BK73-BK82</f>
        <v>0</v>
      </c>
      <c r="BL84" s="2873">
        <f>BL83-BL73-BL82</f>
        <v>0</v>
      </c>
      <c r="BM84" s="2873">
        <f>BM83-BM73-BM82</f>
        <v>0</v>
      </c>
      <c r="BN84" s="2874"/>
      <c r="BO84" s="3490"/>
      <c r="BP84" s="2873">
        <f>BP83-BP73-BP82</f>
        <v>0</v>
      </c>
      <c r="BQ84" s="2873">
        <f>BQ83-BQ73-BQ82</f>
        <v>0</v>
      </c>
      <c r="BR84" s="2873">
        <f>BR83-BR73-BR82</f>
        <v>0</v>
      </c>
      <c r="BS84" s="2874"/>
      <c r="BT84" s="3490"/>
      <c r="BU84" s="2873">
        <f>BU83-BU73-BU82</f>
        <v>0</v>
      </c>
      <c r="BV84" s="2873">
        <f>BV83-BV73-BV82</f>
        <v>0</v>
      </c>
      <c r="BW84" s="2873">
        <f>BW83-BW73-BW82</f>
        <v>0</v>
      </c>
      <c r="BX84" s="2874"/>
      <c r="BY84" s="3490"/>
      <c r="BZ84" s="2873">
        <f>BZ83-BZ73-BZ82</f>
        <v>0</v>
      </c>
      <c r="CA84" s="2873">
        <f>CA83-CA73-CA82</f>
        <v>0</v>
      </c>
      <c r="CB84" s="2873">
        <f>CB83-CB73-CB82</f>
        <v>0</v>
      </c>
      <c r="CC84" s="2874"/>
      <c r="CD84" s="3490"/>
      <c r="CE84" s="2873">
        <f>CE83-CE73-CE82</f>
        <v>0</v>
      </c>
      <c r="CF84" s="2873">
        <f>CF83-CF73-CF82</f>
        <v>0</v>
      </c>
      <c r="CG84" s="2873">
        <f>CG83-CG73-CG82</f>
        <v>0</v>
      </c>
      <c r="CH84" s="2874"/>
      <c r="CI84" s="3490"/>
      <c r="CJ84" s="3301">
        <f t="shared" ref="CJ84:CK84" si="225">C84+H84+M84+W84</f>
        <v>0</v>
      </c>
      <c r="CK84" s="3301">
        <f t="shared" si="225"/>
        <v>0</v>
      </c>
      <c r="CL84" s="2873">
        <f>CL83-CL73-CL82</f>
        <v>0</v>
      </c>
      <c r="CM84" s="2874"/>
      <c r="CN84" s="2874"/>
      <c r="CP84" s="3235">
        <f>CP83-CP73-CP82</f>
        <v>0</v>
      </c>
      <c r="CQ84" s="3491">
        <f>CQ83-CQ73-CQ82</f>
        <v>0</v>
      </c>
      <c r="CR84" s="3235">
        <f>CR83-CR73-CR82</f>
        <v>0</v>
      </c>
      <c r="CT84" s="2644"/>
    </row>
    <row r="85" spans="1:101" s="1411" customFormat="1" ht="13.8" outlineLevel="3" x14ac:dyDescent="0.25">
      <c r="A85" s="1580"/>
      <c r="B85" s="1418" t="s">
        <v>44</v>
      </c>
      <c r="C85" s="3274"/>
      <c r="D85" s="3274"/>
      <c r="E85" s="2028">
        <f>C85+D85*1.15</f>
        <v>0</v>
      </c>
      <c r="F85" s="3321"/>
      <c r="G85" s="3462"/>
      <c r="H85" s="3274"/>
      <c r="I85" s="3274"/>
      <c r="J85" s="2028">
        <f>H85+I85*1.15</f>
        <v>0</v>
      </c>
      <c r="K85" s="3284" t="e">
        <f t="shared" ref="K85" si="226">J85/J$89</f>
        <v>#DIV/0!</v>
      </c>
      <c r="L85" s="3462"/>
      <c r="M85" s="3274"/>
      <c r="N85" s="3274"/>
      <c r="O85" s="2028">
        <f>M85+N85*1.15</f>
        <v>0</v>
      </c>
      <c r="P85" s="3284" t="e">
        <f t="shared" ref="P85" si="227">O85/O$89</f>
        <v>#DIV/0!</v>
      </c>
      <c r="Q85" s="3462"/>
      <c r="R85" s="3275">
        <f t="shared" ref="R85:S85" si="228">M85+H85+C85</f>
        <v>0</v>
      </c>
      <c r="S85" s="3275">
        <f t="shared" si="228"/>
        <v>0</v>
      </c>
      <c r="T85" s="2028">
        <f t="shared" ref="T85" si="229">R85+S85</f>
        <v>0</v>
      </c>
      <c r="U85" s="3462"/>
      <c r="V85" s="3462"/>
      <c r="W85" s="3275">
        <f t="shared" ref="W85:X85" si="230">AB85+AG85+AL85+AV85+BA85+BF85+BK85+BP85+BU85+BZ85+CE85+AQ85</f>
        <v>0</v>
      </c>
      <c r="X85" s="3275">
        <f t="shared" si="230"/>
        <v>0</v>
      </c>
      <c r="Y85" s="2028">
        <f t="shared" ref="Y85" si="231">W85+X85</f>
        <v>0</v>
      </c>
      <c r="Z85" s="3462"/>
      <c r="AA85" s="3462"/>
      <c r="AB85" s="3274"/>
      <c r="AC85" s="3274"/>
      <c r="AD85" s="2028">
        <f>AB85+AC85*1.15</f>
        <v>0</v>
      </c>
      <c r="AE85" s="3321"/>
      <c r="AF85" s="3462"/>
      <c r="AG85" s="3274"/>
      <c r="AH85" s="3274"/>
      <c r="AI85" s="2028">
        <f>AG85+AH85*1.15</f>
        <v>0</v>
      </c>
      <c r="AJ85" s="3321"/>
      <c r="AK85" s="3462"/>
      <c r="AL85" s="3274"/>
      <c r="AM85" s="3274"/>
      <c r="AN85" s="2028">
        <f>AL85+AM85*1.15</f>
        <v>0</v>
      </c>
      <c r="AO85" s="3321"/>
      <c r="AP85" s="3462"/>
      <c r="AQ85" s="3274"/>
      <c r="AR85" s="3274"/>
      <c r="AS85" s="2028">
        <f>AQ85+AR85*1.15</f>
        <v>0</v>
      </c>
      <c r="AT85" s="3321"/>
      <c r="AU85" s="3462"/>
      <c r="AV85" s="3274"/>
      <c r="AW85" s="3274"/>
      <c r="AX85" s="2028">
        <f>AV85+AW85*1.15</f>
        <v>0</v>
      </c>
      <c r="AY85" s="3321"/>
      <c r="AZ85" s="3462"/>
      <c r="BA85" s="3274"/>
      <c r="BB85" s="3274"/>
      <c r="BC85" s="2028">
        <f>BA85+BB85*1.15</f>
        <v>0</v>
      </c>
      <c r="BD85" s="3321"/>
      <c r="BE85" s="3462"/>
      <c r="BF85" s="3274"/>
      <c r="BG85" s="3274"/>
      <c r="BH85" s="2028">
        <f>BF85+BG85*1.15</f>
        <v>0</v>
      </c>
      <c r="BI85" s="3321"/>
      <c r="BJ85" s="3462"/>
      <c r="BK85" s="3274"/>
      <c r="BL85" s="3274"/>
      <c r="BM85" s="2028">
        <f>BK85+BL85*1.15</f>
        <v>0</v>
      </c>
      <c r="BN85" s="3321"/>
      <c r="BO85" s="3462"/>
      <c r="BP85" s="3274"/>
      <c r="BQ85" s="3274"/>
      <c r="BR85" s="2028">
        <f>BP85+BQ85*1.15</f>
        <v>0</v>
      </c>
      <c r="BS85" s="3321"/>
      <c r="BT85" s="3462"/>
      <c r="BU85" s="3274"/>
      <c r="BV85" s="3274"/>
      <c r="BW85" s="2028">
        <f>BU85+BV85*1.15</f>
        <v>0</v>
      </c>
      <c r="BX85" s="3321"/>
      <c r="BY85" s="3462"/>
      <c r="BZ85" s="3274"/>
      <c r="CA85" s="3274"/>
      <c r="CB85" s="2028">
        <f>BZ85+CA85*1.15</f>
        <v>0</v>
      </c>
      <c r="CC85" s="3321"/>
      <c r="CD85" s="3462"/>
      <c r="CE85" s="3274"/>
      <c r="CF85" s="3274"/>
      <c r="CG85" s="2028">
        <f>CE85+CF85*1.15</f>
        <v>0</v>
      </c>
      <c r="CH85" s="3321"/>
      <c r="CI85" s="3462"/>
      <c r="CJ85" s="3274">
        <f>C85+H85+M85</f>
        <v>0</v>
      </c>
      <c r="CK85" s="3274">
        <f>D85+I85+N85</f>
        <v>0</v>
      </c>
      <c r="CL85" s="2028">
        <f>CJ85+CK85*1.15</f>
        <v>0</v>
      </c>
      <c r="CM85" s="3321"/>
      <c r="CN85" s="3321"/>
      <c r="CP85" s="2141">
        <f>CN85+CO85*1.15</f>
        <v>0</v>
      </c>
      <c r="CQ85" s="2141">
        <f>CO85+CP85*1.15</f>
        <v>0</v>
      </c>
      <c r="CR85" s="2141"/>
      <c r="CT85" s="2644"/>
    </row>
    <row r="86" spans="1:101" s="1411" customFormat="1" ht="27.6" x14ac:dyDescent="0.25">
      <c r="A86" s="1420"/>
      <c r="B86" s="3445" t="s">
        <v>50</v>
      </c>
      <c r="C86" s="3354">
        <f>C84-C85</f>
        <v>0</v>
      </c>
      <c r="D86" s="3354">
        <f>D84-D85</f>
        <v>0</v>
      </c>
      <c r="E86" s="3354">
        <f>E84-E85</f>
        <v>0</v>
      </c>
      <c r="F86" s="3355"/>
      <c r="G86" s="3492"/>
      <c r="H86" s="3354">
        <f>H84-H85</f>
        <v>0</v>
      </c>
      <c r="I86" s="3354">
        <f>I84-I85</f>
        <v>0</v>
      </c>
      <c r="J86" s="3354">
        <f>J84-J85</f>
        <v>0</v>
      </c>
      <c r="K86" s="3355"/>
      <c r="L86" s="3492"/>
      <c r="M86" s="3354">
        <f>M84-M85</f>
        <v>0</v>
      </c>
      <c r="N86" s="3354">
        <f>N84-N85</f>
        <v>0</v>
      </c>
      <c r="O86" s="3354">
        <f>O84-O85</f>
        <v>0</v>
      </c>
      <c r="P86" s="3355"/>
      <c r="Q86" s="3492"/>
      <c r="R86" s="3354">
        <f>R84-R85</f>
        <v>0</v>
      </c>
      <c r="S86" s="3354">
        <f>S84-S85</f>
        <v>0</v>
      </c>
      <c r="T86" s="3354">
        <f>T84-T85</f>
        <v>0</v>
      </c>
      <c r="U86" s="3492"/>
      <c r="V86" s="3492"/>
      <c r="W86" s="3354">
        <f>W84-W85</f>
        <v>0</v>
      </c>
      <c r="X86" s="3354">
        <f>X84-X85</f>
        <v>0</v>
      </c>
      <c r="Y86" s="3354">
        <f>Y84-Y85</f>
        <v>0</v>
      </c>
      <c r="Z86" s="3492"/>
      <c r="AA86" s="3492"/>
      <c r="AB86" s="3354">
        <f>AB84-AB85</f>
        <v>0</v>
      </c>
      <c r="AC86" s="3354">
        <f>AC84-AC85</f>
        <v>0</v>
      </c>
      <c r="AD86" s="3354">
        <f>AD84-AD85</f>
        <v>0</v>
      </c>
      <c r="AE86" s="3355"/>
      <c r="AF86" s="3492"/>
      <c r="AG86" s="3354">
        <f>AG84-AG85</f>
        <v>0</v>
      </c>
      <c r="AH86" s="3354">
        <f>AH84-AH85</f>
        <v>0</v>
      </c>
      <c r="AI86" s="3354">
        <f>AI84-AI85</f>
        <v>0</v>
      </c>
      <c r="AJ86" s="3355"/>
      <c r="AK86" s="3492"/>
      <c r="AL86" s="3354">
        <f>AL84-AL85</f>
        <v>0</v>
      </c>
      <c r="AM86" s="3354">
        <f>AM84-AM85</f>
        <v>0</v>
      </c>
      <c r="AN86" s="3354">
        <f>AN84-AN85</f>
        <v>0</v>
      </c>
      <c r="AO86" s="3355"/>
      <c r="AP86" s="3492"/>
      <c r="AQ86" s="3354">
        <f>AQ84-AQ85</f>
        <v>0</v>
      </c>
      <c r="AR86" s="3354">
        <f>AR84-AR85</f>
        <v>0</v>
      </c>
      <c r="AS86" s="3354">
        <f>AS84-AS85</f>
        <v>0</v>
      </c>
      <c r="AT86" s="3355"/>
      <c r="AU86" s="3492"/>
      <c r="AV86" s="3354">
        <f>AV84-AV85</f>
        <v>0</v>
      </c>
      <c r="AW86" s="3354">
        <f>AW84-AW85</f>
        <v>0</v>
      </c>
      <c r="AX86" s="3354">
        <f>AX84-AX85</f>
        <v>0</v>
      </c>
      <c r="AY86" s="3355"/>
      <c r="AZ86" s="3492"/>
      <c r="BA86" s="3354">
        <f>BA84-BA85</f>
        <v>0</v>
      </c>
      <c r="BB86" s="3354">
        <f>BB84-BB85</f>
        <v>0</v>
      </c>
      <c r="BC86" s="3354">
        <f>BC84-BC85</f>
        <v>0</v>
      </c>
      <c r="BD86" s="3355"/>
      <c r="BE86" s="3492"/>
      <c r="BF86" s="3354">
        <f>BF84-BF85</f>
        <v>0</v>
      </c>
      <c r="BG86" s="3354">
        <f>BG84-BG85</f>
        <v>0</v>
      </c>
      <c r="BH86" s="3354">
        <f>BH84-BH85</f>
        <v>0</v>
      </c>
      <c r="BI86" s="3355"/>
      <c r="BJ86" s="3492"/>
      <c r="BK86" s="3354">
        <f>BK84-BK85</f>
        <v>0</v>
      </c>
      <c r="BL86" s="3354">
        <f>BL84-BL85</f>
        <v>0</v>
      </c>
      <c r="BM86" s="3354">
        <f>BM84-BM85</f>
        <v>0</v>
      </c>
      <c r="BN86" s="3355"/>
      <c r="BO86" s="3492"/>
      <c r="BP86" s="3354">
        <f>BP84-BP85</f>
        <v>0</v>
      </c>
      <c r="BQ86" s="3354">
        <f>BQ84-BQ85</f>
        <v>0</v>
      </c>
      <c r="BR86" s="3354">
        <f>BR84-BR85</f>
        <v>0</v>
      </c>
      <c r="BS86" s="3355"/>
      <c r="BT86" s="3492"/>
      <c r="BU86" s="3354">
        <f>BU84-BU85</f>
        <v>0</v>
      </c>
      <c r="BV86" s="3354">
        <f>BV84-BV85</f>
        <v>0</v>
      </c>
      <c r="BW86" s="3354">
        <f>BW84-BW85</f>
        <v>0</v>
      </c>
      <c r="BX86" s="3355"/>
      <c r="BY86" s="3492"/>
      <c r="BZ86" s="3354">
        <f>BZ84-BZ85</f>
        <v>0</v>
      </c>
      <c r="CA86" s="3354">
        <f>CA84-CA85</f>
        <v>0</v>
      </c>
      <c r="CB86" s="3354">
        <f>CB84-CB85</f>
        <v>0</v>
      </c>
      <c r="CC86" s="3355"/>
      <c r="CD86" s="3492"/>
      <c r="CE86" s="3354">
        <f>CE84-CE85</f>
        <v>0</v>
      </c>
      <c r="CF86" s="3354">
        <f>CF84-CF85</f>
        <v>0</v>
      </c>
      <c r="CG86" s="3354">
        <f>CG84-CG85</f>
        <v>0</v>
      </c>
      <c r="CH86" s="3355"/>
      <c r="CI86" s="3492"/>
      <c r="CJ86" s="3354">
        <f>CJ84-CJ85</f>
        <v>0</v>
      </c>
      <c r="CK86" s="3354">
        <f>CK84-CK85</f>
        <v>0</v>
      </c>
      <c r="CL86" s="3354">
        <f>CL84-CL85</f>
        <v>0</v>
      </c>
      <c r="CM86" s="3355"/>
      <c r="CN86" s="3355"/>
      <c r="CP86" s="3488">
        <f>CP84-CP85</f>
        <v>0</v>
      </c>
      <c r="CQ86" s="3488">
        <f>CQ84-CQ85</f>
        <v>0</v>
      </c>
      <c r="CR86" s="3488">
        <f>CR84-CR85</f>
        <v>0</v>
      </c>
      <c r="CT86" s="2644">
        <f>CT6-SUM(CT8:CT37)</f>
        <v>0</v>
      </c>
      <c r="CW86" s="933"/>
    </row>
    <row r="87" spans="1:101" s="1411" customFormat="1" ht="14.4" thickBot="1" x14ac:dyDescent="0.3">
      <c r="A87" s="1582"/>
      <c r="B87" s="3356" t="s">
        <v>51</v>
      </c>
      <c r="C87" s="2877">
        <f>IFERROR(C86/C5,0)</f>
        <v>0</v>
      </c>
      <c r="D87" s="2878">
        <f>IFERROR(D86/D5,0)</f>
        <v>0</v>
      </c>
      <c r="E87" s="2879">
        <f>IFERROR(E86/E5,0)</f>
        <v>0</v>
      </c>
      <c r="F87" s="2881"/>
      <c r="G87" s="3493"/>
      <c r="H87" s="2877">
        <f>IFERROR(H86/H5,0)</f>
        <v>0</v>
      </c>
      <c r="I87" s="2878">
        <f>IFERROR(I86/I5,0)</f>
        <v>0</v>
      </c>
      <c r="J87" s="2879">
        <f>IFERROR(J86/J5,0)</f>
        <v>0</v>
      </c>
      <c r="K87" s="2881"/>
      <c r="L87" s="3493"/>
      <c r="M87" s="2877">
        <f>IFERROR(M86/M5,0)</f>
        <v>0</v>
      </c>
      <c r="N87" s="2878">
        <f>IFERROR(N86/N5,0)</f>
        <v>0</v>
      </c>
      <c r="O87" s="2879">
        <f>IFERROR(O86/O5,0)</f>
        <v>0</v>
      </c>
      <c r="P87" s="2881"/>
      <c r="Q87" s="3493"/>
      <c r="R87" s="3841"/>
      <c r="S87" s="3841"/>
      <c r="T87" s="3841"/>
      <c r="U87" s="3841"/>
      <c r="V87" s="3841"/>
      <c r="W87" s="3841"/>
      <c r="X87" s="3841"/>
      <c r="Y87" s="3841"/>
      <c r="Z87" s="3841"/>
      <c r="AA87" s="3841"/>
      <c r="AB87" s="2877">
        <f>IFERROR(AB86/AB5,0)</f>
        <v>0</v>
      </c>
      <c r="AC87" s="2878">
        <f>IFERROR(AC86/AC5,0)</f>
        <v>0</v>
      </c>
      <c r="AD87" s="2879">
        <f>IFERROR(AD86/AD5,0)</f>
        <v>0</v>
      </c>
      <c r="AE87" s="2881"/>
      <c r="AF87" s="3493"/>
      <c r="AG87" s="2877">
        <f>IFERROR(AG86/AG5,0)</f>
        <v>0</v>
      </c>
      <c r="AH87" s="2878">
        <f>IFERROR(AH86/AH5,0)</f>
        <v>0</v>
      </c>
      <c r="AI87" s="2879">
        <f>IFERROR(AI86/AI5,0)</f>
        <v>0</v>
      </c>
      <c r="AJ87" s="2881"/>
      <c r="AK87" s="3493"/>
      <c r="AL87" s="2877">
        <f>IFERROR(AL86/AL5,0)</f>
        <v>0</v>
      </c>
      <c r="AM87" s="2878">
        <f>IFERROR(AM86/AM5,0)</f>
        <v>0</v>
      </c>
      <c r="AN87" s="2879">
        <f>IFERROR(AN86/AN5,0)</f>
        <v>0</v>
      </c>
      <c r="AO87" s="2881"/>
      <c r="AP87" s="3493"/>
      <c r="AQ87" s="2877">
        <f>IFERROR(AQ86/AQ5,0)</f>
        <v>0</v>
      </c>
      <c r="AR87" s="2878">
        <f>IFERROR(AR86/AR5,0)</f>
        <v>0</v>
      </c>
      <c r="AS87" s="2879">
        <f>IFERROR(AS86/AS5,0)</f>
        <v>0</v>
      </c>
      <c r="AT87" s="2881"/>
      <c r="AU87" s="3493"/>
      <c r="AV87" s="2877">
        <f>IFERROR(AV86/AV5,0)</f>
        <v>0</v>
      </c>
      <c r="AW87" s="2878">
        <f>IFERROR(AW86/AW5,0)</f>
        <v>0</v>
      </c>
      <c r="AX87" s="2879">
        <f>IFERROR(AX86/AX5,0)</f>
        <v>0</v>
      </c>
      <c r="AY87" s="2881"/>
      <c r="AZ87" s="3493"/>
      <c r="BA87" s="2877">
        <f>IFERROR(BA86/BA5,0)</f>
        <v>0</v>
      </c>
      <c r="BB87" s="2878">
        <f>IFERROR(BB86/BB5,0)</f>
        <v>0</v>
      </c>
      <c r="BC87" s="2879">
        <f>IFERROR(BC86/BC5,0)</f>
        <v>0</v>
      </c>
      <c r="BD87" s="2881"/>
      <c r="BE87" s="3493"/>
      <c r="BF87" s="2877">
        <f>IFERROR(BF86/BF5,0)</f>
        <v>0</v>
      </c>
      <c r="BG87" s="2878">
        <f>IFERROR(BG86/BG5,0)</f>
        <v>0</v>
      </c>
      <c r="BH87" s="2879">
        <f>IFERROR(BH86/BH5,0)</f>
        <v>0</v>
      </c>
      <c r="BI87" s="2881"/>
      <c r="BJ87" s="3493"/>
      <c r="BK87" s="2877">
        <f>IFERROR(BK86/BK5,0)</f>
        <v>0</v>
      </c>
      <c r="BL87" s="2878">
        <f>IFERROR(BL86/BL5,0)</f>
        <v>0</v>
      </c>
      <c r="BM87" s="2879">
        <f>IFERROR(BM86/BM5,0)</f>
        <v>0</v>
      </c>
      <c r="BN87" s="2881"/>
      <c r="BO87" s="3493"/>
      <c r="BP87" s="2877">
        <f>IFERROR(BP86/BP5,0)</f>
        <v>0</v>
      </c>
      <c r="BQ87" s="2878">
        <f>IFERROR(BQ86/BQ5,0)</f>
        <v>0</v>
      </c>
      <c r="BR87" s="2879">
        <f>IFERROR(BR86/BR5,0)</f>
        <v>0</v>
      </c>
      <c r="BS87" s="2881"/>
      <c r="BT87" s="3493"/>
      <c r="BU87" s="2877">
        <f>IFERROR(BU86/BU5,0)</f>
        <v>0</v>
      </c>
      <c r="BV87" s="2878">
        <f>IFERROR(BV86/BV5,0)</f>
        <v>0</v>
      </c>
      <c r="BW87" s="2879">
        <f>IFERROR(BW86/BW5,0)</f>
        <v>0</v>
      </c>
      <c r="BX87" s="2881"/>
      <c r="BY87" s="3493"/>
      <c r="BZ87" s="2877">
        <f>IFERROR(BZ86/BZ5,0)</f>
        <v>0</v>
      </c>
      <c r="CA87" s="2878">
        <f>IFERROR(CA86/CA5,0)</f>
        <v>0</v>
      </c>
      <c r="CB87" s="2879">
        <f>IFERROR(CB86/CB5,0)</f>
        <v>0</v>
      </c>
      <c r="CC87" s="2881"/>
      <c r="CD87" s="3493"/>
      <c r="CE87" s="2877">
        <f>IFERROR(CE86/CE5,0)</f>
        <v>0</v>
      </c>
      <c r="CF87" s="2878">
        <f>IFERROR(CF86/CF5,0)</f>
        <v>0</v>
      </c>
      <c r="CG87" s="2879">
        <f>IFERROR(CG86/CG5,0)</f>
        <v>0</v>
      </c>
      <c r="CH87" s="2881"/>
      <c r="CI87" s="3493"/>
      <c r="CJ87" s="2877">
        <f>IFERROR(CJ86/CJ5,0)</f>
        <v>0</v>
      </c>
      <c r="CK87" s="2878">
        <f>IFERROR(CK86/CK5,0)</f>
        <v>0</v>
      </c>
      <c r="CL87" s="2879">
        <f>IFERROR(CL86/CL5,0)</f>
        <v>0</v>
      </c>
      <c r="CM87" s="2881"/>
      <c r="CN87" s="2881"/>
      <c r="CP87" s="2879" t="e">
        <f>CP86/CP5</f>
        <v>#DIV/0!</v>
      </c>
      <c r="CQ87" s="3494">
        <f>IFERROR(CQ86/CQ5,0)</f>
        <v>0</v>
      </c>
      <c r="CR87" s="2879" t="e">
        <f>CR86/CR5</f>
        <v>#DIV/0!</v>
      </c>
      <c r="CT87" s="2644"/>
    </row>
    <row r="88" spans="1:101" ht="13.8" x14ac:dyDescent="0.25">
      <c r="A88" s="1438"/>
      <c r="B88" s="1438"/>
      <c r="C88" s="1970"/>
      <c r="D88" s="1970"/>
      <c r="E88" s="1970"/>
      <c r="F88" s="1970"/>
      <c r="G88" s="1626"/>
      <c r="H88" s="1970"/>
      <c r="I88" s="1970"/>
      <c r="J88" s="1970"/>
      <c r="K88" s="1970"/>
      <c r="L88" s="1626"/>
      <c r="M88" s="1970"/>
      <c r="N88" s="1970"/>
      <c r="O88" s="1970"/>
      <c r="P88" s="1970"/>
      <c r="Q88" s="1626"/>
      <c r="R88" s="1626"/>
      <c r="S88" s="1626"/>
      <c r="T88" s="1626"/>
      <c r="U88" s="1626"/>
      <c r="V88" s="1626"/>
      <c r="W88" s="1626"/>
      <c r="X88" s="1626"/>
      <c r="Y88" s="1626"/>
      <c r="Z88" s="1626"/>
      <c r="AA88" s="1626"/>
      <c r="AB88" s="1970"/>
      <c r="AC88" s="1970"/>
      <c r="AD88" s="1970"/>
      <c r="AE88" s="1970"/>
      <c r="AF88" s="1626"/>
      <c r="AG88" s="1970"/>
      <c r="AH88" s="1970"/>
      <c r="AI88" s="1970"/>
      <c r="AJ88" s="1970"/>
      <c r="AK88" s="1626"/>
      <c r="AL88" s="1970"/>
      <c r="AM88" s="1970"/>
      <c r="AN88" s="1970"/>
      <c r="AO88" s="1970"/>
      <c r="AP88" s="1626"/>
      <c r="AQ88" s="1970"/>
      <c r="AR88" s="1970"/>
      <c r="AS88" s="1970"/>
      <c r="AT88" s="1970"/>
      <c r="AU88" s="1626"/>
      <c r="AV88" s="1970"/>
      <c r="AW88" s="1970"/>
      <c r="AX88" s="1970"/>
      <c r="AY88" s="1970"/>
      <c r="AZ88" s="1626"/>
      <c r="BA88" s="1970"/>
      <c r="BB88" s="1970"/>
      <c r="BC88" s="1970"/>
      <c r="BD88" s="1970"/>
      <c r="BE88" s="1626"/>
      <c r="BF88" s="1970"/>
      <c r="BG88" s="1970"/>
      <c r="BH88" s="1970"/>
      <c r="BI88" s="1970"/>
      <c r="BJ88" s="1626"/>
      <c r="BK88" s="1970"/>
      <c r="BL88" s="1970"/>
      <c r="BM88" s="1970"/>
      <c r="BN88" s="1970"/>
      <c r="BO88" s="1626"/>
      <c r="BP88" s="1970"/>
      <c r="BQ88" s="1970"/>
      <c r="BR88" s="1970"/>
      <c r="BS88" s="1970"/>
      <c r="BT88" s="1626"/>
      <c r="BU88" s="1970"/>
      <c r="BV88" s="1970"/>
      <c r="BW88" s="1970"/>
      <c r="BX88" s="1970"/>
      <c r="BY88" s="1626"/>
      <c r="BZ88" s="1970"/>
      <c r="CA88" s="1970"/>
      <c r="CB88" s="1970"/>
      <c r="CC88" s="1970"/>
      <c r="CD88" s="1626"/>
      <c r="CE88" s="1970"/>
      <c r="CF88" s="1970"/>
      <c r="CG88" s="1970"/>
      <c r="CH88" s="1970"/>
      <c r="CI88" s="1626"/>
      <c r="CJ88" s="1970"/>
      <c r="CK88" s="1970"/>
      <c r="CL88" s="1970"/>
      <c r="CM88" s="1970"/>
      <c r="CN88" s="1970"/>
      <c r="CP88" s="1970"/>
      <c r="CQ88" s="1970"/>
      <c r="CR88" s="1970"/>
    </row>
    <row r="89" spans="1:101" x14ac:dyDescent="0.25">
      <c r="B89" s="1577" t="s">
        <v>56</v>
      </c>
      <c r="E89" s="1976">
        <f>E8+E36+E41+E50+E54+E73+E79+E82+E85</f>
        <v>0</v>
      </c>
      <c r="G89" s="1979"/>
      <c r="J89" s="1976">
        <f>J8+J36+J41+J50+J54+J73+J79+J82+J85</f>
        <v>0</v>
      </c>
      <c r="L89" s="1979"/>
      <c r="O89" s="1976">
        <f>O8+O36+O41+O50+O54+O73+O79+O82+O85</f>
        <v>0</v>
      </c>
      <c r="Q89" s="1979"/>
      <c r="R89" s="1979"/>
      <c r="S89" s="1979"/>
      <c r="T89" s="1976">
        <f>T8+T36+T41+T50+T54+T73+T79+T82+T85</f>
        <v>0</v>
      </c>
      <c r="U89" s="1979"/>
      <c r="V89" s="1979"/>
      <c r="W89" s="1979"/>
      <c r="X89" s="1979"/>
      <c r="Y89" s="1976">
        <f>Y8+Y36+Y41+Y50+Y54+Y73+Y79+Y82+Y85</f>
        <v>0</v>
      </c>
      <c r="Z89" s="1979"/>
      <c r="AA89" s="1979"/>
      <c r="AD89" s="1976">
        <f>AD8+AD36+AD41+AD50+AD54+AD73+AD79+AD82+AD85</f>
        <v>0</v>
      </c>
      <c r="AF89" s="1979"/>
      <c r="AI89" s="1976">
        <f>AI8+AI36+AI41+AI50+AI54+AI73+AI79+AI82+AI85</f>
        <v>0</v>
      </c>
      <c r="AK89" s="1979"/>
      <c r="AN89" s="1976">
        <f>AN8+AN36+AN41+AN50+AN54+AN73+AN79+AN82+AN85</f>
        <v>0</v>
      </c>
      <c r="AP89" s="1979"/>
      <c r="AS89" s="1976">
        <f>AS8+AS36+AS41+AS50+AS54+AS73+AS79+AS82+AS85</f>
        <v>0</v>
      </c>
      <c r="AU89" s="1979"/>
      <c r="AX89" s="1976">
        <f>AX8+AX36+AX41+AX50+AX54+AX73+AX79+AX82+AX85</f>
        <v>0</v>
      </c>
      <c r="AZ89" s="1979"/>
      <c r="BC89" s="1976">
        <f>BC8+BC36+BC41+BC50+BC54+BC73+BC79+BC82+BC85</f>
        <v>0</v>
      </c>
      <c r="BE89" s="1979"/>
      <c r="BH89" s="1976">
        <f>BH8+BH36+BH41+BH50+BH54+BH73+BH79+BH82+BH85</f>
        <v>0</v>
      </c>
      <c r="BJ89" s="1979"/>
      <c r="BM89" s="1976">
        <f>BM8+BM36+BM41+BM50+BM54+BM73+BM79+BM82+BM85</f>
        <v>0</v>
      </c>
      <c r="BO89" s="1979"/>
      <c r="BR89" s="1976">
        <f>BR8+BR36+BR41+BR50+BR54+BR73+BR79+BR82+BR85</f>
        <v>0</v>
      </c>
      <c r="BT89" s="1979"/>
      <c r="BW89" s="1976">
        <f>BW8+BW36+BW41+BW50+BW54+BW73+BW79+BW82+BW85</f>
        <v>0</v>
      </c>
      <c r="BY89" s="1979"/>
      <c r="CB89" s="1976">
        <f>CB8+CB36+CB41+CB50+CB54+CB73+CB79+CB82+CB85</f>
        <v>0</v>
      </c>
      <c r="CD89" s="1979"/>
      <c r="CG89" s="1976">
        <f>CG8+CG36+CG41+CG50+CG54+CG73+CG79+CG82+CG85</f>
        <v>0</v>
      </c>
      <c r="CI89" s="1979"/>
      <c r="CL89" s="1976">
        <f>CL8+CL36+CL41+CL50+CL54+CL73+CL79+CL82+CL85</f>
        <v>0</v>
      </c>
    </row>
    <row r="90" spans="1:101" x14ac:dyDescent="0.25">
      <c r="C90" s="1979"/>
      <c r="D90" s="1979"/>
      <c r="E90" s="1979"/>
      <c r="F90" s="1979"/>
      <c r="G90" s="1979"/>
      <c r="H90" s="1979"/>
      <c r="I90" s="1979"/>
      <c r="J90" s="1979"/>
      <c r="K90" s="1979"/>
      <c r="L90" s="1979"/>
      <c r="M90" s="1979"/>
      <c r="N90" s="1979"/>
      <c r="O90" s="1979"/>
      <c r="P90" s="1979"/>
      <c r="Q90" s="1979"/>
      <c r="R90" s="1979"/>
      <c r="S90" s="1979"/>
      <c r="T90" s="1621" t="b">
        <f>O89+J89+E89=T89</f>
        <v>1</v>
      </c>
      <c r="U90" s="1979"/>
      <c r="V90" s="1979"/>
      <c r="W90" s="1979"/>
      <c r="X90" s="1979"/>
      <c r="Y90" s="1621"/>
      <c r="Z90" s="1979"/>
      <c r="AA90" s="1979"/>
      <c r="AB90" s="1979"/>
      <c r="AC90" s="1979"/>
      <c r="AD90" s="1979"/>
      <c r="AE90" s="1979"/>
      <c r="AF90" s="1979"/>
      <c r="AG90" s="1979"/>
      <c r="AH90" s="1979"/>
      <c r="AI90" s="1979"/>
      <c r="AJ90" s="1979"/>
      <c r="AK90" s="1979"/>
      <c r="AL90" s="1979"/>
      <c r="AM90" s="1979"/>
      <c r="AN90" s="1979"/>
      <c r="AO90" s="1979"/>
      <c r="AP90" s="1979"/>
      <c r="AQ90" s="1979"/>
      <c r="AR90" s="1979"/>
      <c r="AS90" s="1979"/>
      <c r="AT90" s="1979"/>
      <c r="AU90" s="1979"/>
      <c r="AV90" s="1979"/>
      <c r="AW90" s="1979"/>
      <c r="AX90" s="1979"/>
      <c r="AY90" s="1979"/>
      <c r="AZ90" s="1979"/>
      <c r="BA90" s="1979"/>
      <c r="BB90" s="1979"/>
      <c r="BC90" s="1979"/>
      <c r="BD90" s="1979"/>
      <c r="BE90" s="1979"/>
      <c r="BF90" s="1979"/>
      <c r="BG90" s="1979"/>
      <c r="BH90" s="1979"/>
      <c r="BI90" s="1979"/>
      <c r="BJ90" s="1979"/>
      <c r="BK90" s="1979"/>
      <c r="BL90" s="1979"/>
      <c r="BM90" s="1979"/>
      <c r="BN90" s="1979"/>
      <c r="BO90" s="1979"/>
      <c r="BP90" s="1979"/>
      <c r="BQ90" s="1979"/>
      <c r="BR90" s="1979"/>
      <c r="BS90" s="1979"/>
      <c r="BT90" s="1979"/>
      <c r="BU90" s="1979"/>
      <c r="BV90" s="1979"/>
      <c r="BW90" s="1979"/>
      <c r="BX90" s="1979"/>
      <c r="BY90" s="1979"/>
      <c r="BZ90" s="1979"/>
      <c r="CA90" s="1979"/>
      <c r="CB90" s="1979"/>
      <c r="CC90" s="1979"/>
      <c r="CD90" s="1979"/>
      <c r="CE90" s="1979"/>
      <c r="CF90" s="1979"/>
      <c r="CG90" s="1979"/>
      <c r="CH90" s="1979"/>
      <c r="CI90" s="1979"/>
      <c r="CL90" s="1607" t="b">
        <f>J89+O89+E89+Y89=CL89</f>
        <v>1</v>
      </c>
    </row>
    <row r="91" spans="1:101" s="1411" customFormat="1" x14ac:dyDescent="0.25">
      <c r="A91" s="1417"/>
      <c r="B91" s="1417"/>
      <c r="C91" s="1979"/>
      <c r="D91" s="1979"/>
      <c r="E91" s="1979"/>
      <c r="F91" s="1979"/>
      <c r="G91" s="1979"/>
      <c r="H91" s="1979"/>
      <c r="I91" s="1979"/>
      <c r="J91" s="1979"/>
      <c r="K91" s="1979"/>
      <c r="L91" s="1979"/>
      <c r="M91" s="1979"/>
      <c r="N91" s="1979"/>
      <c r="O91" s="1979"/>
      <c r="P91" s="1979"/>
      <c r="Q91" s="1979"/>
      <c r="R91" s="1979"/>
      <c r="S91" s="1979"/>
      <c r="T91" s="1979"/>
      <c r="U91" s="1979"/>
      <c r="V91" s="1979"/>
      <c r="W91" s="1979"/>
      <c r="X91" s="1979"/>
      <c r="Y91" s="1979"/>
      <c r="Z91" s="1979"/>
      <c r="AA91" s="1979"/>
      <c r="AB91" s="1979"/>
      <c r="AC91" s="1979"/>
      <c r="AD91" s="1979"/>
      <c r="AE91" s="1979"/>
      <c r="AF91" s="1979"/>
      <c r="AG91" s="1979"/>
      <c r="AH91" s="1979"/>
      <c r="AI91" s="1979"/>
      <c r="AJ91" s="1979"/>
      <c r="AK91" s="1979"/>
      <c r="AL91" s="1979"/>
      <c r="AM91" s="1979"/>
      <c r="AN91" s="1979"/>
      <c r="AO91" s="1979"/>
      <c r="AP91" s="1979"/>
      <c r="AQ91" s="1979"/>
      <c r="AR91" s="1979"/>
      <c r="AS91" s="1979"/>
      <c r="AT91" s="1979"/>
      <c r="AU91" s="1979"/>
      <c r="AV91" s="1979"/>
      <c r="AW91" s="1979"/>
      <c r="AX91" s="1979"/>
      <c r="AY91" s="1979"/>
      <c r="AZ91" s="1979"/>
      <c r="BA91" s="1979"/>
      <c r="BB91" s="1979"/>
      <c r="BC91" s="1979"/>
      <c r="BD91" s="1979"/>
      <c r="BE91" s="1979"/>
      <c r="BF91" s="1979"/>
      <c r="BG91" s="1979"/>
      <c r="BH91" s="1979"/>
      <c r="BI91" s="1979"/>
      <c r="BJ91" s="1979"/>
      <c r="BK91" s="1979"/>
      <c r="BL91" s="1979"/>
      <c r="BM91" s="1979"/>
      <c r="BN91" s="1979"/>
      <c r="BO91" s="1979"/>
      <c r="BP91" s="1979"/>
      <c r="BQ91" s="1979"/>
      <c r="BR91" s="1979"/>
      <c r="BS91" s="1979"/>
      <c r="BT91" s="1979"/>
      <c r="BU91" s="1979"/>
      <c r="BV91" s="1979"/>
      <c r="BW91" s="1979"/>
      <c r="BX91" s="1979"/>
      <c r="BY91" s="1979"/>
      <c r="BZ91" s="1979"/>
      <c r="CA91" s="1979"/>
      <c r="CB91" s="1979"/>
      <c r="CC91" s="1979"/>
      <c r="CD91" s="1979"/>
      <c r="CE91" s="1979"/>
      <c r="CF91" s="1979"/>
      <c r="CG91" s="1979"/>
      <c r="CH91" s="1979"/>
      <c r="CI91" s="1979"/>
      <c r="CJ91" s="1968"/>
      <c r="CK91" s="1968"/>
      <c r="CL91" s="1968"/>
      <c r="CM91" s="1968"/>
      <c r="CN91" s="1968"/>
      <c r="CP91" s="1968"/>
      <c r="CQ91" s="1968"/>
      <c r="CR91" s="1968"/>
      <c r="CT91" s="2644"/>
    </row>
    <row r="92" spans="1:101" x14ac:dyDescent="0.25">
      <c r="C92" s="1979"/>
      <c r="D92" s="1979"/>
      <c r="E92" s="1979"/>
      <c r="F92" s="1979"/>
      <c r="G92" s="1979"/>
      <c r="H92" s="1979"/>
      <c r="I92" s="1979"/>
      <c r="J92" s="1979"/>
      <c r="K92" s="1979"/>
      <c r="L92" s="1979"/>
      <c r="M92" s="1979"/>
      <c r="N92" s="1979"/>
      <c r="O92" s="1979"/>
      <c r="P92" s="1979"/>
      <c r="Q92" s="1979"/>
      <c r="R92" s="1979"/>
      <c r="S92" s="1979"/>
      <c r="T92" s="1979"/>
      <c r="U92" s="1979"/>
      <c r="V92" s="1979"/>
      <c r="W92" s="1979"/>
      <c r="X92" s="1979"/>
      <c r="Y92" s="1979"/>
      <c r="Z92" s="1979"/>
      <c r="AA92" s="1979"/>
      <c r="AB92" s="1979"/>
      <c r="AC92" s="1979"/>
      <c r="AD92" s="1979"/>
      <c r="AE92" s="1979"/>
      <c r="AF92" s="1979"/>
      <c r="AG92" s="1979"/>
      <c r="AH92" s="1979"/>
      <c r="AI92" s="1979"/>
      <c r="AJ92" s="1979"/>
      <c r="AK92" s="1979"/>
      <c r="AL92" s="1979"/>
      <c r="AM92" s="1979"/>
      <c r="AN92" s="1979"/>
      <c r="AO92" s="1979"/>
      <c r="AP92" s="1979"/>
      <c r="AQ92" s="1979"/>
      <c r="AR92" s="1979"/>
      <c r="AS92" s="1979"/>
      <c r="AT92" s="1979"/>
      <c r="AU92" s="1979"/>
      <c r="AV92" s="1979"/>
      <c r="AW92" s="1979"/>
      <c r="AX92" s="1979"/>
      <c r="AY92" s="1979"/>
      <c r="AZ92" s="1979"/>
      <c r="BA92" s="1979"/>
      <c r="BB92" s="1979"/>
      <c r="BC92" s="1979"/>
      <c r="BD92" s="1979"/>
      <c r="BE92" s="1979"/>
      <c r="BF92" s="1979"/>
      <c r="BG92" s="1979"/>
      <c r="BH92" s="1979"/>
      <c r="BI92" s="1979"/>
      <c r="BJ92" s="1979"/>
      <c r="BK92" s="1979"/>
      <c r="BL92" s="1979"/>
      <c r="BM92" s="1979"/>
      <c r="BN92" s="1979"/>
      <c r="BO92" s="1979"/>
      <c r="BP92" s="1979"/>
      <c r="BQ92" s="1979"/>
      <c r="BR92" s="1979"/>
      <c r="BS92" s="1979"/>
      <c r="BT92" s="1979"/>
      <c r="BU92" s="1979"/>
      <c r="BV92" s="1979"/>
      <c r="BW92" s="1979"/>
      <c r="BX92" s="1979"/>
      <c r="BY92" s="1979"/>
      <c r="BZ92" s="1979"/>
      <c r="CA92" s="1979"/>
      <c r="CB92" s="1979"/>
      <c r="CC92" s="1979"/>
      <c r="CD92" s="1979"/>
      <c r="CE92" s="1979"/>
      <c r="CF92" s="1979"/>
      <c r="CG92" s="1979"/>
      <c r="CH92" s="1979"/>
      <c r="CI92" s="1979"/>
    </row>
    <row r="93" spans="1:101" s="1411" customFormat="1" x14ac:dyDescent="0.25">
      <c r="A93" s="1417"/>
      <c r="B93" s="1670"/>
      <c r="C93" s="1979"/>
      <c r="D93" s="1979"/>
      <c r="E93" s="1979"/>
      <c r="F93" s="1979"/>
      <c r="G93" s="1979"/>
      <c r="H93" s="1979"/>
      <c r="I93" s="1979"/>
      <c r="J93" s="1979"/>
      <c r="K93" s="1979"/>
      <c r="L93" s="1979"/>
      <c r="M93" s="1979"/>
      <c r="N93" s="1979"/>
      <c r="O93" s="1979"/>
      <c r="P93" s="1979"/>
      <c r="Q93" s="1979"/>
      <c r="R93" s="1979"/>
      <c r="S93" s="1979"/>
      <c r="T93" s="1979"/>
      <c r="U93" s="1979"/>
      <c r="V93" s="1979"/>
      <c r="W93" s="1979"/>
      <c r="X93" s="1979"/>
      <c r="Y93" s="1979"/>
      <c r="Z93" s="1979"/>
      <c r="AA93" s="1979"/>
      <c r="AB93" s="1979"/>
      <c r="AC93" s="1979"/>
      <c r="AD93" s="1979"/>
      <c r="AE93" s="1979"/>
      <c r="AF93" s="1979"/>
      <c r="AG93" s="1979"/>
      <c r="AH93" s="1979"/>
      <c r="AI93" s="1979"/>
      <c r="AJ93" s="1979"/>
      <c r="AK93" s="1979"/>
      <c r="AL93" s="1979"/>
      <c r="AM93" s="1979"/>
      <c r="AN93" s="1979"/>
      <c r="AO93" s="1979"/>
      <c r="AP93" s="1979"/>
      <c r="AQ93" s="1979"/>
      <c r="AR93" s="1979"/>
      <c r="AS93" s="1979"/>
      <c r="AT93" s="1979"/>
      <c r="AU93" s="1979"/>
      <c r="AV93" s="1979"/>
      <c r="AW93" s="1979"/>
      <c r="AX93" s="1979"/>
      <c r="AY93" s="1979"/>
      <c r="AZ93" s="1979"/>
      <c r="BA93" s="1979"/>
      <c r="BB93" s="1979"/>
      <c r="BC93" s="1979"/>
      <c r="BD93" s="1979"/>
      <c r="BE93" s="1979"/>
      <c r="BF93" s="1979"/>
      <c r="BG93" s="1979"/>
      <c r="BH93" s="1979"/>
      <c r="BI93" s="1979"/>
      <c r="BJ93" s="1979"/>
      <c r="BK93" s="1979"/>
      <c r="BL93" s="1979"/>
      <c r="BM93" s="1979"/>
      <c r="BN93" s="1979"/>
      <c r="BO93" s="1979"/>
      <c r="BP93" s="1979"/>
      <c r="BQ93" s="1979"/>
      <c r="BR93" s="1979"/>
      <c r="BS93" s="1979"/>
      <c r="BT93" s="1979"/>
      <c r="BU93" s="1979"/>
      <c r="BV93" s="1979"/>
      <c r="BW93" s="1979"/>
      <c r="BX93" s="1979"/>
      <c r="BY93" s="1979"/>
      <c r="BZ93" s="1979"/>
      <c r="CA93" s="1979"/>
      <c r="CB93" s="1979"/>
      <c r="CC93" s="1979"/>
      <c r="CD93" s="1979"/>
      <c r="CE93" s="1979"/>
      <c r="CF93" s="1979"/>
      <c r="CG93" s="1979"/>
      <c r="CH93" s="1979"/>
      <c r="CI93" s="1979"/>
      <c r="CJ93" s="1968"/>
      <c r="CK93" s="1968"/>
      <c r="CL93" s="687"/>
      <c r="CM93" s="1968"/>
      <c r="CN93" s="1968"/>
      <c r="CP93" s="1968"/>
      <c r="CQ93" s="1968"/>
      <c r="CR93" s="1968"/>
      <c r="CT93" s="2644"/>
    </row>
    <row r="94" spans="1:101" s="1411" customFormat="1" x14ac:dyDescent="0.25">
      <c r="A94" s="1417"/>
      <c r="B94" s="1670"/>
      <c r="C94" s="1979"/>
      <c r="D94" s="1979"/>
      <c r="E94" s="1979"/>
      <c r="F94" s="1979"/>
      <c r="G94" s="1979"/>
      <c r="H94" s="1979"/>
      <c r="I94" s="1979"/>
      <c r="J94" s="1979"/>
      <c r="K94" s="1979"/>
      <c r="L94" s="1979"/>
      <c r="M94" s="1979"/>
      <c r="N94" s="1979"/>
      <c r="O94" s="1979"/>
      <c r="P94" s="1979"/>
      <c r="Q94" s="1979"/>
      <c r="R94" s="1979"/>
      <c r="S94" s="1979"/>
      <c r="T94" s="1979"/>
      <c r="U94" s="1979"/>
      <c r="V94" s="1979"/>
      <c r="W94" s="1979"/>
      <c r="X94" s="1979"/>
      <c r="Y94" s="1979"/>
      <c r="Z94" s="1979"/>
      <c r="AA94" s="1979"/>
      <c r="AB94" s="1979"/>
      <c r="AC94" s="1979"/>
      <c r="AD94" s="1979"/>
      <c r="AE94" s="1979"/>
      <c r="AF94" s="1979"/>
      <c r="AG94" s="1979"/>
      <c r="AH94" s="1979"/>
      <c r="AI94" s="1979"/>
      <c r="AJ94" s="1979"/>
      <c r="AK94" s="1979"/>
      <c r="AL94" s="1979"/>
      <c r="AM94" s="1979"/>
      <c r="AN94" s="1979"/>
      <c r="AO94" s="1979"/>
      <c r="AP94" s="1979"/>
      <c r="AQ94" s="1979"/>
      <c r="AR94" s="1979"/>
      <c r="AS94" s="1979"/>
      <c r="AT94" s="1979"/>
      <c r="AU94" s="1979"/>
      <c r="AV94" s="1979"/>
      <c r="AW94" s="1979"/>
      <c r="AX94" s="1979"/>
      <c r="AY94" s="1979"/>
      <c r="AZ94" s="1979"/>
      <c r="BA94" s="1979"/>
      <c r="BB94" s="1979"/>
      <c r="BC94" s="1979"/>
      <c r="BD94" s="1979"/>
      <c r="BE94" s="1979"/>
      <c r="BF94" s="1979"/>
      <c r="BG94" s="1979"/>
      <c r="BH94" s="1979"/>
      <c r="BI94" s="1979"/>
      <c r="BJ94" s="1979"/>
      <c r="BK94" s="1979"/>
      <c r="BL94" s="1979"/>
      <c r="BM94" s="1979"/>
      <c r="BN94" s="1979"/>
      <c r="BO94" s="1979"/>
      <c r="BP94" s="1979"/>
      <c r="BQ94" s="1979"/>
      <c r="BR94" s="1979"/>
      <c r="BS94" s="1979"/>
      <c r="BT94" s="1979"/>
      <c r="BU94" s="1979"/>
      <c r="BV94" s="1979"/>
      <c r="BW94" s="1979"/>
      <c r="BX94" s="1979"/>
      <c r="BY94" s="1979"/>
      <c r="BZ94" s="1979"/>
      <c r="CA94" s="1979"/>
      <c r="CB94" s="1979"/>
      <c r="CC94" s="1979"/>
      <c r="CD94" s="1979"/>
      <c r="CE94" s="1979"/>
      <c r="CF94" s="1979"/>
      <c r="CG94" s="1979"/>
      <c r="CH94" s="1979"/>
      <c r="CI94" s="1979"/>
      <c r="CJ94" s="1968"/>
      <c r="CK94" s="1968"/>
      <c r="CL94" s="1968"/>
      <c r="CM94" s="1968"/>
      <c r="CN94" s="1968"/>
      <c r="CP94" s="1968"/>
      <c r="CQ94" s="1968"/>
      <c r="CR94" s="1968"/>
      <c r="CT94" s="2644"/>
    </row>
    <row r="95" spans="1:101" s="1411" customFormat="1" x14ac:dyDescent="0.25">
      <c r="A95" s="1417"/>
      <c r="B95" s="1670"/>
      <c r="C95" s="1979"/>
      <c r="D95" s="1979"/>
      <c r="E95" s="1979"/>
      <c r="F95" s="1979"/>
      <c r="G95" s="1979"/>
      <c r="H95" s="1979"/>
      <c r="I95" s="1979"/>
      <c r="J95" s="1979"/>
      <c r="K95" s="1979"/>
      <c r="L95" s="1979"/>
      <c r="M95" s="1979"/>
      <c r="N95" s="1979"/>
      <c r="O95" s="1979"/>
      <c r="P95" s="1979"/>
      <c r="Q95" s="1979"/>
      <c r="R95" s="1979"/>
      <c r="S95" s="1979"/>
      <c r="T95" s="1979"/>
      <c r="U95" s="1979"/>
      <c r="V95" s="1979"/>
      <c r="W95" s="1979"/>
      <c r="X95" s="1979"/>
      <c r="Y95" s="1979"/>
      <c r="Z95" s="1979"/>
      <c r="AA95" s="1979"/>
      <c r="AB95" s="1979"/>
      <c r="AC95" s="1979"/>
      <c r="AD95" s="1979"/>
      <c r="AE95" s="1979"/>
      <c r="AF95" s="1979"/>
      <c r="AG95" s="1979"/>
      <c r="AH95" s="1979"/>
      <c r="AI95" s="1979"/>
      <c r="AJ95" s="1979"/>
      <c r="AK95" s="1979"/>
      <c r="AL95" s="1979"/>
      <c r="AM95" s="1979"/>
      <c r="AN95" s="1979"/>
      <c r="AO95" s="1979"/>
      <c r="AP95" s="1979"/>
      <c r="AQ95" s="1979"/>
      <c r="AR95" s="1979"/>
      <c r="AS95" s="1979"/>
      <c r="AT95" s="1979"/>
      <c r="AU95" s="1979"/>
      <c r="AV95" s="1979"/>
      <c r="AW95" s="1979"/>
      <c r="AX95" s="1979"/>
      <c r="AY95" s="1979"/>
      <c r="AZ95" s="1979"/>
      <c r="BA95" s="1979"/>
      <c r="BB95" s="1979"/>
      <c r="BC95" s="1979"/>
      <c r="BD95" s="1979"/>
      <c r="BE95" s="1979"/>
      <c r="BF95" s="1979"/>
      <c r="BG95" s="1979"/>
      <c r="BH95" s="1979"/>
      <c r="BI95" s="1979"/>
      <c r="BJ95" s="1979"/>
      <c r="BK95" s="1979"/>
      <c r="BL95" s="1979"/>
      <c r="BM95" s="1979"/>
      <c r="BN95" s="1979"/>
      <c r="BO95" s="1979"/>
      <c r="BP95" s="1979"/>
      <c r="BQ95" s="1979"/>
      <c r="BR95" s="1979"/>
      <c r="BS95" s="1979"/>
      <c r="BT95" s="1979"/>
      <c r="BU95" s="1979"/>
      <c r="BV95" s="1979"/>
      <c r="BW95" s="1979"/>
      <c r="BX95" s="1979"/>
      <c r="BY95" s="1979"/>
      <c r="BZ95" s="1979"/>
      <c r="CA95" s="1979"/>
      <c r="CB95" s="1979"/>
      <c r="CC95" s="1979"/>
      <c r="CD95" s="1979"/>
      <c r="CE95" s="1979"/>
      <c r="CF95" s="1979"/>
      <c r="CG95" s="1979"/>
      <c r="CH95" s="1979"/>
      <c r="CI95" s="1979"/>
      <c r="CJ95" s="1968"/>
      <c r="CK95" s="1968"/>
      <c r="CL95" s="1968"/>
      <c r="CM95" s="1968"/>
      <c r="CN95" s="1968"/>
      <c r="CP95" s="1968"/>
      <c r="CQ95" s="1968"/>
      <c r="CR95" s="1968"/>
      <c r="CT95" s="2644"/>
    </row>
    <row r="96" spans="1:101" s="1411" customFormat="1" x14ac:dyDescent="0.25">
      <c r="A96" s="1417"/>
      <c r="B96" s="1670"/>
      <c r="C96" s="1979"/>
      <c r="D96" s="1979"/>
      <c r="E96" s="1979"/>
      <c r="F96" s="1979"/>
      <c r="G96" s="1979"/>
      <c r="H96" s="1979"/>
      <c r="I96" s="1979"/>
      <c r="J96" s="1979"/>
      <c r="K96" s="1979"/>
      <c r="L96" s="1979"/>
      <c r="M96" s="1979"/>
      <c r="N96" s="1979"/>
      <c r="O96" s="1979"/>
      <c r="P96" s="1979"/>
      <c r="Q96" s="1979"/>
      <c r="R96" s="1979"/>
      <c r="S96" s="1979"/>
      <c r="T96" s="1979"/>
      <c r="U96" s="1979"/>
      <c r="V96" s="1979"/>
      <c r="W96" s="1979"/>
      <c r="X96" s="1979"/>
      <c r="Y96" s="1979"/>
      <c r="Z96" s="1979"/>
      <c r="AA96" s="1979"/>
      <c r="AB96" s="1979"/>
      <c r="AC96" s="1979"/>
      <c r="AD96" s="1979"/>
      <c r="AE96" s="1979"/>
      <c r="AF96" s="1979"/>
      <c r="AG96" s="1979"/>
      <c r="AH96" s="1979"/>
      <c r="AI96" s="1979"/>
      <c r="AJ96" s="1979"/>
      <c r="AK96" s="1979"/>
      <c r="AL96" s="1979"/>
      <c r="AM96" s="1979"/>
      <c r="AN96" s="1979"/>
      <c r="AO96" s="1979"/>
      <c r="AP96" s="1979"/>
      <c r="AQ96" s="1979"/>
      <c r="AR96" s="1979"/>
      <c r="AS96" s="1979"/>
      <c r="AT96" s="1979"/>
      <c r="AU96" s="1979"/>
      <c r="AV96" s="1979"/>
      <c r="AW96" s="1979"/>
      <c r="AX96" s="1979"/>
      <c r="AY96" s="1979"/>
      <c r="AZ96" s="1979"/>
      <c r="BA96" s="1979"/>
      <c r="BB96" s="1979"/>
      <c r="BC96" s="1979"/>
      <c r="BD96" s="1979"/>
      <c r="BE96" s="1979"/>
      <c r="BF96" s="1979"/>
      <c r="BG96" s="1979"/>
      <c r="BH96" s="1979"/>
      <c r="BI96" s="1979"/>
      <c r="BJ96" s="1979"/>
      <c r="BK96" s="1979"/>
      <c r="BL96" s="1979"/>
      <c r="BM96" s="1979"/>
      <c r="BN96" s="1979"/>
      <c r="BO96" s="1979"/>
      <c r="BP96" s="1979"/>
      <c r="BQ96" s="1979"/>
      <c r="BR96" s="1979"/>
      <c r="BS96" s="1979"/>
      <c r="BT96" s="1979"/>
      <c r="BU96" s="1979"/>
      <c r="BV96" s="1979"/>
      <c r="BW96" s="1979"/>
      <c r="BX96" s="1979"/>
      <c r="BY96" s="1979"/>
      <c r="BZ96" s="1979"/>
      <c r="CA96" s="1979"/>
      <c r="CB96" s="1979"/>
      <c r="CC96" s="1979"/>
      <c r="CD96" s="1979"/>
      <c r="CE96" s="1979"/>
      <c r="CF96" s="1979"/>
      <c r="CG96" s="1979"/>
      <c r="CH96" s="1979"/>
      <c r="CI96" s="1979"/>
      <c r="CJ96" s="1968"/>
      <c r="CK96" s="1968"/>
      <c r="CL96" s="1968"/>
      <c r="CM96" s="1968"/>
      <c r="CN96" s="1968"/>
      <c r="CP96" s="1968"/>
      <c r="CQ96" s="1968"/>
      <c r="CR96" s="1968"/>
      <c r="CT96" s="2644"/>
    </row>
    <row r="97" spans="1:98" x14ac:dyDescent="0.25">
      <c r="C97" s="1979"/>
      <c r="D97" s="1979"/>
      <c r="E97" s="1979"/>
      <c r="F97" s="1979"/>
      <c r="G97" s="1979"/>
      <c r="H97" s="1979"/>
      <c r="I97" s="1979"/>
      <c r="J97" s="1979"/>
      <c r="K97" s="1979"/>
      <c r="L97" s="1979"/>
      <c r="M97" s="1979"/>
      <c r="N97" s="1979"/>
      <c r="O97" s="1979"/>
      <c r="P97" s="1979"/>
      <c r="Q97" s="1979"/>
      <c r="R97" s="1979"/>
      <c r="S97" s="1979"/>
      <c r="T97" s="1979"/>
      <c r="U97" s="1979"/>
      <c r="V97" s="1979"/>
      <c r="W97" s="1979"/>
      <c r="X97" s="1979"/>
      <c r="Y97" s="1979"/>
      <c r="Z97" s="1979"/>
      <c r="AA97" s="1979"/>
      <c r="AB97" s="1979"/>
      <c r="AC97" s="1979"/>
      <c r="AD97" s="1979"/>
      <c r="AE97" s="1979"/>
      <c r="AF97" s="1979"/>
      <c r="AG97" s="1979"/>
      <c r="AH97" s="1979"/>
      <c r="AI97" s="1979"/>
      <c r="AJ97" s="1979"/>
      <c r="AK97" s="1979"/>
      <c r="AL97" s="1979"/>
      <c r="AM97" s="1979"/>
      <c r="AN97" s="1979"/>
      <c r="AO97" s="1979"/>
      <c r="AP97" s="1979"/>
      <c r="AQ97" s="1979"/>
      <c r="AR97" s="1979"/>
      <c r="AS97" s="1979"/>
      <c r="AT97" s="1979"/>
      <c r="AU97" s="1979"/>
      <c r="AV97" s="1979"/>
      <c r="AW97" s="1979"/>
      <c r="AX97" s="1979"/>
      <c r="AY97" s="1979"/>
      <c r="AZ97" s="1979"/>
      <c r="BA97" s="1979"/>
      <c r="BB97" s="1979"/>
      <c r="BC97" s="1979"/>
      <c r="BD97" s="1979"/>
      <c r="BE97" s="1979"/>
      <c r="BF97" s="1979"/>
      <c r="BG97" s="1979"/>
      <c r="BH97" s="1979"/>
      <c r="BI97" s="1979"/>
      <c r="BJ97" s="1979"/>
      <c r="BK97" s="1979"/>
      <c r="BL97" s="1979"/>
      <c r="BM97" s="1979"/>
      <c r="BN97" s="1979"/>
      <c r="BO97" s="1979"/>
      <c r="BP97" s="1979"/>
      <c r="BQ97" s="1979"/>
      <c r="BR97" s="1979"/>
      <c r="BS97" s="1979"/>
      <c r="BT97" s="1979"/>
      <c r="BU97" s="1979"/>
      <c r="BV97" s="1979"/>
      <c r="BW97" s="1979"/>
      <c r="BX97" s="1979"/>
      <c r="BY97" s="1979"/>
      <c r="BZ97" s="1979"/>
      <c r="CA97" s="1979"/>
      <c r="CB97" s="1979"/>
      <c r="CC97" s="1979"/>
      <c r="CD97" s="1979"/>
      <c r="CE97" s="1979"/>
      <c r="CF97" s="1979"/>
      <c r="CG97" s="1979"/>
      <c r="CH97" s="1979"/>
      <c r="CI97" s="1979"/>
    </row>
    <row r="98" spans="1:98" s="1411" customFormat="1" x14ac:dyDescent="0.25">
      <c r="A98" s="1417"/>
      <c r="B98" s="1417"/>
      <c r="C98" s="1968"/>
      <c r="D98" s="1968"/>
      <c r="E98" s="1968"/>
      <c r="F98" s="1968"/>
      <c r="G98" s="1968"/>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P98" s="1968"/>
      <c r="CQ98" s="1968"/>
      <c r="CR98" s="1968"/>
      <c r="CT98" s="2644"/>
    </row>
  </sheetData>
  <mergeCells count="22">
    <mergeCell ref="W2:AA3"/>
    <mergeCell ref="A2:B2"/>
    <mergeCell ref="C2:G3"/>
    <mergeCell ref="H2:L3"/>
    <mergeCell ref="M2:Q3"/>
    <mergeCell ref="R2:V3"/>
    <mergeCell ref="CJ2:CN3"/>
    <mergeCell ref="CP2:CR3"/>
    <mergeCell ref="A3:B3"/>
    <mergeCell ref="A42:A48"/>
    <mergeCell ref="BF2:BJ3"/>
    <mergeCell ref="BK2:BO3"/>
    <mergeCell ref="BP2:BT3"/>
    <mergeCell ref="BU2:BY3"/>
    <mergeCell ref="BZ2:CD3"/>
    <mergeCell ref="CE2:CI3"/>
    <mergeCell ref="AB2:AF3"/>
    <mergeCell ref="AG2:AK3"/>
    <mergeCell ref="AL2:AP3"/>
    <mergeCell ref="AQ2:AU3"/>
    <mergeCell ref="AV2:AZ3"/>
    <mergeCell ref="BA2:BE3"/>
  </mergeCells>
  <pageMargins left="0.39370078740157483" right="0.19685039370078741" top="0.19685039370078741" bottom="0.19685039370078741" header="0.11811023622047245" footer="0.11811023622047245"/>
  <pageSetup paperSize="9" scale="24" orientation="portrait" horizontalDpi="4294967295" verticalDpi="4294967295"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6" tint="0.59999389629810485"/>
  </sheetPr>
  <dimension ref="A1:DR101"/>
  <sheetViews>
    <sheetView tabSelected="1" zoomScale="85" zoomScaleNormal="85" workbookViewId="0">
      <pane xSplit="2" ySplit="4" topLeftCell="BE77" activePane="bottomRight" state="frozen"/>
      <selection activeCell="CP93" sqref="CP93"/>
      <selection pane="topRight" activeCell="CP93" sqref="CP93"/>
      <selection pane="bottomLeft" activeCell="CP93" sqref="CP93"/>
      <selection pane="bottomRight" activeCell="BP6" sqref="BP6"/>
    </sheetView>
  </sheetViews>
  <sheetFormatPr defaultColWidth="7.44140625" defaultRowHeight="13.2" outlineLevelCol="1" x14ac:dyDescent="0.25"/>
  <cols>
    <col min="1" max="1" width="5.5546875" style="1417" customWidth="1"/>
    <col min="2" max="2" width="53.33203125" style="1417" customWidth="1"/>
    <col min="3" max="7" width="17.33203125" style="1417" hidden="1" customWidth="1" outlineLevel="1"/>
    <col min="8" max="10" width="16.33203125" style="1968" hidden="1" customWidth="1" outlineLevel="1"/>
    <col min="11" max="11" width="9" style="1968" hidden="1" customWidth="1" outlineLevel="1"/>
    <col min="12" max="12" width="40.109375" style="1968" hidden="1" customWidth="1" outlineLevel="1"/>
    <col min="13" max="13" width="19.33203125" style="1968" hidden="1" customWidth="1" outlineLevel="1"/>
    <col min="14" max="14" width="18" style="1968" hidden="1" customWidth="1" outlineLevel="1"/>
    <col min="15" max="15" width="14.6640625" style="1968" hidden="1" customWidth="1" outlineLevel="1"/>
    <col min="16" max="16" width="14.44140625" style="1968" hidden="1" customWidth="1" outlineLevel="1"/>
    <col min="17" max="17" width="39.33203125" style="1968" hidden="1" customWidth="1" outlineLevel="1"/>
    <col min="18" max="18" width="23.33203125" style="1968" hidden="1" customWidth="1" outlineLevel="1"/>
    <col min="19" max="19" width="22.44140625" style="1968" hidden="1" customWidth="1" outlineLevel="1"/>
    <col min="20" max="20" width="25.5546875" style="1968" hidden="1" customWidth="1" outlineLevel="1"/>
    <col min="21" max="21" width="21" style="1968" hidden="1" customWidth="1" outlineLevel="1"/>
    <col min="22" max="22" width="39.33203125" style="1968" hidden="1" customWidth="1" outlineLevel="1"/>
    <col min="23" max="23" width="27.44140625" style="1968" hidden="1" customWidth="1" outlineLevel="1"/>
    <col min="24" max="24" width="26" style="1968" hidden="1" customWidth="1" outlineLevel="1"/>
    <col min="25" max="25" width="24" style="1968" hidden="1" customWidth="1" outlineLevel="1"/>
    <col min="26" max="26" width="15.44140625" style="1968" hidden="1" customWidth="1" outlineLevel="1"/>
    <col min="27" max="27" width="64.5546875" style="1968" hidden="1" customWidth="1" outlineLevel="1"/>
    <col min="28" max="29" width="16.44140625" style="1968" hidden="1" customWidth="1" outlineLevel="1"/>
    <col min="30" max="30" width="16.109375" style="1968" hidden="1" customWidth="1" outlineLevel="1"/>
    <col min="31" max="31" width="24.33203125" style="1968" hidden="1" customWidth="1" outlineLevel="1"/>
    <col min="32" max="32" width="54.88671875" style="1968" hidden="1" customWidth="1" outlineLevel="1"/>
    <col min="33" max="34" width="16.44140625" style="1968" hidden="1" customWidth="1" outlineLevel="1"/>
    <col min="35" max="35" width="16.109375" style="1968" hidden="1" customWidth="1" outlineLevel="1"/>
    <col min="36" max="36" width="11.33203125" style="1968" hidden="1" customWidth="1" outlineLevel="1"/>
    <col min="37" max="37" width="54.88671875" style="1968" hidden="1" customWidth="1" outlineLevel="1"/>
    <col min="38" max="38" width="13.6640625" style="1968" hidden="1" customWidth="1" outlineLevel="1"/>
    <col min="39" max="39" width="16.33203125" style="1968" hidden="1" customWidth="1" outlineLevel="1"/>
    <col min="40" max="40" width="14" style="1968" hidden="1" customWidth="1" outlineLevel="1"/>
    <col min="41" max="41" width="10.6640625" style="1968" hidden="1" customWidth="1" outlineLevel="1"/>
    <col min="42" max="42" width="23.109375" style="1968" hidden="1" customWidth="1" outlineLevel="1"/>
    <col min="43" max="43" width="18.6640625" style="1968" hidden="1" customWidth="1" outlineLevel="1"/>
    <col min="44" max="44" width="18.33203125" style="1968" hidden="1" customWidth="1" outlineLevel="1"/>
    <col min="45" max="45" width="16.33203125" style="1968" hidden="1" customWidth="1" outlineLevel="1"/>
    <col min="46" max="46" width="13.44140625" style="1968" hidden="1" customWidth="1" outlineLevel="1"/>
    <col min="47" max="47" width="31.44140625" style="1968" hidden="1" customWidth="1" outlineLevel="1"/>
    <col min="48" max="48" width="13.5546875" style="1968" customWidth="1" collapsed="1"/>
    <col min="49" max="52" width="14.33203125" style="1968" customWidth="1"/>
    <col min="53" max="57" width="14.88671875" style="1968" customWidth="1"/>
    <col min="58" max="58" width="14.88671875" style="1601" hidden="1" customWidth="1" outlineLevel="1" collapsed="1"/>
    <col min="59" max="60" width="14.88671875" style="1601" hidden="1" customWidth="1" outlineLevel="1"/>
    <col min="61" max="61" width="14.88671875" style="1968" hidden="1" customWidth="1" outlineLevel="1"/>
    <col min="62" max="62" width="47.88671875" style="1601" hidden="1" customWidth="1" outlineLevel="1"/>
    <col min="63" max="63" width="13.88671875" style="1968" hidden="1" customWidth="1" outlineLevel="1" collapsed="1"/>
    <col min="64" max="66" width="13.88671875" style="1968" hidden="1" customWidth="1" outlineLevel="1"/>
    <col min="67" max="67" width="35.88671875" style="1968" hidden="1" customWidth="1" outlineLevel="1"/>
    <col min="68" max="68" width="13.88671875" style="1968" customWidth="1" collapsed="1"/>
    <col min="69" max="71" width="13.88671875" style="1968" customWidth="1"/>
    <col min="72" max="72" width="37.33203125" style="1968" customWidth="1"/>
    <col min="73" max="73" width="13.88671875" style="1968" hidden="1" customWidth="1" outlineLevel="1" collapsed="1"/>
    <col min="74" max="76" width="13.88671875" style="1968" hidden="1" customWidth="1" outlineLevel="1"/>
    <col min="77" max="77" width="33.33203125" style="1968" hidden="1" customWidth="1" outlineLevel="1"/>
    <col min="78" max="78" width="13.88671875" style="1968" hidden="1" customWidth="1" outlineLevel="1" collapsed="1"/>
    <col min="79" max="81" width="13.88671875" style="1968" hidden="1" customWidth="1" outlineLevel="1"/>
    <col min="82" max="82" width="36.109375" style="1968" hidden="1" customWidth="1" outlineLevel="1"/>
    <col min="83" max="86" width="13.88671875" style="1968" hidden="1" customWidth="1" outlineLevel="1"/>
    <col min="87" max="87" width="36.109375" style="1968" hidden="1" customWidth="1" outlineLevel="1"/>
    <col min="88" max="91" width="13.88671875" style="1968" hidden="1" customWidth="1" outlineLevel="1"/>
    <col min="92" max="92" width="36.109375" style="1968" hidden="1" customWidth="1" outlineLevel="1"/>
    <col min="93" max="93" width="13.88671875" style="1968" hidden="1" customWidth="1" outlineLevel="1" collapsed="1"/>
    <col min="94" max="96" width="13.88671875" style="1968" hidden="1" customWidth="1" outlineLevel="1"/>
    <col min="97" max="97" width="46.44140625" style="1968" hidden="1" customWidth="1" outlineLevel="1"/>
    <col min="98" max="98" width="13.88671875" style="1968" hidden="1" customWidth="1" outlineLevel="1" collapsed="1"/>
    <col min="99" max="101" width="13.88671875" style="1968" hidden="1" customWidth="1" outlineLevel="1"/>
    <col min="102" max="102" width="58.88671875" style="1968" hidden="1" customWidth="1" outlineLevel="1"/>
    <col min="103" max="103" width="13.88671875" style="1968" hidden="1" customWidth="1" outlineLevel="1" collapsed="1"/>
    <col min="104" max="106" width="13.88671875" style="1968" hidden="1" customWidth="1" outlineLevel="1"/>
    <col min="107" max="107" width="49.44140625" style="1968" hidden="1" customWidth="1" outlineLevel="1"/>
    <col min="108" max="108" width="13.88671875" style="1968" hidden="1" customWidth="1" outlineLevel="1" collapsed="1"/>
    <col min="109" max="111" width="13.88671875" style="1968" hidden="1" customWidth="1" outlineLevel="1"/>
    <col min="112" max="112" width="49" style="1968" hidden="1" customWidth="1" outlineLevel="1"/>
    <col min="113" max="113" width="13.6640625" style="1968" hidden="1" customWidth="1" outlineLevel="1" collapsed="1"/>
    <col min="114" max="117" width="13.6640625" style="1968" hidden="1" customWidth="1" outlineLevel="1"/>
    <col min="118" max="118" width="15.6640625" style="1968" customWidth="1" collapsed="1"/>
    <col min="119" max="122" width="15.6640625" style="1968" customWidth="1"/>
    <col min="123" max="16384" width="7.44140625" style="1410"/>
  </cols>
  <sheetData>
    <row r="1" spans="1:122" ht="13.8" thickBot="1" x14ac:dyDescent="0.3"/>
    <row r="2" spans="1:122" ht="14.4" customHeight="1" x14ac:dyDescent="0.25">
      <c r="A2" s="4016" t="s">
        <v>939</v>
      </c>
      <c r="B2" s="4017"/>
      <c r="C2" s="4016" t="s">
        <v>969</v>
      </c>
      <c r="D2" s="4017"/>
      <c r="E2" s="4017"/>
      <c r="F2" s="4017"/>
      <c r="G2" s="4018"/>
      <c r="H2" s="4198" t="s">
        <v>964</v>
      </c>
      <c r="I2" s="4198"/>
      <c r="J2" s="4198"/>
      <c r="K2" s="4198"/>
      <c r="L2" s="4199"/>
      <c r="M2" s="4140" t="s">
        <v>1015</v>
      </c>
      <c r="N2" s="4141"/>
      <c r="O2" s="4141"/>
      <c r="P2" s="4141"/>
      <c r="Q2" s="4142"/>
      <c r="R2" s="4053" t="s">
        <v>1075</v>
      </c>
      <c r="S2" s="4054"/>
      <c r="T2" s="4054"/>
      <c r="U2" s="4054"/>
      <c r="V2" s="4055"/>
      <c r="W2" s="4185" t="s">
        <v>1079</v>
      </c>
      <c r="X2" s="4186"/>
      <c r="Y2" s="4186"/>
      <c r="Z2" s="4186"/>
      <c r="AA2" s="4187"/>
      <c r="AB2" s="4172" t="s">
        <v>1161</v>
      </c>
      <c r="AC2" s="4173"/>
      <c r="AD2" s="4173"/>
      <c r="AE2" s="4173"/>
      <c r="AF2" s="4174"/>
      <c r="AG2" s="4071" t="s">
        <v>1303</v>
      </c>
      <c r="AH2" s="4072"/>
      <c r="AI2" s="4072"/>
      <c r="AJ2" s="4072"/>
      <c r="AK2" s="4073"/>
      <c r="AL2" s="4077" t="s">
        <v>1383</v>
      </c>
      <c r="AM2" s="4078"/>
      <c r="AN2" s="4078"/>
      <c r="AO2" s="4078"/>
      <c r="AP2" s="4079"/>
      <c r="AQ2" s="4053" t="s">
        <v>1470</v>
      </c>
      <c r="AR2" s="4054"/>
      <c r="AS2" s="4054"/>
      <c r="AT2" s="4054"/>
      <c r="AU2" s="4055"/>
      <c r="AV2" s="4059" t="s">
        <v>1668</v>
      </c>
      <c r="AW2" s="4060"/>
      <c r="AX2" s="4060"/>
      <c r="AY2" s="4060"/>
      <c r="AZ2" s="4061"/>
      <c r="BA2" s="4083">
        <v>2024</v>
      </c>
      <c r="BB2" s="4084"/>
      <c r="BC2" s="4084"/>
      <c r="BD2" s="4084"/>
      <c r="BE2" s="4085"/>
      <c r="BF2" s="4256">
        <v>45292</v>
      </c>
      <c r="BG2" s="4024"/>
      <c r="BH2" s="4024"/>
      <c r="BI2" s="4024"/>
      <c r="BJ2" s="4025"/>
      <c r="BK2" s="4269">
        <v>45323</v>
      </c>
      <c r="BL2" s="4270"/>
      <c r="BM2" s="4270"/>
      <c r="BN2" s="4270"/>
      <c r="BO2" s="4271"/>
      <c r="BP2" s="4276">
        <v>45352</v>
      </c>
      <c r="BQ2" s="4204"/>
      <c r="BR2" s="4204"/>
      <c r="BS2" s="4204"/>
      <c r="BT2" s="4205"/>
      <c r="BU2" s="4277">
        <v>45383</v>
      </c>
      <c r="BV2" s="4278"/>
      <c r="BW2" s="4278"/>
      <c r="BX2" s="4278"/>
      <c r="BY2" s="4279"/>
      <c r="BZ2" s="4290">
        <v>45413</v>
      </c>
      <c r="CA2" s="4291"/>
      <c r="CB2" s="4291"/>
      <c r="CC2" s="4291"/>
      <c r="CD2" s="4292"/>
      <c r="CE2" s="4290">
        <v>45444</v>
      </c>
      <c r="CF2" s="4291"/>
      <c r="CG2" s="4291"/>
      <c r="CH2" s="4291"/>
      <c r="CI2" s="4292"/>
      <c r="CJ2" s="4350">
        <v>45474</v>
      </c>
      <c r="CK2" s="4351"/>
      <c r="CL2" s="4351"/>
      <c r="CM2" s="4351"/>
      <c r="CN2" s="4352"/>
      <c r="CO2" s="4356">
        <v>45505</v>
      </c>
      <c r="CP2" s="4357"/>
      <c r="CQ2" s="4357"/>
      <c r="CR2" s="4357"/>
      <c r="CS2" s="4358"/>
      <c r="CT2" s="4362">
        <v>45536</v>
      </c>
      <c r="CU2" s="4363"/>
      <c r="CV2" s="4363"/>
      <c r="CW2" s="4363"/>
      <c r="CX2" s="4364"/>
      <c r="CY2" s="4095">
        <v>45566</v>
      </c>
      <c r="CZ2" s="4096"/>
      <c r="DA2" s="4096"/>
      <c r="DB2" s="4096"/>
      <c r="DC2" s="4097"/>
      <c r="DD2" s="4244">
        <v>45597</v>
      </c>
      <c r="DE2" s="4245"/>
      <c r="DF2" s="4245"/>
      <c r="DG2" s="4245"/>
      <c r="DH2" s="4246"/>
      <c r="DI2" s="4250">
        <v>45627</v>
      </c>
      <c r="DJ2" s="4251"/>
      <c r="DK2" s="4251"/>
      <c r="DL2" s="4251"/>
      <c r="DM2" s="4252"/>
      <c r="DN2" s="4089" t="s">
        <v>2201</v>
      </c>
      <c r="DO2" s="4090"/>
      <c r="DP2" s="4090"/>
      <c r="DQ2" s="4090"/>
      <c r="DR2" s="4091"/>
    </row>
    <row r="3" spans="1:122" ht="15" customHeight="1" thickBot="1" x14ac:dyDescent="0.3">
      <c r="A3" s="4035" t="s">
        <v>54</v>
      </c>
      <c r="B3" s="4036"/>
      <c r="C3" s="4209"/>
      <c r="D3" s="4210"/>
      <c r="E3" s="4210"/>
      <c r="F3" s="4210"/>
      <c r="G3" s="4211"/>
      <c r="H3" s="4201"/>
      <c r="I3" s="4201"/>
      <c r="J3" s="4201"/>
      <c r="K3" s="4201"/>
      <c r="L3" s="4202"/>
      <c r="M3" s="4143"/>
      <c r="N3" s="4144"/>
      <c r="O3" s="4144"/>
      <c r="P3" s="4144"/>
      <c r="Q3" s="4145"/>
      <c r="R3" s="4056"/>
      <c r="S3" s="4057"/>
      <c r="T3" s="4057"/>
      <c r="U3" s="4057"/>
      <c r="V3" s="4058"/>
      <c r="W3" s="4188"/>
      <c r="X3" s="4189"/>
      <c r="Y3" s="4189"/>
      <c r="Z3" s="4189"/>
      <c r="AA3" s="4190"/>
      <c r="AB3" s="4175"/>
      <c r="AC3" s="4176"/>
      <c r="AD3" s="4176"/>
      <c r="AE3" s="4176"/>
      <c r="AF3" s="4177"/>
      <c r="AG3" s="4074"/>
      <c r="AH3" s="4075"/>
      <c r="AI3" s="4075"/>
      <c r="AJ3" s="4075"/>
      <c r="AK3" s="4076"/>
      <c r="AL3" s="4080"/>
      <c r="AM3" s="4081"/>
      <c r="AN3" s="4081"/>
      <c r="AO3" s="4081"/>
      <c r="AP3" s="4082"/>
      <c r="AQ3" s="4056"/>
      <c r="AR3" s="4057"/>
      <c r="AS3" s="4057"/>
      <c r="AT3" s="4057"/>
      <c r="AU3" s="4058"/>
      <c r="AV3" s="4062"/>
      <c r="AW3" s="4063"/>
      <c r="AX3" s="4063"/>
      <c r="AY3" s="4063"/>
      <c r="AZ3" s="4064"/>
      <c r="BA3" s="4086"/>
      <c r="BB3" s="4087"/>
      <c r="BC3" s="4087"/>
      <c r="BD3" s="4087"/>
      <c r="BE3" s="4088"/>
      <c r="BF3" s="4026"/>
      <c r="BG3" s="4027"/>
      <c r="BH3" s="4027"/>
      <c r="BI3" s="4027"/>
      <c r="BJ3" s="4028"/>
      <c r="BK3" s="4272"/>
      <c r="BL3" s="4273"/>
      <c r="BM3" s="4273"/>
      <c r="BN3" s="4273"/>
      <c r="BO3" s="4274"/>
      <c r="BP3" s="4206"/>
      <c r="BQ3" s="4207"/>
      <c r="BR3" s="4207"/>
      <c r="BS3" s="4207"/>
      <c r="BT3" s="4208"/>
      <c r="BU3" s="4280"/>
      <c r="BV3" s="4281"/>
      <c r="BW3" s="4281"/>
      <c r="BX3" s="4281"/>
      <c r="BY3" s="4282"/>
      <c r="BZ3" s="4293"/>
      <c r="CA3" s="4294"/>
      <c r="CB3" s="4294"/>
      <c r="CC3" s="4294"/>
      <c r="CD3" s="4295"/>
      <c r="CE3" s="4293"/>
      <c r="CF3" s="4294"/>
      <c r="CG3" s="4294"/>
      <c r="CH3" s="4294"/>
      <c r="CI3" s="4295"/>
      <c r="CJ3" s="4353"/>
      <c r="CK3" s="4354"/>
      <c r="CL3" s="4354"/>
      <c r="CM3" s="4354"/>
      <c r="CN3" s="4355"/>
      <c r="CO3" s="4359"/>
      <c r="CP3" s="4360"/>
      <c r="CQ3" s="4360"/>
      <c r="CR3" s="4360"/>
      <c r="CS3" s="4361"/>
      <c r="CT3" s="4365"/>
      <c r="CU3" s="4366"/>
      <c r="CV3" s="4366"/>
      <c r="CW3" s="4366"/>
      <c r="CX3" s="4367"/>
      <c r="CY3" s="4098"/>
      <c r="CZ3" s="4099"/>
      <c r="DA3" s="4099"/>
      <c r="DB3" s="4099"/>
      <c r="DC3" s="4100"/>
      <c r="DD3" s="4247"/>
      <c r="DE3" s="4248"/>
      <c r="DF3" s="4248"/>
      <c r="DG3" s="4248"/>
      <c r="DH3" s="4249"/>
      <c r="DI3" s="4253"/>
      <c r="DJ3" s="4254"/>
      <c r="DK3" s="4254"/>
      <c r="DL3" s="4254"/>
      <c r="DM3" s="4255"/>
      <c r="DN3" s="4092"/>
      <c r="DO3" s="4093"/>
      <c r="DP3" s="4093"/>
      <c r="DQ3" s="4093"/>
      <c r="DR3" s="4094"/>
    </row>
    <row r="4" spans="1:122" ht="41.4" thickBot="1" x14ac:dyDescent="0.3">
      <c r="A4" s="1486"/>
      <c r="B4" s="1487" t="s">
        <v>11</v>
      </c>
      <c r="C4" s="1972" t="s">
        <v>968</v>
      </c>
      <c r="D4" s="1487" t="s">
        <v>18</v>
      </c>
      <c r="E4" s="1487" t="s">
        <v>39</v>
      </c>
      <c r="F4" s="1978" t="s">
        <v>40</v>
      </c>
      <c r="G4" s="1489" t="s">
        <v>19</v>
      </c>
      <c r="H4" s="1487"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55</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968</v>
      </c>
      <c r="AW4" s="1972" t="s">
        <v>18</v>
      </c>
      <c r="AX4" s="1489" t="s">
        <v>39</v>
      </c>
      <c r="AY4" s="1978" t="s">
        <v>40</v>
      </c>
      <c r="AZ4" s="1972"/>
      <c r="BA4" s="1972" t="s">
        <v>55</v>
      </c>
      <c r="BB4" s="1972" t="s">
        <v>18</v>
      </c>
      <c r="BC4" s="1489" t="s">
        <v>39</v>
      </c>
      <c r="BD4" s="1978" t="s">
        <v>40</v>
      </c>
      <c r="BE4" s="1972"/>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O4" s="1972" t="s">
        <v>55</v>
      </c>
      <c r="CP4" s="1972" t="s">
        <v>18</v>
      </c>
      <c r="CQ4" s="1489" t="s">
        <v>39</v>
      </c>
      <c r="CR4" s="1978" t="s">
        <v>40</v>
      </c>
      <c r="CS4" s="1489" t="s">
        <v>19</v>
      </c>
      <c r="CT4" s="1972" t="s">
        <v>55</v>
      </c>
      <c r="CU4" s="1972" t="s">
        <v>18</v>
      </c>
      <c r="CV4" s="1489" t="s">
        <v>39</v>
      </c>
      <c r="CW4" s="1978" t="s">
        <v>40</v>
      </c>
      <c r="CX4" s="1489" t="s">
        <v>19</v>
      </c>
      <c r="CY4" s="1972" t="s">
        <v>55</v>
      </c>
      <c r="CZ4" s="1972" t="s">
        <v>18</v>
      </c>
      <c r="DA4" s="1489" t="s">
        <v>39</v>
      </c>
      <c r="DB4" s="1978" t="s">
        <v>40</v>
      </c>
      <c r="DC4" s="1489" t="s">
        <v>19</v>
      </c>
      <c r="DD4" s="1972" t="s">
        <v>55</v>
      </c>
      <c r="DE4" s="1972" t="s">
        <v>18</v>
      </c>
      <c r="DF4" s="1489" t="s">
        <v>39</v>
      </c>
      <c r="DG4" s="1978" t="s">
        <v>40</v>
      </c>
      <c r="DH4" s="1489" t="s">
        <v>19</v>
      </c>
      <c r="DI4" s="1972" t="s">
        <v>55</v>
      </c>
      <c r="DJ4" s="1972" t="s">
        <v>18</v>
      </c>
      <c r="DK4" s="1489" t="s">
        <v>39</v>
      </c>
      <c r="DL4" s="1978" t="s">
        <v>40</v>
      </c>
      <c r="DM4" s="1489" t="s">
        <v>19</v>
      </c>
      <c r="DN4" s="1972" t="s">
        <v>55</v>
      </c>
      <c r="DO4" s="1972" t="s">
        <v>18</v>
      </c>
      <c r="DP4" s="1489" t="s">
        <v>39</v>
      </c>
      <c r="DQ4" s="1978" t="s">
        <v>40</v>
      </c>
      <c r="DR4" s="1489" t="s">
        <v>19</v>
      </c>
    </row>
    <row r="5" spans="1:122" s="2483" customFormat="1" ht="14.4" thickBot="1" x14ac:dyDescent="0.3">
      <c r="A5" s="1477"/>
      <c r="B5" s="1478" t="s">
        <v>10</v>
      </c>
      <c r="C5" s="1971">
        <v>12582979.010000002</v>
      </c>
      <c r="D5" s="1481">
        <v>0</v>
      </c>
      <c r="E5" s="1481">
        <v>12582979.010000002</v>
      </c>
      <c r="F5" s="970"/>
      <c r="G5" s="975"/>
      <c r="H5" s="1481">
        <f>H6+H7</f>
        <v>1520012.99</v>
      </c>
      <c r="I5" s="1481">
        <f>I6+I7</f>
        <v>0</v>
      </c>
      <c r="J5" s="1481">
        <f>J6+J7</f>
        <v>1520012.99</v>
      </c>
      <c r="K5" s="1481"/>
      <c r="L5" s="1481"/>
      <c r="M5" s="1481">
        <f>M6+M7</f>
        <v>1065006.96</v>
      </c>
      <c r="N5" s="1481">
        <f>N6+N7</f>
        <v>0</v>
      </c>
      <c r="O5" s="1481">
        <f>O6+O7</f>
        <v>1065006.96</v>
      </c>
      <c r="P5" s="1481"/>
      <c r="Q5" s="1481"/>
      <c r="R5" s="1481">
        <f>R6</f>
        <v>608000</v>
      </c>
      <c r="S5" s="1481">
        <f>S6</f>
        <v>0</v>
      </c>
      <c r="T5" s="1481">
        <f>T6</f>
        <v>608000</v>
      </c>
      <c r="U5" s="1481"/>
      <c r="V5" s="1481"/>
      <c r="W5" s="1481">
        <f>W6+W7</f>
        <v>805454</v>
      </c>
      <c r="X5" s="1481"/>
      <c r="Y5" s="1481">
        <f>Y6+Y7</f>
        <v>805454</v>
      </c>
      <c r="Z5" s="1481"/>
      <c r="AA5" s="1481"/>
      <c r="AB5" s="1481">
        <f>AB6+AB7</f>
        <v>479260.29000000004</v>
      </c>
      <c r="AC5" s="1481">
        <f>AC6+AC7</f>
        <v>0</v>
      </c>
      <c r="AD5" s="1481">
        <f>AD6+AD7</f>
        <v>479260.29000000004</v>
      </c>
      <c r="AE5" s="1481"/>
      <c r="AF5" s="1481"/>
      <c r="AG5" s="1481">
        <f>AG6+AG7</f>
        <v>1060099.1400000001</v>
      </c>
      <c r="AH5" s="1481">
        <f>AH6+AH7</f>
        <v>0</v>
      </c>
      <c r="AI5" s="1481">
        <f>AI6+AI7</f>
        <v>1060099.1400000001</v>
      </c>
      <c r="AJ5" s="1481"/>
      <c r="AK5" s="1481"/>
      <c r="AL5" s="1481">
        <f>AL6+AL7</f>
        <v>968450</v>
      </c>
      <c r="AM5" s="1481">
        <f>AM6+AM7</f>
        <v>0</v>
      </c>
      <c r="AN5" s="1481">
        <f>AN6+AN7</f>
        <v>968450</v>
      </c>
      <c r="AO5" s="1481"/>
      <c r="AP5" s="1481"/>
      <c r="AQ5" s="1481">
        <f>AQ6+AQ7</f>
        <v>1266030.6399999999</v>
      </c>
      <c r="AR5" s="1481">
        <f>AR6+AR7</f>
        <v>0</v>
      </c>
      <c r="AS5" s="1481">
        <f>AS6+AS7</f>
        <v>1266030.6399999999</v>
      </c>
      <c r="AT5" s="1481"/>
      <c r="AU5" s="1481"/>
      <c r="AV5" s="1481">
        <v>9109029.2000000011</v>
      </c>
      <c r="AW5" s="1481">
        <v>0</v>
      </c>
      <c r="AX5" s="1481">
        <v>9109029.2000000011</v>
      </c>
      <c r="AY5" s="1481"/>
      <c r="AZ5" s="1481"/>
      <c r="BA5" s="1481">
        <f>BA6+BA7</f>
        <v>2083510.3599999999</v>
      </c>
      <c r="BB5" s="1481">
        <f>BB6+BB7</f>
        <v>0</v>
      </c>
      <c r="BC5" s="1481">
        <f>BC6+BC7</f>
        <v>2083510.3599999999</v>
      </c>
      <c r="BD5" s="1481"/>
      <c r="BE5" s="1481"/>
      <c r="BF5" s="3743">
        <f>BF6+BF7</f>
        <v>645264.28</v>
      </c>
      <c r="BG5" s="3743">
        <f>BG6+BG7</f>
        <v>0</v>
      </c>
      <c r="BH5" s="3743">
        <f>BH6+BH7</f>
        <v>645264.28</v>
      </c>
      <c r="BI5" s="1481"/>
      <c r="BJ5" s="3743"/>
      <c r="BK5" s="1481">
        <f>BK6</f>
        <v>586328.88</v>
      </c>
      <c r="BL5" s="1481">
        <f>BL6</f>
        <v>0</v>
      </c>
      <c r="BM5" s="1481">
        <f>BM6+BM7</f>
        <v>586328.88</v>
      </c>
      <c r="BN5" s="1481"/>
      <c r="BO5" s="1481"/>
      <c r="BP5" s="1481">
        <f>BP6</f>
        <v>851917.2</v>
      </c>
      <c r="BQ5" s="1481">
        <f>BQ6</f>
        <v>0</v>
      </c>
      <c r="BR5" s="1481">
        <f>BR6+BR7</f>
        <v>851917.2</v>
      </c>
      <c r="BS5" s="1481"/>
      <c r="BT5" s="1481"/>
      <c r="BU5" s="1481">
        <f>BU6</f>
        <v>0</v>
      </c>
      <c r="BV5" s="1481">
        <f>BV6</f>
        <v>0</v>
      </c>
      <c r="BW5" s="1481">
        <f>BW6+BW7</f>
        <v>0</v>
      </c>
      <c r="BX5" s="1481"/>
      <c r="BY5" s="1481"/>
      <c r="BZ5" s="1481">
        <f>BZ6</f>
        <v>0</v>
      </c>
      <c r="CA5" s="1481">
        <f>CA6</f>
        <v>0</v>
      </c>
      <c r="CB5" s="1481">
        <f>CB6+CB7</f>
        <v>0</v>
      </c>
      <c r="CC5" s="1481"/>
      <c r="CD5" s="1481"/>
      <c r="CE5" s="1481">
        <f>CE6</f>
        <v>0</v>
      </c>
      <c r="CF5" s="1481">
        <f>CF6</f>
        <v>0</v>
      </c>
      <c r="CG5" s="1481">
        <f>CG6+CG7</f>
        <v>0</v>
      </c>
      <c r="CH5" s="1481"/>
      <c r="CI5" s="1481"/>
      <c r="CJ5" s="1481">
        <f>CJ6</f>
        <v>0</v>
      </c>
      <c r="CK5" s="1481">
        <f>CK6</f>
        <v>0</v>
      </c>
      <c r="CL5" s="1481">
        <f>CL6+CL7</f>
        <v>0</v>
      </c>
      <c r="CM5" s="1481"/>
      <c r="CN5" s="1481"/>
      <c r="CO5" s="1481">
        <f>CO6</f>
        <v>0</v>
      </c>
      <c r="CP5" s="1481">
        <f>CP6</f>
        <v>0</v>
      </c>
      <c r="CQ5" s="1481">
        <f>CQ6+CQ7</f>
        <v>0</v>
      </c>
      <c r="CR5" s="1481"/>
      <c r="CS5" s="1481"/>
      <c r="CT5" s="1481">
        <f>CT6</f>
        <v>0</v>
      </c>
      <c r="CU5" s="1481">
        <f>CU6</f>
        <v>0</v>
      </c>
      <c r="CV5" s="1481">
        <f>CV6+CV7</f>
        <v>0</v>
      </c>
      <c r="CW5" s="1481"/>
      <c r="CX5" s="1481"/>
      <c r="CY5" s="1481">
        <f>CY6</f>
        <v>0</v>
      </c>
      <c r="CZ5" s="1481">
        <f>CZ6</f>
        <v>0</v>
      </c>
      <c r="DA5" s="1481">
        <f>DA6+DA7</f>
        <v>0</v>
      </c>
      <c r="DB5" s="1481"/>
      <c r="DC5" s="1481"/>
      <c r="DD5" s="1481">
        <f>DD6</f>
        <v>0</v>
      </c>
      <c r="DE5" s="1481">
        <f>DE6</f>
        <v>0</v>
      </c>
      <c r="DF5" s="1481">
        <f>DF6+DF7</f>
        <v>0</v>
      </c>
      <c r="DG5" s="1481"/>
      <c r="DH5" s="1481"/>
      <c r="DI5" s="1481">
        <f>DI6+DI7</f>
        <v>0</v>
      </c>
      <c r="DJ5" s="1481">
        <f>DJ6</f>
        <v>0</v>
      </c>
      <c r="DK5" s="1481">
        <f>DK6+DK7</f>
        <v>0</v>
      </c>
      <c r="DL5" s="1481"/>
      <c r="DM5" s="1481"/>
      <c r="DN5" s="1481">
        <f>DN6+DN7</f>
        <v>16379833.630000001</v>
      </c>
      <c r="DO5" s="1481">
        <f>DO6+DO7</f>
        <v>0</v>
      </c>
      <c r="DP5" s="1481">
        <f>DP6+DP7</f>
        <v>16379833.630000001</v>
      </c>
      <c r="DQ5" s="1481"/>
      <c r="DR5" s="1481"/>
    </row>
    <row r="6" spans="1:122" s="1411" customFormat="1" ht="156" customHeight="1" x14ac:dyDescent="0.25">
      <c r="A6" s="3273">
        <f>'PL_Сватово очередь 2'!I6</f>
        <v>0</v>
      </c>
      <c r="B6" s="1418" t="s">
        <v>17</v>
      </c>
      <c r="C6" s="3288">
        <v>12481879.010000002</v>
      </c>
      <c r="D6" s="3274">
        <v>0</v>
      </c>
      <c r="E6" s="2028">
        <v>12481879.010000002</v>
      </c>
      <c r="F6" s="3284"/>
      <c r="G6" s="2492"/>
      <c r="H6" s="3274">
        <f>1126578.99-'Форд Тягач'!H6</f>
        <v>1020196.99</v>
      </c>
      <c r="I6" s="3274"/>
      <c r="J6" s="2028">
        <f>H6+I6</f>
        <v>1020196.99</v>
      </c>
      <c r="K6" s="3274"/>
      <c r="L6" s="3275"/>
      <c r="M6" s="3274">
        <f>715206.96+161100+6000+5200+20800+110500+46200</f>
        <v>1065006.96</v>
      </c>
      <c r="N6" s="3274"/>
      <c r="O6" s="2028">
        <f>M6+N6</f>
        <v>1065006.96</v>
      </c>
      <c r="P6" s="3274"/>
      <c r="Q6" s="3385" t="s">
        <v>1069</v>
      </c>
      <c r="R6" s="3274">
        <f>421800+168000+18200</f>
        <v>608000</v>
      </c>
      <c r="S6" s="3274"/>
      <c r="T6" s="2028">
        <f>R6+S6</f>
        <v>608000</v>
      </c>
      <c r="U6" s="3274"/>
      <c r="V6" s="3275" t="s">
        <v>1129</v>
      </c>
      <c r="W6" s="3274">
        <v>755454</v>
      </c>
      <c r="X6" s="3274"/>
      <c r="Y6" s="3283">
        <f>W6+X6*1</f>
        <v>755454</v>
      </c>
      <c r="Z6" s="3274"/>
      <c r="AA6" s="3275" t="s">
        <v>1178</v>
      </c>
      <c r="AB6" s="3274">
        <f>1400+201006.85+226853.44</f>
        <v>429260.29000000004</v>
      </c>
      <c r="AC6" s="3274"/>
      <c r="AD6" s="1174">
        <f>AB6+AC6</f>
        <v>429260.29000000004</v>
      </c>
      <c r="AE6" s="3274"/>
      <c r="AF6" s="3275" t="s">
        <v>1240</v>
      </c>
      <c r="AG6" s="3283">
        <f>1003362.04+3100</f>
        <v>1006462.04</v>
      </c>
      <c r="AH6" s="3283"/>
      <c r="AI6" s="3283">
        <f>AG6+AH6</f>
        <v>1006462.04</v>
      </c>
      <c r="AJ6" s="3274"/>
      <c r="AK6" s="3275" t="s">
        <v>1304</v>
      </c>
      <c r="AL6" s="3274">
        <f>841250+47500+1900+77800</f>
        <v>968450</v>
      </c>
      <c r="AM6" s="3274"/>
      <c r="AN6" s="1174">
        <f>AL6+AM6</f>
        <v>968450</v>
      </c>
      <c r="AO6" s="3274"/>
      <c r="AP6" s="3276" t="s">
        <v>1390</v>
      </c>
      <c r="AQ6" s="2076">
        <f>50000+1180030.64+25600+10400</f>
        <v>1266030.6399999999</v>
      </c>
      <c r="AR6" s="2076"/>
      <c r="AS6" s="1372">
        <f>AQ6+AR6</f>
        <v>1266030.6399999999</v>
      </c>
      <c r="AT6" s="2076"/>
      <c r="AU6" s="3434" t="s">
        <v>1517</v>
      </c>
      <c r="AV6" s="3275">
        <v>9022629.2000000011</v>
      </c>
      <c r="AW6" s="3275">
        <v>0</v>
      </c>
      <c r="AX6" s="2028">
        <v>9022629.2000000011</v>
      </c>
      <c r="AY6" s="3275"/>
      <c r="AZ6" s="3275"/>
      <c r="BA6" s="3275">
        <f>BF6+BK6+BP6+BU6+BZ6+CE6+CJ6+CO6+CT6+CY6+DD6+DI6</f>
        <v>1991975.0799999998</v>
      </c>
      <c r="BB6" s="3275">
        <f>BG6+BL6+BQ6+BV6+CA6+CF6+CK6+CP6+CU6+CZ6+DE6+DJ6</f>
        <v>0</v>
      </c>
      <c r="BC6" s="2028">
        <f>BA6+BB6</f>
        <v>1991975.0799999998</v>
      </c>
      <c r="BD6" s="3275"/>
      <c r="BE6" s="3275"/>
      <c r="BF6" s="3744">
        <f>50000+40563+123623+199800+8291+102032+29420</f>
        <v>553729</v>
      </c>
      <c r="BG6" s="3744"/>
      <c r="BH6" s="3745">
        <f>BF6+BG6</f>
        <v>553729</v>
      </c>
      <c r="BI6" s="3274"/>
      <c r="BJ6" s="3746" t="s">
        <v>2138</v>
      </c>
      <c r="BK6" s="3274">
        <f>50000+82749.16+201309.35+115200+73259.11+47612.38+16198.88</f>
        <v>586328.88</v>
      </c>
      <c r="BL6" s="3274"/>
      <c r="BM6" s="2028">
        <f>BK6+BL6</f>
        <v>586328.88</v>
      </c>
      <c r="BN6" s="3274"/>
      <c r="BO6" s="3746" t="s">
        <v>2181</v>
      </c>
      <c r="BP6" s="3274">
        <f>50000+41897.7+409484+35874.65+36280.48+212005.37+66375</f>
        <v>851917.2</v>
      </c>
      <c r="BQ6" s="3274"/>
      <c r="BR6" s="2028">
        <f>BP6+BQ6</f>
        <v>851917.2</v>
      </c>
      <c r="BS6" s="3274"/>
      <c r="BT6" s="3276" t="s">
        <v>2204</v>
      </c>
      <c r="BU6" s="3274"/>
      <c r="BV6" s="3274"/>
      <c r="BW6" s="2028">
        <f>BU6+BV6</f>
        <v>0</v>
      </c>
      <c r="BX6" s="3274"/>
      <c r="BY6" s="3276"/>
      <c r="BZ6" s="3274"/>
      <c r="CA6" s="3274"/>
      <c r="CB6" s="2028">
        <f>BZ6+CA6</f>
        <v>0</v>
      </c>
      <c r="CC6" s="3274"/>
      <c r="CD6" s="3276"/>
      <c r="CE6" s="3274"/>
      <c r="CF6" s="3274"/>
      <c r="CG6" s="2028">
        <f>CE6+CF6</f>
        <v>0</v>
      </c>
      <c r="CH6" s="3274"/>
      <c r="CI6" s="3276"/>
      <c r="CJ6" s="3274"/>
      <c r="CK6" s="3274"/>
      <c r="CL6" s="2028">
        <f>CJ6+CK6</f>
        <v>0</v>
      </c>
      <c r="CM6" s="3274"/>
      <c r="CN6" s="3276"/>
      <c r="CO6" s="3274"/>
      <c r="CP6" s="3274"/>
      <c r="CQ6" s="2028">
        <f>CO6+CP6</f>
        <v>0</v>
      </c>
      <c r="CR6" s="3274"/>
      <c r="CS6" s="3276"/>
      <c r="CT6" s="3274"/>
      <c r="CU6" s="3274"/>
      <c r="CV6" s="2028">
        <f>CT6+CU6</f>
        <v>0</v>
      </c>
      <c r="CW6" s="3274"/>
      <c r="CX6" s="3435"/>
      <c r="CY6" s="3274"/>
      <c r="CZ6" s="3274"/>
      <c r="DA6" s="2028">
        <f>CY6+CZ6</f>
        <v>0</v>
      </c>
      <c r="DB6" s="3274"/>
      <c r="DC6" s="3435"/>
      <c r="DD6" s="3274"/>
      <c r="DE6" s="3274"/>
      <c r="DF6" s="2028">
        <f>DD6+DE6</f>
        <v>0</v>
      </c>
      <c r="DG6" s="3274"/>
      <c r="DH6" s="3435"/>
      <c r="DI6" s="3274"/>
      <c r="DJ6" s="3274"/>
      <c r="DK6" s="2028">
        <f>DI6+DJ6</f>
        <v>0</v>
      </c>
      <c r="DL6" s="3274"/>
      <c r="DM6" s="3436"/>
      <c r="DN6" s="3283">
        <f>R6+W6+AB6+AG6+AL6+AQ6+BF6+BK6+BP6+BU6+BZ6+CE6+CJ6+CO6+CT6+CY6+DD6+DI6+AV6</f>
        <v>16048261.25</v>
      </c>
      <c r="DO6" s="3283">
        <f>S6+X6+AC6+AH6+AM6+AR6+BG6+BL6+BQ6+BV6+CA6+CF6+CK6+CP6+CU6+CZ6+DE6+DJ6+AW6</f>
        <v>0</v>
      </c>
      <c r="DP6" s="3283">
        <f>DN6+DO6</f>
        <v>16048261.25</v>
      </c>
      <c r="DQ6" s="3274"/>
      <c r="DR6" s="3274"/>
    </row>
    <row r="7" spans="1:122" s="1411" customFormat="1" ht="14.4" thickBot="1" x14ac:dyDescent="0.3">
      <c r="A7" s="1586"/>
      <c r="B7" s="3231" t="s">
        <v>41</v>
      </c>
      <c r="C7" s="3288">
        <v>101100</v>
      </c>
      <c r="D7" s="3274">
        <v>0</v>
      </c>
      <c r="E7" s="2028">
        <v>101100</v>
      </c>
      <c r="F7" s="3284"/>
      <c r="G7" s="976"/>
      <c r="H7" s="3274">
        <v>499816</v>
      </c>
      <c r="I7" s="3274"/>
      <c r="J7" s="2028">
        <f>H7+I7</f>
        <v>499816</v>
      </c>
      <c r="K7" s="3277"/>
      <c r="L7" s="3277" t="s">
        <v>994</v>
      </c>
      <c r="M7" s="3274"/>
      <c r="N7" s="3274"/>
      <c r="O7" s="2028">
        <f>M7+N7</f>
        <v>0</v>
      </c>
      <c r="P7" s="3277"/>
      <c r="Q7" s="3385"/>
      <c r="R7" s="3274"/>
      <c r="S7" s="3274"/>
      <c r="T7" s="2028">
        <f>R7+S7</f>
        <v>0</v>
      </c>
      <c r="U7" s="3277"/>
      <c r="V7" s="3277"/>
      <c r="W7" s="3274">
        <v>50000</v>
      </c>
      <c r="X7" s="3274"/>
      <c r="Y7" s="3283">
        <f>W7+X7*1</f>
        <v>50000</v>
      </c>
      <c r="Z7" s="3277"/>
      <c r="AA7" s="3277" t="s">
        <v>1206</v>
      </c>
      <c r="AB7" s="3274">
        <v>50000</v>
      </c>
      <c r="AC7" s="3274"/>
      <c r="AD7" s="1174">
        <f>AB7+AC7</f>
        <v>50000</v>
      </c>
      <c r="AE7" s="3277"/>
      <c r="AF7" s="3275" t="s">
        <v>1241</v>
      </c>
      <c r="AG7" s="3283">
        <f>50000+3637.1</f>
        <v>53637.1</v>
      </c>
      <c r="AH7" s="3283"/>
      <c r="AI7" s="3283">
        <f>AG7+AH7</f>
        <v>53637.1</v>
      </c>
      <c r="AJ7" s="3277"/>
      <c r="AK7" s="3277" t="s">
        <v>1305</v>
      </c>
      <c r="AL7" s="3274"/>
      <c r="AM7" s="3274"/>
      <c r="AN7" s="1174">
        <f>AL7+AM7</f>
        <v>0</v>
      </c>
      <c r="AO7" s="3277"/>
      <c r="AP7" s="3277"/>
      <c r="AQ7" s="3274"/>
      <c r="AR7" s="3274"/>
      <c r="AS7" s="2028">
        <f>AQ7+AR7</f>
        <v>0</v>
      </c>
      <c r="AT7" s="3277"/>
      <c r="AU7" s="3277"/>
      <c r="AV7" s="3275">
        <v>86400</v>
      </c>
      <c r="AW7" s="3275">
        <v>0</v>
      </c>
      <c r="AX7" s="2028">
        <v>86400</v>
      </c>
      <c r="AY7" s="3275"/>
      <c r="AZ7" s="3275"/>
      <c r="BA7" s="3275">
        <f>BF7+BK7+BP7+BU7+BZ7+CE7+CJ7+CO7+CT7+CY7+DD7+DI7</f>
        <v>91535.28</v>
      </c>
      <c r="BB7" s="3275">
        <f>BG7+BL7+BQ7+BV7+CA7+CF7+CK7+CP7+CU7+CZ7+DE7+DJ7</f>
        <v>0</v>
      </c>
      <c r="BC7" s="2028">
        <f>BA7+BB7</f>
        <v>91535.28</v>
      </c>
      <c r="BD7" s="3275"/>
      <c r="BE7" s="3275"/>
      <c r="BF7" s="3744">
        <f>2635.28+88900</f>
        <v>91535.28</v>
      </c>
      <c r="BG7" s="3744"/>
      <c r="BH7" s="3747">
        <f>BF7+BG7</f>
        <v>91535.28</v>
      </c>
      <c r="BI7" s="3277"/>
      <c r="BJ7" s="3846" t="s">
        <v>2139</v>
      </c>
      <c r="BK7" s="3274"/>
      <c r="BL7" s="3274"/>
      <c r="BM7" s="2028">
        <f>BK7+BL7</f>
        <v>0</v>
      </c>
      <c r="BN7" s="3277"/>
      <c r="BO7" s="3277"/>
      <c r="BP7" s="3274"/>
      <c r="BQ7" s="3274"/>
      <c r="BR7" s="2028">
        <f>BP7+BQ7</f>
        <v>0</v>
      </c>
      <c r="BS7" s="3277"/>
      <c r="BT7" s="3277"/>
      <c r="BU7" s="3274"/>
      <c r="BV7" s="3274"/>
      <c r="BW7" s="2028">
        <f>BU7+BV7</f>
        <v>0</v>
      </c>
      <c r="BX7" s="3277"/>
      <c r="BY7" s="3277"/>
      <c r="BZ7" s="3274"/>
      <c r="CA7" s="3274"/>
      <c r="CB7" s="2028">
        <f>BZ7+CA7</f>
        <v>0</v>
      </c>
      <c r="CC7" s="3277"/>
      <c r="CD7" s="3277"/>
      <c r="CE7" s="3274"/>
      <c r="CF7" s="3274"/>
      <c r="CG7" s="2028">
        <f>CE7+CF7</f>
        <v>0</v>
      </c>
      <c r="CH7" s="3277"/>
      <c r="CI7" s="3277"/>
      <c r="CJ7" s="3274"/>
      <c r="CK7" s="3274"/>
      <c r="CL7" s="2028">
        <f>CJ7+CK7</f>
        <v>0</v>
      </c>
      <c r="CM7" s="3277"/>
      <c r="CN7" s="3277"/>
      <c r="CO7" s="3274"/>
      <c r="CP7" s="3274"/>
      <c r="CQ7" s="2028">
        <f>CO7+CP7</f>
        <v>0</v>
      </c>
      <c r="CR7" s="3277"/>
      <c r="CS7" s="3277"/>
      <c r="CT7" s="3274"/>
      <c r="CU7" s="3274"/>
      <c r="CV7" s="2028">
        <f>CT7+CU7</f>
        <v>0</v>
      </c>
      <c r="CW7" s="3277"/>
      <c r="CX7" s="3277"/>
      <c r="CY7" s="3274"/>
      <c r="CZ7" s="3274"/>
      <c r="DA7" s="2028">
        <f>CY7+CZ7</f>
        <v>0</v>
      </c>
      <c r="DB7" s="3277"/>
      <c r="DC7" s="3277"/>
      <c r="DD7" s="3274"/>
      <c r="DE7" s="3274"/>
      <c r="DF7" s="2028">
        <f>DD7+DE7</f>
        <v>0</v>
      </c>
      <c r="DG7" s="3277"/>
      <c r="DH7" s="3277"/>
      <c r="DI7" s="3274"/>
      <c r="DJ7" s="3274"/>
      <c r="DK7" s="2028">
        <f>DI7+DJ7</f>
        <v>0</v>
      </c>
      <c r="DL7" s="3277"/>
      <c r="DM7" s="3277"/>
      <c r="DN7" s="3283">
        <f>R7+W7+AB7+AG7+AL7+AQ7+BF7+BK7+BP7+BU7+BZ7+CE7+CJ7+CO7+CT7+CY7+DD7+DI7+AV7</f>
        <v>331572.38</v>
      </c>
      <c r="DO7" s="3283">
        <f>S7+X7+AC7+AH7+AM7+AR7+BG7+BL7+BQ7+BV7+CA7+CF7+CK7+CP7+CU7+CZ7+DE7+DJ7+AW7</f>
        <v>0</v>
      </c>
      <c r="DP7" s="3283">
        <f>DN7+DO7</f>
        <v>331572.38</v>
      </c>
      <c r="DQ7" s="3277"/>
      <c r="DR7" s="3277"/>
    </row>
    <row r="8" spans="1:122" s="2483" customFormat="1" ht="14.4" thickBot="1" x14ac:dyDescent="0.3">
      <c r="A8" s="1586"/>
      <c r="B8" s="1478" t="s">
        <v>16</v>
      </c>
      <c r="C8" s="1973">
        <v>7452582.648</v>
      </c>
      <c r="D8" s="1973">
        <v>2432713.88</v>
      </c>
      <c r="E8" s="1499">
        <v>9885296.527999999</v>
      </c>
      <c r="F8" s="1543">
        <v>0.96155335415871557</v>
      </c>
      <c r="G8" s="977"/>
      <c r="H8" s="974">
        <f>SUM(H9:H33)</f>
        <v>453742.36</v>
      </c>
      <c r="I8" s="1973">
        <f>SUM(I9:I33)</f>
        <v>379006.71999999997</v>
      </c>
      <c r="J8" s="1499">
        <f>SUM(J9:J33)</f>
        <v>832749.08000000007</v>
      </c>
      <c r="K8" s="1543">
        <f t="shared" ref="K8:K33" si="0">J8/$J$89</f>
        <v>0.92885265654605864</v>
      </c>
      <c r="L8" s="1481"/>
      <c r="M8" s="1973">
        <f>SUM(M9:M33)</f>
        <v>991262.31</v>
      </c>
      <c r="N8" s="1973">
        <f>SUM(N9:N33)</f>
        <v>354048.31</v>
      </c>
      <c r="O8" s="1499">
        <f>SUM(O9:O33)</f>
        <v>1345310.6199999999</v>
      </c>
      <c r="P8" s="1543">
        <f>O8/$O$89</f>
        <v>0.9530895231393226</v>
      </c>
      <c r="Q8" s="1481"/>
      <c r="R8" s="1973">
        <f>SUM(R9:R33)</f>
        <v>240740.766</v>
      </c>
      <c r="S8" s="1973">
        <f>SUM(S9:S33)</f>
        <v>92239.58</v>
      </c>
      <c r="T8" s="1499">
        <f>SUM(T9:T33)</f>
        <v>332980.34600000002</v>
      </c>
      <c r="U8" s="1543">
        <f t="shared" ref="U8:U33" si="1">T8/$T$89</f>
        <v>0.95890812363660849</v>
      </c>
      <c r="V8" s="1481"/>
      <c r="W8" s="1973">
        <f>SUM(W9:W33)</f>
        <v>303914.34000000003</v>
      </c>
      <c r="X8" s="1973">
        <f>SUM(X9:X33)</f>
        <v>167282.69</v>
      </c>
      <c r="Y8" s="1499">
        <f>SUM(Y9:Y33)</f>
        <v>471197.03</v>
      </c>
      <c r="Z8" s="1543">
        <f>Y8/$T$89</f>
        <v>1.3569409285809402</v>
      </c>
      <c r="AA8" s="1481"/>
      <c r="AB8" s="1973">
        <f>SUM(AB9:AB33)</f>
        <v>231382.416</v>
      </c>
      <c r="AC8" s="1973">
        <f>SUM(AC9:AC33)</f>
        <v>121815.93</v>
      </c>
      <c r="AD8" s="1499">
        <f>SUM(AD9:AD33)</f>
        <v>353198.34600000002</v>
      </c>
      <c r="AE8" s="1543">
        <f>AD8/$T$89</f>
        <v>1.0171313931976442</v>
      </c>
      <c r="AF8" s="1481"/>
      <c r="AG8" s="1973">
        <f>SUM(AG9:AG33)</f>
        <v>152331.56</v>
      </c>
      <c r="AH8" s="1973">
        <f>SUM(AH9:AH33)</f>
        <v>197977</v>
      </c>
      <c r="AI8" s="1499">
        <f>SUM(AI9:AI33)</f>
        <v>350308.56</v>
      </c>
      <c r="AJ8" s="1543">
        <f>AI8/$T$89</f>
        <v>1.0088094627766477</v>
      </c>
      <c r="AK8" s="1481"/>
      <c r="AL8" s="1973">
        <f>SUM(AL9:AL33)</f>
        <v>340616.39</v>
      </c>
      <c r="AM8" s="1973">
        <f>SUM(AM9:AM33)</f>
        <v>169548.95</v>
      </c>
      <c r="AN8" s="1499">
        <f>SUM(AN9:AN33)</f>
        <v>510165.34</v>
      </c>
      <c r="AO8" s="1543">
        <f>AN8/$T$89</f>
        <v>1.4691608522859558</v>
      </c>
      <c r="AP8" s="1481"/>
      <c r="AQ8" s="1973">
        <f>SUM(AQ9:AQ33)</f>
        <v>780285.0149999999</v>
      </c>
      <c r="AR8" s="1973">
        <f>SUM(AR9:AR33)</f>
        <v>161511.5</v>
      </c>
      <c r="AS8" s="1499">
        <f>SUM(AS9:AS33)</f>
        <v>941796.5149999999</v>
      </c>
      <c r="AT8" s="1543">
        <f>AS8/$T$89</f>
        <v>2.7121610626416577</v>
      </c>
      <c r="AU8" s="1481"/>
      <c r="AV8" s="1973">
        <v>4070727.6480000005</v>
      </c>
      <c r="AW8" s="1973">
        <v>2541533.04275</v>
      </c>
      <c r="AX8" s="1499">
        <v>6612260.6907500001</v>
      </c>
      <c r="AY8" s="1543">
        <v>17.685930002535795</v>
      </c>
      <c r="AZ8" s="1982"/>
      <c r="BA8" s="1973">
        <f>SUM(BA9:BA33)</f>
        <v>1305629.0759999999</v>
      </c>
      <c r="BB8" s="1973">
        <f>SUM(BB9:BB33)</f>
        <v>850798.67</v>
      </c>
      <c r="BC8" s="1499">
        <f>SUM(BC9:BC33)</f>
        <v>2156427.7459999998</v>
      </c>
      <c r="BD8" s="1543">
        <f>BC8/$AD$89</f>
        <v>5.7678352313958987</v>
      </c>
      <c r="BE8" s="1982"/>
      <c r="BF8" s="3748">
        <f>SUM(BF9:BF33)</f>
        <v>94718.51999999999</v>
      </c>
      <c r="BG8" s="3748">
        <f>SUM(BG9:BG33)</f>
        <v>223900</v>
      </c>
      <c r="BH8" s="3749">
        <f>SUM(BH9:BH33)</f>
        <v>318618.51999999996</v>
      </c>
      <c r="BI8" s="1543">
        <f>BH8/$T$89</f>
        <v>0.91754931136107709</v>
      </c>
      <c r="BJ8" s="3743"/>
      <c r="BK8" s="1973">
        <f>SUM(BK9:BK33)</f>
        <v>454142.11199999996</v>
      </c>
      <c r="BL8" s="1973">
        <f>SUM(BL9:BL33)</f>
        <v>268688.67</v>
      </c>
      <c r="BM8" s="1499">
        <f>SUM(BM9:BM33)</f>
        <v>722830.78200000012</v>
      </c>
      <c r="BN8" s="1543">
        <f>BM8/$E$89</f>
        <v>7.0310522395820182E-2</v>
      </c>
      <c r="BO8" s="1481"/>
      <c r="BP8" s="1973">
        <f>SUM(BP9:BP33)</f>
        <v>756768.44400000002</v>
      </c>
      <c r="BQ8" s="1973">
        <f>SUM(BQ9:BQ33)</f>
        <v>358210</v>
      </c>
      <c r="BR8" s="1499">
        <f>SUM(BR9:BR33)</f>
        <v>1114978.4440000001</v>
      </c>
      <c r="BS8" s="1543">
        <f>BR8/$AD$89</f>
        <v>2.9822524605701215</v>
      </c>
      <c r="BT8" s="1481"/>
      <c r="BU8" s="1973">
        <f>SUM(BU9:BU33)</f>
        <v>0</v>
      </c>
      <c r="BV8" s="1973">
        <f>SUM(BV9:BV33)</f>
        <v>0</v>
      </c>
      <c r="BW8" s="1499">
        <f>SUM(BW9:BW33)</f>
        <v>0</v>
      </c>
      <c r="BX8" s="1543">
        <f>BW8/$AD$89</f>
        <v>0</v>
      </c>
      <c r="BY8" s="1481"/>
      <c r="BZ8" s="1973">
        <f>SUM(BZ9:BZ33)</f>
        <v>0</v>
      </c>
      <c r="CA8" s="1973">
        <f>SUM(CA9:CA33)</f>
        <v>0</v>
      </c>
      <c r="CB8" s="1499">
        <f>SUM(CB9:CB33)</f>
        <v>0</v>
      </c>
      <c r="CC8" s="1543">
        <f>CB8/$AD$89</f>
        <v>0</v>
      </c>
      <c r="CD8" s="1481"/>
      <c r="CE8" s="1973">
        <f>SUM(CE9:CE33)</f>
        <v>0</v>
      </c>
      <c r="CF8" s="1973">
        <f>SUM(CF9:CF33)</f>
        <v>0</v>
      </c>
      <c r="CG8" s="1499">
        <f>SUM(CG9:CG33)</f>
        <v>0</v>
      </c>
      <c r="CH8" s="1543">
        <f>CG8/$AD$89</f>
        <v>0</v>
      </c>
      <c r="CI8" s="1481"/>
      <c r="CJ8" s="1973">
        <f>SUM(CJ9:CJ33)</f>
        <v>0</v>
      </c>
      <c r="CK8" s="1973">
        <f>SUM(CK9:CK33)</f>
        <v>0</v>
      </c>
      <c r="CL8" s="1499">
        <f>SUM(CL9:CL33)</f>
        <v>0</v>
      </c>
      <c r="CM8" s="1543">
        <f>CL8/$AD$89</f>
        <v>0</v>
      </c>
      <c r="CN8" s="1481"/>
      <c r="CO8" s="1973">
        <f>SUM(CO9:CO33)</f>
        <v>0</v>
      </c>
      <c r="CP8" s="1973">
        <f>SUM(CP9:CP33)</f>
        <v>0</v>
      </c>
      <c r="CQ8" s="1499">
        <f>SUM(CQ9:CQ33)</f>
        <v>0</v>
      </c>
      <c r="CR8" s="1543">
        <f>CQ8/$AD$89</f>
        <v>0</v>
      </c>
      <c r="CS8" s="1481"/>
      <c r="CT8" s="1973">
        <f>SUM(CT9:CT33)</f>
        <v>0</v>
      </c>
      <c r="CU8" s="1973">
        <f>SUM(CU9:CU33)</f>
        <v>0</v>
      </c>
      <c r="CV8" s="1499">
        <f>SUM(CV9:CV33)</f>
        <v>0</v>
      </c>
      <c r="CW8" s="1543">
        <f>CV8/$AD$89</f>
        <v>0</v>
      </c>
      <c r="CX8" s="1481"/>
      <c r="CY8" s="1973">
        <f>SUM(CY9:CY33)</f>
        <v>0</v>
      </c>
      <c r="CZ8" s="1973">
        <f>SUM(CZ9:CZ33)</f>
        <v>0</v>
      </c>
      <c r="DA8" s="1499">
        <f>SUM(DA9:DA33)</f>
        <v>0</v>
      </c>
      <c r="DB8" s="1543">
        <f>DA8/$AD$89</f>
        <v>0</v>
      </c>
      <c r="DC8" s="1481"/>
      <c r="DD8" s="1973">
        <f>SUM(DD9:DD33)</f>
        <v>0</v>
      </c>
      <c r="DE8" s="1973">
        <f>SUM(DE9:DE33)</f>
        <v>0</v>
      </c>
      <c r="DF8" s="1499">
        <f>SUM(DF9:DF33)</f>
        <v>0</v>
      </c>
      <c r="DG8" s="1543">
        <f>DF8/$AD$89</f>
        <v>0</v>
      </c>
      <c r="DH8" s="1481"/>
      <c r="DI8" s="1973">
        <f>SUM(DI9:DI33)</f>
        <v>0</v>
      </c>
      <c r="DJ8" s="1973">
        <f>SUM(DJ9:DJ33)</f>
        <v>0</v>
      </c>
      <c r="DK8" s="1499">
        <f>SUM(DK9:DK33)</f>
        <v>0</v>
      </c>
      <c r="DL8" s="1543">
        <f>DK8/$AD$89</f>
        <v>0</v>
      </c>
      <c r="DM8" s="1481"/>
      <c r="DN8" s="974">
        <f>SUM(DN9:DN33)</f>
        <v>7425627.2110000011</v>
      </c>
      <c r="DO8" s="1973">
        <f>SUM(DO9:DO33)</f>
        <v>4302707.3627499994</v>
      </c>
      <c r="DP8" s="1499">
        <f>SUM(DP9:DP33)</f>
        <v>11728334.57375</v>
      </c>
      <c r="DQ8" s="1543">
        <f>DP8/$DP$89</f>
        <v>0.87664230394718246</v>
      </c>
      <c r="DR8" s="1481"/>
    </row>
    <row r="9" spans="1:122" s="1411" customFormat="1" ht="55.2" x14ac:dyDescent="0.25">
      <c r="A9" s="1586"/>
      <c r="B9" s="1415" t="s">
        <v>74</v>
      </c>
      <c r="C9" s="3279">
        <v>928708.48999999987</v>
      </c>
      <c r="D9" s="3280">
        <v>2128832.88</v>
      </c>
      <c r="E9" s="3281">
        <v>3057541.3699999996</v>
      </c>
      <c r="F9" s="1574">
        <v>0.297410315560595</v>
      </c>
      <c r="G9" s="971"/>
      <c r="H9" s="3280">
        <v>91745.44</v>
      </c>
      <c r="I9" s="3280">
        <f>148478.19+171091.53</f>
        <v>319569.71999999997</v>
      </c>
      <c r="J9" s="3281">
        <f>H9+I9*1</f>
        <v>411315.16</v>
      </c>
      <c r="K9" s="1574">
        <f t="shared" si="0"/>
        <v>0.45878306949755754</v>
      </c>
      <c r="L9" s="1595"/>
      <c r="M9" s="3280">
        <f>346950+117367-'Форд Тягач'!M9</f>
        <v>418253.41000000003</v>
      </c>
      <c r="N9" s="3280">
        <f>174646.83+21400+19000+19500+5600+1200+28091.48</f>
        <v>269438.31</v>
      </c>
      <c r="O9" s="3281">
        <f>M9+N9*1</f>
        <v>687691.72</v>
      </c>
      <c r="P9" s="1574">
        <f t="shared" ref="P9:P33" si="2">O9/$O$89</f>
        <v>0.48719735333811653</v>
      </c>
      <c r="Q9" s="3282" t="s">
        <v>1015</v>
      </c>
      <c r="R9" s="3280">
        <v>7390</v>
      </c>
      <c r="S9" s="3280">
        <f>35688+48434.58</f>
        <v>84122.58</v>
      </c>
      <c r="T9" s="3281">
        <f>R9+S9*1</f>
        <v>91512.58</v>
      </c>
      <c r="U9" s="1574">
        <f>T9/$T$89</f>
        <v>0.2635355432567934</v>
      </c>
      <c r="V9" s="3282" t="s">
        <v>1127</v>
      </c>
      <c r="W9" s="3280">
        <v>64786.21</v>
      </c>
      <c r="X9" s="3280">
        <f>65879+66657.51</f>
        <v>132536.51</v>
      </c>
      <c r="Y9" s="3281">
        <f>W9+X9*1</f>
        <v>197322.72</v>
      </c>
      <c r="Z9" s="1574">
        <f>Y9/$T$89</f>
        <v>0.56824482723695613</v>
      </c>
      <c r="AA9" s="3282" t="s">
        <v>1179</v>
      </c>
      <c r="AB9" s="3280">
        <v>30881.57</v>
      </c>
      <c r="AC9" s="3280">
        <f>54646+55905</f>
        <v>110551</v>
      </c>
      <c r="AD9" s="3281">
        <f>AB9+AC9*1</f>
        <v>141432.57</v>
      </c>
      <c r="AE9" s="1574">
        <f>AD9/$T$89</f>
        <v>0.40729382964784139</v>
      </c>
      <c r="AF9" s="3282" t="s">
        <v>1242</v>
      </c>
      <c r="AG9" s="3280">
        <v>116714.47</v>
      </c>
      <c r="AH9" s="3280">
        <f>76649+97216</f>
        <v>173865</v>
      </c>
      <c r="AI9" s="3281">
        <f>AG9+AH9*1</f>
        <v>290579.46999999997</v>
      </c>
      <c r="AJ9" s="1574">
        <f>AI9/$T$89</f>
        <v>0.83680318581031243</v>
      </c>
      <c r="AK9" s="3422" t="s">
        <v>1309</v>
      </c>
      <c r="AL9" s="3280">
        <v>72553.91</v>
      </c>
      <c r="AM9" s="3283">
        <v>161973</v>
      </c>
      <c r="AN9" s="3437">
        <f>AL9+AM9*1</f>
        <v>234526.91</v>
      </c>
      <c r="AO9" s="1574">
        <f>AN9/$T$89</f>
        <v>0.67538448413526408</v>
      </c>
      <c r="AP9" s="3438" t="s">
        <v>1391</v>
      </c>
      <c r="AQ9" s="3280">
        <v>91630.969999999987</v>
      </c>
      <c r="AR9" s="3280">
        <v>99438.99</v>
      </c>
      <c r="AS9" s="3281">
        <f>AQ9+AR9*1</f>
        <v>191069.96</v>
      </c>
      <c r="AT9" s="1574">
        <f>AS9/$T$89</f>
        <v>0.55023829192285667</v>
      </c>
      <c r="AU9" s="3438" t="s">
        <v>1500</v>
      </c>
      <c r="AV9" s="3275">
        <v>292991.28000000003</v>
      </c>
      <c r="AW9" s="3275">
        <v>2454988.5927499998</v>
      </c>
      <c r="AX9" s="3281">
        <v>2747979.8727500001</v>
      </c>
      <c r="AY9" s="1574">
        <v>7.3500701123024186</v>
      </c>
      <c r="AZ9" s="3275"/>
      <c r="BA9" s="3275">
        <f t="shared" ref="BA9:BB33" si="3">BF9+BK9+BP9+BU9+BZ9+CE9+CJ9+CO9+CT9+CY9+DD9+DI9</f>
        <v>23720.799999999999</v>
      </c>
      <c r="BB9" s="3275">
        <f t="shared" si="3"/>
        <v>843710</v>
      </c>
      <c r="BC9" s="3281">
        <f>BA9+BB9*1</f>
        <v>867430.8</v>
      </c>
      <c r="BD9" s="1574">
        <f t="shared" ref="BD9:BD33" si="4">BC9/$AD$89</f>
        <v>2.3201324219271711</v>
      </c>
      <c r="BE9" s="3275"/>
      <c r="BF9" s="3750">
        <f>10561.96</f>
        <v>10561.96</v>
      </c>
      <c r="BG9" s="3750">
        <v>223900</v>
      </c>
      <c r="BH9" s="3751">
        <f>BF9+BG9*1</f>
        <v>234461.96</v>
      </c>
      <c r="BI9" s="1574">
        <f>BH9/$T$89</f>
        <v>0.67519744281772576</v>
      </c>
      <c r="BJ9" s="3752" t="s">
        <v>2140</v>
      </c>
      <c r="BK9" s="3282">
        <v>13158.84</v>
      </c>
      <c r="BL9" s="3274">
        <v>262500</v>
      </c>
      <c r="BM9" s="3283">
        <f>BK9+BL9*1</f>
        <v>275658.84000000003</v>
      </c>
      <c r="BN9" s="3284">
        <f t="shared" ref="BN9:BN33" si="5">BM9/$E$89</f>
        <v>2.6813629864791522E-2</v>
      </c>
      <c r="BO9" s="3746" t="s">
        <v>2182</v>
      </c>
      <c r="BP9" s="3283"/>
      <c r="BQ9" s="3283">
        <v>357310</v>
      </c>
      <c r="BR9" s="3283">
        <f>BP9+BQ9*1</f>
        <v>357310</v>
      </c>
      <c r="BS9" s="3284">
        <f>BR9/$AD$89</f>
        <v>0.95570334334312024</v>
      </c>
      <c r="BT9" s="3287" t="s">
        <v>2205</v>
      </c>
      <c r="BU9" s="3285"/>
      <c r="BV9" s="3285"/>
      <c r="BW9" s="3286">
        <f>BU9+BV9*1</f>
        <v>0</v>
      </c>
      <c r="BX9" s="3284">
        <f t="shared" ref="BX9:BX33" si="6">BW9/$AD$89</f>
        <v>0</v>
      </c>
      <c r="BY9" s="3276"/>
      <c r="BZ9" s="3285"/>
      <c r="CA9" s="3285"/>
      <c r="CB9" s="3286">
        <f>BZ9+CA9*1</f>
        <v>0</v>
      </c>
      <c r="CC9" s="3284">
        <f t="shared" ref="CC9:CC33" si="7">CB9/$AD$89</f>
        <v>0</v>
      </c>
      <c r="CD9" s="3287"/>
      <c r="CE9" s="3285"/>
      <c r="CF9" s="3285"/>
      <c r="CG9" s="3286">
        <f>CE9+CF9*1</f>
        <v>0</v>
      </c>
      <c r="CH9" s="3284">
        <f t="shared" ref="CH9:CH33" si="8">CG9/$AD$89</f>
        <v>0</v>
      </c>
      <c r="CI9" s="3287"/>
      <c r="CJ9" s="3285"/>
      <c r="CK9" s="3285"/>
      <c r="CL9" s="3286">
        <f>CJ9+CK9*1</f>
        <v>0</v>
      </c>
      <c r="CM9" s="3284">
        <f t="shared" ref="CM9:CM33" si="9">CL9/$AD$89</f>
        <v>0</v>
      </c>
      <c r="CN9" s="3287"/>
      <c r="CO9" s="3285"/>
      <c r="CP9" s="3285"/>
      <c r="CQ9" s="3286">
        <f>CO9+CP9*1</f>
        <v>0</v>
      </c>
      <c r="CR9" s="3284">
        <f t="shared" ref="CR9:CR33" si="10">CQ9/$AD$89</f>
        <v>0</v>
      </c>
      <c r="CS9" s="3287"/>
      <c r="CT9" s="3285"/>
      <c r="CU9" s="3285"/>
      <c r="CV9" s="3286">
        <f>CT9+CU9*1</f>
        <v>0</v>
      </c>
      <c r="CW9" s="3284">
        <f t="shared" ref="CW9:CW33" si="11">CV9/$AD$89</f>
        <v>0</v>
      </c>
      <c r="CX9" s="3287"/>
      <c r="CY9" s="3285"/>
      <c r="CZ9" s="3285"/>
      <c r="DA9" s="3286">
        <f>CY9+CZ9*1</f>
        <v>0</v>
      </c>
      <c r="DB9" s="3284">
        <f t="shared" ref="DB9:DB33" si="12">DA9/$AD$89</f>
        <v>0</v>
      </c>
      <c r="DC9" s="3287"/>
      <c r="DD9" s="3285"/>
      <c r="DE9" s="3285"/>
      <c r="DF9" s="3286">
        <f>DD9+DE9*1</f>
        <v>0</v>
      </c>
      <c r="DG9" s="3284">
        <f t="shared" ref="DG9:DG33" si="13">DF9/$AD$89</f>
        <v>0</v>
      </c>
      <c r="DH9" s="3287"/>
      <c r="DI9" s="3285"/>
      <c r="DJ9" s="3285"/>
      <c r="DK9" s="3286">
        <f>DI9+DJ9*1</f>
        <v>0</v>
      </c>
      <c r="DL9" s="3284">
        <f t="shared" ref="DL9:DL33" si="14">DK9/$AD$89</f>
        <v>0</v>
      </c>
      <c r="DM9" s="3287"/>
      <c r="DN9" s="3283">
        <f>R9+W9+AB9+AG9+AL9+AQ9+BF9+BK9+BP9+BU9+BZ9+CE9+CJ9+CO9+CT9+CY9+DD9+DI9+AV9</f>
        <v>700669.21000000008</v>
      </c>
      <c r="DO9" s="3283">
        <f>S9+X9+AC9+AH9+AM9+AR9+BG9+BL9+BQ9+BV9+CA9+CF9+CK9+CP9+CU9+CZ9+DE9+DJ9+AW9</f>
        <v>4061185.6727499999</v>
      </c>
      <c r="DP9" s="3281">
        <f>DN9+DO9*1</f>
        <v>4761854.8827499999</v>
      </c>
      <c r="DQ9" s="1574">
        <f t="shared" ref="DQ9:DQ33" si="15">DP9/$DP$89</f>
        <v>0.35592806542364608</v>
      </c>
      <c r="DR9" s="1595"/>
    </row>
    <row r="10" spans="1:122" s="1411" customFormat="1" ht="13.8" x14ac:dyDescent="0.25">
      <c r="A10" s="1586"/>
      <c r="B10" s="1061" t="s">
        <v>72</v>
      </c>
      <c r="C10" s="3288">
        <v>389487.32</v>
      </c>
      <c r="D10" s="3274">
        <v>0</v>
      </c>
      <c r="E10" s="3283">
        <v>389487.32</v>
      </c>
      <c r="F10" s="3284">
        <v>3.7885847722168506E-2</v>
      </c>
      <c r="G10" s="2492"/>
      <c r="H10" s="3274">
        <v>40293.65</v>
      </c>
      <c r="I10" s="3274"/>
      <c r="J10" s="3283">
        <f t="shared" ref="J10:J33" si="16">H10+I10*1</f>
        <v>40293.65</v>
      </c>
      <c r="K10" s="3284">
        <f t="shared" si="0"/>
        <v>4.4943746854018855E-2</v>
      </c>
      <c r="L10" s="1449"/>
      <c r="M10" s="3274">
        <f>46518+32073-'Форд Тягач'!M10</f>
        <v>70436.38</v>
      </c>
      <c r="N10" s="3274"/>
      <c r="O10" s="3283">
        <f t="shared" ref="O10:O21" si="17">M10+N10*1</f>
        <v>70436.38</v>
      </c>
      <c r="P10" s="3284">
        <f t="shared" si="2"/>
        <v>4.9900874064206922E-2</v>
      </c>
      <c r="Q10" s="1449"/>
      <c r="R10" s="3274">
        <v>1790</v>
      </c>
      <c r="S10" s="3274"/>
      <c r="T10" s="3283">
        <f t="shared" ref="T10:T21" si="18">R10+S10*1</f>
        <v>1790</v>
      </c>
      <c r="U10" s="3284">
        <f t="shared" si="1"/>
        <v>5.1547953563287159E-3</v>
      </c>
      <c r="V10" s="1449"/>
      <c r="W10" s="3274">
        <v>15693.6</v>
      </c>
      <c r="X10" s="3274"/>
      <c r="Y10" s="3283">
        <f t="shared" ref="Y10:Y21" si="19">W10+X10*1</f>
        <v>15693.6</v>
      </c>
      <c r="Z10" s="3284">
        <f t="shared" ref="Z10:Z33" si="20">Y10/$T$89</f>
        <v>4.5194020337475049E-2</v>
      </c>
      <c r="AA10" s="1449"/>
      <c r="AB10" s="3274">
        <v>7480.64</v>
      </c>
      <c r="AC10" s="3274"/>
      <c r="AD10" s="3283">
        <f t="shared" ref="AD10:AD21" si="21">AB10+AC10*1</f>
        <v>7480.64</v>
      </c>
      <c r="AE10" s="3284">
        <f t="shared" ref="AE10:AE33" si="22">AD10/$T$89</f>
        <v>2.1542552142104383E-2</v>
      </c>
      <c r="AF10" s="1449"/>
      <c r="AG10" s="3274"/>
      <c r="AH10" s="3274"/>
      <c r="AI10" s="3283">
        <f t="shared" ref="AI10:AI33" si="23">AG10+AH10*1</f>
        <v>0</v>
      </c>
      <c r="AJ10" s="3284">
        <f t="shared" ref="AJ10:AJ33" si="24">AI10/$T$89</f>
        <v>0</v>
      </c>
      <c r="AK10" s="1449"/>
      <c r="AL10" s="3274">
        <v>17575.18</v>
      </c>
      <c r="AM10" s="3274"/>
      <c r="AN10" s="3439">
        <f t="shared" ref="AN10:AN33" si="25">AL10+AM10*1</f>
        <v>17575.18</v>
      </c>
      <c r="AO10" s="3284">
        <f t="shared" ref="AO10:AO33" si="26">AN10/$T$89</f>
        <v>5.0612545391419739E-2</v>
      </c>
      <c r="AP10" s="1449"/>
      <c r="AQ10" s="3274">
        <v>24951.449999999997</v>
      </c>
      <c r="AR10" s="3274"/>
      <c r="AS10" s="3283">
        <f t="shared" ref="AS10:AS33" si="27">AQ10+AR10*1</f>
        <v>24951.449999999997</v>
      </c>
      <c r="AT10" s="3284">
        <f t="shared" ref="AT10:AT33" si="28">AS10/$T$89</f>
        <v>7.1854535527188901E-2</v>
      </c>
      <c r="AU10" s="1449"/>
      <c r="AV10" s="3275">
        <v>76555.73</v>
      </c>
      <c r="AW10" s="3275">
        <v>0</v>
      </c>
      <c r="AX10" s="3283">
        <v>76555.73</v>
      </c>
      <c r="AY10" s="3284">
        <v>0.20476495791630014</v>
      </c>
      <c r="AZ10" s="3275"/>
      <c r="BA10" s="3275">
        <f t="shared" si="3"/>
        <v>6720.08</v>
      </c>
      <c r="BB10" s="3275">
        <f t="shared" si="3"/>
        <v>0</v>
      </c>
      <c r="BC10" s="3283">
        <f t="shared" ref="BC10:BC33" si="29">BA10+BB10*1</f>
        <v>6720.08</v>
      </c>
      <c r="BD10" s="3284">
        <f t="shared" si="4"/>
        <v>1.7974316205908693E-2</v>
      </c>
      <c r="BE10" s="3275"/>
      <c r="BF10" s="3744">
        <f>2558.49</f>
        <v>2558.4899999999998</v>
      </c>
      <c r="BG10" s="3744"/>
      <c r="BH10" s="3753">
        <f t="shared" ref="BH10:BH33" si="30">BF10+BG10*1</f>
        <v>2558.4899999999998</v>
      </c>
      <c r="BI10" s="3284">
        <f t="shared" ref="BI10:BI33" si="31">BH10/$T$89</f>
        <v>7.3678728330801432E-3</v>
      </c>
      <c r="BJ10" s="3752" t="s">
        <v>2141</v>
      </c>
      <c r="BK10" s="3274">
        <v>4161.59</v>
      </c>
      <c r="BL10" s="3274"/>
      <c r="BM10" s="3283">
        <f t="shared" ref="BM10:BM33" si="32">BK10+BL10*1</f>
        <v>4161.59</v>
      </c>
      <c r="BN10" s="3284">
        <f t="shared" si="5"/>
        <v>4.0480230530251721E-4</v>
      </c>
      <c r="BO10" s="3746"/>
      <c r="BP10" s="3283"/>
      <c r="BQ10" s="3283"/>
      <c r="BR10" s="3283">
        <f t="shared" ref="BR10:BR33" si="33">BP10+BQ10*1</f>
        <v>0</v>
      </c>
      <c r="BS10" s="3284">
        <f t="shared" ref="BS10:BS33" si="34">BR10/$AD$89</f>
        <v>0</v>
      </c>
      <c r="BT10" s="1158"/>
      <c r="BU10" s="3285"/>
      <c r="BV10" s="3285"/>
      <c r="BW10" s="3286">
        <f>BU10+BV10*1</f>
        <v>0</v>
      </c>
      <c r="BX10" s="3284">
        <f t="shared" si="6"/>
        <v>0</v>
      </c>
      <c r="BY10" s="1158"/>
      <c r="BZ10" s="3285"/>
      <c r="CA10" s="3285"/>
      <c r="CB10" s="3286">
        <f>BZ10+CA10*1</f>
        <v>0</v>
      </c>
      <c r="CC10" s="3284">
        <f t="shared" si="7"/>
        <v>0</v>
      </c>
      <c r="CD10" s="1158"/>
      <c r="CE10" s="3285"/>
      <c r="CF10" s="3285"/>
      <c r="CG10" s="3286">
        <f>CE10+CF10*1</f>
        <v>0</v>
      </c>
      <c r="CH10" s="3284">
        <f t="shared" si="8"/>
        <v>0</v>
      </c>
      <c r="CI10" s="1158"/>
      <c r="CJ10" s="3285"/>
      <c r="CK10" s="3285"/>
      <c r="CL10" s="3286">
        <f>CJ10+CK10*1</f>
        <v>0</v>
      </c>
      <c r="CM10" s="3284">
        <f t="shared" si="9"/>
        <v>0</v>
      </c>
      <c r="CN10" s="1158"/>
      <c r="CO10" s="3285"/>
      <c r="CP10" s="3285"/>
      <c r="CQ10" s="3286">
        <f>CO10+CP10*1</f>
        <v>0</v>
      </c>
      <c r="CR10" s="3284">
        <f t="shared" si="10"/>
        <v>0</v>
      </c>
      <c r="CS10" s="1158"/>
      <c r="CT10" s="3285"/>
      <c r="CU10" s="3285"/>
      <c r="CV10" s="3286">
        <f>CT10+CU10*1</f>
        <v>0</v>
      </c>
      <c r="CW10" s="3284">
        <f t="shared" si="11"/>
        <v>0</v>
      </c>
      <c r="CX10" s="1158"/>
      <c r="CY10" s="3285"/>
      <c r="CZ10" s="3285"/>
      <c r="DA10" s="3286">
        <f>CY10+CZ10*1</f>
        <v>0</v>
      </c>
      <c r="DB10" s="3284">
        <f t="shared" si="12"/>
        <v>0</v>
      </c>
      <c r="DC10" s="1158"/>
      <c r="DD10" s="3285"/>
      <c r="DE10" s="3285"/>
      <c r="DF10" s="3286">
        <f>DD10+DE10*1</f>
        <v>0</v>
      </c>
      <c r="DG10" s="3284">
        <f t="shared" si="13"/>
        <v>0</v>
      </c>
      <c r="DH10" s="1158"/>
      <c r="DI10" s="3285"/>
      <c r="DJ10" s="3285"/>
      <c r="DK10" s="3286">
        <f>DI10+DJ10*1</f>
        <v>0</v>
      </c>
      <c r="DL10" s="3284">
        <f t="shared" si="14"/>
        <v>0</v>
      </c>
      <c r="DM10" s="1158"/>
      <c r="DN10" s="3283">
        <f t="shared" ref="DN10:DO33" si="35">R10+W10+AB10+AG10+AL10+AQ10+BF10+BK10+BP10+BU10+BZ10+CE10+CJ10+CO10+CT10+CY10+DD10+DI10+AV10</f>
        <v>150766.68</v>
      </c>
      <c r="DO10" s="3283">
        <f t="shared" si="35"/>
        <v>0</v>
      </c>
      <c r="DP10" s="3283">
        <f t="shared" ref="DP10:DP33" si="36">DN10+DO10*1</f>
        <v>150766.68</v>
      </c>
      <c r="DQ10" s="3284">
        <f t="shared" si="15"/>
        <v>1.1269157516147515E-2</v>
      </c>
      <c r="DR10" s="1449"/>
    </row>
    <row r="11" spans="1:122" s="1411" customFormat="1" ht="13.8" x14ac:dyDescent="0.25">
      <c r="A11" s="1586"/>
      <c r="B11" s="1061" t="s">
        <v>69</v>
      </c>
      <c r="C11" s="3288">
        <v>436987.64999999997</v>
      </c>
      <c r="D11" s="3274">
        <v>0</v>
      </c>
      <c r="E11" s="3283">
        <v>436987.64999999997</v>
      </c>
      <c r="F11" s="3284">
        <v>4.2506255567878987E-2</v>
      </c>
      <c r="G11" s="2492"/>
      <c r="H11" s="3274">
        <v>45459.51</v>
      </c>
      <c r="I11" s="3274"/>
      <c r="J11" s="3283">
        <f t="shared" si="16"/>
        <v>45459.51</v>
      </c>
      <c r="K11" s="3284">
        <f t="shared" si="0"/>
        <v>5.0705773975495853E-2</v>
      </c>
      <c r="L11" s="1449"/>
      <c r="M11" s="3274">
        <f>52763+36185-'Форд Тягач'!M11</f>
        <v>79748.459999999992</v>
      </c>
      <c r="N11" s="3274"/>
      <c r="O11" s="3283">
        <f t="shared" si="17"/>
        <v>79748.459999999992</v>
      </c>
      <c r="P11" s="3284">
        <f t="shared" si="2"/>
        <v>5.6498046311784372E-2</v>
      </c>
      <c r="Q11" s="1449"/>
      <c r="R11" s="3274">
        <v>2020</v>
      </c>
      <c r="S11" s="3274"/>
      <c r="T11" s="3283">
        <f t="shared" si="18"/>
        <v>2020</v>
      </c>
      <c r="U11" s="3284">
        <f t="shared" si="1"/>
        <v>5.8171433630078246E-3</v>
      </c>
      <c r="V11" s="1449"/>
      <c r="W11" s="3274">
        <v>18545.349999999999</v>
      </c>
      <c r="X11" s="3274"/>
      <c r="Y11" s="3283">
        <f t="shared" si="19"/>
        <v>18545.349999999999</v>
      </c>
      <c r="Z11" s="3284">
        <f t="shared" si="20"/>
        <v>5.3406415676810474E-2</v>
      </c>
      <c r="AA11" s="1449"/>
      <c r="AB11" s="3274">
        <v>10002.89</v>
      </c>
      <c r="AC11" s="3274"/>
      <c r="AD11" s="3283">
        <f t="shared" si="21"/>
        <v>10002.89</v>
      </c>
      <c r="AE11" s="3284">
        <f t="shared" si="22"/>
        <v>2.8806061967523434E-2</v>
      </c>
      <c r="AF11" s="1449"/>
      <c r="AG11" s="3274"/>
      <c r="AH11" s="3274"/>
      <c r="AI11" s="3283">
        <f t="shared" si="23"/>
        <v>0</v>
      </c>
      <c r="AJ11" s="3284">
        <f t="shared" si="24"/>
        <v>0</v>
      </c>
      <c r="AK11" s="1449"/>
      <c r="AL11" s="3274">
        <v>23002.400000000001</v>
      </c>
      <c r="AM11" s="3274"/>
      <c r="AN11" s="3439">
        <f t="shared" si="25"/>
        <v>23002.400000000001</v>
      </c>
      <c r="AO11" s="3284">
        <f t="shared" si="26"/>
        <v>6.6241712125371888E-2</v>
      </c>
      <c r="AP11" s="1449"/>
      <c r="AQ11" s="3274">
        <v>28389.339999999997</v>
      </c>
      <c r="AR11" s="3274"/>
      <c r="AS11" s="3283">
        <f t="shared" si="27"/>
        <v>28389.339999999997</v>
      </c>
      <c r="AT11" s="3284">
        <f t="shared" si="28"/>
        <v>8.1754881564936904E-2</v>
      </c>
      <c r="AU11" s="1449"/>
      <c r="AV11" s="3275">
        <v>90986.540000000023</v>
      </c>
      <c r="AW11" s="3275">
        <v>0</v>
      </c>
      <c r="AX11" s="3283">
        <v>90986.540000000023</v>
      </c>
      <c r="AY11" s="3284">
        <v>0.24336329931214509</v>
      </c>
      <c r="AZ11" s="3275"/>
      <c r="BA11" s="3275">
        <f t="shared" si="3"/>
        <v>7913.07</v>
      </c>
      <c r="BB11" s="3275">
        <f t="shared" si="3"/>
        <v>0</v>
      </c>
      <c r="BC11" s="3283">
        <f t="shared" si="29"/>
        <v>7913.07</v>
      </c>
      <c r="BD11" s="3284">
        <f t="shared" si="4"/>
        <v>2.1165227547810427E-2</v>
      </c>
      <c r="BE11" s="3275"/>
      <c r="BF11" s="3744">
        <f>3414.5</f>
        <v>3414.5</v>
      </c>
      <c r="BG11" s="3744"/>
      <c r="BH11" s="3753">
        <f t="shared" si="30"/>
        <v>3414.5</v>
      </c>
      <c r="BI11" s="3284">
        <f t="shared" si="31"/>
        <v>9.8329881252426816E-3</v>
      </c>
      <c r="BJ11" s="3752" t="s">
        <v>2141</v>
      </c>
      <c r="BK11" s="3274">
        <v>4498.57</v>
      </c>
      <c r="BL11" s="3274"/>
      <c r="BM11" s="3283">
        <f t="shared" si="32"/>
        <v>4498.57</v>
      </c>
      <c r="BN11" s="3284">
        <f t="shared" si="5"/>
        <v>4.3758070991249611E-4</v>
      </c>
      <c r="BO11" s="3746"/>
      <c r="BP11" s="3283"/>
      <c r="BQ11" s="3283"/>
      <c r="BR11" s="3283">
        <f t="shared" si="33"/>
        <v>0</v>
      </c>
      <c r="BS11" s="3284">
        <f t="shared" si="34"/>
        <v>0</v>
      </c>
      <c r="BT11" s="1158"/>
      <c r="BU11" s="3285"/>
      <c r="BV11" s="3285"/>
      <c r="BW11" s="3286">
        <f>BU11+BV11*1</f>
        <v>0</v>
      </c>
      <c r="BX11" s="3284">
        <f t="shared" si="6"/>
        <v>0</v>
      </c>
      <c r="BY11" s="1158"/>
      <c r="BZ11" s="3285"/>
      <c r="CA11" s="3285"/>
      <c r="CB11" s="3286">
        <f>BZ11+CA11*1</f>
        <v>0</v>
      </c>
      <c r="CC11" s="3284">
        <f t="shared" si="7"/>
        <v>0</v>
      </c>
      <c r="CD11" s="1158"/>
      <c r="CE11" s="3285"/>
      <c r="CF11" s="3285"/>
      <c r="CG11" s="3286">
        <f>CE11+CF11*1</f>
        <v>0</v>
      </c>
      <c r="CH11" s="3284">
        <f t="shared" si="8"/>
        <v>0</v>
      </c>
      <c r="CI11" s="1158"/>
      <c r="CJ11" s="3285"/>
      <c r="CK11" s="3285"/>
      <c r="CL11" s="3286">
        <f>CJ11+CK11*1</f>
        <v>0</v>
      </c>
      <c r="CM11" s="3284">
        <f t="shared" si="9"/>
        <v>0</v>
      </c>
      <c r="CN11" s="1158"/>
      <c r="CO11" s="3285"/>
      <c r="CP11" s="3285"/>
      <c r="CQ11" s="3286">
        <f>CO11+CP11*1</f>
        <v>0</v>
      </c>
      <c r="CR11" s="3284">
        <f t="shared" si="10"/>
        <v>0</v>
      </c>
      <c r="CS11" s="1158"/>
      <c r="CT11" s="3285"/>
      <c r="CU11" s="3285"/>
      <c r="CV11" s="3286">
        <f>CT11+CU11*1</f>
        <v>0</v>
      </c>
      <c r="CW11" s="3284">
        <f t="shared" si="11"/>
        <v>0</v>
      </c>
      <c r="CX11" s="1158"/>
      <c r="CY11" s="3285"/>
      <c r="CZ11" s="3285"/>
      <c r="DA11" s="3286">
        <f>CY11+CZ11*1</f>
        <v>0</v>
      </c>
      <c r="DB11" s="3284">
        <f t="shared" si="12"/>
        <v>0</v>
      </c>
      <c r="DC11" s="1158"/>
      <c r="DD11" s="3285"/>
      <c r="DE11" s="3285"/>
      <c r="DF11" s="3286">
        <f>DD11+DE11*1</f>
        <v>0</v>
      </c>
      <c r="DG11" s="3284">
        <f t="shared" si="13"/>
        <v>0</v>
      </c>
      <c r="DH11" s="1158"/>
      <c r="DI11" s="3285"/>
      <c r="DJ11" s="3285"/>
      <c r="DK11" s="3286">
        <f>DI11+DJ11*1</f>
        <v>0</v>
      </c>
      <c r="DL11" s="3284">
        <f t="shared" si="14"/>
        <v>0</v>
      </c>
      <c r="DM11" s="1158"/>
      <c r="DN11" s="3283">
        <f t="shared" si="35"/>
        <v>180859.59000000003</v>
      </c>
      <c r="DO11" s="3283">
        <f t="shared" si="35"/>
        <v>0</v>
      </c>
      <c r="DP11" s="3283">
        <f t="shared" si="36"/>
        <v>180859.59000000003</v>
      </c>
      <c r="DQ11" s="3284">
        <f t="shared" si="15"/>
        <v>1.3518472437118458E-2</v>
      </c>
      <c r="DR11" s="1449"/>
    </row>
    <row r="12" spans="1:122" s="1411" customFormat="1" ht="13.8" x14ac:dyDescent="0.25">
      <c r="A12" s="1586"/>
      <c r="B12" s="1061" t="s">
        <v>73</v>
      </c>
      <c r="C12" s="3288">
        <v>0</v>
      </c>
      <c r="D12" s="3274">
        <v>0</v>
      </c>
      <c r="E12" s="3283">
        <v>0</v>
      </c>
      <c r="F12" s="3284">
        <v>0</v>
      </c>
      <c r="G12" s="2492"/>
      <c r="H12" s="3274"/>
      <c r="I12" s="3274"/>
      <c r="J12" s="3283">
        <f t="shared" si="16"/>
        <v>0</v>
      </c>
      <c r="K12" s="3284">
        <f t="shared" si="0"/>
        <v>0</v>
      </c>
      <c r="L12" s="1449"/>
      <c r="M12" s="3274"/>
      <c r="N12" s="3274"/>
      <c r="O12" s="3283">
        <f t="shared" si="17"/>
        <v>0</v>
      </c>
      <c r="P12" s="3284">
        <f t="shared" si="2"/>
        <v>0</v>
      </c>
      <c r="Q12" s="1449"/>
      <c r="R12" s="3274"/>
      <c r="S12" s="3274"/>
      <c r="T12" s="3283">
        <f t="shared" si="18"/>
        <v>0</v>
      </c>
      <c r="U12" s="3284">
        <f t="shared" si="1"/>
        <v>0</v>
      </c>
      <c r="V12" s="1449"/>
      <c r="W12" s="3274"/>
      <c r="X12" s="3274"/>
      <c r="Y12" s="3283">
        <f t="shared" si="19"/>
        <v>0</v>
      </c>
      <c r="Z12" s="3284">
        <f t="shared" si="20"/>
        <v>0</v>
      </c>
      <c r="AA12" s="1449"/>
      <c r="AB12" s="3274"/>
      <c r="AC12" s="3274"/>
      <c r="AD12" s="3283">
        <f t="shared" si="21"/>
        <v>0</v>
      </c>
      <c r="AE12" s="3284">
        <f t="shared" si="22"/>
        <v>0</v>
      </c>
      <c r="AF12" s="1449"/>
      <c r="AG12" s="3274"/>
      <c r="AH12" s="3274"/>
      <c r="AI12" s="3283">
        <f t="shared" si="23"/>
        <v>0</v>
      </c>
      <c r="AJ12" s="3284">
        <f t="shared" si="24"/>
        <v>0</v>
      </c>
      <c r="AK12" s="1449"/>
      <c r="AL12" s="3274"/>
      <c r="AM12" s="3274"/>
      <c r="AN12" s="3439">
        <f t="shared" si="25"/>
        <v>0</v>
      </c>
      <c r="AO12" s="3284">
        <f t="shared" si="26"/>
        <v>0</v>
      </c>
      <c r="AP12" s="1449"/>
      <c r="AQ12" s="3274"/>
      <c r="AR12" s="3274"/>
      <c r="AS12" s="3283">
        <f t="shared" si="27"/>
        <v>0</v>
      </c>
      <c r="AT12" s="3284">
        <f t="shared" si="28"/>
        <v>0</v>
      </c>
      <c r="AU12" s="1449"/>
      <c r="AV12" s="3275">
        <v>0</v>
      </c>
      <c r="AW12" s="3275">
        <v>0</v>
      </c>
      <c r="AX12" s="3283">
        <v>0</v>
      </c>
      <c r="AY12" s="3284">
        <v>0</v>
      </c>
      <c r="AZ12" s="3275"/>
      <c r="BA12" s="3275">
        <f t="shared" si="3"/>
        <v>0</v>
      </c>
      <c r="BB12" s="3275">
        <f t="shared" si="3"/>
        <v>0</v>
      </c>
      <c r="BC12" s="3283">
        <f t="shared" si="29"/>
        <v>0</v>
      </c>
      <c r="BD12" s="3284">
        <f t="shared" si="4"/>
        <v>0</v>
      </c>
      <c r="BE12" s="3275"/>
      <c r="BF12" s="3744"/>
      <c r="BG12" s="3744"/>
      <c r="BH12" s="3753">
        <f t="shared" si="30"/>
        <v>0</v>
      </c>
      <c r="BI12" s="3284">
        <f t="shared" si="31"/>
        <v>0</v>
      </c>
      <c r="BJ12" s="3754"/>
      <c r="BK12" s="3274"/>
      <c r="BL12" s="3274"/>
      <c r="BM12" s="3283">
        <f t="shared" si="32"/>
        <v>0</v>
      </c>
      <c r="BN12" s="3284">
        <f t="shared" si="5"/>
        <v>0</v>
      </c>
      <c r="BO12" s="3746"/>
      <c r="BP12" s="3283"/>
      <c r="BQ12" s="3283"/>
      <c r="BR12" s="3283">
        <f t="shared" si="33"/>
        <v>0</v>
      </c>
      <c r="BS12" s="3284">
        <f t="shared" si="34"/>
        <v>0</v>
      </c>
      <c r="BT12" s="1158"/>
      <c r="BU12" s="3285"/>
      <c r="BV12" s="3285"/>
      <c r="BW12" s="3286">
        <f>BU12+BV12*1</f>
        <v>0</v>
      </c>
      <c r="BX12" s="3284">
        <f t="shared" si="6"/>
        <v>0</v>
      </c>
      <c r="BY12" s="1158"/>
      <c r="BZ12" s="3285"/>
      <c r="CA12" s="3285"/>
      <c r="CB12" s="3286">
        <f>BZ12+CA12*1</f>
        <v>0</v>
      </c>
      <c r="CC12" s="3284">
        <f t="shared" si="7"/>
        <v>0</v>
      </c>
      <c r="CD12" s="1158"/>
      <c r="CE12" s="3285"/>
      <c r="CF12" s="3285"/>
      <c r="CG12" s="3286">
        <f>CE12+CF12*1</f>
        <v>0</v>
      </c>
      <c r="CH12" s="3284">
        <f t="shared" si="8"/>
        <v>0</v>
      </c>
      <c r="CI12" s="1158"/>
      <c r="CJ12" s="3285"/>
      <c r="CK12" s="3285"/>
      <c r="CL12" s="3286">
        <f>CJ12+CK12*1</f>
        <v>0</v>
      </c>
      <c r="CM12" s="3284">
        <f t="shared" si="9"/>
        <v>0</v>
      </c>
      <c r="CN12" s="1158"/>
      <c r="CO12" s="3285"/>
      <c r="CP12" s="3285"/>
      <c r="CQ12" s="3286">
        <f>CO12+CP12*1</f>
        <v>0</v>
      </c>
      <c r="CR12" s="3284">
        <f t="shared" si="10"/>
        <v>0</v>
      </c>
      <c r="CS12" s="1158"/>
      <c r="CT12" s="3285"/>
      <c r="CU12" s="3285"/>
      <c r="CV12" s="3286">
        <f>CT12+CU12*1</f>
        <v>0</v>
      </c>
      <c r="CW12" s="3284">
        <f t="shared" si="11"/>
        <v>0</v>
      </c>
      <c r="CX12" s="1158"/>
      <c r="CY12" s="3285"/>
      <c r="CZ12" s="3285"/>
      <c r="DA12" s="3286">
        <f>CY12+CZ12*1</f>
        <v>0</v>
      </c>
      <c r="DB12" s="3284">
        <f t="shared" si="12"/>
        <v>0</v>
      </c>
      <c r="DC12" s="1158"/>
      <c r="DD12" s="3285"/>
      <c r="DE12" s="3285"/>
      <c r="DF12" s="3286">
        <f>DD12+DE12*1</f>
        <v>0</v>
      </c>
      <c r="DG12" s="3284">
        <f t="shared" si="13"/>
        <v>0</v>
      </c>
      <c r="DH12" s="1158"/>
      <c r="DI12" s="3285"/>
      <c r="DJ12" s="3285"/>
      <c r="DK12" s="3286">
        <f>DI12+DJ12*1</f>
        <v>0</v>
      </c>
      <c r="DL12" s="3284">
        <f t="shared" si="14"/>
        <v>0</v>
      </c>
      <c r="DM12" s="1158"/>
      <c r="DN12" s="3283">
        <f t="shared" si="35"/>
        <v>0</v>
      </c>
      <c r="DO12" s="3283">
        <f t="shared" si="35"/>
        <v>0</v>
      </c>
      <c r="DP12" s="3283">
        <f t="shared" si="36"/>
        <v>0</v>
      </c>
      <c r="DQ12" s="3284">
        <f t="shared" si="15"/>
        <v>0</v>
      </c>
      <c r="DR12" s="1449"/>
    </row>
    <row r="13" spans="1:122" s="1411" customFormat="1" ht="13.8" x14ac:dyDescent="0.25">
      <c r="A13" s="1586"/>
      <c r="B13" s="1061" t="s">
        <v>71</v>
      </c>
      <c r="C13" s="3288">
        <v>0</v>
      </c>
      <c r="D13" s="3274">
        <v>0</v>
      </c>
      <c r="E13" s="3283">
        <v>0</v>
      </c>
      <c r="F13" s="3284">
        <v>0</v>
      </c>
      <c r="G13" s="2492"/>
      <c r="H13" s="3274"/>
      <c r="I13" s="3274"/>
      <c r="J13" s="3283">
        <f t="shared" si="16"/>
        <v>0</v>
      </c>
      <c r="K13" s="3284">
        <f t="shared" si="0"/>
        <v>0</v>
      </c>
      <c r="L13" s="1449"/>
      <c r="M13" s="3274"/>
      <c r="N13" s="3274"/>
      <c r="O13" s="3283">
        <f t="shared" si="17"/>
        <v>0</v>
      </c>
      <c r="P13" s="3284">
        <f t="shared" si="2"/>
        <v>0</v>
      </c>
      <c r="Q13" s="1449"/>
      <c r="R13" s="3274"/>
      <c r="S13" s="3274"/>
      <c r="T13" s="3283">
        <f t="shared" si="18"/>
        <v>0</v>
      </c>
      <c r="U13" s="3284">
        <f t="shared" si="1"/>
        <v>0</v>
      </c>
      <c r="V13" s="1449"/>
      <c r="W13" s="3274"/>
      <c r="X13" s="3274"/>
      <c r="Y13" s="3283">
        <f t="shared" si="19"/>
        <v>0</v>
      </c>
      <c r="Z13" s="3284">
        <f t="shared" si="20"/>
        <v>0</v>
      </c>
      <c r="AA13" s="1449"/>
      <c r="AB13" s="3274"/>
      <c r="AC13" s="3274"/>
      <c r="AD13" s="3283">
        <f t="shared" si="21"/>
        <v>0</v>
      </c>
      <c r="AE13" s="3284">
        <f t="shared" si="22"/>
        <v>0</v>
      </c>
      <c r="AF13" s="1449"/>
      <c r="AG13" s="3274"/>
      <c r="AH13" s="3274"/>
      <c r="AI13" s="3283">
        <f t="shared" si="23"/>
        <v>0</v>
      </c>
      <c r="AJ13" s="3284">
        <f t="shared" si="24"/>
        <v>0</v>
      </c>
      <c r="AK13" s="1449"/>
      <c r="AL13" s="3274"/>
      <c r="AM13" s="3274"/>
      <c r="AN13" s="3439">
        <f t="shared" si="25"/>
        <v>0</v>
      </c>
      <c r="AO13" s="3284">
        <f t="shared" si="26"/>
        <v>0</v>
      </c>
      <c r="AP13" s="1449"/>
      <c r="AQ13" s="3274"/>
      <c r="AR13" s="3274"/>
      <c r="AS13" s="3283">
        <f t="shared" si="27"/>
        <v>0</v>
      </c>
      <c r="AT13" s="3284">
        <f t="shared" si="28"/>
        <v>0</v>
      </c>
      <c r="AU13" s="1449"/>
      <c r="AV13" s="3275">
        <v>0</v>
      </c>
      <c r="AW13" s="3275">
        <v>0</v>
      </c>
      <c r="AX13" s="3283">
        <v>0</v>
      </c>
      <c r="AY13" s="3284">
        <v>0</v>
      </c>
      <c r="AZ13" s="3275"/>
      <c r="BA13" s="3275">
        <f t="shared" si="3"/>
        <v>0</v>
      </c>
      <c r="BB13" s="3275">
        <f t="shared" si="3"/>
        <v>0</v>
      </c>
      <c r="BC13" s="3283">
        <f t="shared" si="29"/>
        <v>0</v>
      </c>
      <c r="BD13" s="3284">
        <f t="shared" si="4"/>
        <v>0</v>
      </c>
      <c r="BE13" s="3275"/>
      <c r="BF13" s="3744"/>
      <c r="BG13" s="3744"/>
      <c r="BH13" s="3753">
        <f t="shared" si="30"/>
        <v>0</v>
      </c>
      <c r="BI13" s="3284">
        <f t="shared" si="31"/>
        <v>0</v>
      </c>
      <c r="BJ13" s="3754"/>
      <c r="BK13" s="3274"/>
      <c r="BL13" s="3274"/>
      <c r="BM13" s="3283">
        <f t="shared" si="32"/>
        <v>0</v>
      </c>
      <c r="BN13" s="3284">
        <f t="shared" si="5"/>
        <v>0</v>
      </c>
      <c r="BO13" s="3746"/>
      <c r="BP13" s="3283"/>
      <c r="BQ13" s="3283"/>
      <c r="BR13" s="3283">
        <f>BP13+BQ13*1</f>
        <v>0</v>
      </c>
      <c r="BS13" s="3284">
        <f t="shared" si="34"/>
        <v>0</v>
      </c>
      <c r="BT13" s="1158"/>
      <c r="BU13" s="3285"/>
      <c r="BV13" s="3285"/>
      <c r="BW13" s="3286">
        <f>BU13+BV13*1</f>
        <v>0</v>
      </c>
      <c r="BX13" s="3284">
        <f t="shared" si="6"/>
        <v>0</v>
      </c>
      <c r="BY13" s="1158"/>
      <c r="BZ13" s="3285"/>
      <c r="CA13" s="3285"/>
      <c r="CB13" s="3286">
        <f>BZ13+CA13*1</f>
        <v>0</v>
      </c>
      <c r="CC13" s="3284">
        <f t="shared" si="7"/>
        <v>0</v>
      </c>
      <c r="CD13" s="1158"/>
      <c r="CE13" s="3285"/>
      <c r="CF13" s="3285"/>
      <c r="CG13" s="3286">
        <f>CE13+CF13*1</f>
        <v>0</v>
      </c>
      <c r="CH13" s="3284">
        <f t="shared" si="8"/>
        <v>0</v>
      </c>
      <c r="CI13" s="1158"/>
      <c r="CJ13" s="3285"/>
      <c r="CK13" s="3285"/>
      <c r="CL13" s="3286">
        <f>CJ13+CK13*1</f>
        <v>0</v>
      </c>
      <c r="CM13" s="3284">
        <f t="shared" si="9"/>
        <v>0</v>
      </c>
      <c r="CN13" s="1158"/>
      <c r="CO13" s="3285"/>
      <c r="CP13" s="3285"/>
      <c r="CQ13" s="3286">
        <f>CO13+CP13*1</f>
        <v>0</v>
      </c>
      <c r="CR13" s="3284">
        <f t="shared" si="10"/>
        <v>0</v>
      </c>
      <c r="CS13" s="1158"/>
      <c r="CT13" s="3285"/>
      <c r="CU13" s="3285"/>
      <c r="CV13" s="3286">
        <f>CT13+CU13*1</f>
        <v>0</v>
      </c>
      <c r="CW13" s="3284">
        <f t="shared" si="11"/>
        <v>0</v>
      </c>
      <c r="CX13" s="1158"/>
      <c r="CY13" s="3285"/>
      <c r="CZ13" s="3285"/>
      <c r="DA13" s="3286">
        <f>CY13+CZ13*1</f>
        <v>0</v>
      </c>
      <c r="DB13" s="3284">
        <f t="shared" si="12"/>
        <v>0</v>
      </c>
      <c r="DC13" s="1158"/>
      <c r="DD13" s="3285"/>
      <c r="DE13" s="3285"/>
      <c r="DF13" s="3286">
        <f>DD13+DE13*1</f>
        <v>0</v>
      </c>
      <c r="DG13" s="3284">
        <f t="shared" si="13"/>
        <v>0</v>
      </c>
      <c r="DH13" s="1158"/>
      <c r="DI13" s="3285"/>
      <c r="DJ13" s="3285"/>
      <c r="DK13" s="3286">
        <f>DI13+DJ13*1</f>
        <v>0</v>
      </c>
      <c r="DL13" s="3284">
        <f t="shared" si="14"/>
        <v>0</v>
      </c>
      <c r="DM13" s="1158"/>
      <c r="DN13" s="3283">
        <f t="shared" si="35"/>
        <v>0</v>
      </c>
      <c r="DO13" s="3283">
        <f t="shared" si="35"/>
        <v>0</v>
      </c>
      <c r="DP13" s="3283">
        <f t="shared" si="36"/>
        <v>0</v>
      </c>
      <c r="DQ13" s="3284">
        <f t="shared" si="15"/>
        <v>0</v>
      </c>
      <c r="DR13" s="1449"/>
    </row>
    <row r="14" spans="1:122" s="1411" customFormat="1" ht="13.8" x14ac:dyDescent="0.25">
      <c r="A14" s="1586"/>
      <c r="B14" s="1061" t="s">
        <v>70</v>
      </c>
      <c r="C14" s="3288">
        <v>0</v>
      </c>
      <c r="D14" s="3274">
        <v>0</v>
      </c>
      <c r="E14" s="3283">
        <v>0</v>
      </c>
      <c r="F14" s="3284">
        <v>0</v>
      </c>
      <c r="G14" s="2492"/>
      <c r="H14" s="3274"/>
      <c r="I14" s="3274"/>
      <c r="J14" s="3283">
        <f t="shared" si="16"/>
        <v>0</v>
      </c>
      <c r="K14" s="3284">
        <f t="shared" si="0"/>
        <v>0</v>
      </c>
      <c r="L14" s="1449"/>
      <c r="M14" s="3274"/>
      <c r="N14" s="3274"/>
      <c r="O14" s="3283">
        <f t="shared" si="17"/>
        <v>0</v>
      </c>
      <c r="P14" s="3284">
        <f t="shared" si="2"/>
        <v>0</v>
      </c>
      <c r="Q14" s="1449"/>
      <c r="R14" s="3274"/>
      <c r="S14" s="3274"/>
      <c r="T14" s="3283">
        <f t="shared" si="18"/>
        <v>0</v>
      </c>
      <c r="U14" s="3284">
        <f t="shared" si="1"/>
        <v>0</v>
      </c>
      <c r="V14" s="1449"/>
      <c r="W14" s="3274"/>
      <c r="X14" s="3274"/>
      <c r="Y14" s="3283">
        <f t="shared" si="19"/>
        <v>0</v>
      </c>
      <c r="Z14" s="3284">
        <f t="shared" si="20"/>
        <v>0</v>
      </c>
      <c r="AA14" s="1449"/>
      <c r="AB14" s="3274"/>
      <c r="AC14" s="3274"/>
      <c r="AD14" s="3283">
        <f t="shared" si="21"/>
        <v>0</v>
      </c>
      <c r="AE14" s="3284">
        <f t="shared" si="22"/>
        <v>0</v>
      </c>
      <c r="AF14" s="1449"/>
      <c r="AG14" s="3274"/>
      <c r="AH14" s="3274"/>
      <c r="AI14" s="3283">
        <f t="shared" si="23"/>
        <v>0</v>
      </c>
      <c r="AJ14" s="3284">
        <f t="shared" si="24"/>
        <v>0</v>
      </c>
      <c r="AK14" s="1449"/>
      <c r="AL14" s="3274"/>
      <c r="AM14" s="3274"/>
      <c r="AN14" s="3439">
        <f t="shared" si="25"/>
        <v>0</v>
      </c>
      <c r="AO14" s="3284">
        <f t="shared" si="26"/>
        <v>0</v>
      </c>
      <c r="AP14" s="1449"/>
      <c r="AQ14" s="3274"/>
      <c r="AR14" s="3274"/>
      <c r="AS14" s="3283">
        <f t="shared" si="27"/>
        <v>0</v>
      </c>
      <c r="AT14" s="3284">
        <f t="shared" si="28"/>
        <v>0</v>
      </c>
      <c r="AU14" s="1449"/>
      <c r="AV14" s="3275">
        <v>0</v>
      </c>
      <c r="AW14" s="3275">
        <v>0</v>
      </c>
      <c r="AX14" s="3283">
        <v>0</v>
      </c>
      <c r="AY14" s="3284">
        <v>0</v>
      </c>
      <c r="AZ14" s="3275"/>
      <c r="BA14" s="3275">
        <f t="shared" si="3"/>
        <v>0</v>
      </c>
      <c r="BB14" s="3275">
        <f t="shared" si="3"/>
        <v>0</v>
      </c>
      <c r="BC14" s="3283">
        <f t="shared" si="29"/>
        <v>0</v>
      </c>
      <c r="BD14" s="3284">
        <f t="shared" si="4"/>
        <v>0</v>
      </c>
      <c r="BE14" s="3275"/>
      <c r="BF14" s="3744"/>
      <c r="BG14" s="3744"/>
      <c r="BH14" s="3753">
        <f t="shared" si="30"/>
        <v>0</v>
      </c>
      <c r="BI14" s="3284">
        <f t="shared" si="31"/>
        <v>0</v>
      </c>
      <c r="BJ14" s="3754"/>
      <c r="BK14" s="3274"/>
      <c r="BL14" s="3274"/>
      <c r="BM14" s="3283">
        <f t="shared" si="32"/>
        <v>0</v>
      </c>
      <c r="BN14" s="3284">
        <f t="shared" si="5"/>
        <v>0</v>
      </c>
      <c r="BO14" s="3746"/>
      <c r="BP14" s="3283"/>
      <c r="BQ14" s="3283"/>
      <c r="BR14" s="3283">
        <f t="shared" si="33"/>
        <v>0</v>
      </c>
      <c r="BS14" s="3284">
        <f t="shared" si="34"/>
        <v>0</v>
      </c>
      <c r="BT14" s="1158"/>
      <c r="BU14" s="3285"/>
      <c r="BV14" s="3285"/>
      <c r="BW14" s="3286">
        <f t="shared" ref="BW14:BW33" si="37">BU14+BV14*1</f>
        <v>0</v>
      </c>
      <c r="BX14" s="3284">
        <f t="shared" si="6"/>
        <v>0</v>
      </c>
      <c r="BY14" s="1158"/>
      <c r="BZ14" s="3285"/>
      <c r="CA14" s="3285"/>
      <c r="CB14" s="3286">
        <f t="shared" ref="CB14:CB33" si="38">BZ14+CA14*1</f>
        <v>0</v>
      </c>
      <c r="CC14" s="3284">
        <f t="shared" si="7"/>
        <v>0</v>
      </c>
      <c r="CD14" s="1158"/>
      <c r="CE14" s="3285"/>
      <c r="CF14" s="3285"/>
      <c r="CG14" s="3286">
        <f t="shared" ref="CG14:CG33" si="39">CE14+CF14*1</f>
        <v>0</v>
      </c>
      <c r="CH14" s="3284">
        <f t="shared" si="8"/>
        <v>0</v>
      </c>
      <c r="CI14" s="1158"/>
      <c r="CJ14" s="3285"/>
      <c r="CK14" s="3285"/>
      <c r="CL14" s="3286">
        <f t="shared" ref="CL14:CL33" si="40">CJ14+CK14*1</f>
        <v>0</v>
      </c>
      <c r="CM14" s="3284">
        <f t="shared" si="9"/>
        <v>0</v>
      </c>
      <c r="CN14" s="1158"/>
      <c r="CO14" s="3285"/>
      <c r="CP14" s="3285"/>
      <c r="CQ14" s="3286">
        <f t="shared" ref="CQ14:CQ33" si="41">CO14+CP14*1</f>
        <v>0</v>
      </c>
      <c r="CR14" s="3284">
        <f t="shared" si="10"/>
        <v>0</v>
      </c>
      <c r="CS14" s="1158"/>
      <c r="CT14" s="3285"/>
      <c r="CU14" s="3285"/>
      <c r="CV14" s="3286">
        <f t="shared" ref="CV14:CV33" si="42">CT14+CU14*1</f>
        <v>0</v>
      </c>
      <c r="CW14" s="3284">
        <f t="shared" si="11"/>
        <v>0</v>
      </c>
      <c r="CX14" s="1158"/>
      <c r="CY14" s="3285"/>
      <c r="CZ14" s="3285"/>
      <c r="DA14" s="3286">
        <f t="shared" ref="DA14:DA33" si="43">CY14+CZ14*1</f>
        <v>0</v>
      </c>
      <c r="DB14" s="3284">
        <f t="shared" si="12"/>
        <v>0</v>
      </c>
      <c r="DC14" s="1158"/>
      <c r="DD14" s="3285"/>
      <c r="DE14" s="3285"/>
      <c r="DF14" s="3286">
        <f t="shared" ref="DF14:DF33" si="44">DD14+DE14*1</f>
        <v>0</v>
      </c>
      <c r="DG14" s="3284">
        <f t="shared" si="13"/>
        <v>0</v>
      </c>
      <c r="DH14" s="1158"/>
      <c r="DI14" s="3285"/>
      <c r="DJ14" s="3285"/>
      <c r="DK14" s="3286">
        <f t="shared" ref="DK14:DK33" si="45">DI14+DJ14*1</f>
        <v>0</v>
      </c>
      <c r="DL14" s="3284">
        <f t="shared" si="14"/>
        <v>0</v>
      </c>
      <c r="DM14" s="1158"/>
      <c r="DN14" s="3283">
        <f t="shared" si="35"/>
        <v>0</v>
      </c>
      <c r="DO14" s="3283">
        <f t="shared" si="35"/>
        <v>0</v>
      </c>
      <c r="DP14" s="3283">
        <f t="shared" si="36"/>
        <v>0</v>
      </c>
      <c r="DQ14" s="3284">
        <f t="shared" si="15"/>
        <v>0</v>
      </c>
      <c r="DR14" s="1449"/>
    </row>
    <row r="15" spans="1:122" s="1411" customFormat="1" ht="13.8" x14ac:dyDescent="0.25">
      <c r="A15" s="1586"/>
      <c r="B15" s="3289" t="s">
        <v>20</v>
      </c>
      <c r="C15" s="3288">
        <v>0</v>
      </c>
      <c r="D15" s="3274">
        <v>0</v>
      </c>
      <c r="E15" s="3283">
        <v>0</v>
      </c>
      <c r="F15" s="3284">
        <v>0</v>
      </c>
      <c r="G15" s="2492"/>
      <c r="H15" s="3274"/>
      <c r="I15" s="3274"/>
      <c r="J15" s="3283">
        <f t="shared" si="16"/>
        <v>0</v>
      </c>
      <c r="K15" s="3284">
        <f t="shared" si="0"/>
        <v>0</v>
      </c>
      <c r="L15" s="1449"/>
      <c r="M15" s="3274"/>
      <c r="N15" s="3274"/>
      <c r="O15" s="3283">
        <f t="shared" si="17"/>
        <v>0</v>
      </c>
      <c r="P15" s="3284">
        <f t="shared" si="2"/>
        <v>0</v>
      </c>
      <c r="Q15" s="1449"/>
      <c r="R15" s="3274"/>
      <c r="S15" s="3274"/>
      <c r="T15" s="3283">
        <f t="shared" si="18"/>
        <v>0</v>
      </c>
      <c r="U15" s="3284">
        <f t="shared" si="1"/>
        <v>0</v>
      </c>
      <c r="V15" s="1449"/>
      <c r="W15" s="3274"/>
      <c r="X15" s="3274"/>
      <c r="Y15" s="3283">
        <f t="shared" si="19"/>
        <v>0</v>
      </c>
      <c r="Z15" s="3284">
        <f t="shared" si="20"/>
        <v>0</v>
      </c>
      <c r="AA15" s="1449"/>
      <c r="AB15" s="3274"/>
      <c r="AC15" s="3274"/>
      <c r="AD15" s="3283">
        <f t="shared" si="21"/>
        <v>0</v>
      </c>
      <c r="AE15" s="3284">
        <f t="shared" si="22"/>
        <v>0</v>
      </c>
      <c r="AF15" s="1449"/>
      <c r="AG15" s="3274"/>
      <c r="AH15" s="3274"/>
      <c r="AI15" s="3283">
        <f t="shared" si="23"/>
        <v>0</v>
      </c>
      <c r="AJ15" s="3284">
        <f t="shared" si="24"/>
        <v>0</v>
      </c>
      <c r="AK15" s="1449"/>
      <c r="AL15" s="3274"/>
      <c r="AM15" s="3274"/>
      <c r="AN15" s="3439">
        <f t="shared" si="25"/>
        <v>0</v>
      </c>
      <c r="AO15" s="3284">
        <f t="shared" si="26"/>
        <v>0</v>
      </c>
      <c r="AP15" s="1449"/>
      <c r="AQ15" s="3274"/>
      <c r="AR15" s="3274"/>
      <c r="AS15" s="3283">
        <f t="shared" si="27"/>
        <v>0</v>
      </c>
      <c r="AT15" s="3284">
        <f t="shared" si="28"/>
        <v>0</v>
      </c>
      <c r="AU15" s="1449"/>
      <c r="AV15" s="3275">
        <v>0</v>
      </c>
      <c r="AW15" s="3275">
        <v>0</v>
      </c>
      <c r="AX15" s="3283">
        <v>0</v>
      </c>
      <c r="AY15" s="3284">
        <v>0</v>
      </c>
      <c r="AZ15" s="3275"/>
      <c r="BA15" s="3275">
        <f t="shared" si="3"/>
        <v>0</v>
      </c>
      <c r="BB15" s="3275">
        <f t="shared" si="3"/>
        <v>0</v>
      </c>
      <c r="BC15" s="3283">
        <f t="shared" si="29"/>
        <v>0</v>
      </c>
      <c r="BD15" s="3284">
        <f t="shared" si="4"/>
        <v>0</v>
      </c>
      <c r="BE15" s="3275"/>
      <c r="BF15" s="3744"/>
      <c r="BG15" s="3744"/>
      <c r="BH15" s="3753">
        <f t="shared" si="30"/>
        <v>0</v>
      </c>
      <c r="BI15" s="3284">
        <f t="shared" si="31"/>
        <v>0</v>
      </c>
      <c r="BJ15" s="3754"/>
      <c r="BK15" s="3274"/>
      <c r="BL15" s="3274"/>
      <c r="BM15" s="3283">
        <f t="shared" si="32"/>
        <v>0</v>
      </c>
      <c r="BN15" s="3284">
        <f t="shared" si="5"/>
        <v>0</v>
      </c>
      <c r="BO15" s="3746"/>
      <c r="BP15" s="3283"/>
      <c r="BQ15" s="3283"/>
      <c r="BR15" s="3283">
        <f t="shared" si="33"/>
        <v>0</v>
      </c>
      <c r="BS15" s="3284">
        <f t="shared" si="34"/>
        <v>0</v>
      </c>
      <c r="BT15" s="1158"/>
      <c r="BU15" s="3285"/>
      <c r="BV15" s="3285"/>
      <c r="BW15" s="3286">
        <f t="shared" si="37"/>
        <v>0</v>
      </c>
      <c r="BX15" s="3284">
        <f t="shared" si="6"/>
        <v>0</v>
      </c>
      <c r="BY15" s="1158"/>
      <c r="BZ15" s="3285"/>
      <c r="CA15" s="3285"/>
      <c r="CB15" s="3286">
        <f t="shared" si="38"/>
        <v>0</v>
      </c>
      <c r="CC15" s="3284">
        <f t="shared" si="7"/>
        <v>0</v>
      </c>
      <c r="CD15" s="1158"/>
      <c r="CE15" s="3285"/>
      <c r="CF15" s="3285"/>
      <c r="CG15" s="3286">
        <f t="shared" si="39"/>
        <v>0</v>
      </c>
      <c r="CH15" s="3284">
        <f t="shared" si="8"/>
        <v>0</v>
      </c>
      <c r="CI15" s="1158"/>
      <c r="CJ15" s="3285"/>
      <c r="CK15" s="3285"/>
      <c r="CL15" s="3286">
        <f t="shared" si="40"/>
        <v>0</v>
      </c>
      <c r="CM15" s="3284">
        <f t="shared" si="9"/>
        <v>0</v>
      </c>
      <c r="CN15" s="1158"/>
      <c r="CO15" s="3285"/>
      <c r="CP15" s="3285"/>
      <c r="CQ15" s="3286">
        <f t="shared" si="41"/>
        <v>0</v>
      </c>
      <c r="CR15" s="3284">
        <f t="shared" si="10"/>
        <v>0</v>
      </c>
      <c r="CS15" s="1158"/>
      <c r="CT15" s="3285"/>
      <c r="CU15" s="3285"/>
      <c r="CV15" s="3286">
        <f t="shared" si="42"/>
        <v>0</v>
      </c>
      <c r="CW15" s="3284">
        <f t="shared" si="11"/>
        <v>0</v>
      </c>
      <c r="CX15" s="1158"/>
      <c r="CY15" s="3285"/>
      <c r="CZ15" s="3285"/>
      <c r="DA15" s="3286">
        <f t="shared" si="43"/>
        <v>0</v>
      </c>
      <c r="DB15" s="3284">
        <f t="shared" si="12"/>
        <v>0</v>
      </c>
      <c r="DC15" s="1158"/>
      <c r="DD15" s="3285"/>
      <c r="DE15" s="3285"/>
      <c r="DF15" s="3286">
        <f t="shared" si="44"/>
        <v>0</v>
      </c>
      <c r="DG15" s="3284">
        <f t="shared" si="13"/>
        <v>0</v>
      </c>
      <c r="DH15" s="1158"/>
      <c r="DI15" s="3285"/>
      <c r="DJ15" s="3285"/>
      <c r="DK15" s="3286">
        <f t="shared" si="45"/>
        <v>0</v>
      </c>
      <c r="DL15" s="3284">
        <f t="shared" si="14"/>
        <v>0</v>
      </c>
      <c r="DM15" s="1158"/>
      <c r="DN15" s="3283">
        <f t="shared" si="35"/>
        <v>0</v>
      </c>
      <c r="DO15" s="3283">
        <f t="shared" si="35"/>
        <v>0</v>
      </c>
      <c r="DP15" s="3283">
        <f t="shared" si="36"/>
        <v>0</v>
      </c>
      <c r="DQ15" s="3284">
        <f t="shared" si="15"/>
        <v>0</v>
      </c>
      <c r="DR15" s="1449"/>
    </row>
    <row r="16" spans="1:122" s="1411" customFormat="1" ht="13.8" x14ac:dyDescent="0.25">
      <c r="A16" s="3290"/>
      <c r="B16" s="3289" t="s">
        <v>21</v>
      </c>
      <c r="C16" s="3288">
        <v>0</v>
      </c>
      <c r="D16" s="3274">
        <v>0</v>
      </c>
      <c r="E16" s="3283">
        <v>0</v>
      </c>
      <c r="F16" s="3284">
        <v>0</v>
      </c>
      <c r="G16" s="2492"/>
      <c r="H16" s="3274"/>
      <c r="I16" s="3274"/>
      <c r="J16" s="3283">
        <f t="shared" si="16"/>
        <v>0</v>
      </c>
      <c r="K16" s="3284">
        <f t="shared" si="0"/>
        <v>0</v>
      </c>
      <c r="L16" s="1449"/>
      <c r="M16" s="3274"/>
      <c r="N16" s="3274"/>
      <c r="O16" s="3283">
        <f t="shared" si="17"/>
        <v>0</v>
      </c>
      <c r="P16" s="3284">
        <f t="shared" si="2"/>
        <v>0</v>
      </c>
      <c r="Q16" s="1449"/>
      <c r="R16" s="3274"/>
      <c r="S16" s="3274"/>
      <c r="T16" s="3283">
        <f t="shared" si="18"/>
        <v>0</v>
      </c>
      <c r="U16" s="3284">
        <f t="shared" si="1"/>
        <v>0</v>
      </c>
      <c r="V16" s="1449"/>
      <c r="W16" s="3274"/>
      <c r="X16" s="3274"/>
      <c r="Y16" s="3283">
        <f t="shared" si="19"/>
        <v>0</v>
      </c>
      <c r="Z16" s="3284">
        <f t="shared" si="20"/>
        <v>0</v>
      </c>
      <c r="AA16" s="1449"/>
      <c r="AB16" s="3274"/>
      <c r="AC16" s="3274"/>
      <c r="AD16" s="3283">
        <f t="shared" si="21"/>
        <v>0</v>
      </c>
      <c r="AE16" s="3284">
        <f t="shared" si="22"/>
        <v>0</v>
      </c>
      <c r="AF16" s="1449"/>
      <c r="AG16" s="3274"/>
      <c r="AH16" s="3274"/>
      <c r="AI16" s="3283">
        <f t="shared" si="23"/>
        <v>0</v>
      </c>
      <c r="AJ16" s="3284">
        <f t="shared" si="24"/>
        <v>0</v>
      </c>
      <c r="AK16" s="1449"/>
      <c r="AL16" s="3274"/>
      <c r="AM16" s="3274"/>
      <c r="AN16" s="3439">
        <f t="shared" si="25"/>
        <v>0</v>
      </c>
      <c r="AO16" s="3284">
        <f t="shared" si="26"/>
        <v>0</v>
      </c>
      <c r="AP16" s="1449"/>
      <c r="AQ16" s="3274"/>
      <c r="AR16" s="3274"/>
      <c r="AS16" s="3283">
        <f t="shared" si="27"/>
        <v>0</v>
      </c>
      <c r="AT16" s="3284">
        <f t="shared" si="28"/>
        <v>0</v>
      </c>
      <c r="AU16" s="1449"/>
      <c r="AV16" s="3275">
        <v>0</v>
      </c>
      <c r="AW16" s="3275">
        <v>0</v>
      </c>
      <c r="AX16" s="3283">
        <v>0</v>
      </c>
      <c r="AY16" s="3284">
        <v>0</v>
      </c>
      <c r="AZ16" s="3275"/>
      <c r="BA16" s="3275">
        <f t="shared" si="3"/>
        <v>0</v>
      </c>
      <c r="BB16" s="3275">
        <f t="shared" si="3"/>
        <v>0</v>
      </c>
      <c r="BC16" s="3283">
        <f t="shared" si="29"/>
        <v>0</v>
      </c>
      <c r="BD16" s="3284">
        <f t="shared" si="4"/>
        <v>0</v>
      </c>
      <c r="BE16" s="3275"/>
      <c r="BF16" s="3744"/>
      <c r="BG16" s="3744"/>
      <c r="BH16" s="3753">
        <f t="shared" si="30"/>
        <v>0</v>
      </c>
      <c r="BI16" s="3284">
        <f t="shared" si="31"/>
        <v>0</v>
      </c>
      <c r="BJ16" s="3754"/>
      <c r="BK16" s="3274"/>
      <c r="BL16" s="3274"/>
      <c r="BM16" s="3283">
        <f t="shared" si="32"/>
        <v>0</v>
      </c>
      <c r="BN16" s="3284">
        <f t="shared" si="5"/>
        <v>0</v>
      </c>
      <c r="BO16" s="3746"/>
      <c r="BP16" s="3283"/>
      <c r="BQ16" s="3283"/>
      <c r="BR16" s="3283">
        <f t="shared" si="33"/>
        <v>0</v>
      </c>
      <c r="BS16" s="3284">
        <f t="shared" si="34"/>
        <v>0</v>
      </c>
      <c r="BT16" s="1158"/>
      <c r="BU16" s="3285"/>
      <c r="BV16" s="3285"/>
      <c r="BW16" s="3286">
        <f t="shared" si="37"/>
        <v>0</v>
      </c>
      <c r="BX16" s="3284">
        <f t="shared" si="6"/>
        <v>0</v>
      </c>
      <c r="BY16" s="1158"/>
      <c r="BZ16" s="3285"/>
      <c r="CA16" s="3285"/>
      <c r="CB16" s="3286">
        <f t="shared" si="38"/>
        <v>0</v>
      </c>
      <c r="CC16" s="3284">
        <f t="shared" si="7"/>
        <v>0</v>
      </c>
      <c r="CD16" s="1158"/>
      <c r="CE16" s="3285"/>
      <c r="CF16" s="3285"/>
      <c r="CG16" s="3286">
        <f t="shared" si="39"/>
        <v>0</v>
      </c>
      <c r="CH16" s="3284">
        <f t="shared" si="8"/>
        <v>0</v>
      </c>
      <c r="CI16" s="1158"/>
      <c r="CJ16" s="3285"/>
      <c r="CK16" s="3285"/>
      <c r="CL16" s="3286">
        <f t="shared" si="40"/>
        <v>0</v>
      </c>
      <c r="CM16" s="3284">
        <f t="shared" si="9"/>
        <v>0</v>
      </c>
      <c r="CN16" s="1158"/>
      <c r="CO16" s="3285"/>
      <c r="CP16" s="3285"/>
      <c r="CQ16" s="3286">
        <f t="shared" si="41"/>
        <v>0</v>
      </c>
      <c r="CR16" s="3284">
        <f t="shared" si="10"/>
        <v>0</v>
      </c>
      <c r="CS16" s="1158"/>
      <c r="CT16" s="3285"/>
      <c r="CU16" s="3285"/>
      <c r="CV16" s="3286">
        <f t="shared" si="42"/>
        <v>0</v>
      </c>
      <c r="CW16" s="3284">
        <f t="shared" si="11"/>
        <v>0</v>
      </c>
      <c r="CX16" s="1158"/>
      <c r="CY16" s="3285"/>
      <c r="CZ16" s="3285"/>
      <c r="DA16" s="3286">
        <f t="shared" si="43"/>
        <v>0</v>
      </c>
      <c r="DB16" s="3284">
        <f t="shared" si="12"/>
        <v>0</v>
      </c>
      <c r="DC16" s="1158"/>
      <c r="DD16" s="3285"/>
      <c r="DE16" s="3285"/>
      <c r="DF16" s="3286">
        <f t="shared" si="44"/>
        <v>0</v>
      </c>
      <c r="DG16" s="3284">
        <f t="shared" si="13"/>
        <v>0</v>
      </c>
      <c r="DH16" s="1158"/>
      <c r="DI16" s="3285"/>
      <c r="DJ16" s="3285"/>
      <c r="DK16" s="3286">
        <f t="shared" si="45"/>
        <v>0</v>
      </c>
      <c r="DL16" s="3284">
        <f t="shared" si="14"/>
        <v>0</v>
      </c>
      <c r="DM16" s="1158"/>
      <c r="DN16" s="3283">
        <f t="shared" si="35"/>
        <v>0</v>
      </c>
      <c r="DO16" s="3283">
        <f t="shared" si="35"/>
        <v>0</v>
      </c>
      <c r="DP16" s="3283">
        <f t="shared" si="36"/>
        <v>0</v>
      </c>
      <c r="DQ16" s="3284">
        <f t="shared" si="15"/>
        <v>0</v>
      </c>
      <c r="DR16" s="1449"/>
    </row>
    <row r="17" spans="1:122" s="1411" customFormat="1" ht="13.8" x14ac:dyDescent="0.25">
      <c r="A17" s="1586"/>
      <c r="B17" s="3289" t="s">
        <v>22</v>
      </c>
      <c r="C17" s="3288">
        <v>0</v>
      </c>
      <c r="D17" s="3274">
        <v>8000</v>
      </c>
      <c r="E17" s="3283">
        <v>8000</v>
      </c>
      <c r="F17" s="3284">
        <v>7.781685467381788E-4</v>
      </c>
      <c r="G17" s="2492"/>
      <c r="H17" s="3274"/>
      <c r="I17" s="3274"/>
      <c r="J17" s="3283">
        <f t="shared" si="16"/>
        <v>0</v>
      </c>
      <c r="K17" s="3284">
        <f t="shared" si="0"/>
        <v>0</v>
      </c>
      <c r="L17" s="1449"/>
      <c r="M17" s="3274"/>
      <c r="N17" s="3274"/>
      <c r="O17" s="3283">
        <f t="shared" si="17"/>
        <v>0</v>
      </c>
      <c r="P17" s="3284">
        <f t="shared" si="2"/>
        <v>0</v>
      </c>
      <c r="Q17" s="3275"/>
      <c r="R17" s="3274"/>
      <c r="S17" s="3274"/>
      <c r="T17" s="3283">
        <f t="shared" si="18"/>
        <v>0</v>
      </c>
      <c r="U17" s="3284">
        <f t="shared" si="1"/>
        <v>0</v>
      </c>
      <c r="V17" s="3275"/>
      <c r="W17" s="3274"/>
      <c r="X17" s="3274"/>
      <c r="Y17" s="3283">
        <f t="shared" si="19"/>
        <v>0</v>
      </c>
      <c r="Z17" s="3284">
        <f t="shared" si="20"/>
        <v>0</v>
      </c>
      <c r="AA17" s="3275"/>
      <c r="AB17" s="3274"/>
      <c r="AC17" s="3274"/>
      <c r="AD17" s="3283">
        <f t="shared" si="21"/>
        <v>0</v>
      </c>
      <c r="AE17" s="3284">
        <f t="shared" si="22"/>
        <v>0</v>
      </c>
      <c r="AF17" s="3275"/>
      <c r="AG17" s="3274"/>
      <c r="AH17" s="3274"/>
      <c r="AI17" s="3283">
        <f t="shared" si="23"/>
        <v>0</v>
      </c>
      <c r="AJ17" s="3284">
        <f t="shared" si="24"/>
        <v>0</v>
      </c>
      <c r="AK17" s="3275"/>
      <c r="AL17" s="3274"/>
      <c r="AM17" s="3274"/>
      <c r="AN17" s="3439">
        <f t="shared" si="25"/>
        <v>0</v>
      </c>
      <c r="AO17" s="3284">
        <f t="shared" si="26"/>
        <v>0</v>
      </c>
      <c r="AP17" s="3275"/>
      <c r="AQ17" s="3274"/>
      <c r="AR17" s="3274"/>
      <c r="AS17" s="3283">
        <f t="shared" si="27"/>
        <v>0</v>
      </c>
      <c r="AT17" s="3284">
        <f t="shared" si="28"/>
        <v>0</v>
      </c>
      <c r="AU17" s="3275"/>
      <c r="AV17" s="3275">
        <v>0</v>
      </c>
      <c r="AW17" s="3275">
        <v>0</v>
      </c>
      <c r="AX17" s="3283">
        <v>0</v>
      </c>
      <c r="AY17" s="3284">
        <v>0</v>
      </c>
      <c r="AZ17" s="3275"/>
      <c r="BA17" s="3275">
        <f t="shared" si="3"/>
        <v>0</v>
      </c>
      <c r="BB17" s="3275">
        <f t="shared" si="3"/>
        <v>0</v>
      </c>
      <c r="BC17" s="3283">
        <f t="shared" si="29"/>
        <v>0</v>
      </c>
      <c r="BD17" s="3284">
        <f t="shared" si="4"/>
        <v>0</v>
      </c>
      <c r="BE17" s="3275"/>
      <c r="BF17" s="3744"/>
      <c r="BG17" s="3744"/>
      <c r="BH17" s="3753">
        <f t="shared" si="30"/>
        <v>0</v>
      </c>
      <c r="BI17" s="3284">
        <f t="shared" si="31"/>
        <v>0</v>
      </c>
      <c r="BJ17" s="3358"/>
      <c r="BK17" s="3274"/>
      <c r="BL17" s="3274"/>
      <c r="BM17" s="3283">
        <f t="shared" si="32"/>
        <v>0</v>
      </c>
      <c r="BN17" s="3284">
        <f t="shared" si="5"/>
        <v>0</v>
      </c>
      <c r="BO17" s="3746"/>
      <c r="BP17" s="3283"/>
      <c r="BQ17" s="3283"/>
      <c r="BR17" s="3283">
        <f t="shared" si="33"/>
        <v>0</v>
      </c>
      <c r="BS17" s="3284">
        <f t="shared" si="34"/>
        <v>0</v>
      </c>
      <c r="BT17" s="1158"/>
      <c r="BU17" s="3285"/>
      <c r="BV17" s="3285"/>
      <c r="BW17" s="3286">
        <f t="shared" si="37"/>
        <v>0</v>
      </c>
      <c r="BX17" s="3284">
        <f t="shared" si="6"/>
        <v>0</v>
      </c>
      <c r="BY17" s="1158"/>
      <c r="BZ17" s="3285"/>
      <c r="CA17" s="3285"/>
      <c r="CB17" s="3286">
        <f t="shared" si="38"/>
        <v>0</v>
      </c>
      <c r="CC17" s="3284">
        <f t="shared" si="7"/>
        <v>0</v>
      </c>
      <c r="CD17" s="1158"/>
      <c r="CE17" s="3285"/>
      <c r="CF17" s="3285"/>
      <c r="CG17" s="3286">
        <f t="shared" si="39"/>
        <v>0</v>
      </c>
      <c r="CH17" s="3284">
        <f t="shared" si="8"/>
        <v>0</v>
      </c>
      <c r="CI17" s="1158"/>
      <c r="CJ17" s="3285"/>
      <c r="CK17" s="3285"/>
      <c r="CL17" s="3286">
        <f t="shared" si="40"/>
        <v>0</v>
      </c>
      <c r="CM17" s="3284">
        <f t="shared" si="9"/>
        <v>0</v>
      </c>
      <c r="CN17" s="1158"/>
      <c r="CO17" s="3285"/>
      <c r="CP17" s="3285"/>
      <c r="CQ17" s="3286">
        <f t="shared" si="41"/>
        <v>0</v>
      </c>
      <c r="CR17" s="3284">
        <f t="shared" si="10"/>
        <v>0</v>
      </c>
      <c r="CS17" s="1158"/>
      <c r="CT17" s="3285"/>
      <c r="CU17" s="3285"/>
      <c r="CV17" s="3286">
        <f t="shared" si="42"/>
        <v>0</v>
      </c>
      <c r="CW17" s="3284">
        <f t="shared" si="11"/>
        <v>0</v>
      </c>
      <c r="CX17" s="1158"/>
      <c r="CY17" s="3285"/>
      <c r="CZ17" s="3285"/>
      <c r="DA17" s="3286">
        <f t="shared" si="43"/>
        <v>0</v>
      </c>
      <c r="DB17" s="3284">
        <f t="shared" si="12"/>
        <v>0</v>
      </c>
      <c r="DC17" s="1158"/>
      <c r="DD17" s="3285"/>
      <c r="DE17" s="3285"/>
      <c r="DF17" s="3286">
        <f t="shared" si="44"/>
        <v>0</v>
      </c>
      <c r="DG17" s="3284">
        <f t="shared" si="13"/>
        <v>0</v>
      </c>
      <c r="DH17" s="1158"/>
      <c r="DI17" s="3285"/>
      <c r="DJ17" s="3285"/>
      <c r="DK17" s="3286">
        <f t="shared" si="45"/>
        <v>0</v>
      </c>
      <c r="DL17" s="3284">
        <f t="shared" si="14"/>
        <v>0</v>
      </c>
      <c r="DM17" s="1158"/>
      <c r="DN17" s="3283">
        <f t="shared" si="35"/>
        <v>0</v>
      </c>
      <c r="DO17" s="3283">
        <f t="shared" si="35"/>
        <v>0</v>
      </c>
      <c r="DP17" s="3283">
        <f t="shared" si="36"/>
        <v>0</v>
      </c>
      <c r="DQ17" s="3284">
        <f t="shared" si="15"/>
        <v>0</v>
      </c>
      <c r="DR17" s="1449"/>
    </row>
    <row r="18" spans="1:122" s="1411" customFormat="1" ht="81.599999999999994" customHeight="1" x14ac:dyDescent="0.25">
      <c r="A18" s="1586"/>
      <c r="B18" s="3289" t="s">
        <v>0</v>
      </c>
      <c r="C18" s="3288">
        <v>264799.424</v>
      </c>
      <c r="D18" s="3274">
        <v>37390</v>
      </c>
      <c r="E18" s="3283">
        <v>302189.424</v>
      </c>
      <c r="F18" s="3284">
        <v>2.9394288114215919E-2</v>
      </c>
      <c r="G18" s="2492"/>
      <c r="H18" s="3274">
        <f>2250-150+9000+1008.33*1.2+3333.33*1.2</f>
        <v>16309.991999999998</v>
      </c>
      <c r="I18" s="3274">
        <v>500</v>
      </c>
      <c r="J18" s="3283">
        <f t="shared" si="16"/>
        <v>16809.991999999998</v>
      </c>
      <c r="K18" s="3284">
        <f t="shared" si="0"/>
        <v>1.8749952537585501E-2</v>
      </c>
      <c r="L18" s="1596" t="s">
        <v>1005</v>
      </c>
      <c r="M18" s="3274">
        <f>2400+2400+2400+30026.6+4000+3030+1320+425*1.2+2400-640</f>
        <v>47846.6</v>
      </c>
      <c r="N18" s="3274">
        <f>4050-200+38000+5000</f>
        <v>46850</v>
      </c>
      <c r="O18" s="3283">
        <f t="shared" si="17"/>
        <v>94696.6</v>
      </c>
      <c r="P18" s="3284">
        <f t="shared" si="2"/>
        <v>6.70881029222197E-2</v>
      </c>
      <c r="Q18" s="3275" t="s">
        <v>1074</v>
      </c>
      <c r="R18" s="3274"/>
      <c r="S18" s="3274"/>
      <c r="T18" s="3283">
        <f t="shared" si="18"/>
        <v>0</v>
      </c>
      <c r="U18" s="3284">
        <f t="shared" si="1"/>
        <v>0</v>
      </c>
      <c r="V18" s="3275"/>
      <c r="W18" s="3274"/>
      <c r="X18" s="3274"/>
      <c r="Y18" s="3283">
        <f t="shared" si="19"/>
        <v>0</v>
      </c>
      <c r="Z18" s="3284">
        <f t="shared" si="20"/>
        <v>0</v>
      </c>
      <c r="AA18" s="3275"/>
      <c r="AB18" s="3274"/>
      <c r="AC18" s="3274"/>
      <c r="AD18" s="3283">
        <f t="shared" si="21"/>
        <v>0</v>
      </c>
      <c r="AE18" s="3284">
        <f t="shared" si="22"/>
        <v>0</v>
      </c>
      <c r="AF18" s="3275"/>
      <c r="AG18" s="3274"/>
      <c r="AH18" s="3274">
        <v>1920</v>
      </c>
      <c r="AI18" s="3283">
        <f t="shared" si="23"/>
        <v>1920</v>
      </c>
      <c r="AJ18" s="3284">
        <f t="shared" si="24"/>
        <v>5.5291659687995171E-3</v>
      </c>
      <c r="AK18" s="3275" t="s">
        <v>1313</v>
      </c>
      <c r="AL18" s="3274"/>
      <c r="AM18" s="3274"/>
      <c r="AN18" s="3439">
        <f t="shared" si="25"/>
        <v>0</v>
      </c>
      <c r="AO18" s="3284">
        <f t="shared" si="26"/>
        <v>0</v>
      </c>
      <c r="AP18" s="3275"/>
      <c r="AQ18" s="3274">
        <v>2240</v>
      </c>
      <c r="AR18" s="3274"/>
      <c r="AS18" s="3283">
        <f t="shared" si="27"/>
        <v>2240</v>
      </c>
      <c r="AT18" s="3284">
        <f t="shared" si="28"/>
        <v>6.4506936302661027E-3</v>
      </c>
      <c r="AU18" s="3361" t="s">
        <v>1270</v>
      </c>
      <c r="AV18" s="3275">
        <v>43858</v>
      </c>
      <c r="AW18" s="3275">
        <v>0</v>
      </c>
      <c r="AX18" s="3283">
        <v>43858</v>
      </c>
      <c r="AY18" s="3284">
        <v>0.11730776421690567</v>
      </c>
      <c r="AZ18" s="3275"/>
      <c r="BA18" s="3275">
        <f t="shared" si="3"/>
        <v>45540</v>
      </c>
      <c r="BB18" s="3275">
        <f t="shared" si="3"/>
        <v>0</v>
      </c>
      <c r="BC18" s="3283">
        <f t="shared" si="29"/>
        <v>45540</v>
      </c>
      <c r="BD18" s="3284">
        <f t="shared" si="4"/>
        <v>0.12180663920921803</v>
      </c>
      <c r="BE18" s="3275"/>
      <c r="BF18" s="3744">
        <f>160*15</f>
        <v>2400</v>
      </c>
      <c r="BG18" s="3744"/>
      <c r="BH18" s="3753">
        <f t="shared" si="30"/>
        <v>2400</v>
      </c>
      <c r="BI18" s="3284">
        <f t="shared" si="31"/>
        <v>6.911457460999396E-3</v>
      </c>
      <c r="BJ18" s="3755" t="s">
        <v>2142</v>
      </c>
      <c r="BK18" s="3274">
        <f>((5500+12000+6640+7810)*1.2)+2400</f>
        <v>40740</v>
      </c>
      <c r="BL18" s="3274"/>
      <c r="BM18" s="3283">
        <f t="shared" si="32"/>
        <v>40740</v>
      </c>
      <c r="BN18" s="3284">
        <f t="shared" si="5"/>
        <v>3.9628233242641753E-3</v>
      </c>
      <c r="BO18" s="3746" t="s">
        <v>2183</v>
      </c>
      <c r="BP18" s="3286">
        <v>2400</v>
      </c>
      <c r="BQ18" s="3286"/>
      <c r="BR18" s="3286">
        <f t="shared" si="33"/>
        <v>2400</v>
      </c>
      <c r="BS18" s="3284">
        <f t="shared" si="34"/>
        <v>6.4193222244647184E-3</v>
      </c>
      <c r="BT18" s="3291" t="s">
        <v>2142</v>
      </c>
      <c r="BU18" s="3285"/>
      <c r="BV18" s="3285"/>
      <c r="BW18" s="3286">
        <f t="shared" si="37"/>
        <v>0</v>
      </c>
      <c r="BX18" s="3284">
        <f t="shared" si="6"/>
        <v>0</v>
      </c>
      <c r="BY18" s="3276"/>
      <c r="BZ18" s="3285"/>
      <c r="CA18" s="3285"/>
      <c r="CB18" s="3286">
        <f t="shared" si="38"/>
        <v>0</v>
      </c>
      <c r="CC18" s="3284">
        <f t="shared" si="7"/>
        <v>0</v>
      </c>
      <c r="CD18" s="3291"/>
      <c r="CE18" s="3285"/>
      <c r="CF18" s="3285"/>
      <c r="CG18" s="3286">
        <f t="shared" si="39"/>
        <v>0</v>
      </c>
      <c r="CH18" s="3284">
        <f t="shared" si="8"/>
        <v>0</v>
      </c>
      <c r="CI18" s="3291"/>
      <c r="CJ18" s="3285"/>
      <c r="CK18" s="3285"/>
      <c r="CL18" s="3286">
        <f t="shared" si="40"/>
        <v>0</v>
      </c>
      <c r="CM18" s="3284">
        <f t="shared" si="9"/>
        <v>0</v>
      </c>
      <c r="CN18" s="3291"/>
      <c r="CO18" s="3285"/>
      <c r="CP18" s="3285"/>
      <c r="CQ18" s="3286">
        <f t="shared" si="41"/>
        <v>0</v>
      </c>
      <c r="CR18" s="3284">
        <f t="shared" si="10"/>
        <v>0</v>
      </c>
      <c r="CS18" s="3440"/>
      <c r="CT18" s="3285"/>
      <c r="CU18" s="3285"/>
      <c r="CV18" s="3286">
        <f t="shared" si="42"/>
        <v>0</v>
      </c>
      <c r="CW18" s="3284">
        <f t="shared" si="11"/>
        <v>0</v>
      </c>
      <c r="CX18" s="3291"/>
      <c r="CY18" s="3285"/>
      <c r="CZ18" s="3285"/>
      <c r="DA18" s="3286">
        <f t="shared" si="43"/>
        <v>0</v>
      </c>
      <c r="DB18" s="3284">
        <f t="shared" si="12"/>
        <v>0</v>
      </c>
      <c r="DC18" s="3291"/>
      <c r="DD18" s="3285"/>
      <c r="DE18" s="3285"/>
      <c r="DF18" s="3286">
        <f t="shared" si="44"/>
        <v>0</v>
      </c>
      <c r="DG18" s="3284">
        <f t="shared" si="13"/>
        <v>0</v>
      </c>
      <c r="DH18" s="3291"/>
      <c r="DI18" s="3285"/>
      <c r="DJ18" s="3285"/>
      <c r="DK18" s="3286">
        <f t="shared" si="45"/>
        <v>0</v>
      </c>
      <c r="DL18" s="3284">
        <f t="shared" si="14"/>
        <v>0</v>
      </c>
      <c r="DM18" s="3291"/>
      <c r="DN18" s="3283">
        <f t="shared" si="35"/>
        <v>91638</v>
      </c>
      <c r="DO18" s="3283">
        <f t="shared" si="35"/>
        <v>1920</v>
      </c>
      <c r="DP18" s="3283">
        <f t="shared" si="36"/>
        <v>93558</v>
      </c>
      <c r="DQ18" s="3284">
        <f t="shared" si="15"/>
        <v>6.9930560180520617E-3</v>
      </c>
      <c r="DR18" s="1449"/>
    </row>
    <row r="19" spans="1:122" s="1411" customFormat="1" ht="19.2" customHeight="1" x14ac:dyDescent="0.25">
      <c r="A19" s="1586"/>
      <c r="B19" s="3289" t="s">
        <v>53</v>
      </c>
      <c r="C19" s="3288">
        <v>0</v>
      </c>
      <c r="D19" s="3274">
        <v>0</v>
      </c>
      <c r="E19" s="3283">
        <v>0</v>
      </c>
      <c r="F19" s="3284">
        <v>0</v>
      </c>
      <c r="G19" s="2492"/>
      <c r="H19" s="3274"/>
      <c r="I19" s="3274"/>
      <c r="J19" s="3283">
        <f t="shared" si="16"/>
        <v>0</v>
      </c>
      <c r="K19" s="3284">
        <f t="shared" si="0"/>
        <v>0</v>
      </c>
      <c r="L19" s="1449"/>
      <c r="M19" s="3274"/>
      <c r="N19" s="3274"/>
      <c r="O19" s="3283">
        <f t="shared" si="17"/>
        <v>0</v>
      </c>
      <c r="P19" s="3284">
        <f t="shared" si="2"/>
        <v>0</v>
      </c>
      <c r="Q19" s="1409"/>
      <c r="R19" s="3274"/>
      <c r="S19" s="3274"/>
      <c r="T19" s="3283">
        <f t="shared" si="18"/>
        <v>0</v>
      </c>
      <c r="U19" s="3284">
        <f t="shared" si="1"/>
        <v>0</v>
      </c>
      <c r="V19" s="1409"/>
      <c r="W19" s="3274"/>
      <c r="X19" s="3274"/>
      <c r="Y19" s="3283">
        <f t="shared" si="19"/>
        <v>0</v>
      </c>
      <c r="Z19" s="3284">
        <f t="shared" si="20"/>
        <v>0</v>
      </c>
      <c r="AA19" s="1409"/>
      <c r="AB19" s="3274"/>
      <c r="AC19" s="3274"/>
      <c r="AD19" s="3283">
        <f t="shared" si="21"/>
        <v>0</v>
      </c>
      <c r="AE19" s="3284">
        <f t="shared" si="22"/>
        <v>0</v>
      </c>
      <c r="AF19" s="1409"/>
      <c r="AG19" s="3274"/>
      <c r="AH19" s="3274"/>
      <c r="AI19" s="3283">
        <f t="shared" si="23"/>
        <v>0</v>
      </c>
      <c r="AJ19" s="3284">
        <f t="shared" si="24"/>
        <v>0</v>
      </c>
      <c r="AK19" s="1409"/>
      <c r="AL19" s="3274"/>
      <c r="AM19" s="3274"/>
      <c r="AN19" s="3439">
        <f t="shared" si="25"/>
        <v>0</v>
      </c>
      <c r="AO19" s="3284">
        <f t="shared" si="26"/>
        <v>0</v>
      </c>
      <c r="AP19" s="1409"/>
      <c r="AQ19" s="3274"/>
      <c r="AR19" s="3274"/>
      <c r="AS19" s="3283">
        <f t="shared" si="27"/>
        <v>0</v>
      </c>
      <c r="AT19" s="3284">
        <f t="shared" si="28"/>
        <v>0</v>
      </c>
      <c r="AU19" s="1409"/>
      <c r="AV19" s="3275">
        <v>0</v>
      </c>
      <c r="AW19" s="3275">
        <v>0</v>
      </c>
      <c r="AX19" s="3283">
        <v>0</v>
      </c>
      <c r="AY19" s="3284">
        <v>0</v>
      </c>
      <c r="AZ19" s="3275"/>
      <c r="BA19" s="3275">
        <f t="shared" si="3"/>
        <v>0</v>
      </c>
      <c r="BB19" s="3275">
        <f t="shared" si="3"/>
        <v>0</v>
      </c>
      <c r="BC19" s="3283">
        <f t="shared" si="29"/>
        <v>0</v>
      </c>
      <c r="BD19" s="3284">
        <f t="shared" si="4"/>
        <v>0</v>
      </c>
      <c r="BE19" s="3275"/>
      <c r="BF19" s="3744"/>
      <c r="BG19" s="3744"/>
      <c r="BH19" s="3753">
        <f t="shared" si="30"/>
        <v>0</v>
      </c>
      <c r="BI19" s="3284">
        <f t="shared" si="31"/>
        <v>0</v>
      </c>
      <c r="BJ19" s="3756"/>
      <c r="BK19" s="3274"/>
      <c r="BL19" s="3274"/>
      <c r="BM19" s="3283">
        <f t="shared" si="32"/>
        <v>0</v>
      </c>
      <c r="BN19" s="3284">
        <f t="shared" si="5"/>
        <v>0</v>
      </c>
      <c r="BO19" s="3746"/>
      <c r="BP19" s="3286"/>
      <c r="BQ19" s="3286"/>
      <c r="BR19" s="3286">
        <f t="shared" si="33"/>
        <v>0</v>
      </c>
      <c r="BS19" s="3284">
        <f t="shared" si="34"/>
        <v>0</v>
      </c>
      <c r="BT19" s="1107"/>
      <c r="BU19" s="3285"/>
      <c r="BV19" s="3285"/>
      <c r="BW19" s="3286">
        <f t="shared" si="37"/>
        <v>0</v>
      </c>
      <c r="BX19" s="3284">
        <f t="shared" si="6"/>
        <v>0</v>
      </c>
      <c r="BY19" s="1107"/>
      <c r="BZ19" s="3285"/>
      <c r="CA19" s="3285"/>
      <c r="CB19" s="3286">
        <f t="shared" si="38"/>
        <v>0</v>
      </c>
      <c r="CC19" s="3284">
        <f t="shared" si="7"/>
        <v>0</v>
      </c>
      <c r="CD19" s="1107"/>
      <c r="CE19" s="3285"/>
      <c r="CF19" s="3285"/>
      <c r="CG19" s="3286">
        <f t="shared" si="39"/>
        <v>0</v>
      </c>
      <c r="CH19" s="3284">
        <f t="shared" si="8"/>
        <v>0</v>
      </c>
      <c r="CI19" s="1107"/>
      <c r="CJ19" s="3285"/>
      <c r="CK19" s="3285"/>
      <c r="CL19" s="3286">
        <f t="shared" si="40"/>
        <v>0</v>
      </c>
      <c r="CM19" s="3284">
        <f t="shared" si="9"/>
        <v>0</v>
      </c>
      <c r="CN19" s="1107"/>
      <c r="CO19" s="3285"/>
      <c r="CP19" s="3285"/>
      <c r="CQ19" s="3286">
        <f t="shared" si="41"/>
        <v>0</v>
      </c>
      <c r="CR19" s="3284">
        <f t="shared" si="10"/>
        <v>0</v>
      </c>
      <c r="CS19" s="1107"/>
      <c r="CT19" s="3285"/>
      <c r="CU19" s="3285"/>
      <c r="CV19" s="3286">
        <f t="shared" si="42"/>
        <v>0</v>
      </c>
      <c r="CW19" s="3284">
        <f t="shared" si="11"/>
        <v>0</v>
      </c>
      <c r="CX19" s="1107"/>
      <c r="CY19" s="3285"/>
      <c r="CZ19" s="3285"/>
      <c r="DA19" s="3286">
        <f t="shared" si="43"/>
        <v>0</v>
      </c>
      <c r="DB19" s="3284">
        <f t="shared" si="12"/>
        <v>0</v>
      </c>
      <c r="DC19" s="1107"/>
      <c r="DD19" s="3285"/>
      <c r="DE19" s="3285"/>
      <c r="DF19" s="3286">
        <f t="shared" si="44"/>
        <v>0</v>
      </c>
      <c r="DG19" s="3284">
        <f t="shared" si="13"/>
        <v>0</v>
      </c>
      <c r="DH19" s="1107"/>
      <c r="DI19" s="3285"/>
      <c r="DJ19" s="3285"/>
      <c r="DK19" s="3286">
        <f t="shared" si="45"/>
        <v>0</v>
      </c>
      <c r="DL19" s="3284">
        <f t="shared" si="14"/>
        <v>0</v>
      </c>
      <c r="DM19" s="1107"/>
      <c r="DN19" s="3283">
        <f t="shared" si="35"/>
        <v>0</v>
      </c>
      <c r="DO19" s="3283">
        <f t="shared" si="35"/>
        <v>0</v>
      </c>
      <c r="DP19" s="3283">
        <f t="shared" si="36"/>
        <v>0</v>
      </c>
      <c r="DQ19" s="3284">
        <f t="shared" si="15"/>
        <v>0</v>
      </c>
      <c r="DR19" s="1449"/>
    </row>
    <row r="20" spans="1:122" s="1411" customFormat="1" ht="13.8" x14ac:dyDescent="0.25">
      <c r="A20" s="1586"/>
      <c r="B20" s="3289" t="s">
        <v>57</v>
      </c>
      <c r="C20" s="3288">
        <v>0</v>
      </c>
      <c r="D20" s="3274">
        <v>0</v>
      </c>
      <c r="E20" s="3283">
        <v>0</v>
      </c>
      <c r="F20" s="3284">
        <v>0</v>
      </c>
      <c r="G20" s="2492"/>
      <c r="H20" s="3274"/>
      <c r="I20" s="3274"/>
      <c r="J20" s="3283">
        <f t="shared" si="16"/>
        <v>0</v>
      </c>
      <c r="K20" s="3284">
        <f t="shared" si="0"/>
        <v>0</v>
      </c>
      <c r="L20" s="1449"/>
      <c r="M20" s="3274"/>
      <c r="N20" s="3274"/>
      <c r="O20" s="3283">
        <f t="shared" si="17"/>
        <v>0</v>
      </c>
      <c r="P20" s="3284">
        <f t="shared" si="2"/>
        <v>0</v>
      </c>
      <c r="Q20" s="1608"/>
      <c r="R20" s="3274"/>
      <c r="S20" s="3274"/>
      <c r="T20" s="3283">
        <f t="shared" si="18"/>
        <v>0</v>
      </c>
      <c r="U20" s="3284">
        <f t="shared" si="1"/>
        <v>0</v>
      </c>
      <c r="V20" s="1608"/>
      <c r="W20" s="3274"/>
      <c r="X20" s="3274"/>
      <c r="Y20" s="3283">
        <f t="shared" si="19"/>
        <v>0</v>
      </c>
      <c r="Z20" s="3284">
        <f t="shared" si="20"/>
        <v>0</v>
      </c>
      <c r="AA20" s="1608"/>
      <c r="AB20" s="3274"/>
      <c r="AC20" s="3274"/>
      <c r="AD20" s="3283">
        <f t="shared" si="21"/>
        <v>0</v>
      </c>
      <c r="AE20" s="3284">
        <f t="shared" si="22"/>
        <v>0</v>
      </c>
      <c r="AF20" s="1608"/>
      <c r="AG20" s="3274"/>
      <c r="AH20" s="3274"/>
      <c r="AI20" s="3283">
        <f t="shared" si="23"/>
        <v>0</v>
      </c>
      <c r="AJ20" s="3284">
        <f t="shared" si="24"/>
        <v>0</v>
      </c>
      <c r="AK20" s="1608"/>
      <c r="AL20" s="3274"/>
      <c r="AM20" s="3274"/>
      <c r="AN20" s="3439">
        <f t="shared" si="25"/>
        <v>0</v>
      </c>
      <c r="AO20" s="3284">
        <f t="shared" si="26"/>
        <v>0</v>
      </c>
      <c r="AP20" s="1608"/>
      <c r="AQ20" s="3274"/>
      <c r="AR20" s="3274"/>
      <c r="AS20" s="3283">
        <f t="shared" si="27"/>
        <v>0</v>
      </c>
      <c r="AT20" s="3284">
        <f t="shared" si="28"/>
        <v>0</v>
      </c>
      <c r="AU20" s="1608"/>
      <c r="AV20" s="3275">
        <v>0</v>
      </c>
      <c r="AW20" s="3275">
        <v>0</v>
      </c>
      <c r="AX20" s="3283">
        <v>0</v>
      </c>
      <c r="AY20" s="3284">
        <v>0</v>
      </c>
      <c r="AZ20" s="3275"/>
      <c r="BA20" s="3275">
        <f t="shared" si="3"/>
        <v>0</v>
      </c>
      <c r="BB20" s="3275">
        <f t="shared" si="3"/>
        <v>0</v>
      </c>
      <c r="BC20" s="3283">
        <f t="shared" si="29"/>
        <v>0</v>
      </c>
      <c r="BD20" s="3284">
        <f t="shared" si="4"/>
        <v>0</v>
      </c>
      <c r="BE20" s="3275"/>
      <c r="BF20" s="3744"/>
      <c r="BG20" s="3744"/>
      <c r="BH20" s="3753">
        <f t="shared" si="30"/>
        <v>0</v>
      </c>
      <c r="BI20" s="3284">
        <f t="shared" si="31"/>
        <v>0</v>
      </c>
      <c r="BJ20" s="3757"/>
      <c r="BK20" s="3274"/>
      <c r="BL20" s="3274"/>
      <c r="BM20" s="3283">
        <f t="shared" si="32"/>
        <v>0</v>
      </c>
      <c r="BN20" s="3284">
        <f t="shared" si="5"/>
        <v>0</v>
      </c>
      <c r="BO20" s="3746"/>
      <c r="BP20" s="3283"/>
      <c r="BQ20" s="3283"/>
      <c r="BR20" s="3283">
        <f t="shared" si="33"/>
        <v>0</v>
      </c>
      <c r="BS20" s="3284">
        <f t="shared" si="34"/>
        <v>0</v>
      </c>
      <c r="BT20" s="1158"/>
      <c r="BU20" s="3285"/>
      <c r="BV20" s="3285"/>
      <c r="BW20" s="3286">
        <f t="shared" si="37"/>
        <v>0</v>
      </c>
      <c r="BX20" s="3284">
        <f t="shared" si="6"/>
        <v>0</v>
      </c>
      <c r="BY20" s="1158"/>
      <c r="BZ20" s="3285"/>
      <c r="CA20" s="3285"/>
      <c r="CB20" s="3286">
        <f t="shared" si="38"/>
        <v>0</v>
      </c>
      <c r="CC20" s="3284">
        <f t="shared" si="7"/>
        <v>0</v>
      </c>
      <c r="CD20" s="1158"/>
      <c r="CE20" s="3285"/>
      <c r="CF20" s="3285"/>
      <c r="CG20" s="3286">
        <f t="shared" si="39"/>
        <v>0</v>
      </c>
      <c r="CH20" s="3284">
        <f t="shared" si="8"/>
        <v>0</v>
      </c>
      <c r="CI20" s="1158"/>
      <c r="CJ20" s="3285"/>
      <c r="CK20" s="3285"/>
      <c r="CL20" s="3286">
        <f t="shared" si="40"/>
        <v>0</v>
      </c>
      <c r="CM20" s="3284">
        <f t="shared" si="9"/>
        <v>0</v>
      </c>
      <c r="CN20" s="1158"/>
      <c r="CO20" s="3285"/>
      <c r="CP20" s="3285"/>
      <c r="CQ20" s="3286">
        <f t="shared" si="41"/>
        <v>0</v>
      </c>
      <c r="CR20" s="3284">
        <f t="shared" si="10"/>
        <v>0</v>
      </c>
      <c r="CS20" s="1158"/>
      <c r="CT20" s="3285"/>
      <c r="CU20" s="3285"/>
      <c r="CV20" s="3286">
        <f t="shared" si="42"/>
        <v>0</v>
      </c>
      <c r="CW20" s="3284">
        <f t="shared" si="11"/>
        <v>0</v>
      </c>
      <c r="CX20" s="1158"/>
      <c r="CY20" s="3285"/>
      <c r="CZ20" s="3285"/>
      <c r="DA20" s="3286">
        <f t="shared" si="43"/>
        <v>0</v>
      </c>
      <c r="DB20" s="3284">
        <f t="shared" si="12"/>
        <v>0</v>
      </c>
      <c r="DC20" s="1158"/>
      <c r="DD20" s="3285"/>
      <c r="DE20" s="3285"/>
      <c r="DF20" s="3286">
        <f t="shared" si="44"/>
        <v>0</v>
      </c>
      <c r="DG20" s="3284">
        <f t="shared" si="13"/>
        <v>0</v>
      </c>
      <c r="DH20" s="1158"/>
      <c r="DI20" s="3285"/>
      <c r="DJ20" s="3285"/>
      <c r="DK20" s="3286">
        <f t="shared" si="45"/>
        <v>0</v>
      </c>
      <c r="DL20" s="3284">
        <f t="shared" si="14"/>
        <v>0</v>
      </c>
      <c r="DM20" s="1158"/>
      <c r="DN20" s="3283">
        <f t="shared" si="35"/>
        <v>0</v>
      </c>
      <c r="DO20" s="3283">
        <f t="shared" si="35"/>
        <v>0</v>
      </c>
      <c r="DP20" s="3283">
        <f t="shared" si="36"/>
        <v>0</v>
      </c>
      <c r="DQ20" s="3284">
        <f t="shared" si="15"/>
        <v>0</v>
      </c>
      <c r="DR20" s="1449"/>
    </row>
    <row r="21" spans="1:122" s="1411" customFormat="1" ht="13.8" x14ac:dyDescent="0.25">
      <c r="A21" s="1586"/>
      <c r="B21" s="3289" t="s">
        <v>58</v>
      </c>
      <c r="C21" s="3288">
        <v>0</v>
      </c>
      <c r="D21" s="3274">
        <v>0</v>
      </c>
      <c r="E21" s="3283">
        <v>0</v>
      </c>
      <c r="F21" s="3284">
        <v>0</v>
      </c>
      <c r="G21" s="2492"/>
      <c r="H21" s="3274"/>
      <c r="I21" s="3274"/>
      <c r="J21" s="3283">
        <f t="shared" si="16"/>
        <v>0</v>
      </c>
      <c r="K21" s="3284">
        <f t="shared" si="0"/>
        <v>0</v>
      </c>
      <c r="L21" s="1449"/>
      <c r="M21" s="3274"/>
      <c r="N21" s="3274"/>
      <c r="O21" s="3283">
        <f t="shared" si="17"/>
        <v>0</v>
      </c>
      <c r="P21" s="3284">
        <f t="shared" si="2"/>
        <v>0</v>
      </c>
      <c r="Q21" s="1608"/>
      <c r="R21" s="3274"/>
      <c r="S21" s="3274"/>
      <c r="T21" s="3283">
        <f t="shared" si="18"/>
        <v>0</v>
      </c>
      <c r="U21" s="3284">
        <f t="shared" si="1"/>
        <v>0</v>
      </c>
      <c r="V21" s="1608"/>
      <c r="W21" s="3274"/>
      <c r="X21" s="3274"/>
      <c r="Y21" s="3283">
        <f t="shared" si="19"/>
        <v>0</v>
      </c>
      <c r="Z21" s="3284">
        <f t="shared" si="20"/>
        <v>0</v>
      </c>
      <c r="AA21" s="1608"/>
      <c r="AB21" s="3274"/>
      <c r="AC21" s="3274"/>
      <c r="AD21" s="3283">
        <f t="shared" si="21"/>
        <v>0</v>
      </c>
      <c r="AE21" s="3284">
        <f t="shared" si="22"/>
        <v>0</v>
      </c>
      <c r="AF21" s="1608"/>
      <c r="AG21" s="3274"/>
      <c r="AH21" s="3274"/>
      <c r="AI21" s="3283">
        <f t="shared" si="23"/>
        <v>0</v>
      </c>
      <c r="AJ21" s="3284">
        <f t="shared" si="24"/>
        <v>0</v>
      </c>
      <c r="AK21" s="1608"/>
      <c r="AL21" s="3274"/>
      <c r="AM21" s="3274"/>
      <c r="AN21" s="3439">
        <f t="shared" si="25"/>
        <v>0</v>
      </c>
      <c r="AO21" s="3284">
        <f t="shared" si="26"/>
        <v>0</v>
      </c>
      <c r="AP21" s="1608"/>
      <c r="AQ21" s="3274"/>
      <c r="AR21" s="3274"/>
      <c r="AS21" s="3283">
        <f t="shared" si="27"/>
        <v>0</v>
      </c>
      <c r="AT21" s="3284">
        <f t="shared" si="28"/>
        <v>0</v>
      </c>
      <c r="AU21" s="1608"/>
      <c r="AV21" s="3275">
        <v>0</v>
      </c>
      <c r="AW21" s="3275">
        <v>0</v>
      </c>
      <c r="AX21" s="3283">
        <v>0</v>
      </c>
      <c r="AY21" s="3284">
        <v>0</v>
      </c>
      <c r="AZ21" s="3275"/>
      <c r="BA21" s="3275">
        <f t="shared" si="3"/>
        <v>0</v>
      </c>
      <c r="BB21" s="3275">
        <f t="shared" si="3"/>
        <v>0</v>
      </c>
      <c r="BC21" s="3283">
        <f t="shared" si="29"/>
        <v>0</v>
      </c>
      <c r="BD21" s="3284">
        <f t="shared" si="4"/>
        <v>0</v>
      </c>
      <c r="BE21" s="3275"/>
      <c r="BF21" s="3744"/>
      <c r="BG21" s="3744"/>
      <c r="BH21" s="3753">
        <f t="shared" si="30"/>
        <v>0</v>
      </c>
      <c r="BI21" s="3284">
        <f t="shared" si="31"/>
        <v>0</v>
      </c>
      <c r="BJ21" s="3757"/>
      <c r="BK21" s="3274"/>
      <c r="BL21" s="3274"/>
      <c r="BM21" s="3283">
        <f t="shared" si="32"/>
        <v>0</v>
      </c>
      <c r="BN21" s="3284">
        <f t="shared" si="5"/>
        <v>0</v>
      </c>
      <c r="BO21" s="3746"/>
      <c r="BP21" s="3283"/>
      <c r="BQ21" s="3283"/>
      <c r="BR21" s="3283">
        <f t="shared" si="33"/>
        <v>0</v>
      </c>
      <c r="BS21" s="3284">
        <f t="shared" si="34"/>
        <v>0</v>
      </c>
      <c r="BT21" s="1158"/>
      <c r="BU21" s="3285"/>
      <c r="BV21" s="3285"/>
      <c r="BW21" s="3286">
        <f t="shared" si="37"/>
        <v>0</v>
      </c>
      <c r="BX21" s="3284">
        <f t="shared" si="6"/>
        <v>0</v>
      </c>
      <c r="BY21" s="1158"/>
      <c r="BZ21" s="3285"/>
      <c r="CA21" s="3285"/>
      <c r="CB21" s="3286">
        <f t="shared" si="38"/>
        <v>0</v>
      </c>
      <c r="CC21" s="3284">
        <f t="shared" si="7"/>
        <v>0</v>
      </c>
      <c r="CD21" s="1158"/>
      <c r="CE21" s="3285"/>
      <c r="CF21" s="3285"/>
      <c r="CG21" s="3286">
        <f t="shared" si="39"/>
        <v>0</v>
      </c>
      <c r="CH21" s="3284">
        <f t="shared" si="8"/>
        <v>0</v>
      </c>
      <c r="CI21" s="1158"/>
      <c r="CJ21" s="3285"/>
      <c r="CK21" s="3285"/>
      <c r="CL21" s="3286">
        <f t="shared" si="40"/>
        <v>0</v>
      </c>
      <c r="CM21" s="3284">
        <f t="shared" si="9"/>
        <v>0</v>
      </c>
      <c r="CN21" s="1158"/>
      <c r="CO21" s="3285"/>
      <c r="CP21" s="3285"/>
      <c r="CQ21" s="3286">
        <f t="shared" si="41"/>
        <v>0</v>
      </c>
      <c r="CR21" s="3284">
        <f t="shared" si="10"/>
        <v>0</v>
      </c>
      <c r="CS21" s="1158"/>
      <c r="CT21" s="3285"/>
      <c r="CU21" s="3285"/>
      <c r="CV21" s="3286">
        <f t="shared" si="42"/>
        <v>0</v>
      </c>
      <c r="CW21" s="3284">
        <f t="shared" si="11"/>
        <v>0</v>
      </c>
      <c r="CX21" s="1158"/>
      <c r="CY21" s="3285"/>
      <c r="CZ21" s="3285"/>
      <c r="DA21" s="3286">
        <f t="shared" si="43"/>
        <v>0</v>
      </c>
      <c r="DB21" s="3284">
        <f t="shared" si="12"/>
        <v>0</v>
      </c>
      <c r="DC21" s="1158"/>
      <c r="DD21" s="3285"/>
      <c r="DE21" s="3285"/>
      <c r="DF21" s="3286">
        <f t="shared" si="44"/>
        <v>0</v>
      </c>
      <c r="DG21" s="3284">
        <f t="shared" si="13"/>
        <v>0</v>
      </c>
      <c r="DH21" s="1158"/>
      <c r="DI21" s="3285"/>
      <c r="DJ21" s="3285"/>
      <c r="DK21" s="3286">
        <f t="shared" si="45"/>
        <v>0</v>
      </c>
      <c r="DL21" s="3284">
        <f t="shared" si="14"/>
        <v>0</v>
      </c>
      <c r="DM21" s="1158"/>
      <c r="DN21" s="3283">
        <f t="shared" si="35"/>
        <v>0</v>
      </c>
      <c r="DO21" s="3283">
        <f t="shared" si="35"/>
        <v>0</v>
      </c>
      <c r="DP21" s="3283">
        <f t="shared" si="36"/>
        <v>0</v>
      </c>
      <c r="DQ21" s="3284">
        <f t="shared" si="15"/>
        <v>0</v>
      </c>
      <c r="DR21" s="1449"/>
    </row>
    <row r="22" spans="1:122" s="1411" customFormat="1" ht="13.8" x14ac:dyDescent="0.25">
      <c r="A22" s="1586"/>
      <c r="B22" s="3289" t="s">
        <v>621</v>
      </c>
      <c r="C22" s="3288">
        <v>0</v>
      </c>
      <c r="D22" s="3274">
        <v>0</v>
      </c>
      <c r="E22" s="3283">
        <v>0</v>
      </c>
      <c r="F22" s="3284">
        <v>0</v>
      </c>
      <c r="G22" s="2492"/>
      <c r="H22" s="3274"/>
      <c r="I22" s="3274"/>
      <c r="J22" s="3283">
        <f t="shared" si="16"/>
        <v>0</v>
      </c>
      <c r="K22" s="3284">
        <f t="shared" si="0"/>
        <v>0</v>
      </c>
      <c r="L22" s="1449"/>
      <c r="M22" s="3274"/>
      <c r="N22" s="3274"/>
      <c r="O22" s="3283"/>
      <c r="P22" s="3284">
        <f t="shared" si="2"/>
        <v>0</v>
      </c>
      <c r="Q22" s="1608"/>
      <c r="R22" s="3274"/>
      <c r="S22" s="3274"/>
      <c r="T22" s="3283"/>
      <c r="U22" s="3284">
        <f t="shared" si="1"/>
        <v>0</v>
      </c>
      <c r="V22" s="1608"/>
      <c r="W22" s="3274"/>
      <c r="X22" s="3274"/>
      <c r="Y22" s="3283"/>
      <c r="Z22" s="3284">
        <f t="shared" si="20"/>
        <v>0</v>
      </c>
      <c r="AA22" s="1608"/>
      <c r="AB22" s="3274"/>
      <c r="AC22" s="3274"/>
      <c r="AD22" s="3283"/>
      <c r="AE22" s="3284">
        <f t="shared" si="22"/>
        <v>0</v>
      </c>
      <c r="AF22" s="1608"/>
      <c r="AG22" s="3274"/>
      <c r="AH22" s="3274"/>
      <c r="AI22" s="3283">
        <f t="shared" si="23"/>
        <v>0</v>
      </c>
      <c r="AJ22" s="3284">
        <f t="shared" si="24"/>
        <v>0</v>
      </c>
      <c r="AK22" s="1608"/>
      <c r="AL22" s="3274"/>
      <c r="AM22" s="3274"/>
      <c r="AN22" s="3439">
        <f t="shared" si="25"/>
        <v>0</v>
      </c>
      <c r="AO22" s="3284">
        <f t="shared" si="26"/>
        <v>0</v>
      </c>
      <c r="AP22" s="1608"/>
      <c r="AQ22" s="3274"/>
      <c r="AR22" s="3274"/>
      <c r="AS22" s="3283">
        <f t="shared" si="27"/>
        <v>0</v>
      </c>
      <c r="AT22" s="3284">
        <f t="shared" si="28"/>
        <v>0</v>
      </c>
      <c r="AU22" s="1608"/>
      <c r="AV22" s="3275">
        <v>0</v>
      </c>
      <c r="AW22" s="3275">
        <v>0</v>
      </c>
      <c r="AX22" s="3283">
        <v>0</v>
      </c>
      <c r="AY22" s="3284">
        <v>0</v>
      </c>
      <c r="AZ22" s="3275"/>
      <c r="BA22" s="3275">
        <f t="shared" si="3"/>
        <v>0</v>
      </c>
      <c r="BB22" s="3275">
        <f t="shared" si="3"/>
        <v>0</v>
      </c>
      <c r="BC22" s="3283">
        <f t="shared" si="29"/>
        <v>0</v>
      </c>
      <c r="BD22" s="3284">
        <f t="shared" si="4"/>
        <v>0</v>
      </c>
      <c r="BE22" s="3275"/>
      <c r="BF22" s="3744"/>
      <c r="BG22" s="3744"/>
      <c r="BH22" s="3753">
        <f t="shared" si="30"/>
        <v>0</v>
      </c>
      <c r="BI22" s="3284">
        <f t="shared" si="31"/>
        <v>0</v>
      </c>
      <c r="BJ22" s="3757"/>
      <c r="BK22" s="3274"/>
      <c r="BL22" s="3274"/>
      <c r="BM22" s="3283">
        <f t="shared" si="32"/>
        <v>0</v>
      </c>
      <c r="BN22" s="3284">
        <f t="shared" si="5"/>
        <v>0</v>
      </c>
      <c r="BO22" s="3746"/>
      <c r="BP22" s="3283"/>
      <c r="BQ22" s="3283"/>
      <c r="BR22" s="3283">
        <f t="shared" si="33"/>
        <v>0</v>
      </c>
      <c r="BS22" s="3284">
        <f t="shared" si="34"/>
        <v>0</v>
      </c>
      <c r="BT22" s="1158"/>
      <c r="BU22" s="3285"/>
      <c r="BV22" s="3285"/>
      <c r="BW22" s="3286">
        <f t="shared" si="37"/>
        <v>0</v>
      </c>
      <c r="BX22" s="3284">
        <f t="shared" si="6"/>
        <v>0</v>
      </c>
      <c r="BY22" s="1158"/>
      <c r="BZ22" s="3285"/>
      <c r="CA22" s="3285"/>
      <c r="CB22" s="3286">
        <f t="shared" si="38"/>
        <v>0</v>
      </c>
      <c r="CC22" s="3284">
        <f t="shared" si="7"/>
        <v>0</v>
      </c>
      <c r="CD22" s="1158"/>
      <c r="CE22" s="3285"/>
      <c r="CF22" s="3285"/>
      <c r="CG22" s="3286">
        <f t="shared" si="39"/>
        <v>0</v>
      </c>
      <c r="CH22" s="3284">
        <f t="shared" si="8"/>
        <v>0</v>
      </c>
      <c r="CI22" s="1158"/>
      <c r="CJ22" s="3285"/>
      <c r="CK22" s="3285"/>
      <c r="CL22" s="3286">
        <f t="shared" si="40"/>
        <v>0</v>
      </c>
      <c r="CM22" s="3284">
        <f t="shared" si="9"/>
        <v>0</v>
      </c>
      <c r="CN22" s="1158"/>
      <c r="CO22" s="3285"/>
      <c r="CP22" s="3285"/>
      <c r="CQ22" s="3286">
        <f t="shared" si="41"/>
        <v>0</v>
      </c>
      <c r="CR22" s="3284">
        <f t="shared" si="10"/>
        <v>0</v>
      </c>
      <c r="CS22" s="1158"/>
      <c r="CT22" s="3285"/>
      <c r="CU22" s="3285"/>
      <c r="CV22" s="3286">
        <f t="shared" si="42"/>
        <v>0</v>
      </c>
      <c r="CW22" s="3284">
        <f t="shared" si="11"/>
        <v>0</v>
      </c>
      <c r="CX22" s="1158"/>
      <c r="CY22" s="3285"/>
      <c r="CZ22" s="3285"/>
      <c r="DA22" s="3286">
        <f t="shared" si="43"/>
        <v>0</v>
      </c>
      <c r="DB22" s="3284">
        <f t="shared" si="12"/>
        <v>0</v>
      </c>
      <c r="DC22" s="1158"/>
      <c r="DD22" s="3285"/>
      <c r="DE22" s="3285"/>
      <c r="DF22" s="3286">
        <f t="shared" si="44"/>
        <v>0</v>
      </c>
      <c r="DG22" s="3284">
        <f t="shared" si="13"/>
        <v>0</v>
      </c>
      <c r="DH22" s="1158"/>
      <c r="DI22" s="3285"/>
      <c r="DJ22" s="3285"/>
      <c r="DK22" s="3286">
        <f t="shared" si="45"/>
        <v>0</v>
      </c>
      <c r="DL22" s="3284">
        <f t="shared" si="14"/>
        <v>0</v>
      </c>
      <c r="DM22" s="1158"/>
      <c r="DN22" s="3283">
        <f t="shared" si="35"/>
        <v>0</v>
      </c>
      <c r="DO22" s="3283">
        <f t="shared" si="35"/>
        <v>0</v>
      </c>
      <c r="DP22" s="3283">
        <f t="shared" si="36"/>
        <v>0</v>
      </c>
      <c r="DQ22" s="3284">
        <f t="shared" si="15"/>
        <v>0</v>
      </c>
      <c r="DR22" s="1449"/>
    </row>
    <row r="23" spans="1:122" s="1411" customFormat="1" ht="13.8" x14ac:dyDescent="0.25">
      <c r="A23" s="1586"/>
      <c r="B23" s="3289" t="s">
        <v>630</v>
      </c>
      <c r="C23" s="3288">
        <v>0</v>
      </c>
      <c r="D23" s="3274">
        <v>0</v>
      </c>
      <c r="E23" s="3283">
        <v>0</v>
      </c>
      <c r="F23" s="3284">
        <v>0</v>
      </c>
      <c r="G23" s="2492"/>
      <c r="H23" s="3274"/>
      <c r="I23" s="3274"/>
      <c r="J23" s="3283">
        <f t="shared" si="16"/>
        <v>0</v>
      </c>
      <c r="K23" s="3284">
        <f t="shared" si="0"/>
        <v>0</v>
      </c>
      <c r="L23" s="1449"/>
      <c r="M23" s="3274"/>
      <c r="N23" s="3274"/>
      <c r="O23" s="3283"/>
      <c r="P23" s="3284">
        <f t="shared" si="2"/>
        <v>0</v>
      </c>
      <c r="Q23" s="1608"/>
      <c r="R23" s="3274"/>
      <c r="S23" s="3274"/>
      <c r="T23" s="3283"/>
      <c r="U23" s="3284">
        <f t="shared" si="1"/>
        <v>0</v>
      </c>
      <c r="V23" s="1608"/>
      <c r="W23" s="3274"/>
      <c r="X23" s="3274"/>
      <c r="Y23" s="3283"/>
      <c r="Z23" s="3284">
        <f t="shared" si="20"/>
        <v>0</v>
      </c>
      <c r="AA23" s="1608"/>
      <c r="AB23" s="3274"/>
      <c r="AC23" s="3274"/>
      <c r="AD23" s="3283"/>
      <c r="AE23" s="3284">
        <f t="shared" si="22"/>
        <v>0</v>
      </c>
      <c r="AF23" s="1608"/>
      <c r="AG23" s="3274"/>
      <c r="AH23" s="3274"/>
      <c r="AI23" s="3283">
        <f t="shared" si="23"/>
        <v>0</v>
      </c>
      <c r="AJ23" s="3284">
        <f t="shared" si="24"/>
        <v>0</v>
      </c>
      <c r="AK23" s="1608"/>
      <c r="AL23" s="3274"/>
      <c r="AM23" s="3274"/>
      <c r="AN23" s="3439">
        <f t="shared" si="25"/>
        <v>0</v>
      </c>
      <c r="AO23" s="3284">
        <f t="shared" si="26"/>
        <v>0</v>
      </c>
      <c r="AP23" s="1608"/>
      <c r="AQ23" s="3274"/>
      <c r="AR23" s="3274"/>
      <c r="AS23" s="3283">
        <f t="shared" si="27"/>
        <v>0</v>
      </c>
      <c r="AT23" s="3284">
        <f t="shared" si="28"/>
        <v>0</v>
      </c>
      <c r="AU23" s="1608"/>
      <c r="AV23" s="3275">
        <v>0</v>
      </c>
      <c r="AW23" s="3275">
        <v>0</v>
      </c>
      <c r="AX23" s="3283">
        <v>0</v>
      </c>
      <c r="AY23" s="3284">
        <v>0</v>
      </c>
      <c r="AZ23" s="3275"/>
      <c r="BA23" s="3275">
        <f t="shared" si="3"/>
        <v>0</v>
      </c>
      <c r="BB23" s="3275">
        <f t="shared" si="3"/>
        <v>0</v>
      </c>
      <c r="BC23" s="3283">
        <f t="shared" si="29"/>
        <v>0</v>
      </c>
      <c r="BD23" s="3284">
        <f t="shared" si="4"/>
        <v>0</v>
      </c>
      <c r="BE23" s="3275"/>
      <c r="BF23" s="3744"/>
      <c r="BG23" s="3744"/>
      <c r="BH23" s="3753">
        <f t="shared" si="30"/>
        <v>0</v>
      </c>
      <c r="BI23" s="3284">
        <f t="shared" si="31"/>
        <v>0</v>
      </c>
      <c r="BJ23" s="3757"/>
      <c r="BK23" s="3274"/>
      <c r="BL23" s="3274"/>
      <c r="BM23" s="3283">
        <f t="shared" si="32"/>
        <v>0</v>
      </c>
      <c r="BN23" s="3284">
        <f t="shared" si="5"/>
        <v>0</v>
      </c>
      <c r="BO23" s="3746"/>
      <c r="BP23" s="3283"/>
      <c r="BQ23" s="3283"/>
      <c r="BR23" s="3283">
        <f t="shared" si="33"/>
        <v>0</v>
      </c>
      <c r="BS23" s="3284">
        <f t="shared" si="34"/>
        <v>0</v>
      </c>
      <c r="BT23" s="3291"/>
      <c r="BU23" s="3285"/>
      <c r="BV23" s="3285"/>
      <c r="BW23" s="3286">
        <f t="shared" si="37"/>
        <v>0</v>
      </c>
      <c r="BX23" s="3284">
        <f t="shared" si="6"/>
        <v>0</v>
      </c>
      <c r="BY23" s="3291"/>
      <c r="BZ23" s="3285"/>
      <c r="CA23" s="3285"/>
      <c r="CB23" s="3286">
        <f t="shared" si="38"/>
        <v>0</v>
      </c>
      <c r="CC23" s="3284">
        <f t="shared" si="7"/>
        <v>0</v>
      </c>
      <c r="CD23" s="3291"/>
      <c r="CE23" s="3285"/>
      <c r="CF23" s="3285"/>
      <c r="CG23" s="3286">
        <f t="shared" si="39"/>
        <v>0</v>
      </c>
      <c r="CH23" s="3284">
        <f t="shared" si="8"/>
        <v>0</v>
      </c>
      <c r="CI23" s="3291"/>
      <c r="CJ23" s="3285"/>
      <c r="CK23" s="3285"/>
      <c r="CL23" s="3286">
        <f t="shared" si="40"/>
        <v>0</v>
      </c>
      <c r="CM23" s="3284">
        <f t="shared" si="9"/>
        <v>0</v>
      </c>
      <c r="CN23" s="3291"/>
      <c r="CO23" s="3285"/>
      <c r="CP23" s="3285"/>
      <c r="CQ23" s="3286">
        <f t="shared" si="41"/>
        <v>0</v>
      </c>
      <c r="CR23" s="3284">
        <f t="shared" si="10"/>
        <v>0</v>
      </c>
      <c r="CS23" s="3291"/>
      <c r="CT23" s="3285"/>
      <c r="CU23" s="3285"/>
      <c r="CV23" s="3286">
        <f t="shared" si="42"/>
        <v>0</v>
      </c>
      <c r="CW23" s="3284">
        <f t="shared" si="11"/>
        <v>0</v>
      </c>
      <c r="CX23" s="3291"/>
      <c r="CY23" s="3285"/>
      <c r="CZ23" s="3285"/>
      <c r="DA23" s="3286">
        <f t="shared" si="43"/>
        <v>0</v>
      </c>
      <c r="DB23" s="3284">
        <f t="shared" si="12"/>
        <v>0</v>
      </c>
      <c r="DC23" s="3291"/>
      <c r="DD23" s="3285"/>
      <c r="DE23" s="3285"/>
      <c r="DF23" s="3286">
        <f t="shared" si="44"/>
        <v>0</v>
      </c>
      <c r="DG23" s="3284">
        <f t="shared" si="13"/>
        <v>0</v>
      </c>
      <c r="DH23" s="3291"/>
      <c r="DI23" s="3285"/>
      <c r="DJ23" s="3285"/>
      <c r="DK23" s="3286">
        <f t="shared" si="45"/>
        <v>0</v>
      </c>
      <c r="DL23" s="3284">
        <f t="shared" si="14"/>
        <v>0</v>
      </c>
      <c r="DM23" s="3291"/>
      <c r="DN23" s="3283">
        <f t="shared" si="35"/>
        <v>0</v>
      </c>
      <c r="DO23" s="3283">
        <f t="shared" si="35"/>
        <v>0</v>
      </c>
      <c r="DP23" s="3283">
        <f t="shared" si="36"/>
        <v>0</v>
      </c>
      <c r="DQ23" s="3284">
        <f t="shared" si="15"/>
        <v>0</v>
      </c>
      <c r="DR23" s="1449"/>
    </row>
    <row r="24" spans="1:122" s="1411" customFormat="1" ht="27.6" x14ac:dyDescent="0.25">
      <c r="A24" s="1586"/>
      <c r="B24" s="3289" t="s">
        <v>23</v>
      </c>
      <c r="C24" s="3288">
        <v>84200</v>
      </c>
      <c r="D24" s="3274">
        <v>1500</v>
      </c>
      <c r="E24" s="3283">
        <v>85700</v>
      </c>
      <c r="F24" s="3284">
        <v>8.3361305569327401E-3</v>
      </c>
      <c r="G24" s="2492"/>
      <c r="H24" s="3274"/>
      <c r="I24" s="3274"/>
      <c r="J24" s="3283">
        <f t="shared" si="16"/>
        <v>0</v>
      </c>
      <c r="K24" s="3284">
        <f t="shared" si="0"/>
        <v>0</v>
      </c>
      <c r="L24" s="1449"/>
      <c r="M24" s="3274">
        <f>18333.33*1.2</f>
        <v>21999.996000000003</v>
      </c>
      <c r="N24" s="3274"/>
      <c r="O24" s="3283">
        <f t="shared" ref="O24:O33" si="46">M24+N24*1</f>
        <v>21999.996000000003</v>
      </c>
      <c r="P24" s="3284">
        <f t="shared" si="2"/>
        <v>1.5585966084700208E-2</v>
      </c>
      <c r="Q24" s="3275" t="s">
        <v>1042</v>
      </c>
      <c r="R24" s="3274"/>
      <c r="S24" s="3274"/>
      <c r="T24" s="3283">
        <f t="shared" ref="T24:T33" si="47">R24+S24*1</f>
        <v>0</v>
      </c>
      <c r="U24" s="3284">
        <f t="shared" si="1"/>
        <v>0</v>
      </c>
      <c r="V24" s="3275"/>
      <c r="W24" s="3274"/>
      <c r="X24" s="3274"/>
      <c r="Y24" s="3283">
        <f t="shared" ref="Y24:Y33" si="48">W24+X24*1</f>
        <v>0</v>
      </c>
      <c r="Z24" s="3284">
        <f t="shared" si="20"/>
        <v>0</v>
      </c>
      <c r="AA24" s="3275"/>
      <c r="AB24" s="3274"/>
      <c r="AC24" s="3274"/>
      <c r="AD24" s="3283">
        <f t="shared" ref="AD24:AD33" si="49">AB24+AC24*1</f>
        <v>0</v>
      </c>
      <c r="AE24" s="3284">
        <f t="shared" si="22"/>
        <v>0</v>
      </c>
      <c r="AF24" s="1608"/>
      <c r="AG24" s="3274"/>
      <c r="AH24" s="3274"/>
      <c r="AI24" s="3283">
        <f t="shared" si="23"/>
        <v>0</v>
      </c>
      <c r="AJ24" s="3284">
        <f t="shared" si="24"/>
        <v>0</v>
      </c>
      <c r="AK24" s="1608"/>
      <c r="AL24" s="3274"/>
      <c r="AM24" s="3274"/>
      <c r="AN24" s="3439">
        <f t="shared" si="25"/>
        <v>0</v>
      </c>
      <c r="AO24" s="3284">
        <f t="shared" si="26"/>
        <v>0</v>
      </c>
      <c r="AP24" s="3275"/>
      <c r="AQ24" s="3274">
        <v>4000</v>
      </c>
      <c r="AR24" s="3274"/>
      <c r="AS24" s="3283">
        <f t="shared" si="27"/>
        <v>4000</v>
      </c>
      <c r="AT24" s="3284">
        <f t="shared" si="28"/>
        <v>1.1519095768332327E-2</v>
      </c>
      <c r="AU24" s="3275" t="s">
        <v>1576</v>
      </c>
      <c r="AV24" s="3275">
        <v>8000</v>
      </c>
      <c r="AW24" s="3275">
        <v>0</v>
      </c>
      <c r="AX24" s="3283">
        <v>8000</v>
      </c>
      <c r="AY24" s="3284">
        <v>2.1397740748215727E-2</v>
      </c>
      <c r="AZ24" s="3275"/>
      <c r="BA24" s="3275">
        <f t="shared" si="3"/>
        <v>0</v>
      </c>
      <c r="BB24" s="3275">
        <f t="shared" si="3"/>
        <v>0</v>
      </c>
      <c r="BC24" s="3283">
        <f t="shared" si="29"/>
        <v>0</v>
      </c>
      <c r="BD24" s="3284">
        <f t="shared" si="4"/>
        <v>0</v>
      </c>
      <c r="BE24" s="3275"/>
      <c r="BF24" s="3744"/>
      <c r="BG24" s="3744"/>
      <c r="BH24" s="3753">
        <f t="shared" si="30"/>
        <v>0</v>
      </c>
      <c r="BI24" s="3284">
        <f t="shared" si="31"/>
        <v>0</v>
      </c>
      <c r="BJ24" s="3358"/>
      <c r="BK24" s="3274"/>
      <c r="BL24" s="3274"/>
      <c r="BM24" s="3283">
        <f t="shared" si="32"/>
        <v>0</v>
      </c>
      <c r="BN24" s="3284">
        <f t="shared" si="5"/>
        <v>0</v>
      </c>
      <c r="BO24" s="3746"/>
      <c r="BP24" s="3283"/>
      <c r="BQ24" s="3283"/>
      <c r="BR24" s="3283">
        <f t="shared" si="33"/>
        <v>0</v>
      </c>
      <c r="BS24" s="3284">
        <f t="shared" si="34"/>
        <v>0</v>
      </c>
      <c r="BT24" s="3291"/>
      <c r="BU24" s="3285"/>
      <c r="BV24" s="3285"/>
      <c r="BW24" s="3286">
        <f t="shared" si="37"/>
        <v>0</v>
      </c>
      <c r="BX24" s="3284">
        <f t="shared" si="6"/>
        <v>0</v>
      </c>
      <c r="BY24" s="3291"/>
      <c r="BZ24" s="3285"/>
      <c r="CA24" s="3285"/>
      <c r="CB24" s="3286">
        <f t="shared" si="38"/>
        <v>0</v>
      </c>
      <c r="CC24" s="3284">
        <f t="shared" si="7"/>
        <v>0</v>
      </c>
      <c r="CD24" s="3291"/>
      <c r="CE24" s="3285"/>
      <c r="CF24" s="3285"/>
      <c r="CG24" s="3286">
        <f t="shared" si="39"/>
        <v>0</v>
      </c>
      <c r="CH24" s="3284">
        <f t="shared" si="8"/>
        <v>0</v>
      </c>
      <c r="CI24" s="3291"/>
      <c r="CJ24" s="3285"/>
      <c r="CK24" s="3285"/>
      <c r="CL24" s="3286">
        <f t="shared" si="40"/>
        <v>0</v>
      </c>
      <c r="CM24" s="3284">
        <f t="shared" si="9"/>
        <v>0</v>
      </c>
      <c r="CN24" s="3291"/>
      <c r="CO24" s="3285"/>
      <c r="CP24" s="3285"/>
      <c r="CQ24" s="3286">
        <f t="shared" si="41"/>
        <v>0</v>
      </c>
      <c r="CR24" s="3284">
        <f t="shared" si="10"/>
        <v>0</v>
      </c>
      <c r="CS24" s="3291"/>
      <c r="CT24" s="3285"/>
      <c r="CU24" s="3285"/>
      <c r="CV24" s="3286">
        <f t="shared" si="42"/>
        <v>0</v>
      </c>
      <c r="CW24" s="3284">
        <f t="shared" si="11"/>
        <v>0</v>
      </c>
      <c r="CX24" s="3291"/>
      <c r="CY24" s="3285"/>
      <c r="CZ24" s="3285"/>
      <c r="DA24" s="3286">
        <f t="shared" si="43"/>
        <v>0</v>
      </c>
      <c r="DB24" s="3284">
        <f t="shared" si="12"/>
        <v>0</v>
      </c>
      <c r="DC24" s="3291"/>
      <c r="DD24" s="3285"/>
      <c r="DE24" s="3285"/>
      <c r="DF24" s="3286">
        <f t="shared" si="44"/>
        <v>0</v>
      </c>
      <c r="DG24" s="3284">
        <f t="shared" si="13"/>
        <v>0</v>
      </c>
      <c r="DH24" s="3291"/>
      <c r="DI24" s="3285"/>
      <c r="DJ24" s="3285"/>
      <c r="DK24" s="3286">
        <f t="shared" si="45"/>
        <v>0</v>
      </c>
      <c r="DL24" s="3284">
        <f t="shared" si="14"/>
        <v>0</v>
      </c>
      <c r="DM24" s="3291"/>
      <c r="DN24" s="3283">
        <f t="shared" si="35"/>
        <v>12000</v>
      </c>
      <c r="DO24" s="3283">
        <f t="shared" si="35"/>
        <v>0</v>
      </c>
      <c r="DP24" s="3283">
        <f t="shared" si="36"/>
        <v>12000</v>
      </c>
      <c r="DQ24" s="3284">
        <f t="shared" si="15"/>
        <v>8.9694812006054783E-4</v>
      </c>
      <c r="DR24" s="1449"/>
    </row>
    <row r="25" spans="1:122" s="1411" customFormat="1" ht="84" customHeight="1" x14ac:dyDescent="0.25">
      <c r="A25" s="1586"/>
      <c r="B25" s="3289" t="s">
        <v>24</v>
      </c>
      <c r="C25" s="3288">
        <v>0</v>
      </c>
      <c r="D25" s="3274">
        <v>4246</v>
      </c>
      <c r="E25" s="3283">
        <v>4246</v>
      </c>
      <c r="F25" s="3284">
        <v>4.1301295618128843E-4</v>
      </c>
      <c r="G25" s="2492"/>
      <c r="H25" s="3274"/>
      <c r="I25" s="3274">
        <v>807</v>
      </c>
      <c r="J25" s="3283">
        <f t="shared" si="16"/>
        <v>807</v>
      </c>
      <c r="K25" s="3284">
        <f t="shared" si="0"/>
        <v>9.0013199874405055E-4</v>
      </c>
      <c r="L25" s="1449"/>
      <c r="M25" s="3274"/>
      <c r="N25" s="3274">
        <v>900</v>
      </c>
      <c r="O25" s="3283">
        <f t="shared" si="46"/>
        <v>900</v>
      </c>
      <c r="P25" s="3284">
        <f t="shared" si="2"/>
        <v>6.3760781939370284E-4</v>
      </c>
      <c r="Q25" s="1376"/>
      <c r="R25" s="3274"/>
      <c r="S25" s="3274">
        <v>400</v>
      </c>
      <c r="T25" s="3283">
        <f t="shared" si="47"/>
        <v>400</v>
      </c>
      <c r="U25" s="3284">
        <f t="shared" si="1"/>
        <v>1.1519095768332327E-3</v>
      </c>
      <c r="V25" s="1376"/>
      <c r="W25" s="3274"/>
      <c r="X25" s="3274">
        <v>1560</v>
      </c>
      <c r="Y25" s="3283">
        <f t="shared" si="48"/>
        <v>1560</v>
      </c>
      <c r="Z25" s="3284">
        <f t="shared" si="20"/>
        <v>4.4924473496496071E-3</v>
      </c>
      <c r="AA25" s="3275" t="s">
        <v>1180</v>
      </c>
      <c r="AB25" s="3274"/>
      <c r="AC25" s="3274"/>
      <c r="AD25" s="3283">
        <f t="shared" si="49"/>
        <v>0</v>
      </c>
      <c r="AE25" s="3284">
        <f t="shared" si="22"/>
        <v>0</v>
      </c>
      <c r="AF25" s="1608"/>
      <c r="AG25" s="3274"/>
      <c r="AH25" s="3274"/>
      <c r="AI25" s="3283">
        <f t="shared" si="23"/>
        <v>0</v>
      </c>
      <c r="AJ25" s="3284">
        <f t="shared" si="24"/>
        <v>0</v>
      </c>
      <c r="AK25" s="1608"/>
      <c r="AL25" s="3274"/>
      <c r="AM25" s="3274"/>
      <c r="AN25" s="3439">
        <f t="shared" si="25"/>
        <v>0</v>
      </c>
      <c r="AO25" s="3284">
        <f t="shared" si="26"/>
        <v>0</v>
      </c>
      <c r="AP25" s="1608"/>
      <c r="AQ25" s="3274">
        <v>2534.5700000000002</v>
      </c>
      <c r="AR25" s="3274">
        <v>720</v>
      </c>
      <c r="AS25" s="3283">
        <f t="shared" si="27"/>
        <v>3254.57</v>
      </c>
      <c r="AT25" s="3284">
        <f t="shared" si="28"/>
        <v>9.3724258786853348E-3</v>
      </c>
      <c r="AU25" s="3361" t="s">
        <v>1516</v>
      </c>
      <c r="AV25" s="3275">
        <v>79360.5</v>
      </c>
      <c r="AW25" s="3275">
        <v>8274</v>
      </c>
      <c r="AX25" s="3283">
        <v>87634.5</v>
      </c>
      <c r="AY25" s="3284">
        <v>0.23439753894993889</v>
      </c>
      <c r="AZ25" s="3275"/>
      <c r="BA25" s="3275">
        <f t="shared" si="3"/>
        <v>4949.72</v>
      </c>
      <c r="BB25" s="3275">
        <f t="shared" si="3"/>
        <v>0</v>
      </c>
      <c r="BC25" s="3283">
        <f t="shared" si="29"/>
        <v>4949.72</v>
      </c>
      <c r="BD25" s="3284">
        <f t="shared" si="4"/>
        <v>1.3239103167032295E-2</v>
      </c>
      <c r="BE25" s="3275"/>
      <c r="BF25" s="3744">
        <v>4949.72</v>
      </c>
      <c r="BG25" s="3744"/>
      <c r="BH25" s="3753">
        <f t="shared" si="30"/>
        <v>4949.72</v>
      </c>
      <c r="BI25" s="3284">
        <f t="shared" si="31"/>
        <v>1.4254074676607472E-2</v>
      </c>
      <c r="BJ25" s="3755" t="s">
        <v>2143</v>
      </c>
      <c r="BK25" s="3274"/>
      <c r="BL25" s="3274"/>
      <c r="BM25" s="3283">
        <f t="shared" si="32"/>
        <v>0</v>
      </c>
      <c r="BN25" s="3284">
        <f t="shared" si="5"/>
        <v>0</v>
      </c>
      <c r="BO25" s="3746"/>
      <c r="BP25" s="3283"/>
      <c r="BQ25" s="3283"/>
      <c r="BR25" s="3283">
        <f t="shared" si="33"/>
        <v>0</v>
      </c>
      <c r="BS25" s="3284">
        <f t="shared" si="34"/>
        <v>0</v>
      </c>
      <c r="BT25" s="3291"/>
      <c r="BU25" s="3285"/>
      <c r="BV25" s="3285"/>
      <c r="BW25" s="3286">
        <f t="shared" si="37"/>
        <v>0</v>
      </c>
      <c r="BX25" s="3284">
        <f t="shared" si="6"/>
        <v>0</v>
      </c>
      <c r="BY25" s="3291"/>
      <c r="BZ25" s="3285"/>
      <c r="CA25" s="3285"/>
      <c r="CB25" s="3286">
        <f t="shared" si="38"/>
        <v>0</v>
      </c>
      <c r="CC25" s="3284">
        <f t="shared" si="7"/>
        <v>0</v>
      </c>
      <c r="CD25" s="3291"/>
      <c r="CE25" s="3285"/>
      <c r="CF25" s="3285"/>
      <c r="CG25" s="3286">
        <f t="shared" si="39"/>
        <v>0</v>
      </c>
      <c r="CH25" s="3284">
        <f t="shared" si="8"/>
        <v>0</v>
      </c>
      <c r="CI25" s="3291"/>
      <c r="CJ25" s="3285"/>
      <c r="CK25" s="3285"/>
      <c r="CL25" s="3286">
        <f t="shared" si="40"/>
        <v>0</v>
      </c>
      <c r="CM25" s="3284">
        <f t="shared" si="9"/>
        <v>0</v>
      </c>
      <c r="CN25" s="3291"/>
      <c r="CO25" s="3285"/>
      <c r="CP25" s="3285"/>
      <c r="CQ25" s="3286">
        <f t="shared" si="41"/>
        <v>0</v>
      </c>
      <c r="CR25" s="3284">
        <f t="shared" si="10"/>
        <v>0</v>
      </c>
      <c r="CS25" s="3291"/>
      <c r="CT25" s="3285"/>
      <c r="CU25" s="3285"/>
      <c r="CV25" s="3286">
        <f t="shared" si="42"/>
        <v>0</v>
      </c>
      <c r="CW25" s="3284">
        <f t="shared" si="11"/>
        <v>0</v>
      </c>
      <c r="CX25" s="3291"/>
      <c r="CY25" s="3285"/>
      <c r="CZ25" s="3285"/>
      <c r="DA25" s="3286">
        <f t="shared" si="43"/>
        <v>0</v>
      </c>
      <c r="DB25" s="3284">
        <f t="shared" si="12"/>
        <v>0</v>
      </c>
      <c r="DC25" s="3291"/>
      <c r="DD25" s="3285"/>
      <c r="DE25" s="3285"/>
      <c r="DF25" s="3286">
        <f t="shared" si="44"/>
        <v>0</v>
      </c>
      <c r="DG25" s="3284">
        <f t="shared" si="13"/>
        <v>0</v>
      </c>
      <c r="DH25" s="3291"/>
      <c r="DI25" s="3285"/>
      <c r="DJ25" s="3285"/>
      <c r="DK25" s="3286">
        <f t="shared" si="45"/>
        <v>0</v>
      </c>
      <c r="DL25" s="3284">
        <f t="shared" si="14"/>
        <v>0</v>
      </c>
      <c r="DM25" s="3291"/>
      <c r="DN25" s="3283">
        <f>R25+W25+AB25+AG25+AL25+AQ25+BF25+BK25+BP25+BU25+BZ25+CE25+CJ25+CO25+CT25+CY25+DD25+DI25+AV25</f>
        <v>86844.790000000008</v>
      </c>
      <c r="DO25" s="3283">
        <f t="shared" si="35"/>
        <v>10954</v>
      </c>
      <c r="DP25" s="3283">
        <f t="shared" si="36"/>
        <v>97798.790000000008</v>
      </c>
      <c r="DQ25" s="3284">
        <f t="shared" si="15"/>
        <v>7.310036736224693E-3</v>
      </c>
      <c r="DR25" s="1449"/>
    </row>
    <row r="26" spans="1:122" s="1411" customFormat="1" ht="13.8" x14ac:dyDescent="0.25">
      <c r="A26" s="1586"/>
      <c r="B26" s="3289" t="s">
        <v>45</v>
      </c>
      <c r="C26" s="3288">
        <v>0</v>
      </c>
      <c r="D26" s="3274">
        <v>0</v>
      </c>
      <c r="E26" s="3283">
        <v>0</v>
      </c>
      <c r="F26" s="3284">
        <v>0</v>
      </c>
      <c r="G26" s="2492"/>
      <c r="H26" s="3274"/>
      <c r="I26" s="3274"/>
      <c r="J26" s="3283">
        <f t="shared" si="16"/>
        <v>0</v>
      </c>
      <c r="K26" s="3284">
        <f t="shared" si="0"/>
        <v>0</v>
      </c>
      <c r="L26" s="1449"/>
      <c r="M26" s="3274"/>
      <c r="N26" s="3274"/>
      <c r="O26" s="3283">
        <f t="shared" si="46"/>
        <v>0</v>
      </c>
      <c r="P26" s="3284">
        <f t="shared" si="2"/>
        <v>0</v>
      </c>
      <c r="Q26" s="1608"/>
      <c r="R26" s="3274"/>
      <c r="S26" s="3274"/>
      <c r="T26" s="3283">
        <f t="shared" si="47"/>
        <v>0</v>
      </c>
      <c r="U26" s="3284">
        <f t="shared" si="1"/>
        <v>0</v>
      </c>
      <c r="V26" s="1608"/>
      <c r="W26" s="3274"/>
      <c r="X26" s="3274"/>
      <c r="Y26" s="3283">
        <f t="shared" si="48"/>
        <v>0</v>
      </c>
      <c r="Z26" s="3284">
        <f t="shared" si="20"/>
        <v>0</v>
      </c>
      <c r="AA26" s="1608"/>
      <c r="AB26" s="3274"/>
      <c r="AC26" s="3274"/>
      <c r="AD26" s="3283">
        <f t="shared" si="49"/>
        <v>0</v>
      </c>
      <c r="AE26" s="3284">
        <f t="shared" si="22"/>
        <v>0</v>
      </c>
      <c r="AF26" s="1608"/>
      <c r="AG26" s="3274"/>
      <c r="AH26" s="3274"/>
      <c r="AI26" s="3283">
        <f t="shared" si="23"/>
        <v>0</v>
      </c>
      <c r="AJ26" s="3284">
        <f t="shared" si="24"/>
        <v>0</v>
      </c>
      <c r="AK26" s="1608"/>
      <c r="AL26" s="3274"/>
      <c r="AM26" s="3274"/>
      <c r="AN26" s="3439">
        <f t="shared" si="25"/>
        <v>0</v>
      </c>
      <c r="AO26" s="3284">
        <f t="shared" si="26"/>
        <v>0</v>
      </c>
      <c r="AP26" s="1608"/>
      <c r="AQ26" s="3274"/>
      <c r="AR26" s="3274"/>
      <c r="AS26" s="3283">
        <f t="shared" si="27"/>
        <v>0</v>
      </c>
      <c r="AT26" s="3284">
        <f t="shared" si="28"/>
        <v>0</v>
      </c>
      <c r="AU26" s="1608"/>
      <c r="AV26" s="3275">
        <v>0</v>
      </c>
      <c r="AW26" s="3275">
        <v>0</v>
      </c>
      <c r="AX26" s="3283">
        <v>0</v>
      </c>
      <c r="AY26" s="3284">
        <v>0</v>
      </c>
      <c r="AZ26" s="3275"/>
      <c r="BA26" s="3275">
        <f t="shared" si="3"/>
        <v>0</v>
      </c>
      <c r="BB26" s="3275">
        <f t="shared" si="3"/>
        <v>0</v>
      </c>
      <c r="BC26" s="3283">
        <f t="shared" si="29"/>
        <v>0</v>
      </c>
      <c r="BD26" s="3284">
        <f t="shared" si="4"/>
        <v>0</v>
      </c>
      <c r="BE26" s="3275"/>
      <c r="BF26" s="3744"/>
      <c r="BG26" s="3744"/>
      <c r="BH26" s="3753">
        <f t="shared" si="30"/>
        <v>0</v>
      </c>
      <c r="BI26" s="3284">
        <f t="shared" si="31"/>
        <v>0</v>
      </c>
      <c r="BJ26" s="3757"/>
      <c r="BK26" s="3274"/>
      <c r="BL26" s="3274"/>
      <c r="BM26" s="3283">
        <f t="shared" si="32"/>
        <v>0</v>
      </c>
      <c r="BN26" s="3284">
        <f t="shared" si="5"/>
        <v>0</v>
      </c>
      <c r="BO26" s="3746"/>
      <c r="BP26" s="3283"/>
      <c r="BQ26" s="3283"/>
      <c r="BR26" s="3283">
        <f t="shared" si="33"/>
        <v>0</v>
      </c>
      <c r="BS26" s="3284">
        <f t="shared" si="34"/>
        <v>0</v>
      </c>
      <c r="BT26" s="1158"/>
      <c r="BU26" s="3285"/>
      <c r="BV26" s="3285"/>
      <c r="BW26" s="3286">
        <f t="shared" si="37"/>
        <v>0</v>
      </c>
      <c r="BX26" s="3284">
        <f t="shared" si="6"/>
        <v>0</v>
      </c>
      <c r="BY26" s="1158"/>
      <c r="BZ26" s="3285"/>
      <c r="CA26" s="3285"/>
      <c r="CB26" s="3286">
        <f t="shared" si="38"/>
        <v>0</v>
      </c>
      <c r="CC26" s="3284">
        <f t="shared" si="7"/>
        <v>0</v>
      </c>
      <c r="CD26" s="1158"/>
      <c r="CE26" s="3285"/>
      <c r="CF26" s="3285"/>
      <c r="CG26" s="3286">
        <f t="shared" si="39"/>
        <v>0</v>
      </c>
      <c r="CH26" s="3284">
        <f t="shared" si="8"/>
        <v>0</v>
      </c>
      <c r="CI26" s="1158"/>
      <c r="CJ26" s="3285"/>
      <c r="CK26" s="3285"/>
      <c r="CL26" s="3286">
        <f t="shared" si="40"/>
        <v>0</v>
      </c>
      <c r="CM26" s="3284">
        <f t="shared" si="9"/>
        <v>0</v>
      </c>
      <c r="CN26" s="1158"/>
      <c r="CO26" s="3285"/>
      <c r="CP26" s="3285"/>
      <c r="CQ26" s="3286">
        <f t="shared" si="41"/>
        <v>0</v>
      </c>
      <c r="CR26" s="3284">
        <f t="shared" si="10"/>
        <v>0</v>
      </c>
      <c r="CS26" s="1158"/>
      <c r="CT26" s="3285"/>
      <c r="CU26" s="3285"/>
      <c r="CV26" s="3286">
        <f t="shared" si="42"/>
        <v>0</v>
      </c>
      <c r="CW26" s="3284">
        <f t="shared" si="11"/>
        <v>0</v>
      </c>
      <c r="CX26" s="1158"/>
      <c r="CY26" s="3285"/>
      <c r="CZ26" s="3285"/>
      <c r="DA26" s="3286">
        <f t="shared" si="43"/>
        <v>0</v>
      </c>
      <c r="DB26" s="3284">
        <f t="shared" si="12"/>
        <v>0</v>
      </c>
      <c r="DC26" s="1158"/>
      <c r="DD26" s="3285"/>
      <c r="DE26" s="3285"/>
      <c r="DF26" s="3286">
        <f t="shared" si="44"/>
        <v>0</v>
      </c>
      <c r="DG26" s="3284">
        <f t="shared" si="13"/>
        <v>0</v>
      </c>
      <c r="DH26" s="1158"/>
      <c r="DI26" s="3285"/>
      <c r="DJ26" s="3285"/>
      <c r="DK26" s="3286">
        <f t="shared" si="45"/>
        <v>0</v>
      </c>
      <c r="DL26" s="3284">
        <f t="shared" si="14"/>
        <v>0</v>
      </c>
      <c r="DM26" s="1158"/>
      <c r="DN26" s="3283">
        <f t="shared" si="35"/>
        <v>0</v>
      </c>
      <c r="DO26" s="3283">
        <f t="shared" si="35"/>
        <v>0</v>
      </c>
      <c r="DP26" s="3283">
        <f t="shared" si="36"/>
        <v>0</v>
      </c>
      <c r="DQ26" s="3284">
        <f t="shared" si="15"/>
        <v>0</v>
      </c>
      <c r="DR26" s="1449"/>
    </row>
    <row r="27" spans="1:122" s="1411" customFormat="1" ht="162.6" customHeight="1" x14ac:dyDescent="0.25">
      <c r="A27" s="1586"/>
      <c r="B27" s="3289" t="s">
        <v>25</v>
      </c>
      <c r="C27" s="3288">
        <v>2074858.4319999998</v>
      </c>
      <c r="D27" s="3274">
        <v>42930</v>
      </c>
      <c r="E27" s="3283">
        <v>2117788.432</v>
      </c>
      <c r="F27" s="3284">
        <v>0.20599954330354581</v>
      </c>
      <c r="G27" s="2492"/>
      <c r="H27" s="3274">
        <f>24821.23*1.2+2384.41*1.2</f>
        <v>32646.768</v>
      </c>
      <c r="I27" s="3274">
        <v>30100</v>
      </c>
      <c r="J27" s="3283">
        <f t="shared" si="16"/>
        <v>62746.767999999996</v>
      </c>
      <c r="K27" s="3284">
        <f t="shared" si="0"/>
        <v>6.9988071492650836E-2</v>
      </c>
      <c r="L27" s="1596" t="s">
        <v>1006</v>
      </c>
      <c r="M27" s="3274">
        <f>4166.67*1.2</f>
        <v>5000.0039999999999</v>
      </c>
      <c r="N27" s="3274">
        <v>6290</v>
      </c>
      <c r="O27" s="3283">
        <f t="shared" si="46"/>
        <v>11290.004000000001</v>
      </c>
      <c r="P27" s="3284">
        <f t="shared" si="2"/>
        <v>7.9984387015402045E-3</v>
      </c>
      <c r="Q27" s="3275" t="s">
        <v>1051</v>
      </c>
      <c r="R27" s="3274">
        <f>41250.78*1.2</f>
        <v>49500.935999999994</v>
      </c>
      <c r="S27" s="3274"/>
      <c r="T27" s="3283">
        <f t="shared" si="47"/>
        <v>49500.935999999994</v>
      </c>
      <c r="U27" s="3284">
        <f t="shared" si="1"/>
        <v>0.14255150560152233</v>
      </c>
      <c r="V27" s="3275" t="s">
        <v>1130</v>
      </c>
      <c r="W27" s="3274">
        <f>16553.95+680</f>
        <v>17233.95</v>
      </c>
      <c r="X27" s="3274"/>
      <c r="Y27" s="3283">
        <f t="shared" si="48"/>
        <v>17233.95</v>
      </c>
      <c r="Z27" s="3284">
        <f t="shared" si="20"/>
        <v>4.9629880129162723E-2</v>
      </c>
      <c r="AA27" s="3275" t="s">
        <v>1223</v>
      </c>
      <c r="AB27" s="3274">
        <f>9879.94+5959.97+3408.33*1.2</f>
        <v>19929.905999999999</v>
      </c>
      <c r="AC27" s="3274"/>
      <c r="AD27" s="3283">
        <f t="shared" si="49"/>
        <v>19929.905999999999</v>
      </c>
      <c r="AE27" s="3284">
        <f t="shared" si="22"/>
        <v>5.7393623966965256E-2</v>
      </c>
      <c r="AF27" s="3275" t="s">
        <v>1243</v>
      </c>
      <c r="AG27" s="3274"/>
      <c r="AH27" s="3274"/>
      <c r="AI27" s="3283">
        <f t="shared" si="23"/>
        <v>0</v>
      </c>
      <c r="AJ27" s="3284">
        <f t="shared" si="24"/>
        <v>0</v>
      </c>
      <c r="AK27" s="3275"/>
      <c r="AL27" s="3274"/>
      <c r="AM27" s="3274">
        <v>1600</v>
      </c>
      <c r="AN27" s="3439">
        <f t="shared" si="25"/>
        <v>1600</v>
      </c>
      <c r="AO27" s="3284">
        <f t="shared" si="26"/>
        <v>4.6076383073329306E-3</v>
      </c>
      <c r="AP27" s="3275" t="s">
        <v>1392</v>
      </c>
      <c r="AQ27" s="3274">
        <f>3720+11405.59+146240.68+51662.88</f>
        <v>213029.15</v>
      </c>
      <c r="AR27" s="3274">
        <f>1400+1900+3165.36+610+2500</f>
        <v>9575.36</v>
      </c>
      <c r="AS27" s="3283">
        <f t="shared" si="27"/>
        <v>222604.51</v>
      </c>
      <c r="AT27" s="3284">
        <f t="shared" si="28"/>
        <v>0.64105066728817284</v>
      </c>
      <c r="AU27" s="3276" t="s">
        <v>1503</v>
      </c>
      <c r="AV27" s="3275">
        <v>2641796.7420000001</v>
      </c>
      <c r="AW27" s="3275">
        <v>38186.080000000002</v>
      </c>
      <c r="AX27" s="3283">
        <v>2679982.8220000002</v>
      </c>
      <c r="AY27" s="3284">
        <v>7.1681972043534481</v>
      </c>
      <c r="AZ27" s="3275"/>
      <c r="BA27" s="3275">
        <f t="shared" si="3"/>
        <v>921314.66399999999</v>
      </c>
      <c r="BB27" s="3275">
        <f t="shared" si="3"/>
        <v>0</v>
      </c>
      <c r="BC27" s="3283">
        <f t="shared" si="29"/>
        <v>921314.66399999999</v>
      </c>
      <c r="BD27" s="3284">
        <f t="shared" si="4"/>
        <v>2.4642565409751853</v>
      </c>
      <c r="BE27" s="3275"/>
      <c r="BF27" s="3744">
        <v>38016</v>
      </c>
      <c r="BG27" s="3744"/>
      <c r="BH27" s="3753">
        <f t="shared" si="30"/>
        <v>38016</v>
      </c>
      <c r="BI27" s="3284">
        <f t="shared" si="31"/>
        <v>0.10947748618223044</v>
      </c>
      <c r="BJ27" s="3358" t="s">
        <v>2144</v>
      </c>
      <c r="BK27" s="3274">
        <f>((2880+46350+6480+9528.33+16110+3517.55+3721.64+17465.58+3700+8259.54+6270+21839.2)*1.2)+7000+27720+12350+49900</f>
        <v>272316.20799999998</v>
      </c>
      <c r="BL27" s="3274"/>
      <c r="BM27" s="3283">
        <f>BK27+BL27*1</f>
        <v>272316.20799999998</v>
      </c>
      <c r="BN27" s="3284">
        <f t="shared" si="5"/>
        <v>2.6488488479076453E-2</v>
      </c>
      <c r="BO27" s="3746" t="s">
        <v>2184</v>
      </c>
      <c r="BP27" s="3283">
        <f>((8299.81+33011.86+25505.87+91915.71+15895+2401.39+7656.96+5909.91+8958.29+4040+11052.46+18363.47+10010.65+2430+7208.33+56917.54+13302.5+29413.96+11591.67+4100)*1.2)+169400</f>
        <v>610982.45600000001</v>
      </c>
      <c r="BQ27" s="3283"/>
      <c r="BR27" s="3283">
        <f t="shared" si="33"/>
        <v>610982.45600000001</v>
      </c>
      <c r="BS27" s="3284">
        <f>BR27/$AD$89</f>
        <v>1.6342055243995155</v>
      </c>
      <c r="BT27" s="3291" t="s">
        <v>2210</v>
      </c>
      <c r="BU27" s="3285"/>
      <c r="BV27" s="3285"/>
      <c r="BW27" s="3286">
        <f t="shared" si="37"/>
        <v>0</v>
      </c>
      <c r="BX27" s="3284">
        <f t="shared" si="6"/>
        <v>0</v>
      </c>
      <c r="BY27" s="3291"/>
      <c r="BZ27" s="3285"/>
      <c r="CA27" s="3285"/>
      <c r="CB27" s="3286">
        <f t="shared" si="38"/>
        <v>0</v>
      </c>
      <c r="CC27" s="3284">
        <f t="shared" si="7"/>
        <v>0</v>
      </c>
      <c r="CD27" s="3291"/>
      <c r="CE27" s="3285"/>
      <c r="CF27" s="3285"/>
      <c r="CG27" s="3286">
        <f t="shared" si="39"/>
        <v>0</v>
      </c>
      <c r="CH27" s="3284">
        <f t="shared" si="8"/>
        <v>0</v>
      </c>
      <c r="CI27" s="3291"/>
      <c r="CJ27" s="3285"/>
      <c r="CK27" s="3285"/>
      <c r="CL27" s="3286">
        <f t="shared" si="40"/>
        <v>0</v>
      </c>
      <c r="CM27" s="3284">
        <f t="shared" si="9"/>
        <v>0</v>
      </c>
      <c r="CN27" s="3291"/>
      <c r="CO27" s="3285"/>
      <c r="CP27" s="3285"/>
      <c r="CQ27" s="3286">
        <f t="shared" si="41"/>
        <v>0</v>
      </c>
      <c r="CR27" s="3284">
        <f t="shared" si="10"/>
        <v>0</v>
      </c>
      <c r="CS27" s="3291"/>
      <c r="CT27" s="3285"/>
      <c r="CU27" s="3285"/>
      <c r="CV27" s="3286">
        <f t="shared" si="42"/>
        <v>0</v>
      </c>
      <c r="CW27" s="3284">
        <f t="shared" si="11"/>
        <v>0</v>
      </c>
      <c r="CX27" s="3291"/>
      <c r="CY27" s="3285"/>
      <c r="CZ27" s="3285"/>
      <c r="DA27" s="3286">
        <f t="shared" si="43"/>
        <v>0</v>
      </c>
      <c r="DB27" s="3284">
        <f t="shared" si="12"/>
        <v>0</v>
      </c>
      <c r="DC27" s="3291"/>
      <c r="DD27" s="3285"/>
      <c r="DE27" s="3285"/>
      <c r="DF27" s="3286">
        <f t="shared" si="44"/>
        <v>0</v>
      </c>
      <c r="DG27" s="3284">
        <f t="shared" si="13"/>
        <v>0</v>
      </c>
      <c r="DH27" s="3291"/>
      <c r="DI27" s="3285"/>
      <c r="DJ27" s="3285"/>
      <c r="DK27" s="3286">
        <f t="shared" si="45"/>
        <v>0</v>
      </c>
      <c r="DL27" s="3284">
        <f t="shared" si="14"/>
        <v>0</v>
      </c>
      <c r="DM27" s="3291"/>
      <c r="DN27" s="3283">
        <f t="shared" si="35"/>
        <v>3862805.3480000002</v>
      </c>
      <c r="DO27" s="3283">
        <f t="shared" si="35"/>
        <v>49361.440000000002</v>
      </c>
      <c r="DP27" s="3283">
        <f t="shared" si="36"/>
        <v>3912166.7880000002</v>
      </c>
      <c r="DQ27" s="3284">
        <f t="shared" si="15"/>
        <v>0.29241755382165935</v>
      </c>
      <c r="DR27" s="1449"/>
    </row>
    <row r="28" spans="1:122" s="1411" customFormat="1" ht="229.95" customHeight="1" x14ac:dyDescent="0.25">
      <c r="A28" s="1586"/>
      <c r="B28" s="3289" t="s">
        <v>52</v>
      </c>
      <c r="C28" s="3288">
        <v>2920441.3360000001</v>
      </c>
      <c r="D28" s="3274">
        <v>19795</v>
      </c>
      <c r="E28" s="3283">
        <v>2940236.3360000001</v>
      </c>
      <c r="F28" s="3284">
        <v>0.28599992958148845</v>
      </c>
      <c r="G28" s="2492"/>
      <c r="H28" s="3274">
        <f>210531-11144</f>
        <v>199387</v>
      </c>
      <c r="I28" s="3274">
        <f>200+500</f>
        <v>700</v>
      </c>
      <c r="J28" s="3283">
        <f t="shared" si="16"/>
        <v>200087</v>
      </c>
      <c r="K28" s="3284">
        <f t="shared" si="0"/>
        <v>0.2231780808335822</v>
      </c>
      <c r="L28" s="3390" t="s">
        <v>1010</v>
      </c>
      <c r="M28" s="3274">
        <f>587.7+2750+13949.76+290090</f>
        <v>307377.46000000002</v>
      </c>
      <c r="N28" s="3274">
        <f>2663+175+500+1200</f>
        <v>4538</v>
      </c>
      <c r="O28" s="3283">
        <f t="shared" si="46"/>
        <v>311915.46000000002</v>
      </c>
      <c r="P28" s="3284">
        <f t="shared" si="2"/>
        <v>0.22097748476198195</v>
      </c>
      <c r="Q28" s="3275" t="s">
        <v>1065</v>
      </c>
      <c r="R28" s="3274">
        <f>89419.91+5724.5+24210.72+31764.96+8049.6+20870.14</f>
        <v>180039.83000000002</v>
      </c>
      <c r="S28" s="3274">
        <v>630</v>
      </c>
      <c r="T28" s="3283">
        <f t="shared" si="47"/>
        <v>180669.83000000002</v>
      </c>
      <c r="U28" s="3284">
        <f t="shared" si="1"/>
        <v>0.52028826855458021</v>
      </c>
      <c r="V28" s="3275" t="s">
        <v>1126</v>
      </c>
      <c r="W28" s="3274">
        <v>176168.23</v>
      </c>
      <c r="X28" s="3274">
        <f>11492+2429</f>
        <v>13921</v>
      </c>
      <c r="Y28" s="3283">
        <f t="shared" si="48"/>
        <v>190089.23</v>
      </c>
      <c r="Z28" s="3284">
        <f t="shared" si="20"/>
        <v>0.54741401122463762</v>
      </c>
      <c r="AA28" s="3275" t="s">
        <v>1181</v>
      </c>
      <c r="AB28" s="3274">
        <f>11199+42742+31757.96+4704+13004+5200+20800+12060+21620.45</f>
        <v>163087.41</v>
      </c>
      <c r="AC28" s="3274">
        <v>2200</v>
      </c>
      <c r="AD28" s="3283">
        <f t="shared" si="49"/>
        <v>165287.41</v>
      </c>
      <c r="AE28" s="3284">
        <f t="shared" si="22"/>
        <v>0.47599037627240259</v>
      </c>
      <c r="AF28" s="3275" t="s">
        <v>1244</v>
      </c>
      <c r="AG28" s="3274">
        <f>2762.09+5005</f>
        <v>7767.09</v>
      </c>
      <c r="AH28" s="3274">
        <f>3330+300+2150</f>
        <v>5780</v>
      </c>
      <c r="AI28" s="3283">
        <f t="shared" si="23"/>
        <v>13547.09</v>
      </c>
      <c r="AJ28" s="3284">
        <f t="shared" si="24"/>
        <v>3.9012556773054298E-2</v>
      </c>
      <c r="AK28" s="3275" t="s">
        <v>1311</v>
      </c>
      <c r="AL28" s="3274">
        <f>4205*52.98</f>
        <v>222780.9</v>
      </c>
      <c r="AM28" s="3274"/>
      <c r="AN28" s="3439">
        <f t="shared" si="25"/>
        <v>222780.9</v>
      </c>
      <c r="AO28" s="3284">
        <f t="shared" si="26"/>
        <v>0.64155863061381679</v>
      </c>
      <c r="AP28" s="3276" t="s">
        <v>1393</v>
      </c>
      <c r="AQ28" s="3274">
        <f>2959.49+7709.86*53.25</f>
        <v>413509.53499999997</v>
      </c>
      <c r="AR28" s="3274">
        <f>2400+35100+7607.96+1514</f>
        <v>46621.96</v>
      </c>
      <c r="AS28" s="3283">
        <f t="shared" si="27"/>
        <v>460131.495</v>
      </c>
      <c r="AT28" s="3284">
        <f t="shared" si="28"/>
        <v>1.3250746892327319</v>
      </c>
      <c r="AU28" s="3276" t="s">
        <v>1531</v>
      </c>
      <c r="AV28" s="3275">
        <v>823802.85600000003</v>
      </c>
      <c r="AW28" s="3275">
        <v>15652.16</v>
      </c>
      <c r="AX28" s="3283">
        <v>839455.01600000006</v>
      </c>
      <c r="AY28" s="3284">
        <v>2.2453051002696611</v>
      </c>
      <c r="AZ28" s="3275"/>
      <c r="BA28" s="3275">
        <f t="shared" si="3"/>
        <v>285706.74199999997</v>
      </c>
      <c r="BB28" s="3275">
        <f t="shared" si="3"/>
        <v>6188.67</v>
      </c>
      <c r="BC28" s="3283">
        <f t="shared" si="29"/>
        <v>291895.41199999995</v>
      </c>
      <c r="BD28" s="3284">
        <f t="shared" si="4"/>
        <v>0.78073779394620213</v>
      </c>
      <c r="BE28" s="3275"/>
      <c r="BF28" s="3744">
        <v>32817.85</v>
      </c>
      <c r="BG28" s="3744"/>
      <c r="BH28" s="3753">
        <f t="shared" si="30"/>
        <v>32817.85</v>
      </c>
      <c r="BI28" s="3284">
        <f t="shared" si="31"/>
        <v>9.4507989265191258E-2</v>
      </c>
      <c r="BJ28" s="3358" t="s">
        <v>2145</v>
      </c>
      <c r="BK28" s="3274">
        <f>1700+600+((57733.33+1779.17+11166.67+1281+3150)*1.2)+25434.7+1400</f>
        <v>119266.90399999999</v>
      </c>
      <c r="BL28" s="3274">
        <f>5084.67+1104</f>
        <v>6188.67</v>
      </c>
      <c r="BM28" s="3283">
        <f t="shared" si="32"/>
        <v>125455.57399999999</v>
      </c>
      <c r="BN28" s="3284">
        <f t="shared" si="5"/>
        <v>1.2203197712473007E-2</v>
      </c>
      <c r="BO28" s="3746" t="s">
        <v>2185</v>
      </c>
      <c r="BP28" s="3283">
        <f>2700+10100+((783.33+89585+1583.33+1833.33+2200+3200+666.67+833.33)*1.2)</f>
        <v>133621.98800000001</v>
      </c>
      <c r="BQ28" s="3283"/>
      <c r="BR28" s="3283">
        <f t="shared" si="33"/>
        <v>133621.98800000001</v>
      </c>
      <c r="BS28" s="3284">
        <f t="shared" si="34"/>
        <v>0.35740108218564914</v>
      </c>
      <c r="BT28" s="3291" t="s">
        <v>2209</v>
      </c>
      <c r="BU28" s="3285"/>
      <c r="BV28" s="3285"/>
      <c r="BW28" s="3286">
        <f t="shared" si="37"/>
        <v>0</v>
      </c>
      <c r="BX28" s="3284">
        <f t="shared" si="6"/>
        <v>0</v>
      </c>
      <c r="BY28" s="3291"/>
      <c r="BZ28" s="3285"/>
      <c r="CA28" s="3285"/>
      <c r="CB28" s="3286">
        <f t="shared" si="38"/>
        <v>0</v>
      </c>
      <c r="CC28" s="3284">
        <f t="shared" si="7"/>
        <v>0</v>
      </c>
      <c r="CD28" s="3291"/>
      <c r="CE28" s="3285"/>
      <c r="CF28" s="3285"/>
      <c r="CG28" s="3286">
        <f t="shared" si="39"/>
        <v>0</v>
      </c>
      <c r="CH28" s="3284">
        <f t="shared" si="8"/>
        <v>0</v>
      </c>
      <c r="CI28" s="3291"/>
      <c r="CJ28" s="3285"/>
      <c r="CK28" s="3285"/>
      <c r="CL28" s="3286">
        <f t="shared" si="40"/>
        <v>0</v>
      </c>
      <c r="CM28" s="3284">
        <f t="shared" si="9"/>
        <v>0</v>
      </c>
      <c r="CN28" s="3291"/>
      <c r="CO28" s="3285"/>
      <c r="CP28" s="3285"/>
      <c r="CQ28" s="3286">
        <f t="shared" si="41"/>
        <v>0</v>
      </c>
      <c r="CR28" s="3284">
        <f t="shared" si="10"/>
        <v>0</v>
      </c>
      <c r="CS28" s="3291"/>
      <c r="CT28" s="3285"/>
      <c r="CU28" s="3285"/>
      <c r="CV28" s="3286">
        <f t="shared" si="42"/>
        <v>0</v>
      </c>
      <c r="CW28" s="3284">
        <f t="shared" si="11"/>
        <v>0</v>
      </c>
      <c r="CX28" s="3291"/>
      <c r="CY28" s="3285"/>
      <c r="CZ28" s="3285"/>
      <c r="DA28" s="3286">
        <f t="shared" si="43"/>
        <v>0</v>
      </c>
      <c r="DB28" s="3284">
        <f t="shared" si="12"/>
        <v>0</v>
      </c>
      <c r="DC28" s="3291"/>
      <c r="DD28" s="3285"/>
      <c r="DE28" s="3285"/>
      <c r="DF28" s="3286">
        <f t="shared" si="44"/>
        <v>0</v>
      </c>
      <c r="DG28" s="3284">
        <f t="shared" si="13"/>
        <v>0</v>
      </c>
      <c r="DH28" s="3291"/>
      <c r="DI28" s="3285"/>
      <c r="DJ28" s="3285"/>
      <c r="DK28" s="3286">
        <f t="shared" si="45"/>
        <v>0</v>
      </c>
      <c r="DL28" s="3284">
        <f t="shared" si="14"/>
        <v>0</v>
      </c>
      <c r="DM28" s="3291"/>
      <c r="DN28" s="3283">
        <f t="shared" si="35"/>
        <v>2272862.5930000003</v>
      </c>
      <c r="DO28" s="3283">
        <f t="shared" si="35"/>
        <v>90993.79</v>
      </c>
      <c r="DP28" s="3283">
        <f t="shared" si="36"/>
        <v>2363856.3830000004</v>
      </c>
      <c r="DQ28" s="3284">
        <f t="shared" si="15"/>
        <v>0.1766880449020814</v>
      </c>
      <c r="DR28" s="1449"/>
    </row>
    <row r="29" spans="1:122" s="1411" customFormat="1" ht="13.8" x14ac:dyDescent="0.25">
      <c r="A29" s="1586"/>
      <c r="B29" s="3289" t="s">
        <v>31</v>
      </c>
      <c r="C29" s="3288">
        <v>251600</v>
      </c>
      <c r="D29" s="3274">
        <v>27400</v>
      </c>
      <c r="E29" s="3283">
        <v>279000</v>
      </c>
      <c r="F29" s="3284">
        <v>2.7138628067493988E-2</v>
      </c>
      <c r="G29" s="2492"/>
      <c r="H29" s="3274">
        <f>30000-'Форд Тягач'!H29</f>
        <v>27900</v>
      </c>
      <c r="I29" s="3274">
        <v>7600</v>
      </c>
      <c r="J29" s="3283">
        <f t="shared" si="16"/>
        <v>35500</v>
      </c>
      <c r="K29" s="3284">
        <f t="shared" si="0"/>
        <v>3.9596884703114989E-2</v>
      </c>
      <c r="L29" s="3390"/>
      <c r="M29" s="3274">
        <v>40600</v>
      </c>
      <c r="N29" s="3274">
        <f>4191+800+17948+3093</f>
        <v>26032</v>
      </c>
      <c r="O29" s="3283">
        <f t="shared" si="46"/>
        <v>66632</v>
      </c>
      <c r="P29" s="3284">
        <f t="shared" si="2"/>
        <v>4.720564913537912E-2</v>
      </c>
      <c r="Q29" s="3294"/>
      <c r="R29" s="3274"/>
      <c r="S29" s="3274">
        <v>2070</v>
      </c>
      <c r="T29" s="3283">
        <f t="shared" si="47"/>
        <v>2070</v>
      </c>
      <c r="U29" s="3284">
        <f t="shared" si="1"/>
        <v>5.9611320601119788E-3</v>
      </c>
      <c r="V29" s="3294"/>
      <c r="W29" s="3274"/>
      <c r="X29" s="3274"/>
      <c r="Y29" s="3283">
        <f t="shared" si="48"/>
        <v>0</v>
      </c>
      <c r="Z29" s="3284">
        <f t="shared" si="20"/>
        <v>0</v>
      </c>
      <c r="AA29" s="3294"/>
      <c r="AB29" s="3274"/>
      <c r="AC29" s="3274"/>
      <c r="AD29" s="3283">
        <f t="shared" si="49"/>
        <v>0</v>
      </c>
      <c r="AE29" s="3284">
        <f t="shared" si="22"/>
        <v>0</v>
      </c>
      <c r="AF29" s="3294"/>
      <c r="AG29" s="3274"/>
      <c r="AH29" s="3274">
        <v>10312</v>
      </c>
      <c r="AI29" s="3283">
        <f t="shared" si="23"/>
        <v>10312</v>
      </c>
      <c r="AJ29" s="3284">
        <f t="shared" si="24"/>
        <v>2.9696228890760738E-2</v>
      </c>
      <c r="AK29" s="3275" t="s">
        <v>1308</v>
      </c>
      <c r="AL29" s="3274"/>
      <c r="AM29" s="3274"/>
      <c r="AN29" s="3439">
        <f t="shared" si="25"/>
        <v>0</v>
      </c>
      <c r="AO29" s="3284">
        <f t="shared" si="26"/>
        <v>0</v>
      </c>
      <c r="AP29" s="3294"/>
      <c r="AQ29" s="3274"/>
      <c r="AR29" s="3274"/>
      <c r="AS29" s="3283">
        <f t="shared" si="27"/>
        <v>0</v>
      </c>
      <c r="AT29" s="3284">
        <f t="shared" si="28"/>
        <v>0</v>
      </c>
      <c r="AU29" s="3294"/>
      <c r="AV29" s="3275">
        <v>0</v>
      </c>
      <c r="AW29" s="3275">
        <v>0</v>
      </c>
      <c r="AX29" s="3283">
        <v>0</v>
      </c>
      <c r="AY29" s="3284">
        <v>0</v>
      </c>
      <c r="AZ29" s="3275"/>
      <c r="BA29" s="3275">
        <f t="shared" si="3"/>
        <v>0</v>
      </c>
      <c r="BB29" s="3275">
        <f t="shared" si="3"/>
        <v>0</v>
      </c>
      <c r="BC29" s="3283">
        <f t="shared" si="29"/>
        <v>0</v>
      </c>
      <c r="BD29" s="3284">
        <f t="shared" si="4"/>
        <v>0</v>
      </c>
      <c r="BE29" s="3275"/>
      <c r="BF29" s="3744"/>
      <c r="BG29" s="3744"/>
      <c r="BH29" s="3753">
        <f t="shared" si="30"/>
        <v>0</v>
      </c>
      <c r="BI29" s="3284">
        <f t="shared" si="31"/>
        <v>0</v>
      </c>
      <c r="BJ29" s="3758"/>
      <c r="BK29" s="3274"/>
      <c r="BL29" s="3274"/>
      <c r="BM29" s="3283">
        <f t="shared" si="32"/>
        <v>0</v>
      </c>
      <c r="BN29" s="3284">
        <f t="shared" si="5"/>
        <v>0</v>
      </c>
      <c r="BO29" s="3746"/>
      <c r="BP29" s="3283"/>
      <c r="BQ29" s="3283"/>
      <c r="BR29" s="3283">
        <f t="shared" si="33"/>
        <v>0</v>
      </c>
      <c r="BS29" s="3284">
        <f t="shared" si="34"/>
        <v>0</v>
      </c>
      <c r="BT29" s="3291"/>
      <c r="BU29" s="3285"/>
      <c r="BV29" s="3285"/>
      <c r="BW29" s="3286">
        <f t="shared" si="37"/>
        <v>0</v>
      </c>
      <c r="BX29" s="3284">
        <f t="shared" si="6"/>
        <v>0</v>
      </c>
      <c r="BY29" s="3291"/>
      <c r="BZ29" s="3285"/>
      <c r="CA29" s="3285"/>
      <c r="CB29" s="3286">
        <f t="shared" si="38"/>
        <v>0</v>
      </c>
      <c r="CC29" s="3284">
        <f t="shared" si="7"/>
        <v>0</v>
      </c>
      <c r="CD29" s="3291"/>
      <c r="CE29" s="3285"/>
      <c r="CF29" s="3285"/>
      <c r="CG29" s="3286">
        <f t="shared" si="39"/>
        <v>0</v>
      </c>
      <c r="CH29" s="3284">
        <f t="shared" si="8"/>
        <v>0</v>
      </c>
      <c r="CI29" s="3291"/>
      <c r="CJ29" s="3285"/>
      <c r="CK29" s="3285"/>
      <c r="CL29" s="3286">
        <f t="shared" si="40"/>
        <v>0</v>
      </c>
      <c r="CM29" s="3284">
        <f t="shared" si="9"/>
        <v>0</v>
      </c>
      <c r="CN29" s="3291"/>
      <c r="CO29" s="3285"/>
      <c r="CP29" s="3285"/>
      <c r="CQ29" s="3286">
        <f t="shared" si="41"/>
        <v>0</v>
      </c>
      <c r="CR29" s="3284">
        <f t="shared" si="10"/>
        <v>0</v>
      </c>
      <c r="CS29" s="3291"/>
      <c r="CT29" s="3285"/>
      <c r="CU29" s="3285"/>
      <c r="CV29" s="3286">
        <f t="shared" si="42"/>
        <v>0</v>
      </c>
      <c r="CW29" s="3284">
        <f t="shared" si="11"/>
        <v>0</v>
      </c>
      <c r="CX29" s="3291"/>
      <c r="CY29" s="3285"/>
      <c r="CZ29" s="3285"/>
      <c r="DA29" s="3286">
        <f t="shared" si="43"/>
        <v>0</v>
      </c>
      <c r="DB29" s="3284">
        <f t="shared" si="12"/>
        <v>0</v>
      </c>
      <c r="DC29" s="3291"/>
      <c r="DD29" s="3285"/>
      <c r="DE29" s="3285"/>
      <c r="DF29" s="3286">
        <f t="shared" si="44"/>
        <v>0</v>
      </c>
      <c r="DG29" s="3284">
        <f t="shared" si="13"/>
        <v>0</v>
      </c>
      <c r="DH29" s="3291"/>
      <c r="DI29" s="3285"/>
      <c r="DJ29" s="3285"/>
      <c r="DK29" s="3286">
        <f t="shared" si="45"/>
        <v>0</v>
      </c>
      <c r="DL29" s="3284">
        <f t="shared" si="14"/>
        <v>0</v>
      </c>
      <c r="DM29" s="3291"/>
      <c r="DN29" s="3283">
        <f t="shared" si="35"/>
        <v>0</v>
      </c>
      <c r="DO29" s="3283">
        <f t="shared" si="35"/>
        <v>12382</v>
      </c>
      <c r="DP29" s="3283">
        <f t="shared" si="36"/>
        <v>12382</v>
      </c>
      <c r="DQ29" s="3284">
        <f t="shared" si="15"/>
        <v>9.2550096854914193E-4</v>
      </c>
      <c r="DR29" s="3295"/>
    </row>
    <row r="30" spans="1:122" s="1411" customFormat="1" ht="27.6" x14ac:dyDescent="0.25">
      <c r="A30" s="1586"/>
      <c r="B30" s="3289" t="s">
        <v>62</v>
      </c>
      <c r="C30" s="3288">
        <v>0</v>
      </c>
      <c r="D30" s="3274">
        <v>3500</v>
      </c>
      <c r="E30" s="3283">
        <v>3500</v>
      </c>
      <c r="F30" s="3284">
        <v>3.4044873919795326E-4</v>
      </c>
      <c r="G30" s="2492"/>
      <c r="H30" s="3274"/>
      <c r="I30" s="3274"/>
      <c r="J30" s="3283">
        <f t="shared" si="16"/>
        <v>0</v>
      </c>
      <c r="K30" s="3284">
        <f t="shared" si="0"/>
        <v>0</v>
      </c>
      <c r="L30" s="3295"/>
      <c r="M30" s="3274"/>
      <c r="N30" s="3274"/>
      <c r="O30" s="3283">
        <f t="shared" si="46"/>
        <v>0</v>
      </c>
      <c r="P30" s="3284">
        <f t="shared" si="2"/>
        <v>0</v>
      </c>
      <c r="Q30" s="3296"/>
      <c r="R30" s="3274"/>
      <c r="S30" s="3274">
        <v>5017</v>
      </c>
      <c r="T30" s="3283">
        <f t="shared" si="47"/>
        <v>5017</v>
      </c>
      <c r="U30" s="3284">
        <f t="shared" si="1"/>
        <v>1.4447825867430821E-2</v>
      </c>
      <c r="V30" s="3296"/>
      <c r="W30" s="3274"/>
      <c r="X30" s="3274">
        <f>6140+830</f>
        <v>6970</v>
      </c>
      <c r="Y30" s="3283">
        <f t="shared" si="48"/>
        <v>6970</v>
      </c>
      <c r="Z30" s="3284">
        <f t="shared" si="20"/>
        <v>2.0072024376319077E-2</v>
      </c>
      <c r="AA30" s="3275" t="s">
        <v>1182</v>
      </c>
      <c r="AB30" s="3274"/>
      <c r="AC30" s="3274">
        <v>5400</v>
      </c>
      <c r="AD30" s="3283">
        <f t="shared" si="49"/>
        <v>5400</v>
      </c>
      <c r="AE30" s="3284">
        <f t="shared" si="22"/>
        <v>1.555077928724864E-2</v>
      </c>
      <c r="AF30" s="3275" t="s">
        <v>1245</v>
      </c>
      <c r="AG30" s="3274"/>
      <c r="AH30" s="3274">
        <f>4600+1500</f>
        <v>6100</v>
      </c>
      <c r="AI30" s="3283">
        <f t="shared" si="23"/>
        <v>6100</v>
      </c>
      <c r="AJ30" s="3284">
        <f t="shared" si="24"/>
        <v>1.7566621046706799E-2</v>
      </c>
      <c r="AK30" s="3275" t="s">
        <v>1306</v>
      </c>
      <c r="AL30" s="3274"/>
      <c r="AM30" s="3274"/>
      <c r="AN30" s="3439">
        <f t="shared" si="25"/>
        <v>0</v>
      </c>
      <c r="AO30" s="3284">
        <f t="shared" si="26"/>
        <v>0</v>
      </c>
      <c r="AP30" s="3296"/>
      <c r="AQ30" s="3274"/>
      <c r="AR30" s="3274"/>
      <c r="AS30" s="3283">
        <f t="shared" si="27"/>
        <v>0</v>
      </c>
      <c r="AT30" s="3284">
        <f t="shared" si="28"/>
        <v>0</v>
      </c>
      <c r="AU30" s="3296"/>
      <c r="AV30" s="3275">
        <v>0</v>
      </c>
      <c r="AW30" s="3275">
        <v>0</v>
      </c>
      <c r="AX30" s="3283">
        <v>0</v>
      </c>
      <c r="AY30" s="3284">
        <v>0</v>
      </c>
      <c r="AZ30" s="3275"/>
      <c r="BA30" s="3275">
        <f t="shared" si="3"/>
        <v>0</v>
      </c>
      <c r="BB30" s="3275">
        <f t="shared" si="3"/>
        <v>0</v>
      </c>
      <c r="BC30" s="3283">
        <f t="shared" si="29"/>
        <v>0</v>
      </c>
      <c r="BD30" s="3284">
        <f t="shared" si="4"/>
        <v>0</v>
      </c>
      <c r="BE30" s="3275"/>
      <c r="BF30" s="3744"/>
      <c r="BG30" s="3744"/>
      <c r="BH30" s="3753">
        <f t="shared" si="30"/>
        <v>0</v>
      </c>
      <c r="BI30" s="3284">
        <f t="shared" si="31"/>
        <v>0</v>
      </c>
      <c r="BJ30" s="3759"/>
      <c r="BK30" s="3274"/>
      <c r="BL30" s="3274"/>
      <c r="BM30" s="3283">
        <f t="shared" si="32"/>
        <v>0</v>
      </c>
      <c r="BN30" s="3284">
        <f t="shared" si="5"/>
        <v>0</v>
      </c>
      <c r="BO30" s="3746"/>
      <c r="BP30" s="3283"/>
      <c r="BQ30" s="3283"/>
      <c r="BR30" s="3283">
        <f t="shared" si="33"/>
        <v>0</v>
      </c>
      <c r="BS30" s="3284">
        <f t="shared" si="34"/>
        <v>0</v>
      </c>
      <c r="BT30" s="3297"/>
      <c r="BU30" s="3285"/>
      <c r="BV30" s="3285"/>
      <c r="BW30" s="3286">
        <f t="shared" si="37"/>
        <v>0</v>
      </c>
      <c r="BX30" s="3284">
        <f t="shared" si="6"/>
        <v>0</v>
      </c>
      <c r="BY30" s="3297"/>
      <c r="BZ30" s="3285"/>
      <c r="CA30" s="3285"/>
      <c r="CB30" s="3286">
        <f t="shared" si="38"/>
        <v>0</v>
      </c>
      <c r="CC30" s="3284">
        <f t="shared" si="7"/>
        <v>0</v>
      </c>
      <c r="CD30" s="3297"/>
      <c r="CE30" s="3285"/>
      <c r="CF30" s="3285"/>
      <c r="CG30" s="3286">
        <f t="shared" si="39"/>
        <v>0</v>
      </c>
      <c r="CH30" s="3284">
        <f t="shared" si="8"/>
        <v>0</v>
      </c>
      <c r="CI30" s="3297"/>
      <c r="CJ30" s="3285"/>
      <c r="CK30" s="3285"/>
      <c r="CL30" s="3286">
        <f t="shared" si="40"/>
        <v>0</v>
      </c>
      <c r="CM30" s="3284">
        <f t="shared" si="9"/>
        <v>0</v>
      </c>
      <c r="CN30" s="3297"/>
      <c r="CO30" s="3285"/>
      <c r="CP30" s="3285"/>
      <c r="CQ30" s="3286">
        <f t="shared" si="41"/>
        <v>0</v>
      </c>
      <c r="CR30" s="3284">
        <f t="shared" si="10"/>
        <v>0</v>
      </c>
      <c r="CS30" s="3297"/>
      <c r="CT30" s="3285"/>
      <c r="CU30" s="3285"/>
      <c r="CV30" s="3286">
        <f t="shared" si="42"/>
        <v>0</v>
      </c>
      <c r="CW30" s="3284">
        <f t="shared" si="11"/>
        <v>0</v>
      </c>
      <c r="CX30" s="3297"/>
      <c r="CY30" s="3285"/>
      <c r="CZ30" s="3285"/>
      <c r="DA30" s="3286">
        <f t="shared" si="43"/>
        <v>0</v>
      </c>
      <c r="DB30" s="3284">
        <f t="shared" si="12"/>
        <v>0</v>
      </c>
      <c r="DC30" s="3297"/>
      <c r="DD30" s="3285"/>
      <c r="DE30" s="3285"/>
      <c r="DF30" s="3286">
        <f t="shared" si="44"/>
        <v>0</v>
      </c>
      <c r="DG30" s="3284">
        <f t="shared" si="13"/>
        <v>0</v>
      </c>
      <c r="DH30" s="3297"/>
      <c r="DI30" s="3285"/>
      <c r="DJ30" s="3285"/>
      <c r="DK30" s="3286">
        <f t="shared" si="45"/>
        <v>0</v>
      </c>
      <c r="DL30" s="3284">
        <f t="shared" si="14"/>
        <v>0</v>
      </c>
      <c r="DM30" s="3297"/>
      <c r="DN30" s="3283">
        <f t="shared" si="35"/>
        <v>0</v>
      </c>
      <c r="DO30" s="3283">
        <f t="shared" si="35"/>
        <v>23487</v>
      </c>
      <c r="DP30" s="3283">
        <f t="shared" si="36"/>
        <v>23487</v>
      </c>
      <c r="DQ30" s="3284">
        <f t="shared" si="15"/>
        <v>1.7555517079885074E-3</v>
      </c>
      <c r="DR30" s="3295"/>
    </row>
    <row r="31" spans="1:122" s="1411" customFormat="1" ht="69" x14ac:dyDescent="0.25">
      <c r="A31" s="1586"/>
      <c r="B31" s="3289" t="s">
        <v>34</v>
      </c>
      <c r="C31" s="3288">
        <v>101499.996</v>
      </c>
      <c r="D31" s="3274">
        <v>148620</v>
      </c>
      <c r="E31" s="3283">
        <v>250119.99599999998</v>
      </c>
      <c r="F31" s="3284">
        <v>2.4329439224684887E-2</v>
      </c>
      <c r="G31" s="2492"/>
      <c r="H31" s="3274"/>
      <c r="I31" s="3274">
        <v>19730</v>
      </c>
      <c r="J31" s="3283">
        <f t="shared" si="16"/>
        <v>19730</v>
      </c>
      <c r="K31" s="3284">
        <f t="shared" si="0"/>
        <v>2.2006944653308696E-2</v>
      </c>
      <c r="L31" s="3390"/>
      <c r="M31" s="3274"/>
      <c r="N31" s="3274"/>
      <c r="O31" s="3283">
        <f t="shared" si="46"/>
        <v>0</v>
      </c>
      <c r="P31" s="3284">
        <f t="shared" si="2"/>
        <v>0</v>
      </c>
      <c r="Q31" s="3275"/>
      <c r="R31" s="3274"/>
      <c r="S31" s="3274"/>
      <c r="T31" s="3283">
        <f t="shared" si="47"/>
        <v>0</v>
      </c>
      <c r="U31" s="3284">
        <f t="shared" si="1"/>
        <v>0</v>
      </c>
      <c r="V31" s="3275"/>
      <c r="W31" s="3274"/>
      <c r="X31" s="3274">
        <v>10295.18</v>
      </c>
      <c r="Y31" s="3283">
        <f t="shared" si="48"/>
        <v>10295.18</v>
      </c>
      <c r="Z31" s="3284">
        <f t="shared" si="20"/>
        <v>2.96477910930549E-2</v>
      </c>
      <c r="AA31" s="3275" t="s">
        <v>1183</v>
      </c>
      <c r="AB31" s="3274"/>
      <c r="AC31" s="3274">
        <v>3664.93</v>
      </c>
      <c r="AD31" s="3283">
        <f t="shared" si="49"/>
        <v>3664.93</v>
      </c>
      <c r="AE31" s="3284">
        <f t="shared" si="22"/>
        <v>1.0554169913558549E-2</v>
      </c>
      <c r="AF31" s="3275" t="s">
        <v>1246</v>
      </c>
      <c r="AG31" s="3274">
        <v>22000</v>
      </c>
      <c r="AH31" s="3274"/>
      <c r="AI31" s="3283">
        <f t="shared" si="23"/>
        <v>22000</v>
      </c>
      <c r="AJ31" s="3284">
        <f t="shared" si="24"/>
        <v>6.3355026725827795E-2</v>
      </c>
      <c r="AK31" s="3275" t="s">
        <v>1312</v>
      </c>
      <c r="AL31" s="3274"/>
      <c r="AM31" s="3274">
        <v>5975.95</v>
      </c>
      <c r="AN31" s="3439">
        <f t="shared" si="25"/>
        <v>5975.95</v>
      </c>
      <c r="AO31" s="3284">
        <f t="shared" si="26"/>
        <v>1.7209385089191391E-2</v>
      </c>
      <c r="AP31" s="3276" t="s">
        <v>1394</v>
      </c>
      <c r="AQ31" s="3274"/>
      <c r="AR31" s="3274">
        <f>1999.8+911+919.39+1325</f>
        <v>5155.1900000000005</v>
      </c>
      <c r="AS31" s="3283">
        <f t="shared" si="27"/>
        <v>5155.1900000000005</v>
      </c>
      <c r="AT31" s="3284">
        <f t="shared" si="28"/>
        <v>1.4845781828487283E-2</v>
      </c>
      <c r="AU31" s="3276" t="s">
        <v>1501</v>
      </c>
      <c r="AV31" s="3275">
        <v>0</v>
      </c>
      <c r="AW31" s="3275">
        <v>24432.21</v>
      </c>
      <c r="AX31" s="3283">
        <v>24432.21</v>
      </c>
      <c r="AY31" s="3284">
        <v>6.5349261935745473E-2</v>
      </c>
      <c r="AZ31" s="3275"/>
      <c r="BA31" s="3275">
        <f t="shared" si="3"/>
        <v>0</v>
      </c>
      <c r="BB31" s="3275">
        <f t="shared" si="3"/>
        <v>900</v>
      </c>
      <c r="BC31" s="3283">
        <f t="shared" si="29"/>
        <v>900</v>
      </c>
      <c r="BD31" s="3284">
        <f t="shared" si="4"/>
        <v>2.4072458341742693E-3</v>
      </c>
      <c r="BE31" s="3275"/>
      <c r="BF31" s="3744"/>
      <c r="BG31" s="3744"/>
      <c r="BH31" s="3753">
        <f t="shared" si="30"/>
        <v>0</v>
      </c>
      <c r="BI31" s="3284">
        <f t="shared" si="31"/>
        <v>0</v>
      </c>
      <c r="BJ31" s="3358"/>
      <c r="BK31" s="3274"/>
      <c r="BL31" s="3274"/>
      <c r="BM31" s="3283">
        <f t="shared" si="32"/>
        <v>0</v>
      </c>
      <c r="BN31" s="3284">
        <f t="shared" si="5"/>
        <v>0</v>
      </c>
      <c r="BO31" s="3746"/>
      <c r="BP31" s="3283"/>
      <c r="BQ31" s="3283">
        <v>900</v>
      </c>
      <c r="BR31" s="3283">
        <f t="shared" si="33"/>
        <v>900</v>
      </c>
      <c r="BS31" s="3284">
        <f t="shared" si="34"/>
        <v>2.4072458341742693E-3</v>
      </c>
      <c r="BT31" s="3291" t="s">
        <v>2208</v>
      </c>
      <c r="BU31" s="3285"/>
      <c r="BV31" s="3285"/>
      <c r="BW31" s="3286">
        <f t="shared" si="37"/>
        <v>0</v>
      </c>
      <c r="BX31" s="3284">
        <f t="shared" si="6"/>
        <v>0</v>
      </c>
      <c r="BY31" s="3297"/>
      <c r="BZ31" s="3285"/>
      <c r="CA31" s="3285"/>
      <c r="CB31" s="3286">
        <f t="shared" si="38"/>
        <v>0</v>
      </c>
      <c r="CC31" s="3284">
        <f t="shared" si="7"/>
        <v>0</v>
      </c>
      <c r="CD31" s="3297"/>
      <c r="CE31" s="3285"/>
      <c r="CF31" s="3285"/>
      <c r="CG31" s="3286">
        <f t="shared" si="39"/>
        <v>0</v>
      </c>
      <c r="CH31" s="3284">
        <f t="shared" si="8"/>
        <v>0</v>
      </c>
      <c r="CI31" s="3297"/>
      <c r="CJ31" s="3285"/>
      <c r="CK31" s="3285"/>
      <c r="CL31" s="3286">
        <f t="shared" si="40"/>
        <v>0</v>
      </c>
      <c r="CM31" s="3284">
        <f t="shared" si="9"/>
        <v>0</v>
      </c>
      <c r="CN31" s="3297"/>
      <c r="CO31" s="3285"/>
      <c r="CP31" s="3285"/>
      <c r="CQ31" s="3286">
        <f t="shared" si="41"/>
        <v>0</v>
      </c>
      <c r="CR31" s="3284">
        <f t="shared" si="10"/>
        <v>0</v>
      </c>
      <c r="CS31" s="3297"/>
      <c r="CT31" s="3285"/>
      <c r="CU31" s="3285"/>
      <c r="CV31" s="3286">
        <f t="shared" si="42"/>
        <v>0</v>
      </c>
      <c r="CW31" s="3284">
        <f t="shared" si="11"/>
        <v>0</v>
      </c>
      <c r="CX31" s="3413"/>
      <c r="CY31" s="3285"/>
      <c r="CZ31" s="3285"/>
      <c r="DA31" s="3286">
        <f t="shared" si="43"/>
        <v>0</v>
      </c>
      <c r="DB31" s="3284">
        <f t="shared" si="12"/>
        <v>0</v>
      </c>
      <c r="DC31" s="3413"/>
      <c r="DD31" s="3285"/>
      <c r="DE31" s="3285"/>
      <c r="DF31" s="3286">
        <f t="shared" si="44"/>
        <v>0</v>
      </c>
      <c r="DG31" s="3284">
        <f t="shared" si="13"/>
        <v>0</v>
      </c>
      <c r="DH31" s="3413"/>
      <c r="DI31" s="3285"/>
      <c r="DJ31" s="3285"/>
      <c r="DK31" s="3286">
        <f t="shared" si="45"/>
        <v>0</v>
      </c>
      <c r="DL31" s="3284">
        <f t="shared" si="14"/>
        <v>0</v>
      </c>
      <c r="DM31" s="3413"/>
      <c r="DN31" s="3283">
        <f t="shared" si="35"/>
        <v>22000</v>
      </c>
      <c r="DO31" s="3283">
        <f t="shared" si="35"/>
        <v>50423.46</v>
      </c>
      <c r="DP31" s="3283">
        <f t="shared" si="36"/>
        <v>72423.459999999992</v>
      </c>
      <c r="DQ31" s="3284">
        <f t="shared" si="15"/>
        <v>5.4133405246066897E-3</v>
      </c>
      <c r="DR31" s="3295"/>
    </row>
    <row r="32" spans="1:122" s="1411" customFormat="1" ht="39.6" customHeight="1" x14ac:dyDescent="0.25">
      <c r="A32" s="1586"/>
      <c r="B32" s="3298" t="s">
        <v>2</v>
      </c>
      <c r="C32" s="3288">
        <v>0</v>
      </c>
      <c r="D32" s="3274">
        <v>10500</v>
      </c>
      <c r="E32" s="3283">
        <v>10500</v>
      </c>
      <c r="F32" s="3284">
        <v>1.0213462175938596E-3</v>
      </c>
      <c r="G32" s="972"/>
      <c r="H32" s="3274"/>
      <c r="I32" s="3274"/>
      <c r="J32" s="3283">
        <f t="shared" si="16"/>
        <v>0</v>
      </c>
      <c r="K32" s="3284">
        <f t="shared" si="0"/>
        <v>0</v>
      </c>
      <c r="L32" s="3390"/>
      <c r="M32" s="3274"/>
      <c r="N32" s="3274"/>
      <c r="O32" s="3283">
        <f t="shared" si="46"/>
        <v>0</v>
      </c>
      <c r="P32" s="3284">
        <f t="shared" si="2"/>
        <v>0</v>
      </c>
      <c r="Q32" s="3275"/>
      <c r="R32" s="3274"/>
      <c r="S32" s="3274"/>
      <c r="T32" s="3283">
        <f t="shared" si="47"/>
        <v>0</v>
      </c>
      <c r="U32" s="3284">
        <f t="shared" si="1"/>
        <v>0</v>
      </c>
      <c r="V32" s="3275"/>
      <c r="W32" s="3274">
        <f>4001+1170+6316</f>
        <v>11487</v>
      </c>
      <c r="X32" s="3274">
        <f>1500+500</f>
        <v>2000</v>
      </c>
      <c r="Y32" s="3283">
        <f t="shared" si="48"/>
        <v>13487</v>
      </c>
      <c r="Z32" s="3284">
        <f t="shared" si="20"/>
        <v>3.883951115687452E-2</v>
      </c>
      <c r="AA32" s="3275" t="s">
        <v>1184</v>
      </c>
      <c r="AB32" s="3274"/>
      <c r="AC32" s="3274"/>
      <c r="AD32" s="3283">
        <f t="shared" si="49"/>
        <v>0</v>
      </c>
      <c r="AE32" s="3284">
        <f t="shared" si="22"/>
        <v>0</v>
      </c>
      <c r="AF32" s="3275"/>
      <c r="AG32" s="3274">
        <v>5850</v>
      </c>
      <c r="AH32" s="3274"/>
      <c r="AI32" s="3283">
        <f t="shared" si="23"/>
        <v>5850</v>
      </c>
      <c r="AJ32" s="3284">
        <f t="shared" si="24"/>
        <v>1.6846677561186029E-2</v>
      </c>
      <c r="AK32" s="3275" t="s">
        <v>1310</v>
      </c>
      <c r="AL32" s="3274">
        <f>960+3744</f>
        <v>4704</v>
      </c>
      <c r="AM32" s="3274"/>
      <c r="AN32" s="3439">
        <f t="shared" si="25"/>
        <v>4704</v>
      </c>
      <c r="AO32" s="3284">
        <f t="shared" si="26"/>
        <v>1.3546456623558816E-2</v>
      </c>
      <c r="AP32" s="3358" t="s">
        <v>1395</v>
      </c>
      <c r="AQ32" s="3274"/>
      <c r="AR32" s="3274"/>
      <c r="AS32" s="3283">
        <f t="shared" si="27"/>
        <v>0</v>
      </c>
      <c r="AT32" s="3284">
        <f t="shared" si="28"/>
        <v>0</v>
      </c>
      <c r="AU32" s="3275"/>
      <c r="AV32" s="3275">
        <v>13376</v>
      </c>
      <c r="AW32" s="3275">
        <v>0</v>
      </c>
      <c r="AX32" s="3283">
        <v>13376</v>
      </c>
      <c r="AY32" s="3284">
        <v>3.5777022531016694E-2</v>
      </c>
      <c r="AZ32" s="3275"/>
      <c r="BA32" s="3275">
        <f t="shared" si="3"/>
        <v>9764</v>
      </c>
      <c r="BB32" s="3275">
        <f t="shared" si="3"/>
        <v>0</v>
      </c>
      <c r="BC32" s="3283">
        <f t="shared" si="29"/>
        <v>9764</v>
      </c>
      <c r="BD32" s="3284">
        <f t="shared" si="4"/>
        <v>2.6115942583197296E-2</v>
      </c>
      <c r="BE32" s="3275"/>
      <c r="BF32" s="3744"/>
      <c r="BG32" s="3744"/>
      <c r="BH32" s="3753">
        <f t="shared" si="30"/>
        <v>0</v>
      </c>
      <c r="BI32" s="3284">
        <f t="shared" si="31"/>
        <v>0</v>
      </c>
      <c r="BJ32" s="3358"/>
      <c r="BK32" s="3274"/>
      <c r="BL32" s="3274"/>
      <c r="BM32" s="3283">
        <f t="shared" si="32"/>
        <v>0</v>
      </c>
      <c r="BN32" s="3284">
        <f t="shared" si="5"/>
        <v>0</v>
      </c>
      <c r="BO32" s="3276"/>
      <c r="BP32" s="3283">
        <f>4882*2</f>
        <v>9764</v>
      </c>
      <c r="BQ32" s="3283"/>
      <c r="BR32" s="3283">
        <f t="shared" si="33"/>
        <v>9764</v>
      </c>
      <c r="BS32" s="3284">
        <f t="shared" si="34"/>
        <v>2.6115942583197296E-2</v>
      </c>
      <c r="BT32" s="3291" t="s">
        <v>2207</v>
      </c>
      <c r="BU32" s="3285"/>
      <c r="BV32" s="3285"/>
      <c r="BW32" s="3286">
        <f t="shared" si="37"/>
        <v>0</v>
      </c>
      <c r="BX32" s="3284">
        <f t="shared" si="6"/>
        <v>0</v>
      </c>
      <c r="BY32" s="3291"/>
      <c r="BZ32" s="3285"/>
      <c r="CA32" s="3285"/>
      <c r="CB32" s="3286">
        <f t="shared" si="38"/>
        <v>0</v>
      </c>
      <c r="CC32" s="3284">
        <f t="shared" si="7"/>
        <v>0</v>
      </c>
      <c r="CD32" s="3291"/>
      <c r="CE32" s="3285"/>
      <c r="CF32" s="3285"/>
      <c r="CG32" s="3286">
        <f t="shared" si="39"/>
        <v>0</v>
      </c>
      <c r="CH32" s="3284">
        <f t="shared" si="8"/>
        <v>0</v>
      </c>
      <c r="CI32" s="3291"/>
      <c r="CJ32" s="3285"/>
      <c r="CK32" s="3285"/>
      <c r="CL32" s="3286">
        <f t="shared" si="40"/>
        <v>0</v>
      </c>
      <c r="CM32" s="3284">
        <f t="shared" si="9"/>
        <v>0</v>
      </c>
      <c r="CN32" s="3291"/>
      <c r="CO32" s="3285"/>
      <c r="CP32" s="3285"/>
      <c r="CQ32" s="3286">
        <f t="shared" si="41"/>
        <v>0</v>
      </c>
      <c r="CR32" s="3284">
        <f t="shared" si="10"/>
        <v>0</v>
      </c>
      <c r="CS32" s="3291"/>
      <c r="CT32" s="3285"/>
      <c r="CU32" s="3285"/>
      <c r="CV32" s="3286">
        <f t="shared" si="42"/>
        <v>0</v>
      </c>
      <c r="CW32" s="3284">
        <f t="shared" si="11"/>
        <v>0</v>
      </c>
      <c r="CX32" s="3291"/>
      <c r="CY32" s="3285"/>
      <c r="CZ32" s="3285"/>
      <c r="DA32" s="3286">
        <f t="shared" si="43"/>
        <v>0</v>
      </c>
      <c r="DB32" s="3284">
        <f t="shared" si="12"/>
        <v>0</v>
      </c>
      <c r="DC32" s="3291"/>
      <c r="DD32" s="3285"/>
      <c r="DE32" s="3285"/>
      <c r="DF32" s="3286">
        <f t="shared" si="44"/>
        <v>0</v>
      </c>
      <c r="DG32" s="3284">
        <f t="shared" si="13"/>
        <v>0</v>
      </c>
      <c r="DH32" s="3291"/>
      <c r="DI32" s="3285"/>
      <c r="DJ32" s="3285"/>
      <c r="DK32" s="3286">
        <f t="shared" si="45"/>
        <v>0</v>
      </c>
      <c r="DL32" s="3284">
        <f t="shared" si="14"/>
        <v>0</v>
      </c>
      <c r="DM32" s="3291"/>
      <c r="DN32" s="3283">
        <f t="shared" si="35"/>
        <v>45181</v>
      </c>
      <c r="DO32" s="3283">
        <f t="shared" si="35"/>
        <v>2000</v>
      </c>
      <c r="DP32" s="3283">
        <f t="shared" si="36"/>
        <v>47181</v>
      </c>
      <c r="DQ32" s="3284">
        <f t="shared" si="15"/>
        <v>3.5265757710480593E-3</v>
      </c>
      <c r="DR32" s="3295"/>
    </row>
    <row r="33" spans="1:122" s="1411" customFormat="1" ht="14.4" thickBot="1" x14ac:dyDescent="0.3">
      <c r="A33" s="1586"/>
      <c r="B33" s="3724" t="s">
        <v>75</v>
      </c>
      <c r="C33" s="3323">
        <v>0</v>
      </c>
      <c r="D33" s="3314">
        <v>0</v>
      </c>
      <c r="E33" s="3305">
        <v>0</v>
      </c>
      <c r="F33" s="3725">
        <v>0</v>
      </c>
      <c r="G33" s="973"/>
      <c r="H33" s="3314"/>
      <c r="I33" s="3314"/>
      <c r="J33" s="3305">
        <f t="shared" si="16"/>
        <v>0</v>
      </c>
      <c r="K33" s="3725">
        <f t="shared" si="0"/>
        <v>0</v>
      </c>
      <c r="L33" s="3726"/>
      <c r="M33" s="3314"/>
      <c r="N33" s="3314"/>
      <c r="O33" s="3305">
        <f t="shared" si="46"/>
        <v>0</v>
      </c>
      <c r="P33" s="3725">
        <f t="shared" si="2"/>
        <v>0</v>
      </c>
      <c r="Q33" s="3726"/>
      <c r="R33" s="3314"/>
      <c r="S33" s="3314"/>
      <c r="T33" s="3305">
        <f t="shared" si="47"/>
        <v>0</v>
      </c>
      <c r="U33" s="3725">
        <f t="shared" si="1"/>
        <v>0</v>
      </c>
      <c r="V33" s="3726"/>
      <c r="W33" s="3314"/>
      <c r="X33" s="3314"/>
      <c r="Y33" s="3305">
        <f t="shared" si="48"/>
        <v>0</v>
      </c>
      <c r="Z33" s="3725">
        <f t="shared" si="20"/>
        <v>0</v>
      </c>
      <c r="AA33" s="3726"/>
      <c r="AB33" s="3314"/>
      <c r="AC33" s="3314"/>
      <c r="AD33" s="3305">
        <f t="shared" si="49"/>
        <v>0</v>
      </c>
      <c r="AE33" s="3725">
        <f t="shared" si="22"/>
        <v>0</v>
      </c>
      <c r="AF33" s="3726"/>
      <c r="AG33" s="3314"/>
      <c r="AH33" s="3314"/>
      <c r="AI33" s="3305">
        <f t="shared" si="23"/>
        <v>0</v>
      </c>
      <c r="AJ33" s="3725">
        <f t="shared" si="24"/>
        <v>0</v>
      </c>
      <c r="AK33" s="3726"/>
      <c r="AL33" s="3314"/>
      <c r="AM33" s="3314"/>
      <c r="AN33" s="3441">
        <f t="shared" si="25"/>
        <v>0</v>
      </c>
      <c r="AO33" s="3725">
        <f t="shared" si="26"/>
        <v>0</v>
      </c>
      <c r="AP33" s="3726"/>
      <c r="AQ33" s="3314"/>
      <c r="AR33" s="3314"/>
      <c r="AS33" s="3305">
        <f t="shared" si="27"/>
        <v>0</v>
      </c>
      <c r="AT33" s="3725">
        <f t="shared" si="28"/>
        <v>0</v>
      </c>
      <c r="AU33" s="3726"/>
      <c r="AV33" s="3275">
        <v>0</v>
      </c>
      <c r="AW33" s="3275">
        <v>0</v>
      </c>
      <c r="AX33" s="3731">
        <v>0</v>
      </c>
      <c r="AY33" s="3026">
        <v>0</v>
      </c>
      <c r="AZ33" s="3760"/>
      <c r="BA33" s="3275">
        <f t="shared" si="3"/>
        <v>0</v>
      </c>
      <c r="BB33" s="3275">
        <f t="shared" si="3"/>
        <v>0</v>
      </c>
      <c r="BC33" s="3731">
        <f t="shared" si="29"/>
        <v>0</v>
      </c>
      <c r="BD33" s="3026">
        <f t="shared" si="4"/>
        <v>0</v>
      </c>
      <c r="BE33" s="3760"/>
      <c r="BF33" s="3761"/>
      <c r="BG33" s="3761"/>
      <c r="BH33" s="3762">
        <f t="shared" si="30"/>
        <v>0</v>
      </c>
      <c r="BI33" s="3725">
        <f t="shared" si="31"/>
        <v>0</v>
      </c>
      <c r="BJ33" s="3763"/>
      <c r="BK33" s="3314"/>
      <c r="BL33" s="3314"/>
      <c r="BM33" s="3305">
        <f t="shared" si="32"/>
        <v>0</v>
      </c>
      <c r="BN33" s="3026">
        <f t="shared" si="5"/>
        <v>0</v>
      </c>
      <c r="BO33" s="3726"/>
      <c r="BP33" s="3364"/>
      <c r="BQ33" s="3364"/>
      <c r="BR33" s="3364">
        <f t="shared" si="33"/>
        <v>0</v>
      </c>
      <c r="BS33" s="3228">
        <f t="shared" si="34"/>
        <v>0</v>
      </c>
      <c r="BT33" s="3727"/>
      <c r="BU33" s="3363"/>
      <c r="BV33" s="3363"/>
      <c r="BW33" s="3364">
        <f t="shared" si="37"/>
        <v>0</v>
      </c>
      <c r="BX33" s="3228">
        <f t="shared" si="6"/>
        <v>0</v>
      </c>
      <c r="BY33" s="3727"/>
      <c r="BZ33" s="3363"/>
      <c r="CA33" s="3363"/>
      <c r="CB33" s="3364">
        <f t="shared" si="38"/>
        <v>0</v>
      </c>
      <c r="CC33" s="3228">
        <f t="shared" si="7"/>
        <v>0</v>
      </c>
      <c r="CD33" s="3727"/>
      <c r="CE33" s="3363"/>
      <c r="CF33" s="3363"/>
      <c r="CG33" s="3364">
        <f t="shared" si="39"/>
        <v>0</v>
      </c>
      <c r="CH33" s="3228">
        <f t="shared" si="8"/>
        <v>0</v>
      </c>
      <c r="CI33" s="3727"/>
      <c r="CJ33" s="3363"/>
      <c r="CK33" s="3363"/>
      <c r="CL33" s="3364">
        <f t="shared" si="40"/>
        <v>0</v>
      </c>
      <c r="CM33" s="3228">
        <f t="shared" si="9"/>
        <v>0</v>
      </c>
      <c r="CN33" s="3727"/>
      <c r="CO33" s="3363"/>
      <c r="CP33" s="3363"/>
      <c r="CQ33" s="3364">
        <f t="shared" si="41"/>
        <v>0</v>
      </c>
      <c r="CR33" s="3228">
        <f t="shared" si="10"/>
        <v>0</v>
      </c>
      <c r="CS33" s="3727"/>
      <c r="CT33" s="3363"/>
      <c r="CU33" s="3363"/>
      <c r="CV33" s="3364">
        <f t="shared" si="42"/>
        <v>0</v>
      </c>
      <c r="CW33" s="3228">
        <f t="shared" si="11"/>
        <v>0</v>
      </c>
      <c r="CX33" s="3727"/>
      <c r="CY33" s="3363"/>
      <c r="CZ33" s="3363"/>
      <c r="DA33" s="3364">
        <f t="shared" si="43"/>
        <v>0</v>
      </c>
      <c r="DB33" s="3228">
        <f t="shared" si="12"/>
        <v>0</v>
      </c>
      <c r="DC33" s="3727"/>
      <c r="DD33" s="3363"/>
      <c r="DE33" s="3363"/>
      <c r="DF33" s="3364">
        <f t="shared" si="44"/>
        <v>0</v>
      </c>
      <c r="DG33" s="3228">
        <f t="shared" si="13"/>
        <v>0</v>
      </c>
      <c r="DH33" s="3727"/>
      <c r="DI33" s="3363"/>
      <c r="DJ33" s="3363"/>
      <c r="DK33" s="3364">
        <f t="shared" si="45"/>
        <v>0</v>
      </c>
      <c r="DL33" s="3228">
        <f t="shared" si="14"/>
        <v>0</v>
      </c>
      <c r="DM33" s="3727"/>
      <c r="DN33" s="3283">
        <f t="shared" si="35"/>
        <v>0</v>
      </c>
      <c r="DO33" s="3283">
        <f t="shared" si="35"/>
        <v>0</v>
      </c>
      <c r="DP33" s="3362">
        <f t="shared" si="36"/>
        <v>0</v>
      </c>
      <c r="DQ33" s="3228">
        <f t="shared" si="15"/>
        <v>0</v>
      </c>
      <c r="DR33" s="3229"/>
    </row>
    <row r="34" spans="1:122" s="1411" customFormat="1" ht="13.8" x14ac:dyDescent="0.25">
      <c r="A34" s="1586"/>
      <c r="B34" s="1631"/>
      <c r="C34" s="3288">
        <v>0</v>
      </c>
      <c r="D34" s="3274">
        <v>0</v>
      </c>
      <c r="E34" s="3306"/>
      <c r="F34" s="3306"/>
      <c r="G34" s="3143"/>
      <c r="H34" s="3274"/>
      <c r="I34" s="3274"/>
      <c r="J34" s="3306"/>
      <c r="K34" s="3306"/>
      <c r="L34" s="3306"/>
      <c r="M34" s="3274"/>
      <c r="N34" s="3274"/>
      <c r="O34" s="3306"/>
      <c r="P34" s="3306"/>
      <c r="Q34" s="3306"/>
      <c r="R34" s="3274"/>
      <c r="S34" s="3274"/>
      <c r="T34" s="3306"/>
      <c r="U34" s="3306"/>
      <c r="V34" s="3306"/>
      <c r="W34" s="3274"/>
      <c r="X34" s="3274"/>
      <c r="Y34" s="3306"/>
      <c r="Z34" s="3306"/>
      <c r="AA34" s="3306"/>
      <c r="AB34" s="3274"/>
      <c r="AC34" s="3274"/>
      <c r="AD34" s="3306"/>
      <c r="AE34" s="3306"/>
      <c r="AF34" s="3306"/>
      <c r="AG34" s="3274"/>
      <c r="AH34" s="3274"/>
      <c r="AI34" s="3306"/>
      <c r="AJ34" s="3306"/>
      <c r="AK34" s="3306"/>
      <c r="AL34" s="3274"/>
      <c r="AM34" s="3274"/>
      <c r="AN34" s="3306"/>
      <c r="AO34" s="3306"/>
      <c r="AP34" s="3306"/>
      <c r="AQ34" s="3274"/>
      <c r="AR34" s="3274"/>
      <c r="AS34" s="3306"/>
      <c r="AT34" s="3306"/>
      <c r="AU34" s="3306"/>
      <c r="AV34" s="3306"/>
      <c r="AW34" s="3306"/>
      <c r="AX34" s="3306"/>
      <c r="AY34" s="3306"/>
      <c r="AZ34" s="3306"/>
      <c r="BA34" s="3306"/>
      <c r="BB34" s="3306"/>
      <c r="BC34" s="3306"/>
      <c r="BD34" s="3306"/>
      <c r="BE34" s="3306"/>
      <c r="BF34" s="3744"/>
      <c r="BG34" s="3744"/>
      <c r="BH34" s="3764"/>
      <c r="BI34" s="3306"/>
      <c r="BJ34" s="3764"/>
      <c r="BK34" s="3274"/>
      <c r="BL34" s="3274"/>
      <c r="BM34" s="3306"/>
      <c r="BN34" s="3306"/>
      <c r="BO34" s="3306"/>
      <c r="BP34" s="3274"/>
      <c r="BQ34" s="3274"/>
      <c r="BR34" s="3306"/>
      <c r="BS34" s="3365"/>
      <c r="BT34" s="3306"/>
      <c r="BU34" s="3274"/>
      <c r="BV34" s="3274"/>
      <c r="BW34" s="3306"/>
      <c r="BX34" s="3365"/>
      <c r="BY34" s="3306"/>
      <c r="BZ34" s="3274"/>
      <c r="CA34" s="3274"/>
      <c r="CB34" s="3306"/>
      <c r="CC34" s="3365"/>
      <c r="CD34" s="3306"/>
      <c r="CE34" s="3274"/>
      <c r="CF34" s="3274"/>
      <c r="CG34" s="3306"/>
      <c r="CH34" s="3365"/>
      <c r="CI34" s="3306"/>
      <c r="CJ34" s="3274"/>
      <c r="CK34" s="3274"/>
      <c r="CL34" s="3306"/>
      <c r="CM34" s="3365"/>
      <c r="CN34" s="3306"/>
      <c r="CO34" s="3274"/>
      <c r="CP34" s="3274"/>
      <c r="CQ34" s="3306"/>
      <c r="CR34" s="3365"/>
      <c r="CS34" s="3306"/>
      <c r="CT34" s="3274"/>
      <c r="CU34" s="3274"/>
      <c r="CV34" s="3306"/>
      <c r="CW34" s="3365"/>
      <c r="CX34" s="3306"/>
      <c r="CY34" s="3274"/>
      <c r="CZ34" s="3274"/>
      <c r="DA34" s="3306"/>
      <c r="DB34" s="3365"/>
      <c r="DC34" s="3306"/>
      <c r="DD34" s="3274"/>
      <c r="DE34" s="3274"/>
      <c r="DF34" s="3306"/>
      <c r="DG34" s="3365"/>
      <c r="DH34" s="3306"/>
      <c r="DI34" s="3274"/>
      <c r="DJ34" s="3274"/>
      <c r="DK34" s="3306"/>
      <c r="DL34" s="3365"/>
      <c r="DM34" s="3306"/>
      <c r="DN34" s="3279"/>
      <c r="DO34" s="3280"/>
      <c r="DP34" s="3365"/>
      <c r="DQ34" s="3365"/>
      <c r="DR34" s="3365"/>
    </row>
    <row r="35" spans="1:122" s="2483" customFormat="1" ht="13.8" x14ac:dyDescent="0.25">
      <c r="A35" s="1586"/>
      <c r="B35" s="3307" t="s">
        <v>80</v>
      </c>
      <c r="C35" s="3308">
        <v>0</v>
      </c>
      <c r="D35" s="3308">
        <v>0</v>
      </c>
      <c r="E35" s="3309">
        <v>0</v>
      </c>
      <c r="F35" s="3309"/>
      <c r="G35" s="3391"/>
      <c r="H35" s="3392">
        <f>H36</f>
        <v>0</v>
      </c>
      <c r="I35" s="3308">
        <f>I36</f>
        <v>0</v>
      </c>
      <c r="J35" s="3309">
        <f>J36</f>
        <v>0</v>
      </c>
      <c r="K35" s="3309"/>
      <c r="L35" s="3309"/>
      <c r="M35" s="3308">
        <f>M36</f>
        <v>0</v>
      </c>
      <c r="N35" s="3308">
        <f>N36</f>
        <v>0</v>
      </c>
      <c r="O35" s="3309">
        <f>O36</f>
        <v>0</v>
      </c>
      <c r="P35" s="3309"/>
      <c r="Q35" s="3309"/>
      <c r="R35" s="3308">
        <f>R36</f>
        <v>0</v>
      </c>
      <c r="S35" s="3308">
        <f>S36</f>
        <v>0</v>
      </c>
      <c r="T35" s="3309">
        <f>T36</f>
        <v>0</v>
      </c>
      <c r="U35" s="3309"/>
      <c r="V35" s="3309"/>
      <c r="W35" s="3308">
        <f>W36</f>
        <v>0</v>
      </c>
      <c r="X35" s="3308">
        <f>X36</f>
        <v>0</v>
      </c>
      <c r="Y35" s="3309">
        <f>Y36</f>
        <v>0</v>
      </c>
      <c r="Z35" s="3309"/>
      <c r="AA35" s="3309"/>
      <c r="AB35" s="3308">
        <f>AB36</f>
        <v>0</v>
      </c>
      <c r="AC35" s="3308">
        <f>AC36</f>
        <v>0</v>
      </c>
      <c r="AD35" s="3309">
        <f>AD36</f>
        <v>0</v>
      </c>
      <c r="AE35" s="3309"/>
      <c r="AF35" s="3309"/>
      <c r="AG35" s="3308">
        <f>AG36</f>
        <v>0</v>
      </c>
      <c r="AH35" s="3308">
        <f>AH36</f>
        <v>0</v>
      </c>
      <c r="AI35" s="3309">
        <f>AI36</f>
        <v>0</v>
      </c>
      <c r="AJ35" s="3309"/>
      <c r="AK35" s="3309"/>
      <c r="AL35" s="3308">
        <f>AL36</f>
        <v>0</v>
      </c>
      <c r="AM35" s="3308">
        <f>AM36</f>
        <v>0</v>
      </c>
      <c r="AN35" s="3309">
        <f>AN36</f>
        <v>0</v>
      </c>
      <c r="AO35" s="3309"/>
      <c r="AP35" s="3309"/>
      <c r="AQ35" s="3308">
        <f>AQ36</f>
        <v>0</v>
      </c>
      <c r="AR35" s="3308">
        <f>AR36</f>
        <v>0</v>
      </c>
      <c r="AS35" s="3309">
        <f>AS36</f>
        <v>0</v>
      </c>
      <c r="AT35" s="3309"/>
      <c r="AU35" s="3309"/>
      <c r="AV35" s="3308">
        <v>0</v>
      </c>
      <c r="AW35" s="3308">
        <v>0</v>
      </c>
      <c r="AX35" s="3309">
        <v>0</v>
      </c>
      <c r="AY35" s="3309">
        <v>0</v>
      </c>
      <c r="AZ35" s="3308"/>
      <c r="BA35" s="3308">
        <f>BA36</f>
        <v>0</v>
      </c>
      <c r="BB35" s="3308">
        <f>BB36</f>
        <v>0</v>
      </c>
      <c r="BC35" s="3309">
        <f>BC36</f>
        <v>0</v>
      </c>
      <c r="BD35" s="3309">
        <f>BC35/$AD$89</f>
        <v>0</v>
      </c>
      <c r="BE35" s="3308"/>
      <c r="BF35" s="3765">
        <f>BF36</f>
        <v>0</v>
      </c>
      <c r="BG35" s="3765">
        <f>BG36</f>
        <v>0</v>
      </c>
      <c r="BH35" s="3766">
        <f>BH36</f>
        <v>0</v>
      </c>
      <c r="BI35" s="3309"/>
      <c r="BJ35" s="3766"/>
      <c r="BK35" s="3308">
        <f>BK36</f>
        <v>0</v>
      </c>
      <c r="BL35" s="3308">
        <f>BL36</f>
        <v>0</v>
      </c>
      <c r="BM35" s="3309">
        <f>BM36</f>
        <v>0</v>
      </c>
      <c r="BN35" s="3309">
        <f>BM35/$E$89</f>
        <v>0</v>
      </c>
      <c r="BO35" s="3309"/>
      <c r="BP35" s="3308">
        <f>BP36</f>
        <v>0</v>
      </c>
      <c r="BQ35" s="3308">
        <f>BQ36</f>
        <v>0</v>
      </c>
      <c r="BR35" s="3309">
        <f>BR36</f>
        <v>0</v>
      </c>
      <c r="BS35" s="3309">
        <f>BR35/$AD$89</f>
        <v>0</v>
      </c>
      <c r="BT35" s="3309"/>
      <c r="BU35" s="3308">
        <f>BU36</f>
        <v>0</v>
      </c>
      <c r="BV35" s="3308">
        <f>BV36</f>
        <v>0</v>
      </c>
      <c r="BW35" s="3309">
        <f>BW36</f>
        <v>0</v>
      </c>
      <c r="BX35" s="3309">
        <f>BW35/$AD$89</f>
        <v>0</v>
      </c>
      <c r="BY35" s="3309"/>
      <c r="BZ35" s="3308">
        <f>BZ36</f>
        <v>0</v>
      </c>
      <c r="CA35" s="3308">
        <f>CA36</f>
        <v>0</v>
      </c>
      <c r="CB35" s="3309">
        <f>CB36</f>
        <v>0</v>
      </c>
      <c r="CC35" s="3309">
        <f>CB35/$AD$89</f>
        <v>0</v>
      </c>
      <c r="CD35" s="3309"/>
      <c r="CE35" s="3308">
        <f>CE36</f>
        <v>0</v>
      </c>
      <c r="CF35" s="3308">
        <f>CF36</f>
        <v>0</v>
      </c>
      <c r="CG35" s="3309">
        <f>CG36</f>
        <v>0</v>
      </c>
      <c r="CH35" s="3309">
        <f>CG35/$AD$89</f>
        <v>0</v>
      </c>
      <c r="CI35" s="3309"/>
      <c r="CJ35" s="3308">
        <f>CJ36</f>
        <v>0</v>
      </c>
      <c r="CK35" s="3308">
        <f>CK36</f>
        <v>0</v>
      </c>
      <c r="CL35" s="3309">
        <f>CL36</f>
        <v>0</v>
      </c>
      <c r="CM35" s="3309">
        <f>CL35/$AD$89</f>
        <v>0</v>
      </c>
      <c r="CN35" s="3309"/>
      <c r="CO35" s="3308">
        <f>CO36</f>
        <v>0</v>
      </c>
      <c r="CP35" s="3308">
        <f>CP36</f>
        <v>0</v>
      </c>
      <c r="CQ35" s="3309">
        <f>CQ36</f>
        <v>0</v>
      </c>
      <c r="CR35" s="3309">
        <f>CQ35/$AD$89</f>
        <v>0</v>
      </c>
      <c r="CS35" s="3309"/>
      <c r="CT35" s="3308">
        <f>CT36</f>
        <v>0</v>
      </c>
      <c r="CU35" s="3308">
        <f>CU36</f>
        <v>0</v>
      </c>
      <c r="CV35" s="3309">
        <f>CV36</f>
        <v>0</v>
      </c>
      <c r="CW35" s="3309">
        <f>CV35/$AD$89</f>
        <v>0</v>
      </c>
      <c r="CX35" s="3309"/>
      <c r="CY35" s="3308">
        <f>CY36</f>
        <v>0</v>
      </c>
      <c r="CZ35" s="3308">
        <f>CZ36</f>
        <v>0</v>
      </c>
      <c r="DA35" s="3309">
        <f>DA36</f>
        <v>0</v>
      </c>
      <c r="DB35" s="3309">
        <f>DA35/$AD$89</f>
        <v>0</v>
      </c>
      <c r="DC35" s="3309"/>
      <c r="DD35" s="3308">
        <f>DD36</f>
        <v>0</v>
      </c>
      <c r="DE35" s="3308">
        <f>DE36</f>
        <v>0</v>
      </c>
      <c r="DF35" s="3309">
        <f>DF36</f>
        <v>0</v>
      </c>
      <c r="DG35" s="3309">
        <f>DF35/$AD$89</f>
        <v>0</v>
      </c>
      <c r="DH35" s="3309"/>
      <c r="DI35" s="3308">
        <f>DI36</f>
        <v>0</v>
      </c>
      <c r="DJ35" s="3308">
        <f>DJ36</f>
        <v>0</v>
      </c>
      <c r="DK35" s="3309">
        <f>DK36</f>
        <v>0</v>
      </c>
      <c r="DL35" s="3309">
        <f>DK35/$AD$89</f>
        <v>0</v>
      </c>
      <c r="DM35" s="3309"/>
      <c r="DN35" s="3308">
        <f>H35+M35</f>
        <v>0</v>
      </c>
      <c r="DO35" s="3308">
        <f>I35+N35</f>
        <v>0</v>
      </c>
      <c r="DP35" s="3309">
        <f>DP36</f>
        <v>0</v>
      </c>
      <c r="DQ35" s="3309"/>
      <c r="DR35" s="3309"/>
    </row>
    <row r="36" spans="1:122" s="1411" customFormat="1" ht="13.8" x14ac:dyDescent="0.25">
      <c r="A36" s="1586"/>
      <c r="B36" s="3310" t="s">
        <v>81</v>
      </c>
      <c r="C36" s="3288">
        <v>0</v>
      </c>
      <c r="D36" s="3274">
        <v>0</v>
      </c>
      <c r="E36" s="2028">
        <v>0</v>
      </c>
      <c r="F36" s="3284">
        <v>0</v>
      </c>
      <c r="G36" s="3143"/>
      <c r="H36" s="3274"/>
      <c r="I36" s="3274"/>
      <c r="J36" s="2028">
        <f>H36+I36*1</f>
        <v>0</v>
      </c>
      <c r="K36" s="3284">
        <f>J36/$J$89</f>
        <v>0</v>
      </c>
      <c r="L36" s="3311"/>
      <c r="M36" s="3274"/>
      <c r="N36" s="3274"/>
      <c r="O36" s="2028">
        <f>M36+N36*1</f>
        <v>0</v>
      </c>
      <c r="P36" s="3284">
        <f>O36/$O$89</f>
        <v>0</v>
      </c>
      <c r="Q36" s="3311"/>
      <c r="R36" s="3274"/>
      <c r="S36" s="3274"/>
      <c r="T36" s="2028">
        <f>R36+S36*1</f>
        <v>0</v>
      </c>
      <c r="U36" s="3284">
        <f>T36/$T$89</f>
        <v>0</v>
      </c>
      <c r="V36" s="3311"/>
      <c r="W36" s="3274"/>
      <c r="X36" s="3274"/>
      <c r="Y36" s="2028">
        <f>W36+X36*1</f>
        <v>0</v>
      </c>
      <c r="Z36" s="3284">
        <f>Y36/$T$89</f>
        <v>0</v>
      </c>
      <c r="AA36" s="3311"/>
      <c r="AB36" s="3274"/>
      <c r="AC36" s="3274"/>
      <c r="AD36" s="2028">
        <f>AB36+AC36*1</f>
        <v>0</v>
      </c>
      <c r="AE36" s="3284">
        <f>AD36/$T$89</f>
        <v>0</v>
      </c>
      <c r="AF36" s="3311"/>
      <c r="AG36" s="3274"/>
      <c r="AH36" s="3274"/>
      <c r="AI36" s="2028">
        <f>AG36+AH36*1</f>
        <v>0</v>
      </c>
      <c r="AJ36" s="3284">
        <f>AI36/$T$89</f>
        <v>0</v>
      </c>
      <c r="AK36" s="3311"/>
      <c r="AL36" s="3274"/>
      <c r="AM36" s="3274"/>
      <c r="AN36" s="2028">
        <f>AL36+AM36*1</f>
        <v>0</v>
      </c>
      <c r="AO36" s="3284">
        <f>AN36/$T$89</f>
        <v>0</v>
      </c>
      <c r="AP36" s="3311"/>
      <c r="AQ36" s="3274"/>
      <c r="AR36" s="3274"/>
      <c r="AS36" s="2028">
        <f>AQ36+AR36*1</f>
        <v>0</v>
      </c>
      <c r="AT36" s="3284">
        <f>AS36/$T$89</f>
        <v>0</v>
      </c>
      <c r="AU36" s="3311"/>
      <c r="AV36" s="3275">
        <v>0</v>
      </c>
      <c r="AW36" s="3275">
        <v>0</v>
      </c>
      <c r="AX36" s="3274">
        <v>0</v>
      </c>
      <c r="AY36" s="3284">
        <v>0</v>
      </c>
      <c r="AZ36" s="3321"/>
      <c r="BA36" s="3275">
        <f>BF36+BK36+BP36+BU36+BZ36+CE36+CJ36+CO36+CT36+CY36+DD36+DI36</f>
        <v>0</v>
      </c>
      <c r="BB36" s="3275">
        <f>BG36+BL36+BQ36+BV36+CA36+CF36+CK36+CP36+CU36+CZ36+DE36+DJ36</f>
        <v>0</v>
      </c>
      <c r="BC36" s="3274">
        <f>BA36+BB36*1</f>
        <v>0</v>
      </c>
      <c r="BD36" s="3284">
        <f>BC36/$AD$89</f>
        <v>0</v>
      </c>
      <c r="BE36" s="3321"/>
      <c r="BF36" s="3744"/>
      <c r="BG36" s="3744"/>
      <c r="BH36" s="3747">
        <f>BF36+BG36*1</f>
        <v>0</v>
      </c>
      <c r="BI36" s="3284">
        <f>BH36/$T$89</f>
        <v>0</v>
      </c>
      <c r="BJ36" s="3767"/>
      <c r="BK36" s="3274"/>
      <c r="BL36" s="3274"/>
      <c r="BM36" s="2028">
        <f>BK36+BL36*1</f>
        <v>0</v>
      </c>
      <c r="BN36" s="3284">
        <f>BM36/$E$89</f>
        <v>0</v>
      </c>
      <c r="BO36" s="3276"/>
      <c r="BP36" s="3274"/>
      <c r="BQ36" s="3274"/>
      <c r="BR36" s="2028">
        <f>BP36+BQ36*1</f>
        <v>0</v>
      </c>
      <c r="BS36" s="3284">
        <f>BR36/$AD$89</f>
        <v>0</v>
      </c>
      <c r="BT36" s="3276"/>
      <c r="BU36" s="3274"/>
      <c r="BV36" s="3274"/>
      <c r="BW36" s="2028">
        <f>BU36+BV36*1</f>
        <v>0</v>
      </c>
      <c r="BX36" s="3284">
        <f>BW36/$AD$89</f>
        <v>0</v>
      </c>
      <c r="BY36" s="3276"/>
      <c r="BZ36" s="3274"/>
      <c r="CA36" s="3274"/>
      <c r="CB36" s="2028">
        <f>BZ36+CA36*1</f>
        <v>0</v>
      </c>
      <c r="CC36" s="3284">
        <f>CB36/$AD$89</f>
        <v>0</v>
      </c>
      <c r="CD36" s="3276"/>
      <c r="CE36" s="3274"/>
      <c r="CF36" s="3274"/>
      <c r="CG36" s="2028">
        <f>CE36+CF36*1</f>
        <v>0</v>
      </c>
      <c r="CH36" s="3284">
        <f>CG36/$AD$89</f>
        <v>0</v>
      </c>
      <c r="CI36" s="3276"/>
      <c r="CJ36" s="3274"/>
      <c r="CK36" s="3274"/>
      <c r="CL36" s="2028">
        <f>CJ36+CK36*1</f>
        <v>0</v>
      </c>
      <c r="CM36" s="3284">
        <f>CL36/$AD$89</f>
        <v>0</v>
      </c>
      <c r="CN36" s="3276"/>
      <c r="CO36" s="3274"/>
      <c r="CP36" s="3274"/>
      <c r="CQ36" s="2028">
        <f>CO36+CP36*1</f>
        <v>0</v>
      </c>
      <c r="CR36" s="3284">
        <f>CQ36/$AD$89</f>
        <v>0</v>
      </c>
      <c r="CS36" s="3276"/>
      <c r="CT36" s="3274"/>
      <c r="CU36" s="3274"/>
      <c r="CV36" s="2028">
        <f>CT36+CU36*1</f>
        <v>0</v>
      </c>
      <c r="CW36" s="3284">
        <f>CV36/$AD$89</f>
        <v>0</v>
      </c>
      <c r="CX36" s="3276"/>
      <c r="CY36" s="3274"/>
      <c r="CZ36" s="3274"/>
      <c r="DA36" s="2028">
        <f>CY36+CZ36*1</f>
        <v>0</v>
      </c>
      <c r="DB36" s="3284">
        <f>DA36/$AD$89</f>
        <v>0</v>
      </c>
      <c r="DC36" s="3276"/>
      <c r="DD36" s="3274"/>
      <c r="DE36" s="3274"/>
      <c r="DF36" s="2028">
        <f>DD36+DE36*1</f>
        <v>0</v>
      </c>
      <c r="DG36" s="3284">
        <f>DF36/$AD$89</f>
        <v>0</v>
      </c>
      <c r="DH36" s="3276"/>
      <c r="DI36" s="3274"/>
      <c r="DJ36" s="3274"/>
      <c r="DK36" s="2028">
        <f>DI36+DJ36*1</f>
        <v>0</v>
      </c>
      <c r="DL36" s="3284">
        <f>DK36/$AD$89</f>
        <v>0</v>
      </c>
      <c r="DM36" s="3276"/>
      <c r="DN36" s="3283">
        <f>R36+W36+AB36+AG36+AL36+AQ36+BF36+BK36+BP36+BU36+BZ36+CE36+CJ36+CO36+CT36+CY36+DD36+DI36+AV36</f>
        <v>0</v>
      </c>
      <c r="DO36" s="3283">
        <f>S36+X36+AC36+AH36+AM36+AR36+BG36+BL36+BQ36+BV36+CA36+CF36+CK36+CP36+CU36+CZ36+DE36+DJ36+AW36</f>
        <v>0</v>
      </c>
      <c r="DP36" s="3283">
        <f>DN36+DO36*1</f>
        <v>0</v>
      </c>
      <c r="DQ36" s="3284">
        <f>DP36/$DP$89</f>
        <v>0</v>
      </c>
      <c r="DR36" s="3311"/>
    </row>
    <row r="37" spans="1:122" s="1411" customFormat="1" ht="14.4" thickBot="1" x14ac:dyDescent="0.3">
      <c r="A37" s="1413"/>
      <c r="B37" s="3732"/>
      <c r="C37" s="3288">
        <v>0</v>
      </c>
      <c r="D37" s="3274">
        <v>0</v>
      </c>
      <c r="E37" s="3733"/>
      <c r="F37" s="3733"/>
      <c r="G37" s="976"/>
      <c r="H37" s="3274"/>
      <c r="I37" s="3274"/>
      <c r="J37" s="3733"/>
      <c r="K37" s="3733"/>
      <c r="L37" s="3733"/>
      <c r="M37" s="3274"/>
      <c r="N37" s="3274"/>
      <c r="O37" s="3733"/>
      <c r="P37" s="3733"/>
      <c r="Q37" s="3733"/>
      <c r="R37" s="3274"/>
      <c r="S37" s="3274"/>
      <c r="T37" s="3733"/>
      <c r="U37" s="3733"/>
      <c r="V37" s="3733"/>
      <c r="W37" s="3274"/>
      <c r="X37" s="3274"/>
      <c r="Y37" s="3733"/>
      <c r="Z37" s="3733"/>
      <c r="AA37" s="3733"/>
      <c r="AB37" s="3274"/>
      <c r="AC37" s="3274"/>
      <c r="AD37" s="3733"/>
      <c r="AE37" s="3733"/>
      <c r="AF37" s="3733"/>
      <c r="AG37" s="3274"/>
      <c r="AH37" s="3274"/>
      <c r="AI37" s="3733"/>
      <c r="AJ37" s="3733"/>
      <c r="AK37" s="3733"/>
      <c r="AL37" s="3274"/>
      <c r="AM37" s="3274"/>
      <c r="AN37" s="3733"/>
      <c r="AO37" s="3733"/>
      <c r="AP37" s="3733"/>
      <c r="AQ37" s="3274"/>
      <c r="AR37" s="3274"/>
      <c r="AS37" s="3733"/>
      <c r="AT37" s="3733"/>
      <c r="AU37" s="3733"/>
      <c r="AV37" s="3393"/>
      <c r="AW37" s="3393"/>
      <c r="AX37" s="3393"/>
      <c r="AY37" s="3393"/>
      <c r="AZ37" s="3393"/>
      <c r="BA37" s="3393"/>
      <c r="BB37" s="3393"/>
      <c r="BC37" s="3393"/>
      <c r="BD37" s="3393"/>
      <c r="BE37" s="3393"/>
      <c r="BF37" s="3744"/>
      <c r="BG37" s="3744"/>
      <c r="BH37" s="3768"/>
      <c r="BI37" s="3733"/>
      <c r="BJ37" s="3768"/>
      <c r="BK37" s="3274"/>
      <c r="BL37" s="3274"/>
      <c r="BM37" s="3733"/>
      <c r="BN37" s="3733"/>
      <c r="BO37" s="3733"/>
      <c r="BP37" s="3274"/>
      <c r="BQ37" s="3274"/>
      <c r="BR37" s="3733"/>
      <c r="BS37" s="3733"/>
      <c r="BT37" s="3733"/>
      <c r="BU37" s="3274"/>
      <c r="BV37" s="3274"/>
      <c r="BW37" s="3733"/>
      <c r="BX37" s="3733"/>
      <c r="BY37" s="3733"/>
      <c r="BZ37" s="3274"/>
      <c r="CA37" s="3274"/>
      <c r="CB37" s="3733"/>
      <c r="CC37" s="3733"/>
      <c r="CD37" s="3733"/>
      <c r="CE37" s="3274"/>
      <c r="CF37" s="3274"/>
      <c r="CG37" s="3733"/>
      <c r="CH37" s="3733"/>
      <c r="CI37" s="3733"/>
      <c r="CJ37" s="3274"/>
      <c r="CK37" s="3274"/>
      <c r="CL37" s="3733"/>
      <c r="CM37" s="3733"/>
      <c r="CN37" s="3733"/>
      <c r="CO37" s="3274"/>
      <c r="CP37" s="3274"/>
      <c r="CQ37" s="3733"/>
      <c r="CR37" s="3733"/>
      <c r="CS37" s="3733"/>
      <c r="CT37" s="3274"/>
      <c r="CU37" s="3274"/>
      <c r="CV37" s="3733"/>
      <c r="CW37" s="3733"/>
      <c r="CX37" s="3733"/>
      <c r="CY37" s="3274"/>
      <c r="CZ37" s="3274"/>
      <c r="DA37" s="3733"/>
      <c r="DB37" s="3733"/>
      <c r="DC37" s="3733"/>
      <c r="DD37" s="3274"/>
      <c r="DE37" s="3274"/>
      <c r="DF37" s="3733"/>
      <c r="DG37" s="3733"/>
      <c r="DH37" s="3733"/>
      <c r="DI37" s="3274"/>
      <c r="DJ37" s="3274"/>
      <c r="DK37" s="3733"/>
      <c r="DL37" s="3733"/>
      <c r="DM37" s="3733"/>
      <c r="DN37" s="3283"/>
      <c r="DO37" s="3283"/>
      <c r="DP37" s="3733"/>
      <c r="DQ37" s="3733"/>
      <c r="DR37" s="3733"/>
    </row>
    <row r="38" spans="1:122" ht="14.4" thickBot="1" x14ac:dyDescent="0.3">
      <c r="A38" s="1441"/>
      <c r="B38" s="1442" t="s">
        <v>46</v>
      </c>
      <c r="C38" s="2018">
        <v>5130396.3620000016</v>
      </c>
      <c r="D38" s="2018">
        <v>-2432713.88</v>
      </c>
      <c r="E38" s="2018">
        <v>2697682.4820000026</v>
      </c>
      <c r="F38" s="2018"/>
      <c r="G38" s="978"/>
      <c r="H38" s="1327">
        <f>(H5)-(H8)</f>
        <v>1066270.6299999999</v>
      </c>
      <c r="I38" s="2018">
        <f>(I5)-(I8)</f>
        <v>-379006.71999999997</v>
      </c>
      <c r="J38" s="2018">
        <f>(J5)-(J8)</f>
        <v>687263.90999999992</v>
      </c>
      <c r="K38" s="2018"/>
      <c r="L38" s="2018"/>
      <c r="M38" s="2018">
        <f>(M5)-(M8)</f>
        <v>73744.649999999907</v>
      </c>
      <c r="N38" s="2018">
        <f>(N5)-(N8)</f>
        <v>-354048.31</v>
      </c>
      <c r="O38" s="2018">
        <f>(O5)-(O8)</f>
        <v>-280303.65999999992</v>
      </c>
      <c r="P38" s="2018"/>
      <c r="Q38" s="2018"/>
      <c r="R38" s="2018">
        <f>(R5)-(R8)</f>
        <v>367259.234</v>
      </c>
      <c r="S38" s="2018">
        <f>(S5)-(S8)</f>
        <v>-92239.58</v>
      </c>
      <c r="T38" s="2018">
        <f>(T5)-(T8)</f>
        <v>275019.65399999998</v>
      </c>
      <c r="U38" s="2018"/>
      <c r="V38" s="2018"/>
      <c r="W38" s="2018">
        <f>(W5)-(W8)</f>
        <v>501539.66</v>
      </c>
      <c r="X38" s="2018">
        <f>(X5)-(X8)</f>
        <v>-167282.69</v>
      </c>
      <c r="Y38" s="2018">
        <f>(Y5)-(Y8)</f>
        <v>334256.96999999997</v>
      </c>
      <c r="Z38" s="2018"/>
      <c r="AA38" s="2018"/>
      <c r="AB38" s="2018">
        <f>(AB5)-(AB8)</f>
        <v>247877.87400000004</v>
      </c>
      <c r="AC38" s="2018">
        <f>(AC5)-(AC8)</f>
        <v>-121815.93</v>
      </c>
      <c r="AD38" s="2018">
        <f>(AD5)-(AD8)</f>
        <v>126061.94400000002</v>
      </c>
      <c r="AE38" s="2018"/>
      <c r="AF38" s="2018"/>
      <c r="AG38" s="2018">
        <f>(AG5)-(AG8)</f>
        <v>907767.58000000007</v>
      </c>
      <c r="AH38" s="2018">
        <f>(AH5)-(AH8)</f>
        <v>-197977</v>
      </c>
      <c r="AI38" s="2018">
        <f>(AI5)-(AI8)</f>
        <v>709790.58000000007</v>
      </c>
      <c r="AJ38" s="2018"/>
      <c r="AK38" s="2018"/>
      <c r="AL38" s="2018">
        <f>(AL5)-(AL8)</f>
        <v>627833.61</v>
      </c>
      <c r="AM38" s="2018">
        <f>(AM5)-(AM8)</f>
        <v>-169548.95</v>
      </c>
      <c r="AN38" s="2018">
        <f>(AN5)-(AN8)</f>
        <v>458284.66</v>
      </c>
      <c r="AO38" s="2018"/>
      <c r="AP38" s="2018"/>
      <c r="AQ38" s="2018">
        <f>(AQ5)-(AQ8)</f>
        <v>485745.625</v>
      </c>
      <c r="AR38" s="2018">
        <f>(AR5)-(AR8)</f>
        <v>-161511.5</v>
      </c>
      <c r="AS38" s="2018">
        <f>(AS5)-(AS8)</f>
        <v>324234.125</v>
      </c>
      <c r="AT38" s="2018"/>
      <c r="AU38" s="2018"/>
      <c r="AV38" s="2018">
        <v>5038301.5520000011</v>
      </c>
      <c r="AW38" s="2018">
        <v>-2541533.04275</v>
      </c>
      <c r="AX38" s="2018">
        <v>2496768.5092500011</v>
      </c>
      <c r="AY38" s="2018">
        <v>6.6781506586550732</v>
      </c>
      <c r="AZ38" s="2018"/>
      <c r="BA38" s="2018">
        <f>(BA5)-(BA8)</f>
        <v>777881.28399999999</v>
      </c>
      <c r="BB38" s="2018">
        <f>(BB5)-(BB8)</f>
        <v>-850798.67</v>
      </c>
      <c r="BC38" s="2018">
        <f>(BC5)-(BC8)</f>
        <v>-72917.38599999994</v>
      </c>
      <c r="BD38" s="2018">
        <f t="shared" ref="BD38:BD39" si="50">BC38/$AD$89</f>
        <v>-0.19503341520819673</v>
      </c>
      <c r="BE38" s="2018"/>
      <c r="BF38" s="2018">
        <f>(BF5)-(BF8)</f>
        <v>550545.76</v>
      </c>
      <c r="BG38" s="2018">
        <f>(BG5)-(BG8)</f>
        <v>-223900</v>
      </c>
      <c r="BH38" s="2018">
        <f>(BH5)-(BH8)</f>
        <v>326645.76000000007</v>
      </c>
      <c r="BI38" s="2018"/>
      <c r="BJ38" s="2018"/>
      <c r="BK38" s="2018">
        <f>(BK5)-(BK8)</f>
        <v>132186.76800000004</v>
      </c>
      <c r="BL38" s="2018">
        <f>(BL5)-(BL8)</f>
        <v>-268688.67</v>
      </c>
      <c r="BM38" s="2018">
        <f>(BM5)-(BM8)</f>
        <v>-136501.90200000012</v>
      </c>
      <c r="BN38" s="2018">
        <f t="shared" ref="BN38:BN48" si="51">BM38/$E$89</f>
        <v>-1.3277685838292174E-2</v>
      </c>
      <c r="BO38" s="2018"/>
      <c r="BP38" s="2018">
        <f>(BP5)-(BP8)</f>
        <v>95148.755999999936</v>
      </c>
      <c r="BQ38" s="2018">
        <f>(BQ5)-(BQ8)</f>
        <v>-358210</v>
      </c>
      <c r="BR38" s="2018">
        <f>(BR5)-(BR8)</f>
        <v>-263061.24400000018</v>
      </c>
      <c r="BS38" s="2018">
        <f>BR38/$AD$89</f>
        <v>-0.70361453750189051</v>
      </c>
      <c r="BT38" s="2018"/>
      <c r="BU38" s="2018">
        <f>(BU5)-(BU8)</f>
        <v>0</v>
      </c>
      <c r="BV38" s="2018">
        <f>(BV5)-(BV8)</f>
        <v>0</v>
      </c>
      <c r="BW38" s="2018">
        <f>(BW5)-(BW8)</f>
        <v>0</v>
      </c>
      <c r="BX38" s="2018">
        <f>BW38/$AD$89</f>
        <v>0</v>
      </c>
      <c r="BY38" s="2018"/>
      <c r="BZ38" s="2018">
        <f>(BZ5)-(BZ8)</f>
        <v>0</v>
      </c>
      <c r="CA38" s="2018">
        <f>(CA5)-(CA8)</f>
        <v>0</v>
      </c>
      <c r="CB38" s="2018">
        <f>(CB5)-(CB8)</f>
        <v>0</v>
      </c>
      <c r="CC38" s="2018">
        <f>CB38/$AD$89</f>
        <v>0</v>
      </c>
      <c r="CD38" s="2018"/>
      <c r="CE38" s="2018">
        <f>(CE5)-(CE8)</f>
        <v>0</v>
      </c>
      <c r="CF38" s="2018">
        <f>(CF5)-(CF8)</f>
        <v>0</v>
      </c>
      <c r="CG38" s="2018">
        <f>(CG5)-(CG8)</f>
        <v>0</v>
      </c>
      <c r="CH38" s="2018">
        <f>CG38/$AD$89</f>
        <v>0</v>
      </c>
      <c r="CI38" s="2018"/>
      <c r="CJ38" s="2018">
        <f>(CJ5)-(CJ8)</f>
        <v>0</v>
      </c>
      <c r="CK38" s="2018">
        <f>(CK5)-(CK8)</f>
        <v>0</v>
      </c>
      <c r="CL38" s="2018">
        <f>(CL5)-(CL8)</f>
        <v>0</v>
      </c>
      <c r="CM38" s="2018">
        <f>CL38/$AD$89</f>
        <v>0</v>
      </c>
      <c r="CN38" s="2018"/>
      <c r="CO38" s="2018">
        <f>(CO5)-(CO8)</f>
        <v>0</v>
      </c>
      <c r="CP38" s="2018">
        <f>(CP5)-(CP8)</f>
        <v>0</v>
      </c>
      <c r="CQ38" s="2018">
        <f>(CQ5)-(CQ8)</f>
        <v>0</v>
      </c>
      <c r="CR38" s="2018">
        <f>CQ38/$AD$89</f>
        <v>0</v>
      </c>
      <c r="CS38" s="2018"/>
      <c r="CT38" s="2018">
        <f>(CT5)-(CT8)</f>
        <v>0</v>
      </c>
      <c r="CU38" s="2018">
        <f>(CU5)-(CU8)</f>
        <v>0</v>
      </c>
      <c r="CV38" s="2018">
        <f>(CV5)-(CV8)</f>
        <v>0</v>
      </c>
      <c r="CW38" s="2018">
        <f>CV38/$AD$89</f>
        <v>0</v>
      </c>
      <c r="CX38" s="2018"/>
      <c r="CY38" s="2018">
        <f>(CY5)-(CY8)</f>
        <v>0</v>
      </c>
      <c r="CZ38" s="2018">
        <f>(CZ5)-(CZ8)</f>
        <v>0</v>
      </c>
      <c r="DA38" s="2018">
        <f>(DA5)-(DA8)</f>
        <v>0</v>
      </c>
      <c r="DB38" s="2018">
        <f>DA38/$AD$89</f>
        <v>0</v>
      </c>
      <c r="DC38" s="2018"/>
      <c r="DD38" s="2018">
        <f>(DD5)-(DD8)</f>
        <v>0</v>
      </c>
      <c r="DE38" s="2018">
        <f>(DE5)-(DE8)</f>
        <v>0</v>
      </c>
      <c r="DF38" s="2018">
        <f>(DF5)-(DF8)</f>
        <v>0</v>
      </c>
      <c r="DG38" s="2018">
        <f>DF38/$AD$89</f>
        <v>0</v>
      </c>
      <c r="DH38" s="2018"/>
      <c r="DI38" s="3233">
        <f>(DI5)-(DI8)</f>
        <v>0</v>
      </c>
      <c r="DJ38" s="3233">
        <f>(DJ5)-(DJ8)</f>
        <v>0</v>
      </c>
      <c r="DK38" s="3233">
        <f>(DK5)-(DK8)</f>
        <v>0</v>
      </c>
      <c r="DL38" s="2018">
        <f>DK38/$AD$89</f>
        <v>0</v>
      </c>
      <c r="DM38" s="2018"/>
      <c r="DN38" s="2018">
        <f>(DN5)-(DN8)</f>
        <v>8954206.4189999998</v>
      </c>
      <c r="DO38" s="2018">
        <f>(DO5)-(DO8)</f>
        <v>-4302707.3627499994</v>
      </c>
      <c r="DP38" s="2018">
        <f>(DP5)-(DP8)</f>
        <v>4651499.0562500004</v>
      </c>
      <c r="DQ38" s="2018"/>
      <c r="DR38" s="2018"/>
    </row>
    <row r="39" spans="1:122" ht="13.8" x14ac:dyDescent="0.25">
      <c r="A39" s="1580"/>
      <c r="B39" s="1423" t="s">
        <v>47</v>
      </c>
      <c r="C39" s="2019">
        <v>0.40772509895492554</v>
      </c>
      <c r="D39" s="2019" t="e">
        <v>#DIV/0!</v>
      </c>
      <c r="E39" s="2020">
        <v>0.21439139967221502</v>
      </c>
      <c r="F39" s="2020"/>
      <c r="G39" s="979"/>
      <c r="H39" s="1331">
        <f>H38/(H5)</f>
        <v>0.7014878405743098</v>
      </c>
      <c r="I39" s="2019" t="e">
        <f>I38/(I5)</f>
        <v>#DIV/0!</v>
      </c>
      <c r="J39" s="2020">
        <f>J38/(J5)</f>
        <v>0.4521434451688468</v>
      </c>
      <c r="K39" s="2020"/>
      <c r="L39" s="2020"/>
      <c r="M39" s="2019">
        <f>M38/(M5)</f>
        <v>6.9243350296978257E-2</v>
      </c>
      <c r="N39" s="2019" t="e">
        <f>N38/(N5)</f>
        <v>#DIV/0!</v>
      </c>
      <c r="O39" s="2020">
        <f>O38/(O5)</f>
        <v>-0.26319420485289591</v>
      </c>
      <c r="P39" s="2020"/>
      <c r="Q39" s="2020"/>
      <c r="R39" s="2019">
        <f>R38/(R5)</f>
        <v>0.60404479276315792</v>
      </c>
      <c r="S39" s="2019" t="e">
        <f>S38/(S5)</f>
        <v>#DIV/0!</v>
      </c>
      <c r="T39" s="2020">
        <f>T38/(T5)</f>
        <v>0.45233495723684208</v>
      </c>
      <c r="U39" s="2020"/>
      <c r="V39" s="2020"/>
      <c r="W39" s="2019">
        <f>W38/(W5)</f>
        <v>0.62267945779647249</v>
      </c>
      <c r="X39" s="2019" t="e">
        <f>X38/(X5)</f>
        <v>#DIV/0!</v>
      </c>
      <c r="Y39" s="2020">
        <f>Y38/(Y5)</f>
        <v>0.41499200450925811</v>
      </c>
      <c r="Z39" s="2020"/>
      <c r="AA39" s="2020"/>
      <c r="AB39" s="2019">
        <f>AB38/(AB5)</f>
        <v>0.51720928934045429</v>
      </c>
      <c r="AC39" s="2019" t="e">
        <f>AC38/(AC5)</f>
        <v>#DIV/0!</v>
      </c>
      <c r="AD39" s="2020">
        <f>AD38/(AD5)</f>
        <v>0.26303440245383153</v>
      </c>
      <c r="AE39" s="2020"/>
      <c r="AF39" s="2020"/>
      <c r="AG39" s="2019">
        <f>AG38/(AG5)</f>
        <v>0.85630442073559265</v>
      </c>
      <c r="AH39" s="2019" t="e">
        <f>AH38/(AH5)</f>
        <v>#DIV/0!</v>
      </c>
      <c r="AI39" s="2020">
        <f>AI38/(AI5)</f>
        <v>0.6695511327365099</v>
      </c>
      <c r="AJ39" s="2020"/>
      <c r="AK39" s="2020"/>
      <c r="AL39" s="2019">
        <f>AL38/(AL5)</f>
        <v>0.64828706696267224</v>
      </c>
      <c r="AM39" s="2019" t="e">
        <f>AM38/(AM5)</f>
        <v>#DIV/0!</v>
      </c>
      <c r="AN39" s="2020">
        <f>AN38/(AN5)</f>
        <v>0.47321457999896738</v>
      </c>
      <c r="AO39" s="2020"/>
      <c r="AP39" s="2020"/>
      <c r="AQ39" s="2019">
        <f>AQ38/(AQ5)</f>
        <v>0.38367604199531857</v>
      </c>
      <c r="AR39" s="2019" t="e">
        <f>AR38/(AR5)</f>
        <v>#DIV/0!</v>
      </c>
      <c r="AS39" s="2020">
        <f>AS38/(AS5)</f>
        <v>0.25610290521878681</v>
      </c>
      <c r="AT39" s="2020"/>
      <c r="AU39" s="2020"/>
      <c r="AV39" s="2019">
        <v>0.55311070382780203</v>
      </c>
      <c r="AW39" s="2019" t="e">
        <v>#DIV/0!</v>
      </c>
      <c r="AX39" s="2020">
        <v>0.27409820019569164</v>
      </c>
      <c r="AY39" s="2020">
        <v>7.3313527841749289E-7</v>
      </c>
      <c r="AZ39" s="2019"/>
      <c r="BA39" s="2019">
        <f>BA38/(BA5)</f>
        <v>0.37335129161536784</v>
      </c>
      <c r="BB39" s="2019" t="e">
        <f>BB38/(BB5)</f>
        <v>#DIV/0!</v>
      </c>
      <c r="BC39" s="2020">
        <f>BC38/(BC5)</f>
        <v>-3.4997371455354774E-2</v>
      </c>
      <c r="BD39" s="2020">
        <f t="shared" si="50"/>
        <v>-9.3608085158835847E-8</v>
      </c>
      <c r="BE39" s="2019"/>
      <c r="BF39" s="3769">
        <f>BF38/(BF5)</f>
        <v>0.85320972671848505</v>
      </c>
      <c r="BG39" s="3769" t="e">
        <f>BG38/(BG5)</f>
        <v>#DIV/0!</v>
      </c>
      <c r="BH39" s="3770">
        <f>BH38/(BH5)</f>
        <v>0.50622011805767408</v>
      </c>
      <c r="BI39" s="2020"/>
      <c r="BJ39" s="3770"/>
      <c r="BK39" s="2019">
        <f>BK38/(BK5)</f>
        <v>0.22544816144823029</v>
      </c>
      <c r="BL39" s="2019" t="e">
        <f>BL38/(BL5)</f>
        <v>#DIV/0!</v>
      </c>
      <c r="BM39" s="2020">
        <f>BM38/(BM5)</f>
        <v>-0.23280774093883985</v>
      </c>
      <c r="BN39" s="2020">
        <f t="shared" si="51"/>
        <v>-2.2645457679471929E-8</v>
      </c>
      <c r="BO39" s="2020"/>
      <c r="BP39" s="2019">
        <f>BP38/(BP5)</f>
        <v>0.11168779782823958</v>
      </c>
      <c r="BQ39" s="2019" t="e">
        <f>BQ38/(BQ5)</f>
        <v>#DIV/0!</v>
      </c>
      <c r="BR39" s="2020">
        <f>BR38/(BR5)</f>
        <v>-0.30878733754876669</v>
      </c>
      <c r="BS39" s="2020">
        <f>BR39/$AD$89</f>
        <v>-8.2591892440003623E-7</v>
      </c>
      <c r="BT39" s="2020"/>
      <c r="BU39" s="2019" t="e">
        <f>BU38/(BU5)</f>
        <v>#DIV/0!</v>
      </c>
      <c r="BV39" s="2019" t="e">
        <f>BV38/(BV5)</f>
        <v>#DIV/0!</v>
      </c>
      <c r="BW39" s="2020" t="e">
        <f>BW38/(BW5)</f>
        <v>#DIV/0!</v>
      </c>
      <c r="BX39" s="2020" t="e">
        <f>BW39/$AD$89</f>
        <v>#DIV/0!</v>
      </c>
      <c r="BY39" s="2020"/>
      <c r="BZ39" s="2019" t="e">
        <f>BZ38/(BZ5)</f>
        <v>#DIV/0!</v>
      </c>
      <c r="CA39" s="2019" t="e">
        <f>CA38/(CA5)</f>
        <v>#DIV/0!</v>
      </c>
      <c r="CB39" s="2020" t="e">
        <f>CB38/(CB5)</f>
        <v>#DIV/0!</v>
      </c>
      <c r="CC39" s="2020" t="e">
        <f>CB39/$AD$89</f>
        <v>#DIV/0!</v>
      </c>
      <c r="CD39" s="2020"/>
      <c r="CE39" s="2019" t="e">
        <f>CE38/(CE5)</f>
        <v>#DIV/0!</v>
      </c>
      <c r="CF39" s="2019" t="e">
        <f>CF38/(CF5)</f>
        <v>#DIV/0!</v>
      </c>
      <c r="CG39" s="2020" t="e">
        <f>CG38/(CG5)</f>
        <v>#DIV/0!</v>
      </c>
      <c r="CH39" s="2020" t="e">
        <f>CG39/$AD$89</f>
        <v>#DIV/0!</v>
      </c>
      <c r="CI39" s="2020"/>
      <c r="CJ39" s="2019" t="e">
        <f>CJ38/(CJ5)</f>
        <v>#DIV/0!</v>
      </c>
      <c r="CK39" s="2019" t="e">
        <f>CK38/(CK5)</f>
        <v>#DIV/0!</v>
      </c>
      <c r="CL39" s="2020" t="e">
        <f>CL38/(CL5)</f>
        <v>#DIV/0!</v>
      </c>
      <c r="CM39" s="2020" t="e">
        <f>CL39/$AD$89</f>
        <v>#DIV/0!</v>
      </c>
      <c r="CN39" s="2020"/>
      <c r="CO39" s="2019" t="e">
        <f>CO38/(CO5)</f>
        <v>#DIV/0!</v>
      </c>
      <c r="CP39" s="2019" t="e">
        <f>CP38/(CP5)</f>
        <v>#DIV/0!</v>
      </c>
      <c r="CQ39" s="2020" t="e">
        <f>CQ38/(CQ5)</f>
        <v>#DIV/0!</v>
      </c>
      <c r="CR39" s="2020" t="e">
        <f>CQ39/$AD$89</f>
        <v>#DIV/0!</v>
      </c>
      <c r="CS39" s="2020"/>
      <c r="CT39" s="2019" t="e">
        <f>CT38/(CT5)</f>
        <v>#DIV/0!</v>
      </c>
      <c r="CU39" s="2019">
        <f>IFERROR(CU38/(CU5),0)</f>
        <v>0</v>
      </c>
      <c r="CV39" s="2020" t="e">
        <f>CV38/(CV5)</f>
        <v>#DIV/0!</v>
      </c>
      <c r="CW39" s="2020" t="e">
        <f>CV39/$AD$89</f>
        <v>#DIV/0!</v>
      </c>
      <c r="CX39" s="2020"/>
      <c r="CY39" s="2019" t="e">
        <f>CY38/(CY5)</f>
        <v>#DIV/0!</v>
      </c>
      <c r="CZ39" s="2019">
        <f>IFERROR(CZ38/(CZ5),0)</f>
        <v>0</v>
      </c>
      <c r="DA39" s="2020" t="e">
        <f>DA38/(DA5)</f>
        <v>#DIV/0!</v>
      </c>
      <c r="DB39" s="2020" t="e">
        <f>DA39/$AD$89</f>
        <v>#DIV/0!</v>
      </c>
      <c r="DC39" s="2020"/>
      <c r="DD39" s="2019" t="e">
        <f>DD38/(DD5)</f>
        <v>#DIV/0!</v>
      </c>
      <c r="DE39" s="2019">
        <f>IFERROR(DE38/(DE5),0)</f>
        <v>0</v>
      </c>
      <c r="DF39" s="2020" t="e">
        <f>DF38/(DF5)</f>
        <v>#DIV/0!</v>
      </c>
      <c r="DG39" s="2020" t="e">
        <f>DF39/$AD$89</f>
        <v>#DIV/0!</v>
      </c>
      <c r="DH39" s="2020"/>
      <c r="DI39" s="2019" t="e">
        <f>DI38/(DI5)</f>
        <v>#DIV/0!</v>
      </c>
      <c r="DJ39" s="2019">
        <f>IFERROR(DJ38/(DJ5),0)</f>
        <v>0</v>
      </c>
      <c r="DK39" s="2020" t="e">
        <f>DK38/(DK5)</f>
        <v>#DIV/0!</v>
      </c>
      <c r="DL39" s="2020" t="e">
        <f>DK39/$AD$89</f>
        <v>#DIV/0!</v>
      </c>
      <c r="DM39" s="2020"/>
      <c r="DN39" s="2019">
        <f>DN38/(DN5)</f>
        <v>0.54666040090909029</v>
      </c>
      <c r="DO39" s="2019" t="e">
        <f>DO38/(DO5)</f>
        <v>#DIV/0!</v>
      </c>
      <c r="DP39" s="2020">
        <f>DP38/(DP5)</f>
        <v>0.28397718568585972</v>
      </c>
      <c r="DQ39" s="2020"/>
      <c r="DR39" s="2020"/>
    </row>
    <row r="40" spans="1:122" ht="14.4" thickBot="1" x14ac:dyDescent="0.3">
      <c r="A40" s="1582"/>
      <c r="B40" s="3734"/>
      <c r="C40" s="3394">
        <v>0</v>
      </c>
      <c r="D40" s="3735">
        <v>0</v>
      </c>
      <c r="E40" s="3735"/>
      <c r="F40" s="3735"/>
      <c r="G40" s="3771"/>
      <c r="H40" s="3735"/>
      <c r="I40" s="3735"/>
      <c r="J40" s="3735"/>
      <c r="K40" s="3735"/>
      <c r="L40" s="3735"/>
      <c r="M40" s="3735"/>
      <c r="N40" s="3735"/>
      <c r="O40" s="3735"/>
      <c r="P40" s="3735"/>
      <c r="Q40" s="3735"/>
      <c r="R40" s="3735"/>
      <c r="S40" s="3735"/>
      <c r="T40" s="3735"/>
      <c r="U40" s="3735"/>
      <c r="V40" s="3735"/>
      <c r="W40" s="3735"/>
      <c r="X40" s="3735"/>
      <c r="Y40" s="3735"/>
      <c r="Z40" s="3735"/>
      <c r="AA40" s="3735"/>
      <c r="AB40" s="3735"/>
      <c r="AC40" s="3735"/>
      <c r="AD40" s="3735"/>
      <c r="AE40" s="3735"/>
      <c r="AF40" s="3735"/>
      <c r="AG40" s="3735"/>
      <c r="AH40" s="3735"/>
      <c r="AI40" s="3735"/>
      <c r="AJ40" s="3735"/>
      <c r="AK40" s="3735"/>
      <c r="AL40" s="3735"/>
      <c r="AM40" s="3735"/>
      <c r="AN40" s="3735"/>
      <c r="AO40" s="3735"/>
      <c r="AP40" s="3735"/>
      <c r="AQ40" s="3735"/>
      <c r="AR40" s="3735"/>
      <c r="AS40" s="3735"/>
      <c r="AT40" s="3735"/>
      <c r="AU40" s="3735"/>
      <c r="AV40" s="3735"/>
      <c r="AW40" s="3735"/>
      <c r="AX40" s="3735"/>
      <c r="AY40" s="3735"/>
      <c r="AZ40" s="3735"/>
      <c r="BA40" s="3735"/>
      <c r="BB40" s="3735"/>
      <c r="BC40" s="3735"/>
      <c r="BD40" s="3735"/>
      <c r="BE40" s="3735"/>
      <c r="BF40" s="3772"/>
      <c r="BG40" s="3772"/>
      <c r="BH40" s="3772"/>
      <c r="BI40" s="3735"/>
      <c r="BJ40" s="3772"/>
      <c r="BK40" s="3735"/>
      <c r="BL40" s="3735"/>
      <c r="BM40" s="3735"/>
      <c r="BN40" s="3735">
        <f t="shared" si="51"/>
        <v>0</v>
      </c>
      <c r="BO40" s="3735"/>
      <c r="BP40" s="3735"/>
      <c r="BQ40" s="3735"/>
      <c r="BR40" s="3735"/>
      <c r="BS40" s="3735"/>
      <c r="BT40" s="3735"/>
      <c r="BU40" s="3735"/>
      <c r="BV40" s="3735"/>
      <c r="BW40" s="3735"/>
      <c r="BX40" s="3735"/>
      <c r="BY40" s="3735"/>
      <c r="BZ40" s="3735"/>
      <c r="CA40" s="3735"/>
      <c r="CB40" s="3735"/>
      <c r="CC40" s="3735"/>
      <c r="CD40" s="3735"/>
      <c r="CE40" s="3735"/>
      <c r="CF40" s="3735"/>
      <c r="CG40" s="3735"/>
      <c r="CH40" s="3735"/>
      <c r="CI40" s="3735"/>
      <c r="CJ40" s="3735"/>
      <c r="CK40" s="3735"/>
      <c r="CL40" s="3735"/>
      <c r="CM40" s="3735"/>
      <c r="CN40" s="3735"/>
      <c r="CO40" s="3735"/>
      <c r="CP40" s="3735"/>
      <c r="CQ40" s="3735"/>
      <c r="CR40" s="3735"/>
      <c r="CS40" s="3735"/>
      <c r="CT40" s="3735"/>
      <c r="CU40" s="3735"/>
      <c r="CV40" s="3735"/>
      <c r="CW40" s="3735"/>
      <c r="CX40" s="3735"/>
      <c r="CY40" s="3735"/>
      <c r="CZ40" s="3735"/>
      <c r="DA40" s="3735"/>
      <c r="DB40" s="3735"/>
      <c r="DC40" s="3735"/>
      <c r="DD40" s="3735"/>
      <c r="DE40" s="3735"/>
      <c r="DF40" s="3735"/>
      <c r="DG40" s="3735"/>
      <c r="DH40" s="3735"/>
      <c r="DI40" s="3735"/>
      <c r="DJ40" s="3735"/>
      <c r="DK40" s="3735"/>
      <c r="DL40" s="3735"/>
      <c r="DM40" s="3735"/>
      <c r="DN40" s="3735"/>
      <c r="DO40" s="3735"/>
      <c r="DP40" s="3735"/>
      <c r="DQ40" s="3735"/>
      <c r="DR40" s="3735"/>
    </row>
    <row r="41" spans="1:122" ht="13.8" x14ac:dyDescent="0.25">
      <c r="A41" s="1420"/>
      <c r="B41" s="1430" t="s">
        <v>26</v>
      </c>
      <c r="C41" s="2029">
        <v>0</v>
      </c>
      <c r="D41" s="2029">
        <v>181</v>
      </c>
      <c r="E41" s="2030">
        <v>181</v>
      </c>
      <c r="F41" s="3318">
        <v>1.7606063369951295E-5</v>
      </c>
      <c r="G41" s="3396"/>
      <c r="H41" s="3397">
        <f>SUM(H42:H48)</f>
        <v>0</v>
      </c>
      <c r="I41" s="2029">
        <f>SUM(I42:I48)</f>
        <v>0</v>
      </c>
      <c r="J41" s="2030">
        <f>SUM(J42:J48)</f>
        <v>0</v>
      </c>
      <c r="K41" s="3318">
        <f t="shared" ref="K41:K49" si="52">J41/$J$89</f>
        <v>0</v>
      </c>
      <c r="L41" s="2022"/>
      <c r="M41" s="2029">
        <f>SUM(M42:M48)</f>
        <v>0</v>
      </c>
      <c r="N41" s="2029">
        <f>SUM(N42:N48)</f>
        <v>0</v>
      </c>
      <c r="O41" s="2030">
        <f>SUM(O42:O48)</f>
        <v>0</v>
      </c>
      <c r="P41" s="3318">
        <f>O41/$O$89</f>
        <v>0</v>
      </c>
      <c r="Q41" s="2022"/>
      <c r="R41" s="2029">
        <f>SUM(R42:R48)</f>
        <v>0</v>
      </c>
      <c r="S41" s="2029">
        <f>SUM(S42:S48)</f>
        <v>0</v>
      </c>
      <c r="T41" s="2030">
        <f>SUM(T42:T48)</f>
        <v>0</v>
      </c>
      <c r="U41" s="3318">
        <f t="shared" ref="U41:U52" si="53">T41/$T$89</f>
        <v>0</v>
      </c>
      <c r="V41" s="2022"/>
      <c r="W41" s="2029">
        <f>SUM(W42:W48)</f>
        <v>0</v>
      </c>
      <c r="X41" s="2029">
        <f>SUM(X42:X48)</f>
        <v>0</v>
      </c>
      <c r="Y41" s="2030">
        <f>SUM(Y42:Y48)</f>
        <v>0</v>
      </c>
      <c r="Z41" s="3318">
        <f t="shared" ref="Z41:Z52" si="54">Y41/$T$89</f>
        <v>0</v>
      </c>
      <c r="AA41" s="2022"/>
      <c r="AB41" s="2029">
        <f>SUM(AB42:AB48)</f>
        <v>0</v>
      </c>
      <c r="AC41" s="2029">
        <f>SUM(AC42:AC48)</f>
        <v>0</v>
      </c>
      <c r="AD41" s="2030">
        <f>SUM(AD42:AD48)</f>
        <v>0</v>
      </c>
      <c r="AE41" s="3318">
        <f t="shared" ref="AE41:AE52" si="55">AD41/$T$89</f>
        <v>0</v>
      </c>
      <c r="AF41" s="2022"/>
      <c r="AG41" s="2029">
        <f>SUM(AG42:AG48)</f>
        <v>0</v>
      </c>
      <c r="AH41" s="2029">
        <f>SUM(AH42:AH48)</f>
        <v>0</v>
      </c>
      <c r="AI41" s="2030">
        <f>SUM(AI42:AI48)</f>
        <v>0</v>
      </c>
      <c r="AJ41" s="3318">
        <f t="shared" ref="AJ41:AJ52" si="56">AI41/$T$89</f>
        <v>0</v>
      </c>
      <c r="AK41" s="2022"/>
      <c r="AL41" s="2029">
        <f>SUM(AL42:AL48)</f>
        <v>0</v>
      </c>
      <c r="AM41" s="2029">
        <f>SUM(AM42:AM48)</f>
        <v>0</v>
      </c>
      <c r="AN41" s="2030">
        <f>SUM(AN42:AN48)</f>
        <v>0</v>
      </c>
      <c r="AO41" s="3318">
        <f t="shared" ref="AO41:AO52" si="57">AN41/$T$89</f>
        <v>0</v>
      </c>
      <c r="AP41" s="2022"/>
      <c r="AQ41" s="2029">
        <f>SUM(AQ42:AQ48)</f>
        <v>0</v>
      </c>
      <c r="AR41" s="2029">
        <f>SUM(AR42:AR48)</f>
        <v>63.8</v>
      </c>
      <c r="AS41" s="2030">
        <f>SUM(AS42:AS48)</f>
        <v>63.8</v>
      </c>
      <c r="AT41" s="3318">
        <f t="shared" ref="AT41:AT52" si="58">AS41/$T$89</f>
        <v>1.8372957750490061E-4</v>
      </c>
      <c r="AU41" s="2022"/>
      <c r="AV41" s="2029">
        <v>3085.16</v>
      </c>
      <c r="AW41" s="2029">
        <v>2513.8000000000002</v>
      </c>
      <c r="AX41" s="2030">
        <v>5598.96</v>
      </c>
      <c r="AY41" s="3318">
        <v>1.4975636817453742E-2</v>
      </c>
      <c r="AZ41" s="1329"/>
      <c r="BA41" s="2029">
        <f>SUM(BA42:BA48)</f>
        <v>4040.4050000000002</v>
      </c>
      <c r="BB41" s="2029">
        <f>SUM(BB42:BB48)</f>
        <v>2620</v>
      </c>
      <c r="BC41" s="2030">
        <f>SUM(BC42:BC48)</f>
        <v>6660.4050000000007</v>
      </c>
      <c r="BD41" s="3318">
        <f t="shared" ref="BD41:BD48" si="59">BC41/$AD$89</f>
        <v>1.7814702433514972E-2</v>
      </c>
      <c r="BE41" s="1329"/>
      <c r="BF41" s="3773">
        <f>SUM(BF42:BF48)</f>
        <v>964.96</v>
      </c>
      <c r="BG41" s="3773">
        <f>SUM(BG42:BG48)</f>
        <v>700</v>
      </c>
      <c r="BH41" s="3774">
        <f>SUM(BH42:BH48)</f>
        <v>1664.96</v>
      </c>
      <c r="BI41" s="3318">
        <f t="shared" ref="BI41:BI52" si="60">BH41/$T$89</f>
        <v>4.7947084226106478E-3</v>
      </c>
      <c r="BJ41" s="3775"/>
      <c r="BK41" s="2029">
        <f>SUM(BK42:BK48)</f>
        <v>730.10500000000002</v>
      </c>
      <c r="BL41" s="2029">
        <f>SUM(BL42:BL48)</f>
        <v>740</v>
      </c>
      <c r="BM41" s="2030">
        <f>SUM(BM42:BM48)</f>
        <v>1470.105</v>
      </c>
      <c r="BN41" s="3318">
        <f t="shared" si="51"/>
        <v>1.4299868392531631E-4</v>
      </c>
      <c r="BO41" s="2022"/>
      <c r="BP41" s="2029">
        <f>SUM(BP42:BP48)</f>
        <v>2345.34</v>
      </c>
      <c r="BQ41" s="2029">
        <f>SUM(BQ42:BQ48)</f>
        <v>1180</v>
      </c>
      <c r="BR41" s="2030">
        <f>SUM(BR42:BR48)</f>
        <v>3525.34</v>
      </c>
      <c r="BS41" s="3318">
        <f t="shared" ref="BS41:BS52" si="61">BR41/$AD$89</f>
        <v>9.4292889211643541E-3</v>
      </c>
      <c r="BT41" s="2022"/>
      <c r="BU41" s="2029">
        <f>SUM(BU42:BU48)</f>
        <v>0</v>
      </c>
      <c r="BV41" s="2029">
        <f>SUM(BV42:BV48)</f>
        <v>0</v>
      </c>
      <c r="BW41" s="2030">
        <f>SUM(BW42:BW48)</f>
        <v>0</v>
      </c>
      <c r="BX41" s="3318">
        <f t="shared" ref="BX41:BX52" si="62">BW41/$AD$89</f>
        <v>0</v>
      </c>
      <c r="BY41" s="2022"/>
      <c r="BZ41" s="2029">
        <f>SUM(BZ42:BZ48)</f>
        <v>0</v>
      </c>
      <c r="CA41" s="2029">
        <f>SUM(CA42:CA48)</f>
        <v>0</v>
      </c>
      <c r="CB41" s="2030">
        <f>SUM(CB42:CB48)</f>
        <v>0</v>
      </c>
      <c r="CC41" s="3318">
        <f t="shared" ref="CC41:CC52" si="63">CB41/$AD$89</f>
        <v>0</v>
      </c>
      <c r="CD41" s="2022"/>
      <c r="CE41" s="2029">
        <f>SUM(CE42:CE48)</f>
        <v>0</v>
      </c>
      <c r="CF41" s="2029">
        <f>SUM(CF42:CF48)</f>
        <v>0</v>
      </c>
      <c r="CG41" s="2030">
        <f>SUM(CG42:CG48)</f>
        <v>0</v>
      </c>
      <c r="CH41" s="3318">
        <f t="shared" ref="CH41:CH52" si="64">CG41/$AD$89</f>
        <v>0</v>
      </c>
      <c r="CI41" s="2022"/>
      <c r="CJ41" s="2029">
        <f>SUM(CJ42:CJ48)</f>
        <v>0</v>
      </c>
      <c r="CK41" s="2029">
        <f>SUM(CK42:CK48)</f>
        <v>0</v>
      </c>
      <c r="CL41" s="2030">
        <f>SUM(CL42:CL48)</f>
        <v>0</v>
      </c>
      <c r="CM41" s="3318">
        <f t="shared" ref="CM41:CM52" si="65">CL41/$AD$89</f>
        <v>0</v>
      </c>
      <c r="CN41" s="2022"/>
      <c r="CO41" s="2029">
        <f>SUM(CO42:CO48)</f>
        <v>0</v>
      </c>
      <c r="CP41" s="2029">
        <f>SUM(CP42:CP48)</f>
        <v>0</v>
      </c>
      <c r="CQ41" s="2030">
        <f>SUM(CQ42:CQ48)</f>
        <v>0</v>
      </c>
      <c r="CR41" s="3318">
        <f t="shared" ref="CR41:CR52" si="66">CQ41/$AD$89</f>
        <v>0</v>
      </c>
      <c r="CS41" s="2022"/>
      <c r="CT41" s="2029">
        <f>SUM(CT42:CT48)</f>
        <v>0</v>
      </c>
      <c r="CU41" s="2029">
        <f>SUM(CU42:CU48)</f>
        <v>0</v>
      </c>
      <c r="CV41" s="2030">
        <f>SUM(CV42:CV48)</f>
        <v>0</v>
      </c>
      <c r="CW41" s="3318">
        <f t="shared" ref="CW41:CW52" si="67">CV41/$AD$89</f>
        <v>0</v>
      </c>
      <c r="CX41" s="2022"/>
      <c r="CY41" s="2029">
        <f>SUM(CY42:CY48)</f>
        <v>0</v>
      </c>
      <c r="CZ41" s="2029">
        <f>SUM(CZ42:CZ48)</f>
        <v>0</v>
      </c>
      <c r="DA41" s="2030">
        <f>SUM(DA42:DA48)</f>
        <v>0</v>
      </c>
      <c r="DB41" s="3318">
        <f t="shared" ref="DB41:DB52" si="68">DA41/$AD$89</f>
        <v>0</v>
      </c>
      <c r="DC41" s="2022"/>
      <c r="DD41" s="2029">
        <f>SUM(DD42:DD48)</f>
        <v>0</v>
      </c>
      <c r="DE41" s="2029">
        <f>SUM(DE42:DE48)</f>
        <v>0</v>
      </c>
      <c r="DF41" s="2030">
        <f>SUM(DF42:DF48)</f>
        <v>0</v>
      </c>
      <c r="DG41" s="3318">
        <f t="shared" ref="DG41:DG52" si="69">DF41/$AD$89</f>
        <v>0</v>
      </c>
      <c r="DH41" s="2022"/>
      <c r="DI41" s="2029">
        <f>SUM(DI42:DI48)</f>
        <v>0</v>
      </c>
      <c r="DJ41" s="2029">
        <f>SUM(DJ42:DJ48)</f>
        <v>0</v>
      </c>
      <c r="DK41" s="2030">
        <f>SUM(DK42:DK48)</f>
        <v>0</v>
      </c>
      <c r="DL41" s="3318">
        <f t="shared" ref="DL41:DL52" si="70">DK41/$AD$89</f>
        <v>0</v>
      </c>
      <c r="DM41" s="2022"/>
      <c r="DN41" s="2029">
        <f>SUM(DN42:DN48)</f>
        <v>7125.5650000000005</v>
      </c>
      <c r="DO41" s="2029">
        <f>SUM(DO42:DO48)</f>
        <v>5197.6000000000004</v>
      </c>
      <c r="DP41" s="2030">
        <f>SUM(DP42:DP48)</f>
        <v>12323.165000000001</v>
      </c>
      <c r="DQ41" s="3318">
        <f t="shared" ref="DQ41:DQ71" si="71">DP41/$DP$89</f>
        <v>9.2110330666216186E-4</v>
      </c>
      <c r="DR41" s="2022"/>
    </row>
    <row r="42" spans="1:122" ht="13.8" x14ac:dyDescent="0.25">
      <c r="A42" s="4015"/>
      <c r="B42" s="3319" t="s">
        <v>7</v>
      </c>
      <c r="C42" s="3288">
        <v>0</v>
      </c>
      <c r="D42" s="3274">
        <v>0</v>
      </c>
      <c r="E42" s="2028">
        <v>0</v>
      </c>
      <c r="F42" s="3284">
        <v>0</v>
      </c>
      <c r="G42" s="2492"/>
      <c r="H42" s="3274"/>
      <c r="I42" s="3274"/>
      <c r="J42" s="2028">
        <f t="shared" ref="J42:J48" si="72">H42+I42*1</f>
        <v>0</v>
      </c>
      <c r="K42" s="3284">
        <f t="shared" si="52"/>
        <v>0</v>
      </c>
      <c r="L42" s="3295"/>
      <c r="M42" s="3274"/>
      <c r="N42" s="3274"/>
      <c r="O42" s="2028">
        <f t="shared" ref="O42:O48" si="73">M42+N42*1</f>
        <v>0</v>
      </c>
      <c r="P42" s="3284">
        <f t="shared" ref="P42:P52" si="74">O42/$O$89</f>
        <v>0</v>
      </c>
      <c r="Q42" s="3295"/>
      <c r="R42" s="3274"/>
      <c r="S42" s="3274"/>
      <c r="T42" s="2028">
        <f t="shared" ref="T42:T48" si="75">R42+S42*1</f>
        <v>0</v>
      </c>
      <c r="U42" s="3284">
        <f t="shared" si="53"/>
        <v>0</v>
      </c>
      <c r="V42" s="3295"/>
      <c r="W42" s="3274"/>
      <c r="X42" s="3274"/>
      <c r="Y42" s="2028">
        <f t="shared" ref="Y42:Y48" si="76">W42+X42*1</f>
        <v>0</v>
      </c>
      <c r="Z42" s="3284">
        <f t="shared" si="54"/>
        <v>0</v>
      </c>
      <c r="AA42" s="3295"/>
      <c r="AB42" s="3274"/>
      <c r="AC42" s="3274"/>
      <c r="AD42" s="2028">
        <f t="shared" ref="AD42:AD48" si="77">AB42+AC42*1</f>
        <v>0</v>
      </c>
      <c r="AE42" s="3284">
        <f t="shared" si="55"/>
        <v>0</v>
      </c>
      <c r="AF42" s="3295"/>
      <c r="AG42" s="3274"/>
      <c r="AH42" s="3274"/>
      <c r="AI42" s="2028">
        <f t="shared" ref="AI42:AI48" si="78">AG42+AH42*1</f>
        <v>0</v>
      </c>
      <c r="AJ42" s="3284">
        <f t="shared" si="56"/>
        <v>0</v>
      </c>
      <c r="AK42" s="3295"/>
      <c r="AL42" s="3274"/>
      <c r="AM42" s="3274"/>
      <c r="AN42" s="2028">
        <f t="shared" ref="AN42:AN48" si="79">AL42+AM42*1</f>
        <v>0</v>
      </c>
      <c r="AO42" s="3284">
        <f t="shared" si="57"/>
        <v>0</v>
      </c>
      <c r="AP42" s="3295"/>
      <c r="AQ42" s="3274"/>
      <c r="AR42" s="3274"/>
      <c r="AS42" s="2028">
        <f t="shared" ref="AS42:AS48" si="80">AQ42+AR42*1</f>
        <v>0</v>
      </c>
      <c r="AT42" s="3284">
        <f t="shared" si="58"/>
        <v>0</v>
      </c>
      <c r="AU42" s="3295"/>
      <c r="AV42" s="3275">
        <v>0</v>
      </c>
      <c r="AW42" s="3275">
        <v>0</v>
      </c>
      <c r="AX42" s="2028">
        <v>0</v>
      </c>
      <c r="AY42" s="3284">
        <v>0</v>
      </c>
      <c r="AZ42" s="3275"/>
      <c r="BA42" s="3275">
        <f t="shared" ref="BA42:BB48" si="81">BF42+BK42+BP42+BU42+BZ42+CE42+CJ42+CO42+CT42+CY42+DD42+DI42</f>
        <v>0</v>
      </c>
      <c r="BB42" s="3275">
        <f t="shared" si="81"/>
        <v>0</v>
      </c>
      <c r="BC42" s="2028">
        <f t="shared" ref="BC42:BC48" si="82">BA42+BB42*1</f>
        <v>0</v>
      </c>
      <c r="BD42" s="3284">
        <f t="shared" si="59"/>
        <v>0</v>
      </c>
      <c r="BE42" s="3275"/>
      <c r="BF42" s="3744"/>
      <c r="BG42" s="3744"/>
      <c r="BH42" s="3747">
        <f t="shared" ref="BH42:BH48" si="83">BF42+BG42*1</f>
        <v>0</v>
      </c>
      <c r="BI42" s="3284">
        <f t="shared" si="60"/>
        <v>0</v>
      </c>
      <c r="BJ42" s="3776"/>
      <c r="BK42" s="3274"/>
      <c r="BL42" s="3274"/>
      <c r="BM42" s="2028">
        <f t="shared" ref="BM42:BM48" si="84">BK42+BL42*1</f>
        <v>0</v>
      </c>
      <c r="BN42" s="3284">
        <f t="shared" si="51"/>
        <v>0</v>
      </c>
      <c r="BO42" s="3295"/>
      <c r="BP42" s="3274"/>
      <c r="BQ42" s="3274"/>
      <c r="BR42" s="2028">
        <f t="shared" ref="BR42:BR48" si="85">BP42+BQ42*1</f>
        <v>0</v>
      </c>
      <c r="BS42" s="3284">
        <f t="shared" si="61"/>
        <v>0</v>
      </c>
      <c r="BT42" s="3295"/>
      <c r="BU42" s="3274"/>
      <c r="BV42" s="3274"/>
      <c r="BW42" s="2028">
        <f t="shared" ref="BW42:BW48" si="86">BU42+BV42*1</f>
        <v>0</v>
      </c>
      <c r="BX42" s="3284">
        <f t="shared" si="62"/>
        <v>0</v>
      </c>
      <c r="BY42" s="3295"/>
      <c r="BZ42" s="3274"/>
      <c r="CA42" s="3274"/>
      <c r="CB42" s="2028">
        <f t="shared" ref="CB42:CB48" si="87">BZ42+CA42*1</f>
        <v>0</v>
      </c>
      <c r="CC42" s="3284">
        <f t="shared" si="63"/>
        <v>0</v>
      </c>
      <c r="CD42" s="3295"/>
      <c r="CE42" s="3274"/>
      <c r="CF42" s="3274"/>
      <c r="CG42" s="2028">
        <f t="shared" ref="CG42:CG48" si="88">CE42+CF42*1</f>
        <v>0</v>
      </c>
      <c r="CH42" s="3284">
        <f t="shared" si="64"/>
        <v>0</v>
      </c>
      <c r="CI42" s="3295"/>
      <c r="CJ42" s="3274"/>
      <c r="CK42" s="3274"/>
      <c r="CL42" s="2028">
        <f t="shared" ref="CL42:CL48" si="89">CJ42+CK42*1</f>
        <v>0</v>
      </c>
      <c r="CM42" s="3284">
        <f t="shared" si="65"/>
        <v>0</v>
      </c>
      <c r="CN42" s="3295"/>
      <c r="CO42" s="3274"/>
      <c r="CP42" s="3274"/>
      <c r="CQ42" s="2028">
        <f t="shared" ref="CQ42:CQ48" si="90">CO42+CP42*1</f>
        <v>0</v>
      </c>
      <c r="CR42" s="3284">
        <f t="shared" si="66"/>
        <v>0</v>
      </c>
      <c r="CS42" s="3295"/>
      <c r="CT42" s="3274"/>
      <c r="CU42" s="3274"/>
      <c r="CV42" s="2028">
        <f t="shared" ref="CV42:CV48" si="91">CT42+CU42*1</f>
        <v>0</v>
      </c>
      <c r="CW42" s="3284">
        <f t="shared" si="67"/>
        <v>0</v>
      </c>
      <c r="CX42" s="3295"/>
      <c r="CY42" s="3274"/>
      <c r="CZ42" s="3274"/>
      <c r="DA42" s="2028">
        <f t="shared" ref="DA42:DA48" si="92">CY42+CZ42*1</f>
        <v>0</v>
      </c>
      <c r="DB42" s="3284">
        <f t="shared" si="68"/>
        <v>0</v>
      </c>
      <c r="DC42" s="3295"/>
      <c r="DD42" s="3274"/>
      <c r="DE42" s="3274"/>
      <c r="DF42" s="2028">
        <f t="shared" ref="DF42:DF48" si="93">DD42+DE42*1</f>
        <v>0</v>
      </c>
      <c r="DG42" s="3284">
        <f t="shared" si="69"/>
        <v>0</v>
      </c>
      <c r="DH42" s="3295"/>
      <c r="DI42" s="3274"/>
      <c r="DJ42" s="3274"/>
      <c r="DK42" s="2028">
        <f t="shared" ref="DK42:DK48" si="94">DI42+DJ42*1</f>
        <v>0</v>
      </c>
      <c r="DL42" s="3284">
        <f t="shared" si="70"/>
        <v>0</v>
      </c>
      <c r="DM42" s="3295"/>
      <c r="DN42" s="3283">
        <f t="shared" ref="DN42:DO48" si="95">R42+W42+AB42+AG42+AL42+AQ42+BF42+BK42+BP42+BU42+BZ42+CE42+CJ42+CO42+CT42+CY42+DD42+DI42+AV42</f>
        <v>0</v>
      </c>
      <c r="DO42" s="3283">
        <f t="shared" si="95"/>
        <v>0</v>
      </c>
      <c r="DP42" s="3283">
        <f t="shared" ref="DP42:DP48" si="96">DN42+DO42*1</f>
        <v>0</v>
      </c>
      <c r="DQ42" s="3284">
        <f t="shared" si="71"/>
        <v>0</v>
      </c>
      <c r="DR42" s="3295"/>
    </row>
    <row r="43" spans="1:122" ht="13.8" x14ac:dyDescent="0.25">
      <c r="A43" s="4015"/>
      <c r="B43" s="3319" t="s">
        <v>27</v>
      </c>
      <c r="C43" s="3288">
        <v>0</v>
      </c>
      <c r="D43" s="3274">
        <v>0</v>
      </c>
      <c r="E43" s="2028">
        <v>0</v>
      </c>
      <c r="F43" s="3284">
        <v>0</v>
      </c>
      <c r="G43" s="2492"/>
      <c r="H43" s="3274"/>
      <c r="I43" s="3274"/>
      <c r="J43" s="2028">
        <f t="shared" si="72"/>
        <v>0</v>
      </c>
      <c r="K43" s="3284">
        <f t="shared" si="52"/>
        <v>0</v>
      </c>
      <c r="L43" s="3295"/>
      <c r="M43" s="3274"/>
      <c r="N43" s="3274"/>
      <c r="O43" s="2028">
        <f t="shared" si="73"/>
        <v>0</v>
      </c>
      <c r="P43" s="3284">
        <f t="shared" si="74"/>
        <v>0</v>
      </c>
      <c r="Q43" s="3295"/>
      <c r="R43" s="3274"/>
      <c r="S43" s="3274"/>
      <c r="T43" s="2028">
        <f t="shared" si="75"/>
        <v>0</v>
      </c>
      <c r="U43" s="3284">
        <f t="shared" si="53"/>
        <v>0</v>
      </c>
      <c r="V43" s="3295"/>
      <c r="W43" s="3274"/>
      <c r="X43" s="3274"/>
      <c r="Y43" s="2028">
        <f t="shared" si="76"/>
        <v>0</v>
      </c>
      <c r="Z43" s="3284">
        <f t="shared" si="54"/>
        <v>0</v>
      </c>
      <c r="AA43" s="3295"/>
      <c r="AB43" s="3274"/>
      <c r="AC43" s="3274"/>
      <c r="AD43" s="2028">
        <f t="shared" si="77"/>
        <v>0</v>
      </c>
      <c r="AE43" s="3284">
        <f t="shared" si="55"/>
        <v>0</v>
      </c>
      <c r="AF43" s="3295"/>
      <c r="AG43" s="3274"/>
      <c r="AH43" s="3274"/>
      <c r="AI43" s="2028">
        <f t="shared" si="78"/>
        <v>0</v>
      </c>
      <c r="AJ43" s="3284">
        <f t="shared" si="56"/>
        <v>0</v>
      </c>
      <c r="AK43" s="3295"/>
      <c r="AL43" s="3274"/>
      <c r="AM43" s="3274"/>
      <c r="AN43" s="2028">
        <f t="shared" si="79"/>
        <v>0</v>
      </c>
      <c r="AO43" s="3284">
        <f t="shared" si="57"/>
        <v>0</v>
      </c>
      <c r="AP43" s="3295"/>
      <c r="AQ43" s="3274"/>
      <c r="AR43" s="3274"/>
      <c r="AS43" s="2028">
        <f t="shared" si="80"/>
        <v>0</v>
      </c>
      <c r="AT43" s="3284">
        <f t="shared" si="58"/>
        <v>0</v>
      </c>
      <c r="AU43" s="3295"/>
      <c r="AV43" s="3275">
        <v>0</v>
      </c>
      <c r="AW43" s="3275">
        <v>0</v>
      </c>
      <c r="AX43" s="2028">
        <v>0</v>
      </c>
      <c r="AY43" s="3284">
        <v>0</v>
      </c>
      <c r="AZ43" s="3275"/>
      <c r="BA43" s="3275">
        <f t="shared" si="81"/>
        <v>0</v>
      </c>
      <c r="BB43" s="3275">
        <f t="shared" si="81"/>
        <v>0</v>
      </c>
      <c r="BC43" s="2028">
        <f t="shared" si="82"/>
        <v>0</v>
      </c>
      <c r="BD43" s="3284">
        <f t="shared" si="59"/>
        <v>0</v>
      </c>
      <c r="BE43" s="3275"/>
      <c r="BF43" s="3744"/>
      <c r="BG43" s="3744"/>
      <c r="BH43" s="3747">
        <f t="shared" si="83"/>
        <v>0</v>
      </c>
      <c r="BI43" s="3284">
        <f t="shared" si="60"/>
        <v>0</v>
      </c>
      <c r="BJ43" s="3776"/>
      <c r="BK43" s="3274"/>
      <c r="BL43" s="3274"/>
      <c r="BM43" s="2028">
        <f t="shared" si="84"/>
        <v>0</v>
      </c>
      <c r="BN43" s="3284">
        <f t="shared" si="51"/>
        <v>0</v>
      </c>
      <c r="BO43" s="3295"/>
      <c r="BP43" s="3274"/>
      <c r="BQ43" s="3274"/>
      <c r="BR43" s="2028">
        <f t="shared" si="85"/>
        <v>0</v>
      </c>
      <c r="BS43" s="3284">
        <f t="shared" si="61"/>
        <v>0</v>
      </c>
      <c r="BT43" s="3295"/>
      <c r="BU43" s="3274"/>
      <c r="BV43" s="3274"/>
      <c r="BW43" s="2028">
        <f t="shared" si="86"/>
        <v>0</v>
      </c>
      <c r="BX43" s="3284">
        <f t="shared" si="62"/>
        <v>0</v>
      </c>
      <c r="BY43" s="3295"/>
      <c r="BZ43" s="3274"/>
      <c r="CA43" s="3274"/>
      <c r="CB43" s="2028">
        <f t="shared" si="87"/>
        <v>0</v>
      </c>
      <c r="CC43" s="3284">
        <f t="shared" si="63"/>
        <v>0</v>
      </c>
      <c r="CD43" s="3295"/>
      <c r="CE43" s="3274"/>
      <c r="CF43" s="3274"/>
      <c r="CG43" s="2028">
        <f t="shared" si="88"/>
        <v>0</v>
      </c>
      <c r="CH43" s="3284">
        <f t="shared" si="64"/>
        <v>0</v>
      </c>
      <c r="CI43" s="3295"/>
      <c r="CJ43" s="3274"/>
      <c r="CK43" s="3274"/>
      <c r="CL43" s="2028">
        <f t="shared" si="89"/>
        <v>0</v>
      </c>
      <c r="CM43" s="3284">
        <f t="shared" si="65"/>
        <v>0</v>
      </c>
      <c r="CN43" s="3295"/>
      <c r="CO43" s="3274"/>
      <c r="CP43" s="3274"/>
      <c r="CQ43" s="2028">
        <f t="shared" si="90"/>
        <v>0</v>
      </c>
      <c r="CR43" s="3284">
        <f t="shared" si="66"/>
        <v>0</v>
      </c>
      <c r="CS43" s="3295"/>
      <c r="CT43" s="3274"/>
      <c r="CU43" s="3274"/>
      <c r="CV43" s="2028">
        <f t="shared" si="91"/>
        <v>0</v>
      </c>
      <c r="CW43" s="3284">
        <f t="shared" si="67"/>
        <v>0</v>
      </c>
      <c r="CX43" s="3295"/>
      <c r="CY43" s="3274"/>
      <c r="CZ43" s="3274"/>
      <c r="DA43" s="2028">
        <f t="shared" si="92"/>
        <v>0</v>
      </c>
      <c r="DB43" s="3284">
        <f t="shared" si="68"/>
        <v>0</v>
      </c>
      <c r="DC43" s="3295"/>
      <c r="DD43" s="3274"/>
      <c r="DE43" s="3274"/>
      <c r="DF43" s="2028">
        <f t="shared" si="93"/>
        <v>0</v>
      </c>
      <c r="DG43" s="3284">
        <f t="shared" si="69"/>
        <v>0</v>
      </c>
      <c r="DH43" s="3295"/>
      <c r="DI43" s="3274"/>
      <c r="DJ43" s="3274"/>
      <c r="DK43" s="2028">
        <f t="shared" si="94"/>
        <v>0</v>
      </c>
      <c r="DL43" s="3284">
        <f t="shared" si="70"/>
        <v>0</v>
      </c>
      <c r="DM43" s="3295"/>
      <c r="DN43" s="3283">
        <f t="shared" si="95"/>
        <v>0</v>
      </c>
      <c r="DO43" s="3283">
        <f t="shared" si="95"/>
        <v>0</v>
      </c>
      <c r="DP43" s="3283">
        <f t="shared" si="96"/>
        <v>0</v>
      </c>
      <c r="DQ43" s="3284">
        <f t="shared" si="71"/>
        <v>0</v>
      </c>
      <c r="DR43" s="3295"/>
    </row>
    <row r="44" spans="1:122" ht="24" x14ac:dyDescent="0.25">
      <c r="A44" s="4015"/>
      <c r="B44" s="3310" t="s">
        <v>28</v>
      </c>
      <c r="C44" s="3288">
        <v>0</v>
      </c>
      <c r="D44" s="3274">
        <v>0</v>
      </c>
      <c r="E44" s="2028">
        <v>0</v>
      </c>
      <c r="F44" s="3284">
        <v>0</v>
      </c>
      <c r="G44" s="3143"/>
      <c r="H44" s="3274"/>
      <c r="I44" s="3274"/>
      <c r="J44" s="2028">
        <f t="shared" si="72"/>
        <v>0</v>
      </c>
      <c r="K44" s="3284">
        <f t="shared" si="52"/>
        <v>0</v>
      </c>
      <c r="L44" s="3295"/>
      <c r="M44" s="3274"/>
      <c r="N44" s="3274"/>
      <c r="O44" s="2028">
        <f t="shared" si="73"/>
        <v>0</v>
      </c>
      <c r="P44" s="3284">
        <f t="shared" si="74"/>
        <v>0</v>
      </c>
      <c r="Q44" s="3295"/>
      <c r="R44" s="3274"/>
      <c r="S44" s="3274"/>
      <c r="T44" s="2028">
        <f t="shared" si="75"/>
        <v>0</v>
      </c>
      <c r="U44" s="3284">
        <f t="shared" si="53"/>
        <v>0</v>
      </c>
      <c r="V44" s="3295"/>
      <c r="W44" s="3274"/>
      <c r="X44" s="3274"/>
      <c r="Y44" s="2028">
        <f t="shared" si="76"/>
        <v>0</v>
      </c>
      <c r="Z44" s="3284">
        <f t="shared" si="54"/>
        <v>0</v>
      </c>
      <c r="AA44" s="3295"/>
      <c r="AB44" s="3274"/>
      <c r="AC44" s="3274"/>
      <c r="AD44" s="2028">
        <f t="shared" si="77"/>
        <v>0</v>
      </c>
      <c r="AE44" s="3284">
        <f t="shared" si="55"/>
        <v>0</v>
      </c>
      <c r="AF44" s="3295"/>
      <c r="AG44" s="3274"/>
      <c r="AH44" s="3274"/>
      <c r="AI44" s="2028">
        <f t="shared" si="78"/>
        <v>0</v>
      </c>
      <c r="AJ44" s="3284">
        <f t="shared" si="56"/>
        <v>0</v>
      </c>
      <c r="AK44" s="3295"/>
      <c r="AL44" s="3274"/>
      <c r="AM44" s="3274"/>
      <c r="AN44" s="2028">
        <f t="shared" si="79"/>
        <v>0</v>
      </c>
      <c r="AO44" s="3284">
        <f t="shared" si="57"/>
        <v>0</v>
      </c>
      <c r="AP44" s="3295"/>
      <c r="AQ44" s="3274"/>
      <c r="AR44" s="3274"/>
      <c r="AS44" s="2028">
        <f t="shared" si="80"/>
        <v>0</v>
      </c>
      <c r="AT44" s="3284">
        <f t="shared" si="58"/>
        <v>0</v>
      </c>
      <c r="AU44" s="3295"/>
      <c r="AV44" s="3275">
        <v>0</v>
      </c>
      <c r="AW44" s="3275">
        <v>2450</v>
      </c>
      <c r="AX44" s="2028">
        <v>2450</v>
      </c>
      <c r="AY44" s="3284">
        <v>6.5530581041410669E-3</v>
      </c>
      <c r="AZ44" s="3275"/>
      <c r="BA44" s="3275">
        <f t="shared" si="81"/>
        <v>0</v>
      </c>
      <c r="BB44" s="3275">
        <f t="shared" si="81"/>
        <v>2520</v>
      </c>
      <c r="BC44" s="2028">
        <f t="shared" si="82"/>
        <v>2520</v>
      </c>
      <c r="BD44" s="3284">
        <f t="shared" si="59"/>
        <v>6.7402883356879545E-3</v>
      </c>
      <c r="BE44" s="3275"/>
      <c r="BF44" s="3744"/>
      <c r="BG44" s="3744">
        <v>700</v>
      </c>
      <c r="BH44" s="3747">
        <f t="shared" si="83"/>
        <v>700</v>
      </c>
      <c r="BI44" s="3284">
        <f t="shared" si="60"/>
        <v>2.0158417594581569E-3</v>
      </c>
      <c r="BJ44" s="3776" t="s">
        <v>2146</v>
      </c>
      <c r="BK44" s="3274"/>
      <c r="BL44" s="3274">
        <v>700</v>
      </c>
      <c r="BM44" s="2028">
        <f t="shared" si="84"/>
        <v>700</v>
      </c>
      <c r="BN44" s="3284">
        <f t="shared" si="51"/>
        <v>6.8089747839590646E-5</v>
      </c>
      <c r="BO44" s="3746" t="s">
        <v>2146</v>
      </c>
      <c r="BP44" s="3274"/>
      <c r="BQ44" s="3274">
        <f>420+700</f>
        <v>1120</v>
      </c>
      <c r="BR44" s="2028">
        <f t="shared" si="85"/>
        <v>1120</v>
      </c>
      <c r="BS44" s="3284">
        <f t="shared" si="61"/>
        <v>2.9956837047502021E-3</v>
      </c>
      <c r="BT44" s="3746" t="s">
        <v>2206</v>
      </c>
      <c r="BU44" s="3274"/>
      <c r="BV44" s="3274"/>
      <c r="BW44" s="2028">
        <f t="shared" si="86"/>
        <v>0</v>
      </c>
      <c r="BX44" s="3284">
        <f t="shared" si="62"/>
        <v>0</v>
      </c>
      <c r="BY44" s="3295"/>
      <c r="BZ44" s="3274"/>
      <c r="CA44" s="3274"/>
      <c r="CB44" s="2028">
        <f t="shared" si="87"/>
        <v>0</v>
      </c>
      <c r="CC44" s="3284">
        <f t="shared" si="63"/>
        <v>0</v>
      </c>
      <c r="CD44" s="3295"/>
      <c r="CE44" s="3274"/>
      <c r="CF44" s="3274"/>
      <c r="CG44" s="2028">
        <f t="shared" si="88"/>
        <v>0</v>
      </c>
      <c r="CH44" s="3284">
        <f t="shared" si="64"/>
        <v>0</v>
      </c>
      <c r="CI44" s="3295"/>
      <c r="CJ44" s="3274"/>
      <c r="CK44" s="3274"/>
      <c r="CL44" s="2028">
        <f t="shared" si="89"/>
        <v>0</v>
      </c>
      <c r="CM44" s="3284">
        <f t="shared" si="65"/>
        <v>0</v>
      </c>
      <c r="CN44" s="3295"/>
      <c r="CO44" s="3274"/>
      <c r="CP44" s="3274"/>
      <c r="CQ44" s="2028">
        <f t="shared" si="90"/>
        <v>0</v>
      </c>
      <c r="CR44" s="3284">
        <f t="shared" si="66"/>
        <v>0</v>
      </c>
      <c r="CS44" s="3295"/>
      <c r="CT44" s="3274"/>
      <c r="CU44" s="3274"/>
      <c r="CV44" s="2028">
        <f t="shared" si="91"/>
        <v>0</v>
      </c>
      <c r="CW44" s="3284">
        <f t="shared" si="67"/>
        <v>0</v>
      </c>
      <c r="CX44" s="3295"/>
      <c r="CY44" s="3274"/>
      <c r="CZ44" s="3274"/>
      <c r="DA44" s="2028">
        <f t="shared" si="92"/>
        <v>0</v>
      </c>
      <c r="DB44" s="3284">
        <f t="shared" si="68"/>
        <v>0</v>
      </c>
      <c r="DC44" s="3295"/>
      <c r="DD44" s="3274"/>
      <c r="DE44" s="3274"/>
      <c r="DF44" s="2028">
        <f t="shared" si="93"/>
        <v>0</v>
      </c>
      <c r="DG44" s="3284">
        <f t="shared" si="69"/>
        <v>0</v>
      </c>
      <c r="DH44" s="3295"/>
      <c r="DI44" s="3274"/>
      <c r="DJ44" s="3274"/>
      <c r="DK44" s="2028">
        <f t="shared" si="94"/>
        <v>0</v>
      </c>
      <c r="DL44" s="3284">
        <f t="shared" si="70"/>
        <v>0</v>
      </c>
      <c r="DM44" s="3295"/>
      <c r="DN44" s="3283">
        <f t="shared" si="95"/>
        <v>0</v>
      </c>
      <c r="DO44" s="3283">
        <f t="shared" si="95"/>
        <v>4970</v>
      </c>
      <c r="DP44" s="3283">
        <f t="shared" si="96"/>
        <v>4970</v>
      </c>
      <c r="DQ44" s="3284">
        <f t="shared" si="71"/>
        <v>3.7148601305841023E-4</v>
      </c>
      <c r="DR44" s="3295"/>
    </row>
    <row r="45" spans="1:122" ht="13.8" x14ac:dyDescent="0.25">
      <c r="A45" s="4015"/>
      <c r="B45" s="3319" t="s">
        <v>8</v>
      </c>
      <c r="C45" s="3288">
        <v>0</v>
      </c>
      <c r="D45" s="3274">
        <v>0</v>
      </c>
      <c r="E45" s="2028">
        <v>0</v>
      </c>
      <c r="F45" s="3284">
        <v>0</v>
      </c>
      <c r="G45" s="2492"/>
      <c r="H45" s="3274"/>
      <c r="I45" s="3274"/>
      <c r="J45" s="2028">
        <f t="shared" si="72"/>
        <v>0</v>
      </c>
      <c r="K45" s="3284">
        <f t="shared" si="52"/>
        <v>0</v>
      </c>
      <c r="L45" s="3295"/>
      <c r="M45" s="3274"/>
      <c r="N45" s="3274"/>
      <c r="O45" s="2028">
        <f t="shared" si="73"/>
        <v>0</v>
      </c>
      <c r="P45" s="3284">
        <f t="shared" si="74"/>
        <v>0</v>
      </c>
      <c r="Q45" s="3295"/>
      <c r="R45" s="3274"/>
      <c r="S45" s="3274"/>
      <c r="T45" s="2028">
        <f t="shared" si="75"/>
        <v>0</v>
      </c>
      <c r="U45" s="3284">
        <f t="shared" si="53"/>
        <v>0</v>
      </c>
      <c r="V45" s="3295"/>
      <c r="W45" s="3274"/>
      <c r="X45" s="3274"/>
      <c r="Y45" s="2028">
        <f t="shared" si="76"/>
        <v>0</v>
      </c>
      <c r="Z45" s="3284">
        <f t="shared" si="54"/>
        <v>0</v>
      </c>
      <c r="AA45" s="3295"/>
      <c r="AB45" s="3274"/>
      <c r="AC45" s="3274"/>
      <c r="AD45" s="2028">
        <f t="shared" si="77"/>
        <v>0</v>
      </c>
      <c r="AE45" s="3284">
        <f t="shared" si="55"/>
        <v>0</v>
      </c>
      <c r="AF45" s="3295"/>
      <c r="AG45" s="3274"/>
      <c r="AH45" s="3274"/>
      <c r="AI45" s="2028">
        <f t="shared" si="78"/>
        <v>0</v>
      </c>
      <c r="AJ45" s="3284">
        <f t="shared" si="56"/>
        <v>0</v>
      </c>
      <c r="AK45" s="3295"/>
      <c r="AL45" s="3274"/>
      <c r="AM45" s="3274"/>
      <c r="AN45" s="2028">
        <f t="shared" si="79"/>
        <v>0</v>
      </c>
      <c r="AO45" s="3284">
        <f t="shared" si="57"/>
        <v>0</v>
      </c>
      <c r="AP45" s="3295"/>
      <c r="AQ45" s="3274"/>
      <c r="AR45" s="3274"/>
      <c r="AS45" s="2028">
        <f t="shared" si="80"/>
        <v>0</v>
      </c>
      <c r="AT45" s="3284">
        <f t="shared" si="58"/>
        <v>0</v>
      </c>
      <c r="AU45" s="3295"/>
      <c r="AV45" s="3275">
        <v>0</v>
      </c>
      <c r="AW45" s="3275">
        <v>0</v>
      </c>
      <c r="AX45" s="2028">
        <v>0</v>
      </c>
      <c r="AY45" s="3284">
        <v>0</v>
      </c>
      <c r="AZ45" s="3275"/>
      <c r="BA45" s="3275">
        <f t="shared" si="81"/>
        <v>0</v>
      </c>
      <c r="BB45" s="3275">
        <f t="shared" si="81"/>
        <v>0</v>
      </c>
      <c r="BC45" s="2028">
        <f t="shared" si="82"/>
        <v>0</v>
      </c>
      <c r="BD45" s="3284">
        <f t="shared" si="59"/>
        <v>0</v>
      </c>
      <c r="BE45" s="3275"/>
      <c r="BF45" s="3744"/>
      <c r="BG45" s="3744"/>
      <c r="BH45" s="3747">
        <f t="shared" si="83"/>
        <v>0</v>
      </c>
      <c r="BI45" s="3284">
        <f t="shared" si="60"/>
        <v>0</v>
      </c>
      <c r="BJ45" s="3776"/>
      <c r="BK45" s="3274"/>
      <c r="BL45" s="3274"/>
      <c r="BM45" s="2028">
        <f t="shared" si="84"/>
        <v>0</v>
      </c>
      <c r="BN45" s="3284">
        <f t="shared" si="51"/>
        <v>0</v>
      </c>
      <c r="BO45" s="3746"/>
      <c r="BP45" s="3274"/>
      <c r="BQ45" s="3274"/>
      <c r="BR45" s="2028">
        <f t="shared" si="85"/>
        <v>0</v>
      </c>
      <c r="BS45" s="3284">
        <f t="shared" si="61"/>
        <v>0</v>
      </c>
      <c r="BT45" s="3295"/>
      <c r="BU45" s="3274"/>
      <c r="BV45" s="3274"/>
      <c r="BW45" s="2028">
        <f t="shared" si="86"/>
        <v>0</v>
      </c>
      <c r="BX45" s="3284">
        <f t="shared" si="62"/>
        <v>0</v>
      </c>
      <c r="BY45" s="3295"/>
      <c r="BZ45" s="3274"/>
      <c r="CA45" s="3274"/>
      <c r="CB45" s="2028">
        <f t="shared" si="87"/>
        <v>0</v>
      </c>
      <c r="CC45" s="3284">
        <f t="shared" si="63"/>
        <v>0</v>
      </c>
      <c r="CD45" s="3295"/>
      <c r="CE45" s="3274"/>
      <c r="CF45" s="3274"/>
      <c r="CG45" s="2028">
        <f t="shared" si="88"/>
        <v>0</v>
      </c>
      <c r="CH45" s="3284">
        <f t="shared" si="64"/>
        <v>0</v>
      </c>
      <c r="CI45" s="3295"/>
      <c r="CJ45" s="3274"/>
      <c r="CK45" s="3274"/>
      <c r="CL45" s="2028">
        <f t="shared" si="89"/>
        <v>0</v>
      </c>
      <c r="CM45" s="3284">
        <f t="shared" si="65"/>
        <v>0</v>
      </c>
      <c r="CN45" s="3295"/>
      <c r="CO45" s="3274"/>
      <c r="CP45" s="3274"/>
      <c r="CQ45" s="2028">
        <f t="shared" si="90"/>
        <v>0</v>
      </c>
      <c r="CR45" s="3284">
        <f t="shared" si="66"/>
        <v>0</v>
      </c>
      <c r="CS45" s="3295"/>
      <c r="CT45" s="3274"/>
      <c r="CU45" s="3274"/>
      <c r="CV45" s="2028">
        <f t="shared" si="91"/>
        <v>0</v>
      </c>
      <c r="CW45" s="3284">
        <f t="shared" si="67"/>
        <v>0</v>
      </c>
      <c r="CX45" s="3295"/>
      <c r="CY45" s="3274"/>
      <c r="CZ45" s="3274"/>
      <c r="DA45" s="2028">
        <f t="shared" si="92"/>
        <v>0</v>
      </c>
      <c r="DB45" s="3284">
        <f t="shared" si="68"/>
        <v>0</v>
      </c>
      <c r="DC45" s="3295"/>
      <c r="DD45" s="3274"/>
      <c r="DE45" s="3274"/>
      <c r="DF45" s="2028">
        <f t="shared" si="93"/>
        <v>0</v>
      </c>
      <c r="DG45" s="3284">
        <f t="shared" si="69"/>
        <v>0</v>
      </c>
      <c r="DH45" s="3295"/>
      <c r="DI45" s="3274"/>
      <c r="DJ45" s="3274"/>
      <c r="DK45" s="2028">
        <f t="shared" si="94"/>
        <v>0</v>
      </c>
      <c r="DL45" s="3284">
        <f t="shared" si="70"/>
        <v>0</v>
      </c>
      <c r="DM45" s="3295"/>
      <c r="DN45" s="3283">
        <f t="shared" si="95"/>
        <v>0</v>
      </c>
      <c r="DO45" s="3283">
        <f t="shared" si="95"/>
        <v>0</v>
      </c>
      <c r="DP45" s="3283">
        <f t="shared" si="96"/>
        <v>0</v>
      </c>
      <c r="DQ45" s="3284">
        <f t="shared" si="71"/>
        <v>0</v>
      </c>
      <c r="DR45" s="3295"/>
    </row>
    <row r="46" spans="1:122" ht="13.8" x14ac:dyDescent="0.25">
      <c r="A46" s="4015"/>
      <c r="B46" s="3319" t="s">
        <v>29</v>
      </c>
      <c r="C46" s="3288">
        <v>0</v>
      </c>
      <c r="D46" s="3274">
        <v>0</v>
      </c>
      <c r="E46" s="2028">
        <v>0</v>
      </c>
      <c r="F46" s="3284">
        <v>0</v>
      </c>
      <c r="G46" s="2492"/>
      <c r="H46" s="3274"/>
      <c r="I46" s="3274"/>
      <c r="J46" s="2028">
        <f t="shared" si="72"/>
        <v>0</v>
      </c>
      <c r="K46" s="3284">
        <f t="shared" si="52"/>
        <v>0</v>
      </c>
      <c r="L46" s="3295"/>
      <c r="M46" s="3274"/>
      <c r="N46" s="3274"/>
      <c r="O46" s="2028">
        <f t="shared" si="73"/>
        <v>0</v>
      </c>
      <c r="P46" s="3284">
        <f t="shared" si="74"/>
        <v>0</v>
      </c>
      <c r="Q46" s="3295"/>
      <c r="R46" s="3274"/>
      <c r="S46" s="3274"/>
      <c r="T46" s="2028">
        <f t="shared" si="75"/>
        <v>0</v>
      </c>
      <c r="U46" s="3284">
        <f t="shared" si="53"/>
        <v>0</v>
      </c>
      <c r="V46" s="3295"/>
      <c r="W46" s="3274"/>
      <c r="X46" s="3274"/>
      <c r="Y46" s="2028">
        <f t="shared" si="76"/>
        <v>0</v>
      </c>
      <c r="Z46" s="3284">
        <f t="shared" si="54"/>
        <v>0</v>
      </c>
      <c r="AA46" s="3295"/>
      <c r="AB46" s="3274"/>
      <c r="AC46" s="3274"/>
      <c r="AD46" s="2028">
        <f t="shared" si="77"/>
        <v>0</v>
      </c>
      <c r="AE46" s="3284">
        <f t="shared" si="55"/>
        <v>0</v>
      </c>
      <c r="AF46" s="3295"/>
      <c r="AG46" s="3274"/>
      <c r="AH46" s="3274"/>
      <c r="AI46" s="2028">
        <f t="shared" si="78"/>
        <v>0</v>
      </c>
      <c r="AJ46" s="3284">
        <f t="shared" si="56"/>
        <v>0</v>
      </c>
      <c r="AK46" s="3295"/>
      <c r="AL46" s="3274"/>
      <c r="AM46" s="3274"/>
      <c r="AN46" s="2028">
        <f t="shared" si="79"/>
        <v>0</v>
      </c>
      <c r="AO46" s="3284">
        <f t="shared" si="57"/>
        <v>0</v>
      </c>
      <c r="AP46" s="3295"/>
      <c r="AQ46" s="3274"/>
      <c r="AR46" s="3274"/>
      <c r="AS46" s="2028">
        <f t="shared" si="80"/>
        <v>0</v>
      </c>
      <c r="AT46" s="3284">
        <f t="shared" si="58"/>
        <v>0</v>
      </c>
      <c r="AU46" s="3295"/>
      <c r="AV46" s="3275">
        <v>0</v>
      </c>
      <c r="AW46" s="3275">
        <v>0</v>
      </c>
      <c r="AX46" s="2028">
        <v>0</v>
      </c>
      <c r="AY46" s="3284">
        <v>0</v>
      </c>
      <c r="AZ46" s="3275"/>
      <c r="BA46" s="3275">
        <f t="shared" si="81"/>
        <v>0</v>
      </c>
      <c r="BB46" s="3275">
        <f t="shared" si="81"/>
        <v>0</v>
      </c>
      <c r="BC46" s="2028">
        <f t="shared" si="82"/>
        <v>0</v>
      </c>
      <c r="BD46" s="3284">
        <f t="shared" si="59"/>
        <v>0</v>
      </c>
      <c r="BE46" s="3275"/>
      <c r="BF46" s="3744"/>
      <c r="BG46" s="3744"/>
      <c r="BH46" s="3747">
        <f t="shared" si="83"/>
        <v>0</v>
      </c>
      <c r="BI46" s="3284">
        <f t="shared" si="60"/>
        <v>0</v>
      </c>
      <c r="BJ46" s="3776"/>
      <c r="BK46" s="3274"/>
      <c r="BL46" s="3274"/>
      <c r="BM46" s="2028">
        <f t="shared" si="84"/>
        <v>0</v>
      </c>
      <c r="BN46" s="3284">
        <f t="shared" si="51"/>
        <v>0</v>
      </c>
      <c r="BO46" s="3746"/>
      <c r="BP46" s="3274"/>
      <c r="BQ46" s="3274"/>
      <c r="BR46" s="2028">
        <f t="shared" si="85"/>
        <v>0</v>
      </c>
      <c r="BS46" s="3284">
        <f t="shared" si="61"/>
        <v>0</v>
      </c>
      <c r="BT46" s="3295"/>
      <c r="BU46" s="3274"/>
      <c r="BV46" s="3274"/>
      <c r="BW46" s="2028">
        <f t="shared" si="86"/>
        <v>0</v>
      </c>
      <c r="BX46" s="3284">
        <f t="shared" si="62"/>
        <v>0</v>
      </c>
      <c r="BY46" s="3295"/>
      <c r="BZ46" s="3274"/>
      <c r="CA46" s="3274"/>
      <c r="CB46" s="2028">
        <f t="shared" si="87"/>
        <v>0</v>
      </c>
      <c r="CC46" s="3284">
        <f t="shared" si="63"/>
        <v>0</v>
      </c>
      <c r="CD46" s="3295"/>
      <c r="CE46" s="3274"/>
      <c r="CF46" s="3274"/>
      <c r="CG46" s="2028">
        <f t="shared" si="88"/>
        <v>0</v>
      </c>
      <c r="CH46" s="3284">
        <f t="shared" si="64"/>
        <v>0</v>
      </c>
      <c r="CI46" s="3295"/>
      <c r="CJ46" s="3274"/>
      <c r="CK46" s="3274"/>
      <c r="CL46" s="2028">
        <f t="shared" si="89"/>
        <v>0</v>
      </c>
      <c r="CM46" s="3284">
        <f t="shared" si="65"/>
        <v>0</v>
      </c>
      <c r="CN46" s="3295"/>
      <c r="CO46" s="3274"/>
      <c r="CP46" s="3274"/>
      <c r="CQ46" s="2028">
        <f t="shared" si="90"/>
        <v>0</v>
      </c>
      <c r="CR46" s="3284">
        <f t="shared" si="66"/>
        <v>0</v>
      </c>
      <c r="CS46" s="3295"/>
      <c r="CT46" s="3274"/>
      <c r="CU46" s="3274"/>
      <c r="CV46" s="2028">
        <f t="shared" si="91"/>
        <v>0</v>
      </c>
      <c r="CW46" s="3284">
        <f t="shared" si="67"/>
        <v>0</v>
      </c>
      <c r="CX46" s="3295"/>
      <c r="CY46" s="3274"/>
      <c r="CZ46" s="3274"/>
      <c r="DA46" s="2028">
        <f t="shared" si="92"/>
        <v>0</v>
      </c>
      <c r="DB46" s="3284">
        <f t="shared" si="68"/>
        <v>0</v>
      </c>
      <c r="DC46" s="3295"/>
      <c r="DD46" s="3274"/>
      <c r="DE46" s="3274"/>
      <c r="DF46" s="2028">
        <f t="shared" si="93"/>
        <v>0</v>
      </c>
      <c r="DG46" s="3284">
        <f t="shared" si="69"/>
        <v>0</v>
      </c>
      <c r="DH46" s="3295"/>
      <c r="DI46" s="3274"/>
      <c r="DJ46" s="3274"/>
      <c r="DK46" s="2028">
        <f t="shared" si="94"/>
        <v>0</v>
      </c>
      <c r="DL46" s="3284">
        <f t="shared" si="70"/>
        <v>0</v>
      </c>
      <c r="DM46" s="3295"/>
      <c r="DN46" s="3283">
        <f t="shared" si="95"/>
        <v>0</v>
      </c>
      <c r="DO46" s="3283">
        <f t="shared" si="95"/>
        <v>0</v>
      </c>
      <c r="DP46" s="3283">
        <f t="shared" si="96"/>
        <v>0</v>
      </c>
      <c r="DQ46" s="3284">
        <f t="shared" si="71"/>
        <v>0</v>
      </c>
      <c r="DR46" s="3295"/>
    </row>
    <row r="47" spans="1:122" ht="13.8" x14ac:dyDescent="0.25">
      <c r="A47" s="4015"/>
      <c r="B47" s="3319" t="s">
        <v>30</v>
      </c>
      <c r="C47" s="3288">
        <v>0</v>
      </c>
      <c r="D47" s="3274">
        <v>181</v>
      </c>
      <c r="E47" s="2028">
        <v>181</v>
      </c>
      <c r="F47" s="3284">
        <v>1.7606063369951295E-5</v>
      </c>
      <c r="G47" s="2492"/>
      <c r="H47" s="3274"/>
      <c r="I47" s="3274"/>
      <c r="J47" s="2028">
        <f t="shared" si="72"/>
        <v>0</v>
      </c>
      <c r="K47" s="3284">
        <f t="shared" si="52"/>
        <v>0</v>
      </c>
      <c r="L47" s="3295"/>
      <c r="M47" s="3274"/>
      <c r="N47" s="3274"/>
      <c r="O47" s="2028">
        <f t="shared" si="73"/>
        <v>0</v>
      </c>
      <c r="P47" s="3284">
        <f t="shared" si="74"/>
        <v>0</v>
      </c>
      <c r="Q47" s="3295"/>
      <c r="R47" s="3274"/>
      <c r="S47" s="3274"/>
      <c r="T47" s="2028">
        <f t="shared" si="75"/>
        <v>0</v>
      </c>
      <c r="U47" s="3284">
        <f t="shared" si="53"/>
        <v>0</v>
      </c>
      <c r="V47" s="3295"/>
      <c r="W47" s="3274"/>
      <c r="X47" s="3274"/>
      <c r="Y47" s="2028">
        <f t="shared" si="76"/>
        <v>0</v>
      </c>
      <c r="Z47" s="3284">
        <f t="shared" si="54"/>
        <v>0</v>
      </c>
      <c r="AA47" s="3295"/>
      <c r="AB47" s="3274"/>
      <c r="AC47" s="3274"/>
      <c r="AD47" s="2028">
        <f t="shared" si="77"/>
        <v>0</v>
      </c>
      <c r="AE47" s="3284">
        <f t="shared" si="55"/>
        <v>0</v>
      </c>
      <c r="AF47" s="3295"/>
      <c r="AG47" s="3274"/>
      <c r="AH47" s="3274"/>
      <c r="AI47" s="2028">
        <f t="shared" si="78"/>
        <v>0</v>
      </c>
      <c r="AJ47" s="3284">
        <f t="shared" si="56"/>
        <v>0</v>
      </c>
      <c r="AK47" s="3295"/>
      <c r="AL47" s="3274"/>
      <c r="AM47" s="3274"/>
      <c r="AN47" s="2028">
        <f t="shared" si="79"/>
        <v>0</v>
      </c>
      <c r="AO47" s="3284">
        <f t="shared" si="57"/>
        <v>0</v>
      </c>
      <c r="AP47" s="3295"/>
      <c r="AQ47" s="3274"/>
      <c r="AR47" s="3274">
        <v>63.8</v>
      </c>
      <c r="AS47" s="2028">
        <f t="shared" si="80"/>
        <v>63.8</v>
      </c>
      <c r="AT47" s="3284">
        <f t="shared" si="58"/>
        <v>1.8372957750490061E-4</v>
      </c>
      <c r="AU47" s="3276" t="s">
        <v>1499</v>
      </c>
      <c r="AV47" s="3275">
        <v>3085.16</v>
      </c>
      <c r="AW47" s="3275">
        <v>63.8</v>
      </c>
      <c r="AX47" s="2028">
        <v>3148.96</v>
      </c>
      <c r="AY47" s="3284">
        <v>8.4225787133126746E-3</v>
      </c>
      <c r="AZ47" s="3275"/>
      <c r="BA47" s="3275">
        <f t="shared" si="81"/>
        <v>4040.4050000000002</v>
      </c>
      <c r="BB47" s="3275">
        <f t="shared" si="81"/>
        <v>100</v>
      </c>
      <c r="BC47" s="2028">
        <f t="shared" si="82"/>
        <v>4140.4050000000007</v>
      </c>
      <c r="BD47" s="3284">
        <f t="shared" si="59"/>
        <v>1.107441409782702E-2</v>
      </c>
      <c r="BE47" s="3275"/>
      <c r="BF47" s="3274">
        <f>1929.92/2</f>
        <v>964.96</v>
      </c>
      <c r="BG47" s="3744"/>
      <c r="BH47" s="3747">
        <f t="shared" si="83"/>
        <v>964.96</v>
      </c>
      <c r="BI47" s="3284">
        <f t="shared" si="60"/>
        <v>2.7788666631524904E-3</v>
      </c>
      <c r="BJ47" s="3358" t="s">
        <v>2130</v>
      </c>
      <c r="BK47" s="3274">
        <f>1460.21/2</f>
        <v>730.10500000000002</v>
      </c>
      <c r="BL47" s="3274">
        <v>40</v>
      </c>
      <c r="BM47" s="2028">
        <f t="shared" si="84"/>
        <v>770.10500000000002</v>
      </c>
      <c r="BN47" s="3284">
        <f t="shared" si="51"/>
        <v>7.4908936085725652E-5</v>
      </c>
      <c r="BO47" s="3746" t="s">
        <v>2119</v>
      </c>
      <c r="BP47" s="3274">
        <v>2345.34</v>
      </c>
      <c r="BQ47" s="3274">
        <v>60</v>
      </c>
      <c r="BR47" s="2028">
        <f t="shared" si="85"/>
        <v>2405.34</v>
      </c>
      <c r="BS47" s="3284">
        <f t="shared" si="61"/>
        <v>6.4336052164141525E-3</v>
      </c>
      <c r="BT47" s="3746" t="s">
        <v>2119</v>
      </c>
      <c r="BU47" s="3274"/>
      <c r="BV47" s="3274"/>
      <c r="BW47" s="2028">
        <f t="shared" si="86"/>
        <v>0</v>
      </c>
      <c r="BX47" s="3284">
        <f t="shared" si="62"/>
        <v>0</v>
      </c>
      <c r="BY47" s="3295"/>
      <c r="BZ47" s="3274"/>
      <c r="CA47" s="3274"/>
      <c r="CB47" s="2028">
        <f t="shared" si="87"/>
        <v>0</v>
      </c>
      <c r="CC47" s="3284">
        <f t="shared" si="63"/>
        <v>0</v>
      </c>
      <c r="CD47" s="3295"/>
      <c r="CE47" s="3274"/>
      <c r="CF47" s="3274"/>
      <c r="CG47" s="2028">
        <f t="shared" si="88"/>
        <v>0</v>
      </c>
      <c r="CH47" s="3284">
        <f t="shared" si="64"/>
        <v>0</v>
      </c>
      <c r="CI47" s="3295"/>
      <c r="CJ47" s="3274"/>
      <c r="CK47" s="3274"/>
      <c r="CL47" s="2028">
        <f t="shared" si="89"/>
        <v>0</v>
      </c>
      <c r="CM47" s="3284">
        <f t="shared" si="65"/>
        <v>0</v>
      </c>
      <c r="CN47" s="3295"/>
      <c r="CO47" s="3274"/>
      <c r="CP47" s="3274"/>
      <c r="CQ47" s="2028">
        <f t="shared" si="90"/>
        <v>0</v>
      </c>
      <c r="CR47" s="3284">
        <f t="shared" si="66"/>
        <v>0</v>
      </c>
      <c r="CS47" s="3295"/>
      <c r="CT47" s="3274"/>
      <c r="CU47" s="3274"/>
      <c r="CV47" s="2028">
        <f t="shared" si="91"/>
        <v>0</v>
      </c>
      <c r="CW47" s="3284">
        <f t="shared" si="67"/>
        <v>0</v>
      </c>
      <c r="CX47" s="3295"/>
      <c r="CY47" s="3274"/>
      <c r="CZ47" s="3274"/>
      <c r="DA47" s="2028">
        <f t="shared" si="92"/>
        <v>0</v>
      </c>
      <c r="DB47" s="3284">
        <f t="shared" si="68"/>
        <v>0</v>
      </c>
      <c r="DC47" s="3295"/>
      <c r="DD47" s="3274"/>
      <c r="DE47" s="3274"/>
      <c r="DF47" s="2028">
        <f t="shared" si="93"/>
        <v>0</v>
      </c>
      <c r="DG47" s="3284">
        <f t="shared" si="69"/>
        <v>0</v>
      </c>
      <c r="DH47" s="3295"/>
      <c r="DI47" s="3274"/>
      <c r="DJ47" s="3274"/>
      <c r="DK47" s="2028">
        <f t="shared" si="94"/>
        <v>0</v>
      </c>
      <c r="DL47" s="3284">
        <f t="shared" si="70"/>
        <v>0</v>
      </c>
      <c r="DM47" s="3295"/>
      <c r="DN47" s="3283">
        <f t="shared" si="95"/>
        <v>7125.5650000000005</v>
      </c>
      <c r="DO47" s="3283">
        <f t="shared" si="95"/>
        <v>227.60000000000002</v>
      </c>
      <c r="DP47" s="3283">
        <f t="shared" si="96"/>
        <v>7353.1650000000009</v>
      </c>
      <c r="DQ47" s="3284">
        <f t="shared" si="71"/>
        <v>5.4961729360375163E-4</v>
      </c>
      <c r="DR47" s="3295"/>
    </row>
    <row r="48" spans="1:122" ht="13.8" x14ac:dyDescent="0.25">
      <c r="A48" s="4015"/>
      <c r="B48" s="3319" t="s">
        <v>15</v>
      </c>
      <c r="C48" s="3288">
        <v>0</v>
      </c>
      <c r="D48" s="3274">
        <v>0</v>
      </c>
      <c r="E48" s="2028">
        <v>0</v>
      </c>
      <c r="F48" s="3284">
        <v>0</v>
      </c>
      <c r="G48" s="2492"/>
      <c r="H48" s="3274"/>
      <c r="I48" s="3274"/>
      <c r="J48" s="2028">
        <f t="shared" si="72"/>
        <v>0</v>
      </c>
      <c r="K48" s="3284">
        <f t="shared" si="52"/>
        <v>0</v>
      </c>
      <c r="L48" s="3295"/>
      <c r="M48" s="3274"/>
      <c r="N48" s="3274"/>
      <c r="O48" s="2028">
        <f t="shared" si="73"/>
        <v>0</v>
      </c>
      <c r="P48" s="3284">
        <f t="shared" si="74"/>
        <v>0</v>
      </c>
      <c r="Q48" s="3295"/>
      <c r="R48" s="3274"/>
      <c r="S48" s="3274"/>
      <c r="T48" s="2028">
        <f t="shared" si="75"/>
        <v>0</v>
      </c>
      <c r="U48" s="3284">
        <f t="shared" si="53"/>
        <v>0</v>
      </c>
      <c r="V48" s="3295"/>
      <c r="W48" s="3274"/>
      <c r="X48" s="3274"/>
      <c r="Y48" s="2028">
        <f t="shared" si="76"/>
        <v>0</v>
      </c>
      <c r="Z48" s="3284">
        <f t="shared" si="54"/>
        <v>0</v>
      </c>
      <c r="AA48" s="3295"/>
      <c r="AB48" s="3274"/>
      <c r="AC48" s="3274"/>
      <c r="AD48" s="2028">
        <f t="shared" si="77"/>
        <v>0</v>
      </c>
      <c r="AE48" s="3284">
        <f t="shared" si="55"/>
        <v>0</v>
      </c>
      <c r="AF48" s="3295"/>
      <c r="AG48" s="3274"/>
      <c r="AH48" s="3274"/>
      <c r="AI48" s="2028">
        <f t="shared" si="78"/>
        <v>0</v>
      </c>
      <c r="AJ48" s="3284">
        <f t="shared" si="56"/>
        <v>0</v>
      </c>
      <c r="AK48" s="3295"/>
      <c r="AL48" s="3274"/>
      <c r="AM48" s="3274"/>
      <c r="AN48" s="2028">
        <f t="shared" si="79"/>
        <v>0</v>
      </c>
      <c r="AO48" s="3284">
        <f t="shared" si="57"/>
        <v>0</v>
      </c>
      <c r="AP48" s="3295"/>
      <c r="AQ48" s="3274"/>
      <c r="AR48" s="3274"/>
      <c r="AS48" s="2028">
        <f t="shared" si="80"/>
        <v>0</v>
      </c>
      <c r="AT48" s="3284">
        <f t="shared" si="58"/>
        <v>0</v>
      </c>
      <c r="AU48" s="3295"/>
      <c r="AV48" s="3275">
        <v>0</v>
      </c>
      <c r="AW48" s="3275">
        <v>0</v>
      </c>
      <c r="AX48" s="2028">
        <v>0</v>
      </c>
      <c r="AY48" s="3284">
        <v>0</v>
      </c>
      <c r="AZ48" s="3275"/>
      <c r="BA48" s="3275">
        <f t="shared" si="81"/>
        <v>0</v>
      </c>
      <c r="BB48" s="3275">
        <f t="shared" si="81"/>
        <v>0</v>
      </c>
      <c r="BC48" s="2028">
        <f t="shared" si="82"/>
        <v>0</v>
      </c>
      <c r="BD48" s="3284">
        <f t="shared" si="59"/>
        <v>0</v>
      </c>
      <c r="BE48" s="3275"/>
      <c r="BF48" s="3744"/>
      <c r="BG48" s="3744"/>
      <c r="BH48" s="3747">
        <f t="shared" si="83"/>
        <v>0</v>
      </c>
      <c r="BI48" s="3284">
        <f t="shared" si="60"/>
        <v>0</v>
      </c>
      <c r="BJ48" s="3776"/>
      <c r="BK48" s="3274"/>
      <c r="BL48" s="3274"/>
      <c r="BM48" s="2028">
        <f t="shared" si="84"/>
        <v>0</v>
      </c>
      <c r="BN48" s="3284">
        <f t="shared" si="51"/>
        <v>0</v>
      </c>
      <c r="BO48" s="3746"/>
      <c r="BP48" s="3274"/>
      <c r="BQ48" s="3274"/>
      <c r="BR48" s="2028">
        <f t="shared" si="85"/>
        <v>0</v>
      </c>
      <c r="BS48" s="3284">
        <f t="shared" si="61"/>
        <v>0</v>
      </c>
      <c r="BT48" s="3295"/>
      <c r="BU48" s="3274"/>
      <c r="BV48" s="3274"/>
      <c r="BW48" s="2028">
        <f t="shared" si="86"/>
        <v>0</v>
      </c>
      <c r="BX48" s="3284">
        <f t="shared" si="62"/>
        <v>0</v>
      </c>
      <c r="BY48" s="3295"/>
      <c r="BZ48" s="3274"/>
      <c r="CA48" s="3274"/>
      <c r="CB48" s="2028">
        <f t="shared" si="87"/>
        <v>0</v>
      </c>
      <c r="CC48" s="3284">
        <f t="shared" si="63"/>
        <v>0</v>
      </c>
      <c r="CD48" s="3295"/>
      <c r="CE48" s="3274"/>
      <c r="CF48" s="3274"/>
      <c r="CG48" s="2028">
        <f t="shared" si="88"/>
        <v>0</v>
      </c>
      <c r="CH48" s="3284">
        <f t="shared" si="64"/>
        <v>0</v>
      </c>
      <c r="CI48" s="3295"/>
      <c r="CJ48" s="3274"/>
      <c r="CK48" s="3274"/>
      <c r="CL48" s="2028">
        <f t="shared" si="89"/>
        <v>0</v>
      </c>
      <c r="CM48" s="3284">
        <f t="shared" si="65"/>
        <v>0</v>
      </c>
      <c r="CN48" s="3295"/>
      <c r="CO48" s="3274"/>
      <c r="CP48" s="3274"/>
      <c r="CQ48" s="2028">
        <f t="shared" si="90"/>
        <v>0</v>
      </c>
      <c r="CR48" s="3284">
        <f t="shared" si="66"/>
        <v>0</v>
      </c>
      <c r="CS48" s="3295"/>
      <c r="CT48" s="3274"/>
      <c r="CU48" s="3274"/>
      <c r="CV48" s="2028">
        <f t="shared" si="91"/>
        <v>0</v>
      </c>
      <c r="CW48" s="3284">
        <f t="shared" si="67"/>
        <v>0</v>
      </c>
      <c r="CX48" s="3295"/>
      <c r="CY48" s="3274"/>
      <c r="CZ48" s="3274"/>
      <c r="DA48" s="2028">
        <f t="shared" si="92"/>
        <v>0</v>
      </c>
      <c r="DB48" s="3284">
        <f t="shared" si="68"/>
        <v>0</v>
      </c>
      <c r="DC48" s="3295"/>
      <c r="DD48" s="3274"/>
      <c r="DE48" s="3274"/>
      <c r="DF48" s="2028">
        <f t="shared" si="93"/>
        <v>0</v>
      </c>
      <c r="DG48" s="3284">
        <f t="shared" si="69"/>
        <v>0</v>
      </c>
      <c r="DH48" s="3295"/>
      <c r="DI48" s="3274"/>
      <c r="DJ48" s="3274"/>
      <c r="DK48" s="2028">
        <f t="shared" si="94"/>
        <v>0</v>
      </c>
      <c r="DL48" s="3284">
        <f t="shared" si="70"/>
        <v>0</v>
      </c>
      <c r="DM48" s="3295"/>
      <c r="DN48" s="3283">
        <f t="shared" si="95"/>
        <v>0</v>
      </c>
      <c r="DO48" s="3283">
        <f t="shared" si="95"/>
        <v>0</v>
      </c>
      <c r="DP48" s="3283">
        <f t="shared" si="96"/>
        <v>0</v>
      </c>
      <c r="DQ48" s="3284">
        <f t="shared" si="71"/>
        <v>0</v>
      </c>
      <c r="DR48" s="3295"/>
    </row>
    <row r="49" spans="1:122" s="1411" customFormat="1" ht="14.4" thickBot="1" x14ac:dyDescent="0.3">
      <c r="A49" s="1420"/>
      <c r="B49" s="3320"/>
      <c r="C49" s="3288">
        <v>0</v>
      </c>
      <c r="D49" s="3274">
        <v>0</v>
      </c>
      <c r="E49" s="3733"/>
      <c r="F49" s="3284">
        <v>0</v>
      </c>
      <c r="G49" s="972"/>
      <c r="H49" s="3274"/>
      <c r="I49" s="3274"/>
      <c r="J49" s="3733"/>
      <c r="K49" s="3284">
        <f t="shared" si="52"/>
        <v>0</v>
      </c>
      <c r="L49" s="3733"/>
      <c r="M49" s="3274"/>
      <c r="N49" s="3274"/>
      <c r="O49" s="3733"/>
      <c r="P49" s="3284">
        <f t="shared" si="74"/>
        <v>0</v>
      </c>
      <c r="Q49" s="3733"/>
      <c r="R49" s="3274"/>
      <c r="S49" s="3274"/>
      <c r="T49" s="3733"/>
      <c r="U49" s="3284">
        <f t="shared" si="53"/>
        <v>0</v>
      </c>
      <c r="V49" s="3733"/>
      <c r="W49" s="3274"/>
      <c r="X49" s="3274"/>
      <c r="Y49" s="3733"/>
      <c r="Z49" s="3284">
        <f t="shared" si="54"/>
        <v>0</v>
      </c>
      <c r="AA49" s="3733"/>
      <c r="AB49" s="3274"/>
      <c r="AC49" s="3274"/>
      <c r="AD49" s="3733"/>
      <c r="AE49" s="3284">
        <f t="shared" si="55"/>
        <v>0</v>
      </c>
      <c r="AF49" s="3733"/>
      <c r="AG49" s="3274"/>
      <c r="AH49" s="3274"/>
      <c r="AI49" s="3733"/>
      <c r="AJ49" s="3284">
        <f t="shared" si="56"/>
        <v>0</v>
      </c>
      <c r="AK49" s="3733"/>
      <c r="AL49" s="3274"/>
      <c r="AM49" s="3274"/>
      <c r="AN49" s="3733"/>
      <c r="AO49" s="3284">
        <f t="shared" si="57"/>
        <v>0</v>
      </c>
      <c r="AP49" s="3733"/>
      <c r="AQ49" s="3274"/>
      <c r="AR49" s="3274"/>
      <c r="AS49" s="3733"/>
      <c r="AT49" s="3284">
        <f t="shared" si="58"/>
        <v>0</v>
      </c>
      <c r="AU49" s="3733"/>
      <c r="AV49" s="3315"/>
      <c r="AW49" s="3315"/>
      <c r="AX49" s="3315"/>
      <c r="AY49" s="3315"/>
      <c r="AZ49" s="3315"/>
      <c r="BA49" s="3315"/>
      <c r="BB49" s="3315"/>
      <c r="BC49" s="3315"/>
      <c r="BD49" s="3315"/>
      <c r="BE49" s="3315"/>
      <c r="BF49" s="3744"/>
      <c r="BG49" s="3744"/>
      <c r="BH49" s="3768"/>
      <c r="BI49" s="3284">
        <f t="shared" si="60"/>
        <v>0</v>
      </c>
      <c r="BJ49" s="3768"/>
      <c r="BK49" s="3274"/>
      <c r="BL49" s="3274"/>
      <c r="BM49" s="3733"/>
      <c r="BN49" s="3284"/>
      <c r="BO49" s="3733"/>
      <c r="BP49" s="3274"/>
      <c r="BQ49" s="3274"/>
      <c r="BR49" s="3733"/>
      <c r="BS49" s="3284">
        <f t="shared" si="61"/>
        <v>0</v>
      </c>
      <c r="BT49" s="3733"/>
      <c r="BU49" s="3274"/>
      <c r="BV49" s="3274"/>
      <c r="BW49" s="3733"/>
      <c r="BX49" s="3284">
        <f t="shared" si="62"/>
        <v>0</v>
      </c>
      <c r="BY49" s="3733"/>
      <c r="BZ49" s="3274"/>
      <c r="CA49" s="3274"/>
      <c r="CB49" s="3733"/>
      <c r="CC49" s="3284">
        <f t="shared" si="63"/>
        <v>0</v>
      </c>
      <c r="CD49" s="3733"/>
      <c r="CE49" s="3274"/>
      <c r="CF49" s="3274"/>
      <c r="CG49" s="3733"/>
      <c r="CH49" s="3284">
        <f t="shared" si="64"/>
        <v>0</v>
      </c>
      <c r="CI49" s="3733"/>
      <c r="CJ49" s="3274"/>
      <c r="CK49" s="3274"/>
      <c r="CL49" s="3733"/>
      <c r="CM49" s="3284">
        <f t="shared" si="65"/>
        <v>0</v>
      </c>
      <c r="CN49" s="3733"/>
      <c r="CO49" s="3274"/>
      <c r="CP49" s="3274"/>
      <c r="CQ49" s="3733"/>
      <c r="CR49" s="3284">
        <f t="shared" si="66"/>
        <v>0</v>
      </c>
      <c r="CS49" s="3733"/>
      <c r="CT49" s="3274"/>
      <c r="CU49" s="3274"/>
      <c r="CV49" s="3733"/>
      <c r="CW49" s="3284">
        <f t="shared" si="67"/>
        <v>0</v>
      </c>
      <c r="CX49" s="3733"/>
      <c r="CY49" s="3274"/>
      <c r="CZ49" s="3274"/>
      <c r="DA49" s="3733"/>
      <c r="DB49" s="3284">
        <f t="shared" si="68"/>
        <v>0</v>
      </c>
      <c r="DC49" s="3733"/>
      <c r="DD49" s="3274"/>
      <c r="DE49" s="3274"/>
      <c r="DF49" s="3733"/>
      <c r="DG49" s="3284">
        <f t="shared" si="69"/>
        <v>0</v>
      </c>
      <c r="DH49" s="3733"/>
      <c r="DI49" s="3274"/>
      <c r="DJ49" s="3274"/>
      <c r="DK49" s="3733"/>
      <c r="DL49" s="3284">
        <f t="shared" si="70"/>
        <v>0</v>
      </c>
      <c r="DM49" s="3733"/>
      <c r="DN49" s="3283"/>
      <c r="DO49" s="3283"/>
      <c r="DP49" s="3733"/>
      <c r="DQ49" s="3284">
        <f t="shared" si="71"/>
        <v>0</v>
      </c>
      <c r="DR49" s="3733"/>
    </row>
    <row r="50" spans="1:122" s="1411" customFormat="1" ht="13.8" x14ac:dyDescent="0.25">
      <c r="A50" s="1580"/>
      <c r="B50" s="1425" t="s">
        <v>59</v>
      </c>
      <c r="C50" s="2031">
        <v>0</v>
      </c>
      <c r="D50" s="2031">
        <v>0</v>
      </c>
      <c r="E50" s="2031">
        <v>0</v>
      </c>
      <c r="F50" s="2022"/>
      <c r="G50" s="980"/>
      <c r="H50" s="309">
        <f>H52+H51</f>
        <v>0</v>
      </c>
      <c r="I50" s="2031">
        <f>I52+I51</f>
        <v>0</v>
      </c>
      <c r="J50" s="2031">
        <f>SUM(J51:J52)</f>
        <v>0</v>
      </c>
      <c r="K50" s="2022"/>
      <c r="L50" s="2022"/>
      <c r="M50" s="2031">
        <f>M52+M51</f>
        <v>0</v>
      </c>
      <c r="N50" s="2031">
        <f>N52+N51</f>
        <v>0</v>
      </c>
      <c r="O50" s="2031">
        <f>SUM(O51:O52)</f>
        <v>0</v>
      </c>
      <c r="P50" s="2022"/>
      <c r="Q50" s="2022"/>
      <c r="R50" s="2031">
        <f>R52+R51</f>
        <v>0</v>
      </c>
      <c r="S50" s="2031">
        <f>S52+S51</f>
        <v>0</v>
      </c>
      <c r="T50" s="2031">
        <f>SUM(T51:T52)</f>
        <v>0</v>
      </c>
      <c r="U50" s="2022">
        <f t="shared" si="53"/>
        <v>0</v>
      </c>
      <c r="V50" s="2022"/>
      <c r="W50" s="2031">
        <f>W52+W51</f>
        <v>0</v>
      </c>
      <c r="X50" s="2031">
        <f>X52+X51</f>
        <v>0</v>
      </c>
      <c r="Y50" s="2031">
        <f>SUM(Y51:Y52)</f>
        <v>0</v>
      </c>
      <c r="Z50" s="2022">
        <f t="shared" si="54"/>
        <v>0</v>
      </c>
      <c r="AA50" s="2022"/>
      <c r="AB50" s="2031">
        <f>AB52+AB51</f>
        <v>0</v>
      </c>
      <c r="AC50" s="2031">
        <f>AC52+AC51</f>
        <v>2126</v>
      </c>
      <c r="AD50" s="2031">
        <f>SUM(AD51:AD52)</f>
        <v>2126</v>
      </c>
      <c r="AE50" s="2022">
        <f t="shared" si="55"/>
        <v>6.1223994008686314E-3</v>
      </c>
      <c r="AF50" s="2022"/>
      <c r="AG50" s="2031">
        <f>AG52+AG51</f>
        <v>0</v>
      </c>
      <c r="AH50" s="2031">
        <f>AH52+AH51</f>
        <v>0</v>
      </c>
      <c r="AI50" s="2031">
        <f>SUM(AI51:AI52)</f>
        <v>0</v>
      </c>
      <c r="AJ50" s="2022">
        <f t="shared" si="56"/>
        <v>0</v>
      </c>
      <c r="AK50" s="2022"/>
      <c r="AL50" s="2031">
        <f>AL52+AL51</f>
        <v>0</v>
      </c>
      <c r="AM50" s="2031">
        <f>AM52+AM51</f>
        <v>0</v>
      </c>
      <c r="AN50" s="2031">
        <f>SUM(AN51:AN52)</f>
        <v>0</v>
      </c>
      <c r="AO50" s="2022">
        <f t="shared" si="57"/>
        <v>0</v>
      </c>
      <c r="AP50" s="2022"/>
      <c r="AQ50" s="2031">
        <f>AQ52+AQ51</f>
        <v>0</v>
      </c>
      <c r="AR50" s="2031">
        <f>AR52+AR51</f>
        <v>0</v>
      </c>
      <c r="AS50" s="2031">
        <f>SUM(AS51:AS52)</f>
        <v>0</v>
      </c>
      <c r="AT50" s="2022">
        <f t="shared" si="58"/>
        <v>0</v>
      </c>
      <c r="AU50" s="2022"/>
      <c r="AV50" s="2031">
        <v>0</v>
      </c>
      <c r="AW50" s="2031">
        <v>2500</v>
      </c>
      <c r="AX50" s="2031">
        <v>2500</v>
      </c>
      <c r="AY50" s="2022">
        <v>6.6867939838174146E-3</v>
      </c>
      <c r="AZ50" s="1460"/>
      <c r="BA50" s="2031">
        <f>BA52+BA51</f>
        <v>0</v>
      </c>
      <c r="BB50" s="2031">
        <f>BB52+BB51</f>
        <v>0</v>
      </c>
      <c r="BC50" s="2031">
        <f>SUM(BC51:BC52)</f>
        <v>0</v>
      </c>
      <c r="BD50" s="2022">
        <f>BC50/$AD$89</f>
        <v>0</v>
      </c>
      <c r="BE50" s="1460"/>
      <c r="BF50" s="3777">
        <f>BF52+BF51</f>
        <v>0</v>
      </c>
      <c r="BG50" s="3777">
        <f>BG52+BG51</f>
        <v>0</v>
      </c>
      <c r="BH50" s="3777">
        <f>SUM(BH51:BH52)</f>
        <v>0</v>
      </c>
      <c r="BI50" s="2022">
        <f t="shared" si="60"/>
        <v>0</v>
      </c>
      <c r="BJ50" s="3775"/>
      <c r="BK50" s="2031">
        <f>BK52+BK51</f>
        <v>0</v>
      </c>
      <c r="BL50" s="2031">
        <f>BL52+BL51</f>
        <v>0</v>
      </c>
      <c r="BM50" s="2031">
        <f>SUM(BM51:BM52)</f>
        <v>0</v>
      </c>
      <c r="BN50" s="2022">
        <f>BM50/$E$89</f>
        <v>0</v>
      </c>
      <c r="BO50" s="2022"/>
      <c r="BP50" s="2031">
        <f>BP52+BP51</f>
        <v>0</v>
      </c>
      <c r="BQ50" s="2031">
        <f>BQ52+BQ51</f>
        <v>0</v>
      </c>
      <c r="BR50" s="2031">
        <f>SUM(BR51:BR52)</f>
        <v>0</v>
      </c>
      <c r="BS50" s="2022">
        <f t="shared" si="61"/>
        <v>0</v>
      </c>
      <c r="BT50" s="2022"/>
      <c r="BU50" s="2031">
        <f>BU52+BU51</f>
        <v>0</v>
      </c>
      <c r="BV50" s="2031">
        <f>BV52+BV51</f>
        <v>0</v>
      </c>
      <c r="BW50" s="2031">
        <f>SUM(BW51:BW52)</f>
        <v>0</v>
      </c>
      <c r="BX50" s="2022">
        <f t="shared" si="62"/>
        <v>0</v>
      </c>
      <c r="BY50" s="2022"/>
      <c r="BZ50" s="2031">
        <f>BZ52+BZ51</f>
        <v>0</v>
      </c>
      <c r="CA50" s="2031">
        <f>CA52+CA51</f>
        <v>0</v>
      </c>
      <c r="CB50" s="2031">
        <f>SUM(CB51:CB52)</f>
        <v>0</v>
      </c>
      <c r="CC50" s="2022">
        <f t="shared" si="63"/>
        <v>0</v>
      </c>
      <c r="CD50" s="2022"/>
      <c r="CE50" s="2031">
        <f>CE52+CE51</f>
        <v>0</v>
      </c>
      <c r="CF50" s="2031">
        <f>CF52+CF51</f>
        <v>0</v>
      </c>
      <c r="CG50" s="2031">
        <f>SUM(CG51:CG52)</f>
        <v>0</v>
      </c>
      <c r="CH50" s="2022">
        <f t="shared" si="64"/>
        <v>0</v>
      </c>
      <c r="CI50" s="2022"/>
      <c r="CJ50" s="2031">
        <f>CJ52+CJ51</f>
        <v>0</v>
      </c>
      <c r="CK50" s="2031">
        <f>CK52+CK51</f>
        <v>0</v>
      </c>
      <c r="CL50" s="2031">
        <f>SUM(CL51:CL52)</f>
        <v>0</v>
      </c>
      <c r="CM50" s="2022">
        <f t="shared" si="65"/>
        <v>0</v>
      </c>
      <c r="CN50" s="2022"/>
      <c r="CO50" s="2031">
        <f>CO52+CO51</f>
        <v>0</v>
      </c>
      <c r="CP50" s="2031">
        <f>CP52+CP51</f>
        <v>0</v>
      </c>
      <c r="CQ50" s="2031">
        <f>SUM(CQ51:CQ52)</f>
        <v>0</v>
      </c>
      <c r="CR50" s="2022">
        <f t="shared" si="66"/>
        <v>0</v>
      </c>
      <c r="CS50" s="2022"/>
      <c r="CT50" s="2031">
        <f>CT52+CT51</f>
        <v>0</v>
      </c>
      <c r="CU50" s="2031">
        <f>CU52+CU51</f>
        <v>0</v>
      </c>
      <c r="CV50" s="2031">
        <f>SUM(CV51:CV52)</f>
        <v>0</v>
      </c>
      <c r="CW50" s="2022">
        <f t="shared" si="67"/>
        <v>0</v>
      </c>
      <c r="CX50" s="2022"/>
      <c r="CY50" s="2031">
        <f>CY52+CY51</f>
        <v>0</v>
      </c>
      <c r="CZ50" s="2031">
        <f>CZ52+CZ51</f>
        <v>0</v>
      </c>
      <c r="DA50" s="2031">
        <f>SUM(DA51:DA52)</f>
        <v>0</v>
      </c>
      <c r="DB50" s="2022">
        <f t="shared" si="68"/>
        <v>0</v>
      </c>
      <c r="DC50" s="2022"/>
      <c r="DD50" s="2031">
        <f>DD52+DD51</f>
        <v>0</v>
      </c>
      <c r="DE50" s="2031">
        <f>DE52+DE51</f>
        <v>0</v>
      </c>
      <c r="DF50" s="2031">
        <f>SUM(DF51:DF52)</f>
        <v>0</v>
      </c>
      <c r="DG50" s="2022">
        <f t="shared" si="69"/>
        <v>0</v>
      </c>
      <c r="DH50" s="2022"/>
      <c r="DI50" s="2031">
        <f>DI52+DI51</f>
        <v>0</v>
      </c>
      <c r="DJ50" s="2031">
        <f>DJ52+DJ51</f>
        <v>0</v>
      </c>
      <c r="DK50" s="2031">
        <f>SUM(DK51:DK52)</f>
        <v>0</v>
      </c>
      <c r="DL50" s="2022">
        <f t="shared" si="70"/>
        <v>0</v>
      </c>
      <c r="DM50" s="2022"/>
      <c r="DN50" s="2031">
        <f>DN52+DN51</f>
        <v>0</v>
      </c>
      <c r="DO50" s="2031">
        <f>DO52+DO51</f>
        <v>4626</v>
      </c>
      <c r="DP50" s="2031">
        <f>SUM(DP51:DP52)</f>
        <v>4626</v>
      </c>
      <c r="DQ50" s="2022"/>
      <c r="DR50" s="2022"/>
    </row>
    <row r="51" spans="1:122" s="1411" customFormat="1" ht="13.8" x14ac:dyDescent="0.25">
      <c r="A51" s="1581"/>
      <c r="B51" s="3319" t="s">
        <v>60</v>
      </c>
      <c r="C51" s="3288">
        <v>0</v>
      </c>
      <c r="D51" s="3274">
        <v>0</v>
      </c>
      <c r="E51" s="2028">
        <v>0</v>
      </c>
      <c r="F51" s="3284">
        <v>0</v>
      </c>
      <c r="G51" s="2492"/>
      <c r="H51" s="3274"/>
      <c r="I51" s="3274"/>
      <c r="J51" s="2028">
        <f>H51+I51*1</f>
        <v>0</v>
      </c>
      <c r="K51" s="3284">
        <f>J51/$J$89</f>
        <v>0</v>
      </c>
      <c r="L51" s="3311"/>
      <c r="M51" s="3274"/>
      <c r="N51" s="3274"/>
      <c r="O51" s="2028">
        <f>M51+N51*1</f>
        <v>0</v>
      </c>
      <c r="P51" s="3284">
        <f t="shared" si="74"/>
        <v>0</v>
      </c>
      <c r="Q51" s="3311"/>
      <c r="R51" s="3274"/>
      <c r="S51" s="3274"/>
      <c r="T51" s="2028">
        <f>R51+S51*1</f>
        <v>0</v>
      </c>
      <c r="U51" s="3284">
        <f t="shared" si="53"/>
        <v>0</v>
      </c>
      <c r="V51" s="3311"/>
      <c r="W51" s="3274"/>
      <c r="X51" s="3274"/>
      <c r="Y51" s="2028">
        <f>W51+X51*1</f>
        <v>0</v>
      </c>
      <c r="Z51" s="3284">
        <f t="shared" si="54"/>
        <v>0</v>
      </c>
      <c r="AA51" s="3311"/>
      <c r="AB51" s="3274"/>
      <c r="AC51" s="3274">
        <v>2126</v>
      </c>
      <c r="AD51" s="2028">
        <f>AB51+AC51*1</f>
        <v>2126</v>
      </c>
      <c r="AE51" s="3284">
        <f t="shared" si="55"/>
        <v>6.1223994008686314E-3</v>
      </c>
      <c r="AF51" s="3311"/>
      <c r="AG51" s="3274"/>
      <c r="AH51" s="3274"/>
      <c r="AI51" s="2028">
        <f>AG51+AH51*1</f>
        <v>0</v>
      </c>
      <c r="AJ51" s="3284">
        <f t="shared" si="56"/>
        <v>0</v>
      </c>
      <c r="AK51" s="3311"/>
      <c r="AL51" s="3274"/>
      <c r="AM51" s="3274"/>
      <c r="AN51" s="2028">
        <f>AL51+AM51*1</f>
        <v>0</v>
      </c>
      <c r="AO51" s="3284">
        <f t="shared" si="57"/>
        <v>0</v>
      </c>
      <c r="AP51" s="3311"/>
      <c r="AQ51" s="3274"/>
      <c r="AR51" s="3274"/>
      <c r="AS51" s="2028">
        <f>AQ51+AR51*1</f>
        <v>0</v>
      </c>
      <c r="AT51" s="3284">
        <f t="shared" si="58"/>
        <v>0</v>
      </c>
      <c r="AU51" s="3311"/>
      <c r="AV51" s="3275">
        <v>0</v>
      </c>
      <c r="AW51" s="3275">
        <v>2500</v>
      </c>
      <c r="AX51" s="2028">
        <v>2500</v>
      </c>
      <c r="AY51" s="3426">
        <v>6.6867939838174146E-3</v>
      </c>
      <c r="AZ51" s="3321"/>
      <c r="BA51" s="3275">
        <f t="shared" ref="BA51:BB52" si="97">BF51+BK51+BP51+BU51+BZ51+CE51+CJ51+CO51+CT51+CY51+DD51+DI51</f>
        <v>0</v>
      </c>
      <c r="BB51" s="3275">
        <f t="shared" si="97"/>
        <v>0</v>
      </c>
      <c r="BC51" s="2028">
        <f>BA51+BB51*1</f>
        <v>0</v>
      </c>
      <c r="BD51" s="3426">
        <f>BC51/$AD$89</f>
        <v>0</v>
      </c>
      <c r="BE51" s="3321"/>
      <c r="BF51" s="3744"/>
      <c r="BG51" s="3744"/>
      <c r="BH51" s="3747">
        <f>BF51+BG51*1</f>
        <v>0</v>
      </c>
      <c r="BI51" s="3284">
        <f t="shared" si="60"/>
        <v>0</v>
      </c>
      <c r="BJ51" s="3767"/>
      <c r="BK51" s="3274"/>
      <c r="BL51" s="3274"/>
      <c r="BM51" s="2028">
        <f>BK51+BL51*1</f>
        <v>0</v>
      </c>
      <c r="BN51" s="3284">
        <f>BM51/$E$89</f>
        <v>0</v>
      </c>
      <c r="BO51" s="3311"/>
      <c r="BP51" s="3274"/>
      <c r="BQ51" s="2028"/>
      <c r="BR51" s="2028">
        <f>BP51+BQ51*1</f>
        <v>0</v>
      </c>
      <c r="BS51" s="3284">
        <f t="shared" si="61"/>
        <v>0</v>
      </c>
      <c r="BT51" s="3311"/>
      <c r="BU51" s="3274"/>
      <c r="BV51" s="3274"/>
      <c r="BW51" s="2028">
        <f>BU51+BV51*1</f>
        <v>0</v>
      </c>
      <c r="BX51" s="3284">
        <f t="shared" si="62"/>
        <v>0</v>
      </c>
      <c r="BY51" s="3311"/>
      <c r="BZ51" s="3274"/>
      <c r="CA51" s="3274"/>
      <c r="CB51" s="2028">
        <f>BZ51+CA51*1</f>
        <v>0</v>
      </c>
      <c r="CC51" s="3284">
        <f t="shared" si="63"/>
        <v>0</v>
      </c>
      <c r="CD51" s="3311"/>
      <c r="CE51" s="3274"/>
      <c r="CF51" s="3274"/>
      <c r="CG51" s="2028">
        <f>CE51+CF51*1</f>
        <v>0</v>
      </c>
      <c r="CH51" s="3284">
        <f t="shared" si="64"/>
        <v>0</v>
      </c>
      <c r="CI51" s="3311"/>
      <c r="CJ51" s="3274"/>
      <c r="CK51" s="3274"/>
      <c r="CL51" s="2028">
        <f>CJ51+CK51*1</f>
        <v>0</v>
      </c>
      <c r="CM51" s="3284">
        <f t="shared" si="65"/>
        <v>0</v>
      </c>
      <c r="CN51" s="3311"/>
      <c r="CO51" s="3274"/>
      <c r="CP51" s="3274"/>
      <c r="CQ51" s="2028">
        <f>CO51+CP51*1</f>
        <v>0</v>
      </c>
      <c r="CR51" s="3284">
        <f t="shared" si="66"/>
        <v>0</v>
      </c>
      <c r="CS51" s="3311"/>
      <c r="CT51" s="3274"/>
      <c r="CU51" s="3274"/>
      <c r="CV51" s="2028">
        <f>CT51+CU51*1</f>
        <v>0</v>
      </c>
      <c r="CW51" s="3284">
        <f t="shared" si="67"/>
        <v>0</v>
      </c>
      <c r="CX51" s="3311"/>
      <c r="CY51" s="3274"/>
      <c r="CZ51" s="3274"/>
      <c r="DA51" s="2028">
        <f>CY51+CZ51*1</f>
        <v>0</v>
      </c>
      <c r="DB51" s="3284">
        <f t="shared" si="68"/>
        <v>0</v>
      </c>
      <c r="DC51" s="3311"/>
      <c r="DD51" s="3274"/>
      <c r="DE51" s="3274"/>
      <c r="DF51" s="2028">
        <f>DD51+DE51*1</f>
        <v>0</v>
      </c>
      <c r="DG51" s="3284">
        <f t="shared" si="69"/>
        <v>0</v>
      </c>
      <c r="DH51" s="3311"/>
      <c r="DI51" s="3274"/>
      <c r="DJ51" s="3274"/>
      <c r="DK51" s="2028">
        <f>DI51+DJ51*1</f>
        <v>0</v>
      </c>
      <c r="DL51" s="3284">
        <f t="shared" si="70"/>
        <v>0</v>
      </c>
      <c r="DM51" s="3311"/>
      <c r="DN51" s="3283">
        <f t="shared" ref="DN51:DO52" si="98">R51+W51+AB51+AG51+AL51+AQ51+BF51+BK51+BP51+BU51+BZ51+CE51+CJ51+CO51+CT51+CY51+DD51+DI51+AV51</f>
        <v>0</v>
      </c>
      <c r="DO51" s="3283">
        <f t="shared" si="98"/>
        <v>4626</v>
      </c>
      <c r="DP51" s="3283">
        <f>DN51+DO51*1</f>
        <v>4626</v>
      </c>
      <c r="DQ51" s="3284">
        <f t="shared" si="71"/>
        <v>3.4577350028334119E-4</v>
      </c>
      <c r="DR51" s="3311"/>
    </row>
    <row r="52" spans="1:122" ht="13.8" x14ac:dyDescent="0.25">
      <c r="A52" s="1581"/>
      <c r="B52" s="3319" t="s">
        <v>61</v>
      </c>
      <c r="C52" s="3288">
        <v>0</v>
      </c>
      <c r="D52" s="3274">
        <v>0</v>
      </c>
      <c r="E52" s="2028">
        <v>0</v>
      </c>
      <c r="F52" s="3284">
        <v>0</v>
      </c>
      <c r="G52" s="2492"/>
      <c r="H52" s="3274"/>
      <c r="I52" s="3274"/>
      <c r="J52" s="2028">
        <f>H52+I52*1</f>
        <v>0</v>
      </c>
      <c r="K52" s="3284">
        <f>J52/$J$89</f>
        <v>0</v>
      </c>
      <c r="L52" s="3311"/>
      <c r="M52" s="3274"/>
      <c r="N52" s="3274"/>
      <c r="O52" s="2028">
        <f>M52+N52*1</f>
        <v>0</v>
      </c>
      <c r="P52" s="3284">
        <f t="shared" si="74"/>
        <v>0</v>
      </c>
      <c r="Q52" s="3311"/>
      <c r="R52" s="3274"/>
      <c r="S52" s="3274"/>
      <c r="T52" s="2028">
        <f>R52+S52*1</f>
        <v>0</v>
      </c>
      <c r="U52" s="3284">
        <f t="shared" si="53"/>
        <v>0</v>
      </c>
      <c r="V52" s="3311"/>
      <c r="W52" s="3274"/>
      <c r="X52" s="3274"/>
      <c r="Y52" s="2028">
        <f>W52+X52*1</f>
        <v>0</v>
      </c>
      <c r="Z52" s="3284">
        <f t="shared" si="54"/>
        <v>0</v>
      </c>
      <c r="AA52" s="3311"/>
      <c r="AB52" s="3274"/>
      <c r="AC52" s="3274"/>
      <c r="AD52" s="2028">
        <f>AB52+AC52*1</f>
        <v>0</v>
      </c>
      <c r="AE52" s="3284">
        <f t="shared" si="55"/>
        <v>0</v>
      </c>
      <c r="AF52" s="3311"/>
      <c r="AG52" s="3274"/>
      <c r="AH52" s="3274"/>
      <c r="AI52" s="2028">
        <f>AG52+AH52*1</f>
        <v>0</v>
      </c>
      <c r="AJ52" s="3284">
        <f t="shared" si="56"/>
        <v>0</v>
      </c>
      <c r="AK52" s="3311"/>
      <c r="AL52" s="3274"/>
      <c r="AM52" s="3274"/>
      <c r="AN52" s="2028">
        <f>AL52+AM52*1</f>
        <v>0</v>
      </c>
      <c r="AO52" s="3284">
        <f t="shared" si="57"/>
        <v>0</v>
      </c>
      <c r="AP52" s="3311"/>
      <c r="AQ52" s="3274"/>
      <c r="AR52" s="3274"/>
      <c r="AS52" s="2028">
        <f>AQ52+AR52*1</f>
        <v>0</v>
      </c>
      <c r="AT52" s="3284">
        <f t="shared" si="58"/>
        <v>0</v>
      </c>
      <c r="AU52" s="3311"/>
      <c r="AV52" s="3275">
        <v>0</v>
      </c>
      <c r="AW52" s="3275">
        <v>0</v>
      </c>
      <c r="AX52" s="2028">
        <v>0</v>
      </c>
      <c r="AY52" s="3426">
        <v>0</v>
      </c>
      <c r="AZ52" s="3321"/>
      <c r="BA52" s="3275">
        <f t="shared" si="97"/>
        <v>0</v>
      </c>
      <c r="BB52" s="3275">
        <f t="shared" si="97"/>
        <v>0</v>
      </c>
      <c r="BC52" s="2028">
        <f>BA52+BB52*1</f>
        <v>0</v>
      </c>
      <c r="BD52" s="3426">
        <f>BC52/$AD$89</f>
        <v>0</v>
      </c>
      <c r="BE52" s="3321"/>
      <c r="BF52" s="3744"/>
      <c r="BG52" s="3744"/>
      <c r="BH52" s="3747">
        <f>BF52+BG52*1</f>
        <v>0</v>
      </c>
      <c r="BI52" s="3284">
        <f t="shared" si="60"/>
        <v>0</v>
      </c>
      <c r="BJ52" s="3767"/>
      <c r="BK52" s="3274"/>
      <c r="BL52" s="3274"/>
      <c r="BM52" s="2028">
        <f>BK52+BL52*1</f>
        <v>0</v>
      </c>
      <c r="BN52" s="3284">
        <f>BM52/$E$89</f>
        <v>0</v>
      </c>
      <c r="BO52" s="3311"/>
      <c r="BP52" s="3274"/>
      <c r="BQ52" s="2028"/>
      <c r="BR52" s="2028">
        <f>BP52+BQ52*1</f>
        <v>0</v>
      </c>
      <c r="BS52" s="3284">
        <f t="shared" si="61"/>
        <v>0</v>
      </c>
      <c r="BT52" s="3311"/>
      <c r="BU52" s="3274"/>
      <c r="BV52" s="3274"/>
      <c r="BW52" s="2028">
        <f>BU52+BV52*1</f>
        <v>0</v>
      </c>
      <c r="BX52" s="3284">
        <f t="shared" si="62"/>
        <v>0</v>
      </c>
      <c r="BY52" s="3311"/>
      <c r="BZ52" s="3274"/>
      <c r="CA52" s="3274"/>
      <c r="CB52" s="2028">
        <f>BZ52+CA52*1</f>
        <v>0</v>
      </c>
      <c r="CC52" s="3284">
        <f t="shared" si="63"/>
        <v>0</v>
      </c>
      <c r="CD52" s="3311"/>
      <c r="CE52" s="3274"/>
      <c r="CF52" s="3274"/>
      <c r="CG52" s="2028">
        <f>CE52+CF52*1</f>
        <v>0</v>
      </c>
      <c r="CH52" s="3284">
        <f t="shared" si="64"/>
        <v>0</v>
      </c>
      <c r="CI52" s="3311"/>
      <c r="CJ52" s="3274"/>
      <c r="CK52" s="3274"/>
      <c r="CL52" s="2028">
        <f>CJ52+CK52*1</f>
        <v>0</v>
      </c>
      <c r="CM52" s="3284">
        <f t="shared" si="65"/>
        <v>0</v>
      </c>
      <c r="CN52" s="3311"/>
      <c r="CO52" s="3274"/>
      <c r="CP52" s="3274"/>
      <c r="CQ52" s="2028">
        <f>CO52+CP52*1</f>
        <v>0</v>
      </c>
      <c r="CR52" s="3284">
        <f t="shared" si="66"/>
        <v>0</v>
      </c>
      <c r="CS52" s="3311"/>
      <c r="CT52" s="3274"/>
      <c r="CU52" s="3274"/>
      <c r="CV52" s="2028">
        <f>CT52+CU52*1</f>
        <v>0</v>
      </c>
      <c r="CW52" s="3284">
        <f t="shared" si="67"/>
        <v>0</v>
      </c>
      <c r="CX52" s="3311"/>
      <c r="CY52" s="3274"/>
      <c r="CZ52" s="3274"/>
      <c r="DA52" s="2028">
        <f>CY52+CZ52*1</f>
        <v>0</v>
      </c>
      <c r="DB52" s="3284">
        <f t="shared" si="68"/>
        <v>0</v>
      </c>
      <c r="DC52" s="3311"/>
      <c r="DD52" s="3274"/>
      <c r="DE52" s="3274"/>
      <c r="DF52" s="2028">
        <f>DD52+DE52*1</f>
        <v>0</v>
      </c>
      <c r="DG52" s="3284">
        <f t="shared" si="69"/>
        <v>0</v>
      </c>
      <c r="DH52" s="3311"/>
      <c r="DI52" s="3274"/>
      <c r="DJ52" s="3274"/>
      <c r="DK52" s="2028">
        <f>DI52+DJ52*1</f>
        <v>0</v>
      </c>
      <c r="DL52" s="3284">
        <f t="shared" si="70"/>
        <v>0</v>
      </c>
      <c r="DM52" s="3311"/>
      <c r="DN52" s="3283">
        <f t="shared" si="98"/>
        <v>0</v>
      </c>
      <c r="DO52" s="3283">
        <f t="shared" si="98"/>
        <v>0</v>
      </c>
      <c r="DP52" s="3283">
        <f>DN52+DO52*1</f>
        <v>0</v>
      </c>
      <c r="DQ52" s="3284">
        <f t="shared" si="71"/>
        <v>0</v>
      </c>
      <c r="DR52" s="3311"/>
    </row>
    <row r="53" spans="1:122" ht="14.4" thickBot="1" x14ac:dyDescent="0.3">
      <c r="A53" s="1428"/>
      <c r="B53" s="3736"/>
      <c r="C53" s="3288">
        <v>0</v>
      </c>
      <c r="D53" s="3274">
        <v>0</v>
      </c>
      <c r="E53" s="3737"/>
      <c r="F53" s="3737"/>
      <c r="G53" s="972"/>
      <c r="H53" s="3274"/>
      <c r="I53" s="3274"/>
      <c r="J53" s="3737"/>
      <c r="K53" s="3737"/>
      <c r="L53" s="3737"/>
      <c r="M53" s="3274"/>
      <c r="N53" s="3274"/>
      <c r="O53" s="3737"/>
      <c r="P53" s="3737"/>
      <c r="Q53" s="3737"/>
      <c r="R53" s="3274"/>
      <c r="S53" s="3274"/>
      <c r="T53" s="3737"/>
      <c r="U53" s="3737"/>
      <c r="V53" s="3737"/>
      <c r="W53" s="3274"/>
      <c r="X53" s="3274"/>
      <c r="Y53" s="3737"/>
      <c r="Z53" s="3737"/>
      <c r="AA53" s="3737"/>
      <c r="AB53" s="3274"/>
      <c r="AC53" s="3274"/>
      <c r="AD53" s="3737"/>
      <c r="AE53" s="3737"/>
      <c r="AF53" s="3737"/>
      <c r="AG53" s="3274"/>
      <c r="AH53" s="3274"/>
      <c r="AI53" s="3737"/>
      <c r="AJ53" s="3737"/>
      <c r="AK53" s="3737"/>
      <c r="AL53" s="3274"/>
      <c r="AM53" s="3274"/>
      <c r="AN53" s="3737"/>
      <c r="AO53" s="3737"/>
      <c r="AP53" s="3737"/>
      <c r="AQ53" s="3274"/>
      <c r="AR53" s="3274"/>
      <c r="AS53" s="3737"/>
      <c r="AT53" s="3737"/>
      <c r="AU53" s="3737"/>
      <c r="AV53" s="1328"/>
      <c r="AW53" s="1328"/>
      <c r="AX53" s="1328"/>
      <c r="AY53" s="2517"/>
      <c r="AZ53" s="1328"/>
      <c r="BA53" s="1328"/>
      <c r="BB53" s="1328"/>
      <c r="BC53" s="1328"/>
      <c r="BD53" s="2517"/>
      <c r="BE53" s="1328"/>
      <c r="BF53" s="3744"/>
      <c r="BG53" s="3744"/>
      <c r="BH53" s="3778"/>
      <c r="BI53" s="3737"/>
      <c r="BJ53" s="3778"/>
      <c r="BK53" s="3274"/>
      <c r="BL53" s="3274"/>
      <c r="BM53" s="3737"/>
      <c r="BN53" s="3737"/>
      <c r="BO53" s="3737"/>
      <c r="BP53" s="3274"/>
      <c r="BQ53" s="3274"/>
      <c r="BR53" s="3737"/>
      <c r="BS53" s="3737"/>
      <c r="BT53" s="3737"/>
      <c r="BU53" s="3274"/>
      <c r="BV53" s="3274"/>
      <c r="BW53" s="3737"/>
      <c r="BX53" s="3737"/>
      <c r="BY53" s="3737"/>
      <c r="BZ53" s="3274"/>
      <c r="CA53" s="3274"/>
      <c r="CB53" s="3737"/>
      <c r="CC53" s="3737"/>
      <c r="CD53" s="3737"/>
      <c r="CE53" s="3274"/>
      <c r="CF53" s="3274"/>
      <c r="CG53" s="3737"/>
      <c r="CH53" s="3737"/>
      <c r="CI53" s="3737"/>
      <c r="CJ53" s="3274"/>
      <c r="CK53" s="3274"/>
      <c r="CL53" s="3737"/>
      <c r="CM53" s="3737"/>
      <c r="CN53" s="3737"/>
      <c r="CO53" s="3274"/>
      <c r="CP53" s="3274"/>
      <c r="CQ53" s="3737"/>
      <c r="CR53" s="3737"/>
      <c r="CS53" s="3737"/>
      <c r="CT53" s="3274"/>
      <c r="CU53" s="3274"/>
      <c r="CV53" s="3737"/>
      <c r="CW53" s="3737"/>
      <c r="CX53" s="3737"/>
      <c r="CY53" s="3274"/>
      <c r="CZ53" s="3274"/>
      <c r="DA53" s="3737"/>
      <c r="DB53" s="3737"/>
      <c r="DC53" s="3737"/>
      <c r="DD53" s="3274"/>
      <c r="DE53" s="3274"/>
      <c r="DF53" s="3737"/>
      <c r="DG53" s="3737"/>
      <c r="DH53" s="3737"/>
      <c r="DI53" s="3274"/>
      <c r="DJ53" s="3274"/>
      <c r="DK53" s="3737"/>
      <c r="DL53" s="3737"/>
      <c r="DM53" s="3737"/>
      <c r="DN53" s="3283"/>
      <c r="DO53" s="3283"/>
      <c r="DP53" s="3737"/>
      <c r="DQ53" s="3737"/>
      <c r="DR53" s="3737"/>
    </row>
    <row r="54" spans="1:122" ht="13.8" x14ac:dyDescent="0.25">
      <c r="A54" s="1585"/>
      <c r="B54" s="1425" t="s">
        <v>1</v>
      </c>
      <c r="C54" s="2031">
        <v>27347.7</v>
      </c>
      <c r="D54" s="2031">
        <v>19174.400000000001</v>
      </c>
      <c r="E54" s="2031">
        <v>46522.100000000006</v>
      </c>
      <c r="F54" s="3318">
        <v>4.5252543685260294E-3</v>
      </c>
      <c r="G54" s="980"/>
      <c r="H54" s="309">
        <f>SUM(H55:H72)</f>
        <v>700</v>
      </c>
      <c r="I54" s="2031">
        <f>SUM(I55:I72)</f>
        <v>5614.03</v>
      </c>
      <c r="J54" s="2031">
        <f>SUM(J55:J72)</f>
        <v>6314.03</v>
      </c>
      <c r="K54" s="3318">
        <f t="shared" ref="K54:K72" si="99">J54/$J$89</f>
        <v>7.0427019132960319E-3</v>
      </c>
      <c r="L54" s="2022"/>
      <c r="M54" s="2031">
        <f>SUM(M55:M72)</f>
        <v>7984</v>
      </c>
      <c r="N54" s="2031">
        <f>SUM(N55:N72)</f>
        <v>4635</v>
      </c>
      <c r="O54" s="2031">
        <f>SUM(O55:O72)</f>
        <v>12619</v>
      </c>
      <c r="P54" s="3318">
        <f>O54/$O$89</f>
        <v>8.9399700810323737E-3</v>
      </c>
      <c r="Q54" s="2022"/>
      <c r="R54" s="2031">
        <f>SUM(R55:R72)</f>
        <v>0</v>
      </c>
      <c r="S54" s="2031">
        <f>SUM(S55:S72)</f>
        <v>423</v>
      </c>
      <c r="T54" s="2031">
        <f>SUM(T55:T72)</f>
        <v>423</v>
      </c>
      <c r="U54" s="3318">
        <f t="shared" ref="U54:U72" si="100">T54/$T$89</f>
        <v>1.2181443775011436E-3</v>
      </c>
      <c r="V54" s="2022"/>
      <c r="W54" s="2031">
        <f>SUM(W55:W72)</f>
        <v>0</v>
      </c>
      <c r="X54" s="2031">
        <f>SUM(X55:X72)</f>
        <v>1388.68</v>
      </c>
      <c r="Y54" s="2031">
        <f>SUM(Y55:Y72)</f>
        <v>1388.68</v>
      </c>
      <c r="Z54" s="1549">
        <f t="shared" ref="Z54:Z72" si="101">Y54/$T$89</f>
        <v>3.9990844778919343E-3</v>
      </c>
      <c r="AA54" s="2022"/>
      <c r="AB54" s="2031">
        <f>SUM(AB55:AB72)</f>
        <v>0</v>
      </c>
      <c r="AC54" s="2031">
        <f>SUM(AC55:AC72)</f>
        <v>520.9</v>
      </c>
      <c r="AD54" s="2031">
        <f>SUM(AD55:AD72)</f>
        <v>520.9</v>
      </c>
      <c r="AE54" s="3318">
        <f t="shared" ref="AE54:AE72" si="102">AD54/$T$89</f>
        <v>1.5000742464310773E-3</v>
      </c>
      <c r="AF54" s="2022"/>
      <c r="AG54" s="2031">
        <f>SUM(AG55:AG72)</f>
        <v>0</v>
      </c>
      <c r="AH54" s="2031">
        <f>SUM(AH55:AH72)</f>
        <v>2779.27</v>
      </c>
      <c r="AI54" s="2031">
        <f>SUM(AI55:AI72)</f>
        <v>2779.27</v>
      </c>
      <c r="AJ54" s="3318">
        <f t="shared" ref="AJ54:AJ72" si="103">AI54/$T$89</f>
        <v>8.0036693240132465E-3</v>
      </c>
      <c r="AK54" s="2022"/>
      <c r="AL54" s="2031">
        <f>SUM(AL55:AL72)</f>
        <v>2135</v>
      </c>
      <c r="AM54" s="2031">
        <f>SUM(AM55:AM72)</f>
        <v>755</v>
      </c>
      <c r="AN54" s="2031">
        <f>SUM(AN55:AN72)</f>
        <v>2890</v>
      </c>
      <c r="AO54" s="3318">
        <f t="shared" ref="AO54:AO72" si="104">AN54/$T$89</f>
        <v>8.3225466926201055E-3</v>
      </c>
      <c r="AP54" s="2022"/>
      <c r="AQ54" s="2031">
        <f>SUM(AQ55:AQ72)</f>
        <v>4313.04</v>
      </c>
      <c r="AR54" s="2031">
        <f>SUM(AR55:AR72)</f>
        <v>1834.21</v>
      </c>
      <c r="AS54" s="2031">
        <f>SUM(AS55:AS72)</f>
        <v>6147.25</v>
      </c>
      <c r="AT54" s="3318">
        <f t="shared" ref="AT54:AT72" si="105">AS54/$T$89</f>
        <v>1.7702690365470224E-2</v>
      </c>
      <c r="AU54" s="2022"/>
      <c r="AV54" s="2031">
        <v>367215.41839999997</v>
      </c>
      <c r="AW54" s="2031">
        <v>212738.93</v>
      </c>
      <c r="AX54" s="2031">
        <v>579954.34840000002</v>
      </c>
      <c r="AY54" s="1550">
        <v>1.5512140991079477</v>
      </c>
      <c r="AZ54" s="1460"/>
      <c r="BA54" s="2031">
        <f>SUM(BA55:BA72)</f>
        <v>180759.64499999999</v>
      </c>
      <c r="BB54" s="2031">
        <f>SUM(BB55:BB72)</f>
        <v>127723</v>
      </c>
      <c r="BC54" s="2031">
        <f>SUM(BC55:BC72)</f>
        <v>308482.64499999996</v>
      </c>
      <c r="BD54" s="1550">
        <f t="shared" ref="BD54:BD71" si="106">BC54/$AD$89</f>
        <v>0.8251039578792333</v>
      </c>
      <c r="BE54" s="1460"/>
      <c r="BF54" s="3777">
        <f>SUM(BF55:BF72)</f>
        <v>57164.365000000005</v>
      </c>
      <c r="BG54" s="3777">
        <f>SUM(BG55:BG72)</f>
        <v>39306</v>
      </c>
      <c r="BH54" s="3777">
        <f>SUM(BH55:BH72)</f>
        <v>96470.365000000005</v>
      </c>
      <c r="BI54" s="3318">
        <f t="shared" ref="BI54:BI72" si="107">BH54/$T$89</f>
        <v>0.27781284331024375</v>
      </c>
      <c r="BJ54" s="3775"/>
      <c r="BK54" s="2031">
        <f>SUM(BK55:BK72)</f>
        <v>58930.28</v>
      </c>
      <c r="BL54" s="2031">
        <f>SUM(BL55:BL72)</f>
        <v>38451.29</v>
      </c>
      <c r="BM54" s="2031">
        <f>SUM(BM55:BM72)</f>
        <v>97381.57</v>
      </c>
      <c r="BN54" s="3318">
        <f t="shared" ref="BN54:BN71" si="108">BM54/$E$89</f>
        <v>9.4724093507477791E-3</v>
      </c>
      <c r="BO54" s="2022"/>
      <c r="BP54" s="2031">
        <f>SUM(BP55:BP72)</f>
        <v>64665</v>
      </c>
      <c r="BQ54" s="2031">
        <f>SUM(BQ55:BQ72)</f>
        <v>49965.71</v>
      </c>
      <c r="BR54" s="2031">
        <f>SUM(BR55:BR72)</f>
        <v>114630.71</v>
      </c>
      <c r="BS54" s="3318">
        <f t="shared" ref="BS54:BS71" si="109">BR54/$AD$89</f>
        <v>0.30660477679548753</v>
      </c>
      <c r="BT54" s="2022"/>
      <c r="BU54" s="2031">
        <f>SUM(BU55:BU72)</f>
        <v>0</v>
      </c>
      <c r="BV54" s="2031">
        <f>SUM(BV55:BV72)</f>
        <v>0</v>
      </c>
      <c r="BW54" s="2031">
        <f>SUM(BW55:BW72)</f>
        <v>0</v>
      </c>
      <c r="BX54" s="3318">
        <f t="shared" ref="BX54:BX71" si="110">BW54/$AD$89</f>
        <v>0</v>
      </c>
      <c r="BY54" s="2022"/>
      <c r="BZ54" s="2031">
        <f>SUM(BZ55:BZ72)</f>
        <v>0</v>
      </c>
      <c r="CA54" s="2031">
        <f>SUM(CA55:CA72)</f>
        <v>0</v>
      </c>
      <c r="CB54" s="2031">
        <f>SUM(CB55:CB72)</f>
        <v>0</v>
      </c>
      <c r="CC54" s="3318">
        <f t="shared" ref="CC54:CC71" si="111">CB54/$AD$89</f>
        <v>0</v>
      </c>
      <c r="CD54" s="2022"/>
      <c r="CE54" s="2031">
        <f>SUM(CE55:CE72)</f>
        <v>0</v>
      </c>
      <c r="CF54" s="2031">
        <f>SUM(CF55:CF72)</f>
        <v>0</v>
      </c>
      <c r="CG54" s="2031">
        <f>SUM(CG55:CG72)</f>
        <v>0</v>
      </c>
      <c r="CH54" s="3318">
        <f t="shared" ref="CH54:CH71" si="112">CG54/$AD$89</f>
        <v>0</v>
      </c>
      <c r="CI54" s="2022"/>
      <c r="CJ54" s="2031">
        <f>SUM(CJ55:CJ72)</f>
        <v>0</v>
      </c>
      <c r="CK54" s="2031">
        <f>SUM(CK55:CK72)</f>
        <v>0</v>
      </c>
      <c r="CL54" s="2031">
        <f>SUM(CL55:CL72)</f>
        <v>0</v>
      </c>
      <c r="CM54" s="3318">
        <f t="shared" ref="CM54:CM71" si="113">CL54/$AD$89</f>
        <v>0</v>
      </c>
      <c r="CN54" s="2022"/>
      <c r="CO54" s="2031">
        <f>SUM(CO55:CO72)</f>
        <v>0</v>
      </c>
      <c r="CP54" s="2031">
        <f>SUM(CP55:CP72)</f>
        <v>0</v>
      </c>
      <c r="CQ54" s="2031">
        <f>SUM(CQ55:CQ72)</f>
        <v>0</v>
      </c>
      <c r="CR54" s="3318">
        <f t="shared" ref="CR54:CR71" si="114">CQ54/$AD$89</f>
        <v>0</v>
      </c>
      <c r="CS54" s="2022"/>
      <c r="CT54" s="2031">
        <f>SUM(CT55:CT72)</f>
        <v>0</v>
      </c>
      <c r="CU54" s="2031">
        <f>SUM(CU55:CU72)</f>
        <v>0</v>
      </c>
      <c r="CV54" s="2031">
        <f>SUM(CV55:CV72)</f>
        <v>0</v>
      </c>
      <c r="CW54" s="3318">
        <f t="shared" ref="CW54:CW71" si="115">CV54/$AD$89</f>
        <v>0</v>
      </c>
      <c r="CX54" s="2022"/>
      <c r="CY54" s="2031">
        <f>SUM(CY55:CY72)</f>
        <v>0</v>
      </c>
      <c r="CZ54" s="2031">
        <f>SUM(CZ55:CZ72)</f>
        <v>0</v>
      </c>
      <c r="DA54" s="2031">
        <f>SUM(DA55:DA72)</f>
        <v>0</v>
      </c>
      <c r="DB54" s="3318">
        <f t="shared" ref="DB54:DB71" si="116">DA54/$AD$89</f>
        <v>0</v>
      </c>
      <c r="DC54" s="2022"/>
      <c r="DD54" s="2031">
        <f>SUM(DD55:DD72)</f>
        <v>0</v>
      </c>
      <c r="DE54" s="2031">
        <f>SUM(DE55:DE72)</f>
        <v>0</v>
      </c>
      <c r="DF54" s="2031">
        <f>SUM(DF55:DF72)</f>
        <v>0</v>
      </c>
      <c r="DG54" s="3318">
        <f t="shared" ref="DG54:DG71" si="117">DF54/$AD$89</f>
        <v>0</v>
      </c>
      <c r="DH54" s="2022"/>
      <c r="DI54" s="2031">
        <f>SUM(DI55:DI72)</f>
        <v>0</v>
      </c>
      <c r="DJ54" s="2031">
        <f>SUM(DJ55:DJ72)</f>
        <v>0</v>
      </c>
      <c r="DK54" s="2031">
        <f>SUM(DK55:DK72)</f>
        <v>0</v>
      </c>
      <c r="DL54" s="3318">
        <f t="shared" ref="DL54:DL71" si="118">DK54/$AD$89</f>
        <v>0</v>
      </c>
      <c r="DM54" s="2022"/>
      <c r="DN54" s="2031">
        <f>SUM(DN55:DN72)</f>
        <v>554423.10340000002</v>
      </c>
      <c r="DO54" s="2031">
        <f>SUM(DO55:DO72)</f>
        <v>348162.99</v>
      </c>
      <c r="DP54" s="2031">
        <f>SUM(DP55:DP72)</f>
        <v>902586.09340000013</v>
      </c>
      <c r="DQ54" s="3318">
        <f t="shared" si="71"/>
        <v>6.7464408305660348E-2</v>
      </c>
      <c r="DR54" s="2022"/>
    </row>
    <row r="55" spans="1:122" ht="13.8" x14ac:dyDescent="0.25">
      <c r="A55" s="1586"/>
      <c r="B55" s="3310" t="s">
        <v>77</v>
      </c>
      <c r="C55" s="3398">
        <v>0</v>
      </c>
      <c r="D55" s="3283">
        <v>0</v>
      </c>
      <c r="E55" s="2028">
        <v>0</v>
      </c>
      <c r="F55" s="3284">
        <v>0</v>
      </c>
      <c r="G55" s="3143"/>
      <c r="H55" s="3283"/>
      <c r="I55" s="3283"/>
      <c r="J55" s="2028">
        <f t="shared" ref="J55:J71" si="119">H55+I55*1</f>
        <v>0</v>
      </c>
      <c r="K55" s="3284">
        <f t="shared" si="99"/>
        <v>0</v>
      </c>
      <c r="L55" s="3295"/>
      <c r="M55" s="3283"/>
      <c r="N55" s="3283"/>
      <c r="O55" s="2028">
        <f t="shared" ref="O55:O71" si="120">M55+N55*1</f>
        <v>0</v>
      </c>
      <c r="P55" s="3284">
        <f t="shared" ref="P55:P72" si="121">O55/$O$89</f>
        <v>0</v>
      </c>
      <c r="Q55" s="3295"/>
      <c r="R55" s="3283"/>
      <c r="S55" s="3283"/>
      <c r="T55" s="2028">
        <f t="shared" ref="T55:T71" si="122">R55+S55*1</f>
        <v>0</v>
      </c>
      <c r="U55" s="3284">
        <f t="shared" si="100"/>
        <v>0</v>
      </c>
      <c r="V55" s="3295"/>
      <c r="W55" s="3398"/>
      <c r="X55" s="3283"/>
      <c r="Y55" s="2028">
        <f t="shared" ref="Y55:Y71" si="123">W55+X55*1</f>
        <v>0</v>
      </c>
      <c r="Z55" s="3284">
        <f t="shared" si="101"/>
        <v>0</v>
      </c>
      <c r="AA55" s="3295"/>
      <c r="AB55" s="3283"/>
      <c r="AC55" s="3283"/>
      <c r="AD55" s="2028">
        <f t="shared" ref="AD55:AD71" si="124">AB55+AC55*1</f>
        <v>0</v>
      </c>
      <c r="AE55" s="3284">
        <f t="shared" si="102"/>
        <v>0</v>
      </c>
      <c r="AF55" s="3295"/>
      <c r="AG55" s="3283"/>
      <c r="AH55" s="3283"/>
      <c r="AI55" s="2028">
        <f t="shared" ref="AI55:AI71" si="125">AG55+AH55*1</f>
        <v>0</v>
      </c>
      <c r="AJ55" s="3284">
        <f t="shared" si="103"/>
        <v>0</v>
      </c>
      <c r="AK55" s="3295"/>
      <c r="AL55" s="3283">
        <v>1408.75</v>
      </c>
      <c r="AM55" s="3283"/>
      <c r="AN55" s="2028">
        <f t="shared" ref="AN55:AN71" si="126">AL55+AM55*1</f>
        <v>1408.75</v>
      </c>
      <c r="AO55" s="3284">
        <f t="shared" si="104"/>
        <v>4.0568815409095411E-3</v>
      </c>
      <c r="AP55" s="3438" t="s">
        <v>1116</v>
      </c>
      <c r="AQ55" s="3283">
        <v>2845.9</v>
      </c>
      <c r="AR55" s="3283"/>
      <c r="AS55" s="2028">
        <f t="shared" ref="AS55:AS71" si="127">AQ55+AR55*1</f>
        <v>2845.9</v>
      </c>
      <c r="AT55" s="3284">
        <f t="shared" si="105"/>
        <v>8.1955486617742417E-3</v>
      </c>
      <c r="AU55" s="3438" t="s">
        <v>1116</v>
      </c>
      <c r="AV55" s="3275">
        <v>228415.26</v>
      </c>
      <c r="AW55" s="3275">
        <v>138500</v>
      </c>
      <c r="AX55" s="2028">
        <v>366915.26</v>
      </c>
      <c r="AY55" s="3284">
        <v>0.98139470125552108</v>
      </c>
      <c r="AZ55" s="3275"/>
      <c r="BA55" s="3275">
        <f t="shared" ref="BA55:BB71" si="128">BF55+BK55+BP55+BU55+BZ55+CE55+CJ55+CO55+CT55+CY55+DD55+DI55</f>
        <v>110306.68</v>
      </c>
      <c r="BB55" s="3275">
        <f t="shared" si="128"/>
        <v>124750</v>
      </c>
      <c r="BC55" s="2028">
        <f t="shared" ref="BC55:BC71" si="129">BA55+BB55*1</f>
        <v>235056.68</v>
      </c>
      <c r="BD55" s="3284">
        <f t="shared" si="106"/>
        <v>0.62871023747203814</v>
      </c>
      <c r="BE55" s="3275"/>
      <c r="BF55" s="3753">
        <v>34755.870000000003</v>
      </c>
      <c r="BG55" s="3753">
        <f>16700+20000</f>
        <v>36700</v>
      </c>
      <c r="BH55" s="3747">
        <f t="shared" ref="BH55:BH71" si="130">BF55+BG55*1</f>
        <v>71455.87</v>
      </c>
      <c r="BI55" s="3284">
        <f t="shared" si="107"/>
        <v>0.2057767524348762</v>
      </c>
      <c r="BJ55" s="3776" t="s">
        <v>2147</v>
      </c>
      <c r="BK55" s="3283">
        <v>35562.44</v>
      </c>
      <c r="BL55" s="2498">
        <f>36700+(2768.58/2)</f>
        <v>38084.29</v>
      </c>
      <c r="BM55" s="2028">
        <f t="shared" ref="BM55:BM71" si="131">BK55+BL55*1</f>
        <v>73646.73000000001</v>
      </c>
      <c r="BN55" s="3284">
        <f t="shared" si="108"/>
        <v>7.1636961070148802E-3</v>
      </c>
      <c r="BO55" s="3746" t="s">
        <v>2186</v>
      </c>
      <c r="BP55" s="3283">
        <v>39988.370000000003</v>
      </c>
      <c r="BQ55" s="3283">
        <f>51350-1384.29</f>
        <v>49965.71</v>
      </c>
      <c r="BR55" s="3283">
        <f t="shared" ref="BR55:BR71" si="132">BP55+BQ55*1</f>
        <v>89954.08</v>
      </c>
      <c r="BS55" s="3284">
        <f t="shared" si="109"/>
        <v>0.24060176038553219</v>
      </c>
      <c r="BT55" s="3746" t="s">
        <v>2186</v>
      </c>
      <c r="BU55" s="3283"/>
      <c r="BV55" s="3283"/>
      <c r="BW55" s="2028">
        <f t="shared" ref="BW55:BW71" si="133">BU55+BV55*1</f>
        <v>0</v>
      </c>
      <c r="BX55" s="3284">
        <f t="shared" si="110"/>
        <v>0</v>
      </c>
      <c r="BY55" s="3295"/>
      <c r="BZ55" s="3283"/>
      <c r="CA55" s="3283"/>
      <c r="CB55" s="2028">
        <f t="shared" ref="CB55:CB71" si="134">BZ55+CA55*1</f>
        <v>0</v>
      </c>
      <c r="CC55" s="3284">
        <f t="shared" si="111"/>
        <v>0</v>
      </c>
      <c r="CD55" s="3295"/>
      <c r="CE55" s="3283"/>
      <c r="CF55" s="3283"/>
      <c r="CG55" s="2028">
        <f t="shared" ref="CG55:CG71" si="135">CE55+CF55*1</f>
        <v>0</v>
      </c>
      <c r="CH55" s="3284">
        <f t="shared" si="112"/>
        <v>0</v>
      </c>
      <c r="CI55" s="3295"/>
      <c r="CJ55" s="3283"/>
      <c r="CK55" s="3283"/>
      <c r="CL55" s="2028">
        <f t="shared" ref="CL55:CL71" si="136">CJ55+CK55*1</f>
        <v>0</v>
      </c>
      <c r="CM55" s="3284">
        <f t="shared" si="113"/>
        <v>0</v>
      </c>
      <c r="CN55" s="3295"/>
      <c r="CO55" s="3283"/>
      <c r="CP55" s="3283"/>
      <c r="CQ55" s="2028">
        <f t="shared" ref="CQ55:CQ71" si="137">CO55+CP55*1</f>
        <v>0</v>
      </c>
      <c r="CR55" s="3284">
        <f t="shared" si="114"/>
        <v>0</v>
      </c>
      <c r="CS55" s="3295"/>
      <c r="CT55" s="3283"/>
      <c r="CU55" s="3283"/>
      <c r="CV55" s="2028">
        <f t="shared" ref="CV55:CV71" si="138">CT55+CU55*1</f>
        <v>0</v>
      </c>
      <c r="CW55" s="3284">
        <f t="shared" si="115"/>
        <v>0</v>
      </c>
      <c r="CX55" s="3295"/>
      <c r="CY55" s="3283"/>
      <c r="CZ55" s="3283"/>
      <c r="DA55" s="2028">
        <f t="shared" ref="DA55:DA71" si="139">CY55+CZ55*1</f>
        <v>0</v>
      </c>
      <c r="DB55" s="3284">
        <f t="shared" si="116"/>
        <v>0</v>
      </c>
      <c r="DC55" s="3295"/>
      <c r="DD55" s="3283"/>
      <c r="DE55" s="3283"/>
      <c r="DF55" s="2028">
        <f t="shared" ref="DF55:DF71" si="140">DD55+DE55*1</f>
        <v>0</v>
      </c>
      <c r="DG55" s="3284">
        <f t="shared" si="117"/>
        <v>0</v>
      </c>
      <c r="DH55" s="3295"/>
      <c r="DI55" s="3283"/>
      <c r="DJ55" s="3283"/>
      <c r="DK55" s="2028">
        <f t="shared" ref="DK55:DK71" si="141">DI55+DJ55*1</f>
        <v>0</v>
      </c>
      <c r="DL55" s="3284">
        <f t="shared" si="118"/>
        <v>0</v>
      </c>
      <c r="DM55" s="3295"/>
      <c r="DN55" s="3283">
        <f t="shared" ref="DN55:DO71" si="142">R55+W55+AB55+AG55+AL55+AQ55+BF55+BK55+BP55+BU55+BZ55+CE55+CJ55+CO55+CT55+CY55+DD55+DI55+AV55</f>
        <v>342976.59</v>
      </c>
      <c r="DO55" s="3283">
        <f t="shared" si="142"/>
        <v>263250</v>
      </c>
      <c r="DP55" s="3283">
        <f t="shared" ref="DP55:DP71" si="143">DN55+DO55*1</f>
        <v>606226.59000000008</v>
      </c>
      <c r="DQ55" s="3284">
        <f t="shared" si="71"/>
        <v>4.5312816685934718E-2</v>
      </c>
      <c r="DR55" s="3295"/>
    </row>
    <row r="56" spans="1:122" ht="13.8" x14ac:dyDescent="0.25">
      <c r="A56" s="1586"/>
      <c r="B56" s="3310" t="s">
        <v>76</v>
      </c>
      <c r="C56" s="3398">
        <v>0</v>
      </c>
      <c r="D56" s="3283">
        <v>0</v>
      </c>
      <c r="E56" s="2028">
        <v>0</v>
      </c>
      <c r="F56" s="3284">
        <v>0</v>
      </c>
      <c r="G56" s="3143"/>
      <c r="H56" s="3283"/>
      <c r="I56" s="3283"/>
      <c r="J56" s="2028">
        <f t="shared" si="119"/>
        <v>0</v>
      </c>
      <c r="K56" s="3284">
        <f t="shared" si="99"/>
        <v>0</v>
      </c>
      <c r="L56" s="3295"/>
      <c r="M56" s="3283"/>
      <c r="N56" s="3283"/>
      <c r="O56" s="2028">
        <f t="shared" si="120"/>
        <v>0</v>
      </c>
      <c r="P56" s="3284">
        <f>O56/$O$89</f>
        <v>0</v>
      </c>
      <c r="Q56" s="3295"/>
      <c r="R56" s="3283"/>
      <c r="S56" s="3283"/>
      <c r="T56" s="2028">
        <f t="shared" si="122"/>
        <v>0</v>
      </c>
      <c r="U56" s="3284">
        <f t="shared" si="100"/>
        <v>0</v>
      </c>
      <c r="V56" s="3295"/>
      <c r="W56" s="3398"/>
      <c r="X56" s="3283"/>
      <c r="Y56" s="2028">
        <f t="shared" si="123"/>
        <v>0</v>
      </c>
      <c r="Z56" s="3284">
        <f t="shared" si="101"/>
        <v>0</v>
      </c>
      <c r="AA56" s="3295"/>
      <c r="AB56" s="3283"/>
      <c r="AC56" s="3283"/>
      <c r="AD56" s="2028">
        <f t="shared" si="124"/>
        <v>0</v>
      </c>
      <c r="AE56" s="3284">
        <f t="shared" si="102"/>
        <v>0</v>
      </c>
      <c r="AF56" s="3295"/>
      <c r="AG56" s="3283"/>
      <c r="AH56" s="3283"/>
      <c r="AI56" s="2028">
        <f t="shared" si="125"/>
        <v>0</v>
      </c>
      <c r="AJ56" s="3284">
        <f t="shared" si="103"/>
        <v>0</v>
      </c>
      <c r="AK56" s="3295"/>
      <c r="AL56" s="3283">
        <v>385</v>
      </c>
      <c r="AM56" s="3283"/>
      <c r="AN56" s="2028">
        <f t="shared" si="126"/>
        <v>385</v>
      </c>
      <c r="AO56" s="3284">
        <f t="shared" si="104"/>
        <v>1.1087129677019864E-3</v>
      </c>
      <c r="AP56" s="3295"/>
      <c r="AQ56" s="3283">
        <v>777.76</v>
      </c>
      <c r="AR56" s="3283"/>
      <c r="AS56" s="2028">
        <f t="shared" si="127"/>
        <v>777.76</v>
      </c>
      <c r="AT56" s="3284">
        <f t="shared" si="105"/>
        <v>2.2397729811945376E-3</v>
      </c>
      <c r="AU56" s="3295"/>
      <c r="AV56" s="3275">
        <v>56913.95</v>
      </c>
      <c r="AW56" s="3275">
        <v>0</v>
      </c>
      <c r="AX56" s="2028">
        <v>56913.95</v>
      </c>
      <c r="AY56" s="3284">
        <v>0.15222874338211406</v>
      </c>
      <c r="AZ56" s="3275"/>
      <c r="BA56" s="3275">
        <f t="shared" si="128"/>
        <v>27763.58</v>
      </c>
      <c r="BB56" s="3275">
        <f t="shared" si="128"/>
        <v>0</v>
      </c>
      <c r="BC56" s="2028">
        <f t="shared" si="129"/>
        <v>27763.58</v>
      </c>
      <c r="BD56" s="3284">
        <f t="shared" si="106"/>
        <v>7.4259735885293401E-2</v>
      </c>
      <c r="BE56" s="3275"/>
      <c r="BF56" s="3753">
        <v>8693.69</v>
      </c>
      <c r="BG56" s="3753"/>
      <c r="BH56" s="3747">
        <f t="shared" si="130"/>
        <v>8693.69</v>
      </c>
      <c r="BI56" s="3284">
        <f t="shared" si="107"/>
        <v>2.5035861922548266E-2</v>
      </c>
      <c r="BJ56" s="3776"/>
      <c r="BK56" s="3283">
        <v>8946.2000000000007</v>
      </c>
      <c r="BL56" s="3283"/>
      <c r="BM56" s="2028">
        <f t="shared" si="131"/>
        <v>8946.2000000000007</v>
      </c>
      <c r="BN56" s="3284">
        <f t="shared" si="108"/>
        <v>8.7020643160363705E-4</v>
      </c>
      <c r="BO56" s="3746"/>
      <c r="BP56" s="3283">
        <v>10123.69</v>
      </c>
      <c r="BQ56" s="3283"/>
      <c r="BR56" s="3283">
        <f t="shared" si="132"/>
        <v>10123.69</v>
      </c>
      <c r="BS56" s="3284">
        <f t="shared" si="109"/>
        <v>2.707801175441301E-2</v>
      </c>
      <c r="BT56" s="3295"/>
      <c r="BU56" s="3283"/>
      <c r="BV56" s="3283"/>
      <c r="BW56" s="2028">
        <f t="shared" si="133"/>
        <v>0</v>
      </c>
      <c r="BX56" s="3284">
        <f t="shared" si="110"/>
        <v>0</v>
      </c>
      <c r="BY56" s="3295"/>
      <c r="BZ56" s="3283"/>
      <c r="CA56" s="3283"/>
      <c r="CB56" s="2028">
        <f t="shared" si="134"/>
        <v>0</v>
      </c>
      <c r="CC56" s="3284">
        <f t="shared" si="111"/>
        <v>0</v>
      </c>
      <c r="CD56" s="3295"/>
      <c r="CE56" s="3283"/>
      <c r="CF56" s="3283"/>
      <c r="CG56" s="2028">
        <f t="shared" si="135"/>
        <v>0</v>
      </c>
      <c r="CH56" s="3284">
        <f t="shared" si="112"/>
        <v>0</v>
      </c>
      <c r="CI56" s="3295"/>
      <c r="CJ56" s="3283"/>
      <c r="CK56" s="3283"/>
      <c r="CL56" s="2028">
        <f t="shared" si="136"/>
        <v>0</v>
      </c>
      <c r="CM56" s="3284">
        <f t="shared" si="113"/>
        <v>0</v>
      </c>
      <c r="CN56" s="3295"/>
      <c r="CO56" s="3283"/>
      <c r="CP56" s="3283"/>
      <c r="CQ56" s="2028">
        <f t="shared" si="137"/>
        <v>0</v>
      </c>
      <c r="CR56" s="3284">
        <f t="shared" si="114"/>
        <v>0</v>
      </c>
      <c r="CS56" s="3295"/>
      <c r="CT56" s="3283"/>
      <c r="CU56" s="3283"/>
      <c r="CV56" s="2028">
        <f t="shared" si="138"/>
        <v>0</v>
      </c>
      <c r="CW56" s="3284">
        <f t="shared" si="115"/>
        <v>0</v>
      </c>
      <c r="CX56" s="3295"/>
      <c r="CY56" s="3283"/>
      <c r="CZ56" s="3283"/>
      <c r="DA56" s="2028">
        <f t="shared" si="139"/>
        <v>0</v>
      </c>
      <c r="DB56" s="3284">
        <f t="shared" si="116"/>
        <v>0</v>
      </c>
      <c r="DC56" s="3295"/>
      <c r="DD56" s="3283"/>
      <c r="DE56" s="3283"/>
      <c r="DF56" s="2028">
        <f t="shared" si="140"/>
        <v>0</v>
      </c>
      <c r="DG56" s="3284">
        <f t="shared" si="117"/>
        <v>0</v>
      </c>
      <c r="DH56" s="3295"/>
      <c r="DI56" s="3283"/>
      <c r="DJ56" s="3283"/>
      <c r="DK56" s="2028">
        <f t="shared" si="141"/>
        <v>0</v>
      </c>
      <c r="DL56" s="3284">
        <f t="shared" si="118"/>
        <v>0</v>
      </c>
      <c r="DM56" s="3295"/>
      <c r="DN56" s="3283">
        <f t="shared" si="142"/>
        <v>85840.290000000008</v>
      </c>
      <c r="DO56" s="3283">
        <f t="shared" si="142"/>
        <v>0</v>
      </c>
      <c r="DP56" s="3283">
        <f t="shared" si="143"/>
        <v>85840.290000000008</v>
      </c>
      <c r="DQ56" s="3284">
        <f t="shared" si="71"/>
        <v>6.4161905617460208E-3</v>
      </c>
      <c r="DR56" s="3295"/>
    </row>
    <row r="57" spans="1:122" ht="13.8" x14ac:dyDescent="0.25">
      <c r="A57" s="1586"/>
      <c r="B57" s="3310" t="s">
        <v>68</v>
      </c>
      <c r="C57" s="3398">
        <v>0</v>
      </c>
      <c r="D57" s="3283">
        <v>0</v>
      </c>
      <c r="E57" s="2028">
        <v>0</v>
      </c>
      <c r="F57" s="3284">
        <v>0</v>
      </c>
      <c r="G57" s="3143"/>
      <c r="H57" s="3283"/>
      <c r="I57" s="3283"/>
      <c r="J57" s="2028">
        <f t="shared" si="119"/>
        <v>0</v>
      </c>
      <c r="K57" s="3284">
        <f t="shared" si="99"/>
        <v>0</v>
      </c>
      <c r="L57" s="3295"/>
      <c r="M57" s="3283"/>
      <c r="N57" s="3283"/>
      <c r="O57" s="2028">
        <f t="shared" si="120"/>
        <v>0</v>
      </c>
      <c r="P57" s="3284">
        <f t="shared" si="121"/>
        <v>0</v>
      </c>
      <c r="Q57" s="3295"/>
      <c r="R57" s="3283"/>
      <c r="S57" s="3283"/>
      <c r="T57" s="2028">
        <f t="shared" si="122"/>
        <v>0</v>
      </c>
      <c r="U57" s="3284">
        <f t="shared" si="100"/>
        <v>0</v>
      </c>
      <c r="V57" s="3295"/>
      <c r="W57" s="3398"/>
      <c r="X57" s="3283"/>
      <c r="Y57" s="2028">
        <f t="shared" si="123"/>
        <v>0</v>
      </c>
      <c r="Z57" s="3284">
        <f t="shared" si="101"/>
        <v>0</v>
      </c>
      <c r="AA57" s="3295"/>
      <c r="AB57" s="3283"/>
      <c r="AC57" s="3283"/>
      <c r="AD57" s="2028">
        <f t="shared" si="124"/>
        <v>0</v>
      </c>
      <c r="AE57" s="3284">
        <f t="shared" si="102"/>
        <v>0</v>
      </c>
      <c r="AF57" s="3295"/>
      <c r="AG57" s="3283"/>
      <c r="AH57" s="3283"/>
      <c r="AI57" s="2028">
        <f t="shared" si="125"/>
        <v>0</v>
      </c>
      <c r="AJ57" s="3284">
        <f t="shared" si="103"/>
        <v>0</v>
      </c>
      <c r="AK57" s="3295"/>
      <c r="AL57" s="3283">
        <v>341.25</v>
      </c>
      <c r="AM57" s="3283"/>
      <c r="AN57" s="2028">
        <f t="shared" si="126"/>
        <v>341.25</v>
      </c>
      <c r="AO57" s="3284">
        <f t="shared" si="104"/>
        <v>9.8272285773585164E-4</v>
      </c>
      <c r="AP57" s="3295"/>
      <c r="AQ57" s="3283">
        <v>689.38</v>
      </c>
      <c r="AR57" s="3283"/>
      <c r="AS57" s="2028">
        <f t="shared" si="127"/>
        <v>689.38</v>
      </c>
      <c r="AT57" s="3284">
        <f t="shared" si="105"/>
        <v>1.9852585601932348E-3</v>
      </c>
      <c r="AU57" s="3295"/>
      <c r="AV57" s="3275">
        <v>56210.659999999996</v>
      </c>
      <c r="AW57" s="3275">
        <v>0</v>
      </c>
      <c r="AX57" s="2028">
        <v>56210.659999999996</v>
      </c>
      <c r="AY57" s="3284">
        <v>0.15034764124576247</v>
      </c>
      <c r="AZ57" s="3275"/>
      <c r="BA57" s="3275">
        <f t="shared" si="128"/>
        <v>26720.239999999998</v>
      </c>
      <c r="BB57" s="3275">
        <f t="shared" si="128"/>
        <v>0</v>
      </c>
      <c r="BC57" s="2028">
        <f t="shared" si="129"/>
        <v>26720.239999999998</v>
      </c>
      <c r="BD57" s="3284">
        <f t="shared" si="106"/>
        <v>7.1469096031262974E-2</v>
      </c>
      <c r="BE57" s="3275"/>
      <c r="BF57" s="3753">
        <v>8419.1299999999992</v>
      </c>
      <c r="BG57" s="3753"/>
      <c r="BH57" s="3747">
        <f t="shared" si="130"/>
        <v>8419.1299999999992</v>
      </c>
      <c r="BI57" s="3284">
        <f t="shared" si="107"/>
        <v>2.4245191189009932E-2</v>
      </c>
      <c r="BJ57" s="3776"/>
      <c r="BK57" s="3283">
        <v>8614.48</v>
      </c>
      <c r="BL57" s="3283"/>
      <c r="BM57" s="2028">
        <f t="shared" si="131"/>
        <v>8614.48</v>
      </c>
      <c r="BN57" s="3284">
        <f t="shared" si="108"/>
        <v>8.3793967281313832E-4</v>
      </c>
      <c r="BO57" s="3746"/>
      <c r="BP57" s="3283">
        <v>9686.6299999999992</v>
      </c>
      <c r="BQ57" s="3283"/>
      <c r="BR57" s="3283">
        <f t="shared" si="132"/>
        <v>9686.6299999999992</v>
      </c>
      <c r="BS57" s="3284">
        <f t="shared" si="109"/>
        <v>2.5908999682986114E-2</v>
      </c>
      <c r="BT57" s="3295"/>
      <c r="BU57" s="3283"/>
      <c r="BV57" s="3283"/>
      <c r="BW57" s="2028">
        <f t="shared" si="133"/>
        <v>0</v>
      </c>
      <c r="BX57" s="3284">
        <f t="shared" si="110"/>
        <v>0</v>
      </c>
      <c r="BY57" s="3295"/>
      <c r="BZ57" s="3283"/>
      <c r="CA57" s="3283"/>
      <c r="CB57" s="2028">
        <f t="shared" si="134"/>
        <v>0</v>
      </c>
      <c r="CC57" s="3284">
        <f t="shared" si="111"/>
        <v>0</v>
      </c>
      <c r="CD57" s="3295"/>
      <c r="CE57" s="3283"/>
      <c r="CF57" s="3283"/>
      <c r="CG57" s="2028">
        <f t="shared" si="135"/>
        <v>0</v>
      </c>
      <c r="CH57" s="3284">
        <f t="shared" si="112"/>
        <v>0</v>
      </c>
      <c r="CI57" s="3295"/>
      <c r="CJ57" s="3283"/>
      <c r="CK57" s="3283"/>
      <c r="CL57" s="2028">
        <f t="shared" si="136"/>
        <v>0</v>
      </c>
      <c r="CM57" s="3284">
        <f t="shared" si="113"/>
        <v>0</v>
      </c>
      <c r="CN57" s="3295"/>
      <c r="CO57" s="3283"/>
      <c r="CP57" s="3283"/>
      <c r="CQ57" s="2028">
        <f t="shared" si="137"/>
        <v>0</v>
      </c>
      <c r="CR57" s="3284">
        <f t="shared" si="114"/>
        <v>0</v>
      </c>
      <c r="CS57" s="3295"/>
      <c r="CT57" s="3283"/>
      <c r="CU57" s="3283"/>
      <c r="CV57" s="2028">
        <f t="shared" si="138"/>
        <v>0</v>
      </c>
      <c r="CW57" s="3284">
        <f t="shared" si="115"/>
        <v>0</v>
      </c>
      <c r="CX57" s="3295"/>
      <c r="CY57" s="3283"/>
      <c r="CZ57" s="3283"/>
      <c r="DA57" s="2028">
        <f t="shared" si="139"/>
        <v>0</v>
      </c>
      <c r="DB57" s="3284">
        <f t="shared" si="116"/>
        <v>0</v>
      </c>
      <c r="DC57" s="3295"/>
      <c r="DD57" s="3283"/>
      <c r="DE57" s="3283"/>
      <c r="DF57" s="2028">
        <f t="shared" si="140"/>
        <v>0</v>
      </c>
      <c r="DG57" s="3284">
        <f t="shared" si="117"/>
        <v>0</v>
      </c>
      <c r="DH57" s="3295"/>
      <c r="DI57" s="3283"/>
      <c r="DJ57" s="3283"/>
      <c r="DK57" s="2028">
        <f t="shared" si="141"/>
        <v>0</v>
      </c>
      <c r="DL57" s="3284">
        <f t="shared" si="118"/>
        <v>0</v>
      </c>
      <c r="DM57" s="3295"/>
      <c r="DN57" s="3283">
        <f t="shared" si="142"/>
        <v>83961.53</v>
      </c>
      <c r="DO57" s="3283">
        <f t="shared" si="142"/>
        <v>0</v>
      </c>
      <c r="DP57" s="3283">
        <f t="shared" si="143"/>
        <v>83961.53</v>
      </c>
      <c r="DQ57" s="3284">
        <f t="shared" si="71"/>
        <v>6.2757613742422738E-3</v>
      </c>
      <c r="DR57" s="3295"/>
    </row>
    <row r="58" spans="1:122" ht="13.8" x14ac:dyDescent="0.25">
      <c r="A58" s="1586"/>
      <c r="B58" s="3310" t="s">
        <v>67</v>
      </c>
      <c r="C58" s="3398">
        <v>0</v>
      </c>
      <c r="D58" s="3283">
        <v>0</v>
      </c>
      <c r="E58" s="2028">
        <v>0</v>
      </c>
      <c r="F58" s="3284">
        <v>0</v>
      </c>
      <c r="G58" s="3143"/>
      <c r="H58" s="3283"/>
      <c r="I58" s="3283"/>
      <c r="J58" s="2028">
        <f t="shared" si="119"/>
        <v>0</v>
      </c>
      <c r="K58" s="3284">
        <f t="shared" si="99"/>
        <v>0</v>
      </c>
      <c r="L58" s="3295"/>
      <c r="M58" s="3283"/>
      <c r="N58" s="3283"/>
      <c r="O58" s="2028">
        <f t="shared" si="120"/>
        <v>0</v>
      </c>
      <c r="P58" s="3284">
        <f t="shared" si="121"/>
        <v>0</v>
      </c>
      <c r="Q58" s="3295"/>
      <c r="R58" s="3283"/>
      <c r="S58" s="3283"/>
      <c r="T58" s="2028">
        <f t="shared" si="122"/>
        <v>0</v>
      </c>
      <c r="U58" s="3284">
        <f t="shared" si="100"/>
        <v>0</v>
      </c>
      <c r="V58" s="3295"/>
      <c r="W58" s="3398"/>
      <c r="X58" s="3283"/>
      <c r="Y58" s="2028">
        <f t="shared" si="123"/>
        <v>0</v>
      </c>
      <c r="Z58" s="3284">
        <f t="shared" si="101"/>
        <v>0</v>
      </c>
      <c r="AA58" s="3295"/>
      <c r="AB58" s="3283"/>
      <c r="AC58" s="3283"/>
      <c r="AD58" s="2028">
        <f t="shared" si="124"/>
        <v>0</v>
      </c>
      <c r="AE58" s="3284">
        <f t="shared" si="102"/>
        <v>0</v>
      </c>
      <c r="AF58" s="3295"/>
      <c r="AG58" s="3283"/>
      <c r="AH58" s="3283"/>
      <c r="AI58" s="2028">
        <f t="shared" si="125"/>
        <v>0</v>
      </c>
      <c r="AJ58" s="3284">
        <f t="shared" si="103"/>
        <v>0</v>
      </c>
      <c r="AK58" s="3295"/>
      <c r="AL58" s="3283"/>
      <c r="AM58" s="3283"/>
      <c r="AN58" s="2028">
        <f t="shared" si="126"/>
        <v>0</v>
      </c>
      <c r="AO58" s="3284">
        <f t="shared" si="104"/>
        <v>0</v>
      </c>
      <c r="AP58" s="3295"/>
      <c r="AQ58" s="3283"/>
      <c r="AR58" s="3283"/>
      <c r="AS58" s="2028">
        <f t="shared" si="127"/>
        <v>0</v>
      </c>
      <c r="AT58" s="3284">
        <f t="shared" si="105"/>
        <v>0</v>
      </c>
      <c r="AU58" s="3295"/>
      <c r="AV58" s="3275">
        <v>0</v>
      </c>
      <c r="AW58" s="3275">
        <v>0</v>
      </c>
      <c r="AX58" s="2028">
        <v>0</v>
      </c>
      <c r="AY58" s="3284">
        <v>0</v>
      </c>
      <c r="AZ58" s="3275"/>
      <c r="BA58" s="3275">
        <f t="shared" si="128"/>
        <v>0</v>
      </c>
      <c r="BB58" s="3275">
        <f t="shared" si="128"/>
        <v>0</v>
      </c>
      <c r="BC58" s="2028">
        <f t="shared" si="129"/>
        <v>0</v>
      </c>
      <c r="BD58" s="3284">
        <f t="shared" si="106"/>
        <v>0</v>
      </c>
      <c r="BE58" s="3275"/>
      <c r="BF58" s="3753"/>
      <c r="BG58" s="3753"/>
      <c r="BH58" s="3747">
        <f t="shared" si="130"/>
        <v>0</v>
      </c>
      <c r="BI58" s="3284">
        <f t="shared" si="107"/>
        <v>0</v>
      </c>
      <c r="BJ58" s="3776"/>
      <c r="BK58" s="3283"/>
      <c r="BL58" s="3283"/>
      <c r="BM58" s="2028">
        <f t="shared" si="131"/>
        <v>0</v>
      </c>
      <c r="BN58" s="3284">
        <f t="shared" si="108"/>
        <v>0</v>
      </c>
      <c r="BO58" s="3746"/>
      <c r="BP58" s="3283"/>
      <c r="BQ58" s="3283"/>
      <c r="BR58" s="3283">
        <f t="shared" si="132"/>
        <v>0</v>
      </c>
      <c r="BS58" s="3284">
        <f t="shared" si="109"/>
        <v>0</v>
      </c>
      <c r="BT58" s="3295"/>
      <c r="BU58" s="3283"/>
      <c r="BV58" s="3283"/>
      <c r="BW58" s="2028">
        <f t="shared" si="133"/>
        <v>0</v>
      </c>
      <c r="BX58" s="3284">
        <f t="shared" si="110"/>
        <v>0</v>
      </c>
      <c r="BY58" s="3295"/>
      <c r="BZ58" s="3283"/>
      <c r="CA58" s="3283"/>
      <c r="CB58" s="2028">
        <f t="shared" si="134"/>
        <v>0</v>
      </c>
      <c r="CC58" s="3284">
        <f t="shared" si="111"/>
        <v>0</v>
      </c>
      <c r="CD58" s="3295"/>
      <c r="CE58" s="3283"/>
      <c r="CF58" s="3283"/>
      <c r="CG58" s="2028">
        <f t="shared" si="135"/>
        <v>0</v>
      </c>
      <c r="CH58" s="3284">
        <f t="shared" si="112"/>
        <v>0</v>
      </c>
      <c r="CI58" s="3295"/>
      <c r="CJ58" s="3283"/>
      <c r="CK58" s="3283"/>
      <c r="CL58" s="2028">
        <f t="shared" si="136"/>
        <v>0</v>
      </c>
      <c r="CM58" s="3284">
        <f t="shared" si="113"/>
        <v>0</v>
      </c>
      <c r="CN58" s="3295"/>
      <c r="CO58" s="3283"/>
      <c r="CP58" s="3283"/>
      <c r="CQ58" s="2028">
        <f t="shared" si="137"/>
        <v>0</v>
      </c>
      <c r="CR58" s="3284">
        <f t="shared" si="114"/>
        <v>0</v>
      </c>
      <c r="CS58" s="3295"/>
      <c r="CT58" s="3283"/>
      <c r="CU58" s="3283"/>
      <c r="CV58" s="2028">
        <f t="shared" si="138"/>
        <v>0</v>
      </c>
      <c r="CW58" s="3284">
        <f t="shared" si="115"/>
        <v>0</v>
      </c>
      <c r="CX58" s="3295"/>
      <c r="CY58" s="3283"/>
      <c r="CZ58" s="3283"/>
      <c r="DA58" s="2028">
        <f t="shared" si="139"/>
        <v>0</v>
      </c>
      <c r="DB58" s="3284">
        <f t="shared" si="116"/>
        <v>0</v>
      </c>
      <c r="DC58" s="3295"/>
      <c r="DD58" s="3283"/>
      <c r="DE58" s="3283"/>
      <c r="DF58" s="2028">
        <f t="shared" si="140"/>
        <v>0</v>
      </c>
      <c r="DG58" s="3284">
        <f t="shared" si="117"/>
        <v>0</v>
      </c>
      <c r="DH58" s="3295"/>
      <c r="DI58" s="3283"/>
      <c r="DJ58" s="3283"/>
      <c r="DK58" s="2028">
        <f t="shared" si="141"/>
        <v>0</v>
      </c>
      <c r="DL58" s="3284">
        <f t="shared" si="118"/>
        <v>0</v>
      </c>
      <c r="DM58" s="3295"/>
      <c r="DN58" s="3283">
        <f t="shared" si="142"/>
        <v>0</v>
      </c>
      <c r="DO58" s="3283">
        <f t="shared" si="142"/>
        <v>0</v>
      </c>
      <c r="DP58" s="3283">
        <f t="shared" si="143"/>
        <v>0</v>
      </c>
      <c r="DQ58" s="3284">
        <f t="shared" si="71"/>
        <v>0</v>
      </c>
      <c r="DR58" s="3295"/>
    </row>
    <row r="59" spans="1:122" ht="13.8" x14ac:dyDescent="0.25">
      <c r="A59" s="1586"/>
      <c r="B59" s="3382" t="s">
        <v>66</v>
      </c>
      <c r="C59" s="3398">
        <v>0</v>
      </c>
      <c r="D59" s="3283">
        <v>0</v>
      </c>
      <c r="E59" s="2028">
        <v>0</v>
      </c>
      <c r="F59" s="3284">
        <v>0</v>
      </c>
      <c r="G59" s="3442"/>
      <c r="H59" s="3283"/>
      <c r="I59" s="3283"/>
      <c r="J59" s="2028">
        <f t="shared" si="119"/>
        <v>0</v>
      </c>
      <c r="K59" s="3284">
        <f t="shared" si="99"/>
        <v>0</v>
      </c>
      <c r="L59" s="3295"/>
      <c r="M59" s="3283"/>
      <c r="N59" s="3283"/>
      <c r="O59" s="2028">
        <f t="shared" si="120"/>
        <v>0</v>
      </c>
      <c r="P59" s="3284">
        <f t="shared" si="121"/>
        <v>0</v>
      </c>
      <c r="Q59" s="3295"/>
      <c r="R59" s="3283"/>
      <c r="S59" s="3283"/>
      <c r="T59" s="2028">
        <f t="shared" si="122"/>
        <v>0</v>
      </c>
      <c r="U59" s="3284">
        <f t="shared" si="100"/>
        <v>0</v>
      </c>
      <c r="V59" s="3295"/>
      <c r="W59" s="3398"/>
      <c r="X59" s="3283"/>
      <c r="Y59" s="2028">
        <f t="shared" si="123"/>
        <v>0</v>
      </c>
      <c r="Z59" s="3284">
        <f t="shared" si="101"/>
        <v>0</v>
      </c>
      <c r="AA59" s="3295"/>
      <c r="AB59" s="3283"/>
      <c r="AC59" s="3283"/>
      <c r="AD59" s="2028">
        <f t="shared" si="124"/>
        <v>0</v>
      </c>
      <c r="AE59" s="3284">
        <f t="shared" si="102"/>
        <v>0</v>
      </c>
      <c r="AF59" s="3295"/>
      <c r="AG59" s="3283"/>
      <c r="AH59" s="3283"/>
      <c r="AI59" s="2028">
        <f t="shared" si="125"/>
        <v>0</v>
      </c>
      <c r="AJ59" s="3284">
        <f t="shared" si="103"/>
        <v>0</v>
      </c>
      <c r="AK59" s="3295"/>
      <c r="AL59" s="3283"/>
      <c r="AM59" s="3283"/>
      <c r="AN59" s="2028">
        <f t="shared" si="126"/>
        <v>0</v>
      </c>
      <c r="AO59" s="3284">
        <f t="shared" si="104"/>
        <v>0</v>
      </c>
      <c r="AP59" s="3295"/>
      <c r="AQ59" s="3283"/>
      <c r="AR59" s="3283"/>
      <c r="AS59" s="2028">
        <f t="shared" si="127"/>
        <v>0</v>
      </c>
      <c r="AT59" s="3284">
        <f t="shared" si="105"/>
        <v>0</v>
      </c>
      <c r="AU59" s="3295"/>
      <c r="AV59" s="3275">
        <v>0</v>
      </c>
      <c r="AW59" s="3275">
        <v>0</v>
      </c>
      <c r="AX59" s="2028">
        <v>0</v>
      </c>
      <c r="AY59" s="3284">
        <v>0</v>
      </c>
      <c r="AZ59" s="3275"/>
      <c r="BA59" s="3275">
        <f t="shared" si="128"/>
        <v>0</v>
      </c>
      <c r="BB59" s="3275">
        <f t="shared" si="128"/>
        <v>0</v>
      </c>
      <c r="BC59" s="2028">
        <f t="shared" si="129"/>
        <v>0</v>
      </c>
      <c r="BD59" s="3284">
        <f t="shared" si="106"/>
        <v>0</v>
      </c>
      <c r="BE59" s="3275"/>
      <c r="BF59" s="3753"/>
      <c r="BG59" s="3753"/>
      <c r="BH59" s="3747">
        <f t="shared" si="130"/>
        <v>0</v>
      </c>
      <c r="BI59" s="3284">
        <f t="shared" si="107"/>
        <v>0</v>
      </c>
      <c r="BJ59" s="3776"/>
      <c r="BK59" s="3283"/>
      <c r="BL59" s="3283"/>
      <c r="BM59" s="2028">
        <f t="shared" si="131"/>
        <v>0</v>
      </c>
      <c r="BN59" s="3284">
        <f t="shared" si="108"/>
        <v>0</v>
      </c>
      <c r="BO59" s="3746"/>
      <c r="BP59" s="3283"/>
      <c r="BQ59" s="3283"/>
      <c r="BR59" s="3283">
        <f t="shared" si="132"/>
        <v>0</v>
      </c>
      <c r="BS59" s="3284">
        <f t="shared" si="109"/>
        <v>0</v>
      </c>
      <c r="BT59" s="3295"/>
      <c r="BU59" s="3283"/>
      <c r="BV59" s="3283"/>
      <c r="BW59" s="2028">
        <f t="shared" si="133"/>
        <v>0</v>
      </c>
      <c r="BX59" s="3284">
        <f t="shared" si="110"/>
        <v>0</v>
      </c>
      <c r="BY59" s="3295"/>
      <c r="BZ59" s="3283"/>
      <c r="CA59" s="3283"/>
      <c r="CB59" s="2028">
        <f t="shared" si="134"/>
        <v>0</v>
      </c>
      <c r="CC59" s="3284">
        <f t="shared" si="111"/>
        <v>0</v>
      </c>
      <c r="CD59" s="3295"/>
      <c r="CE59" s="3283"/>
      <c r="CF59" s="3283"/>
      <c r="CG59" s="2028">
        <f t="shared" si="135"/>
        <v>0</v>
      </c>
      <c r="CH59" s="3284">
        <f t="shared" si="112"/>
        <v>0</v>
      </c>
      <c r="CI59" s="3295"/>
      <c r="CJ59" s="3283"/>
      <c r="CK59" s="3283"/>
      <c r="CL59" s="2028">
        <f t="shared" si="136"/>
        <v>0</v>
      </c>
      <c r="CM59" s="3284">
        <f t="shared" si="113"/>
        <v>0</v>
      </c>
      <c r="CN59" s="3295"/>
      <c r="CO59" s="3283"/>
      <c r="CP59" s="3283"/>
      <c r="CQ59" s="2028">
        <f t="shared" si="137"/>
        <v>0</v>
      </c>
      <c r="CR59" s="3284">
        <f t="shared" si="114"/>
        <v>0</v>
      </c>
      <c r="CS59" s="3295"/>
      <c r="CT59" s="3283"/>
      <c r="CU59" s="3283"/>
      <c r="CV59" s="2028">
        <f t="shared" si="138"/>
        <v>0</v>
      </c>
      <c r="CW59" s="3284">
        <f t="shared" si="115"/>
        <v>0</v>
      </c>
      <c r="CX59" s="3295"/>
      <c r="CY59" s="3283"/>
      <c r="CZ59" s="3283"/>
      <c r="DA59" s="2028">
        <f t="shared" si="139"/>
        <v>0</v>
      </c>
      <c r="DB59" s="3284">
        <f t="shared" si="116"/>
        <v>0</v>
      </c>
      <c r="DC59" s="3295"/>
      <c r="DD59" s="3283"/>
      <c r="DE59" s="3283"/>
      <c r="DF59" s="2028">
        <f t="shared" si="140"/>
        <v>0</v>
      </c>
      <c r="DG59" s="3284">
        <f t="shared" si="117"/>
        <v>0</v>
      </c>
      <c r="DH59" s="3295"/>
      <c r="DI59" s="3283"/>
      <c r="DJ59" s="3283"/>
      <c r="DK59" s="2028">
        <f t="shared" si="141"/>
        <v>0</v>
      </c>
      <c r="DL59" s="3284">
        <f t="shared" si="118"/>
        <v>0</v>
      </c>
      <c r="DM59" s="3295"/>
      <c r="DN59" s="3283">
        <f t="shared" si="142"/>
        <v>0</v>
      </c>
      <c r="DO59" s="3283">
        <f t="shared" si="142"/>
        <v>0</v>
      </c>
      <c r="DP59" s="3283">
        <f t="shared" si="143"/>
        <v>0</v>
      </c>
      <c r="DQ59" s="3284">
        <f t="shared" si="71"/>
        <v>0</v>
      </c>
      <c r="DR59" s="3295"/>
    </row>
    <row r="60" spans="1:122" ht="13.8" x14ac:dyDescent="0.25">
      <c r="A60" s="1586"/>
      <c r="B60" s="3382" t="s">
        <v>65</v>
      </c>
      <c r="C60" s="3398">
        <v>0</v>
      </c>
      <c r="D60" s="3283">
        <v>0</v>
      </c>
      <c r="E60" s="2028">
        <v>0</v>
      </c>
      <c r="F60" s="3284">
        <v>0</v>
      </c>
      <c r="G60" s="3442"/>
      <c r="H60" s="3283"/>
      <c r="I60" s="3283"/>
      <c r="J60" s="2028">
        <f t="shared" si="119"/>
        <v>0</v>
      </c>
      <c r="K60" s="3284">
        <f t="shared" si="99"/>
        <v>0</v>
      </c>
      <c r="L60" s="3295"/>
      <c r="M60" s="3283"/>
      <c r="N60" s="3283"/>
      <c r="O60" s="2028">
        <f t="shared" si="120"/>
        <v>0</v>
      </c>
      <c r="P60" s="3284">
        <f t="shared" si="121"/>
        <v>0</v>
      </c>
      <c r="Q60" s="3295"/>
      <c r="R60" s="3283"/>
      <c r="S60" s="3283"/>
      <c r="T60" s="2028">
        <f t="shared" si="122"/>
        <v>0</v>
      </c>
      <c r="U60" s="3284">
        <f t="shared" si="100"/>
        <v>0</v>
      </c>
      <c r="V60" s="3295"/>
      <c r="W60" s="3398"/>
      <c r="X60" s="3283"/>
      <c r="Y60" s="2028">
        <f t="shared" si="123"/>
        <v>0</v>
      </c>
      <c r="Z60" s="3284">
        <f t="shared" si="101"/>
        <v>0</v>
      </c>
      <c r="AA60" s="3295"/>
      <c r="AB60" s="3283"/>
      <c r="AC60" s="3283"/>
      <c r="AD60" s="2028">
        <f t="shared" si="124"/>
        <v>0</v>
      </c>
      <c r="AE60" s="3284">
        <f t="shared" si="102"/>
        <v>0</v>
      </c>
      <c r="AF60" s="3295"/>
      <c r="AG60" s="3283"/>
      <c r="AH60" s="3283"/>
      <c r="AI60" s="2028">
        <f t="shared" si="125"/>
        <v>0</v>
      </c>
      <c r="AJ60" s="3284">
        <f t="shared" si="103"/>
        <v>0</v>
      </c>
      <c r="AK60" s="3295"/>
      <c r="AL60" s="3283"/>
      <c r="AM60" s="3283"/>
      <c r="AN60" s="2028">
        <f t="shared" si="126"/>
        <v>0</v>
      </c>
      <c r="AO60" s="3284">
        <f t="shared" si="104"/>
        <v>0</v>
      </c>
      <c r="AP60" s="3295"/>
      <c r="AQ60" s="3283"/>
      <c r="AR60" s="3283"/>
      <c r="AS60" s="2028">
        <f t="shared" si="127"/>
        <v>0</v>
      </c>
      <c r="AT60" s="3284">
        <f t="shared" si="105"/>
        <v>0</v>
      </c>
      <c r="AU60" s="3295"/>
      <c r="AV60" s="3275">
        <v>0</v>
      </c>
      <c r="AW60" s="3275">
        <v>0</v>
      </c>
      <c r="AX60" s="2028">
        <v>0</v>
      </c>
      <c r="AY60" s="3284">
        <v>0</v>
      </c>
      <c r="AZ60" s="3275"/>
      <c r="BA60" s="3275">
        <f t="shared" si="128"/>
        <v>0</v>
      </c>
      <c r="BB60" s="3275">
        <f t="shared" si="128"/>
        <v>0</v>
      </c>
      <c r="BC60" s="2028">
        <f t="shared" si="129"/>
        <v>0</v>
      </c>
      <c r="BD60" s="3284">
        <f t="shared" si="106"/>
        <v>0</v>
      </c>
      <c r="BE60" s="3275"/>
      <c r="BF60" s="3753"/>
      <c r="BG60" s="3753"/>
      <c r="BH60" s="3747">
        <f t="shared" si="130"/>
        <v>0</v>
      </c>
      <c r="BI60" s="3284">
        <f t="shared" si="107"/>
        <v>0</v>
      </c>
      <c r="BJ60" s="3776"/>
      <c r="BK60" s="3283"/>
      <c r="BL60" s="3283"/>
      <c r="BM60" s="2028">
        <f t="shared" si="131"/>
        <v>0</v>
      </c>
      <c r="BN60" s="3284">
        <f t="shared" si="108"/>
        <v>0</v>
      </c>
      <c r="BO60" s="3746"/>
      <c r="BP60" s="3283"/>
      <c r="BQ60" s="3283"/>
      <c r="BR60" s="3283">
        <f t="shared" si="132"/>
        <v>0</v>
      </c>
      <c r="BS60" s="3284">
        <f t="shared" si="109"/>
        <v>0</v>
      </c>
      <c r="BT60" s="3295"/>
      <c r="BU60" s="3283"/>
      <c r="BV60" s="3283"/>
      <c r="BW60" s="2028">
        <f t="shared" si="133"/>
        <v>0</v>
      </c>
      <c r="BX60" s="3284">
        <f t="shared" si="110"/>
        <v>0</v>
      </c>
      <c r="BY60" s="3295"/>
      <c r="BZ60" s="3283"/>
      <c r="CA60" s="3283"/>
      <c r="CB60" s="2028">
        <f t="shared" si="134"/>
        <v>0</v>
      </c>
      <c r="CC60" s="3284">
        <f t="shared" si="111"/>
        <v>0</v>
      </c>
      <c r="CD60" s="3295"/>
      <c r="CE60" s="3283"/>
      <c r="CF60" s="3283"/>
      <c r="CG60" s="2028">
        <f t="shared" si="135"/>
        <v>0</v>
      </c>
      <c r="CH60" s="3284">
        <f t="shared" si="112"/>
        <v>0</v>
      </c>
      <c r="CI60" s="3295"/>
      <c r="CJ60" s="3283"/>
      <c r="CK60" s="3283"/>
      <c r="CL60" s="2028">
        <f t="shared" si="136"/>
        <v>0</v>
      </c>
      <c r="CM60" s="3284">
        <f t="shared" si="113"/>
        <v>0</v>
      </c>
      <c r="CN60" s="3295"/>
      <c r="CO60" s="3283"/>
      <c r="CP60" s="3283"/>
      <c r="CQ60" s="2028">
        <f t="shared" si="137"/>
        <v>0</v>
      </c>
      <c r="CR60" s="3284">
        <f t="shared" si="114"/>
        <v>0</v>
      </c>
      <c r="CS60" s="3295"/>
      <c r="CT60" s="3283"/>
      <c r="CU60" s="3283"/>
      <c r="CV60" s="2028">
        <f t="shared" si="138"/>
        <v>0</v>
      </c>
      <c r="CW60" s="3284">
        <f t="shared" si="115"/>
        <v>0</v>
      </c>
      <c r="CX60" s="3295"/>
      <c r="CY60" s="3283"/>
      <c r="CZ60" s="3283"/>
      <c r="DA60" s="2028">
        <f t="shared" si="139"/>
        <v>0</v>
      </c>
      <c r="DB60" s="3284">
        <f t="shared" si="116"/>
        <v>0</v>
      </c>
      <c r="DC60" s="3295"/>
      <c r="DD60" s="3283"/>
      <c r="DE60" s="3283"/>
      <c r="DF60" s="2028">
        <f t="shared" si="140"/>
        <v>0</v>
      </c>
      <c r="DG60" s="3284">
        <f t="shared" si="117"/>
        <v>0</v>
      </c>
      <c r="DH60" s="3295"/>
      <c r="DI60" s="3283"/>
      <c r="DJ60" s="3283"/>
      <c r="DK60" s="2028">
        <f t="shared" si="141"/>
        <v>0</v>
      </c>
      <c r="DL60" s="3284">
        <f t="shared" si="118"/>
        <v>0</v>
      </c>
      <c r="DM60" s="3295"/>
      <c r="DN60" s="3283">
        <f t="shared" si="142"/>
        <v>0</v>
      </c>
      <c r="DO60" s="3283">
        <f t="shared" si="142"/>
        <v>0</v>
      </c>
      <c r="DP60" s="3283">
        <f t="shared" si="143"/>
        <v>0</v>
      </c>
      <c r="DQ60" s="3284">
        <f t="shared" si="71"/>
        <v>0</v>
      </c>
      <c r="DR60" s="3295"/>
    </row>
    <row r="61" spans="1:122" ht="13.8" x14ac:dyDescent="0.25">
      <c r="A61" s="1586"/>
      <c r="B61" s="3382" t="s">
        <v>32</v>
      </c>
      <c r="C61" s="3398">
        <v>0</v>
      </c>
      <c r="D61" s="3283">
        <v>0</v>
      </c>
      <c r="E61" s="2028">
        <v>0</v>
      </c>
      <c r="F61" s="3284">
        <v>0</v>
      </c>
      <c r="G61" s="3442"/>
      <c r="H61" s="3283"/>
      <c r="I61" s="3283"/>
      <c r="J61" s="2028">
        <f t="shared" si="119"/>
        <v>0</v>
      </c>
      <c r="K61" s="3284">
        <f t="shared" si="99"/>
        <v>0</v>
      </c>
      <c r="L61" s="3295"/>
      <c r="M61" s="3283"/>
      <c r="N61" s="3283"/>
      <c r="O61" s="2028">
        <f t="shared" si="120"/>
        <v>0</v>
      </c>
      <c r="P61" s="3284">
        <f t="shared" si="121"/>
        <v>0</v>
      </c>
      <c r="Q61" s="3295"/>
      <c r="R61" s="3283"/>
      <c r="S61" s="3283"/>
      <c r="T61" s="2028">
        <f t="shared" si="122"/>
        <v>0</v>
      </c>
      <c r="U61" s="3284">
        <f t="shared" si="100"/>
        <v>0</v>
      </c>
      <c r="V61" s="3295"/>
      <c r="W61" s="3398"/>
      <c r="X61" s="3283"/>
      <c r="Y61" s="2028">
        <f t="shared" si="123"/>
        <v>0</v>
      </c>
      <c r="Z61" s="3284">
        <f t="shared" si="101"/>
        <v>0</v>
      </c>
      <c r="AA61" s="3295"/>
      <c r="AB61" s="3283"/>
      <c r="AC61" s="3283"/>
      <c r="AD61" s="2028">
        <f t="shared" si="124"/>
        <v>0</v>
      </c>
      <c r="AE61" s="3284">
        <f t="shared" si="102"/>
        <v>0</v>
      </c>
      <c r="AF61" s="3295"/>
      <c r="AG61" s="3283"/>
      <c r="AH61" s="3283"/>
      <c r="AI61" s="2028">
        <f t="shared" si="125"/>
        <v>0</v>
      </c>
      <c r="AJ61" s="3284">
        <f t="shared" si="103"/>
        <v>0</v>
      </c>
      <c r="AK61" s="3295"/>
      <c r="AL61" s="3283"/>
      <c r="AM61" s="3283"/>
      <c r="AN61" s="2028">
        <f t="shared" si="126"/>
        <v>0</v>
      </c>
      <c r="AO61" s="3284">
        <f t="shared" si="104"/>
        <v>0</v>
      </c>
      <c r="AP61" s="3295"/>
      <c r="AQ61" s="3283"/>
      <c r="AR61" s="3283"/>
      <c r="AS61" s="2028">
        <f t="shared" si="127"/>
        <v>0</v>
      </c>
      <c r="AT61" s="3284">
        <f t="shared" si="105"/>
        <v>0</v>
      </c>
      <c r="AU61" s="3295"/>
      <c r="AV61" s="3275">
        <v>0</v>
      </c>
      <c r="AW61" s="3275">
        <v>40000</v>
      </c>
      <c r="AX61" s="2028">
        <v>40000</v>
      </c>
      <c r="AY61" s="3284">
        <v>0.10698870374107863</v>
      </c>
      <c r="AZ61" s="3275"/>
      <c r="BA61" s="3275">
        <f t="shared" si="128"/>
        <v>0</v>
      </c>
      <c r="BB61" s="3275">
        <f t="shared" si="128"/>
        <v>0</v>
      </c>
      <c r="BC61" s="2028">
        <f t="shared" si="129"/>
        <v>0</v>
      </c>
      <c r="BD61" s="3284">
        <f t="shared" si="106"/>
        <v>0</v>
      </c>
      <c r="BE61" s="3275"/>
      <c r="BF61" s="3753"/>
      <c r="BG61" s="3753"/>
      <c r="BH61" s="3747">
        <f t="shared" si="130"/>
        <v>0</v>
      </c>
      <c r="BI61" s="3284">
        <f t="shared" si="107"/>
        <v>0</v>
      </c>
      <c r="BJ61" s="3776"/>
      <c r="BK61" s="3283"/>
      <c r="BL61" s="3283"/>
      <c r="BM61" s="2028">
        <f t="shared" si="131"/>
        <v>0</v>
      </c>
      <c r="BN61" s="3284">
        <f t="shared" si="108"/>
        <v>0</v>
      </c>
      <c r="BO61" s="3746"/>
      <c r="BP61" s="3283"/>
      <c r="BQ61" s="3283"/>
      <c r="BR61" s="3283">
        <f t="shared" si="132"/>
        <v>0</v>
      </c>
      <c r="BS61" s="3284">
        <f t="shared" si="109"/>
        <v>0</v>
      </c>
      <c r="BT61" s="3295"/>
      <c r="BU61" s="3283"/>
      <c r="BV61" s="3283"/>
      <c r="BW61" s="2028">
        <f t="shared" si="133"/>
        <v>0</v>
      </c>
      <c r="BX61" s="3284">
        <f t="shared" si="110"/>
        <v>0</v>
      </c>
      <c r="BY61" s="3295"/>
      <c r="BZ61" s="3283"/>
      <c r="CA61" s="3283"/>
      <c r="CB61" s="2028">
        <f t="shared" si="134"/>
        <v>0</v>
      </c>
      <c r="CC61" s="3284">
        <f t="shared" si="111"/>
        <v>0</v>
      </c>
      <c r="CD61" s="3295"/>
      <c r="CE61" s="3283"/>
      <c r="CF61" s="3283"/>
      <c r="CG61" s="2028">
        <f t="shared" si="135"/>
        <v>0</v>
      </c>
      <c r="CH61" s="3284">
        <f t="shared" si="112"/>
        <v>0</v>
      </c>
      <c r="CI61" s="3295"/>
      <c r="CJ61" s="3283"/>
      <c r="CK61" s="3283"/>
      <c r="CL61" s="2028">
        <f t="shared" si="136"/>
        <v>0</v>
      </c>
      <c r="CM61" s="3284">
        <f t="shared" si="113"/>
        <v>0</v>
      </c>
      <c r="CN61" s="3295"/>
      <c r="CO61" s="3283"/>
      <c r="CP61" s="3283"/>
      <c r="CQ61" s="2028">
        <f t="shared" si="137"/>
        <v>0</v>
      </c>
      <c r="CR61" s="3284">
        <f t="shared" si="114"/>
        <v>0</v>
      </c>
      <c r="CS61" s="3295"/>
      <c r="CT61" s="3283"/>
      <c r="CU61" s="3283"/>
      <c r="CV61" s="2028">
        <f t="shared" si="138"/>
        <v>0</v>
      </c>
      <c r="CW61" s="3284">
        <f t="shared" si="115"/>
        <v>0</v>
      </c>
      <c r="CX61" s="3295"/>
      <c r="CY61" s="3283"/>
      <c r="CZ61" s="3283"/>
      <c r="DA61" s="2028">
        <f t="shared" si="139"/>
        <v>0</v>
      </c>
      <c r="DB61" s="3284">
        <f t="shared" si="116"/>
        <v>0</v>
      </c>
      <c r="DC61" s="3295"/>
      <c r="DD61" s="3283"/>
      <c r="DE61" s="3283"/>
      <c r="DF61" s="2028">
        <f t="shared" si="140"/>
        <v>0</v>
      </c>
      <c r="DG61" s="3284">
        <f t="shared" si="117"/>
        <v>0</v>
      </c>
      <c r="DH61" s="3295"/>
      <c r="DI61" s="3283"/>
      <c r="DJ61" s="3283"/>
      <c r="DK61" s="2028">
        <f t="shared" si="141"/>
        <v>0</v>
      </c>
      <c r="DL61" s="3284">
        <f t="shared" si="118"/>
        <v>0</v>
      </c>
      <c r="DM61" s="3295"/>
      <c r="DN61" s="3283">
        <f t="shared" si="142"/>
        <v>0</v>
      </c>
      <c r="DO61" s="3283">
        <f t="shared" si="142"/>
        <v>40000</v>
      </c>
      <c r="DP61" s="3283">
        <f t="shared" si="143"/>
        <v>40000</v>
      </c>
      <c r="DQ61" s="3284">
        <f t="shared" si="71"/>
        <v>2.989827066868493E-3</v>
      </c>
      <c r="DR61" s="3295"/>
    </row>
    <row r="62" spans="1:122" ht="13.8" x14ac:dyDescent="0.25">
      <c r="A62" s="1586"/>
      <c r="B62" s="3382" t="s">
        <v>33</v>
      </c>
      <c r="C62" s="3398">
        <v>0</v>
      </c>
      <c r="D62" s="3283">
        <v>0</v>
      </c>
      <c r="E62" s="2028">
        <v>0</v>
      </c>
      <c r="F62" s="3284">
        <v>0</v>
      </c>
      <c r="G62" s="3442"/>
      <c r="H62" s="3283"/>
      <c r="I62" s="3283"/>
      <c r="J62" s="2028">
        <f t="shared" si="119"/>
        <v>0</v>
      </c>
      <c r="K62" s="3284">
        <f t="shared" si="99"/>
        <v>0</v>
      </c>
      <c r="L62" s="3295"/>
      <c r="M62" s="3283"/>
      <c r="N62" s="3283"/>
      <c r="O62" s="2028">
        <f t="shared" si="120"/>
        <v>0</v>
      </c>
      <c r="P62" s="3284">
        <f t="shared" si="121"/>
        <v>0</v>
      </c>
      <c r="Q62" s="3295"/>
      <c r="R62" s="3283"/>
      <c r="S62" s="3283"/>
      <c r="T62" s="2028">
        <f t="shared" si="122"/>
        <v>0</v>
      </c>
      <c r="U62" s="3284">
        <f t="shared" si="100"/>
        <v>0</v>
      </c>
      <c r="V62" s="3295"/>
      <c r="W62" s="3398"/>
      <c r="X62" s="3283"/>
      <c r="Y62" s="2028">
        <f t="shared" si="123"/>
        <v>0</v>
      </c>
      <c r="Z62" s="3284">
        <f t="shared" si="101"/>
        <v>0</v>
      </c>
      <c r="AA62" s="3295"/>
      <c r="AB62" s="3283"/>
      <c r="AC62" s="3283"/>
      <c r="AD62" s="2028">
        <f t="shared" si="124"/>
        <v>0</v>
      </c>
      <c r="AE62" s="3284">
        <f t="shared" si="102"/>
        <v>0</v>
      </c>
      <c r="AF62" s="3295"/>
      <c r="AG62" s="3283"/>
      <c r="AH62" s="3283"/>
      <c r="AI62" s="2028">
        <f t="shared" si="125"/>
        <v>0</v>
      </c>
      <c r="AJ62" s="3284">
        <f t="shared" si="103"/>
        <v>0</v>
      </c>
      <c r="AK62" s="3295"/>
      <c r="AL62" s="3283"/>
      <c r="AM62" s="3283"/>
      <c r="AN62" s="2028">
        <f t="shared" si="126"/>
        <v>0</v>
      </c>
      <c r="AO62" s="3284">
        <f t="shared" si="104"/>
        <v>0</v>
      </c>
      <c r="AP62" s="3295"/>
      <c r="AQ62" s="3283"/>
      <c r="AR62" s="3283"/>
      <c r="AS62" s="2028">
        <f t="shared" si="127"/>
        <v>0</v>
      </c>
      <c r="AT62" s="3284">
        <f t="shared" si="105"/>
        <v>0</v>
      </c>
      <c r="AU62" s="3295"/>
      <c r="AV62" s="3275">
        <v>8000</v>
      </c>
      <c r="AW62" s="3275">
        <v>0</v>
      </c>
      <c r="AX62" s="2028">
        <v>8000</v>
      </c>
      <c r="AY62" s="3284">
        <v>2.1397740748215727E-2</v>
      </c>
      <c r="AZ62" s="3275"/>
      <c r="BA62" s="3275">
        <f t="shared" si="128"/>
        <v>2401</v>
      </c>
      <c r="BB62" s="3275">
        <f t="shared" si="128"/>
        <v>0</v>
      </c>
      <c r="BC62" s="2028">
        <f t="shared" si="129"/>
        <v>2401</v>
      </c>
      <c r="BD62" s="3284">
        <f t="shared" si="106"/>
        <v>6.4219969420582458E-3</v>
      </c>
      <c r="BE62" s="3275"/>
      <c r="BF62" s="3753">
        <v>1</v>
      </c>
      <c r="BG62" s="3753"/>
      <c r="BH62" s="3747">
        <f t="shared" si="130"/>
        <v>1</v>
      </c>
      <c r="BI62" s="3284">
        <f t="shared" si="107"/>
        <v>2.8797739420830817E-6</v>
      </c>
      <c r="BJ62" s="3358" t="s">
        <v>2132</v>
      </c>
      <c r="BK62" s="3283">
        <v>800</v>
      </c>
      <c r="BL62" s="3283"/>
      <c r="BM62" s="2028">
        <f t="shared" si="131"/>
        <v>800</v>
      </c>
      <c r="BN62" s="3284">
        <f t="shared" si="108"/>
        <v>7.7816854673817885E-5</v>
      </c>
      <c r="BO62" s="3746" t="s">
        <v>2172</v>
      </c>
      <c r="BP62" s="3283">
        <v>1600</v>
      </c>
      <c r="BQ62" s="3283"/>
      <c r="BR62" s="3283">
        <f t="shared" si="132"/>
        <v>1600</v>
      </c>
      <c r="BS62" s="3284">
        <f t="shared" si="109"/>
        <v>4.2795481496431453E-3</v>
      </c>
      <c r="BT62" s="3746" t="s">
        <v>2172</v>
      </c>
      <c r="BU62" s="3283"/>
      <c r="BV62" s="3283"/>
      <c r="BW62" s="2028">
        <f t="shared" si="133"/>
        <v>0</v>
      </c>
      <c r="BX62" s="3284">
        <f t="shared" si="110"/>
        <v>0</v>
      </c>
      <c r="BY62" s="3295"/>
      <c r="BZ62" s="3283"/>
      <c r="CA62" s="3283"/>
      <c r="CB62" s="2028">
        <f t="shared" si="134"/>
        <v>0</v>
      </c>
      <c r="CC62" s="3284">
        <f t="shared" si="111"/>
        <v>0</v>
      </c>
      <c r="CD62" s="3295"/>
      <c r="CE62" s="3283"/>
      <c r="CF62" s="3283"/>
      <c r="CG62" s="2028">
        <f t="shared" si="135"/>
        <v>0</v>
      </c>
      <c r="CH62" s="3284">
        <f t="shared" si="112"/>
        <v>0</v>
      </c>
      <c r="CI62" s="3295"/>
      <c r="CJ62" s="3283"/>
      <c r="CK62" s="3283"/>
      <c r="CL62" s="2028">
        <f t="shared" si="136"/>
        <v>0</v>
      </c>
      <c r="CM62" s="3284">
        <f t="shared" si="113"/>
        <v>0</v>
      </c>
      <c r="CN62" s="3295"/>
      <c r="CO62" s="3283"/>
      <c r="CP62" s="3283"/>
      <c r="CQ62" s="2028">
        <f t="shared" si="137"/>
        <v>0</v>
      </c>
      <c r="CR62" s="3284">
        <f t="shared" si="114"/>
        <v>0</v>
      </c>
      <c r="CS62" s="3295"/>
      <c r="CT62" s="3283"/>
      <c r="CU62" s="3283"/>
      <c r="CV62" s="2028">
        <f t="shared" si="138"/>
        <v>0</v>
      </c>
      <c r="CW62" s="3284">
        <f t="shared" si="115"/>
        <v>0</v>
      </c>
      <c r="CX62" s="3295"/>
      <c r="CY62" s="3283"/>
      <c r="CZ62" s="3283"/>
      <c r="DA62" s="2028">
        <f t="shared" si="139"/>
        <v>0</v>
      </c>
      <c r="DB62" s="3284">
        <f t="shared" si="116"/>
        <v>0</v>
      </c>
      <c r="DC62" s="3295"/>
      <c r="DD62" s="3283"/>
      <c r="DE62" s="3283"/>
      <c r="DF62" s="2028">
        <f t="shared" si="140"/>
        <v>0</v>
      </c>
      <c r="DG62" s="3284">
        <f t="shared" si="117"/>
        <v>0</v>
      </c>
      <c r="DH62" s="3295"/>
      <c r="DI62" s="3283"/>
      <c r="DJ62" s="3283"/>
      <c r="DK62" s="2028">
        <f t="shared" si="141"/>
        <v>0</v>
      </c>
      <c r="DL62" s="3284">
        <f t="shared" si="118"/>
        <v>0</v>
      </c>
      <c r="DM62" s="3295"/>
      <c r="DN62" s="3283">
        <f t="shared" si="142"/>
        <v>10401</v>
      </c>
      <c r="DO62" s="3283">
        <f t="shared" si="142"/>
        <v>0</v>
      </c>
      <c r="DP62" s="3283">
        <f t="shared" si="143"/>
        <v>10401</v>
      </c>
      <c r="DQ62" s="3284">
        <f t="shared" si="71"/>
        <v>7.7742978306247982E-4</v>
      </c>
      <c r="DR62" s="3295"/>
    </row>
    <row r="63" spans="1:122" ht="13.8" x14ac:dyDescent="0.25">
      <c r="A63" s="1586"/>
      <c r="B63" s="3382" t="s">
        <v>35</v>
      </c>
      <c r="C63" s="3398">
        <v>1100</v>
      </c>
      <c r="D63" s="3283">
        <v>0</v>
      </c>
      <c r="E63" s="2028">
        <v>1100</v>
      </c>
      <c r="F63" s="3284">
        <v>1.0699817517649959E-4</v>
      </c>
      <c r="G63" s="3442"/>
      <c r="H63" s="3283"/>
      <c r="I63" s="3283"/>
      <c r="J63" s="2028">
        <f t="shared" si="119"/>
        <v>0</v>
      </c>
      <c r="K63" s="3284">
        <f t="shared" si="99"/>
        <v>0</v>
      </c>
      <c r="L63" s="3295"/>
      <c r="M63" s="3283"/>
      <c r="N63" s="3283"/>
      <c r="O63" s="2028">
        <f t="shared" si="120"/>
        <v>0</v>
      </c>
      <c r="P63" s="3284">
        <f t="shared" si="121"/>
        <v>0</v>
      </c>
      <c r="Q63" s="3295"/>
      <c r="R63" s="3283"/>
      <c r="S63" s="3283"/>
      <c r="T63" s="2028">
        <f t="shared" si="122"/>
        <v>0</v>
      </c>
      <c r="U63" s="3284">
        <f t="shared" si="100"/>
        <v>0</v>
      </c>
      <c r="V63" s="3295"/>
      <c r="W63" s="3398"/>
      <c r="X63" s="3283"/>
      <c r="Y63" s="2028">
        <f t="shared" si="123"/>
        <v>0</v>
      </c>
      <c r="Z63" s="3284">
        <f t="shared" si="101"/>
        <v>0</v>
      </c>
      <c r="AA63" s="3295"/>
      <c r="AB63" s="3283"/>
      <c r="AC63" s="3283"/>
      <c r="AD63" s="2028">
        <f t="shared" si="124"/>
        <v>0</v>
      </c>
      <c r="AE63" s="3284">
        <f t="shared" si="102"/>
        <v>0</v>
      </c>
      <c r="AF63" s="3275"/>
      <c r="AG63" s="3283"/>
      <c r="AH63" s="3283"/>
      <c r="AI63" s="2028">
        <f t="shared" si="125"/>
        <v>0</v>
      </c>
      <c r="AJ63" s="3284">
        <f t="shared" si="103"/>
        <v>0</v>
      </c>
      <c r="AK63" s="3275"/>
      <c r="AL63" s="3283"/>
      <c r="AM63" s="3283"/>
      <c r="AN63" s="2028">
        <f t="shared" si="126"/>
        <v>0</v>
      </c>
      <c r="AO63" s="3284">
        <f t="shared" si="104"/>
        <v>0</v>
      </c>
      <c r="AP63" s="3275"/>
      <c r="AQ63" s="3283"/>
      <c r="AR63" s="3283"/>
      <c r="AS63" s="2028">
        <f t="shared" si="127"/>
        <v>0</v>
      </c>
      <c r="AT63" s="3284">
        <f t="shared" si="105"/>
        <v>0</v>
      </c>
      <c r="AU63" s="3275"/>
      <c r="AV63" s="3275">
        <v>15028.378400000001</v>
      </c>
      <c r="AW63" s="3275">
        <v>1469</v>
      </c>
      <c r="AX63" s="2028">
        <v>16497.378400000001</v>
      </c>
      <c r="AY63" s="3284">
        <v>4.4125828253551755E-2</v>
      </c>
      <c r="AZ63" s="3275"/>
      <c r="BA63" s="3275">
        <f t="shared" si="128"/>
        <v>13383.8</v>
      </c>
      <c r="BB63" s="3275">
        <f t="shared" si="128"/>
        <v>0</v>
      </c>
      <c r="BC63" s="2028">
        <f t="shared" si="129"/>
        <v>13383.8</v>
      </c>
      <c r="BD63" s="3284">
        <f t="shared" si="106"/>
        <v>3.5797885328246203E-2</v>
      </c>
      <c r="BE63" s="3275"/>
      <c r="BF63" s="3753">
        <v>5199</v>
      </c>
      <c r="BG63" s="3753"/>
      <c r="BH63" s="3747">
        <f t="shared" si="130"/>
        <v>5199</v>
      </c>
      <c r="BI63" s="3284">
        <f t="shared" si="107"/>
        <v>1.4971944724889941E-2</v>
      </c>
      <c r="BJ63" s="3358" t="s">
        <v>2148</v>
      </c>
      <c r="BK63" s="3283">
        <v>5007.16</v>
      </c>
      <c r="BL63" s="3283"/>
      <c r="BM63" s="2028">
        <f t="shared" si="131"/>
        <v>5007.16</v>
      </c>
      <c r="BN63" s="3284">
        <f t="shared" si="108"/>
        <v>4.8705180256069245E-4</v>
      </c>
      <c r="BO63" s="3746" t="s">
        <v>2148</v>
      </c>
      <c r="BP63" s="3283">
        <v>3177.64</v>
      </c>
      <c r="BQ63" s="3283"/>
      <c r="BR63" s="3283">
        <f t="shared" si="132"/>
        <v>3177.64</v>
      </c>
      <c r="BS63" s="3284">
        <f t="shared" si="109"/>
        <v>8.4992896138950287E-3</v>
      </c>
      <c r="BT63" s="3746" t="s">
        <v>2148</v>
      </c>
      <c r="BU63" s="3283"/>
      <c r="BV63" s="3283"/>
      <c r="BW63" s="2028">
        <f t="shared" si="133"/>
        <v>0</v>
      </c>
      <c r="BX63" s="3284">
        <f t="shared" si="110"/>
        <v>0</v>
      </c>
      <c r="BY63" s="3295"/>
      <c r="BZ63" s="3283"/>
      <c r="CA63" s="3283"/>
      <c r="CB63" s="2028">
        <f t="shared" si="134"/>
        <v>0</v>
      </c>
      <c r="CC63" s="3284">
        <f t="shared" si="111"/>
        <v>0</v>
      </c>
      <c r="CD63" s="3295"/>
      <c r="CE63" s="3283"/>
      <c r="CF63" s="3283"/>
      <c r="CG63" s="2028">
        <f t="shared" si="135"/>
        <v>0</v>
      </c>
      <c r="CH63" s="3284">
        <f t="shared" si="112"/>
        <v>0</v>
      </c>
      <c r="CI63" s="3390"/>
      <c r="CJ63" s="3283"/>
      <c r="CK63" s="3283"/>
      <c r="CL63" s="2028">
        <f t="shared" si="136"/>
        <v>0</v>
      </c>
      <c r="CM63" s="3284">
        <f t="shared" si="113"/>
        <v>0</v>
      </c>
      <c r="CN63" s="3390"/>
      <c r="CO63" s="3283"/>
      <c r="CP63" s="3283"/>
      <c r="CQ63" s="2028">
        <f t="shared" si="137"/>
        <v>0</v>
      </c>
      <c r="CR63" s="3284">
        <f t="shared" si="114"/>
        <v>0</v>
      </c>
      <c r="CS63" s="3390"/>
      <c r="CT63" s="3283"/>
      <c r="CU63" s="3283"/>
      <c r="CV63" s="2028">
        <f t="shared" si="138"/>
        <v>0</v>
      </c>
      <c r="CW63" s="3284">
        <f t="shared" si="115"/>
        <v>0</v>
      </c>
      <c r="CX63" s="3390"/>
      <c r="CY63" s="3283"/>
      <c r="CZ63" s="3283"/>
      <c r="DA63" s="2028">
        <f t="shared" si="139"/>
        <v>0</v>
      </c>
      <c r="DB63" s="3284">
        <f t="shared" si="116"/>
        <v>0</v>
      </c>
      <c r="DC63" s="3390"/>
      <c r="DD63" s="3283"/>
      <c r="DE63" s="3283"/>
      <c r="DF63" s="2028">
        <f t="shared" si="140"/>
        <v>0</v>
      </c>
      <c r="DG63" s="3284">
        <f t="shared" si="117"/>
        <v>0</v>
      </c>
      <c r="DH63" s="3390"/>
      <c r="DI63" s="3283"/>
      <c r="DJ63" s="3283"/>
      <c r="DK63" s="2028">
        <f t="shared" si="141"/>
        <v>0</v>
      </c>
      <c r="DL63" s="3284">
        <f t="shared" si="118"/>
        <v>0</v>
      </c>
      <c r="DM63" s="3390"/>
      <c r="DN63" s="3283">
        <f t="shared" si="142"/>
        <v>28412.178400000001</v>
      </c>
      <c r="DO63" s="3283">
        <f t="shared" si="142"/>
        <v>1469</v>
      </c>
      <c r="DP63" s="3283">
        <f t="shared" si="143"/>
        <v>29881.178400000001</v>
      </c>
      <c r="DQ63" s="3284">
        <f t="shared" si="71"/>
        <v>2.233488899256154E-3</v>
      </c>
      <c r="DR63" s="3295"/>
    </row>
    <row r="64" spans="1:122" ht="13.8" x14ac:dyDescent="0.25">
      <c r="A64" s="1586"/>
      <c r="B64" s="3382" t="s">
        <v>63</v>
      </c>
      <c r="C64" s="3398">
        <v>0</v>
      </c>
      <c r="D64" s="3283">
        <v>0</v>
      </c>
      <c r="E64" s="2028">
        <v>0</v>
      </c>
      <c r="F64" s="3284">
        <v>0</v>
      </c>
      <c r="G64" s="3442"/>
      <c r="H64" s="3283"/>
      <c r="I64" s="3283"/>
      <c r="J64" s="2028">
        <f t="shared" si="119"/>
        <v>0</v>
      </c>
      <c r="K64" s="3284">
        <f t="shared" si="99"/>
        <v>0</v>
      </c>
      <c r="L64" s="3295"/>
      <c r="M64" s="3283"/>
      <c r="N64" s="3283"/>
      <c r="O64" s="2028">
        <f t="shared" si="120"/>
        <v>0</v>
      </c>
      <c r="P64" s="3284">
        <f t="shared" si="121"/>
        <v>0</v>
      </c>
      <c r="Q64" s="3295"/>
      <c r="R64" s="3283"/>
      <c r="S64" s="3283"/>
      <c r="T64" s="2028">
        <f t="shared" si="122"/>
        <v>0</v>
      </c>
      <c r="U64" s="3284">
        <f t="shared" si="100"/>
        <v>0</v>
      </c>
      <c r="V64" s="3295"/>
      <c r="W64" s="3398"/>
      <c r="X64" s="3283"/>
      <c r="Y64" s="2028">
        <f t="shared" si="123"/>
        <v>0</v>
      </c>
      <c r="Z64" s="3284">
        <f t="shared" si="101"/>
        <v>0</v>
      </c>
      <c r="AA64" s="3295"/>
      <c r="AB64" s="3283"/>
      <c r="AC64" s="3283"/>
      <c r="AD64" s="2028">
        <f t="shared" si="124"/>
        <v>0</v>
      </c>
      <c r="AE64" s="3284">
        <f t="shared" si="102"/>
        <v>0</v>
      </c>
      <c r="AF64" s="3295"/>
      <c r="AG64" s="3283"/>
      <c r="AH64" s="3283"/>
      <c r="AI64" s="2028">
        <f t="shared" si="125"/>
        <v>0</v>
      </c>
      <c r="AJ64" s="3284">
        <f t="shared" si="103"/>
        <v>0</v>
      </c>
      <c r="AK64" s="3295"/>
      <c r="AL64" s="3283"/>
      <c r="AM64" s="3283"/>
      <c r="AN64" s="2028">
        <f t="shared" si="126"/>
        <v>0</v>
      </c>
      <c r="AO64" s="3284">
        <f t="shared" si="104"/>
        <v>0</v>
      </c>
      <c r="AP64" s="3295"/>
      <c r="AQ64" s="3283"/>
      <c r="AR64" s="3283"/>
      <c r="AS64" s="2028">
        <f t="shared" si="127"/>
        <v>0</v>
      </c>
      <c r="AT64" s="3284">
        <f t="shared" si="105"/>
        <v>0</v>
      </c>
      <c r="AU64" s="3295"/>
      <c r="AV64" s="3275">
        <v>0</v>
      </c>
      <c r="AW64" s="3275">
        <v>0</v>
      </c>
      <c r="AX64" s="2028">
        <v>0</v>
      </c>
      <c r="AY64" s="3284">
        <v>0</v>
      </c>
      <c r="AZ64" s="3275"/>
      <c r="BA64" s="3275">
        <f t="shared" si="128"/>
        <v>0</v>
      </c>
      <c r="BB64" s="3275">
        <f t="shared" si="128"/>
        <v>0</v>
      </c>
      <c r="BC64" s="2028">
        <f t="shared" si="129"/>
        <v>0</v>
      </c>
      <c r="BD64" s="3284">
        <f t="shared" si="106"/>
        <v>0</v>
      </c>
      <c r="BE64" s="3275"/>
      <c r="BF64" s="3753"/>
      <c r="BG64" s="3753"/>
      <c r="BH64" s="3747">
        <f t="shared" si="130"/>
        <v>0</v>
      </c>
      <c r="BI64" s="3284">
        <f t="shared" si="107"/>
        <v>0</v>
      </c>
      <c r="BJ64" s="3776"/>
      <c r="BK64" s="3283"/>
      <c r="BL64" s="3283"/>
      <c r="BM64" s="2028">
        <f t="shared" si="131"/>
        <v>0</v>
      </c>
      <c r="BN64" s="3284">
        <f t="shared" si="108"/>
        <v>0</v>
      </c>
      <c r="BO64" s="3746"/>
      <c r="BP64" s="3283"/>
      <c r="BQ64" s="3283"/>
      <c r="BR64" s="3283">
        <f t="shared" si="132"/>
        <v>0</v>
      </c>
      <c r="BS64" s="3284">
        <f t="shared" si="109"/>
        <v>0</v>
      </c>
      <c r="BT64" s="3295"/>
      <c r="BU64" s="3283"/>
      <c r="BV64" s="3283"/>
      <c r="BW64" s="2028">
        <f t="shared" si="133"/>
        <v>0</v>
      </c>
      <c r="BX64" s="3284">
        <f t="shared" si="110"/>
        <v>0</v>
      </c>
      <c r="BY64" s="3295"/>
      <c r="BZ64" s="3283"/>
      <c r="CA64" s="3283"/>
      <c r="CB64" s="2028">
        <f t="shared" si="134"/>
        <v>0</v>
      </c>
      <c r="CC64" s="3284">
        <f t="shared" si="111"/>
        <v>0</v>
      </c>
      <c r="CD64" s="3295"/>
      <c r="CE64" s="3283"/>
      <c r="CF64" s="3283"/>
      <c r="CG64" s="2028">
        <f t="shared" si="135"/>
        <v>0</v>
      </c>
      <c r="CH64" s="3284">
        <f t="shared" si="112"/>
        <v>0</v>
      </c>
      <c r="CI64" s="3295"/>
      <c r="CJ64" s="3283"/>
      <c r="CK64" s="3283"/>
      <c r="CL64" s="2028">
        <f t="shared" si="136"/>
        <v>0</v>
      </c>
      <c r="CM64" s="3284">
        <f t="shared" si="113"/>
        <v>0</v>
      </c>
      <c r="CN64" s="3295"/>
      <c r="CO64" s="3283"/>
      <c r="CP64" s="3283"/>
      <c r="CQ64" s="2028">
        <f t="shared" si="137"/>
        <v>0</v>
      </c>
      <c r="CR64" s="3284">
        <f t="shared" si="114"/>
        <v>0</v>
      </c>
      <c r="CS64" s="3295"/>
      <c r="CT64" s="3283"/>
      <c r="CU64" s="3283"/>
      <c r="CV64" s="2028">
        <f t="shared" si="138"/>
        <v>0</v>
      </c>
      <c r="CW64" s="3284">
        <f t="shared" si="115"/>
        <v>0</v>
      </c>
      <c r="CX64" s="3295"/>
      <c r="CY64" s="3283"/>
      <c r="CZ64" s="3283"/>
      <c r="DA64" s="2028">
        <f t="shared" si="139"/>
        <v>0</v>
      </c>
      <c r="DB64" s="3284">
        <f t="shared" si="116"/>
        <v>0</v>
      </c>
      <c r="DC64" s="3295"/>
      <c r="DD64" s="3283"/>
      <c r="DE64" s="3283"/>
      <c r="DF64" s="2028">
        <f t="shared" si="140"/>
        <v>0</v>
      </c>
      <c r="DG64" s="3284">
        <f t="shared" si="117"/>
        <v>0</v>
      </c>
      <c r="DH64" s="3295"/>
      <c r="DI64" s="3283"/>
      <c r="DJ64" s="3283"/>
      <c r="DK64" s="2028">
        <f t="shared" si="141"/>
        <v>0</v>
      </c>
      <c r="DL64" s="3284">
        <f t="shared" si="118"/>
        <v>0</v>
      </c>
      <c r="DM64" s="3295"/>
      <c r="DN64" s="3283">
        <f t="shared" si="142"/>
        <v>0</v>
      </c>
      <c r="DO64" s="3283">
        <f t="shared" si="142"/>
        <v>0</v>
      </c>
      <c r="DP64" s="3283">
        <f t="shared" si="143"/>
        <v>0</v>
      </c>
      <c r="DQ64" s="3284">
        <f t="shared" si="71"/>
        <v>0</v>
      </c>
      <c r="DR64" s="3295"/>
    </row>
    <row r="65" spans="1:122" ht="13.8" x14ac:dyDescent="0.25">
      <c r="A65" s="1586"/>
      <c r="B65" s="3382" t="s">
        <v>36</v>
      </c>
      <c r="C65" s="3288">
        <v>0</v>
      </c>
      <c r="D65" s="3274">
        <v>0</v>
      </c>
      <c r="E65" s="2028">
        <v>0</v>
      </c>
      <c r="F65" s="3284">
        <v>0</v>
      </c>
      <c r="G65" s="3442"/>
      <c r="H65" s="3274"/>
      <c r="I65" s="3274">
        <v>4800</v>
      </c>
      <c r="J65" s="2028">
        <f t="shared" si="119"/>
        <v>4800</v>
      </c>
      <c r="K65" s="3284">
        <f>J65/$J$89</f>
        <v>5.3539449739423081E-3</v>
      </c>
      <c r="L65" s="3295" t="s">
        <v>1013</v>
      </c>
      <c r="M65" s="3274"/>
      <c r="N65" s="3274"/>
      <c r="O65" s="2028">
        <f t="shared" si="120"/>
        <v>0</v>
      </c>
      <c r="P65" s="3284">
        <f t="shared" si="121"/>
        <v>0</v>
      </c>
      <c r="Q65" s="3274"/>
      <c r="R65" s="3274"/>
      <c r="S65" s="3274"/>
      <c r="T65" s="2028">
        <f t="shared" si="122"/>
        <v>0</v>
      </c>
      <c r="U65" s="3284">
        <f t="shared" si="100"/>
        <v>0</v>
      </c>
      <c r="V65" s="3274"/>
      <c r="W65" s="3288"/>
      <c r="X65" s="3274"/>
      <c r="Y65" s="2028">
        <f t="shared" si="123"/>
        <v>0</v>
      </c>
      <c r="Z65" s="3284">
        <f t="shared" si="101"/>
        <v>0</v>
      </c>
      <c r="AA65" s="3274"/>
      <c r="AB65" s="3274"/>
      <c r="AC65" s="3274"/>
      <c r="AD65" s="2028">
        <f t="shared" si="124"/>
        <v>0</v>
      </c>
      <c r="AE65" s="3284">
        <f t="shared" si="102"/>
        <v>0</v>
      </c>
      <c r="AF65" s="3274"/>
      <c r="AG65" s="3274"/>
      <c r="AH65" s="3274">
        <f>600+700</f>
        <v>1300</v>
      </c>
      <c r="AI65" s="2028">
        <f t="shared" si="125"/>
        <v>1300</v>
      </c>
      <c r="AJ65" s="3284">
        <f t="shared" si="103"/>
        <v>3.7437061247080059E-3</v>
      </c>
      <c r="AK65" s="3274" t="s">
        <v>1307</v>
      </c>
      <c r="AL65" s="3274"/>
      <c r="AM65" s="3274"/>
      <c r="AN65" s="2028">
        <f t="shared" si="126"/>
        <v>0</v>
      </c>
      <c r="AO65" s="3284">
        <f t="shared" si="104"/>
        <v>0</v>
      </c>
      <c r="AP65" s="3274"/>
      <c r="AQ65" s="3274"/>
      <c r="AR65" s="3274"/>
      <c r="AS65" s="2028">
        <f t="shared" si="127"/>
        <v>0</v>
      </c>
      <c r="AT65" s="3284">
        <f t="shared" si="105"/>
        <v>0</v>
      </c>
      <c r="AU65" s="3274"/>
      <c r="AV65" s="3275">
        <v>0</v>
      </c>
      <c r="AW65" s="3275">
        <v>0</v>
      </c>
      <c r="AX65" s="2028">
        <v>0</v>
      </c>
      <c r="AY65" s="3284">
        <v>0</v>
      </c>
      <c r="AZ65" s="3275"/>
      <c r="BA65" s="3275">
        <f t="shared" si="128"/>
        <v>0</v>
      </c>
      <c r="BB65" s="3275">
        <f t="shared" si="128"/>
        <v>0</v>
      </c>
      <c r="BC65" s="2028">
        <f t="shared" si="129"/>
        <v>0</v>
      </c>
      <c r="BD65" s="3284">
        <f t="shared" si="106"/>
        <v>0</v>
      </c>
      <c r="BE65" s="3275"/>
      <c r="BF65" s="3744"/>
      <c r="BG65" s="3744"/>
      <c r="BH65" s="3747">
        <f t="shared" si="130"/>
        <v>0</v>
      </c>
      <c r="BI65" s="3284">
        <f t="shared" si="107"/>
        <v>0</v>
      </c>
      <c r="BJ65" s="3744"/>
      <c r="BK65" s="3274"/>
      <c r="BL65" s="3274"/>
      <c r="BM65" s="2028">
        <f t="shared" si="131"/>
        <v>0</v>
      </c>
      <c r="BN65" s="3284">
        <f t="shared" si="108"/>
        <v>0</v>
      </c>
      <c r="BO65" s="3746"/>
      <c r="BP65" s="3274"/>
      <c r="BQ65" s="3274"/>
      <c r="BR65" s="3283">
        <f t="shared" si="132"/>
        <v>0</v>
      </c>
      <c r="BS65" s="3284">
        <f t="shared" si="109"/>
        <v>0</v>
      </c>
      <c r="BT65" s="3295"/>
      <c r="BU65" s="3274"/>
      <c r="BV65" s="3274"/>
      <c r="BW65" s="2028">
        <f t="shared" si="133"/>
        <v>0</v>
      </c>
      <c r="BX65" s="3284">
        <f t="shared" si="110"/>
        <v>0</v>
      </c>
      <c r="BY65" s="3295"/>
      <c r="BZ65" s="3274"/>
      <c r="CA65" s="3274"/>
      <c r="CB65" s="2028">
        <f t="shared" si="134"/>
        <v>0</v>
      </c>
      <c r="CC65" s="3284">
        <f t="shared" si="111"/>
        <v>0</v>
      </c>
      <c r="CD65" s="3295"/>
      <c r="CE65" s="3274"/>
      <c r="CF65" s="3274"/>
      <c r="CG65" s="2028">
        <f t="shared" si="135"/>
        <v>0</v>
      </c>
      <c r="CH65" s="3284">
        <f t="shared" si="112"/>
        <v>0</v>
      </c>
      <c r="CI65" s="3295"/>
      <c r="CJ65" s="3274"/>
      <c r="CK65" s="3274"/>
      <c r="CL65" s="2028">
        <f t="shared" si="136"/>
        <v>0</v>
      </c>
      <c r="CM65" s="3284">
        <f t="shared" si="113"/>
        <v>0</v>
      </c>
      <c r="CN65" s="3295"/>
      <c r="CO65" s="3274"/>
      <c r="CP65" s="3274"/>
      <c r="CQ65" s="2028">
        <f t="shared" si="137"/>
        <v>0</v>
      </c>
      <c r="CR65" s="3284">
        <f t="shared" si="114"/>
        <v>0</v>
      </c>
      <c r="CS65" s="3295"/>
      <c r="CT65" s="3274"/>
      <c r="CU65" s="3274"/>
      <c r="CV65" s="2028">
        <f t="shared" si="138"/>
        <v>0</v>
      </c>
      <c r="CW65" s="3284">
        <f t="shared" si="115"/>
        <v>0</v>
      </c>
      <c r="CX65" s="3295"/>
      <c r="CY65" s="3274"/>
      <c r="CZ65" s="3274"/>
      <c r="DA65" s="2028">
        <f t="shared" si="139"/>
        <v>0</v>
      </c>
      <c r="DB65" s="3284">
        <f t="shared" si="116"/>
        <v>0</v>
      </c>
      <c r="DC65" s="3295"/>
      <c r="DD65" s="3274"/>
      <c r="DE65" s="3274"/>
      <c r="DF65" s="2028">
        <f t="shared" si="140"/>
        <v>0</v>
      </c>
      <c r="DG65" s="3284">
        <f t="shared" si="117"/>
        <v>0</v>
      </c>
      <c r="DH65" s="3295"/>
      <c r="DI65" s="3274"/>
      <c r="DJ65" s="3274"/>
      <c r="DK65" s="2028">
        <f t="shared" si="141"/>
        <v>0</v>
      </c>
      <c r="DL65" s="3284">
        <f t="shared" si="118"/>
        <v>0</v>
      </c>
      <c r="DM65" s="3295"/>
      <c r="DN65" s="3283">
        <f t="shared" si="142"/>
        <v>0</v>
      </c>
      <c r="DO65" s="3283">
        <f t="shared" si="142"/>
        <v>1300</v>
      </c>
      <c r="DP65" s="3283">
        <f t="shared" si="143"/>
        <v>1300</v>
      </c>
      <c r="DQ65" s="3284">
        <f t="shared" si="71"/>
        <v>9.7169379673226023E-5</v>
      </c>
      <c r="DR65" s="3295"/>
    </row>
    <row r="66" spans="1:122" s="1411" customFormat="1" ht="13.8" x14ac:dyDescent="0.25">
      <c r="A66" s="1586"/>
      <c r="B66" s="3382" t="s">
        <v>37</v>
      </c>
      <c r="C66" s="3288">
        <v>0</v>
      </c>
      <c r="D66" s="3274">
        <v>0</v>
      </c>
      <c r="E66" s="2028">
        <v>0</v>
      </c>
      <c r="F66" s="3284">
        <v>0</v>
      </c>
      <c r="G66" s="3442"/>
      <c r="H66" s="3274"/>
      <c r="I66" s="3274"/>
      <c r="J66" s="2028">
        <f t="shared" si="119"/>
        <v>0</v>
      </c>
      <c r="K66" s="3284">
        <f t="shared" si="99"/>
        <v>0</v>
      </c>
      <c r="L66" s="3295"/>
      <c r="M66" s="3274"/>
      <c r="N66" s="3274"/>
      <c r="O66" s="2028">
        <f t="shared" si="120"/>
        <v>0</v>
      </c>
      <c r="P66" s="3284">
        <f t="shared" si="121"/>
        <v>0</v>
      </c>
      <c r="Q66" s="3274"/>
      <c r="R66" s="3274"/>
      <c r="S66" s="3274"/>
      <c r="T66" s="2028">
        <f t="shared" si="122"/>
        <v>0</v>
      </c>
      <c r="U66" s="3284">
        <f t="shared" si="100"/>
        <v>0</v>
      </c>
      <c r="V66" s="3274"/>
      <c r="W66" s="3288"/>
      <c r="X66" s="3274"/>
      <c r="Y66" s="2028">
        <f t="shared" si="123"/>
        <v>0</v>
      </c>
      <c r="Z66" s="3284">
        <f t="shared" si="101"/>
        <v>0</v>
      </c>
      <c r="AA66" s="3274"/>
      <c r="AB66" s="3274"/>
      <c r="AC66" s="3274"/>
      <c r="AD66" s="2028">
        <f t="shared" si="124"/>
        <v>0</v>
      </c>
      <c r="AE66" s="3284">
        <f t="shared" si="102"/>
        <v>0</v>
      </c>
      <c r="AF66" s="3274"/>
      <c r="AG66" s="3274"/>
      <c r="AH66" s="3274"/>
      <c r="AI66" s="2028">
        <f t="shared" si="125"/>
        <v>0</v>
      </c>
      <c r="AJ66" s="3284">
        <f t="shared" si="103"/>
        <v>0</v>
      </c>
      <c r="AK66" s="3274"/>
      <c r="AL66" s="3274"/>
      <c r="AM66" s="3274"/>
      <c r="AN66" s="2028">
        <f t="shared" si="126"/>
        <v>0</v>
      </c>
      <c r="AO66" s="3284">
        <f t="shared" si="104"/>
        <v>0</v>
      </c>
      <c r="AP66" s="3274"/>
      <c r="AQ66" s="3274"/>
      <c r="AR66" s="3274"/>
      <c r="AS66" s="2028">
        <f t="shared" si="127"/>
        <v>0</v>
      </c>
      <c r="AT66" s="3284">
        <f t="shared" si="105"/>
        <v>0</v>
      </c>
      <c r="AU66" s="3274"/>
      <c r="AV66" s="3275">
        <v>0</v>
      </c>
      <c r="AW66" s="3275">
        <v>0</v>
      </c>
      <c r="AX66" s="2028">
        <v>0</v>
      </c>
      <c r="AY66" s="3284">
        <v>0</v>
      </c>
      <c r="AZ66" s="3275"/>
      <c r="BA66" s="3275">
        <f t="shared" si="128"/>
        <v>0</v>
      </c>
      <c r="BB66" s="3275">
        <f t="shared" si="128"/>
        <v>0</v>
      </c>
      <c r="BC66" s="2028">
        <f t="shared" si="129"/>
        <v>0</v>
      </c>
      <c r="BD66" s="3284">
        <f t="shared" si="106"/>
        <v>0</v>
      </c>
      <c r="BE66" s="3275"/>
      <c r="BF66" s="3744"/>
      <c r="BG66" s="3744"/>
      <c r="BH66" s="3747">
        <f t="shared" si="130"/>
        <v>0</v>
      </c>
      <c r="BI66" s="3284">
        <f t="shared" si="107"/>
        <v>0</v>
      </c>
      <c r="BJ66" s="3744"/>
      <c r="BK66" s="3274"/>
      <c r="BL66" s="3274"/>
      <c r="BM66" s="2028">
        <f t="shared" si="131"/>
        <v>0</v>
      </c>
      <c r="BN66" s="3284">
        <f t="shared" si="108"/>
        <v>0</v>
      </c>
      <c r="BO66" s="3746"/>
      <c r="BP66" s="3274"/>
      <c r="BQ66" s="3274"/>
      <c r="BR66" s="3283">
        <f t="shared" si="132"/>
        <v>0</v>
      </c>
      <c r="BS66" s="3284">
        <f t="shared" si="109"/>
        <v>0</v>
      </c>
      <c r="BT66" s="3295"/>
      <c r="BU66" s="3274"/>
      <c r="BV66" s="3274"/>
      <c r="BW66" s="2028">
        <f t="shared" si="133"/>
        <v>0</v>
      </c>
      <c r="BX66" s="3284">
        <f t="shared" si="110"/>
        <v>0</v>
      </c>
      <c r="BY66" s="3295"/>
      <c r="BZ66" s="3274"/>
      <c r="CA66" s="3274"/>
      <c r="CB66" s="2028">
        <f t="shared" si="134"/>
        <v>0</v>
      </c>
      <c r="CC66" s="3284">
        <f t="shared" si="111"/>
        <v>0</v>
      </c>
      <c r="CD66" s="3295"/>
      <c r="CE66" s="3274"/>
      <c r="CF66" s="3274"/>
      <c r="CG66" s="2028">
        <f t="shared" si="135"/>
        <v>0</v>
      </c>
      <c r="CH66" s="3284">
        <f t="shared" si="112"/>
        <v>0</v>
      </c>
      <c r="CI66" s="3295"/>
      <c r="CJ66" s="3274"/>
      <c r="CK66" s="3274"/>
      <c r="CL66" s="2028">
        <f t="shared" si="136"/>
        <v>0</v>
      </c>
      <c r="CM66" s="3284">
        <f t="shared" si="113"/>
        <v>0</v>
      </c>
      <c r="CN66" s="3295"/>
      <c r="CO66" s="3274"/>
      <c r="CP66" s="3274"/>
      <c r="CQ66" s="2028">
        <f t="shared" si="137"/>
        <v>0</v>
      </c>
      <c r="CR66" s="3284">
        <f t="shared" si="114"/>
        <v>0</v>
      </c>
      <c r="CS66" s="3295"/>
      <c r="CT66" s="3274"/>
      <c r="CU66" s="3274"/>
      <c r="CV66" s="2028">
        <f t="shared" si="138"/>
        <v>0</v>
      </c>
      <c r="CW66" s="3284">
        <f t="shared" si="115"/>
        <v>0</v>
      </c>
      <c r="CX66" s="3295"/>
      <c r="CY66" s="3274"/>
      <c r="CZ66" s="3274"/>
      <c r="DA66" s="2028">
        <f t="shared" si="139"/>
        <v>0</v>
      </c>
      <c r="DB66" s="3284">
        <f t="shared" si="116"/>
        <v>0</v>
      </c>
      <c r="DC66" s="3295"/>
      <c r="DD66" s="3274"/>
      <c r="DE66" s="3274"/>
      <c r="DF66" s="2028">
        <f t="shared" si="140"/>
        <v>0</v>
      </c>
      <c r="DG66" s="3284">
        <f t="shared" si="117"/>
        <v>0</v>
      </c>
      <c r="DH66" s="3295"/>
      <c r="DI66" s="3274"/>
      <c r="DJ66" s="3274"/>
      <c r="DK66" s="2028">
        <f t="shared" si="141"/>
        <v>0</v>
      </c>
      <c r="DL66" s="3284">
        <f t="shared" si="118"/>
        <v>0</v>
      </c>
      <c r="DM66" s="3295"/>
      <c r="DN66" s="3283">
        <f t="shared" si="142"/>
        <v>0</v>
      </c>
      <c r="DO66" s="3283">
        <f t="shared" si="142"/>
        <v>0</v>
      </c>
      <c r="DP66" s="3283">
        <f t="shared" si="143"/>
        <v>0</v>
      </c>
      <c r="DQ66" s="3284">
        <f t="shared" si="71"/>
        <v>0</v>
      </c>
      <c r="DR66" s="3295"/>
    </row>
    <row r="67" spans="1:122" s="1411" customFormat="1" ht="16.2" customHeight="1" x14ac:dyDescent="0.25">
      <c r="A67" s="1586"/>
      <c r="B67" s="3382" t="s">
        <v>3</v>
      </c>
      <c r="C67" s="3288">
        <v>3660</v>
      </c>
      <c r="D67" s="3274">
        <v>0</v>
      </c>
      <c r="E67" s="2028">
        <v>3660</v>
      </c>
      <c r="F67" s="3284">
        <v>3.5601211013271681E-4</v>
      </c>
      <c r="G67" s="3442"/>
      <c r="H67" s="3274"/>
      <c r="I67" s="3274"/>
      <c r="J67" s="2028">
        <f t="shared" si="119"/>
        <v>0</v>
      </c>
      <c r="K67" s="3284">
        <f t="shared" si="99"/>
        <v>0</v>
      </c>
      <c r="L67" s="3295"/>
      <c r="M67" s="3274">
        <v>7984</v>
      </c>
      <c r="N67" s="3274">
        <v>2324</v>
      </c>
      <c r="O67" s="2028">
        <f t="shared" si="120"/>
        <v>10308</v>
      </c>
      <c r="P67" s="3284">
        <f t="shared" si="121"/>
        <v>7.302734891455877E-3</v>
      </c>
      <c r="Q67" s="3275" t="s">
        <v>1041</v>
      </c>
      <c r="R67" s="3274"/>
      <c r="S67" s="3274"/>
      <c r="T67" s="2028">
        <f t="shared" si="122"/>
        <v>0</v>
      </c>
      <c r="U67" s="3284">
        <f t="shared" si="100"/>
        <v>0</v>
      </c>
      <c r="V67" s="3274"/>
      <c r="W67" s="3288"/>
      <c r="X67" s="3274"/>
      <c r="Y67" s="2028">
        <f t="shared" si="123"/>
        <v>0</v>
      </c>
      <c r="Z67" s="3284">
        <f t="shared" si="101"/>
        <v>0</v>
      </c>
      <c r="AA67" s="3274"/>
      <c r="AB67" s="3274"/>
      <c r="AC67" s="3274"/>
      <c r="AD67" s="2028">
        <f t="shared" si="124"/>
        <v>0</v>
      </c>
      <c r="AE67" s="3284">
        <f t="shared" si="102"/>
        <v>0</v>
      </c>
      <c r="AF67" s="3274"/>
      <c r="AG67" s="3274"/>
      <c r="AH67" s="3274"/>
      <c r="AI67" s="2028">
        <f t="shared" si="125"/>
        <v>0</v>
      </c>
      <c r="AJ67" s="3284">
        <f t="shared" si="103"/>
        <v>0</v>
      </c>
      <c r="AK67" s="3274"/>
      <c r="AL67" s="3274"/>
      <c r="AM67" s="3274"/>
      <c r="AN67" s="2028">
        <f t="shared" si="126"/>
        <v>0</v>
      </c>
      <c r="AO67" s="3284">
        <f t="shared" si="104"/>
        <v>0</v>
      </c>
      <c r="AP67" s="3274"/>
      <c r="AQ67" s="3274"/>
      <c r="AR67" s="3274"/>
      <c r="AS67" s="2028">
        <f t="shared" si="127"/>
        <v>0</v>
      </c>
      <c r="AT67" s="3284">
        <f t="shared" si="105"/>
        <v>0</v>
      </c>
      <c r="AU67" s="3274"/>
      <c r="AV67" s="3275">
        <v>0</v>
      </c>
      <c r="AW67" s="3275">
        <v>0</v>
      </c>
      <c r="AX67" s="2028">
        <v>0</v>
      </c>
      <c r="AY67" s="3284">
        <v>0</v>
      </c>
      <c r="AZ67" s="3275"/>
      <c r="BA67" s="3275">
        <f t="shared" si="128"/>
        <v>0</v>
      </c>
      <c r="BB67" s="3275">
        <f t="shared" si="128"/>
        <v>0</v>
      </c>
      <c r="BC67" s="2028">
        <f t="shared" si="129"/>
        <v>0</v>
      </c>
      <c r="BD67" s="3284">
        <f t="shared" si="106"/>
        <v>0</v>
      </c>
      <c r="BE67" s="3275"/>
      <c r="BF67" s="3744"/>
      <c r="BG67" s="3744"/>
      <c r="BH67" s="3747">
        <f t="shared" si="130"/>
        <v>0</v>
      </c>
      <c r="BI67" s="3284">
        <f t="shared" si="107"/>
        <v>0</v>
      </c>
      <c r="BJ67" s="3744"/>
      <c r="BK67" s="3274"/>
      <c r="BL67" s="3274"/>
      <c r="BM67" s="2028">
        <f t="shared" si="131"/>
        <v>0</v>
      </c>
      <c r="BN67" s="3284">
        <f t="shared" si="108"/>
        <v>0</v>
      </c>
      <c r="BO67" s="3746"/>
      <c r="BP67" s="3274"/>
      <c r="BQ67" s="3274"/>
      <c r="BR67" s="3283">
        <f t="shared" si="132"/>
        <v>0</v>
      </c>
      <c r="BS67" s="3284">
        <f t="shared" si="109"/>
        <v>0</v>
      </c>
      <c r="BT67" s="3295"/>
      <c r="BU67" s="3274"/>
      <c r="BV67" s="3274"/>
      <c r="BW67" s="2028">
        <f t="shared" si="133"/>
        <v>0</v>
      </c>
      <c r="BX67" s="3284">
        <f t="shared" si="110"/>
        <v>0</v>
      </c>
      <c r="BY67" s="3295"/>
      <c r="BZ67" s="3274"/>
      <c r="CA67" s="3274"/>
      <c r="CB67" s="2028">
        <f t="shared" si="134"/>
        <v>0</v>
      </c>
      <c r="CC67" s="3284">
        <f t="shared" si="111"/>
        <v>0</v>
      </c>
      <c r="CD67" s="3295"/>
      <c r="CE67" s="3274"/>
      <c r="CF67" s="3274"/>
      <c r="CG67" s="2028">
        <f t="shared" si="135"/>
        <v>0</v>
      </c>
      <c r="CH67" s="3284">
        <f t="shared" si="112"/>
        <v>0</v>
      </c>
      <c r="CI67" s="3295"/>
      <c r="CJ67" s="3274"/>
      <c r="CK67" s="3274"/>
      <c r="CL67" s="2028">
        <f t="shared" si="136"/>
        <v>0</v>
      </c>
      <c r="CM67" s="3284">
        <f t="shared" si="113"/>
        <v>0</v>
      </c>
      <c r="CN67" s="3295"/>
      <c r="CO67" s="3274"/>
      <c r="CP67" s="3274"/>
      <c r="CQ67" s="2028">
        <f t="shared" si="137"/>
        <v>0</v>
      </c>
      <c r="CR67" s="3284">
        <f t="shared" si="114"/>
        <v>0</v>
      </c>
      <c r="CS67" s="3295"/>
      <c r="CT67" s="3274"/>
      <c r="CU67" s="3274"/>
      <c r="CV67" s="2028">
        <f t="shared" si="138"/>
        <v>0</v>
      </c>
      <c r="CW67" s="3284">
        <f t="shared" si="115"/>
        <v>0</v>
      </c>
      <c r="CX67" s="3295"/>
      <c r="CY67" s="3274"/>
      <c r="CZ67" s="3274"/>
      <c r="DA67" s="2028">
        <f t="shared" si="139"/>
        <v>0</v>
      </c>
      <c r="DB67" s="3284">
        <f t="shared" si="116"/>
        <v>0</v>
      </c>
      <c r="DC67" s="3295"/>
      <c r="DD67" s="3274"/>
      <c r="DE67" s="3274"/>
      <c r="DF67" s="2028">
        <f t="shared" si="140"/>
        <v>0</v>
      </c>
      <c r="DG67" s="3284">
        <f t="shared" si="117"/>
        <v>0</v>
      </c>
      <c r="DH67" s="3295"/>
      <c r="DI67" s="3274"/>
      <c r="DJ67" s="3274"/>
      <c r="DK67" s="2028">
        <f t="shared" si="141"/>
        <v>0</v>
      </c>
      <c r="DL67" s="3284">
        <f t="shared" si="118"/>
        <v>0</v>
      </c>
      <c r="DM67" s="3295"/>
      <c r="DN67" s="3283">
        <f t="shared" si="142"/>
        <v>0</v>
      </c>
      <c r="DO67" s="3283">
        <f t="shared" si="142"/>
        <v>0</v>
      </c>
      <c r="DP67" s="3283">
        <f t="shared" si="143"/>
        <v>0</v>
      </c>
      <c r="DQ67" s="3284">
        <f t="shared" si="71"/>
        <v>0</v>
      </c>
      <c r="DR67" s="3295"/>
    </row>
    <row r="68" spans="1:122" s="1411" customFormat="1" ht="13.8" x14ac:dyDescent="0.25">
      <c r="A68" s="1586"/>
      <c r="B68" s="3382" t="s">
        <v>5</v>
      </c>
      <c r="C68" s="3288">
        <v>0</v>
      </c>
      <c r="D68" s="3274">
        <v>15574.4</v>
      </c>
      <c r="E68" s="2028">
        <v>15574.4</v>
      </c>
      <c r="F68" s="3284">
        <v>1.5149385267898864E-3</v>
      </c>
      <c r="G68" s="3442"/>
      <c r="H68" s="3274"/>
      <c r="I68" s="3274">
        <f>838-'Форд Тягач'!I68</f>
        <v>814.03</v>
      </c>
      <c r="J68" s="2028">
        <f t="shared" si="119"/>
        <v>814.03</v>
      </c>
      <c r="K68" s="3284">
        <f t="shared" si="99"/>
        <v>9.0797329732047018E-4</v>
      </c>
      <c r="L68" s="3295"/>
      <c r="M68" s="3274"/>
      <c r="N68" s="3274">
        <f>2003+308</f>
        <v>2311</v>
      </c>
      <c r="O68" s="2028">
        <f t="shared" si="120"/>
        <v>2311</v>
      </c>
      <c r="P68" s="3284">
        <f t="shared" si="121"/>
        <v>1.637235189576497E-3</v>
      </c>
      <c r="Q68" s="3274"/>
      <c r="R68" s="3274"/>
      <c r="S68" s="3274">
        <v>423</v>
      </c>
      <c r="T68" s="2028">
        <f t="shared" si="122"/>
        <v>423</v>
      </c>
      <c r="U68" s="3284">
        <f t="shared" si="100"/>
        <v>1.2181443775011436E-3</v>
      </c>
      <c r="V68" s="3274"/>
      <c r="W68" s="3288"/>
      <c r="X68" s="3274">
        <v>1048.68</v>
      </c>
      <c r="Y68" s="2028">
        <f t="shared" si="123"/>
        <v>1048.68</v>
      </c>
      <c r="Z68" s="3284">
        <f t="shared" si="101"/>
        <v>3.0199613375836861E-3</v>
      </c>
      <c r="AA68" s="3274" t="s">
        <v>546</v>
      </c>
      <c r="AB68" s="3274"/>
      <c r="AC68" s="3274">
        <v>520.9</v>
      </c>
      <c r="AD68" s="2028">
        <f t="shared" si="124"/>
        <v>520.9</v>
      </c>
      <c r="AE68" s="3284">
        <f t="shared" si="102"/>
        <v>1.5000742464310773E-3</v>
      </c>
      <c r="AF68" s="3274"/>
      <c r="AG68" s="3274"/>
      <c r="AH68" s="3274">
        <v>1479.27</v>
      </c>
      <c r="AI68" s="2028">
        <f t="shared" si="125"/>
        <v>1479.27</v>
      </c>
      <c r="AJ68" s="3284">
        <f t="shared" si="103"/>
        <v>4.2599631993052401E-3</v>
      </c>
      <c r="AK68" s="3274" t="s">
        <v>546</v>
      </c>
      <c r="AL68" s="3274"/>
      <c r="AM68" s="3274">
        <v>755</v>
      </c>
      <c r="AN68" s="2028">
        <f t="shared" si="126"/>
        <v>755</v>
      </c>
      <c r="AO68" s="3284">
        <f t="shared" si="104"/>
        <v>2.1742293262727265E-3</v>
      </c>
      <c r="AP68" s="3274"/>
      <c r="AQ68" s="3274"/>
      <c r="AR68" s="3274">
        <v>1834.21</v>
      </c>
      <c r="AS68" s="2028">
        <f t="shared" si="127"/>
        <v>1834.21</v>
      </c>
      <c r="AT68" s="3284">
        <f t="shared" si="105"/>
        <v>5.282110162308209E-3</v>
      </c>
      <c r="AU68" s="3438" t="s">
        <v>562</v>
      </c>
      <c r="AV68" s="3275">
        <v>2647.17</v>
      </c>
      <c r="AW68" s="3275">
        <v>16405.099999999999</v>
      </c>
      <c r="AX68" s="2028">
        <v>19052.269999999997</v>
      </c>
      <c r="AY68" s="3284">
        <v>5.0959441765626001E-2</v>
      </c>
      <c r="AZ68" s="3275"/>
      <c r="BA68" s="3275">
        <f t="shared" si="128"/>
        <v>184.345</v>
      </c>
      <c r="BB68" s="3275">
        <f t="shared" si="128"/>
        <v>2973</v>
      </c>
      <c r="BC68" s="2028">
        <f t="shared" si="129"/>
        <v>3157.3449999999998</v>
      </c>
      <c r="BD68" s="3284">
        <f t="shared" si="106"/>
        <v>8.445006220334398E-3</v>
      </c>
      <c r="BE68" s="3275"/>
      <c r="BF68" s="3744">
        <f>191.35/2</f>
        <v>95.674999999999997</v>
      </c>
      <c r="BG68" s="3744">
        <f>BG9*0.01+BG55*0.01</f>
        <v>2606</v>
      </c>
      <c r="BH68" s="3747">
        <f t="shared" si="130"/>
        <v>2701.6750000000002</v>
      </c>
      <c r="BI68" s="3284">
        <f t="shared" si="107"/>
        <v>7.7802132649773103E-3</v>
      </c>
      <c r="BJ68" s="3752" t="s">
        <v>2149</v>
      </c>
      <c r="BK68" s="3274"/>
      <c r="BL68" s="3274">
        <v>367</v>
      </c>
      <c r="BM68" s="2028">
        <f t="shared" si="131"/>
        <v>367</v>
      </c>
      <c r="BN68" s="3284">
        <f t="shared" si="108"/>
        <v>3.5698482081613957E-5</v>
      </c>
      <c r="BO68" s="3746" t="s">
        <v>562</v>
      </c>
      <c r="BP68" s="3274">
        <v>88.67</v>
      </c>
      <c r="BQ68" s="3283"/>
      <c r="BR68" s="3283">
        <f t="shared" si="132"/>
        <v>88.67</v>
      </c>
      <c r="BS68" s="3284">
        <f t="shared" si="109"/>
        <v>2.3716720901803608E-4</v>
      </c>
      <c r="BT68" s="3746" t="s">
        <v>562</v>
      </c>
      <c r="BU68" s="3274"/>
      <c r="BV68" s="3274"/>
      <c r="BW68" s="2028">
        <f t="shared" si="133"/>
        <v>0</v>
      </c>
      <c r="BX68" s="3284">
        <f t="shared" si="110"/>
        <v>0</v>
      </c>
      <c r="BY68" s="3274"/>
      <c r="BZ68" s="3274"/>
      <c r="CA68" s="3274"/>
      <c r="CB68" s="2028">
        <f t="shared" si="134"/>
        <v>0</v>
      </c>
      <c r="CC68" s="3284">
        <f t="shared" si="111"/>
        <v>0</v>
      </c>
      <c r="CD68" s="3274"/>
      <c r="CE68" s="3274"/>
      <c r="CF68" s="3274"/>
      <c r="CG68" s="2028">
        <f t="shared" si="135"/>
        <v>0</v>
      </c>
      <c r="CH68" s="3284">
        <f t="shared" si="112"/>
        <v>0</v>
      </c>
      <c r="CI68" s="3274"/>
      <c r="CJ68" s="3274"/>
      <c r="CK68" s="3274"/>
      <c r="CL68" s="2028">
        <f t="shared" si="136"/>
        <v>0</v>
      </c>
      <c r="CM68" s="3284">
        <f t="shared" si="113"/>
        <v>0</v>
      </c>
      <c r="CN68" s="3274"/>
      <c r="CO68" s="3274"/>
      <c r="CP68" s="3274"/>
      <c r="CQ68" s="2028">
        <f t="shared" si="137"/>
        <v>0</v>
      </c>
      <c r="CR68" s="3284">
        <f t="shared" si="114"/>
        <v>0</v>
      </c>
      <c r="CS68" s="3274"/>
      <c r="CT68" s="3274"/>
      <c r="CU68" s="3274"/>
      <c r="CV68" s="2028">
        <f t="shared" si="138"/>
        <v>0</v>
      </c>
      <c r="CW68" s="3284">
        <f t="shared" si="115"/>
        <v>0</v>
      </c>
      <c r="CX68" s="3274"/>
      <c r="CY68" s="3274"/>
      <c r="CZ68" s="3274"/>
      <c r="DA68" s="2028">
        <f t="shared" si="139"/>
        <v>0</v>
      </c>
      <c r="DB68" s="3284">
        <f t="shared" si="116"/>
        <v>0</v>
      </c>
      <c r="DC68" s="3274"/>
      <c r="DD68" s="3274"/>
      <c r="DE68" s="3283"/>
      <c r="DF68" s="2028">
        <f t="shared" si="140"/>
        <v>0</v>
      </c>
      <c r="DG68" s="3284">
        <f t="shared" si="117"/>
        <v>0</v>
      </c>
      <c r="DH68" s="3274"/>
      <c r="DI68" s="3274"/>
      <c r="DJ68" s="3274"/>
      <c r="DK68" s="2028">
        <f t="shared" si="141"/>
        <v>0</v>
      </c>
      <c r="DL68" s="3284">
        <f t="shared" si="118"/>
        <v>0</v>
      </c>
      <c r="DM68" s="3274"/>
      <c r="DN68" s="3283">
        <f t="shared" si="142"/>
        <v>2831.5149999999999</v>
      </c>
      <c r="DO68" s="3283">
        <f t="shared" si="142"/>
        <v>25439.16</v>
      </c>
      <c r="DP68" s="3283">
        <f t="shared" si="143"/>
        <v>28270.674999999999</v>
      </c>
      <c r="DQ68" s="3284">
        <f t="shared" si="71"/>
        <v>2.1131107328410605E-3</v>
      </c>
      <c r="DR68" s="3295"/>
    </row>
    <row r="69" spans="1:122" s="1411" customFormat="1" ht="13.8" x14ac:dyDescent="0.25">
      <c r="A69" s="1586"/>
      <c r="B69" s="3382" t="s">
        <v>42</v>
      </c>
      <c r="C69" s="3288">
        <v>22587.7</v>
      </c>
      <c r="D69" s="3274">
        <v>0</v>
      </c>
      <c r="E69" s="2028">
        <v>22587.7</v>
      </c>
      <c r="F69" s="3284">
        <v>2.1971297103947451E-3</v>
      </c>
      <c r="G69" s="3442"/>
      <c r="H69" s="3274"/>
      <c r="I69" s="3274"/>
      <c r="J69" s="2028">
        <f t="shared" si="119"/>
        <v>0</v>
      </c>
      <c r="K69" s="3284">
        <f t="shared" si="99"/>
        <v>0</v>
      </c>
      <c r="L69" s="3295"/>
      <c r="M69" s="3274"/>
      <c r="N69" s="3274"/>
      <c r="O69" s="2028">
        <f t="shared" si="120"/>
        <v>0</v>
      </c>
      <c r="P69" s="3284">
        <f t="shared" si="121"/>
        <v>0</v>
      </c>
      <c r="Q69" s="3274"/>
      <c r="R69" s="3274"/>
      <c r="S69" s="3274"/>
      <c r="T69" s="2028">
        <f t="shared" si="122"/>
        <v>0</v>
      </c>
      <c r="U69" s="3284">
        <f t="shared" si="100"/>
        <v>0</v>
      </c>
      <c r="V69" s="3274"/>
      <c r="W69" s="3288"/>
      <c r="X69" s="3274"/>
      <c r="Y69" s="2028">
        <f t="shared" si="123"/>
        <v>0</v>
      </c>
      <c r="Z69" s="3284">
        <f t="shared" si="101"/>
        <v>0</v>
      </c>
      <c r="AA69" s="3275"/>
      <c r="AB69" s="3274"/>
      <c r="AC69" s="3274"/>
      <c r="AD69" s="2028">
        <f t="shared" si="124"/>
        <v>0</v>
      </c>
      <c r="AE69" s="3284">
        <f t="shared" si="102"/>
        <v>0</v>
      </c>
      <c r="AF69" s="3275"/>
      <c r="AG69" s="3274"/>
      <c r="AH69" s="3274"/>
      <c r="AI69" s="2028">
        <f t="shared" si="125"/>
        <v>0</v>
      </c>
      <c r="AJ69" s="3284">
        <f t="shared" si="103"/>
        <v>0</v>
      </c>
      <c r="AK69" s="3275"/>
      <c r="AL69" s="3274"/>
      <c r="AM69" s="3274"/>
      <c r="AN69" s="2028">
        <f t="shared" si="126"/>
        <v>0</v>
      </c>
      <c r="AO69" s="3284">
        <f t="shared" si="104"/>
        <v>0</v>
      </c>
      <c r="AP69" s="3275"/>
      <c r="AQ69" s="3274"/>
      <c r="AR69" s="3274"/>
      <c r="AS69" s="2028">
        <f t="shared" si="127"/>
        <v>0</v>
      </c>
      <c r="AT69" s="3284">
        <f t="shared" si="105"/>
        <v>0</v>
      </c>
      <c r="AU69" s="3275"/>
      <c r="AV69" s="3275">
        <v>0</v>
      </c>
      <c r="AW69" s="3275">
        <v>0</v>
      </c>
      <c r="AX69" s="2028">
        <v>0</v>
      </c>
      <c r="AY69" s="3284">
        <v>0</v>
      </c>
      <c r="AZ69" s="3275"/>
      <c r="BA69" s="3275">
        <f t="shared" si="128"/>
        <v>0</v>
      </c>
      <c r="BB69" s="3275">
        <f t="shared" si="128"/>
        <v>0</v>
      </c>
      <c r="BC69" s="2028">
        <f t="shared" si="129"/>
        <v>0</v>
      </c>
      <c r="BD69" s="3284">
        <f t="shared" si="106"/>
        <v>0</v>
      </c>
      <c r="BE69" s="3275"/>
      <c r="BF69" s="3744"/>
      <c r="BG69" s="3744"/>
      <c r="BH69" s="3747">
        <f t="shared" si="130"/>
        <v>0</v>
      </c>
      <c r="BI69" s="3284">
        <f t="shared" si="107"/>
        <v>0</v>
      </c>
      <c r="BJ69" s="3358"/>
      <c r="BK69" s="3274"/>
      <c r="BL69" s="3274"/>
      <c r="BM69" s="2028">
        <f t="shared" si="131"/>
        <v>0</v>
      </c>
      <c r="BN69" s="3284">
        <f t="shared" si="108"/>
        <v>0</v>
      </c>
      <c r="BO69" s="3746"/>
      <c r="BP69" s="3274"/>
      <c r="BQ69" s="3274"/>
      <c r="BR69" s="3283">
        <f t="shared" si="132"/>
        <v>0</v>
      </c>
      <c r="BS69" s="3284">
        <f t="shared" si="109"/>
        <v>0</v>
      </c>
      <c r="BT69" s="3274"/>
      <c r="BU69" s="3274"/>
      <c r="BV69" s="3274"/>
      <c r="BW69" s="2028">
        <f t="shared" si="133"/>
        <v>0</v>
      </c>
      <c r="BX69" s="3284">
        <f t="shared" si="110"/>
        <v>0</v>
      </c>
      <c r="BY69" s="3274"/>
      <c r="BZ69" s="3274"/>
      <c r="CA69" s="3274"/>
      <c r="CB69" s="2028">
        <f t="shared" si="134"/>
        <v>0</v>
      </c>
      <c r="CC69" s="3284">
        <f t="shared" si="111"/>
        <v>0</v>
      </c>
      <c r="CD69" s="3274"/>
      <c r="CE69" s="3274"/>
      <c r="CF69" s="3274"/>
      <c r="CG69" s="2028">
        <f t="shared" si="135"/>
        <v>0</v>
      </c>
      <c r="CH69" s="3284">
        <f t="shared" si="112"/>
        <v>0</v>
      </c>
      <c r="CI69" s="3274"/>
      <c r="CJ69" s="3274"/>
      <c r="CK69" s="3274"/>
      <c r="CL69" s="2028">
        <f t="shared" si="136"/>
        <v>0</v>
      </c>
      <c r="CM69" s="3284">
        <f t="shared" si="113"/>
        <v>0</v>
      </c>
      <c r="CN69" s="3274"/>
      <c r="CO69" s="3274"/>
      <c r="CP69" s="3274"/>
      <c r="CQ69" s="2028">
        <f t="shared" si="137"/>
        <v>0</v>
      </c>
      <c r="CR69" s="3284">
        <f t="shared" si="114"/>
        <v>0</v>
      </c>
      <c r="CS69" s="3274"/>
      <c r="CT69" s="3274"/>
      <c r="CU69" s="3274"/>
      <c r="CV69" s="2028">
        <f t="shared" si="138"/>
        <v>0</v>
      </c>
      <c r="CW69" s="3284">
        <f t="shared" si="115"/>
        <v>0</v>
      </c>
      <c r="CX69" s="3274"/>
      <c r="CY69" s="3274"/>
      <c r="CZ69" s="3274"/>
      <c r="DA69" s="2028">
        <f t="shared" si="139"/>
        <v>0</v>
      </c>
      <c r="DB69" s="3284">
        <f t="shared" si="116"/>
        <v>0</v>
      </c>
      <c r="DC69" s="3274"/>
      <c r="DD69" s="3274"/>
      <c r="DE69" s="3274"/>
      <c r="DF69" s="2028">
        <f t="shared" si="140"/>
        <v>0</v>
      </c>
      <c r="DG69" s="3284">
        <f t="shared" si="117"/>
        <v>0</v>
      </c>
      <c r="DH69" s="3274"/>
      <c r="DI69" s="3274"/>
      <c r="DJ69" s="3274"/>
      <c r="DK69" s="2028">
        <f t="shared" si="141"/>
        <v>0</v>
      </c>
      <c r="DL69" s="3284">
        <f t="shared" si="118"/>
        <v>0</v>
      </c>
      <c r="DM69" s="3274"/>
      <c r="DN69" s="3283">
        <f t="shared" si="142"/>
        <v>0</v>
      </c>
      <c r="DO69" s="3283">
        <f t="shared" si="142"/>
        <v>0</v>
      </c>
      <c r="DP69" s="3283">
        <f t="shared" si="143"/>
        <v>0</v>
      </c>
      <c r="DQ69" s="3284">
        <f t="shared" si="71"/>
        <v>0</v>
      </c>
      <c r="DR69" s="3295"/>
    </row>
    <row r="70" spans="1:122" s="1411" customFormat="1" ht="13.8" x14ac:dyDescent="0.25">
      <c r="A70" s="1586"/>
      <c r="B70" s="3382" t="s">
        <v>6</v>
      </c>
      <c r="C70" s="3288">
        <v>0</v>
      </c>
      <c r="D70" s="3274">
        <v>0</v>
      </c>
      <c r="E70" s="2028">
        <v>0</v>
      </c>
      <c r="F70" s="3284">
        <v>0</v>
      </c>
      <c r="G70" s="3442"/>
      <c r="H70" s="3274">
        <v>700</v>
      </c>
      <c r="I70" s="3274"/>
      <c r="J70" s="2028">
        <f t="shared" si="119"/>
        <v>700</v>
      </c>
      <c r="K70" s="3284">
        <f t="shared" si="99"/>
        <v>7.8078364203325334E-4</v>
      </c>
      <c r="L70" s="3295" t="s">
        <v>993</v>
      </c>
      <c r="M70" s="3274"/>
      <c r="N70" s="3274"/>
      <c r="O70" s="2028">
        <f t="shared" si="120"/>
        <v>0</v>
      </c>
      <c r="P70" s="3284">
        <f t="shared" si="121"/>
        <v>0</v>
      </c>
      <c r="Q70" s="3295"/>
      <c r="R70" s="3274"/>
      <c r="S70" s="3274"/>
      <c r="T70" s="2028">
        <f t="shared" si="122"/>
        <v>0</v>
      </c>
      <c r="U70" s="3284">
        <f t="shared" si="100"/>
        <v>0</v>
      </c>
      <c r="V70" s="3295"/>
      <c r="W70" s="3288"/>
      <c r="X70" s="3274"/>
      <c r="Y70" s="2028">
        <f t="shared" si="123"/>
        <v>0</v>
      </c>
      <c r="Z70" s="3284">
        <f t="shared" si="101"/>
        <v>0</v>
      </c>
      <c r="AA70" s="3295"/>
      <c r="AB70" s="3274"/>
      <c r="AC70" s="3274"/>
      <c r="AD70" s="2028">
        <f t="shared" si="124"/>
        <v>0</v>
      </c>
      <c r="AE70" s="3284">
        <f t="shared" si="102"/>
        <v>0</v>
      </c>
      <c r="AF70" s="3295"/>
      <c r="AG70" s="3274"/>
      <c r="AH70" s="3274"/>
      <c r="AI70" s="2028">
        <f t="shared" si="125"/>
        <v>0</v>
      </c>
      <c r="AJ70" s="3284">
        <f t="shared" si="103"/>
        <v>0</v>
      </c>
      <c r="AK70" s="3295"/>
      <c r="AL70" s="3274"/>
      <c r="AM70" s="3274"/>
      <c r="AN70" s="2028">
        <f t="shared" si="126"/>
        <v>0</v>
      </c>
      <c r="AO70" s="3284">
        <f t="shared" si="104"/>
        <v>0</v>
      </c>
      <c r="AP70" s="3295"/>
      <c r="AQ70" s="3274"/>
      <c r="AR70" s="3274"/>
      <c r="AS70" s="2028">
        <f t="shared" si="127"/>
        <v>0</v>
      </c>
      <c r="AT70" s="3284">
        <f t="shared" si="105"/>
        <v>0</v>
      </c>
      <c r="AU70" s="3295"/>
      <c r="AV70" s="3275">
        <v>0</v>
      </c>
      <c r="AW70" s="3275">
        <v>16364.829999999998</v>
      </c>
      <c r="AX70" s="2028">
        <v>16364.829999999998</v>
      </c>
      <c r="AY70" s="3284">
        <v>4.3771298716077892E-2</v>
      </c>
      <c r="AZ70" s="3275"/>
      <c r="BA70" s="3275">
        <f t="shared" si="128"/>
        <v>0</v>
      </c>
      <c r="BB70" s="3275">
        <f t="shared" si="128"/>
        <v>0</v>
      </c>
      <c r="BC70" s="2028">
        <f t="shared" si="129"/>
        <v>0</v>
      </c>
      <c r="BD70" s="3284">
        <f t="shared" si="106"/>
        <v>0</v>
      </c>
      <c r="BE70" s="3275"/>
      <c r="BF70" s="3744"/>
      <c r="BG70" s="3744"/>
      <c r="BH70" s="3747">
        <f t="shared" si="130"/>
        <v>0</v>
      </c>
      <c r="BI70" s="3284">
        <f t="shared" si="107"/>
        <v>0</v>
      </c>
      <c r="BJ70" s="3776"/>
      <c r="BK70" s="3274"/>
      <c r="BL70" s="3274"/>
      <c r="BM70" s="2028">
        <f t="shared" si="131"/>
        <v>0</v>
      </c>
      <c r="BN70" s="3284">
        <f t="shared" si="108"/>
        <v>0</v>
      </c>
      <c r="BO70" s="3295"/>
      <c r="BP70" s="3274"/>
      <c r="BQ70" s="3274"/>
      <c r="BR70" s="3283">
        <f t="shared" si="132"/>
        <v>0</v>
      </c>
      <c r="BS70" s="3284">
        <f t="shared" si="109"/>
        <v>0</v>
      </c>
      <c r="BT70" s="3295"/>
      <c r="BU70" s="3274"/>
      <c r="BV70" s="3274"/>
      <c r="BW70" s="2028">
        <f t="shared" si="133"/>
        <v>0</v>
      </c>
      <c r="BX70" s="3284">
        <f t="shared" si="110"/>
        <v>0</v>
      </c>
      <c r="BY70" s="3295"/>
      <c r="BZ70" s="3274"/>
      <c r="CA70" s="3274"/>
      <c r="CB70" s="2028">
        <f t="shared" si="134"/>
        <v>0</v>
      </c>
      <c r="CC70" s="3284">
        <f t="shared" si="111"/>
        <v>0</v>
      </c>
      <c r="CD70" s="3295"/>
      <c r="CE70" s="3274"/>
      <c r="CF70" s="3274"/>
      <c r="CG70" s="2028">
        <f t="shared" si="135"/>
        <v>0</v>
      </c>
      <c r="CH70" s="3284">
        <f t="shared" si="112"/>
        <v>0</v>
      </c>
      <c r="CI70" s="3295"/>
      <c r="CJ70" s="3274"/>
      <c r="CK70" s="3274"/>
      <c r="CL70" s="2028">
        <f t="shared" si="136"/>
        <v>0</v>
      </c>
      <c r="CM70" s="3284">
        <f t="shared" si="113"/>
        <v>0</v>
      </c>
      <c r="CN70" s="3295"/>
      <c r="CO70" s="3274"/>
      <c r="CP70" s="3274"/>
      <c r="CQ70" s="2028">
        <f t="shared" si="137"/>
        <v>0</v>
      </c>
      <c r="CR70" s="3284">
        <f t="shared" si="114"/>
        <v>0</v>
      </c>
      <c r="CS70" s="3295"/>
      <c r="CT70" s="3274"/>
      <c r="CU70" s="3274"/>
      <c r="CV70" s="2028">
        <f t="shared" si="138"/>
        <v>0</v>
      </c>
      <c r="CW70" s="3284">
        <f t="shared" si="115"/>
        <v>0</v>
      </c>
      <c r="CX70" s="3295"/>
      <c r="CY70" s="3274"/>
      <c r="CZ70" s="3274"/>
      <c r="DA70" s="2028">
        <f t="shared" si="139"/>
        <v>0</v>
      </c>
      <c r="DB70" s="3284">
        <f t="shared" si="116"/>
        <v>0</v>
      </c>
      <c r="DC70" s="3295"/>
      <c r="DD70" s="3274"/>
      <c r="DE70" s="3274"/>
      <c r="DF70" s="2028">
        <f t="shared" si="140"/>
        <v>0</v>
      </c>
      <c r="DG70" s="3284">
        <f t="shared" si="117"/>
        <v>0</v>
      </c>
      <c r="DH70" s="3295"/>
      <c r="DI70" s="3274"/>
      <c r="DJ70" s="3274"/>
      <c r="DK70" s="2028">
        <f t="shared" si="141"/>
        <v>0</v>
      </c>
      <c r="DL70" s="3284">
        <f t="shared" si="118"/>
        <v>0</v>
      </c>
      <c r="DM70" s="3295"/>
      <c r="DN70" s="3283">
        <f t="shared" si="142"/>
        <v>0</v>
      </c>
      <c r="DO70" s="3283">
        <f t="shared" si="142"/>
        <v>16364.829999999998</v>
      </c>
      <c r="DP70" s="3283">
        <f t="shared" si="143"/>
        <v>16364.829999999998</v>
      </c>
      <c r="DQ70" s="3284">
        <f t="shared" si="71"/>
        <v>1.2232002919675378E-3</v>
      </c>
      <c r="DR70" s="3295"/>
    </row>
    <row r="71" spans="1:122" s="1411" customFormat="1" ht="13.8" x14ac:dyDescent="0.25">
      <c r="A71" s="1586"/>
      <c r="B71" s="3310" t="s">
        <v>78</v>
      </c>
      <c r="C71" s="3288">
        <v>0</v>
      </c>
      <c r="D71" s="3274">
        <v>3600</v>
      </c>
      <c r="E71" s="2028">
        <v>3600</v>
      </c>
      <c r="F71" s="3284">
        <v>3.501758460321805E-4</v>
      </c>
      <c r="G71" s="3143"/>
      <c r="H71" s="3274"/>
      <c r="I71" s="3274"/>
      <c r="J71" s="2028">
        <f t="shared" si="119"/>
        <v>0</v>
      </c>
      <c r="K71" s="3284">
        <f t="shared" si="99"/>
        <v>0</v>
      </c>
      <c r="L71" s="3295"/>
      <c r="M71" s="3274"/>
      <c r="N71" s="3274"/>
      <c r="O71" s="2028">
        <f t="shared" si="120"/>
        <v>0</v>
      </c>
      <c r="P71" s="3284">
        <f t="shared" si="121"/>
        <v>0</v>
      </c>
      <c r="Q71" s="3274"/>
      <c r="R71" s="3274"/>
      <c r="S71" s="3274"/>
      <c r="T71" s="2028">
        <f t="shared" si="122"/>
        <v>0</v>
      </c>
      <c r="U71" s="3284">
        <f t="shared" si="100"/>
        <v>0</v>
      </c>
      <c r="V71" s="3274"/>
      <c r="W71" s="3288"/>
      <c r="X71" s="3274">
        <v>340</v>
      </c>
      <c r="Y71" s="2028">
        <f t="shared" si="123"/>
        <v>340</v>
      </c>
      <c r="Z71" s="3284">
        <f t="shared" si="101"/>
        <v>9.7912314030824781E-4</v>
      </c>
      <c r="AA71" s="3274" t="s">
        <v>1185</v>
      </c>
      <c r="AB71" s="3274"/>
      <c r="AC71" s="3274"/>
      <c r="AD71" s="2028">
        <f t="shared" si="124"/>
        <v>0</v>
      </c>
      <c r="AE71" s="3284">
        <f t="shared" si="102"/>
        <v>0</v>
      </c>
      <c r="AF71" s="3275"/>
      <c r="AG71" s="3274"/>
      <c r="AH71" s="3274"/>
      <c r="AI71" s="2028">
        <f t="shared" si="125"/>
        <v>0</v>
      </c>
      <c r="AJ71" s="3284">
        <f t="shared" si="103"/>
        <v>0</v>
      </c>
      <c r="AK71" s="3275"/>
      <c r="AL71" s="3274"/>
      <c r="AM71" s="3274"/>
      <c r="AN71" s="2028">
        <f t="shared" si="126"/>
        <v>0</v>
      </c>
      <c r="AO71" s="3284">
        <f t="shared" si="104"/>
        <v>0</v>
      </c>
      <c r="AP71" s="3275"/>
      <c r="AQ71" s="3274"/>
      <c r="AR71" s="3274"/>
      <c r="AS71" s="2028">
        <f t="shared" si="127"/>
        <v>0</v>
      </c>
      <c r="AT71" s="3284">
        <f t="shared" si="105"/>
        <v>0</v>
      </c>
      <c r="AU71" s="3275"/>
      <c r="AV71" s="3275">
        <v>0</v>
      </c>
      <c r="AW71" s="3275">
        <v>0</v>
      </c>
      <c r="AX71" s="2028">
        <v>0</v>
      </c>
      <c r="AY71" s="3284">
        <v>0</v>
      </c>
      <c r="AZ71" s="3275"/>
      <c r="BA71" s="3275">
        <f t="shared" si="128"/>
        <v>0</v>
      </c>
      <c r="BB71" s="3275">
        <f t="shared" si="128"/>
        <v>0</v>
      </c>
      <c r="BC71" s="2028">
        <f t="shared" si="129"/>
        <v>0</v>
      </c>
      <c r="BD71" s="3284">
        <f t="shared" si="106"/>
        <v>0</v>
      </c>
      <c r="BE71" s="3275"/>
      <c r="BF71" s="3744"/>
      <c r="BG71" s="3744"/>
      <c r="BH71" s="3747">
        <f t="shared" si="130"/>
        <v>0</v>
      </c>
      <c r="BI71" s="3284">
        <f t="shared" si="107"/>
        <v>0</v>
      </c>
      <c r="BJ71" s="3358"/>
      <c r="BK71" s="3274"/>
      <c r="BL71" s="3274"/>
      <c r="BM71" s="2028">
        <f t="shared" si="131"/>
        <v>0</v>
      </c>
      <c r="BN71" s="3284">
        <f t="shared" si="108"/>
        <v>0</v>
      </c>
      <c r="BO71" s="3274"/>
      <c r="BP71" s="3274"/>
      <c r="BQ71" s="3274"/>
      <c r="BR71" s="3283">
        <f t="shared" si="132"/>
        <v>0</v>
      </c>
      <c r="BS71" s="3284">
        <f t="shared" si="109"/>
        <v>0</v>
      </c>
      <c r="BT71" s="3274"/>
      <c r="BU71" s="3274"/>
      <c r="BV71" s="3274"/>
      <c r="BW71" s="2028">
        <f t="shared" si="133"/>
        <v>0</v>
      </c>
      <c r="BX71" s="3284">
        <f t="shared" si="110"/>
        <v>0</v>
      </c>
      <c r="BY71" s="3274"/>
      <c r="BZ71" s="3274"/>
      <c r="CA71" s="3274"/>
      <c r="CB71" s="2028">
        <f t="shared" si="134"/>
        <v>0</v>
      </c>
      <c r="CC71" s="3284">
        <f t="shared" si="111"/>
        <v>0</v>
      </c>
      <c r="CD71" s="3274"/>
      <c r="CE71" s="3274"/>
      <c r="CF71" s="3274"/>
      <c r="CG71" s="2028">
        <f t="shared" si="135"/>
        <v>0</v>
      </c>
      <c r="CH71" s="3284">
        <f t="shared" si="112"/>
        <v>0</v>
      </c>
      <c r="CI71" s="3274"/>
      <c r="CJ71" s="3274"/>
      <c r="CK71" s="3274"/>
      <c r="CL71" s="2028">
        <f t="shared" si="136"/>
        <v>0</v>
      </c>
      <c r="CM71" s="3284">
        <f t="shared" si="113"/>
        <v>0</v>
      </c>
      <c r="CN71" s="3274"/>
      <c r="CO71" s="3274"/>
      <c r="CP71" s="3274"/>
      <c r="CQ71" s="2028">
        <f t="shared" si="137"/>
        <v>0</v>
      </c>
      <c r="CR71" s="3284">
        <f t="shared" si="114"/>
        <v>0</v>
      </c>
      <c r="CS71" s="3274"/>
      <c r="CT71" s="3274"/>
      <c r="CU71" s="3274"/>
      <c r="CV71" s="2028">
        <f t="shared" si="138"/>
        <v>0</v>
      </c>
      <c r="CW71" s="3284">
        <f t="shared" si="115"/>
        <v>0</v>
      </c>
      <c r="CX71" s="3274"/>
      <c r="CY71" s="3274"/>
      <c r="CZ71" s="3274"/>
      <c r="DA71" s="2028">
        <f t="shared" si="139"/>
        <v>0</v>
      </c>
      <c r="DB71" s="3284">
        <f t="shared" si="116"/>
        <v>0</v>
      </c>
      <c r="DC71" s="3274"/>
      <c r="DD71" s="3274"/>
      <c r="DE71" s="3274"/>
      <c r="DF71" s="2028">
        <f t="shared" si="140"/>
        <v>0</v>
      </c>
      <c r="DG71" s="3284">
        <f t="shared" si="117"/>
        <v>0</v>
      </c>
      <c r="DH71" s="3274"/>
      <c r="DI71" s="3274"/>
      <c r="DJ71" s="3274"/>
      <c r="DK71" s="2028">
        <f t="shared" si="141"/>
        <v>0</v>
      </c>
      <c r="DL71" s="3284">
        <f t="shared" si="118"/>
        <v>0</v>
      </c>
      <c r="DM71" s="3274"/>
      <c r="DN71" s="3283">
        <f t="shared" si="142"/>
        <v>0</v>
      </c>
      <c r="DO71" s="3283">
        <f t="shared" si="142"/>
        <v>340</v>
      </c>
      <c r="DP71" s="3283">
        <f t="shared" si="143"/>
        <v>340</v>
      </c>
      <c r="DQ71" s="3284">
        <f t="shared" si="71"/>
        <v>2.5413530068382188E-5</v>
      </c>
      <c r="DR71" s="3295"/>
    </row>
    <row r="72" spans="1:122" s="1411" customFormat="1" ht="14.4" thickBot="1" x14ac:dyDescent="0.3">
      <c r="A72" s="1586"/>
      <c r="B72" s="3310"/>
      <c r="C72" s="3288">
        <v>0</v>
      </c>
      <c r="D72" s="3274">
        <v>0</v>
      </c>
      <c r="E72" s="2028"/>
      <c r="F72" s="3284">
        <v>0</v>
      </c>
      <c r="G72" s="3143"/>
      <c r="H72" s="3274"/>
      <c r="I72" s="3274"/>
      <c r="J72" s="2028"/>
      <c r="K72" s="3284">
        <f t="shared" si="99"/>
        <v>0</v>
      </c>
      <c r="L72" s="3295"/>
      <c r="M72" s="3274"/>
      <c r="N72" s="3274"/>
      <c r="O72" s="2028"/>
      <c r="P72" s="3284">
        <f t="shared" si="121"/>
        <v>0</v>
      </c>
      <c r="Q72" s="3295"/>
      <c r="R72" s="3274"/>
      <c r="S72" s="3274"/>
      <c r="T72" s="2028"/>
      <c r="U72" s="3284">
        <f t="shared" si="100"/>
        <v>0</v>
      </c>
      <c r="V72" s="3295"/>
      <c r="W72" s="3323"/>
      <c r="X72" s="3314"/>
      <c r="Y72" s="1643"/>
      <c r="Z72" s="3725">
        <f t="shared" si="101"/>
        <v>0</v>
      </c>
      <c r="AA72" s="3726"/>
      <c r="AB72" s="3278"/>
      <c r="AC72" s="3278"/>
      <c r="AD72" s="2046"/>
      <c r="AE72" s="3228">
        <f t="shared" si="102"/>
        <v>0</v>
      </c>
      <c r="AF72" s="3229"/>
      <c r="AG72" s="3278"/>
      <c r="AH72" s="3278"/>
      <c r="AI72" s="2046"/>
      <c r="AJ72" s="3228">
        <f t="shared" si="103"/>
        <v>0</v>
      </c>
      <c r="AK72" s="3229"/>
      <c r="AL72" s="3278"/>
      <c r="AM72" s="3278"/>
      <c r="AN72" s="2046"/>
      <c r="AO72" s="3228">
        <f t="shared" si="104"/>
        <v>0</v>
      </c>
      <c r="AP72" s="3229"/>
      <c r="AQ72" s="3300"/>
      <c r="AR72" s="3730"/>
      <c r="AS72" s="3215"/>
      <c r="AT72" s="3725">
        <f t="shared" si="105"/>
        <v>0</v>
      </c>
      <c r="AU72" s="3726"/>
      <c r="AV72" s="1325"/>
      <c r="AW72" s="1325"/>
      <c r="AX72" s="1325"/>
      <c r="AY72" s="1325"/>
      <c r="AZ72" s="1325"/>
      <c r="BA72" s="1325"/>
      <c r="BB72" s="1325"/>
      <c r="BC72" s="1325"/>
      <c r="BD72" s="1325"/>
      <c r="BE72" s="1325"/>
      <c r="BF72" s="3779"/>
      <c r="BG72" s="3780"/>
      <c r="BH72" s="3781"/>
      <c r="BI72" s="3725">
        <f t="shared" si="107"/>
        <v>0</v>
      </c>
      <c r="BJ72" s="3763"/>
      <c r="BK72" s="3278"/>
      <c r="BL72" s="3278"/>
      <c r="BM72" s="2046"/>
      <c r="BN72" s="3228"/>
      <c r="BO72" s="3229"/>
      <c r="BP72" s="3278"/>
      <c r="BQ72" s="3278"/>
      <c r="BR72" s="2046"/>
      <c r="BS72" s="3228"/>
      <c r="BT72" s="3229"/>
      <c r="BU72" s="3278"/>
      <c r="BV72" s="3278"/>
      <c r="BW72" s="2046"/>
      <c r="BX72" s="3228"/>
      <c r="BY72" s="3229"/>
      <c r="BZ72" s="3278"/>
      <c r="CA72" s="3278"/>
      <c r="CB72" s="2046"/>
      <c r="CC72" s="3228"/>
      <c r="CD72" s="3229"/>
      <c r="CE72" s="3278"/>
      <c r="CF72" s="3278"/>
      <c r="CG72" s="2046"/>
      <c r="CH72" s="3228"/>
      <c r="CI72" s="3229"/>
      <c r="CJ72" s="3278"/>
      <c r="CK72" s="3278"/>
      <c r="CL72" s="2046"/>
      <c r="CM72" s="3228"/>
      <c r="CN72" s="3229"/>
      <c r="CO72" s="3278"/>
      <c r="CP72" s="3278"/>
      <c r="CQ72" s="2046"/>
      <c r="CR72" s="3228"/>
      <c r="CS72" s="3229"/>
      <c r="CT72" s="3278"/>
      <c r="CU72" s="3278"/>
      <c r="CV72" s="2046"/>
      <c r="CW72" s="3228"/>
      <c r="CX72" s="3229"/>
      <c r="CY72" s="3278"/>
      <c r="CZ72" s="3278"/>
      <c r="DA72" s="2046"/>
      <c r="DB72" s="3228"/>
      <c r="DC72" s="3229"/>
      <c r="DD72" s="3278"/>
      <c r="DE72" s="3278"/>
      <c r="DF72" s="2046"/>
      <c r="DG72" s="3228"/>
      <c r="DH72" s="3229"/>
      <c r="DI72" s="3278"/>
      <c r="DJ72" s="3278"/>
      <c r="DK72" s="2046"/>
      <c r="DL72" s="3228"/>
      <c r="DM72" s="3229"/>
      <c r="DN72" s="3278"/>
      <c r="DO72" s="3278"/>
      <c r="DP72" s="2046"/>
      <c r="DQ72" s="3228">
        <f>DP72/$DP$89</f>
        <v>0</v>
      </c>
      <c r="DR72" s="3229"/>
    </row>
    <row r="73" spans="1:122" s="1411" customFormat="1" ht="14.4" thickBot="1" x14ac:dyDescent="0.3">
      <c r="A73" s="1586"/>
      <c r="B73" s="3324" t="s">
        <v>4</v>
      </c>
      <c r="C73" s="3739">
        <v>0</v>
      </c>
      <c r="D73" s="3325">
        <v>0</v>
      </c>
      <c r="E73" s="2022">
        <v>0</v>
      </c>
      <c r="F73" s="3325"/>
      <c r="G73" s="3400"/>
      <c r="H73" s="3782">
        <f>H74</f>
        <v>0</v>
      </c>
      <c r="I73" s="3325">
        <f>I74</f>
        <v>0</v>
      </c>
      <c r="J73" s="2022">
        <f>J74</f>
        <v>0</v>
      </c>
      <c r="K73" s="3325"/>
      <c r="L73" s="3325"/>
      <c r="M73" s="3739">
        <f>M74</f>
        <v>0</v>
      </c>
      <c r="N73" s="3325">
        <f>N74</f>
        <v>0</v>
      </c>
      <c r="O73" s="2022">
        <f>O74</f>
        <v>0</v>
      </c>
      <c r="P73" s="3325"/>
      <c r="Q73" s="3325"/>
      <c r="R73" s="3739">
        <f>R74</f>
        <v>0</v>
      </c>
      <c r="S73" s="3325">
        <f>S74</f>
        <v>0</v>
      </c>
      <c r="T73" s="2022">
        <f>T74</f>
        <v>0</v>
      </c>
      <c r="U73" s="3325"/>
      <c r="V73" s="3325"/>
      <c r="W73" s="1599">
        <f>W74</f>
        <v>0</v>
      </c>
      <c r="X73" s="1704">
        <f>X74</f>
        <v>0</v>
      </c>
      <c r="Y73" s="1703">
        <f>Y74</f>
        <v>0</v>
      </c>
      <c r="Z73" s="1704"/>
      <c r="AA73" s="1704"/>
      <c r="AB73" s="1599">
        <f>AB74</f>
        <v>0</v>
      </c>
      <c r="AC73" s="1704">
        <f>AC74</f>
        <v>0</v>
      </c>
      <c r="AD73" s="1703">
        <f>AD74</f>
        <v>0</v>
      </c>
      <c r="AE73" s="1704"/>
      <c r="AF73" s="1704"/>
      <c r="AG73" s="1599">
        <f>AG74</f>
        <v>0</v>
      </c>
      <c r="AH73" s="1704">
        <f>AH74</f>
        <v>0</v>
      </c>
      <c r="AI73" s="1703">
        <f>AI74</f>
        <v>0</v>
      </c>
      <c r="AJ73" s="1704"/>
      <c r="AK73" s="1704"/>
      <c r="AL73" s="1599">
        <f>AL74</f>
        <v>0</v>
      </c>
      <c r="AM73" s="1704">
        <f>AM74</f>
        <v>0</v>
      </c>
      <c r="AN73" s="1703">
        <f>AN74</f>
        <v>0</v>
      </c>
      <c r="AO73" s="1704"/>
      <c r="AP73" s="1704"/>
      <c r="AQ73" s="1599">
        <f>AQ74</f>
        <v>0</v>
      </c>
      <c r="AR73" s="1704">
        <f>AR74</f>
        <v>0</v>
      </c>
      <c r="AS73" s="1703">
        <f>AS74</f>
        <v>0</v>
      </c>
      <c r="AT73" s="1704"/>
      <c r="AU73" s="1704"/>
      <c r="AV73" s="1599">
        <v>0</v>
      </c>
      <c r="AW73" s="1704">
        <v>0</v>
      </c>
      <c r="AX73" s="1703">
        <v>0</v>
      </c>
      <c r="AY73" s="1719"/>
      <c r="AZ73" s="1719"/>
      <c r="BA73" s="1599">
        <f>BA74</f>
        <v>0</v>
      </c>
      <c r="BB73" s="1704">
        <f>BB74</f>
        <v>0</v>
      </c>
      <c r="BC73" s="1703">
        <f>BC74</f>
        <v>0</v>
      </c>
      <c r="BD73" s="1719"/>
      <c r="BE73" s="1719"/>
      <c r="BF73" s="3783">
        <f>BF74</f>
        <v>0</v>
      </c>
      <c r="BG73" s="3784">
        <f>BG74</f>
        <v>0</v>
      </c>
      <c r="BH73" s="3785">
        <f>BH74</f>
        <v>0</v>
      </c>
      <c r="BI73" s="1704"/>
      <c r="BJ73" s="3784"/>
      <c r="BK73" s="1599">
        <f>BK74</f>
        <v>0</v>
      </c>
      <c r="BL73" s="1704">
        <f>BL74</f>
        <v>0</v>
      </c>
      <c r="BM73" s="1703">
        <f>BM74</f>
        <v>0</v>
      </c>
      <c r="BN73" s="1704"/>
      <c r="BO73" s="1704"/>
      <c r="BP73" s="1599">
        <f>BP74</f>
        <v>0</v>
      </c>
      <c r="BQ73" s="1704">
        <f>BQ74</f>
        <v>0</v>
      </c>
      <c r="BR73" s="1703">
        <f>BR74</f>
        <v>0</v>
      </c>
      <c r="BS73" s="1704"/>
      <c r="BT73" s="1704"/>
      <c r="BU73" s="1599">
        <f>BU74</f>
        <v>0</v>
      </c>
      <c r="BV73" s="1704">
        <f>BV74</f>
        <v>0</v>
      </c>
      <c r="BW73" s="1703">
        <f>BW74</f>
        <v>0</v>
      </c>
      <c r="BX73" s="1704"/>
      <c r="BY73" s="1704"/>
      <c r="BZ73" s="1599">
        <f>BZ74</f>
        <v>0</v>
      </c>
      <c r="CA73" s="1704">
        <f>CA74</f>
        <v>0</v>
      </c>
      <c r="CB73" s="1703">
        <f>CB74</f>
        <v>0</v>
      </c>
      <c r="CC73" s="1704"/>
      <c r="CD73" s="1704"/>
      <c r="CE73" s="1599">
        <f>CE74</f>
        <v>0</v>
      </c>
      <c r="CF73" s="1704">
        <f>CF74</f>
        <v>0</v>
      </c>
      <c r="CG73" s="1703">
        <f>CG74</f>
        <v>0</v>
      </c>
      <c r="CH73" s="1704"/>
      <c r="CI73" s="1704"/>
      <c r="CJ73" s="1599">
        <f>CJ74</f>
        <v>0</v>
      </c>
      <c r="CK73" s="1704">
        <f>CK74</f>
        <v>0</v>
      </c>
      <c r="CL73" s="1703">
        <f>CL74</f>
        <v>0</v>
      </c>
      <c r="CM73" s="1704"/>
      <c r="CN73" s="1704"/>
      <c r="CO73" s="1599">
        <f>CO74</f>
        <v>0</v>
      </c>
      <c r="CP73" s="1704">
        <f>CP74</f>
        <v>0</v>
      </c>
      <c r="CQ73" s="1703">
        <f>CQ74</f>
        <v>0</v>
      </c>
      <c r="CR73" s="1704"/>
      <c r="CS73" s="1704"/>
      <c r="CT73" s="1599">
        <f>CT74</f>
        <v>0</v>
      </c>
      <c r="CU73" s="1704">
        <f>CU74</f>
        <v>0</v>
      </c>
      <c r="CV73" s="1703">
        <f>CV74</f>
        <v>0</v>
      </c>
      <c r="CW73" s="1704"/>
      <c r="CX73" s="1704"/>
      <c r="CY73" s="1599">
        <f>CY74</f>
        <v>0</v>
      </c>
      <c r="CZ73" s="1704">
        <f>CZ74</f>
        <v>0</v>
      </c>
      <c r="DA73" s="1703">
        <f>DA74</f>
        <v>0</v>
      </c>
      <c r="DB73" s="1704"/>
      <c r="DC73" s="1704"/>
      <c r="DD73" s="1599">
        <f>DD74</f>
        <v>0</v>
      </c>
      <c r="DE73" s="1704">
        <f>DE74</f>
        <v>0</v>
      </c>
      <c r="DF73" s="1703">
        <f>DF74</f>
        <v>0</v>
      </c>
      <c r="DG73" s="1704"/>
      <c r="DH73" s="1704"/>
      <c r="DI73" s="1599">
        <f>DI74</f>
        <v>0</v>
      </c>
      <c r="DJ73" s="1704">
        <f>DJ74</f>
        <v>0</v>
      </c>
      <c r="DK73" s="1703">
        <f>DK74</f>
        <v>0</v>
      </c>
      <c r="DL73" s="1704"/>
      <c r="DM73" s="1704"/>
      <c r="DN73" s="1599">
        <f>DN74</f>
        <v>0</v>
      </c>
      <c r="DO73" s="1704">
        <f>DO74</f>
        <v>0</v>
      </c>
      <c r="DP73" s="1703">
        <f>DP74</f>
        <v>0</v>
      </c>
      <c r="DQ73" s="1704"/>
      <c r="DR73" s="1704"/>
    </row>
    <row r="74" spans="1:122" s="1411" customFormat="1" ht="14.4" thickBot="1" x14ac:dyDescent="0.3">
      <c r="A74" s="1428"/>
      <c r="B74" s="3289" t="s">
        <v>64</v>
      </c>
      <c r="C74" s="3288"/>
      <c r="D74" s="3274"/>
      <c r="E74" s="3786">
        <v>0</v>
      </c>
      <c r="F74" s="3786"/>
      <c r="G74" s="2492"/>
      <c r="H74" s="3274"/>
      <c r="I74" s="3274"/>
      <c r="J74" s="3786"/>
      <c r="K74" s="3786"/>
      <c r="L74" s="3786"/>
      <c r="M74" s="3274"/>
      <c r="N74" s="3274"/>
      <c r="O74" s="3787">
        <f>M74+N74*1</f>
        <v>0</v>
      </c>
      <c r="P74" s="3786"/>
      <c r="Q74" s="3786"/>
      <c r="R74" s="3274"/>
      <c r="S74" s="3274"/>
      <c r="T74" s="3787">
        <f>R74+S74*1</f>
        <v>0</v>
      </c>
      <c r="U74" s="3786"/>
      <c r="V74" s="3786"/>
      <c r="W74" s="3274"/>
      <c r="X74" s="3274"/>
      <c r="Y74" s="3443">
        <f>W74+X74*1</f>
        <v>0</v>
      </c>
      <c r="Z74" s="3327"/>
      <c r="AA74" s="3327"/>
      <c r="AB74" s="3274"/>
      <c r="AC74" s="3274"/>
      <c r="AD74" s="3443">
        <f>AB74+AC74*1</f>
        <v>0</v>
      </c>
      <c r="AE74" s="3327"/>
      <c r="AF74" s="3327"/>
      <c r="AG74" s="3274"/>
      <c r="AH74" s="3274"/>
      <c r="AI74" s="3444">
        <f>AG74+AH74*1</f>
        <v>0</v>
      </c>
      <c r="AJ74" s="3327"/>
      <c r="AK74" s="3327"/>
      <c r="AL74" s="3274"/>
      <c r="AM74" s="3274"/>
      <c r="AN74" s="3443">
        <f>AL74+AM74*1</f>
        <v>0</v>
      </c>
      <c r="AO74" s="3327"/>
      <c r="AP74" s="3327"/>
      <c r="AQ74" s="3274"/>
      <c r="AR74" s="3274"/>
      <c r="AS74" s="3443">
        <f>AQ74+AR74*1</f>
        <v>0</v>
      </c>
      <c r="AT74" s="3327"/>
      <c r="AU74" s="3327"/>
      <c r="AV74" s="3275">
        <v>0</v>
      </c>
      <c r="AW74" s="3275">
        <v>0</v>
      </c>
      <c r="AX74" s="3275"/>
      <c r="AY74" s="3275"/>
      <c r="AZ74" s="3275"/>
      <c r="BA74" s="3275">
        <f>BF74+BK74+BP74+BU74+BZ74+CE74+CJ74+CO74+CT74+CY74+DD74+DI74</f>
        <v>0</v>
      </c>
      <c r="BB74" s="3275">
        <f>BG74+BL74+BQ74+BV74+CA74+CF74+CK74+CP74+CU74+CZ74+DE74+DJ74</f>
        <v>0</v>
      </c>
      <c r="BC74" s="3275"/>
      <c r="BD74" s="3275"/>
      <c r="BE74" s="3275"/>
      <c r="BF74" s="3744"/>
      <c r="BG74" s="3744"/>
      <c r="BH74" s="3788">
        <f>BF74+BG74*1</f>
        <v>0</v>
      </c>
      <c r="BI74" s="3327"/>
      <c r="BJ74" s="3789"/>
      <c r="BK74" s="3274"/>
      <c r="BL74" s="3274"/>
      <c r="BM74" s="3329">
        <f>BK74+BL74*1</f>
        <v>0</v>
      </c>
      <c r="BN74" s="3327"/>
      <c r="BO74" s="3327"/>
      <c r="BP74" s="3274"/>
      <c r="BQ74" s="3274"/>
      <c r="BR74" s="3329">
        <f>BP74+BQ74*1</f>
        <v>0</v>
      </c>
      <c r="BS74" s="3327"/>
      <c r="BT74" s="3327"/>
      <c r="BU74" s="3274"/>
      <c r="BV74" s="3274"/>
      <c r="BW74" s="3329">
        <f>BU74+BV74*1</f>
        <v>0</v>
      </c>
      <c r="BX74" s="3327"/>
      <c r="BY74" s="3327"/>
      <c r="BZ74" s="3274"/>
      <c r="CA74" s="3274"/>
      <c r="CB74" s="3329">
        <f>BZ74+CA74*1</f>
        <v>0</v>
      </c>
      <c r="CC74" s="3327"/>
      <c r="CD74" s="3327"/>
      <c r="CE74" s="3274"/>
      <c r="CF74" s="3274"/>
      <c r="CG74" s="3329">
        <f>CE74+CF74*1</f>
        <v>0</v>
      </c>
      <c r="CH74" s="3327"/>
      <c r="CI74" s="3327"/>
      <c r="CJ74" s="3274"/>
      <c r="CK74" s="3274"/>
      <c r="CL74" s="3329">
        <f>CJ74+CK74*1</f>
        <v>0</v>
      </c>
      <c r="CM74" s="3327"/>
      <c r="CN74" s="3327"/>
      <c r="CO74" s="3274"/>
      <c r="CP74" s="3274"/>
      <c r="CQ74" s="3329">
        <f>CO74+CP74*1</f>
        <v>0</v>
      </c>
      <c r="CR74" s="3327"/>
      <c r="CS74" s="3327"/>
      <c r="CT74" s="3274"/>
      <c r="CU74" s="3274"/>
      <c r="CV74" s="3329">
        <f>CT74+CU74*1</f>
        <v>0</v>
      </c>
      <c r="CW74" s="3327"/>
      <c r="CX74" s="3327"/>
      <c r="CY74" s="3274"/>
      <c r="CZ74" s="3274"/>
      <c r="DA74" s="3329">
        <f>CY74+CZ74*1</f>
        <v>0</v>
      </c>
      <c r="DB74" s="3327"/>
      <c r="DC74" s="3327"/>
      <c r="DD74" s="3274"/>
      <c r="DE74" s="3274"/>
      <c r="DF74" s="3329">
        <f>DD74+DE74*1</f>
        <v>0</v>
      </c>
      <c r="DG74" s="3327"/>
      <c r="DH74" s="3327"/>
      <c r="DI74" s="3274"/>
      <c r="DJ74" s="3274"/>
      <c r="DK74" s="3329">
        <f>DI74+DJ74*1</f>
        <v>0</v>
      </c>
      <c r="DL74" s="3327"/>
      <c r="DM74" s="3327"/>
      <c r="DN74" s="3283">
        <f>R74+W74+AB74+AG74+AL74+AQ74+BF74+BK74+BP74+BU74+BZ74+CE74+CJ74+CO74+CT74+CY74+DD74+DI74+AV74</f>
        <v>0</v>
      </c>
      <c r="DO74" s="3283">
        <f>S74+X74+AC74+AH74+AM74+AR74+BG74+BL74+BQ74+BV74+CA74+CF74+CK74+CP74+CU74+CZ74+DE74+DJ74+AW74</f>
        <v>0</v>
      </c>
      <c r="DP74" s="3283"/>
      <c r="DQ74" s="3327"/>
      <c r="DR74" s="3327"/>
    </row>
    <row r="75" spans="1:122" s="1411" customFormat="1" ht="14.4" thickBot="1" x14ac:dyDescent="0.3">
      <c r="A75" s="1414"/>
      <c r="B75" s="1431" t="s">
        <v>48</v>
      </c>
      <c r="C75" s="1465">
        <v>5103048.6620000014</v>
      </c>
      <c r="D75" s="1465">
        <v>-2452069.2799999998</v>
      </c>
      <c r="E75" s="1523">
        <v>2650979.3820000025</v>
      </c>
      <c r="F75" s="1969"/>
      <c r="G75" s="981"/>
      <c r="H75" s="1330">
        <f>H38-H41-H50-H54</f>
        <v>1065570.6299999999</v>
      </c>
      <c r="I75" s="1465">
        <f>I38-I41-I50-I54</f>
        <v>-384620.75</v>
      </c>
      <c r="J75" s="1523">
        <f>J38-J41-J50-J54</f>
        <v>680949.87999999989</v>
      </c>
      <c r="K75" s="1969"/>
      <c r="L75" s="1969"/>
      <c r="M75" s="1465">
        <f>M38-M41-M50-M54</f>
        <v>65760.649999999907</v>
      </c>
      <c r="N75" s="1465">
        <f>N38-N41-N50-N54</f>
        <v>-358683.31</v>
      </c>
      <c r="O75" s="1523">
        <f>O38-O41-O50-O54</f>
        <v>-292922.65999999992</v>
      </c>
      <c r="P75" s="1969"/>
      <c r="Q75" s="1969"/>
      <c r="R75" s="1465">
        <f>R38-R41-R50-R54</f>
        <v>367259.234</v>
      </c>
      <c r="S75" s="1465">
        <f>S38-S41-S50-S54</f>
        <v>-92662.58</v>
      </c>
      <c r="T75" s="1523">
        <f>T38-T41-T50-T54</f>
        <v>274596.65399999998</v>
      </c>
      <c r="U75" s="1969"/>
      <c r="V75" s="1969"/>
      <c r="W75" s="1465">
        <f>W38-W41-W50-W54</f>
        <v>501539.66</v>
      </c>
      <c r="X75" s="1465">
        <f>X38-X41-X50-X54</f>
        <v>-168671.37</v>
      </c>
      <c r="Y75" s="1523">
        <f>Y38-Y41-Y50-Y54</f>
        <v>332868.28999999998</v>
      </c>
      <c r="Z75" s="1969"/>
      <c r="AA75" s="1969"/>
      <c r="AB75" s="1465">
        <f>AB38-AB41-AB50-AB54</f>
        <v>247877.87400000004</v>
      </c>
      <c r="AC75" s="1465">
        <f>AC38-AC41-AC50-AC54</f>
        <v>-124462.82999999999</v>
      </c>
      <c r="AD75" s="1523">
        <f>AD38-AD41-AD50-AD54</f>
        <v>123415.04400000002</v>
      </c>
      <c r="AE75" s="1969"/>
      <c r="AF75" s="1969"/>
      <c r="AG75" s="1465">
        <f>AG38-AG41-AG50-AG54</f>
        <v>907767.58000000007</v>
      </c>
      <c r="AH75" s="1465">
        <f>AH38-AH41-AH50-AH54</f>
        <v>-200756.27</v>
      </c>
      <c r="AI75" s="1523">
        <f>AI38-AI41-AI50-AI54</f>
        <v>707011.31</v>
      </c>
      <c r="AJ75" s="1969"/>
      <c r="AK75" s="1969"/>
      <c r="AL75" s="1465">
        <f>AL38-AL41-AL50-AL54</f>
        <v>625698.61</v>
      </c>
      <c r="AM75" s="1465">
        <f>AM38-AM41-AM50-AM54</f>
        <v>-170303.95</v>
      </c>
      <c r="AN75" s="1523">
        <f>AN38-AN41-AN50-AN54</f>
        <v>455394.66</v>
      </c>
      <c r="AO75" s="1969"/>
      <c r="AP75" s="1969"/>
      <c r="AQ75" s="1465">
        <f>AQ38-AQ41-AQ50-AQ54</f>
        <v>481432.58500000002</v>
      </c>
      <c r="AR75" s="1465">
        <f>AR38-AR41-AR50-AR54</f>
        <v>-163409.50999999998</v>
      </c>
      <c r="AS75" s="1523">
        <f>AS38-AS41-AS50-AS54</f>
        <v>318023.07500000001</v>
      </c>
      <c r="AT75" s="1969"/>
      <c r="AU75" s="1969"/>
      <c r="AV75" s="1465">
        <v>4668000.9736000011</v>
      </c>
      <c r="AW75" s="1465">
        <v>-2759285.77275</v>
      </c>
      <c r="AX75" s="1523">
        <v>1908715.2008500011</v>
      </c>
      <c r="AY75" s="1465"/>
      <c r="AZ75" s="1465"/>
      <c r="BA75" s="1465">
        <f>BA38-BA41-BA50-BA54</f>
        <v>593081.23399999994</v>
      </c>
      <c r="BB75" s="1465">
        <f>BB38-BB41-BB50-BB54</f>
        <v>-981141.67</v>
      </c>
      <c r="BC75" s="1523">
        <f>BC38-BC41-BC50-BC54</f>
        <v>-388060.43599999987</v>
      </c>
      <c r="BD75" s="1465"/>
      <c r="BE75" s="1465"/>
      <c r="BF75" s="3790">
        <f>BF38-BF41-BF50-BF54</f>
        <v>492416.43500000006</v>
      </c>
      <c r="BG75" s="3790">
        <f>BG38-BG41-BG50-BG54</f>
        <v>-263906</v>
      </c>
      <c r="BH75" s="3791">
        <f>BH38-BH41-BH50-BH54</f>
        <v>228510.43500000006</v>
      </c>
      <c r="BI75" s="1969"/>
      <c r="BJ75" s="3792"/>
      <c r="BK75" s="1465">
        <f>BK38-BK41-BK50-BK54</f>
        <v>72526.383000000031</v>
      </c>
      <c r="BL75" s="1465">
        <f>BL38-BL41-BL50-BL54</f>
        <v>-307879.95999999996</v>
      </c>
      <c r="BM75" s="1523">
        <f>BM38-BM41-BM50-BM54</f>
        <v>-235353.57700000014</v>
      </c>
      <c r="BN75" s="1969"/>
      <c r="BO75" s="1969"/>
      <c r="BP75" s="1465">
        <f>BP38-BP41-BP50-BP54</f>
        <v>28138.415999999939</v>
      </c>
      <c r="BQ75" s="1465">
        <f>BQ38-BQ41-BQ50-BQ54</f>
        <v>-409355.71</v>
      </c>
      <c r="BR75" s="1523">
        <f>BR38-BR41-BR50-BR54</f>
        <v>-381217.29400000023</v>
      </c>
      <c r="BS75" s="1969"/>
      <c r="BT75" s="1969"/>
      <c r="BU75" s="1465">
        <f>BU38-BU41-BU50-BU54</f>
        <v>0</v>
      </c>
      <c r="BV75" s="1465">
        <f>BV38-BV41-BV50-BV54</f>
        <v>0</v>
      </c>
      <c r="BW75" s="1523">
        <f>BW38-BW41-BW50-BW54</f>
        <v>0</v>
      </c>
      <c r="BX75" s="1969"/>
      <c r="BY75" s="1969"/>
      <c r="BZ75" s="1465">
        <f>BZ38-BZ41-BZ50-BZ54</f>
        <v>0</v>
      </c>
      <c r="CA75" s="1465">
        <f>CA38-CA41-CA50-CA54</f>
        <v>0</v>
      </c>
      <c r="CB75" s="1523">
        <f>CB38-CB41-CB50-CB54</f>
        <v>0</v>
      </c>
      <c r="CC75" s="1969"/>
      <c r="CD75" s="1969"/>
      <c r="CE75" s="1465">
        <f>CE38-CE41-CE50-CE54</f>
        <v>0</v>
      </c>
      <c r="CF75" s="1465">
        <f>CF38-CF41-CF50-CF54</f>
        <v>0</v>
      </c>
      <c r="CG75" s="1523">
        <f>CG38-CG41-CG50-CG54</f>
        <v>0</v>
      </c>
      <c r="CH75" s="1969"/>
      <c r="CI75" s="1969"/>
      <c r="CJ75" s="1465">
        <f>CJ38-CJ41-CJ50-CJ54</f>
        <v>0</v>
      </c>
      <c r="CK75" s="1465">
        <f>CK38-CK41-CK50-CK54</f>
        <v>0</v>
      </c>
      <c r="CL75" s="1523">
        <f>CL38-CL41-CL50-CL54</f>
        <v>0</v>
      </c>
      <c r="CM75" s="1969"/>
      <c r="CN75" s="1969"/>
      <c r="CO75" s="1465">
        <f>CO38-CO41-CO50-CO54</f>
        <v>0</v>
      </c>
      <c r="CP75" s="1465">
        <f>CP38-CP41-CP50-CP54</f>
        <v>0</v>
      </c>
      <c r="CQ75" s="1523">
        <f>CQ38-CQ41-CQ50-CQ54</f>
        <v>0</v>
      </c>
      <c r="CR75" s="1969"/>
      <c r="CS75" s="1969"/>
      <c r="CT75" s="1465">
        <f>CT38-CT41-CT50-CT54</f>
        <v>0</v>
      </c>
      <c r="CU75" s="1465">
        <f>CU38-CU41-CU50-CU54</f>
        <v>0</v>
      </c>
      <c r="CV75" s="1523">
        <f>CV38-CV41-CV50-CV54</f>
        <v>0</v>
      </c>
      <c r="CW75" s="1969"/>
      <c r="CX75" s="1969"/>
      <c r="CY75" s="1465">
        <f>CY38-CY41-CY50-CY54</f>
        <v>0</v>
      </c>
      <c r="CZ75" s="1465">
        <f>CZ38-CZ41-CZ50-CZ54</f>
        <v>0</v>
      </c>
      <c r="DA75" s="1523">
        <f>DA38-DA41-DA50-DA54</f>
        <v>0</v>
      </c>
      <c r="DB75" s="1969"/>
      <c r="DC75" s="1969"/>
      <c r="DD75" s="1465">
        <f>DD38-DD41-DD50-DD54</f>
        <v>0</v>
      </c>
      <c r="DE75" s="1465">
        <f>DE38-DE41-DE50-DE54</f>
        <v>0</v>
      </c>
      <c r="DF75" s="1523">
        <f>DF38-DF41-DF50-DF54</f>
        <v>0</v>
      </c>
      <c r="DG75" s="1969"/>
      <c r="DH75" s="1969"/>
      <c r="DI75" s="1465">
        <f>DI38-DI41-DI50-DI54</f>
        <v>0</v>
      </c>
      <c r="DJ75" s="1465">
        <f>DJ38-DJ41-DJ50-DJ54</f>
        <v>0</v>
      </c>
      <c r="DK75" s="1523">
        <f>DK38-DK41-DK50-DK54</f>
        <v>0</v>
      </c>
      <c r="DL75" s="1969"/>
      <c r="DM75" s="1969"/>
      <c r="DN75" s="1465">
        <f>DN38-DN41-DN50-DN54</f>
        <v>8392657.7506000008</v>
      </c>
      <c r="DO75" s="1465">
        <f>DO38-DO41-DO50-DO54</f>
        <v>-4660693.9527499992</v>
      </c>
      <c r="DP75" s="1523">
        <f>DP38-DP41-DP50-DP54</f>
        <v>3731963.7978500002</v>
      </c>
      <c r="DQ75" s="1969"/>
      <c r="DR75" s="1969"/>
    </row>
    <row r="76" spans="1:122" s="1411" customFormat="1" ht="13.8" x14ac:dyDescent="0.25">
      <c r="A76" s="1581"/>
      <c r="B76" s="1444" t="s">
        <v>49</v>
      </c>
      <c r="C76" s="2019">
        <v>0.40555171060402179</v>
      </c>
      <c r="D76" s="2019" t="e">
        <v>#DIV/0!</v>
      </c>
      <c r="E76" s="2020">
        <v>0.21067979052442226</v>
      </c>
      <c r="F76" s="2020"/>
      <c r="G76" s="982"/>
      <c r="H76" s="1331">
        <f>H75/H5</f>
        <v>0.70102731819416875</v>
      </c>
      <c r="I76" s="2019" t="e">
        <f>I75/I5</f>
        <v>#DIV/0!</v>
      </c>
      <c r="J76" s="2020">
        <f>J75/J5</f>
        <v>0.4479895135633018</v>
      </c>
      <c r="K76" s="2020"/>
      <c r="L76" s="2020"/>
      <c r="M76" s="2019">
        <f>M75/M5</f>
        <v>6.1746685674241894E-2</v>
      </c>
      <c r="N76" s="2019" t="e">
        <f>N75/N5</f>
        <v>#DIV/0!</v>
      </c>
      <c r="O76" s="2020">
        <f>O75/O5</f>
        <v>-0.27504295370989867</v>
      </c>
      <c r="P76" s="2020"/>
      <c r="Q76" s="2020"/>
      <c r="R76" s="2019">
        <f>R75/R5</f>
        <v>0.60404479276315792</v>
      </c>
      <c r="S76" s="2019" t="e">
        <f>S75/S5</f>
        <v>#DIV/0!</v>
      </c>
      <c r="T76" s="2020">
        <f>T75/T5</f>
        <v>0.45163923355263152</v>
      </c>
      <c r="U76" s="2020"/>
      <c r="V76" s="2020"/>
      <c r="W76" s="2019">
        <f>W75/W5</f>
        <v>0.62267945779647249</v>
      </c>
      <c r="X76" s="2019" t="e">
        <f>X75/X5</f>
        <v>#DIV/0!</v>
      </c>
      <c r="Y76" s="2020">
        <f>Y75/Y5</f>
        <v>0.41326790853357237</v>
      </c>
      <c r="Z76" s="2020"/>
      <c r="AA76" s="2020"/>
      <c r="AB76" s="2019">
        <f>AB75/AB5</f>
        <v>0.51720928934045429</v>
      </c>
      <c r="AC76" s="2019" t="e">
        <f>AC75/AC5</f>
        <v>#DIV/0!</v>
      </c>
      <c r="AD76" s="2020">
        <f>AD75/AD5</f>
        <v>0.25751151634115149</v>
      </c>
      <c r="AE76" s="2020"/>
      <c r="AF76" s="2020"/>
      <c r="AG76" s="2019">
        <f>AG75/AG5</f>
        <v>0.85630442073559265</v>
      </c>
      <c r="AH76" s="2019" t="e">
        <f>AH75/AH5</f>
        <v>#DIV/0!</v>
      </c>
      <c r="AI76" s="2020">
        <f>AI75/AI5</f>
        <v>0.66692942511018349</v>
      </c>
      <c r="AJ76" s="2020"/>
      <c r="AK76" s="2020"/>
      <c r="AL76" s="2019">
        <f>AL75/AL5</f>
        <v>0.64608251329443955</v>
      </c>
      <c r="AM76" s="2019" t="e">
        <f>AM75/AM5</f>
        <v>#DIV/0!</v>
      </c>
      <c r="AN76" s="2020">
        <f>AN75/AN5</f>
        <v>0.47023043006866638</v>
      </c>
      <c r="AO76" s="2020"/>
      <c r="AP76" s="2020"/>
      <c r="AQ76" s="2019">
        <f>AQ75/AQ5</f>
        <v>0.38026929980146457</v>
      </c>
      <c r="AR76" s="2019" t="e">
        <f>AR75/AR5</f>
        <v>#DIV/0!</v>
      </c>
      <c r="AS76" s="2020">
        <f>AS75/AS5</f>
        <v>0.25119698129896767</v>
      </c>
      <c r="AT76" s="2020"/>
      <c r="AU76" s="2020"/>
      <c r="AV76" s="2019">
        <v>0.51245866832878306</v>
      </c>
      <c r="AW76" s="2019" t="e">
        <v>#DIV/0!</v>
      </c>
      <c r="AX76" s="2020">
        <v>0.20954101243302645</v>
      </c>
      <c r="AY76" s="2019"/>
      <c r="AZ76" s="2019"/>
      <c r="BA76" s="2019">
        <f>BA75/BA5</f>
        <v>0.28465480440423629</v>
      </c>
      <c r="BB76" s="2019" t="e">
        <f>BB75/BB5</f>
        <v>#DIV/0!</v>
      </c>
      <c r="BC76" s="2020">
        <f>BC75/BC5</f>
        <v>-0.18625318282554634</v>
      </c>
      <c r="BD76" s="2019"/>
      <c r="BE76" s="2019"/>
      <c r="BF76" s="3769">
        <f>BF75/BF5</f>
        <v>0.76312365376865432</v>
      </c>
      <c r="BG76" s="3769" t="e">
        <f>BG75/BG5</f>
        <v>#DIV/0!</v>
      </c>
      <c r="BH76" s="3770">
        <f>BH75/BH5</f>
        <v>0.3541346423205079</v>
      </c>
      <c r="BI76" s="2020"/>
      <c r="BJ76" s="3770"/>
      <c r="BK76" s="2019">
        <f>BK75/BK5</f>
        <v>0.12369573710918014</v>
      </c>
      <c r="BL76" s="2019" t="e">
        <f>BL75/BL5</f>
        <v>#DIV/0!</v>
      </c>
      <c r="BM76" s="2020">
        <f>BM75/BM5</f>
        <v>-0.40140198620269246</v>
      </c>
      <c r="BN76" s="2020"/>
      <c r="BO76" s="2020"/>
      <c r="BP76" s="2019">
        <f>BP75/BP5</f>
        <v>3.3029519770231122E-2</v>
      </c>
      <c r="BQ76" s="2019" t="e">
        <f>BQ75/BQ5</f>
        <v>#DIV/0!</v>
      </c>
      <c r="BR76" s="2020">
        <f>BR75/BR5</f>
        <v>-0.44748162614864478</v>
      </c>
      <c r="BS76" s="2020"/>
      <c r="BT76" s="2020"/>
      <c r="BU76" s="2019" t="e">
        <f>BU75/BU5</f>
        <v>#DIV/0!</v>
      </c>
      <c r="BV76" s="2019" t="e">
        <f>BV75/BV5</f>
        <v>#DIV/0!</v>
      </c>
      <c r="BW76" s="2020" t="e">
        <f>BW75/BW5</f>
        <v>#DIV/0!</v>
      </c>
      <c r="BX76" s="2020"/>
      <c r="BY76" s="2020"/>
      <c r="BZ76" s="2019" t="e">
        <f>BZ75/BZ5</f>
        <v>#DIV/0!</v>
      </c>
      <c r="CA76" s="2019" t="e">
        <f>CA75/CA5</f>
        <v>#DIV/0!</v>
      </c>
      <c r="CB76" s="2020" t="e">
        <f>CB75/CB5</f>
        <v>#DIV/0!</v>
      </c>
      <c r="CC76" s="2020"/>
      <c r="CD76" s="2020"/>
      <c r="CE76" s="2019" t="e">
        <f>CE75/CE5</f>
        <v>#DIV/0!</v>
      </c>
      <c r="CF76" s="2019" t="e">
        <f>CF75/CF5</f>
        <v>#DIV/0!</v>
      </c>
      <c r="CG76" s="2020" t="e">
        <f>CG75/CG5</f>
        <v>#DIV/0!</v>
      </c>
      <c r="CH76" s="2020"/>
      <c r="CI76" s="2020"/>
      <c r="CJ76" s="2019" t="e">
        <f>CJ75/CJ5</f>
        <v>#DIV/0!</v>
      </c>
      <c r="CK76" s="2019" t="e">
        <f>CK75/CK5</f>
        <v>#DIV/0!</v>
      </c>
      <c r="CL76" s="2020" t="e">
        <f>CL75/CL5</f>
        <v>#DIV/0!</v>
      </c>
      <c r="CM76" s="2020"/>
      <c r="CN76" s="2020"/>
      <c r="CO76" s="2019" t="e">
        <f>CO75/CO5</f>
        <v>#DIV/0!</v>
      </c>
      <c r="CP76" s="2019" t="e">
        <f>CP75/CP5</f>
        <v>#DIV/0!</v>
      </c>
      <c r="CQ76" s="2020" t="e">
        <f>CQ75/CQ5</f>
        <v>#DIV/0!</v>
      </c>
      <c r="CR76" s="2020"/>
      <c r="CS76" s="2020"/>
      <c r="CT76" s="2019" t="e">
        <f>CT75/CT5</f>
        <v>#DIV/0!</v>
      </c>
      <c r="CU76" s="2019">
        <f>IFERROR(CU75/CU5,0)</f>
        <v>0</v>
      </c>
      <c r="CV76" s="2020" t="e">
        <f>CV75/CV5</f>
        <v>#DIV/0!</v>
      </c>
      <c r="CW76" s="2020"/>
      <c r="CX76" s="2020"/>
      <c r="CY76" s="2019" t="e">
        <f>CY75/CY5</f>
        <v>#DIV/0!</v>
      </c>
      <c r="CZ76" s="2019">
        <f>IFERROR(CZ75/CZ5,0)</f>
        <v>0</v>
      </c>
      <c r="DA76" s="2020" t="e">
        <f>DA75/DA5</f>
        <v>#DIV/0!</v>
      </c>
      <c r="DB76" s="2020"/>
      <c r="DC76" s="2020"/>
      <c r="DD76" s="2019" t="e">
        <f>DD75/DD5</f>
        <v>#DIV/0!</v>
      </c>
      <c r="DE76" s="2019">
        <f>IFERROR(DE75/DE5,0)</f>
        <v>0</v>
      </c>
      <c r="DF76" s="2020" t="e">
        <f>DF75/DF5</f>
        <v>#DIV/0!</v>
      </c>
      <c r="DG76" s="2020"/>
      <c r="DH76" s="2020"/>
      <c r="DI76" s="2019" t="e">
        <f>DI75/DI5</f>
        <v>#DIV/0!</v>
      </c>
      <c r="DJ76" s="2019">
        <f>IFERROR(DJ75/DJ5,0)</f>
        <v>0</v>
      </c>
      <c r="DK76" s="2020" t="e">
        <f>DK75/DK5</f>
        <v>#DIV/0!</v>
      </c>
      <c r="DL76" s="2020"/>
      <c r="DM76" s="2020"/>
      <c r="DN76" s="2019">
        <f>DN75/DN5</f>
        <v>0.51237747221245744</v>
      </c>
      <c r="DO76" s="2019" t="e">
        <f>DO75/DO5</f>
        <v>#DIV/0!</v>
      </c>
      <c r="DP76" s="2020">
        <f>DP75/DP5</f>
        <v>0.22783893183230092</v>
      </c>
      <c r="DQ76" s="2020"/>
      <c r="DR76" s="2020"/>
    </row>
    <row r="77" spans="1:122" s="1411" customFormat="1" ht="14.4" thickBot="1" x14ac:dyDescent="0.3">
      <c r="A77" s="1581"/>
      <c r="B77" s="3738" t="s">
        <v>9</v>
      </c>
      <c r="C77" s="3739">
        <v>0</v>
      </c>
      <c r="D77" s="3739">
        <v>0</v>
      </c>
      <c r="E77" s="2866">
        <v>-348549.53263276315</v>
      </c>
      <c r="F77" s="2868"/>
      <c r="G77" s="2864"/>
      <c r="H77" s="3782">
        <f>H78-H79</f>
        <v>0</v>
      </c>
      <c r="I77" s="3739">
        <f>I78-I79</f>
        <v>0</v>
      </c>
      <c r="J77" s="2866">
        <f>J78-J79</f>
        <v>-57472.066091954024</v>
      </c>
      <c r="K77" s="2868"/>
      <c r="L77" s="2868"/>
      <c r="M77" s="3739">
        <f>M78-M79</f>
        <v>0</v>
      </c>
      <c r="N77" s="3739">
        <f>N78-N79</f>
        <v>0</v>
      </c>
      <c r="O77" s="2866">
        <f>O78-O79</f>
        <v>-53596.356666666674</v>
      </c>
      <c r="P77" s="2868"/>
      <c r="Q77" s="2868"/>
      <c r="R77" s="3739">
        <f>R78-R79</f>
        <v>-13846.132643678162</v>
      </c>
      <c r="S77" s="3739">
        <f>S78-S79</f>
        <v>0</v>
      </c>
      <c r="T77" s="2866">
        <f>T78-T79</f>
        <v>-13846.132643678162</v>
      </c>
      <c r="U77" s="2868"/>
      <c r="V77" s="2868"/>
      <c r="W77" s="3739">
        <f>W78-W79</f>
        <v>-20835.201190891301</v>
      </c>
      <c r="X77" s="3739">
        <f>X78-X79</f>
        <v>0</v>
      </c>
      <c r="Y77" s="2866">
        <f>Y78-Y79</f>
        <v>-20835.201190891301</v>
      </c>
      <c r="Z77" s="2868"/>
      <c r="AA77" s="2868"/>
      <c r="AB77" s="3739">
        <f>AB78-AB79</f>
        <v>-18026.000228043358</v>
      </c>
      <c r="AC77" s="3739">
        <f>AC78-AC79</f>
        <v>0</v>
      </c>
      <c r="AD77" s="2866">
        <f>AD78-AD79</f>
        <v>-18026.000228043358</v>
      </c>
      <c r="AE77" s="2868"/>
      <c r="AF77" s="2868"/>
      <c r="AG77" s="3739">
        <f>AG78-AG79</f>
        <v>-29075.608909110731</v>
      </c>
      <c r="AH77" s="3739">
        <f>AH78-AH79</f>
        <v>0</v>
      </c>
      <c r="AI77" s="2866">
        <f>AI78-AI79</f>
        <v>-29075.608909110731</v>
      </c>
      <c r="AJ77" s="2868"/>
      <c r="AK77" s="2868"/>
      <c r="AL77" s="3739">
        <f>AL78-AL79</f>
        <v>-21048.802808988763</v>
      </c>
      <c r="AM77" s="3739">
        <f>AM78-AM79</f>
        <v>0</v>
      </c>
      <c r="AN77" s="2866">
        <f>AN78-AN79</f>
        <v>-21048.802808988763</v>
      </c>
      <c r="AO77" s="2868"/>
      <c r="AP77" s="2868"/>
      <c r="AQ77" s="3739">
        <f>AQ78-AQ79</f>
        <v>-21546.407994157398</v>
      </c>
      <c r="AR77" s="3739">
        <f>AR78-AR79</f>
        <v>0</v>
      </c>
      <c r="AS77" s="2866">
        <f>AS78-AS79</f>
        <v>-21546.407994157398</v>
      </c>
      <c r="AT77" s="2868"/>
      <c r="AU77" s="2868"/>
      <c r="AV77" s="3739">
        <v>-374732.8357961271</v>
      </c>
      <c r="AW77" s="3739">
        <v>0</v>
      </c>
      <c r="AX77" s="2866">
        <v>-374732.8357961271</v>
      </c>
      <c r="AY77" s="3263"/>
      <c r="AZ77" s="3263"/>
      <c r="BA77" s="3739">
        <f>BA78-BA79</f>
        <v>-148579.05581157398</v>
      </c>
      <c r="BB77" s="3739">
        <f>BB78-BB79</f>
        <v>0</v>
      </c>
      <c r="BC77" s="2866">
        <f>BC78-BC79</f>
        <v>-148579.05581157398</v>
      </c>
      <c r="BD77" s="3263"/>
      <c r="BE77" s="3263"/>
      <c r="BF77" s="3793">
        <f>BF78-BF79</f>
        <v>-39360.331618497112</v>
      </c>
      <c r="BG77" s="3793">
        <f>BG78-BG79</f>
        <v>0</v>
      </c>
      <c r="BH77" s="3794">
        <f>BH78-BH79</f>
        <v>-39360.331618497112</v>
      </c>
      <c r="BI77" s="2868"/>
      <c r="BJ77" s="3795"/>
      <c r="BK77" s="3739">
        <f>BK78-BK79</f>
        <v>-48050.629595375722</v>
      </c>
      <c r="BL77" s="3739">
        <f>BL78-BL79</f>
        <v>0</v>
      </c>
      <c r="BM77" s="2866">
        <f>BM78-BM79</f>
        <v>-48050.629595375722</v>
      </c>
      <c r="BN77" s="2868"/>
      <c r="BO77" s="2868"/>
      <c r="BP77" s="3739">
        <f>BP78-BP79</f>
        <v>-61168.094597701158</v>
      </c>
      <c r="BQ77" s="3739">
        <f>BQ78-BQ79</f>
        <v>0</v>
      </c>
      <c r="BR77" s="2866">
        <f>BR78-BR79</f>
        <v>-61168.094597701158</v>
      </c>
      <c r="BS77" s="2868"/>
      <c r="BT77" s="2868"/>
      <c r="BU77" s="3739">
        <f>BU78-BU79</f>
        <v>0</v>
      </c>
      <c r="BV77" s="3739">
        <f>BV78-BV79</f>
        <v>0</v>
      </c>
      <c r="BW77" s="2866">
        <f>BW78-BW79</f>
        <v>0</v>
      </c>
      <c r="BX77" s="2868"/>
      <c r="BY77" s="2868"/>
      <c r="BZ77" s="3739">
        <f>BZ78-BZ79</f>
        <v>0</v>
      </c>
      <c r="CA77" s="3739">
        <f>CA78-CA79</f>
        <v>0</v>
      </c>
      <c r="CB77" s="2866">
        <f>CB78-CB79</f>
        <v>0</v>
      </c>
      <c r="CC77" s="2868"/>
      <c r="CD77" s="2868"/>
      <c r="CE77" s="3739">
        <f>CE78-CE79</f>
        <v>0</v>
      </c>
      <c r="CF77" s="3739">
        <f>CF78-CF79</f>
        <v>0</v>
      </c>
      <c r="CG77" s="2866">
        <f>CG78-CG79</f>
        <v>0</v>
      </c>
      <c r="CH77" s="2868"/>
      <c r="CI77" s="2868"/>
      <c r="CJ77" s="3739">
        <f>CJ78-CJ79</f>
        <v>0</v>
      </c>
      <c r="CK77" s="3739">
        <f>CK78-CK79</f>
        <v>0</v>
      </c>
      <c r="CL77" s="2866">
        <f>CL78-CL79</f>
        <v>0</v>
      </c>
      <c r="CM77" s="2868"/>
      <c r="CN77" s="2868"/>
      <c r="CO77" s="3739">
        <f>CO78-CO79</f>
        <v>0</v>
      </c>
      <c r="CP77" s="3739">
        <f>CP78-CP79</f>
        <v>0</v>
      </c>
      <c r="CQ77" s="2866">
        <f>CQ78-CQ79</f>
        <v>0</v>
      </c>
      <c r="CR77" s="2868"/>
      <c r="CS77" s="2868"/>
      <c r="CT77" s="3739">
        <f>CT78-CT79</f>
        <v>0</v>
      </c>
      <c r="CU77" s="3739">
        <f>CU78-CU79</f>
        <v>0</v>
      </c>
      <c r="CV77" s="2866">
        <f>CV78-CV79</f>
        <v>0</v>
      </c>
      <c r="CW77" s="2868"/>
      <c r="CX77" s="2868"/>
      <c r="CY77" s="3739">
        <f>CY78-CY79</f>
        <v>0</v>
      </c>
      <c r="CZ77" s="3739">
        <f>CZ78-CZ79</f>
        <v>0</v>
      </c>
      <c r="DA77" s="2866">
        <f>DA78-DA79</f>
        <v>0</v>
      </c>
      <c r="DB77" s="2868"/>
      <c r="DC77" s="2868"/>
      <c r="DD77" s="3739">
        <f>DD78-DD79</f>
        <v>0</v>
      </c>
      <c r="DE77" s="3739">
        <f>DE78-DE79</f>
        <v>0</v>
      </c>
      <c r="DF77" s="2866">
        <f>DF78-DF79</f>
        <v>0</v>
      </c>
      <c r="DG77" s="2868"/>
      <c r="DH77" s="2868"/>
      <c r="DI77" s="3739">
        <f>DI78-DI79</f>
        <v>0</v>
      </c>
      <c r="DJ77" s="3739">
        <f>DJ78-DJ79</f>
        <v>0</v>
      </c>
      <c r="DK77" s="2866">
        <f>DK78-DK79</f>
        <v>0</v>
      </c>
      <c r="DL77" s="2868"/>
      <c r="DM77" s="2868"/>
      <c r="DN77" s="3739">
        <f>DN79</f>
        <v>658592.37538257078</v>
      </c>
      <c r="DO77" s="3739">
        <f>DO79</f>
        <v>0</v>
      </c>
      <c r="DP77" s="2866">
        <f>DP78-DP79</f>
        <v>-647690.04538257082</v>
      </c>
      <c r="DQ77" s="2868"/>
      <c r="DR77" s="2868"/>
    </row>
    <row r="78" spans="1:122" s="1411" customFormat="1" ht="13.8" x14ac:dyDescent="0.25">
      <c r="A78" s="1420"/>
      <c r="B78" s="1415" t="s">
        <v>43</v>
      </c>
      <c r="C78" s="3288">
        <v>0</v>
      </c>
      <c r="D78" s="3274">
        <v>0</v>
      </c>
      <c r="E78" s="3333">
        <v>0</v>
      </c>
      <c r="F78" s="3333"/>
      <c r="G78" s="2492"/>
      <c r="H78" s="3274"/>
      <c r="I78" s="3274"/>
      <c r="J78" s="3333">
        <f>H78+I78*1.15</f>
        <v>0</v>
      </c>
      <c r="K78" s="3333"/>
      <c r="L78" s="3333"/>
      <c r="M78" s="3274"/>
      <c r="N78" s="3274"/>
      <c r="O78" s="3333">
        <f>M78+N78*1.15</f>
        <v>0</v>
      </c>
      <c r="P78" s="3333"/>
      <c r="Q78" s="3333"/>
      <c r="R78" s="3274"/>
      <c r="S78" s="3274"/>
      <c r="T78" s="3333">
        <f>R78+S78*1.15</f>
        <v>0</v>
      </c>
      <c r="U78" s="3333"/>
      <c r="V78" s="3333"/>
      <c r="W78" s="3274"/>
      <c r="X78" s="3274"/>
      <c r="Y78" s="3333">
        <f>W78+X78*1.15</f>
        <v>0</v>
      </c>
      <c r="Z78" s="3333"/>
      <c r="AA78" s="3333"/>
      <c r="AB78" s="3274"/>
      <c r="AC78" s="3274"/>
      <c r="AD78" s="3333">
        <f>AB78+AC78*1.15</f>
        <v>0</v>
      </c>
      <c r="AE78" s="3333"/>
      <c r="AF78" s="3333"/>
      <c r="AG78" s="3274"/>
      <c r="AH78" s="3274"/>
      <c r="AI78" s="3402">
        <f>AG78+AH78*1.15</f>
        <v>0</v>
      </c>
      <c r="AJ78" s="3333"/>
      <c r="AK78" s="3333"/>
      <c r="AL78" s="3274"/>
      <c r="AM78" s="3274"/>
      <c r="AN78" s="1181">
        <f>AL78+AM78*1.15</f>
        <v>0</v>
      </c>
      <c r="AO78" s="3333"/>
      <c r="AP78" s="3333"/>
      <c r="AQ78" s="3274"/>
      <c r="AR78" s="3274"/>
      <c r="AS78" s="3333">
        <f>AQ78+AR78*1.15</f>
        <v>0</v>
      </c>
      <c r="AT78" s="3333"/>
      <c r="AU78" s="3333"/>
      <c r="AV78" s="3275">
        <v>9075.02</v>
      </c>
      <c r="AW78" s="3275">
        <v>0</v>
      </c>
      <c r="AX78" s="3275">
        <v>9075.02</v>
      </c>
      <c r="AY78" s="3275"/>
      <c r="AZ78" s="3275"/>
      <c r="BA78" s="3275">
        <f t="shared" ref="BA78:BC79" si="144">BF78+BK78+BP78+BU78+BZ78+CE78+CJ78+CO78+CT78+CY78+DD78+DI78</f>
        <v>1827.31</v>
      </c>
      <c r="BB78" s="3275">
        <f t="shared" si="144"/>
        <v>0</v>
      </c>
      <c r="BC78" s="3275">
        <f t="shared" si="144"/>
        <v>1827.31</v>
      </c>
      <c r="BD78" s="3275"/>
      <c r="BE78" s="3275"/>
      <c r="BF78" s="3744">
        <v>1827.31</v>
      </c>
      <c r="BG78" s="3744"/>
      <c r="BH78" s="3744">
        <f>BF78+BG78*1.15</f>
        <v>1827.31</v>
      </c>
      <c r="BI78" s="3333"/>
      <c r="BJ78" s="3796" t="s">
        <v>2150</v>
      </c>
      <c r="BK78" s="3274"/>
      <c r="BL78" s="3274"/>
      <c r="BM78" s="2028">
        <f>BK78+BL78*1.15</f>
        <v>0</v>
      </c>
      <c r="BN78" s="3333"/>
      <c r="BO78" s="3333"/>
      <c r="BP78" s="3274"/>
      <c r="BQ78" s="3274"/>
      <c r="BR78" s="3283">
        <f t="shared" ref="BR78:BR79" si="145">BP78+BQ78*1</f>
        <v>0</v>
      </c>
      <c r="BS78" s="3333"/>
      <c r="BT78" s="3333"/>
      <c r="BU78" s="3274"/>
      <c r="BV78" s="3274"/>
      <c r="BW78" s="3332">
        <f>BU78+BV78*1.15</f>
        <v>0</v>
      </c>
      <c r="BX78" s="3333"/>
      <c r="BY78" s="3333"/>
      <c r="BZ78" s="3274"/>
      <c r="CA78" s="3274"/>
      <c r="CB78" s="3377">
        <f>BZ78+CA78*1.15</f>
        <v>0</v>
      </c>
      <c r="CC78" s="3333"/>
      <c r="CD78" s="3333"/>
      <c r="CE78" s="3274"/>
      <c r="CF78" s="3274"/>
      <c r="CG78" s="3377">
        <f>CE78+CF78*1.15</f>
        <v>0</v>
      </c>
      <c r="CH78" s="3333"/>
      <c r="CI78" s="3333"/>
      <c r="CJ78" s="3274"/>
      <c r="CK78" s="3274"/>
      <c r="CL78" s="3377">
        <f>CJ78+CK78*1.15</f>
        <v>0</v>
      </c>
      <c r="CM78" s="3333"/>
      <c r="CN78" s="3333"/>
      <c r="CO78" s="3274"/>
      <c r="CP78" s="3274"/>
      <c r="CQ78" s="3377">
        <f>CO78+CP78*1.15</f>
        <v>0</v>
      </c>
      <c r="CR78" s="3333"/>
      <c r="CS78" s="3333"/>
      <c r="CT78" s="3274"/>
      <c r="CU78" s="3274"/>
      <c r="CV78" s="3377">
        <f>CT78+CU78*1.15</f>
        <v>0</v>
      </c>
      <c r="CW78" s="3333"/>
      <c r="CX78" s="3333"/>
      <c r="CY78" s="3274"/>
      <c r="CZ78" s="3274"/>
      <c r="DA78" s="3377">
        <f>CY78+CZ78*1.15</f>
        <v>0</v>
      </c>
      <c r="DB78" s="3333"/>
      <c r="DC78" s="3333"/>
      <c r="DD78" s="3274"/>
      <c r="DE78" s="3274"/>
      <c r="DF78" s="3377">
        <f>DD78+DE78*1.15</f>
        <v>0</v>
      </c>
      <c r="DG78" s="3333"/>
      <c r="DH78" s="3333"/>
      <c r="DI78" s="3274"/>
      <c r="DJ78" s="3274"/>
      <c r="DK78" s="3377">
        <f>DI78+DJ78*1.15</f>
        <v>0</v>
      </c>
      <c r="DL78" s="3333"/>
      <c r="DM78" s="3333"/>
      <c r="DN78" s="3283">
        <f>R78+W78+AB78+AG78+AL78+AQ78+BF78+BK78+BP78+BU78+BZ78+CE78+CJ78+CO78+CT78+CY78+DD78+DI78+AV78</f>
        <v>10902.33</v>
      </c>
      <c r="DO78" s="3283">
        <f t="shared" ref="DN78:DO79" si="146">S78+X78+AC78+AH78+AM78+AR78+BG78+BL78+BQ78+BV78+CA78+CF78+CK78+CP78+CU78+CZ78+DE78+DJ78+AW78</f>
        <v>0</v>
      </c>
      <c r="DP78" s="2028">
        <f>DN78+DO78*1.15</f>
        <v>10902.33</v>
      </c>
      <c r="DQ78" s="3333"/>
      <c r="DR78" s="3333"/>
    </row>
    <row r="79" spans="1:122" s="1411" customFormat="1" ht="13.8" x14ac:dyDescent="0.25">
      <c r="A79" s="1420"/>
      <c r="B79" s="3289" t="s">
        <v>79</v>
      </c>
      <c r="C79" s="3288">
        <v>0</v>
      </c>
      <c r="D79" s="3274">
        <v>0</v>
      </c>
      <c r="E79" s="2028">
        <v>348549.53263276315</v>
      </c>
      <c r="F79" s="3311"/>
      <c r="G79" s="2492"/>
      <c r="H79" s="3274"/>
      <c r="I79" s="3274"/>
      <c r="J79" s="2028">
        <f>(I8+I41+I50+I54)/(1-'расчет 2022'!E4)*'расчет 2022'!E4</f>
        <v>57472.066091954024</v>
      </c>
      <c r="K79" s="3311"/>
      <c r="L79" s="3311"/>
      <c r="M79" s="3274"/>
      <c r="N79" s="3274"/>
      <c r="O79" s="2028">
        <f>(N8+N41+N50+N54)/(1-'расчет 2022'!E5)*'расчет 2022'!E5</f>
        <v>53596.356666666674</v>
      </c>
      <c r="P79" s="3311"/>
      <c r="Q79" s="3311"/>
      <c r="R79" s="3274">
        <f>(S8+S41+S50+S54)/(1-'расчет 2022'!E6)*'расчет 2022'!E6</f>
        <v>13846.132643678162</v>
      </c>
      <c r="S79" s="3274"/>
      <c r="T79" s="2028">
        <f t="shared" ref="T79" si="147">R79+S79*1</f>
        <v>13846.132643678162</v>
      </c>
      <c r="U79" s="3311"/>
      <c r="V79" s="3311"/>
      <c r="W79" s="3274">
        <v>20835.201190891301</v>
      </c>
      <c r="X79" s="3274"/>
      <c r="Y79" s="2028">
        <f t="shared" ref="Y79" si="148">W79+X79*1</f>
        <v>20835.201190891301</v>
      </c>
      <c r="Z79" s="3311"/>
      <c r="AA79" s="3311"/>
      <c r="AB79" s="3274">
        <f>AD79</f>
        <v>18026.000228043358</v>
      </c>
      <c r="AC79" s="3274"/>
      <c r="AD79" s="2028">
        <f>(AC8+AC41+AC50+AC54)/(1-'расчет 2022'!E8)*'расчет 2022'!E8</f>
        <v>18026.000228043358</v>
      </c>
      <c r="AE79" s="3311"/>
      <c r="AF79" s="3311"/>
      <c r="AG79" s="3274">
        <f>(AH8+AH41+AH50+AH54)/(1-'расчет 2022'!E8)*'расчет 2022'!E8</f>
        <v>29075.608909110731</v>
      </c>
      <c r="AH79" s="3274"/>
      <c r="AI79" s="2028">
        <f t="shared" ref="AI79" si="149">AG79+AH79*1</f>
        <v>29075.608909110731</v>
      </c>
      <c r="AJ79" s="3311"/>
      <c r="AK79" s="3311"/>
      <c r="AL79" s="3274">
        <f>AN79</f>
        <v>21048.802808988763</v>
      </c>
      <c r="AM79" s="3274"/>
      <c r="AN79" s="2028">
        <f>(AM8+AM41+AM50+AM54)/(1-'расчет 2022'!I10)*'расчет 2022'!I10</f>
        <v>21048.802808988763</v>
      </c>
      <c r="AO79" s="3311"/>
      <c r="AP79" s="3311"/>
      <c r="AQ79" s="3274">
        <f>(AR8+AR41+AR50+AR54)/(1-'расчет 2022'!I11)*'расчет 2022'!I11</f>
        <v>21546.407994157398</v>
      </c>
      <c r="AR79" s="3274"/>
      <c r="AS79" s="2028">
        <f t="shared" ref="AS79" si="150">AQ79+AR79*1</f>
        <v>21546.407994157398</v>
      </c>
      <c r="AT79" s="3311"/>
      <c r="AU79" s="3311"/>
      <c r="AV79" s="3275">
        <v>383807.85579612711</v>
      </c>
      <c r="AW79" s="3275">
        <v>0</v>
      </c>
      <c r="AX79" s="3275">
        <v>383807.85579612711</v>
      </c>
      <c r="AY79" s="3275"/>
      <c r="AZ79" s="3275"/>
      <c r="BA79" s="3275">
        <f t="shared" si="144"/>
        <v>150406.36581157398</v>
      </c>
      <c r="BB79" s="3275">
        <f t="shared" si="144"/>
        <v>0</v>
      </c>
      <c r="BC79" s="3275">
        <f t="shared" si="144"/>
        <v>150406.36581157398</v>
      </c>
      <c r="BD79" s="3275"/>
      <c r="BE79" s="3275"/>
      <c r="BF79" s="3274">
        <f>(BG8+BG41+BG50+BG54)/(1-'расчет 2022'!I24)*'расчет 2022'!I24</f>
        <v>41187.641618497109</v>
      </c>
      <c r="BG79" s="3744"/>
      <c r="BH79" s="3747">
        <f t="shared" ref="BH79" si="151">BF79+BG79*1</f>
        <v>41187.641618497109</v>
      </c>
      <c r="BI79" s="3311"/>
      <c r="BJ79" s="3767"/>
      <c r="BK79" s="2059">
        <f>(BL8+BL41+BL50+BL54)/(1-'расчет 2022'!$I$25)*'расчет 2022'!$I$25</f>
        <v>48050.629595375722</v>
      </c>
      <c r="BL79" s="3274"/>
      <c r="BM79" s="2028">
        <f t="shared" ref="BM79" si="152">BK79+BL79*1</f>
        <v>48050.629595375722</v>
      </c>
      <c r="BN79" s="3311"/>
      <c r="BO79" s="3276"/>
      <c r="BP79" s="2059">
        <f>(BQ8+BQ41+BQ50+BQ54)/(1-'расчет 2022'!$I$26)*'расчет 2022'!$I$26</f>
        <v>61168.094597701158</v>
      </c>
      <c r="BQ79" s="3274"/>
      <c r="BR79" s="3283">
        <f t="shared" si="145"/>
        <v>61168.094597701158</v>
      </c>
      <c r="BS79" s="3311"/>
      <c r="BT79" s="3276"/>
      <c r="BU79" s="3274"/>
      <c r="BV79" s="3274"/>
      <c r="BW79" s="2028">
        <f t="shared" ref="BW79" si="153">BU79+BV79*1</f>
        <v>0</v>
      </c>
      <c r="BX79" s="3311"/>
      <c r="BY79" s="3276"/>
      <c r="BZ79" s="3274"/>
      <c r="CA79" s="3274"/>
      <c r="CB79" s="3378">
        <f>BZ79+CA79*1.15</f>
        <v>0</v>
      </c>
      <c r="CC79" s="3311"/>
      <c r="CD79" s="3276"/>
      <c r="CE79" s="3274"/>
      <c r="CF79" s="3274"/>
      <c r="CG79" s="3378">
        <f>CE79+CF79*1.15</f>
        <v>0</v>
      </c>
      <c r="CH79" s="3311"/>
      <c r="CI79" s="3276"/>
      <c r="CJ79" s="3274"/>
      <c r="CK79" s="3274"/>
      <c r="CL79" s="3378">
        <f>CJ79+CK79*1.15</f>
        <v>0</v>
      </c>
      <c r="CM79" s="3311"/>
      <c r="CN79" s="3276"/>
      <c r="CO79" s="3274"/>
      <c r="CP79" s="3274"/>
      <c r="CQ79" s="3378">
        <f>CO79+CP79*1.15</f>
        <v>0</v>
      </c>
      <c r="CR79" s="3311"/>
      <c r="CS79" s="3276"/>
      <c r="CT79" s="3274"/>
      <c r="CU79" s="3274"/>
      <c r="CV79" s="3378">
        <f>CT79+CU79*1.15</f>
        <v>0</v>
      </c>
      <c r="CW79" s="3311"/>
      <c r="CX79" s="3276"/>
      <c r="CY79" s="3274"/>
      <c r="CZ79" s="3274"/>
      <c r="DA79" s="3378">
        <f>CY79+CZ79*1.15</f>
        <v>0</v>
      </c>
      <c r="DB79" s="3311"/>
      <c r="DC79" s="3276"/>
      <c r="DD79" s="3274"/>
      <c r="DE79" s="3274"/>
      <c r="DF79" s="3378">
        <f>DD79+DE79*1.15</f>
        <v>0</v>
      </c>
      <c r="DG79" s="3311"/>
      <c r="DH79" s="3276"/>
      <c r="DI79" s="3274"/>
      <c r="DJ79" s="3274"/>
      <c r="DK79" s="3378">
        <f>DI79+DJ79*1.15</f>
        <v>0</v>
      </c>
      <c r="DL79" s="3311"/>
      <c r="DM79" s="3276"/>
      <c r="DN79" s="3283">
        <f t="shared" si="146"/>
        <v>658592.37538257078</v>
      </c>
      <c r="DO79" s="3283">
        <f t="shared" si="146"/>
        <v>0</v>
      </c>
      <c r="DP79" s="2028">
        <f>DN79+DO79*1.15</f>
        <v>658592.37538257078</v>
      </c>
      <c r="DQ79" s="3311"/>
      <c r="DR79" s="3311"/>
    </row>
    <row r="80" spans="1:122" ht="13.8" x14ac:dyDescent="0.25">
      <c r="A80" s="1412"/>
      <c r="B80" s="3335"/>
      <c r="C80" s="3288">
        <v>0</v>
      </c>
      <c r="D80" s="3274">
        <v>0</v>
      </c>
      <c r="E80" s="3336"/>
      <c r="F80" s="3336"/>
      <c r="G80" s="3143"/>
      <c r="H80" s="3274"/>
      <c r="I80" s="3274"/>
      <c r="J80" s="3336"/>
      <c r="K80" s="3336"/>
      <c r="L80" s="3336"/>
      <c r="M80" s="3274"/>
      <c r="N80" s="3274"/>
      <c r="O80" s="3336"/>
      <c r="P80" s="3336"/>
      <c r="Q80" s="3336"/>
      <c r="R80" s="3274"/>
      <c r="S80" s="3274"/>
      <c r="T80" s="3336"/>
      <c r="U80" s="3336"/>
      <c r="V80" s="3336"/>
      <c r="W80" s="3274"/>
      <c r="X80" s="3274"/>
      <c r="Y80" s="3336"/>
      <c r="Z80" s="3336"/>
      <c r="AA80" s="3336"/>
      <c r="AB80" s="3274"/>
      <c r="AC80" s="3274"/>
      <c r="AD80" s="3336"/>
      <c r="AE80" s="3336"/>
      <c r="AF80" s="3336"/>
      <c r="AG80" s="3274"/>
      <c r="AH80" s="3274"/>
      <c r="AI80" s="3336"/>
      <c r="AJ80" s="3336"/>
      <c r="AK80" s="3336"/>
      <c r="AL80" s="3274"/>
      <c r="AM80" s="3274"/>
      <c r="AN80" s="3336"/>
      <c r="AO80" s="3336"/>
      <c r="AP80" s="3336"/>
      <c r="AQ80" s="3274"/>
      <c r="AR80" s="3274"/>
      <c r="AS80" s="3336"/>
      <c r="AT80" s="3336"/>
      <c r="AU80" s="3336"/>
      <c r="AV80" s="3306"/>
      <c r="AW80" s="3306"/>
      <c r="AX80" s="3306"/>
      <c r="AY80" s="3306"/>
      <c r="AZ80" s="3306"/>
      <c r="BA80" s="3306"/>
      <c r="BB80" s="3306"/>
      <c r="BC80" s="3306"/>
      <c r="BD80" s="3306"/>
      <c r="BE80" s="3306"/>
      <c r="BF80" s="3744"/>
      <c r="BG80" s="3744"/>
      <c r="BH80" s="3797"/>
      <c r="BI80" s="3336"/>
      <c r="BJ80" s="3797"/>
      <c r="BK80" s="3274"/>
      <c r="BL80" s="3274"/>
      <c r="BM80" s="3336"/>
      <c r="BN80" s="3336"/>
      <c r="BO80" s="3336"/>
      <c r="BP80" s="3274"/>
      <c r="BQ80" s="3274"/>
      <c r="BR80" s="3336"/>
      <c r="BS80" s="3336"/>
      <c r="BT80" s="3336"/>
      <c r="BU80" s="3274"/>
      <c r="BV80" s="3274"/>
      <c r="BW80" s="3336"/>
      <c r="BX80" s="3336"/>
      <c r="BY80" s="3336"/>
      <c r="BZ80" s="3274"/>
      <c r="CA80" s="3274"/>
      <c r="CB80" s="3336"/>
      <c r="CC80" s="3336"/>
      <c r="CD80" s="3336"/>
      <c r="CE80" s="3274"/>
      <c r="CF80" s="3274"/>
      <c r="CG80" s="3336"/>
      <c r="CH80" s="3336"/>
      <c r="CI80" s="3336"/>
      <c r="CJ80" s="3274"/>
      <c r="CK80" s="3274"/>
      <c r="CL80" s="3336"/>
      <c r="CM80" s="3336"/>
      <c r="CN80" s="3336"/>
      <c r="CO80" s="3274"/>
      <c r="CP80" s="3274"/>
      <c r="CQ80" s="3336"/>
      <c r="CR80" s="3336"/>
      <c r="CS80" s="3336"/>
      <c r="CT80" s="3274"/>
      <c r="CU80" s="3274"/>
      <c r="CV80" s="3336"/>
      <c r="CW80" s="3336"/>
      <c r="CX80" s="3336"/>
      <c r="CY80" s="3274"/>
      <c r="CZ80" s="3274"/>
      <c r="DA80" s="3336"/>
      <c r="DB80" s="3336"/>
      <c r="DC80" s="3336"/>
      <c r="DD80" s="3274"/>
      <c r="DE80" s="3274"/>
      <c r="DF80" s="3336"/>
      <c r="DG80" s="3336"/>
      <c r="DH80" s="3336"/>
      <c r="DI80" s="3274"/>
      <c r="DJ80" s="3274"/>
      <c r="DK80" s="3336"/>
      <c r="DL80" s="3336"/>
      <c r="DM80" s="3336"/>
      <c r="DN80" s="3274"/>
      <c r="DO80" s="3274"/>
      <c r="DP80" s="3336"/>
      <c r="DQ80" s="3336"/>
      <c r="DR80" s="3336"/>
    </row>
    <row r="81" spans="1:122" s="1411" customFormat="1" ht="14.4" thickBot="1" x14ac:dyDescent="0.3">
      <c r="A81" s="1434"/>
      <c r="B81" s="3738" t="s">
        <v>12</v>
      </c>
      <c r="C81" s="3739">
        <v>5103048.6620000014</v>
      </c>
      <c r="D81" s="3739">
        <v>-2452069.2799999998</v>
      </c>
      <c r="E81" s="2866">
        <v>2302429.8493672395</v>
      </c>
      <c r="F81" s="2868"/>
      <c r="G81" s="2864"/>
      <c r="H81" s="3782">
        <f>(H75+H78)-H79</f>
        <v>1065570.6299999999</v>
      </c>
      <c r="I81" s="3739">
        <f>(I75+I78)-I79</f>
        <v>-384620.75</v>
      </c>
      <c r="J81" s="2866">
        <f>(J75+J78)-J79</f>
        <v>623477.81390804588</v>
      </c>
      <c r="K81" s="2868"/>
      <c r="L81" s="2868"/>
      <c r="M81" s="3739">
        <f>(M75+M78)-M79</f>
        <v>65760.649999999907</v>
      </c>
      <c r="N81" s="3739">
        <f>(N75+N78)-N79</f>
        <v>-358683.31</v>
      </c>
      <c r="O81" s="2866">
        <f>(O75+O78)-O79</f>
        <v>-346519.0166666666</v>
      </c>
      <c r="P81" s="2868"/>
      <c r="Q81" s="2868"/>
      <c r="R81" s="3739">
        <f>(R75+R78)-R79</f>
        <v>353413.10135632183</v>
      </c>
      <c r="S81" s="3739">
        <f>(S75+S78)-S79</f>
        <v>-92662.58</v>
      </c>
      <c r="T81" s="2866">
        <f>(T75+T78)-T79</f>
        <v>260750.52135632181</v>
      </c>
      <c r="U81" s="2868"/>
      <c r="V81" s="2868"/>
      <c r="W81" s="3739">
        <f>(W75+W78)-W79</f>
        <v>480704.45880910865</v>
      </c>
      <c r="X81" s="3739">
        <f>(X75+X78)-X79</f>
        <v>-168671.37</v>
      </c>
      <c r="Y81" s="2866">
        <f>(Y75+Y78)-Y79</f>
        <v>312033.08880910865</v>
      </c>
      <c r="Z81" s="2868"/>
      <c r="AA81" s="2868"/>
      <c r="AB81" s="3739">
        <f>(AB75+AB78)-AB79</f>
        <v>229851.87377195669</v>
      </c>
      <c r="AC81" s="3739">
        <f>(AC75+AC78)-AC79</f>
        <v>-124462.82999999999</v>
      </c>
      <c r="AD81" s="2866">
        <f>(AD75+AD78)-AD79</f>
        <v>105389.04377195667</v>
      </c>
      <c r="AE81" s="2868"/>
      <c r="AF81" s="2868"/>
      <c r="AG81" s="3739">
        <f>(AG75+AG78)-AG79</f>
        <v>878691.9710908893</v>
      </c>
      <c r="AH81" s="3739">
        <f>(AH75+AH78)-AH79</f>
        <v>-200756.27</v>
      </c>
      <c r="AI81" s="2866">
        <f>(AI75+AI78)-AI79</f>
        <v>677935.70109088928</v>
      </c>
      <c r="AJ81" s="2868"/>
      <c r="AK81" s="2868"/>
      <c r="AL81" s="3739">
        <f>(AL75+AL78)-AL79</f>
        <v>604649.80719101126</v>
      </c>
      <c r="AM81" s="3739">
        <f>(AM75+AM78)-AM79</f>
        <v>-170303.95</v>
      </c>
      <c r="AN81" s="2866">
        <f>(AN75+AN78)-AN79</f>
        <v>434345.85719101119</v>
      </c>
      <c r="AO81" s="2868"/>
      <c r="AP81" s="2868"/>
      <c r="AQ81" s="3739">
        <f>(AQ75+AQ78)-AQ79</f>
        <v>459886.17700584262</v>
      </c>
      <c r="AR81" s="3739">
        <f>(AR75+AR78)-AR79</f>
        <v>-163409.50999999998</v>
      </c>
      <c r="AS81" s="2866">
        <f>(AS75+AS78)-AS79</f>
        <v>296476.66700584261</v>
      </c>
      <c r="AT81" s="2868"/>
      <c r="AU81" s="2868"/>
      <c r="AV81" s="3739">
        <v>4293268.137803873</v>
      </c>
      <c r="AW81" s="3739">
        <v>-2759285.77275</v>
      </c>
      <c r="AX81" s="2866">
        <v>1533982.365053874</v>
      </c>
      <c r="AY81" s="3263"/>
      <c r="AZ81" s="3263"/>
      <c r="BA81" s="3739">
        <f>(BA75+BA78)-BA79</f>
        <v>444502.17818842601</v>
      </c>
      <c r="BB81" s="3739">
        <f>(BB75+BB78)-BB79</f>
        <v>-981141.67</v>
      </c>
      <c r="BC81" s="2866">
        <f>(BC75+BC78)-BC79</f>
        <v>-536639.49181157385</v>
      </c>
      <c r="BD81" s="3263"/>
      <c r="BE81" s="3263"/>
      <c r="BF81" s="3793">
        <f>(BF75+BF78)-BF79</f>
        <v>453056.10338150297</v>
      </c>
      <c r="BG81" s="3793">
        <f>(BG75+BG78)-BG79</f>
        <v>-263906</v>
      </c>
      <c r="BH81" s="3794">
        <f>(BH75+BH78)-BH79</f>
        <v>189150.10338150294</v>
      </c>
      <c r="BI81" s="2868"/>
      <c r="BJ81" s="3795"/>
      <c r="BK81" s="3739">
        <f>(BK75+BK78)-BK79</f>
        <v>24475.753404624309</v>
      </c>
      <c r="BL81" s="3739">
        <f>(BL75+BL78)-BL79</f>
        <v>-307879.95999999996</v>
      </c>
      <c r="BM81" s="2866">
        <f>(BM75+BM78)-BM79</f>
        <v>-283404.20659537584</v>
      </c>
      <c r="BN81" s="2868"/>
      <c r="BO81" s="2868"/>
      <c r="BP81" s="3739">
        <f>(BP75+BP78)-BP79</f>
        <v>-33029.678597701219</v>
      </c>
      <c r="BQ81" s="3739">
        <f>(BQ75+BQ78)-BQ79</f>
        <v>-409355.71</v>
      </c>
      <c r="BR81" s="2866">
        <f>(BR75+BR78)-BR79</f>
        <v>-442385.38859770139</v>
      </c>
      <c r="BS81" s="2868"/>
      <c r="BT81" s="2868"/>
      <c r="BU81" s="3739">
        <f>(BU75+BU78)-BU79</f>
        <v>0</v>
      </c>
      <c r="BV81" s="3739">
        <f>(BV75+BV78)-BV79</f>
        <v>0</v>
      </c>
      <c r="BW81" s="2866">
        <f>(BW75+BW78)-BW79</f>
        <v>0</v>
      </c>
      <c r="BX81" s="2868"/>
      <c r="BY81" s="2868"/>
      <c r="BZ81" s="3739">
        <f>(BZ75+BZ78)-BZ79</f>
        <v>0</v>
      </c>
      <c r="CA81" s="3739">
        <f>(CA75+CA78)-CA79</f>
        <v>0</v>
      </c>
      <c r="CB81" s="2866">
        <f>(CB75+CB78)-CB79</f>
        <v>0</v>
      </c>
      <c r="CC81" s="2868"/>
      <c r="CD81" s="2868"/>
      <c r="CE81" s="3739">
        <f>(CE75+CE78)-CE79</f>
        <v>0</v>
      </c>
      <c r="CF81" s="3739">
        <f>(CF75+CF78)-CF79</f>
        <v>0</v>
      </c>
      <c r="CG81" s="2866">
        <f>(CG75+CG78)-CG79</f>
        <v>0</v>
      </c>
      <c r="CH81" s="2868"/>
      <c r="CI81" s="2868"/>
      <c r="CJ81" s="3739">
        <f>(CJ75+CJ78)-CJ79</f>
        <v>0</v>
      </c>
      <c r="CK81" s="3739">
        <f>(CK75+CK78)-CK79</f>
        <v>0</v>
      </c>
      <c r="CL81" s="2866">
        <f>(CL75+CL78)-CL79</f>
        <v>0</v>
      </c>
      <c r="CM81" s="2868"/>
      <c r="CN81" s="2868"/>
      <c r="CO81" s="3739">
        <f>(CO75+CO78)-CO79</f>
        <v>0</v>
      </c>
      <c r="CP81" s="3739">
        <f>(CP75+CP78)-CP79</f>
        <v>0</v>
      </c>
      <c r="CQ81" s="2866">
        <f>(CQ75+CQ78)-CQ79</f>
        <v>0</v>
      </c>
      <c r="CR81" s="2868"/>
      <c r="CS81" s="2868"/>
      <c r="CT81" s="3739">
        <f>(CT75+CT78)-CT79</f>
        <v>0</v>
      </c>
      <c r="CU81" s="3739">
        <f>(CU75+CU78)-CU79</f>
        <v>0</v>
      </c>
      <c r="CV81" s="2866">
        <f>(CV75+CV78)-CV79</f>
        <v>0</v>
      </c>
      <c r="CW81" s="2868"/>
      <c r="CX81" s="2868"/>
      <c r="CY81" s="3739">
        <f>(CY75+CY78)-CY79</f>
        <v>0</v>
      </c>
      <c r="CZ81" s="3739">
        <f>(CZ75+CZ78)-CZ79</f>
        <v>0</v>
      </c>
      <c r="DA81" s="2866">
        <f>(DA75+DA78)-DA79</f>
        <v>0</v>
      </c>
      <c r="DB81" s="2868"/>
      <c r="DC81" s="2868"/>
      <c r="DD81" s="3739">
        <f>(DD75+DD78)-DD79</f>
        <v>0</v>
      </c>
      <c r="DE81" s="3739">
        <f>(DE75+DE78)-DE79</f>
        <v>0</v>
      </c>
      <c r="DF81" s="2866">
        <f>(DF75+DF78)-DF79</f>
        <v>0</v>
      </c>
      <c r="DG81" s="2868"/>
      <c r="DH81" s="2868"/>
      <c r="DI81" s="3739">
        <f>(DI75+DI78)-DI79</f>
        <v>0</v>
      </c>
      <c r="DJ81" s="3739">
        <f>(DJ75+DJ78)-DJ79</f>
        <v>0</v>
      </c>
      <c r="DK81" s="2866">
        <f>(DK75+DK78)-DK79</f>
        <v>0</v>
      </c>
      <c r="DL81" s="2868"/>
      <c r="DM81" s="2868"/>
      <c r="DN81" s="3739">
        <f>(DN75+DN78)-DN79</f>
        <v>7744967.7052174304</v>
      </c>
      <c r="DO81" s="3739">
        <f>(DO75+DO78)-DO79</f>
        <v>-4660693.9527499992</v>
      </c>
      <c r="DP81" s="2866">
        <f>(DP75+DP78)-DP79</f>
        <v>3084273.7524674293</v>
      </c>
      <c r="DQ81" s="2868"/>
      <c r="DR81" s="2868"/>
    </row>
    <row r="82" spans="1:122" s="1411" customFormat="1" ht="13.8" x14ac:dyDescent="0.25">
      <c r="A82" s="1580"/>
      <c r="B82" s="1415" t="s">
        <v>38</v>
      </c>
      <c r="C82" s="3288">
        <v>0</v>
      </c>
      <c r="D82" s="3274">
        <v>0</v>
      </c>
      <c r="E82" s="3332">
        <v>0</v>
      </c>
      <c r="F82" s="3321"/>
      <c r="G82" s="2492"/>
      <c r="H82" s="3274"/>
      <c r="I82" s="3274"/>
      <c r="J82" s="3332">
        <f>H82+I82</f>
        <v>0</v>
      </c>
      <c r="K82" s="3321"/>
      <c r="L82" s="3321"/>
      <c r="M82" s="3274"/>
      <c r="N82" s="3274"/>
      <c r="O82" s="3332">
        <f>M82+N82</f>
        <v>0</v>
      </c>
      <c r="P82" s="3321"/>
      <c r="Q82" s="3321"/>
      <c r="R82" s="3274"/>
      <c r="S82" s="3274"/>
      <c r="T82" s="3332">
        <f>R82+S82</f>
        <v>0</v>
      </c>
      <c r="U82" s="3321"/>
      <c r="V82" s="3321"/>
      <c r="W82" s="3279"/>
      <c r="X82" s="3280"/>
      <c r="Y82" s="3332">
        <f>W82+X82</f>
        <v>0</v>
      </c>
      <c r="Z82" s="3352"/>
      <c r="AA82" s="3352"/>
      <c r="AB82" s="3274"/>
      <c r="AC82" s="3274"/>
      <c r="AD82" s="3332">
        <f>AB82+AC82</f>
        <v>0</v>
      </c>
      <c r="AE82" s="3321"/>
      <c r="AF82" s="3321"/>
      <c r="AG82" s="3274"/>
      <c r="AH82" s="3274"/>
      <c r="AI82" s="3332">
        <f>AG82+AH82</f>
        <v>0</v>
      </c>
      <c r="AJ82" s="3321"/>
      <c r="AK82" s="3321"/>
      <c r="AL82" s="3274"/>
      <c r="AM82" s="3274"/>
      <c r="AN82" s="3332">
        <f>AL82+AM82</f>
        <v>0</v>
      </c>
      <c r="AO82" s="3321"/>
      <c r="AP82" s="3321"/>
      <c r="AQ82" s="3274"/>
      <c r="AR82" s="3274"/>
      <c r="AS82" s="3332">
        <f>AQ82+AR82</f>
        <v>0</v>
      </c>
      <c r="AT82" s="3321"/>
      <c r="AU82" s="3321"/>
      <c r="AV82" s="3275">
        <v>0</v>
      </c>
      <c r="AW82" s="3275">
        <v>0</v>
      </c>
      <c r="AX82" s="3275">
        <v>0</v>
      </c>
      <c r="AY82" s="3321"/>
      <c r="AZ82" s="3321"/>
      <c r="BA82" s="3275">
        <f>BF82+BK82+BP82+BU82+BZ82+CE82+CJ82+CO82+CT82+CY82+DD82+DI82</f>
        <v>72238</v>
      </c>
      <c r="BB82" s="3275">
        <f>BG82+BL82+BQ82+BV82+CA82+CF82+CK82+CP82+CU82+CZ82+DE82+DJ82</f>
        <v>0</v>
      </c>
      <c r="BC82" s="3275">
        <f>BH82+BM82+BR82+BW82+CB82</f>
        <v>72238</v>
      </c>
      <c r="BD82" s="3321"/>
      <c r="BE82" s="3321"/>
      <c r="BF82" s="3744"/>
      <c r="BG82" s="3744"/>
      <c r="BH82" s="3798">
        <f>BF82+BG82</f>
        <v>0</v>
      </c>
      <c r="BI82" s="3321"/>
      <c r="BJ82" s="3799"/>
      <c r="BK82" s="3274">
        <v>72238</v>
      </c>
      <c r="BL82" s="3274"/>
      <c r="BM82" s="3332">
        <f>BK82+BL82</f>
        <v>72238</v>
      </c>
      <c r="BN82" s="3321"/>
      <c r="BO82" s="3321" t="s">
        <v>2162</v>
      </c>
      <c r="BP82" s="3274"/>
      <c r="BQ82" s="3274"/>
      <c r="BR82" s="3332">
        <f>BP82+BQ82</f>
        <v>0</v>
      </c>
      <c r="BS82" s="3321"/>
      <c r="BT82" s="3321"/>
      <c r="BU82" s="3274"/>
      <c r="BV82" s="3274"/>
      <c r="BW82" s="3332">
        <f>BU82+BV82</f>
        <v>0</v>
      </c>
      <c r="BX82" s="3321"/>
      <c r="BY82" s="3321"/>
      <c r="BZ82" s="3274"/>
      <c r="CA82" s="3274"/>
      <c r="CB82" s="3332">
        <f>BZ82+CA82</f>
        <v>0</v>
      </c>
      <c r="CC82" s="3321"/>
      <c r="CD82" s="3321"/>
      <c r="CE82" s="3274"/>
      <c r="CF82" s="3274"/>
      <c r="CG82" s="3332">
        <f>CE82+CF82</f>
        <v>0</v>
      </c>
      <c r="CH82" s="3321"/>
      <c r="CI82" s="3321"/>
      <c r="CJ82" s="3274"/>
      <c r="CK82" s="3274"/>
      <c r="CL82" s="3332">
        <f>CJ82+CK82</f>
        <v>0</v>
      </c>
      <c r="CM82" s="3321"/>
      <c r="CN82" s="3321"/>
      <c r="CO82" s="3274"/>
      <c r="CP82" s="3274"/>
      <c r="CQ82" s="3332">
        <f>CO82+CP82</f>
        <v>0</v>
      </c>
      <c r="CR82" s="3321"/>
      <c r="CS82" s="3321"/>
      <c r="CT82" s="3274"/>
      <c r="CU82" s="3274"/>
      <c r="CV82" s="3332">
        <f>CT82+CU82</f>
        <v>0</v>
      </c>
      <c r="CW82" s="3321"/>
      <c r="CX82" s="3321"/>
      <c r="CY82" s="3274"/>
      <c r="CZ82" s="3274"/>
      <c r="DA82" s="3332">
        <f>CY82+CZ82</f>
        <v>0</v>
      </c>
      <c r="DB82" s="3321"/>
      <c r="DC82" s="3321"/>
      <c r="DD82" s="3274"/>
      <c r="DE82" s="3274"/>
      <c r="DF82" s="3332">
        <f>DD82+DE82</f>
        <v>0</v>
      </c>
      <c r="DG82" s="3321"/>
      <c r="DH82" s="3321"/>
      <c r="DI82" s="3274"/>
      <c r="DJ82" s="3274"/>
      <c r="DK82" s="3332">
        <f>DI82+DJ82</f>
        <v>0</v>
      </c>
      <c r="DL82" s="3321"/>
      <c r="DM82" s="3321"/>
      <c r="DN82" s="3283">
        <f>R82+W82+AB82+AG82+AL82+AQ82+BF82+BK82+BP82+BU82+BZ82+CE82+CJ82+CO82+CT82+CY82+DD82+DI82+AV82</f>
        <v>72238</v>
      </c>
      <c r="DO82" s="3283">
        <f>S82+X82+AC82+AH82+AM82+AR82+BG82+BL82+BQ82+BV82+CA82+CF82+CK82+CP82+CU82+CZ82+DE82+DJ82+AW82</f>
        <v>0</v>
      </c>
      <c r="DP82" s="3332">
        <f>DN82+DO82</f>
        <v>72238</v>
      </c>
      <c r="DQ82" s="3352"/>
      <c r="DR82" s="3352"/>
    </row>
    <row r="83" spans="1:122" s="1411" customFormat="1" ht="13.8" x14ac:dyDescent="0.25">
      <c r="A83" s="1420"/>
      <c r="B83" s="3337" t="s">
        <v>13</v>
      </c>
      <c r="C83" s="3338">
        <v>5103048.6620000014</v>
      </c>
      <c r="D83" s="3338">
        <v>-2452069.2799999998</v>
      </c>
      <c r="E83" s="3339">
        <v>2302429.8493672395</v>
      </c>
      <c r="F83" s="3340"/>
      <c r="G83" s="3403"/>
      <c r="H83" s="3404">
        <f>(H81)-H36</f>
        <v>1065570.6299999999</v>
      </c>
      <c r="I83" s="3338">
        <f>(I81)-I36</f>
        <v>-384620.75</v>
      </c>
      <c r="J83" s="3339">
        <f>(J81)-J36</f>
        <v>623477.81390804588</v>
      </c>
      <c r="K83" s="3340"/>
      <c r="L83" s="3340"/>
      <c r="M83" s="3338">
        <f>M81</f>
        <v>65760.649999999907</v>
      </c>
      <c r="N83" s="3338">
        <f>(N81+N7)-N36</f>
        <v>-358683.31</v>
      </c>
      <c r="O83" s="3339">
        <f>O81</f>
        <v>-346519.0166666666</v>
      </c>
      <c r="P83" s="3340"/>
      <c r="Q83" s="3340"/>
      <c r="R83" s="3338">
        <f>(R81+R7)-R36</f>
        <v>353413.10135632183</v>
      </c>
      <c r="S83" s="3338">
        <f>(S81+S7)-S36</f>
        <v>-92662.58</v>
      </c>
      <c r="T83" s="3339">
        <f>(T81+T7)-T36</f>
        <v>260750.52135632181</v>
      </c>
      <c r="U83" s="3340"/>
      <c r="V83" s="3340"/>
      <c r="W83" s="3338">
        <f>(W81+W7)-W36</f>
        <v>530704.45880910871</v>
      </c>
      <c r="X83" s="3338">
        <f>(X81+X7)-X36</f>
        <v>-168671.37</v>
      </c>
      <c r="Y83" s="3339">
        <f>(Y81+Y7)-Y36</f>
        <v>362033.08880910865</v>
      </c>
      <c r="Z83" s="3340"/>
      <c r="AA83" s="3340"/>
      <c r="AB83" s="3338">
        <f>(AB81+AB7)-AB36</f>
        <v>279851.87377195666</v>
      </c>
      <c r="AC83" s="3338">
        <f>(AC81+AC7)-AC36</f>
        <v>-124462.82999999999</v>
      </c>
      <c r="AD83" s="3339">
        <f>(AD81)-AD36</f>
        <v>105389.04377195667</v>
      </c>
      <c r="AE83" s="3340"/>
      <c r="AF83" s="3340"/>
      <c r="AG83" s="3338">
        <f>(AG81+AG7)-AG36</f>
        <v>932329.07109088928</v>
      </c>
      <c r="AH83" s="3338">
        <f>(AH81+AH7)-AH36</f>
        <v>-200756.27</v>
      </c>
      <c r="AI83" s="3339">
        <f>(AI81)-AI36</f>
        <v>677935.70109088928</v>
      </c>
      <c r="AJ83" s="3340"/>
      <c r="AK83" s="3340"/>
      <c r="AL83" s="3338">
        <f>(AL81+AL7)-AL36</f>
        <v>604649.80719101126</v>
      </c>
      <c r="AM83" s="3338">
        <f>(AM81+AM7)-AM36</f>
        <v>-170303.95</v>
      </c>
      <c r="AN83" s="3339">
        <f>(AN81+AN7)-AN36</f>
        <v>434345.85719101119</v>
      </c>
      <c r="AO83" s="3340"/>
      <c r="AP83" s="3340"/>
      <c r="AQ83" s="3338">
        <f>(AQ81+AQ7)-AQ36</f>
        <v>459886.17700584262</v>
      </c>
      <c r="AR83" s="3338">
        <f>(AR81+AR7)-AR36</f>
        <v>-163409.50999999998</v>
      </c>
      <c r="AS83" s="3339">
        <f>(AS81+AS7)-AS36</f>
        <v>296476.66700584261</v>
      </c>
      <c r="AT83" s="3340"/>
      <c r="AU83" s="3340"/>
      <c r="AV83" s="3338">
        <v>4293268.137803873</v>
      </c>
      <c r="AW83" s="3338">
        <v>-2759285.77275</v>
      </c>
      <c r="AX83" s="3339">
        <v>1533982.365053874</v>
      </c>
      <c r="AY83" s="3341"/>
      <c r="AZ83" s="3341"/>
      <c r="BA83" s="3338">
        <f>(BA81)-BA36</f>
        <v>444502.17818842601</v>
      </c>
      <c r="BB83" s="3338">
        <f>(BB81)-BB36</f>
        <v>-981141.67</v>
      </c>
      <c r="BC83" s="3339">
        <f>(BC81)-BC36</f>
        <v>-536639.49181157385</v>
      </c>
      <c r="BD83" s="3341"/>
      <c r="BE83" s="3341"/>
      <c r="BF83" s="3800">
        <f>(BF81)-BF36</f>
        <v>453056.10338150297</v>
      </c>
      <c r="BG83" s="3801">
        <f>(BG81+BG7)-BG36</f>
        <v>-263906</v>
      </c>
      <c r="BH83" s="3800">
        <f>(BH81)-BH36</f>
        <v>189150.10338150294</v>
      </c>
      <c r="BI83" s="3340"/>
      <c r="BJ83" s="3802"/>
      <c r="BK83" s="3338">
        <f>(BK81+BK7)-BK36</f>
        <v>24475.753404624309</v>
      </c>
      <c r="BL83" s="3338">
        <f>(BL81+BL7)-BL36</f>
        <v>-307879.95999999996</v>
      </c>
      <c r="BM83" s="3339">
        <f>(BM81+BM7)-BM36</f>
        <v>-283404.20659537584</v>
      </c>
      <c r="BN83" s="3340"/>
      <c r="BO83" s="3340"/>
      <c r="BP83" s="3338">
        <f>(BP81+BP7)-BP36</f>
        <v>-33029.678597701219</v>
      </c>
      <c r="BQ83" s="3338">
        <f>(BQ81+BQ7)-BQ36</f>
        <v>-409355.71</v>
      </c>
      <c r="BR83" s="3339">
        <f>(BR81+BR7)-BR36</f>
        <v>-442385.38859770139</v>
      </c>
      <c r="BS83" s="3340"/>
      <c r="BT83" s="3340"/>
      <c r="BU83" s="3338">
        <f>(BU81+BU7)-BU36</f>
        <v>0</v>
      </c>
      <c r="BV83" s="3338">
        <f>(BV81+BV7)-BV36</f>
        <v>0</v>
      </c>
      <c r="BW83" s="3339">
        <f>(BW81+BW7)-BW36</f>
        <v>0</v>
      </c>
      <c r="BX83" s="3340"/>
      <c r="BY83" s="3340"/>
      <c r="BZ83" s="3338">
        <f>(BZ81+BZ7)-BZ36</f>
        <v>0</v>
      </c>
      <c r="CA83" s="3338">
        <f>(CA81+CA7)-CA36</f>
        <v>0</v>
      </c>
      <c r="CB83" s="3339">
        <f>(CB81+CB7)-CB36</f>
        <v>0</v>
      </c>
      <c r="CC83" s="3340"/>
      <c r="CD83" s="3340"/>
      <c r="CE83" s="3338">
        <f>(CE81+CE7)-CE36</f>
        <v>0</v>
      </c>
      <c r="CF83" s="3338">
        <f>(CF81+CF7)-CF36</f>
        <v>0</v>
      </c>
      <c r="CG83" s="3339">
        <f>(CG81+CG7)-CG36</f>
        <v>0</v>
      </c>
      <c r="CH83" s="3340"/>
      <c r="CI83" s="3340"/>
      <c r="CJ83" s="3338">
        <f>(CJ81+CJ7)-CJ36</f>
        <v>0</v>
      </c>
      <c r="CK83" s="3338">
        <f>(CK81+CK7)-CK36</f>
        <v>0</v>
      </c>
      <c r="CL83" s="3339">
        <f>(CL81+CL7)-CL36</f>
        <v>0</v>
      </c>
      <c r="CM83" s="3340"/>
      <c r="CN83" s="3340"/>
      <c r="CO83" s="3338">
        <f>(CO81+CO7)-CO36</f>
        <v>0</v>
      </c>
      <c r="CP83" s="3338">
        <f>(CP81+CP7)-CP36</f>
        <v>0</v>
      </c>
      <c r="CQ83" s="3339">
        <f>(CQ81+CQ7)-CQ36</f>
        <v>0</v>
      </c>
      <c r="CR83" s="3340"/>
      <c r="CS83" s="3340"/>
      <c r="CT83" s="3338">
        <f>(CT81+CT7)-CT36</f>
        <v>0</v>
      </c>
      <c r="CU83" s="3338">
        <f>(CU81+CU7)-CU36</f>
        <v>0</v>
      </c>
      <c r="CV83" s="3339">
        <f>(CV81+CV7)-CV36</f>
        <v>0</v>
      </c>
      <c r="CW83" s="3340"/>
      <c r="CX83" s="3340"/>
      <c r="CY83" s="3338">
        <f>(CY81+CY7)-CY36</f>
        <v>0</v>
      </c>
      <c r="CZ83" s="3338">
        <f>(CZ81+CZ7)-CZ36</f>
        <v>0</v>
      </c>
      <c r="DA83" s="3339">
        <f>(DA81+DA7)-DA36</f>
        <v>0</v>
      </c>
      <c r="DB83" s="3340"/>
      <c r="DC83" s="3340"/>
      <c r="DD83" s="3338">
        <f>(DD81+DD7)-DD36</f>
        <v>0</v>
      </c>
      <c r="DE83" s="3338">
        <f>(DE81+DE7)-DE36</f>
        <v>0</v>
      </c>
      <c r="DF83" s="3339">
        <f>(DF81+DF7)-DF36</f>
        <v>0</v>
      </c>
      <c r="DG83" s="3340"/>
      <c r="DH83" s="3340"/>
      <c r="DI83" s="3338">
        <f>(DI81+DI7)-DI36</f>
        <v>0</v>
      </c>
      <c r="DJ83" s="3338">
        <f>(DJ81+DJ7)-DJ36</f>
        <v>0</v>
      </c>
      <c r="DK83" s="3339">
        <f>(DK81+DK7)-DK36</f>
        <v>0</v>
      </c>
      <c r="DL83" s="3340"/>
      <c r="DM83" s="3340"/>
      <c r="DN83" s="3338">
        <f>(DN81)-DN36</f>
        <v>7744967.7052174304</v>
      </c>
      <c r="DO83" s="3338">
        <f>(DO81)-DO36</f>
        <v>-4660693.9527499992</v>
      </c>
      <c r="DP83" s="3339">
        <f>(DP81)-DP36</f>
        <v>3084273.7524674293</v>
      </c>
      <c r="DQ83" s="3340"/>
      <c r="DR83" s="3340"/>
    </row>
    <row r="84" spans="1:122" s="1411" customFormat="1" ht="14.4" thickBot="1" x14ac:dyDescent="0.3">
      <c r="A84" s="1420"/>
      <c r="B84" s="3368" t="s">
        <v>14</v>
      </c>
      <c r="C84" s="2873">
        <v>5103048.6620000014</v>
      </c>
      <c r="D84" s="2873">
        <v>-2452069.2799999998</v>
      </c>
      <c r="E84" s="2873">
        <v>2302429.8493672395</v>
      </c>
      <c r="F84" s="2874"/>
      <c r="G84" s="2870"/>
      <c r="H84" s="3803">
        <f>H83-H73-H82</f>
        <v>1065570.6299999999</v>
      </c>
      <c r="I84" s="2873">
        <f>I83-I73-I82</f>
        <v>-384620.75</v>
      </c>
      <c r="J84" s="3344">
        <f>J83-J73-J82</f>
        <v>623477.81390804588</v>
      </c>
      <c r="K84" s="3345"/>
      <c r="L84" s="3345"/>
      <c r="M84" s="2873">
        <f>M83-M73-M82</f>
        <v>65760.649999999907</v>
      </c>
      <c r="N84" s="2873">
        <f>N83-N73-N82</f>
        <v>-358683.31</v>
      </c>
      <c r="O84" s="3344">
        <f>O83-O73-O82</f>
        <v>-346519.0166666666</v>
      </c>
      <c r="P84" s="3345"/>
      <c r="Q84" s="3345"/>
      <c r="R84" s="2873">
        <f>R83-R73-R82</f>
        <v>353413.10135632183</v>
      </c>
      <c r="S84" s="2873">
        <f>S83-S73-S82</f>
        <v>-92662.58</v>
      </c>
      <c r="T84" s="3344">
        <f>T83-T73-T82</f>
        <v>260750.52135632181</v>
      </c>
      <c r="U84" s="3345"/>
      <c r="V84" s="3345"/>
      <c r="W84" s="2873">
        <f>W83-W73-W82</f>
        <v>530704.45880910871</v>
      </c>
      <c r="X84" s="2873">
        <f>X83-X73-X82</f>
        <v>-168671.37</v>
      </c>
      <c r="Y84" s="2873">
        <f>Y83-Y73-Y82</f>
        <v>362033.08880910865</v>
      </c>
      <c r="Z84" s="2874"/>
      <c r="AA84" s="2874"/>
      <c r="AB84" s="3344">
        <f>AB83-AB73-AB82</f>
        <v>279851.87377195666</v>
      </c>
      <c r="AC84" s="3344">
        <f>AC83-AC73-AC82</f>
        <v>-124462.82999999999</v>
      </c>
      <c r="AD84" s="3344">
        <f>AD83-AD73-AD82</f>
        <v>105389.04377195667</v>
      </c>
      <c r="AE84" s="3345"/>
      <c r="AF84" s="3345"/>
      <c r="AG84" s="3344">
        <f>AG83-AG73-AG82</f>
        <v>932329.07109088928</v>
      </c>
      <c r="AH84" s="3344">
        <f>AH83-AH73-AH82</f>
        <v>-200756.27</v>
      </c>
      <c r="AI84" s="3344">
        <f>AI83-AI73-AI82</f>
        <v>677935.70109088928</v>
      </c>
      <c r="AJ84" s="3345"/>
      <c r="AK84" s="3345"/>
      <c r="AL84" s="3344">
        <f>AL83-AL73-AL82</f>
        <v>604649.80719101126</v>
      </c>
      <c r="AM84" s="3344">
        <f>AM83-AM73-AM82</f>
        <v>-170303.95</v>
      </c>
      <c r="AN84" s="3344">
        <f>AN83-AN73-AN82</f>
        <v>434345.85719101119</v>
      </c>
      <c r="AO84" s="3345"/>
      <c r="AP84" s="3345"/>
      <c r="AQ84" s="2873">
        <f>AQ83-AQ73-AQ82</f>
        <v>459886.17700584262</v>
      </c>
      <c r="AR84" s="2873">
        <f>AR83-AR73-AR82</f>
        <v>-163409.50999999998</v>
      </c>
      <c r="AS84" s="2873">
        <f>AS83-AS73-AS82</f>
        <v>296476.66700584261</v>
      </c>
      <c r="AT84" s="2874"/>
      <c r="AU84" s="2874"/>
      <c r="AV84" s="2873">
        <v>4293268.137803873</v>
      </c>
      <c r="AW84" s="2873">
        <v>-2759285.77275</v>
      </c>
      <c r="AX84" s="2873">
        <v>1533982.365053874</v>
      </c>
      <c r="AY84" s="2874"/>
      <c r="AZ84" s="2874"/>
      <c r="BA84" s="2873">
        <f>BA83-BA73-BA82</f>
        <v>372264.17818842601</v>
      </c>
      <c r="BB84" s="2873">
        <f>BB83-BB73-BB82</f>
        <v>-981141.67</v>
      </c>
      <c r="BC84" s="2873">
        <f>BC83-BC73-BC82</f>
        <v>-608877.49181157385</v>
      </c>
      <c r="BD84" s="2874"/>
      <c r="BE84" s="2874"/>
      <c r="BF84" s="3804">
        <f>BF83-BF73-BF82</f>
        <v>453056.10338150297</v>
      </c>
      <c r="BG84" s="3804">
        <f>BG83-BG73-BG82</f>
        <v>-263906</v>
      </c>
      <c r="BH84" s="3804">
        <f>BH83-BH73-BH82</f>
        <v>189150.10338150294</v>
      </c>
      <c r="BI84" s="2874"/>
      <c r="BJ84" s="3805"/>
      <c r="BK84" s="3344">
        <f>BK83-BK73-BK82</f>
        <v>-47762.246595375691</v>
      </c>
      <c r="BL84" s="3344">
        <f>BL83-BL73-BL82</f>
        <v>-307879.95999999996</v>
      </c>
      <c r="BM84" s="3344">
        <f>BM83-BM73-BM82</f>
        <v>-355642.20659537584</v>
      </c>
      <c r="BN84" s="3345"/>
      <c r="BO84" s="3345"/>
      <c r="BP84" s="3344">
        <f>BP83-BP73-BP82</f>
        <v>-33029.678597701219</v>
      </c>
      <c r="BQ84" s="3344">
        <f>BQ83-BQ73-BQ82</f>
        <v>-409355.71</v>
      </c>
      <c r="BR84" s="3344">
        <f>BR83-BR73-BR82</f>
        <v>-442385.38859770139</v>
      </c>
      <c r="BS84" s="3345"/>
      <c r="BT84" s="3345"/>
      <c r="BU84" s="3344">
        <f>BU83-BU73-BU82</f>
        <v>0</v>
      </c>
      <c r="BV84" s="3344">
        <f>BV83-BV73-BV82</f>
        <v>0</v>
      </c>
      <c r="BW84" s="3344">
        <f>BW83-BW73-BW82</f>
        <v>0</v>
      </c>
      <c r="BX84" s="3345"/>
      <c r="BY84" s="3345"/>
      <c r="BZ84" s="3344">
        <f>BZ83-BZ73-BZ82</f>
        <v>0</v>
      </c>
      <c r="CA84" s="3344">
        <f>CA83-CA73-CA82</f>
        <v>0</v>
      </c>
      <c r="CB84" s="3344">
        <f>CB83-CB73-CB82</f>
        <v>0</v>
      </c>
      <c r="CC84" s="3345"/>
      <c r="CD84" s="3345"/>
      <c r="CE84" s="3344">
        <f>CE83-CE73-CE82</f>
        <v>0</v>
      </c>
      <c r="CF84" s="3344">
        <f>CF83-CF73-CF82</f>
        <v>0</v>
      </c>
      <c r="CG84" s="3344">
        <f>CG83-CG73-CG82</f>
        <v>0</v>
      </c>
      <c r="CH84" s="3345"/>
      <c r="CI84" s="3345"/>
      <c r="CJ84" s="3344">
        <f>CJ83-CJ73-CJ82</f>
        <v>0</v>
      </c>
      <c r="CK84" s="3344">
        <f>CK83-CK73-CK82</f>
        <v>0</v>
      </c>
      <c r="CL84" s="3344">
        <f>CL83-CL73-CL82</f>
        <v>0</v>
      </c>
      <c r="CM84" s="3345"/>
      <c r="CN84" s="3345"/>
      <c r="CO84" s="3344">
        <f>CO83-CO73-CO82</f>
        <v>0</v>
      </c>
      <c r="CP84" s="3344">
        <f>CP83-CP73-CP82</f>
        <v>0</v>
      </c>
      <c r="CQ84" s="3344">
        <f>CQ83-CQ73-CQ82</f>
        <v>0</v>
      </c>
      <c r="CR84" s="3345"/>
      <c r="CS84" s="3345"/>
      <c r="CT84" s="3344">
        <f>CT83-CT73-CT82</f>
        <v>0</v>
      </c>
      <c r="CU84" s="3344">
        <f>CU83-CU73-CU82</f>
        <v>0</v>
      </c>
      <c r="CV84" s="3344">
        <f>CV83-CV73-CV82</f>
        <v>0</v>
      </c>
      <c r="CW84" s="3345"/>
      <c r="CX84" s="3345"/>
      <c r="CY84" s="3344">
        <f>CY83-CY73-CY82</f>
        <v>0</v>
      </c>
      <c r="CZ84" s="3344">
        <f>CZ83-CZ73-CZ82</f>
        <v>0</v>
      </c>
      <c r="DA84" s="3344">
        <f>DA83-DA73-DA82</f>
        <v>0</v>
      </c>
      <c r="DB84" s="3345"/>
      <c r="DC84" s="3345"/>
      <c r="DD84" s="3344">
        <f>DD83-DD73-DD82</f>
        <v>0</v>
      </c>
      <c r="DE84" s="3344">
        <f>DE83-DE73-DE82</f>
        <v>0</v>
      </c>
      <c r="DF84" s="3344">
        <f>DF83-DF73-DF82</f>
        <v>0</v>
      </c>
      <c r="DG84" s="3345"/>
      <c r="DH84" s="3345"/>
      <c r="DI84" s="3344">
        <f>DI83-DI73-DI82</f>
        <v>0</v>
      </c>
      <c r="DJ84" s="3344">
        <f>DJ83-DJ73-DJ82</f>
        <v>0</v>
      </c>
      <c r="DK84" s="3344">
        <f>DK83-DK73-DK82</f>
        <v>0</v>
      </c>
      <c r="DL84" s="3345"/>
      <c r="DM84" s="3345"/>
      <c r="DN84" s="2873">
        <f>DN83-DN73-DN82</f>
        <v>7672729.7052174304</v>
      </c>
      <c r="DO84" s="2873">
        <f>DO83-DO73-DO82</f>
        <v>-4660693.9527499992</v>
      </c>
      <c r="DP84" s="2873">
        <f>DP83-DP73-DP82</f>
        <v>3012035.7524674293</v>
      </c>
      <c r="DQ84" s="2874"/>
      <c r="DR84" s="2874"/>
    </row>
    <row r="85" spans="1:122" s="1411" customFormat="1" ht="13.8" x14ac:dyDescent="0.25">
      <c r="A85" s="1580"/>
      <c r="B85" s="1572" t="s">
        <v>44</v>
      </c>
      <c r="C85" s="3288"/>
      <c r="D85" s="3274"/>
      <c r="E85" s="2028">
        <v>0</v>
      </c>
      <c r="F85" s="3321"/>
      <c r="G85" s="2492"/>
      <c r="H85" s="3274"/>
      <c r="I85" s="3274"/>
      <c r="J85" s="2141">
        <f>H85+I85*1.15</f>
        <v>0</v>
      </c>
      <c r="K85" s="3352"/>
      <c r="L85" s="3352"/>
      <c r="M85" s="3274"/>
      <c r="N85" s="3274"/>
      <c r="O85" s="2141">
        <f>M85+N85*1.15</f>
        <v>0</v>
      </c>
      <c r="P85" s="3352"/>
      <c r="Q85" s="3352"/>
      <c r="R85" s="3274"/>
      <c r="S85" s="3274"/>
      <c r="T85" s="2141">
        <f>R85+S85*1.15</f>
        <v>0</v>
      </c>
      <c r="U85" s="3352"/>
      <c r="V85" s="3352"/>
      <c r="W85" s="3274"/>
      <c r="X85" s="3274"/>
      <c r="Y85" s="2028">
        <f>W85+X85*1.15</f>
        <v>0</v>
      </c>
      <c r="Z85" s="3321"/>
      <c r="AA85" s="3321"/>
      <c r="AB85" s="3279"/>
      <c r="AC85" s="3280"/>
      <c r="AD85" s="2141">
        <f>AB85+AC85*1.15</f>
        <v>0</v>
      </c>
      <c r="AE85" s="3352"/>
      <c r="AF85" s="3352"/>
      <c r="AG85" s="3279"/>
      <c r="AH85" s="3280"/>
      <c r="AI85" s="2141">
        <f>AG85+AH85*1.15</f>
        <v>0</v>
      </c>
      <c r="AJ85" s="3352"/>
      <c r="AK85" s="3352"/>
      <c r="AL85" s="3279"/>
      <c r="AM85" s="3280"/>
      <c r="AN85" s="2141">
        <f>AL85+AM85*1.15</f>
        <v>0</v>
      </c>
      <c r="AO85" s="3352"/>
      <c r="AP85" s="3352"/>
      <c r="AQ85" s="3274"/>
      <c r="AR85" s="3274"/>
      <c r="AS85" s="2028">
        <f>AQ85+AR85*1.15</f>
        <v>0</v>
      </c>
      <c r="AT85" s="3321"/>
      <c r="AU85" s="3321"/>
      <c r="AV85" s="3275">
        <v>0</v>
      </c>
      <c r="AW85" s="3275">
        <v>0</v>
      </c>
      <c r="AX85" s="3275">
        <v>0</v>
      </c>
      <c r="AY85" s="3321"/>
      <c r="AZ85" s="3321"/>
      <c r="BA85" s="3275">
        <f>BF85+BK85+BP85+BU85+BZ85+CE85+CJ85+CO85+CT85+CY85+DD85+DI85</f>
        <v>0</v>
      </c>
      <c r="BB85" s="3275">
        <f>BG85+BL85+BQ85+BV85+CA85+CF85+CK85+CP85+CU85+CZ85+DE85+DJ85</f>
        <v>0</v>
      </c>
      <c r="BC85" s="3275">
        <v>0</v>
      </c>
      <c r="BD85" s="3321"/>
      <c r="BE85" s="3321"/>
      <c r="BF85" s="3744"/>
      <c r="BG85" s="3744"/>
      <c r="BH85" s="3747">
        <f>BF85+BG85*1.15</f>
        <v>0</v>
      </c>
      <c r="BI85" s="3321"/>
      <c r="BJ85" s="3799"/>
      <c r="BK85" s="3280"/>
      <c r="BL85" s="3280"/>
      <c r="BM85" s="3280">
        <f>BK85+BL85*1.15</f>
        <v>0</v>
      </c>
      <c r="BN85" s="3352"/>
      <c r="BO85" s="3369"/>
      <c r="BP85" s="3280"/>
      <c r="BQ85" s="3280"/>
      <c r="BR85" s="2141"/>
      <c r="BS85" s="3352"/>
      <c r="BT85" s="3370"/>
      <c r="BU85" s="3280"/>
      <c r="BV85" s="3373">
        <f>(BW38/2*0.885+BR38)*0</f>
        <v>0</v>
      </c>
      <c r="BW85" s="1358"/>
      <c r="BX85" s="3372"/>
      <c r="BY85" s="3369"/>
      <c r="BZ85" s="3280"/>
      <c r="CA85" s="3371">
        <f>(CB38/2*0.885+BW38)*0</f>
        <v>0</v>
      </c>
      <c r="CB85" s="1358"/>
      <c r="CC85" s="3372"/>
      <c r="CD85" s="3369"/>
      <c r="CE85" s="3280"/>
      <c r="CF85" s="3371">
        <f>(CG38/2*0.885+CB38)*0</f>
        <v>0</v>
      </c>
      <c r="CG85" s="1358"/>
      <c r="CH85" s="3372"/>
      <c r="CI85" s="3369"/>
      <c r="CJ85" s="3280"/>
      <c r="CK85" s="3371">
        <f>(CL38/2*0.885+CG38)*0</f>
        <v>0</v>
      </c>
      <c r="CL85" s="1358"/>
      <c r="CM85" s="3372"/>
      <c r="CN85" s="3369"/>
      <c r="CO85" s="3280"/>
      <c r="CP85" s="3371">
        <f>(CQ38/2*0.885+CL38)*0</f>
        <v>0</v>
      </c>
      <c r="CQ85" s="1358"/>
      <c r="CR85" s="3372"/>
      <c r="CS85" s="3369"/>
      <c r="CT85" s="3280"/>
      <c r="CU85" s="3371"/>
      <c r="CV85" s="1358"/>
      <c r="CW85" s="3372"/>
      <c r="CX85" s="3369"/>
      <c r="CY85" s="3280"/>
      <c r="CZ85" s="3371">
        <f>(DA38/2*0.885+CV38)*0</f>
        <v>0</v>
      </c>
      <c r="DA85" s="1358"/>
      <c r="DB85" s="3372"/>
      <c r="DC85" s="3369"/>
      <c r="DD85" s="3280"/>
      <c r="DE85" s="3371">
        <f>(DF38/2*0.885+DA38)*0</f>
        <v>0</v>
      </c>
      <c r="DF85" s="1358"/>
      <c r="DG85" s="3372"/>
      <c r="DH85" s="3369"/>
      <c r="DI85" s="3280"/>
      <c r="DJ85" s="3371"/>
      <c r="DK85" s="1358"/>
      <c r="DL85" s="3372"/>
      <c r="DM85" s="3369"/>
      <c r="DN85" s="3283">
        <f>R85+W85+AB85+AG85+AL85+AQ85+BF85+BK85+BP85+BU85+BZ85+CE85+CJ85+CO85+CT85+CY85+DD85+DI85+AV85</f>
        <v>0</v>
      </c>
      <c r="DO85" s="3283">
        <f>S85+X85+AC85+AH85+AM85+AR85+BG85+BL85+BQ85+BV85+CA85+CF85+CK85+CP85+CU85+CZ85+DE85+DJ85+AW85</f>
        <v>0</v>
      </c>
      <c r="DP85" s="2028">
        <f>BM85</f>
        <v>0</v>
      </c>
      <c r="DQ85" s="3321"/>
      <c r="DR85" s="3321"/>
    </row>
    <row r="86" spans="1:122" s="1411" customFormat="1" ht="27.6" x14ac:dyDescent="0.25">
      <c r="A86" s="1420"/>
      <c r="B86" s="3445" t="s">
        <v>50</v>
      </c>
      <c r="C86" s="3354">
        <v>5103048.6620000014</v>
      </c>
      <c r="D86" s="3354">
        <v>-2452069.2799999998</v>
      </c>
      <c r="E86" s="3354">
        <v>2302429.8493672395</v>
      </c>
      <c r="F86" s="3355"/>
      <c r="G86" s="3407"/>
      <c r="H86" s="3408">
        <f>H84-H85</f>
        <v>1065570.6299999999</v>
      </c>
      <c r="I86" s="3354">
        <f>I84-I85</f>
        <v>-384620.75</v>
      </c>
      <c r="J86" s="3354">
        <f>J84-J85</f>
        <v>623477.81390804588</v>
      </c>
      <c r="K86" s="3355"/>
      <c r="L86" s="3355"/>
      <c r="M86" s="3354">
        <f>M84-M85</f>
        <v>65760.649999999907</v>
      </c>
      <c r="N86" s="3354">
        <f>N84-N85</f>
        <v>-358683.31</v>
      </c>
      <c r="O86" s="3354">
        <f>O84-O85</f>
        <v>-346519.0166666666</v>
      </c>
      <c r="P86" s="3355"/>
      <c r="Q86" s="3355"/>
      <c r="R86" s="3354">
        <f>R84-R85</f>
        <v>353413.10135632183</v>
      </c>
      <c r="S86" s="3354">
        <f>S84-S85</f>
        <v>-92662.58</v>
      </c>
      <c r="T86" s="3354">
        <f>T84-T85</f>
        <v>260750.52135632181</v>
      </c>
      <c r="U86" s="3355"/>
      <c r="V86" s="3355"/>
      <c r="W86" s="3354">
        <f>W84-W85</f>
        <v>530704.45880910871</v>
      </c>
      <c r="X86" s="3354">
        <f>X84-X85</f>
        <v>-168671.37</v>
      </c>
      <c r="Y86" s="3354">
        <f>Y84-Y85</f>
        <v>362033.08880910865</v>
      </c>
      <c r="Z86" s="3355"/>
      <c r="AA86" s="3355"/>
      <c r="AB86" s="3354">
        <f>AB84-AB85</f>
        <v>279851.87377195666</v>
      </c>
      <c r="AC86" s="3354">
        <f>AC84-AC85</f>
        <v>-124462.82999999999</v>
      </c>
      <c r="AD86" s="3354">
        <f>AD84-AD85</f>
        <v>105389.04377195667</v>
      </c>
      <c r="AE86" s="3355"/>
      <c r="AF86" s="3355"/>
      <c r="AG86" s="3354">
        <f>AG84-AG85</f>
        <v>932329.07109088928</v>
      </c>
      <c r="AH86" s="3354">
        <f>AH84-AH85</f>
        <v>-200756.27</v>
      </c>
      <c r="AI86" s="3354">
        <f>AI84-AI85</f>
        <v>677935.70109088928</v>
      </c>
      <c r="AJ86" s="3355"/>
      <c r="AK86" s="3355"/>
      <c r="AL86" s="3354">
        <f>AL84-AL85</f>
        <v>604649.80719101126</v>
      </c>
      <c r="AM86" s="3354">
        <f>AM84-AM85</f>
        <v>-170303.95</v>
      </c>
      <c r="AN86" s="3354">
        <f>AN84-AN85</f>
        <v>434345.85719101119</v>
      </c>
      <c r="AO86" s="3355"/>
      <c r="AP86" s="3355"/>
      <c r="AQ86" s="3354">
        <f>AQ84-AQ85</f>
        <v>459886.17700584262</v>
      </c>
      <c r="AR86" s="3354">
        <f>AR84-AR85</f>
        <v>-163409.50999999998</v>
      </c>
      <c r="AS86" s="3354">
        <f>AS84-AS85</f>
        <v>296476.66700584261</v>
      </c>
      <c r="AT86" s="3355"/>
      <c r="AU86" s="3355"/>
      <c r="AV86" s="3354">
        <v>4293268.137803873</v>
      </c>
      <c r="AW86" s="3354">
        <v>-2759285.77275</v>
      </c>
      <c r="AX86" s="3354">
        <v>1533982.365053874</v>
      </c>
      <c r="AY86" s="3355"/>
      <c r="AZ86" s="3355"/>
      <c r="BA86" s="3354">
        <f>BA84</f>
        <v>372264.17818842601</v>
      </c>
      <c r="BB86" s="3354">
        <f>BB84</f>
        <v>-981141.67</v>
      </c>
      <c r="BC86" s="3354">
        <f>BC84</f>
        <v>-608877.49181157385</v>
      </c>
      <c r="BD86" s="3355"/>
      <c r="BE86" s="3355"/>
      <c r="BF86" s="3806">
        <f>BF84-BF85</f>
        <v>453056.10338150297</v>
      </c>
      <c r="BG86" s="3806">
        <f>BG84-BG85</f>
        <v>-263906</v>
      </c>
      <c r="BH86" s="3806">
        <f>BH84-BH85</f>
        <v>189150.10338150294</v>
      </c>
      <c r="BI86" s="3355"/>
      <c r="BJ86" s="3807"/>
      <c r="BK86" s="3354">
        <f>BK84-BK85</f>
        <v>-47762.246595375691</v>
      </c>
      <c r="BL86" s="3354">
        <f>BL84-BL85</f>
        <v>-307879.95999999996</v>
      </c>
      <c r="BM86" s="3354">
        <f>BM84</f>
        <v>-355642.20659537584</v>
      </c>
      <c r="BN86" s="3355"/>
      <c r="BO86" s="3355"/>
      <c r="BP86" s="3354">
        <f>BP84-BP85</f>
        <v>-33029.678597701219</v>
      </c>
      <c r="BQ86" s="3354">
        <f>BQ84-BQ85</f>
        <v>-409355.71</v>
      </c>
      <c r="BR86" s="3354">
        <f>BR84-BR85</f>
        <v>-442385.38859770139</v>
      </c>
      <c r="BS86" s="3355"/>
      <c r="BT86" s="3355"/>
      <c r="BU86" s="3354">
        <f>BU84-BU85</f>
        <v>0</v>
      </c>
      <c r="BV86" s="3354">
        <f>BV84-BV85</f>
        <v>0</v>
      </c>
      <c r="BW86" s="3354">
        <f>BW84</f>
        <v>0</v>
      </c>
      <c r="BX86" s="3355"/>
      <c r="BY86" s="3355"/>
      <c r="BZ86" s="3354">
        <f>BZ84-BZ85</f>
        <v>0</v>
      </c>
      <c r="CA86" s="3354">
        <f>CA84-CA85</f>
        <v>0</v>
      </c>
      <c r="CB86" s="3354">
        <f>CB84</f>
        <v>0</v>
      </c>
      <c r="CC86" s="3355"/>
      <c r="CD86" s="3355"/>
      <c r="CE86" s="3354">
        <f>CE84-CE85</f>
        <v>0</v>
      </c>
      <c r="CF86" s="3354">
        <f>CF84-CF85</f>
        <v>0</v>
      </c>
      <c r="CG86" s="3354">
        <f>CG84</f>
        <v>0</v>
      </c>
      <c r="CH86" s="3355"/>
      <c r="CI86" s="3355"/>
      <c r="CJ86" s="3354">
        <f>CJ84-CJ85</f>
        <v>0</v>
      </c>
      <c r="CK86" s="3354">
        <f>CK84-CK85</f>
        <v>0</v>
      </c>
      <c r="CL86" s="3354">
        <f>CL84</f>
        <v>0</v>
      </c>
      <c r="CM86" s="3355"/>
      <c r="CN86" s="3355"/>
      <c r="CO86" s="3354">
        <f>CO84-CO85</f>
        <v>0</v>
      </c>
      <c r="CP86" s="3354">
        <f>CP84-CP85</f>
        <v>0</v>
      </c>
      <c r="CQ86" s="3354">
        <f>CQ84</f>
        <v>0</v>
      </c>
      <c r="CR86" s="3355"/>
      <c r="CS86" s="3355"/>
      <c r="CT86" s="3354">
        <f>CT84-CT85</f>
        <v>0</v>
      </c>
      <c r="CU86" s="3354">
        <f>CU84-CU85</f>
        <v>0</v>
      </c>
      <c r="CV86" s="3354">
        <f>CV84</f>
        <v>0</v>
      </c>
      <c r="CW86" s="3355"/>
      <c r="CX86" s="3355"/>
      <c r="CY86" s="3354">
        <f>CY84-CY85</f>
        <v>0</v>
      </c>
      <c r="CZ86" s="3354">
        <f>CZ84-CZ85</f>
        <v>0</v>
      </c>
      <c r="DA86" s="3354">
        <f>DA84</f>
        <v>0</v>
      </c>
      <c r="DB86" s="3355"/>
      <c r="DC86" s="3355"/>
      <c r="DD86" s="3354">
        <f>DD84-DD85</f>
        <v>0</v>
      </c>
      <c r="DE86" s="3354">
        <f>DE84-DE85</f>
        <v>0</v>
      </c>
      <c r="DF86" s="3354">
        <f>DF84</f>
        <v>0</v>
      </c>
      <c r="DG86" s="3355"/>
      <c r="DH86" s="3355"/>
      <c r="DI86" s="3354">
        <f>DI84-DI85</f>
        <v>0</v>
      </c>
      <c r="DJ86" s="3354">
        <f>DJ84-DJ85</f>
        <v>0</v>
      </c>
      <c r="DK86" s="3354">
        <f>DK84</f>
        <v>0</v>
      </c>
      <c r="DL86" s="3355"/>
      <c r="DM86" s="3355"/>
      <c r="DN86" s="3354">
        <f>DN84-DN85</f>
        <v>7672729.7052174304</v>
      </c>
      <c r="DO86" s="3354">
        <f>DO84-DO85</f>
        <v>-4660693.9527499992</v>
      </c>
      <c r="DP86" s="3354">
        <f>DP84</f>
        <v>3012035.7524674293</v>
      </c>
      <c r="DQ86" s="3355"/>
      <c r="DR86" s="3355"/>
    </row>
    <row r="87" spans="1:122" s="1411" customFormat="1" ht="14.4" thickBot="1" x14ac:dyDescent="0.3">
      <c r="A87" s="1582"/>
      <c r="B87" s="3808" t="s">
        <v>51</v>
      </c>
      <c r="C87" s="3741">
        <v>0.40555171060402179</v>
      </c>
      <c r="D87" s="3742" t="e">
        <v>#DIV/0!</v>
      </c>
      <c r="E87" s="2879">
        <v>0.18297970993494006</v>
      </c>
      <c r="F87" s="2881"/>
      <c r="G87" s="3809"/>
      <c r="H87" s="3810">
        <f>H86/H5</f>
        <v>0.70102731819416875</v>
      </c>
      <c r="I87" s="3742" t="e">
        <f>I86/I5</f>
        <v>#DIV/0!</v>
      </c>
      <c r="J87" s="2879">
        <f>J86/J5</f>
        <v>0.41017926689432166</v>
      </c>
      <c r="K87" s="2881"/>
      <c r="L87" s="2881"/>
      <c r="M87" s="3741">
        <f>M86/M5</f>
        <v>6.1746685674241894E-2</v>
      </c>
      <c r="N87" s="3742" t="e">
        <f>N86/N5</f>
        <v>#DIV/0!</v>
      </c>
      <c r="O87" s="2879">
        <f>O86/O5</f>
        <v>-0.32536784235350596</v>
      </c>
      <c r="P87" s="2881"/>
      <c r="Q87" s="2881"/>
      <c r="R87" s="3741">
        <f>R86/R5</f>
        <v>0.58127154828342409</v>
      </c>
      <c r="S87" s="3742" t="e">
        <f>S86/S5</f>
        <v>#DIV/0!</v>
      </c>
      <c r="T87" s="2879">
        <f>T86/T5</f>
        <v>0.42886598907289775</v>
      </c>
      <c r="U87" s="2881"/>
      <c r="V87" s="2881"/>
      <c r="W87" s="3741">
        <f>W86/W5</f>
        <v>0.65888860047762965</v>
      </c>
      <c r="X87" s="3742" t="e">
        <f>X86/X5</f>
        <v>#DIV/0!</v>
      </c>
      <c r="Y87" s="2879">
        <f>Y86/Y5</f>
        <v>0.44947705121472942</v>
      </c>
      <c r="Z87" s="2881"/>
      <c r="AA87" s="2881"/>
      <c r="AB87" s="3741">
        <f>AB86/AB5</f>
        <v>0.58392460133084811</v>
      </c>
      <c r="AC87" s="3742" t="e">
        <f>AC86/AC5</f>
        <v>#DIV/0!</v>
      </c>
      <c r="AD87" s="2879">
        <f>AD86/AD5</f>
        <v>0.21989938655663849</v>
      </c>
      <c r="AE87" s="2881"/>
      <c r="AF87" s="2881"/>
      <c r="AG87" s="3741">
        <f>AG86/AG5</f>
        <v>0.87947347178386459</v>
      </c>
      <c r="AH87" s="3742" t="e">
        <f>AH86/AH5</f>
        <v>#DIV/0!</v>
      </c>
      <c r="AI87" s="2879">
        <f>AI86/AI5</f>
        <v>0.63950217060914627</v>
      </c>
      <c r="AJ87" s="2881"/>
      <c r="AK87" s="2881"/>
      <c r="AL87" s="3741">
        <f>AL86/AL5</f>
        <v>0.62434798615417553</v>
      </c>
      <c r="AM87" s="3742" t="e">
        <f>AM86/AM5</f>
        <v>#DIV/0!</v>
      </c>
      <c r="AN87" s="2879">
        <f>AN86/AN5</f>
        <v>0.4484959029284023</v>
      </c>
      <c r="AO87" s="2881"/>
      <c r="AP87" s="2881"/>
      <c r="AQ87" s="3741">
        <f>AQ86/AQ5</f>
        <v>0.36325043207946583</v>
      </c>
      <c r="AR87" s="3742" t="e">
        <f>AR86/AR5</f>
        <v>#DIV/0!</v>
      </c>
      <c r="AS87" s="2879">
        <f>AS86/AS5</f>
        <v>0.23417811357696891</v>
      </c>
      <c r="AT87" s="2881"/>
      <c r="AU87" s="2881"/>
      <c r="AV87" s="3741">
        <v>0.47132005437021463</v>
      </c>
      <c r="AW87" s="3742" t="e">
        <v>#DIV/0!</v>
      </c>
      <c r="AX87" s="2879">
        <v>0.16840239847445804</v>
      </c>
      <c r="AY87" s="3264"/>
      <c r="AZ87" s="3264"/>
      <c r="BA87" s="3741">
        <f>BA86/BA5</f>
        <v>0.17867162330233197</v>
      </c>
      <c r="BB87" s="3742" t="e">
        <f>BB86/BB5</f>
        <v>#DIV/0!</v>
      </c>
      <c r="BC87" s="2879">
        <f>BC86/BC5</f>
        <v>-0.29223636392745073</v>
      </c>
      <c r="BD87" s="3264"/>
      <c r="BE87" s="3264"/>
      <c r="BF87" s="3811">
        <f>BF86/BF5</f>
        <v>0.70212487723867645</v>
      </c>
      <c r="BG87" s="3812" t="e">
        <f>BG86/BG5</f>
        <v>#DIV/0!</v>
      </c>
      <c r="BH87" s="3813">
        <f>BH86/BH5</f>
        <v>0.29313586579052991</v>
      </c>
      <c r="BI87" s="2881"/>
      <c r="BJ87" s="3814"/>
      <c r="BK87" s="3741">
        <f>BK86/BK5</f>
        <v>-8.1459822677292806E-2</v>
      </c>
      <c r="BL87" s="3742" t="e">
        <f>BL86/BL5</f>
        <v>#DIV/0!</v>
      </c>
      <c r="BM87" s="2879">
        <f>BM86/BM5</f>
        <v>-0.60655754598916545</v>
      </c>
      <c r="BN87" s="2881"/>
      <c r="BO87" s="2881"/>
      <c r="BP87" s="3741">
        <f>BP86/BP5</f>
        <v>-3.8770996286612382E-2</v>
      </c>
      <c r="BQ87" s="3742" t="e">
        <f>BQ86/BQ5</f>
        <v>#DIV/0!</v>
      </c>
      <c r="BR87" s="2879">
        <f>BR86/BR5</f>
        <v>-0.5192821422054883</v>
      </c>
      <c r="BS87" s="2881"/>
      <c r="BT87" s="2881"/>
      <c r="BU87" s="3741" t="e">
        <f>BU86/BU5</f>
        <v>#DIV/0!</v>
      </c>
      <c r="BV87" s="3742" t="e">
        <f>BV86/BV5</f>
        <v>#DIV/0!</v>
      </c>
      <c r="BW87" s="2879" t="e">
        <f>BW86/BW5</f>
        <v>#DIV/0!</v>
      </c>
      <c r="BX87" s="2881"/>
      <c r="BY87" s="2881"/>
      <c r="BZ87" s="3741" t="e">
        <f>BZ86/BZ5</f>
        <v>#DIV/0!</v>
      </c>
      <c r="CA87" s="3742" t="e">
        <f>CA86/CA5</f>
        <v>#DIV/0!</v>
      </c>
      <c r="CB87" s="2879" t="e">
        <f>CB86/CB5</f>
        <v>#DIV/0!</v>
      </c>
      <c r="CC87" s="2881"/>
      <c r="CD87" s="2881"/>
      <c r="CE87" s="3741" t="e">
        <f>CE86/CE5</f>
        <v>#DIV/0!</v>
      </c>
      <c r="CF87" s="3742" t="e">
        <f>CF86/CF5</f>
        <v>#DIV/0!</v>
      </c>
      <c r="CG87" s="2879" t="e">
        <f>CG86/CG5</f>
        <v>#DIV/0!</v>
      </c>
      <c r="CH87" s="2881"/>
      <c r="CI87" s="2881"/>
      <c r="CJ87" s="3741" t="e">
        <f>CJ86/CJ5</f>
        <v>#DIV/0!</v>
      </c>
      <c r="CK87" s="3742" t="e">
        <f>CK86/CK5</f>
        <v>#DIV/0!</v>
      </c>
      <c r="CL87" s="2879" t="e">
        <f>CL86/CL5</f>
        <v>#DIV/0!</v>
      </c>
      <c r="CM87" s="2881"/>
      <c r="CN87" s="2881"/>
      <c r="CO87" s="3741" t="e">
        <f>CO86/CO5</f>
        <v>#DIV/0!</v>
      </c>
      <c r="CP87" s="3742" t="e">
        <f>CP86/CP5</f>
        <v>#DIV/0!</v>
      </c>
      <c r="CQ87" s="2879" t="e">
        <f>CQ86/CQ5</f>
        <v>#DIV/0!</v>
      </c>
      <c r="CR87" s="2881"/>
      <c r="CS87" s="2881"/>
      <c r="CT87" s="3741" t="e">
        <f>CT86/CT5</f>
        <v>#DIV/0!</v>
      </c>
      <c r="CU87" s="3742">
        <f>IFERROR(CU86/CU5,0)</f>
        <v>0</v>
      </c>
      <c r="CV87" s="2879" t="e">
        <f>CV86/CV5</f>
        <v>#DIV/0!</v>
      </c>
      <c r="CW87" s="2881"/>
      <c r="CX87" s="2881"/>
      <c r="CY87" s="3741" t="e">
        <f>CY86/CY5</f>
        <v>#DIV/0!</v>
      </c>
      <c r="CZ87" s="3742">
        <f>IFERROR(CZ86/CZ5,0)</f>
        <v>0</v>
      </c>
      <c r="DA87" s="2879" t="e">
        <f>DA86/DA5</f>
        <v>#DIV/0!</v>
      </c>
      <c r="DB87" s="2881"/>
      <c r="DC87" s="2881"/>
      <c r="DD87" s="3741" t="e">
        <f>DD86/DD5</f>
        <v>#DIV/0!</v>
      </c>
      <c r="DE87" s="3742">
        <f>IFERROR(DE86/DE5,0)</f>
        <v>0</v>
      </c>
      <c r="DF87" s="2879" t="e">
        <f>DF86/DF5</f>
        <v>#DIV/0!</v>
      </c>
      <c r="DG87" s="2881"/>
      <c r="DH87" s="2881"/>
      <c r="DI87" s="3741" t="e">
        <f>DI86/DI5</f>
        <v>#DIV/0!</v>
      </c>
      <c r="DJ87" s="3742">
        <f>IFERROR(DJ86/DJ5,0)</f>
        <v>0</v>
      </c>
      <c r="DK87" s="2879" t="e">
        <f>DK86/DK5</f>
        <v>#DIV/0!</v>
      </c>
      <c r="DL87" s="2881"/>
      <c r="DM87" s="2881"/>
      <c r="DN87" s="3741">
        <f>DN86/DN5</f>
        <v>0.46842537467319989</v>
      </c>
      <c r="DO87" s="3742" t="e">
        <f>DO86/DO5</f>
        <v>#DIV/0!</v>
      </c>
      <c r="DP87" s="2879">
        <f>DP86/DP5</f>
        <v>0.18388683429304337</v>
      </c>
      <c r="DQ87" s="2881"/>
      <c r="DR87" s="2881"/>
    </row>
    <row r="88" spans="1:122" ht="13.8" x14ac:dyDescent="0.25">
      <c r="A88" s="1438"/>
      <c r="B88" s="1438"/>
      <c r="C88" s="1970"/>
      <c r="D88" s="1970"/>
      <c r="E88" s="1970"/>
      <c r="F88" s="1970"/>
      <c r="G88" s="1438"/>
      <c r="H88" s="1970"/>
      <c r="I88" s="1970"/>
      <c r="J88" s="1970"/>
      <c r="K88" s="1970"/>
      <c r="L88" s="1970"/>
      <c r="M88" s="1970"/>
      <c r="N88" s="1970"/>
      <c r="O88" s="1970"/>
      <c r="P88" s="1970"/>
      <c r="Q88" s="1970"/>
      <c r="R88" s="1970"/>
      <c r="S88" s="1970"/>
      <c r="T88" s="1970"/>
      <c r="U88" s="1970"/>
      <c r="V88" s="1970"/>
      <c r="W88" s="1970"/>
      <c r="X88" s="1970"/>
      <c r="Y88" s="1970"/>
      <c r="Z88" s="1970"/>
      <c r="AA88" s="1970"/>
      <c r="AB88" s="1970"/>
      <c r="AC88" s="1970"/>
      <c r="AD88" s="1970"/>
      <c r="AE88" s="1970"/>
      <c r="AF88" s="1970"/>
      <c r="AG88" s="1970"/>
      <c r="AH88" s="1970"/>
      <c r="AI88" s="1970"/>
      <c r="AJ88" s="1970"/>
      <c r="AK88" s="1970"/>
      <c r="AL88" s="1970"/>
      <c r="AM88" s="1970"/>
      <c r="AN88" s="1970"/>
      <c r="AO88" s="1970"/>
      <c r="AP88" s="1970"/>
      <c r="AQ88" s="1970"/>
      <c r="AR88" s="1970"/>
      <c r="AS88" s="1970"/>
      <c r="AT88" s="1970"/>
      <c r="AU88" s="1970"/>
      <c r="AV88" s="1970"/>
      <c r="AW88" s="1970"/>
      <c r="AX88" s="1970"/>
      <c r="AY88" s="1970"/>
      <c r="AZ88" s="1970"/>
      <c r="BA88" s="1970"/>
      <c r="BB88" s="1970"/>
      <c r="BC88" s="1970"/>
      <c r="BD88" s="1970"/>
      <c r="BE88" s="1970"/>
      <c r="BF88" s="3815"/>
      <c r="BG88" s="3815"/>
      <c r="BH88" s="3815"/>
      <c r="BI88" s="1970"/>
      <c r="BJ88" s="3815"/>
      <c r="BK88" s="1970"/>
      <c r="BL88" s="1970"/>
      <c r="BM88" s="1970"/>
      <c r="BN88" s="1970"/>
      <c r="BO88" s="1970"/>
      <c r="BP88" s="1970"/>
      <c r="BQ88" s="1970"/>
      <c r="BR88" s="1970"/>
      <c r="BS88" s="1970"/>
      <c r="BT88" s="1970"/>
      <c r="BU88" s="1970"/>
      <c r="BV88" s="1970"/>
      <c r="BW88" s="1970"/>
      <c r="BX88" s="1970"/>
      <c r="BY88" s="1970"/>
      <c r="BZ88" s="1970"/>
      <c r="CA88" s="1970"/>
      <c r="CB88" s="1970"/>
      <c r="CC88" s="1970"/>
      <c r="CD88" s="1970"/>
      <c r="CE88" s="1970"/>
      <c r="CF88" s="1970"/>
      <c r="CG88" s="1970"/>
      <c r="CH88" s="1970"/>
      <c r="CI88" s="1970"/>
      <c r="CJ88" s="1970"/>
      <c r="CK88" s="1970"/>
      <c r="CL88" s="1970"/>
      <c r="CM88" s="1970"/>
      <c r="CN88" s="1970"/>
      <c r="CO88" s="1970"/>
      <c r="CP88" s="1970"/>
      <c r="CQ88" s="1970"/>
      <c r="CR88" s="1970"/>
      <c r="CS88" s="1970"/>
      <c r="CT88" s="1970"/>
      <c r="CU88" s="1970"/>
      <c r="CV88" s="1970"/>
      <c r="CW88" s="1970"/>
      <c r="CX88" s="1970"/>
      <c r="CY88" s="1970"/>
      <c r="CZ88" s="1970"/>
      <c r="DA88" s="1970"/>
      <c r="DB88" s="1970"/>
      <c r="DC88" s="1970"/>
      <c r="DD88" s="1970"/>
      <c r="DE88" s="1970"/>
      <c r="DF88" s="1970"/>
      <c r="DG88" s="1970"/>
      <c r="DH88" s="1970"/>
      <c r="DI88" s="1970"/>
      <c r="DJ88" s="1970"/>
      <c r="DK88" s="1970"/>
      <c r="DL88" s="1970"/>
      <c r="DM88" s="1970"/>
      <c r="DN88" s="1970"/>
      <c r="DO88" s="1970"/>
      <c r="DP88" s="1970"/>
      <c r="DQ88" s="1970"/>
      <c r="DR88" s="1970"/>
    </row>
    <row r="89" spans="1:122" x14ac:dyDescent="0.25">
      <c r="B89" s="1577" t="s">
        <v>56</v>
      </c>
      <c r="C89" s="1577"/>
      <c r="D89" s="1577"/>
      <c r="E89" s="921">
        <v>10280549.160632761</v>
      </c>
      <c r="F89" s="1577"/>
      <c r="G89" s="1577"/>
      <c r="J89" s="1976">
        <f>J8+J36+J41+J50+J54+J73+J79+J82+J85</f>
        <v>896535.17609195411</v>
      </c>
      <c r="O89" s="1976">
        <f>O8+O36+O41+O50+O54+O73+O79+O82+O85</f>
        <v>1411525.9766666666</v>
      </c>
      <c r="T89" s="1976">
        <f>T8+T36+T41+T50+T54+T73+T79+T82+T85</f>
        <v>347249.47864367819</v>
      </c>
      <c r="Y89" s="1976">
        <f>Y8+Y36+Y41+Y50+Y54+Y73+Y79+Y82+Y85</f>
        <v>493420.91119089135</v>
      </c>
      <c r="AD89" s="1976">
        <f>AD8+AD36+AD41+AD50+AD54+AD73+AD79+AD82+AD85</f>
        <v>373871.2462280434</v>
      </c>
      <c r="AI89" s="1976">
        <f>AI8+AI36+AI41+AI50+AI54+AI73+AI79+AI82+AI85</f>
        <v>382163.43890911073</v>
      </c>
      <c r="AN89" s="1976">
        <f>AN8+AN36+AN41+AN50+AN54+AN73+AN79+AN82+AN85</f>
        <v>534104.14280898881</v>
      </c>
      <c r="AS89" s="1976">
        <f>AS8+AS36+AS41+AS50+AS54+AS73+AS79+AS82+AS85</f>
        <v>969553.97299415735</v>
      </c>
      <c r="AX89" s="1976">
        <v>7584121.8549461272</v>
      </c>
      <c r="BC89" s="1976">
        <f>BC8+BC36+BC41+BC50+BC54+BC73+BC79+BC82+BC85</f>
        <v>2694215.1618115734</v>
      </c>
      <c r="BH89" s="3816">
        <f>BH8+BH36+BH41+BH50+BH54+BH73+BH79+BH82+BH85</f>
        <v>457941.48661849706</v>
      </c>
      <c r="BM89" s="1976">
        <f>BM8+BM36+BM41+BM50+BM54+BM73+BM79+BM82+BM85</f>
        <v>941971.08659537591</v>
      </c>
      <c r="BR89" s="1976">
        <f>BR8+BR36+BR41+BR50+BR54+BR73+BR79+BR82+BR85</f>
        <v>1294302.5885977014</v>
      </c>
      <c r="BW89" s="1976">
        <f>BW8+BW36+BW41+BW50+BW54+BW73+BW79+BW82+BW85</f>
        <v>0</v>
      </c>
      <c r="CB89" s="1976">
        <f>CB8+CB36+CB41+CB50+CB54+CB73+CB79+CB82+CB85</f>
        <v>0</v>
      </c>
      <c r="CG89" s="1976">
        <f>CG8+CG36+CG41+CG50+CG54+CG73+CG79+CG82+CG85</f>
        <v>0</v>
      </c>
      <c r="CL89" s="1976">
        <f>CL8+CL36+CL41+CL50+CL54+CL73+CL79+CL82+CL85</f>
        <v>0</v>
      </c>
      <c r="CQ89" s="1976">
        <f>CQ8+CQ36+CQ41+CQ50+CQ54+CQ73+CQ79+CQ82+CQ85</f>
        <v>0</v>
      </c>
      <c r="CV89" s="1976">
        <f>CV8+CV36+CV41+CV50+CV54+CV73+CV79+CV82+CV85</f>
        <v>0</v>
      </c>
      <c r="DA89" s="1976">
        <f>DA8+DA36+DA41+DA50+DA54+DA73+DA79+DA82+DA85</f>
        <v>0</v>
      </c>
      <c r="DF89" s="1976">
        <f>DF8+DF36+DF41+DF50+DF54+DF73+DF79+DF82+DF85</f>
        <v>0</v>
      </c>
      <c r="DK89" s="1976">
        <f>DK8+DK36+DK41+DK50+DK54+DK73+DK79+DK82+DK85</f>
        <v>0</v>
      </c>
      <c r="DP89" s="1976">
        <f>DP8+DP36+DP41+DP50+DP54+DP73+DP79+DP82+DP85</f>
        <v>13378700.20753257</v>
      </c>
    </row>
    <row r="90" spans="1:122" x14ac:dyDescent="0.25">
      <c r="E90" s="1417" t="b">
        <v>1</v>
      </c>
      <c r="BC90" s="2135">
        <f>BH89+BM89-BC89</f>
        <v>-1294302.5885977005</v>
      </c>
      <c r="DP90" s="1607" t="b">
        <f>(T89+Y89+AD89+AI89+AN89+AS89+BH89+BM89+BR89+BW89+CB89+CG89+CL89+CQ89+CV89+DA89+DF89+DK89+AX89)=DP89</f>
        <v>1</v>
      </c>
    </row>
    <row r="91" spans="1:122" s="1411" customFormat="1" x14ac:dyDescent="0.25">
      <c r="A91" s="1417"/>
      <c r="B91" s="1417"/>
      <c r="C91" s="1417"/>
      <c r="D91" s="1417"/>
      <c r="E91" s="1417"/>
      <c r="F91" s="1417"/>
      <c r="G91" s="1417"/>
      <c r="H91" s="1968"/>
      <c r="I91" s="1968"/>
      <c r="J91" s="1968"/>
      <c r="K91" s="1968"/>
      <c r="L91" s="1968"/>
      <c r="M91" s="1968"/>
      <c r="N91" s="1968"/>
      <c r="O91" s="1968"/>
      <c r="P91" s="1968"/>
      <c r="Q91" s="1968"/>
      <c r="R91" s="1968"/>
      <c r="S91" s="1968"/>
      <c r="T91" s="1968"/>
      <c r="U91" s="1968"/>
      <c r="V91" s="1968"/>
      <c r="W91" s="1968"/>
      <c r="X91" s="1968"/>
      <c r="Y91" s="1968"/>
      <c r="Z91" s="1968"/>
      <c r="AA91" s="1968"/>
      <c r="AB91" s="1968"/>
      <c r="AC91" s="1968"/>
      <c r="AD91" s="1968"/>
      <c r="AE91" s="1968"/>
      <c r="AF91" s="1968"/>
      <c r="AG91" s="1968"/>
      <c r="AH91" s="1968"/>
      <c r="AI91" s="1968"/>
      <c r="AJ91" s="1968"/>
      <c r="AK91" s="1968"/>
      <c r="AL91" s="1968"/>
      <c r="AM91" s="1968"/>
      <c r="AN91" s="1968"/>
      <c r="AO91" s="1968"/>
      <c r="AP91" s="1968"/>
      <c r="AQ91" s="1968"/>
      <c r="AR91" s="1968"/>
      <c r="AS91" s="1968"/>
      <c r="AT91" s="1968"/>
      <c r="AU91" s="1968"/>
      <c r="AV91" s="1968"/>
      <c r="AW91" s="1968"/>
      <c r="AX91" s="2135">
        <v>1964677.49729271</v>
      </c>
      <c r="AY91" s="1968"/>
      <c r="AZ91" s="1968"/>
      <c r="BA91" s="1968"/>
      <c r="BB91" s="1968"/>
      <c r="BC91" s="1607">
        <f>BH93+BM91+BR91+BW91+CB91+CG91+CL91</f>
        <v>-608877.49181157444</v>
      </c>
      <c r="BD91" s="1968"/>
      <c r="BE91" s="1968"/>
      <c r="BF91" s="1601"/>
      <c r="BG91" s="1601">
        <f>BF79/BG8</f>
        <v>0.18395552308395316</v>
      </c>
      <c r="BH91" s="1601"/>
      <c r="BI91" s="1968"/>
      <c r="BJ91" s="1601"/>
      <c r="BK91" s="1968"/>
      <c r="BL91" s="1968"/>
      <c r="BM91" s="1185">
        <f>BM5-BM89+BM85</f>
        <v>-355642.2065953759</v>
      </c>
      <c r="BN91" s="1968"/>
      <c r="BO91" s="1968"/>
      <c r="BP91" s="1968"/>
      <c r="BQ91" s="1968"/>
      <c r="BR91" s="1185">
        <f>BR5-BR89</f>
        <v>-442385.38859770144</v>
      </c>
      <c r="BS91" s="1968"/>
      <c r="BT91" s="1968"/>
      <c r="BU91" s="1968"/>
      <c r="BV91" s="1968"/>
      <c r="BW91" s="1185">
        <f>BW5-BW89</f>
        <v>0</v>
      </c>
      <c r="BX91" s="1968"/>
      <c r="BY91" s="1968"/>
      <c r="BZ91" s="1968"/>
      <c r="CA91" s="1968"/>
      <c r="CB91" s="1185">
        <f>CB5-CB89</f>
        <v>0</v>
      </c>
      <c r="CC91" s="1968"/>
      <c r="CD91" s="1968"/>
      <c r="CE91" s="1968"/>
      <c r="CF91" s="1968"/>
      <c r="CG91" s="1185">
        <f>CG5-CG89</f>
        <v>0</v>
      </c>
      <c r="CH91" s="1968"/>
      <c r="CI91" s="1968"/>
      <c r="CJ91" s="1968"/>
      <c r="CK91" s="1968"/>
      <c r="CL91" s="1185">
        <f>CL5-CL89</f>
        <v>0</v>
      </c>
      <c r="CM91" s="1968"/>
      <c r="CN91" s="1968"/>
      <c r="CO91" s="1968"/>
      <c r="CP91" s="1968"/>
      <c r="CQ91" s="1185">
        <f>CQ5-CQ89</f>
        <v>0</v>
      </c>
      <c r="CR91" s="1968"/>
      <c r="CS91" s="1968"/>
      <c r="CT91" s="1968"/>
      <c r="CU91" s="1968"/>
      <c r="CV91" s="1185">
        <f>CV5-CV89</f>
        <v>0</v>
      </c>
      <c r="CW91" s="1968"/>
      <c r="CX91" s="1968"/>
      <c r="CY91" s="1968"/>
      <c r="CZ91" s="1968"/>
      <c r="DA91" s="1185">
        <f>DA5-DA89</f>
        <v>0</v>
      </c>
      <c r="DB91" s="1968"/>
      <c r="DC91" s="1968"/>
      <c r="DD91" s="1968"/>
      <c r="DE91" s="1968"/>
      <c r="DF91" s="1185">
        <f>DF5-DF89</f>
        <v>0</v>
      </c>
      <c r="DG91" s="1968"/>
      <c r="DH91" s="1968"/>
      <c r="DI91" s="1968"/>
      <c r="DJ91" s="1968"/>
      <c r="DK91" s="1185">
        <f>DK5-DK89</f>
        <v>0</v>
      </c>
      <c r="DL91" s="1968"/>
      <c r="DM91" s="1968"/>
      <c r="DN91" s="1968"/>
      <c r="DO91" s="1968"/>
      <c r="DP91" s="2135">
        <f>DP5+DP78-DP89</f>
        <v>3012035.7524674311</v>
      </c>
      <c r="DQ91" s="1968"/>
      <c r="DR91" s="1968"/>
    </row>
    <row r="92" spans="1:122" x14ac:dyDescent="0.25">
      <c r="AX92" s="828"/>
      <c r="BC92" s="828"/>
      <c r="DP92" s="2135"/>
    </row>
    <row r="93" spans="1:122" s="1411" customFormat="1" x14ac:dyDescent="0.25">
      <c r="A93" s="1417"/>
      <c r="B93" s="1417"/>
      <c r="C93" s="1417"/>
      <c r="D93" s="1417"/>
      <c r="E93" s="1417"/>
      <c r="F93" s="1417"/>
      <c r="G93" s="1417"/>
      <c r="H93" s="1968"/>
      <c r="I93" s="1968"/>
      <c r="J93" s="1968"/>
      <c r="K93" s="1968"/>
      <c r="L93" s="1968"/>
      <c r="M93" s="1968"/>
      <c r="N93" s="1968"/>
      <c r="O93" s="687">
        <f>O5-O89</f>
        <v>-346519.0166666666</v>
      </c>
      <c r="P93" s="1968"/>
      <c r="Q93" s="1968"/>
      <c r="R93" s="1968"/>
      <c r="S93" s="1968"/>
      <c r="T93" s="687">
        <f>T5-T89</f>
        <v>260750.52135632181</v>
      </c>
      <c r="U93" s="1968"/>
      <c r="V93" s="1968"/>
      <c r="W93" s="1968"/>
      <c r="X93" s="1968"/>
      <c r="Y93" s="687">
        <f>Y5-Y89</f>
        <v>312033.08880910865</v>
      </c>
      <c r="Z93" s="1968"/>
      <c r="AA93" s="1968"/>
      <c r="AB93" s="1968"/>
      <c r="AC93" s="1968"/>
      <c r="AD93" s="687">
        <f>AD5-AD89</f>
        <v>105389.04377195664</v>
      </c>
      <c r="AE93" s="1968"/>
      <c r="AF93" s="1968"/>
      <c r="AG93" s="1968"/>
      <c r="AH93" s="1968"/>
      <c r="AI93" s="687">
        <f>AI5-AI89</f>
        <v>677935.7010908894</v>
      </c>
      <c r="AJ93" s="1968"/>
      <c r="AK93" s="1968"/>
      <c r="AL93" s="1968"/>
      <c r="AM93" s="1968"/>
      <c r="AN93" s="687">
        <f>AN5-AN89</f>
        <v>434345.85719101119</v>
      </c>
      <c r="AO93" s="1968"/>
      <c r="AP93" s="1968"/>
      <c r="AQ93" s="1968"/>
      <c r="AR93" s="1968"/>
      <c r="AS93" s="687">
        <f>AS5-AS89</f>
        <v>296476.66700584255</v>
      </c>
      <c r="AT93" s="1968"/>
      <c r="AU93" s="1968"/>
      <c r="AV93" s="1968"/>
      <c r="AW93" s="1968"/>
      <c r="AX93" s="687">
        <v>1524907.345053874</v>
      </c>
      <c r="AY93" s="1968"/>
      <c r="AZ93" s="1968"/>
      <c r="BA93" s="1968"/>
      <c r="BB93" s="1968"/>
      <c r="BC93" s="687">
        <f>BC5-BC89+BC78</f>
        <v>-608877.49181157351</v>
      </c>
      <c r="BD93" s="1968"/>
      <c r="BE93" s="1968"/>
      <c r="BF93" s="1601"/>
      <c r="BG93" s="1601"/>
      <c r="BH93" s="687">
        <f>BH5-BH89+BH78</f>
        <v>189150.10338150297</v>
      </c>
      <c r="BI93" s="1968"/>
      <c r="BJ93" s="1601"/>
      <c r="BK93" s="1968"/>
      <c r="BL93" s="1968"/>
      <c r="BM93" s="1968"/>
      <c r="BN93" s="1968"/>
      <c r="BO93" s="1968"/>
      <c r="BP93" s="1968"/>
      <c r="BQ93" s="1968"/>
      <c r="BR93" s="1968"/>
      <c r="BS93" s="1968"/>
      <c r="BT93" s="1968"/>
      <c r="BU93" s="1968"/>
      <c r="BV93" s="1968"/>
      <c r="BW93" s="1968"/>
      <c r="BX93" s="1968"/>
      <c r="BY93" s="1968"/>
      <c r="BZ93" s="1968"/>
      <c r="CA93" s="1968"/>
      <c r="CB93" s="1968"/>
      <c r="CC93" s="1968"/>
      <c r="CD93" s="1968"/>
      <c r="CE93" s="1968"/>
      <c r="CF93" s="1968"/>
      <c r="CG93" s="1968"/>
      <c r="CH93" s="1968"/>
      <c r="CI93" s="1968"/>
      <c r="CJ93" s="1968"/>
      <c r="CK93" s="1968"/>
      <c r="CL93" s="1968"/>
      <c r="CM93" s="1968"/>
      <c r="CN93" s="1968"/>
      <c r="CO93" s="1968"/>
      <c r="CP93" s="1968"/>
      <c r="CQ93" s="1968"/>
      <c r="CR93" s="1968"/>
      <c r="CS93" s="1968"/>
      <c r="CT93" s="1968"/>
      <c r="CU93" s="1968"/>
      <c r="CV93" s="1968"/>
      <c r="CW93" s="1968"/>
      <c r="CX93" s="1968"/>
      <c r="CY93" s="1968"/>
      <c r="CZ93" s="1968"/>
      <c r="DA93" s="1968"/>
      <c r="DB93" s="1968"/>
      <c r="DC93" s="1968"/>
      <c r="DD93" s="1968"/>
      <c r="DE93" s="1968"/>
      <c r="DF93" s="1968"/>
      <c r="DG93" s="1968"/>
      <c r="DH93" s="1968"/>
      <c r="DI93" s="1968"/>
      <c r="DJ93" s="1968"/>
      <c r="DK93" s="1968"/>
      <c r="DL93" s="1968"/>
      <c r="DM93" s="1968"/>
      <c r="DN93" s="1968"/>
      <c r="DO93" s="1968"/>
      <c r="DP93" s="2135"/>
      <c r="DQ93" s="1968"/>
      <c r="DR93" s="1968"/>
    </row>
    <row r="94" spans="1:122" s="1411" customFormat="1" x14ac:dyDescent="0.25">
      <c r="A94" s="1417"/>
      <c r="B94" s="1417"/>
      <c r="C94" s="1417"/>
      <c r="D94" s="1417"/>
      <c r="E94" s="1417"/>
      <c r="F94" s="1417"/>
      <c r="G94" s="1417"/>
      <c r="H94" s="1968"/>
      <c r="I94" s="1968"/>
      <c r="J94" s="1968"/>
      <c r="K94" s="1968"/>
      <c r="L94" s="1968"/>
      <c r="M94" s="1968"/>
      <c r="N94" s="1968"/>
      <c r="O94" s="1968"/>
      <c r="P94" s="1968"/>
      <c r="Q94" s="1968"/>
      <c r="R94" s="1968"/>
      <c r="S94" s="1968"/>
      <c r="T94" s="1968"/>
      <c r="U94" s="1968"/>
      <c r="V94" s="1968"/>
      <c r="W94" s="1968"/>
      <c r="X94" s="1968"/>
      <c r="Y94" s="1968"/>
      <c r="Z94" s="1968"/>
      <c r="AA94" s="1968"/>
      <c r="AB94" s="1968"/>
      <c r="AC94" s="1968"/>
      <c r="AD94" s="1968"/>
      <c r="AE94" s="1968"/>
      <c r="AF94" s="1968"/>
      <c r="AG94" s="1968"/>
      <c r="AH94" s="1968"/>
      <c r="AI94" s="1968"/>
      <c r="AJ94" s="1968"/>
      <c r="AK94" s="1968"/>
      <c r="AL94" s="1968"/>
      <c r="AM94" s="1968"/>
      <c r="AN94" s="1968"/>
      <c r="AO94" s="1968"/>
      <c r="AP94" s="1968"/>
      <c r="AQ94" s="1968"/>
      <c r="AR94" s="1968"/>
      <c r="AS94" s="1968"/>
      <c r="AT94" s="1968"/>
      <c r="AU94" s="1968"/>
      <c r="AV94" s="1968"/>
      <c r="AW94" s="1968"/>
      <c r="AX94" s="1968"/>
      <c r="AY94" s="1968"/>
      <c r="AZ94" s="1968"/>
      <c r="BA94" s="1968"/>
      <c r="BB94" s="1968"/>
      <c r="BC94" s="1968"/>
      <c r="BD94" s="1968"/>
      <c r="BE94" s="1968"/>
      <c r="BF94" s="1601"/>
      <c r="BG94" s="1601"/>
      <c r="BH94" s="1601">
        <f>BH86-BH93</f>
        <v>0</v>
      </c>
      <c r="BI94" s="1968"/>
      <c r="BJ94" s="1601"/>
      <c r="BK94" s="1968"/>
      <c r="BL94" s="1968"/>
      <c r="BM94" s="1968"/>
      <c r="BN94" s="1968"/>
      <c r="BO94" s="1968"/>
      <c r="BP94" s="1968"/>
      <c r="BQ94" s="1968"/>
      <c r="BR94" s="1968"/>
      <c r="BS94" s="1968"/>
      <c r="BT94" s="1968"/>
      <c r="BU94" s="1968"/>
      <c r="BV94" s="1968"/>
      <c r="BW94" s="1968"/>
      <c r="BX94" s="1968"/>
      <c r="BY94" s="1968"/>
      <c r="BZ94" s="1968"/>
      <c r="CA94" s="1968"/>
      <c r="CB94" s="1968"/>
      <c r="CC94" s="1968"/>
      <c r="CD94" s="1968"/>
      <c r="CE94" s="1968"/>
      <c r="CF94" s="1968"/>
      <c r="CG94" s="1968"/>
      <c r="CH94" s="1968"/>
      <c r="CI94" s="1968"/>
      <c r="CJ94" s="1968"/>
      <c r="CK94" s="1968"/>
      <c r="CL94" s="1968"/>
      <c r="CM94" s="1968"/>
      <c r="CN94" s="1968"/>
      <c r="CO94" s="1968"/>
      <c r="CP94" s="1968"/>
      <c r="CQ94" s="1968"/>
      <c r="CR94" s="1968"/>
      <c r="CS94" s="1968"/>
      <c r="CT94" s="1968"/>
      <c r="CU94" s="1968"/>
      <c r="CV94" s="1968"/>
      <c r="CW94" s="1968"/>
      <c r="CX94" s="1968"/>
      <c r="CY94" s="1968"/>
      <c r="CZ94" s="1968"/>
      <c r="DA94" s="1968"/>
      <c r="DB94" s="1968"/>
      <c r="DC94" s="1968"/>
      <c r="DD94" s="1968"/>
      <c r="DE94" s="1968"/>
      <c r="DF94" s="1968"/>
      <c r="DG94" s="1968"/>
      <c r="DH94" s="1968"/>
      <c r="DI94" s="1968"/>
      <c r="DJ94" s="1968"/>
      <c r="DK94" s="1968"/>
      <c r="DL94" s="1968"/>
      <c r="DM94" s="1968"/>
      <c r="DN94" s="1968"/>
      <c r="DO94" s="1968"/>
      <c r="DP94" s="1968"/>
      <c r="DQ94" s="1968"/>
      <c r="DR94" s="1968"/>
    </row>
    <row r="95" spans="1:122" s="1411" customFormat="1" x14ac:dyDescent="0.25">
      <c r="A95" s="1417"/>
      <c r="B95" s="1417"/>
      <c r="C95" s="1417"/>
      <c r="D95" s="1417"/>
      <c r="E95" s="1417"/>
      <c r="F95" s="1417"/>
      <c r="G95" s="1417"/>
      <c r="H95" s="1968"/>
      <c r="I95" s="1968"/>
      <c r="J95" s="1968"/>
      <c r="K95" s="1968"/>
      <c r="L95" s="1968"/>
      <c r="M95" s="1968"/>
      <c r="N95" s="1968"/>
      <c r="O95" s="1968"/>
      <c r="P95" s="1968"/>
      <c r="Q95" s="1968"/>
      <c r="R95" s="1968"/>
      <c r="S95" s="1968"/>
      <c r="T95" s="1968"/>
      <c r="U95" s="1968"/>
      <c r="V95" s="1968"/>
      <c r="W95" s="1968"/>
      <c r="X95" s="1968"/>
      <c r="Y95" s="1968"/>
      <c r="Z95" s="1968"/>
      <c r="AA95" s="1968"/>
      <c r="AB95" s="1968"/>
      <c r="AC95" s="1968"/>
      <c r="AD95" s="1968"/>
      <c r="AE95" s="1968"/>
      <c r="AF95" s="1968"/>
      <c r="AG95" s="1968"/>
      <c r="AH95" s="1968"/>
      <c r="AI95" s="1968"/>
      <c r="AJ95" s="1968"/>
      <c r="AK95" s="1968"/>
      <c r="AL95" s="1968"/>
      <c r="AM95" s="1968"/>
      <c r="AN95" s="1968"/>
      <c r="AO95" s="1968"/>
      <c r="AP95" s="1968"/>
      <c r="AQ95" s="1968"/>
      <c r="AR95" s="1968"/>
      <c r="AS95" s="1968"/>
      <c r="AT95" s="1968"/>
      <c r="AU95" s="1968"/>
      <c r="AV95" s="1968"/>
      <c r="AW95" s="1968"/>
      <c r="AX95" s="828"/>
      <c r="AY95" s="1968"/>
      <c r="AZ95" s="1968"/>
      <c r="BA95" s="1968"/>
      <c r="BB95" s="1968"/>
      <c r="BC95" s="828"/>
      <c r="BD95" s="1968"/>
      <c r="BE95" s="1968"/>
      <c r="BF95" s="1601"/>
      <c r="BG95" s="1601"/>
      <c r="BH95" s="1601"/>
      <c r="BI95" s="1968"/>
      <c r="BJ95" s="1601"/>
      <c r="BK95" s="1968"/>
      <c r="BL95" s="1968"/>
      <c r="BM95" s="1968"/>
      <c r="BN95" s="1968"/>
      <c r="BO95" s="1968"/>
      <c r="BP95" s="1968"/>
      <c r="BQ95" s="1968"/>
      <c r="BR95" s="1968"/>
      <c r="BS95" s="1968"/>
      <c r="BT95" s="1968"/>
      <c r="BU95" s="1968"/>
      <c r="BV95" s="1968"/>
      <c r="BW95" s="1968"/>
      <c r="BX95" s="1968"/>
      <c r="BY95" s="1968"/>
      <c r="BZ95" s="1968"/>
      <c r="CA95" s="1968"/>
      <c r="CB95" s="1968"/>
      <c r="CC95" s="1968"/>
      <c r="CD95" s="1968"/>
      <c r="CE95" s="1968"/>
      <c r="CF95" s="1968"/>
      <c r="CG95" s="1968"/>
      <c r="CH95" s="1968"/>
      <c r="CI95" s="1968"/>
      <c r="CJ95" s="1968"/>
      <c r="CK95" s="1968"/>
      <c r="CL95" s="1968"/>
      <c r="CM95" s="1968"/>
      <c r="CN95" s="1968"/>
      <c r="CO95" s="1968"/>
      <c r="CP95" s="1968"/>
      <c r="CQ95" s="1968"/>
      <c r="CR95" s="1968"/>
      <c r="CS95" s="1968"/>
      <c r="CT95" s="1968"/>
      <c r="CU95" s="1968"/>
      <c r="CV95" s="1968"/>
      <c r="CW95" s="1968"/>
      <c r="CX95" s="1968"/>
      <c r="CY95" s="1968"/>
      <c r="CZ95" s="1968"/>
      <c r="DA95" s="1968"/>
      <c r="DB95" s="1968"/>
      <c r="DC95" s="1968"/>
      <c r="DD95" s="1968"/>
      <c r="DE95" s="1968"/>
      <c r="DF95" s="1968"/>
      <c r="DG95" s="1968"/>
      <c r="DH95" s="1968"/>
      <c r="DI95" s="1968"/>
      <c r="DJ95" s="1968"/>
      <c r="DK95" s="1968"/>
      <c r="DL95" s="1968"/>
      <c r="DM95" s="1968"/>
      <c r="DN95" s="1968"/>
      <c r="DO95" s="1968"/>
      <c r="DP95" s="1968"/>
      <c r="DQ95" s="1968"/>
      <c r="DR95" s="1968"/>
    </row>
    <row r="96" spans="1:122" s="1411" customFormat="1" x14ac:dyDescent="0.25">
      <c r="A96" s="1417"/>
      <c r="B96" s="1417"/>
      <c r="C96" s="1417"/>
      <c r="D96" s="1417"/>
      <c r="E96" s="1417"/>
      <c r="F96" s="1417"/>
      <c r="G96" s="1417"/>
      <c r="H96" s="1968"/>
      <c r="I96" s="1968"/>
      <c r="J96" s="1968"/>
      <c r="K96" s="1968"/>
      <c r="L96" s="1968"/>
      <c r="M96" s="1968"/>
      <c r="N96" s="1968"/>
      <c r="O96" s="1968"/>
      <c r="P96" s="1968"/>
      <c r="Q96" s="1968"/>
      <c r="R96" s="1968"/>
      <c r="S96" s="1968"/>
      <c r="T96" s="1968"/>
      <c r="U96" s="1968"/>
      <c r="V96" s="1968"/>
      <c r="W96" s="1968"/>
      <c r="X96" s="1968"/>
      <c r="Y96" s="1968"/>
      <c r="Z96" s="1968"/>
      <c r="AA96" s="1968"/>
      <c r="AB96" s="1968"/>
      <c r="AC96" s="1968"/>
      <c r="AD96" s="1968"/>
      <c r="AE96" s="1968"/>
      <c r="AF96" s="1968"/>
      <c r="AG96" s="1968"/>
      <c r="AH96" s="1968"/>
      <c r="AI96" s="1968"/>
      <c r="AJ96" s="1968"/>
      <c r="AK96" s="1968"/>
      <c r="AL96" s="1968"/>
      <c r="AM96" s="1968"/>
      <c r="AN96" s="1968"/>
      <c r="AO96" s="1968"/>
      <c r="AP96" s="1968"/>
      <c r="AQ96" s="1968"/>
      <c r="AR96" s="1968"/>
      <c r="AS96" s="1968"/>
      <c r="AT96" s="1968"/>
      <c r="AU96" s="1968"/>
      <c r="AV96" s="1968"/>
      <c r="AW96" s="1968"/>
      <c r="AX96" s="828"/>
      <c r="AY96" s="1968"/>
      <c r="AZ96" s="1968"/>
      <c r="BA96" s="1968"/>
      <c r="BB96" s="1968"/>
      <c r="BC96" s="828"/>
      <c r="BD96" s="1968"/>
      <c r="BE96" s="1968"/>
      <c r="BF96" s="1601"/>
      <c r="BG96" s="1601"/>
      <c r="BH96" s="1601"/>
      <c r="BI96" s="1968"/>
      <c r="BJ96" s="1601"/>
      <c r="BK96" s="1968"/>
      <c r="BL96" s="1968"/>
      <c r="BM96" s="1968"/>
      <c r="BN96" s="1968"/>
      <c r="BO96" s="1968"/>
      <c r="BP96" s="1968"/>
      <c r="BQ96" s="1968"/>
      <c r="BR96" s="1968"/>
      <c r="BS96" s="1968"/>
      <c r="BT96" s="1968"/>
      <c r="BU96" s="1968"/>
      <c r="BV96" s="1968"/>
      <c r="BW96" s="1968"/>
      <c r="BX96" s="1968"/>
      <c r="BY96" s="1968"/>
      <c r="BZ96" s="1968"/>
      <c r="CA96" s="1968"/>
      <c r="CB96" s="1968"/>
      <c r="CC96" s="1968"/>
      <c r="CD96" s="1968"/>
      <c r="CE96" s="1968"/>
      <c r="CF96" s="1968"/>
      <c r="CG96" s="1968"/>
      <c r="CH96" s="1968"/>
      <c r="CI96" s="1968"/>
      <c r="CJ96" s="1968"/>
      <c r="CK96" s="1968"/>
      <c r="CL96" s="1968"/>
      <c r="CM96" s="1968"/>
      <c r="CN96" s="1968"/>
      <c r="CO96" s="1968"/>
      <c r="CP96" s="1968"/>
      <c r="CQ96" s="1968"/>
      <c r="CR96" s="1968"/>
      <c r="CS96" s="1968"/>
      <c r="CT96" s="1968"/>
      <c r="CU96" s="1968"/>
      <c r="CV96" s="1968"/>
      <c r="CW96" s="1968"/>
      <c r="CX96" s="1968"/>
      <c r="CY96" s="1968"/>
      <c r="CZ96" s="1968"/>
      <c r="DA96" s="1968"/>
      <c r="DB96" s="1968"/>
      <c r="DC96" s="1968"/>
      <c r="DD96" s="1968"/>
      <c r="DE96" s="1968"/>
      <c r="DF96" s="1968"/>
      <c r="DG96" s="1968"/>
      <c r="DH96" s="1968"/>
      <c r="DI96" s="1968"/>
      <c r="DJ96" s="1968"/>
      <c r="DK96" s="1968"/>
      <c r="DL96" s="1968"/>
      <c r="DM96" s="1968"/>
      <c r="DN96" s="1968"/>
      <c r="DO96" s="1968"/>
      <c r="DP96" s="1968"/>
      <c r="DQ96" s="1968"/>
      <c r="DR96" s="1968"/>
    </row>
    <row r="98" spans="1:122" s="1411" customFormat="1" x14ac:dyDescent="0.25">
      <c r="A98" s="1417"/>
      <c r="B98" s="1417"/>
      <c r="C98" s="1417"/>
      <c r="D98" s="1417"/>
      <c r="E98" s="1417"/>
      <c r="F98" s="1417"/>
      <c r="G98" s="1417"/>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2493"/>
      <c r="AX98" s="2493"/>
      <c r="AY98" s="1968"/>
      <c r="AZ98" s="1968"/>
      <c r="BA98" s="1968"/>
      <c r="BB98" s="2493"/>
      <c r="BC98" s="2493"/>
      <c r="BD98" s="1968"/>
      <c r="BE98" s="1968"/>
      <c r="BF98" s="1601"/>
      <c r="BG98" s="1601"/>
      <c r="BH98" s="1601"/>
      <c r="BI98" s="1968"/>
      <c r="BJ98" s="1601"/>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O98" s="1968"/>
      <c r="CP98" s="1968"/>
      <c r="CQ98" s="1968"/>
      <c r="CR98" s="1968"/>
      <c r="CS98" s="1968"/>
      <c r="CT98" s="1968"/>
      <c r="CU98" s="1968"/>
      <c r="CV98" s="1968"/>
      <c r="CW98" s="1968"/>
      <c r="CX98" s="1968"/>
      <c r="CY98" s="1968"/>
      <c r="CZ98" s="1968"/>
      <c r="DA98" s="1968"/>
      <c r="DB98" s="1968"/>
      <c r="DC98" s="1968"/>
      <c r="DD98" s="1968"/>
      <c r="DE98" s="1968"/>
      <c r="DF98" s="1968"/>
      <c r="DG98" s="1968"/>
      <c r="DH98" s="1968"/>
      <c r="DI98" s="1968"/>
      <c r="DJ98" s="1968"/>
      <c r="DK98" s="1968"/>
      <c r="DL98" s="1968"/>
      <c r="DM98" s="1968"/>
      <c r="DN98" s="1968"/>
      <c r="DO98" s="1968"/>
      <c r="DP98" s="1968"/>
      <c r="DQ98" s="1968"/>
      <c r="DR98" s="1968"/>
    </row>
    <row r="100" spans="1:122" x14ac:dyDescent="0.25">
      <c r="DQ100" s="828"/>
    </row>
    <row r="101" spans="1:122" x14ac:dyDescent="0.25">
      <c r="DQ101" s="828"/>
    </row>
  </sheetData>
  <mergeCells count="27">
    <mergeCell ref="A42:A48"/>
    <mergeCell ref="H2:L3"/>
    <mergeCell ref="A2:B2"/>
    <mergeCell ref="R2:V3"/>
    <mergeCell ref="C2:G3"/>
    <mergeCell ref="M2:Q3"/>
    <mergeCell ref="A3:B3"/>
    <mergeCell ref="W2:AA3"/>
    <mergeCell ref="BA2:BE3"/>
    <mergeCell ref="AB2:AF3"/>
    <mergeCell ref="AG2:AK3"/>
    <mergeCell ref="AL2:AP3"/>
    <mergeCell ref="AV2:AZ3"/>
    <mergeCell ref="DN2:DR3"/>
    <mergeCell ref="DI2:DM3"/>
    <mergeCell ref="AQ2:AU3"/>
    <mergeCell ref="BK2:BO3"/>
    <mergeCell ref="BP2:BT3"/>
    <mergeCell ref="BU2:BY3"/>
    <mergeCell ref="BZ2:CD3"/>
    <mergeCell ref="BF2:BJ3"/>
    <mergeCell ref="CE2:CI3"/>
    <mergeCell ref="CJ2:CN3"/>
    <mergeCell ref="CO2:CS3"/>
    <mergeCell ref="CT2:CX3"/>
    <mergeCell ref="CY2:DC3"/>
    <mergeCell ref="DD2:DH3"/>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6" tint="0.59999389629810485"/>
  </sheetPr>
  <dimension ref="A1:DU99"/>
  <sheetViews>
    <sheetView topLeftCell="B1" zoomScale="85" zoomScaleNormal="85" workbookViewId="0">
      <pane xSplit="1" ySplit="4" topLeftCell="BP5" activePane="bottomRight" state="frozen"/>
      <selection activeCell="CT2" sqref="CT2:CX3"/>
      <selection pane="topRight" activeCell="CT2" sqref="CT2:CX3"/>
      <selection pane="bottomLeft" activeCell="CT2" sqref="CT2:CX3"/>
      <selection pane="bottomRight" activeCell="BQ99" sqref="BQ99"/>
    </sheetView>
  </sheetViews>
  <sheetFormatPr defaultColWidth="7.44140625" defaultRowHeight="13.2" outlineLevelRow="1" outlineLevelCol="2" x14ac:dyDescent="0.25"/>
  <cols>
    <col min="1" max="1" width="5.5546875" style="1417" customWidth="1"/>
    <col min="2" max="2" width="47.44140625" style="1417" customWidth="1"/>
    <col min="3" max="7" width="14.33203125" style="1417" hidden="1" customWidth="1" outlineLevel="2"/>
    <col min="8" max="10" width="16.33203125" style="1968" hidden="1" customWidth="1" outlineLevel="2"/>
    <col min="11" max="11" width="9" style="1968" hidden="1" customWidth="1" outlineLevel="2"/>
    <col min="12" max="12" width="33.5546875" style="1968" hidden="1" customWidth="1" outlineLevel="2"/>
    <col min="13" max="13" width="15.6640625" style="1968" hidden="1" customWidth="1" outlineLevel="2"/>
    <col min="14" max="14" width="17.5546875" style="1968" hidden="1" customWidth="1" outlineLevel="2"/>
    <col min="15" max="15" width="22.33203125" style="1968" hidden="1" customWidth="1" outlineLevel="2"/>
    <col min="16" max="16" width="16.33203125" style="1968" hidden="1" customWidth="1" outlineLevel="2"/>
    <col min="17" max="17" width="42.88671875" style="1968" hidden="1" customWidth="1" outlineLevel="2"/>
    <col min="18" max="18" width="12" style="1968" hidden="1" customWidth="1" outlineLevel="1"/>
    <col min="19" max="20" width="13.33203125" style="1968" hidden="1" customWidth="1" outlineLevel="1"/>
    <col min="21" max="21" width="7.5546875" style="1968" hidden="1" customWidth="1" outlineLevel="1"/>
    <col min="22" max="22" width="44.109375" style="1968" hidden="1" customWidth="1" outlineLevel="1"/>
    <col min="23" max="26" width="15.109375" style="1968" hidden="1" customWidth="1" outlineLevel="1"/>
    <col min="27" max="27" width="45.109375" style="1968" hidden="1" customWidth="1" outlineLevel="1"/>
    <col min="28" max="31" width="13.6640625" style="1968" hidden="1" customWidth="1" outlineLevel="1"/>
    <col min="32" max="32" width="21.44140625" style="1968" hidden="1" customWidth="1" outlineLevel="1"/>
    <col min="33" max="36" width="16.109375" style="1968" hidden="1" customWidth="1" outlineLevel="1"/>
    <col min="37" max="37" width="31.33203125" style="1968" hidden="1" customWidth="1" outlineLevel="1"/>
    <col min="38" max="41" width="16" style="1968" hidden="1" customWidth="1" outlineLevel="1"/>
    <col min="42" max="42" width="31.109375" style="1968" hidden="1" customWidth="1" outlineLevel="1"/>
    <col min="43" max="46" width="15.109375" style="1968" hidden="1" customWidth="1" outlineLevel="1"/>
    <col min="47" max="47" width="31.109375" style="1968" hidden="1" customWidth="1" outlineLevel="1"/>
    <col min="48" max="48" width="15.109375" style="1968" customWidth="1" collapsed="1"/>
    <col min="49" max="52" width="15.109375" style="1968" customWidth="1"/>
    <col min="53" max="57" width="14.5546875" style="1968" customWidth="1"/>
    <col min="58" max="62" width="14.5546875" style="1968" hidden="1" customWidth="1" outlineLevel="1"/>
    <col min="63" max="63" width="13" style="1968" hidden="1" customWidth="1" outlineLevel="1" collapsed="1"/>
    <col min="64" max="65" width="13" style="1968" hidden="1" customWidth="1" outlineLevel="1"/>
    <col min="66" max="66" width="11.109375" style="1968" hidden="1" customWidth="1" outlineLevel="1"/>
    <col min="67" max="67" width="31.109375" style="1968" hidden="1" customWidth="1" outlineLevel="1"/>
    <col min="68" max="68" width="13.88671875" style="1968" customWidth="1" collapsed="1"/>
    <col min="69" max="71" width="13.88671875" style="1968" customWidth="1"/>
    <col min="72" max="72" width="31.88671875" style="1968" customWidth="1"/>
    <col min="73" max="76" width="13.88671875" style="1968" hidden="1" customWidth="1" outlineLevel="1"/>
    <col min="77" max="77" width="19.109375" style="1968" hidden="1" customWidth="1" outlineLevel="1"/>
    <col min="78" max="78" width="13.88671875" style="1968" hidden="1" customWidth="1" outlineLevel="1" collapsed="1"/>
    <col min="79" max="81" width="13.88671875" style="1968" hidden="1" customWidth="1" outlineLevel="1"/>
    <col min="82" max="82" width="36.109375" style="1968" hidden="1" customWidth="1" outlineLevel="1"/>
    <col min="83" max="86" width="13.88671875" style="1968" hidden="1" customWidth="1" outlineLevel="1"/>
    <col min="87" max="87" width="36.109375" style="1968" hidden="1" customWidth="1" outlineLevel="1"/>
    <col min="88" max="88" width="13.88671875" style="1968" hidden="1" customWidth="1" outlineLevel="1" collapsed="1"/>
    <col min="89" max="91" width="13.88671875" style="1968" hidden="1" customWidth="1" outlineLevel="1"/>
    <col min="92" max="92" width="36.109375" style="1968" hidden="1" customWidth="1" outlineLevel="1"/>
    <col min="93" max="93" width="13.88671875" style="1968" hidden="1" customWidth="1" outlineLevel="1" collapsed="1"/>
    <col min="94" max="96" width="13.88671875" style="1968" hidden="1" customWidth="1" outlineLevel="1"/>
    <col min="97" max="97" width="36.109375" style="1968" hidden="1" customWidth="1" outlineLevel="1"/>
    <col min="98" max="98" width="13.88671875" style="1968" hidden="1" customWidth="1" outlineLevel="1" collapsed="1"/>
    <col min="99" max="101" width="13.88671875" style="1968" hidden="1" customWidth="1" outlineLevel="1"/>
    <col min="102" max="102" width="36.109375" style="1968" hidden="1" customWidth="1" outlineLevel="1"/>
    <col min="103" max="103" width="13.88671875" style="1968" hidden="1" customWidth="1" outlineLevel="1" collapsed="1"/>
    <col min="104" max="106" width="13.88671875" style="1968" hidden="1" customWidth="1" outlineLevel="1"/>
    <col min="107" max="107" width="36.109375" style="1968" hidden="1" customWidth="1" outlineLevel="1"/>
    <col min="108" max="108" width="13.88671875" style="1968" hidden="1" customWidth="1" outlineLevel="1" collapsed="1"/>
    <col min="109" max="111" width="13.88671875" style="1968" hidden="1" customWidth="1" outlineLevel="1"/>
    <col min="112" max="112" width="36.109375" style="1968" hidden="1" customWidth="1" outlineLevel="1"/>
    <col min="113" max="116" width="13.88671875" style="1968" hidden="1" customWidth="1" outlineLevel="1"/>
    <col min="117" max="117" width="36.109375" style="1968" hidden="1" customWidth="1" outlineLevel="1"/>
    <col min="118" max="118" width="14" style="1968" customWidth="1" collapsed="1"/>
    <col min="119" max="122" width="14" style="1968" customWidth="1"/>
    <col min="123" max="123" width="15" style="1584" bestFit="1" customWidth="1"/>
    <col min="124" max="124" width="15.77734375" style="1584" customWidth="1"/>
    <col min="125" max="125" width="12.44140625" style="1410" bestFit="1" customWidth="1"/>
    <col min="126" max="16384" width="7.44140625" style="1410"/>
  </cols>
  <sheetData>
    <row r="1" spans="1:124" ht="13.8" thickBot="1" x14ac:dyDescent="0.3"/>
    <row r="2" spans="1:124" ht="14.4" customHeight="1" x14ac:dyDescent="0.25">
      <c r="A2" s="4016" t="s">
        <v>1111</v>
      </c>
      <c r="B2" s="4017"/>
      <c r="C2" s="4016" t="s">
        <v>969</v>
      </c>
      <c r="D2" s="4017"/>
      <c r="E2" s="4017"/>
      <c r="F2" s="4017"/>
      <c r="G2" s="4018"/>
      <c r="H2" s="4197" t="s">
        <v>970</v>
      </c>
      <c r="I2" s="4198"/>
      <c r="J2" s="4198"/>
      <c r="K2" s="4198"/>
      <c r="L2" s="4199"/>
      <c r="M2" s="4019" t="s">
        <v>1014</v>
      </c>
      <c r="N2" s="4020"/>
      <c r="O2" s="4020"/>
      <c r="P2" s="4020"/>
      <c r="Q2" s="3265"/>
      <c r="R2" s="4053" t="s">
        <v>1075</v>
      </c>
      <c r="S2" s="4054"/>
      <c r="T2" s="4054"/>
      <c r="U2" s="4054"/>
      <c r="V2" s="3271"/>
      <c r="W2" s="4368" t="s">
        <v>1079</v>
      </c>
      <c r="X2" s="4369"/>
      <c r="Y2" s="4369"/>
      <c r="Z2" s="4369"/>
      <c r="AA2" s="4370"/>
      <c r="AB2" s="4172" t="s">
        <v>1161</v>
      </c>
      <c r="AC2" s="4173"/>
      <c r="AD2" s="4173"/>
      <c r="AE2" s="4173"/>
      <c r="AF2" s="4174"/>
      <c r="AG2" s="4071" t="s">
        <v>1303</v>
      </c>
      <c r="AH2" s="4072"/>
      <c r="AI2" s="4072"/>
      <c r="AJ2" s="4072"/>
      <c r="AK2" s="4073"/>
      <c r="AL2" s="4077" t="s">
        <v>1383</v>
      </c>
      <c r="AM2" s="4078"/>
      <c r="AN2" s="4078"/>
      <c r="AO2" s="4078"/>
      <c r="AP2" s="4079"/>
      <c r="AQ2" s="4053" t="s">
        <v>1470</v>
      </c>
      <c r="AR2" s="4054"/>
      <c r="AS2" s="4054"/>
      <c r="AT2" s="4054"/>
      <c r="AU2" s="4055"/>
      <c r="AV2" s="4059" t="s">
        <v>1668</v>
      </c>
      <c r="AW2" s="4060"/>
      <c r="AX2" s="4060"/>
      <c r="AY2" s="4060"/>
      <c r="AZ2" s="4061"/>
      <c r="BA2" s="4083">
        <v>2024</v>
      </c>
      <c r="BB2" s="4084"/>
      <c r="BC2" s="4084"/>
      <c r="BD2" s="4084"/>
      <c r="BE2" s="4085"/>
      <c r="BF2" s="4374">
        <v>45292</v>
      </c>
      <c r="BG2" s="4060"/>
      <c r="BH2" s="4060"/>
      <c r="BI2" s="4060"/>
      <c r="BJ2" s="4061"/>
      <c r="BK2" s="4375">
        <v>45323</v>
      </c>
      <c r="BL2" s="4020"/>
      <c r="BM2" s="4020"/>
      <c r="BN2" s="4020"/>
      <c r="BO2" s="4041"/>
      <c r="BP2" s="4276">
        <v>45352</v>
      </c>
      <c r="BQ2" s="4204"/>
      <c r="BR2" s="4204"/>
      <c r="BS2" s="4204"/>
      <c r="BT2" s="4205"/>
      <c r="BU2" s="4277">
        <v>45383</v>
      </c>
      <c r="BV2" s="4278"/>
      <c r="BW2" s="4278"/>
      <c r="BX2" s="4278"/>
      <c r="BY2" s="4279"/>
      <c r="BZ2" s="4290">
        <v>45413</v>
      </c>
      <c r="CA2" s="4291"/>
      <c r="CB2" s="4291"/>
      <c r="CC2" s="4291"/>
      <c r="CD2" s="4292"/>
      <c r="CE2" s="4290">
        <v>45444</v>
      </c>
      <c r="CF2" s="4291"/>
      <c r="CG2" s="4291"/>
      <c r="CH2" s="4291"/>
      <c r="CI2" s="4292"/>
      <c r="CJ2" s="4350">
        <v>45474</v>
      </c>
      <c r="CK2" s="4351"/>
      <c r="CL2" s="4351"/>
      <c r="CM2" s="4351"/>
      <c r="CN2" s="4352"/>
      <c r="CO2" s="4356">
        <v>45505</v>
      </c>
      <c r="CP2" s="4357"/>
      <c r="CQ2" s="4357"/>
      <c r="CR2" s="4357"/>
      <c r="CS2" s="4358"/>
      <c r="CT2" s="4362">
        <v>45536</v>
      </c>
      <c r="CU2" s="4363"/>
      <c r="CV2" s="4363"/>
      <c r="CW2" s="4363"/>
      <c r="CX2" s="4364"/>
      <c r="CY2" s="4095">
        <v>45566</v>
      </c>
      <c r="CZ2" s="4096"/>
      <c r="DA2" s="4096"/>
      <c r="DB2" s="4096"/>
      <c r="DC2" s="4097"/>
      <c r="DD2" s="4244">
        <v>45597</v>
      </c>
      <c r="DE2" s="4245"/>
      <c r="DF2" s="4245"/>
      <c r="DG2" s="4245"/>
      <c r="DH2" s="4246"/>
      <c r="DI2" s="4250">
        <v>45627</v>
      </c>
      <c r="DJ2" s="4251"/>
      <c r="DK2" s="4251"/>
      <c r="DL2" s="4251"/>
      <c r="DM2" s="4252"/>
      <c r="DN2" s="4089" t="s">
        <v>2201</v>
      </c>
      <c r="DO2" s="4090"/>
      <c r="DP2" s="4090"/>
      <c r="DQ2" s="4090"/>
      <c r="DR2" s="4091"/>
    </row>
    <row r="3" spans="1:124" ht="15" customHeight="1" thickBot="1" x14ac:dyDescent="0.3">
      <c r="A3" s="4035" t="s">
        <v>54</v>
      </c>
      <c r="B3" s="4036"/>
      <c r="C3" s="4209"/>
      <c r="D3" s="4210"/>
      <c r="E3" s="4210"/>
      <c r="F3" s="4210"/>
      <c r="G3" s="4211"/>
      <c r="H3" s="4200"/>
      <c r="I3" s="4201"/>
      <c r="J3" s="4201"/>
      <c r="K3" s="4201"/>
      <c r="L3" s="4202"/>
      <c r="M3" s="4021"/>
      <c r="N3" s="4022"/>
      <c r="O3" s="4022"/>
      <c r="P3" s="4022"/>
      <c r="Q3" s="3266"/>
      <c r="R3" s="4056"/>
      <c r="S3" s="4057"/>
      <c r="T3" s="4057"/>
      <c r="U3" s="4057"/>
      <c r="V3" s="3272"/>
      <c r="W3" s="4371"/>
      <c r="X3" s="4372"/>
      <c r="Y3" s="4372"/>
      <c r="Z3" s="4372"/>
      <c r="AA3" s="4373"/>
      <c r="AB3" s="4175"/>
      <c r="AC3" s="4176"/>
      <c r="AD3" s="4176"/>
      <c r="AE3" s="4176"/>
      <c r="AF3" s="4177"/>
      <c r="AG3" s="4074"/>
      <c r="AH3" s="4075"/>
      <c r="AI3" s="4075"/>
      <c r="AJ3" s="4075"/>
      <c r="AK3" s="4076"/>
      <c r="AL3" s="4080"/>
      <c r="AM3" s="4081"/>
      <c r="AN3" s="4081"/>
      <c r="AO3" s="4081"/>
      <c r="AP3" s="4082"/>
      <c r="AQ3" s="4056"/>
      <c r="AR3" s="4057"/>
      <c r="AS3" s="4057"/>
      <c r="AT3" s="4057"/>
      <c r="AU3" s="4058"/>
      <c r="AV3" s="4062"/>
      <c r="AW3" s="4063"/>
      <c r="AX3" s="4063"/>
      <c r="AY3" s="4063"/>
      <c r="AZ3" s="4064"/>
      <c r="BA3" s="4086"/>
      <c r="BB3" s="4087"/>
      <c r="BC3" s="4087"/>
      <c r="BD3" s="4087"/>
      <c r="BE3" s="4088"/>
      <c r="BF3" s="4062"/>
      <c r="BG3" s="4063"/>
      <c r="BH3" s="4063"/>
      <c r="BI3" s="4063"/>
      <c r="BJ3" s="4064"/>
      <c r="BK3" s="4021"/>
      <c r="BL3" s="4022"/>
      <c r="BM3" s="4022"/>
      <c r="BN3" s="4022"/>
      <c r="BO3" s="4042"/>
      <c r="BP3" s="4206"/>
      <c r="BQ3" s="4207"/>
      <c r="BR3" s="4207"/>
      <c r="BS3" s="4207"/>
      <c r="BT3" s="4208"/>
      <c r="BU3" s="4280"/>
      <c r="BV3" s="4281"/>
      <c r="BW3" s="4281"/>
      <c r="BX3" s="4281"/>
      <c r="BY3" s="4282"/>
      <c r="BZ3" s="4293"/>
      <c r="CA3" s="4294"/>
      <c r="CB3" s="4294"/>
      <c r="CC3" s="4294"/>
      <c r="CD3" s="4295"/>
      <c r="CE3" s="4293"/>
      <c r="CF3" s="4294"/>
      <c r="CG3" s="4294"/>
      <c r="CH3" s="4294"/>
      <c r="CI3" s="4295"/>
      <c r="CJ3" s="4353"/>
      <c r="CK3" s="4354"/>
      <c r="CL3" s="4354"/>
      <c r="CM3" s="4354"/>
      <c r="CN3" s="4355"/>
      <c r="CO3" s="4359"/>
      <c r="CP3" s="4360"/>
      <c r="CQ3" s="4360"/>
      <c r="CR3" s="4360"/>
      <c r="CS3" s="4361"/>
      <c r="CT3" s="4365"/>
      <c r="CU3" s="4366"/>
      <c r="CV3" s="4366"/>
      <c r="CW3" s="4366"/>
      <c r="CX3" s="4367"/>
      <c r="CY3" s="4098"/>
      <c r="CZ3" s="4099"/>
      <c r="DA3" s="4099"/>
      <c r="DB3" s="4099"/>
      <c r="DC3" s="4100"/>
      <c r="DD3" s="4247"/>
      <c r="DE3" s="4248"/>
      <c r="DF3" s="4248"/>
      <c r="DG3" s="4248"/>
      <c r="DH3" s="4249"/>
      <c r="DI3" s="4253"/>
      <c r="DJ3" s="4254"/>
      <c r="DK3" s="4254"/>
      <c r="DL3" s="4254"/>
      <c r="DM3" s="4255"/>
      <c r="DN3" s="4092"/>
      <c r="DO3" s="4093"/>
      <c r="DP3" s="4093"/>
      <c r="DQ3" s="4093"/>
      <c r="DR3" s="4094"/>
    </row>
    <row r="4" spans="1:124" ht="41.4" thickBot="1" x14ac:dyDescent="0.3">
      <c r="A4" s="1486"/>
      <c r="B4" s="1487" t="s">
        <v>11</v>
      </c>
      <c r="C4" s="1972" t="s">
        <v>968</v>
      </c>
      <c r="D4" s="1487" t="s">
        <v>18</v>
      </c>
      <c r="E4" s="1487" t="s">
        <v>39</v>
      </c>
      <c r="F4" s="1487" t="s">
        <v>40</v>
      </c>
      <c r="G4" s="774"/>
      <c r="H4" s="1487"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55</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55</v>
      </c>
      <c r="AW4" s="1972" t="s">
        <v>18</v>
      </c>
      <c r="AX4" s="1489" t="s">
        <v>39</v>
      </c>
      <c r="AY4" s="1978" t="s">
        <v>40</v>
      </c>
      <c r="AZ4" s="1972"/>
      <c r="BA4" s="1972" t="s">
        <v>55</v>
      </c>
      <c r="BB4" s="1972" t="s">
        <v>18</v>
      </c>
      <c r="BC4" s="1489" t="s">
        <v>39</v>
      </c>
      <c r="BD4" s="1978" t="s">
        <v>40</v>
      </c>
      <c r="BE4" s="1972"/>
      <c r="BF4" s="1972" t="s">
        <v>55</v>
      </c>
      <c r="BG4" s="1972" t="s">
        <v>18</v>
      </c>
      <c r="BH4" s="1489" t="s">
        <v>39</v>
      </c>
      <c r="BI4" s="1978" t="s">
        <v>40</v>
      </c>
      <c r="BJ4" s="1972"/>
      <c r="BK4" s="1972" t="s">
        <v>55</v>
      </c>
      <c r="BL4" s="1972" t="s">
        <v>18</v>
      </c>
      <c r="BM4" s="1489" t="s">
        <v>39</v>
      </c>
      <c r="BN4" s="1978" t="s">
        <v>40</v>
      </c>
      <c r="BO4" s="1972"/>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O4" s="1972" t="s">
        <v>55</v>
      </c>
      <c r="CP4" s="1972" t="s">
        <v>18</v>
      </c>
      <c r="CQ4" s="1489" t="s">
        <v>39</v>
      </c>
      <c r="CR4" s="1978" t="s">
        <v>40</v>
      </c>
      <c r="CS4" s="1489" t="s">
        <v>19</v>
      </c>
      <c r="CT4" s="1972" t="s">
        <v>55</v>
      </c>
      <c r="CU4" s="1972" t="s">
        <v>18</v>
      </c>
      <c r="CV4" s="1489" t="s">
        <v>39</v>
      </c>
      <c r="CW4" s="1978" t="s">
        <v>40</v>
      </c>
      <c r="CX4" s="1489" t="s">
        <v>19</v>
      </c>
      <c r="CY4" s="1972" t="s">
        <v>55</v>
      </c>
      <c r="CZ4" s="1972" t="s">
        <v>18</v>
      </c>
      <c r="DA4" s="1489" t="s">
        <v>39</v>
      </c>
      <c r="DB4" s="1978" t="s">
        <v>40</v>
      </c>
      <c r="DC4" s="1489" t="s">
        <v>19</v>
      </c>
      <c r="DD4" s="1972" t="s">
        <v>55</v>
      </c>
      <c r="DE4" s="1972" t="s">
        <v>18</v>
      </c>
      <c r="DF4" s="1489" t="s">
        <v>39</v>
      </c>
      <c r="DG4" s="1978" t="s">
        <v>40</v>
      </c>
      <c r="DH4" s="1489" t="s">
        <v>19</v>
      </c>
      <c r="DI4" s="1972" t="s">
        <v>55</v>
      </c>
      <c r="DJ4" s="1972" t="s">
        <v>18</v>
      </c>
      <c r="DK4" s="1489" t="s">
        <v>39</v>
      </c>
      <c r="DL4" s="1978" t="s">
        <v>40</v>
      </c>
      <c r="DM4" s="1489" t="s">
        <v>19</v>
      </c>
      <c r="DN4" s="1972" t="s">
        <v>55</v>
      </c>
      <c r="DO4" s="1972" t="s">
        <v>18</v>
      </c>
      <c r="DP4" s="1489" t="s">
        <v>39</v>
      </c>
      <c r="DQ4" s="1978" t="s">
        <v>40</v>
      </c>
      <c r="DR4" s="1489" t="s">
        <v>19</v>
      </c>
    </row>
    <row r="5" spans="1:124" s="2483" customFormat="1" ht="14.4" thickBot="1" x14ac:dyDescent="0.3">
      <c r="A5" s="1477"/>
      <c r="B5" s="1478" t="s">
        <v>10</v>
      </c>
      <c r="C5" s="1481">
        <v>684250.71</v>
      </c>
      <c r="D5" s="1481">
        <v>45220</v>
      </c>
      <c r="E5" s="1481">
        <v>729470.71</v>
      </c>
      <c r="F5" s="1481">
        <v>0</v>
      </c>
      <c r="G5" s="1481">
        <v>0</v>
      </c>
      <c r="H5" s="1481">
        <v>106382</v>
      </c>
      <c r="I5" s="1481">
        <v>0</v>
      </c>
      <c r="J5" s="1481">
        <v>106382</v>
      </c>
      <c r="K5" s="1481">
        <v>0</v>
      </c>
      <c r="L5" s="1481">
        <v>0</v>
      </c>
      <c r="M5" s="1481">
        <v>433752</v>
      </c>
      <c r="N5" s="1481">
        <v>0</v>
      </c>
      <c r="O5" s="1481">
        <v>433752</v>
      </c>
      <c r="P5" s="1481">
        <v>0</v>
      </c>
      <c r="Q5" s="1481">
        <v>0</v>
      </c>
      <c r="R5" s="1481">
        <f>R6+R7</f>
        <v>822577</v>
      </c>
      <c r="S5" s="1481">
        <f>S6+S7</f>
        <v>72906</v>
      </c>
      <c r="T5" s="1481">
        <f>T6+T7</f>
        <v>895483</v>
      </c>
      <c r="U5" s="1481"/>
      <c r="V5" s="1481"/>
      <c r="W5" s="1481">
        <f>W6+W7</f>
        <v>1274598.29</v>
      </c>
      <c r="X5" s="1481">
        <f>X6+X7</f>
        <v>339679.6</v>
      </c>
      <c r="Y5" s="1481">
        <f>Y6+Y7</f>
        <v>1614277.8900000001</v>
      </c>
      <c r="Z5" s="1481"/>
      <c r="AA5" s="1481"/>
      <c r="AB5" s="1481">
        <f>AB6+AB7</f>
        <v>1595739.8800000001</v>
      </c>
      <c r="AC5" s="1481">
        <f>AC6+AC7</f>
        <v>206220</v>
      </c>
      <c r="AD5" s="1481">
        <f>AD6+AD7</f>
        <v>1801959.8800000001</v>
      </c>
      <c r="AE5" s="1481"/>
      <c r="AF5" s="1481"/>
      <c r="AG5" s="1481">
        <f>AG6+AG7</f>
        <v>1300927.76</v>
      </c>
      <c r="AH5" s="1481">
        <f>AH6+AH7</f>
        <v>332608</v>
      </c>
      <c r="AI5" s="1481">
        <f>AI6+AI7</f>
        <v>1633535.76</v>
      </c>
      <c r="AJ5" s="1481"/>
      <c r="AK5" s="1481"/>
      <c r="AL5" s="1481">
        <f>AL6+AL7</f>
        <v>3506612.67</v>
      </c>
      <c r="AM5" s="1481">
        <f>AM6+AM7</f>
        <v>258150</v>
      </c>
      <c r="AN5" s="1481">
        <f>AN6+AN7</f>
        <v>3764762.67</v>
      </c>
      <c r="AO5" s="1481"/>
      <c r="AP5" s="1481"/>
      <c r="AQ5" s="1481">
        <f>AQ6+AQ7</f>
        <v>5402861.21</v>
      </c>
      <c r="AR5" s="1481">
        <f>AR6+AR7</f>
        <v>263890</v>
      </c>
      <c r="AS5" s="1481">
        <f>AS6+AS7</f>
        <v>5666751.21</v>
      </c>
      <c r="AT5" s="1481"/>
      <c r="AU5" s="1481"/>
      <c r="AV5" s="1481">
        <f>AV6+AV7</f>
        <v>8635591.870000001</v>
      </c>
      <c r="AW5" s="1481">
        <f>AW6+AW7</f>
        <v>249360</v>
      </c>
      <c r="AX5" s="1481">
        <f>AX6+AX7</f>
        <v>8884951.870000001</v>
      </c>
      <c r="AY5" s="1481"/>
      <c r="AZ5" s="1481"/>
      <c r="BA5" s="1481">
        <f>BA6+BA7</f>
        <v>681490</v>
      </c>
      <c r="BB5" s="1481">
        <f>BB6+BB7</f>
        <v>39450</v>
      </c>
      <c r="BC5" s="1481">
        <f>BC6+BC7</f>
        <v>720940</v>
      </c>
      <c r="BD5" s="1481"/>
      <c r="BE5" s="1481"/>
      <c r="BF5" s="1481">
        <f>BF6+BF7</f>
        <v>126200</v>
      </c>
      <c r="BG5" s="1481">
        <f>BG6+BG7</f>
        <v>0</v>
      </c>
      <c r="BH5" s="1481">
        <f>BH6+BH7</f>
        <v>126200</v>
      </c>
      <c r="BI5" s="1481"/>
      <c r="BJ5" s="1481"/>
      <c r="BK5" s="1481">
        <f>BK6+BK7</f>
        <v>375850</v>
      </c>
      <c r="BL5" s="1481">
        <f>BL6+BL7</f>
        <v>18800</v>
      </c>
      <c r="BM5" s="1481">
        <f>BM6+BM7</f>
        <v>394650</v>
      </c>
      <c r="BN5" s="1481"/>
      <c r="BO5" s="1481"/>
      <c r="BP5" s="1481">
        <f>BP6+BP7</f>
        <v>179440</v>
      </c>
      <c r="BQ5" s="1481">
        <f>BQ6+BQ7</f>
        <v>20650</v>
      </c>
      <c r="BR5" s="1481">
        <f>BR6+BR7</f>
        <v>200090</v>
      </c>
      <c r="BS5" s="1481"/>
      <c r="BT5" s="1481"/>
      <c r="BU5" s="1481">
        <f>BU6</f>
        <v>0</v>
      </c>
      <c r="BV5" s="1481">
        <f>BV6</f>
        <v>0</v>
      </c>
      <c r="BW5" s="1481">
        <f>BW6+BW7</f>
        <v>0</v>
      </c>
      <c r="BX5" s="1481"/>
      <c r="BY5" s="1481"/>
      <c r="BZ5" s="1481">
        <f>BZ6</f>
        <v>0</v>
      </c>
      <c r="CA5" s="1481">
        <f>CA6</f>
        <v>0</v>
      </c>
      <c r="CB5" s="1481">
        <f>CB6+CB7</f>
        <v>0</v>
      </c>
      <c r="CC5" s="1481"/>
      <c r="CD5" s="1481"/>
      <c r="CE5" s="1481">
        <f>CE6</f>
        <v>0</v>
      </c>
      <c r="CF5" s="1481">
        <f>CF6</f>
        <v>0</v>
      </c>
      <c r="CG5" s="1481">
        <f>CG6+CG7</f>
        <v>0</v>
      </c>
      <c r="CH5" s="1481"/>
      <c r="CI5" s="1481"/>
      <c r="CJ5" s="1481">
        <f>CJ6</f>
        <v>0</v>
      </c>
      <c r="CK5" s="1481">
        <f>CK6</f>
        <v>0</v>
      </c>
      <c r="CL5" s="1481">
        <f>CL6+CL7</f>
        <v>0</v>
      </c>
      <c r="CM5" s="1481"/>
      <c r="CN5" s="1481"/>
      <c r="CO5" s="1481">
        <f>CO6</f>
        <v>0</v>
      </c>
      <c r="CP5" s="1481">
        <f>CP6</f>
        <v>0</v>
      </c>
      <c r="CQ5" s="1481">
        <f>CQ6+CQ7</f>
        <v>0</v>
      </c>
      <c r="CR5" s="1481"/>
      <c r="CS5" s="1481"/>
      <c r="CT5" s="1481">
        <f>CT6</f>
        <v>0</v>
      </c>
      <c r="CU5" s="1481">
        <f>CU6</f>
        <v>0</v>
      </c>
      <c r="CV5" s="1481">
        <f>CV6+CV7</f>
        <v>0</v>
      </c>
      <c r="CW5" s="1481"/>
      <c r="CX5" s="1481"/>
      <c r="CY5" s="1481">
        <f>CY6</f>
        <v>0</v>
      </c>
      <c r="CZ5" s="1481">
        <f>CZ6</f>
        <v>0</v>
      </c>
      <c r="DA5" s="1481">
        <f>DA6+DA7</f>
        <v>0</v>
      </c>
      <c r="DB5" s="1481"/>
      <c r="DC5" s="1481"/>
      <c r="DD5" s="1481">
        <f>DD6</f>
        <v>0</v>
      </c>
      <c r="DE5" s="1481">
        <f>DE6</f>
        <v>0</v>
      </c>
      <c r="DF5" s="1481">
        <f>DF6+DF7</f>
        <v>0</v>
      </c>
      <c r="DG5" s="1481"/>
      <c r="DH5" s="1481"/>
      <c r="DI5" s="1481">
        <f>DI6</f>
        <v>0</v>
      </c>
      <c r="DJ5" s="1481">
        <f>DJ6</f>
        <v>0</v>
      </c>
      <c r="DK5" s="1481">
        <f>DK6+DK7</f>
        <v>0</v>
      </c>
      <c r="DL5" s="1481"/>
      <c r="DM5" s="1481"/>
      <c r="DN5" s="1481">
        <f>DN6+DN7</f>
        <v>23220398.68</v>
      </c>
      <c r="DO5" s="1481">
        <f>DO6+DO7</f>
        <v>1762263.6</v>
      </c>
      <c r="DP5" s="1481">
        <f>DP6+DP7</f>
        <v>24982662.280000001</v>
      </c>
      <c r="DQ5" s="1481"/>
      <c r="DR5" s="1481"/>
      <c r="DS5" s="916"/>
      <c r="DT5" s="916"/>
    </row>
    <row r="6" spans="1:124" s="1411" customFormat="1" ht="65.400000000000006" customHeight="1" x14ac:dyDescent="0.25">
      <c r="A6" s="3273">
        <v>0</v>
      </c>
      <c r="B6" s="1418" t="s">
        <v>17</v>
      </c>
      <c r="C6" s="3274">
        <v>664250.71</v>
      </c>
      <c r="D6" s="3274">
        <v>33250</v>
      </c>
      <c r="E6" s="2028">
        <v>697500.71</v>
      </c>
      <c r="F6" s="3274"/>
      <c r="G6" s="3275"/>
      <c r="H6" s="3274">
        <v>106382</v>
      </c>
      <c r="I6" s="3274">
        <v>0</v>
      </c>
      <c r="J6" s="2028">
        <v>106382</v>
      </c>
      <c r="K6" s="3274">
        <v>0</v>
      </c>
      <c r="L6" s="3275">
        <v>0</v>
      </c>
      <c r="M6" s="3274">
        <v>0</v>
      </c>
      <c r="N6" s="3274">
        <v>0</v>
      </c>
      <c r="O6" s="2028">
        <v>0</v>
      </c>
      <c r="P6" s="3274">
        <v>0</v>
      </c>
      <c r="Q6" s="3275">
        <v>0</v>
      </c>
      <c r="R6" s="3274">
        <f>'Форд Тягач'!R6+'MAN Blue KA1783HI'!C6+'MAN green KA2790IE'!C6+'MAN №3 white KA7837HO'!C6+'MAN №4 white KA3597HO'!C6</f>
        <v>822577</v>
      </c>
      <c r="S6" s="3274">
        <f>'Форд Тягач'!S6+'MAN Blue KA1783HI'!D6+'MAN green KA2790IE'!D6+'MAN №3 white KA7837HO'!D6+'MAN №4 white KA3597HO'!D6</f>
        <v>72906</v>
      </c>
      <c r="T6" s="2028">
        <f>R6+S6</f>
        <v>895483</v>
      </c>
      <c r="U6" s="3274"/>
      <c r="V6" s="3275" t="s">
        <v>1131</v>
      </c>
      <c r="W6" s="3274">
        <f>'Форд Тягач'!W6+'MAN Blue KA1783HI'!H6+'MAN green KA2790IE'!H6+'MAN №3 white KA7837HO'!H6+'MAN №4 white KA3597HO'!H6+33000+48000+9750</f>
        <v>1274598.29</v>
      </c>
      <c r="X6" s="3274">
        <f>'Форд Тягач'!X6+'MAN Blue KA1783HI'!I6+'MAN green KA2790IE'!I6+'MAN №3 white KA7837HO'!I6+'MAN №4 white KA3597HO'!I6</f>
        <v>339679.6</v>
      </c>
      <c r="Y6" s="2028">
        <f>W6+X6</f>
        <v>1614277.8900000001</v>
      </c>
      <c r="Z6" s="3274"/>
      <c r="AA6" s="3421" t="s">
        <v>1186</v>
      </c>
      <c r="AB6" s="3274">
        <f>ЦО_логистика!C6+'Форд Тягач'!AB6+'MAN Blue KA1783HI'!M6+'MAN green KA2790IE'!M6+'MAN №3 white KA7837HO'!M6+'MAN №4 white KA3597HO'!M6+'MAN №5 Тент МД'!C6</f>
        <v>1595739.8800000001</v>
      </c>
      <c r="AC6" s="3274">
        <f>ЦО_логистика!D6+'Форд Тягач'!AC6+'MAN Blue KA1783HI'!N6+'MAN green KA2790IE'!N6+'MAN №3 white KA7837HO'!N6+'MAN №4 white KA3597HO'!N6+'MAN №5 Тент МД'!D6</f>
        <v>206220</v>
      </c>
      <c r="AD6" s="2028">
        <f>AB6+AC6</f>
        <v>1801959.8800000001</v>
      </c>
      <c r="AE6" s="3274"/>
      <c r="AF6" s="3275"/>
      <c r="AG6" s="3274">
        <f>ЦО_логистика!H6+'Форд Тягач'!AG6+'MAN Blue KA1783HI'!R6+'MAN green KA2790IE'!R6+'MAN №3 white KA7837HO'!R6+'MAN №4 white KA3597HO'!R6+'MAN №5 Тент МД'!H6</f>
        <v>1300927.76</v>
      </c>
      <c r="AH6" s="3274">
        <f>ЦО_логистика!I6+'Форд Тягач'!AH6+'MAN Blue KA1783HI'!S6+'MAN green KA2790IE'!S6+'MAN №3 white KA7837HO'!S6+'MAN №4 white KA3597HO'!S6+'MAN №5 Тент МД'!I6</f>
        <v>332608</v>
      </c>
      <c r="AI6" s="2028">
        <f>AG6+AH6</f>
        <v>1633535.76</v>
      </c>
      <c r="AJ6" s="3274"/>
      <c r="AK6" s="3275" t="s">
        <v>1334</v>
      </c>
      <c r="AL6" s="3274">
        <f>ЦО_логистика!M6+'Форд Тягач'!AL6+'MAN Blue KA1783HI'!W6+'MAN green KA2790IE'!W6+'MAN №3 white KA7837HO'!W6+'MAN №4 white KA3597HO'!W6+'MAN №5 Тент МД'!M6</f>
        <v>3142656.52</v>
      </c>
      <c r="AM6" s="3274">
        <f>ЦО_логистика!N6+'Форд Тягач'!AM6+'MAN Blue KA1783HI'!X6+'MAN green KA2790IE'!X6+'MAN №3 white KA7837HO'!X6+'MAN №4 white KA3597HO'!X6+'MAN №5 Тент МД'!N6</f>
        <v>169600</v>
      </c>
      <c r="AN6" s="2028">
        <f>AL6+AM6</f>
        <v>3312256.52</v>
      </c>
      <c r="AO6" s="3274"/>
      <c r="AP6" s="3275" t="str">
        <f>CONCATENATE(ЦО_логистика!Q6,'Форд Тягач'!AP6,'MAN Blue KA1783HI'!AA6,'MAN green KA2790IE'!AA6,'MAN №3 white KA7837HO'!AF6,'MAN №4 white KA3597HO'!AA6,'MAN №5 Тент МД'!Q6)</f>
        <v xml:space="preserve">21 000 - Ладыжин-Бровары; 14000 - ЮЦ-Кропивницький; 21000 - Ладыжин-Киев; 33000-Киев-Ладыжин; 21000 Бровары-Староконстантинов; 30000 * 2 - БЦ-Староконстантинов
1 525 508,47 - Оптимус Трейд 346 311,84 Измит-Запорожье336 772,55 Измит-Запорожье Кодима-Мерсин346 167,54 Измит-ЗапорожьеФ1 - Австрия-Полтава
Ф2 Киев-Полтава 14 700; Полтава - Вена 154 900; </v>
      </c>
      <c r="AQ6" s="3274">
        <f>ЦО_логистика!R6+'Форд Тягач'!AQ6+'MAN Blue KA1783HI'!AB6+'MAN green KA2790IE'!AB6+'MAN №3 white KA7837HO'!AB6+'MAN №4 white KA3597HO'!AB6+'MAN №5 Тент МД'!R6</f>
        <v>5395113.9100000001</v>
      </c>
      <c r="AR6" s="3274">
        <f>ЦО_логистика!S6+'Форд Тягач'!AR6+'MAN Blue KA1783HI'!AC6+'MAN green KA2790IE'!AC6+'MAN №3 white KA7837HO'!AC6+'MAN №4 white KA3597HO'!AC6+'MAN №5 Тент МД'!S6</f>
        <v>263890</v>
      </c>
      <c r="AS6" s="2028">
        <f>AQ6+AR6</f>
        <v>5659003.9100000001</v>
      </c>
      <c r="AT6" s="3274"/>
      <c r="AU6" s="3275"/>
      <c r="AV6" s="3275">
        <f>+ЦО_логистика!W6+'Форд Тягач'!AV6+'MAN Blue KA1783HI'!AG6+'MAN green KA2790IE'!AG6+'MAN №3 white KA7837HO'!AG6+'MAN №4 white KA3597HO'!AG6+'MAN №5 Тент МД'!W6</f>
        <v>8400889.9700000007</v>
      </c>
      <c r="AW6" s="3275">
        <f>+ЦО_логистика!X6+'Форд Тягач'!AW6+'MAN Blue KA1783HI'!AH6+'MAN green KA2790IE'!AH6+'MAN №3 white KA7837HO'!AH6+'MAN №4 white KA3597HO'!AH6+'MAN №5 Тент МД'!X6</f>
        <v>249360</v>
      </c>
      <c r="AX6" s="2028">
        <f>AV6+AW6</f>
        <v>8650249.9700000007</v>
      </c>
      <c r="AY6" s="3275"/>
      <c r="AZ6" s="3275"/>
      <c r="BA6" s="3275">
        <f>BF6+BK6+BP6+BU6+BZ6+CE6+CJ6+CO6+CT6+CY6+DD6+DI6</f>
        <v>681490</v>
      </c>
      <c r="BB6" s="3275">
        <f>BG6+BL6+BQ6+BV6+CA6+CF6+CK6+CP6+CU6+CZ6+DE6+DJ6</f>
        <v>39450</v>
      </c>
      <c r="BC6" s="2028">
        <f>BA6+BB6</f>
        <v>720940</v>
      </c>
      <c r="BD6" s="3275"/>
      <c r="BE6" s="3275">
        <f>ЦО_логистика!AD6+'Форд Тягач'!BC6+'MAN Blue KA1783HI'!AN6+'MAN green KA2790IE'!AN6+'MAN №3 white KA7837HO'!AN6+'MAN №4 white KA3597HO'!AN6+'MAN №5 Тент МД'!AD6-BC6</f>
        <v>0</v>
      </c>
      <c r="BF6" s="3274">
        <f>ЦО_логистика!AG6+'Форд Тягач'!BF6+'MAN Blue KA1783HI'!AQ6+'MAN green KA2790IE'!AQ6+'MAN №3 white KA7837HO'!AQ6+'MAN №4 white KA3597HO'!AQ6+'MAN №5 Тент МД'!AG6</f>
        <v>126200</v>
      </c>
      <c r="BG6" s="3274">
        <f>ЦО_логистика!AH6+'Форд Тягач'!BG6+'MAN Blue KA1783HI'!AR6+'MAN green KA2790IE'!AR6+'MAN №3 white KA7837HO'!AR6+'MAN №4 white KA3597HO'!AR6+'MAN №5 Тент МД'!AH6</f>
        <v>0</v>
      </c>
      <c r="BH6" s="2028">
        <f>BF6+BG6</f>
        <v>126200</v>
      </c>
      <c r="BI6" s="3274"/>
      <c r="BJ6" s="3275"/>
      <c r="BK6" s="3275">
        <f>ЦО_логистика!AL6+'Форд Тягач'!BK6+'MAN Blue KA1783HI'!AV6+'MAN green KA2790IE'!AV6+'MAN №3 white KA7837HO'!AV6+'MAN №4 white KA3597HO'!AV6+'MAN №5 Тент МД'!AL6</f>
        <v>375850</v>
      </c>
      <c r="BL6" s="3275">
        <f>ЦО_логистика!AM6+'Форд Тягач'!BL6+'MAN Blue KA1783HI'!AW6+'MAN green KA2790IE'!AW6+'MAN №3 white KA7837HO'!AW6+'MAN №4 white KA3597HO'!AW6+'MAN №5 Тент МД'!AM6</f>
        <v>18800</v>
      </c>
      <c r="BM6" s="2028">
        <f>BK6+BL6</f>
        <v>394650</v>
      </c>
      <c r="BN6" s="3274"/>
      <c r="BO6" s="3275"/>
      <c r="BP6" s="3274">
        <f>ЦО_логистика!AQ6+'Форд Тягач'!BP6+'MAN Blue KA1783HI'!BA6+'MAN green KA2790IE'!BA6+'MAN №3 white KA7837HO'!BA6+'MAN №4 white KA3597HO'!BA6+'MAN №5 Тент МД'!AQ6</f>
        <v>179440</v>
      </c>
      <c r="BQ6" s="3274">
        <f>ЦО_логистика!AR6+'Форд Тягач'!BQ6+'MAN Blue KA1783HI'!BB6+'MAN green KA2790IE'!BB6+'MAN №3 white KA7837HO'!BB6+'MAN №4 white KA3597HO'!BB6+'MAN №5 Тент МД'!AR6</f>
        <v>20650</v>
      </c>
      <c r="BR6" s="2028">
        <f>BP6+BQ6</f>
        <v>200090</v>
      </c>
      <c r="BS6" s="3274"/>
      <c r="BT6" s="3276"/>
      <c r="BU6" s="3274">
        <f>ЦО_логистика!AV6+'Форд Тягач'!BU6+'MAN Blue KA1783HI'!BF6+'MAN green KA2790IE'!BF6+'MAN №3 white KA7837HO'!BF6+'MAN №4 white KA3597HO'!BF6+'MAN №5 Тент МД'!AV6</f>
        <v>0</v>
      </c>
      <c r="BV6" s="3274">
        <f>ЦО_логистика!AW6+'Форд Тягач'!BV6+'MAN Blue KA1783HI'!BG6+'MAN green KA2790IE'!BG6+'MAN №3 white KA7837HO'!BG6+'MAN №4 white KA3597HO'!BG6+'MAN №5 Тент МД'!AW6</f>
        <v>0</v>
      </c>
      <c r="BW6" s="2028">
        <f>BU6+BV6</f>
        <v>0</v>
      </c>
      <c r="BX6" s="3274"/>
      <c r="BY6" s="3276"/>
      <c r="BZ6" s="3274">
        <f>ЦО_логистика!BA6+'Форд Тягач'!BZ6+'MAN Blue KA1783HI'!BK6+'MAN green KA2790IE'!BK6+'MAN №3 white KA7837HO'!BK6+'MAN №4 white KA3597HO'!BK6+'MAN №5 Тент МД'!BA6</f>
        <v>0</v>
      </c>
      <c r="CA6" s="3274">
        <f>ЦО_логистика!BB6+'Форд Тягач'!CA6+'MAN Blue KA1783HI'!BL6+'MAN green KA2790IE'!BL6+'MAN №3 white KA7837HO'!BL6+'MAN №4 white KA3597HO'!BL6+'MAN №5 Тент МД'!BB6</f>
        <v>0</v>
      </c>
      <c r="CB6" s="2028">
        <f>BZ6+CA6</f>
        <v>0</v>
      </c>
      <c r="CC6" s="3274"/>
      <c r="CD6" s="3276"/>
      <c r="CE6" s="3274">
        <f>ЦО_логистика!BF6+'Форд Тягач'!CE6+'MAN Blue KA1783HI'!BP6+'MAN green KA2790IE'!BP6+'MAN №3 white KA7837HO'!BP6+'MAN №4 white KA3597HO'!BP6+'MAN №5 Тент МД'!BF6</f>
        <v>0</v>
      </c>
      <c r="CF6" s="3274">
        <f>ЦО_логистика!BG6+'Форд Тягач'!CF6+'MAN Blue KA1783HI'!BQ6+'MAN green KA2790IE'!BQ6+'MAN №3 white KA7837HO'!BQ6+'MAN №4 white KA3597HO'!BQ6+'MAN №5 Тент МД'!BG6</f>
        <v>0</v>
      </c>
      <c r="CG6" s="2028">
        <f>CE6+CF6</f>
        <v>0</v>
      </c>
      <c r="CH6" s="3274"/>
      <c r="CI6" s="3276"/>
      <c r="CJ6" s="3274">
        <f>ЦО_логистика!BK6+'Форд Тягач'!CJ6+'MAN Blue KA1783HI'!BU6+'MAN green KA2790IE'!BU6+'MAN №3 white KA7837HO'!BU6+'MAN №4 white KA3597HO'!BU6+'MAN №5 Тент МД'!BK6</f>
        <v>0</v>
      </c>
      <c r="CK6" s="3274">
        <f>ЦО_логистика!BL6+'Форд Тягач'!CK6+'MAN Blue KA1783HI'!BV6+'MAN green KA2790IE'!BV6+'MAN №3 white KA7837HO'!BV6+'MAN №4 white KA3597HO'!BV6+'MAN №5 Тент МД'!BL6</f>
        <v>0</v>
      </c>
      <c r="CL6" s="2028">
        <f>CJ6+CK6</f>
        <v>0</v>
      </c>
      <c r="CM6" s="3274"/>
      <c r="CN6" s="3276"/>
      <c r="CO6" s="3274">
        <f>ЦО_логистика!BP6+'Форд Тягач'!CO6+'MAN Blue KA1783HI'!BZ6+'MAN green KA2790IE'!BZ6+'MAN №3 white KA7837HO'!BZ6+'MAN №4 white KA3597HO'!BZ6+'MAN №5 Тент МД'!BP6</f>
        <v>0</v>
      </c>
      <c r="CP6" s="3274">
        <f>ЦО_логистика!BQ6+'Форд Тягач'!CP6+'MAN Blue KA1783HI'!CA6+'MAN green KA2790IE'!CA6+'MAN №3 white KA7837HO'!CA6+'MAN №4 white KA3597HO'!CA6+'MAN №5 Тент МД'!BQ6</f>
        <v>0</v>
      </c>
      <c r="CQ6" s="2028">
        <f>CO6+CP6</f>
        <v>0</v>
      </c>
      <c r="CR6" s="3274"/>
      <c r="CS6" s="3276"/>
      <c r="CT6" s="3274">
        <f>ЦО_логистика!BU6+'Форд Тягач'!CT6+'MAN Blue KA1783HI'!CE6+'MAN green KA2790IE'!CE6+'MAN №3 white KA7837HO'!CE6+'MAN №4 white KA3597HO'!CE6+'MAN №5 Тент МД'!BU6</f>
        <v>0</v>
      </c>
      <c r="CU6" s="3274">
        <f>ЦО_логистика!BV6+'Форд Тягач'!CU6+'MAN Blue KA1783HI'!CF6+'MAN green KA2790IE'!CF6+'MAN №3 white KA7837HO'!CF6+'MAN №4 white KA3597HO'!CF6+'MAN №5 Тент МД'!BV6</f>
        <v>0</v>
      </c>
      <c r="CV6" s="2028">
        <f>CT6+CU6</f>
        <v>0</v>
      </c>
      <c r="CW6" s="3274"/>
      <c r="CX6" s="3276" t="s">
        <v>2045</v>
      </c>
      <c r="CY6" s="3274">
        <f>ЦО_логистика!BZ6+'Форд Тягач'!CY6+'MAN Blue KA1783HI'!CJ6+'MAN green KA2790IE'!CJ6+'MAN №3 white KA7837HO'!CJ6+'MAN №4 white KA3597HO'!CJ6+'MAN №5 Тент МД'!BZ6</f>
        <v>0</v>
      </c>
      <c r="CZ6" s="3274">
        <f>ЦО_логистика!CA6+'Форд Тягач'!CZ6+'MAN Blue KA1783HI'!CK6+'MAN green KA2790IE'!CK6+'MAN №3 white KA7837HO'!CK6+'MAN №4 white KA3597HO'!CK6+'MAN №5 Тент МД'!CA6</f>
        <v>0</v>
      </c>
      <c r="DA6" s="2028">
        <f>CY6+CZ6</f>
        <v>0</v>
      </c>
      <c r="DB6" s="3274"/>
      <c r="DC6" s="3276"/>
      <c r="DD6" s="3274">
        <f>ЦО_логистика!CE6+'Форд Тягач'!DD6+'MAN Blue KA1783HI'!CO6+'MAN green KA2790IE'!CO6+'MAN №3 white KA7837HO'!CO6+'MAN №4 white KA3597HO'!CO6+'MAN №5 Тент МД'!CE6</f>
        <v>0</v>
      </c>
      <c r="DE6" s="3274">
        <f>ЦО_логистика!CF6+'Форд Тягач'!DE6+'MAN Blue KA1783HI'!CP6+'MAN green KA2790IE'!CP6+'MAN №3 white KA7837HO'!CP6+'MAN №4 white KA3597HO'!CP6+'MAN №5 Тент МД'!CF6</f>
        <v>0</v>
      </c>
      <c r="DF6" s="2028">
        <f>DD6+DE6</f>
        <v>0</v>
      </c>
      <c r="DG6" s="3274"/>
      <c r="DH6" s="3276"/>
      <c r="DI6" s="3274">
        <f>ЦО_логистика!CJ6+'Форд Тягач'!DI6+'MAN Blue KA1783HI'!CT6+'MAN green KA2790IE'!CT6+'MAN №3 white KA7837HO'!CT6+'MAN №4 white KA3597HO'!CT6+'MAN №5 Тент МД'!CJ6</f>
        <v>0</v>
      </c>
      <c r="DJ6" s="3274">
        <f>ЦО_логистика!CK6+'Форд Тягач'!DJ6+'MAN Blue KA1783HI'!CU6+'MAN green KA2790IE'!CU6+'MAN №3 white KA7837HO'!CU6+'MAN №4 white KA3597HO'!CU6+'MAN №5 Тент МД'!CK6</f>
        <v>0</v>
      </c>
      <c r="DK6" s="2028">
        <f>DI6+DJ6</f>
        <v>0</v>
      </c>
      <c r="DL6" s="3274"/>
      <c r="DM6" s="3276"/>
      <c r="DN6" s="3288">
        <f>R6+W6+AB6+AG6+AL6+AQ6+BF6+BK6+BP6+BU6+BZ6+CE6+CJ6+CO6+CT6+CY6+DD6+DI6+AV6</f>
        <v>22613993.329999998</v>
      </c>
      <c r="DO6" s="3288">
        <f>S6+X6+AC6+AH6+AM6+AR6+BG6+BL6+BQ6+BV6+CA6+CF6+CK6+CP6+CU6+CZ6+DE6+DJ6+AW6</f>
        <v>1673713.6</v>
      </c>
      <c r="DP6" s="2028">
        <f>DN6+DO6</f>
        <v>24287706.93</v>
      </c>
      <c r="DQ6" s="3274"/>
      <c r="DR6" s="3275"/>
      <c r="DS6" s="916"/>
      <c r="DT6" s="916"/>
    </row>
    <row r="7" spans="1:124" s="1411" customFormat="1" ht="61.2" customHeight="1" thickBot="1" x14ac:dyDescent="0.3">
      <c r="A7" s="1586"/>
      <c r="B7" s="3231" t="s">
        <v>41</v>
      </c>
      <c r="C7" s="3274">
        <v>20000</v>
      </c>
      <c r="D7" s="3274">
        <v>11970</v>
      </c>
      <c r="E7" s="2028">
        <v>31970</v>
      </c>
      <c r="F7" s="3277"/>
      <c r="G7" s="3277"/>
      <c r="H7" s="3274">
        <v>0</v>
      </c>
      <c r="I7" s="3274">
        <v>0</v>
      </c>
      <c r="J7" s="2028">
        <v>0</v>
      </c>
      <c r="K7" s="3277">
        <v>0</v>
      </c>
      <c r="L7" s="3277">
        <v>0</v>
      </c>
      <c r="M7" s="3274">
        <v>433752</v>
      </c>
      <c r="N7" s="3274">
        <v>0</v>
      </c>
      <c r="O7" s="2028">
        <v>433752</v>
      </c>
      <c r="P7" s="3277">
        <v>0</v>
      </c>
      <c r="Q7" s="3385" t="s">
        <v>1382</v>
      </c>
      <c r="R7" s="3274">
        <f>'Форд Тягач'!R7+'MAN Blue KA1783HI'!C7+'MAN green KA2790IE'!C7+'MAN №3 white KA7837HO'!C7+'MAN №4 white KA3597HO'!C7</f>
        <v>0</v>
      </c>
      <c r="S7" s="3274">
        <f>'Форд Тягач'!S7+'MAN Blue KA1783HI'!D7+'MAN green KA2790IE'!D7+'MAN №3 white KA7837HO'!D7+'MAN №4 white KA3597HO'!D7</f>
        <v>0</v>
      </c>
      <c r="T7" s="2028">
        <f>R7+S7</f>
        <v>0</v>
      </c>
      <c r="U7" s="3277"/>
      <c r="V7" s="3277"/>
      <c r="W7" s="3274"/>
      <c r="X7" s="3274"/>
      <c r="Y7" s="2028"/>
      <c r="Z7" s="3277"/>
      <c r="AA7" s="3277"/>
      <c r="AB7" s="3274">
        <f>ЦО_логистика!C7+'Форд Тягач'!AB7+'MAN Blue KA1783HI'!M7+'MAN green KA2790IE'!M7+'MAN №3 white KA7837HO'!M7+'MAN №4 white KA3597HO'!M7+'MAN №5 Тент МД'!C7</f>
        <v>0</v>
      </c>
      <c r="AC7" s="3274">
        <f>ЦО_логистика!D7+'Форд Тягач'!AC7+'MAN Blue KA1783HI'!N7+'MAN green KA2790IE'!N7+'MAN №3 white KA7837HO'!N7+'MAN №4 white KA3597HO'!N7+'MAN №5 Тент МД'!D7</f>
        <v>0</v>
      </c>
      <c r="AD7" s="2028">
        <f>AB7+AC7</f>
        <v>0</v>
      </c>
      <c r="AE7" s="3277"/>
      <c r="AF7" s="3277"/>
      <c r="AG7" s="3274">
        <f>ЦО_логистика!H7+'Форд Тягач'!AG7+'MAN Blue KA1783HI'!R7+'MAN green KA2790IE'!R7+'MAN №3 white KA7837HO'!R7+'MAN №4 white KA3597HO'!R7+'MAN №5 Тент МД'!H7</f>
        <v>0</v>
      </c>
      <c r="AH7" s="3274">
        <f>ЦО_логистика!I7+'Форд Тягач'!AH7+'MAN Blue KA1783HI'!S7+'MAN green KA2790IE'!S7+'MAN №3 white KA7837HO'!S7+'MAN №4 white KA3597HO'!S7+'MAN №5 Тент МД'!I7</f>
        <v>0</v>
      </c>
      <c r="AI7" s="2028">
        <f>AG7+AH7</f>
        <v>0</v>
      </c>
      <c r="AJ7" s="3277"/>
      <c r="AK7" s="3277"/>
      <c r="AL7" s="3274">
        <f>ЦО_логистика!M7+'Форд Тягач'!AL7+'MAN Blue KA1783HI'!W7+'MAN green KA2790IE'!W7+'MAN №3 white KA7837HO'!W7+'MAN №4 white KA3597HO'!W7+'MAN №5 Тент МД'!M7</f>
        <v>363956.15</v>
      </c>
      <c r="AM7" s="3274">
        <f>ЦО_логистика!N7+'Форд Тягач'!AM7+'MAN Blue KA1783HI'!X7+'MAN green KA2790IE'!X7+'MAN №3 white KA7837HO'!X7+'MAN №4 white KA3597HO'!X7+'MAN №5 Тент МД'!N7</f>
        <v>88550</v>
      </c>
      <c r="AN7" s="2028">
        <f>AL7+AM7</f>
        <v>452506.15</v>
      </c>
      <c r="AO7" s="3277"/>
      <c r="AP7" s="3275" t="str">
        <f>CONCATENATE(ЦО_логистика!Q7,'Форд Тягач'!AP7,'MAN Blue KA1783HI'!AA7,'MAN green KA2790IE'!AA7,'MAN №3 white KA7837HO'!AF7,'MAN №4 white KA3597HO'!AA7,'MAN №5 Тент МД'!Q7)</f>
        <v>% на остаток на счетеФ2 поступления от продажи полуприцепа 2200*40.25_88 550 грн_Джи</v>
      </c>
      <c r="AQ7" s="3274">
        <f>ЦО_логистика!R7+'Форд Тягач'!AQ7+'MAN Blue KA1783HI'!AB7+'MAN green KA2790IE'!AB7+'MAN №3 white KA7837HO'!AB7+'MAN №4 white KA3597HO'!AB7+'MAN №5 Тент МД'!R7</f>
        <v>7747.3</v>
      </c>
      <c r="AR7" s="3274">
        <f>ЦО_логистика!S7+'Форд Тягач'!AR7+'MAN Blue KA1783HI'!AC7+'MAN green KA2790IE'!AC7+'MAN №3 white KA7837HO'!AC7+'MAN №4 white KA3597HO'!AC7+'MAN №5 Тент МД'!S7</f>
        <v>0</v>
      </c>
      <c r="AS7" s="2028">
        <f>AQ7+AR7</f>
        <v>7747.3</v>
      </c>
      <c r="AT7" s="3277"/>
      <c r="AU7" s="3275" t="str">
        <f>CONCATENATE(ЦО_логистика!V7,'Форд Тягач'!AU7,'MAN Blue KA1783HI'!AF7,'MAN green KA2790IE'!AF7,'MAN №3 white KA7837HO'!AF7,'MAN №4 white KA3597HO'!AF7,'MAN №5 Тент МД'!V7)</f>
        <v>% на остаток на счете</v>
      </c>
      <c r="AV7" s="3275">
        <f>+ЦО_логистика!W7+'Форд Тягач'!AV7+'MAN Blue KA1783HI'!AG7+'MAN green KA2790IE'!AG7+'MAN №3 white KA7837HO'!AG7+'MAN №4 white KA3597HO'!AG7+'MAN №5 Тент МД'!W7</f>
        <v>234701.9</v>
      </c>
      <c r="AW7" s="3275">
        <f>+ЦО_логистика!X7+'Форд Тягач'!AW7+'MAN Blue KA1783HI'!AH7+'MAN green KA2790IE'!AH7+'MAN №3 white KA7837HO'!AH7+'MAN №4 white KA3597HO'!AH7+'MAN №5 Тент МД'!X7</f>
        <v>0</v>
      </c>
      <c r="AX7" s="2028">
        <f>AV7+AW7</f>
        <v>234701.9</v>
      </c>
      <c r="AY7" s="3275"/>
      <c r="AZ7" s="3275"/>
      <c r="BA7" s="3275">
        <f>BF7+BK7+BP7+BU7+BZ7+CE7+CJ7+CO7+CT7+CY7+DD7+DI7</f>
        <v>0</v>
      </c>
      <c r="BB7" s="3275">
        <f>BG7+BL7+BQ7+BV7+CA7+CF7+CK7+CP7+CU7+CZ7+DE7+DJ7</f>
        <v>0</v>
      </c>
      <c r="BC7" s="2028">
        <f>BA7+BB7</f>
        <v>0</v>
      </c>
      <c r="BD7" s="3275"/>
      <c r="BE7" s="3275">
        <f>ЦО_логистика!AD7+'Форд Тягач'!BC7+'MAN Blue KA1783HI'!AN7+'MAN green KA2790IE'!AN7+'MAN №3 white KA7837HO'!AN7+'MAN №4 white KA3597HO'!AN7+'MAN №5 Тент МД'!AD7-BC7</f>
        <v>0</v>
      </c>
      <c r="BF7" s="3274">
        <f>ЦО_логистика!AG7+'Форд Тягач'!BF7+'MAN Blue KA1783HI'!AQ7+'MAN green KA2790IE'!AQ7+'MAN №3 white KA7837HO'!AQ7+'MAN №4 white KA3597HO'!AQ7+'MAN №5 Тент МД'!AG7</f>
        <v>0</v>
      </c>
      <c r="BG7" s="3274">
        <f>ЦО_логистика!AH7+'Форд Тягач'!BG7+'MAN Blue KA1783HI'!AR7+'MAN green KA2790IE'!AR7+'MAN №3 white KA7837HO'!AR7+'MAN №4 white KA3597HO'!AR7+'MAN №5 Тент МД'!AH7</f>
        <v>0</v>
      </c>
      <c r="BH7" s="2028">
        <f>BF7+BG7</f>
        <v>0</v>
      </c>
      <c r="BI7" s="3277"/>
      <c r="BJ7" s="3275"/>
      <c r="BK7" s="3275">
        <f>ЦО_логистика!AL7+'Форд Тягач'!BK7+'MAN Blue KA1783HI'!AV7+'MAN green KA2790IE'!AV7+'MAN №3 white KA7837HO'!AV7+'MAN №4 white KA3597HO'!AV7+'MAN №5 Тент МД'!AL7</f>
        <v>0</v>
      </c>
      <c r="BL7" s="3275">
        <f>ЦО_логистика!AM7+'Форд Тягач'!BL7+'MAN Blue KA1783HI'!AW7+'MAN green KA2790IE'!AW7+'MAN №3 white KA7837HO'!AW7+'MAN №4 white KA3597HO'!AW7+'MAN №5 Тент МД'!AM7</f>
        <v>0</v>
      </c>
      <c r="BM7" s="2028">
        <f>BK7+BL7</f>
        <v>0</v>
      </c>
      <c r="BN7" s="3277"/>
      <c r="BO7" s="3275"/>
      <c r="BP7" s="3274">
        <f>ЦО_логистика!AQ7+'Форд Тягач'!BP7+'MAN Blue KA1783HI'!BA7+'MAN green KA2790IE'!BA7+'MAN №3 white KA7837HO'!BA7+'MAN №4 white KA3597HO'!BA7+'MAN №5 Тент МД'!AQ7</f>
        <v>0</v>
      </c>
      <c r="BQ7" s="3274">
        <f>ЦО_логистика!AR7+'Форд Тягач'!BQ7+'MAN Blue KA1783HI'!BB7+'MAN green KA2790IE'!BB7+'MAN №3 white KA7837HO'!BB7+'MAN №4 white KA3597HO'!BB7+'MAN №5 Тент МД'!AR7</f>
        <v>0</v>
      </c>
      <c r="BR7" s="2028">
        <f>BP7+BQ7</f>
        <v>0</v>
      </c>
      <c r="BS7" s="3277"/>
      <c r="BT7" s="3277"/>
      <c r="BU7" s="3274">
        <f>ЦО_логистика!AV7+'Форд Тягач'!BU7+'MAN Blue KA1783HI'!BF7+'MAN green KA2790IE'!BF7+'MAN №3 white KA7837HO'!BF7+'MAN №4 white KA3597HO'!BF7+'MAN №5 Тент МД'!AV7</f>
        <v>0</v>
      </c>
      <c r="BV7" s="3274">
        <f>ЦО_логистика!AW7+'Форд Тягач'!BV7+'MAN Blue KA1783HI'!BG7+'MAN green KA2790IE'!BG7+'MAN №3 white KA7837HO'!BG7+'MAN №4 white KA3597HO'!BG7+'MAN №5 Тент МД'!AW7</f>
        <v>0</v>
      </c>
      <c r="BW7" s="2028">
        <f>BU7+BV7</f>
        <v>0</v>
      </c>
      <c r="BX7" s="3277"/>
      <c r="BY7" s="3277"/>
      <c r="BZ7" s="3274">
        <f>ЦО_логистика!BA7+'Форд Тягач'!BZ7+'MAN Blue KA1783HI'!BK7+'MAN green KA2790IE'!BK7+'MAN №3 white KA7837HO'!BK7+'MAN №4 white KA3597HO'!BK7+'MAN №5 Тент МД'!BA7</f>
        <v>0</v>
      </c>
      <c r="CA7" s="3274">
        <f>ЦО_логистика!BB7+'Форд Тягач'!CA7+'MAN Blue KA1783HI'!BL7+'MAN green KA2790IE'!BL7+'MAN №3 white KA7837HO'!BL7+'MAN №4 white KA3597HO'!BL7+'MAN №5 Тент МД'!BB7</f>
        <v>0</v>
      </c>
      <c r="CB7" s="2028">
        <f>BZ7+CA7</f>
        <v>0</v>
      </c>
      <c r="CC7" s="3277"/>
      <c r="CD7" s="3277"/>
      <c r="CE7" s="3274">
        <f>ЦО_логистика!BF7+'Форд Тягач'!CE7+'MAN Blue KA1783HI'!BP7+'MAN green KA2790IE'!BP7+'MAN №3 white KA7837HO'!BP7+'MAN №4 white KA3597HO'!BP7+'MAN №5 Тент МД'!BF7</f>
        <v>0</v>
      </c>
      <c r="CF7" s="3274">
        <f>ЦО_логистика!BG7+'Форд Тягач'!CF7+'MAN Blue KA1783HI'!BQ7+'MAN green KA2790IE'!BQ7+'MAN №3 white KA7837HO'!BQ7+'MAN №4 white KA3597HO'!BQ7+'MAN №5 Тент МД'!BG7</f>
        <v>0</v>
      </c>
      <c r="CG7" s="2028">
        <f>CE7+CF7</f>
        <v>0</v>
      </c>
      <c r="CH7" s="3277"/>
      <c r="CI7" s="3277"/>
      <c r="CJ7" s="3274">
        <f>ЦО_логистика!BK7+'Форд Тягач'!CJ7+'MAN Blue KA1783HI'!BU7+'MAN green KA2790IE'!BU7+'MAN №3 white KA7837HO'!BU7+'MAN №4 white KA3597HO'!BU7+'MAN №5 Тент МД'!BK7</f>
        <v>0</v>
      </c>
      <c r="CK7" s="3274">
        <f>ЦО_логистика!BL7+'Форд Тягач'!CK7+'MAN Blue KA1783HI'!BV7+'MAN green KA2790IE'!BV7+'MAN №3 white KA7837HO'!BV7+'MAN №4 white KA3597HO'!BV7+'MAN №5 Тент МД'!BL7</f>
        <v>0</v>
      </c>
      <c r="CL7" s="2028">
        <f>CJ7+CK7</f>
        <v>0</v>
      </c>
      <c r="CM7" s="3277"/>
      <c r="CN7" s="3277"/>
      <c r="CO7" s="3274">
        <f>ЦО_логистика!BP7+'Форд Тягач'!CO7+'MAN Blue KA1783HI'!BZ7+'MAN green KA2790IE'!BZ7+'MAN №3 white KA7837HO'!BZ7+'MAN №4 white KA3597HO'!BZ7+'MAN №5 Тент МД'!BP7</f>
        <v>0</v>
      </c>
      <c r="CP7" s="3274">
        <f>ЦО_логистика!BQ7+'Форд Тягач'!CP7+'MAN Blue KA1783HI'!CA7+'MAN green KA2790IE'!CA7+'MAN №3 white KA7837HO'!CA7+'MAN №4 white KA3597HO'!CA7+'MAN №5 Тент МД'!BQ7</f>
        <v>0</v>
      </c>
      <c r="CQ7" s="2028">
        <f>CO7+CP7</f>
        <v>0</v>
      </c>
      <c r="CR7" s="3277"/>
      <c r="CS7" s="3277"/>
      <c r="CT7" s="3274">
        <f>ЦО_логистика!BU7+'Форд Тягач'!CT7+'MAN Blue KA1783HI'!CE7+'MAN green KA2790IE'!CE7+'MAN №3 white KA7837HO'!CE7+'MAN №4 white KA3597HO'!CE7+'MAN №5 Тент МД'!BU7</f>
        <v>0</v>
      </c>
      <c r="CU7" s="3274">
        <f>ЦО_логистика!BV7+'Форд Тягач'!CU7+'MAN Blue KA1783HI'!CF7+'MAN green KA2790IE'!CF7+'MAN №3 white KA7837HO'!CF7+'MAN №4 white KA3597HO'!CF7+'MAN №5 Тент МД'!BV7</f>
        <v>0</v>
      </c>
      <c r="CV7" s="2028">
        <f>CT7+CU7</f>
        <v>0</v>
      </c>
      <c r="CW7" s="3277"/>
      <c r="CX7" s="3385" t="s">
        <v>2044</v>
      </c>
      <c r="CY7" s="3274">
        <f>ЦО_логистика!BZ7+'Форд Тягач'!CY7+'MAN Blue KA1783HI'!CJ7+'MAN green KA2790IE'!CJ7+'MAN №3 white KA7837HO'!CJ7+'MAN №4 white KA3597HO'!CJ7+'MAN №5 Тент МД'!BZ7</f>
        <v>0</v>
      </c>
      <c r="CZ7" s="3274">
        <f>ЦО_логистика!CA7+'Форд Тягач'!CZ7+'MAN Blue KA1783HI'!CK7+'MAN green KA2790IE'!CK7+'MAN №3 white KA7837HO'!CK7+'MAN №4 white KA3597HO'!CK7+'MAN №5 Тент МД'!CA7</f>
        <v>0</v>
      </c>
      <c r="DA7" s="2028">
        <f>CY7+CZ7</f>
        <v>0</v>
      </c>
      <c r="DB7" s="3277"/>
      <c r="DC7" s="3385">
        <f>ЦО_логистика!CD7</f>
        <v>0</v>
      </c>
      <c r="DD7" s="3274">
        <f>ЦО_логистика!CE7+'Форд Тягач'!DD7+'MAN Blue KA1783HI'!CO7+'MAN green KA2790IE'!CO7+'MAN №3 white KA7837HO'!CO7+'MAN №4 white KA3597HO'!CO7+'MAN №5 Тент МД'!CE7</f>
        <v>0</v>
      </c>
      <c r="DE7" s="3274">
        <f>ЦО_логистика!CF7+'Форд Тягач'!DE7+'MAN Blue KA1783HI'!CP7+'MAN green KA2790IE'!CP7+'MAN №3 white KA7837HO'!CP7+'MAN №4 white KA3597HO'!CP7+'MAN №5 Тент МД'!CF7</f>
        <v>0</v>
      </c>
      <c r="DF7" s="2028">
        <f>DD7+DE7</f>
        <v>0</v>
      </c>
      <c r="DG7" s="3277"/>
      <c r="DH7" s="3385"/>
      <c r="DI7" s="3274">
        <f>ЦО_логистика!CJ7+'Форд Тягач'!DI7+'MAN Blue KA1783HI'!CT7+'MAN green KA2790IE'!CT7+'MAN №3 white KA7837HO'!CT7+'MAN №4 white KA3597HO'!CT7+'MAN №5 Тент МД'!CJ7</f>
        <v>0</v>
      </c>
      <c r="DJ7" s="3274">
        <f>ЦО_логистика!CK7+'Форд Тягач'!DJ7+'MAN Blue KA1783HI'!CU7+'MAN green KA2790IE'!CU7+'MAN №3 white KA7837HO'!CU7+'MAN №4 white KA3597HO'!CU7+'MAN №5 Тент МД'!CK7</f>
        <v>0</v>
      </c>
      <c r="DK7" s="2028">
        <f>DI7+DJ7</f>
        <v>0</v>
      </c>
      <c r="DL7" s="3277"/>
      <c r="DM7" s="3385"/>
      <c r="DN7" s="3288">
        <f>R7+W7+AB7+AG7+AL7+AQ7+BF7+BK7+BP7+BU7+BZ7+CE7+CJ7+CO7+CT7+CY7+DD7+DI7+AV7</f>
        <v>606405.35</v>
      </c>
      <c r="DO7" s="3288">
        <f>S7+X7+AC7+AH7+AM7+AR7+BG7+BL7+BQ7+BV7+CA7+CF7+CK7+CP7+CU7+CZ7+DE7+DJ7+AW7</f>
        <v>88550</v>
      </c>
      <c r="DP7" s="2028">
        <f>DN7+DO7</f>
        <v>694955.35</v>
      </c>
      <c r="DQ7" s="3277"/>
      <c r="DR7" s="3275"/>
      <c r="DS7" s="916"/>
      <c r="DT7" s="916"/>
    </row>
    <row r="8" spans="1:124" s="2483" customFormat="1" ht="14.4" thickBot="1" x14ac:dyDescent="0.3">
      <c r="A8" s="1586"/>
      <c r="B8" s="1478" t="s">
        <v>16</v>
      </c>
      <c r="C8" s="974">
        <v>286838.00721304346</v>
      </c>
      <c r="D8" s="1973">
        <v>145378.78999999998</v>
      </c>
      <c r="E8" s="1499">
        <v>432216.79721304344</v>
      </c>
      <c r="F8" s="1543">
        <v>0.69126127936035864</v>
      </c>
      <c r="G8" s="1481"/>
      <c r="H8" s="974">
        <v>89673.62</v>
      </c>
      <c r="I8" s="1973">
        <v>15873.25</v>
      </c>
      <c r="J8" s="1499">
        <v>105546.87</v>
      </c>
      <c r="K8" s="1543">
        <v>0.87630277648190136</v>
      </c>
      <c r="L8" s="1481">
        <v>0</v>
      </c>
      <c r="M8" s="974">
        <v>550074.41215970868</v>
      </c>
      <c r="N8" s="1973">
        <v>72808.75</v>
      </c>
      <c r="O8" s="1499">
        <v>622883.16215970868</v>
      </c>
      <c r="P8" s="1543">
        <v>0.90590674982260122</v>
      </c>
      <c r="Q8" s="1481">
        <v>0</v>
      </c>
      <c r="R8" s="1973">
        <f>SUM(R9:R33)</f>
        <v>850760.63</v>
      </c>
      <c r="S8" s="1973">
        <f>SUM(S9:S33)</f>
        <v>177616.88</v>
      </c>
      <c r="T8" s="1499">
        <f>SUM(T9:T33)</f>
        <v>1028377.51</v>
      </c>
      <c r="U8" s="1543">
        <f t="shared" ref="U8:U36" si="0">T8/$T$89</f>
        <v>0.78677474050209151</v>
      </c>
      <c r="V8" s="1481"/>
      <c r="W8" s="1973">
        <f>SUM(W9:W33)</f>
        <v>905327.85799999989</v>
      </c>
      <c r="X8" s="1973">
        <f>SUM(X9:X33)</f>
        <v>228938.19</v>
      </c>
      <c r="Y8" s="1499">
        <f>SUM(Y9:Y33)</f>
        <v>1134266.048</v>
      </c>
      <c r="Z8" s="1543">
        <f>Y8/$T$89</f>
        <v>0.86778626224092825</v>
      </c>
      <c r="AA8" s="1481"/>
      <c r="AB8" s="1973">
        <f>SUM(AB9:AB33)</f>
        <v>667572.58000000007</v>
      </c>
      <c r="AC8" s="1973">
        <f>SUM(AC9:AC33)</f>
        <v>174038.5</v>
      </c>
      <c r="AD8" s="1499">
        <f>SUM(AD9:AD33)</f>
        <v>841611.08</v>
      </c>
      <c r="AE8" s="1543">
        <f>AD8/$AD$89</f>
        <v>0.65843545616001009</v>
      </c>
      <c r="AF8" s="1481"/>
      <c r="AG8" s="1973">
        <f>SUM(AG9:AG33)</f>
        <v>592257.39</v>
      </c>
      <c r="AH8" s="1973">
        <f>SUM(AH9:AH33)</f>
        <v>293084.89</v>
      </c>
      <c r="AI8" s="1499">
        <f>SUM(AI9:AI33)</f>
        <v>885342.28</v>
      </c>
      <c r="AJ8" s="1543">
        <f>AI8/$AD$89</f>
        <v>0.69264861388177468</v>
      </c>
      <c r="AK8" s="1481"/>
      <c r="AL8" s="1973">
        <f>SUM(AL9:AL33)</f>
        <v>2034147.11</v>
      </c>
      <c r="AM8" s="1973">
        <f>SUM(AM9:AM33)</f>
        <v>326048.62</v>
      </c>
      <c r="AN8" s="1499">
        <f>SUM(AN9:AN33)</f>
        <v>2360195.73</v>
      </c>
      <c r="AO8" s="1543">
        <f>AN8/$AD$89</f>
        <v>1.8465020114866573</v>
      </c>
      <c r="AP8" s="1481"/>
      <c r="AQ8" s="1973">
        <f>SUM(AQ9:AQ33)</f>
        <v>4882510.9712000005</v>
      </c>
      <c r="AR8" s="1973">
        <f>SUM(AR9:AR33)</f>
        <v>375429.66</v>
      </c>
      <c r="AS8" s="1499">
        <f>SUM(AS9:AS33)</f>
        <v>5257940.6312000006</v>
      </c>
      <c r="AT8" s="1543">
        <f>AS8/$AD$89</f>
        <v>4.1135562734825495</v>
      </c>
      <c r="AU8" s="1481"/>
      <c r="AV8" s="1973">
        <f>SUM(AV9:AV33)</f>
        <v>6344640.9289999995</v>
      </c>
      <c r="AW8" s="1973">
        <f>SUM(AW9:AW33)</f>
        <v>1558790.9300000002</v>
      </c>
      <c r="AX8" s="1499">
        <f>SUM(AX9:AX33)</f>
        <v>7903431.8590000002</v>
      </c>
      <c r="AY8" s="1543">
        <f>AX8/$AD$89</f>
        <v>6.1832595660577825</v>
      </c>
      <c r="AZ8" s="1982"/>
      <c r="BA8" s="1973">
        <f>SUM(BA9:BA33)</f>
        <v>473219.92</v>
      </c>
      <c r="BB8" s="1973">
        <f>SUM(BB9:BB33)</f>
        <v>214076</v>
      </c>
      <c r="BC8" s="1499">
        <f>SUM(BC9:BC33)</f>
        <v>687295.91999999993</v>
      </c>
      <c r="BD8" s="1543">
        <f>BC8/$AD$89</f>
        <v>0.53770680229413537</v>
      </c>
      <c r="BE8" s="1982">
        <f>ЦО_логистика!AD8+'Форд Тягач'!BC8+'MAN Blue KA1783HI'!AN8+'MAN green KA2790IE'!AN8+'MAN №3 white KA7837HO'!AN8+'MAN №4 white KA3597HO'!AN8+'MAN №5 Тент МД'!AD8-BC8</f>
        <v>0</v>
      </c>
      <c r="BF8" s="1973">
        <f>SUM(BF9:BF33)</f>
        <v>76928.679999999993</v>
      </c>
      <c r="BG8" s="1973">
        <f>SUM(BG9:BG33)</f>
        <v>8880</v>
      </c>
      <c r="BH8" s="1499">
        <f>SUM(BH9:BH33)</f>
        <v>85808.68</v>
      </c>
      <c r="BI8" s="1543">
        <f>BH8/$AD$89</f>
        <v>6.7132525582111316E-2</v>
      </c>
      <c r="BJ8" s="1982"/>
      <c r="BK8" s="1973">
        <f>SUM(BK9:BK33)</f>
        <v>234679.96999999997</v>
      </c>
      <c r="BL8" s="1973">
        <f>SUM(BL9:BL33)</f>
        <v>174993</v>
      </c>
      <c r="BM8" s="1499">
        <f>SUM(BM9:BM33)</f>
        <v>409672.97</v>
      </c>
      <c r="BN8" s="1543">
        <f>BM8/$AD$89</f>
        <v>0.32050814834611746</v>
      </c>
      <c r="BO8" s="1982"/>
      <c r="BP8" s="1973">
        <f>SUM(BP9:BP33)</f>
        <v>161611.27000000002</v>
      </c>
      <c r="BQ8" s="1973">
        <f>SUM(BQ9:BQ33)</f>
        <v>30203</v>
      </c>
      <c r="BR8" s="1499">
        <f>SUM(BR9:BR33)</f>
        <v>191814.27</v>
      </c>
      <c r="BS8" s="1543">
        <f>BR8/$AD$89</f>
        <v>0.15006612836590666</v>
      </c>
      <c r="BT8" s="1481"/>
      <c r="BU8" s="1973">
        <f>SUM(BU9:BU33)</f>
        <v>0</v>
      </c>
      <c r="BV8" s="1973">
        <f>SUM(BV9:BV33)</f>
        <v>0</v>
      </c>
      <c r="BW8" s="1499">
        <f>SUM(BW9:BW33)</f>
        <v>0</v>
      </c>
      <c r="BX8" s="1543">
        <f>BW8/$AD$89</f>
        <v>0</v>
      </c>
      <c r="BY8" s="1481"/>
      <c r="BZ8" s="1973">
        <f>SUM(BZ9:BZ33)</f>
        <v>0</v>
      </c>
      <c r="CA8" s="1973">
        <f>SUM(CA9:CA33)</f>
        <v>0</v>
      </c>
      <c r="CB8" s="1499">
        <f>SUM(CB9:CB33)</f>
        <v>0</v>
      </c>
      <c r="CC8" s="1543">
        <f>CB8/$AD$89</f>
        <v>0</v>
      </c>
      <c r="CD8" s="1481"/>
      <c r="CE8" s="1973">
        <f>SUM(CE9:CE33)</f>
        <v>0</v>
      </c>
      <c r="CF8" s="1973">
        <f>SUM(CF9:CF33)</f>
        <v>0</v>
      </c>
      <c r="CG8" s="1499">
        <f>SUM(CG9:CG33)</f>
        <v>0</v>
      </c>
      <c r="CH8" s="1543">
        <f>CG8/$AD$89</f>
        <v>0</v>
      </c>
      <c r="CI8" s="1481"/>
      <c r="CJ8" s="1973">
        <f>SUM(CJ9:CJ33)</f>
        <v>0</v>
      </c>
      <c r="CK8" s="1973">
        <f>SUM(CK9:CK33)</f>
        <v>0</v>
      </c>
      <c r="CL8" s="1499">
        <f>SUM(CL9:CL33)</f>
        <v>0</v>
      </c>
      <c r="CM8" s="1543">
        <f>CL8/$AD$89</f>
        <v>0</v>
      </c>
      <c r="CN8" s="1481"/>
      <c r="CO8" s="1973">
        <f>SUM(CO9:CO33)</f>
        <v>0</v>
      </c>
      <c r="CP8" s="1973">
        <f>SUM(CP9:CP33)</f>
        <v>0</v>
      </c>
      <c r="CQ8" s="1499">
        <f>SUM(CQ9:CQ33)</f>
        <v>0</v>
      </c>
      <c r="CR8" s="1543">
        <f>CQ8/$AD$89</f>
        <v>0</v>
      </c>
      <c r="CS8" s="1481"/>
      <c r="CT8" s="1973">
        <f>SUM(CT9:CT33)</f>
        <v>0</v>
      </c>
      <c r="CU8" s="1973">
        <f>SUM(CU9:CU33)</f>
        <v>0</v>
      </c>
      <c r="CV8" s="1499">
        <f>SUM(CV9:CV33)</f>
        <v>0</v>
      </c>
      <c r="CW8" s="1543">
        <f>CV8/$AD$89</f>
        <v>0</v>
      </c>
      <c r="CX8" s="1481"/>
      <c r="CY8" s="1973">
        <f>SUM(CY9:CY33)</f>
        <v>0</v>
      </c>
      <c r="CZ8" s="1973">
        <f>SUM(CZ9:CZ33)</f>
        <v>0</v>
      </c>
      <c r="DA8" s="1499">
        <f>SUM(DA9:DA33)</f>
        <v>0</v>
      </c>
      <c r="DB8" s="1543">
        <f>DA8/$AD$89</f>
        <v>0</v>
      </c>
      <c r="DC8" s="1481"/>
      <c r="DD8" s="1973">
        <f>SUM(DD9:DD33)</f>
        <v>0</v>
      </c>
      <c r="DE8" s="1973">
        <f>SUM(DE9:DE33)</f>
        <v>0</v>
      </c>
      <c r="DF8" s="1499">
        <f>SUM(DF9:DF33)</f>
        <v>0</v>
      </c>
      <c r="DG8" s="1543">
        <f>DF8/$AD$89</f>
        <v>0</v>
      </c>
      <c r="DH8" s="1481"/>
      <c r="DI8" s="1973">
        <f>SUM(DI9:DI33)</f>
        <v>0</v>
      </c>
      <c r="DJ8" s="1973">
        <f>SUM(DJ9:DJ33)</f>
        <v>0</v>
      </c>
      <c r="DK8" s="1499">
        <f>SUM(DK9:DK33)</f>
        <v>0</v>
      </c>
      <c r="DL8" s="1543">
        <f>DK8/$AD$89</f>
        <v>0</v>
      </c>
      <c r="DM8" s="1481"/>
      <c r="DN8" s="1973">
        <f>SUM(DN9:DN33)</f>
        <v>16750437.388199998</v>
      </c>
      <c r="DO8" s="1973">
        <f>SUM(DO9:DO33)</f>
        <v>3348023.67</v>
      </c>
      <c r="DP8" s="1499">
        <f>SUM(DP9:DP33)</f>
        <v>20098461.058199998</v>
      </c>
      <c r="DQ8" s="1543">
        <f t="shared" ref="DQ8:DQ21" si="1">DP8/$DP$89</f>
        <v>0.76069839210233037</v>
      </c>
      <c r="DR8" s="1481"/>
      <c r="DS8" s="916"/>
      <c r="DT8" s="916"/>
    </row>
    <row r="9" spans="1:124" s="1411" customFormat="1" ht="29.4" customHeight="1" x14ac:dyDescent="0.25">
      <c r="A9" s="1586"/>
      <c r="B9" s="1415" t="s">
        <v>74</v>
      </c>
      <c r="C9" s="3280">
        <v>37403.449999999997</v>
      </c>
      <c r="D9" s="3280">
        <v>124283.8</v>
      </c>
      <c r="E9" s="3281">
        <v>161687.25</v>
      </c>
      <c r="F9" s="1574">
        <v>0.25859276180829838</v>
      </c>
      <c r="G9" s="1595"/>
      <c r="H9" s="3280">
        <v>7164.5</v>
      </c>
      <c r="I9" s="3280">
        <v>14523.25</v>
      </c>
      <c r="J9" s="3281">
        <v>21687.75</v>
      </c>
      <c r="K9" s="1574">
        <v>0.18006252142432416</v>
      </c>
      <c r="L9" s="1595" t="s">
        <v>949</v>
      </c>
      <c r="M9" s="3280">
        <v>46063.59</v>
      </c>
      <c r="N9" s="3280">
        <v>48180.53</v>
      </c>
      <c r="O9" s="3281">
        <v>94244.12</v>
      </c>
      <c r="P9" s="1574">
        <v>0.13706645102280113</v>
      </c>
      <c r="Q9" s="1595" t="s">
        <v>1068</v>
      </c>
      <c r="R9" s="3279">
        <f>'Форд Тягач'!R9+'MAN Blue KA1783HI'!C9+'MAN green KA2790IE'!C9+'MAN №3 white KA7837HO'!C9+'MAN №4 white KA3597HO'!C9</f>
        <v>20581.169999999998</v>
      </c>
      <c r="S9" s="3280">
        <f>'Форд Тягач'!S9+'MAN Blue KA1783HI'!D9+'MAN green KA2790IE'!D9+'MAN №3 white KA7837HO'!D9+'MAN №4 white KA3597HO'!D9</f>
        <v>63413.880000000005</v>
      </c>
      <c r="T9" s="3281">
        <f>R9+S9*1</f>
        <v>83995.05</v>
      </c>
      <c r="U9" s="1574">
        <f>T9/$T$89</f>
        <v>6.4261599485202867E-2</v>
      </c>
      <c r="V9" s="3282"/>
      <c r="W9" s="3274">
        <f>'Форд Тягач'!W9+'MAN Blue KA1783HI'!H9+'MAN green KA2790IE'!H9+'MAN №3 white KA7837HO'!H9+'MAN №4 white KA3597HO'!H9</f>
        <v>33858.119999999995</v>
      </c>
      <c r="X9" s="3274">
        <f>'Форд Тягач'!X9+'MAN Blue KA1783HI'!I9+'MAN green KA2790IE'!I9+'MAN №3 white KA7837HO'!I9+'MAN №4 white KA3597HO'!I9</f>
        <v>83705.78</v>
      </c>
      <c r="Y9" s="3281">
        <f>W9+X9*1</f>
        <v>117563.9</v>
      </c>
      <c r="Z9" s="1574">
        <f>Y9/$T$89</f>
        <v>8.9943922358739478E-2</v>
      </c>
      <c r="AA9" s="3421" t="s">
        <v>1179</v>
      </c>
      <c r="AB9" s="3274">
        <f>ЦО_логистика!C9+'Форд Тягач'!AB9+'MAN Blue KA1783HI'!M9+'MAN green KA2790IE'!M9+'MAN №3 white KA7837HO'!M9+'MAN №4 white KA3597HO'!M9+'MAN №5 Тент МД'!C9</f>
        <v>42737.120000000003</v>
      </c>
      <c r="AC9" s="3274">
        <f>ЦО_логистика!D9+'Форд Тягач'!AC9+'MAN Blue KA1783HI'!N9+'MAN green KA2790IE'!N9+'MAN №3 white KA7837HO'!N9+'MAN №4 white KA3597HO'!N9+'MAN №5 Тент МД'!D9</f>
        <v>119259.5</v>
      </c>
      <c r="AD9" s="3281">
        <f>AB9+AC9*1</f>
        <v>161996.62</v>
      </c>
      <c r="AE9" s="1574">
        <f t="shared" ref="AE9:AE71" si="2">AD9/$AD$89</f>
        <v>0.12673825347698583</v>
      </c>
      <c r="AF9" s="3282"/>
      <c r="AG9" s="3274">
        <f>ЦО_логистика!H9+'Форд Тягач'!AG9+'MAN Blue KA1783HI'!R9+'MAN green KA2790IE'!R9+'MAN №3 white KA7837HO'!R9+'MAN №4 white KA3597HO'!R9+'MAN №5 Тент МД'!H9</f>
        <v>38970.050000000003</v>
      </c>
      <c r="AH9" s="3274">
        <f>ЦО_логистика!I9+'Форд Тягач'!AH9+'MAN Blue KA1783HI'!S9+'MAN green KA2790IE'!S9+'MAN №3 white KA7837HO'!S9+'MAN №4 white KA3597HO'!S9+'MAN №5 Тент МД'!I9</f>
        <v>108536.32000000001</v>
      </c>
      <c r="AI9" s="3281">
        <f>AG9+AH9*1</f>
        <v>147506.37</v>
      </c>
      <c r="AJ9" s="1574">
        <f t="shared" ref="AJ9:AJ33" si="3">AI9/$AD$89</f>
        <v>0.11540178869491265</v>
      </c>
      <c r="AK9" s="3282"/>
      <c r="AL9" s="3274">
        <f>ЦО_логистика!M9+'Форд Тягач'!AL9+'MAN Blue KA1783HI'!W9+'MAN green KA2790IE'!W9+'MAN №3 white KA7837HO'!W9+'MAN №4 white KA3597HO'!W9+'MAN №5 Тент МД'!M9</f>
        <v>41618.5</v>
      </c>
      <c r="AM9" s="3274">
        <f>ЦО_логистика!N9+'Форд Тягач'!AM9+'MAN Blue KA1783HI'!X9+'MAN green KA2790IE'!X9+'MAN №3 white KA7837HO'!X9+'MAN №4 white KA3597HO'!X9+'MAN №5 Тент МД'!N9</f>
        <v>101465.5</v>
      </c>
      <c r="AN9" s="3281">
        <f>AL9+AM9*1</f>
        <v>143084</v>
      </c>
      <c r="AO9" s="1574">
        <f t="shared" ref="AO9:AO33" si="4">AN9/$AD$89</f>
        <v>0.11194194212509523</v>
      </c>
      <c r="AP9" s="3275" t="str">
        <f>CONCATENATE(ЦО_логистика!Q9,'Форд Тягач'!AP9,'MAN Blue KA1783HI'!AA9,'MAN green KA2790IE'!AA9,'MAN №3 white KA7837HO'!AF9,'MAN №4 white KA3597HO'!AA9,'MAN №5 Тент МД'!Q9)</f>
        <v>МовчанКононенкоКочетЗоря + 22дня простояЛиКустра</v>
      </c>
      <c r="AQ9" s="3274">
        <f>SUM(ЦО_логистика!R9,'Форд Тягач'!AQ9,'MAN Blue KA1783HI'!AB9,'MAN green KA2790IE'!AB9,'MAN №3 white KA7837HO'!AB9,'MAN №4 white KA3597HO'!AB9,'MAN №5 Тент МД'!R9)</f>
        <v>36803.14</v>
      </c>
      <c r="AR9" s="3274">
        <f>SUM(ЦО_логистика!S9,'Форд Тягач'!AR9,'MAN Blue KA1783HI'!AC9,'MAN green KA2790IE'!AC9,'MAN №3 white KA7837HO'!AC9,'MAN №4 white KA3597HO'!AC9,'MAN №5 Тент МД'!S9)</f>
        <v>238968.5</v>
      </c>
      <c r="AS9" s="3281">
        <f>AQ9+AR9*1</f>
        <v>275771.64</v>
      </c>
      <c r="AT9" s="1574">
        <f t="shared" ref="AT9:AT33" si="5">AS9/$AD$89</f>
        <v>0.21575027930881577</v>
      </c>
      <c r="AU9" s="3275" t="str">
        <f>CONCATENATE(ЦО_логистика!V9,'Форд Тягач'!AU9,'MAN Blue KA1783HI'!AF8,'MAN green KA2790IE'!AF9,'MAN №3 white KA7837HO'!AF9,'MAN №4 white KA3597HO'!AF9,'MAN №5 Тент МД'!V9)</f>
        <v>МовчанКочет + 20дня простояЗоря + 22дня простояЛи Ф2 не платили - бросил автоКустра</v>
      </c>
      <c r="AV9" s="3275">
        <f>+ЦО_логистика!W9+'Форд Тягач'!AV9+'MAN Blue KA1783HI'!AG9+'MAN green KA2790IE'!AG9+'MAN №3 white KA7837HO'!AG9+'MAN №4 white KA3597HO'!AG9+'MAN №5 Тент МД'!W9</f>
        <v>436159.89</v>
      </c>
      <c r="AW9" s="3275">
        <f>+ЦО_логистика!X9+'Форд Тягач'!AW9+'MAN Blue KA1783HI'!AH9+'MAN green KA2790IE'!AH9+'MAN №3 white KA7837HO'!AH9+'MAN №4 white KA3597HO'!AH9+'MAN №5 Тент МД'!X9</f>
        <v>1216953.2</v>
      </c>
      <c r="AX9" s="3281">
        <f>AV9+AW9*1</f>
        <v>1653113.0899999999</v>
      </c>
      <c r="AY9" s="1574">
        <f t="shared" ref="AY9:AY33" si="6">AX9/$AD$89</f>
        <v>1.2933150446382358</v>
      </c>
      <c r="AZ9" s="3275"/>
      <c r="BA9" s="3275">
        <f t="shared" ref="BA9:BB33" si="7">BF9+BK9+BP9+BU9+BZ9+CE9+CJ9+CO9+CT9+CY9+DD9+DI9</f>
        <v>43648.5</v>
      </c>
      <c r="BB9" s="3275">
        <f t="shared" si="7"/>
        <v>123976</v>
      </c>
      <c r="BC9" s="3281">
        <f>BA9+BB9*1</f>
        <v>167624.5</v>
      </c>
      <c r="BD9" s="1574">
        <f t="shared" ref="BD9:BD33" si="8">BC9/$AD$89</f>
        <v>0.13114123226739555</v>
      </c>
      <c r="BE9" s="3275">
        <f>ЦО_логистика!AD9+'Форд Тягач'!BC9+'MAN Blue KA1783HI'!AN9+'MAN green KA2790IE'!AN9+'MAN №3 white KA7837HO'!AN9+'MAN №4 white KA3597HO'!AN9+'MAN №5 Тент МД'!AD9-BC9</f>
        <v>0</v>
      </c>
      <c r="BF9" s="3274">
        <f>ЦО_логистика!AG9+'Форд Тягач'!BF9+'MAN Blue KA1783HI'!AQ9+'MAN green KA2790IE'!AQ9+'MAN №3 white KA7837HO'!AQ9+'MAN №4 white KA3597HO'!AQ9+'MAN №5 Тент МД'!AG9</f>
        <v>13070.27</v>
      </c>
      <c r="BG9" s="3274">
        <f>ЦО_логистика!AH9+'Форд Тягач'!BG9+'MAN Blue KA1783HI'!AR9+'MAN green KA2790IE'!AR9+'MAN №3 white KA7837HO'!AR9+'MAN №4 white KA3597HO'!AR9+'MAN №5 Тент МД'!AH9</f>
        <v>8880</v>
      </c>
      <c r="BH9" s="3281">
        <f>BF9+BG9*1</f>
        <v>21950.27</v>
      </c>
      <c r="BI9" s="1574">
        <f t="shared" ref="BI9:BI33" si="9">BH9/$AD$89</f>
        <v>1.7172820538775922E-2</v>
      </c>
      <c r="BJ9" s="3275"/>
      <c r="BK9" s="3275">
        <f>ЦО_логистика!AL9+'Форд Тягач'!BK9+'MAN Blue KA1783HI'!AV9+'MAN green KA2790IE'!AV9+'MAN №3 white KA7837HO'!AV9+'MAN №4 white KA3597HO'!AV9+'MAN №5 Тент МД'!AL9</f>
        <v>15134</v>
      </c>
      <c r="BL9" s="3275">
        <f>ЦО_логистика!AM9+'Форд Тягач'!BL9+'MAN Blue KA1783HI'!AW9+'MAN green KA2790IE'!AW9+'MAN №3 white KA7837HO'!AW9+'MAN №4 white KA3597HO'!AW9+'MAN №5 Тент МД'!AM9</f>
        <v>84893</v>
      </c>
      <c r="BM9" s="3281">
        <f>BK9+BL9*1</f>
        <v>100027</v>
      </c>
      <c r="BN9" s="1574">
        <f t="shared" ref="BN9:BN33" si="10">BM9/$AD$89</f>
        <v>7.8256245596620866E-2</v>
      </c>
      <c r="BO9" s="3275"/>
      <c r="BP9" s="3274">
        <f>ЦО_логистика!AQ9+'Форд Тягач'!BP9+'MAN Blue KA1783HI'!BA9+'MAN green KA2790IE'!BA9+'MAN №3 white KA7837HO'!BA9+'MAN №4 white KA3597HO'!BA9+'MAN №5 Тент МД'!AQ9</f>
        <v>15444.23</v>
      </c>
      <c r="BQ9" s="3274">
        <f>ЦО_логистика!AR9+'Форд Тягач'!BQ9+'MAN Blue KA1783HI'!BB9+'MAN green KA2790IE'!BB9+'MAN №3 white KA7837HO'!BB9+'MAN №4 white KA3597HO'!BB9+'MAN №5 Тент МД'!AR9</f>
        <v>30203</v>
      </c>
      <c r="BR9" s="3286">
        <f>BP9+BQ9*1</f>
        <v>45647.229999999996</v>
      </c>
      <c r="BS9" s="3284">
        <f t="shared" ref="BS9:BS33" si="11">BR9/$AD$89</f>
        <v>3.5712166131998756E-2</v>
      </c>
      <c r="BT9" s="3287"/>
      <c r="BU9" s="3274">
        <f>ЦО_логистика!AV9+'Форд Тягач'!BU9+'MAN Blue KA1783HI'!BF9+'MAN green KA2790IE'!BF9+'MAN №3 white KA7837HO'!BF9+'MAN №4 white KA3597HO'!BF9+'MAN №5 Тент МД'!AV9</f>
        <v>0</v>
      </c>
      <c r="BV9" s="3274">
        <f>ЦО_логистика!AW9+'Форд Тягач'!BV9+'MAN Blue KA1783HI'!BG9+'MAN green KA2790IE'!BG9+'MAN №3 white KA7837HO'!BG9+'MAN №4 white KA3597HO'!BG9+'MAN №5 Тент МД'!AW9</f>
        <v>0</v>
      </c>
      <c r="BW9" s="3286">
        <f>BU9+BV9*1</f>
        <v>0</v>
      </c>
      <c r="BX9" s="3284">
        <f t="shared" ref="BX9:BX33" si="12">BW9/$AD$89</f>
        <v>0</v>
      </c>
      <c r="BY9" s="3287"/>
      <c r="BZ9" s="3274">
        <f>ЦО_логистика!BA9+'Форд Тягач'!BZ9+'MAN Blue KA1783HI'!BK9+'MAN green KA2790IE'!BK9+'MAN №3 white KA7837HO'!BK9+'MAN №4 white KA3597HO'!BK9+'MAN №5 Тент МД'!BA9</f>
        <v>0</v>
      </c>
      <c r="CA9" s="3274">
        <f>ЦО_логистика!BB9+'Форд Тягач'!CA9+'MAN Blue KA1783HI'!BL9+'MAN green KA2790IE'!BL9+'MAN №3 white KA7837HO'!BL9+'MAN №4 white KA3597HO'!BL9+'MAN №5 Тент МД'!BB9</f>
        <v>0</v>
      </c>
      <c r="CB9" s="3286">
        <f>BZ9+CA9*1</f>
        <v>0</v>
      </c>
      <c r="CC9" s="3284">
        <f t="shared" ref="CC9:CC33" si="13">CB9/$AD$89</f>
        <v>0</v>
      </c>
      <c r="CD9" s="3287"/>
      <c r="CE9" s="3274">
        <f>ЦО_логистика!BF9+'Форд Тягач'!CE9+'MAN Blue KA1783HI'!BP9+'MAN green KA2790IE'!BP9+'MAN №3 white KA7837HO'!BP9+'MAN №4 white KA3597HO'!BP9+'MAN №5 Тент МД'!BF9</f>
        <v>0</v>
      </c>
      <c r="CF9" s="3274">
        <f>ЦО_логистика!BG9+'Форд Тягач'!CF9+'MAN Blue KA1783HI'!BQ9+'MAN green KA2790IE'!BQ9+'MAN №3 white KA7837HO'!BQ9+'MAN №4 white KA3597HO'!BQ9+'MAN №5 Тент МД'!BG9</f>
        <v>0</v>
      </c>
      <c r="CG9" s="3286">
        <f>CE9+CF9*1</f>
        <v>0</v>
      </c>
      <c r="CH9" s="3284">
        <f t="shared" ref="CH9:CH33" si="14">CG9/$AD$89</f>
        <v>0</v>
      </c>
      <c r="CI9" s="3287"/>
      <c r="CJ9" s="3274">
        <f>ЦО_логистика!BK9+'Форд Тягач'!CJ9+'MAN Blue KA1783HI'!BU9+'MAN green KA2790IE'!BU9+'MAN №3 white KA7837HO'!BU9+'MAN №4 white KA3597HO'!BU9+'MAN №5 Тент МД'!BK9</f>
        <v>0</v>
      </c>
      <c r="CK9" s="3274">
        <f>ЦО_логистика!BL9+'Форд Тягач'!CK9+'MAN Blue KA1783HI'!BV9+'MAN green KA2790IE'!BV9+'MAN №3 white KA7837HO'!BV9+'MAN №4 white KA3597HO'!BV9+'MAN №5 Тент МД'!BL9</f>
        <v>0</v>
      </c>
      <c r="CL9" s="3286">
        <f>CJ9+CK9*1</f>
        <v>0</v>
      </c>
      <c r="CM9" s="3284">
        <f t="shared" ref="CM9:CM33" si="15">CL9/$AD$89</f>
        <v>0</v>
      </c>
      <c r="CN9" s="3287"/>
      <c r="CO9" s="3274">
        <f>ЦО_логистика!BP9+'Форд Тягач'!CO9+'MAN Blue KA1783HI'!BZ9+'MAN green KA2790IE'!BZ9+'MAN №3 white KA7837HO'!BZ9+'MAN №4 white KA3597HO'!BZ9+'MAN №5 Тент МД'!BP9</f>
        <v>0</v>
      </c>
      <c r="CP9" s="3274">
        <f>ЦО_логистика!BQ9+'Форд Тягач'!CP9+'MAN Blue KA1783HI'!CA9+'MAN green KA2790IE'!CA9+'MAN №3 white KA7837HO'!CA9+'MAN №4 white KA3597HO'!CA9+'MAN №5 Тент МД'!BQ9</f>
        <v>0</v>
      </c>
      <c r="CQ9" s="3286">
        <f>CO9+CP9*1</f>
        <v>0</v>
      </c>
      <c r="CR9" s="3284">
        <f t="shared" ref="CR9:CR33" si="16">CQ9/$AD$89</f>
        <v>0</v>
      </c>
      <c r="CS9" s="3287"/>
      <c r="CT9" s="3274">
        <f>ЦО_логистика!BU9+'Форд Тягач'!CT9+'MAN Blue KA1783HI'!CE9+'MAN green KA2790IE'!CE9+'MAN №3 white KA7837HO'!CE9+'MAN №4 white KA3597HO'!CE9+'MAN №5 Тент МД'!BU9</f>
        <v>0</v>
      </c>
      <c r="CU9" s="3274">
        <f>ЦО_логистика!BV9+'Форд Тягач'!CU9+'MAN Blue KA1783HI'!CF9+'MAN green KA2790IE'!CF9+'MAN №3 white KA7837HO'!CF9+'MAN №4 white KA3597HO'!CF9+'MAN №5 Тент МД'!BV9</f>
        <v>0</v>
      </c>
      <c r="CV9" s="3286">
        <f>CT9+CU9*1</f>
        <v>0</v>
      </c>
      <c r="CW9" s="3284">
        <f t="shared" ref="CW9:CW33" si="17">CV9/$AD$89</f>
        <v>0</v>
      </c>
      <c r="CX9" s="3287">
        <f>'MAN №3 white KA7837HO'!CI9</f>
        <v>0</v>
      </c>
      <c r="CY9" s="3274">
        <f>ЦО_логистика!BZ9+'Форд Тягач'!CY9+'MAN Blue KA1783HI'!CJ9+'MAN green KA2790IE'!CJ9+'MAN №3 white KA7837HO'!CJ9+'MAN №4 white KA3597HO'!CJ9+'MAN №5 Тент МД'!BZ9</f>
        <v>0</v>
      </c>
      <c r="CZ9" s="3274">
        <f>ЦО_логистика!CA9+'Форд Тягач'!CZ9+'MAN Blue KA1783HI'!CK9+'MAN green KA2790IE'!CK9+'MAN №3 white KA7837HO'!CK9+'MAN №4 white KA3597HO'!CK9+'MAN №5 Тент МД'!CA9</f>
        <v>0</v>
      </c>
      <c r="DA9" s="3286">
        <f>CY9+CZ9*1</f>
        <v>0</v>
      </c>
      <c r="DB9" s="3284">
        <f t="shared" ref="DB9:DB33" si="18">DA9/$AD$89</f>
        <v>0</v>
      </c>
      <c r="DC9" s="3287"/>
      <c r="DD9" s="3274">
        <f>ЦО_логистика!CE9+'Форд Тягач'!DD9+'MAN Blue KA1783HI'!CO9+'MAN green KA2790IE'!CO9+'MAN №3 white KA7837HO'!CO9+'MAN №4 white KA3597HO'!CO9+'MAN №5 Тент МД'!CE9</f>
        <v>0</v>
      </c>
      <c r="DE9" s="3274">
        <f>ЦО_логистика!CF9+'Форд Тягач'!DE9+'MAN Blue KA1783HI'!CP9+'MAN green KA2790IE'!CP9+'MAN №3 white KA7837HO'!CP9+'MAN №4 white KA3597HO'!CP9+'MAN №5 Тент МД'!CF9</f>
        <v>0</v>
      </c>
      <c r="DF9" s="3286">
        <f>DD9+DE9*1</f>
        <v>0</v>
      </c>
      <c r="DG9" s="3284">
        <f t="shared" ref="DG9:DG33" si="19">DF9/$AD$89</f>
        <v>0</v>
      </c>
      <c r="DH9" s="3287"/>
      <c r="DI9" s="3274">
        <f>ЦО_логистика!CJ9+'Форд Тягач'!DI9+'MAN Blue KA1783HI'!CT9+'MAN green KA2790IE'!CT9+'MAN №3 white KA7837HO'!CT9+'MAN №4 white KA3597HO'!CT9+'MAN №5 Тент МД'!CJ9</f>
        <v>0</v>
      </c>
      <c r="DJ9" s="3274">
        <f>ЦО_логистика!CK9+'Форд Тягач'!DJ9+'MAN Blue KA1783HI'!CU9+'MAN green KA2790IE'!CU9+'MAN №3 white KA7837HO'!CU9+'MAN №4 white KA3597HO'!CU9+'MAN №5 Тент МД'!CK9</f>
        <v>0</v>
      </c>
      <c r="DK9" s="3286">
        <f>DI9+DJ9*1</f>
        <v>0</v>
      </c>
      <c r="DL9" s="3284">
        <f t="shared" ref="DL9:DL33" si="20">DK9/$AD$89</f>
        <v>0</v>
      </c>
      <c r="DM9" s="3287"/>
      <c r="DN9" s="3288">
        <f t="shared" ref="DN9:DO33" si="21">R9+W9+AB9+AG9+AL9+AQ9+BF9+BK9+BP9+BU9+BZ9+CE9+CJ9+CO9+CT9+CY9+DD9+DI9+AV9</f>
        <v>694376.49</v>
      </c>
      <c r="DO9" s="3288">
        <f t="shared" si="21"/>
        <v>2056278.68</v>
      </c>
      <c r="DP9" s="3281">
        <f>DN9+DO9*1</f>
        <v>2750655.17</v>
      </c>
      <c r="DQ9" s="1574">
        <f t="shared" si="1"/>
        <v>0.10410841700704608</v>
      </c>
      <c r="DR9" s="3275"/>
      <c r="DS9" s="916"/>
      <c r="DT9" s="916"/>
    </row>
    <row r="10" spans="1:124" s="1411" customFormat="1" ht="29.4" customHeight="1" x14ac:dyDescent="0.25">
      <c r="A10" s="1586"/>
      <c r="B10" s="1061" t="s">
        <v>72</v>
      </c>
      <c r="C10" s="3274">
        <v>9060.4630434782612</v>
      </c>
      <c r="D10" s="3274">
        <v>0</v>
      </c>
      <c r="E10" s="3283">
        <v>9060.4630434782612</v>
      </c>
      <c r="F10" s="3284">
        <v>1.4490753981374933E-2</v>
      </c>
      <c r="G10" s="1449"/>
      <c r="H10" s="3274">
        <v>1735.5</v>
      </c>
      <c r="I10" s="3274">
        <v>0</v>
      </c>
      <c r="J10" s="3283">
        <v>1735.5</v>
      </c>
      <c r="K10" s="3284">
        <v>1.4408986913437982E-2</v>
      </c>
      <c r="L10" s="1449">
        <v>0</v>
      </c>
      <c r="M10" s="3274">
        <v>8154.62</v>
      </c>
      <c r="N10" s="3274">
        <v>0</v>
      </c>
      <c r="O10" s="3283">
        <v>8154.62</v>
      </c>
      <c r="P10" s="3284">
        <v>1.1859889220033617E-2</v>
      </c>
      <c r="Q10" s="1449">
        <v>0</v>
      </c>
      <c r="R10" s="3288">
        <f>'Форд Тягач'!R10+'MAN Blue KA1783HI'!C10+'MAN green KA2790IE'!C10+'MAN №3 white KA7837HO'!C10+'MAN №4 white KA3597HO'!C10</f>
        <v>4985.5</v>
      </c>
      <c r="S10" s="3274">
        <f>'Форд Тягач'!S10+'MAN Blue KA1783HI'!D10+'MAN green KA2790IE'!D10+'MAN №3 white KA7837HO'!D10+'MAN №4 white KA3597HO'!D10</f>
        <v>0</v>
      </c>
      <c r="T10" s="3283">
        <f t="shared" ref="T10:T21" si="22">R10+S10*1</f>
        <v>4985.5</v>
      </c>
      <c r="U10" s="3284">
        <f t="shared" si="0"/>
        <v>3.8142271983108394E-3</v>
      </c>
      <c r="V10" s="1449"/>
      <c r="W10" s="3274">
        <f>'Форд Тягач'!W10+'MAN Blue KA1783HI'!H10+'MAN green KA2790IE'!H10+'MAN №3 white KA7837HO'!H10+'MAN №4 white KA3597HO'!H10</f>
        <v>8877.75</v>
      </c>
      <c r="X10" s="3274">
        <f>'Форд Тягач'!X10+'MAN Blue KA1783HI'!I10+'MAN green KA2790IE'!I10+'MAN №3 white KA7837HO'!I10+'MAN №4 white KA3597HO'!I10</f>
        <v>0</v>
      </c>
      <c r="Y10" s="3283">
        <f t="shared" ref="Y10:Y21" si="23">W10+X10*1</f>
        <v>8877.75</v>
      </c>
      <c r="Z10" s="3284">
        <f t="shared" ref="Z10:Z33" si="24">Y10/$T$89</f>
        <v>6.7920480412805243E-3</v>
      </c>
      <c r="AA10" s="1449"/>
      <c r="AB10" s="3274">
        <f>ЦО_логистика!C10+'Форд Тягач'!AB10+'MAN Blue KA1783HI'!M10+'MAN green KA2790IE'!M10+'MAN №3 white KA7837HO'!M10+'MAN №4 white KA3597HO'!M10+'MAN №5 Тент МД'!C10</f>
        <v>10352.49</v>
      </c>
      <c r="AC10" s="3274">
        <f>ЦО_логистика!D10+'Форд Тягач'!AC10+'MAN Blue KA1783HI'!N10+'MAN green KA2790IE'!N10+'MAN №3 white KA7837HO'!N10+'MAN №4 white KA3597HO'!N10+'MAN №5 Тент МД'!D10</f>
        <v>0</v>
      </c>
      <c r="AD10" s="3283">
        <f t="shared" ref="AD10:AD21" si="25">AB10+AC10*1</f>
        <v>10352.49</v>
      </c>
      <c r="AE10" s="3284">
        <f t="shared" si="2"/>
        <v>8.0992831933034241E-3</v>
      </c>
      <c r="AF10" s="1449"/>
      <c r="AG10" s="3274">
        <f>ЦО_логистика!H10+'Форд Тягач'!AG10+'MAN Blue KA1783HI'!R10+'MAN green KA2790IE'!R10+'MAN №3 white KA7837HO'!R10+'MAN №4 white KA3597HO'!R10+'MAN №5 Тент МД'!H10</f>
        <v>9439.9500000000007</v>
      </c>
      <c r="AH10" s="3274">
        <f>ЦО_логистика!I10+'Форд Тягач'!AH10+'MAN Blue KA1783HI'!S10+'MAN green KA2790IE'!S10+'MAN №3 white KA7837HO'!S10+'MAN №4 white KA3597HO'!S10+'MAN №5 Тент МД'!I10</f>
        <v>0</v>
      </c>
      <c r="AI10" s="3283">
        <f t="shared" ref="AI10:AI21" si="26">AG10+AH10*1</f>
        <v>9439.9500000000007</v>
      </c>
      <c r="AJ10" s="3284">
        <f t="shared" si="3"/>
        <v>7.3853564099675209E-3</v>
      </c>
      <c r="AK10" s="1449"/>
      <c r="AL10" s="3274">
        <f>ЦО_логистика!M10+'Форд Тягач'!AL10+'MAN Blue KA1783HI'!W10+'MAN green KA2790IE'!W10+'MAN №3 white KA7837HO'!W10+'MAN №4 white KA3597HO'!W10+'MAN №5 Тент МД'!M10</f>
        <v>10081.5</v>
      </c>
      <c r="AM10" s="3274">
        <f>ЦО_логистика!N10+'Форд Тягач'!AM10+'MAN Blue KA1783HI'!X10+'MAN green KA2790IE'!X10+'MAN №3 white KA7837HO'!X10+'MAN №4 white KA3597HO'!X10+'MAN №5 Тент МД'!N10</f>
        <v>0</v>
      </c>
      <c r="AN10" s="3283">
        <f t="shared" ref="AN10:AN21" si="27">AL10+AM10*1</f>
        <v>10081.5</v>
      </c>
      <c r="AO10" s="3284">
        <f t="shared" si="4"/>
        <v>7.8872738358876423E-3</v>
      </c>
      <c r="AP10" s="3275" t="str">
        <f>CONCATENATE(ЦО_логистика!Q10,'Форд Тягач'!AP10,'MAN Blue KA1783HI'!AA10,'MAN green KA2790IE'!AA10,'MAN №3 white KA7837HO'!AF10,'MAN №4 white KA3597HO'!AA10,'MAN №5 Тент МД'!Q10)</f>
        <v/>
      </c>
      <c r="AQ10" s="3274">
        <f>SUM(ЦО_логистика!R10,'Форд Тягач'!AQ10,'MAN Blue KA1783HI'!AB10,'MAN green KA2790IE'!AB10,'MAN №3 white KA7837HO'!AB10,'MAN №4 white KA3597HO'!AB10,'MAN №5 Тент МД'!R10)</f>
        <v>9472.5400000000009</v>
      </c>
      <c r="AR10" s="3274">
        <f>SUM(ЦО_логистика!S10,'Форд Тягач'!AR10,'MAN Blue KA1783HI'!AC10,'MAN green KA2790IE'!AC10,'MAN №3 white KA7837HO'!AC10,'MAN №4 white KA3597HO'!AC10,'MAN №5 Тент МД'!S10)</f>
        <v>0</v>
      </c>
      <c r="AS10" s="3283">
        <f t="shared" ref="AS10:AS21" si="28">AQ10+AR10*1</f>
        <v>9472.5400000000009</v>
      </c>
      <c r="AT10" s="3284">
        <f t="shared" si="5"/>
        <v>7.410853236264359E-3</v>
      </c>
      <c r="AU10" s="3275" t="str">
        <f>CONCATENATE(ЦО_логистика!V10,'Форд Тягач'!AU10,'MAN Blue KA1783HI'!AF9,'MAN green KA2790IE'!AF10,'MAN №3 white KA7837HO'!AF10,'MAN №4 white KA3597HO'!AF10,'MAN №5 Тент МД'!V10)</f>
        <v>Кононенко + 20дня простоя</v>
      </c>
      <c r="AV10" s="3275">
        <f>+ЦО_логистика!W10+'Форд Тягач'!AV10+'MAN Blue KA1783HI'!AG10+'MAN green KA2790IE'!AG10+'MAN №3 white KA7837HO'!AG10+'MAN №4 white KA3597HO'!AG10+'MAN №5 Тент МД'!W10</f>
        <v>84570.890000000014</v>
      </c>
      <c r="AW10" s="3275">
        <f>+ЦО_логистика!X10+'Форд Тягач'!AW10+'MAN Blue KA1783HI'!AH10+'MAN green KA2790IE'!AH10+'MAN №3 white KA7837HO'!AH10+'MAN №4 white KA3597HO'!AH10+'MAN №5 Тент МД'!X10</f>
        <v>0</v>
      </c>
      <c r="AX10" s="3283">
        <f t="shared" ref="AX10:AX33" si="29">AV10+AW10*1</f>
        <v>84570.890000000014</v>
      </c>
      <c r="AY10" s="3284">
        <f t="shared" si="6"/>
        <v>6.6164139064100777E-2</v>
      </c>
      <c r="AZ10" s="3275"/>
      <c r="BA10" s="3275">
        <f t="shared" si="7"/>
        <v>10573.24</v>
      </c>
      <c r="BB10" s="3275">
        <f t="shared" si="7"/>
        <v>0</v>
      </c>
      <c r="BC10" s="3283">
        <f t="shared" ref="BC10:BC33" si="30">BA10+BB10*1</f>
        <v>10573.24</v>
      </c>
      <c r="BD10" s="3284">
        <f t="shared" si="8"/>
        <v>8.2719872253693063E-3</v>
      </c>
      <c r="BE10" s="3275">
        <f>ЦО_логистика!AD10+'Форд Тягач'!BC10+'MAN Blue KA1783HI'!AN10+'MAN green KA2790IE'!AN10+'MAN №3 white KA7837HO'!AN10+'MAN №4 white KA3597HO'!AN10+'MAN №5 Тент МД'!AD10-BC10</f>
        <v>0</v>
      </c>
      <c r="BF10" s="3274">
        <f>ЦО_логистика!AG10+'Форд Тягач'!BF10+'MAN Blue KA1783HI'!AQ10+'MAN green KA2790IE'!AQ10+'MAN №3 white KA7837HO'!AQ10+'MAN №4 white KA3597HO'!AQ10+'MAN №5 Тент МД'!AG10</f>
        <v>3166.09</v>
      </c>
      <c r="BG10" s="3274">
        <f>ЦО_логистика!AH10+'Форд Тягач'!BG10+'MAN Blue KA1783HI'!AR10+'MAN green KA2790IE'!AR10+'MAN №3 white KA7837HO'!AR10+'MAN №4 white KA3597HO'!AR10+'MAN №5 Тент МД'!AH10</f>
        <v>0</v>
      </c>
      <c r="BH10" s="3283">
        <f t="shared" ref="BH10:BH33" si="31">BF10+BG10*1</f>
        <v>3166.09</v>
      </c>
      <c r="BI10" s="3284">
        <f t="shared" si="9"/>
        <v>2.4769943777280669E-3</v>
      </c>
      <c r="BJ10" s="3275"/>
      <c r="BK10" s="3275">
        <f>ЦО_логистика!AL10+'Форд Тягач'!BK10+'MAN Blue KA1783HI'!AV10+'MAN green KA2790IE'!AV10+'MAN №3 white KA7837HO'!AV10+'MAN №4 white KA3597HO'!AV10+'MAN №5 Тент МД'!AL10</f>
        <v>3666</v>
      </c>
      <c r="BL10" s="3275">
        <f>ЦО_логистика!AM10+'Форд Тягач'!BL10+'MAN Blue KA1783HI'!AW10+'MAN green KA2790IE'!AW10+'MAN №3 white KA7837HO'!AW10+'MAN №4 white KA3597HO'!AW10+'MAN №5 Тент МД'!AM10</f>
        <v>0</v>
      </c>
      <c r="BM10" s="3283">
        <f t="shared" ref="BM10:BM21" si="32">BK10+BL10*1</f>
        <v>3666</v>
      </c>
      <c r="BN10" s="3284">
        <f t="shared" si="10"/>
        <v>2.8680995766864155E-3</v>
      </c>
      <c r="BO10" s="3275"/>
      <c r="BP10" s="3274">
        <f>ЦО_логистика!AQ10+'Форд Тягач'!BP10+'MAN Blue KA1783HI'!BA10+'MAN green KA2790IE'!BA10+'MAN №3 white KA7837HO'!BA10+'MAN №4 white KA3597HO'!BA10+'MAN №5 Тент МД'!AQ10</f>
        <v>3741.15</v>
      </c>
      <c r="BQ10" s="3274">
        <f>ЦО_логистика!AR10+'Форд Тягач'!BQ10+'MAN Blue KA1783HI'!BB10+'MAN green KA2790IE'!BB10+'MAN №3 white KA7837HO'!BB10+'MAN №4 white KA3597HO'!BB10+'MAN №5 Тент МД'!AR10</f>
        <v>0</v>
      </c>
      <c r="BR10" s="3286">
        <f t="shared" ref="BR10:BR33" si="33">BP10+BQ10*1</f>
        <v>3741.15</v>
      </c>
      <c r="BS10" s="3284">
        <f t="shared" si="11"/>
        <v>2.9268932709548235E-3</v>
      </c>
      <c r="BT10" s="1158"/>
      <c r="BU10" s="3274">
        <f>ЦО_логистика!AV10+'Форд Тягач'!BU10+'MAN Blue KA1783HI'!BF10+'MAN green KA2790IE'!BF10+'MAN №3 white KA7837HO'!BF10+'MAN №4 white KA3597HO'!BF10+'MAN №5 Тент МД'!AV10</f>
        <v>0</v>
      </c>
      <c r="BV10" s="3274">
        <f>ЦО_логистика!AW10+'Форд Тягач'!BV10+'MAN Blue KA1783HI'!BG10+'MAN green KA2790IE'!BG10+'MAN №3 white KA7837HO'!BG10+'MAN №4 white KA3597HO'!BG10+'MAN №5 Тент МД'!AW10</f>
        <v>0</v>
      </c>
      <c r="BW10" s="3286">
        <f>BU10+BV10*1</f>
        <v>0</v>
      </c>
      <c r="BX10" s="3284">
        <f t="shared" si="12"/>
        <v>0</v>
      </c>
      <c r="BY10" s="1158"/>
      <c r="BZ10" s="3274">
        <f>ЦО_логистика!BA10+'Форд Тягач'!BZ10+'MAN Blue KA1783HI'!BK10+'MAN green KA2790IE'!BK10+'MAN №3 white KA7837HO'!BK10+'MAN №4 white KA3597HO'!BK10+'MAN №5 Тент МД'!BA10</f>
        <v>0</v>
      </c>
      <c r="CA10" s="3274">
        <f>ЦО_логистика!BB10+'Форд Тягач'!CA10+'MAN Blue KA1783HI'!BL10+'MAN green KA2790IE'!BL10+'MAN №3 white KA7837HO'!BL10+'MAN №4 white KA3597HO'!BL10+'MAN №5 Тент МД'!BB10</f>
        <v>0</v>
      </c>
      <c r="CB10" s="3286">
        <f>BZ10+CA10*1</f>
        <v>0</v>
      </c>
      <c r="CC10" s="3284">
        <f t="shared" si="13"/>
        <v>0</v>
      </c>
      <c r="CD10" s="1158"/>
      <c r="CE10" s="3274">
        <f>ЦО_логистика!BF10+'Форд Тягач'!CE10+'MAN Blue KA1783HI'!BP10+'MAN green KA2790IE'!BP10+'MAN №3 white KA7837HO'!BP10+'MAN №4 white KA3597HO'!BP10+'MAN №5 Тент МД'!BF10</f>
        <v>0</v>
      </c>
      <c r="CF10" s="3274">
        <f>ЦО_логистика!BG10+'Форд Тягач'!CF10+'MAN Blue KA1783HI'!BQ10+'MAN green KA2790IE'!BQ10+'MAN №3 white KA7837HO'!BQ10+'MAN №4 white KA3597HO'!BQ10+'MAN №5 Тент МД'!BG10</f>
        <v>0</v>
      </c>
      <c r="CG10" s="3286">
        <f>CE10+CF10*1</f>
        <v>0</v>
      </c>
      <c r="CH10" s="3284">
        <f t="shared" si="14"/>
        <v>0</v>
      </c>
      <c r="CI10" s="1158"/>
      <c r="CJ10" s="3274">
        <f>ЦО_логистика!BK10+'Форд Тягач'!CJ10+'MAN Blue KA1783HI'!BU10+'MAN green KA2790IE'!BU10+'MAN №3 white KA7837HO'!BU10+'MAN №4 white KA3597HO'!BU10+'MAN №5 Тент МД'!BK10</f>
        <v>0</v>
      </c>
      <c r="CK10" s="3274">
        <f>ЦО_логистика!BL10+'Форд Тягач'!CK10+'MAN Blue KA1783HI'!BV10+'MAN green KA2790IE'!BV10+'MAN №3 white KA7837HO'!BV10+'MAN №4 white KA3597HO'!BV10+'MAN №5 Тент МД'!BL10</f>
        <v>0</v>
      </c>
      <c r="CL10" s="3286">
        <f>CJ10+CK10*1</f>
        <v>0</v>
      </c>
      <c r="CM10" s="3284">
        <f t="shared" si="15"/>
        <v>0</v>
      </c>
      <c r="CN10" s="1158"/>
      <c r="CO10" s="3274">
        <f>ЦО_логистика!BP10+'Форд Тягач'!CO10+'MAN Blue KA1783HI'!BZ10+'MAN green KA2790IE'!BZ10+'MAN №3 white KA7837HO'!BZ10+'MAN №4 white KA3597HO'!BZ10+'MAN №5 Тент МД'!BP10</f>
        <v>0</v>
      </c>
      <c r="CP10" s="3274">
        <f>ЦО_логистика!BQ10+'Форд Тягач'!CP10+'MAN Blue KA1783HI'!CA10+'MAN green KA2790IE'!CA10+'MAN №3 white KA7837HO'!CA10+'MAN №4 white KA3597HO'!CA10+'MAN №5 Тент МД'!BQ10</f>
        <v>0</v>
      </c>
      <c r="CQ10" s="3286">
        <f>CO10+CP10*1</f>
        <v>0</v>
      </c>
      <c r="CR10" s="3284">
        <f t="shared" si="16"/>
        <v>0</v>
      </c>
      <c r="CS10" s="1158"/>
      <c r="CT10" s="3274">
        <f>ЦО_логистика!BU10+'Форд Тягач'!CT10+'MAN Blue KA1783HI'!CE10+'MAN green KA2790IE'!CE10+'MAN №3 white KA7837HO'!CE10+'MAN №4 white KA3597HO'!CE10+'MAN №5 Тент МД'!BU10</f>
        <v>0</v>
      </c>
      <c r="CU10" s="3274">
        <f>ЦО_логистика!BV10+'Форд Тягач'!CU10+'MAN Blue KA1783HI'!CF10+'MAN green KA2790IE'!CF10+'MAN №3 white KA7837HO'!CF10+'MAN №4 white KA3597HO'!CF10+'MAN №5 Тент МД'!BV10</f>
        <v>0</v>
      </c>
      <c r="CV10" s="3286">
        <f>CT10+CU10*1</f>
        <v>0</v>
      </c>
      <c r="CW10" s="3284">
        <f t="shared" si="17"/>
        <v>0</v>
      </c>
      <c r="CX10" s="1158"/>
      <c r="CY10" s="3274">
        <f>ЦО_логистика!BZ10+'Форд Тягач'!CY10+'MAN Blue KA1783HI'!CJ10+'MAN green KA2790IE'!CJ10+'MAN №3 white KA7837HO'!CJ10+'MAN №4 white KA3597HO'!CJ10+'MAN №5 Тент МД'!BZ10</f>
        <v>0</v>
      </c>
      <c r="CZ10" s="3274">
        <f>ЦО_логистика!CA10+'Форд Тягач'!CZ10+'MAN Blue KA1783HI'!CK10+'MAN green KA2790IE'!CK10+'MAN №3 white KA7837HO'!CK10+'MAN №4 white KA3597HO'!CK10+'MAN №5 Тент МД'!CA10</f>
        <v>0</v>
      </c>
      <c r="DA10" s="3286">
        <f>CY10+CZ10*1</f>
        <v>0</v>
      </c>
      <c r="DB10" s="3284">
        <f t="shared" si="18"/>
        <v>0</v>
      </c>
      <c r="DC10" s="1158"/>
      <c r="DD10" s="3274">
        <f>ЦО_логистика!CE10+'Форд Тягач'!DD10+'MAN Blue KA1783HI'!CO10+'MAN green KA2790IE'!CO10+'MAN №3 white KA7837HO'!CO10+'MAN №4 white KA3597HO'!CO10+'MAN №5 Тент МД'!CE10</f>
        <v>0</v>
      </c>
      <c r="DE10" s="3274">
        <f>ЦО_логистика!CF10+'Форд Тягач'!DE10+'MAN Blue KA1783HI'!CP10+'MAN green KA2790IE'!CP10+'MAN №3 white KA7837HO'!CP10+'MAN №4 white KA3597HO'!CP10+'MAN №5 Тент МД'!CF10</f>
        <v>0</v>
      </c>
      <c r="DF10" s="3286">
        <f>DD10+DE10*1</f>
        <v>0</v>
      </c>
      <c r="DG10" s="3284">
        <f t="shared" si="19"/>
        <v>0</v>
      </c>
      <c r="DH10" s="1158"/>
      <c r="DI10" s="3274">
        <f>ЦО_логистика!CJ10+'Форд Тягач'!DI10+'MAN Blue KA1783HI'!CT10+'MAN green KA2790IE'!CT10+'MAN №3 white KA7837HO'!CT10+'MAN №4 white KA3597HO'!CT10+'MAN №5 Тент МД'!CJ10</f>
        <v>0</v>
      </c>
      <c r="DJ10" s="3274">
        <f>ЦО_логистика!CK10+'Форд Тягач'!DJ10+'MAN Blue KA1783HI'!CU10+'MAN green KA2790IE'!CU10+'MAN №3 white KA7837HO'!CU10+'MAN №4 white KA3597HO'!CU10+'MAN №5 Тент МД'!CK10</f>
        <v>0</v>
      </c>
      <c r="DK10" s="3286">
        <f>DI10+DJ10*1</f>
        <v>0</v>
      </c>
      <c r="DL10" s="3284">
        <f t="shared" si="20"/>
        <v>0</v>
      </c>
      <c r="DM10" s="1158"/>
      <c r="DN10" s="3288">
        <f t="shared" ref="DN10:DN19" si="34">R10+W10+AB10+AG10+AL10+AQ10+BF10+BK10+BP10+BU10+BZ10+CE10+CJ10+CO10+CT10+CY10+DD10+DI10+AV10</f>
        <v>148353.86000000002</v>
      </c>
      <c r="DO10" s="3288">
        <f t="shared" ref="DO10:DO19" si="35">S10+X10+AC10+AH10+AM10+AR10+BG10+BL10+BQ10+BV10+CA10+CF10+CK10+CP10+CU10+CZ10+DE10+DJ10+AW10</f>
        <v>0</v>
      </c>
      <c r="DP10" s="3283">
        <f t="shared" ref="DP10:DP31" si="36">DN10+DO10*1</f>
        <v>148353.86000000002</v>
      </c>
      <c r="DQ10" s="3284">
        <f t="shared" si="1"/>
        <v>5.6149842735412504E-3</v>
      </c>
      <c r="DR10" s="3275"/>
      <c r="DS10" s="916"/>
      <c r="DT10" s="916"/>
    </row>
    <row r="11" spans="1:124" s="1411" customFormat="1" ht="29.4" customHeight="1" x14ac:dyDescent="0.25">
      <c r="A11" s="1586"/>
      <c r="B11" s="1061" t="s">
        <v>69</v>
      </c>
      <c r="C11" s="3274">
        <v>10222.060869565217</v>
      </c>
      <c r="D11" s="3274">
        <v>0</v>
      </c>
      <c r="E11" s="3283">
        <v>10222.060869565217</v>
      </c>
      <c r="F11" s="3284">
        <v>1.6348542953346076E-2</v>
      </c>
      <c r="G11" s="1449"/>
      <c r="H11" s="3274">
        <v>1958</v>
      </c>
      <c r="I11" s="3274">
        <v>0</v>
      </c>
      <c r="J11" s="3283">
        <v>1958</v>
      </c>
      <c r="K11" s="3284">
        <v>1.6256292927981312E-2</v>
      </c>
      <c r="L11" s="1449">
        <v>0</v>
      </c>
      <c r="M11" s="3274">
        <v>9199.5400000000009</v>
      </c>
      <c r="N11" s="3274">
        <v>0</v>
      </c>
      <c r="O11" s="3283">
        <v>9199.5400000000009</v>
      </c>
      <c r="P11" s="3284">
        <v>1.3379596507902033E-2</v>
      </c>
      <c r="Q11" s="1449">
        <v>0</v>
      </c>
      <c r="R11" s="3288">
        <f>'Форд Тягач'!R11+'MAN Blue KA1783HI'!C11+'MAN green KA2790IE'!C11+'MAN №3 white KA7837HO'!C11+'MAN №4 white KA3597HO'!C11</f>
        <v>5624.67</v>
      </c>
      <c r="S11" s="3274">
        <f>'Форд Тягач'!S11+'MAN Blue KA1783HI'!D11+'MAN green KA2790IE'!D11+'MAN №3 white KA7837HO'!D11+'MAN №4 white KA3597HO'!D11</f>
        <v>0</v>
      </c>
      <c r="T11" s="3283">
        <f t="shared" si="22"/>
        <v>5624.67</v>
      </c>
      <c r="U11" s="3284">
        <f t="shared" si="0"/>
        <v>4.3032332354875202E-3</v>
      </c>
      <c r="V11" s="1449"/>
      <c r="W11" s="3274">
        <f>'Форд Тягач'!W11+'MAN Blue KA1783HI'!H11+'MAN green KA2790IE'!H11+'MAN №3 white KA7837HO'!H11+'MAN №4 white KA3597HO'!H11</f>
        <v>10015.92</v>
      </c>
      <c r="X11" s="3274">
        <f>'Форд Тягач'!X11+'MAN Blue KA1783HI'!I11+'MAN green KA2790IE'!I11+'MAN №3 white KA7837HO'!I11+'MAN №4 white KA3597HO'!I11</f>
        <v>0</v>
      </c>
      <c r="Y11" s="3283">
        <f t="shared" si="23"/>
        <v>10015.92</v>
      </c>
      <c r="Z11" s="3284">
        <f t="shared" si="24"/>
        <v>7.6628210771448211E-3</v>
      </c>
      <c r="AA11" s="1449"/>
      <c r="AB11" s="3274">
        <f>ЦО_логистика!C11+'Форд Тягач'!AB11+'MAN Blue KA1783HI'!M11+'MAN green KA2790IE'!M11+'MAN №3 white KA7837HO'!M11+'MAN №4 white KA3597HO'!M11+'MAN №5 Тент МД'!C11</f>
        <v>11679.710000000001</v>
      </c>
      <c r="AC11" s="3274">
        <f>ЦО_логистика!D11+'Форд Тягач'!AC11+'MAN Blue KA1783HI'!N11+'MAN green KA2790IE'!N11+'MAN №3 white KA7837HO'!N11+'MAN №4 white KA3597HO'!N11+'MAN №5 Тент МД'!D11</f>
        <v>0</v>
      </c>
      <c r="AD11" s="3283">
        <f t="shared" si="25"/>
        <v>11679.710000000001</v>
      </c>
      <c r="AE11" s="3284">
        <f t="shared" si="2"/>
        <v>9.1376353810202118E-3</v>
      </c>
      <c r="AF11" s="1449"/>
      <c r="AG11" s="3274">
        <f>ЦО_логистика!H11+'Форд Тягач'!AG11+'MAN Blue KA1783HI'!R11+'MAN green KA2790IE'!R11+'MAN №3 white KA7837HO'!R11+'MAN №4 white KA3597HO'!R11+'MAN №5 Тент МД'!H11</f>
        <v>10650.2</v>
      </c>
      <c r="AH11" s="3274">
        <f>ЦО_логистика!I11+'Форд Тягач'!AH11+'MAN Blue KA1783HI'!S11+'MAN green KA2790IE'!S11+'MAN №3 white KA7837HO'!S11+'MAN №4 white KA3597HO'!S11+'MAN №5 Тент МД'!I11</f>
        <v>0</v>
      </c>
      <c r="AI11" s="3283">
        <f t="shared" si="26"/>
        <v>10650.2</v>
      </c>
      <c r="AJ11" s="3284">
        <f t="shared" si="3"/>
        <v>8.3321969753479726E-3</v>
      </c>
      <c r="AK11" s="1449"/>
      <c r="AL11" s="3274">
        <f>ЦО_логистика!M11+'Форд Тягач'!AL11+'MAN Blue KA1783HI'!W11+'MAN green KA2790IE'!W11+'MAN №3 white KA7837HO'!W11+'MAN №4 white KA3597HO'!W11+'MAN №5 Тент МД'!M11</f>
        <v>11814</v>
      </c>
      <c r="AM11" s="3274">
        <f>ЦО_логистика!N11+'Форд Тягач'!AM11+'MAN Blue KA1783HI'!X11+'MAN green KA2790IE'!X11+'MAN №3 white KA7837HO'!X11+'MAN №4 white KA3597HO'!X11+'MAN №5 Тент МД'!N11</f>
        <v>0</v>
      </c>
      <c r="AN11" s="3283">
        <f t="shared" si="27"/>
        <v>11814</v>
      </c>
      <c r="AO11" s="3284">
        <f t="shared" si="4"/>
        <v>9.2426973265066319E-3</v>
      </c>
      <c r="AP11" s="3275" t="str">
        <f>CONCATENATE(ЦО_логистика!Q11,'Форд Тягач'!AP11,'MAN Blue KA1783HI'!AA11,'MAN green KA2790IE'!AA11,'MAN №3 white KA7837HO'!AF11,'MAN №4 white KA3597HO'!AA11,'MAN №5 Тент МД'!Q11)</f>
        <v/>
      </c>
      <c r="AQ11" s="3274">
        <f>SUM(ЦО_логистика!R11,'Форд Тягач'!AQ11,'MAN Blue KA1783HI'!AB11,'MAN green KA2790IE'!AB11,'MAN №3 white KA7837HO'!AB11,'MAN №4 white KA3597HO'!AB11,'MAN №5 Тент МД'!R11)</f>
        <v>10662.5</v>
      </c>
      <c r="AR11" s="3274">
        <f>SUM(ЦО_логистика!S11,'Форд Тягач'!AR11,'MAN Blue KA1783HI'!AC11,'MAN green KA2790IE'!AC11,'MAN №3 white KA7837HO'!AC11,'MAN №4 white KA3597HO'!AC11,'MAN №5 Тент МД'!S11)</f>
        <v>0</v>
      </c>
      <c r="AS11" s="3283">
        <f t="shared" si="28"/>
        <v>10662.5</v>
      </c>
      <c r="AT11" s="3284">
        <f t="shared" si="5"/>
        <v>8.3418198953679502E-3</v>
      </c>
      <c r="AU11" s="3275" t="str">
        <f>CONCATENATE(ЦО_логистика!V11,'Форд Тягач'!AU11,'MAN Blue KA1783HI'!AF10,'MAN green KA2790IE'!AF11,'MAN №3 white KA7837HO'!AF11,'MAN №4 white KA3597HO'!AF11,'MAN №5 Тент МД'!V11)</f>
        <v/>
      </c>
      <c r="AV11" s="3275">
        <f>+ЦО_логистика!W11+'Форд Тягач'!AV11+'MAN Blue KA1783HI'!AG11+'MAN green KA2790IE'!AG11+'MAN №3 white KA7837HO'!AG11+'MAN №4 white KA3597HO'!AG11+'MAN №5 Тент МД'!W11</f>
        <v>96012.1</v>
      </c>
      <c r="AW11" s="3275">
        <f>+ЦО_логистика!X11+'Форд Тягач'!AW11+'MAN Blue KA1783HI'!AH11+'MAN green KA2790IE'!AH11+'MAN №3 white KA7837HO'!AH11+'MAN №4 white KA3597HO'!AH11+'MAN №5 Тент МД'!X11</f>
        <v>0</v>
      </c>
      <c r="AX11" s="3283">
        <f t="shared" si="29"/>
        <v>96012.1</v>
      </c>
      <c r="AY11" s="3284">
        <f t="shared" si="6"/>
        <v>7.5115183678879927E-2</v>
      </c>
      <c r="AZ11" s="3275"/>
      <c r="BA11" s="3275">
        <f t="shared" si="7"/>
        <v>11928.79</v>
      </c>
      <c r="BB11" s="3275">
        <f t="shared" si="7"/>
        <v>0</v>
      </c>
      <c r="BC11" s="3283">
        <f t="shared" si="30"/>
        <v>11928.79</v>
      </c>
      <c r="BD11" s="3284">
        <f t="shared" si="8"/>
        <v>9.332503423180892E-3</v>
      </c>
      <c r="BE11" s="3275">
        <f>ЦО_логистика!AD11+'Форд Тягач'!BC11+'MAN Blue KA1783HI'!AN11+'MAN green KA2790IE'!AN11+'MAN №3 white KA7837HO'!AN11+'MAN №4 white KA3597HO'!AN11+'MAN №5 Тент МД'!AD11-BC11</f>
        <v>0</v>
      </c>
      <c r="BF11" s="3274">
        <f>ЦО_логистика!AG11+'Форд Тягач'!BF11+'MAN Blue KA1783HI'!AQ11+'MAN green KA2790IE'!AQ11+'MAN №3 white KA7837HO'!AQ11+'MAN №4 white KA3597HO'!AQ11+'MAN №5 Тент МД'!AG11</f>
        <v>3572</v>
      </c>
      <c r="BG11" s="3274">
        <f>ЦО_логистика!AH11+'Форд Тягач'!BG11+'MAN Blue KA1783HI'!AR11+'MAN green KA2790IE'!AR11+'MAN №3 white KA7837HO'!AR11+'MAN №4 white KA3597HO'!AR11+'MAN №5 Тент МД'!AH11</f>
        <v>0</v>
      </c>
      <c r="BH11" s="3283">
        <f t="shared" si="31"/>
        <v>3572</v>
      </c>
      <c r="BI11" s="3284">
        <f t="shared" si="9"/>
        <v>2.7945585618995845E-3</v>
      </c>
      <c r="BJ11" s="3275"/>
      <c r="BK11" s="3275">
        <f>ЦО_логистика!AL11+'Форд Тягач'!BK11+'MAN Blue KA1783HI'!AV11+'MAN green KA2790IE'!AV11+'MAN №3 white KA7837HO'!AV11+'MAN №4 white KA3597HO'!AV11+'MAN №5 Тент МД'!AL11</f>
        <v>4136</v>
      </c>
      <c r="BL11" s="3275">
        <f>ЦО_логистика!AM11+'Форд Тягач'!BL11+'MAN Blue KA1783HI'!AW11+'MAN green KA2790IE'!AW11+'MAN №3 white KA7837HO'!AW11+'MAN №4 white KA3597HO'!AW11+'MAN №5 Тент МД'!AM11</f>
        <v>0</v>
      </c>
      <c r="BM11" s="3283">
        <f t="shared" si="32"/>
        <v>4136</v>
      </c>
      <c r="BN11" s="3284">
        <f t="shared" si="10"/>
        <v>3.2358046506205714E-3</v>
      </c>
      <c r="BO11" s="3275"/>
      <c r="BP11" s="3274">
        <f>ЦО_логистика!AQ11+'Форд Тягач'!BP11+'MAN Blue KA1783HI'!BA11+'MAN green KA2790IE'!BA11+'MAN №3 white KA7837HO'!BA11+'MAN №4 white KA3597HO'!BA11+'MAN №5 Тент МД'!AQ11</f>
        <v>4220.79</v>
      </c>
      <c r="BQ11" s="3274">
        <f>ЦО_логистика!AR11+'Форд Тягач'!BQ11+'MAN Blue KA1783HI'!BB11+'MAN green KA2790IE'!BB11+'MAN №3 white KA7837HO'!BB11+'MAN №4 white KA3597HO'!BB11+'MAN №5 Тент МД'!AR11</f>
        <v>0</v>
      </c>
      <c r="BR11" s="3286">
        <f t="shared" si="33"/>
        <v>4220.79</v>
      </c>
      <c r="BS11" s="3284">
        <f t="shared" si="11"/>
        <v>3.3021402106607352E-3</v>
      </c>
      <c r="BT11" s="1158"/>
      <c r="BU11" s="3274">
        <f>ЦО_логистика!AV11+'Форд Тягач'!BU11+'MAN Blue KA1783HI'!BF11+'MAN green KA2790IE'!BF11+'MAN №3 white KA7837HO'!BF11+'MAN №4 white KA3597HO'!BF11+'MAN №5 Тент МД'!AV11</f>
        <v>0</v>
      </c>
      <c r="BV11" s="3274">
        <f>ЦО_логистика!AW11+'Форд Тягач'!BV11+'MAN Blue KA1783HI'!BG11+'MAN green KA2790IE'!BG11+'MAN №3 white KA7837HO'!BG11+'MAN №4 white KA3597HO'!BG11+'MAN №5 Тент МД'!AW11</f>
        <v>0</v>
      </c>
      <c r="BW11" s="3286">
        <f>BU11+BV11*1</f>
        <v>0</v>
      </c>
      <c r="BX11" s="3284">
        <f t="shared" si="12"/>
        <v>0</v>
      </c>
      <c r="BY11" s="1158"/>
      <c r="BZ11" s="3274">
        <f>ЦО_логистика!BA11+'Форд Тягач'!BZ11+'MAN Blue KA1783HI'!BK11+'MAN green KA2790IE'!BK11+'MAN №3 white KA7837HO'!BK11+'MAN №4 white KA3597HO'!BK11+'MAN №5 Тент МД'!BA11</f>
        <v>0</v>
      </c>
      <c r="CA11" s="3274">
        <f>ЦО_логистика!BB11+'Форд Тягач'!CA11+'MAN Blue KA1783HI'!BL11+'MAN green KA2790IE'!BL11+'MAN №3 white KA7837HO'!BL11+'MAN №4 white KA3597HO'!BL11+'MAN №5 Тент МД'!BB11</f>
        <v>0</v>
      </c>
      <c r="CB11" s="3286">
        <f>BZ11+CA11*1</f>
        <v>0</v>
      </c>
      <c r="CC11" s="3284">
        <f t="shared" si="13"/>
        <v>0</v>
      </c>
      <c r="CD11" s="1158"/>
      <c r="CE11" s="3274">
        <f>ЦО_логистика!BF11+'Форд Тягач'!CE11+'MAN Blue KA1783HI'!BP11+'MAN green KA2790IE'!BP11+'MAN №3 white KA7837HO'!BP11+'MAN №4 white KA3597HO'!BP11+'MAN №5 Тент МД'!BF11</f>
        <v>0</v>
      </c>
      <c r="CF11" s="3274">
        <f>ЦО_логистика!BG11+'Форд Тягач'!CF11+'MAN Blue KA1783HI'!BQ11+'MAN green KA2790IE'!BQ11+'MAN №3 white KA7837HO'!BQ11+'MAN №4 white KA3597HO'!BQ11+'MAN №5 Тент МД'!BG11</f>
        <v>0</v>
      </c>
      <c r="CG11" s="3286">
        <f>CE11+CF11*1</f>
        <v>0</v>
      </c>
      <c r="CH11" s="3284">
        <f t="shared" si="14"/>
        <v>0</v>
      </c>
      <c r="CI11" s="1158"/>
      <c r="CJ11" s="3274">
        <f>ЦО_логистика!BK11+'Форд Тягач'!CJ11+'MAN Blue KA1783HI'!BU11+'MAN green KA2790IE'!BU11+'MAN №3 white KA7837HO'!BU11+'MAN №4 white KA3597HO'!BU11+'MAN №5 Тент МД'!BK11</f>
        <v>0</v>
      </c>
      <c r="CK11" s="3274">
        <f>ЦО_логистика!BL11+'Форд Тягач'!CK11+'MAN Blue KA1783HI'!BV11+'MAN green KA2790IE'!BV11+'MAN №3 white KA7837HO'!BV11+'MAN №4 white KA3597HO'!BV11+'MAN №5 Тент МД'!BL11</f>
        <v>0</v>
      </c>
      <c r="CL11" s="3286">
        <f>CJ11+CK11*1</f>
        <v>0</v>
      </c>
      <c r="CM11" s="3284">
        <f t="shared" si="15"/>
        <v>0</v>
      </c>
      <c r="CN11" s="1158"/>
      <c r="CO11" s="3274">
        <f>ЦО_логистика!BP11+'Форд Тягач'!CO11+'MAN Blue KA1783HI'!BZ11+'MAN green KA2790IE'!BZ11+'MAN №3 white KA7837HO'!BZ11+'MAN №4 white KA3597HO'!BZ11+'MAN №5 Тент МД'!BP11</f>
        <v>0</v>
      </c>
      <c r="CP11" s="3274">
        <f>ЦО_логистика!BQ11+'Форд Тягач'!CP11+'MAN Blue KA1783HI'!CA11+'MAN green KA2790IE'!CA11+'MAN №3 white KA7837HO'!CA11+'MAN №4 white KA3597HO'!CA11+'MAN №5 Тент МД'!BQ11</f>
        <v>0</v>
      </c>
      <c r="CQ11" s="3286">
        <f>CO11+CP11*1</f>
        <v>0</v>
      </c>
      <c r="CR11" s="3284">
        <f t="shared" si="16"/>
        <v>0</v>
      </c>
      <c r="CS11" s="1158"/>
      <c r="CT11" s="3274">
        <f>ЦО_логистика!BU11+'Форд Тягач'!CT11+'MAN Blue KA1783HI'!CE11+'MAN green KA2790IE'!CE11+'MAN №3 white KA7837HO'!CE11+'MAN №4 white KA3597HO'!CE11+'MAN №5 Тент МД'!BU11</f>
        <v>0</v>
      </c>
      <c r="CU11" s="3274">
        <f>ЦО_логистика!BV11+'Форд Тягач'!CU11+'MAN Blue KA1783HI'!CF11+'MAN green KA2790IE'!CF11+'MAN №3 white KA7837HO'!CF11+'MAN №4 white KA3597HO'!CF11+'MAN №5 Тент МД'!BV11</f>
        <v>0</v>
      </c>
      <c r="CV11" s="3286">
        <f>CT11+CU11*1</f>
        <v>0</v>
      </c>
      <c r="CW11" s="3284">
        <f t="shared" si="17"/>
        <v>0</v>
      </c>
      <c r="CX11" s="1158"/>
      <c r="CY11" s="3274">
        <f>ЦО_логистика!BZ11+'Форд Тягач'!CY11+'MAN Blue KA1783HI'!CJ11+'MAN green KA2790IE'!CJ11+'MAN №3 white KA7837HO'!CJ11+'MAN №4 white KA3597HO'!CJ11+'MAN №5 Тент МД'!BZ11</f>
        <v>0</v>
      </c>
      <c r="CZ11" s="3274">
        <f>ЦО_логистика!CA11+'Форд Тягач'!CZ11+'MAN Blue KA1783HI'!CK11+'MAN green KA2790IE'!CK11+'MAN №3 white KA7837HO'!CK11+'MAN №4 white KA3597HO'!CK11+'MAN №5 Тент МД'!CA11</f>
        <v>0</v>
      </c>
      <c r="DA11" s="3286">
        <f>CY11+CZ11*1</f>
        <v>0</v>
      </c>
      <c r="DB11" s="3284">
        <f t="shared" si="18"/>
        <v>0</v>
      </c>
      <c r="DC11" s="1158"/>
      <c r="DD11" s="3274">
        <f>ЦО_логистика!CE11+'Форд Тягач'!DD11+'MAN Blue KA1783HI'!CO11+'MAN green KA2790IE'!CO11+'MAN №3 white KA7837HO'!CO11+'MAN №4 white KA3597HO'!CO11+'MAN №5 Тент МД'!CE11</f>
        <v>0</v>
      </c>
      <c r="DE11" s="3274">
        <f>ЦО_логистика!CF11+'Форд Тягач'!DE11+'MAN Blue KA1783HI'!CP11+'MAN green KA2790IE'!CP11+'MAN №3 white KA7837HO'!CP11+'MAN №4 white KA3597HO'!CP11+'MAN №5 Тент МД'!CF11</f>
        <v>0</v>
      </c>
      <c r="DF11" s="3286">
        <f>DD11+DE11*1</f>
        <v>0</v>
      </c>
      <c r="DG11" s="3284">
        <f t="shared" si="19"/>
        <v>0</v>
      </c>
      <c r="DH11" s="1158"/>
      <c r="DI11" s="3274">
        <f>ЦО_логистика!CJ11+'Форд Тягач'!DI11+'MAN Blue KA1783HI'!CT11+'MAN green KA2790IE'!CT11+'MAN №3 white KA7837HO'!CT11+'MAN №4 white KA3597HO'!CT11+'MAN №5 Тент МД'!CJ11</f>
        <v>0</v>
      </c>
      <c r="DJ11" s="3274">
        <f>ЦО_логистика!CK11+'Форд Тягач'!DJ11+'MAN Blue KA1783HI'!CU11+'MAN green KA2790IE'!CU11+'MAN №3 white KA7837HO'!CU11+'MAN №4 white KA3597HO'!CU11+'MAN №5 Тент МД'!CK11</f>
        <v>0</v>
      </c>
      <c r="DK11" s="3286">
        <f>DI11+DJ11*1</f>
        <v>0</v>
      </c>
      <c r="DL11" s="3284">
        <f t="shared" si="20"/>
        <v>0</v>
      </c>
      <c r="DM11" s="1158"/>
      <c r="DN11" s="3288">
        <f t="shared" si="34"/>
        <v>168387.89</v>
      </c>
      <c r="DO11" s="3288">
        <f t="shared" si="35"/>
        <v>0</v>
      </c>
      <c r="DP11" s="3283">
        <f t="shared" si="36"/>
        <v>168387.89</v>
      </c>
      <c r="DQ11" s="3284">
        <f t="shared" si="1"/>
        <v>6.3732440410030049E-3</v>
      </c>
      <c r="DR11" s="3275"/>
      <c r="DS11" s="916"/>
      <c r="DT11" s="916"/>
    </row>
    <row r="12" spans="1:124" s="1411" customFormat="1" ht="29.4" customHeight="1" x14ac:dyDescent="0.25">
      <c r="A12" s="1586"/>
      <c r="B12" s="1061" t="s">
        <v>73</v>
      </c>
      <c r="C12" s="3274">
        <v>0</v>
      </c>
      <c r="D12" s="3274">
        <v>0</v>
      </c>
      <c r="E12" s="3283">
        <v>0</v>
      </c>
      <c r="F12" s="3284">
        <v>0</v>
      </c>
      <c r="G12" s="1449"/>
      <c r="H12" s="3274">
        <v>0</v>
      </c>
      <c r="I12" s="3274">
        <v>0</v>
      </c>
      <c r="J12" s="3283">
        <v>0</v>
      </c>
      <c r="K12" s="3284">
        <v>0</v>
      </c>
      <c r="L12" s="1449">
        <v>0</v>
      </c>
      <c r="M12" s="3274">
        <v>0</v>
      </c>
      <c r="N12" s="3274">
        <v>0</v>
      </c>
      <c r="O12" s="3283">
        <v>0</v>
      </c>
      <c r="P12" s="3284">
        <v>0</v>
      </c>
      <c r="Q12" s="1449">
        <v>0</v>
      </c>
      <c r="R12" s="3288">
        <f>'Форд Тягач'!R12+'MAN Blue KA1783HI'!C12+'MAN green KA2790IE'!C12+'MAN №3 white KA7837HO'!C12+'MAN №4 white KA3597HO'!C12</f>
        <v>0</v>
      </c>
      <c r="S12" s="3274">
        <f>'Форд Тягач'!S12+'MAN Blue KA1783HI'!D12+'MAN green KA2790IE'!D12+'MAN №3 white KA7837HO'!D12+'MAN №4 white KA3597HO'!D12</f>
        <v>0</v>
      </c>
      <c r="T12" s="3283">
        <f t="shared" si="22"/>
        <v>0</v>
      </c>
      <c r="U12" s="3284">
        <f t="shared" si="0"/>
        <v>0</v>
      </c>
      <c r="V12" s="1449"/>
      <c r="W12" s="3274">
        <f>'Форд Тягач'!W12+'MAN Blue KA1783HI'!H12+'MAN green KA2790IE'!H12+'MAN №3 white KA7837HO'!H12+'MAN №4 white KA3597HO'!H12</f>
        <v>0</v>
      </c>
      <c r="X12" s="3274">
        <f>'Форд Тягач'!X12+'MAN Blue KA1783HI'!I12+'MAN green KA2790IE'!I12+'MAN №3 white KA7837HO'!I12+'MAN №4 white KA3597HO'!I12</f>
        <v>0</v>
      </c>
      <c r="Y12" s="3283">
        <f t="shared" si="23"/>
        <v>0</v>
      </c>
      <c r="Z12" s="3284">
        <f t="shared" si="24"/>
        <v>0</v>
      </c>
      <c r="AA12" s="1449"/>
      <c r="AB12" s="3274">
        <f>ЦО_логистика!C12+'Форд Тягач'!AB12+'MAN Blue KA1783HI'!M12+'MAN green KA2790IE'!M12+'MAN №3 white KA7837HO'!M12+'MAN №4 white KA3597HO'!M12+'MAN №5 Тент МД'!C12</f>
        <v>0</v>
      </c>
      <c r="AC12" s="3274">
        <f>ЦО_логистика!D12+'Форд Тягач'!AC12+'MAN Blue KA1783HI'!N12+'MAN green KA2790IE'!N12+'MAN №3 white KA7837HO'!N12+'MAN №4 white KA3597HO'!N12+'MAN №5 Тент МД'!D12</f>
        <v>0</v>
      </c>
      <c r="AD12" s="3283">
        <f t="shared" si="25"/>
        <v>0</v>
      </c>
      <c r="AE12" s="3284">
        <f t="shared" si="2"/>
        <v>0</v>
      </c>
      <c r="AF12" s="1449"/>
      <c r="AG12" s="3274">
        <f>ЦО_логистика!H12+'Форд Тягач'!AG12+'MAN Blue KA1783HI'!R12+'MAN green KA2790IE'!R12+'MAN №3 white KA7837HO'!R12+'MAN №4 white KA3597HO'!R12+'MAN №5 Тент МД'!H12</f>
        <v>0</v>
      </c>
      <c r="AH12" s="3274">
        <f>ЦО_логистика!I12+'Форд Тягач'!AH12+'MAN Blue KA1783HI'!S12+'MAN green KA2790IE'!S12+'MAN №3 white KA7837HO'!S12+'MAN №4 white KA3597HO'!S12+'MAN №5 Тент МД'!I12</f>
        <v>0</v>
      </c>
      <c r="AI12" s="3283">
        <f t="shared" si="26"/>
        <v>0</v>
      </c>
      <c r="AJ12" s="3284">
        <f t="shared" si="3"/>
        <v>0</v>
      </c>
      <c r="AK12" s="1449"/>
      <c r="AL12" s="3274">
        <f>ЦО_логистика!M12+'Форд Тягач'!AL12+'MAN Blue KA1783HI'!W12+'MAN green KA2790IE'!W12+'MAN №3 white KA7837HO'!W12+'MAN №4 white KA3597HO'!W12+'MAN №5 Тент МД'!M12</f>
        <v>0</v>
      </c>
      <c r="AM12" s="3274">
        <f>ЦО_логистика!N12+'Форд Тягач'!AM12+'MAN Blue KA1783HI'!X12+'MAN green KA2790IE'!X12+'MAN №3 white KA7837HO'!X12+'MAN №4 white KA3597HO'!X12+'MAN №5 Тент МД'!N12</f>
        <v>0</v>
      </c>
      <c r="AN12" s="3283">
        <f t="shared" si="27"/>
        <v>0</v>
      </c>
      <c r="AO12" s="3284">
        <f t="shared" si="4"/>
        <v>0</v>
      </c>
      <c r="AP12" s="3275" t="str">
        <f>CONCATENATE(ЦО_логистика!Q12,'Форд Тягач'!AP12,'MAN Blue KA1783HI'!AA12,'MAN green KA2790IE'!AA12,'MAN №3 white KA7837HO'!AF12,'MAN №4 white KA3597HO'!AA12,'MAN №5 Тент МД'!Q12)</f>
        <v/>
      </c>
      <c r="AQ12" s="3274">
        <f>SUM(ЦО_логистика!R12,'Форд Тягач'!AQ12,'MAN Blue KA1783HI'!AB12,'MAN green KA2790IE'!AB12,'MAN №3 white KA7837HO'!AB12,'MAN №4 white KA3597HO'!AB12,'MAN №5 Тент МД'!R12)</f>
        <v>0</v>
      </c>
      <c r="AR12" s="3274">
        <f>SUM(ЦО_логистика!S12,'Форд Тягач'!AR12,'MAN Blue KA1783HI'!AC12,'MAN green KA2790IE'!AC12,'MAN №3 white KA7837HO'!AC12,'MAN №4 white KA3597HO'!AC12,'MAN №5 Тент МД'!S12)</f>
        <v>0</v>
      </c>
      <c r="AS12" s="3283">
        <f t="shared" si="28"/>
        <v>0</v>
      </c>
      <c r="AT12" s="3284">
        <f t="shared" si="5"/>
        <v>0</v>
      </c>
      <c r="AU12" s="3275" t="str">
        <f>CONCATENATE(ЦО_логистика!V12,'Форд Тягач'!AU12,'MAN Blue KA1783HI'!AF11,'MAN green KA2790IE'!AF12,'MAN №3 white KA7837HO'!AF12,'MAN №4 white KA3597HO'!AF12,'MAN №5 Тент МД'!V12)</f>
        <v/>
      </c>
      <c r="AV12" s="3275">
        <f>+ЦО_логистика!W12+'Форд Тягач'!AV12+'MAN Blue KA1783HI'!AG12+'MAN green KA2790IE'!AG12+'MAN №3 white KA7837HO'!AG12+'MAN №4 white KA3597HO'!AG12+'MAN №5 Тент МД'!W12</f>
        <v>0</v>
      </c>
      <c r="AW12" s="3275">
        <f>+ЦО_логистика!X12+'Форд Тягач'!AW12+'MAN Blue KA1783HI'!AH12+'MAN green KA2790IE'!AH12+'MAN №3 white KA7837HO'!AH12+'MAN №4 white KA3597HO'!AH12+'MAN №5 Тент МД'!X12</f>
        <v>0</v>
      </c>
      <c r="AX12" s="3283">
        <f t="shared" si="29"/>
        <v>0</v>
      </c>
      <c r="AY12" s="3284">
        <f t="shared" si="6"/>
        <v>0</v>
      </c>
      <c r="AZ12" s="3275"/>
      <c r="BA12" s="3275">
        <f t="shared" si="7"/>
        <v>0</v>
      </c>
      <c r="BB12" s="3275">
        <f t="shared" si="7"/>
        <v>0</v>
      </c>
      <c r="BC12" s="3283">
        <f t="shared" si="30"/>
        <v>0</v>
      </c>
      <c r="BD12" s="3284">
        <f t="shared" si="8"/>
        <v>0</v>
      </c>
      <c r="BE12" s="3275">
        <f>ЦО_логистика!AD12+'Форд Тягач'!BC12+'MAN Blue KA1783HI'!AN12+'MAN green KA2790IE'!AN12+'MAN №3 white KA7837HO'!AN12+'MAN №4 white KA3597HO'!AN12+'MAN №5 Тент МД'!AD12-BC12</f>
        <v>0</v>
      </c>
      <c r="BF12" s="3274">
        <f>ЦО_логистика!AG12+'Форд Тягач'!BF12+'MAN Blue KA1783HI'!AQ12+'MAN green KA2790IE'!AQ12+'MAN №3 white KA7837HO'!AQ12+'MAN №4 white KA3597HO'!AQ12+'MAN №5 Тент МД'!AG12</f>
        <v>0</v>
      </c>
      <c r="BG12" s="3274">
        <f>ЦО_логистика!AH12+'Форд Тягач'!BG12+'MAN Blue KA1783HI'!AR12+'MAN green KA2790IE'!AR12+'MAN №3 white KA7837HO'!AR12+'MAN №4 white KA3597HO'!AR12+'MAN №5 Тент МД'!AH12</f>
        <v>0</v>
      </c>
      <c r="BH12" s="3283">
        <f t="shared" si="31"/>
        <v>0</v>
      </c>
      <c r="BI12" s="3284">
        <f t="shared" si="9"/>
        <v>0</v>
      </c>
      <c r="BJ12" s="3275"/>
      <c r="BK12" s="3275">
        <f>ЦО_логистика!AL12+'Форд Тягач'!BK12+'MAN Blue KA1783HI'!AV12+'MAN green KA2790IE'!AV12+'MAN №3 white KA7837HO'!AV12+'MAN №4 white KA3597HO'!AV12+'MAN №5 Тент МД'!AL12</f>
        <v>0</v>
      </c>
      <c r="BL12" s="3275">
        <f>ЦО_логистика!AM12+'Форд Тягач'!BL12+'MAN Blue KA1783HI'!AW12+'MAN green KA2790IE'!AW12+'MAN №3 white KA7837HO'!AW12+'MAN №4 white KA3597HO'!AW12+'MAN №5 Тент МД'!AM12</f>
        <v>0</v>
      </c>
      <c r="BM12" s="3283">
        <f t="shared" si="32"/>
        <v>0</v>
      </c>
      <c r="BN12" s="3284">
        <f t="shared" si="10"/>
        <v>0</v>
      </c>
      <c r="BO12" s="3275"/>
      <c r="BP12" s="3274">
        <f>ЦО_логистика!AQ12+'Форд Тягач'!BP12+'MAN Blue KA1783HI'!BA12+'MAN green KA2790IE'!BA12+'MAN №3 white KA7837HO'!BA12+'MAN №4 white KA3597HO'!BA12+'MAN №5 Тент МД'!AQ12</f>
        <v>0</v>
      </c>
      <c r="BQ12" s="3274">
        <f>ЦО_логистика!AR12+'Форд Тягач'!BQ12+'MAN Blue KA1783HI'!BB12+'MAN green KA2790IE'!BB12+'MAN №3 white KA7837HO'!BB12+'MAN №4 white KA3597HO'!BB12+'MAN №5 Тент МД'!AR12</f>
        <v>0</v>
      </c>
      <c r="BR12" s="3286">
        <f t="shared" si="33"/>
        <v>0</v>
      </c>
      <c r="BS12" s="3284">
        <f t="shared" si="11"/>
        <v>0</v>
      </c>
      <c r="BT12" s="1158"/>
      <c r="BU12" s="3274">
        <f>ЦО_логистика!AV12+'Форд Тягач'!BU12+'MAN Blue KA1783HI'!BF12+'MAN green KA2790IE'!BF12+'MAN №3 white KA7837HO'!BF12+'MAN №4 white KA3597HO'!BF12+'MAN №5 Тент МД'!AV12</f>
        <v>0</v>
      </c>
      <c r="BV12" s="3274">
        <f>ЦО_логистика!AW12+'Форд Тягач'!BV12+'MAN Blue KA1783HI'!BG12+'MAN green KA2790IE'!BG12+'MAN №3 white KA7837HO'!BG12+'MAN №4 white KA3597HO'!BG12+'MAN №5 Тент МД'!AW12</f>
        <v>0</v>
      </c>
      <c r="BW12" s="3286">
        <f>BU12+BV12*1</f>
        <v>0</v>
      </c>
      <c r="BX12" s="3284">
        <f t="shared" si="12"/>
        <v>0</v>
      </c>
      <c r="BY12" s="1158"/>
      <c r="BZ12" s="3274">
        <f>ЦО_логистика!BA12+'Форд Тягач'!BZ12+'MAN Blue KA1783HI'!BK12+'MAN green KA2790IE'!BK12+'MAN №3 white KA7837HO'!BK12+'MAN №4 white KA3597HO'!BK12+'MAN №5 Тент МД'!BA12</f>
        <v>0</v>
      </c>
      <c r="CA12" s="3274">
        <f>ЦО_логистика!BB12+'Форд Тягач'!CA12+'MAN Blue KA1783HI'!BL12+'MAN green KA2790IE'!BL12+'MAN №3 white KA7837HO'!BL12+'MAN №4 white KA3597HO'!BL12+'MAN №5 Тент МД'!BB12</f>
        <v>0</v>
      </c>
      <c r="CB12" s="3286">
        <f>BZ12+CA12*1</f>
        <v>0</v>
      </c>
      <c r="CC12" s="3284">
        <f t="shared" si="13"/>
        <v>0</v>
      </c>
      <c r="CD12" s="1158"/>
      <c r="CE12" s="3274">
        <f>ЦО_логистика!BF12+'Форд Тягач'!CE12+'MAN Blue KA1783HI'!BP12+'MAN green KA2790IE'!BP12+'MAN №3 white KA7837HO'!BP12+'MAN №4 white KA3597HO'!BP12+'MAN №5 Тент МД'!BF12</f>
        <v>0</v>
      </c>
      <c r="CF12" s="3274">
        <f>ЦО_логистика!BG12+'Форд Тягач'!CF12+'MAN Blue KA1783HI'!BQ12+'MAN green KA2790IE'!BQ12+'MAN №3 white KA7837HO'!BQ12+'MAN №4 white KA3597HO'!BQ12+'MAN №5 Тент МД'!BG12</f>
        <v>0</v>
      </c>
      <c r="CG12" s="3286">
        <f>CE12+CF12*1</f>
        <v>0</v>
      </c>
      <c r="CH12" s="3284">
        <f t="shared" si="14"/>
        <v>0</v>
      </c>
      <c r="CI12" s="1158"/>
      <c r="CJ12" s="3274">
        <f>ЦО_логистика!BK12+'Форд Тягач'!CJ12+'MAN Blue KA1783HI'!BU12+'MAN green KA2790IE'!BU12+'MAN №3 white KA7837HO'!BU12+'MAN №4 white KA3597HO'!BU12+'MAN №5 Тент МД'!BK12</f>
        <v>0</v>
      </c>
      <c r="CK12" s="3274">
        <f>ЦО_логистика!BL12+'Форд Тягач'!CK12+'MAN Blue KA1783HI'!BV12+'MAN green KA2790IE'!BV12+'MAN №3 white KA7837HO'!BV12+'MAN №4 white KA3597HO'!BV12+'MAN №5 Тент МД'!BL12</f>
        <v>0</v>
      </c>
      <c r="CL12" s="3286">
        <f>CJ12+CK12*1</f>
        <v>0</v>
      </c>
      <c r="CM12" s="3284">
        <f t="shared" si="15"/>
        <v>0</v>
      </c>
      <c r="CN12" s="1158"/>
      <c r="CO12" s="3274">
        <f>ЦО_логистика!BP12+'Форд Тягач'!CO12+'MAN Blue KA1783HI'!BZ12+'MAN green KA2790IE'!BZ12+'MAN №3 white KA7837HO'!BZ12+'MAN №4 white KA3597HO'!BZ12+'MAN №5 Тент МД'!BP12</f>
        <v>0</v>
      </c>
      <c r="CP12" s="3274">
        <f>ЦО_логистика!BQ12+'Форд Тягач'!CP12+'MAN Blue KA1783HI'!CA12+'MAN green KA2790IE'!CA12+'MAN №3 white KA7837HO'!CA12+'MAN №4 white KA3597HO'!CA12+'MAN №5 Тент МД'!BQ12</f>
        <v>0</v>
      </c>
      <c r="CQ12" s="3286">
        <f>CO12+CP12*1</f>
        <v>0</v>
      </c>
      <c r="CR12" s="3284">
        <f t="shared" si="16"/>
        <v>0</v>
      </c>
      <c r="CS12" s="1158"/>
      <c r="CT12" s="3274">
        <f>ЦО_логистика!BU12+'Форд Тягач'!CT12+'MAN Blue KA1783HI'!CE12+'MAN green KA2790IE'!CE12+'MAN №3 white KA7837HO'!CE12+'MAN №4 white KA3597HO'!CE12+'MAN №5 Тент МД'!BU12</f>
        <v>0</v>
      </c>
      <c r="CU12" s="3274">
        <f>ЦО_логистика!BV12+'Форд Тягач'!CU12+'MAN Blue KA1783HI'!CF12+'MAN green KA2790IE'!CF12+'MAN №3 white KA7837HO'!CF12+'MAN №4 white KA3597HO'!CF12+'MAN №5 Тент МД'!BV12</f>
        <v>0</v>
      </c>
      <c r="CV12" s="3286">
        <f>CT12+CU12*1</f>
        <v>0</v>
      </c>
      <c r="CW12" s="3284">
        <f t="shared" si="17"/>
        <v>0</v>
      </c>
      <c r="CX12" s="1158"/>
      <c r="CY12" s="3274">
        <f>ЦО_логистика!BZ12+'Форд Тягач'!CY12+'MAN Blue KA1783HI'!CJ12+'MAN green KA2790IE'!CJ12+'MAN №3 white KA7837HO'!CJ12+'MAN №4 white KA3597HO'!CJ12+'MAN №5 Тент МД'!BZ12</f>
        <v>0</v>
      </c>
      <c r="CZ12" s="3274">
        <f>ЦО_логистика!CA12+'Форд Тягач'!CZ12+'MAN Blue KA1783HI'!CK12+'MAN green KA2790IE'!CK12+'MAN №3 white KA7837HO'!CK12+'MAN №4 white KA3597HO'!CK12+'MAN №5 Тент МД'!CA12</f>
        <v>0</v>
      </c>
      <c r="DA12" s="3286">
        <f>CY12+CZ12*1</f>
        <v>0</v>
      </c>
      <c r="DB12" s="3284">
        <f t="shared" si="18"/>
        <v>0</v>
      </c>
      <c r="DC12" s="1158"/>
      <c r="DD12" s="3274">
        <f>ЦО_логистика!CE12+'Форд Тягач'!DD12+'MAN Blue KA1783HI'!CO12+'MAN green KA2790IE'!CO12+'MAN №3 white KA7837HO'!CO12+'MAN №4 white KA3597HO'!CO12+'MAN №5 Тент МД'!CE12</f>
        <v>0</v>
      </c>
      <c r="DE12" s="3274">
        <f>ЦО_логистика!CF12+'Форд Тягач'!DE12+'MAN Blue KA1783HI'!CP12+'MAN green KA2790IE'!CP12+'MAN №3 white KA7837HO'!CP12+'MAN №4 white KA3597HO'!CP12+'MAN №5 Тент МД'!CF12</f>
        <v>0</v>
      </c>
      <c r="DF12" s="3286">
        <f>DD12+DE12*1</f>
        <v>0</v>
      </c>
      <c r="DG12" s="3284">
        <f t="shared" si="19"/>
        <v>0</v>
      </c>
      <c r="DH12" s="1158"/>
      <c r="DI12" s="3274">
        <f>ЦО_логистика!CJ12+'Форд Тягач'!DI12+'MAN Blue KA1783HI'!CT12+'MAN green KA2790IE'!CT12+'MAN №3 white KA7837HO'!CT12+'MAN №4 white KA3597HO'!CT12+'MAN №5 Тент МД'!CJ12</f>
        <v>0</v>
      </c>
      <c r="DJ12" s="3274">
        <f>ЦО_логистика!CK12+'Форд Тягач'!DJ12+'MAN Blue KA1783HI'!CU12+'MAN green KA2790IE'!CU12+'MAN №3 white KA7837HO'!CU12+'MAN №4 white KA3597HO'!CU12+'MAN №5 Тент МД'!CK12</f>
        <v>0</v>
      </c>
      <c r="DK12" s="3286">
        <f>DI12+DJ12*1</f>
        <v>0</v>
      </c>
      <c r="DL12" s="3284">
        <f t="shared" si="20"/>
        <v>0</v>
      </c>
      <c r="DM12" s="1158"/>
      <c r="DN12" s="3288">
        <f t="shared" si="34"/>
        <v>0</v>
      </c>
      <c r="DO12" s="3288">
        <f t="shared" si="35"/>
        <v>0</v>
      </c>
      <c r="DP12" s="3283">
        <f t="shared" si="36"/>
        <v>0</v>
      </c>
      <c r="DQ12" s="3284">
        <f t="shared" si="1"/>
        <v>0</v>
      </c>
      <c r="DR12" s="3275"/>
      <c r="DS12" s="916"/>
      <c r="DT12" s="916"/>
    </row>
    <row r="13" spans="1:124" s="1411" customFormat="1" ht="29.4" customHeight="1" x14ac:dyDescent="0.25">
      <c r="A13" s="1586"/>
      <c r="B13" s="1061" t="s">
        <v>71</v>
      </c>
      <c r="C13" s="3274">
        <v>0</v>
      </c>
      <c r="D13" s="3274">
        <v>0</v>
      </c>
      <c r="E13" s="3283">
        <v>0</v>
      </c>
      <c r="F13" s="3284">
        <v>0</v>
      </c>
      <c r="G13" s="1449"/>
      <c r="H13" s="3274">
        <v>0</v>
      </c>
      <c r="I13" s="3274">
        <v>0</v>
      </c>
      <c r="J13" s="3283">
        <v>0</v>
      </c>
      <c r="K13" s="3284">
        <v>0</v>
      </c>
      <c r="L13" s="1449">
        <v>0</v>
      </c>
      <c r="M13" s="3274">
        <v>0</v>
      </c>
      <c r="N13" s="3274">
        <v>0</v>
      </c>
      <c r="O13" s="3283">
        <v>0</v>
      </c>
      <c r="P13" s="3284">
        <v>0</v>
      </c>
      <c r="Q13" s="1449">
        <v>0</v>
      </c>
      <c r="R13" s="3288">
        <f>'Форд Тягач'!R13+'MAN Blue KA1783HI'!C13+'MAN green KA2790IE'!C13+'MAN №3 white KA7837HO'!C13+'MAN №4 white KA3597HO'!C13</f>
        <v>0</v>
      </c>
      <c r="S13" s="3274">
        <f>'Форд Тягач'!S13+'MAN Blue KA1783HI'!D13+'MAN green KA2790IE'!D13+'MAN №3 white KA7837HO'!D13+'MAN №4 white KA3597HO'!D13</f>
        <v>0</v>
      </c>
      <c r="T13" s="3283">
        <f t="shared" si="22"/>
        <v>0</v>
      </c>
      <c r="U13" s="3284">
        <f t="shared" si="0"/>
        <v>0</v>
      </c>
      <c r="V13" s="1449"/>
      <c r="W13" s="3274">
        <f>'Форд Тягач'!W13+'MAN Blue KA1783HI'!H13+'MAN green KA2790IE'!H13+'MAN №3 white KA7837HO'!H13+'MAN №4 white KA3597HO'!H13</f>
        <v>0</v>
      </c>
      <c r="X13" s="3274">
        <f>'Форд Тягач'!X13+'MAN Blue KA1783HI'!I13+'MAN green KA2790IE'!I13+'MAN №3 white KA7837HO'!I13+'MAN №4 white KA3597HO'!I13</f>
        <v>0</v>
      </c>
      <c r="Y13" s="3283">
        <f t="shared" si="23"/>
        <v>0</v>
      </c>
      <c r="Z13" s="3284">
        <f t="shared" si="24"/>
        <v>0</v>
      </c>
      <c r="AA13" s="1449"/>
      <c r="AB13" s="3274">
        <f>ЦО_логистика!C13+'Форд Тягач'!AB13+'MAN Blue KA1783HI'!M13+'MAN green KA2790IE'!M13+'MAN №3 white KA7837HO'!M13+'MAN №4 white KA3597HO'!M13+'MAN №5 Тент МД'!C13</f>
        <v>0</v>
      </c>
      <c r="AC13" s="3274">
        <f>ЦО_логистика!D13+'Форд Тягач'!AC13+'MAN Blue KA1783HI'!N13+'MAN green KA2790IE'!N13+'MAN №3 white KA7837HO'!N13+'MAN №4 white KA3597HO'!N13+'MAN №5 Тент МД'!D13</f>
        <v>0</v>
      </c>
      <c r="AD13" s="3283">
        <f t="shared" si="25"/>
        <v>0</v>
      </c>
      <c r="AE13" s="3284">
        <f t="shared" si="2"/>
        <v>0</v>
      </c>
      <c r="AF13" s="1449"/>
      <c r="AG13" s="3274">
        <f>ЦО_логистика!H13+'Форд Тягач'!AG13+'MAN Blue KA1783HI'!R13+'MAN green KA2790IE'!R13+'MAN №3 white KA7837HO'!R13+'MAN №4 white KA3597HO'!R13+'MAN №5 Тент МД'!H13</f>
        <v>0</v>
      </c>
      <c r="AH13" s="3274">
        <f>ЦО_логистика!I13+'Форд Тягач'!AH13+'MAN Blue KA1783HI'!S13+'MAN green KA2790IE'!S13+'MAN №3 white KA7837HO'!S13+'MAN №4 white KA3597HO'!S13+'MAN №5 Тент МД'!I13</f>
        <v>0</v>
      </c>
      <c r="AI13" s="3283">
        <f t="shared" si="26"/>
        <v>0</v>
      </c>
      <c r="AJ13" s="3284">
        <f t="shared" si="3"/>
        <v>0</v>
      </c>
      <c r="AK13" s="1449"/>
      <c r="AL13" s="3274">
        <f>ЦО_логистика!M13+'Форд Тягач'!AL13+'MAN Blue KA1783HI'!W13+'MAN green KA2790IE'!W13+'MAN №3 white KA7837HO'!W13+'MAN №4 white KA3597HO'!W13+'MAN №5 Тент МД'!M13</f>
        <v>0</v>
      </c>
      <c r="AM13" s="3274">
        <f>ЦО_логистика!N13+'Форд Тягач'!AM13+'MAN Blue KA1783HI'!X13+'MAN green KA2790IE'!X13+'MAN №3 white KA7837HO'!X13+'MAN №4 white KA3597HO'!X13+'MAN №5 Тент МД'!N13</f>
        <v>0</v>
      </c>
      <c r="AN13" s="3283">
        <f t="shared" si="27"/>
        <v>0</v>
      </c>
      <c r="AO13" s="3284">
        <f t="shared" si="4"/>
        <v>0</v>
      </c>
      <c r="AP13" s="3275" t="str">
        <f>CONCATENATE(ЦО_логистика!Q13,'Форд Тягач'!AP13,'MAN Blue KA1783HI'!AA13,'MAN green KA2790IE'!AA13,'MAN №3 white KA7837HO'!AF13,'MAN №4 white KA3597HO'!AA13,'MAN №5 Тент МД'!Q13)</f>
        <v/>
      </c>
      <c r="AQ13" s="3274">
        <f>SUM(ЦО_логистика!R13,'Форд Тягач'!AQ13,'MAN Blue KA1783HI'!AB13,'MAN green KA2790IE'!AB13,'MAN №3 white KA7837HO'!AB13,'MAN №4 white KA3597HO'!AB13,'MAN №5 Тент МД'!R13)</f>
        <v>0</v>
      </c>
      <c r="AR13" s="3274">
        <f>SUM(ЦО_логистика!S13,'Форд Тягач'!AR13,'MAN Blue KA1783HI'!AC13,'MAN green KA2790IE'!AC13,'MAN №3 white KA7837HO'!AC13,'MAN №4 white KA3597HO'!AC13,'MAN №5 Тент МД'!S13)</f>
        <v>0</v>
      </c>
      <c r="AS13" s="3283">
        <f t="shared" si="28"/>
        <v>0</v>
      </c>
      <c r="AT13" s="3284">
        <f t="shared" si="5"/>
        <v>0</v>
      </c>
      <c r="AU13" s="3275" t="str">
        <f>CONCATENATE(ЦО_логистика!V13,'Форд Тягач'!AU13,'MAN Blue KA1783HI'!AF12,'MAN green KA2790IE'!AF13,'MAN №3 white KA7837HO'!AF13,'MAN №4 white KA3597HO'!AF13,'MAN №5 Тент МД'!V13)</f>
        <v/>
      </c>
      <c r="AV13" s="3275">
        <f>+ЦО_логистика!W13+'Форд Тягач'!AV13+'MAN Blue KA1783HI'!AG13+'MAN green KA2790IE'!AG13+'MAN №3 white KA7837HO'!AG13+'MAN №4 white KA3597HO'!AG13+'MAN №5 Тент МД'!W13</f>
        <v>0</v>
      </c>
      <c r="AW13" s="3275">
        <f>+ЦО_логистика!X13+'Форд Тягач'!AW13+'MAN Blue KA1783HI'!AH13+'MAN green KA2790IE'!AH13+'MAN №3 white KA7837HO'!AH13+'MAN №4 white KA3597HO'!AH13+'MAN №5 Тент МД'!X13</f>
        <v>0</v>
      </c>
      <c r="AX13" s="3283">
        <f t="shared" si="29"/>
        <v>0</v>
      </c>
      <c r="AY13" s="3284">
        <f t="shared" si="6"/>
        <v>0</v>
      </c>
      <c r="AZ13" s="3275"/>
      <c r="BA13" s="3275">
        <f t="shared" si="7"/>
        <v>0</v>
      </c>
      <c r="BB13" s="3275">
        <f t="shared" si="7"/>
        <v>0</v>
      </c>
      <c r="BC13" s="3283">
        <f t="shared" si="30"/>
        <v>0</v>
      </c>
      <c r="BD13" s="3284">
        <f t="shared" si="8"/>
        <v>0</v>
      </c>
      <c r="BE13" s="3275">
        <f>ЦО_логистика!AD13+'Форд Тягач'!BC13+'MAN Blue KA1783HI'!AN13+'MAN green KA2790IE'!AN13+'MAN №3 white KA7837HO'!AN13+'MAN №4 white KA3597HO'!AN13+'MAN №5 Тент МД'!AD13-BC13</f>
        <v>0</v>
      </c>
      <c r="BF13" s="3274">
        <f>ЦО_логистика!AG13+'Форд Тягач'!BF13+'MAN Blue KA1783HI'!AQ13+'MAN green KA2790IE'!AQ13+'MAN №3 white KA7837HO'!AQ13+'MAN №4 white KA3597HO'!AQ13+'MAN №5 Тент МД'!AG13</f>
        <v>0</v>
      </c>
      <c r="BG13" s="3274">
        <f>ЦО_логистика!AH13+'Форд Тягач'!BG13+'MAN Blue KA1783HI'!AR13+'MAN green KA2790IE'!AR13+'MAN №3 white KA7837HO'!AR13+'MAN №4 white KA3597HO'!AR13+'MAN №5 Тент МД'!AH13</f>
        <v>0</v>
      </c>
      <c r="BH13" s="3283">
        <f t="shared" si="31"/>
        <v>0</v>
      </c>
      <c r="BI13" s="3284">
        <f t="shared" si="9"/>
        <v>0</v>
      </c>
      <c r="BJ13" s="3275"/>
      <c r="BK13" s="3275">
        <f>ЦО_логистика!AL13+'Форд Тягач'!BK13+'MAN Blue KA1783HI'!AV13+'MAN green KA2790IE'!AV13+'MAN №3 white KA7837HO'!AV13+'MAN №4 white KA3597HO'!AV13+'MAN №5 Тент МД'!AL13</f>
        <v>0</v>
      </c>
      <c r="BL13" s="3275">
        <f>ЦО_логистика!AM13+'Форд Тягач'!BL13+'MAN Blue KA1783HI'!AW13+'MAN green KA2790IE'!AW13+'MAN №3 white KA7837HO'!AW13+'MAN №4 white KA3597HO'!AW13+'MAN №5 Тент МД'!AM13</f>
        <v>0</v>
      </c>
      <c r="BM13" s="3283">
        <f t="shared" si="32"/>
        <v>0</v>
      </c>
      <c r="BN13" s="3284">
        <f t="shared" si="10"/>
        <v>0</v>
      </c>
      <c r="BO13" s="3275"/>
      <c r="BP13" s="3274">
        <f>ЦО_логистика!AQ13+'Форд Тягач'!BP13+'MAN Blue KA1783HI'!BA13+'MAN green KA2790IE'!BA13+'MAN №3 white KA7837HO'!BA13+'MAN №4 white KA3597HO'!BA13+'MAN №5 Тент МД'!AQ13</f>
        <v>0</v>
      </c>
      <c r="BQ13" s="3274">
        <f>ЦО_логистика!AR13+'Форд Тягач'!BQ13+'MAN Blue KA1783HI'!BB13+'MAN green KA2790IE'!BB13+'MAN №3 white KA7837HO'!BB13+'MAN №4 white KA3597HO'!BB13+'MAN №5 Тент МД'!AR13</f>
        <v>0</v>
      </c>
      <c r="BR13" s="3286">
        <f>BP13+BQ13*1</f>
        <v>0</v>
      </c>
      <c r="BS13" s="3284">
        <f t="shared" si="11"/>
        <v>0</v>
      </c>
      <c r="BT13" s="1158"/>
      <c r="BU13" s="3274">
        <f>ЦО_логистика!AV13+'Форд Тягач'!BU13+'MAN Blue KA1783HI'!BF13+'MAN green KA2790IE'!BF13+'MAN №3 white KA7837HO'!BF13+'MAN №4 white KA3597HO'!BF13+'MAN №5 Тент МД'!AV13</f>
        <v>0</v>
      </c>
      <c r="BV13" s="3274">
        <f>ЦО_логистика!AW13+'Форд Тягач'!BV13+'MAN Blue KA1783HI'!BG13+'MAN green KA2790IE'!BG13+'MAN №3 white KA7837HO'!BG13+'MAN №4 white KA3597HO'!BG13+'MAN №5 Тент МД'!AW13</f>
        <v>0</v>
      </c>
      <c r="BW13" s="3286">
        <f>BU13+BV13*1</f>
        <v>0</v>
      </c>
      <c r="BX13" s="3284">
        <f t="shared" si="12"/>
        <v>0</v>
      </c>
      <c r="BY13" s="1158"/>
      <c r="BZ13" s="3274">
        <f>ЦО_логистика!BA13+'Форд Тягач'!BZ13+'MAN Blue KA1783HI'!BK13+'MAN green KA2790IE'!BK13+'MAN №3 white KA7837HO'!BK13+'MAN №4 white KA3597HO'!BK13+'MAN №5 Тент МД'!BA13</f>
        <v>0</v>
      </c>
      <c r="CA13" s="3274">
        <f>ЦО_логистика!BB13+'Форд Тягач'!CA13+'MAN Blue KA1783HI'!BL13+'MAN green KA2790IE'!BL13+'MAN №3 white KA7837HO'!BL13+'MAN №4 white KA3597HO'!BL13+'MAN №5 Тент МД'!BB13</f>
        <v>0</v>
      </c>
      <c r="CB13" s="3286">
        <f>BZ13+CA13*1</f>
        <v>0</v>
      </c>
      <c r="CC13" s="3284">
        <f t="shared" si="13"/>
        <v>0</v>
      </c>
      <c r="CD13" s="1158"/>
      <c r="CE13" s="3274">
        <f>ЦО_логистика!BF13+'Форд Тягач'!CE13+'MAN Blue KA1783HI'!BP13+'MAN green KA2790IE'!BP13+'MAN №3 white KA7837HO'!BP13+'MAN №4 white KA3597HO'!BP13+'MAN №5 Тент МД'!BF13</f>
        <v>0</v>
      </c>
      <c r="CF13" s="3274">
        <f>ЦО_логистика!BG13+'Форд Тягач'!CF13+'MAN Blue KA1783HI'!BQ13+'MAN green KA2790IE'!BQ13+'MAN №3 white KA7837HO'!BQ13+'MAN №4 white KA3597HO'!BQ13+'MAN №5 Тент МД'!BG13</f>
        <v>0</v>
      </c>
      <c r="CG13" s="3286">
        <f>CE13+CF13*1</f>
        <v>0</v>
      </c>
      <c r="CH13" s="3284">
        <f t="shared" si="14"/>
        <v>0</v>
      </c>
      <c r="CI13" s="1158"/>
      <c r="CJ13" s="3274">
        <f>ЦО_логистика!BK13+'Форд Тягач'!CJ13+'MAN Blue KA1783HI'!BU13+'MAN green KA2790IE'!BU13+'MAN №3 white KA7837HO'!BU13+'MAN №4 white KA3597HO'!BU13+'MAN №5 Тент МД'!BK13</f>
        <v>0</v>
      </c>
      <c r="CK13" s="3274">
        <f>ЦО_логистика!BL13+'Форд Тягач'!CK13+'MAN Blue KA1783HI'!BV13+'MAN green KA2790IE'!BV13+'MAN №3 white KA7837HO'!BV13+'MAN №4 white KA3597HO'!BV13+'MAN №5 Тент МД'!BL13</f>
        <v>0</v>
      </c>
      <c r="CL13" s="3286">
        <f>CJ13+CK13*1</f>
        <v>0</v>
      </c>
      <c r="CM13" s="3284">
        <f t="shared" si="15"/>
        <v>0</v>
      </c>
      <c r="CN13" s="1158"/>
      <c r="CO13" s="3274">
        <f>ЦО_логистика!BP13+'Форд Тягач'!CO13+'MAN Blue KA1783HI'!BZ13+'MAN green KA2790IE'!BZ13+'MAN №3 white KA7837HO'!BZ13+'MAN №4 white KA3597HO'!BZ13+'MAN №5 Тент МД'!BP13</f>
        <v>0</v>
      </c>
      <c r="CP13" s="3274">
        <f>ЦО_логистика!BQ13+'Форд Тягач'!CP13+'MAN Blue KA1783HI'!CA13+'MAN green KA2790IE'!CA13+'MAN №3 white KA7837HO'!CA13+'MAN №4 white KA3597HO'!CA13+'MAN №5 Тент МД'!BQ13</f>
        <v>0</v>
      </c>
      <c r="CQ13" s="3286">
        <f>CO13+CP13*1</f>
        <v>0</v>
      </c>
      <c r="CR13" s="3284">
        <f t="shared" si="16"/>
        <v>0</v>
      </c>
      <c r="CS13" s="1158"/>
      <c r="CT13" s="3274">
        <f>ЦО_логистика!BU13+'Форд Тягач'!CT13+'MAN Blue KA1783HI'!CE13+'MAN green KA2790IE'!CE13+'MAN №3 white KA7837HO'!CE13+'MAN №4 white KA3597HO'!CE13+'MAN №5 Тент МД'!BU13</f>
        <v>0</v>
      </c>
      <c r="CU13" s="3274">
        <f>ЦО_логистика!BV13+'Форд Тягач'!CU13+'MAN Blue KA1783HI'!CF13+'MAN green KA2790IE'!CF13+'MAN №3 white KA7837HO'!CF13+'MAN №4 white KA3597HO'!CF13+'MAN №5 Тент МД'!BV13</f>
        <v>0</v>
      </c>
      <c r="CV13" s="3286">
        <f>CT13+CU13*1</f>
        <v>0</v>
      </c>
      <c r="CW13" s="3284">
        <f t="shared" si="17"/>
        <v>0</v>
      </c>
      <c r="CX13" s="1158"/>
      <c r="CY13" s="3274">
        <f>ЦО_логистика!BZ13+'Форд Тягач'!CY13+'MAN Blue KA1783HI'!CJ13+'MAN green KA2790IE'!CJ13+'MAN №3 white KA7837HO'!CJ13+'MAN №4 white KA3597HO'!CJ13+'MAN №5 Тент МД'!BZ13</f>
        <v>0</v>
      </c>
      <c r="CZ13" s="3274">
        <f>ЦО_логистика!CA13+'Форд Тягач'!CZ13+'MAN Blue KA1783HI'!CK13+'MAN green KA2790IE'!CK13+'MAN №3 white KA7837HO'!CK13+'MAN №4 white KA3597HO'!CK13+'MAN №5 Тент МД'!CA13</f>
        <v>0</v>
      </c>
      <c r="DA13" s="3286">
        <f>CY13+CZ13*1</f>
        <v>0</v>
      </c>
      <c r="DB13" s="3284">
        <f t="shared" si="18"/>
        <v>0</v>
      </c>
      <c r="DC13" s="1158"/>
      <c r="DD13" s="3274">
        <f>ЦО_логистика!CE13+'Форд Тягач'!DD13+'MAN Blue KA1783HI'!CO13+'MAN green KA2790IE'!CO13+'MAN №3 white KA7837HO'!CO13+'MAN №4 white KA3597HO'!CO13+'MAN №5 Тент МД'!CE13</f>
        <v>0</v>
      </c>
      <c r="DE13" s="3274">
        <f>ЦО_логистика!CF13+'Форд Тягач'!DE13+'MAN Blue KA1783HI'!CP13+'MAN green KA2790IE'!CP13+'MAN №3 white KA7837HO'!CP13+'MAN №4 white KA3597HO'!CP13+'MAN №5 Тент МД'!CF13</f>
        <v>0</v>
      </c>
      <c r="DF13" s="3286">
        <f>DD13+DE13*1</f>
        <v>0</v>
      </c>
      <c r="DG13" s="3284">
        <f t="shared" si="19"/>
        <v>0</v>
      </c>
      <c r="DH13" s="1158"/>
      <c r="DI13" s="3274">
        <f>ЦО_логистика!CJ13+'Форд Тягач'!DI13+'MAN Blue KA1783HI'!CT13+'MAN green KA2790IE'!CT13+'MAN №3 white KA7837HO'!CT13+'MAN №4 white KA3597HO'!CT13+'MAN №5 Тент МД'!CJ13</f>
        <v>0</v>
      </c>
      <c r="DJ13" s="3274">
        <f>ЦО_логистика!CK13+'Форд Тягач'!DJ13+'MAN Blue KA1783HI'!CU13+'MAN green KA2790IE'!CU13+'MAN №3 white KA7837HO'!CU13+'MAN №4 white KA3597HO'!CU13+'MAN №5 Тент МД'!CK13</f>
        <v>0</v>
      </c>
      <c r="DK13" s="3286">
        <f>DI13+DJ13*1</f>
        <v>0</v>
      </c>
      <c r="DL13" s="3284">
        <f t="shared" si="20"/>
        <v>0</v>
      </c>
      <c r="DM13" s="1158"/>
      <c r="DN13" s="3288">
        <f t="shared" si="34"/>
        <v>0</v>
      </c>
      <c r="DO13" s="3288">
        <f t="shared" si="35"/>
        <v>0</v>
      </c>
      <c r="DP13" s="3283">
        <f t="shared" si="36"/>
        <v>0</v>
      </c>
      <c r="DQ13" s="3284">
        <f t="shared" si="1"/>
        <v>0</v>
      </c>
      <c r="DR13" s="3275"/>
      <c r="DS13" s="916"/>
      <c r="DT13" s="916"/>
    </row>
    <row r="14" spans="1:124" s="1411" customFormat="1" ht="29.4" customHeight="1" x14ac:dyDescent="0.25">
      <c r="A14" s="1586"/>
      <c r="B14" s="1061" t="s">
        <v>70</v>
      </c>
      <c r="C14" s="3274">
        <v>0</v>
      </c>
      <c r="D14" s="3274">
        <v>0</v>
      </c>
      <c r="E14" s="3283">
        <v>0</v>
      </c>
      <c r="F14" s="3284">
        <v>0</v>
      </c>
      <c r="G14" s="1449"/>
      <c r="H14" s="3274">
        <v>0</v>
      </c>
      <c r="I14" s="3274">
        <v>0</v>
      </c>
      <c r="J14" s="3283">
        <v>0</v>
      </c>
      <c r="K14" s="3284">
        <v>0</v>
      </c>
      <c r="L14" s="1449">
        <v>0</v>
      </c>
      <c r="M14" s="3274">
        <v>0</v>
      </c>
      <c r="N14" s="3274">
        <v>0</v>
      </c>
      <c r="O14" s="3283">
        <v>0</v>
      </c>
      <c r="P14" s="3284">
        <v>0</v>
      </c>
      <c r="Q14" s="1449">
        <v>0</v>
      </c>
      <c r="R14" s="3288">
        <f>'Форд Тягач'!R14+'MAN Blue KA1783HI'!C14+'MAN green KA2790IE'!C14+'MAN №3 white KA7837HO'!C14+'MAN №4 white KA3597HO'!C14</f>
        <v>0</v>
      </c>
      <c r="S14" s="3274">
        <f>'Форд Тягач'!S14+'MAN Blue KA1783HI'!D14+'MAN green KA2790IE'!D14+'MAN №3 white KA7837HO'!D14+'MAN №4 white KA3597HO'!D14</f>
        <v>0</v>
      </c>
      <c r="T14" s="3283">
        <f t="shared" si="22"/>
        <v>0</v>
      </c>
      <c r="U14" s="3284">
        <f t="shared" si="0"/>
        <v>0</v>
      </c>
      <c r="V14" s="1449"/>
      <c r="W14" s="3274">
        <f>'Форд Тягач'!W14+'MAN Blue KA1783HI'!H14+'MAN green KA2790IE'!H14+'MAN №3 white KA7837HO'!H14+'MAN №4 white KA3597HO'!H14</f>
        <v>0</v>
      </c>
      <c r="X14" s="3274">
        <f>'Форд Тягач'!X14+'MAN Blue KA1783HI'!I14+'MAN green KA2790IE'!I14+'MAN №3 white KA7837HO'!I14+'MAN №4 white KA3597HO'!I14</f>
        <v>0</v>
      </c>
      <c r="Y14" s="3283">
        <f t="shared" si="23"/>
        <v>0</v>
      </c>
      <c r="Z14" s="3284">
        <f t="shared" si="24"/>
        <v>0</v>
      </c>
      <c r="AA14" s="1449"/>
      <c r="AB14" s="3274">
        <f>ЦО_логистика!C14+'Форд Тягач'!AB14+'MAN Blue KA1783HI'!M14+'MAN green KA2790IE'!M14+'MAN №3 white KA7837HO'!M14+'MAN №4 white KA3597HO'!M14+'MAN №5 Тент МД'!C14</f>
        <v>0</v>
      </c>
      <c r="AC14" s="3274">
        <f>ЦО_логистика!D14+'Форд Тягач'!AC14+'MAN Blue KA1783HI'!N14+'MAN green KA2790IE'!N14+'MAN №3 white KA7837HO'!N14+'MAN №4 white KA3597HO'!N14+'MAN №5 Тент МД'!D14</f>
        <v>0</v>
      </c>
      <c r="AD14" s="3283">
        <f t="shared" si="25"/>
        <v>0</v>
      </c>
      <c r="AE14" s="3284">
        <f t="shared" si="2"/>
        <v>0</v>
      </c>
      <c r="AF14" s="1449"/>
      <c r="AG14" s="3274">
        <f>ЦО_логистика!H14+'Форд Тягач'!AG14+'MAN Blue KA1783HI'!R14+'MAN green KA2790IE'!R14+'MAN №3 white KA7837HO'!R14+'MAN №4 white KA3597HO'!R14+'MAN №5 Тент МД'!H14</f>
        <v>0</v>
      </c>
      <c r="AH14" s="3274">
        <f>ЦО_логистика!I14+'Форд Тягач'!AH14+'MAN Blue KA1783HI'!S14+'MAN green KA2790IE'!S14+'MAN №3 white KA7837HO'!S14+'MAN №4 white KA3597HO'!S14+'MAN №5 Тент МД'!I14</f>
        <v>0</v>
      </c>
      <c r="AI14" s="3283">
        <f t="shared" si="26"/>
        <v>0</v>
      </c>
      <c r="AJ14" s="3284">
        <f t="shared" si="3"/>
        <v>0</v>
      </c>
      <c r="AK14" s="1449"/>
      <c r="AL14" s="3274">
        <f>ЦО_логистика!M14+'Форд Тягач'!AL14+'MAN Blue KA1783HI'!W14+'MAN green KA2790IE'!W14+'MAN №3 white KA7837HO'!W14+'MAN №4 white KA3597HO'!W14+'MAN №5 Тент МД'!M14</f>
        <v>0</v>
      </c>
      <c r="AM14" s="3274">
        <f>ЦО_логистика!N14+'Форд Тягач'!AM14+'MAN Blue KA1783HI'!X14+'MAN green KA2790IE'!X14+'MAN №3 white KA7837HO'!X14+'MAN №4 white KA3597HO'!X14+'MAN №5 Тент МД'!N14</f>
        <v>0</v>
      </c>
      <c r="AN14" s="3283">
        <f t="shared" si="27"/>
        <v>0</v>
      </c>
      <c r="AO14" s="3284">
        <f t="shared" si="4"/>
        <v>0</v>
      </c>
      <c r="AP14" s="3275" t="str">
        <f>CONCATENATE(ЦО_логистика!Q14,'Форд Тягач'!AP14,'MAN Blue KA1783HI'!AA14,'MAN green KA2790IE'!AA14,'MAN №3 white KA7837HO'!AF14,'MAN №4 white KA3597HO'!AA14,'MAN №5 Тент МД'!Q14)</f>
        <v/>
      </c>
      <c r="AQ14" s="3274">
        <f>SUM(ЦО_логистика!R14,'Форд Тягач'!AQ14,'MAN Blue KA1783HI'!AB14,'MAN green KA2790IE'!AB14,'MAN №3 white KA7837HO'!AB14,'MAN №4 white KA3597HO'!AB14,'MAN №5 Тент МД'!R14)</f>
        <v>0</v>
      </c>
      <c r="AR14" s="3274">
        <f>SUM(ЦО_логистика!S14,'Форд Тягач'!AR14,'MAN Blue KA1783HI'!AC14,'MAN green KA2790IE'!AC14,'MAN №3 white KA7837HO'!AC14,'MAN №4 white KA3597HO'!AC14,'MAN №5 Тент МД'!S14)</f>
        <v>0</v>
      </c>
      <c r="AS14" s="3283">
        <f t="shared" si="28"/>
        <v>0</v>
      </c>
      <c r="AT14" s="3284">
        <f t="shared" si="5"/>
        <v>0</v>
      </c>
      <c r="AU14" s="3275" t="str">
        <f>CONCATENATE(ЦО_логистика!V14,'Форд Тягач'!AU14,'MAN Blue KA1783HI'!AF13,'MAN green KA2790IE'!AF14,'MAN №3 white KA7837HO'!AF14,'MAN №4 white KA3597HO'!AF14,'MAN №5 Тент МД'!V14)</f>
        <v/>
      </c>
      <c r="AV14" s="3275">
        <f>+ЦО_логистика!W14+'Форд Тягач'!AV14+'MAN Blue KA1783HI'!AG14+'MAN green KA2790IE'!AG14+'MAN №3 white KA7837HO'!AG14+'MAN №4 white KA3597HO'!AG14+'MAN №5 Тент МД'!W14</f>
        <v>0</v>
      </c>
      <c r="AW14" s="3275">
        <f>+ЦО_логистика!X14+'Форд Тягач'!AW14+'MAN Blue KA1783HI'!AH14+'MAN green KA2790IE'!AH14+'MAN №3 white KA7837HO'!AH14+'MAN №4 white KA3597HO'!AH14+'MAN №5 Тент МД'!X14</f>
        <v>0</v>
      </c>
      <c r="AX14" s="3283">
        <f t="shared" si="29"/>
        <v>0</v>
      </c>
      <c r="AY14" s="3284">
        <f t="shared" si="6"/>
        <v>0</v>
      </c>
      <c r="AZ14" s="3275"/>
      <c r="BA14" s="3275">
        <f t="shared" si="7"/>
        <v>0</v>
      </c>
      <c r="BB14" s="3275">
        <f t="shared" si="7"/>
        <v>0</v>
      </c>
      <c r="BC14" s="3283">
        <f t="shared" si="30"/>
        <v>0</v>
      </c>
      <c r="BD14" s="3284">
        <f t="shared" si="8"/>
        <v>0</v>
      </c>
      <c r="BE14" s="3275">
        <f>ЦО_логистика!AD14+'Форд Тягач'!BC14+'MAN Blue KA1783HI'!AN14+'MAN green KA2790IE'!AN14+'MAN №3 white KA7837HO'!AN14+'MAN №4 white KA3597HO'!AN14+'MAN №5 Тент МД'!AD14-BC14</f>
        <v>0</v>
      </c>
      <c r="BF14" s="3274">
        <f>ЦО_логистика!AG14+'Форд Тягач'!BF14+'MAN Blue KA1783HI'!AQ14+'MAN green KA2790IE'!AQ14+'MAN №3 white KA7837HO'!AQ14+'MAN №4 white KA3597HO'!AQ14+'MAN №5 Тент МД'!AG14</f>
        <v>0</v>
      </c>
      <c r="BG14" s="3274">
        <f>ЦО_логистика!AH14+'Форд Тягач'!BG14+'MAN Blue KA1783HI'!AR14+'MAN green KA2790IE'!AR14+'MAN №3 white KA7837HO'!AR14+'MAN №4 white KA3597HO'!AR14+'MAN №5 Тент МД'!AH14</f>
        <v>0</v>
      </c>
      <c r="BH14" s="3283">
        <f t="shared" si="31"/>
        <v>0</v>
      </c>
      <c r="BI14" s="3284">
        <f t="shared" si="9"/>
        <v>0</v>
      </c>
      <c r="BJ14" s="3275"/>
      <c r="BK14" s="3275">
        <f>ЦО_логистика!AL14+'Форд Тягач'!BK14+'MAN Blue KA1783HI'!AV14+'MAN green KA2790IE'!AV14+'MAN №3 white KA7837HO'!AV14+'MAN №4 white KA3597HO'!AV14+'MAN №5 Тент МД'!AL14</f>
        <v>0</v>
      </c>
      <c r="BL14" s="3275">
        <f>ЦО_логистика!AM14+'Форд Тягач'!BL14+'MAN Blue KA1783HI'!AW14+'MAN green KA2790IE'!AW14+'MAN №3 white KA7837HO'!AW14+'MAN №4 white KA3597HO'!AW14+'MAN №5 Тент МД'!AM14</f>
        <v>0</v>
      </c>
      <c r="BM14" s="3283">
        <f t="shared" si="32"/>
        <v>0</v>
      </c>
      <c r="BN14" s="3284">
        <f t="shared" si="10"/>
        <v>0</v>
      </c>
      <c r="BO14" s="3275"/>
      <c r="BP14" s="3274">
        <f>ЦО_логистика!AQ14+'Форд Тягач'!BP14+'MAN Blue KA1783HI'!BA14+'MAN green KA2790IE'!BA14+'MAN №3 white KA7837HO'!BA14+'MAN №4 white KA3597HO'!BA14+'MAN №5 Тент МД'!AQ14</f>
        <v>0</v>
      </c>
      <c r="BQ14" s="3274">
        <f>ЦО_логистика!AR14+'Форд Тягач'!BQ14+'MAN Blue KA1783HI'!BB14+'MAN green KA2790IE'!BB14+'MAN №3 white KA7837HO'!BB14+'MAN №4 white KA3597HO'!BB14+'MAN №5 Тент МД'!AR14</f>
        <v>0</v>
      </c>
      <c r="BR14" s="3286">
        <f t="shared" si="33"/>
        <v>0</v>
      </c>
      <c r="BS14" s="3284">
        <f t="shared" si="11"/>
        <v>0</v>
      </c>
      <c r="BT14" s="1158"/>
      <c r="BU14" s="3274">
        <f>ЦО_логистика!AV14+'Форд Тягач'!BU14+'MAN Blue KA1783HI'!BF14+'MAN green KA2790IE'!BF14+'MAN №3 white KA7837HO'!BF14+'MAN №4 white KA3597HO'!BF14+'MAN №5 Тент МД'!AV14</f>
        <v>0</v>
      </c>
      <c r="BV14" s="3274">
        <f>ЦО_логистика!AW14+'Форд Тягач'!BV14+'MAN Blue KA1783HI'!BG14+'MAN green KA2790IE'!BG14+'MAN №3 white KA7837HO'!BG14+'MAN №4 white KA3597HO'!BG14+'MAN №5 Тент МД'!AW14</f>
        <v>0</v>
      </c>
      <c r="BW14" s="3286">
        <f t="shared" ref="BW14:BW33" si="37">BU14+BV14*1</f>
        <v>0</v>
      </c>
      <c r="BX14" s="3284">
        <f t="shared" si="12"/>
        <v>0</v>
      </c>
      <c r="BY14" s="1158"/>
      <c r="BZ14" s="3274">
        <f>ЦО_логистика!BA14+'Форд Тягач'!BZ14+'MAN Blue KA1783HI'!BK14+'MAN green KA2790IE'!BK14+'MAN №3 white KA7837HO'!BK14+'MAN №4 white KA3597HO'!BK14+'MAN №5 Тент МД'!BA14</f>
        <v>0</v>
      </c>
      <c r="CA14" s="3274">
        <f>ЦО_логистика!BB14+'Форд Тягач'!CA14+'MAN Blue KA1783HI'!BL14+'MAN green KA2790IE'!BL14+'MAN №3 white KA7837HO'!BL14+'MAN №4 white KA3597HO'!BL14+'MAN №5 Тент МД'!BB14</f>
        <v>0</v>
      </c>
      <c r="CB14" s="3286">
        <f t="shared" ref="CB14:CB33" si="38">BZ14+CA14*1</f>
        <v>0</v>
      </c>
      <c r="CC14" s="3284">
        <f t="shared" si="13"/>
        <v>0</v>
      </c>
      <c r="CD14" s="1158"/>
      <c r="CE14" s="3274">
        <f>ЦО_логистика!BF14+'Форд Тягач'!CE14+'MAN Blue KA1783HI'!BP14+'MAN green KA2790IE'!BP14+'MAN №3 white KA7837HO'!BP14+'MAN №4 white KA3597HO'!BP14+'MAN №5 Тент МД'!BF14</f>
        <v>0</v>
      </c>
      <c r="CF14" s="3274">
        <f>ЦО_логистика!BG14+'Форд Тягач'!CF14+'MAN Blue KA1783HI'!BQ14+'MAN green KA2790IE'!BQ14+'MAN №3 white KA7837HO'!BQ14+'MAN №4 white KA3597HO'!BQ14+'MAN №5 Тент МД'!BG14</f>
        <v>0</v>
      </c>
      <c r="CG14" s="3286">
        <f t="shared" ref="CG14:CG33" si="39">CE14+CF14*1</f>
        <v>0</v>
      </c>
      <c r="CH14" s="3284">
        <f t="shared" si="14"/>
        <v>0</v>
      </c>
      <c r="CI14" s="1158"/>
      <c r="CJ14" s="3274">
        <f>ЦО_логистика!BK14+'Форд Тягач'!CJ14+'MAN Blue KA1783HI'!BU14+'MAN green KA2790IE'!BU14+'MAN №3 white KA7837HO'!BU14+'MAN №4 white KA3597HO'!BU14+'MAN №5 Тент МД'!BK14</f>
        <v>0</v>
      </c>
      <c r="CK14" s="3274">
        <f>ЦО_логистика!BL14+'Форд Тягач'!CK14+'MAN Blue KA1783HI'!BV14+'MAN green KA2790IE'!BV14+'MAN №3 white KA7837HO'!BV14+'MAN №4 white KA3597HO'!BV14+'MAN №5 Тент МД'!BL14</f>
        <v>0</v>
      </c>
      <c r="CL14" s="3286">
        <f t="shared" ref="CL14:CL33" si="40">CJ14+CK14*1</f>
        <v>0</v>
      </c>
      <c r="CM14" s="3284">
        <f t="shared" si="15"/>
        <v>0</v>
      </c>
      <c r="CN14" s="1158"/>
      <c r="CO14" s="3274">
        <f>ЦО_логистика!BP14+'Форд Тягач'!CO14+'MAN Blue KA1783HI'!BZ14+'MAN green KA2790IE'!BZ14+'MAN №3 white KA7837HO'!BZ14+'MAN №4 white KA3597HO'!BZ14+'MAN №5 Тент МД'!BP14</f>
        <v>0</v>
      </c>
      <c r="CP14" s="3274">
        <f>ЦО_логистика!BQ14+'Форд Тягач'!CP14+'MAN Blue KA1783HI'!CA14+'MAN green KA2790IE'!CA14+'MAN №3 white KA7837HO'!CA14+'MAN №4 white KA3597HO'!CA14+'MAN №5 Тент МД'!BQ14</f>
        <v>0</v>
      </c>
      <c r="CQ14" s="3286">
        <f t="shared" ref="CQ14:CQ33" si="41">CO14+CP14*1</f>
        <v>0</v>
      </c>
      <c r="CR14" s="3284">
        <f t="shared" si="16"/>
        <v>0</v>
      </c>
      <c r="CS14" s="1158"/>
      <c r="CT14" s="3274">
        <f>ЦО_логистика!BU14+'Форд Тягач'!CT14+'MAN Blue KA1783HI'!CE14+'MAN green KA2790IE'!CE14+'MAN №3 white KA7837HO'!CE14+'MAN №4 white KA3597HO'!CE14+'MAN №5 Тент МД'!BU14</f>
        <v>0</v>
      </c>
      <c r="CU14" s="3274">
        <f>ЦО_логистика!BV14+'Форд Тягач'!CU14+'MAN Blue KA1783HI'!CF14+'MAN green KA2790IE'!CF14+'MAN №3 white KA7837HO'!CF14+'MAN №4 white KA3597HO'!CF14+'MAN №5 Тент МД'!BV14</f>
        <v>0</v>
      </c>
      <c r="CV14" s="3286">
        <f t="shared" ref="CV14:CV33" si="42">CT14+CU14*1</f>
        <v>0</v>
      </c>
      <c r="CW14" s="3284">
        <f t="shared" si="17"/>
        <v>0</v>
      </c>
      <c r="CX14" s="1158"/>
      <c r="CY14" s="3274">
        <f>ЦО_логистика!BZ14+'Форд Тягач'!CY14+'MAN Blue KA1783HI'!CJ14+'MAN green KA2790IE'!CJ14+'MAN №3 white KA7837HO'!CJ14+'MAN №4 white KA3597HO'!CJ14+'MAN №5 Тент МД'!BZ14</f>
        <v>0</v>
      </c>
      <c r="CZ14" s="3274">
        <f>ЦО_логистика!CA14+'Форд Тягач'!CZ14+'MAN Blue KA1783HI'!CK14+'MAN green KA2790IE'!CK14+'MAN №3 white KA7837HO'!CK14+'MAN №4 white KA3597HO'!CK14+'MAN №5 Тент МД'!CA14</f>
        <v>0</v>
      </c>
      <c r="DA14" s="3286">
        <f t="shared" ref="DA14:DA33" si="43">CY14+CZ14*1</f>
        <v>0</v>
      </c>
      <c r="DB14" s="3284">
        <f t="shared" si="18"/>
        <v>0</v>
      </c>
      <c r="DC14" s="1158"/>
      <c r="DD14" s="3274">
        <f>ЦО_логистика!CE14+'Форд Тягач'!DD14+'MAN Blue KA1783HI'!CO14+'MAN green KA2790IE'!CO14+'MAN №3 white KA7837HO'!CO14+'MAN №4 white KA3597HO'!CO14+'MAN №5 Тент МД'!CE14</f>
        <v>0</v>
      </c>
      <c r="DE14" s="3274">
        <f>ЦО_логистика!CF14+'Форд Тягач'!DE14+'MAN Blue KA1783HI'!CP14+'MAN green KA2790IE'!CP14+'MAN №3 white KA7837HO'!CP14+'MAN №4 white KA3597HO'!CP14+'MAN №5 Тент МД'!CF14</f>
        <v>0</v>
      </c>
      <c r="DF14" s="3286">
        <f t="shared" ref="DF14:DF33" si="44">DD14+DE14*1</f>
        <v>0</v>
      </c>
      <c r="DG14" s="3284">
        <f t="shared" si="19"/>
        <v>0</v>
      </c>
      <c r="DH14" s="1158"/>
      <c r="DI14" s="3274">
        <f>ЦО_логистика!CJ14+'Форд Тягач'!DI14+'MAN Blue KA1783HI'!CT14+'MAN green KA2790IE'!CT14+'MAN №3 white KA7837HO'!CT14+'MAN №4 white KA3597HO'!CT14+'MAN №5 Тент МД'!CJ14</f>
        <v>0</v>
      </c>
      <c r="DJ14" s="3274">
        <f>ЦО_логистика!CK14+'Форд Тягач'!DJ14+'MAN Blue KA1783HI'!CU14+'MAN green KA2790IE'!CU14+'MAN №3 white KA7837HO'!CU14+'MAN №4 white KA3597HO'!CU14+'MAN №5 Тент МД'!CK14</f>
        <v>0</v>
      </c>
      <c r="DK14" s="3286">
        <f t="shared" ref="DK14:DK33" si="45">DI14+DJ14*1</f>
        <v>0</v>
      </c>
      <c r="DL14" s="3284">
        <f t="shared" si="20"/>
        <v>0</v>
      </c>
      <c r="DM14" s="1158"/>
      <c r="DN14" s="3288">
        <f t="shared" si="34"/>
        <v>0</v>
      </c>
      <c r="DO14" s="3288">
        <f t="shared" si="35"/>
        <v>0</v>
      </c>
      <c r="DP14" s="3283">
        <f t="shared" si="36"/>
        <v>0</v>
      </c>
      <c r="DQ14" s="3284">
        <f t="shared" si="1"/>
        <v>0</v>
      </c>
      <c r="DR14" s="3275"/>
      <c r="DS14" s="916"/>
      <c r="DT14" s="916"/>
    </row>
    <row r="15" spans="1:124" s="1411" customFormat="1" ht="29.4" customHeight="1" x14ac:dyDescent="0.25">
      <c r="A15" s="1586"/>
      <c r="B15" s="3289" t="s">
        <v>20</v>
      </c>
      <c r="C15" s="3274">
        <v>0</v>
      </c>
      <c r="D15" s="3274">
        <v>0</v>
      </c>
      <c r="E15" s="3283">
        <v>0</v>
      </c>
      <c r="F15" s="3284">
        <v>0</v>
      </c>
      <c r="G15" s="1449"/>
      <c r="H15" s="3274">
        <v>0</v>
      </c>
      <c r="I15" s="3274">
        <v>0</v>
      </c>
      <c r="J15" s="3283">
        <v>0</v>
      </c>
      <c r="K15" s="3284">
        <v>0</v>
      </c>
      <c r="L15" s="1449">
        <v>0</v>
      </c>
      <c r="M15" s="3274">
        <v>0</v>
      </c>
      <c r="N15" s="3274">
        <v>0</v>
      </c>
      <c r="O15" s="3283">
        <v>0</v>
      </c>
      <c r="P15" s="3284">
        <v>0</v>
      </c>
      <c r="Q15" s="1449">
        <v>0</v>
      </c>
      <c r="R15" s="3288">
        <f>'Форд Тягач'!R15+'MAN Blue KA1783HI'!C15+'MAN green KA2790IE'!C15+'MAN №3 white KA7837HO'!C15+'MAN №4 white KA3597HO'!C15</f>
        <v>0</v>
      </c>
      <c r="S15" s="3274">
        <f>'Форд Тягач'!S15+'MAN Blue KA1783HI'!D15+'MAN green KA2790IE'!D15+'MAN №3 white KA7837HO'!D15+'MAN №4 white KA3597HO'!D15</f>
        <v>0</v>
      </c>
      <c r="T15" s="3283">
        <f t="shared" si="22"/>
        <v>0</v>
      </c>
      <c r="U15" s="3284">
        <f t="shared" si="0"/>
        <v>0</v>
      </c>
      <c r="V15" s="1449"/>
      <c r="W15" s="3274">
        <f>'Форд Тягач'!W15+'MAN Blue KA1783HI'!H15+'MAN green KA2790IE'!H15+'MAN №3 white KA7837HO'!H15+'MAN №4 white KA3597HO'!H15</f>
        <v>0</v>
      </c>
      <c r="X15" s="3274">
        <f>'Форд Тягач'!X15+'MAN Blue KA1783HI'!I15+'MAN green KA2790IE'!I15+'MAN №3 white KA7837HO'!I15+'MAN №4 white KA3597HO'!I15</f>
        <v>0</v>
      </c>
      <c r="Y15" s="3283">
        <f t="shared" si="23"/>
        <v>0</v>
      </c>
      <c r="Z15" s="3284">
        <f t="shared" si="24"/>
        <v>0</v>
      </c>
      <c r="AA15" s="1449"/>
      <c r="AB15" s="3274">
        <f>ЦО_логистика!C15+'Форд Тягач'!AB15+'MAN Blue KA1783HI'!M15+'MAN green KA2790IE'!M15+'MAN №3 white KA7837HO'!M15+'MAN №4 white KA3597HO'!M15+'MAN №5 Тент МД'!C15</f>
        <v>0</v>
      </c>
      <c r="AC15" s="3274">
        <f>ЦО_логистика!D15+'Форд Тягач'!AC15+'MAN Blue KA1783HI'!N15+'MAN green KA2790IE'!N15+'MAN №3 white KA7837HO'!N15+'MAN №4 white KA3597HO'!N15+'MAN №5 Тент МД'!D15</f>
        <v>0</v>
      </c>
      <c r="AD15" s="3283">
        <f t="shared" si="25"/>
        <v>0</v>
      </c>
      <c r="AE15" s="3284">
        <f t="shared" si="2"/>
        <v>0</v>
      </c>
      <c r="AF15" s="1449"/>
      <c r="AG15" s="3274">
        <f>ЦО_логистика!H15+'Форд Тягач'!AG15+'MAN Blue KA1783HI'!R15+'MAN green KA2790IE'!R15+'MAN №3 white KA7837HO'!R15+'MAN №4 white KA3597HO'!R15+'MAN №5 Тент МД'!H15</f>
        <v>0</v>
      </c>
      <c r="AH15" s="3274">
        <f>ЦО_логистика!I15+'Форд Тягач'!AH15+'MAN Blue KA1783HI'!S15+'MAN green KA2790IE'!S15+'MAN №3 white KA7837HO'!S15+'MAN №4 white KA3597HO'!S15+'MAN №5 Тент МД'!I15</f>
        <v>0</v>
      </c>
      <c r="AI15" s="3283">
        <f t="shared" si="26"/>
        <v>0</v>
      </c>
      <c r="AJ15" s="3284">
        <f t="shared" si="3"/>
        <v>0</v>
      </c>
      <c r="AK15" s="1449"/>
      <c r="AL15" s="3274">
        <f>ЦО_логистика!M15+'Форд Тягач'!AL15+'MAN Blue KA1783HI'!W15+'MAN green KA2790IE'!W15+'MAN №3 white KA7837HO'!W15+'MAN №4 white KA3597HO'!W15+'MAN №5 Тент МД'!M15</f>
        <v>0</v>
      </c>
      <c r="AM15" s="3274">
        <f>ЦО_логистика!N15+'Форд Тягач'!AM15+'MAN Blue KA1783HI'!X15+'MAN green KA2790IE'!X15+'MAN №3 white KA7837HO'!X15+'MAN №4 white KA3597HO'!X15+'MAN №5 Тент МД'!N15</f>
        <v>0</v>
      </c>
      <c r="AN15" s="3283">
        <f t="shared" si="27"/>
        <v>0</v>
      </c>
      <c r="AO15" s="3284">
        <f t="shared" si="4"/>
        <v>0</v>
      </c>
      <c r="AP15" s="3275" t="str">
        <f>CONCATENATE(ЦО_логистика!Q15,'Форд Тягач'!AP15,'MAN Blue KA1783HI'!AA15,'MAN green KA2790IE'!AA15,'MAN №3 white KA7837HO'!AF15,'MAN №4 white KA3597HO'!AA15,'MAN №5 Тент МД'!Q15)</f>
        <v/>
      </c>
      <c r="AQ15" s="3274">
        <f>SUM(ЦО_логистика!R15,'Форд Тягач'!AQ15,'MAN Blue KA1783HI'!AB15,'MAN green KA2790IE'!AB15,'MAN №3 white KA7837HO'!AB15,'MAN №4 white KA3597HO'!AB15,'MAN №5 Тент МД'!R15)</f>
        <v>0</v>
      </c>
      <c r="AR15" s="3274">
        <f>SUM(ЦО_логистика!S15,'Форд Тягач'!AR15,'MAN Blue KA1783HI'!AC15,'MAN green KA2790IE'!AC15,'MAN №3 white KA7837HO'!AC15,'MAN №4 white KA3597HO'!AC15,'MAN №5 Тент МД'!S15)</f>
        <v>0</v>
      </c>
      <c r="AS15" s="3283">
        <f t="shared" si="28"/>
        <v>0</v>
      </c>
      <c r="AT15" s="3284">
        <f t="shared" si="5"/>
        <v>0</v>
      </c>
      <c r="AU15" s="3275" t="str">
        <f>CONCATENATE(ЦО_логистика!V15,'Форд Тягач'!AU15,'MAN Blue KA1783HI'!AF14,'MAN green KA2790IE'!AF15,'MAN №3 white KA7837HO'!AF15,'MAN №4 white KA3597HO'!AF15,'MAN №5 Тент МД'!V15)</f>
        <v/>
      </c>
      <c r="AV15" s="3275">
        <f>+ЦО_логистика!W15+'Форд Тягач'!AV15+'MAN Blue KA1783HI'!AG15+'MAN green KA2790IE'!AG15+'MAN №3 white KA7837HO'!AG15+'MAN №4 white KA3597HO'!AG15+'MAN №5 Тент МД'!W15</f>
        <v>0</v>
      </c>
      <c r="AW15" s="3275">
        <f>+ЦО_логистика!X15+'Форд Тягач'!AW15+'MAN Blue KA1783HI'!AH15+'MAN green KA2790IE'!AH15+'MAN №3 white KA7837HO'!AH15+'MAN №4 white KA3597HO'!AH15+'MAN №5 Тент МД'!X15</f>
        <v>0</v>
      </c>
      <c r="AX15" s="3283">
        <f t="shared" si="29"/>
        <v>0</v>
      </c>
      <c r="AY15" s="3284">
        <f t="shared" si="6"/>
        <v>0</v>
      </c>
      <c r="AZ15" s="3275"/>
      <c r="BA15" s="3275">
        <f t="shared" si="7"/>
        <v>0</v>
      </c>
      <c r="BB15" s="3275">
        <f t="shared" si="7"/>
        <v>0</v>
      </c>
      <c r="BC15" s="3283">
        <f t="shared" si="30"/>
        <v>0</v>
      </c>
      <c r="BD15" s="3284">
        <f t="shared" si="8"/>
        <v>0</v>
      </c>
      <c r="BE15" s="3275">
        <f>ЦО_логистика!AD15+'Форд Тягач'!BC15+'MAN Blue KA1783HI'!AN15+'MAN green KA2790IE'!AN15+'MAN №3 white KA7837HO'!AN15+'MAN №4 white KA3597HO'!AN15+'MAN №5 Тент МД'!AD15-BC15</f>
        <v>0</v>
      </c>
      <c r="BF15" s="3274">
        <f>ЦО_логистика!AG15+'Форд Тягач'!BF15+'MAN Blue KA1783HI'!AQ15+'MAN green KA2790IE'!AQ15+'MAN №3 white KA7837HO'!AQ15+'MAN №4 white KA3597HO'!AQ15+'MAN №5 Тент МД'!AG15</f>
        <v>0</v>
      </c>
      <c r="BG15" s="3274">
        <f>ЦО_логистика!AH15+'Форд Тягач'!BG15+'MAN Blue KA1783HI'!AR15+'MAN green KA2790IE'!AR15+'MAN №3 white KA7837HO'!AR15+'MAN №4 white KA3597HO'!AR15+'MAN №5 Тент МД'!AH15</f>
        <v>0</v>
      </c>
      <c r="BH15" s="3283">
        <f t="shared" si="31"/>
        <v>0</v>
      </c>
      <c r="BI15" s="3284">
        <f t="shared" si="9"/>
        <v>0</v>
      </c>
      <c r="BJ15" s="3275"/>
      <c r="BK15" s="3275">
        <f>ЦО_логистика!AL15+'Форд Тягач'!BK15+'MAN Blue KA1783HI'!AV15+'MAN green KA2790IE'!AV15+'MAN №3 white KA7837HO'!AV15+'MAN №4 white KA3597HO'!AV15+'MAN №5 Тент МД'!AL15</f>
        <v>0</v>
      </c>
      <c r="BL15" s="3275">
        <f>ЦО_логистика!AM15+'Форд Тягач'!BL15+'MAN Blue KA1783HI'!AW15+'MAN green KA2790IE'!AW15+'MAN №3 white KA7837HO'!AW15+'MAN №4 white KA3597HO'!AW15+'MAN №5 Тент МД'!AM15</f>
        <v>0</v>
      </c>
      <c r="BM15" s="3283">
        <f t="shared" si="32"/>
        <v>0</v>
      </c>
      <c r="BN15" s="3284">
        <f t="shared" si="10"/>
        <v>0</v>
      </c>
      <c r="BO15" s="3275"/>
      <c r="BP15" s="3274">
        <f>ЦО_логистика!AQ15+'Форд Тягач'!BP15+'MAN Blue KA1783HI'!BA15+'MAN green KA2790IE'!BA15+'MAN №3 white KA7837HO'!BA15+'MAN №4 white KA3597HO'!BA15+'MAN №5 Тент МД'!AQ15</f>
        <v>0</v>
      </c>
      <c r="BQ15" s="3274">
        <f>ЦО_логистика!AR15+'Форд Тягач'!BQ15+'MAN Blue KA1783HI'!BB15+'MAN green KA2790IE'!BB15+'MAN №3 white KA7837HO'!BB15+'MAN №4 white KA3597HO'!BB15+'MAN №5 Тент МД'!AR15</f>
        <v>0</v>
      </c>
      <c r="BR15" s="3286">
        <f t="shared" si="33"/>
        <v>0</v>
      </c>
      <c r="BS15" s="3284">
        <f t="shared" si="11"/>
        <v>0</v>
      </c>
      <c r="BT15" s="1158"/>
      <c r="BU15" s="3274">
        <f>ЦО_логистика!AV15+'Форд Тягач'!BU15+'MAN Blue KA1783HI'!BF15+'MAN green KA2790IE'!BF15+'MAN №3 white KA7837HO'!BF15+'MAN №4 white KA3597HO'!BF15+'MAN №5 Тент МД'!AV15</f>
        <v>0</v>
      </c>
      <c r="BV15" s="3274">
        <f>ЦО_логистика!AW15+'Форд Тягач'!BV15+'MAN Blue KA1783HI'!BG15+'MAN green KA2790IE'!BG15+'MAN №3 white KA7837HO'!BG15+'MAN №4 white KA3597HO'!BG15+'MAN №5 Тент МД'!AW15</f>
        <v>0</v>
      </c>
      <c r="BW15" s="3286">
        <f t="shared" si="37"/>
        <v>0</v>
      </c>
      <c r="BX15" s="3284">
        <f t="shared" si="12"/>
        <v>0</v>
      </c>
      <c r="BY15" s="1158"/>
      <c r="BZ15" s="3274">
        <f>ЦО_логистика!BA15+'Форд Тягач'!BZ15+'MAN Blue KA1783HI'!BK15+'MAN green KA2790IE'!BK15+'MAN №3 white KA7837HO'!BK15+'MAN №4 white KA3597HO'!BK15+'MAN №5 Тент МД'!BA15</f>
        <v>0</v>
      </c>
      <c r="CA15" s="3274">
        <f>ЦО_логистика!BB15+'Форд Тягач'!CA15+'MAN Blue KA1783HI'!BL15+'MAN green KA2790IE'!BL15+'MAN №3 white KA7837HO'!BL15+'MAN №4 white KA3597HO'!BL15+'MAN №5 Тент МД'!BB15</f>
        <v>0</v>
      </c>
      <c r="CB15" s="3286">
        <f t="shared" si="38"/>
        <v>0</v>
      </c>
      <c r="CC15" s="3284">
        <f t="shared" si="13"/>
        <v>0</v>
      </c>
      <c r="CD15" s="1158"/>
      <c r="CE15" s="3274">
        <f>ЦО_логистика!BF15+'Форд Тягач'!CE15+'MAN Blue KA1783HI'!BP15+'MAN green KA2790IE'!BP15+'MAN №3 white KA7837HO'!BP15+'MAN №4 white KA3597HO'!BP15+'MAN №5 Тент МД'!BF15</f>
        <v>0</v>
      </c>
      <c r="CF15" s="3274">
        <f>ЦО_логистика!BG15+'Форд Тягач'!CF15+'MAN Blue KA1783HI'!BQ15+'MAN green KA2790IE'!BQ15+'MAN №3 white KA7837HO'!BQ15+'MAN №4 white KA3597HO'!BQ15+'MAN №5 Тент МД'!BG15</f>
        <v>0</v>
      </c>
      <c r="CG15" s="3286">
        <f t="shared" si="39"/>
        <v>0</v>
      </c>
      <c r="CH15" s="3284">
        <f t="shared" si="14"/>
        <v>0</v>
      </c>
      <c r="CI15" s="1158"/>
      <c r="CJ15" s="3274">
        <f>ЦО_логистика!BK15+'Форд Тягач'!CJ15+'MAN Blue KA1783HI'!BU15+'MAN green KA2790IE'!BU15+'MAN №3 white KA7837HO'!BU15+'MAN №4 white KA3597HO'!BU15+'MAN №5 Тент МД'!BK15</f>
        <v>0</v>
      </c>
      <c r="CK15" s="3274">
        <f>ЦО_логистика!BL15+'Форд Тягач'!CK15+'MAN Blue KA1783HI'!BV15+'MAN green KA2790IE'!BV15+'MAN №3 white KA7837HO'!BV15+'MAN №4 white KA3597HO'!BV15+'MAN №5 Тент МД'!BL15</f>
        <v>0</v>
      </c>
      <c r="CL15" s="3286">
        <f t="shared" si="40"/>
        <v>0</v>
      </c>
      <c r="CM15" s="3284">
        <f t="shared" si="15"/>
        <v>0</v>
      </c>
      <c r="CN15" s="1158"/>
      <c r="CO15" s="3274">
        <f>ЦО_логистика!BP15+'Форд Тягач'!CO15+'MAN Blue KA1783HI'!BZ15+'MAN green KA2790IE'!BZ15+'MAN №3 white KA7837HO'!BZ15+'MAN №4 white KA3597HO'!BZ15+'MAN №5 Тент МД'!BP15</f>
        <v>0</v>
      </c>
      <c r="CP15" s="3274">
        <f>ЦО_логистика!BQ15+'Форд Тягач'!CP15+'MAN Blue KA1783HI'!CA15+'MAN green KA2790IE'!CA15+'MAN №3 white KA7837HO'!CA15+'MAN №4 white KA3597HO'!CA15+'MAN №5 Тент МД'!BQ15</f>
        <v>0</v>
      </c>
      <c r="CQ15" s="3286">
        <f t="shared" si="41"/>
        <v>0</v>
      </c>
      <c r="CR15" s="3284">
        <f t="shared" si="16"/>
        <v>0</v>
      </c>
      <c r="CS15" s="1158"/>
      <c r="CT15" s="3274">
        <f>ЦО_логистика!BU15+'Форд Тягач'!CT15+'MAN Blue KA1783HI'!CE15+'MAN green KA2790IE'!CE15+'MAN №3 white KA7837HO'!CE15+'MAN №4 white KA3597HO'!CE15+'MAN №5 Тент МД'!BU15</f>
        <v>0</v>
      </c>
      <c r="CU15" s="3274">
        <f>ЦО_логистика!BV15+'Форд Тягач'!CU15+'MAN Blue KA1783HI'!CF15+'MAN green KA2790IE'!CF15+'MAN №3 white KA7837HO'!CF15+'MAN №4 white KA3597HO'!CF15+'MAN №5 Тент МД'!BV15</f>
        <v>0</v>
      </c>
      <c r="CV15" s="3286">
        <f t="shared" si="42"/>
        <v>0</v>
      </c>
      <c r="CW15" s="3284">
        <f t="shared" si="17"/>
        <v>0</v>
      </c>
      <c r="CX15" s="1158"/>
      <c r="CY15" s="3274">
        <f>ЦО_логистика!BZ15+'Форд Тягач'!CY15+'MAN Blue KA1783HI'!CJ15+'MAN green KA2790IE'!CJ15+'MAN №3 white KA7837HO'!CJ15+'MAN №4 white KA3597HO'!CJ15+'MAN №5 Тент МД'!BZ15</f>
        <v>0</v>
      </c>
      <c r="CZ15" s="3274">
        <f>ЦО_логистика!CA15+'Форд Тягач'!CZ15+'MAN Blue KA1783HI'!CK15+'MAN green KA2790IE'!CK15+'MAN №3 white KA7837HO'!CK15+'MAN №4 white KA3597HO'!CK15+'MAN №5 Тент МД'!CA15</f>
        <v>0</v>
      </c>
      <c r="DA15" s="3286">
        <f t="shared" si="43"/>
        <v>0</v>
      </c>
      <c r="DB15" s="3284">
        <f t="shared" si="18"/>
        <v>0</v>
      </c>
      <c r="DC15" s="1158"/>
      <c r="DD15" s="3274">
        <f>ЦО_логистика!CE15+'Форд Тягач'!DD15+'MAN Blue KA1783HI'!CO15+'MAN green KA2790IE'!CO15+'MAN №3 white KA7837HO'!CO15+'MAN №4 white KA3597HO'!CO15+'MAN №5 Тент МД'!CE15</f>
        <v>0</v>
      </c>
      <c r="DE15" s="3274">
        <f>ЦО_логистика!CF15+'Форд Тягач'!DE15+'MAN Blue KA1783HI'!CP15+'MAN green KA2790IE'!CP15+'MAN №3 white KA7837HO'!CP15+'MAN №4 white KA3597HO'!CP15+'MAN №5 Тент МД'!CF15</f>
        <v>0</v>
      </c>
      <c r="DF15" s="3286">
        <f t="shared" si="44"/>
        <v>0</v>
      </c>
      <c r="DG15" s="3284">
        <f t="shared" si="19"/>
        <v>0</v>
      </c>
      <c r="DH15" s="1158"/>
      <c r="DI15" s="3274">
        <f>ЦО_логистика!CJ15+'Форд Тягач'!DI15+'MAN Blue KA1783HI'!CT15+'MAN green KA2790IE'!CT15+'MAN №3 white KA7837HO'!CT15+'MAN №4 white KA3597HO'!CT15+'MAN №5 Тент МД'!CJ15</f>
        <v>0</v>
      </c>
      <c r="DJ15" s="3274">
        <f>ЦО_логистика!CK15+'Форд Тягач'!DJ15+'MAN Blue KA1783HI'!CU15+'MAN green KA2790IE'!CU15+'MAN №3 white KA7837HO'!CU15+'MAN №4 white KA3597HO'!CU15+'MAN №5 Тент МД'!CK15</f>
        <v>0</v>
      </c>
      <c r="DK15" s="3286">
        <f t="shared" si="45"/>
        <v>0</v>
      </c>
      <c r="DL15" s="3284">
        <f t="shared" si="20"/>
        <v>0</v>
      </c>
      <c r="DM15" s="1158"/>
      <c r="DN15" s="3288">
        <f t="shared" si="34"/>
        <v>0</v>
      </c>
      <c r="DO15" s="3288">
        <f t="shared" si="35"/>
        <v>0</v>
      </c>
      <c r="DP15" s="3283">
        <f t="shared" si="36"/>
        <v>0</v>
      </c>
      <c r="DQ15" s="3284">
        <f t="shared" si="1"/>
        <v>0</v>
      </c>
      <c r="DR15" s="3275"/>
      <c r="DS15" s="916"/>
      <c r="DT15" s="916"/>
    </row>
    <row r="16" spans="1:124" s="1411" customFormat="1" ht="29.4" customHeight="1" x14ac:dyDescent="0.25">
      <c r="A16" s="3290"/>
      <c r="B16" s="3289" t="s">
        <v>21</v>
      </c>
      <c r="C16" s="3274">
        <v>0</v>
      </c>
      <c r="D16" s="3274">
        <v>0</v>
      </c>
      <c r="E16" s="3283">
        <v>0</v>
      </c>
      <c r="F16" s="3284">
        <v>0</v>
      </c>
      <c r="G16" s="1449"/>
      <c r="H16" s="3274">
        <v>0</v>
      </c>
      <c r="I16" s="3274">
        <v>0</v>
      </c>
      <c r="J16" s="3283">
        <v>0</v>
      </c>
      <c r="K16" s="3284">
        <v>0</v>
      </c>
      <c r="L16" s="1449">
        <v>0</v>
      </c>
      <c r="M16" s="3274">
        <v>0</v>
      </c>
      <c r="N16" s="3274">
        <v>0</v>
      </c>
      <c r="O16" s="3283">
        <v>0</v>
      </c>
      <c r="P16" s="3284">
        <v>0</v>
      </c>
      <c r="Q16" s="1449">
        <v>0</v>
      </c>
      <c r="R16" s="3288">
        <f>'Форд Тягач'!R16+'MAN Blue KA1783HI'!C16+'MAN green KA2790IE'!C16+'MAN №3 white KA7837HO'!C16+'MAN №4 white KA3597HO'!C16</f>
        <v>0</v>
      </c>
      <c r="S16" s="3274">
        <f>'Форд Тягач'!S16+'MAN Blue KA1783HI'!D16+'MAN green KA2790IE'!D16+'MAN №3 white KA7837HO'!D16+'MAN №4 white KA3597HO'!D16</f>
        <v>0</v>
      </c>
      <c r="T16" s="3283">
        <f t="shared" si="22"/>
        <v>0</v>
      </c>
      <c r="U16" s="3284">
        <f t="shared" si="0"/>
        <v>0</v>
      </c>
      <c r="V16" s="1449"/>
      <c r="W16" s="3274">
        <f>'Форд Тягач'!W16+'MAN Blue KA1783HI'!H16+'MAN green KA2790IE'!H16+'MAN №3 white KA7837HO'!H16+'MAN №4 white KA3597HO'!H16</f>
        <v>0</v>
      </c>
      <c r="X16" s="3274">
        <f>'Форд Тягач'!X16+'MAN Blue KA1783HI'!I16+'MAN green KA2790IE'!I16+'MAN №3 white KA7837HO'!I16+'MAN №4 white KA3597HO'!I16</f>
        <v>0</v>
      </c>
      <c r="Y16" s="3283">
        <f t="shared" si="23"/>
        <v>0</v>
      </c>
      <c r="Z16" s="3284">
        <f t="shared" si="24"/>
        <v>0</v>
      </c>
      <c r="AA16" s="1449"/>
      <c r="AB16" s="3274">
        <f>ЦО_логистика!C16+'Форд Тягач'!AB16+'MAN Blue KA1783HI'!M16+'MAN green KA2790IE'!M16+'MAN №3 white KA7837HO'!M16+'MAN №4 white KA3597HO'!M16+'MAN №5 Тент МД'!C16</f>
        <v>0</v>
      </c>
      <c r="AC16" s="3274">
        <f>ЦО_логистика!D16+'Форд Тягач'!AC16+'MAN Blue KA1783HI'!N16+'MAN green KA2790IE'!N16+'MAN №3 white KA7837HO'!N16+'MAN №4 white KA3597HO'!N16+'MAN №5 Тент МД'!D16</f>
        <v>0</v>
      </c>
      <c r="AD16" s="3283">
        <f t="shared" si="25"/>
        <v>0</v>
      </c>
      <c r="AE16" s="3284">
        <f t="shared" si="2"/>
        <v>0</v>
      </c>
      <c r="AF16" s="1449"/>
      <c r="AG16" s="3274">
        <f>ЦО_логистика!H16+'Форд Тягач'!AG16+'MAN Blue KA1783HI'!R16+'MAN green KA2790IE'!R16+'MAN №3 white KA7837HO'!R16+'MAN №4 white KA3597HO'!R16+'MAN №5 Тент МД'!H16</f>
        <v>0</v>
      </c>
      <c r="AH16" s="3274">
        <f>ЦО_логистика!I16+'Форд Тягач'!AH16+'MAN Blue KA1783HI'!S16+'MAN green KA2790IE'!S16+'MAN №3 white KA7837HO'!S16+'MAN №4 white KA3597HO'!S16+'MAN №5 Тент МД'!I16</f>
        <v>0</v>
      </c>
      <c r="AI16" s="3283">
        <f t="shared" si="26"/>
        <v>0</v>
      </c>
      <c r="AJ16" s="3284">
        <f t="shared" si="3"/>
        <v>0</v>
      </c>
      <c r="AK16" s="1449"/>
      <c r="AL16" s="3274">
        <f>ЦО_логистика!M16+'Форд Тягач'!AL16+'MAN Blue KA1783HI'!W16+'MAN green KA2790IE'!W16+'MAN №3 white KA7837HO'!W16+'MAN №4 white KA3597HO'!W16+'MAN №5 Тент МД'!M16</f>
        <v>0</v>
      </c>
      <c r="AM16" s="3274">
        <f>ЦО_логистика!N16+'Форд Тягач'!AM16+'MAN Blue KA1783HI'!X16+'MAN green KA2790IE'!X16+'MAN №3 white KA7837HO'!X16+'MAN №4 white KA3597HO'!X16+'MAN №5 Тент МД'!N16</f>
        <v>0</v>
      </c>
      <c r="AN16" s="3283">
        <f t="shared" si="27"/>
        <v>0</v>
      </c>
      <c r="AO16" s="3284">
        <f t="shared" si="4"/>
        <v>0</v>
      </c>
      <c r="AP16" s="3275" t="str">
        <f>CONCATENATE(ЦО_логистика!Q16,'Форд Тягач'!AP16,'MAN Blue KA1783HI'!AA16,'MAN green KA2790IE'!AA16,'MAN №3 white KA7837HO'!AF16,'MAN №4 white KA3597HO'!AA16,'MAN №5 Тент МД'!Q16)</f>
        <v/>
      </c>
      <c r="AQ16" s="3274">
        <f>SUM(ЦО_логистика!R16,'Форд Тягач'!AQ16,'MAN Blue KA1783HI'!AB16,'MAN green KA2790IE'!AB16,'MAN №3 white KA7837HO'!AB16,'MAN №4 white KA3597HO'!AB16,'MAN №5 Тент МД'!R16)</f>
        <v>0</v>
      </c>
      <c r="AR16" s="3274">
        <f>SUM(ЦО_логистика!S16,'Форд Тягач'!AR16,'MAN Blue KA1783HI'!AC16,'MAN green KA2790IE'!AC16,'MAN №3 white KA7837HO'!AC16,'MAN №4 white KA3597HO'!AC16,'MAN №5 Тент МД'!S16)</f>
        <v>0</v>
      </c>
      <c r="AS16" s="3283">
        <f t="shared" si="28"/>
        <v>0</v>
      </c>
      <c r="AT16" s="3284">
        <f t="shared" si="5"/>
        <v>0</v>
      </c>
      <c r="AU16" s="3275" t="str">
        <f>CONCATENATE(ЦО_логистика!V16,'Форд Тягач'!AU16,'MAN Blue KA1783HI'!AF15,'MAN green KA2790IE'!AF16,'MAN №3 white KA7837HO'!AF16,'MAN №4 white KA3597HO'!AF16,'MAN №5 Тент МД'!V16)</f>
        <v/>
      </c>
      <c r="AV16" s="3275">
        <f>+ЦО_логистика!W16+'Форд Тягач'!AV16+'MAN Blue KA1783HI'!AG16+'MAN green KA2790IE'!AG16+'MAN №3 white KA7837HO'!AG16+'MAN №4 white KA3597HO'!AG16+'MAN №5 Тент МД'!W16</f>
        <v>0</v>
      </c>
      <c r="AW16" s="3275">
        <f>+ЦО_логистика!X16+'Форд Тягач'!AW16+'MAN Blue KA1783HI'!AH16+'MAN green KA2790IE'!AH16+'MAN №3 white KA7837HO'!AH16+'MAN №4 white KA3597HO'!AH16+'MAN №5 Тент МД'!X16</f>
        <v>0</v>
      </c>
      <c r="AX16" s="3283">
        <f t="shared" si="29"/>
        <v>0</v>
      </c>
      <c r="AY16" s="3284">
        <f t="shared" si="6"/>
        <v>0</v>
      </c>
      <c r="AZ16" s="3275"/>
      <c r="BA16" s="3275">
        <f t="shared" si="7"/>
        <v>0</v>
      </c>
      <c r="BB16" s="3275">
        <f t="shared" si="7"/>
        <v>0</v>
      </c>
      <c r="BC16" s="3283">
        <f t="shared" si="30"/>
        <v>0</v>
      </c>
      <c r="BD16" s="3284">
        <f t="shared" si="8"/>
        <v>0</v>
      </c>
      <c r="BE16" s="3275">
        <f>ЦО_логистика!AD16+'Форд Тягач'!BC16+'MAN Blue KA1783HI'!AN16+'MAN green KA2790IE'!AN16+'MAN №3 white KA7837HO'!AN16+'MAN №4 white KA3597HO'!AN16+'MAN №5 Тент МД'!AD16-BC16</f>
        <v>0</v>
      </c>
      <c r="BF16" s="3274">
        <f>ЦО_логистика!AG16+'Форд Тягач'!BF16+'MAN Blue KA1783HI'!AQ16+'MAN green KA2790IE'!AQ16+'MAN №3 white KA7837HO'!AQ16+'MAN №4 white KA3597HO'!AQ16+'MAN №5 Тент МД'!AG16</f>
        <v>0</v>
      </c>
      <c r="BG16" s="3274">
        <f>ЦО_логистика!AH16+'Форд Тягач'!BG16+'MAN Blue KA1783HI'!AR16+'MAN green KA2790IE'!AR16+'MAN №3 white KA7837HO'!AR16+'MAN №4 white KA3597HO'!AR16+'MAN №5 Тент МД'!AH16</f>
        <v>0</v>
      </c>
      <c r="BH16" s="3283">
        <f t="shared" si="31"/>
        <v>0</v>
      </c>
      <c r="BI16" s="3284">
        <f t="shared" si="9"/>
        <v>0</v>
      </c>
      <c r="BJ16" s="3275"/>
      <c r="BK16" s="3275">
        <f>ЦО_логистика!AL16+'Форд Тягач'!BK16+'MAN Blue KA1783HI'!AV16+'MAN green KA2790IE'!AV16+'MAN №3 white KA7837HO'!AV16+'MAN №4 white KA3597HO'!AV16+'MAN №5 Тент МД'!AL16</f>
        <v>0</v>
      </c>
      <c r="BL16" s="3275">
        <f>ЦО_логистика!AM16+'Форд Тягач'!BL16+'MAN Blue KA1783HI'!AW16+'MAN green KA2790IE'!AW16+'MAN №3 white KA7837HO'!AW16+'MAN №4 white KA3597HO'!AW16+'MAN №5 Тент МД'!AM16</f>
        <v>0</v>
      </c>
      <c r="BM16" s="3283">
        <f t="shared" si="32"/>
        <v>0</v>
      </c>
      <c r="BN16" s="3284">
        <f t="shared" si="10"/>
        <v>0</v>
      </c>
      <c r="BO16" s="3275"/>
      <c r="BP16" s="3274">
        <f>ЦО_логистика!AQ16+'Форд Тягач'!BP16+'MAN Blue KA1783HI'!BA16+'MAN green KA2790IE'!BA16+'MAN №3 white KA7837HO'!BA16+'MAN №4 white KA3597HO'!BA16+'MAN №5 Тент МД'!AQ16</f>
        <v>0</v>
      </c>
      <c r="BQ16" s="3274">
        <f>ЦО_логистика!AR16+'Форд Тягач'!BQ16+'MAN Blue KA1783HI'!BB16+'MAN green KA2790IE'!BB16+'MAN №3 white KA7837HO'!BB16+'MAN №4 white KA3597HO'!BB16+'MAN №5 Тент МД'!AR16</f>
        <v>0</v>
      </c>
      <c r="BR16" s="3286">
        <f t="shared" si="33"/>
        <v>0</v>
      </c>
      <c r="BS16" s="3284">
        <f t="shared" si="11"/>
        <v>0</v>
      </c>
      <c r="BT16" s="1158"/>
      <c r="BU16" s="3274">
        <f>ЦО_логистика!AV16+'Форд Тягач'!BU16+'MAN Blue KA1783HI'!BF16+'MAN green KA2790IE'!BF16+'MAN №3 white KA7837HO'!BF16+'MAN №4 white KA3597HO'!BF16+'MAN №5 Тент МД'!AV16</f>
        <v>0</v>
      </c>
      <c r="BV16" s="3274">
        <f>ЦО_логистика!AW16+'Форд Тягач'!BV16+'MAN Blue KA1783HI'!BG16+'MAN green KA2790IE'!BG16+'MAN №3 white KA7837HO'!BG16+'MAN №4 white KA3597HO'!BG16+'MAN №5 Тент МД'!AW16</f>
        <v>0</v>
      </c>
      <c r="BW16" s="3286">
        <f t="shared" si="37"/>
        <v>0</v>
      </c>
      <c r="BX16" s="3284">
        <f t="shared" si="12"/>
        <v>0</v>
      </c>
      <c r="BY16" s="1158"/>
      <c r="BZ16" s="3274">
        <f>ЦО_логистика!BA16+'Форд Тягач'!BZ16+'MAN Blue KA1783HI'!BK16+'MAN green KA2790IE'!BK16+'MAN №3 white KA7837HO'!BK16+'MAN №4 white KA3597HO'!BK16+'MAN №5 Тент МД'!BA16</f>
        <v>0</v>
      </c>
      <c r="CA16" s="3274">
        <f>ЦО_логистика!BB16+'Форд Тягач'!CA16+'MAN Blue KA1783HI'!BL16+'MAN green KA2790IE'!BL16+'MAN №3 white KA7837HO'!BL16+'MAN №4 white KA3597HO'!BL16+'MAN №5 Тент МД'!BB16</f>
        <v>0</v>
      </c>
      <c r="CB16" s="3286">
        <f t="shared" si="38"/>
        <v>0</v>
      </c>
      <c r="CC16" s="3284">
        <f t="shared" si="13"/>
        <v>0</v>
      </c>
      <c r="CD16" s="1158"/>
      <c r="CE16" s="3274">
        <f>ЦО_логистика!BF16+'Форд Тягач'!CE16+'MAN Blue KA1783HI'!BP16+'MAN green KA2790IE'!BP16+'MAN №3 white KA7837HO'!BP16+'MAN №4 white KA3597HO'!BP16+'MAN №5 Тент МД'!BF16</f>
        <v>0</v>
      </c>
      <c r="CF16" s="3274">
        <f>ЦО_логистика!BG16+'Форд Тягач'!CF16+'MAN Blue KA1783HI'!BQ16+'MAN green KA2790IE'!BQ16+'MAN №3 white KA7837HO'!BQ16+'MAN №4 white KA3597HO'!BQ16+'MAN №5 Тент МД'!BG16</f>
        <v>0</v>
      </c>
      <c r="CG16" s="3286">
        <f t="shared" si="39"/>
        <v>0</v>
      </c>
      <c r="CH16" s="3284">
        <f t="shared" si="14"/>
        <v>0</v>
      </c>
      <c r="CI16" s="1158"/>
      <c r="CJ16" s="3274">
        <f>ЦО_логистика!BK16+'Форд Тягач'!CJ16+'MAN Blue KA1783HI'!BU16+'MAN green KA2790IE'!BU16+'MAN №3 white KA7837HO'!BU16+'MAN №4 white KA3597HO'!BU16+'MAN №5 Тент МД'!BK16</f>
        <v>0</v>
      </c>
      <c r="CK16" s="3274">
        <f>ЦО_логистика!BL16+'Форд Тягач'!CK16+'MAN Blue KA1783HI'!BV16+'MAN green KA2790IE'!BV16+'MAN №3 white KA7837HO'!BV16+'MAN №4 white KA3597HO'!BV16+'MAN №5 Тент МД'!BL16</f>
        <v>0</v>
      </c>
      <c r="CL16" s="3286">
        <f t="shared" si="40"/>
        <v>0</v>
      </c>
      <c r="CM16" s="3284">
        <f t="shared" si="15"/>
        <v>0</v>
      </c>
      <c r="CN16" s="1158"/>
      <c r="CO16" s="3274">
        <f>ЦО_логистика!BP16+'Форд Тягач'!CO16+'MAN Blue KA1783HI'!BZ16+'MAN green KA2790IE'!BZ16+'MAN №3 white KA7837HO'!BZ16+'MAN №4 white KA3597HO'!BZ16+'MAN №5 Тент МД'!BP16</f>
        <v>0</v>
      </c>
      <c r="CP16" s="3274">
        <f>ЦО_логистика!BQ16+'Форд Тягач'!CP16+'MAN Blue KA1783HI'!CA16+'MAN green KA2790IE'!CA16+'MAN №3 white KA7837HO'!CA16+'MAN №4 white KA3597HO'!CA16+'MAN №5 Тент МД'!BQ16</f>
        <v>0</v>
      </c>
      <c r="CQ16" s="3286">
        <f t="shared" si="41"/>
        <v>0</v>
      </c>
      <c r="CR16" s="3284">
        <f t="shared" si="16"/>
        <v>0</v>
      </c>
      <c r="CS16" s="1158"/>
      <c r="CT16" s="3274">
        <f>ЦО_логистика!BU16+'Форд Тягач'!CT16+'MAN Blue KA1783HI'!CE16+'MAN green KA2790IE'!CE16+'MAN №3 white KA7837HO'!CE16+'MAN №4 white KA3597HO'!CE16+'MAN №5 Тент МД'!BU16</f>
        <v>0</v>
      </c>
      <c r="CU16" s="3274">
        <f>ЦО_логистика!BV16+'Форд Тягач'!CU16+'MAN Blue KA1783HI'!CF16+'MAN green KA2790IE'!CF16+'MAN №3 white KA7837HO'!CF16+'MAN №4 white KA3597HO'!CF16+'MAN №5 Тент МД'!BV16</f>
        <v>0</v>
      </c>
      <c r="CV16" s="3286">
        <f t="shared" si="42"/>
        <v>0</v>
      </c>
      <c r="CW16" s="3284">
        <f t="shared" si="17"/>
        <v>0</v>
      </c>
      <c r="CX16" s="1158"/>
      <c r="CY16" s="3274">
        <f>ЦО_логистика!BZ16+'Форд Тягач'!CY16+'MAN Blue KA1783HI'!CJ16+'MAN green KA2790IE'!CJ16+'MAN №3 white KA7837HO'!CJ16+'MAN №4 white KA3597HO'!CJ16+'MAN №5 Тент МД'!BZ16</f>
        <v>0</v>
      </c>
      <c r="CZ16" s="3274">
        <f>ЦО_логистика!CA16+'Форд Тягач'!CZ16+'MAN Blue KA1783HI'!CK16+'MAN green KA2790IE'!CK16+'MAN №3 white KA7837HO'!CK16+'MAN №4 white KA3597HO'!CK16+'MAN №5 Тент МД'!CA16</f>
        <v>0</v>
      </c>
      <c r="DA16" s="3286">
        <f t="shared" si="43"/>
        <v>0</v>
      </c>
      <c r="DB16" s="3284">
        <f t="shared" si="18"/>
        <v>0</v>
      </c>
      <c r="DC16" s="1158"/>
      <c r="DD16" s="3274">
        <f>ЦО_логистика!CE16+'Форд Тягач'!DD16+'MAN Blue KA1783HI'!CO16+'MAN green KA2790IE'!CO16+'MAN №3 white KA7837HO'!CO16+'MAN №4 white KA3597HO'!CO16+'MAN №5 Тент МД'!CE16</f>
        <v>0</v>
      </c>
      <c r="DE16" s="3274">
        <f>ЦО_логистика!CF16+'Форд Тягач'!DE16+'MAN Blue KA1783HI'!CP16+'MAN green KA2790IE'!CP16+'MAN №3 white KA7837HO'!CP16+'MAN №4 white KA3597HO'!CP16+'MAN №5 Тент МД'!CF16</f>
        <v>0</v>
      </c>
      <c r="DF16" s="3286">
        <f t="shared" si="44"/>
        <v>0</v>
      </c>
      <c r="DG16" s="3284">
        <f t="shared" si="19"/>
        <v>0</v>
      </c>
      <c r="DH16" s="1158"/>
      <c r="DI16" s="3274">
        <f>ЦО_логистика!CJ16+'Форд Тягач'!DI16+'MAN Blue KA1783HI'!CT16+'MAN green KA2790IE'!CT16+'MAN №3 white KA7837HO'!CT16+'MAN №4 white KA3597HO'!CT16+'MAN №5 Тент МД'!CJ16</f>
        <v>0</v>
      </c>
      <c r="DJ16" s="3274">
        <f>ЦО_логистика!CK16+'Форд Тягач'!DJ16+'MAN Blue KA1783HI'!CU16+'MAN green KA2790IE'!CU16+'MAN №3 white KA7837HO'!CU16+'MAN №4 white KA3597HO'!CU16+'MAN №5 Тент МД'!CK16</f>
        <v>0</v>
      </c>
      <c r="DK16" s="3286">
        <f t="shared" si="45"/>
        <v>0</v>
      </c>
      <c r="DL16" s="3284">
        <f t="shared" si="20"/>
        <v>0</v>
      </c>
      <c r="DM16" s="1158"/>
      <c r="DN16" s="3288">
        <f t="shared" si="34"/>
        <v>0</v>
      </c>
      <c r="DO16" s="3288">
        <f t="shared" si="35"/>
        <v>0</v>
      </c>
      <c r="DP16" s="3283">
        <f t="shared" si="36"/>
        <v>0</v>
      </c>
      <c r="DQ16" s="3284">
        <f t="shared" si="1"/>
        <v>0</v>
      </c>
      <c r="DR16" s="3275"/>
      <c r="DS16" s="916"/>
      <c r="DT16" s="916"/>
    </row>
    <row r="17" spans="1:124" s="1411" customFormat="1" ht="29.4" customHeight="1" x14ac:dyDescent="0.25">
      <c r="A17" s="1586"/>
      <c r="B17" s="3289" t="s">
        <v>22</v>
      </c>
      <c r="C17" s="3274">
        <v>0</v>
      </c>
      <c r="D17" s="3274">
        <v>0</v>
      </c>
      <c r="E17" s="3283">
        <v>0</v>
      </c>
      <c r="F17" s="3284">
        <v>0</v>
      </c>
      <c r="G17" s="1449"/>
      <c r="H17" s="3274">
        <v>0</v>
      </c>
      <c r="I17" s="3274">
        <v>0</v>
      </c>
      <c r="J17" s="3283">
        <v>0</v>
      </c>
      <c r="K17" s="3284">
        <v>0</v>
      </c>
      <c r="L17" s="1449">
        <v>0</v>
      </c>
      <c r="M17" s="3274">
        <v>0</v>
      </c>
      <c r="N17" s="3274">
        <v>0</v>
      </c>
      <c r="O17" s="3283">
        <v>0</v>
      </c>
      <c r="P17" s="3284">
        <v>0</v>
      </c>
      <c r="Q17" s="1449">
        <v>0</v>
      </c>
      <c r="R17" s="3288">
        <f>'Форд Тягач'!R17+'MAN Blue KA1783HI'!C17+'MAN green KA2790IE'!C17+'MAN №3 white KA7837HO'!C17+'MAN №4 white KA3597HO'!C17</f>
        <v>0</v>
      </c>
      <c r="S17" s="3274">
        <f>'Форд Тягач'!S17+'MAN Blue KA1783HI'!D17+'MAN green KA2790IE'!D17+'MAN №3 white KA7837HO'!D17+'MAN №4 white KA3597HO'!D17</f>
        <v>0</v>
      </c>
      <c r="T17" s="3283">
        <f t="shared" si="22"/>
        <v>0</v>
      </c>
      <c r="U17" s="3284">
        <f t="shared" si="0"/>
        <v>0</v>
      </c>
      <c r="V17" s="1449"/>
      <c r="W17" s="3274">
        <f>'Форд Тягач'!W17+'MAN Blue KA1783HI'!H17+'MAN green KA2790IE'!H17+'MAN №3 white KA7837HO'!H17+'MAN №4 white KA3597HO'!H17</f>
        <v>0</v>
      </c>
      <c r="X17" s="3274">
        <f>'Форд Тягач'!X17+'MAN Blue KA1783HI'!I17+'MAN green KA2790IE'!I17+'MAN №3 white KA7837HO'!I17+'MAN №4 white KA3597HO'!I17</f>
        <v>0</v>
      </c>
      <c r="Y17" s="3283">
        <f t="shared" si="23"/>
        <v>0</v>
      </c>
      <c r="Z17" s="3284">
        <f t="shared" si="24"/>
        <v>0</v>
      </c>
      <c r="AA17" s="1449"/>
      <c r="AB17" s="3274">
        <f>ЦО_логистика!C17+'Форд Тягач'!AB17+'MAN Blue KA1783HI'!M17+'MAN green KA2790IE'!M17+'MAN №3 white KA7837HO'!M17+'MAN №4 white KA3597HO'!M17+'MAN №5 Тент МД'!C17</f>
        <v>0</v>
      </c>
      <c r="AC17" s="3274">
        <f>ЦО_логистика!D17+'Форд Тягач'!AC17+'MAN Blue KA1783HI'!N17+'MAN green KA2790IE'!N17+'MAN №3 white KA7837HO'!N17+'MAN №4 white KA3597HO'!N17+'MAN №5 Тент МД'!D17</f>
        <v>0</v>
      </c>
      <c r="AD17" s="3283">
        <f t="shared" si="25"/>
        <v>0</v>
      </c>
      <c r="AE17" s="3284">
        <f t="shared" si="2"/>
        <v>0</v>
      </c>
      <c r="AF17" s="1449"/>
      <c r="AG17" s="3274">
        <f>ЦО_логистика!H17+'Форд Тягач'!AG17+'MAN Blue KA1783HI'!R17+'MAN green KA2790IE'!R17+'MAN №3 white KA7837HO'!R17+'MAN №4 white KA3597HO'!R17+'MAN №5 Тент МД'!H17</f>
        <v>0</v>
      </c>
      <c r="AH17" s="3274">
        <f>ЦО_логистика!I17+'Форд Тягач'!AH17+'MAN Blue KA1783HI'!S17+'MAN green KA2790IE'!S17+'MAN №3 white KA7837HO'!S17+'MAN №4 white KA3597HO'!S17+'MAN №5 Тент МД'!I17</f>
        <v>0</v>
      </c>
      <c r="AI17" s="3283">
        <f t="shared" si="26"/>
        <v>0</v>
      </c>
      <c r="AJ17" s="3284">
        <f t="shared" si="3"/>
        <v>0</v>
      </c>
      <c r="AK17" s="1449"/>
      <c r="AL17" s="3274">
        <f>ЦО_логистика!M17+'Форд Тягач'!AL17+'MAN Blue KA1783HI'!W17+'MAN green KA2790IE'!W17+'MAN №3 white KA7837HO'!W17+'MAN №4 white KA3597HO'!W17+'MAN №5 Тент МД'!M17</f>
        <v>0</v>
      </c>
      <c r="AM17" s="3274">
        <f>ЦО_логистика!N17+'Форд Тягач'!AM17+'MAN Blue KA1783HI'!X17+'MAN green KA2790IE'!X17+'MAN №3 white KA7837HO'!X17+'MAN №4 white KA3597HO'!X17+'MAN №5 Тент МД'!N17</f>
        <v>0</v>
      </c>
      <c r="AN17" s="3283">
        <f t="shared" si="27"/>
        <v>0</v>
      </c>
      <c r="AO17" s="3284">
        <f t="shared" si="4"/>
        <v>0</v>
      </c>
      <c r="AP17" s="3275" t="str">
        <f>CONCATENATE(ЦО_логистика!Q17,'Форд Тягач'!AP17,'MAN Blue KA1783HI'!AA17,'MAN green KA2790IE'!AA17,'MAN №3 white KA7837HO'!AF17,'MAN №4 white KA3597HO'!AA17,'MAN №5 Тент МД'!Q17)</f>
        <v>премия к НГ</v>
      </c>
      <c r="AQ17" s="3274">
        <f>SUM(ЦО_логистика!R17,'Форд Тягач'!AQ17,'MAN Blue KA1783HI'!AB17,'MAN green KA2790IE'!AB17,'MAN №3 white KA7837HO'!AB17,'MAN №4 white KA3597HO'!AB17,'MAN №5 Тент МД'!R17)</f>
        <v>0</v>
      </c>
      <c r="AR17" s="3274">
        <f>SUM(ЦО_логистика!S17,'Форд Тягач'!AR17,'MAN Blue KA1783HI'!AC17,'MAN green KA2790IE'!AC17,'MAN №3 white KA7837HO'!AC17,'MAN №4 white KA3597HO'!AC17,'MAN №5 Тент МД'!S17)</f>
        <v>0</v>
      </c>
      <c r="AS17" s="3283">
        <f t="shared" si="28"/>
        <v>0</v>
      </c>
      <c r="AT17" s="3284">
        <f t="shared" si="5"/>
        <v>0</v>
      </c>
      <c r="AU17" s="3275" t="str">
        <f>CONCATENATE(ЦО_логистика!V17,'Форд Тягач'!AU17,'MAN Blue KA1783HI'!AF16,'MAN green KA2790IE'!AF17,'MAN №3 white KA7837HO'!AF17,'MAN №4 white KA3597HO'!AF17,'MAN №5 Тент МД'!V17)</f>
        <v>Премия к НГпремия к НГ</v>
      </c>
      <c r="AV17" s="3275">
        <f>+ЦО_логистика!W17+'Форд Тягач'!AV17+'MAN Blue KA1783HI'!AG17+'MAN green KA2790IE'!AG17+'MAN №3 white KA7837HO'!AG17+'MAN №4 white KA3597HO'!AG17+'MAN №5 Тент МД'!W17</f>
        <v>0</v>
      </c>
      <c r="AW17" s="3275">
        <f>+ЦО_логистика!X17+'Форд Тягач'!AW17+'MAN Blue KA1783HI'!AH17+'MAN green KA2790IE'!AH17+'MAN №3 white KA7837HO'!AH17+'MAN №4 white KA3597HO'!AH17+'MAN №5 Тент МД'!X17</f>
        <v>0</v>
      </c>
      <c r="AX17" s="3283">
        <f t="shared" si="29"/>
        <v>0</v>
      </c>
      <c r="AY17" s="3284">
        <f t="shared" si="6"/>
        <v>0</v>
      </c>
      <c r="AZ17" s="3275"/>
      <c r="BA17" s="3275">
        <f t="shared" si="7"/>
        <v>0</v>
      </c>
      <c r="BB17" s="3275">
        <f t="shared" si="7"/>
        <v>0</v>
      </c>
      <c r="BC17" s="3283">
        <f t="shared" si="30"/>
        <v>0</v>
      </c>
      <c r="BD17" s="3284">
        <f t="shared" si="8"/>
        <v>0</v>
      </c>
      <c r="BE17" s="3275">
        <f>ЦО_логистика!AD17+'Форд Тягач'!BC17+'MAN Blue KA1783HI'!AN17+'MAN green KA2790IE'!AN17+'MAN №3 white KA7837HO'!AN17+'MAN №4 white KA3597HO'!AN17+'MAN №5 Тент МД'!AD17-BC17</f>
        <v>0</v>
      </c>
      <c r="BF17" s="3274">
        <f>ЦО_логистика!AG17+'Форд Тягач'!BF17+'MAN Blue KA1783HI'!AQ17+'MAN green KA2790IE'!AQ17+'MAN №3 white KA7837HO'!AQ17+'MAN №4 white KA3597HO'!AQ17+'MAN №5 Тент МД'!AG17</f>
        <v>0</v>
      </c>
      <c r="BG17" s="3274">
        <f>ЦО_логистика!AH17+'Форд Тягач'!BG17+'MAN Blue KA1783HI'!AR17+'MAN green KA2790IE'!AR17+'MAN №3 white KA7837HO'!AR17+'MAN №4 white KA3597HO'!AR17+'MAN №5 Тент МД'!AH17</f>
        <v>0</v>
      </c>
      <c r="BH17" s="3283">
        <f t="shared" si="31"/>
        <v>0</v>
      </c>
      <c r="BI17" s="3284">
        <f t="shared" si="9"/>
        <v>0</v>
      </c>
      <c r="BJ17" s="3275"/>
      <c r="BK17" s="3275">
        <f>ЦО_логистика!AL17+'Форд Тягач'!BK17+'MAN Blue KA1783HI'!AV17+'MAN green KA2790IE'!AV17+'MAN №3 white KA7837HO'!AV17+'MAN №4 white KA3597HO'!AV17+'MAN №5 Тент МД'!AL17</f>
        <v>0</v>
      </c>
      <c r="BL17" s="3275">
        <f>ЦО_логистика!AM17+'Форд Тягач'!BL17+'MAN Blue KA1783HI'!AW17+'MAN green KA2790IE'!AW17+'MAN №3 white KA7837HO'!AW17+'MAN №4 white KA3597HO'!AW17+'MAN №5 Тент МД'!AM17</f>
        <v>0</v>
      </c>
      <c r="BM17" s="3283">
        <f t="shared" si="32"/>
        <v>0</v>
      </c>
      <c r="BN17" s="3284">
        <f t="shared" si="10"/>
        <v>0</v>
      </c>
      <c r="BO17" s="3275"/>
      <c r="BP17" s="3274">
        <f>ЦО_логистика!AQ17+'Форд Тягач'!BP17+'MAN Blue KA1783HI'!BA17+'MAN green KA2790IE'!BA17+'MAN №3 white KA7837HO'!BA17+'MAN №4 white KA3597HO'!BA17+'MAN №5 Тент МД'!AQ17</f>
        <v>0</v>
      </c>
      <c r="BQ17" s="3274">
        <f>ЦО_логистика!AR17+'Форд Тягач'!BQ17+'MAN Blue KA1783HI'!BB17+'MAN green KA2790IE'!BB17+'MAN №3 white KA7837HO'!BB17+'MAN №4 white KA3597HO'!BB17+'MAN №5 Тент МД'!AR17</f>
        <v>0</v>
      </c>
      <c r="BR17" s="3286">
        <f t="shared" si="33"/>
        <v>0</v>
      </c>
      <c r="BS17" s="3284">
        <f t="shared" si="11"/>
        <v>0</v>
      </c>
      <c r="BT17" s="1158"/>
      <c r="BU17" s="3274">
        <f>ЦО_логистика!AV17+'Форд Тягач'!BU17+'MAN Blue KA1783HI'!BF17+'MAN green KA2790IE'!BF17+'MAN №3 white KA7837HO'!BF17+'MAN №4 white KA3597HO'!BF17+'MAN №5 Тент МД'!AV17</f>
        <v>0</v>
      </c>
      <c r="BV17" s="3274">
        <f>ЦО_логистика!AW17+'Форд Тягач'!BV17+'MAN Blue KA1783HI'!BG17+'MAN green KA2790IE'!BG17+'MAN №3 white KA7837HO'!BG17+'MAN №4 white KA3597HO'!BG17+'MAN №5 Тент МД'!AW17</f>
        <v>0</v>
      </c>
      <c r="BW17" s="3286">
        <f t="shared" si="37"/>
        <v>0</v>
      </c>
      <c r="BX17" s="3284">
        <f t="shared" si="12"/>
        <v>0</v>
      </c>
      <c r="BY17" s="1158"/>
      <c r="BZ17" s="3274">
        <f>ЦО_логистика!BA17+'Форд Тягач'!BZ17+'MAN Blue KA1783HI'!BK17+'MAN green KA2790IE'!BK17+'MAN №3 white KA7837HO'!BK17+'MAN №4 white KA3597HO'!BK17+'MAN №5 Тент МД'!BA17</f>
        <v>0</v>
      </c>
      <c r="CA17" s="3274">
        <f>ЦО_логистика!BB17+'Форд Тягач'!CA17+'MAN Blue KA1783HI'!BL17+'MAN green KA2790IE'!BL17+'MAN №3 white KA7837HO'!BL17+'MAN №4 white KA3597HO'!BL17+'MAN №5 Тент МД'!BB17</f>
        <v>0</v>
      </c>
      <c r="CB17" s="3286">
        <f t="shared" si="38"/>
        <v>0</v>
      </c>
      <c r="CC17" s="3284">
        <f t="shared" si="13"/>
        <v>0</v>
      </c>
      <c r="CD17" s="1158"/>
      <c r="CE17" s="3274">
        <f>ЦО_логистика!BF17+'Форд Тягач'!CE17+'MAN Blue KA1783HI'!BP17+'MAN green KA2790IE'!BP17+'MAN №3 white KA7837HO'!BP17+'MAN №4 white KA3597HO'!BP17+'MAN №5 Тент МД'!BF17</f>
        <v>0</v>
      </c>
      <c r="CF17" s="3274">
        <f>ЦО_логистика!BG17+'Форд Тягач'!CF17+'MAN Blue KA1783HI'!BQ17+'MAN green KA2790IE'!BQ17+'MAN №3 white KA7837HO'!BQ17+'MAN №4 white KA3597HO'!BQ17+'MAN №5 Тент МД'!BG17</f>
        <v>0</v>
      </c>
      <c r="CG17" s="3286">
        <f t="shared" si="39"/>
        <v>0</v>
      </c>
      <c r="CH17" s="3284">
        <f t="shared" si="14"/>
        <v>0</v>
      </c>
      <c r="CI17" s="1158"/>
      <c r="CJ17" s="3274">
        <f>ЦО_логистика!BK17+'Форд Тягач'!CJ17+'MAN Blue KA1783HI'!BU17+'MAN green KA2790IE'!BU17+'MAN №3 white KA7837HO'!BU17+'MAN №4 white KA3597HO'!BU17+'MAN №5 Тент МД'!BK17</f>
        <v>0</v>
      </c>
      <c r="CK17" s="3274">
        <f>ЦО_логистика!BL17+'Форд Тягач'!CK17+'MAN Blue KA1783HI'!BV17+'MAN green KA2790IE'!BV17+'MAN №3 white KA7837HO'!BV17+'MAN №4 white KA3597HO'!BV17+'MAN №5 Тент МД'!BL17</f>
        <v>0</v>
      </c>
      <c r="CL17" s="3286">
        <f t="shared" si="40"/>
        <v>0</v>
      </c>
      <c r="CM17" s="3284">
        <f t="shared" si="15"/>
        <v>0</v>
      </c>
      <c r="CN17" s="1158"/>
      <c r="CO17" s="3274">
        <f>ЦО_логистика!BP17+'Форд Тягач'!CO17+'MAN Blue KA1783HI'!BZ17+'MAN green KA2790IE'!BZ17+'MAN №3 white KA7837HO'!BZ17+'MAN №4 white KA3597HO'!BZ17+'MAN №5 Тент МД'!BP17</f>
        <v>0</v>
      </c>
      <c r="CP17" s="3274">
        <f>ЦО_логистика!BQ17+'Форд Тягач'!CP17+'MAN Blue KA1783HI'!CA17+'MAN green KA2790IE'!CA17+'MAN №3 white KA7837HO'!CA17+'MAN №4 white KA3597HO'!CA17+'MAN №5 Тент МД'!BQ17</f>
        <v>0</v>
      </c>
      <c r="CQ17" s="3286">
        <f t="shared" si="41"/>
        <v>0</v>
      </c>
      <c r="CR17" s="3284">
        <f t="shared" si="16"/>
        <v>0</v>
      </c>
      <c r="CS17" s="1158"/>
      <c r="CT17" s="3274">
        <f>ЦО_логистика!BU17+'Форд Тягач'!CT17+'MAN Blue KA1783HI'!CE17+'MAN green KA2790IE'!CE17+'MAN №3 white KA7837HO'!CE17+'MAN №4 white KA3597HO'!CE17+'MAN №5 Тент МД'!BU17</f>
        <v>0</v>
      </c>
      <c r="CU17" s="3274">
        <f>ЦО_логистика!BV17+'Форд Тягач'!CU17+'MAN Blue KA1783HI'!CF17+'MAN green KA2790IE'!CF17+'MAN №3 white KA7837HO'!CF17+'MAN №4 white KA3597HO'!CF17+'MAN №5 Тент МД'!BV17</f>
        <v>0</v>
      </c>
      <c r="CV17" s="3286">
        <f t="shared" si="42"/>
        <v>0</v>
      </c>
      <c r="CW17" s="3284">
        <f t="shared" si="17"/>
        <v>0</v>
      </c>
      <c r="CX17" s="1158"/>
      <c r="CY17" s="3274">
        <f>ЦО_логистика!BZ17+'Форд Тягач'!CY17+'MAN Blue KA1783HI'!CJ17+'MAN green KA2790IE'!CJ17+'MAN №3 white KA7837HO'!CJ17+'MAN №4 white KA3597HO'!CJ17+'MAN №5 Тент МД'!BZ17</f>
        <v>0</v>
      </c>
      <c r="CZ17" s="3274">
        <f>ЦО_логистика!CA17+'Форд Тягач'!CZ17+'MAN Blue KA1783HI'!CK17+'MAN green KA2790IE'!CK17+'MAN №3 white KA7837HO'!CK17+'MAN №4 white KA3597HO'!CK17+'MAN №5 Тент МД'!CA17</f>
        <v>0</v>
      </c>
      <c r="DA17" s="3286">
        <f t="shared" si="43"/>
        <v>0</v>
      </c>
      <c r="DB17" s="3284">
        <f t="shared" si="18"/>
        <v>0</v>
      </c>
      <c r="DC17" s="1158"/>
      <c r="DD17" s="3274">
        <f>ЦО_логистика!CE17+'Форд Тягач'!DD17+'MAN Blue KA1783HI'!CO17+'MAN green KA2790IE'!CO17+'MAN №3 white KA7837HO'!CO17+'MAN №4 white KA3597HO'!CO17+'MAN №5 Тент МД'!CE17</f>
        <v>0</v>
      </c>
      <c r="DE17" s="3274">
        <f>ЦО_логистика!CF17+'Форд Тягач'!DE17+'MAN Blue KA1783HI'!CP17+'MAN green KA2790IE'!CP17+'MAN №3 white KA7837HO'!CP17+'MAN №4 white KA3597HO'!CP17+'MAN №5 Тент МД'!CF17</f>
        <v>0</v>
      </c>
      <c r="DF17" s="3286">
        <f t="shared" si="44"/>
        <v>0</v>
      </c>
      <c r="DG17" s="3284">
        <f t="shared" si="19"/>
        <v>0</v>
      </c>
      <c r="DH17" s="1158"/>
      <c r="DI17" s="3274">
        <f>ЦО_логистика!CJ17+'Форд Тягач'!DI17+'MAN Blue KA1783HI'!CT17+'MAN green KA2790IE'!CT17+'MAN №3 white KA7837HO'!CT17+'MAN №4 white KA3597HO'!CT17+'MAN №5 Тент МД'!CJ17</f>
        <v>0</v>
      </c>
      <c r="DJ17" s="3274">
        <f>ЦО_логистика!CK17+'Форд Тягач'!DJ17+'MAN Blue KA1783HI'!CU17+'MAN green KA2790IE'!CU17+'MAN №3 white KA7837HO'!CU17+'MAN №4 white KA3597HO'!CU17+'MAN №5 Тент МД'!CK17</f>
        <v>0</v>
      </c>
      <c r="DK17" s="3286">
        <f t="shared" si="45"/>
        <v>0</v>
      </c>
      <c r="DL17" s="3284">
        <f t="shared" si="20"/>
        <v>0</v>
      </c>
      <c r="DM17" s="1158"/>
      <c r="DN17" s="3288">
        <f t="shared" si="34"/>
        <v>0</v>
      </c>
      <c r="DO17" s="3288">
        <f t="shared" si="35"/>
        <v>0</v>
      </c>
      <c r="DP17" s="3283">
        <f t="shared" si="36"/>
        <v>0</v>
      </c>
      <c r="DQ17" s="3284">
        <f t="shared" si="1"/>
        <v>0</v>
      </c>
      <c r="DR17" s="3275"/>
      <c r="DS17" s="916"/>
      <c r="DT17" s="916"/>
    </row>
    <row r="18" spans="1:124" s="1411" customFormat="1" ht="29.4" customHeight="1" x14ac:dyDescent="0.25">
      <c r="A18" s="1586"/>
      <c r="B18" s="3289" t="s">
        <v>0</v>
      </c>
      <c r="C18" s="3274">
        <v>4933.05</v>
      </c>
      <c r="D18" s="3274">
        <v>874.87</v>
      </c>
      <c r="E18" s="3283">
        <v>5807.92</v>
      </c>
      <c r="F18" s="3284">
        <v>9.2888342968394377E-3</v>
      </c>
      <c r="G18" s="3390"/>
      <c r="H18" s="3274">
        <v>30771.62</v>
      </c>
      <c r="I18" s="3274">
        <v>0</v>
      </c>
      <c r="J18" s="3283">
        <v>30771.62</v>
      </c>
      <c r="K18" s="3284">
        <v>0.25548134248648025</v>
      </c>
      <c r="L18" s="3390" t="s">
        <v>1004</v>
      </c>
      <c r="M18" s="3274">
        <v>640</v>
      </c>
      <c r="N18" s="3274">
        <v>1900</v>
      </c>
      <c r="O18" s="3283">
        <v>2540</v>
      </c>
      <c r="P18" s="3284">
        <v>3.6941167851948205E-3</v>
      </c>
      <c r="Q18" s="3390" t="s">
        <v>1070</v>
      </c>
      <c r="R18" s="3288">
        <f>'Форд Тягач'!R18+'MAN Blue KA1783HI'!C18+'MAN green KA2790IE'!C18+'MAN №3 white KA7837HO'!C18+'MAN №4 white KA3597HO'!C18+27643.03</f>
        <v>339784.72</v>
      </c>
      <c r="S18" s="3274">
        <f>'Форд Тягач'!S18+'MAN Blue KA1783HI'!D18+'MAN green KA2790IE'!D18+'MAN №3 white KA7837HO'!D18+'MAN №4 white KA3597HO'!D18</f>
        <v>28510</v>
      </c>
      <c r="T18" s="3283">
        <f t="shared" si="22"/>
        <v>368294.72</v>
      </c>
      <c r="U18" s="3284">
        <f t="shared" si="0"/>
        <v>0.281769077929651</v>
      </c>
      <c r="V18" s="3275" t="s">
        <v>1144</v>
      </c>
      <c r="W18" s="3274">
        <f>'Форд Тягач'!W18+'MAN Blue KA1783HI'!H18+'MAN green KA2790IE'!H18+'MAN №3 white KA7837HO'!H18+'MAN №4 white KA3597HO'!H18+17870</f>
        <v>22970</v>
      </c>
      <c r="X18" s="3274">
        <f>'Форд Тягач'!X18+'MAN Blue KA1783HI'!I18+'MAN green KA2790IE'!I18+'MAN №3 white KA7837HO'!I18+'MAN №4 white KA3597HO'!I18</f>
        <v>0</v>
      </c>
      <c r="Y18" s="3283">
        <f t="shared" si="23"/>
        <v>22970</v>
      </c>
      <c r="Z18" s="3284">
        <f t="shared" si="24"/>
        <v>1.7573522965640354E-2</v>
      </c>
      <c r="AA18" s="3421" t="s">
        <v>1187</v>
      </c>
      <c r="AB18" s="3274">
        <f>ЦО_логистика!C18+'Форд Тягач'!AB18+'MAN Blue KA1783HI'!M18+'MAN green KA2790IE'!M18+'MAN №3 white KA7837HO'!M18+'MAN №4 white KA3597HO'!M18+'MAN №5 Тент МД'!C18</f>
        <v>21962</v>
      </c>
      <c r="AC18" s="3274">
        <f>ЦО_логистика!D18+'Форд Тягач'!AC18+'MAN Blue KA1783HI'!N18+'MAN green KA2790IE'!N18+'MAN №3 white KA7837HO'!N18+'MAN №4 white KA3597HO'!N18+'MAN №5 Тент МД'!D18</f>
        <v>7470</v>
      </c>
      <c r="AD18" s="3283">
        <f t="shared" si="25"/>
        <v>29432</v>
      </c>
      <c r="AE18" s="3284">
        <f t="shared" si="2"/>
        <v>2.3026161140489519E-2</v>
      </c>
      <c r="AF18" s="3275"/>
      <c r="AG18" s="3274">
        <f>ЦО_логистика!H18+'Форд Тягач'!AG18+'MAN Blue KA1783HI'!R18+'MAN green KA2790IE'!R18+'MAN №3 white KA7837HO'!R18+'MAN №4 white KA3597HO'!R18+'MAN №5 Тент МД'!H18</f>
        <v>14610</v>
      </c>
      <c r="AH18" s="3274">
        <f>ЦО_логистика!I18+'Форд Тягач'!AH18+'MAN Blue KA1783HI'!S18+'MAN green KA2790IE'!S18+'MAN №3 white KA7837HO'!S18+'MAN №4 white KA3597HO'!S18+'MAN №5 Тент МД'!I18</f>
        <v>0</v>
      </c>
      <c r="AI18" s="3283">
        <f t="shared" si="26"/>
        <v>14610</v>
      </c>
      <c r="AJ18" s="3284">
        <f t="shared" si="3"/>
        <v>1.1430151340804291E-2</v>
      </c>
      <c r="AK18" s="3275" t="s">
        <v>1336</v>
      </c>
      <c r="AL18" s="3274">
        <f>ЦО_логистика!M18+'Форд Тягач'!AL18+'MAN Blue KA1783HI'!W18+'MAN green KA2790IE'!W18+'MAN №3 white KA7837HO'!W18+'MAN №4 white KA3597HO'!W18+'MAN №5 Тент МД'!M18</f>
        <v>47765</v>
      </c>
      <c r="AM18" s="3274">
        <f>ЦО_логистика!N18+'Форд Тягач'!AM18+'MAN Blue KA1783HI'!X18+'MAN green KA2790IE'!X18+'MAN №3 white KA7837HO'!X18+'MAN №4 white KA3597HO'!X18+'MAN №5 Тент МД'!N18</f>
        <v>25266</v>
      </c>
      <c r="AN18" s="3283">
        <f t="shared" si="27"/>
        <v>73031</v>
      </c>
      <c r="AO18" s="3284">
        <f t="shared" si="4"/>
        <v>5.7135892030819861E-2</v>
      </c>
      <c r="AP18" s="3275" t="str">
        <f>CONCATENATE(ЦО_логистика!Q18,'Форд Тягач'!AP18,'MAN Blue KA1783HI'!AA18,'MAN green KA2790IE'!AA18,'MAN №3 white KA7837HO'!AF18,'MAN №4 white KA3597HO'!AA18,'MAN №5 Тент МД'!Q18)</f>
        <v>Ф1 - 2000- Сертификат соотвествия нормама безопасности прицепа; 850 - мойка авто; 1125+960 - gps мониторинг; 3030 - ОТКФ1 - пропарка цистерны;
Ф 2 - мойка в ТурцииФ 1 - пропарка цистерны;
Ф2 - мойка ТурцияGPSФ1 4800 - мойка цистерны
Ф2 мойка бочки в Турции</v>
      </c>
      <c r="AQ18" s="3274">
        <f>SUM(ЦО_логистика!R18,'Форд Тягач'!AQ18,'MAN Blue KA1783HI'!AB18,'MAN green KA2790IE'!AB18,'MAN №3 white KA7837HO'!AB18,'MAN №4 white KA3597HO'!AB18,'MAN №5 Тент МД'!R18)</f>
        <v>1830</v>
      </c>
      <c r="AR18" s="3274">
        <f>SUM(ЦО_логистика!S18,'Форд Тягач'!AR18,'MAN Blue KA1783HI'!AC18,'MAN green KA2790IE'!AC18,'MAN №3 white KA7837HO'!AC18,'MAN №4 white KA3597HO'!AC18,'MAN №5 Тент МД'!S18)</f>
        <v>0</v>
      </c>
      <c r="AS18" s="3283">
        <f t="shared" si="28"/>
        <v>1830</v>
      </c>
      <c r="AT18" s="3284">
        <f t="shared" si="5"/>
        <v>1.4317027346797983E-3</v>
      </c>
      <c r="AU18" s="3275" t="s">
        <v>1270</v>
      </c>
      <c r="AV18" s="3275">
        <f>+ЦО_логистика!W18+'Форд Тягач'!AV18+'MAN Blue KA1783HI'!AG18+'MAN green KA2790IE'!AG18+'MAN №3 white KA7837HO'!AG18+'MAN №4 white KA3597HO'!AG18+'MAN №5 Тент МД'!W18</f>
        <v>203025.68</v>
      </c>
      <c r="AW18" s="3275">
        <f>+ЦО_логистика!X18+'Форд Тягач'!AW18+'MAN Blue KA1783HI'!AH18+'MAN green KA2790IE'!AH18+'MAN №3 white KA7837HO'!AH18+'MAN №4 white KA3597HO'!AH18+'MAN №5 Тент МД'!X18</f>
        <v>25940.11</v>
      </c>
      <c r="AX18" s="3283">
        <f t="shared" si="29"/>
        <v>228965.78999999998</v>
      </c>
      <c r="AY18" s="3284">
        <f t="shared" si="6"/>
        <v>0.17913166540498382</v>
      </c>
      <c r="AZ18" s="3275"/>
      <c r="BA18" s="3275">
        <f t="shared" si="7"/>
        <v>2950</v>
      </c>
      <c r="BB18" s="3275">
        <f t="shared" si="7"/>
        <v>0</v>
      </c>
      <c r="BC18" s="3283">
        <f t="shared" si="30"/>
        <v>2950</v>
      </c>
      <c r="BD18" s="3284">
        <f t="shared" si="8"/>
        <v>2.3079361023526802E-3</v>
      </c>
      <c r="BE18" s="3275">
        <f>ЦО_логистика!AD18+'Форд Тягач'!BC18+'MAN Blue KA1783HI'!AN18+'MAN green KA2790IE'!AN18+'MAN №3 white KA7837HO'!AN18+'MAN №4 white KA3597HO'!AN18+'MAN №5 Тент МД'!AD18-BC18</f>
        <v>0</v>
      </c>
      <c r="BF18" s="3274">
        <f>ЦО_логистика!AG18+'Форд Тягач'!BF18+'MAN Blue KA1783HI'!AQ18+'MAN green KA2790IE'!AQ18+'MAN №3 white KA7837HO'!AQ18+'MAN №4 white KA3597HO'!AQ18+'MAN №5 Тент МД'!AG18</f>
        <v>320</v>
      </c>
      <c r="BG18" s="3274">
        <f>ЦО_логистика!AH18+'Форд Тягач'!BG18+'MAN Blue KA1783HI'!AR18+'MAN green KA2790IE'!AR18+'MAN №3 white KA7837HO'!AR18+'MAN №4 white KA3597HO'!AR18+'MAN №5 Тент МД'!AH18</f>
        <v>0</v>
      </c>
      <c r="BH18" s="3283">
        <f t="shared" si="31"/>
        <v>320</v>
      </c>
      <c r="BI18" s="3284">
        <f t="shared" si="9"/>
        <v>2.503523907636806E-4</v>
      </c>
      <c r="BJ18" s="3275"/>
      <c r="BK18" s="3275">
        <f>ЦО_логистика!AL18+'Форд Тягач'!BK18+'MAN Blue KA1783HI'!AV18+'MAN green KA2790IE'!AV18+'MAN №3 white KA7837HO'!AV18+'MAN №4 white KA3597HO'!AV18+'MAN №5 Тент МД'!AL18</f>
        <v>320</v>
      </c>
      <c r="BL18" s="3275">
        <f>ЦО_логистика!AM18+'Форд Тягач'!BL18+'MAN Blue KA1783HI'!AW18+'MAN green KA2790IE'!AW18+'MAN №3 white KA7837HO'!AW18+'MAN №4 white KA3597HO'!AW18+'MAN №5 Тент МД'!AM18</f>
        <v>0</v>
      </c>
      <c r="BM18" s="3283">
        <f t="shared" si="32"/>
        <v>320</v>
      </c>
      <c r="BN18" s="3284">
        <f t="shared" si="10"/>
        <v>2.503523907636806E-4</v>
      </c>
      <c r="BO18" s="3275"/>
      <c r="BP18" s="3274">
        <f>ЦО_логистика!AQ18+'Форд Тягач'!BP18+'MAN Blue KA1783HI'!BA18+'MAN green KA2790IE'!BA18+'MAN №3 white KA7837HO'!BA18+'MAN №4 white KA3597HO'!BA18+'MAN №5 Тент МД'!AQ18</f>
        <v>2310</v>
      </c>
      <c r="BQ18" s="3274">
        <f>ЦО_логистика!AR18+'Форд Тягач'!BQ18+'MAN Blue KA1783HI'!BB18+'MAN green KA2790IE'!BB18+'MAN №3 white KA7837HO'!BB18+'MAN №4 white KA3597HO'!BB18+'MAN №5 Тент МД'!AR18</f>
        <v>0</v>
      </c>
      <c r="BR18" s="3286">
        <f t="shared" si="33"/>
        <v>2310</v>
      </c>
      <c r="BS18" s="3284">
        <f t="shared" si="11"/>
        <v>1.8072313208253191E-3</v>
      </c>
      <c r="BT18" s="3291"/>
      <c r="BU18" s="3274">
        <f>ЦО_логистика!AV18+'Форд Тягач'!BU18+'MAN Blue KA1783HI'!BF18+'MAN green KA2790IE'!BF18+'MAN №3 white KA7837HO'!BF18+'MAN №4 white KA3597HO'!BF18+'MAN №5 Тент МД'!AV18</f>
        <v>0</v>
      </c>
      <c r="BV18" s="3274">
        <f>ЦО_логистика!AW18+'Форд Тягач'!BV18+'MAN Blue KA1783HI'!BG18+'MAN green KA2790IE'!BG18+'MAN №3 white KA7837HO'!BG18+'MAN №4 white KA3597HO'!BG18+'MAN №5 Тент МД'!AW18</f>
        <v>0</v>
      </c>
      <c r="BW18" s="3286">
        <f t="shared" si="37"/>
        <v>0</v>
      </c>
      <c r="BX18" s="3284">
        <f t="shared" si="12"/>
        <v>0</v>
      </c>
      <c r="BY18" s="3291" t="s">
        <v>1270</v>
      </c>
      <c r="BZ18" s="3274">
        <f>ЦО_логистика!BA18+'Форд Тягач'!BZ18+'MAN Blue KA1783HI'!BK18+'MAN green KA2790IE'!BK18+'MAN №3 white KA7837HO'!BK18+'MAN №4 white KA3597HO'!BK18+'MAN №5 Тент МД'!BA18</f>
        <v>0</v>
      </c>
      <c r="CA18" s="3274">
        <f>ЦО_логистика!BB18+'Форд Тягач'!CA18+'MAN Blue KA1783HI'!BL18+'MAN green KA2790IE'!BL18+'MAN №3 white KA7837HO'!BL18+'MAN №4 white KA3597HO'!BL18+'MAN №5 Тент МД'!BB18</f>
        <v>0</v>
      </c>
      <c r="CB18" s="3286">
        <f t="shared" si="38"/>
        <v>0</v>
      </c>
      <c r="CC18" s="3284">
        <f t="shared" si="13"/>
        <v>0</v>
      </c>
      <c r="CD18" s="3291"/>
      <c r="CE18" s="3274">
        <f>ЦО_логистика!BF18+'Форд Тягач'!CE18+'MAN Blue KA1783HI'!BP18+'MAN green KA2790IE'!BP18+'MAN №3 white KA7837HO'!BP18+'MAN №4 white KA3597HO'!BP18+'MAN №5 Тент МД'!BF18</f>
        <v>0</v>
      </c>
      <c r="CF18" s="3274">
        <f>ЦО_логистика!BG18+'Форд Тягач'!CF18+'MAN Blue KA1783HI'!BQ18+'MAN green KA2790IE'!BQ18+'MAN №3 white KA7837HO'!BQ18+'MAN №4 white KA3597HO'!BQ18+'MAN №5 Тент МД'!BG18</f>
        <v>0</v>
      </c>
      <c r="CG18" s="3286">
        <f t="shared" si="39"/>
        <v>0</v>
      </c>
      <c r="CH18" s="3284">
        <f t="shared" si="14"/>
        <v>0</v>
      </c>
      <c r="CI18" s="3291"/>
      <c r="CJ18" s="3274">
        <f>ЦО_логистика!BK18+'Форд Тягач'!CJ18+'MAN Blue KA1783HI'!BU18+'MAN green KA2790IE'!BU18+'MAN №3 white KA7837HO'!BU18+'MAN №4 white KA3597HO'!BU18+'MAN №5 Тент МД'!BK18</f>
        <v>0</v>
      </c>
      <c r="CK18" s="3274">
        <f>ЦО_логистика!BL18+'Форд Тягач'!CK18+'MAN Blue KA1783HI'!BV18+'MAN green KA2790IE'!BV18+'MAN №3 white KA7837HO'!BV18+'MAN №4 white KA3597HO'!BV18+'MAN №5 Тент МД'!BL18</f>
        <v>0</v>
      </c>
      <c r="CL18" s="3286">
        <f t="shared" si="40"/>
        <v>0</v>
      </c>
      <c r="CM18" s="3284">
        <f t="shared" si="15"/>
        <v>0</v>
      </c>
      <c r="CN18" s="3291"/>
      <c r="CO18" s="3274">
        <f>ЦО_логистика!BP18+'Форд Тягач'!CO18+'MAN Blue KA1783HI'!BZ18+'MAN green KA2790IE'!BZ18+'MAN №3 white KA7837HO'!BZ18+'MAN №4 white KA3597HO'!BZ18+'MAN №5 Тент МД'!BP18</f>
        <v>0</v>
      </c>
      <c r="CP18" s="3274">
        <f>ЦО_логистика!BQ18+'Форд Тягач'!CP18+'MAN Blue KA1783HI'!CA18+'MAN green KA2790IE'!CA18+'MAN №3 white KA7837HO'!CA18+'MAN №4 white KA3597HO'!CA18+'MAN №5 Тент МД'!BQ18</f>
        <v>0</v>
      </c>
      <c r="CQ18" s="3286">
        <f t="shared" si="41"/>
        <v>0</v>
      </c>
      <c r="CR18" s="3284">
        <f t="shared" si="16"/>
        <v>0</v>
      </c>
      <c r="CS18" s="3291"/>
      <c r="CT18" s="3274">
        <f>ЦО_логистика!BU18+'Форд Тягач'!CT18+'MAN Blue KA1783HI'!CE18+'MAN green KA2790IE'!CE18+'MAN №3 white KA7837HO'!CE18+'MAN №4 white KA3597HO'!CE18+'MAN №5 Тент МД'!BU18</f>
        <v>0</v>
      </c>
      <c r="CU18" s="3274">
        <f>ЦО_логистика!BV18+'Форд Тягач'!CU18+'MAN Blue KA1783HI'!CF18+'MAN green KA2790IE'!CF18+'MAN №3 white KA7837HO'!CF18+'MAN №4 white KA3597HO'!CF18+'MAN №5 Тент МД'!BV18</f>
        <v>0</v>
      </c>
      <c r="CV18" s="3286">
        <f t="shared" si="42"/>
        <v>0</v>
      </c>
      <c r="CW18" s="3284">
        <f t="shared" si="17"/>
        <v>0</v>
      </c>
      <c r="CX18" s="3291">
        <f>'MAN №3 white KA7837HO'!CI18</f>
        <v>0</v>
      </c>
      <c r="CY18" s="3274">
        <f>ЦО_логистика!BZ18+'Форд Тягач'!CY18+'MAN Blue KA1783HI'!CJ18+'MAN green KA2790IE'!CJ18+'MAN №3 white KA7837HO'!CJ18+'MAN №4 white KA3597HO'!CJ18+'MAN №5 Тент МД'!BZ18</f>
        <v>0</v>
      </c>
      <c r="CZ18" s="3274">
        <f>ЦО_логистика!CA18+'Форд Тягач'!CZ18+'MAN Blue KA1783HI'!CK18+'MAN green KA2790IE'!CK18+'MAN №3 white KA7837HO'!CK18+'MAN №4 white KA3597HO'!CK18+'MAN №5 Тент МД'!CA18</f>
        <v>0</v>
      </c>
      <c r="DA18" s="3286">
        <f t="shared" si="43"/>
        <v>0</v>
      </c>
      <c r="DB18" s="3284">
        <f t="shared" si="18"/>
        <v>0</v>
      </c>
      <c r="DC18" s="3291"/>
      <c r="DD18" s="3274">
        <f>ЦО_логистика!CE18+'Форд Тягач'!DD18+'MAN Blue KA1783HI'!CO18+'MAN green KA2790IE'!CO18+'MAN №3 white KA7837HO'!CO18+'MAN №4 white KA3597HO'!CO18+'MAN №5 Тент МД'!CE18</f>
        <v>0</v>
      </c>
      <c r="DE18" s="3274">
        <f>ЦО_логистика!CF18+'Форд Тягач'!DE18+'MAN Blue KA1783HI'!CP18+'MAN green KA2790IE'!CP18+'MAN №3 white KA7837HO'!CP18+'MAN №4 white KA3597HO'!CP18+'MAN №5 Тент МД'!CF18</f>
        <v>0</v>
      </c>
      <c r="DF18" s="3286">
        <f t="shared" si="44"/>
        <v>0</v>
      </c>
      <c r="DG18" s="3284">
        <f t="shared" si="19"/>
        <v>0</v>
      </c>
      <c r="DH18" s="3291"/>
      <c r="DI18" s="3274">
        <f>ЦО_логистика!CJ18+'Форд Тягач'!DI18+'MAN Blue KA1783HI'!CT18+'MAN green KA2790IE'!CT18+'MAN №3 white KA7837HO'!CT18+'MAN №4 white KA3597HO'!CT18+'MAN №5 Тент МД'!CJ18</f>
        <v>0</v>
      </c>
      <c r="DJ18" s="3274">
        <f>ЦО_логистика!CK18+'Форд Тягач'!DJ18+'MAN Blue KA1783HI'!CU18+'MAN green KA2790IE'!CU18+'MAN №3 white KA7837HO'!CU18+'MAN №4 white KA3597HO'!CU18+'MAN №5 Тент МД'!CK18</f>
        <v>0</v>
      </c>
      <c r="DK18" s="3286">
        <f t="shared" si="45"/>
        <v>0</v>
      </c>
      <c r="DL18" s="3284">
        <f t="shared" si="20"/>
        <v>0</v>
      </c>
      <c r="DM18" s="3291"/>
      <c r="DN18" s="3288">
        <f t="shared" si="34"/>
        <v>654897.39999999991</v>
      </c>
      <c r="DO18" s="3288">
        <f>S18+X18+AC18+AH18+AM18+AR18+BG18+BL18+BQ18+BV18+CA18+CF18+CK18+CP18+CU18+CZ18+DE18+DJ18+AW18</f>
        <v>87186.11</v>
      </c>
      <c r="DP18" s="3283">
        <f t="shared" si="36"/>
        <v>742083.50999999989</v>
      </c>
      <c r="DQ18" s="3284">
        <f t="shared" si="1"/>
        <v>2.8086813772855591E-2</v>
      </c>
      <c r="DR18" s="3275"/>
      <c r="DS18" s="916"/>
      <c r="DT18" s="3992"/>
    </row>
    <row r="19" spans="1:124" s="1411" customFormat="1" ht="29.4" customHeight="1" x14ac:dyDescent="0.25">
      <c r="A19" s="1586"/>
      <c r="B19" s="3289" t="s">
        <v>53</v>
      </c>
      <c r="C19" s="3274">
        <v>0</v>
      </c>
      <c r="D19" s="3274">
        <v>0</v>
      </c>
      <c r="E19" s="3283">
        <v>0</v>
      </c>
      <c r="F19" s="3284">
        <v>0</v>
      </c>
      <c r="G19" s="1449"/>
      <c r="H19" s="3274">
        <v>0</v>
      </c>
      <c r="I19" s="3274">
        <v>0</v>
      </c>
      <c r="J19" s="3283">
        <v>0</v>
      </c>
      <c r="K19" s="3284">
        <v>0</v>
      </c>
      <c r="L19" s="1449">
        <v>0</v>
      </c>
      <c r="M19" s="3274">
        <v>0</v>
      </c>
      <c r="N19" s="3274">
        <v>0</v>
      </c>
      <c r="O19" s="3283">
        <v>0</v>
      </c>
      <c r="P19" s="3284">
        <v>0</v>
      </c>
      <c r="Q19" s="1449">
        <v>0</v>
      </c>
      <c r="R19" s="3288">
        <f>'Форд Тягач'!R19+'MAN Blue KA1783HI'!C19+'MAN green KA2790IE'!C19+'MAN №3 white KA7837HO'!C19+'MAN №4 white KA3597HO'!C19</f>
        <v>0</v>
      </c>
      <c r="S19" s="3274">
        <f>'Форд Тягач'!S19+'MAN Blue KA1783HI'!D19+'MAN green KA2790IE'!D19+'MAN №3 white KA7837HO'!D19+'MAN №4 white KA3597HO'!D19</f>
        <v>0</v>
      </c>
      <c r="T19" s="3283">
        <f t="shared" si="22"/>
        <v>0</v>
      </c>
      <c r="U19" s="3284">
        <f t="shared" si="0"/>
        <v>0</v>
      </c>
      <c r="V19" s="1409"/>
      <c r="W19" s="3274">
        <f>'Форд Тягач'!W19+'MAN Blue KA1783HI'!H19+'MAN green KA2790IE'!H19+'MAN №3 white KA7837HO'!H19+'MAN №4 white KA3597HO'!H19+Техника!W19</f>
        <v>0</v>
      </c>
      <c r="X19" s="3274">
        <f>'Форд Тягач'!X19+'MAN Blue KA1783HI'!I19+'MAN green KA2790IE'!I19+'MAN №3 white KA7837HO'!I19+'MAN №4 white KA3597HO'!I19+Техника!X19</f>
        <v>0</v>
      </c>
      <c r="Y19" s="3283">
        <f t="shared" si="23"/>
        <v>0</v>
      </c>
      <c r="Z19" s="3284">
        <f t="shared" si="24"/>
        <v>0</v>
      </c>
      <c r="AA19" s="1409"/>
      <c r="AB19" s="3274">
        <f>ЦО_логистика!C19+'Форд Тягач'!AB19+'MAN Blue KA1783HI'!M19+'MAN green KA2790IE'!M19+'MAN №3 white KA7837HO'!M19+'MAN №4 white KA3597HO'!M19+'MAN №5 Тент МД'!C19</f>
        <v>0</v>
      </c>
      <c r="AC19" s="3274">
        <f>ЦО_логистика!D19+'Форд Тягач'!AC19+'MAN Blue KA1783HI'!N19+'MAN green KA2790IE'!N19+'MAN №3 white KA7837HO'!N19+'MAN №4 white KA3597HO'!N19+'MAN №5 Тент МД'!D19</f>
        <v>0</v>
      </c>
      <c r="AD19" s="3283">
        <f t="shared" si="25"/>
        <v>0</v>
      </c>
      <c r="AE19" s="3284">
        <f t="shared" si="2"/>
        <v>0</v>
      </c>
      <c r="AF19" s="1409"/>
      <c r="AG19" s="3274">
        <f>ЦО_логистика!H19+'Форд Тягач'!AG19+'MAN Blue KA1783HI'!R19+'MAN green KA2790IE'!R19+'MAN №3 white KA7837HO'!R19+'MAN №4 white KA3597HO'!R19+'MAN №5 Тент МД'!H19</f>
        <v>0</v>
      </c>
      <c r="AH19" s="3274">
        <f>ЦО_логистика!I19+'Форд Тягач'!AH19+'MAN Blue KA1783HI'!S19+'MAN green KA2790IE'!S19+'MAN №3 white KA7837HO'!S19+'MAN №4 white KA3597HO'!S19+'MAN №5 Тент МД'!I19</f>
        <v>0</v>
      </c>
      <c r="AI19" s="3283">
        <f t="shared" si="26"/>
        <v>0</v>
      </c>
      <c r="AJ19" s="3284">
        <f t="shared" si="3"/>
        <v>0</v>
      </c>
      <c r="AK19" s="1409"/>
      <c r="AL19" s="3274">
        <f>ЦО_логистика!M19+'Форд Тягач'!AL19+'MAN Blue KA1783HI'!W19+'MAN green KA2790IE'!W19+'MAN №3 white KA7837HO'!W19+'MAN №4 white KA3597HO'!W19+'MAN №5 Тент МД'!M19</f>
        <v>0</v>
      </c>
      <c r="AM19" s="3274">
        <f>ЦО_логистика!N19+'Форд Тягач'!AM19+'MAN Blue KA1783HI'!X19+'MAN green KA2790IE'!X19+'MAN №3 white KA7837HO'!X19+'MAN №4 white KA3597HO'!X19+'MAN №5 Тент МД'!N19</f>
        <v>0</v>
      </c>
      <c r="AN19" s="3283">
        <f t="shared" si="27"/>
        <v>0</v>
      </c>
      <c r="AO19" s="3284">
        <f t="shared" si="4"/>
        <v>0</v>
      </c>
      <c r="AP19" s="3275" t="str">
        <f>CONCATENATE(ЦО_логистика!Q19,'Форд Тягач'!AP19,'MAN Blue KA1783HI'!AA19,'MAN green KA2790IE'!AA19,'MAN №3 white KA7837HO'!AF19,'MAN №4 white KA3597HO'!AA19,'MAN №5 Тент МД'!Q19)</f>
        <v/>
      </c>
      <c r="AQ19" s="3274">
        <f>SUM(ЦО_логистика!R19,'Форд Тягач'!AQ19,'MAN Blue KA1783HI'!AB19,'MAN green KA2790IE'!AB19,'MAN №3 white KA7837HO'!AB19,'MAN №4 white KA3597HO'!AB19,'MAN №5 Тент МД'!R19)</f>
        <v>0</v>
      </c>
      <c r="AR19" s="3274">
        <f>SUM(ЦО_логистика!S19,'Форд Тягач'!AR19,'MAN Blue KA1783HI'!AC19,'MAN green KA2790IE'!AC19,'MAN №3 white KA7837HO'!AC19,'MAN №4 white KA3597HO'!AC19,'MAN №5 Тент МД'!S19)</f>
        <v>0</v>
      </c>
      <c r="AS19" s="3283">
        <f t="shared" si="28"/>
        <v>0</v>
      </c>
      <c r="AT19" s="3284">
        <f t="shared" si="5"/>
        <v>0</v>
      </c>
      <c r="AU19" s="3275" t="str">
        <f>CONCATENATE(ЦО_логистика!V19,'Форд Тягач'!AU19,'MAN Blue KA1783HI'!AF18,'MAN green KA2790IE'!AF19,'MAN №3 white KA7837HO'!AF19,'MAN №4 white KA3597HO'!AF19,'MAN №5 Тент МД'!V19)</f>
        <v>GPS</v>
      </c>
      <c r="AV19" s="3275">
        <f>+ЦО_логистика!W19+'Форд Тягач'!AV19+'MAN Blue KA1783HI'!AG19+'MAN green KA2790IE'!AG19+'MAN №3 white KA7837HO'!AG19+'MAN №4 white KA3597HO'!AG19+'MAN №5 Тент МД'!W19</f>
        <v>0</v>
      </c>
      <c r="AW19" s="3275">
        <f>+ЦО_логистика!X19+'Форд Тягач'!AW19+'MAN Blue KA1783HI'!AH19+'MAN green KA2790IE'!AH19+'MAN №3 white KA7837HO'!AH19+'MAN №4 white KA3597HO'!AH19+'MAN №5 Тент МД'!X19</f>
        <v>0</v>
      </c>
      <c r="AX19" s="3283">
        <f t="shared" si="29"/>
        <v>0</v>
      </c>
      <c r="AY19" s="3284">
        <f t="shared" si="6"/>
        <v>0</v>
      </c>
      <c r="AZ19" s="3275"/>
      <c r="BA19" s="3275">
        <f t="shared" si="7"/>
        <v>0</v>
      </c>
      <c r="BB19" s="3275">
        <f t="shared" si="7"/>
        <v>0</v>
      </c>
      <c r="BC19" s="3283">
        <f t="shared" si="30"/>
        <v>0</v>
      </c>
      <c r="BD19" s="3284">
        <f t="shared" si="8"/>
        <v>0</v>
      </c>
      <c r="BE19" s="3275">
        <f>ЦО_логистика!AD19+'Форд Тягач'!BC19+'MAN Blue KA1783HI'!AN19+'MAN green KA2790IE'!AN19+'MAN №3 white KA7837HO'!AN19+'MAN №4 white KA3597HO'!AN19+'MAN №5 Тент МД'!AD19-BC19</f>
        <v>0</v>
      </c>
      <c r="BF19" s="3274">
        <f>ЦО_логистика!AG19+'Форд Тягач'!BF19+'MAN Blue KA1783HI'!AQ19+'MAN green KA2790IE'!AQ19+'MAN №3 white KA7837HO'!AQ19+'MAN №4 white KA3597HO'!AQ19+'MAN №5 Тент МД'!AG19</f>
        <v>0</v>
      </c>
      <c r="BG19" s="3274">
        <f>ЦО_логистика!AH19+'Форд Тягач'!BG19+'MAN Blue KA1783HI'!AR19+'MAN green KA2790IE'!AR19+'MAN №3 white KA7837HO'!AR19+'MAN №4 white KA3597HO'!AR19+'MAN №5 Тент МД'!AH19</f>
        <v>0</v>
      </c>
      <c r="BH19" s="3283">
        <f t="shared" si="31"/>
        <v>0</v>
      </c>
      <c r="BI19" s="3284">
        <f t="shared" si="9"/>
        <v>0</v>
      </c>
      <c r="BJ19" s="3275"/>
      <c r="BK19" s="3275">
        <f>ЦО_логистика!AL19+'Форд Тягач'!BK19+'MAN Blue KA1783HI'!AV19+'MAN green KA2790IE'!AV19+'MAN №3 white KA7837HO'!AV19+'MAN №4 white KA3597HO'!AV19+'MAN №5 Тент МД'!AL19</f>
        <v>0</v>
      </c>
      <c r="BL19" s="3275">
        <f>ЦО_логистика!AM19+'Форд Тягач'!BL19+'MAN Blue KA1783HI'!AW19+'MAN green KA2790IE'!AW19+'MAN №3 white KA7837HO'!AW19+'MAN №4 white KA3597HO'!AW19+'MAN №5 Тент МД'!AM19</f>
        <v>0</v>
      </c>
      <c r="BM19" s="3283">
        <f t="shared" si="32"/>
        <v>0</v>
      </c>
      <c r="BN19" s="3284">
        <f t="shared" si="10"/>
        <v>0</v>
      </c>
      <c r="BO19" s="3275"/>
      <c r="BP19" s="3274">
        <f>ЦО_логистика!AQ19+'Форд Тягач'!BP19+'MAN Blue KA1783HI'!BA19+'MAN green KA2790IE'!BA19+'MAN №3 white KA7837HO'!BA19+'MAN №4 white KA3597HO'!BA19+'MAN №5 Тент МД'!AQ19</f>
        <v>0</v>
      </c>
      <c r="BQ19" s="3274">
        <f>ЦО_логистика!AR19+'Форд Тягач'!BQ19+'MAN Blue KA1783HI'!BB19+'MAN green KA2790IE'!BB19+'MAN №3 white KA7837HO'!BB19+'MAN №4 white KA3597HO'!BB19+'MAN №5 Тент МД'!AR19</f>
        <v>0</v>
      </c>
      <c r="BR19" s="3286">
        <f t="shared" si="33"/>
        <v>0</v>
      </c>
      <c r="BS19" s="3284">
        <f t="shared" si="11"/>
        <v>0</v>
      </c>
      <c r="BT19" s="1107"/>
      <c r="BU19" s="3274">
        <f>ЦО_логистика!AV19+'Форд Тягач'!BU19+'MAN Blue KA1783HI'!BF19+'MAN green KA2790IE'!BF19+'MAN №3 white KA7837HO'!BF19+'MAN №4 white KA3597HO'!BF19+'MAN №5 Тент МД'!AV19</f>
        <v>0</v>
      </c>
      <c r="BV19" s="3274">
        <f>ЦО_логистика!AW19+'Форд Тягач'!BV19+'MAN Blue KA1783HI'!BG19+'MAN green KA2790IE'!BG19+'MAN №3 white KA7837HO'!BG19+'MAN №4 white KA3597HO'!BG19+'MAN №5 Тент МД'!AW19</f>
        <v>0</v>
      </c>
      <c r="BW19" s="3286">
        <f t="shared" si="37"/>
        <v>0</v>
      </c>
      <c r="BX19" s="3284">
        <f t="shared" si="12"/>
        <v>0</v>
      </c>
      <c r="BY19" s="1107"/>
      <c r="BZ19" s="3274">
        <f>ЦО_логистика!BA19+'Форд Тягач'!BZ19+'MAN Blue KA1783HI'!BK19+'MAN green KA2790IE'!BK19+'MAN №3 white KA7837HO'!BK19+'MAN №4 white KA3597HO'!BK19+'MAN №5 Тент МД'!BA19</f>
        <v>0</v>
      </c>
      <c r="CA19" s="3274">
        <f>ЦО_логистика!BB19+'Форд Тягач'!CA19+'MAN Blue KA1783HI'!BL19+'MAN green KA2790IE'!BL19+'MAN №3 white KA7837HO'!BL19+'MAN №4 white KA3597HO'!BL19+'MAN №5 Тент МД'!BB19</f>
        <v>0</v>
      </c>
      <c r="CB19" s="3286">
        <f t="shared" si="38"/>
        <v>0</v>
      </c>
      <c r="CC19" s="3284">
        <f t="shared" si="13"/>
        <v>0</v>
      </c>
      <c r="CD19" s="1107"/>
      <c r="CE19" s="3274">
        <f>ЦО_логистика!BF19+'Форд Тягач'!CE19+'MAN Blue KA1783HI'!BP19+'MAN green KA2790IE'!BP19+'MAN №3 white KA7837HO'!BP19+'MAN №4 white KA3597HO'!BP19+'MAN №5 Тент МД'!BF19</f>
        <v>0</v>
      </c>
      <c r="CF19" s="3274">
        <f>ЦО_логистика!BG19+'Форд Тягач'!CF19+'MAN Blue KA1783HI'!BQ19+'MAN green KA2790IE'!BQ19+'MAN №3 white KA7837HO'!BQ19+'MAN №4 white KA3597HO'!BQ19+'MAN №5 Тент МД'!BG19</f>
        <v>0</v>
      </c>
      <c r="CG19" s="3286">
        <f t="shared" si="39"/>
        <v>0</v>
      </c>
      <c r="CH19" s="3284">
        <f t="shared" si="14"/>
        <v>0</v>
      </c>
      <c r="CI19" s="1107"/>
      <c r="CJ19" s="3274">
        <f>ЦО_логистика!BK19+'Форд Тягач'!CJ19+'MAN Blue KA1783HI'!BU19+'MAN green KA2790IE'!BU19+'MAN №3 white KA7837HO'!BU19+'MAN №4 white KA3597HO'!BU19+'MAN №5 Тент МД'!BK19</f>
        <v>0</v>
      </c>
      <c r="CK19" s="3274">
        <f>ЦО_логистика!BL19+'Форд Тягач'!CK19+'MAN Blue KA1783HI'!BV19+'MAN green KA2790IE'!BV19+'MAN №3 white KA7837HO'!BV19+'MAN №4 white KA3597HO'!BV19+'MAN №5 Тент МД'!BL19</f>
        <v>0</v>
      </c>
      <c r="CL19" s="3286">
        <f t="shared" si="40"/>
        <v>0</v>
      </c>
      <c r="CM19" s="3284">
        <f t="shared" si="15"/>
        <v>0</v>
      </c>
      <c r="CN19" s="1107"/>
      <c r="CO19" s="3274">
        <f>ЦО_логистика!BP19+'Форд Тягач'!CO19+'MAN Blue KA1783HI'!BZ19+'MAN green KA2790IE'!BZ19+'MAN №3 white KA7837HO'!BZ19+'MAN №4 white KA3597HO'!BZ19+'MAN №5 Тент МД'!BP19</f>
        <v>0</v>
      </c>
      <c r="CP19" s="3274">
        <f>ЦО_логистика!BQ19+'Форд Тягач'!CP19+'MAN Blue KA1783HI'!CA19+'MAN green KA2790IE'!CA19+'MAN №3 white KA7837HO'!CA19+'MAN №4 white KA3597HO'!CA19+'MAN №5 Тент МД'!BQ19</f>
        <v>0</v>
      </c>
      <c r="CQ19" s="3286">
        <f t="shared" si="41"/>
        <v>0</v>
      </c>
      <c r="CR19" s="3284">
        <f t="shared" si="16"/>
        <v>0</v>
      </c>
      <c r="CS19" s="1107"/>
      <c r="CT19" s="3274">
        <f>ЦО_логистика!BU19+'Форд Тягач'!CT19+'MAN Blue KA1783HI'!CE19+'MAN green KA2790IE'!CE19+'MAN №3 white KA7837HO'!CE19+'MAN №4 white KA3597HO'!CE19+'MAN №5 Тент МД'!BU19</f>
        <v>0</v>
      </c>
      <c r="CU19" s="3274">
        <f>ЦО_логистика!BV19+'Форд Тягач'!CU19+'MAN Blue KA1783HI'!CF19+'MAN green KA2790IE'!CF19+'MAN №3 white KA7837HO'!CF19+'MAN №4 white KA3597HO'!CF19+'MAN №5 Тент МД'!BV19</f>
        <v>0</v>
      </c>
      <c r="CV19" s="3286">
        <f t="shared" si="42"/>
        <v>0</v>
      </c>
      <c r="CW19" s="3284">
        <f t="shared" si="17"/>
        <v>0</v>
      </c>
      <c r="CX19" s="1107"/>
      <c r="CY19" s="3274">
        <f>ЦО_логистика!BZ19+'Форд Тягач'!CY19+'MAN Blue KA1783HI'!CJ19+'MAN green KA2790IE'!CJ19+'MAN №3 white KA7837HO'!CJ19+'MAN №4 white KA3597HO'!CJ19+'MAN №5 Тент МД'!BZ19</f>
        <v>0</v>
      </c>
      <c r="CZ19" s="3274">
        <f>ЦО_логистика!CA19+'Форд Тягач'!CZ19+'MAN Blue KA1783HI'!CK19+'MAN green KA2790IE'!CK19+'MAN №3 white KA7837HO'!CK19+'MAN №4 white KA3597HO'!CK19+'MAN №5 Тент МД'!CA19</f>
        <v>0</v>
      </c>
      <c r="DA19" s="3286">
        <f t="shared" si="43"/>
        <v>0</v>
      </c>
      <c r="DB19" s="3284">
        <f t="shared" si="18"/>
        <v>0</v>
      </c>
      <c r="DC19" s="1107"/>
      <c r="DD19" s="3274">
        <f>ЦО_логистика!CE19+'Форд Тягач'!DD19+'MAN Blue KA1783HI'!CO19+'MAN green KA2790IE'!CO19+'MAN №3 white KA7837HO'!CO19+'MAN №4 white KA3597HO'!CO19+'MAN №5 Тент МД'!CE19</f>
        <v>0</v>
      </c>
      <c r="DE19" s="3274">
        <f>ЦО_логистика!CF19+'Форд Тягач'!DE19+'MAN Blue KA1783HI'!CP19+'MAN green KA2790IE'!CP19+'MAN №3 white KA7837HO'!CP19+'MAN №4 white KA3597HO'!CP19+'MAN №5 Тент МД'!CF19</f>
        <v>0</v>
      </c>
      <c r="DF19" s="3286">
        <f t="shared" si="44"/>
        <v>0</v>
      </c>
      <c r="DG19" s="3284">
        <f t="shared" si="19"/>
        <v>0</v>
      </c>
      <c r="DH19" s="1107"/>
      <c r="DI19" s="3274">
        <f>ЦО_логистика!CJ19+'Форд Тягач'!DI19+'MAN Blue KA1783HI'!CT19+'MAN green KA2790IE'!CT19+'MAN №3 white KA7837HO'!CT19+'MAN №4 white KA3597HO'!CT19+'MAN №5 Тент МД'!CJ19</f>
        <v>0</v>
      </c>
      <c r="DJ19" s="3274">
        <f>ЦО_логистика!CK19+'Форд Тягач'!DJ19+'MAN Blue KA1783HI'!CU19+'MAN green KA2790IE'!CU19+'MAN №3 white KA7837HO'!CU19+'MAN №4 white KA3597HO'!CU19+'MAN №5 Тент МД'!CK19</f>
        <v>0</v>
      </c>
      <c r="DK19" s="3286">
        <f t="shared" si="45"/>
        <v>0</v>
      </c>
      <c r="DL19" s="3284">
        <f t="shared" si="20"/>
        <v>0</v>
      </c>
      <c r="DM19" s="1107"/>
      <c r="DN19" s="3288">
        <f t="shared" si="34"/>
        <v>0</v>
      </c>
      <c r="DO19" s="3288">
        <f t="shared" si="35"/>
        <v>0</v>
      </c>
      <c r="DP19" s="3283">
        <f t="shared" si="36"/>
        <v>0</v>
      </c>
      <c r="DQ19" s="3284">
        <f t="shared" si="1"/>
        <v>0</v>
      </c>
      <c r="DR19" s="3275"/>
      <c r="DS19" s="916"/>
      <c r="DT19" s="916"/>
    </row>
    <row r="20" spans="1:124" s="1411" customFormat="1" ht="29.4" customHeight="1" x14ac:dyDescent="0.25">
      <c r="A20" s="1586"/>
      <c r="B20" s="3289" t="s">
        <v>57</v>
      </c>
      <c r="C20" s="3274">
        <v>0</v>
      </c>
      <c r="D20" s="3274">
        <v>0</v>
      </c>
      <c r="E20" s="3283">
        <v>0</v>
      </c>
      <c r="F20" s="3284">
        <v>0</v>
      </c>
      <c r="G20" s="1449"/>
      <c r="H20" s="3274">
        <v>0</v>
      </c>
      <c r="I20" s="3274">
        <v>0</v>
      </c>
      <c r="J20" s="3283">
        <v>0</v>
      </c>
      <c r="K20" s="3284">
        <v>0</v>
      </c>
      <c r="L20" s="1449">
        <v>0</v>
      </c>
      <c r="M20" s="3274">
        <v>0</v>
      </c>
      <c r="N20" s="3274">
        <v>0</v>
      </c>
      <c r="O20" s="3283">
        <v>0</v>
      </c>
      <c r="P20" s="3284">
        <v>0</v>
      </c>
      <c r="Q20" s="1449">
        <v>0</v>
      </c>
      <c r="R20" s="3288">
        <f>'Форд Тягач'!R20+'MAN Blue KA1783HI'!C20+'MAN green KA2790IE'!C20+'MAN №3 white KA7837HO'!C20+'MAN №4 white KA3597HO'!C20</f>
        <v>0</v>
      </c>
      <c r="S20" s="3274">
        <f>'Форд Тягач'!S20+'MAN Blue KA1783HI'!D20+'MAN green KA2790IE'!D20+'MAN №3 white KA7837HO'!D20+'MAN №4 white KA3597HO'!D20</f>
        <v>0</v>
      </c>
      <c r="T20" s="3283">
        <f t="shared" si="22"/>
        <v>0</v>
      </c>
      <c r="U20" s="3284">
        <f t="shared" si="0"/>
        <v>0</v>
      </c>
      <c r="V20" s="1608"/>
      <c r="W20" s="3274">
        <f>'Форд Тягач'!W20+'MAN Blue KA1783HI'!H20+'MAN green KA2790IE'!H20+'MAN №3 white KA7837HO'!H20+'MAN №4 white KA3597HO'!H20+Техника!W20</f>
        <v>0</v>
      </c>
      <c r="X20" s="3274">
        <f>'Форд Тягач'!X20+'MAN Blue KA1783HI'!I20+'MAN green KA2790IE'!I20+'MAN №3 white KA7837HO'!I20+'MAN №4 white KA3597HO'!I20+Техника!X20</f>
        <v>0</v>
      </c>
      <c r="Y20" s="3283">
        <f t="shared" si="23"/>
        <v>0</v>
      </c>
      <c r="Z20" s="3284">
        <f t="shared" si="24"/>
        <v>0</v>
      </c>
      <c r="AA20" s="1608"/>
      <c r="AB20" s="3274">
        <f>ЦО_логистика!C20+'Форд Тягач'!AB20+'MAN Blue KA1783HI'!M20+'MAN green KA2790IE'!M20+'MAN №3 white KA7837HO'!M20+'MAN №4 white KA3597HO'!M20+'MAN №5 Тент МД'!C20</f>
        <v>0</v>
      </c>
      <c r="AC20" s="3274">
        <f>ЦО_логистика!D20+'Форд Тягач'!AC20+'MAN Blue KA1783HI'!N20+'MAN green KA2790IE'!N20+'MAN №3 white KA7837HO'!N20+'MAN №4 white KA3597HO'!N20+'MAN №5 Тент МД'!D20</f>
        <v>0</v>
      </c>
      <c r="AD20" s="3283">
        <f t="shared" si="25"/>
        <v>0</v>
      </c>
      <c r="AE20" s="3284">
        <f t="shared" si="2"/>
        <v>0</v>
      </c>
      <c r="AF20" s="1608"/>
      <c r="AG20" s="3274">
        <f>ЦО_логистика!H20+'Форд Тягач'!AG20+'MAN Blue KA1783HI'!R20+'MAN green KA2790IE'!R20+'MAN №3 white KA7837HO'!R20+'MAN №4 white KA3597HO'!R20+'MAN №5 Тент МД'!H20</f>
        <v>0</v>
      </c>
      <c r="AH20" s="3274">
        <f>ЦО_логистика!I20+'Форд Тягач'!AH20+'MAN Blue KA1783HI'!S20+'MAN green KA2790IE'!S20+'MAN №3 white KA7837HO'!S20+'MAN №4 white KA3597HO'!S20+'MAN №5 Тент МД'!I20</f>
        <v>0</v>
      </c>
      <c r="AI20" s="3283">
        <f t="shared" si="26"/>
        <v>0</v>
      </c>
      <c r="AJ20" s="3284">
        <f t="shared" si="3"/>
        <v>0</v>
      </c>
      <c r="AK20" s="1608"/>
      <c r="AL20" s="3274">
        <f>ЦО_логистика!M20+'Форд Тягач'!AL20+'MAN Blue KA1783HI'!W20+'MAN green KA2790IE'!W20+'MAN №3 white KA7837HO'!W20+'MAN №4 white KA3597HO'!W20+'MAN №5 Тент МД'!M20</f>
        <v>0</v>
      </c>
      <c r="AM20" s="3274">
        <f>ЦО_логистика!N20+'Форд Тягач'!AM20+'MAN Blue KA1783HI'!X20+'MAN green KA2790IE'!X20+'MAN №3 white KA7837HO'!X20+'MAN №4 white KA3597HO'!X20+'MAN №5 Тент МД'!N20</f>
        <v>0</v>
      </c>
      <c r="AN20" s="3283">
        <f t="shared" si="27"/>
        <v>0</v>
      </c>
      <c r="AO20" s="3284">
        <f t="shared" si="4"/>
        <v>0</v>
      </c>
      <c r="AP20" s="3275" t="str">
        <f>CONCATENATE(ЦО_логистика!Q20,'Форд Тягач'!AP20,'MAN Blue KA1783HI'!AA20,'MAN green KA2790IE'!AA20,'MAN №3 white KA7837HO'!AF20,'MAN №4 white KA3597HO'!AA20,'MAN №5 Тент МД'!Q20)</f>
        <v/>
      </c>
      <c r="AQ20" s="3274">
        <f>SUM(ЦО_логистика!R20,'Форд Тягач'!AQ20,'MAN Blue KA1783HI'!AB20,'MAN green KA2790IE'!AB20,'MAN №3 white KA7837HO'!AB20,'MAN №4 white KA3597HO'!AB20,'MAN №5 Тент МД'!R20)</f>
        <v>0</v>
      </c>
      <c r="AR20" s="3274">
        <f>SUM(ЦО_логистика!S20,'Форд Тягач'!AR20,'MAN Blue KA1783HI'!AC20,'MAN green KA2790IE'!AC20,'MAN №3 white KA7837HO'!AC20,'MAN №4 white KA3597HO'!AC20,'MAN №5 Тент МД'!S20)</f>
        <v>0</v>
      </c>
      <c r="AS20" s="3283">
        <f t="shared" si="28"/>
        <v>0</v>
      </c>
      <c r="AT20" s="3284">
        <f t="shared" si="5"/>
        <v>0</v>
      </c>
      <c r="AU20" s="3275" t="str">
        <f>CONCATENATE(ЦО_логистика!V20,'Форд Тягач'!AU20,'MAN Blue KA1783HI'!AF19,'MAN green KA2790IE'!AF20,'MAN №3 white KA7837HO'!AF20,'MAN №4 white KA3597HO'!AF20,'MAN №5 Тент МД'!V20)</f>
        <v/>
      </c>
      <c r="AV20" s="3275">
        <f>+ЦО_логистика!W20+'Форд Тягач'!AV20+'MAN Blue KA1783HI'!AG20+'MAN green KA2790IE'!AG20+'MAN №3 white KA7837HO'!AG20+'MAN №4 white KA3597HO'!AG20+'MAN №5 Тент МД'!W20</f>
        <v>0</v>
      </c>
      <c r="AW20" s="3275">
        <f>+ЦО_логистика!X20+'Форд Тягач'!AW20+'MAN Blue KA1783HI'!AH20+'MAN green KA2790IE'!AH20+'MAN №3 white KA7837HO'!AH20+'MAN №4 white KA3597HO'!AH20+'MAN №5 Тент МД'!X20</f>
        <v>0</v>
      </c>
      <c r="AX20" s="3283">
        <f t="shared" si="29"/>
        <v>0</v>
      </c>
      <c r="AY20" s="3284">
        <f t="shared" si="6"/>
        <v>0</v>
      </c>
      <c r="AZ20" s="3275"/>
      <c r="BA20" s="3275">
        <f t="shared" si="7"/>
        <v>0</v>
      </c>
      <c r="BB20" s="3275">
        <f t="shared" si="7"/>
        <v>0</v>
      </c>
      <c r="BC20" s="3283">
        <f t="shared" si="30"/>
        <v>0</v>
      </c>
      <c r="BD20" s="3284">
        <f t="shared" si="8"/>
        <v>0</v>
      </c>
      <c r="BE20" s="3275">
        <f>ЦО_логистика!AD20+'Форд Тягач'!BC20+'MAN Blue KA1783HI'!AN20+'MAN green KA2790IE'!AN20+'MAN №3 white KA7837HO'!AN20+'MAN №4 white KA3597HO'!AN20+'MAN №5 Тент МД'!AD20-BC20</f>
        <v>0</v>
      </c>
      <c r="BF20" s="3274">
        <f>ЦО_логистика!AG20+'Форд Тягач'!BF20+'MAN Blue KA1783HI'!AQ20+'MAN green KA2790IE'!AQ20+'MAN №3 white KA7837HO'!AQ20+'MAN №4 white KA3597HO'!AQ20+'MAN №5 Тент МД'!AG20</f>
        <v>0</v>
      </c>
      <c r="BG20" s="3274">
        <f>ЦО_логистика!AH20+'Форд Тягач'!BG20+'MAN Blue KA1783HI'!AR20+'MAN green KA2790IE'!AR20+'MAN №3 white KA7837HO'!AR20+'MAN №4 white KA3597HO'!AR20+'MAN №5 Тент МД'!AH20</f>
        <v>0</v>
      </c>
      <c r="BH20" s="3283">
        <f t="shared" si="31"/>
        <v>0</v>
      </c>
      <c r="BI20" s="3284">
        <f t="shared" si="9"/>
        <v>0</v>
      </c>
      <c r="BJ20" s="3275"/>
      <c r="BK20" s="3275">
        <f>ЦО_логистика!AL20+'Форд Тягач'!BK20+'MAN Blue KA1783HI'!AV20+'MAN green KA2790IE'!AV20+'MAN №3 white KA7837HO'!AV20+'MAN №4 white KA3597HO'!AV20+'MAN №5 Тент МД'!AL20</f>
        <v>0</v>
      </c>
      <c r="BL20" s="3275">
        <f>ЦО_логистика!AM20+'Форд Тягач'!BL20+'MAN Blue KA1783HI'!AW20+'MAN green KA2790IE'!AW20+'MAN №3 white KA7837HO'!AW20+'MAN №4 white KA3597HO'!AW20+'MAN №5 Тент МД'!AM20</f>
        <v>0</v>
      </c>
      <c r="BM20" s="3283">
        <f t="shared" si="32"/>
        <v>0</v>
      </c>
      <c r="BN20" s="3284">
        <f t="shared" si="10"/>
        <v>0</v>
      </c>
      <c r="BO20" s="3275"/>
      <c r="BP20" s="3274">
        <f>ЦО_логистика!AQ20+'Форд Тягач'!BP20+'MAN Blue KA1783HI'!BA20+'MAN green KA2790IE'!BA20+'MAN №3 white KA7837HO'!BA20+'MAN №4 white KA3597HO'!BA20+'MAN №5 Тент МД'!AQ20</f>
        <v>0</v>
      </c>
      <c r="BQ20" s="3274">
        <f>ЦО_логистика!AR20+'Форд Тягач'!BQ20+'MAN Blue KA1783HI'!BB20+'MAN green KA2790IE'!BB20+'MAN №3 white KA7837HO'!BB20+'MAN №4 white KA3597HO'!BB20+'MAN №5 Тент МД'!AR20</f>
        <v>0</v>
      </c>
      <c r="BR20" s="3286">
        <f t="shared" si="33"/>
        <v>0</v>
      </c>
      <c r="BS20" s="3284">
        <f t="shared" si="11"/>
        <v>0</v>
      </c>
      <c r="BT20" s="1158"/>
      <c r="BU20" s="3274">
        <f>ЦО_логистика!AV20+'Форд Тягач'!BU20+'MAN Blue KA1783HI'!BF20+'MAN green KA2790IE'!BF20+'MAN №3 white KA7837HO'!BF20+'MAN №4 white KA3597HO'!BF20+'MAN №5 Тент МД'!AV20</f>
        <v>0</v>
      </c>
      <c r="BV20" s="3274">
        <f>ЦО_логистика!AW20+'Форд Тягач'!BV20+'MAN Blue KA1783HI'!BG20+'MAN green KA2790IE'!BG20+'MAN №3 white KA7837HO'!BG20+'MAN №4 white KA3597HO'!BG20+'MAN №5 Тент МД'!AW20</f>
        <v>0</v>
      </c>
      <c r="BW20" s="3286">
        <f t="shared" si="37"/>
        <v>0</v>
      </c>
      <c r="BX20" s="3284">
        <f t="shared" si="12"/>
        <v>0</v>
      </c>
      <c r="BY20" s="1158"/>
      <c r="BZ20" s="3274">
        <f>ЦО_логистика!BA20+'Форд Тягач'!BZ20+'MAN Blue KA1783HI'!BK20+'MAN green KA2790IE'!BK20+'MAN №3 white KA7837HO'!BK20+'MAN №4 white KA3597HO'!BK20+'MAN №5 Тент МД'!BA20</f>
        <v>0</v>
      </c>
      <c r="CA20" s="3274">
        <f>ЦО_логистика!BB20+'Форд Тягач'!CA20+'MAN Blue KA1783HI'!BL20+'MAN green KA2790IE'!BL20+'MAN №3 white KA7837HO'!BL20+'MAN №4 white KA3597HO'!BL20+'MAN №5 Тент МД'!BB20</f>
        <v>0</v>
      </c>
      <c r="CB20" s="3286">
        <f t="shared" si="38"/>
        <v>0</v>
      </c>
      <c r="CC20" s="3284">
        <f t="shared" si="13"/>
        <v>0</v>
      </c>
      <c r="CD20" s="1158"/>
      <c r="CE20" s="3274">
        <f>ЦО_логистика!BF20+'Форд Тягач'!CE20+'MAN Blue KA1783HI'!BP20+'MAN green KA2790IE'!BP20+'MAN №3 white KA7837HO'!BP20+'MAN №4 white KA3597HO'!BP20+'MAN №5 Тент МД'!BF20</f>
        <v>0</v>
      </c>
      <c r="CF20" s="3274">
        <f>ЦО_логистика!BG20+'Форд Тягач'!CF20+'MAN Blue KA1783HI'!BQ20+'MAN green KA2790IE'!BQ20+'MAN №3 white KA7837HO'!BQ20+'MAN №4 white KA3597HO'!BQ20+'MAN №5 Тент МД'!BG20</f>
        <v>0</v>
      </c>
      <c r="CG20" s="3286">
        <f t="shared" si="39"/>
        <v>0</v>
      </c>
      <c r="CH20" s="3284">
        <f t="shared" si="14"/>
        <v>0</v>
      </c>
      <c r="CI20" s="1158"/>
      <c r="CJ20" s="3274">
        <f>ЦО_логистика!BK20+'Форд Тягач'!CJ20+'MAN Blue KA1783HI'!BU20+'MAN green KA2790IE'!BU20+'MAN №3 white KA7837HO'!BU20+'MAN №4 white KA3597HO'!BU20+'MAN №5 Тент МД'!BK20</f>
        <v>0</v>
      </c>
      <c r="CK20" s="3274">
        <f>ЦО_логистика!BL20+'Форд Тягач'!CK20+'MAN Blue KA1783HI'!BV20+'MAN green KA2790IE'!BV20+'MAN №3 white KA7837HO'!BV20+'MAN №4 white KA3597HO'!BV20+'MAN №5 Тент МД'!BL20</f>
        <v>0</v>
      </c>
      <c r="CL20" s="3286">
        <f t="shared" si="40"/>
        <v>0</v>
      </c>
      <c r="CM20" s="3284">
        <f t="shared" si="15"/>
        <v>0</v>
      </c>
      <c r="CN20" s="1158"/>
      <c r="CO20" s="3274">
        <f>ЦО_логистика!BP20+'Форд Тягач'!CO20+'MAN Blue KA1783HI'!BZ20+'MAN green KA2790IE'!BZ20+'MAN №3 white KA7837HO'!BZ20+'MAN №4 white KA3597HO'!BZ20+'MAN №5 Тент МД'!BP20</f>
        <v>0</v>
      </c>
      <c r="CP20" s="3274">
        <f>ЦО_логистика!BQ20+'Форд Тягач'!CP20+'MAN Blue KA1783HI'!CA20+'MAN green KA2790IE'!CA20+'MAN №3 white KA7837HO'!CA20+'MAN №4 white KA3597HO'!CA20+'MAN №5 Тент МД'!BQ20</f>
        <v>0</v>
      </c>
      <c r="CQ20" s="3286">
        <f t="shared" si="41"/>
        <v>0</v>
      </c>
      <c r="CR20" s="3284">
        <f t="shared" si="16"/>
        <v>0</v>
      </c>
      <c r="CS20" s="1158"/>
      <c r="CT20" s="3274">
        <f>ЦО_логистика!BU20+'Форд Тягач'!CT20+'MAN Blue KA1783HI'!CE20+'MAN green KA2790IE'!CE20+'MAN №3 white KA7837HO'!CE20+'MAN №4 white KA3597HO'!CE20+'MAN №5 Тент МД'!BU20</f>
        <v>0</v>
      </c>
      <c r="CU20" s="3274">
        <f>ЦО_логистика!BV20+'Форд Тягач'!CU20+'MAN Blue KA1783HI'!CF20+'MAN green KA2790IE'!CF20+'MAN №3 white KA7837HO'!CF20+'MAN №4 white KA3597HO'!CF20+'MAN №5 Тент МД'!BV20</f>
        <v>0</v>
      </c>
      <c r="CV20" s="3286">
        <f t="shared" si="42"/>
        <v>0</v>
      </c>
      <c r="CW20" s="3284">
        <f t="shared" si="17"/>
        <v>0</v>
      </c>
      <c r="CX20" s="1158"/>
      <c r="CY20" s="3274">
        <f>ЦО_логистика!BZ20+'Форд Тягач'!CY20+'MAN Blue KA1783HI'!CJ20+'MAN green KA2790IE'!CJ20+'MAN №3 white KA7837HO'!CJ20+'MAN №4 white KA3597HO'!CJ20+'MAN №5 Тент МД'!BZ20</f>
        <v>0</v>
      </c>
      <c r="CZ20" s="3274">
        <f>ЦО_логистика!CA20+'Форд Тягач'!CZ20+'MAN Blue KA1783HI'!CK20+'MAN green KA2790IE'!CK20+'MAN №3 white KA7837HO'!CK20+'MAN №4 white KA3597HO'!CK20+'MAN №5 Тент МД'!CA20</f>
        <v>0</v>
      </c>
      <c r="DA20" s="3286">
        <f t="shared" si="43"/>
        <v>0</v>
      </c>
      <c r="DB20" s="3284">
        <f t="shared" si="18"/>
        <v>0</v>
      </c>
      <c r="DC20" s="1158"/>
      <c r="DD20" s="3274">
        <f>ЦО_логистика!CE20+'Форд Тягач'!DD20+'MAN Blue KA1783HI'!CO20+'MAN green KA2790IE'!CO20+'MAN №3 white KA7837HO'!CO20+'MAN №4 white KA3597HO'!CO20+'MAN №5 Тент МД'!CE20</f>
        <v>0</v>
      </c>
      <c r="DE20" s="3274">
        <f>ЦО_логистика!CF20+'Форд Тягач'!DE20+'MAN Blue KA1783HI'!CP20+'MAN green KA2790IE'!CP20+'MAN №3 white KA7837HO'!CP20+'MAN №4 white KA3597HO'!CP20+'MAN №5 Тент МД'!CF20</f>
        <v>0</v>
      </c>
      <c r="DF20" s="3286">
        <f t="shared" si="44"/>
        <v>0</v>
      </c>
      <c r="DG20" s="3284">
        <f t="shared" si="19"/>
        <v>0</v>
      </c>
      <c r="DH20" s="1158"/>
      <c r="DI20" s="3274">
        <f>ЦО_логистика!CJ20+'Форд Тягач'!DI20+'MAN Blue KA1783HI'!CT20+'MAN green KA2790IE'!CT20+'MAN №3 white KA7837HO'!CT20+'MAN №4 white KA3597HO'!CT20+'MAN №5 Тент МД'!CJ20</f>
        <v>0</v>
      </c>
      <c r="DJ20" s="3274">
        <f>ЦО_логистика!CK20+'Форд Тягач'!DJ20+'MAN Blue KA1783HI'!CU20+'MAN green KA2790IE'!CU20+'MAN №3 white KA7837HO'!CU20+'MAN №4 white KA3597HO'!CU20+'MAN №5 Тент МД'!CK20</f>
        <v>0</v>
      </c>
      <c r="DK20" s="3286">
        <f t="shared" si="45"/>
        <v>0</v>
      </c>
      <c r="DL20" s="3284">
        <f t="shared" si="20"/>
        <v>0</v>
      </c>
      <c r="DM20" s="1158"/>
      <c r="DN20" s="3288">
        <f t="shared" si="21"/>
        <v>0</v>
      </c>
      <c r="DO20" s="3288">
        <f t="shared" si="21"/>
        <v>0</v>
      </c>
      <c r="DP20" s="3283">
        <f t="shared" si="36"/>
        <v>0</v>
      </c>
      <c r="DQ20" s="3284">
        <f t="shared" si="1"/>
        <v>0</v>
      </c>
      <c r="DR20" s="3275"/>
      <c r="DS20" s="916"/>
      <c r="DT20" s="916"/>
    </row>
    <row r="21" spans="1:124" s="1411" customFormat="1" ht="29.4" customHeight="1" x14ac:dyDescent="0.25">
      <c r="A21" s="1586"/>
      <c r="B21" s="3289" t="s">
        <v>58</v>
      </c>
      <c r="C21" s="3274">
        <v>0</v>
      </c>
      <c r="D21" s="3274">
        <v>0</v>
      </c>
      <c r="E21" s="3283">
        <v>0</v>
      </c>
      <c r="F21" s="3284">
        <v>0</v>
      </c>
      <c r="G21" s="1449"/>
      <c r="H21" s="3274">
        <v>0</v>
      </c>
      <c r="I21" s="3274">
        <v>0</v>
      </c>
      <c r="J21" s="3283">
        <v>0</v>
      </c>
      <c r="K21" s="3284">
        <v>0</v>
      </c>
      <c r="L21" s="1449">
        <v>0</v>
      </c>
      <c r="M21" s="3274">
        <v>0</v>
      </c>
      <c r="N21" s="3274">
        <v>0</v>
      </c>
      <c r="O21" s="3283">
        <v>0</v>
      </c>
      <c r="P21" s="3284">
        <v>0</v>
      </c>
      <c r="Q21" s="1449">
        <v>0</v>
      </c>
      <c r="R21" s="3288">
        <f>'Форд Тягач'!R21+'MAN Blue KA1783HI'!C21+'MAN green KA2790IE'!C21+'MAN №3 white KA7837HO'!C21+'MAN №4 white KA3597HO'!C21</f>
        <v>0</v>
      </c>
      <c r="S21" s="3274">
        <f>'Форд Тягач'!S21+'MAN Blue KA1783HI'!D21+'MAN green KA2790IE'!D21+'MAN №3 white KA7837HO'!D21+'MAN №4 white KA3597HO'!D21</f>
        <v>0</v>
      </c>
      <c r="T21" s="3283">
        <f t="shared" si="22"/>
        <v>0</v>
      </c>
      <c r="U21" s="3284">
        <f t="shared" si="0"/>
        <v>0</v>
      </c>
      <c r="V21" s="1608"/>
      <c r="W21" s="3274">
        <f>'Форд Тягач'!W21+'MAN Blue KA1783HI'!H21+'MAN green KA2790IE'!H21+'MAN №3 white KA7837HO'!H21+'MAN №4 white KA3597HO'!H21+Техника!W21</f>
        <v>0</v>
      </c>
      <c r="X21" s="3274">
        <f>'Форд Тягач'!X21+'MAN Blue KA1783HI'!I21+'MAN green KA2790IE'!I21+'MAN №3 white KA7837HO'!I21+'MAN №4 white KA3597HO'!I21+Техника!X21</f>
        <v>0</v>
      </c>
      <c r="Y21" s="3283">
        <f t="shared" si="23"/>
        <v>0</v>
      </c>
      <c r="Z21" s="3284">
        <f t="shared" si="24"/>
        <v>0</v>
      </c>
      <c r="AA21" s="1608"/>
      <c r="AB21" s="3274">
        <f>ЦО_логистика!C21+'Форд Тягач'!AB21+'MAN Blue KA1783HI'!M21+'MAN green KA2790IE'!M21+'MAN №3 white KA7837HO'!M21+'MAN №4 white KA3597HO'!M21+'MAN №5 Тент МД'!C21</f>
        <v>0</v>
      </c>
      <c r="AC21" s="3274">
        <f>ЦО_логистика!D21+'Форд Тягач'!AC21+'MAN Blue KA1783HI'!N21+'MAN green KA2790IE'!N21+'MAN №3 white KA7837HO'!N21+'MAN №4 white KA3597HO'!N21+'MAN №5 Тент МД'!D21</f>
        <v>0</v>
      </c>
      <c r="AD21" s="3283">
        <f t="shared" si="25"/>
        <v>0</v>
      </c>
      <c r="AE21" s="3284">
        <f t="shared" si="2"/>
        <v>0</v>
      </c>
      <c r="AF21" s="1608"/>
      <c r="AG21" s="3274">
        <f>ЦО_логистика!H21+'Форд Тягач'!AG21+'MAN Blue KA1783HI'!R21+'MAN green KA2790IE'!R21+'MAN №3 white KA7837HO'!R21+'MAN №4 white KA3597HO'!R21+'MAN №5 Тент МД'!H21</f>
        <v>0</v>
      </c>
      <c r="AH21" s="3274">
        <f>ЦО_логистика!I21+'Форд Тягач'!AH21+'MAN Blue KA1783HI'!S21+'MAN green KA2790IE'!S21+'MAN №3 white KA7837HO'!S21+'MAN №4 white KA3597HO'!S21+'MAN №5 Тент МД'!I21</f>
        <v>0</v>
      </c>
      <c r="AI21" s="3283">
        <f t="shared" si="26"/>
        <v>0</v>
      </c>
      <c r="AJ21" s="3284">
        <f t="shared" si="3"/>
        <v>0</v>
      </c>
      <c r="AK21" s="1608"/>
      <c r="AL21" s="3274">
        <f>ЦО_логистика!M21+'Форд Тягач'!AL21+'MAN Blue KA1783HI'!W21+'MAN green KA2790IE'!W21+'MAN №3 white KA7837HO'!W21+'MAN №4 white KA3597HO'!W21+'MAN №5 Тент МД'!M21</f>
        <v>0</v>
      </c>
      <c r="AM21" s="3274">
        <f>ЦО_логистика!N21+'Форд Тягач'!AM21+'MAN Blue KA1783HI'!X21+'MAN green KA2790IE'!X21+'MAN №3 white KA7837HO'!X21+'MAN №4 white KA3597HO'!X21+'MAN №5 Тент МД'!N21</f>
        <v>0</v>
      </c>
      <c r="AN21" s="3283">
        <f t="shared" si="27"/>
        <v>0</v>
      </c>
      <c r="AO21" s="3284">
        <f t="shared" si="4"/>
        <v>0</v>
      </c>
      <c r="AP21" s="3275" t="str">
        <f>CONCATENATE(ЦО_логистика!Q21,'Форд Тягач'!AP21,'MAN Blue KA1783HI'!AA21,'MAN green KA2790IE'!AA21,'MAN №3 white KA7837HO'!AF21,'MAN №4 white KA3597HO'!AA21,'MAN №5 Тент МД'!Q21)</f>
        <v/>
      </c>
      <c r="AQ21" s="3274">
        <f>SUM(ЦО_логистика!R21,'Форд Тягач'!AQ21,'MAN Blue KA1783HI'!AB21,'MAN green KA2790IE'!AB21,'MAN №3 white KA7837HO'!AB21,'MAN №4 white KA3597HO'!AB21,'MAN №5 Тент МД'!R21)</f>
        <v>0</v>
      </c>
      <c r="AR21" s="3274">
        <f>SUM(ЦО_логистика!S21,'Форд Тягач'!AR21,'MAN Blue KA1783HI'!AC21,'MAN green KA2790IE'!AC21,'MAN №3 white KA7837HO'!AC21,'MAN №4 white KA3597HO'!AC21,'MAN №5 Тент МД'!S21)</f>
        <v>0</v>
      </c>
      <c r="AS21" s="3283">
        <f t="shared" si="28"/>
        <v>0</v>
      </c>
      <c r="AT21" s="3284">
        <f t="shared" si="5"/>
        <v>0</v>
      </c>
      <c r="AU21" s="3275" t="str">
        <f>CONCATENATE(ЦО_логистика!V21,'Форд Тягач'!AU21,'MAN Blue KA1783HI'!AF20,'MAN green KA2790IE'!AF21,'MAN №3 white KA7837HO'!AF21,'MAN №4 white KA3597HO'!AF21,'MAN №5 Тент МД'!V21)</f>
        <v/>
      </c>
      <c r="AV21" s="3275">
        <f>+ЦО_логистика!W21+'Форд Тягач'!AV21+'MAN Blue KA1783HI'!AG21+'MAN green KA2790IE'!AG21+'MAN №3 white KA7837HO'!AG21+'MAN №4 white KA3597HO'!AG21+'MAN №5 Тент МД'!W21</f>
        <v>560</v>
      </c>
      <c r="AW21" s="3275">
        <f>+ЦО_логистика!X21+'Форд Тягач'!AW21+'MAN Blue KA1783HI'!AH21+'MAN green KA2790IE'!AH21+'MAN №3 white KA7837HO'!AH21+'MAN №4 white KA3597HO'!AH21+'MAN №5 Тент МД'!X21</f>
        <v>0</v>
      </c>
      <c r="AX21" s="3283">
        <f t="shared" si="29"/>
        <v>560</v>
      </c>
      <c r="AY21" s="3284">
        <f t="shared" si="6"/>
        <v>4.3811668383644098E-4</v>
      </c>
      <c r="AZ21" s="3275"/>
      <c r="BA21" s="3275">
        <f t="shared" si="7"/>
        <v>0</v>
      </c>
      <c r="BB21" s="3275">
        <f t="shared" si="7"/>
        <v>0</v>
      </c>
      <c r="BC21" s="3283">
        <f t="shared" si="30"/>
        <v>0</v>
      </c>
      <c r="BD21" s="3284">
        <f t="shared" si="8"/>
        <v>0</v>
      </c>
      <c r="BE21" s="3275">
        <f>ЦО_логистика!AD21+'Форд Тягач'!BC21+'MAN Blue KA1783HI'!AN21+'MAN green KA2790IE'!AN21+'MAN №3 white KA7837HO'!AN21+'MAN №4 white KA3597HO'!AN21+'MAN №5 Тент МД'!AD21-BC21</f>
        <v>0</v>
      </c>
      <c r="BF21" s="3274">
        <f>ЦО_логистика!AG21+'Форд Тягач'!BF21+'MAN Blue KA1783HI'!AQ21+'MAN green KA2790IE'!AQ21+'MAN №3 white KA7837HO'!AQ21+'MAN №4 white KA3597HO'!AQ21+'MAN №5 Тент МД'!AG21</f>
        <v>0</v>
      </c>
      <c r="BG21" s="3274">
        <f>ЦО_логистика!AH21+'Форд Тягач'!BG21+'MAN Blue KA1783HI'!AR21+'MAN green KA2790IE'!AR21+'MAN №3 white KA7837HO'!AR21+'MAN №4 white KA3597HO'!AR21+'MAN №5 Тент МД'!AH21</f>
        <v>0</v>
      </c>
      <c r="BH21" s="3283">
        <f t="shared" si="31"/>
        <v>0</v>
      </c>
      <c r="BI21" s="3284">
        <f t="shared" si="9"/>
        <v>0</v>
      </c>
      <c r="BJ21" s="3275"/>
      <c r="BK21" s="3275">
        <f>ЦО_логистика!AL21+'Форд Тягач'!BK21+'MAN Blue KA1783HI'!AV21+'MAN green KA2790IE'!AV21+'MAN №3 white KA7837HO'!AV21+'MAN №4 white KA3597HO'!AV21+'MAN №5 Тент МД'!AL21</f>
        <v>0</v>
      </c>
      <c r="BL21" s="3275">
        <f>ЦО_логистика!AM21+'Форд Тягач'!BL21+'MAN Blue KA1783HI'!AW21+'MAN green KA2790IE'!AW21+'MAN №3 white KA7837HO'!AW21+'MAN №4 white KA3597HO'!AW21+'MAN №5 Тент МД'!AM21</f>
        <v>0</v>
      </c>
      <c r="BM21" s="3283">
        <f t="shared" si="32"/>
        <v>0</v>
      </c>
      <c r="BN21" s="3284">
        <f t="shared" si="10"/>
        <v>0</v>
      </c>
      <c r="BO21" s="3275"/>
      <c r="BP21" s="3274">
        <f>ЦО_логистика!AQ21+'Форд Тягач'!BP21+'MAN Blue KA1783HI'!BA21+'MAN green KA2790IE'!BA21+'MAN №3 white KA7837HO'!BA21+'MAN №4 white KA3597HO'!BA21+'MAN №5 Тент МД'!AQ21</f>
        <v>0</v>
      </c>
      <c r="BQ21" s="3274">
        <f>ЦО_логистика!AR21+'Форд Тягач'!BQ21+'MAN Blue KA1783HI'!BB21+'MAN green KA2790IE'!BB21+'MAN №3 white KA7837HO'!BB21+'MAN №4 white KA3597HO'!BB21+'MAN №5 Тент МД'!AR21</f>
        <v>0</v>
      </c>
      <c r="BR21" s="3286">
        <f t="shared" si="33"/>
        <v>0</v>
      </c>
      <c r="BS21" s="3284">
        <f t="shared" si="11"/>
        <v>0</v>
      </c>
      <c r="BT21" s="1158"/>
      <c r="BU21" s="3274">
        <f>ЦО_логистика!AV21+'Форд Тягач'!BU21+'MAN Blue KA1783HI'!BF21+'MAN green KA2790IE'!BF21+'MAN №3 white KA7837HO'!BF21+'MAN №4 white KA3597HO'!BF21+'MAN №5 Тент МД'!AV21</f>
        <v>0</v>
      </c>
      <c r="BV21" s="3274">
        <f>ЦО_логистика!AW21+'Форд Тягач'!BV21+'MAN Blue KA1783HI'!BG21+'MAN green KA2790IE'!BG21+'MAN №3 white KA7837HO'!BG21+'MAN №4 white KA3597HO'!BG21+'MAN №5 Тент МД'!AW21</f>
        <v>0</v>
      </c>
      <c r="BW21" s="3286">
        <f t="shared" si="37"/>
        <v>0</v>
      </c>
      <c r="BX21" s="3284">
        <f t="shared" si="12"/>
        <v>0</v>
      </c>
      <c r="BY21" s="1158"/>
      <c r="BZ21" s="3274">
        <f>ЦО_логистика!BA21+'Форд Тягач'!BZ21+'MAN Blue KA1783HI'!BK21+'MAN green KA2790IE'!BK21+'MAN №3 white KA7837HO'!BK21+'MAN №4 white KA3597HO'!BK21+'MAN №5 Тент МД'!BA21</f>
        <v>0</v>
      </c>
      <c r="CA21" s="3274">
        <f>ЦО_логистика!BB21+'Форд Тягач'!CA21+'MAN Blue KA1783HI'!BL21+'MAN green KA2790IE'!BL21+'MAN №3 white KA7837HO'!BL21+'MAN №4 white KA3597HO'!BL21+'MAN №5 Тент МД'!BB21</f>
        <v>0</v>
      </c>
      <c r="CB21" s="3286">
        <f t="shared" si="38"/>
        <v>0</v>
      </c>
      <c r="CC21" s="3284">
        <f t="shared" si="13"/>
        <v>0</v>
      </c>
      <c r="CD21" s="1158"/>
      <c r="CE21" s="3274">
        <f>ЦО_логистика!BF21+'Форд Тягач'!CE21+'MAN Blue KA1783HI'!BP21+'MAN green KA2790IE'!BP21+'MAN №3 white KA7837HO'!BP21+'MAN №4 white KA3597HO'!BP21+'MAN №5 Тент МД'!BF21</f>
        <v>0</v>
      </c>
      <c r="CF21" s="3274">
        <f>ЦО_логистика!BG21+'Форд Тягач'!CF21+'MAN Blue KA1783HI'!BQ21+'MAN green KA2790IE'!BQ21+'MAN №3 white KA7837HO'!BQ21+'MAN №4 white KA3597HO'!BQ21+'MAN №5 Тент МД'!BG21</f>
        <v>0</v>
      </c>
      <c r="CG21" s="3286">
        <f t="shared" si="39"/>
        <v>0</v>
      </c>
      <c r="CH21" s="3284">
        <f t="shared" si="14"/>
        <v>0</v>
      </c>
      <c r="CI21" s="1158"/>
      <c r="CJ21" s="3274">
        <f>ЦО_логистика!BK21+'Форд Тягач'!CJ21+'MAN Blue KA1783HI'!BU21+'MAN green KA2790IE'!BU21+'MAN №3 white KA7837HO'!BU21+'MAN №4 white KA3597HO'!BU21+'MAN №5 Тент МД'!BK21</f>
        <v>0</v>
      </c>
      <c r="CK21" s="3274">
        <f>ЦО_логистика!BL21+'Форд Тягач'!CK21+'MAN Blue KA1783HI'!BV21+'MAN green KA2790IE'!BV21+'MAN №3 white KA7837HO'!BV21+'MAN №4 white KA3597HO'!BV21+'MAN №5 Тент МД'!BL21</f>
        <v>0</v>
      </c>
      <c r="CL21" s="3286">
        <f t="shared" si="40"/>
        <v>0</v>
      </c>
      <c r="CM21" s="3284">
        <f t="shared" si="15"/>
        <v>0</v>
      </c>
      <c r="CN21" s="1158"/>
      <c r="CO21" s="3274">
        <f>ЦО_логистика!BP21+'Форд Тягач'!CO21+'MAN Blue KA1783HI'!BZ21+'MAN green KA2790IE'!BZ21+'MAN №3 white KA7837HO'!BZ21+'MAN №4 white KA3597HO'!BZ21+'MAN №5 Тент МД'!BP21</f>
        <v>0</v>
      </c>
      <c r="CP21" s="3274">
        <f>ЦО_логистика!BQ21+'Форд Тягач'!CP21+'MAN Blue KA1783HI'!CA21+'MAN green KA2790IE'!CA21+'MAN №3 white KA7837HO'!CA21+'MAN №4 white KA3597HO'!CA21+'MAN №5 Тент МД'!BQ21</f>
        <v>0</v>
      </c>
      <c r="CQ21" s="3286">
        <f t="shared" si="41"/>
        <v>0</v>
      </c>
      <c r="CR21" s="3284">
        <f t="shared" si="16"/>
        <v>0</v>
      </c>
      <c r="CS21" s="1158"/>
      <c r="CT21" s="3274">
        <f>ЦО_логистика!BU21+'Форд Тягач'!CT21+'MAN Blue KA1783HI'!CE21+'MAN green KA2790IE'!CE21+'MAN №3 white KA7837HO'!CE21+'MAN №4 white KA3597HO'!CE21+'MAN №5 Тент МД'!BU21</f>
        <v>0</v>
      </c>
      <c r="CU21" s="3274">
        <f>ЦО_логистика!BV21+'Форд Тягач'!CU21+'MAN Blue KA1783HI'!CF21+'MAN green KA2790IE'!CF21+'MAN №3 white KA7837HO'!CF21+'MAN №4 white KA3597HO'!CF21+'MAN №5 Тент МД'!BV21</f>
        <v>0</v>
      </c>
      <c r="CV21" s="3286">
        <f t="shared" si="42"/>
        <v>0</v>
      </c>
      <c r="CW21" s="3284">
        <f t="shared" si="17"/>
        <v>0</v>
      </c>
      <c r="CX21" s="1158"/>
      <c r="CY21" s="3274">
        <f>ЦО_логистика!BZ21+'Форд Тягач'!CY21+'MAN Blue KA1783HI'!CJ21+'MAN green KA2790IE'!CJ21+'MAN №3 white KA7837HO'!CJ21+'MAN №4 white KA3597HO'!CJ21+'MAN №5 Тент МД'!BZ21</f>
        <v>0</v>
      </c>
      <c r="CZ21" s="3274">
        <f>ЦО_логистика!CA21+'Форд Тягач'!CZ21+'MAN Blue KA1783HI'!CK21+'MAN green KA2790IE'!CK21+'MAN №3 white KA7837HO'!CK21+'MAN №4 white KA3597HO'!CK21+'MAN №5 Тент МД'!CA21</f>
        <v>0</v>
      </c>
      <c r="DA21" s="3286">
        <f t="shared" si="43"/>
        <v>0</v>
      </c>
      <c r="DB21" s="3284">
        <f t="shared" si="18"/>
        <v>0</v>
      </c>
      <c r="DC21" s="1158"/>
      <c r="DD21" s="3274">
        <f>ЦО_логистика!CE21+'Форд Тягач'!DD21+'MAN Blue KA1783HI'!CO21+'MAN green KA2790IE'!CO21+'MAN №3 white KA7837HO'!CO21+'MAN №4 white KA3597HO'!CO21+'MAN №5 Тент МД'!CE21</f>
        <v>0</v>
      </c>
      <c r="DE21" s="3274">
        <f>ЦО_логистика!CF21+'Форд Тягач'!DE21+'MAN Blue KA1783HI'!CP21+'MAN green KA2790IE'!CP21+'MAN №3 white KA7837HO'!CP21+'MAN №4 white KA3597HO'!CP21+'MAN №5 Тент МД'!CF21</f>
        <v>0</v>
      </c>
      <c r="DF21" s="3286">
        <f t="shared" si="44"/>
        <v>0</v>
      </c>
      <c r="DG21" s="3284">
        <f t="shared" si="19"/>
        <v>0</v>
      </c>
      <c r="DH21" s="1158"/>
      <c r="DI21" s="3274">
        <f>ЦО_логистика!CJ21+'Форд Тягач'!DI21+'MAN Blue KA1783HI'!CT21+'MAN green KA2790IE'!CT21+'MAN №3 white KA7837HO'!CT21+'MAN №4 white KA3597HO'!CT21+'MAN №5 Тент МД'!CJ21</f>
        <v>0</v>
      </c>
      <c r="DJ21" s="3274">
        <f>ЦО_логистика!CK21+'Форд Тягач'!DJ21+'MAN Blue KA1783HI'!CU21+'MAN green KA2790IE'!CU21+'MAN №3 white KA7837HO'!CU21+'MAN №4 white KA3597HO'!CU21+'MAN №5 Тент МД'!CK21</f>
        <v>0</v>
      </c>
      <c r="DK21" s="3286">
        <f t="shared" si="45"/>
        <v>0</v>
      </c>
      <c r="DL21" s="3284">
        <f t="shared" si="20"/>
        <v>0</v>
      </c>
      <c r="DM21" s="1158"/>
      <c r="DN21" s="3288">
        <f t="shared" si="21"/>
        <v>560</v>
      </c>
      <c r="DO21" s="3288">
        <f t="shared" si="21"/>
        <v>0</v>
      </c>
      <c r="DP21" s="3283">
        <f t="shared" si="36"/>
        <v>560</v>
      </c>
      <c r="DQ21" s="3284">
        <f t="shared" si="1"/>
        <v>2.1195209839387395E-5</v>
      </c>
      <c r="DR21" s="3275"/>
      <c r="DS21" s="916"/>
      <c r="DT21" s="916"/>
    </row>
    <row r="22" spans="1:124" s="1411" customFormat="1" ht="29.4" customHeight="1" x14ac:dyDescent="0.25">
      <c r="A22" s="1586"/>
      <c r="B22" s="3289" t="s">
        <v>621</v>
      </c>
      <c r="C22" s="3274">
        <v>0</v>
      </c>
      <c r="D22" s="3274">
        <v>0</v>
      </c>
      <c r="E22" s="3283">
        <v>0</v>
      </c>
      <c r="F22" s="3284">
        <v>0</v>
      </c>
      <c r="G22" s="1449"/>
      <c r="H22" s="3274">
        <v>0</v>
      </c>
      <c r="I22" s="3274">
        <v>0</v>
      </c>
      <c r="J22" s="3283">
        <v>0</v>
      </c>
      <c r="K22" s="3284">
        <v>0</v>
      </c>
      <c r="L22" s="1449">
        <v>0</v>
      </c>
      <c r="M22" s="3274">
        <v>0</v>
      </c>
      <c r="N22" s="3274">
        <v>0</v>
      </c>
      <c r="O22" s="3283">
        <v>0</v>
      </c>
      <c r="P22" s="3284">
        <v>0</v>
      </c>
      <c r="Q22" s="1449">
        <v>0</v>
      </c>
      <c r="R22" s="3288">
        <f>'Форд Тягач'!R22+'MAN Blue KA1783HI'!C22+'MAN green KA2790IE'!C22+'MAN №3 white KA7837HO'!C22+'MAN №4 white KA3597HO'!C22</f>
        <v>0</v>
      </c>
      <c r="S22" s="3274">
        <f>'Форд Тягач'!S22+'MAN Blue KA1783HI'!D22+'MAN green KA2790IE'!D22+'MAN №3 white KA7837HO'!D22+'MAN №4 white KA3597HO'!D22</f>
        <v>0</v>
      </c>
      <c r="T22" s="3283"/>
      <c r="U22" s="3284">
        <f t="shared" si="0"/>
        <v>0</v>
      </c>
      <c r="V22" s="1608"/>
      <c r="W22" s="3274">
        <f>'Форд Тягач'!W22+'MAN Blue KA1783HI'!H22+'MAN green KA2790IE'!H22+'MAN №3 white KA7837HO'!H22+'MAN №4 white KA3597HO'!H22+Техника!W22</f>
        <v>0</v>
      </c>
      <c r="X22" s="3274">
        <f>'Форд Тягач'!X22+'MAN Blue KA1783HI'!I22+'MAN green KA2790IE'!I22+'MAN №3 white KA7837HO'!I22+'MAN №4 white KA3597HO'!I22+Техника!X22</f>
        <v>0</v>
      </c>
      <c r="Y22" s="3283"/>
      <c r="Z22" s="3284">
        <f t="shared" si="24"/>
        <v>0</v>
      </c>
      <c r="AA22" s="1608"/>
      <c r="AB22" s="3274">
        <f>ЦО_логистика!C22+'Форд Тягач'!AB22+'MAN Blue KA1783HI'!M22+'MAN green KA2790IE'!M22+'MAN №3 white KA7837HO'!M22+'MAN №4 white KA3597HO'!M22+'MAN №5 Тент МД'!C22</f>
        <v>0</v>
      </c>
      <c r="AC22" s="3274">
        <f>ЦО_логистика!D22+'Форд Тягач'!AC22+'MAN Blue KA1783HI'!N22+'MAN green KA2790IE'!N22+'MAN №3 white KA7837HO'!N22+'MAN №4 white KA3597HO'!N22+'MAN №5 Тент МД'!D22</f>
        <v>0</v>
      </c>
      <c r="AD22" s="3283"/>
      <c r="AE22" s="3284">
        <f t="shared" si="2"/>
        <v>0</v>
      </c>
      <c r="AF22" s="1608"/>
      <c r="AG22" s="3274">
        <f>ЦО_логистика!H22+'Форд Тягач'!AG22+'MAN Blue KA1783HI'!R22+'MAN green KA2790IE'!R22+'MAN №3 white KA7837HO'!R22+'MAN №4 white KA3597HO'!R22+'MAN №5 Тент МД'!H22</f>
        <v>0</v>
      </c>
      <c r="AH22" s="3274">
        <f>ЦО_логистика!I22+'Форд Тягач'!AH22+'MAN Blue KA1783HI'!S22+'MAN green KA2790IE'!S22+'MAN №3 white KA7837HO'!S22+'MAN №4 white KA3597HO'!S22+'MAN №5 Тент МД'!I22</f>
        <v>0</v>
      </c>
      <c r="AI22" s="3283"/>
      <c r="AJ22" s="3284">
        <f t="shared" si="3"/>
        <v>0</v>
      </c>
      <c r="AK22" s="1608"/>
      <c r="AL22" s="3274">
        <f>ЦО_логистика!M22+'Форд Тягач'!AL22+'MAN Blue KA1783HI'!W22+'MAN green KA2790IE'!W22+'MAN №3 white KA7837HO'!W22+'MAN №4 white KA3597HO'!W22+'MAN №5 Тент МД'!M22</f>
        <v>0</v>
      </c>
      <c r="AM22" s="3274">
        <f>ЦО_логистика!N22+'Форд Тягач'!AM22+'MAN Blue KA1783HI'!X22+'MAN green KA2790IE'!X22+'MAN №3 white KA7837HO'!X22+'MAN №4 white KA3597HO'!X22+'MAN №5 Тент МД'!N22</f>
        <v>0</v>
      </c>
      <c r="AN22" s="3283"/>
      <c r="AO22" s="3284">
        <f t="shared" si="4"/>
        <v>0</v>
      </c>
      <c r="AP22" s="3275" t="str">
        <f>CONCATENATE(ЦО_логистика!Q22,'Форд Тягач'!AP22,'MAN Blue KA1783HI'!AA22,'MAN green KA2790IE'!AA22,'MAN №3 white KA7837HO'!AF22,'MAN №4 white KA3597HO'!AA22,'MAN №5 Тент МД'!Q22)</f>
        <v/>
      </c>
      <c r="AQ22" s="3274">
        <f>SUM(ЦО_логистика!R22,'Форд Тягач'!AQ22,'MAN Blue KA1783HI'!AB22,'MAN green KA2790IE'!AB22,'MAN №3 white KA7837HO'!AB22,'MAN №4 white KA3597HO'!AB22,'MAN №5 Тент МД'!R22)</f>
        <v>0</v>
      </c>
      <c r="AR22" s="3274">
        <f>SUM(ЦО_логистика!S22,'Форд Тягач'!AR22,'MAN Blue KA1783HI'!AC22,'MAN green KA2790IE'!AC22,'MAN №3 white KA7837HO'!AC22,'MAN №4 white KA3597HO'!AC22,'MAN №5 Тент МД'!S22)</f>
        <v>0</v>
      </c>
      <c r="AS22" s="3283"/>
      <c r="AT22" s="3284">
        <f t="shared" si="5"/>
        <v>0</v>
      </c>
      <c r="AU22" s="3275" t="str">
        <f>CONCATENATE(ЦО_логистика!V22,'Форд Тягач'!AU22,'MAN Blue KA1783HI'!AF21,'MAN green KA2790IE'!AF22,'MAN №3 white KA7837HO'!AF22,'MAN №4 white KA3597HO'!AF22,'MAN №5 Тент МД'!V22)</f>
        <v/>
      </c>
      <c r="AV22" s="3275">
        <f>+ЦО_логистика!W22+'Форд Тягач'!AV22+'MAN Blue KA1783HI'!AG22+'MAN green KA2790IE'!AG22+'MAN №3 white KA7837HO'!AG22+'MAN №4 white KA3597HO'!AG22+'MAN №5 Тент МД'!W22</f>
        <v>0</v>
      </c>
      <c r="AW22" s="3275">
        <f>+ЦО_логистика!X22+'Форд Тягач'!AW22+'MAN Blue KA1783HI'!AH22+'MAN green KA2790IE'!AH22+'MAN №3 white KA7837HO'!AH22+'MAN №4 white KA3597HO'!AH22+'MAN №5 Тент МД'!X22</f>
        <v>0</v>
      </c>
      <c r="AX22" s="3283">
        <f t="shared" si="29"/>
        <v>0</v>
      </c>
      <c r="AY22" s="3284">
        <f t="shared" si="6"/>
        <v>0</v>
      </c>
      <c r="AZ22" s="3275"/>
      <c r="BA22" s="3275">
        <f t="shared" si="7"/>
        <v>0</v>
      </c>
      <c r="BB22" s="3275">
        <f t="shared" si="7"/>
        <v>0</v>
      </c>
      <c r="BC22" s="3283">
        <f t="shared" si="30"/>
        <v>0</v>
      </c>
      <c r="BD22" s="3284">
        <f t="shared" si="8"/>
        <v>0</v>
      </c>
      <c r="BE22" s="3275">
        <f>ЦО_логистика!AD22+'Форд Тягач'!BC22+'MAN Blue KA1783HI'!AN22+'MAN green KA2790IE'!AN22+'MAN №3 white KA7837HO'!AN22+'MAN №4 white KA3597HO'!AN22+'MAN №5 Тент МД'!AD22-BC22</f>
        <v>0</v>
      </c>
      <c r="BF22" s="3274">
        <f>ЦО_логистика!AG22+'Форд Тягач'!BF22+'MAN Blue KA1783HI'!AQ22+'MAN green KA2790IE'!AQ22+'MAN №3 white KA7837HO'!AQ22+'MAN №4 white KA3597HO'!AQ22+'MAN №5 Тент МД'!AG22</f>
        <v>0</v>
      </c>
      <c r="BG22" s="3274">
        <f>ЦО_логистика!AH22+'Форд Тягач'!BG22+'MAN Blue KA1783HI'!AR22+'MAN green KA2790IE'!AR22+'MAN №3 white KA7837HO'!AR22+'MAN №4 white KA3597HO'!AR22+'MAN №5 Тент МД'!AH22</f>
        <v>0</v>
      </c>
      <c r="BH22" s="3283"/>
      <c r="BI22" s="3284">
        <f t="shared" si="9"/>
        <v>0</v>
      </c>
      <c r="BJ22" s="3275"/>
      <c r="BK22" s="3275">
        <f>ЦО_логистика!AL22+'Форд Тягач'!BK22+'MAN Blue KA1783HI'!AV22+'MAN green KA2790IE'!AV22+'MAN №3 white KA7837HO'!AV22+'MAN №4 white KA3597HO'!AV22+'MAN №5 Тент МД'!AL22</f>
        <v>0</v>
      </c>
      <c r="BL22" s="3275">
        <f>ЦО_логистика!AM22+'Форд Тягач'!BL22+'MAN Blue KA1783HI'!AW22+'MAN green KA2790IE'!AW22+'MAN №3 white KA7837HO'!AW22+'MAN №4 white KA3597HO'!AW22+'MAN №5 Тент МД'!AM22</f>
        <v>0</v>
      </c>
      <c r="BM22" s="3283"/>
      <c r="BN22" s="3284">
        <f t="shared" si="10"/>
        <v>0</v>
      </c>
      <c r="BO22" s="3275"/>
      <c r="BP22" s="3274">
        <f>ЦО_логистика!AQ22+'Форд Тягач'!BP22+'MAN Blue KA1783HI'!BA22+'MAN green KA2790IE'!BA22+'MAN №3 white KA7837HO'!BA22+'MAN №4 white KA3597HO'!BA22+'MAN №5 Тент МД'!AQ22</f>
        <v>0</v>
      </c>
      <c r="BQ22" s="3274">
        <f>ЦО_логистика!AR22+'Форд Тягач'!BQ22+'MAN Blue KA1783HI'!BB22+'MAN green KA2790IE'!BB22+'MAN №3 white KA7837HO'!BB22+'MAN №4 white KA3597HO'!BB22+'MAN №5 Тент МД'!AR22</f>
        <v>0</v>
      </c>
      <c r="BR22" s="3286">
        <f t="shared" si="33"/>
        <v>0</v>
      </c>
      <c r="BS22" s="3284">
        <f t="shared" si="11"/>
        <v>0</v>
      </c>
      <c r="BT22" s="1158"/>
      <c r="BU22" s="3274">
        <f>ЦО_логистика!AV22+'Форд Тягач'!BU22+'MAN Blue KA1783HI'!BF22+'MAN green KA2790IE'!BF22+'MAN №3 white KA7837HO'!BF22+'MAN №4 white KA3597HO'!BF22+'MAN №5 Тент МД'!AV22</f>
        <v>0</v>
      </c>
      <c r="BV22" s="3274">
        <f>ЦО_логистика!AW22+'Форд Тягач'!BV22+'MAN Blue KA1783HI'!BG22+'MAN green KA2790IE'!BG22+'MAN №3 white KA7837HO'!BG22+'MAN №4 white KA3597HO'!BG22+'MAN №5 Тент МД'!AW22</f>
        <v>0</v>
      </c>
      <c r="BW22" s="3286">
        <f t="shared" si="37"/>
        <v>0</v>
      </c>
      <c r="BX22" s="3284">
        <f t="shared" si="12"/>
        <v>0</v>
      </c>
      <c r="BY22" s="1158"/>
      <c r="BZ22" s="3274">
        <f>ЦО_логистика!BA22+'Форд Тягач'!BZ22+'MAN Blue KA1783HI'!BK22+'MAN green KA2790IE'!BK22+'MAN №3 white KA7837HO'!BK22+'MAN №4 white KA3597HO'!BK22+'MAN №5 Тент МД'!BA22</f>
        <v>0</v>
      </c>
      <c r="CA22" s="3274">
        <f>ЦО_логистика!BB22+'Форд Тягач'!CA22+'MAN Blue KA1783HI'!BL22+'MAN green KA2790IE'!BL22+'MAN №3 white KA7837HO'!BL22+'MAN №4 white KA3597HO'!BL22+'MAN №5 Тент МД'!BB22</f>
        <v>0</v>
      </c>
      <c r="CB22" s="3286">
        <f t="shared" si="38"/>
        <v>0</v>
      </c>
      <c r="CC22" s="3284">
        <f t="shared" si="13"/>
        <v>0</v>
      </c>
      <c r="CD22" s="1158"/>
      <c r="CE22" s="3274">
        <f>ЦО_логистика!BF22+'Форд Тягач'!CE22+'MAN Blue KA1783HI'!BP22+'MAN green KA2790IE'!BP22+'MAN №3 white KA7837HO'!BP22+'MAN №4 white KA3597HO'!BP22+'MAN №5 Тент МД'!BF22</f>
        <v>0</v>
      </c>
      <c r="CF22" s="3274">
        <f>ЦО_логистика!BG22+'Форд Тягач'!CF22+'MAN Blue KA1783HI'!BQ22+'MAN green KA2790IE'!BQ22+'MAN №3 white KA7837HO'!BQ22+'MAN №4 white KA3597HO'!BQ22+'MAN №5 Тент МД'!BG22</f>
        <v>0</v>
      </c>
      <c r="CG22" s="3286">
        <f t="shared" si="39"/>
        <v>0</v>
      </c>
      <c r="CH22" s="3284">
        <f t="shared" si="14"/>
        <v>0</v>
      </c>
      <c r="CI22" s="1158"/>
      <c r="CJ22" s="3274">
        <f>ЦО_логистика!BK22+'Форд Тягач'!CJ22+'MAN Blue KA1783HI'!BU22+'MAN green KA2790IE'!BU22+'MAN №3 white KA7837HO'!BU22+'MAN №4 white KA3597HO'!BU22+'MAN №5 Тент МД'!BK22</f>
        <v>0</v>
      </c>
      <c r="CK22" s="3274">
        <f>ЦО_логистика!BL22+'Форд Тягач'!CK22+'MAN Blue KA1783HI'!BV22+'MAN green KA2790IE'!BV22+'MAN №3 white KA7837HO'!BV22+'MAN №4 white KA3597HO'!BV22+'MAN №5 Тент МД'!BL22</f>
        <v>0</v>
      </c>
      <c r="CL22" s="3286">
        <f t="shared" si="40"/>
        <v>0</v>
      </c>
      <c r="CM22" s="3284">
        <f t="shared" si="15"/>
        <v>0</v>
      </c>
      <c r="CN22" s="1158"/>
      <c r="CO22" s="3274">
        <f>ЦО_логистика!BP22+'Форд Тягач'!CO22+'MAN Blue KA1783HI'!BZ22+'MAN green KA2790IE'!BZ22+'MAN №3 white KA7837HO'!BZ22+'MAN №4 white KA3597HO'!BZ22+'MAN №5 Тент МД'!BP22</f>
        <v>0</v>
      </c>
      <c r="CP22" s="3274">
        <f>ЦО_логистика!BQ22+'Форд Тягач'!CP22+'MAN Blue KA1783HI'!CA22+'MAN green KA2790IE'!CA22+'MAN №3 white KA7837HO'!CA22+'MAN №4 white KA3597HO'!CA22+'MAN №5 Тент МД'!BQ22</f>
        <v>0</v>
      </c>
      <c r="CQ22" s="3286">
        <f t="shared" si="41"/>
        <v>0</v>
      </c>
      <c r="CR22" s="3284">
        <f t="shared" si="16"/>
        <v>0</v>
      </c>
      <c r="CS22" s="1158"/>
      <c r="CT22" s="3274">
        <f>ЦО_логистика!BU22+'Форд Тягач'!CT22+'MAN Blue KA1783HI'!CE22+'MAN green KA2790IE'!CE22+'MAN №3 white KA7837HO'!CE22+'MAN №4 white KA3597HO'!CE22+'MAN №5 Тент МД'!BU22</f>
        <v>0</v>
      </c>
      <c r="CU22" s="3274">
        <f>ЦО_логистика!BV22+'Форд Тягач'!CU22+'MAN Blue KA1783HI'!CF22+'MAN green KA2790IE'!CF22+'MAN №3 white KA7837HO'!CF22+'MAN №4 white KA3597HO'!CF22+'MAN №5 Тент МД'!BV22</f>
        <v>0</v>
      </c>
      <c r="CV22" s="3286">
        <f t="shared" si="42"/>
        <v>0</v>
      </c>
      <c r="CW22" s="3284">
        <f t="shared" si="17"/>
        <v>0</v>
      </c>
      <c r="CX22" s="1158"/>
      <c r="CY22" s="3274">
        <f>ЦО_логистика!BZ22+'Форд Тягач'!CY22+'MAN Blue KA1783HI'!CJ22+'MAN green KA2790IE'!CJ22+'MAN №3 white KA7837HO'!CJ22+'MAN №4 white KA3597HO'!CJ22+'MAN №5 Тент МД'!BZ22</f>
        <v>0</v>
      </c>
      <c r="CZ22" s="3274">
        <f>ЦО_логистика!CA22+'Форд Тягач'!CZ22+'MAN Blue KA1783HI'!CK22+'MAN green KA2790IE'!CK22+'MAN №3 white KA7837HO'!CK22+'MAN №4 white KA3597HO'!CK22+'MAN №5 Тент МД'!CA22</f>
        <v>0</v>
      </c>
      <c r="DA22" s="3286">
        <f t="shared" si="43"/>
        <v>0</v>
      </c>
      <c r="DB22" s="3284">
        <f t="shared" si="18"/>
        <v>0</v>
      </c>
      <c r="DC22" s="1158"/>
      <c r="DD22" s="3274">
        <f>ЦО_логистика!CE22+'Форд Тягач'!DD22+'MAN Blue KA1783HI'!CO22+'MAN green KA2790IE'!CO22+'MAN №3 white KA7837HO'!CO22+'MAN №4 white KA3597HO'!CO22+'MAN №5 Тент МД'!CE22</f>
        <v>0</v>
      </c>
      <c r="DE22" s="3274">
        <f>ЦО_логистика!CF22+'Форд Тягач'!DE22+'MAN Blue KA1783HI'!CP22+'MAN green KA2790IE'!CP22+'MAN №3 white KA7837HO'!CP22+'MAN №4 white KA3597HO'!CP22+'MAN №5 Тент МД'!CF22</f>
        <v>0</v>
      </c>
      <c r="DF22" s="3286">
        <f t="shared" si="44"/>
        <v>0</v>
      </c>
      <c r="DG22" s="3284">
        <f t="shared" si="19"/>
        <v>0</v>
      </c>
      <c r="DH22" s="1158"/>
      <c r="DI22" s="3274">
        <f>ЦО_логистика!CJ22+'Форд Тягач'!DI22+'MAN Blue KA1783HI'!CT22+'MAN green KA2790IE'!CT22+'MAN №3 white KA7837HO'!CT22+'MAN №4 white KA3597HO'!CT22+'MAN №5 Тент МД'!CJ22</f>
        <v>0</v>
      </c>
      <c r="DJ22" s="3274">
        <f>ЦО_логистика!CK22+'Форд Тягач'!DJ22+'MAN Blue KA1783HI'!CU22+'MAN green KA2790IE'!CU22+'MAN №3 white KA7837HO'!CU22+'MAN №4 white KA3597HO'!CU22+'MAN №5 Тент МД'!CK22</f>
        <v>0</v>
      </c>
      <c r="DK22" s="3286">
        <f t="shared" si="45"/>
        <v>0</v>
      </c>
      <c r="DL22" s="3284">
        <f t="shared" si="20"/>
        <v>0</v>
      </c>
      <c r="DM22" s="1158"/>
      <c r="DN22" s="3288">
        <f t="shared" si="21"/>
        <v>0</v>
      </c>
      <c r="DO22" s="3288">
        <f t="shared" si="21"/>
        <v>0</v>
      </c>
      <c r="DP22" s="3283"/>
      <c r="DQ22" s="3284"/>
      <c r="DR22" s="3275"/>
      <c r="DS22" s="916"/>
      <c r="DT22" s="916"/>
    </row>
    <row r="23" spans="1:124" s="1411" customFormat="1" ht="29.4" customHeight="1" x14ac:dyDescent="0.25">
      <c r="A23" s="1586"/>
      <c r="B23" s="3289" t="s">
        <v>630</v>
      </c>
      <c r="C23" s="3274">
        <v>0</v>
      </c>
      <c r="D23" s="3274">
        <v>0</v>
      </c>
      <c r="E23" s="3283">
        <v>0</v>
      </c>
      <c r="F23" s="3284">
        <v>0</v>
      </c>
      <c r="G23" s="1449"/>
      <c r="H23" s="3274">
        <v>0</v>
      </c>
      <c r="I23" s="3274">
        <v>0</v>
      </c>
      <c r="J23" s="3283">
        <v>0</v>
      </c>
      <c r="K23" s="3284">
        <v>0</v>
      </c>
      <c r="L23" s="1449">
        <v>0</v>
      </c>
      <c r="M23" s="3274">
        <v>0</v>
      </c>
      <c r="N23" s="3274">
        <v>0</v>
      </c>
      <c r="O23" s="3283">
        <v>0</v>
      </c>
      <c r="P23" s="3284">
        <v>0</v>
      </c>
      <c r="Q23" s="1449">
        <v>0</v>
      </c>
      <c r="R23" s="3288">
        <f>'Форд Тягач'!R23+'MAN Blue KA1783HI'!C23+'MAN green KA2790IE'!C23+'MAN №3 white KA7837HO'!C23+'MAN №4 white KA3597HO'!C23</f>
        <v>0</v>
      </c>
      <c r="S23" s="3274">
        <f>'Форд Тягач'!S23+'MAN Blue KA1783HI'!D23+'MAN green KA2790IE'!D23+'MAN №3 white KA7837HO'!D23+'MAN №4 white KA3597HO'!D23</f>
        <v>0</v>
      </c>
      <c r="T23" s="3283"/>
      <c r="U23" s="3284">
        <f t="shared" si="0"/>
        <v>0</v>
      </c>
      <c r="V23" s="1608"/>
      <c r="W23" s="3274">
        <f>'Форд Тягач'!W23+'MAN Blue KA1783HI'!H23+'MAN green KA2790IE'!H23+'MAN №3 white KA7837HO'!H23+'MAN №4 white KA3597HO'!H23+Техника!W23</f>
        <v>0</v>
      </c>
      <c r="X23" s="3274">
        <f>'Форд Тягач'!X23+'MAN Blue KA1783HI'!I23+'MAN green KA2790IE'!I23+'MAN №3 white KA7837HO'!I23+'MAN №4 white KA3597HO'!I23+Техника!X23</f>
        <v>0</v>
      </c>
      <c r="Y23" s="3283"/>
      <c r="Z23" s="3284">
        <f t="shared" si="24"/>
        <v>0</v>
      </c>
      <c r="AA23" s="1608"/>
      <c r="AB23" s="3274">
        <f>ЦО_логистика!C23+'Форд Тягач'!AB23+'MAN Blue KA1783HI'!M23+'MAN green KA2790IE'!M23+'MAN №3 white KA7837HO'!M23+'MAN №4 white KA3597HO'!M23+'MAN №5 Тент МД'!C23</f>
        <v>0</v>
      </c>
      <c r="AC23" s="3274">
        <f>ЦО_логистика!D23+'Форд Тягач'!AC23+'MAN Blue KA1783HI'!N23+'MAN green KA2790IE'!N23+'MAN №3 white KA7837HO'!N23+'MAN №4 white KA3597HO'!N23+'MAN №5 Тент МД'!D23</f>
        <v>0</v>
      </c>
      <c r="AD23" s="3283"/>
      <c r="AE23" s="3284">
        <f t="shared" si="2"/>
        <v>0</v>
      </c>
      <c r="AF23" s="1608"/>
      <c r="AG23" s="3274">
        <f>ЦО_логистика!H23+'Форд Тягач'!AG23+'MAN Blue KA1783HI'!R23+'MAN green KA2790IE'!R23+'MAN №3 white KA7837HO'!R23+'MAN №4 white KA3597HO'!R23+'MAN №5 Тент МД'!H23</f>
        <v>0</v>
      </c>
      <c r="AH23" s="3274">
        <f>ЦО_логистика!I23+'Форд Тягач'!AH23+'MAN Blue KA1783HI'!S23+'MAN green KA2790IE'!S23+'MAN №3 white KA7837HO'!S23+'MAN №4 white KA3597HO'!S23+'MAN №5 Тент МД'!I23</f>
        <v>0</v>
      </c>
      <c r="AI23" s="3283"/>
      <c r="AJ23" s="3284">
        <f t="shared" si="3"/>
        <v>0</v>
      </c>
      <c r="AK23" s="1608"/>
      <c r="AL23" s="3274">
        <f>ЦО_логистика!M23+'Форд Тягач'!AL23+'MAN Blue KA1783HI'!W23+'MAN green KA2790IE'!W23+'MAN №3 white KA7837HO'!W23+'MAN №4 white KA3597HO'!W23+'MAN №5 Тент МД'!M23</f>
        <v>0</v>
      </c>
      <c r="AM23" s="3274">
        <f>ЦО_логистика!N23+'Форд Тягач'!AM23+'MAN Blue KA1783HI'!X23+'MAN green KA2790IE'!X23+'MAN №3 white KA7837HO'!X23+'MAN №4 white KA3597HO'!X23+'MAN №5 Тент МД'!N23</f>
        <v>0</v>
      </c>
      <c r="AN23" s="3283"/>
      <c r="AO23" s="3284">
        <f t="shared" si="4"/>
        <v>0</v>
      </c>
      <c r="AP23" s="3275" t="str">
        <f>CONCATENATE(ЦО_логистика!Q23,'Форд Тягач'!AP23,'MAN Blue KA1783HI'!AA23,'MAN green KA2790IE'!AA23,'MAN №3 white KA7837HO'!AF23,'MAN №4 white KA3597HO'!AA23,'MAN №5 Тент МД'!Q23)</f>
        <v/>
      </c>
      <c r="AQ23" s="3274">
        <f>SUM(ЦО_логистика!R23,'Форд Тягач'!AQ23,'MAN Blue KA1783HI'!AB23,'MAN green KA2790IE'!AB23,'MAN №3 white KA7837HO'!AB23,'MAN №4 white KA3597HO'!AB23,'MAN №5 Тент МД'!R23)</f>
        <v>0</v>
      </c>
      <c r="AR23" s="3274">
        <f>SUM(ЦО_логистика!S23,'Форд Тягач'!AR23,'MAN Blue KA1783HI'!AC23,'MAN green KA2790IE'!AC23,'MAN №3 white KA7837HO'!AC23,'MAN №4 white KA3597HO'!AC23,'MAN №5 Тент МД'!S23)</f>
        <v>0</v>
      </c>
      <c r="AS23" s="3283"/>
      <c r="AT23" s="3284">
        <f t="shared" si="5"/>
        <v>0</v>
      </c>
      <c r="AU23" s="3275" t="str">
        <f>CONCATENATE(ЦО_логистика!V23,'Форд Тягач'!AU23,'MAN Blue KA1783HI'!AF22,'MAN green KA2790IE'!AF23,'MAN №3 white KA7837HO'!AF23,'MAN №4 white KA3597HO'!AF23,'MAN №5 Тент МД'!V23)</f>
        <v/>
      </c>
      <c r="AV23" s="3275">
        <f>+ЦО_логистика!W23+'Форд Тягач'!AV23+'MAN Blue KA1783HI'!AG23+'MAN green KA2790IE'!AG23+'MAN №3 white KA7837HO'!AG23+'MAN №4 white KA3597HO'!AG23+'MAN №5 Тент МД'!W23</f>
        <v>0</v>
      </c>
      <c r="AW23" s="3275">
        <f>+ЦО_логистика!X23+'Форд Тягач'!AW23+'MAN Blue KA1783HI'!AH23+'MAN green KA2790IE'!AH23+'MAN №3 white KA7837HO'!AH23+'MAN №4 white KA3597HO'!AH23+'MAN №5 Тент МД'!X23</f>
        <v>0</v>
      </c>
      <c r="AX23" s="3283">
        <f t="shared" si="29"/>
        <v>0</v>
      </c>
      <c r="AY23" s="3284">
        <f t="shared" si="6"/>
        <v>0</v>
      </c>
      <c r="AZ23" s="3275"/>
      <c r="BA23" s="3275">
        <f t="shared" si="7"/>
        <v>0</v>
      </c>
      <c r="BB23" s="3275">
        <f t="shared" si="7"/>
        <v>0</v>
      </c>
      <c r="BC23" s="3283">
        <f t="shared" si="30"/>
        <v>0</v>
      </c>
      <c r="BD23" s="3284">
        <f t="shared" si="8"/>
        <v>0</v>
      </c>
      <c r="BE23" s="3275">
        <f>ЦО_логистика!AD23+'Форд Тягач'!BC23+'MAN Blue KA1783HI'!AN23+'MAN green KA2790IE'!AN23+'MAN №3 white KA7837HO'!AN23+'MAN №4 white KA3597HO'!AN23+'MAN №5 Тент МД'!AD23-BC23</f>
        <v>0</v>
      </c>
      <c r="BF23" s="3274">
        <f>ЦО_логистика!AG23+'Форд Тягач'!BF23+'MAN Blue KA1783HI'!AQ23+'MAN green KA2790IE'!AQ23+'MAN №3 white KA7837HO'!AQ23+'MAN №4 white KA3597HO'!AQ23+'MAN №5 Тент МД'!AG23</f>
        <v>0</v>
      </c>
      <c r="BG23" s="3274">
        <f>ЦО_логистика!AH23+'Форд Тягач'!BG23+'MAN Blue KA1783HI'!AR23+'MAN green KA2790IE'!AR23+'MAN №3 white KA7837HO'!AR23+'MAN №4 white KA3597HO'!AR23+'MAN №5 Тент МД'!AH23</f>
        <v>0</v>
      </c>
      <c r="BH23" s="3283"/>
      <c r="BI23" s="3284">
        <f t="shared" si="9"/>
        <v>0</v>
      </c>
      <c r="BJ23" s="3275"/>
      <c r="BK23" s="3275">
        <f>ЦО_логистика!AL23+'Форд Тягач'!BK23+'MAN Blue KA1783HI'!AV23+'MAN green KA2790IE'!AV23+'MAN №3 white KA7837HO'!AV23+'MAN №4 white KA3597HO'!AV23+'MAN №5 Тент МД'!AL23</f>
        <v>0</v>
      </c>
      <c r="BL23" s="3275">
        <f>ЦО_логистика!AM23+'Форд Тягач'!BL23+'MAN Blue KA1783HI'!AW23+'MAN green KA2790IE'!AW23+'MAN №3 white KA7837HO'!AW23+'MAN №4 white KA3597HO'!AW23+'MAN №5 Тент МД'!AM23</f>
        <v>0</v>
      </c>
      <c r="BM23" s="3283"/>
      <c r="BN23" s="3284">
        <f t="shared" si="10"/>
        <v>0</v>
      </c>
      <c r="BO23" s="3275"/>
      <c r="BP23" s="3274">
        <f>ЦО_логистика!AQ23+'Форд Тягач'!BP23+'MAN Blue KA1783HI'!BA23+'MAN green KA2790IE'!BA23+'MAN №3 white KA7837HO'!BA23+'MAN №4 white KA3597HO'!BA23+'MAN №5 Тент МД'!AQ23</f>
        <v>0</v>
      </c>
      <c r="BQ23" s="3274">
        <f>ЦО_логистика!AR23+'Форд Тягач'!BQ23+'MAN Blue KA1783HI'!BB23+'MAN green KA2790IE'!BB23+'MAN №3 white KA7837HO'!BB23+'MAN №4 white KA3597HO'!BB23+'MAN №5 Тент МД'!AR23</f>
        <v>0</v>
      </c>
      <c r="BR23" s="3286">
        <f t="shared" si="33"/>
        <v>0</v>
      </c>
      <c r="BS23" s="3284">
        <f t="shared" si="11"/>
        <v>0</v>
      </c>
      <c r="BT23" s="3291"/>
      <c r="BU23" s="3274">
        <f>ЦО_логистика!AV23+'Форд Тягач'!BU23+'MAN Blue KA1783HI'!BF23+'MAN green KA2790IE'!BF23+'MAN №3 white KA7837HO'!BF23+'MAN №4 white KA3597HO'!BF23+'MAN №5 Тент МД'!AV23</f>
        <v>0</v>
      </c>
      <c r="BV23" s="3274">
        <f>ЦО_логистика!AW23+'Форд Тягач'!BV23+'MAN Blue KA1783HI'!BG23+'MAN green KA2790IE'!BG23+'MAN №3 white KA7837HO'!BG23+'MAN №4 white KA3597HO'!BG23+'MAN №5 Тент МД'!AW23</f>
        <v>0</v>
      </c>
      <c r="BW23" s="3286">
        <f t="shared" si="37"/>
        <v>0</v>
      </c>
      <c r="BX23" s="3284">
        <f t="shared" si="12"/>
        <v>0</v>
      </c>
      <c r="BY23" s="3291"/>
      <c r="BZ23" s="3274">
        <f>ЦО_логистика!BA23+'Форд Тягач'!BZ23+'MAN Blue KA1783HI'!BK23+'MAN green KA2790IE'!BK23+'MAN №3 white KA7837HO'!BK23+'MAN №4 white KA3597HO'!BK23+'MAN №5 Тент МД'!BA23</f>
        <v>0</v>
      </c>
      <c r="CA23" s="3274">
        <f>ЦО_логистика!BB23+'Форд Тягач'!CA23+'MAN Blue KA1783HI'!BL23+'MAN green KA2790IE'!BL23+'MAN №3 white KA7837HO'!BL23+'MAN №4 white KA3597HO'!BL23+'MAN №5 Тент МД'!BB23</f>
        <v>0</v>
      </c>
      <c r="CB23" s="3286">
        <f t="shared" si="38"/>
        <v>0</v>
      </c>
      <c r="CC23" s="3284">
        <f t="shared" si="13"/>
        <v>0</v>
      </c>
      <c r="CD23" s="3291"/>
      <c r="CE23" s="3274">
        <f>ЦО_логистика!BF23+'Форд Тягач'!CE23+'MAN Blue KA1783HI'!BP23+'MAN green KA2790IE'!BP23+'MAN №3 white KA7837HO'!BP23+'MAN №4 white KA3597HO'!BP23+'MAN №5 Тент МД'!BF23</f>
        <v>0</v>
      </c>
      <c r="CF23" s="3274">
        <f>ЦО_логистика!BG23+'Форд Тягач'!CF23+'MAN Blue KA1783HI'!BQ23+'MAN green KA2790IE'!BQ23+'MAN №3 white KA7837HO'!BQ23+'MAN №4 white KA3597HO'!BQ23+'MAN №5 Тент МД'!BG23</f>
        <v>0</v>
      </c>
      <c r="CG23" s="3286">
        <f t="shared" si="39"/>
        <v>0</v>
      </c>
      <c r="CH23" s="3284">
        <f t="shared" si="14"/>
        <v>0</v>
      </c>
      <c r="CI23" s="3291"/>
      <c r="CJ23" s="3274">
        <f>ЦО_логистика!BK23+'Форд Тягач'!CJ23+'MAN Blue KA1783HI'!BU23+'MAN green KA2790IE'!BU23+'MAN №3 white KA7837HO'!BU23+'MAN №4 white KA3597HO'!BU23+'MAN №5 Тент МД'!BK23</f>
        <v>0</v>
      </c>
      <c r="CK23" s="3274">
        <f>ЦО_логистика!BL23+'Форд Тягач'!CK23+'MAN Blue KA1783HI'!BV23+'MAN green KA2790IE'!BV23+'MAN №3 white KA7837HO'!BV23+'MAN №4 white KA3597HO'!BV23+'MAN №5 Тент МД'!BL23</f>
        <v>0</v>
      </c>
      <c r="CL23" s="3286">
        <f t="shared" si="40"/>
        <v>0</v>
      </c>
      <c r="CM23" s="3284">
        <f t="shared" si="15"/>
        <v>0</v>
      </c>
      <c r="CN23" s="3291"/>
      <c r="CO23" s="3274">
        <f>ЦО_логистика!BP23+'Форд Тягач'!CO23+'MAN Blue KA1783HI'!BZ23+'MAN green KA2790IE'!BZ23+'MAN №3 white KA7837HO'!BZ23+'MAN №4 white KA3597HO'!BZ23+'MAN №5 Тент МД'!BP23</f>
        <v>0</v>
      </c>
      <c r="CP23" s="3274">
        <f>ЦО_логистика!BQ23+'Форд Тягач'!CP23+'MAN Blue KA1783HI'!CA23+'MAN green KA2790IE'!CA23+'MAN №3 white KA7837HO'!CA23+'MAN №4 white KA3597HO'!CA23+'MAN №5 Тент МД'!BQ23</f>
        <v>0</v>
      </c>
      <c r="CQ23" s="3286">
        <f t="shared" si="41"/>
        <v>0</v>
      </c>
      <c r="CR23" s="3284">
        <f t="shared" si="16"/>
        <v>0</v>
      </c>
      <c r="CS23" s="3291"/>
      <c r="CT23" s="3274">
        <f>ЦО_логистика!BU23+'Форд Тягач'!CT23+'MAN Blue KA1783HI'!CE23+'MAN green KA2790IE'!CE23+'MAN №3 white KA7837HO'!CE23+'MAN №4 white KA3597HO'!CE23+'MAN №5 Тент МД'!BU23</f>
        <v>0</v>
      </c>
      <c r="CU23" s="3274">
        <f>ЦО_логистика!BV23+'Форд Тягач'!CU23+'MAN Blue KA1783HI'!CF23+'MAN green KA2790IE'!CF23+'MAN №3 white KA7837HO'!CF23+'MAN №4 white KA3597HO'!CF23+'MAN №5 Тент МД'!BV23</f>
        <v>0</v>
      </c>
      <c r="CV23" s="3286">
        <f t="shared" si="42"/>
        <v>0</v>
      </c>
      <c r="CW23" s="3284">
        <f t="shared" si="17"/>
        <v>0</v>
      </c>
      <c r="CX23" s="3291"/>
      <c r="CY23" s="3274">
        <f>ЦО_логистика!BZ23+'Форд Тягач'!CY23+'MAN Blue KA1783HI'!CJ23+'MAN green KA2790IE'!CJ23+'MAN №3 white KA7837HO'!CJ23+'MAN №4 white KA3597HO'!CJ23+'MAN №5 Тент МД'!BZ23</f>
        <v>0</v>
      </c>
      <c r="CZ23" s="3274">
        <f>ЦО_логистика!CA23+'Форд Тягач'!CZ23+'MAN Blue KA1783HI'!CK23+'MAN green KA2790IE'!CK23+'MAN №3 white KA7837HO'!CK23+'MAN №4 white KA3597HO'!CK23+'MAN №5 Тент МД'!CA23</f>
        <v>0</v>
      </c>
      <c r="DA23" s="3286">
        <f t="shared" si="43"/>
        <v>0</v>
      </c>
      <c r="DB23" s="3284">
        <f t="shared" si="18"/>
        <v>0</v>
      </c>
      <c r="DC23" s="3291"/>
      <c r="DD23" s="3274">
        <f>ЦО_логистика!CE23+'Форд Тягач'!DD23+'MAN Blue KA1783HI'!CO23+'MAN green KA2790IE'!CO23+'MAN №3 white KA7837HO'!CO23+'MAN №4 white KA3597HO'!CO23+'MAN №5 Тент МД'!CE23</f>
        <v>0</v>
      </c>
      <c r="DE23" s="3274">
        <f>ЦО_логистика!CF23+'Форд Тягач'!DE23+'MAN Blue KA1783HI'!CP23+'MAN green KA2790IE'!CP23+'MAN №3 white KA7837HO'!CP23+'MAN №4 white KA3597HO'!CP23+'MAN №5 Тент МД'!CF23</f>
        <v>0</v>
      </c>
      <c r="DF23" s="3286">
        <f t="shared" si="44"/>
        <v>0</v>
      </c>
      <c r="DG23" s="3284">
        <f t="shared" si="19"/>
        <v>0</v>
      </c>
      <c r="DH23" s="3291"/>
      <c r="DI23" s="3274">
        <f>ЦО_логистика!CJ23+'Форд Тягач'!DI23+'MAN Blue KA1783HI'!CT23+'MAN green KA2790IE'!CT23+'MAN №3 white KA7837HO'!CT23+'MAN №4 white KA3597HO'!CT23+'MAN №5 Тент МД'!CJ23</f>
        <v>0</v>
      </c>
      <c r="DJ23" s="3274">
        <f>ЦО_логистика!CK23+'Форд Тягач'!DJ23+'MAN Blue KA1783HI'!CU23+'MAN green KA2790IE'!CU23+'MAN №3 white KA7837HO'!CU23+'MAN №4 white KA3597HO'!CU23+'MAN №5 Тент МД'!CK23</f>
        <v>0</v>
      </c>
      <c r="DK23" s="3286">
        <f t="shared" si="45"/>
        <v>0</v>
      </c>
      <c r="DL23" s="3284">
        <f t="shared" si="20"/>
        <v>0</v>
      </c>
      <c r="DM23" s="3291"/>
      <c r="DN23" s="3288">
        <f t="shared" si="21"/>
        <v>0</v>
      </c>
      <c r="DO23" s="3288">
        <f t="shared" si="21"/>
        <v>0</v>
      </c>
      <c r="DP23" s="3283"/>
      <c r="DQ23" s="3284"/>
      <c r="DR23" s="3275"/>
      <c r="DS23" s="916"/>
      <c r="DT23" s="916"/>
    </row>
    <row r="24" spans="1:124" s="1411" customFormat="1" ht="29.4" customHeight="1" x14ac:dyDescent="0.25">
      <c r="A24" s="1586"/>
      <c r="B24" s="3289" t="s">
        <v>23</v>
      </c>
      <c r="C24" s="3274">
        <v>0</v>
      </c>
      <c r="D24" s="3274">
        <v>0</v>
      </c>
      <c r="E24" s="3283">
        <v>0</v>
      </c>
      <c r="F24" s="3284">
        <v>0</v>
      </c>
      <c r="G24" s="1449"/>
      <c r="H24" s="3274">
        <v>0</v>
      </c>
      <c r="I24" s="3274">
        <v>0</v>
      </c>
      <c r="J24" s="3283">
        <v>0</v>
      </c>
      <c r="K24" s="3284">
        <v>0</v>
      </c>
      <c r="L24" s="1449">
        <v>0</v>
      </c>
      <c r="M24" s="3274">
        <v>0</v>
      </c>
      <c r="N24" s="3274">
        <v>0</v>
      </c>
      <c r="O24" s="3283">
        <v>0</v>
      </c>
      <c r="P24" s="3284">
        <v>0</v>
      </c>
      <c r="Q24" s="1449">
        <v>0</v>
      </c>
      <c r="R24" s="3288">
        <f>'Форд Тягач'!R24+'MAN Blue KA1783HI'!C24+'MAN green KA2790IE'!C24+'MAN №3 white KA7837HO'!C24+'MAN №4 white KA3597HO'!C24</f>
        <v>0</v>
      </c>
      <c r="S24" s="3274">
        <f>'Форд Тягач'!S24+'MAN Blue KA1783HI'!D24+'MAN green KA2790IE'!D24+'MAN №3 white KA7837HO'!D24+'MAN №4 white KA3597HO'!D24</f>
        <v>0</v>
      </c>
      <c r="T24" s="3283">
        <f t="shared" ref="T24:T33" si="46">R24+S24*1</f>
        <v>0</v>
      </c>
      <c r="U24" s="3284">
        <f t="shared" si="0"/>
        <v>0</v>
      </c>
      <c r="V24" s="1608"/>
      <c r="W24" s="3274">
        <f>'Форд Тягач'!W24+'MAN Blue KA1783HI'!H24+'MAN green KA2790IE'!H24+'MAN №3 white KA7837HO'!H24+'MAN №4 white KA3597HO'!H24+5300+18500+31200+3000</f>
        <v>58000</v>
      </c>
      <c r="X24" s="3274">
        <f>'Форд Тягач'!X24+'MAN Blue KA1783HI'!I24+'MAN green KA2790IE'!I24+'MAN №3 white KA7837HO'!I24+'MAN №4 white KA3597HO'!I24</f>
        <v>0</v>
      </c>
      <c r="Y24" s="3283">
        <f t="shared" ref="Y24:Y33" si="47">W24+X24*1</f>
        <v>58000</v>
      </c>
      <c r="Z24" s="3284">
        <f t="shared" si="24"/>
        <v>4.4373719286336114E-2</v>
      </c>
      <c r="AA24" s="3421" t="s">
        <v>1188</v>
      </c>
      <c r="AB24" s="3274">
        <f>ЦО_логистика!C24+'Форд Тягач'!AB24+'MAN Blue KA1783HI'!M24+'MAN green KA2790IE'!M24+'MAN №3 white KA7837HO'!M24+'MAN №4 white KA3597HO'!M24+'MAN №5 Тент МД'!C24</f>
        <v>56600</v>
      </c>
      <c r="AC24" s="3274">
        <f>ЦО_логистика!D24+'Форд Тягач'!AC24+'MAN Blue KA1783HI'!N24+'MAN green KA2790IE'!N24+'MAN №3 white KA7837HO'!N24+'MAN №4 white KA3597HO'!N24+'MAN №5 Тент МД'!D24</f>
        <v>0</v>
      </c>
      <c r="AD24" s="3283">
        <f t="shared" ref="AD24:AD33" si="48">AB24+AC24*1</f>
        <v>56600</v>
      </c>
      <c r="AE24" s="3284">
        <f t="shared" si="2"/>
        <v>4.4281079116325998E-2</v>
      </c>
      <c r="AF24" s="1608"/>
      <c r="AG24" s="3274">
        <f>ЦО_логистика!H24+'Форд Тягач'!AG24+'MAN Blue KA1783HI'!R24+'MAN green KA2790IE'!R24+'MAN №3 white KA7837HO'!R24+'MAN №4 white KA3597HO'!R24+'MAN №5 Тент МД'!H24</f>
        <v>45500</v>
      </c>
      <c r="AH24" s="3274">
        <f>ЦО_логистика!I24+'Форд Тягач'!AH24+'MAN Blue KA1783HI'!S24+'MAN green KA2790IE'!S24+'MAN №3 white KA7837HO'!S24+'MAN №4 white KA3597HO'!S24+'MAN №5 Тент МД'!I24</f>
        <v>0</v>
      </c>
      <c r="AI24" s="3283">
        <f t="shared" ref="AI24:AI33" si="49">AG24+AH24*1</f>
        <v>45500</v>
      </c>
      <c r="AJ24" s="3284">
        <f t="shared" si="3"/>
        <v>3.5596980561710831E-2</v>
      </c>
      <c r="AK24" s="3275" t="s">
        <v>1335</v>
      </c>
      <c r="AL24" s="3274">
        <f>ЦО_логистика!M24+'Форд Тягач'!AL24+'MAN Blue KA1783HI'!W24+'MAN green KA2790IE'!W24+'MAN №3 white KA7837HO'!W24+'MAN №4 white KA3597HO'!W24+'MAN №5 Тент МД'!M24</f>
        <v>0</v>
      </c>
      <c r="AM24" s="3274">
        <f>ЦО_логистика!N24+'Форд Тягач'!AM24+'MAN Blue KA1783HI'!X24+'MAN green KA2790IE'!X24+'MAN №3 white KA7837HO'!X24+'MAN №4 white KA3597HO'!X24+'MAN №5 Тент МД'!N24</f>
        <v>4250</v>
      </c>
      <c r="AN24" s="3283">
        <f t="shared" ref="AN24:AN33" si="50">AL24+AM24*1</f>
        <v>4250</v>
      </c>
      <c r="AO24" s="3284">
        <f t="shared" si="4"/>
        <v>3.3249926898301328E-3</v>
      </c>
      <c r="AP24" s="3275" t="str">
        <f>CONCATENATE(ЦО_логистика!Q24,'Форд Тягач'!AP24,'MAN Blue KA1783HI'!AA24,'MAN green KA2790IE'!AA24,'MAN №3 white KA7837HO'!AF24,'MAN №4 white KA3597HO'!AA24,'MAN №5 Тент МД'!Q24)</f>
        <v>логистические услуги</v>
      </c>
      <c r="AQ24" s="3274">
        <f>SUM(ЦО_логистика!R24,'Форд Тягач'!AQ24,'MAN Blue KA1783HI'!AB24,'MAN green KA2790IE'!AB24,'MAN №3 white KA7837HO'!AB24,'MAN №4 white KA3597HO'!AB24,'MAN №5 Тент МД'!R24)</f>
        <v>3940465.5900000003</v>
      </c>
      <c r="AR24" s="3274">
        <f>SUM(ЦО_логистика!S24,'Форд Тягач'!AR24,'MAN Blue KA1783HI'!AC24,'MAN green KA2790IE'!AC24,'MAN №3 white KA7837HO'!AC24,'MAN №4 white KA3597HO'!AC24,'MAN №5 Тент МД'!S24)</f>
        <v>4050</v>
      </c>
      <c r="AS24" s="3283">
        <f t="shared" ref="AS24:AS33" si="51">AQ24+AR24*1</f>
        <v>3944515.5900000003</v>
      </c>
      <c r="AT24" s="3284">
        <f t="shared" si="5"/>
        <v>3.0859965886284693</v>
      </c>
      <c r="AU24" s="3275" t="str">
        <f>CONCATENATE(ЦО_логистика!V24,'Форд Тягач'!AU24,'MAN Blue KA1783HI'!AF23,'MAN green KA2790IE'!AF24,'MAN №3 white KA7837HO'!AF24,'MAN №4 white KA3597HO'!AF24,'MAN №5 Тент МД'!V24)</f>
        <v>Запорожье-РениЭкспедиторские Ромны -Едирне</v>
      </c>
      <c r="AV24" s="3275">
        <f>+ЦО_логистика!W24+'Форд Тягач'!AV24+'MAN Blue KA1783HI'!AG24+'MAN green KA2790IE'!AG24+'MAN №3 white KA7837HO'!AG24+'MAN №4 white KA3597HO'!AG24+'MAN №5 Тент МД'!W24</f>
        <v>106180.7</v>
      </c>
      <c r="AW24" s="3275">
        <f>+ЦО_логистика!X24+'Форд Тягач'!AW24+'MAN Blue KA1783HI'!AH24+'MAN green KA2790IE'!AH24+'MAN №3 white KA7837HO'!AH24+'MAN №4 white KA3597HO'!AH24+'MAN №5 Тент МД'!X24</f>
        <v>0</v>
      </c>
      <c r="AX24" s="3283">
        <f t="shared" si="29"/>
        <v>106180.7</v>
      </c>
      <c r="AY24" s="3284">
        <f t="shared" si="6"/>
        <v>8.3070600306128548E-2</v>
      </c>
      <c r="AZ24" s="3275"/>
      <c r="BA24" s="3275">
        <f t="shared" si="7"/>
        <v>0</v>
      </c>
      <c r="BB24" s="3275">
        <f t="shared" si="7"/>
        <v>0</v>
      </c>
      <c r="BC24" s="3283">
        <f t="shared" si="30"/>
        <v>0</v>
      </c>
      <c r="BD24" s="3284">
        <f t="shared" si="8"/>
        <v>0</v>
      </c>
      <c r="BE24" s="3275">
        <f>ЦО_логистика!AD24+'Форд Тягач'!BC24+'MAN Blue KA1783HI'!AN24+'MAN green KA2790IE'!AN24+'MAN №3 white KA7837HO'!AN24+'MAN №4 white KA3597HO'!AN24+'MAN №5 Тент МД'!AD24-BC24</f>
        <v>0</v>
      </c>
      <c r="BF24" s="3274">
        <f>ЦО_логистика!AG24+'Форд Тягач'!BF24+'MAN Blue KA1783HI'!AQ24+'MAN green KA2790IE'!AQ24+'MAN №3 white KA7837HO'!AQ24+'MAN №4 white KA3597HO'!AQ24+'MAN №5 Тент МД'!AG24</f>
        <v>0</v>
      </c>
      <c r="BG24" s="3274">
        <f>ЦО_логистика!AH24+'Форд Тягач'!BG24+'MAN Blue KA1783HI'!AR24+'MAN green KA2790IE'!AR24+'MAN №3 white KA7837HO'!AR24+'MAN №4 white KA3597HO'!AR24+'MAN №5 Тент МД'!AH24</f>
        <v>0</v>
      </c>
      <c r="BH24" s="3283">
        <f t="shared" si="31"/>
        <v>0</v>
      </c>
      <c r="BI24" s="3284">
        <f t="shared" si="9"/>
        <v>0</v>
      </c>
      <c r="BJ24" s="3275"/>
      <c r="BK24" s="3275">
        <f>ЦО_логистика!AL24+'Форд Тягач'!BK24+'MAN Blue KA1783HI'!AV24+'MAN green KA2790IE'!AV24+'MAN №3 white KA7837HO'!AV24+'MAN №4 white KA3597HO'!AV24+'MAN №5 Тент МД'!AL24</f>
        <v>0</v>
      </c>
      <c r="BL24" s="3275">
        <f>ЦО_логистика!AM24+'Форд Тягач'!BL24+'MAN Blue KA1783HI'!AW24+'MAN green KA2790IE'!AW24+'MAN №3 white KA7837HO'!AW24+'MAN №4 white KA3597HO'!AW24+'MAN №5 Тент МД'!AM24</f>
        <v>0</v>
      </c>
      <c r="BM24" s="3283">
        <f t="shared" ref="BM24:BM33" si="52">BK24+BL24*1</f>
        <v>0</v>
      </c>
      <c r="BN24" s="3284">
        <f t="shared" si="10"/>
        <v>0</v>
      </c>
      <c r="BO24" s="3275"/>
      <c r="BP24" s="3274">
        <f>ЦО_логистика!AQ24+'Форд Тягач'!BP24+'MAN Blue KA1783HI'!BA24+'MAN green KA2790IE'!BA24+'MAN №3 white KA7837HO'!BA24+'MAN №4 white KA3597HO'!BA24+'MAN №5 Тент МД'!AQ24</f>
        <v>0</v>
      </c>
      <c r="BQ24" s="3274">
        <f>ЦО_логистика!AR24+'Форд Тягач'!BQ24+'MAN Blue KA1783HI'!BB24+'MAN green KA2790IE'!BB24+'MAN №3 white KA7837HO'!BB24+'MAN №4 white KA3597HO'!BB24+'MAN №5 Тент МД'!AR24</f>
        <v>0</v>
      </c>
      <c r="BR24" s="3286">
        <f t="shared" si="33"/>
        <v>0</v>
      </c>
      <c r="BS24" s="3284">
        <f t="shared" si="11"/>
        <v>0</v>
      </c>
      <c r="BT24" s="3291"/>
      <c r="BU24" s="3274">
        <f>ЦО_логистика!AV24+'Форд Тягач'!BU24+'MAN Blue KA1783HI'!BF24+'MAN green KA2790IE'!BF24+'MAN №3 white KA7837HO'!BF24+'MAN №4 white KA3597HO'!BF24+'MAN №5 Тент МД'!AV24</f>
        <v>0</v>
      </c>
      <c r="BV24" s="3274">
        <f>ЦО_логистика!AW24+'Форд Тягач'!BV24+'MAN Blue KA1783HI'!BG24+'MAN green KA2790IE'!BG24+'MAN №3 white KA7837HO'!BG24+'MAN №4 white KA3597HO'!BG24+'MAN №5 Тент МД'!AW24</f>
        <v>0</v>
      </c>
      <c r="BW24" s="3286">
        <f t="shared" si="37"/>
        <v>0</v>
      </c>
      <c r="BX24" s="3284">
        <f t="shared" si="12"/>
        <v>0</v>
      </c>
      <c r="BY24" s="3291"/>
      <c r="BZ24" s="3274">
        <f>ЦО_логистика!BA24+'Форд Тягач'!BZ24+'MAN Blue KA1783HI'!BK24+'MAN green KA2790IE'!BK24+'MAN №3 white KA7837HO'!BK24+'MAN №4 white KA3597HO'!BK24+'MAN №5 Тент МД'!BA24</f>
        <v>0</v>
      </c>
      <c r="CA24" s="3274">
        <f>ЦО_логистика!BB24+'Форд Тягач'!CA24+'MAN Blue KA1783HI'!BL24+'MAN green KA2790IE'!BL24+'MAN №3 white KA7837HO'!BL24+'MAN №4 white KA3597HO'!BL24+'MAN №5 Тент МД'!BB24</f>
        <v>0</v>
      </c>
      <c r="CB24" s="3286">
        <f t="shared" si="38"/>
        <v>0</v>
      </c>
      <c r="CC24" s="3284">
        <f t="shared" si="13"/>
        <v>0</v>
      </c>
      <c r="CD24" s="3291"/>
      <c r="CE24" s="3274">
        <f>ЦО_логистика!BF24+'Форд Тягач'!CE24+'MAN Blue KA1783HI'!BP24+'MAN green KA2790IE'!BP24+'MAN №3 white KA7837HO'!BP24+'MAN №4 white KA3597HO'!BP24+'MAN №5 Тент МД'!BF24</f>
        <v>0</v>
      </c>
      <c r="CF24" s="3274">
        <f>ЦО_логистика!BG24+'Форд Тягач'!CF24+'MAN Blue KA1783HI'!BQ24+'MAN green KA2790IE'!BQ24+'MAN №3 white KA7837HO'!BQ24+'MAN №4 white KA3597HO'!BQ24+'MAN №5 Тент МД'!BG24</f>
        <v>0</v>
      </c>
      <c r="CG24" s="3286">
        <f t="shared" si="39"/>
        <v>0</v>
      </c>
      <c r="CH24" s="3284">
        <f t="shared" si="14"/>
        <v>0</v>
      </c>
      <c r="CI24" s="3291"/>
      <c r="CJ24" s="3274">
        <f>ЦО_логистика!BK24+'Форд Тягач'!CJ24+'MAN Blue KA1783HI'!BU24+'MAN green KA2790IE'!BU24+'MAN №3 white KA7837HO'!BU24+'MAN №4 white KA3597HO'!BU24+'MAN №5 Тент МД'!BK24</f>
        <v>0</v>
      </c>
      <c r="CK24" s="3274">
        <f>ЦО_логистика!BL24+'Форд Тягач'!CK24+'MAN Blue KA1783HI'!BV24+'MAN green KA2790IE'!BV24+'MAN №3 white KA7837HO'!BV24+'MAN №4 white KA3597HO'!BV24+'MAN №5 Тент МД'!BL24</f>
        <v>0</v>
      </c>
      <c r="CL24" s="3286">
        <f t="shared" si="40"/>
        <v>0</v>
      </c>
      <c r="CM24" s="3284">
        <f t="shared" si="15"/>
        <v>0</v>
      </c>
      <c r="CN24" s="3291"/>
      <c r="CO24" s="3274">
        <f>ЦО_логистика!BP24+'Форд Тягач'!CO24+'MAN Blue KA1783HI'!BZ24+'MAN green KA2790IE'!BZ24+'MAN №3 white KA7837HO'!BZ24+'MAN №4 white KA3597HO'!BZ24+'MAN №5 Тент МД'!BP24</f>
        <v>0</v>
      </c>
      <c r="CP24" s="3274">
        <f>ЦО_логистика!BQ24+'Форд Тягач'!CP24+'MAN Blue KA1783HI'!CA24+'MAN green KA2790IE'!CA24+'MAN №3 white KA7837HO'!CA24+'MAN №4 white KA3597HO'!CA24+'MAN №5 Тент МД'!BQ24</f>
        <v>0</v>
      </c>
      <c r="CQ24" s="3286">
        <f t="shared" si="41"/>
        <v>0</v>
      </c>
      <c r="CR24" s="3284">
        <f t="shared" si="16"/>
        <v>0</v>
      </c>
      <c r="CS24" s="3291"/>
      <c r="CT24" s="3274">
        <f>ЦО_логистика!BU24+'Форд Тягач'!CT24+'MAN Blue KA1783HI'!CE24+'MAN green KA2790IE'!CE24+'MAN №3 white KA7837HO'!CE24+'MAN №4 white KA3597HO'!CE24+'MAN №5 Тент МД'!BU24</f>
        <v>0</v>
      </c>
      <c r="CU24" s="3274">
        <f>ЦО_логистика!BV24+'Форд Тягач'!CU24+'MAN Blue KA1783HI'!CF24+'MAN green KA2790IE'!CF24+'MAN №3 white KA7837HO'!CF24+'MAN №4 white KA3597HO'!CF24+'MAN №5 Тент МД'!BV24</f>
        <v>0</v>
      </c>
      <c r="CV24" s="3286">
        <f t="shared" si="42"/>
        <v>0</v>
      </c>
      <c r="CW24" s="3284">
        <f t="shared" si="17"/>
        <v>0</v>
      </c>
      <c r="CX24" s="3291"/>
      <c r="CY24" s="3274">
        <f>ЦО_логистика!BZ24+'Форд Тягач'!CY24+'MAN Blue KA1783HI'!CJ24+'MAN green KA2790IE'!CJ24+'MAN №3 white KA7837HO'!CJ24+'MAN №4 white KA3597HO'!CJ24+'MAN №5 Тент МД'!BZ24</f>
        <v>0</v>
      </c>
      <c r="CZ24" s="3274">
        <f>ЦО_логистика!CA24+'Форд Тягач'!CZ24+'MAN Blue KA1783HI'!CK24+'MAN green KA2790IE'!CK24+'MAN №3 white KA7837HO'!CK24+'MAN №4 white KA3597HO'!CK24+'MAN №5 Тент МД'!CA24</f>
        <v>0</v>
      </c>
      <c r="DA24" s="3286">
        <f t="shared" si="43"/>
        <v>0</v>
      </c>
      <c r="DB24" s="3284">
        <f t="shared" si="18"/>
        <v>0</v>
      </c>
      <c r="DC24" s="3291"/>
      <c r="DD24" s="3274">
        <f>ЦО_логистика!CE24+'Форд Тягач'!DD24+'MAN Blue KA1783HI'!CO24+'MAN green KA2790IE'!CO24+'MAN №3 white KA7837HO'!CO24+'MAN №4 white KA3597HO'!CO24+'MAN №5 Тент МД'!CE24</f>
        <v>0</v>
      </c>
      <c r="DE24" s="3274">
        <f>ЦО_логистика!CF24+'Форд Тягач'!DE24+'MAN Blue KA1783HI'!CP24+'MAN green KA2790IE'!CP24+'MAN №3 white KA7837HO'!CP24+'MAN №4 white KA3597HO'!CP24+'MAN №5 Тент МД'!CF24</f>
        <v>0</v>
      </c>
      <c r="DF24" s="3286">
        <f t="shared" si="44"/>
        <v>0</v>
      </c>
      <c r="DG24" s="3284">
        <f t="shared" si="19"/>
        <v>0</v>
      </c>
      <c r="DH24" s="3291"/>
      <c r="DI24" s="3274">
        <f>ЦО_логистика!CJ24+'Форд Тягач'!DI24+'MAN Blue KA1783HI'!CT24+'MAN green KA2790IE'!CT24+'MAN №3 white KA7837HO'!CT24+'MAN №4 white KA3597HO'!CT24+'MAN №5 Тент МД'!CJ24</f>
        <v>0</v>
      </c>
      <c r="DJ24" s="3274">
        <f>ЦО_логистика!CK24+'Форд Тягач'!DJ24+'MAN Blue KA1783HI'!CU24+'MAN green KA2790IE'!CU24+'MAN №3 white KA7837HO'!CU24+'MAN №4 white KA3597HO'!CU24+'MAN №5 Тент МД'!CK24</f>
        <v>0</v>
      </c>
      <c r="DK24" s="3286">
        <f t="shared" si="45"/>
        <v>0</v>
      </c>
      <c r="DL24" s="3284">
        <f t="shared" si="20"/>
        <v>0</v>
      </c>
      <c r="DM24" s="3291"/>
      <c r="DN24" s="3288">
        <f>R24+W24+AB24+AG24+AL24+AQ24+BF24+BK24+BP24+BU24+BZ24+CE24+CJ24+CO24+CT24+CY24+DD24+DI24+AV24</f>
        <v>4206746.29</v>
      </c>
      <c r="DO24" s="3288">
        <f>S24+X24+AC24+AH24+AM24+AR24+BG24+BL24+BQ24+BV24+CA24+CF24+CK24+CP24+CU24+CZ24+DE24+DJ24+AW24</f>
        <v>8300</v>
      </c>
      <c r="DP24" s="3283">
        <f t="shared" si="36"/>
        <v>4215046.29</v>
      </c>
      <c r="DQ24" s="3284">
        <f t="shared" ref="DQ24:DQ33" si="53">DP24/$DP$89</f>
        <v>0.15953355464157382</v>
      </c>
      <c r="DR24" s="3275"/>
      <c r="DS24" s="916"/>
      <c r="DT24" s="916"/>
    </row>
    <row r="25" spans="1:124" s="1411" customFormat="1" ht="29.4" customHeight="1" x14ac:dyDescent="0.25">
      <c r="A25" s="1586"/>
      <c r="B25" s="3289" t="s">
        <v>24</v>
      </c>
      <c r="C25" s="3274">
        <v>1020.01</v>
      </c>
      <c r="D25" s="3274">
        <v>1795.12</v>
      </c>
      <c r="E25" s="3283">
        <v>2815.13</v>
      </c>
      <c r="F25" s="3284">
        <v>4.5023478446778896E-3</v>
      </c>
      <c r="G25" s="1449"/>
      <c r="H25" s="3274">
        <v>0</v>
      </c>
      <c r="I25" s="3274">
        <v>150</v>
      </c>
      <c r="J25" s="3283">
        <v>150</v>
      </c>
      <c r="K25" s="3284">
        <v>1.245374841265167E-3</v>
      </c>
      <c r="L25" s="1449">
        <v>0</v>
      </c>
      <c r="M25" s="3274">
        <v>0</v>
      </c>
      <c r="N25" s="3274">
        <v>0</v>
      </c>
      <c r="O25" s="3283">
        <v>0</v>
      </c>
      <c r="P25" s="3284">
        <v>0</v>
      </c>
      <c r="Q25" s="1449">
        <v>0</v>
      </c>
      <c r="R25" s="3288">
        <f>'Форд Тягач'!R25+'MAN Blue KA1783HI'!C25+'MAN green KA2790IE'!C25+'MAN №3 white KA7837HO'!C25+'MAN №4 white KA3597HO'!C25</f>
        <v>0</v>
      </c>
      <c r="S25" s="3274">
        <f>'Форд Тягач'!S25+'MAN Blue KA1783HI'!D25+'MAN green KA2790IE'!D25+'MAN №3 white KA7837HO'!D25+'MAN №4 white KA3597HO'!D25</f>
        <v>1487</v>
      </c>
      <c r="T25" s="3283">
        <f t="shared" si="46"/>
        <v>1487</v>
      </c>
      <c r="U25" s="3284">
        <f t="shared" si="0"/>
        <v>1.1376503548065828E-3</v>
      </c>
      <c r="V25" s="1376"/>
      <c r="W25" s="3274">
        <f>'Форд Тягач'!W25+'MAN Blue KA1783HI'!H25+'MAN green KA2790IE'!H25+'MAN №3 white KA7837HO'!H25+'MAN №4 white KA3597HO'!H25+1920+4128.24</f>
        <v>6048.24</v>
      </c>
      <c r="X25" s="3274">
        <f>'Форд Тягач'!X25+'MAN Blue KA1783HI'!I25+'MAN green KA2790IE'!I25+'MAN №3 white KA7837HO'!I25+'MAN №4 white KA3597HO'!I25+1635</f>
        <v>1635</v>
      </c>
      <c r="Y25" s="3283">
        <f t="shared" si="47"/>
        <v>7683.24</v>
      </c>
      <c r="Z25" s="3284">
        <f t="shared" si="24"/>
        <v>5.8781712925784326E-3</v>
      </c>
      <c r="AA25" s="3421" t="s">
        <v>1189</v>
      </c>
      <c r="AB25" s="3274">
        <f>ЦО_логистика!C25+'Форд Тягач'!AB25+'MAN Blue KA1783HI'!M25+'MAN green KA2790IE'!M25+'MAN №3 white KA7837HO'!M25+'MAN №4 white KA3597HO'!M25+'MAN №5 Тент МД'!C25</f>
        <v>0</v>
      </c>
      <c r="AC25" s="3274">
        <f>ЦО_логистика!D25+'Форд Тягач'!AC25+'MAN Blue KA1783HI'!N25+'MAN green KA2790IE'!N25+'MAN №3 white KA7837HO'!N25+'MAN №4 white KA3597HO'!N25+'MAN №5 Тент МД'!D25</f>
        <v>320</v>
      </c>
      <c r="AD25" s="3283">
        <f t="shared" si="48"/>
        <v>320</v>
      </c>
      <c r="AE25" s="3284">
        <f t="shared" si="2"/>
        <v>2.503523907636806E-4</v>
      </c>
      <c r="AF25" s="1376"/>
      <c r="AG25" s="3274">
        <f>ЦО_логистика!H25+'Форд Тягач'!AG25+'MAN Blue KA1783HI'!R25+'MAN green KA2790IE'!R25+'MAN №3 white KA7837HO'!R25+'MAN №4 white KA3597HO'!R25+'MAN №5 Тент МД'!H25</f>
        <v>0</v>
      </c>
      <c r="AH25" s="3274">
        <f>ЦО_логистика!I25+'Форд Тягач'!AH25+'MAN Blue KA1783HI'!S25+'MAN green KA2790IE'!S25+'MAN №3 white KA7837HO'!S25+'MAN №4 white KA3597HO'!S25+'MAN №5 Тент МД'!I25</f>
        <v>350</v>
      </c>
      <c r="AI25" s="3283">
        <f t="shared" si="49"/>
        <v>350</v>
      </c>
      <c r="AJ25" s="3284">
        <f t="shared" si="3"/>
        <v>2.7382292739777561E-4</v>
      </c>
      <c r="AK25" s="1376"/>
      <c r="AL25" s="3274">
        <f>ЦО_логистика!M25+'Форд Тягач'!AL25+'MAN Blue KA1783HI'!W25+'MAN green KA2790IE'!W25+'MAN №3 white KA7837HO'!W25+'MAN №4 white KA3597HO'!W25+'MAN №5 Тент МД'!M25</f>
        <v>5586.03</v>
      </c>
      <c r="AM25" s="3274">
        <f>ЦО_логистика!N25+'Форд Тягач'!AM25+'MAN Blue KA1783HI'!X25+'MAN green KA2790IE'!X25+'MAN №3 white KA7837HO'!X25+'MAN №4 white KA3597HO'!X25+'MAN №5 Тент МД'!N25</f>
        <v>0</v>
      </c>
      <c r="AN25" s="3283">
        <f t="shared" si="50"/>
        <v>5586.03</v>
      </c>
      <c r="AO25" s="3284">
        <f t="shared" si="4"/>
        <v>4.3702373918051325E-3</v>
      </c>
      <c r="AP25" s="3275" t="str">
        <f>CONCATENATE(ЦО_логистика!Q25,'Форд Тягач'!AP25,'MAN Blue KA1783HI'!AA25,'MAN green KA2790IE'!AA25,'MAN №3 white KA7837HO'!AF25,'MAN №4 white KA3597HO'!AA25,'MAN №5 Тент МД'!Q25)</f>
        <v>Набор предохранителей,. разьем аварийный, гайковерт скоростной,домкрат 32т гидравлический,отвертка реверсионная, набор ключей шестигранных, набор отверток, набор ключей комбинированых, перчатки рабочие, набор ключей TORX, провод для прикуривания, автолампы Н4/Н75586,03 - ремни, стяжки, уголок, накладка;</v>
      </c>
      <c r="AQ25" s="3274">
        <f>SUM(ЦО_логистика!R25,'Форд Тягач'!AQ25,'MAN Blue KA1783HI'!AB25,'MAN green KA2790IE'!AB25,'MAN №3 white KA7837HO'!AB25,'MAN №4 white KA3597HO'!AB25,'MAN №5 Тент МД'!R25)</f>
        <v>94776.011199999979</v>
      </c>
      <c r="AR25" s="3274">
        <f>SUM(ЦО_логистика!S25,'Форд Тягач'!AR25,'MAN Blue KA1783HI'!AC25,'MAN green KA2790IE'!AC25,'MAN №3 white KA7837HO'!AC25,'MAN №4 white KA3597HO'!AC25,'MAN №5 Тент МД'!S25)</f>
        <v>2816</v>
      </c>
      <c r="AS25" s="3283">
        <f t="shared" si="51"/>
        <v>97592.011199999979</v>
      </c>
      <c r="AT25" s="3284">
        <f t="shared" si="5"/>
        <v>7.6351229135487142E-2</v>
      </c>
      <c r="AU25" s="3275" t="str">
        <f>CONCATENATE(ЦО_логистика!V25,'Форд Тягач'!AU25,'MAN Blue KA1783HI'!AF24,'MAN green KA2790IE'!AF25,'MAN №3 white KA7837HO'!AF25,'MAN №4 white KA3597HO'!AF25,'MAN №5 Тент МД'!V25)</f>
        <v xml:space="preserve">Ф1:  Разьем аварийный, гайковерт скоростной, набор ключей комбинированых/шестигранных, перчатки рабочие, пассатижи, молоток слюсарный, отвертка реверсионная                            Ф2:  МШП для выезда за границу ( Резинки, маркировочные заки, средство ВАБКо, лампочки)Набор предохранителей, разьем аварийный, гайковерт скоростной, набор ключей комбинированых, перчатки рабочие, набор ключей TORX, провода для прикуривания, автолампы Н4/Н7, щетки стеклоочистителя, шланг подкачки шинНабор предохранителей,. разьем аварийный, гайковерт скоростной,домкрат 32т гидравлический,отвертка реверсионная, набор ключей шестигранных, набор отверток, набор ключей комбинированых, перчатки рабочие, набор ключей TORX, провод для прикуривания, автолампы Н4/Н7Набор предохранителей,. разьем аварийный, пасатижи, молоток слюсарный, реверсивная отвертка, набор ключей шестигранных, перчатки рабочие, провод для прикуривания, автолампы Н4/Н7Ф2: Крышка бака с замком                Ф1:Предохранитель ремня, стяжка груза 5т 10м, лампа Н4/Н7, гайковерт, порошковый огнетушитель, шланг подкачки шин,авто аптечка, набор отверток, набор ключей, </v>
      </c>
      <c r="AV25" s="3275">
        <f>+ЦО_логистика!W25+'Форд Тягач'!AV25+'MAN Blue KA1783HI'!AG25+'MAN green KA2790IE'!AG25+'MAN №3 white KA7837HO'!AG25+'MAN №4 white KA3597HO'!AG25+'MAN №5 Тент МД'!W25</f>
        <v>47953.695999999996</v>
      </c>
      <c r="AW25" s="3275">
        <f>+ЦО_логистика!X25+'Форд Тягач'!AW25+'MAN Blue KA1783HI'!AH25+'MAN green KA2790IE'!AH25+'MAN №3 white KA7837HO'!AH25+'MAN №4 white KA3597HO'!AH25+'MAN №5 Тент МД'!X25</f>
        <v>0</v>
      </c>
      <c r="AX25" s="3283">
        <f t="shared" si="29"/>
        <v>47953.695999999996</v>
      </c>
      <c r="AY25" s="3284">
        <f t="shared" si="6"/>
        <v>3.7516632623608576E-2</v>
      </c>
      <c r="AZ25" s="3275"/>
      <c r="BA25" s="3275">
        <f t="shared" si="7"/>
        <v>0</v>
      </c>
      <c r="BB25" s="3275">
        <f t="shared" si="7"/>
        <v>0</v>
      </c>
      <c r="BC25" s="3283">
        <f t="shared" si="30"/>
        <v>0</v>
      </c>
      <c r="BD25" s="3284">
        <f t="shared" si="8"/>
        <v>0</v>
      </c>
      <c r="BE25" s="3275">
        <f>ЦО_логистика!AD25+'Форд Тягач'!BC25+'MAN Blue KA1783HI'!AN25+'MAN green KA2790IE'!AN25+'MAN №3 white KA7837HO'!AN25+'MAN №4 white KA3597HO'!AN25+'MAN №5 Тент МД'!AD25-BC25</f>
        <v>0</v>
      </c>
      <c r="BF25" s="3274">
        <f>ЦО_логистика!AG25+'Форд Тягач'!BF25+'MAN Blue KA1783HI'!AQ25+'MAN green KA2790IE'!AQ25+'MAN №3 white KA7837HO'!AQ25+'MAN №4 white KA3597HO'!AQ25+'MAN №5 Тент МД'!AG25</f>
        <v>0</v>
      </c>
      <c r="BG25" s="3274">
        <f>ЦО_логистика!AH25+'Форд Тягач'!BG25+'MAN Blue KA1783HI'!AR25+'MAN green KA2790IE'!AR25+'MAN №3 white KA7837HO'!AR25+'MAN №4 white KA3597HO'!AR25+'MAN №5 Тент МД'!AH25</f>
        <v>0</v>
      </c>
      <c r="BH25" s="3283">
        <f t="shared" si="31"/>
        <v>0</v>
      </c>
      <c r="BI25" s="3284">
        <f t="shared" si="9"/>
        <v>0</v>
      </c>
      <c r="BJ25" s="3275"/>
      <c r="BK25" s="3275">
        <f>ЦО_логистика!AL25+'Форд Тягач'!BK25+'MAN Blue KA1783HI'!AV25+'MAN green KA2790IE'!AV25+'MAN №3 white KA7837HO'!AV25+'MAN №4 white KA3597HO'!AV25+'MAN №5 Тент МД'!AL25</f>
        <v>0</v>
      </c>
      <c r="BL25" s="3275">
        <f>ЦО_логистика!AM25+'Форд Тягач'!BL25+'MAN Blue KA1783HI'!AW25+'MAN green KA2790IE'!AW25+'MAN №3 white KA7837HO'!AW25+'MAN №4 white KA3597HO'!AW25+'MAN №5 Тент МД'!AM25</f>
        <v>0</v>
      </c>
      <c r="BM25" s="3283">
        <f t="shared" si="52"/>
        <v>0</v>
      </c>
      <c r="BN25" s="3284">
        <f t="shared" si="10"/>
        <v>0</v>
      </c>
      <c r="BO25" s="3275"/>
      <c r="BP25" s="3274">
        <f>ЦО_логистика!AQ25+'Форд Тягач'!BP25+'MAN Blue KA1783HI'!BA25+'MAN green KA2790IE'!BA25+'MAN №3 white KA7837HO'!BA25+'MAN №4 white KA3597HO'!BA25+'MAN №5 Тент МД'!AQ25</f>
        <v>0</v>
      </c>
      <c r="BQ25" s="3274">
        <f>ЦО_логистика!AR25+'Форд Тягач'!BQ25+'MAN Blue KA1783HI'!BB25+'MAN green KA2790IE'!BB25+'MAN №3 white KA7837HO'!BB25+'MAN №4 white KA3597HO'!BB25+'MAN №5 Тент МД'!AR25</f>
        <v>0</v>
      </c>
      <c r="BR25" s="3286">
        <f t="shared" si="33"/>
        <v>0</v>
      </c>
      <c r="BS25" s="3284">
        <f t="shared" si="11"/>
        <v>0</v>
      </c>
      <c r="BT25" s="3291"/>
      <c r="BU25" s="3274">
        <f>ЦО_логистика!AV25+'Форд Тягач'!BU25+'MAN Blue KA1783HI'!BF25+'MAN green KA2790IE'!BF25+'MAN №3 white KA7837HO'!BF25+'MAN №4 white KA3597HO'!BF25+'MAN №5 Тент МД'!AV25</f>
        <v>0</v>
      </c>
      <c r="BV25" s="3274">
        <f>ЦО_логистика!AW25+'Форд Тягач'!BV25+'MAN Blue KA1783HI'!BG25+'MAN green KA2790IE'!BG25+'MAN №3 white KA7837HO'!BG25+'MAN №4 white KA3597HO'!BG25+'MAN №5 Тент МД'!AW25</f>
        <v>0</v>
      </c>
      <c r="BW25" s="3286">
        <f t="shared" si="37"/>
        <v>0</v>
      </c>
      <c r="BX25" s="3284">
        <f t="shared" si="12"/>
        <v>0</v>
      </c>
      <c r="BY25" s="3291"/>
      <c r="BZ25" s="3274">
        <f>ЦО_логистика!BA25+'Форд Тягач'!BZ25+'MAN Blue KA1783HI'!BK25+'MAN green KA2790IE'!BK25+'MAN №3 white KA7837HO'!BK25+'MAN №4 white KA3597HO'!BK25+'MAN №5 Тент МД'!BA25</f>
        <v>0</v>
      </c>
      <c r="CA25" s="3274">
        <f>ЦО_логистика!BB25+'Форд Тягач'!CA25+'MAN Blue KA1783HI'!BL25+'MAN green KA2790IE'!BL25+'MAN №3 white KA7837HO'!BL25+'MAN №4 white KA3597HO'!BL25+'MAN №5 Тент МД'!BB25</f>
        <v>0</v>
      </c>
      <c r="CB25" s="3286">
        <f t="shared" si="38"/>
        <v>0</v>
      </c>
      <c r="CC25" s="3284">
        <f t="shared" si="13"/>
        <v>0</v>
      </c>
      <c r="CD25" s="3291"/>
      <c r="CE25" s="3274">
        <f>ЦО_логистика!BF25+'Форд Тягач'!CE25+'MAN Blue KA1783HI'!BP25+'MAN green KA2790IE'!BP25+'MAN №3 white KA7837HO'!BP25+'MAN №4 white KA3597HO'!BP25+'MAN №5 Тент МД'!BF25</f>
        <v>0</v>
      </c>
      <c r="CF25" s="3274">
        <f>ЦО_логистика!BG25+'Форд Тягач'!CF25+'MAN Blue KA1783HI'!BQ25+'MAN green KA2790IE'!BQ25+'MAN №3 white KA7837HO'!BQ25+'MAN №4 white KA3597HO'!BQ25+'MAN №5 Тент МД'!BG25</f>
        <v>0</v>
      </c>
      <c r="CG25" s="3286">
        <f t="shared" si="39"/>
        <v>0</v>
      </c>
      <c r="CH25" s="3284">
        <f t="shared" si="14"/>
        <v>0</v>
      </c>
      <c r="CI25" s="3291"/>
      <c r="CJ25" s="3274">
        <f>ЦО_логистика!BK25+'Форд Тягач'!CJ25+'MAN Blue KA1783HI'!BU25+'MAN green KA2790IE'!BU25+'MAN №3 white KA7837HO'!BU25+'MAN №4 white KA3597HO'!BU25+'MAN №5 Тент МД'!BK25</f>
        <v>0</v>
      </c>
      <c r="CK25" s="3274">
        <f>ЦО_логистика!BL25+'Форд Тягач'!CK25+'MAN Blue KA1783HI'!BV25+'MAN green KA2790IE'!BV25+'MAN №3 white KA7837HO'!BV25+'MAN №4 white KA3597HO'!BV25+'MAN №5 Тент МД'!BL25</f>
        <v>0</v>
      </c>
      <c r="CL25" s="3286">
        <f t="shared" si="40"/>
        <v>0</v>
      </c>
      <c r="CM25" s="3284">
        <f t="shared" si="15"/>
        <v>0</v>
      </c>
      <c r="CN25" s="3291"/>
      <c r="CO25" s="3274">
        <f>ЦО_логистика!BP25+'Форд Тягач'!CO25+'MAN Blue KA1783HI'!BZ25+'MAN green KA2790IE'!BZ25+'MAN №3 white KA7837HO'!BZ25+'MAN №4 white KA3597HO'!BZ25+'MAN №5 Тент МД'!BP25</f>
        <v>0</v>
      </c>
      <c r="CP25" s="3274">
        <f>ЦО_логистика!BQ25+'Форд Тягач'!CP25+'MAN Blue KA1783HI'!CA25+'MAN green KA2790IE'!CA25+'MAN №3 white KA7837HO'!CA25+'MAN №4 white KA3597HO'!CA25+'MAN №5 Тент МД'!BQ25</f>
        <v>0</v>
      </c>
      <c r="CQ25" s="3286">
        <f t="shared" si="41"/>
        <v>0</v>
      </c>
      <c r="CR25" s="3284">
        <f t="shared" si="16"/>
        <v>0</v>
      </c>
      <c r="CS25" s="3291"/>
      <c r="CT25" s="3274">
        <f>ЦО_логистика!BU25+'Форд Тягач'!CT25+'MAN Blue KA1783HI'!CE25+'MAN green KA2790IE'!CE25+'MAN №3 white KA7837HO'!CE25+'MAN №4 white KA3597HO'!CE25+'MAN №5 Тент МД'!BU25</f>
        <v>0</v>
      </c>
      <c r="CU25" s="3274">
        <f>ЦО_логистика!BV25+'Форд Тягач'!CU25+'MAN Blue KA1783HI'!CF25+'MAN green KA2790IE'!CF25+'MAN №3 white KA7837HO'!CF25+'MAN №4 white KA3597HO'!CF25+'MAN №5 Тент МД'!BV25</f>
        <v>0</v>
      </c>
      <c r="CV25" s="3286">
        <f t="shared" si="42"/>
        <v>0</v>
      </c>
      <c r="CW25" s="3284">
        <f t="shared" si="17"/>
        <v>0</v>
      </c>
      <c r="CX25" s="3291"/>
      <c r="CY25" s="3274">
        <f>ЦО_логистика!BZ25+'Форд Тягач'!CY25+'MAN Blue KA1783HI'!CJ25+'MAN green KA2790IE'!CJ25+'MAN №3 white KA7837HO'!CJ25+'MAN №4 white KA3597HO'!CJ25+'MAN №5 Тент МД'!BZ25</f>
        <v>0</v>
      </c>
      <c r="CZ25" s="3274">
        <f>ЦО_логистика!CA25+'Форд Тягач'!CZ25+'MAN Blue KA1783HI'!CK25+'MAN green KA2790IE'!CK25+'MAN №3 white KA7837HO'!CK25+'MAN №4 white KA3597HO'!CK25+'MAN №5 Тент МД'!CA25</f>
        <v>0</v>
      </c>
      <c r="DA25" s="3286">
        <f t="shared" si="43"/>
        <v>0</v>
      </c>
      <c r="DB25" s="3284">
        <f t="shared" si="18"/>
        <v>0</v>
      </c>
      <c r="DC25" s="3291"/>
      <c r="DD25" s="3274">
        <f>ЦО_логистика!CE25+'Форд Тягач'!DD25+'MAN Blue KA1783HI'!CO25+'MAN green KA2790IE'!CO25+'MAN №3 white KA7837HO'!CO25+'MAN №4 white KA3597HO'!CO25+'MAN №5 Тент МД'!CE25</f>
        <v>0</v>
      </c>
      <c r="DE25" s="3274">
        <f>ЦО_логистика!CF25+'Форд Тягач'!DE25+'MAN Blue KA1783HI'!CP25+'MAN green KA2790IE'!CP25+'MAN №3 white KA7837HO'!CP25+'MAN №4 white KA3597HO'!CP25+'MAN №5 Тент МД'!CF25</f>
        <v>0</v>
      </c>
      <c r="DF25" s="3286">
        <f t="shared" si="44"/>
        <v>0</v>
      </c>
      <c r="DG25" s="3284">
        <f t="shared" si="19"/>
        <v>0</v>
      </c>
      <c r="DH25" s="3291"/>
      <c r="DI25" s="3274">
        <f>ЦО_логистика!CJ25+'Форд Тягач'!DI25+'MAN Blue KA1783HI'!CT25+'MAN green KA2790IE'!CT25+'MAN №3 white KA7837HO'!CT25+'MAN №4 white KA3597HO'!CT25+'MAN №5 Тент МД'!CJ25</f>
        <v>0</v>
      </c>
      <c r="DJ25" s="3274">
        <f>ЦО_логистика!CK25+'Форд Тягач'!DJ25+'MAN Blue KA1783HI'!CU25+'MAN green KA2790IE'!CU25+'MAN №3 white KA7837HO'!CU25+'MAN №4 white KA3597HO'!CU25+'MAN №5 Тент МД'!CK25</f>
        <v>0</v>
      </c>
      <c r="DK25" s="3286">
        <f t="shared" si="45"/>
        <v>0</v>
      </c>
      <c r="DL25" s="3284">
        <f t="shared" si="20"/>
        <v>0</v>
      </c>
      <c r="DM25" s="3291"/>
      <c r="DN25" s="3288">
        <f t="shared" si="21"/>
        <v>154363.97719999996</v>
      </c>
      <c r="DO25" s="3288">
        <f t="shared" si="21"/>
        <v>6608</v>
      </c>
      <c r="DP25" s="3283">
        <f t="shared" si="36"/>
        <v>160971.97719999996</v>
      </c>
      <c r="DQ25" s="3284">
        <f t="shared" si="53"/>
        <v>6.0925622053840762E-3</v>
      </c>
      <c r="DR25" s="3275"/>
      <c r="DS25" s="916"/>
      <c r="DT25" s="916"/>
    </row>
    <row r="26" spans="1:124" s="1411" customFormat="1" ht="29.4" customHeight="1" x14ac:dyDescent="0.25">
      <c r="A26" s="1586"/>
      <c r="B26" s="3289" t="s">
        <v>45</v>
      </c>
      <c r="C26" s="3274">
        <v>0</v>
      </c>
      <c r="D26" s="3274">
        <v>0</v>
      </c>
      <c r="E26" s="3283">
        <v>0</v>
      </c>
      <c r="F26" s="3284">
        <v>0</v>
      </c>
      <c r="G26" s="1449"/>
      <c r="H26" s="3274">
        <v>0</v>
      </c>
      <c r="I26" s="3274">
        <v>0</v>
      </c>
      <c r="J26" s="3283">
        <v>0</v>
      </c>
      <c r="K26" s="3284">
        <v>0</v>
      </c>
      <c r="L26" s="1449">
        <v>0</v>
      </c>
      <c r="M26" s="3274">
        <v>0</v>
      </c>
      <c r="N26" s="3274">
        <v>0</v>
      </c>
      <c r="O26" s="3283">
        <v>0</v>
      </c>
      <c r="P26" s="3284">
        <v>0</v>
      </c>
      <c r="Q26" s="1449">
        <v>0</v>
      </c>
      <c r="R26" s="3288">
        <f>'Форд Тягач'!R26+'MAN Blue KA1783HI'!C26+'MAN green KA2790IE'!C26+'MAN №3 white KA7837HO'!C26+'MAN №4 white KA3597HO'!C26</f>
        <v>0</v>
      </c>
      <c r="S26" s="3274">
        <f>'Форд Тягач'!S26+'MAN Blue KA1783HI'!D26+'MAN green KA2790IE'!D26+'MAN №3 white KA7837HO'!D26+'MAN №4 white KA3597HO'!D26</f>
        <v>0</v>
      </c>
      <c r="T26" s="3283">
        <f t="shared" si="46"/>
        <v>0</v>
      </c>
      <c r="U26" s="3284">
        <f t="shared" si="0"/>
        <v>0</v>
      </c>
      <c r="V26" s="1608"/>
      <c r="W26" s="3274">
        <f>'Форд Тягач'!W26+'MAN Blue KA1783HI'!H26+'MAN green KA2790IE'!H26+'MAN №3 white KA7837HO'!H26+'MAN №4 white KA3597HO'!H26</f>
        <v>0</v>
      </c>
      <c r="X26" s="3274">
        <f>'Форд Тягач'!X26+'MAN Blue KA1783HI'!I26+'MAN green KA2790IE'!I26+'MAN №3 white KA7837HO'!I26+'MAN №4 white KA3597HO'!I26</f>
        <v>0</v>
      </c>
      <c r="Y26" s="3283">
        <f t="shared" si="47"/>
        <v>0</v>
      </c>
      <c r="Z26" s="3284">
        <f t="shared" si="24"/>
        <v>0</v>
      </c>
      <c r="AA26" s="1608"/>
      <c r="AB26" s="3274">
        <f>ЦО_логистика!C26+'Форд Тягач'!AB26+'MAN Blue KA1783HI'!M26+'MAN green KA2790IE'!M26+'MAN №3 white KA7837HO'!M26+'MAN №4 white KA3597HO'!M26+'MAN №5 Тент МД'!C26</f>
        <v>0</v>
      </c>
      <c r="AC26" s="3274">
        <f>ЦО_логистика!D26+'Форд Тягач'!AC26+'MAN Blue KA1783HI'!N26+'MAN green KA2790IE'!N26+'MAN №3 white KA7837HO'!N26+'MAN №4 white KA3597HO'!N26+'MAN №5 Тент МД'!D26</f>
        <v>0</v>
      </c>
      <c r="AD26" s="3283">
        <f t="shared" si="48"/>
        <v>0</v>
      </c>
      <c r="AE26" s="3284">
        <f t="shared" si="2"/>
        <v>0</v>
      </c>
      <c r="AF26" s="1608"/>
      <c r="AG26" s="3274">
        <f>ЦО_логистика!H26+'Форд Тягач'!AG26+'MAN Blue KA1783HI'!R26+'MAN green KA2790IE'!R26+'MAN №3 white KA7837HO'!R26+'MAN №4 white KA3597HO'!R26+'MAN №5 Тент МД'!H26</f>
        <v>0</v>
      </c>
      <c r="AH26" s="3274">
        <f>ЦО_логистика!I26+'Форд Тягач'!AH26+'MAN Blue KA1783HI'!S26+'MAN green KA2790IE'!S26+'MAN №3 white KA7837HO'!S26+'MAN №4 white KA3597HO'!S26+'MAN №5 Тент МД'!I26</f>
        <v>0</v>
      </c>
      <c r="AI26" s="3283">
        <f t="shared" si="49"/>
        <v>0</v>
      </c>
      <c r="AJ26" s="3284">
        <f t="shared" si="3"/>
        <v>0</v>
      </c>
      <c r="AK26" s="1608"/>
      <c r="AL26" s="3274">
        <f>ЦО_логистика!M26+'Форд Тягач'!AL26+'MAN Blue KA1783HI'!W26+'MAN green KA2790IE'!W26+'MAN №3 white KA7837HO'!W26+'MAN №4 white KA3597HO'!W26+'MAN №5 Тент МД'!M26</f>
        <v>0</v>
      </c>
      <c r="AM26" s="3274">
        <f>ЦО_логистика!N26+'Форд Тягач'!AM26+'MAN Blue KA1783HI'!X26+'MAN green KA2790IE'!X26+'MAN №3 white KA7837HO'!X26+'MAN №4 white KA3597HO'!X26+'MAN №5 Тент МД'!N26</f>
        <v>0</v>
      </c>
      <c r="AN26" s="3283">
        <f t="shared" si="50"/>
        <v>0</v>
      </c>
      <c r="AO26" s="3284">
        <f t="shared" si="4"/>
        <v>0</v>
      </c>
      <c r="AP26" s="3275" t="str">
        <f>CONCATENATE(ЦО_логистика!Q26,'Форд Тягач'!AP26,'MAN Blue KA1783HI'!AA26,'MAN green KA2790IE'!AA26,'MAN №3 white KA7837HO'!AF26,'MAN №4 white KA3597HO'!AA26,'MAN №5 Тент МД'!Q26)</f>
        <v/>
      </c>
      <c r="AQ26" s="3274">
        <f>SUM(ЦО_логистика!R26,'Форд Тягач'!AQ26,'MAN Blue KA1783HI'!AB26,'MAN green KA2790IE'!AB26,'MAN №3 white KA7837HO'!AB26,'MAN №4 white KA3597HO'!AB26,'MAN №5 Тент МД'!R26)</f>
        <v>0</v>
      </c>
      <c r="AR26" s="3274">
        <f>SUM(ЦО_логистика!S26,'Форд Тягач'!AR26,'MAN Blue KA1783HI'!AC26,'MAN green KA2790IE'!AC26,'MAN №3 white KA7837HO'!AC26,'MAN №4 white KA3597HO'!AC26,'MAN №5 Тент МД'!S26)</f>
        <v>0</v>
      </c>
      <c r="AS26" s="3283">
        <f t="shared" si="51"/>
        <v>0</v>
      </c>
      <c r="AT26" s="3284">
        <f t="shared" si="5"/>
        <v>0</v>
      </c>
      <c r="AU26" s="3275" t="str">
        <f>CONCATENATE(ЦО_логистика!V26,'Форд Тягач'!AU26,'MAN Blue KA1783HI'!AF25,'MAN green KA2790IE'!AF26,'MAN №3 white KA7837HO'!AF26,'MAN №4 white KA3597HO'!AF26,'MAN №5 Тент МД'!V26)</f>
        <v>Набор предохранителей, разьем аварийный, порошковый огнетушитель, гайковерт скоростной, набор ключей комбинированых, перчатки рабочие, провода для прикуривания, автолампы Н4/Н7, пасатижи, молоток слюсарний, отвертка реверсионная,</v>
      </c>
      <c r="AV26" s="3275">
        <f>+ЦО_логистика!W26+'Форд Тягач'!AV26+'MAN Blue KA1783HI'!AG26+'MAN green KA2790IE'!AG26+'MAN №3 white KA7837HO'!AG26+'MAN №4 white KA3597HO'!AG26+'MAN №5 Тент МД'!W26</f>
        <v>0</v>
      </c>
      <c r="AW26" s="3275">
        <f>+ЦО_логистика!X26+'Форд Тягач'!AW26+'MAN Blue KA1783HI'!AH26+'MAN green KA2790IE'!AH26+'MAN №3 white KA7837HO'!AH26+'MAN №4 white KA3597HO'!AH26+'MAN №5 Тент МД'!X26</f>
        <v>0</v>
      </c>
      <c r="AX26" s="3283">
        <f t="shared" si="29"/>
        <v>0</v>
      </c>
      <c r="AY26" s="3284">
        <f t="shared" si="6"/>
        <v>0</v>
      </c>
      <c r="AZ26" s="3275"/>
      <c r="BA26" s="3275">
        <f t="shared" si="7"/>
        <v>0</v>
      </c>
      <c r="BB26" s="3275">
        <f t="shared" si="7"/>
        <v>0</v>
      </c>
      <c r="BC26" s="3283">
        <f t="shared" si="30"/>
        <v>0</v>
      </c>
      <c r="BD26" s="3284">
        <f t="shared" si="8"/>
        <v>0</v>
      </c>
      <c r="BE26" s="3275">
        <f>ЦО_логистика!AD26+'Форд Тягач'!BC26+'MAN Blue KA1783HI'!AN26+'MAN green KA2790IE'!AN26+'MAN №3 white KA7837HO'!AN26+'MAN №4 white KA3597HO'!AN26+'MAN №5 Тент МД'!AD26-BC26</f>
        <v>0</v>
      </c>
      <c r="BF26" s="3274">
        <f>ЦО_логистика!AG26+'Форд Тягач'!BF26+'MAN Blue KA1783HI'!AQ26+'MAN green KA2790IE'!AQ26+'MAN №3 white KA7837HO'!AQ26+'MAN №4 white KA3597HO'!AQ26+'MAN №5 Тент МД'!AG26</f>
        <v>0</v>
      </c>
      <c r="BG26" s="3274">
        <f>ЦО_логистика!AH26+'Форд Тягач'!BG26+'MAN Blue KA1783HI'!AR26+'MAN green KA2790IE'!AR26+'MAN №3 white KA7837HO'!AR26+'MAN №4 white KA3597HO'!AR26+'MAN №5 Тент МД'!AH26</f>
        <v>0</v>
      </c>
      <c r="BH26" s="3283">
        <f t="shared" si="31"/>
        <v>0</v>
      </c>
      <c r="BI26" s="3284">
        <f t="shared" si="9"/>
        <v>0</v>
      </c>
      <c r="BJ26" s="3275"/>
      <c r="BK26" s="3275">
        <f>ЦО_логистика!AL26+'Форд Тягач'!BK26+'MAN Blue KA1783HI'!AV26+'MAN green KA2790IE'!AV26+'MAN №3 white KA7837HO'!AV26+'MAN №4 white KA3597HO'!AV26+'MAN №5 Тент МД'!AL26</f>
        <v>0</v>
      </c>
      <c r="BL26" s="3275">
        <f>ЦО_логистика!AM26+'Форд Тягач'!BL26+'MAN Blue KA1783HI'!AW26+'MAN green KA2790IE'!AW26+'MAN №3 white KA7837HO'!AW26+'MAN №4 white KA3597HO'!AW26+'MAN №5 Тент МД'!AM26</f>
        <v>0</v>
      </c>
      <c r="BM26" s="3283">
        <f t="shared" si="52"/>
        <v>0</v>
      </c>
      <c r="BN26" s="3284">
        <f t="shared" si="10"/>
        <v>0</v>
      </c>
      <c r="BO26" s="3275"/>
      <c r="BP26" s="3274">
        <f>ЦО_логистика!AQ26+'Форд Тягач'!BP26+'MAN Blue KA1783HI'!BA26+'MAN green KA2790IE'!BA26+'MAN №3 white KA7837HO'!BA26+'MAN №4 white KA3597HO'!BA26+'MAN №5 Тент МД'!AQ26</f>
        <v>0</v>
      </c>
      <c r="BQ26" s="3274">
        <f>ЦО_логистика!AR26+'Форд Тягач'!BQ26+'MAN Blue KA1783HI'!BB26+'MAN green KA2790IE'!BB26+'MAN №3 white KA7837HO'!BB26+'MAN №4 white KA3597HO'!BB26+'MAN №5 Тент МД'!AR26</f>
        <v>0</v>
      </c>
      <c r="BR26" s="3286">
        <f t="shared" si="33"/>
        <v>0</v>
      </c>
      <c r="BS26" s="3284">
        <f t="shared" si="11"/>
        <v>0</v>
      </c>
      <c r="BT26" s="1158"/>
      <c r="BU26" s="3274">
        <f>ЦО_логистика!AV26+'Форд Тягач'!BU26+'MAN Blue KA1783HI'!BF26+'MAN green KA2790IE'!BF26+'MAN №3 white KA7837HO'!BF26+'MAN №4 white KA3597HO'!BF26+'MAN №5 Тент МД'!AV26</f>
        <v>0</v>
      </c>
      <c r="BV26" s="3274">
        <f>ЦО_логистика!AW26+'Форд Тягач'!BV26+'MAN Blue KA1783HI'!BG26+'MAN green KA2790IE'!BG26+'MAN №3 white KA7837HO'!BG26+'MAN №4 white KA3597HO'!BG26+'MAN №5 Тент МД'!AW26</f>
        <v>0</v>
      </c>
      <c r="BW26" s="3286">
        <f t="shared" si="37"/>
        <v>0</v>
      </c>
      <c r="BX26" s="3284">
        <f t="shared" si="12"/>
        <v>0</v>
      </c>
      <c r="BY26" s="1158"/>
      <c r="BZ26" s="3274">
        <f>ЦО_логистика!BA26+'Форд Тягач'!BZ26+'MAN Blue KA1783HI'!BK26+'MAN green KA2790IE'!BK26+'MAN №3 white KA7837HO'!BK26+'MAN №4 white KA3597HO'!BK26+'MAN №5 Тент МД'!BA26</f>
        <v>0</v>
      </c>
      <c r="CA26" s="3274">
        <f>ЦО_логистика!BB26+'Форд Тягач'!CA26+'MAN Blue KA1783HI'!BL26+'MAN green KA2790IE'!BL26+'MAN №3 white KA7837HO'!BL26+'MAN №4 white KA3597HO'!BL26+'MAN №5 Тент МД'!BB26</f>
        <v>0</v>
      </c>
      <c r="CB26" s="3286">
        <f t="shared" si="38"/>
        <v>0</v>
      </c>
      <c r="CC26" s="3284">
        <f t="shared" si="13"/>
        <v>0</v>
      </c>
      <c r="CD26" s="1158"/>
      <c r="CE26" s="3274">
        <f>ЦО_логистика!BF26+'Форд Тягач'!CE26+'MAN Blue KA1783HI'!BP26+'MAN green KA2790IE'!BP26+'MAN №3 white KA7837HO'!BP26+'MAN №4 white KA3597HO'!BP26+'MAN №5 Тент МД'!BF26</f>
        <v>0</v>
      </c>
      <c r="CF26" s="3274">
        <f>ЦО_логистика!BG26+'Форд Тягач'!CF26+'MAN Blue KA1783HI'!BQ26+'MAN green KA2790IE'!BQ26+'MAN №3 white KA7837HO'!BQ26+'MAN №4 white KA3597HO'!BQ26+'MAN №5 Тент МД'!BG26</f>
        <v>0</v>
      </c>
      <c r="CG26" s="3286">
        <f t="shared" si="39"/>
        <v>0</v>
      </c>
      <c r="CH26" s="3284">
        <f t="shared" si="14"/>
        <v>0</v>
      </c>
      <c r="CI26" s="1158"/>
      <c r="CJ26" s="3274">
        <f>ЦО_логистика!BK26+'Форд Тягач'!CJ26+'MAN Blue KA1783HI'!BU26+'MAN green KA2790IE'!BU26+'MAN №3 white KA7837HO'!BU26+'MAN №4 white KA3597HO'!BU26+'MAN №5 Тент МД'!BK26</f>
        <v>0</v>
      </c>
      <c r="CK26" s="3274">
        <f>ЦО_логистика!BL26+'Форд Тягач'!CK26+'MAN Blue KA1783HI'!BV26+'MAN green KA2790IE'!BV26+'MAN №3 white KA7837HO'!BV26+'MAN №4 white KA3597HO'!BV26+'MAN №5 Тент МД'!BL26</f>
        <v>0</v>
      </c>
      <c r="CL26" s="3286">
        <f t="shared" si="40"/>
        <v>0</v>
      </c>
      <c r="CM26" s="3284">
        <f t="shared" si="15"/>
        <v>0</v>
      </c>
      <c r="CN26" s="1158"/>
      <c r="CO26" s="3274">
        <f>ЦО_логистика!BP26+'Форд Тягач'!CO26+'MAN Blue KA1783HI'!BZ26+'MAN green KA2790IE'!BZ26+'MAN №3 white KA7837HO'!BZ26+'MAN №4 white KA3597HO'!BZ26+'MAN №5 Тент МД'!BP26</f>
        <v>0</v>
      </c>
      <c r="CP26" s="3274">
        <f>ЦО_логистика!BQ26+'Форд Тягач'!CP26+'MAN Blue KA1783HI'!CA26+'MAN green KA2790IE'!CA26+'MAN №3 white KA7837HO'!CA26+'MAN №4 white KA3597HO'!CA26+'MAN №5 Тент МД'!BQ26</f>
        <v>0</v>
      </c>
      <c r="CQ26" s="3286">
        <f t="shared" si="41"/>
        <v>0</v>
      </c>
      <c r="CR26" s="3284">
        <f t="shared" si="16"/>
        <v>0</v>
      </c>
      <c r="CS26" s="1158"/>
      <c r="CT26" s="3274">
        <f>ЦО_логистика!BU26+'Форд Тягач'!CT26+'MAN Blue KA1783HI'!CE26+'MAN green KA2790IE'!CE26+'MAN №3 white KA7837HO'!CE26+'MAN №4 white KA3597HO'!CE26+'MAN №5 Тент МД'!BU26</f>
        <v>0</v>
      </c>
      <c r="CU26" s="3274">
        <f>ЦО_логистика!BV26+'Форд Тягач'!CU26+'MAN Blue KA1783HI'!CF26+'MAN green KA2790IE'!CF26+'MAN №3 white KA7837HO'!CF26+'MAN №4 white KA3597HO'!CF26+'MAN №5 Тент МД'!BV26</f>
        <v>0</v>
      </c>
      <c r="CV26" s="3286">
        <f t="shared" si="42"/>
        <v>0</v>
      </c>
      <c r="CW26" s="3284">
        <f t="shared" si="17"/>
        <v>0</v>
      </c>
      <c r="CX26" s="1158"/>
      <c r="CY26" s="3274">
        <f>ЦО_логистика!BZ26+'Форд Тягач'!CY26+'MAN Blue KA1783HI'!CJ26+'MAN green KA2790IE'!CJ26+'MAN №3 white KA7837HO'!CJ26+'MAN №4 white KA3597HO'!CJ26+'MAN №5 Тент МД'!BZ26</f>
        <v>0</v>
      </c>
      <c r="CZ26" s="3274">
        <f>ЦО_логистика!CA26+'Форд Тягач'!CZ26+'MAN Blue KA1783HI'!CK26+'MAN green KA2790IE'!CK26+'MAN №3 white KA7837HO'!CK26+'MAN №4 white KA3597HO'!CK26+'MAN №5 Тент МД'!CA26</f>
        <v>0</v>
      </c>
      <c r="DA26" s="3286">
        <f t="shared" si="43"/>
        <v>0</v>
      </c>
      <c r="DB26" s="3284">
        <f t="shared" si="18"/>
        <v>0</v>
      </c>
      <c r="DC26" s="1158"/>
      <c r="DD26" s="3274">
        <f>ЦО_логистика!CE26+'Форд Тягач'!DD26+'MAN Blue KA1783HI'!CO26+'MAN green KA2790IE'!CO26+'MAN №3 white KA7837HO'!CO26+'MAN №4 white KA3597HO'!CO26+'MAN №5 Тент МД'!CE26</f>
        <v>0</v>
      </c>
      <c r="DE26" s="3274">
        <f>ЦО_логистика!CF26+'Форд Тягач'!DE26+'MAN Blue KA1783HI'!CP26+'MAN green KA2790IE'!CP26+'MAN №3 white KA7837HO'!CP26+'MAN №4 white KA3597HO'!CP26+'MAN №5 Тент МД'!CF26</f>
        <v>0</v>
      </c>
      <c r="DF26" s="3286">
        <f t="shared" si="44"/>
        <v>0</v>
      </c>
      <c r="DG26" s="3284">
        <f t="shared" si="19"/>
        <v>0</v>
      </c>
      <c r="DH26" s="1158"/>
      <c r="DI26" s="3274">
        <f>ЦО_логистика!CJ26+'Форд Тягач'!DI26+'MAN Blue KA1783HI'!CT26+'MAN green KA2790IE'!CT26+'MAN №3 white KA7837HO'!CT26+'MAN №4 white KA3597HO'!CT26+'MAN №5 Тент МД'!CJ26</f>
        <v>0</v>
      </c>
      <c r="DJ26" s="3274">
        <f>ЦО_логистика!CK26+'Форд Тягач'!DJ26+'MAN Blue KA1783HI'!CU26+'MAN green KA2790IE'!CU26+'MAN №3 white KA7837HO'!CU26+'MAN №4 white KA3597HO'!CU26+'MAN №5 Тент МД'!CK26</f>
        <v>0</v>
      </c>
      <c r="DK26" s="3286">
        <f t="shared" si="45"/>
        <v>0</v>
      </c>
      <c r="DL26" s="3284">
        <f t="shared" si="20"/>
        <v>0</v>
      </c>
      <c r="DM26" s="1158"/>
      <c r="DN26" s="3288">
        <f t="shared" si="21"/>
        <v>0</v>
      </c>
      <c r="DO26" s="3288">
        <f t="shared" si="21"/>
        <v>0</v>
      </c>
      <c r="DP26" s="3283">
        <f t="shared" si="36"/>
        <v>0</v>
      </c>
      <c r="DQ26" s="3284">
        <f t="shared" si="53"/>
        <v>0</v>
      </c>
      <c r="DR26" s="3275"/>
      <c r="DS26" s="916"/>
      <c r="DT26" s="916"/>
    </row>
    <row r="27" spans="1:124" s="1411" customFormat="1" ht="29.4" customHeight="1" x14ac:dyDescent="0.25">
      <c r="A27" s="1586"/>
      <c r="B27" s="3289" t="s">
        <v>25</v>
      </c>
      <c r="C27" s="3274">
        <v>0</v>
      </c>
      <c r="D27" s="3274">
        <v>0</v>
      </c>
      <c r="E27" s="3283">
        <v>0</v>
      </c>
      <c r="F27" s="3284">
        <v>0</v>
      </c>
      <c r="G27" s="1449"/>
      <c r="H27" s="3274">
        <v>0</v>
      </c>
      <c r="I27" s="3274">
        <v>0</v>
      </c>
      <c r="J27" s="3283">
        <v>0</v>
      </c>
      <c r="K27" s="3284">
        <v>0</v>
      </c>
      <c r="L27" s="1449">
        <v>0</v>
      </c>
      <c r="M27" s="3274">
        <v>0</v>
      </c>
      <c r="N27" s="3274">
        <v>0</v>
      </c>
      <c r="O27" s="3283">
        <v>0</v>
      </c>
      <c r="P27" s="3284">
        <v>0</v>
      </c>
      <c r="Q27" s="1449">
        <v>0</v>
      </c>
      <c r="R27" s="3288">
        <f>'Форд Тягач'!R27+'MAN Blue KA1783HI'!C27+'MAN green KA2790IE'!C27+'MAN №3 white KA7837HO'!C27+'MAN №4 white KA3597HO'!C27</f>
        <v>0</v>
      </c>
      <c r="S27" s="3274">
        <f>'Форд Тягач'!S27+'MAN Blue KA1783HI'!D27+'MAN green KA2790IE'!D27+'MAN №3 white KA7837HO'!D27+'MAN №4 white KA3597HO'!D27</f>
        <v>0</v>
      </c>
      <c r="T27" s="3283">
        <f t="shared" si="46"/>
        <v>0</v>
      </c>
      <c r="U27" s="3284">
        <f t="shared" si="0"/>
        <v>0</v>
      </c>
      <c r="V27" s="3275" t="s">
        <v>1143</v>
      </c>
      <c r="W27" s="3274">
        <f>'Форд Тягач'!W27+'MAN Blue KA1783HI'!H27+'MAN green KA2790IE'!H27+'MAN №3 white KA7837HO'!H27+'MAN №4 white KA3597HO'!H27+7515.02</f>
        <v>229194.02</v>
      </c>
      <c r="X27" s="3274">
        <f>'Форд Тягач'!X27+'MAN Blue KA1783HI'!I27+'MAN green KA2790IE'!I27+'MAN №3 white KA7837HO'!I27+'MAN №4 white KA3597HO'!I27</f>
        <v>0</v>
      </c>
      <c r="Y27" s="3283">
        <f t="shared" si="47"/>
        <v>229194.02</v>
      </c>
      <c r="Z27" s="3284">
        <f t="shared" si="24"/>
        <v>0.17534812251011905</v>
      </c>
      <c r="AA27" s="3421" t="s">
        <v>1190</v>
      </c>
      <c r="AB27" s="3274">
        <f>ЦО_логистика!C27+'Форд Тягач'!AB27+'MAN Blue KA1783HI'!M27+'MAN green KA2790IE'!M27+'MAN №3 white KA7837HO'!M27+'MAN №4 white KA3597HO'!M27+'MAN №5 Тент МД'!C27</f>
        <v>74040.27</v>
      </c>
      <c r="AC27" s="3274">
        <f>ЦО_логистика!D27+'Форд Тягач'!AC27+'MAN Blue KA1783HI'!N27+'MAN green KA2790IE'!N27+'MAN №3 white KA7837HO'!N27+'MAN №4 white KA3597HO'!N27+'MAN №5 Тент МД'!D27</f>
        <v>0</v>
      </c>
      <c r="AD27" s="3283">
        <f t="shared" si="48"/>
        <v>74040.27</v>
      </c>
      <c r="AE27" s="3284">
        <f t="shared" si="2"/>
        <v>5.7925495647776305E-2</v>
      </c>
      <c r="AF27" s="1608"/>
      <c r="AG27" s="3274">
        <f>ЦО_логистика!H27+'Форд Тягач'!AG27+'MAN Blue KA1783HI'!R27+'MAN green KA2790IE'!R27+'MAN №3 white KA7837HO'!R27+'MAN №4 white KA3597HO'!R27+'MAN №5 Тент МД'!H27</f>
        <v>129456.22</v>
      </c>
      <c r="AH27" s="3274">
        <f>ЦО_логистика!I27+'Форд Тягач'!AH27+'MAN Blue KA1783HI'!S27+'MAN green KA2790IE'!S27+'MAN №3 white KA7837HO'!S27+'MAN №4 white KA3597HO'!S27+'MAN №5 Тент МД'!I27</f>
        <v>0</v>
      </c>
      <c r="AI27" s="3283">
        <f t="shared" si="49"/>
        <v>129456.22</v>
      </c>
      <c r="AJ27" s="3284">
        <f t="shared" si="3"/>
        <v>0.10128023180071563</v>
      </c>
      <c r="AK27" s="1608"/>
      <c r="AL27" s="3274">
        <f>ЦО_логистика!M27+'Форд Тягач'!AL27+'MAN Blue KA1783HI'!W27+'MAN green KA2790IE'!W27+'MAN №3 white KA7837HO'!W27+'MAN №4 white KA3597HO'!W27+'MAN №5 Тент МД'!M27</f>
        <v>2370</v>
      </c>
      <c r="AM27" s="3274">
        <f>ЦО_логистика!N27+'Форд Тягач'!AM27+'MAN Blue KA1783HI'!X27+'MAN green KA2790IE'!X27+'MAN №3 white KA7837HO'!X27+'MAN №4 white KA3597HO'!X27+'MAN №5 Тент МД'!N27</f>
        <v>14738.5</v>
      </c>
      <c r="AN27" s="3283">
        <f t="shared" si="50"/>
        <v>17108.5</v>
      </c>
      <c r="AO27" s="3284">
        <f t="shared" si="4"/>
        <v>1.3384855866813841E-2</v>
      </c>
      <c r="AP27" s="3275" t="str">
        <f>CONCATENATE(ЦО_логистика!Q27,'Форд Тягач'!AP27,'MAN Blue KA1783HI'!AA27,'MAN green KA2790IE'!AA27,'MAN №3 white KA7837HO'!AF27,'MAN №4 white KA3597HO'!AA27,'MAN №5 Тент МД'!Q27)</f>
        <v>Ф1 - шиномонтаж;
Ф2 - выездной шиномонтаж за границей</v>
      </c>
      <c r="AQ27" s="3274">
        <f>SUM(ЦО_логистика!R27,'Форд Тягач'!AQ27,'MAN Blue KA1783HI'!AB27,'MAN green KA2790IE'!AB27,'MAN №3 white KA7837HO'!AB27,'MAN №4 white KA3597HO'!AB27,'MAN №5 Тент МД'!R27)</f>
        <v>32682.240000000002</v>
      </c>
      <c r="AR27" s="3274">
        <f>SUM(ЦО_логистика!S27,'Форд Тягач'!AR27,'MAN Blue KA1783HI'!AC27,'MAN green KA2790IE'!AC27,'MAN №3 white KA7837HO'!AC27,'MAN №4 white KA3597HO'!AC27,'MAN №5 Тент МД'!S27)</f>
        <v>1500</v>
      </c>
      <c r="AS27" s="3283">
        <f t="shared" si="51"/>
        <v>34182.240000000005</v>
      </c>
      <c r="AT27" s="3284">
        <f t="shared" si="5"/>
        <v>2.674251720518098E-2</v>
      </c>
      <c r="AU27" s="3275" t="str">
        <f>CONCATENATE(ЦО_логистика!V27,'Форд Тягач'!AU27,'MAN Blue KA1783HI'!AF26,'MAN green KA2790IE'!AF27,'MAN №3 white KA7837HO'!AF27,'MAN №4 white KA3597HO'!AF27,'MAN №5 Тент МД'!V27)</f>
        <v>Ф1:  8625 Ремонт тента; 24 057,24 рихтовка прицепа                   Ф2:  Шиномонтаж рулевые колеса+балансировка</v>
      </c>
      <c r="AV27" s="3275">
        <f>+ЦО_логистика!W27+'Форд Тягач'!AV27+'MAN Blue KA1783HI'!AG27+'MAN green KA2790IE'!AG27+'MAN №3 white KA7837HO'!AG27+'MAN №4 white KA3597HO'!AG27+'MAN №5 Тент МД'!W27</f>
        <v>722544.63400000008</v>
      </c>
      <c r="AW27" s="3275">
        <f>+ЦО_логистика!X27+'Форд Тягач'!AW27+'MAN Blue KA1783HI'!AH27+'MAN green KA2790IE'!AH27+'MAN №3 white KA7837HO'!AH27+'MAN №4 white KA3597HO'!AH27+'MAN №5 Тент МД'!X27</f>
        <v>3000</v>
      </c>
      <c r="AX27" s="3283">
        <f t="shared" si="29"/>
        <v>725544.63400000008</v>
      </c>
      <c r="AY27" s="3284">
        <f t="shared" si="6"/>
        <v>0.5676307303989363</v>
      </c>
      <c r="AZ27" s="3275"/>
      <c r="BA27" s="3275">
        <f t="shared" si="7"/>
        <v>92121.09</v>
      </c>
      <c r="BB27" s="3275">
        <f t="shared" si="7"/>
        <v>0</v>
      </c>
      <c r="BC27" s="3283">
        <f t="shared" si="30"/>
        <v>92121.09</v>
      </c>
      <c r="BD27" s="3284">
        <f t="shared" si="8"/>
        <v>7.2071047253925588E-2</v>
      </c>
      <c r="BE27" s="3275">
        <f>ЦО_логистика!AD27+'Форд Тягач'!BC27+'MAN Blue KA1783HI'!AN27+'MAN green KA2790IE'!AN27+'MAN №3 white KA7837HO'!AN27+'MAN №4 white KA3597HO'!AN27+'MAN №5 Тент МД'!AD27-BC27</f>
        <v>0</v>
      </c>
      <c r="BF27" s="3274">
        <f>ЦО_логистика!AG27+'Форд Тягач'!BF27+'MAN Blue KA1783HI'!AQ27+'MAN green KA2790IE'!AQ27+'MAN №3 white KA7837HO'!AQ27+'MAN №4 white KA3597HO'!AQ27+'MAN №5 Тент МД'!AG27</f>
        <v>0</v>
      </c>
      <c r="BG27" s="3274">
        <f>ЦО_логистика!AH27+'Форд Тягач'!BG27+'MAN Blue KA1783HI'!AR27+'MAN green KA2790IE'!AR27+'MAN №3 white KA7837HO'!AR27+'MAN №4 white KA3597HO'!AR27+'MAN №5 Тент МД'!AH27</f>
        <v>0</v>
      </c>
      <c r="BH27" s="3283">
        <f t="shared" si="31"/>
        <v>0</v>
      </c>
      <c r="BI27" s="3284">
        <f t="shared" si="9"/>
        <v>0</v>
      </c>
      <c r="BJ27" s="3275"/>
      <c r="BK27" s="3275">
        <f>ЦО_логистика!AL27+'Форд Тягач'!BK27+'MAN Blue KA1783HI'!AV27+'MAN green KA2790IE'!AV27+'MAN №3 white KA7837HO'!AV27+'MAN №4 white KA3597HO'!AV27+'MAN №5 Тент МД'!AL27</f>
        <v>39729.99</v>
      </c>
      <c r="BL27" s="3275">
        <f>ЦО_логистика!AM27+'Форд Тягач'!BL27+'MAN Blue KA1783HI'!AW27+'MAN green KA2790IE'!AW27+'MAN №3 white KA7837HO'!AW27+'MAN №4 white KA3597HO'!AW27+'MAN №5 Тент МД'!AM27</f>
        <v>0</v>
      </c>
      <c r="BM27" s="3283">
        <f t="shared" si="52"/>
        <v>39729.99</v>
      </c>
      <c r="BN27" s="3284">
        <f t="shared" si="10"/>
        <v>3.1082806192241002E-2</v>
      </c>
      <c r="BO27" s="3275"/>
      <c r="BP27" s="3274">
        <f>ЦО_логистика!AQ27+'Форд Тягач'!BP27+'MAN Blue KA1783HI'!BA27+'MAN green KA2790IE'!BA27+'MAN №3 white KA7837HO'!BA27+'MAN №4 white KA3597HO'!BA27+'MAN №5 Тент МД'!AQ27</f>
        <v>52391.1</v>
      </c>
      <c r="BQ27" s="3274">
        <f>ЦО_логистика!AR27+'Форд Тягач'!BQ27+'MAN Blue KA1783HI'!BB27+'MAN green KA2790IE'!BB27+'MAN №3 white KA7837HO'!BB27+'MAN №4 white KA3597HO'!BB27+'MAN №5 Тент МД'!AR27</f>
        <v>0</v>
      </c>
      <c r="BR27" s="3286">
        <f t="shared" si="33"/>
        <v>52391.1</v>
      </c>
      <c r="BS27" s="3284">
        <f t="shared" si="11"/>
        <v>4.0988241061684576E-2</v>
      </c>
      <c r="BT27" s="3291"/>
      <c r="BU27" s="3274">
        <f>ЦО_логистика!AV27+'Форд Тягач'!BU27+'MAN Blue KA1783HI'!BF27+'MAN green KA2790IE'!BF27+'MAN №3 white KA7837HO'!BF27+'MAN №4 white KA3597HO'!BF27+'MAN №5 Тент МД'!AV27</f>
        <v>0</v>
      </c>
      <c r="BV27" s="3274">
        <f>ЦО_логистика!AW27+'Форд Тягач'!BV27+'MAN Blue KA1783HI'!BG27+'MAN green KA2790IE'!BG27+'MAN №3 white KA7837HO'!BG27+'MAN №4 white KA3597HO'!BG27+'MAN №5 Тент МД'!AW27</f>
        <v>0</v>
      </c>
      <c r="BW27" s="3286">
        <f t="shared" si="37"/>
        <v>0</v>
      </c>
      <c r="BX27" s="3284">
        <f t="shared" si="12"/>
        <v>0</v>
      </c>
      <c r="BY27" s="3291"/>
      <c r="BZ27" s="3274">
        <f>ЦО_логистика!BA27+'Форд Тягач'!BZ27+'MAN Blue KA1783HI'!BK27+'MAN green KA2790IE'!BK27+'MAN №3 white KA7837HO'!BK27+'MAN №4 white KA3597HO'!BK27+'MAN №5 Тент МД'!BA27</f>
        <v>0</v>
      </c>
      <c r="CA27" s="3274">
        <f>ЦО_логистика!BB27+'Форд Тягач'!CA27+'MAN Blue KA1783HI'!BL27+'MAN green KA2790IE'!BL27+'MAN №3 white KA7837HO'!BL27+'MAN №4 white KA3597HO'!BL27+'MAN №5 Тент МД'!BB27</f>
        <v>0</v>
      </c>
      <c r="CB27" s="3286">
        <f t="shared" si="38"/>
        <v>0</v>
      </c>
      <c r="CC27" s="3284">
        <f t="shared" si="13"/>
        <v>0</v>
      </c>
      <c r="CD27" s="3291"/>
      <c r="CE27" s="3274">
        <f>ЦО_логистика!BF27+'Форд Тягач'!CE27+'MAN Blue KA1783HI'!BP27+'MAN green KA2790IE'!BP27+'MAN №3 white KA7837HO'!BP27+'MAN №4 white KA3597HO'!BP27+'MAN №5 Тент МД'!BF27</f>
        <v>0</v>
      </c>
      <c r="CF27" s="3274">
        <f>ЦО_логистика!BG27+'Форд Тягач'!CF27+'MAN Blue KA1783HI'!BQ27+'MAN green KA2790IE'!BQ27+'MAN №3 white KA7837HO'!BQ27+'MAN №4 white KA3597HO'!BQ27+'MAN №5 Тент МД'!BG27</f>
        <v>0</v>
      </c>
      <c r="CG27" s="3286">
        <f t="shared" si="39"/>
        <v>0</v>
      </c>
      <c r="CH27" s="3284">
        <f t="shared" si="14"/>
        <v>0</v>
      </c>
      <c r="CI27" s="3291"/>
      <c r="CJ27" s="3274">
        <f>ЦО_логистика!BK27+'Форд Тягач'!CJ27+'MAN Blue KA1783HI'!BU27+'MAN green KA2790IE'!BU27+'MAN №3 white KA7837HO'!BU27+'MAN №4 white KA3597HO'!BU27+'MAN №5 Тент МД'!BK27</f>
        <v>0</v>
      </c>
      <c r="CK27" s="3274">
        <f>ЦО_логистика!BL27+'Форд Тягач'!CK27+'MAN Blue KA1783HI'!BV27+'MAN green KA2790IE'!BV27+'MAN №3 white KA7837HO'!BV27+'MAN №4 white KA3597HO'!BV27+'MAN №5 Тент МД'!BL27</f>
        <v>0</v>
      </c>
      <c r="CL27" s="3286">
        <f t="shared" si="40"/>
        <v>0</v>
      </c>
      <c r="CM27" s="3284">
        <f t="shared" si="15"/>
        <v>0</v>
      </c>
      <c r="CN27" s="3291"/>
      <c r="CO27" s="3274">
        <f>ЦО_логистика!BP27+'Форд Тягач'!CO27+'MAN Blue KA1783HI'!BZ27+'MAN green KA2790IE'!BZ27+'MAN №3 white KA7837HO'!BZ27+'MAN №4 white KA3597HO'!BZ27+'MAN №5 Тент МД'!BP27</f>
        <v>0</v>
      </c>
      <c r="CP27" s="3274">
        <f>ЦО_логистика!BQ27+'Форд Тягач'!CP27+'MAN Blue KA1783HI'!CA27+'MAN green KA2790IE'!CA27+'MAN №3 white KA7837HO'!CA27+'MAN №4 white KA3597HO'!CA27+'MAN №5 Тент МД'!BQ27</f>
        <v>0</v>
      </c>
      <c r="CQ27" s="3286">
        <f t="shared" si="41"/>
        <v>0</v>
      </c>
      <c r="CR27" s="3284">
        <f t="shared" si="16"/>
        <v>0</v>
      </c>
      <c r="CS27" s="3291"/>
      <c r="CT27" s="3274">
        <f>ЦО_логистика!BU27+'Форд Тягач'!CT27+'MAN Blue KA1783HI'!CE27+'MAN green KA2790IE'!CE27+'MAN №3 white KA7837HO'!CE27+'MAN №4 white KA3597HO'!CE27+'MAN №5 Тент МД'!BU27</f>
        <v>0</v>
      </c>
      <c r="CU27" s="3274">
        <f>ЦО_логистика!BV27+'Форд Тягач'!CU27+'MAN Blue KA1783HI'!CF27+'MAN green KA2790IE'!CF27+'MAN №3 white KA7837HO'!CF27+'MAN №4 white KA3597HO'!CF27+'MAN №5 Тент МД'!BV27</f>
        <v>0</v>
      </c>
      <c r="CV27" s="3286">
        <f t="shared" si="42"/>
        <v>0</v>
      </c>
      <c r="CW27" s="3284">
        <f t="shared" si="17"/>
        <v>0</v>
      </c>
      <c r="CX27" s="3291">
        <f>'MAN №3 white KA7837HO'!CI27</f>
        <v>0</v>
      </c>
      <c r="CY27" s="3274">
        <f>ЦО_логистика!BZ27+'Форд Тягач'!CY27+'MAN Blue KA1783HI'!CJ27+'MAN green KA2790IE'!CJ27+'MAN №3 white KA7837HO'!CJ27+'MAN №4 white KA3597HO'!CJ27+'MAN №5 Тент МД'!BZ27</f>
        <v>0</v>
      </c>
      <c r="CZ27" s="3274">
        <f>ЦО_логистика!CA27+'Форд Тягач'!CZ27+'MAN Blue KA1783HI'!CK27+'MAN green KA2790IE'!CK27+'MAN №3 white KA7837HO'!CK27+'MAN №4 white KA3597HO'!CK27+'MAN №5 Тент МД'!CA27</f>
        <v>0</v>
      </c>
      <c r="DA27" s="3286">
        <f t="shared" si="43"/>
        <v>0</v>
      </c>
      <c r="DB27" s="3284">
        <f t="shared" si="18"/>
        <v>0</v>
      </c>
      <c r="DC27" s="3291"/>
      <c r="DD27" s="3274">
        <f>ЦО_логистика!CE27+'Форд Тягач'!DD27+'MAN Blue KA1783HI'!CO27+'MAN green KA2790IE'!CO27+'MAN №3 white KA7837HO'!CO27+'MAN №4 white KA3597HO'!CO27+'MAN №5 Тент МД'!CE27</f>
        <v>0</v>
      </c>
      <c r="DE27" s="3274">
        <f>ЦО_логистика!CF27+'Форд Тягач'!DE27+'MAN Blue KA1783HI'!CP27+'MAN green KA2790IE'!CP27+'MAN №3 white KA7837HO'!CP27+'MAN №4 white KA3597HO'!CP27+'MAN №5 Тент МД'!CF27</f>
        <v>0</v>
      </c>
      <c r="DF27" s="3286">
        <f t="shared" si="44"/>
        <v>0</v>
      </c>
      <c r="DG27" s="3284">
        <f t="shared" si="19"/>
        <v>0</v>
      </c>
      <c r="DH27" s="3291"/>
      <c r="DI27" s="3274">
        <f>ЦО_логистика!CJ27+'Форд Тягач'!DI27+'MAN Blue KA1783HI'!CT27+'MAN green KA2790IE'!CT27+'MAN №3 white KA7837HO'!CT27+'MAN №4 white KA3597HO'!CT27+'MAN №5 Тент МД'!CJ27</f>
        <v>0</v>
      </c>
      <c r="DJ27" s="3274">
        <f>ЦО_логистика!CK27+'Форд Тягач'!DJ27+'MAN Blue KA1783HI'!CU27+'MAN green KA2790IE'!CU27+'MAN №3 white KA7837HO'!CU27+'MAN №4 white KA3597HO'!CU27+'MAN №5 Тент МД'!CK27</f>
        <v>0</v>
      </c>
      <c r="DK27" s="3286">
        <f t="shared" si="45"/>
        <v>0</v>
      </c>
      <c r="DL27" s="3284">
        <f t="shared" si="20"/>
        <v>0</v>
      </c>
      <c r="DM27" s="3291"/>
      <c r="DN27" s="3288">
        <f t="shared" si="21"/>
        <v>1282408.4739999999</v>
      </c>
      <c r="DO27" s="3288">
        <f t="shared" si="21"/>
        <v>19238.5</v>
      </c>
      <c r="DP27" s="3283">
        <f t="shared" si="36"/>
        <v>1301646.9739999999</v>
      </c>
      <c r="DQ27" s="3284">
        <f t="shared" si="53"/>
        <v>4.9265501340595763E-2</v>
      </c>
      <c r="DR27" s="3275"/>
      <c r="DS27" s="916"/>
      <c r="DT27" s="916"/>
    </row>
    <row r="28" spans="1:124" s="1411" customFormat="1" ht="96" customHeight="1" x14ac:dyDescent="0.25">
      <c r="A28" s="1586"/>
      <c r="B28" s="3289" t="s">
        <v>52</v>
      </c>
      <c r="C28" s="3274">
        <v>132291.1298</v>
      </c>
      <c r="D28" s="3274">
        <v>10401</v>
      </c>
      <c r="E28" s="3283">
        <v>142692.1298</v>
      </c>
      <c r="F28" s="3284">
        <v>0.22821312090650434</v>
      </c>
      <c r="G28" s="3390"/>
      <c r="H28" s="3274">
        <v>45944</v>
      </c>
      <c r="I28" s="3274">
        <v>0</v>
      </c>
      <c r="J28" s="3283">
        <v>45944</v>
      </c>
      <c r="K28" s="3284">
        <v>0.38145001138057888</v>
      </c>
      <c r="L28" s="3390" t="s">
        <v>1012</v>
      </c>
      <c r="M28" s="3274">
        <v>486016.66215970868</v>
      </c>
      <c r="N28" s="3274">
        <v>22728.22</v>
      </c>
      <c r="O28" s="3283">
        <v>508744.88215970865</v>
      </c>
      <c r="P28" s="3284">
        <v>0.73990669628666961</v>
      </c>
      <c r="Q28" s="3390" t="s">
        <v>1064</v>
      </c>
      <c r="R28" s="3288">
        <f>'Форд Тягач'!R28+'MAN Blue KA1783HI'!C28+'MAN green KA2790IE'!C28+'MAN №3 white KA7837HO'!C28+'MAN №4 white KA3597HO'!C28+500+3000+360</f>
        <v>464410.05000000005</v>
      </c>
      <c r="S28" s="3274">
        <f>'Форд Тягач'!S28+'MAN Blue KA1783HI'!D28+'MAN green KA2790IE'!D28+'MAN №3 white KA7837HO'!D28+'MAN №4 white KA3597HO'!D28</f>
        <v>46706</v>
      </c>
      <c r="T28" s="3283">
        <f t="shared" si="46"/>
        <v>511116.05000000005</v>
      </c>
      <c r="U28" s="3284">
        <f t="shared" si="0"/>
        <v>0.39103655388691266</v>
      </c>
      <c r="V28" s="3422" t="s">
        <v>1145</v>
      </c>
      <c r="W28" s="3274">
        <f>'Форд Тягач'!W28+'MAN Blue KA1783HI'!H28+'MAN green KA2790IE'!H28+'MAN №3 white KA7837HO'!H28+'MAN №4 white KA3597HO'!H28+500</f>
        <v>510640.67999999993</v>
      </c>
      <c r="X28" s="3274">
        <f>'Форд Тягач'!X28+'MAN Blue KA1783HI'!I28+'MAN green KA2790IE'!I28+'MAN №3 white KA7837HO'!I28+'MAN №4 white KA3597HO'!I28+50111.56+580</f>
        <v>77299.41</v>
      </c>
      <c r="Y28" s="3283">
        <f t="shared" si="47"/>
        <v>587940.09</v>
      </c>
      <c r="Z28" s="3284">
        <f t="shared" si="24"/>
        <v>0.44981187087660668</v>
      </c>
      <c r="AA28" s="3421" t="s">
        <v>1191</v>
      </c>
      <c r="AB28" s="3274">
        <f>ЦО_логистика!C28+'Форд Тягач'!AB28+'MAN Blue KA1783HI'!M28+'MAN green KA2790IE'!M28+'MAN №3 white KA7837HO'!M28+'MAN №4 white KA3597HO'!M28+'MAN №5 Тент МД'!C28</f>
        <v>438512.72</v>
      </c>
      <c r="AC28" s="3274">
        <f>ЦО_логистика!D28+'Форд Тягач'!AC28+'MAN Blue KA1783HI'!N28+'MAN green KA2790IE'!N28+'MAN №3 white KA7837HO'!N28+'MAN №4 white KA3597HO'!N28+'MAN №5 Тент МД'!D28</f>
        <v>39044</v>
      </c>
      <c r="AD28" s="3283">
        <f t="shared" si="48"/>
        <v>477556.72</v>
      </c>
      <c r="AE28" s="3284">
        <f t="shared" si="2"/>
        <v>0.37361708305394242</v>
      </c>
      <c r="AF28" s="3275"/>
      <c r="AG28" s="3274">
        <f>ЦО_логистика!H28+'Форд Тягач'!AG28+'MAN Blue KA1783HI'!R28+'MAN green KA2790IE'!R28+'MAN №3 white KA7837HO'!R28+'MAN №4 white KA3597HO'!R28+'MAN №5 Тент МД'!H28</f>
        <v>315782.97000000003</v>
      </c>
      <c r="AH28" s="3274">
        <f>ЦО_логистика!I28+'Форд Тягач'!AH28+'MAN Blue KA1783HI'!S28+'MAN green KA2790IE'!S28+'MAN №3 white KA7837HO'!S28+'MAN №4 white KA3597HO'!S28+'MAN №5 Тент МД'!I28</f>
        <v>147519.96</v>
      </c>
      <c r="AI28" s="3283">
        <f t="shared" si="49"/>
        <v>463302.93000000005</v>
      </c>
      <c r="AJ28" s="3284">
        <f t="shared" si="3"/>
        <v>0.36246561304161923</v>
      </c>
      <c r="AK28" s="3275" t="s">
        <v>1326</v>
      </c>
      <c r="AL28" s="3274">
        <f>ЦО_логистика!M28+'Форд Тягач'!AL28+'MAN Blue KA1783HI'!W28+'MAN green KA2790IE'!W28+'MAN №3 white KA7837HO'!W28+'MAN №4 white KA3597HO'!W28+'MAN №5 Тент МД'!M28</f>
        <v>437873.08000000007</v>
      </c>
      <c r="AM28" s="3274">
        <f>ЦО_логистика!N28+'Форд Тягач'!AM28+'MAN Blue KA1783HI'!X28+'MAN green KA2790IE'!X28+'MAN №3 white KA7837HO'!X28+'MAN №4 white KA3597HO'!X28+'MAN №5 Тент МД'!N28</f>
        <v>146128.62</v>
      </c>
      <c r="AN28" s="3283">
        <f t="shared" si="50"/>
        <v>584001.70000000007</v>
      </c>
      <c r="AO28" s="3284">
        <f t="shared" si="4"/>
        <v>0.45689444314079303</v>
      </c>
      <c r="AP28" s="3275" t="str">
        <f>CONCATENATE(ЦО_логистика!Q28,'Форд Тягач'!AP28,'MAN Blue KA1783HI'!AA28,'MAN green KA2790IE'!AA28,'MAN №3 white KA7837HO'!AF28,'MAN №4 white KA3597HO'!AA28,'MAN №5 Тент МД'!Q28)</f>
        <v>Ф1 - 3647,19 оплата платных дорог; 
Ф2 - 87176 грн Ф.И.Л. Оплачено в декабреФ1 - 500 омыватель для стекла; 227 л *52,53 грн/л
Ф2 5000 сняте в с учета полуприцепа, 1500 консультация специалиста при выборе полуприцепа, стоянкиФ1 - 31 000 шины 2 шт; 1635,33 - AdBlue; 500 - омыватель стекла; 14159,8 - затраты по международному рейсу; топливо - 957 л*52,53 грн/л
Ф2 - затраты по международному рейсуФ1 - 190,87 лапа; 2440,27 - AdBlue; 500 - омыватель стекла; 14348,79 - затраты по международному рейсу; топливо 940 л *52,53 грн/л
Ф2 - затраты по международному рейсуФ1:7937,96 - AdBlue;  топливо 1672 л * 54 грн/л; 16099,71 - затраты ао международному рейсу ; АКБФ1 - 1876,7 лампа и продувочный пистолет; 5743 - AdBlue, 500 - омывател  стекла; 871,28 - антифриз; 13456,01 - затраты по международному рейсу; топливо 889 л*52,53 грн/л
Ф2 14938,5 затраты по международному рейсу; 1600 грн AdBlueФ1 2970,72 - AdBlue, 500 - омыватель стекла; 21660,62 - затраты по международным рейсам; топливо 1547 л * 52,53 грн/л
Ф2 - стоянки</v>
      </c>
      <c r="AQ28" s="3274">
        <f>SUM(ЦО_логистика!R28,'Форд Тягач'!AQ28,'MAN Blue KA1783HI'!AB28,'MAN green KA2790IE'!AB28,'MAN №3 white KA7837HO'!AB28,'MAN №4 white KA3597HO'!AB28,'MAN №5 Тент МД'!R28)</f>
        <v>698251.95</v>
      </c>
      <c r="AR28" s="3274">
        <f>SUM(ЦО_логистика!S28,'Форд Тягач'!AR28,'MAN Blue KA1783HI'!AC28,'MAN green KA2790IE'!AC28,'MAN №3 white KA7837HO'!AC28,'MAN №4 white KA3597HO'!AC28,'MAN №5 Тент МД'!S28)</f>
        <v>126511.15999999999</v>
      </c>
      <c r="AS28" s="3283">
        <f t="shared" si="51"/>
        <v>824763.11</v>
      </c>
      <c r="AT28" s="3284">
        <f t="shared" si="5"/>
        <v>0.64525442625683893</v>
      </c>
      <c r="AU28" s="3275" t="str">
        <f>CONCATENATE(ЦО_логистика!V28,'Форд Тягач'!AU28,'MAN Blue KA1783HI'!AF27,'MAN green KA2790IE'!AF28,'MAN №3 white KA7837HO'!AF28,'MAN №4 white KA3597HO'!AF28,'MAN №5 Тент МД'!V28)</f>
        <v>Ф2: ФИЛ ОптимусФ1:  Шины 2шт; топливо 847 л * 54 грн/л; 1585 - AdBlue 44л; 4967,63 - затраты по международному рейсу;                              Ф2: проверка/лента ТАХО; Резина на прицеп 1шт б/у; Стоянка 8 дней; Добавление в ШЛЯХ; ПроездФ1:7374,4 - AdBlue;  топливо  1766л * 54 грн/л;  8762,25 - затраты по международному рейсу;Ф1:7937,96 - AdBlue;  топливо 1672 л * 54 грн/л; 16099,71 - затраты ао международному рейсу ; АКБФ1: 6212 - AdBlue, топливо 1784*54 грн/л; 8892,22 - затраты по рейсу Кодима-Мерсин
4 853 км - расход 36,8 л/100 кмФ1: 7007,58 - AdBlue;  топливо 1690л * 54 грн/л; 15083,24 - затраты по рейсу;       Ф2: 11301,01 - затраты по рейсу Стамбул - Кривой Рог;
4 592 км  - средний расход 36,8 л/100 км вместо заявленных 32 л/100 км</v>
      </c>
      <c r="AV28" s="3275">
        <f>+ЦО_логистика!W28+'Форд Тягач'!AV28+'MAN Blue KA1783HI'!AG28+'MAN green KA2790IE'!AG28+'MAN №3 white KA7837HO'!AG28+'MAN №4 white KA3597HO'!AG28+'MAN №5 Тент МД'!W28</f>
        <v>4493983.7589999996</v>
      </c>
      <c r="AW28" s="3275">
        <f>+ЦО_логистика!X28+'Форд Тягач'!AW28+'MAN Blue KA1783HI'!AH28+'MAN green KA2790IE'!AH28+'MAN №3 white KA7837HO'!AH28+'MAN №4 white KA3597HO'!AH28+'MAN №5 Тент МД'!X28</f>
        <v>162731.62</v>
      </c>
      <c r="AX28" s="3283">
        <f t="shared" si="29"/>
        <v>4656715.3789999997</v>
      </c>
      <c r="AY28" s="3284">
        <f t="shared" si="6"/>
        <v>3.6431869632457774</v>
      </c>
      <c r="AZ28" s="3275"/>
      <c r="BA28" s="3275">
        <f t="shared" si="7"/>
        <v>294002.3</v>
      </c>
      <c r="BB28" s="3275">
        <f t="shared" si="7"/>
        <v>2000</v>
      </c>
      <c r="BC28" s="3283">
        <f t="shared" si="30"/>
        <v>296002.3</v>
      </c>
      <c r="BD28" s="3284">
        <f t="shared" si="8"/>
        <v>0.23157776086421314</v>
      </c>
      <c r="BE28" s="3275">
        <f>ЦО_логистика!AD28+'Форд Тягач'!BC28+'MAN Blue KA1783HI'!AN28+'MAN green KA2790IE'!AN28+'MAN №3 white KA7837HO'!AN28+'MAN №4 white KA3597HO'!AN28+'MAN №5 Тент МД'!AD28-BC28</f>
        <v>0</v>
      </c>
      <c r="BF28" s="3274">
        <f>ЦО_логистика!AG28+'Форд Тягач'!BF28+'MAN Blue KA1783HI'!AQ28+'MAN green KA2790IE'!AQ28+'MAN №3 white KA7837HO'!AQ28+'MAN №4 white KA3597HO'!AQ28+'MAN №5 Тент МД'!AG28</f>
        <v>38804.32</v>
      </c>
      <c r="BG28" s="3274">
        <f>ЦО_логистика!AH28+'Форд Тягач'!BG28+'MAN Blue KA1783HI'!AR28+'MAN green KA2790IE'!AR28+'MAN №3 white KA7837HO'!AR28+'MAN №4 white KA3597HO'!AR28+'MAN №5 Тент МД'!AH28</f>
        <v>0</v>
      </c>
      <c r="BH28" s="3283">
        <f t="shared" si="31"/>
        <v>38804.32</v>
      </c>
      <c r="BI28" s="3284">
        <f t="shared" si="9"/>
        <v>3.0358607137371579E-2</v>
      </c>
      <c r="BJ28" s="3275"/>
      <c r="BK28" s="3275">
        <f>ЦО_логистика!AL28+'Форд Тягач'!BK28+'MAN Blue KA1783HI'!AV28+'MAN green KA2790IE'!AV28+'MAN №3 white KA7837HO'!AV28+'MAN №4 white KA3597HO'!AV28+'MAN №5 Тент МД'!AL28</f>
        <v>171693.97999999998</v>
      </c>
      <c r="BL28" s="3275">
        <f>ЦО_логистика!AM28+'Форд Тягач'!BL28+'MAN Blue KA1783HI'!AW28+'MAN green KA2790IE'!AW28+'MAN №3 white KA7837HO'!AW28+'MAN №4 white KA3597HO'!AW28+'MAN №5 Тент МД'!AM28</f>
        <v>2000</v>
      </c>
      <c r="BM28" s="3283">
        <f t="shared" si="52"/>
        <v>173693.97999999998</v>
      </c>
      <c r="BN28" s="3284">
        <f t="shared" si="10"/>
        <v>0.13588969735705911</v>
      </c>
      <c r="BO28" s="3275"/>
      <c r="BP28" s="3274">
        <f>ЦО_логистика!AQ28+'Форд Тягач'!BP28+'MAN Blue KA1783HI'!BA28+'MAN green KA2790IE'!BA28+'MAN №3 white KA7837HO'!BA28+'MAN №4 white KA3597HO'!BA28+'MAN №5 Тент МД'!AQ28</f>
        <v>83504</v>
      </c>
      <c r="BQ28" s="3274">
        <f>ЦО_логистика!AR28+'Форд Тягач'!BQ28+'MAN Blue KA1783HI'!BB28+'MAN green KA2790IE'!BB28+'MAN №3 white KA7837HO'!BB28+'MAN №4 white KA3597HO'!BB28+'MAN №5 Тент МД'!AR28</f>
        <v>0</v>
      </c>
      <c r="BR28" s="3286">
        <f t="shared" si="33"/>
        <v>83504</v>
      </c>
      <c r="BS28" s="3284">
        <f t="shared" si="11"/>
        <v>6.5329456369782449E-2</v>
      </c>
      <c r="BT28" s="3291"/>
      <c r="BU28" s="3274">
        <f>ЦО_логистика!AV28+'Форд Тягач'!BU28+'MAN Blue KA1783HI'!BF28+'MAN green KA2790IE'!BF28+'MAN №3 white KA7837HO'!BF28+'MAN №4 white KA3597HO'!BF28+'MAN №5 Тент МД'!AV28</f>
        <v>0</v>
      </c>
      <c r="BV28" s="3274">
        <f>ЦО_логистика!AW28+'Форд Тягач'!BV28+'MAN Blue KA1783HI'!BG28+'MAN green KA2790IE'!BG28+'MAN №3 white KA7837HO'!BG28+'MAN №4 white KA3597HO'!BG28+'MAN №5 Тент МД'!AW28</f>
        <v>0</v>
      </c>
      <c r="BW28" s="3286">
        <f t="shared" si="37"/>
        <v>0</v>
      </c>
      <c r="BX28" s="3284">
        <f t="shared" si="12"/>
        <v>0</v>
      </c>
      <c r="BY28" s="3291" t="s">
        <v>1608</v>
      </c>
      <c r="BZ28" s="3274">
        <f>ЦО_логистика!BA28+'Форд Тягач'!BZ28+'MAN Blue KA1783HI'!BK28+'MAN green KA2790IE'!BK28+'MAN №3 white KA7837HO'!BK28+'MAN №4 white KA3597HO'!BK28+'MAN №5 Тент МД'!BA28</f>
        <v>0</v>
      </c>
      <c r="CA28" s="3274">
        <f>ЦО_логистика!BB28+'Форд Тягач'!CA28+'MAN Blue KA1783HI'!BL28+'MAN green KA2790IE'!BL28+'MAN №3 white KA7837HO'!BL28+'MAN №4 white KA3597HO'!BL28+'MAN №5 Тент МД'!BB28</f>
        <v>0</v>
      </c>
      <c r="CB28" s="3286">
        <f t="shared" si="38"/>
        <v>0</v>
      </c>
      <c r="CC28" s="3284">
        <f t="shared" si="13"/>
        <v>0</v>
      </c>
      <c r="CD28" s="3291"/>
      <c r="CE28" s="3274">
        <f>ЦО_логистика!BF28+'Форд Тягач'!CE28+'MAN Blue KA1783HI'!BP28+'MAN green KA2790IE'!BP28+'MAN №3 white KA7837HO'!BP28+'MAN №4 white KA3597HO'!BP28+'MAN №5 Тент МД'!BF28</f>
        <v>0</v>
      </c>
      <c r="CF28" s="3274">
        <f>ЦО_логистика!BG28+'Форд Тягач'!CF28+'MAN Blue KA1783HI'!BQ28+'MAN green KA2790IE'!BQ28+'MAN №3 white KA7837HO'!BQ28+'MAN №4 white KA3597HO'!BQ28+'MAN №5 Тент МД'!BG28</f>
        <v>0</v>
      </c>
      <c r="CG28" s="3286">
        <f t="shared" si="39"/>
        <v>0</v>
      </c>
      <c r="CH28" s="3284">
        <f t="shared" si="14"/>
        <v>0</v>
      </c>
      <c r="CI28" s="3291"/>
      <c r="CJ28" s="3274">
        <f>ЦО_логистика!BK28+'Форд Тягач'!CJ28+'MAN Blue KA1783HI'!BU28+'MAN green KA2790IE'!BU28+'MAN №3 white KA7837HO'!BU28+'MAN №4 white KA3597HO'!BU28+'MAN №5 Тент МД'!BK28</f>
        <v>0</v>
      </c>
      <c r="CK28" s="3274">
        <f>ЦО_логистика!BL28+'Форд Тягач'!CK28+'MAN Blue KA1783HI'!BV28+'MAN green KA2790IE'!BV28+'MAN №3 white KA7837HO'!BV28+'MAN №4 white KA3597HO'!BV28+'MAN №5 Тент МД'!BL28</f>
        <v>0</v>
      </c>
      <c r="CL28" s="3286">
        <f t="shared" si="40"/>
        <v>0</v>
      </c>
      <c r="CM28" s="3284">
        <f t="shared" si="15"/>
        <v>0</v>
      </c>
      <c r="CN28" s="3291"/>
      <c r="CO28" s="3274">
        <f>ЦО_логистика!BP28+'Форд Тягач'!CO28+'MAN Blue KA1783HI'!BZ28+'MAN green KA2790IE'!BZ28+'MAN №3 white KA7837HO'!BZ28+'MAN №4 white KA3597HO'!BZ28+'MAN №5 Тент МД'!BP28</f>
        <v>0</v>
      </c>
      <c r="CP28" s="3274">
        <f>ЦО_логистика!BQ28+'Форд Тягач'!CP28+'MAN Blue KA1783HI'!CA28+'MAN green KA2790IE'!CA28+'MAN №3 white KA7837HO'!CA28+'MAN №4 white KA3597HO'!CA28+'MAN №5 Тент МД'!BQ28</f>
        <v>0</v>
      </c>
      <c r="CQ28" s="3286">
        <f t="shared" si="41"/>
        <v>0</v>
      </c>
      <c r="CR28" s="3284">
        <f t="shared" si="16"/>
        <v>0</v>
      </c>
      <c r="CS28" s="3291"/>
      <c r="CT28" s="3274">
        <f>ЦО_логистика!BU28+'Форд Тягач'!CT28+'MAN Blue KA1783HI'!CE28+'MAN green KA2790IE'!CE28+'MAN №3 white KA7837HO'!CE28+'MAN №4 white KA3597HO'!CE28+'MAN №5 Тент МД'!BU28</f>
        <v>0</v>
      </c>
      <c r="CU28" s="3274">
        <f>ЦО_логистика!BV28+'Форд Тягач'!CU28+'MAN Blue KA1783HI'!CF28+'MAN green KA2790IE'!CF28+'MAN №3 white KA7837HO'!CF28+'MAN №4 white KA3597HO'!CF28+'MAN №5 Тент МД'!BV28</f>
        <v>0</v>
      </c>
      <c r="CV28" s="3286">
        <f t="shared" si="42"/>
        <v>0</v>
      </c>
      <c r="CW28" s="3284">
        <f t="shared" si="17"/>
        <v>0</v>
      </c>
      <c r="CX28" s="3291">
        <f>'MAN №3 white KA7837HO'!CI28</f>
        <v>0</v>
      </c>
      <c r="CY28" s="3274">
        <f>ЦО_логистика!BZ28+'Форд Тягач'!CY28+'MAN Blue KA1783HI'!CJ28+'MAN green KA2790IE'!CJ28+'MAN №3 white KA7837HO'!CJ28+'MAN №4 white KA3597HO'!CJ28+'MAN №5 Тент МД'!BZ28</f>
        <v>0</v>
      </c>
      <c r="CZ28" s="3274">
        <f>ЦО_логистика!CA28+'Форд Тягач'!CZ28+'MAN Blue KA1783HI'!CK28+'MAN green KA2790IE'!CK28+'MAN №3 white KA7837HO'!CK28+'MAN №4 white KA3597HO'!CK28+'MAN №5 Тент МД'!CA28</f>
        <v>0</v>
      </c>
      <c r="DA28" s="3286">
        <f t="shared" si="43"/>
        <v>0</v>
      </c>
      <c r="DB28" s="3284">
        <f t="shared" si="18"/>
        <v>0</v>
      </c>
      <c r="DC28" s="3291"/>
      <c r="DD28" s="3274">
        <f>ЦО_логистика!CE28+'Форд Тягач'!DD28+'MAN Blue KA1783HI'!CO28+'MAN green KA2790IE'!CO28+'MAN №3 white KA7837HO'!CO28+'MAN №4 white KA3597HO'!CO28+'MAN №5 Тент МД'!CE28</f>
        <v>0</v>
      </c>
      <c r="DE28" s="3274">
        <f>ЦО_логистика!CF28+'Форд Тягач'!DE28+'MAN Blue KA1783HI'!CP28+'MAN green KA2790IE'!CP28+'MAN №3 white KA7837HO'!CP28+'MAN №4 white KA3597HO'!CP28+'MAN №5 Тент МД'!CF28</f>
        <v>0</v>
      </c>
      <c r="DF28" s="3286">
        <f t="shared" si="44"/>
        <v>0</v>
      </c>
      <c r="DG28" s="3284">
        <f t="shared" si="19"/>
        <v>0</v>
      </c>
      <c r="DH28" s="3291"/>
      <c r="DI28" s="3274">
        <f>ЦО_логистика!CJ28+'Форд Тягач'!DI28+'MAN Blue KA1783HI'!CT28+'MAN green KA2790IE'!CT28+'MAN №3 white KA7837HO'!CT28+'MAN №4 white KA3597HO'!CT28+'MAN №5 Тент МД'!CJ28</f>
        <v>0</v>
      </c>
      <c r="DJ28" s="3274">
        <f>ЦО_логистика!CK28+'Форд Тягач'!DJ28+'MAN Blue KA1783HI'!CU28+'MAN green KA2790IE'!CU28+'MAN №3 white KA7837HO'!CU28+'MAN №4 white KA3597HO'!CU28+'MAN №5 Тент МД'!CK28</f>
        <v>0</v>
      </c>
      <c r="DK28" s="3286">
        <f t="shared" si="45"/>
        <v>0</v>
      </c>
      <c r="DL28" s="3284">
        <f t="shared" si="20"/>
        <v>0</v>
      </c>
      <c r="DM28" s="3291"/>
      <c r="DN28" s="3288">
        <f t="shared" si="21"/>
        <v>7653457.5089999996</v>
      </c>
      <c r="DO28" s="3288">
        <f t="shared" si="21"/>
        <v>747940.77</v>
      </c>
      <c r="DP28" s="3283">
        <f t="shared" si="36"/>
        <v>8401398.2789999992</v>
      </c>
      <c r="DQ28" s="3284">
        <f t="shared" si="53"/>
        <v>0.31798107047798768</v>
      </c>
      <c r="DR28" s="3275"/>
      <c r="DS28" s="916"/>
      <c r="DT28" s="916"/>
    </row>
    <row r="29" spans="1:124" s="1411" customFormat="1" ht="25.2" customHeight="1" x14ac:dyDescent="0.25">
      <c r="A29" s="1586"/>
      <c r="B29" s="3289" t="s">
        <v>31</v>
      </c>
      <c r="C29" s="3274">
        <v>10100</v>
      </c>
      <c r="D29" s="3274">
        <v>1534</v>
      </c>
      <c r="E29" s="3283">
        <v>11634</v>
      </c>
      <c r="F29" s="3284">
        <v>1.8606712594083599E-2</v>
      </c>
      <c r="G29" s="3390"/>
      <c r="H29" s="3274">
        <v>2100</v>
      </c>
      <c r="I29" s="3274">
        <v>0</v>
      </c>
      <c r="J29" s="3283">
        <v>2100</v>
      </c>
      <c r="K29" s="3284">
        <v>1.7435247777712336E-2</v>
      </c>
      <c r="L29" s="3390">
        <v>0</v>
      </c>
      <c r="M29" s="3274">
        <v>0</v>
      </c>
      <c r="N29" s="3274">
        <v>0</v>
      </c>
      <c r="O29" s="3283">
        <v>0</v>
      </c>
      <c r="P29" s="3284">
        <v>0</v>
      </c>
      <c r="Q29" s="3390">
        <v>0</v>
      </c>
      <c r="R29" s="3288">
        <f>'Форд Тягач'!R29+'MAN Blue KA1783HI'!C29+'MAN green KA2790IE'!C29+'MAN №3 white KA7837HO'!C29+'MAN №4 white KA3597HO'!C29+Техника!R29</f>
        <v>0</v>
      </c>
      <c r="S29" s="3274">
        <f>'Форд Тягач'!S29+'MAN Blue KA1783HI'!D29+'MAN green KA2790IE'!D29+'MAN №3 white KA7837HO'!D29+'MAN №4 white KA3597HO'!D29</f>
        <v>0</v>
      </c>
      <c r="T29" s="3283">
        <f t="shared" si="46"/>
        <v>0</v>
      </c>
      <c r="U29" s="3284">
        <f t="shared" si="0"/>
        <v>0</v>
      </c>
      <c r="V29" s="3294"/>
      <c r="W29" s="3274">
        <f>'Форд Тягач'!W29+'MAN Blue KA1783HI'!H29+'MAN green KA2790IE'!H29+'MAN №3 white KA7837HO'!H29+'MAN №4 white KA3597HO'!H29</f>
        <v>0</v>
      </c>
      <c r="X29" s="3274">
        <f>'Форд Тягач'!X29+'MAN Blue KA1783HI'!I29+'MAN green KA2790IE'!I29+'MAN №3 white KA7837HO'!I29+'MAN №4 white KA3597HO'!I29+Техника!X29</f>
        <v>0</v>
      </c>
      <c r="Y29" s="3283">
        <f t="shared" si="47"/>
        <v>0</v>
      </c>
      <c r="Z29" s="3284">
        <f t="shared" si="24"/>
        <v>0</v>
      </c>
      <c r="AA29" s="3294"/>
      <c r="AB29" s="3274">
        <f>ЦО_логистика!C29+'Форд Тягач'!AB29+'MAN Blue KA1783HI'!M29+'MAN green KA2790IE'!M29+'MAN №3 white KA7837HO'!M29+'MAN №4 white KA3597HO'!M29+'MAN №5 Тент МД'!C29</f>
        <v>0</v>
      </c>
      <c r="AC29" s="3274">
        <f>ЦО_логистика!D29+'Форд Тягач'!AC29+'MAN Blue KA1783HI'!N29+'MAN green KA2790IE'!N29+'MAN №3 white KA7837HO'!N29+'MAN №4 white KA3597HO'!N29+'MAN №5 Тент МД'!D29</f>
        <v>0</v>
      </c>
      <c r="AD29" s="3283">
        <f t="shared" si="48"/>
        <v>0</v>
      </c>
      <c r="AE29" s="3284">
        <f t="shared" si="2"/>
        <v>0</v>
      </c>
      <c r="AF29" s="3294"/>
      <c r="AG29" s="3274">
        <f>ЦО_логистика!H29+'Форд Тягач'!AG29+'MAN Blue KA1783HI'!R29+'MAN green KA2790IE'!R29+'MAN №3 white KA7837HO'!R29+'MAN №4 white KA3597HO'!R29+'MAN №5 Тент МД'!H29</f>
        <v>0</v>
      </c>
      <c r="AH29" s="3274">
        <f>ЦО_логистика!I29+'Форд Тягач'!AH29+'MAN Blue KA1783HI'!S29+'MAN green KA2790IE'!S29+'MAN №3 white KA7837HO'!S29+'MAN №4 white KA3597HO'!S29+'MAN №5 Тент МД'!I29</f>
        <v>0</v>
      </c>
      <c r="AI29" s="3283">
        <f t="shared" si="49"/>
        <v>0</v>
      </c>
      <c r="AJ29" s="3284">
        <f t="shared" si="3"/>
        <v>0</v>
      </c>
      <c r="AK29" s="3294"/>
      <c r="AL29" s="3274">
        <f>ЦО_логистика!M29+'Форд Тягач'!AL29+'MAN Blue KA1783HI'!W29+'MAN green KA2790IE'!W29+'MAN №3 white KA7837HO'!W29+'MAN №4 white KA3597HO'!W29+'MAN №5 Тент МД'!M29</f>
        <v>29400</v>
      </c>
      <c r="AM29" s="3274">
        <f>ЦО_логистика!N29+'Форд Тягач'!AM29+'MAN Blue KA1783HI'!X29+'MAN green KA2790IE'!X29+'MAN №3 white KA7837HO'!X29+'MAN №4 white KA3597HO'!X29+'MAN №5 Тент МД'!N29</f>
        <v>0</v>
      </c>
      <c r="AN29" s="3283">
        <f t="shared" si="50"/>
        <v>29400</v>
      </c>
      <c r="AO29" s="3284">
        <f t="shared" si="4"/>
        <v>2.3001125901413153E-2</v>
      </c>
      <c r="AP29" s="3275" t="str">
        <f>CONCATENATE(ЦО_логистика!Q29,'Форд Тягач'!AP29,'MAN Blue KA1783HI'!AA29,'MAN green KA2790IE'!AA29,'MAN №3 white KA7837HO'!AF29,'MAN №4 white KA3597HO'!AA29,'MAN №5 Тент МД'!Q29)</f>
        <v>суточныесуточныесуточные (9+22)суточныесуточные</v>
      </c>
      <c r="AQ29" s="3274">
        <f>SUM(ЦО_логистика!R29,'Форд Тягач'!AQ29,'MAN Blue KA1783HI'!AB29,'MAN green KA2790IE'!AB29,'MAN №3 white KA7837HO'!AB29,'MAN №4 white KA3597HO'!AB29,'MAN №5 Тент МД'!R29)</f>
        <v>51000</v>
      </c>
      <c r="AR29" s="3274">
        <f>SUM(ЦО_логистика!S29,'Форд Тягач'!AR29,'MAN Blue KA1783HI'!AC29,'MAN green KA2790IE'!AC29,'MAN №3 white KA7837HO'!AC29,'MAN №4 white KA3597HO'!AC29,'MAN №5 Тент МД'!S29)</f>
        <v>0</v>
      </c>
      <c r="AS29" s="3283">
        <f t="shared" si="51"/>
        <v>51000</v>
      </c>
      <c r="AT29" s="3284">
        <f t="shared" si="5"/>
        <v>3.9899912277961594E-2</v>
      </c>
      <c r="AU29" s="3275" t="str">
        <f>CONCATENATE(ЦО_логистика!V29,'Форд Тягач'!AU29,'MAN Blue KA1783HI'!AF28,'MAN green KA2790IE'!AF29,'MAN №3 white KA7837HO'!AF29,'MAN №4 white KA3597HO'!AF29,'MAN №5 Тент МД'!V29)</f>
        <v>суточныеФ1:7374,4 - AdBlue;  топливо 1815 л * 54 грн/л;  8695,96 - затраты по международному рейсу;суточные (11+20)суточные (9+22)суточные (9+22)суточные (23-7, 19)</v>
      </c>
      <c r="AV29" s="3275">
        <f>+ЦО_логистика!W29+'Форд Тягач'!AV29+'MAN Blue KA1783HI'!AG29+'MAN green KA2790IE'!AG29+'MAN №3 white KA7837HO'!AG29+'MAN №4 white KA3597HO'!AG29+'MAN №5 Тент МД'!W29</f>
        <v>86420.73</v>
      </c>
      <c r="AW29" s="3275">
        <f>+ЦО_логистика!X29+'Форд Тягач'!AW29+'MAN Blue KA1783HI'!AH29+'MAN green KA2790IE'!AH29+'MAN №3 white KA7837HO'!AH29+'MAN №4 white KA3597HO'!AH29+'MAN №5 Тент МД'!X29</f>
        <v>0</v>
      </c>
      <c r="AX29" s="3283">
        <f t="shared" si="29"/>
        <v>86420.73</v>
      </c>
      <c r="AY29" s="3284">
        <f t="shared" si="6"/>
        <v>6.7611363647007913E-2</v>
      </c>
      <c r="AZ29" s="3275"/>
      <c r="BA29" s="3275">
        <f t="shared" si="7"/>
        <v>0</v>
      </c>
      <c r="BB29" s="3275">
        <f t="shared" si="7"/>
        <v>0</v>
      </c>
      <c r="BC29" s="3283">
        <f t="shared" si="30"/>
        <v>0</v>
      </c>
      <c r="BD29" s="3284">
        <f t="shared" si="8"/>
        <v>0</v>
      </c>
      <c r="BE29" s="3275">
        <f>ЦО_логистика!AD29+'Форд Тягач'!BC29+'MAN Blue KA1783HI'!AN29+'MAN green KA2790IE'!AN29+'MAN №3 white KA7837HO'!AN29+'MAN №4 white KA3597HO'!AN29+'MAN №5 Тент МД'!AD29-BC29</f>
        <v>0</v>
      </c>
      <c r="BF29" s="3274">
        <f>ЦО_логистика!AG29+'Форд Тягач'!BF29+'MAN Blue KA1783HI'!AQ29+'MAN green KA2790IE'!AQ29+'MAN №3 white KA7837HO'!AQ29+'MAN №4 white KA3597HO'!AQ29+'MAN №5 Тент МД'!AG29</f>
        <v>0</v>
      </c>
      <c r="BG29" s="3274">
        <f>ЦО_логистика!AH29+'Форд Тягач'!BG29+'MAN Blue KA1783HI'!AR29+'MAN green KA2790IE'!AR29+'MAN №3 white KA7837HO'!AR29+'MAN №4 white KA3597HO'!AR29+'MAN №5 Тент МД'!AH29</f>
        <v>0</v>
      </c>
      <c r="BH29" s="3283">
        <f t="shared" si="31"/>
        <v>0</v>
      </c>
      <c r="BI29" s="3284">
        <f t="shared" si="9"/>
        <v>0</v>
      </c>
      <c r="BJ29" s="3275"/>
      <c r="BK29" s="3275">
        <f>ЦО_логистика!AL29+'Форд Тягач'!BK29+'MAN Blue KA1783HI'!AV29+'MAN green KA2790IE'!AV29+'MAN №3 white KA7837HO'!AV29+'MAN №4 white KA3597HO'!AV29+'MAN №5 Тент МД'!AL29</f>
        <v>0</v>
      </c>
      <c r="BL29" s="3275">
        <f>ЦО_логистика!AM29+'Форд Тягач'!BL29+'MAN Blue KA1783HI'!AW29+'MAN green KA2790IE'!AW29+'MAN №3 white KA7837HO'!AW29+'MAN №4 white KA3597HO'!AW29+'MAN №5 Тент МД'!AM29</f>
        <v>0</v>
      </c>
      <c r="BM29" s="3283">
        <f t="shared" si="52"/>
        <v>0</v>
      </c>
      <c r="BN29" s="3284">
        <f t="shared" si="10"/>
        <v>0</v>
      </c>
      <c r="BO29" s="3275"/>
      <c r="BP29" s="3274">
        <f>ЦО_логистика!AQ29+'Форд Тягач'!BP29+'MAN Blue KA1783HI'!BA29+'MAN green KA2790IE'!BA29+'MAN №3 white KA7837HO'!BA29+'MAN №4 white KA3597HO'!BA29+'MAN №5 Тент МД'!AQ29</f>
        <v>0</v>
      </c>
      <c r="BQ29" s="3274">
        <f>ЦО_логистика!AR29+'Форд Тягач'!BQ29+'MAN Blue KA1783HI'!BB29+'MAN green KA2790IE'!BB29+'MAN №3 white KA7837HO'!BB29+'MAN №4 white KA3597HO'!BB29+'MAN №5 Тент МД'!AR29</f>
        <v>0</v>
      </c>
      <c r="BR29" s="3286">
        <f t="shared" si="33"/>
        <v>0</v>
      </c>
      <c r="BS29" s="3284">
        <f t="shared" si="11"/>
        <v>0</v>
      </c>
      <c r="BT29" s="3291"/>
      <c r="BU29" s="3274">
        <f>ЦО_логистика!AV29+'Форд Тягач'!BU29+'MAN Blue KA1783HI'!BF29+'MAN green KA2790IE'!BF29+'MAN №3 white KA7837HO'!BF29+'MAN №4 white KA3597HO'!BF29+'MAN №5 Тент МД'!AV29</f>
        <v>0</v>
      </c>
      <c r="BV29" s="3274">
        <f>ЦО_логистика!AW29+'Форд Тягач'!BV29+'MAN Blue KA1783HI'!BG29+'MAN green KA2790IE'!BG29+'MAN №3 white KA7837HO'!BG29+'MAN №4 white KA3597HO'!BG29+'MAN №5 Тент МД'!AW29</f>
        <v>0</v>
      </c>
      <c r="BW29" s="3286">
        <f t="shared" si="37"/>
        <v>0</v>
      </c>
      <c r="BX29" s="3284">
        <f t="shared" si="12"/>
        <v>0</v>
      </c>
      <c r="BY29" s="3291"/>
      <c r="BZ29" s="3274">
        <f>ЦО_логистика!BA29+'Форд Тягач'!BZ29+'MAN Blue KA1783HI'!BK29+'MAN green KA2790IE'!BK29+'MAN №3 white KA7837HO'!BK29+'MAN №4 white KA3597HO'!BK29+'MAN №5 Тент МД'!BA29</f>
        <v>0</v>
      </c>
      <c r="CA29" s="3274">
        <f>ЦО_логистика!BB29+'Форд Тягач'!CA29+'MAN Blue KA1783HI'!BL29+'MAN green KA2790IE'!BL29+'MAN №3 white KA7837HO'!BL29+'MAN №4 white KA3597HO'!BL29+'MAN №5 Тент МД'!BB29</f>
        <v>0</v>
      </c>
      <c r="CB29" s="3286">
        <f t="shared" si="38"/>
        <v>0</v>
      </c>
      <c r="CC29" s="3284">
        <f t="shared" si="13"/>
        <v>0</v>
      </c>
      <c r="CD29" s="3291"/>
      <c r="CE29" s="3274">
        <f>ЦО_логистика!BF29+'Форд Тягач'!CE29+'MAN Blue KA1783HI'!BP29+'MAN green KA2790IE'!BP29+'MAN №3 white KA7837HO'!BP29+'MAN №4 white KA3597HO'!BP29+'MAN №5 Тент МД'!BF29</f>
        <v>0</v>
      </c>
      <c r="CF29" s="3274">
        <f>ЦО_логистика!BG29+'Форд Тягач'!CF29+'MAN Blue KA1783HI'!BQ29+'MAN green KA2790IE'!BQ29+'MAN №3 white KA7837HO'!BQ29+'MAN №4 white KA3597HO'!BQ29+'MAN №5 Тент МД'!BG29</f>
        <v>0</v>
      </c>
      <c r="CG29" s="3286">
        <f t="shared" si="39"/>
        <v>0</v>
      </c>
      <c r="CH29" s="3284">
        <f t="shared" si="14"/>
        <v>0</v>
      </c>
      <c r="CI29" s="3291"/>
      <c r="CJ29" s="3274">
        <f>ЦО_логистика!BK29+'Форд Тягач'!CJ29+'MAN Blue KA1783HI'!BU29+'MAN green KA2790IE'!BU29+'MAN №3 white KA7837HO'!BU29+'MAN №4 white KA3597HO'!BU29+'MAN №5 Тент МД'!BK29</f>
        <v>0</v>
      </c>
      <c r="CK29" s="3274">
        <f>ЦО_логистика!BL29+'Форд Тягач'!CK29+'MAN Blue KA1783HI'!BV29+'MAN green KA2790IE'!BV29+'MAN №3 white KA7837HO'!BV29+'MAN №4 white KA3597HO'!BV29+'MAN №5 Тент МД'!BL29</f>
        <v>0</v>
      </c>
      <c r="CL29" s="3286">
        <f t="shared" si="40"/>
        <v>0</v>
      </c>
      <c r="CM29" s="3284">
        <f t="shared" si="15"/>
        <v>0</v>
      </c>
      <c r="CN29" s="3291"/>
      <c r="CO29" s="3274">
        <f>ЦО_логистика!BP29+'Форд Тягач'!CO29+'MAN Blue KA1783HI'!BZ29+'MAN green KA2790IE'!BZ29+'MAN №3 white KA7837HO'!BZ29+'MAN №4 white KA3597HO'!BZ29+'MAN №5 Тент МД'!BP29</f>
        <v>0</v>
      </c>
      <c r="CP29" s="3274">
        <f>ЦО_логистика!BQ29+'Форд Тягач'!CP29+'MAN Blue KA1783HI'!CA29+'MAN green KA2790IE'!CA29+'MAN №3 white KA7837HO'!CA29+'MAN №4 white KA3597HO'!CA29+'MAN №5 Тент МД'!BQ29</f>
        <v>0</v>
      </c>
      <c r="CQ29" s="3286">
        <f t="shared" si="41"/>
        <v>0</v>
      </c>
      <c r="CR29" s="3284">
        <f t="shared" si="16"/>
        <v>0</v>
      </c>
      <c r="CS29" s="3291"/>
      <c r="CT29" s="3274">
        <f>ЦО_логистика!BU29+'Форд Тягач'!CT29+'MAN Blue KA1783HI'!CE29+'MAN green KA2790IE'!CE29+'MAN №3 white KA7837HO'!CE29+'MAN №4 white KA3597HO'!CE29+'MAN №5 Тент МД'!BU29</f>
        <v>0</v>
      </c>
      <c r="CU29" s="3274">
        <f>ЦО_логистика!BV29+'Форд Тягач'!CU29+'MAN Blue KA1783HI'!CF29+'MAN green KA2790IE'!CF29+'MAN №3 white KA7837HO'!CF29+'MAN №4 white KA3597HO'!CF29+'MAN №5 Тент МД'!BV29</f>
        <v>0</v>
      </c>
      <c r="CV29" s="3286">
        <f t="shared" si="42"/>
        <v>0</v>
      </c>
      <c r="CW29" s="3284">
        <f t="shared" si="17"/>
        <v>0</v>
      </c>
      <c r="CX29" s="3291"/>
      <c r="CY29" s="3274">
        <f>ЦО_логистика!BZ29+'Форд Тягач'!CY29+'MAN Blue KA1783HI'!CJ29+'MAN green KA2790IE'!CJ29+'MAN №3 white KA7837HO'!CJ29+'MAN №4 white KA3597HO'!CJ29+'MAN №5 Тент МД'!BZ29</f>
        <v>0</v>
      </c>
      <c r="CZ29" s="3274">
        <f>ЦО_логистика!CA29+'Форд Тягач'!CZ29+'MAN Blue KA1783HI'!CK29+'MAN green KA2790IE'!CK29+'MAN №3 white KA7837HO'!CK29+'MAN №4 white KA3597HO'!CK29+'MAN №5 Тент МД'!CA29</f>
        <v>0</v>
      </c>
      <c r="DA29" s="3286">
        <f t="shared" si="43"/>
        <v>0</v>
      </c>
      <c r="DB29" s="3284">
        <f t="shared" si="18"/>
        <v>0</v>
      </c>
      <c r="DC29" s="3291"/>
      <c r="DD29" s="3274">
        <f>ЦО_логистика!CE29+'Форд Тягач'!DD29+'MAN Blue KA1783HI'!CO29+'MAN green KA2790IE'!CO29+'MAN №3 white KA7837HO'!CO29+'MAN №4 white KA3597HO'!CO29+'MAN №5 Тент МД'!CE29</f>
        <v>0</v>
      </c>
      <c r="DE29" s="3274">
        <f>ЦО_логистика!CF29+'Форд Тягач'!DE29+'MAN Blue KA1783HI'!CP29+'MAN green KA2790IE'!CP29+'MAN №3 white KA7837HO'!CP29+'MAN №4 white KA3597HO'!CP29+'MAN №5 Тент МД'!CF29</f>
        <v>0</v>
      </c>
      <c r="DF29" s="3286">
        <f t="shared" si="44"/>
        <v>0</v>
      </c>
      <c r="DG29" s="3284">
        <f t="shared" si="19"/>
        <v>0</v>
      </c>
      <c r="DH29" s="3291"/>
      <c r="DI29" s="3274">
        <f>ЦО_логистика!CJ29+'Форд Тягач'!DI29+'MAN Blue KA1783HI'!CT29+'MAN green KA2790IE'!CT29+'MAN №3 white KA7837HO'!CT29+'MAN №4 white KA3597HO'!CT29+'MAN №5 Тент МД'!CJ29</f>
        <v>0</v>
      </c>
      <c r="DJ29" s="3274">
        <f>ЦО_логистика!CK29+'Форд Тягач'!DJ29+'MAN Blue KA1783HI'!CU29+'MAN green KA2790IE'!CU29+'MAN №3 white KA7837HO'!CU29+'MAN №4 white KA3597HO'!CU29+'MAN №5 Тент МД'!CK29</f>
        <v>0</v>
      </c>
      <c r="DK29" s="3286">
        <f t="shared" si="45"/>
        <v>0</v>
      </c>
      <c r="DL29" s="3284">
        <f t="shared" si="20"/>
        <v>0</v>
      </c>
      <c r="DM29" s="3291"/>
      <c r="DN29" s="3288">
        <f t="shared" si="21"/>
        <v>166820.72999999998</v>
      </c>
      <c r="DO29" s="3288">
        <f t="shared" si="21"/>
        <v>0</v>
      </c>
      <c r="DP29" s="3283">
        <f t="shared" si="36"/>
        <v>166820.72999999998</v>
      </c>
      <c r="DQ29" s="3284">
        <f t="shared" si="53"/>
        <v>6.313929246267478E-3</v>
      </c>
      <c r="DR29" s="3275"/>
      <c r="DS29" s="916"/>
      <c r="DT29" s="916"/>
    </row>
    <row r="30" spans="1:124" s="1411" customFormat="1" ht="25.2" customHeight="1" x14ac:dyDescent="0.25">
      <c r="A30" s="1586"/>
      <c r="B30" s="3289" t="s">
        <v>62</v>
      </c>
      <c r="C30" s="3274">
        <v>0</v>
      </c>
      <c r="D30" s="3274">
        <v>0</v>
      </c>
      <c r="E30" s="3283">
        <v>0</v>
      </c>
      <c r="F30" s="3284">
        <v>0</v>
      </c>
      <c r="G30" s="3295"/>
      <c r="H30" s="3274">
        <v>0</v>
      </c>
      <c r="I30" s="3274">
        <v>0</v>
      </c>
      <c r="J30" s="3283">
        <v>0</v>
      </c>
      <c r="K30" s="3284">
        <v>0</v>
      </c>
      <c r="L30" s="3295">
        <v>0</v>
      </c>
      <c r="M30" s="3274">
        <v>0</v>
      </c>
      <c r="N30" s="3274">
        <v>0</v>
      </c>
      <c r="O30" s="3283">
        <v>0</v>
      </c>
      <c r="P30" s="3284">
        <v>0</v>
      </c>
      <c r="Q30" s="3295">
        <v>0</v>
      </c>
      <c r="R30" s="3288">
        <f>'Форд Тягач'!R30+'MAN Blue KA1783HI'!C30+'MAN green KA2790IE'!C30+'MAN №3 white KA7837HO'!C30+'MAN №4 white KA3597HO'!C30+Техника!R30</f>
        <v>0</v>
      </c>
      <c r="S30" s="3274">
        <f>'Форд Тягач'!S30+'MAN Blue KA1783HI'!D30+'MAN green KA2790IE'!D30+'MAN №3 white KA7837HO'!D30+'MAN №4 white KA3597HO'!D30</f>
        <v>0</v>
      </c>
      <c r="T30" s="3283">
        <f t="shared" si="46"/>
        <v>0</v>
      </c>
      <c r="U30" s="3284">
        <f t="shared" si="0"/>
        <v>0</v>
      </c>
      <c r="V30" s="3296"/>
      <c r="W30" s="3274">
        <f>'Форд Тягач'!W30+'MAN Blue KA1783HI'!H30+'MAN green KA2790IE'!H30+'MAN №3 white KA7837HO'!H30+'MAN №4 white KA3597HO'!H30+Техника!W30</f>
        <v>0</v>
      </c>
      <c r="X30" s="3274">
        <f>'Форд Тягач'!X30+'MAN Blue KA1783HI'!I30+'MAN green KA2790IE'!I30+'MAN №3 white KA7837HO'!I30+'MAN №4 white KA3597HO'!I30</f>
        <v>0</v>
      </c>
      <c r="Y30" s="3283">
        <f t="shared" si="47"/>
        <v>0</v>
      </c>
      <c r="Z30" s="3284">
        <f t="shared" si="24"/>
        <v>0</v>
      </c>
      <c r="AA30" s="3421" t="s">
        <v>1182</v>
      </c>
      <c r="AB30" s="3274">
        <f>ЦО_логистика!C30+'Форд Тягач'!AB30+'MAN Blue KA1783HI'!M30+'MAN green KA2790IE'!M30+'MAN №3 white KA7837HO'!M30+'MAN №4 white KA3597HO'!M30+'MAN №5 Тент МД'!C30</f>
        <v>0</v>
      </c>
      <c r="AC30" s="3274">
        <f>ЦО_логистика!D30+'Форд Тягач'!AC30+'MAN Blue KA1783HI'!N30+'MAN green KA2790IE'!N30+'MAN №3 white KA7837HO'!N30+'MAN №4 white KA3597HO'!N30+'MAN №5 Тент МД'!D30</f>
        <v>350</v>
      </c>
      <c r="AD30" s="3283">
        <f t="shared" si="48"/>
        <v>350</v>
      </c>
      <c r="AE30" s="3284">
        <f t="shared" si="2"/>
        <v>2.7382292739777561E-4</v>
      </c>
      <c r="AF30" s="3296"/>
      <c r="AG30" s="3274">
        <f>ЦО_логистика!H30+'Форд Тягач'!AG30+'MAN Blue KA1783HI'!R30+'MAN green KA2790IE'!R30+'MAN №3 white KA7837HO'!R30+'MAN №4 white KA3597HO'!R30+'MAN №5 Тент МД'!H30</f>
        <v>0</v>
      </c>
      <c r="AH30" s="3274">
        <f>ЦО_логистика!I30+'Форд Тягач'!AH30+'MAN Blue KA1783HI'!S30+'MAN green KA2790IE'!S30+'MAN №3 white KA7837HO'!S30+'MAN №4 white KA3597HO'!S30+'MAN №5 Тент МД'!I30</f>
        <v>0</v>
      </c>
      <c r="AI30" s="3283">
        <f t="shared" si="49"/>
        <v>0</v>
      </c>
      <c r="AJ30" s="3284">
        <f t="shared" si="3"/>
        <v>0</v>
      </c>
      <c r="AK30" s="3296"/>
      <c r="AL30" s="3274">
        <f>ЦО_логистика!M30+'Форд Тягач'!AL30+'MAN Blue KA1783HI'!W30+'MAN green KA2790IE'!W30+'MAN №3 white KA7837HO'!W30+'MAN №4 white KA3597HO'!W30+'MAN №5 Тент МД'!M30</f>
        <v>0</v>
      </c>
      <c r="AM30" s="3274">
        <f>ЦО_логистика!N30+'Форд Тягач'!AM30+'MAN Blue KA1783HI'!X30+'MAN green KA2790IE'!X30+'MAN №3 white KA7837HO'!X30+'MAN №4 white KA3597HO'!X30+'MAN №5 Тент МД'!N30</f>
        <v>0</v>
      </c>
      <c r="AN30" s="3283">
        <f t="shared" si="50"/>
        <v>0</v>
      </c>
      <c r="AO30" s="3284">
        <f t="shared" si="4"/>
        <v>0</v>
      </c>
      <c r="AP30" s="3275" t="str">
        <f>CONCATENATE(ЦО_логистика!Q30,'Форд Тягач'!AP30,'MAN Blue KA1783HI'!AA30,'MAN green KA2790IE'!AA30,'MAN №3 white KA7837HO'!AF30,'MAN №4 white KA3597HO'!AA30,'MAN №5 Тент МД'!Q30)</f>
        <v/>
      </c>
      <c r="AQ30" s="3274">
        <f>SUM(ЦО_логистика!R30,'Форд Тягач'!AQ30,'MAN Blue KA1783HI'!AB30,'MAN green KA2790IE'!AB30,'MAN №3 white KA7837HO'!AB30,'MAN №4 white KA3597HO'!AB30,'MAN №5 Тент МД'!R30)</f>
        <v>0</v>
      </c>
      <c r="AR30" s="3274">
        <f>SUM(ЦО_логистика!S30,'Форд Тягач'!AR30,'MAN Blue KA1783HI'!AC30,'MAN green KA2790IE'!AC30,'MAN №3 white KA7837HO'!AC30,'MAN №4 white KA3597HO'!AC30,'MAN №5 Тент МД'!S30)</f>
        <v>0</v>
      </c>
      <c r="AS30" s="3283">
        <f t="shared" si="51"/>
        <v>0</v>
      </c>
      <c r="AT30" s="3284">
        <f t="shared" si="5"/>
        <v>0</v>
      </c>
      <c r="AU30" s="3275" t="str">
        <f>CONCATENATE(ЦО_логистика!V30,'Форд Тягач'!AU30,'MAN Blue KA1783HI'!AF29,'MAN green KA2790IE'!AF30,'MAN №3 white KA7837HO'!AF30,'MAN №4 white KA3597HO'!AF30,'MAN №5 Тент МД'!V30)</f>
        <v>суточные (11+20)</v>
      </c>
      <c r="AV30" s="3275">
        <f>+ЦО_логистика!W30+'Форд Тягач'!AV30+'MAN Blue KA1783HI'!AG30+'MAN green KA2790IE'!AG30+'MAN №3 white KA7837HO'!AG30+'MAN №4 white KA3597HO'!AG30+'MAN №5 Тент МД'!W30</f>
        <v>0</v>
      </c>
      <c r="AW30" s="3275">
        <f>+ЦО_логистика!X30+'Форд Тягач'!AW30+'MAN Blue KA1783HI'!AH30+'MAN green KA2790IE'!AH30+'MAN №3 white KA7837HO'!AH30+'MAN №4 white KA3597HO'!AH30+'MAN №5 Тент МД'!X30</f>
        <v>0</v>
      </c>
      <c r="AX30" s="3283">
        <f t="shared" si="29"/>
        <v>0</v>
      </c>
      <c r="AY30" s="3284">
        <f t="shared" si="6"/>
        <v>0</v>
      </c>
      <c r="AZ30" s="3275"/>
      <c r="BA30" s="3275">
        <f t="shared" si="7"/>
        <v>0</v>
      </c>
      <c r="BB30" s="3275">
        <f t="shared" si="7"/>
        <v>0</v>
      </c>
      <c r="BC30" s="3283">
        <f t="shared" si="30"/>
        <v>0</v>
      </c>
      <c r="BD30" s="3284">
        <f t="shared" si="8"/>
        <v>0</v>
      </c>
      <c r="BE30" s="3275">
        <f>ЦО_логистика!AD30+'Форд Тягач'!BC30+'MAN Blue KA1783HI'!AN30+'MAN green KA2790IE'!AN30+'MAN №3 white KA7837HO'!AN30+'MAN №4 white KA3597HO'!AN30+'MAN №5 Тент МД'!AD30-BC30</f>
        <v>0</v>
      </c>
      <c r="BF30" s="3274">
        <f>ЦО_логистика!AG30+'Форд Тягач'!BF30+'MAN Blue KA1783HI'!AQ30+'MAN green KA2790IE'!AQ30+'MAN №3 white KA7837HO'!AQ30+'MAN №4 white KA3597HO'!AQ30+'MAN №5 Тент МД'!AG30</f>
        <v>0</v>
      </c>
      <c r="BG30" s="3274">
        <f>ЦО_логистика!AH30+'Форд Тягач'!BG30+'MAN Blue KA1783HI'!AR30+'MAN green KA2790IE'!AR30+'MAN №3 white KA7837HO'!AR30+'MAN №4 white KA3597HO'!AR30+'MAN №5 Тент МД'!AH30</f>
        <v>0</v>
      </c>
      <c r="BH30" s="3283">
        <f t="shared" si="31"/>
        <v>0</v>
      </c>
      <c r="BI30" s="3284">
        <f t="shared" si="9"/>
        <v>0</v>
      </c>
      <c r="BJ30" s="3275"/>
      <c r="BK30" s="3275">
        <f>ЦО_логистика!AL30+'Форд Тягач'!BK30+'MAN Blue KA1783HI'!AV30+'MAN green KA2790IE'!AV30+'MAN №3 white KA7837HO'!AV30+'MAN №4 white KA3597HO'!AV30+'MAN №5 Тент МД'!AL30</f>
        <v>0</v>
      </c>
      <c r="BL30" s="3275">
        <f>ЦО_логистика!AM30+'Форд Тягач'!BL30+'MAN Blue KA1783HI'!AW30+'MAN green KA2790IE'!AW30+'MAN №3 white KA7837HO'!AW30+'MAN №4 white KA3597HO'!AW30+'MAN №5 Тент МД'!AM30</f>
        <v>0</v>
      </c>
      <c r="BM30" s="3283">
        <f t="shared" si="52"/>
        <v>0</v>
      </c>
      <c r="BN30" s="3284">
        <f t="shared" si="10"/>
        <v>0</v>
      </c>
      <c r="BO30" s="3275"/>
      <c r="BP30" s="3274">
        <f>ЦО_логистика!AQ30+'Форд Тягач'!BP30+'MAN Blue KA1783HI'!BA30+'MAN green KA2790IE'!BA30+'MAN №3 white KA7837HO'!BA30+'MAN №4 white KA3597HO'!BA30+'MAN №5 Тент МД'!AQ30</f>
        <v>0</v>
      </c>
      <c r="BQ30" s="3274">
        <f>ЦО_логистика!AR30+'Форд Тягач'!BQ30+'MAN Blue KA1783HI'!BB30+'MAN green KA2790IE'!BB30+'MAN №3 white KA7837HO'!BB30+'MAN №4 white KA3597HO'!BB30+'MAN №5 Тент МД'!AR30</f>
        <v>0</v>
      </c>
      <c r="BR30" s="3286">
        <f t="shared" si="33"/>
        <v>0</v>
      </c>
      <c r="BS30" s="3284">
        <f t="shared" si="11"/>
        <v>0</v>
      </c>
      <c r="BT30" s="3297"/>
      <c r="BU30" s="3274">
        <f>ЦО_логистика!AV30+'Форд Тягач'!BU30+'MAN Blue KA1783HI'!BF30+'MAN green KA2790IE'!BF30+'MAN №3 white KA7837HO'!BF30+'MAN №4 white KA3597HO'!BF30+'MAN №5 Тент МД'!AV30</f>
        <v>0</v>
      </c>
      <c r="BV30" s="3274">
        <f>ЦО_логистика!AW30+'Форд Тягач'!BV30+'MAN Blue KA1783HI'!BG30+'MAN green KA2790IE'!BG30+'MAN №3 white KA7837HO'!BG30+'MAN №4 white KA3597HO'!BG30+'MAN №5 Тент МД'!AW30</f>
        <v>0</v>
      </c>
      <c r="BW30" s="3286">
        <f t="shared" si="37"/>
        <v>0</v>
      </c>
      <c r="BX30" s="3284">
        <f t="shared" si="12"/>
        <v>0</v>
      </c>
      <c r="BY30" s="3297"/>
      <c r="BZ30" s="3274">
        <f>ЦО_логистика!BA30+'Форд Тягач'!BZ30+'MAN Blue KA1783HI'!BK30+'MAN green KA2790IE'!BK30+'MAN №3 white KA7837HO'!BK30+'MAN №4 white KA3597HO'!BK30+'MAN №5 Тент МД'!BA30</f>
        <v>0</v>
      </c>
      <c r="CA30" s="3274">
        <f>ЦО_логистика!BB30+'Форд Тягач'!CA30+'MAN Blue KA1783HI'!BL30+'MAN green KA2790IE'!BL30+'MAN №3 white KA7837HO'!BL30+'MAN №4 white KA3597HO'!BL30+'MAN №5 Тент МД'!BB30</f>
        <v>0</v>
      </c>
      <c r="CB30" s="3286">
        <f t="shared" si="38"/>
        <v>0</v>
      </c>
      <c r="CC30" s="3284">
        <f t="shared" si="13"/>
        <v>0</v>
      </c>
      <c r="CD30" s="3297"/>
      <c r="CE30" s="3274">
        <f>ЦО_логистика!BF30+'Форд Тягач'!CE30+'MAN Blue KA1783HI'!BP30+'MAN green KA2790IE'!BP30+'MAN №3 white KA7837HO'!BP30+'MAN №4 white KA3597HO'!BP30+'MAN №5 Тент МД'!BF30</f>
        <v>0</v>
      </c>
      <c r="CF30" s="3274">
        <f>ЦО_логистика!BG30+'Форд Тягач'!CF30+'MAN Blue KA1783HI'!BQ30+'MAN green KA2790IE'!BQ30+'MAN №3 white KA7837HO'!BQ30+'MAN №4 white KA3597HO'!BQ30+'MAN №5 Тент МД'!BG30</f>
        <v>0</v>
      </c>
      <c r="CG30" s="3286">
        <f t="shared" si="39"/>
        <v>0</v>
      </c>
      <c r="CH30" s="3284">
        <f t="shared" si="14"/>
        <v>0</v>
      </c>
      <c r="CI30" s="3297"/>
      <c r="CJ30" s="3274">
        <f>ЦО_логистика!BK30+'Форд Тягач'!CJ30+'MAN Blue KA1783HI'!BU30+'MAN green KA2790IE'!BU30+'MAN №3 white KA7837HO'!BU30+'MAN №4 white KA3597HO'!BU30+'MAN №5 Тент МД'!BK30</f>
        <v>0</v>
      </c>
      <c r="CK30" s="3274">
        <f>ЦО_логистика!BL30+'Форд Тягач'!CK30+'MAN Blue KA1783HI'!BV30+'MAN green KA2790IE'!BV30+'MAN №3 white KA7837HO'!BV30+'MAN №4 white KA3597HO'!BV30+'MAN №5 Тент МД'!BL30</f>
        <v>0</v>
      </c>
      <c r="CL30" s="3286">
        <f t="shared" si="40"/>
        <v>0</v>
      </c>
      <c r="CM30" s="3284">
        <f t="shared" si="15"/>
        <v>0</v>
      </c>
      <c r="CN30" s="3297"/>
      <c r="CO30" s="3274">
        <f>ЦО_логистика!BP30+'Форд Тягач'!CO30+'MAN Blue KA1783HI'!BZ30+'MAN green KA2790IE'!BZ30+'MAN №3 white KA7837HO'!BZ30+'MAN №4 white KA3597HO'!BZ30+'MAN №5 Тент МД'!BP30</f>
        <v>0</v>
      </c>
      <c r="CP30" s="3274">
        <f>ЦО_логистика!BQ30+'Форд Тягач'!CP30+'MAN Blue KA1783HI'!CA30+'MAN green KA2790IE'!CA30+'MAN №3 white KA7837HO'!CA30+'MAN №4 white KA3597HO'!CA30+'MAN №5 Тент МД'!BQ30</f>
        <v>0</v>
      </c>
      <c r="CQ30" s="3286">
        <f t="shared" si="41"/>
        <v>0</v>
      </c>
      <c r="CR30" s="3284">
        <f t="shared" si="16"/>
        <v>0</v>
      </c>
      <c r="CS30" s="3297"/>
      <c r="CT30" s="3274">
        <f>ЦО_логистика!BU30+'Форд Тягач'!CT30+'MAN Blue KA1783HI'!CE30+'MAN green KA2790IE'!CE30+'MAN №3 white KA7837HO'!CE30+'MAN №4 white KA3597HO'!CE30+'MAN №5 Тент МД'!BU30</f>
        <v>0</v>
      </c>
      <c r="CU30" s="3274">
        <f>ЦО_логистика!BV30+'Форд Тягач'!CU30+'MAN Blue KA1783HI'!CF30+'MAN green KA2790IE'!CF30+'MAN №3 white KA7837HO'!CF30+'MAN №4 white KA3597HO'!CF30+'MAN №5 Тент МД'!BV30</f>
        <v>0</v>
      </c>
      <c r="CV30" s="3286">
        <f t="shared" si="42"/>
        <v>0</v>
      </c>
      <c r="CW30" s="3284">
        <f t="shared" si="17"/>
        <v>0</v>
      </c>
      <c r="CX30" s="3297"/>
      <c r="CY30" s="3274">
        <f>ЦО_логистика!BZ30+'Форд Тягач'!CY30+'MAN Blue KA1783HI'!CJ30+'MAN green KA2790IE'!CJ30+'MAN №3 white KA7837HO'!CJ30+'MAN №4 white KA3597HO'!CJ30+'MAN №5 Тент МД'!BZ30</f>
        <v>0</v>
      </c>
      <c r="CZ30" s="3274">
        <f>ЦО_логистика!CA30+'Форд Тягач'!CZ30+'MAN Blue KA1783HI'!CK30+'MAN green KA2790IE'!CK30+'MAN №3 white KA7837HO'!CK30+'MAN №4 white KA3597HO'!CK30+'MAN №5 Тент МД'!CA30</f>
        <v>0</v>
      </c>
      <c r="DA30" s="3286">
        <f t="shared" si="43"/>
        <v>0</v>
      </c>
      <c r="DB30" s="3284">
        <f t="shared" si="18"/>
        <v>0</v>
      </c>
      <c r="DC30" s="3297"/>
      <c r="DD30" s="3274">
        <f>ЦО_логистика!CE30+'Форд Тягач'!DD30+'MAN Blue KA1783HI'!CO30+'MAN green KA2790IE'!CO30+'MAN №3 white KA7837HO'!CO30+'MAN №4 white KA3597HO'!CO30+'MAN №5 Тент МД'!CE30</f>
        <v>0</v>
      </c>
      <c r="DE30" s="3274">
        <f>ЦО_логистика!CF30+'Форд Тягач'!DE30+'MAN Blue KA1783HI'!CP30+'MAN green KA2790IE'!CP30+'MAN №3 white KA7837HO'!CP30+'MAN №4 white KA3597HO'!CP30+'MAN №5 Тент МД'!CF30</f>
        <v>0</v>
      </c>
      <c r="DF30" s="3286">
        <f t="shared" si="44"/>
        <v>0</v>
      </c>
      <c r="DG30" s="3284">
        <f t="shared" si="19"/>
        <v>0</v>
      </c>
      <c r="DH30" s="3297"/>
      <c r="DI30" s="3274">
        <f>ЦО_логистика!CJ30+'Форд Тягач'!DI30+'MAN Blue KA1783HI'!CT30+'MAN green KA2790IE'!CT30+'MAN №3 white KA7837HO'!CT30+'MAN №4 white KA3597HO'!CT30+'MAN №5 Тент МД'!CJ30</f>
        <v>0</v>
      </c>
      <c r="DJ30" s="3274">
        <f>ЦО_логистика!CK30+'Форд Тягач'!DJ30+'MAN Blue KA1783HI'!CU30+'MAN green KA2790IE'!CU30+'MAN №3 white KA7837HO'!CU30+'MAN №4 white KA3597HO'!CU30+'MAN №5 Тент МД'!CK30</f>
        <v>0</v>
      </c>
      <c r="DK30" s="3286">
        <f t="shared" si="45"/>
        <v>0</v>
      </c>
      <c r="DL30" s="3284">
        <f t="shared" si="20"/>
        <v>0</v>
      </c>
      <c r="DM30" s="3297"/>
      <c r="DN30" s="3288">
        <f t="shared" si="21"/>
        <v>0</v>
      </c>
      <c r="DO30" s="3288">
        <f t="shared" si="21"/>
        <v>350</v>
      </c>
      <c r="DP30" s="3283">
        <f t="shared" si="36"/>
        <v>350</v>
      </c>
      <c r="DQ30" s="3284">
        <f t="shared" si="53"/>
        <v>1.3247006149617122E-5</v>
      </c>
      <c r="DR30" s="3275"/>
      <c r="DS30" s="916"/>
      <c r="DT30" s="916"/>
    </row>
    <row r="31" spans="1:124" s="1411" customFormat="1" ht="25.2" customHeight="1" x14ac:dyDescent="0.25">
      <c r="A31" s="1586"/>
      <c r="B31" s="3289" t="s">
        <v>34</v>
      </c>
      <c r="C31" s="3274">
        <v>81807.843499999988</v>
      </c>
      <c r="D31" s="3274">
        <v>1490</v>
      </c>
      <c r="E31" s="3283">
        <v>83297.843499999988</v>
      </c>
      <c r="F31" s="3284">
        <v>0.1332215088285589</v>
      </c>
      <c r="G31" s="3295"/>
      <c r="H31" s="3274">
        <v>0</v>
      </c>
      <c r="I31" s="3274">
        <v>1200</v>
      </c>
      <c r="J31" s="3283">
        <v>1200</v>
      </c>
      <c r="K31" s="3284">
        <v>9.9629987301213356E-3</v>
      </c>
      <c r="L31" s="3295">
        <v>0</v>
      </c>
      <c r="M31" s="3274">
        <v>0</v>
      </c>
      <c r="N31" s="3274">
        <v>0</v>
      </c>
      <c r="O31" s="3283">
        <v>0</v>
      </c>
      <c r="P31" s="3284">
        <v>0</v>
      </c>
      <c r="Q31" s="3295">
        <v>0</v>
      </c>
      <c r="R31" s="3288">
        <f>'Форд Тягач'!R31+'MAN Blue KA1783HI'!C31+'MAN green KA2790IE'!C31+'MAN №3 white KA7837HO'!C31+'MAN №4 white KA3597HO'!C31+Техника!R31</f>
        <v>0</v>
      </c>
      <c r="S31" s="3274">
        <f>'Форд Тягач'!S31+'MAN Blue KA1783HI'!D31+'MAN green KA2790IE'!D31+'MAN №3 white KA7837HO'!D31+'MAN №4 white KA3597HO'!D31</f>
        <v>0</v>
      </c>
      <c r="T31" s="3283">
        <f t="shared" si="46"/>
        <v>0</v>
      </c>
      <c r="U31" s="3284">
        <f t="shared" si="0"/>
        <v>0</v>
      </c>
      <c r="V31" s="3296"/>
      <c r="W31" s="3274">
        <f>'Форд Тягач'!W31+'MAN Blue KA1783HI'!H31+'MAN green KA2790IE'!H31+'MAN №3 white KA7837HO'!H31+'MAN №4 white KA3597HO'!H31+Техника!W31</f>
        <v>0</v>
      </c>
      <c r="X31" s="3274">
        <f>'Форд Тягач'!X31+'MAN Blue KA1783HI'!I31+'MAN green KA2790IE'!I31+'MAN №3 white KA7837HO'!I31+'MAN №4 white KA3597HO'!I31</f>
        <v>0</v>
      </c>
      <c r="Y31" s="3283">
        <f t="shared" si="47"/>
        <v>0</v>
      </c>
      <c r="Z31" s="3284">
        <f t="shared" si="24"/>
        <v>0</v>
      </c>
      <c r="AA31" s="3421" t="s">
        <v>1183</v>
      </c>
      <c r="AB31" s="3274">
        <f>ЦО_логистика!C31+'Форд Тягач'!AB31+'MAN Blue KA1783HI'!M31+'MAN green KA2790IE'!M31+'MAN №3 white KA7837HO'!M31+'MAN №4 white KA3597HO'!M31+'MAN №5 Тент МД'!C31</f>
        <v>0</v>
      </c>
      <c r="AC31" s="3274">
        <f>ЦО_логистика!D31+'Форд Тягач'!AC31+'MAN Blue KA1783HI'!N31+'MAN green KA2790IE'!N31+'MAN №3 white KA7837HO'!N31+'MAN №4 white KA3597HO'!N31+'MAN №5 Тент МД'!D31</f>
        <v>1325</v>
      </c>
      <c r="AD31" s="3283">
        <f t="shared" si="48"/>
        <v>1325</v>
      </c>
      <c r="AE31" s="3284">
        <f t="shared" si="2"/>
        <v>1.0366153680058648E-3</v>
      </c>
      <c r="AF31" s="3296"/>
      <c r="AG31" s="3274">
        <f>ЦО_логистика!H31+'Форд Тягач'!AG31+'MAN Blue KA1783HI'!R31+'MAN green KA2790IE'!R31+'MAN №3 white KA7837HO'!R31+'MAN №4 white KA3597HO'!R31+'MAN №5 Тент МД'!H31</f>
        <v>0</v>
      </c>
      <c r="AH31" s="3274">
        <f>ЦО_логистика!I31+'Форд Тягач'!AH31+'MAN Blue KA1783HI'!S31+'MAN green KA2790IE'!S31+'MAN №3 white KA7837HO'!S31+'MAN №4 white KA3597HO'!S31+'MAN №5 Тент МД'!I31</f>
        <v>978.61</v>
      </c>
      <c r="AI31" s="3283">
        <f t="shared" si="49"/>
        <v>978.61</v>
      </c>
      <c r="AJ31" s="3284">
        <f t="shared" si="3"/>
        <v>7.6561672851639207E-4</v>
      </c>
      <c r="AK31" s="3275"/>
      <c r="AL31" s="3274">
        <f>ЦО_логистика!M31+'Форд Тягач'!AL31+'MAN Blue KA1783HI'!W31+'MAN green KA2790IE'!W31+'MAN №3 white KA7837HO'!W31+'MAN №4 white KA3597HO'!W31+'MAN №5 Тент МД'!M31</f>
        <v>1447639</v>
      </c>
      <c r="AM31" s="3274">
        <f>ЦО_логистика!N31+'Форд Тягач'!AM31+'MAN Blue KA1783HI'!X31+'MAN green KA2790IE'!X31+'MAN №3 white KA7837HO'!X31+'MAN №4 white KA3597HO'!X31+'MAN №5 Тент МД'!N31</f>
        <v>0</v>
      </c>
      <c r="AN31" s="3283">
        <f t="shared" si="50"/>
        <v>1447639</v>
      </c>
      <c r="AO31" s="3284">
        <f t="shared" si="4"/>
        <v>1.1325621394148244</v>
      </c>
      <c r="AP31" s="3275" t="str">
        <f>CONCATENATE(ЦО_логистика!Q31,'Форд Тягач'!AP31,'MAN Blue KA1783HI'!AA31,'MAN green KA2790IE'!AA31,'MAN №3 white KA7837HO'!AF31,'MAN №4 white KA3597HO'!AA31,'MAN №5 Тент МД'!Q31)</f>
        <v>16000 - Ладыжин-Броворы;16000 - Ладыжин-Киев; 10000 - БЦ-Кропивницький; 26000 Киев-Ладыжин; 16000 Броворы - Староконстантинов; 28000*2 БЦ-Староконстантинов;м 264930 - перевозка масла; 69103,9 - перевозка масла; 208890 - перевозка масла; 73612 - перевозка масла; 691104 -перевозка масла выставленная в декабре</v>
      </c>
      <c r="AQ31" s="3274">
        <f>SUM(ЦО_логистика!R31,'Форд Тягач'!AQ31,'MAN Blue KA1783HI'!AB31,'MAN green KA2790IE'!AB31,'MAN №3 white KA7837HO'!AB31,'MAN №4 white KA3597HO'!AB31,'MAN №5 Тент МД'!R31)</f>
        <v>0</v>
      </c>
      <c r="AR31" s="3274">
        <f>SUM(ЦО_логистика!S31,'Форд Тягач'!AR31,'MAN Blue KA1783HI'!AC31,'MAN green KA2790IE'!AC31,'MAN №3 white KA7837HO'!AC31,'MAN №4 white KA3597HO'!AC31,'MAN №5 Тент МД'!S31)</f>
        <v>0</v>
      </c>
      <c r="AS31" s="3283">
        <f t="shared" si="51"/>
        <v>0</v>
      </c>
      <c r="AT31" s="3284">
        <f t="shared" si="5"/>
        <v>0</v>
      </c>
      <c r="AU31" s="3275" t="str">
        <f>CONCATENATE(ЦО_логистика!V31,'Форд Тягач'!AU31,'MAN Blue KA1783HI'!AF30,'MAN green KA2790IE'!AF31,'MAN №3 white KA7837HO'!AF31,'MAN №4 white KA3597HO'!AF31,'MAN №5 Тент МД'!V31)</f>
        <v/>
      </c>
      <c r="AV31" s="3275">
        <f>+ЦО_логистика!W31+'Форд Тягач'!AV31+'MAN Blue KA1783HI'!AG31+'MAN green KA2790IE'!AG31+'MAN №3 white KA7837HO'!AG31+'MAN №4 white KA3597HO'!AG31+'MAN №5 Тент МД'!W31</f>
        <v>0</v>
      </c>
      <c r="AW31" s="3275">
        <f>+ЦО_логистика!X31+'Форд Тягач'!AW31+'MAN Blue KA1783HI'!AH31+'MAN green KA2790IE'!AH31+'MAN №3 white KA7837HO'!AH31+'MAN №4 white KA3597HO'!AH31+'MAN №5 Тент МД'!X31</f>
        <v>0</v>
      </c>
      <c r="AX31" s="3283">
        <f t="shared" si="29"/>
        <v>0</v>
      </c>
      <c r="AY31" s="3284">
        <f t="shared" si="6"/>
        <v>0</v>
      </c>
      <c r="AZ31" s="3275"/>
      <c r="BA31" s="3275">
        <f t="shared" si="7"/>
        <v>0</v>
      </c>
      <c r="BB31" s="3275">
        <f t="shared" si="7"/>
        <v>0</v>
      </c>
      <c r="BC31" s="3283">
        <f t="shared" si="30"/>
        <v>0</v>
      </c>
      <c r="BD31" s="3284">
        <f t="shared" si="8"/>
        <v>0</v>
      </c>
      <c r="BE31" s="3275">
        <f>ЦО_логистика!AD31+'Форд Тягач'!BC31+'MAN Blue KA1783HI'!AN31+'MAN green KA2790IE'!AN31+'MAN №3 white KA7837HO'!AN31+'MAN №4 white KA3597HO'!AN31+'MAN №5 Тент МД'!AD31-BC31</f>
        <v>0</v>
      </c>
      <c r="BF31" s="3274">
        <f>ЦО_логистика!AG31+'Форд Тягач'!BF31+'MAN Blue KA1783HI'!AQ31+'MAN green KA2790IE'!AQ31+'MAN №3 white KA7837HO'!AQ31+'MAN №4 white KA3597HO'!AQ31+'MAN №5 Тент МД'!AG31</f>
        <v>0</v>
      </c>
      <c r="BG31" s="3274">
        <f>ЦО_логистика!AH31+'Форд Тягач'!BG31+'MAN Blue KA1783HI'!AR31+'MAN green KA2790IE'!AR31+'MAN №3 white KA7837HO'!AR31+'MAN №4 white KA3597HO'!AR31+'MAN №5 Тент МД'!AH31</f>
        <v>0</v>
      </c>
      <c r="BH31" s="3283">
        <f t="shared" si="31"/>
        <v>0</v>
      </c>
      <c r="BI31" s="3284">
        <f t="shared" si="9"/>
        <v>0</v>
      </c>
      <c r="BJ31" s="3275"/>
      <c r="BK31" s="3275">
        <f>ЦО_логистика!AL31+'Форд Тягач'!BK31+'MAN Blue KA1783HI'!AV31+'MAN green KA2790IE'!AV31+'MAN №3 white KA7837HO'!AV31+'MAN №4 white KA3597HO'!AV31+'MAN №5 Тент МД'!AL31</f>
        <v>0</v>
      </c>
      <c r="BL31" s="3275">
        <f>ЦО_логистика!AM31+'Форд Тягач'!BL31+'MAN Blue KA1783HI'!AW31+'MAN green KA2790IE'!AW31+'MAN №3 white KA7837HO'!AW31+'MAN №4 white KA3597HO'!AW31+'MAN №5 Тент МД'!AM31</f>
        <v>0</v>
      </c>
      <c r="BM31" s="3283">
        <f t="shared" si="52"/>
        <v>0</v>
      </c>
      <c r="BN31" s="3284">
        <f t="shared" si="10"/>
        <v>0</v>
      </c>
      <c r="BO31" s="3275"/>
      <c r="BP31" s="3274">
        <f>ЦО_логистика!AQ31+'Форд Тягач'!BP31+'MAN Blue KA1783HI'!BA31+'MAN green KA2790IE'!BA31+'MAN №3 white KA7837HO'!BA31+'MAN №4 white KA3597HO'!BA31+'MAN №5 Тент МД'!AQ31</f>
        <v>0</v>
      </c>
      <c r="BQ31" s="3274">
        <f>ЦО_логистика!AR31+'Форд Тягач'!BQ31+'MAN Blue KA1783HI'!BB31+'MAN green KA2790IE'!BB31+'MAN №3 white KA7837HO'!BB31+'MAN №4 white KA3597HO'!BB31+'MAN №5 Тент МД'!AR31</f>
        <v>0</v>
      </c>
      <c r="BR31" s="3286">
        <f t="shared" si="33"/>
        <v>0</v>
      </c>
      <c r="BS31" s="3284">
        <f t="shared" si="11"/>
        <v>0</v>
      </c>
      <c r="BT31" s="3297"/>
      <c r="BU31" s="3274">
        <f>ЦО_логистика!AV31+'Форд Тягач'!BU31+'MAN Blue KA1783HI'!BF31+'MAN green KA2790IE'!BF31+'MAN №3 white KA7837HO'!BF31+'MAN №4 white KA3597HO'!BF31+'MAN №5 Тент МД'!AV31</f>
        <v>0</v>
      </c>
      <c r="BV31" s="3274">
        <f>ЦО_логистика!AW31+'Форд Тягач'!BV31+'MAN Blue KA1783HI'!BG31+'MAN green KA2790IE'!BG31+'MAN №3 white KA7837HO'!BG31+'MAN №4 white KA3597HO'!BG31+'MAN №5 Тент МД'!AW31</f>
        <v>0</v>
      </c>
      <c r="BW31" s="3286">
        <f t="shared" si="37"/>
        <v>0</v>
      </c>
      <c r="BX31" s="3284">
        <f t="shared" si="12"/>
        <v>0</v>
      </c>
      <c r="BY31" s="3297"/>
      <c r="BZ31" s="3274">
        <f>ЦО_логистика!BA31+'Форд Тягач'!BZ31+'MAN Blue KA1783HI'!BK31+'MAN green KA2790IE'!BK31+'MAN №3 white KA7837HO'!BK31+'MAN №4 white KA3597HO'!BK31+'MAN №5 Тент МД'!BA31</f>
        <v>0</v>
      </c>
      <c r="CA31" s="3274">
        <f>ЦО_логистика!BB31+'Форд Тягач'!CA31+'MAN Blue KA1783HI'!BL31+'MAN green KA2790IE'!BL31+'MAN №3 white KA7837HO'!BL31+'MAN №4 white KA3597HO'!BL31+'MAN №5 Тент МД'!BB31</f>
        <v>0</v>
      </c>
      <c r="CB31" s="3286">
        <f t="shared" si="38"/>
        <v>0</v>
      </c>
      <c r="CC31" s="3284">
        <f t="shared" si="13"/>
        <v>0</v>
      </c>
      <c r="CD31" s="3297"/>
      <c r="CE31" s="3274">
        <f>ЦО_логистика!BF31+'Форд Тягач'!CE31+'MAN Blue KA1783HI'!BP31+'MAN green KA2790IE'!BP31+'MAN №3 white KA7837HO'!BP31+'MAN №4 white KA3597HO'!BP31+'MAN №5 Тент МД'!BF31</f>
        <v>0</v>
      </c>
      <c r="CF31" s="3274">
        <f>ЦО_логистика!BG31+'Форд Тягач'!CF31+'MAN Blue KA1783HI'!BQ31+'MAN green KA2790IE'!BQ31+'MAN №3 white KA7837HO'!BQ31+'MAN №4 white KA3597HO'!BQ31+'MAN №5 Тент МД'!BG31</f>
        <v>0</v>
      </c>
      <c r="CG31" s="3286">
        <f t="shared" si="39"/>
        <v>0</v>
      </c>
      <c r="CH31" s="3284">
        <f t="shared" si="14"/>
        <v>0</v>
      </c>
      <c r="CI31" s="3297"/>
      <c r="CJ31" s="3274">
        <f>ЦО_логистика!BK31+'Форд Тягач'!CJ31+'MAN Blue KA1783HI'!BU31+'MAN green KA2790IE'!BU31+'MAN №3 white KA7837HO'!BU31+'MAN №4 white KA3597HO'!BU31+'MAN №5 Тент МД'!BK31</f>
        <v>0</v>
      </c>
      <c r="CK31" s="3274">
        <f>ЦО_логистика!BL31+'Форд Тягач'!CK31+'MAN Blue KA1783HI'!BV31+'MAN green KA2790IE'!BV31+'MAN №3 white KA7837HO'!BV31+'MAN №4 white KA3597HO'!BV31+'MAN №5 Тент МД'!BL31</f>
        <v>0</v>
      </c>
      <c r="CL31" s="3286">
        <f t="shared" si="40"/>
        <v>0</v>
      </c>
      <c r="CM31" s="3284">
        <f t="shared" si="15"/>
        <v>0</v>
      </c>
      <c r="CN31" s="3297"/>
      <c r="CO31" s="3274">
        <f>ЦО_логистика!BP31+'Форд Тягач'!CO31+'MAN Blue KA1783HI'!BZ31+'MAN green KA2790IE'!BZ31+'MAN №3 white KA7837HO'!BZ31+'MAN №4 white KA3597HO'!BZ31+'MAN №5 Тент МД'!BP31</f>
        <v>0</v>
      </c>
      <c r="CP31" s="3274">
        <f>ЦО_логистика!BQ31+'Форд Тягач'!CP31+'MAN Blue KA1783HI'!CA31+'MAN green KA2790IE'!CA31+'MAN №3 white KA7837HO'!CA31+'MAN №4 white KA3597HO'!CA31+'MAN №5 Тент МД'!BQ31</f>
        <v>0</v>
      </c>
      <c r="CQ31" s="3286">
        <f t="shared" si="41"/>
        <v>0</v>
      </c>
      <c r="CR31" s="3284">
        <f t="shared" si="16"/>
        <v>0</v>
      </c>
      <c r="CS31" s="3297"/>
      <c r="CT31" s="3274">
        <f>ЦО_логистика!BU31+'Форд Тягач'!CT31+'MAN Blue KA1783HI'!CE31+'MAN green KA2790IE'!CE31+'MAN №3 white KA7837HO'!CE31+'MAN №4 white KA3597HO'!CE31+'MAN №5 Тент МД'!BU31</f>
        <v>0</v>
      </c>
      <c r="CU31" s="3274">
        <f>ЦО_логистика!BV31+'Форд Тягач'!CU31+'MAN Blue KA1783HI'!CF31+'MAN green KA2790IE'!CF31+'MAN №3 white KA7837HO'!CF31+'MAN №4 white KA3597HO'!CF31+'MAN №5 Тент МД'!BV31</f>
        <v>0</v>
      </c>
      <c r="CV31" s="3286">
        <f t="shared" si="42"/>
        <v>0</v>
      </c>
      <c r="CW31" s="3284">
        <f t="shared" si="17"/>
        <v>0</v>
      </c>
      <c r="CX31" s="3297"/>
      <c r="CY31" s="3274">
        <f>ЦО_логистика!BZ31+'Форд Тягач'!CY31+'MAN Blue KA1783HI'!CJ31+'MAN green KA2790IE'!CJ31+'MAN №3 white KA7837HO'!CJ31+'MAN №4 white KA3597HO'!CJ31+'MAN №5 Тент МД'!BZ31</f>
        <v>0</v>
      </c>
      <c r="CZ31" s="3274">
        <f>ЦО_логистика!CA31+'Форд Тягач'!CZ31+'MAN Blue KA1783HI'!CK31+'MAN green KA2790IE'!CK31+'MAN №3 white KA7837HO'!CK31+'MAN №4 white KA3597HO'!CK31+'MAN №5 Тент МД'!CA31</f>
        <v>0</v>
      </c>
      <c r="DA31" s="3286">
        <f t="shared" si="43"/>
        <v>0</v>
      </c>
      <c r="DB31" s="3284">
        <f t="shared" si="18"/>
        <v>0</v>
      </c>
      <c r="DC31" s="3297"/>
      <c r="DD31" s="3274">
        <f>ЦО_логистика!CE31+'Форд Тягач'!DD31+'MAN Blue KA1783HI'!CO31+'MAN green KA2790IE'!CO31+'MAN №3 white KA7837HO'!CO31+'MAN №4 white KA3597HO'!CO31+'MAN №5 Тент МД'!CE31</f>
        <v>0</v>
      </c>
      <c r="DE31" s="3274">
        <f>ЦО_логистика!CF31+'Форд Тягач'!DE31+'MAN Blue KA1783HI'!CP31+'MAN green KA2790IE'!CP31+'MAN №3 white KA7837HO'!CP31+'MAN №4 white KA3597HO'!CP31+'MAN №5 Тент МД'!CF31</f>
        <v>0</v>
      </c>
      <c r="DF31" s="3286">
        <f t="shared" si="44"/>
        <v>0</v>
      </c>
      <c r="DG31" s="3284">
        <f t="shared" si="19"/>
        <v>0</v>
      </c>
      <c r="DH31" s="3297"/>
      <c r="DI31" s="3274">
        <f>ЦО_логистика!CJ31+'Форд Тягач'!DI31+'MAN Blue KA1783HI'!CT31+'MAN green KA2790IE'!CT31+'MAN №3 white KA7837HO'!CT31+'MAN №4 white KA3597HO'!CT31+'MAN №5 Тент МД'!CJ31</f>
        <v>0</v>
      </c>
      <c r="DJ31" s="3274">
        <f>ЦО_логистика!CK31+'Форд Тягач'!DJ31+'MAN Blue KA1783HI'!CU31+'MAN green KA2790IE'!CU31+'MAN №3 white KA7837HO'!CU31+'MAN №4 white KA3597HO'!CU31+'MAN №5 Тент МД'!CK31</f>
        <v>0</v>
      </c>
      <c r="DK31" s="3286">
        <f t="shared" si="45"/>
        <v>0</v>
      </c>
      <c r="DL31" s="3284">
        <f t="shared" si="20"/>
        <v>0</v>
      </c>
      <c r="DM31" s="3297"/>
      <c r="DN31" s="3288">
        <f t="shared" si="21"/>
        <v>1447639</v>
      </c>
      <c r="DO31" s="3288">
        <f t="shared" si="21"/>
        <v>2303.61</v>
      </c>
      <c r="DP31" s="3283">
        <f t="shared" si="36"/>
        <v>1449942.61</v>
      </c>
      <c r="DQ31" s="3284">
        <f t="shared" si="53"/>
        <v>5.4878281917891146E-2</v>
      </c>
      <c r="DR31" s="3275"/>
      <c r="DS31" s="916"/>
      <c r="DT31" s="916"/>
    </row>
    <row r="32" spans="1:124" s="1411" customFormat="1" ht="25.2" customHeight="1" x14ac:dyDescent="0.25">
      <c r="A32" s="1586"/>
      <c r="B32" s="3298" t="s">
        <v>2</v>
      </c>
      <c r="C32" s="3274">
        <v>0</v>
      </c>
      <c r="D32" s="3274">
        <v>5000</v>
      </c>
      <c r="E32" s="3283">
        <v>5000</v>
      </c>
      <c r="F32" s="3284">
        <v>7.9966961466750898E-3</v>
      </c>
      <c r="G32" s="3390"/>
      <c r="H32" s="3274">
        <v>0</v>
      </c>
      <c r="I32" s="3274">
        <v>0</v>
      </c>
      <c r="J32" s="3283">
        <v>0</v>
      </c>
      <c r="K32" s="3284">
        <v>0</v>
      </c>
      <c r="L32" s="3390">
        <v>0</v>
      </c>
      <c r="M32" s="3274">
        <v>0</v>
      </c>
      <c r="N32" s="3274">
        <v>0</v>
      </c>
      <c r="O32" s="3283">
        <v>0</v>
      </c>
      <c r="P32" s="3284">
        <v>0</v>
      </c>
      <c r="Q32" s="3390">
        <v>0</v>
      </c>
      <c r="R32" s="3288">
        <f>'Форд Тягач'!R32+'MAN Blue KA1783HI'!C32+'MAN green KA2790IE'!C32+'MAN №3 white KA7837HO'!C32+'MAN №4 white KA3597HO'!C32</f>
        <v>15374.52</v>
      </c>
      <c r="S32" s="3274">
        <f>'Форд Тягач'!S32+'MAN Blue KA1783HI'!D32+'MAN green KA2790IE'!D32+'MAN №3 white KA7837HO'!D32+'MAN №4 white KA3597HO'!D32</f>
        <v>37500</v>
      </c>
      <c r="T32" s="3283">
        <f t="shared" si="46"/>
        <v>52874.520000000004</v>
      </c>
      <c r="U32" s="3284">
        <f t="shared" si="0"/>
        <v>4.0452398411720082E-2</v>
      </c>
      <c r="V32" s="3299"/>
      <c r="W32" s="3274">
        <f>'Форд Тягач'!W32+'MAN Blue KA1783HI'!H32+'MAN green KA2790IE'!H32+'MAN №3 white KA7837HO'!H32+'MAN №4 white KA3597HO'!H32+Техника!W32</f>
        <v>25723.128000000001</v>
      </c>
      <c r="X32" s="3274">
        <f>'Форд Тягач'!X32+'MAN Blue KA1783HI'!I32+'MAN green KA2790IE'!I32+'MAN №3 white KA7837HO'!I32+'MAN №4 white KA3597HO'!I32+200+10800</f>
        <v>66200</v>
      </c>
      <c r="Y32" s="3283">
        <f t="shared" si="47"/>
        <v>91923.127999999997</v>
      </c>
      <c r="Z32" s="3284">
        <f t="shared" si="24"/>
        <v>7.0327087548171435E-2</v>
      </c>
      <c r="AA32" s="3421" t="s">
        <v>1192</v>
      </c>
      <c r="AB32" s="3274">
        <f>ЦО_логистика!C32+'Форд Тягач'!AB32+'MAN Blue KA1783HI'!M32+'MAN green KA2790IE'!M32+'MAN №3 white KA7837HO'!M32+'MAN №4 white KA3597HO'!M32+'MAN №5 Тент МД'!C32</f>
        <v>11688.27</v>
      </c>
      <c r="AC32" s="3274">
        <f>ЦО_логистика!D32+'Форд Тягач'!AC32+'MAN Blue KA1783HI'!N32+'MAN green KA2790IE'!N32+'MAN №3 white KA7837HO'!N32+'MAN №4 white KA3597HO'!N32+'MAN №5 Тент МД'!D32</f>
        <v>6270</v>
      </c>
      <c r="AD32" s="3283">
        <f t="shared" si="48"/>
        <v>17958.27</v>
      </c>
      <c r="AE32" s="3284">
        <f t="shared" si="2"/>
        <v>1.4049674463999006E-2</v>
      </c>
      <c r="AF32" s="3299"/>
      <c r="AG32" s="3274">
        <f>ЦО_логистика!H32+'Форд Тягач'!AG32+'MAN Blue KA1783HI'!R32+'MAN green KA2790IE'!R32+'MAN №3 white KA7837HO'!R32+'MAN №4 white KA3597HO'!R32+'MAN №5 Тент МД'!H32</f>
        <v>27848</v>
      </c>
      <c r="AH32" s="3274">
        <f>ЦО_логистика!I32+'Форд Тягач'!AH32+'MAN Blue KA1783HI'!S32+'MAN green KA2790IE'!S32+'MAN №3 white KA7837HO'!S32+'MAN №4 white KA3597HO'!S32+'MAN №5 Тент МД'!I32</f>
        <v>35700</v>
      </c>
      <c r="AI32" s="3283">
        <f t="shared" si="49"/>
        <v>63548</v>
      </c>
      <c r="AJ32" s="3284">
        <f t="shared" si="3"/>
        <v>4.9716855400782418E-2</v>
      </c>
      <c r="AK32" s="3299"/>
      <c r="AL32" s="3274">
        <f>ЦО_логистика!M32+'Форд Тягач'!AL32+'MAN Blue KA1783HI'!W32+'MAN green KA2790IE'!W32+'MAN №3 white KA7837HO'!W32+'MAN №4 white KA3597HO'!W32+'MAN №5 Тент МД'!M32</f>
        <v>0</v>
      </c>
      <c r="AM32" s="3274">
        <f>ЦО_логистика!N32+'Форд Тягач'!AM32+'MAN Blue KA1783HI'!X32+'MAN green KA2790IE'!X32+'MAN №3 white KA7837HO'!X32+'MAN №4 white KA3597HO'!X32+'MAN №5 Тент МД'!N32</f>
        <v>34200</v>
      </c>
      <c r="AN32" s="3283">
        <f t="shared" si="50"/>
        <v>34200</v>
      </c>
      <c r="AO32" s="3284">
        <f t="shared" si="4"/>
        <v>2.6756411762868363E-2</v>
      </c>
      <c r="AP32" s="3275" t="str">
        <f>CONCATENATE(ЦО_логистика!Q32,'Форд Тягач'!AP32,'MAN Blue KA1783HI'!AA32,'MAN green KA2790IE'!AA32,'MAN №3 white KA7837HO'!AF32,'MAN №4 white KA3597HO'!AA32,'MAN №5 Тент МД'!Q32)</f>
        <v>Ф2 34 000 постановка на учет 2 компании, 200 прохождение ОТК</v>
      </c>
      <c r="AQ32" s="3274">
        <f>SUM(ЦО_логистика!R32,'Форд Тягач'!AQ32,'MAN Blue KA1783HI'!AB32,'MAN green KA2790IE'!AB32,'MAN №3 white KA7837HO'!AB32,'MAN №4 white KA3597HO'!AB32,'MAN №5 Тент МД'!R32)</f>
        <v>6567</v>
      </c>
      <c r="AR32" s="3274">
        <f>SUM(ЦО_логистика!S32,'Форд Тягач'!AR32,'MAN Blue KA1783HI'!AC32,'MAN green KA2790IE'!AC32,'MAN №3 white KA7837HO'!AC32,'MAN №4 white KA3597HO'!AC32,'MAN №5 Тент МД'!S32)</f>
        <v>1584</v>
      </c>
      <c r="AS32" s="3283">
        <f t="shared" si="51"/>
        <v>8151</v>
      </c>
      <c r="AT32" s="3284">
        <f t="shared" si="5"/>
        <v>6.3769448034836258E-3</v>
      </c>
      <c r="AU32" s="3275" t="str">
        <f>CONCATENATE(ЦО_логистика!V32,'Форд Тягач'!AU32,'MAN Blue KA1783HI'!AF31,'MAN green KA2790IE'!AF32,'MAN №3 white KA7837HO'!AF32,'MAN №4 white KA3597HO'!AF32,'MAN №5 Тент МД'!V32)</f>
        <v>Ф1:  Проверка ЕКМТ; Сертификат МСТО; KOGEL страховка; Техпаспорт прицепа.                                          Ф2: Накладные CMR</v>
      </c>
      <c r="AV32" s="3275">
        <f>+ЦО_логистика!W32+'Форд Тягач'!AV32+'MAN Blue KA1783HI'!AG32+'MAN green KA2790IE'!AG32+'MAN №3 white KA7837HO'!AG32+'MAN №4 white KA3597HO'!AG32+'MAN №5 Тент МД'!W32</f>
        <v>67228.850000000006</v>
      </c>
      <c r="AW32" s="3275">
        <f>+ЦО_логистика!X32+'Форд Тягач'!AW32+'MAN Blue KA1783HI'!AH32+'MAN green KA2790IE'!AH32+'MAN №3 white KA7837HO'!AH32+'MAN №4 white KA3597HO'!AH32+'MAN №5 Тент МД'!X32</f>
        <v>12000</v>
      </c>
      <c r="AX32" s="3283">
        <f t="shared" si="29"/>
        <v>79228.850000000006</v>
      </c>
      <c r="AY32" s="3284">
        <f t="shared" si="6"/>
        <v>6.1984787546740736E-2</v>
      </c>
      <c r="AZ32" s="3275"/>
      <c r="BA32" s="3275">
        <f t="shared" si="7"/>
        <v>17996</v>
      </c>
      <c r="BB32" s="3275">
        <f t="shared" si="7"/>
        <v>0</v>
      </c>
      <c r="BC32" s="3283">
        <f t="shared" si="30"/>
        <v>17996</v>
      </c>
      <c r="BD32" s="3284">
        <f t="shared" si="8"/>
        <v>1.4079192575572486E-2</v>
      </c>
      <c r="BE32" s="3275">
        <f>ЦО_логистика!AD32+'Форд Тягач'!BC32+'MAN Blue KA1783HI'!AN32+'MAN green KA2790IE'!AN32+'MAN №3 white KA7837HO'!AN32+'MAN №4 white KA3597HO'!AN32+'MAN №5 Тент МД'!AD32-BC32</f>
        <v>0</v>
      </c>
      <c r="BF32" s="3274">
        <f>ЦО_логистика!AG32+'Форд Тягач'!BF32+'MAN Blue KA1783HI'!AQ32+'MAN green KA2790IE'!AQ32+'MAN №3 white KA7837HO'!AQ32+'MAN №4 white KA3597HO'!AQ32+'MAN №5 Тент МД'!AG32</f>
        <v>17996</v>
      </c>
      <c r="BG32" s="3274">
        <f>ЦО_логистика!AH32+'Форд Тягач'!BG32+'MAN Blue KA1783HI'!AR32+'MAN green KA2790IE'!AR32+'MAN №3 white KA7837HO'!AR32+'MAN №4 white KA3597HO'!AR32+'MAN №5 Тент МД'!AH32</f>
        <v>0</v>
      </c>
      <c r="BH32" s="3283">
        <f t="shared" si="31"/>
        <v>17996</v>
      </c>
      <c r="BI32" s="3284">
        <f t="shared" si="9"/>
        <v>1.4079192575572486E-2</v>
      </c>
      <c r="BJ32" s="3275"/>
      <c r="BK32" s="3275">
        <f>ЦО_логистика!AL32+'Форд Тягач'!BK32+'MAN Blue KA1783HI'!AV32+'MAN green KA2790IE'!AV32+'MAN №3 white KA7837HO'!AV32+'MAN №4 white KA3597HO'!AV32+'MAN №5 Тент МД'!AL32</f>
        <v>0</v>
      </c>
      <c r="BL32" s="3275">
        <f>ЦО_логистика!AM32+'Форд Тягач'!BL32+'MAN Blue KA1783HI'!AW32+'MAN green KA2790IE'!AW32+'MAN №3 white KA7837HO'!AW32+'MAN №4 white KA3597HO'!AW32+'MAN №5 Тент МД'!AM32</f>
        <v>0</v>
      </c>
      <c r="BM32" s="3283">
        <f t="shared" si="52"/>
        <v>0</v>
      </c>
      <c r="BN32" s="3284">
        <f t="shared" si="10"/>
        <v>0</v>
      </c>
      <c r="BO32" s="3275"/>
      <c r="BP32" s="3274">
        <f>ЦО_логистика!AQ32+'Форд Тягач'!BP32+'MAN Blue KA1783HI'!BA32+'MAN green KA2790IE'!BA32+'MAN №3 white KA7837HO'!BA32+'MAN №4 white KA3597HO'!BA32+'MAN №5 Тент МД'!AQ32</f>
        <v>0</v>
      </c>
      <c r="BQ32" s="3274">
        <f>ЦО_логистика!AR32+'Форд Тягач'!BQ32+'MAN Blue KA1783HI'!BB32+'MAN green KA2790IE'!BB32+'MAN №3 white KA7837HO'!BB32+'MAN №4 white KA3597HO'!BB32+'MAN №5 Тент МД'!AR32</f>
        <v>0</v>
      </c>
      <c r="BR32" s="3286">
        <f t="shared" si="33"/>
        <v>0</v>
      </c>
      <c r="BS32" s="3284">
        <f t="shared" si="11"/>
        <v>0</v>
      </c>
      <c r="BT32" s="3291"/>
      <c r="BU32" s="3274">
        <f>ЦО_логистика!AV32+'Форд Тягач'!BU32+'MAN Blue KA1783HI'!BF32+'MAN green KA2790IE'!BF32+'MAN №3 white KA7837HO'!BF32+'MAN №4 white KA3597HO'!BF32+'MAN №5 Тент МД'!AV32</f>
        <v>0</v>
      </c>
      <c r="BV32" s="3274">
        <f>ЦО_логистика!AW32+'Форд Тягач'!BV32+'MAN Blue KA1783HI'!BG32+'MAN green KA2790IE'!BG32+'MAN №3 white KA7837HO'!BG32+'MAN №4 white KA3597HO'!BG32+'MAN №5 Тент МД'!AW32</f>
        <v>0</v>
      </c>
      <c r="BW32" s="3286">
        <f t="shared" si="37"/>
        <v>0</v>
      </c>
      <c r="BX32" s="3284">
        <f t="shared" si="12"/>
        <v>0</v>
      </c>
      <c r="BY32" s="3291"/>
      <c r="BZ32" s="3274">
        <f>ЦО_логистика!BA32+'Форд Тягач'!BZ32+'MAN Blue KA1783HI'!BK32+'MAN green KA2790IE'!BK32+'MAN №3 white KA7837HO'!BK32+'MAN №4 white KA3597HO'!BK32+'MAN №5 Тент МД'!BA32</f>
        <v>0</v>
      </c>
      <c r="CA32" s="3274">
        <f>ЦО_логистика!BB32+'Форд Тягач'!CA32+'MAN Blue KA1783HI'!BL32+'MAN green KA2790IE'!BL32+'MAN №3 white KA7837HO'!BL32+'MAN №4 white KA3597HO'!BL32+'MAN №5 Тент МД'!BB32</f>
        <v>0</v>
      </c>
      <c r="CB32" s="3286">
        <f t="shared" si="38"/>
        <v>0</v>
      </c>
      <c r="CC32" s="3284">
        <f t="shared" si="13"/>
        <v>0</v>
      </c>
      <c r="CD32" s="3291"/>
      <c r="CE32" s="3274">
        <f>ЦО_логистика!BF32+'Форд Тягач'!CE32+'MAN Blue KA1783HI'!BP32+'MAN green KA2790IE'!BP32+'MAN №3 white KA7837HO'!BP32+'MAN №4 white KA3597HO'!BP32+'MAN №5 Тент МД'!BF32</f>
        <v>0</v>
      </c>
      <c r="CF32" s="3274">
        <f>ЦО_логистика!BG32+'Форд Тягач'!CF32+'MAN Blue KA1783HI'!BQ32+'MAN green KA2790IE'!BQ32+'MAN №3 white KA7837HO'!BQ32+'MAN №4 white KA3597HO'!BQ32+'MAN №5 Тент МД'!BG32</f>
        <v>0</v>
      </c>
      <c r="CG32" s="3286">
        <f t="shared" si="39"/>
        <v>0</v>
      </c>
      <c r="CH32" s="3284">
        <f t="shared" si="14"/>
        <v>0</v>
      </c>
      <c r="CI32" s="3291"/>
      <c r="CJ32" s="3274">
        <f>ЦО_логистика!BK32+'Форд Тягач'!CJ32+'MAN Blue KA1783HI'!BU32+'MAN green KA2790IE'!BU32+'MAN №3 white KA7837HO'!BU32+'MAN №4 white KA3597HO'!BU32+'MAN №5 Тент МД'!BK32</f>
        <v>0</v>
      </c>
      <c r="CK32" s="3274">
        <f>ЦО_логистика!BL32+'Форд Тягач'!CK32+'MAN Blue KA1783HI'!BV32+'MAN green KA2790IE'!BV32+'MAN №3 white KA7837HO'!BV32+'MAN №4 white KA3597HO'!BV32+'MAN №5 Тент МД'!BL32</f>
        <v>0</v>
      </c>
      <c r="CL32" s="3286">
        <f t="shared" si="40"/>
        <v>0</v>
      </c>
      <c r="CM32" s="3284">
        <f t="shared" si="15"/>
        <v>0</v>
      </c>
      <c r="CN32" s="3291"/>
      <c r="CO32" s="3274">
        <f>ЦО_логистика!BP32+'Форд Тягач'!CO32+'MAN Blue KA1783HI'!BZ32+'MAN green KA2790IE'!BZ32+'MAN №3 white KA7837HO'!BZ32+'MAN №4 white KA3597HO'!BZ32+'MAN №5 Тент МД'!BP32</f>
        <v>0</v>
      </c>
      <c r="CP32" s="3274">
        <f>ЦО_логистика!BQ32+'Форд Тягач'!CP32+'MAN Blue KA1783HI'!CA32+'MAN green KA2790IE'!CA32+'MAN №3 white KA7837HO'!CA32+'MAN №4 white KA3597HO'!CA32+'MAN №5 Тент МД'!BQ32</f>
        <v>0</v>
      </c>
      <c r="CQ32" s="3286">
        <f t="shared" si="41"/>
        <v>0</v>
      </c>
      <c r="CR32" s="3284">
        <f t="shared" si="16"/>
        <v>0</v>
      </c>
      <c r="CS32" s="3291"/>
      <c r="CT32" s="3274">
        <f>ЦО_логистика!BU32+'Форд Тягач'!CT32+'MAN Blue KA1783HI'!CE32+'MAN green KA2790IE'!CE32+'MAN №3 white KA7837HO'!CE32+'MAN №4 white KA3597HO'!CE32+'MAN №5 Тент МД'!BU32</f>
        <v>0</v>
      </c>
      <c r="CU32" s="3274">
        <f>ЦО_логистика!BV32+'Форд Тягач'!CU32+'MAN Blue KA1783HI'!CF32+'MAN green KA2790IE'!CF32+'MAN №3 white KA7837HO'!CF32+'MAN №4 white KA3597HO'!CF32+'MAN №5 Тент МД'!BV32</f>
        <v>0</v>
      </c>
      <c r="CV32" s="3286">
        <f t="shared" si="42"/>
        <v>0</v>
      </c>
      <c r="CW32" s="3284">
        <f t="shared" si="17"/>
        <v>0</v>
      </c>
      <c r="CX32" s="3291"/>
      <c r="CY32" s="3274">
        <f>ЦО_логистика!BZ32+'Форд Тягач'!CY32+'MAN Blue KA1783HI'!CJ32+'MAN green KA2790IE'!CJ32+'MAN №3 white KA7837HO'!CJ32+'MAN №4 white KA3597HO'!CJ32+'MAN №5 Тент МД'!BZ32</f>
        <v>0</v>
      </c>
      <c r="CZ32" s="3274">
        <f>ЦО_логистика!CA32+'Форд Тягач'!CZ32+'MAN Blue KA1783HI'!CK32+'MAN green KA2790IE'!CK32+'MAN №3 white KA7837HO'!CK32+'MAN №4 white KA3597HO'!CK32+'MAN №5 Тент МД'!CA32</f>
        <v>0</v>
      </c>
      <c r="DA32" s="3286">
        <f t="shared" si="43"/>
        <v>0</v>
      </c>
      <c r="DB32" s="3284">
        <f t="shared" si="18"/>
        <v>0</v>
      </c>
      <c r="DC32" s="3291"/>
      <c r="DD32" s="3274">
        <f>ЦО_логистика!CE32+'Форд Тягач'!DD32+'MAN Blue KA1783HI'!CO32+'MAN green KA2790IE'!CO32+'MAN №3 white KA7837HO'!CO32+'MAN №4 white KA3597HO'!CO32+'MAN №5 Тент МД'!CE32</f>
        <v>0</v>
      </c>
      <c r="DE32" s="3274">
        <f>ЦО_логистика!CF32+'Форд Тягач'!DE32+'MAN Blue KA1783HI'!CP32+'MAN green KA2790IE'!CP32+'MAN №3 white KA7837HO'!CP32+'MAN №4 white KA3597HO'!CP32+'MAN №5 Тент МД'!CF32</f>
        <v>0</v>
      </c>
      <c r="DF32" s="3286">
        <f t="shared" si="44"/>
        <v>0</v>
      </c>
      <c r="DG32" s="3284">
        <f t="shared" si="19"/>
        <v>0</v>
      </c>
      <c r="DH32" s="3291"/>
      <c r="DI32" s="3274">
        <f>ЦО_логистика!CJ32+'Форд Тягач'!DI32+'MAN Blue KA1783HI'!CT32+'MAN green KA2790IE'!CT32+'MAN №3 white KA7837HO'!CT32+'MAN №4 white KA3597HO'!CT32+'MAN №5 Тент МД'!CJ32</f>
        <v>0</v>
      </c>
      <c r="DJ32" s="3274">
        <f>ЦО_логистика!CK32+'Форд Тягач'!DJ32+'MAN Blue KA1783HI'!CU32+'MAN green KA2790IE'!CU32+'MAN №3 white KA7837HO'!CU32+'MAN №4 white KA3597HO'!CU32+'MAN №5 Тент МД'!CK32</f>
        <v>0</v>
      </c>
      <c r="DK32" s="3286">
        <f t="shared" si="45"/>
        <v>0</v>
      </c>
      <c r="DL32" s="3284">
        <f t="shared" si="20"/>
        <v>0</v>
      </c>
      <c r="DM32" s="3291"/>
      <c r="DN32" s="3288">
        <f t="shared" si="21"/>
        <v>172425.76800000001</v>
      </c>
      <c r="DO32" s="3288">
        <f t="shared" si="21"/>
        <v>193454</v>
      </c>
      <c r="DP32" s="3283">
        <f>DN32+DO32*1</f>
        <v>365879.76800000004</v>
      </c>
      <c r="DQ32" s="3284">
        <f t="shared" si="53"/>
        <v>1.3848032962047103E-2</v>
      </c>
      <c r="DR32" s="3275"/>
      <c r="DS32" s="916"/>
      <c r="DT32" s="916"/>
    </row>
    <row r="33" spans="1:124" s="1411" customFormat="1" ht="25.2" customHeight="1" thickBot="1" x14ac:dyDescent="0.3">
      <c r="A33" s="1586"/>
      <c r="B33" s="3144" t="s">
        <v>75</v>
      </c>
      <c r="C33" s="3314">
        <v>0</v>
      </c>
      <c r="D33" s="3314">
        <v>0</v>
      </c>
      <c r="E33" s="3305">
        <v>0</v>
      </c>
      <c r="F33" s="2883">
        <v>0</v>
      </c>
      <c r="G33" s="2885"/>
      <c r="H33" s="3314">
        <v>0</v>
      </c>
      <c r="I33" s="3314">
        <v>0</v>
      </c>
      <c r="J33" s="3305">
        <v>0</v>
      </c>
      <c r="K33" s="2883">
        <v>0</v>
      </c>
      <c r="L33" s="2885">
        <v>0</v>
      </c>
      <c r="M33" s="3314">
        <v>0</v>
      </c>
      <c r="N33" s="3314">
        <v>0</v>
      </c>
      <c r="O33" s="3305">
        <v>0</v>
      </c>
      <c r="P33" s="2883">
        <v>0</v>
      </c>
      <c r="Q33" s="2885">
        <v>0</v>
      </c>
      <c r="R33" s="3300">
        <f>'Форд Тягач'!R33+'MAN Blue KA1783HI'!C33+'MAN green KA2790IE'!C33+'MAN №3 white KA7837HO'!C33+'MAN №4 white KA3597HO'!C33+Техника!R33</f>
        <v>0</v>
      </c>
      <c r="S33" s="3301">
        <f>'Форд Тягач'!S33+'MAN Blue KA1783HI'!D33+'MAN green KA2790IE'!D33+'MAN №3 white KA7837HO'!D33+'MAN №4 white KA3597HO'!D33+Техника!S33</f>
        <v>0</v>
      </c>
      <c r="T33" s="3302">
        <f t="shared" si="46"/>
        <v>0</v>
      </c>
      <c r="U33" s="2883">
        <f t="shared" si="0"/>
        <v>0</v>
      </c>
      <c r="V33" s="2885"/>
      <c r="W33" s="3301">
        <f>'Форд Тягач'!W33+'MAN Blue KA1783HI'!H33+'MAN green KA2790IE'!H33+'MAN №3 white KA7837HO'!H33+'MAN №4 white KA3597HO'!H33</f>
        <v>0</v>
      </c>
      <c r="X33" s="3301">
        <f>'Форд Тягач'!X33+'MAN Blue KA1783HI'!I33+'MAN green KA2790IE'!I33+'MAN №3 white KA7837HO'!I33+'MAN №4 white KA3597HO'!I33+98</f>
        <v>98</v>
      </c>
      <c r="Y33" s="3302">
        <f t="shared" si="47"/>
        <v>98</v>
      </c>
      <c r="Z33" s="2883">
        <f t="shared" si="24"/>
        <v>7.4976284311395507E-5</v>
      </c>
      <c r="AA33" s="2885"/>
      <c r="AB33" s="3301">
        <f>ЦО_логистика!C33+'Форд Тягач'!AB33+'MAN Blue KA1783HI'!M33+'MAN green KA2790IE'!M33+'MAN №3 white KA7837HO'!M33+'MAN №4 white KA3597HO'!M33+'MAN №5 Тент МД'!C33</f>
        <v>0</v>
      </c>
      <c r="AC33" s="3301">
        <f>ЦО_логистика!D33+'Форд Тягач'!AC33+'MAN Blue KA1783HI'!N33+'MAN green KA2790IE'!N33+'MAN №3 white KA7837HO'!N33+'MAN №4 white KA3597HO'!N33+'MAN №5 Тент МД'!D33</f>
        <v>0</v>
      </c>
      <c r="AD33" s="3302">
        <f t="shared" si="48"/>
        <v>0</v>
      </c>
      <c r="AE33" s="2883">
        <f t="shared" si="2"/>
        <v>0</v>
      </c>
      <c r="AF33" s="2885"/>
      <c r="AG33" s="3301">
        <f>ЦО_логистика!H33+'Форд Тягач'!AG33+'MAN Blue KA1783HI'!R33+'MAN green KA2790IE'!R33+'MAN №3 white KA7837HO'!R33+'MAN №4 white KA3597HO'!R33+'MAN №5 Тент МД'!H33</f>
        <v>0</v>
      </c>
      <c r="AH33" s="3301">
        <f>ЦО_логистика!I33+'Форд Тягач'!AH33+'MAN Blue KA1783HI'!S33+'MAN green KA2790IE'!S33+'MAN №3 white KA7837HO'!S33+'MAN №4 white KA3597HO'!S33+'MAN №5 Тент МД'!I33</f>
        <v>0</v>
      </c>
      <c r="AI33" s="3302">
        <f t="shared" si="49"/>
        <v>0</v>
      </c>
      <c r="AJ33" s="2883">
        <f t="shared" si="3"/>
        <v>0</v>
      </c>
      <c r="AK33" s="2885"/>
      <c r="AL33" s="3301">
        <f>ЦО_логистика!M33+'Форд Тягач'!AL33+'MAN Blue KA1783HI'!W33+'MAN green KA2790IE'!W33+'MAN №3 white KA7837HO'!W33+'MAN №4 white KA3597HO'!W33+'MAN №5 Тент МД'!M33</f>
        <v>0</v>
      </c>
      <c r="AM33" s="3301">
        <f>ЦО_логистика!N33+'Форд Тягач'!AM33+'MAN Blue KA1783HI'!X33+'MAN green KA2790IE'!X33+'MAN №3 white KA7837HO'!X33+'MAN №4 white KA3597HO'!X33+'MAN №5 Тент МД'!N33</f>
        <v>0</v>
      </c>
      <c r="AN33" s="3302">
        <f t="shared" si="50"/>
        <v>0</v>
      </c>
      <c r="AO33" s="3026">
        <f t="shared" si="4"/>
        <v>0</v>
      </c>
      <c r="AP33" s="3423" t="str">
        <f>CONCATENATE(ЦО_логистика!Q33,'Форд Тягач'!AP33,'MAN Blue KA1783HI'!AA33,'MAN green KA2790IE'!AA33,'MAN №3 white KA7837HO'!AF33,'MAN №4 white KA3597HO'!AA33,'MAN №5 Тент МД'!Q33)</f>
        <v/>
      </c>
      <c r="AQ33" s="3301">
        <f>SUM(ЦО_логистика!R33,'Форд Тягач'!AQ33,'MAN Blue KA1783HI'!AB33,'MAN green KA2790IE'!AB33,'MAN №3 white KA7837HO'!AB33,'MAN №4 white KA3597HO'!AB33,'MAN №5 Тент МД'!R33)</f>
        <v>0</v>
      </c>
      <c r="AR33" s="3301">
        <f>SUM(ЦО_логистика!S33,'Форд Тягач'!AR33,'MAN Blue KA1783HI'!AC33,'MAN green KA2790IE'!AC33,'MAN №3 white KA7837HO'!AC33,'MAN №4 white KA3597HO'!AC33,'MAN №5 Тент МД'!S33)</f>
        <v>0</v>
      </c>
      <c r="AS33" s="3302">
        <f t="shared" si="51"/>
        <v>0</v>
      </c>
      <c r="AT33" s="3026">
        <f t="shared" si="5"/>
        <v>0</v>
      </c>
      <c r="AU33" s="3423" t="str">
        <f>CONCATENATE(ЦО_логистика!V33,'Форд Тягач'!AU33,'MAN Blue KA1783HI'!AF32,'MAN green KA2790IE'!AF33,'MAN №3 white KA7837HO'!AF33,'MAN №4 white KA3597HO'!AF33,'MAN №5 Тент МД'!V33)</f>
        <v/>
      </c>
      <c r="AV33" s="3275">
        <f>+ЦО_логистика!W33+'Форд Тягач'!AV33+'MAN Blue KA1783HI'!AG33+'MAN green KA2790IE'!AG33+'MAN №3 white KA7837HO'!AG33+'MAN №4 white KA3597HO'!AG33+'MAN №5 Тент МД'!W33</f>
        <v>0</v>
      </c>
      <c r="AW33" s="3275">
        <f>+ЦО_логистика!X33+'Форд Тягач'!AW33+'MAN Blue KA1783HI'!AH33+'MAN green KA2790IE'!AH33+'MAN №3 white KA7837HO'!AH33+'MAN №4 white KA3597HO'!AH33+'MAN №5 Тент МД'!X33</f>
        <v>138166</v>
      </c>
      <c r="AX33" s="3302">
        <f t="shared" si="29"/>
        <v>138166</v>
      </c>
      <c r="AY33" s="3026">
        <f t="shared" si="6"/>
        <v>0.1080943388195459</v>
      </c>
      <c r="AZ33" s="3423"/>
      <c r="BA33" s="3275">
        <f t="shared" si="7"/>
        <v>0</v>
      </c>
      <c r="BB33" s="3275">
        <f t="shared" si="7"/>
        <v>88100</v>
      </c>
      <c r="BC33" s="3302">
        <f t="shared" si="30"/>
        <v>88100</v>
      </c>
      <c r="BD33" s="3026">
        <f t="shared" si="8"/>
        <v>6.8925142582125815E-2</v>
      </c>
      <c r="BE33" s="3423">
        <f>ЦО_логистика!AD33+'Форд Тягач'!BC33+'MAN Blue KA1783HI'!AN33+'MAN green KA2790IE'!AN33+'MAN №3 white KA7837HO'!AN33+'MAN №4 white KA3597HO'!AN33+'MAN №5 Тент МД'!AD33-BC33</f>
        <v>0</v>
      </c>
      <c r="BF33" s="3301">
        <f>ЦО_логистика!AG33+'Форд Тягач'!BF33+'MAN Blue KA1783HI'!AQ33+'MAN green KA2790IE'!AQ33+'MAN №3 white KA7837HO'!AQ33+'MAN №4 white KA3597HO'!AQ33+'MAN №5 Тент МД'!AG33</f>
        <v>0</v>
      </c>
      <c r="BG33" s="3301">
        <f>ЦО_логистика!AH33+'Форд Тягач'!BG33+'MAN Blue KA1783HI'!AR33+'MAN green KA2790IE'!AR33+'MAN №3 white KA7837HO'!AR33+'MAN №4 white KA3597HO'!AR33+'MAN №5 Тент МД'!AH33</f>
        <v>0</v>
      </c>
      <c r="BH33" s="3302">
        <f t="shared" si="31"/>
        <v>0</v>
      </c>
      <c r="BI33" s="3026">
        <f t="shared" si="9"/>
        <v>0</v>
      </c>
      <c r="BJ33" s="3424"/>
      <c r="BK33" s="3423">
        <f>ЦО_логистика!AL33+'Форд Тягач'!BK33+'MAN Blue KA1783HI'!AV33+'MAN green KA2790IE'!AV33+'MAN №3 white KA7837HO'!AV33+'MAN №4 white KA3597HO'!AV33+'MAN №5 Тент МД'!AL33</f>
        <v>0</v>
      </c>
      <c r="BL33" s="3423">
        <f>ЦО_логистика!AM33+'Форд Тягач'!BL33+'MAN Blue KA1783HI'!AW33+'MAN green KA2790IE'!AW33+'MAN №3 white KA7837HO'!AW33+'MAN №4 white KA3597HO'!AW33+'MAN №5 Тент МД'!AM33</f>
        <v>88100</v>
      </c>
      <c r="BM33" s="3302">
        <f t="shared" si="52"/>
        <v>88100</v>
      </c>
      <c r="BN33" s="3026">
        <f t="shared" si="10"/>
        <v>6.8925142582125815E-2</v>
      </c>
      <c r="BO33" s="3423"/>
      <c r="BP33" s="3300">
        <f>ЦО_логистика!AQ33+'Форд Тягач'!BP33+'MAN Blue KA1783HI'!BA33+'MAN green KA2790IE'!BA33+'MAN №3 white KA7837HO'!BA33+'MAN №4 white KA3597HO'!BA33+'MAN №5 Тент МД'!AQ33</f>
        <v>0</v>
      </c>
      <c r="BQ33" s="3301">
        <f>ЦО_логистика!AR33+'Форд Тягач'!BQ33+'MAN Blue KA1783HI'!BB33+'MAN green KA2790IE'!BB33+'MAN №3 white KA7837HO'!BB33+'MAN №4 white KA3597HO'!BB33+'MAN №5 Тент МД'!AR33</f>
        <v>0</v>
      </c>
      <c r="BR33" s="3304">
        <f t="shared" si="33"/>
        <v>0</v>
      </c>
      <c r="BS33" s="2883">
        <f t="shared" si="11"/>
        <v>0</v>
      </c>
      <c r="BT33" s="3216"/>
      <c r="BU33" s="3301">
        <f>ЦО_логистика!AV33+'Форд Тягач'!BU33+'MAN Blue KA1783HI'!BF33+'MAN green KA2790IE'!BF33+'MAN №3 white KA7837HO'!BF33+'MAN №4 white KA3597HO'!BF33+'MAN №5 Тент МД'!AV33</f>
        <v>0</v>
      </c>
      <c r="BV33" s="3301">
        <f>ЦО_логистика!AW33+'Форд Тягач'!BV33+'MAN Blue KA1783HI'!BG33+'MAN green KA2790IE'!BG33+'MAN №3 white KA7837HO'!BG33+'MAN №4 white KA3597HO'!BG33+'MAN №5 Тент МД'!AW33</f>
        <v>0</v>
      </c>
      <c r="BW33" s="3304">
        <f t="shared" si="37"/>
        <v>0</v>
      </c>
      <c r="BX33" s="2883">
        <f t="shared" si="12"/>
        <v>0</v>
      </c>
      <c r="BY33" s="3216"/>
      <c r="BZ33" s="3301">
        <f>ЦО_логистика!BA33+'Форд Тягач'!BZ33+'MAN Blue KA1783HI'!BK33+'MAN green KA2790IE'!BK33+'MAN №3 white KA7837HO'!BK33+'MAN №4 white KA3597HO'!BK33+'MAN №5 Тент МД'!BA33</f>
        <v>0</v>
      </c>
      <c r="CA33" s="3301">
        <f>ЦО_логистика!BB33+'Форд Тягач'!CA33+'MAN Blue KA1783HI'!BL33+'MAN green KA2790IE'!BL33+'MAN №3 white KA7837HO'!BL33+'MAN №4 white KA3597HO'!BL33+'MAN №5 Тент МД'!BB33</f>
        <v>0</v>
      </c>
      <c r="CB33" s="3364">
        <f t="shared" si="38"/>
        <v>0</v>
      </c>
      <c r="CC33" s="3228">
        <f t="shared" si="13"/>
        <v>0</v>
      </c>
      <c r="CD33" s="3216"/>
      <c r="CE33" s="3274">
        <f>ЦО_логистика!BF33+'Форд Тягач'!CE33+'MAN Blue KA1783HI'!BP33+'MAN green KA2790IE'!BP33+'MAN №3 white KA7837HO'!BP33+'MAN №4 white KA3597HO'!BP33+'MAN №5 Тент МД'!BF33</f>
        <v>0</v>
      </c>
      <c r="CF33" s="3274">
        <f>ЦО_логистика!BG33+'Форд Тягач'!CF33+'MAN Blue KA1783HI'!BQ33+'MAN green KA2790IE'!BQ33+'MAN №3 white KA7837HO'!BQ33+'MAN №4 white KA3597HO'!BQ33+'MAN №5 Тент МД'!BG33</f>
        <v>0</v>
      </c>
      <c r="CG33" s="3364">
        <f t="shared" si="39"/>
        <v>0</v>
      </c>
      <c r="CH33" s="3228">
        <f t="shared" si="14"/>
        <v>0</v>
      </c>
      <c r="CI33" s="3216"/>
      <c r="CJ33" s="3274">
        <f>ЦО_логистика!BK33+'Форд Тягач'!CJ33+'MAN Blue KA1783HI'!BU33+'MAN green KA2790IE'!BU33+'MAN №3 white KA7837HO'!BU33+'MAN №4 white KA3597HO'!BU33+'MAN №5 Тент МД'!BK33</f>
        <v>0</v>
      </c>
      <c r="CK33" s="3274">
        <f>ЦО_логистика!BL33+'Форд Тягач'!CK33+'MAN Blue KA1783HI'!BV33+'MAN green KA2790IE'!BV33+'MAN №3 white KA7837HO'!BV33+'MAN №4 white KA3597HO'!BV33+'MAN №5 Тент МД'!BL33</f>
        <v>0</v>
      </c>
      <c r="CL33" s="3364">
        <f t="shared" si="40"/>
        <v>0</v>
      </c>
      <c r="CM33" s="3228">
        <f t="shared" si="15"/>
        <v>0</v>
      </c>
      <c r="CN33" s="3216"/>
      <c r="CO33" s="3274">
        <f>ЦО_логистика!BP33+'Форд Тягач'!CO33+'MAN Blue KA1783HI'!BZ33+'MAN green KA2790IE'!BZ33+'MAN №3 white KA7837HO'!BZ33+'MAN №4 white KA3597HO'!BZ33+'MAN №5 Тент МД'!BP33</f>
        <v>0</v>
      </c>
      <c r="CP33" s="3274">
        <f>ЦО_логистика!BQ33+'Форд Тягач'!CP33+'MAN Blue KA1783HI'!CA33+'MAN green KA2790IE'!CA33+'MAN №3 white KA7837HO'!CA33+'MAN №4 white KA3597HO'!CA33+'MAN №5 Тент МД'!BQ33</f>
        <v>0</v>
      </c>
      <c r="CQ33" s="3364">
        <f t="shared" si="41"/>
        <v>0</v>
      </c>
      <c r="CR33" s="3228">
        <f t="shared" si="16"/>
        <v>0</v>
      </c>
      <c r="CS33" s="3216"/>
      <c r="CT33" s="3300">
        <f>ЦО_логистика!BU33+'Форд Тягач'!CT33+'MAN Blue KA1783HI'!CE33+'MAN green KA2790IE'!CE33+'MAN №3 white KA7837HO'!CE33+'MAN №4 white KA3597HO'!CE33+'MAN №5 Тент МД'!BU33</f>
        <v>0</v>
      </c>
      <c r="CU33" s="3301">
        <f>ЦО_логистика!BV33+'Форд Тягач'!CU33+'MAN Blue KA1783HI'!CF33+'MAN green KA2790IE'!CF33+'MAN №3 white KA7837HO'!CF33+'MAN №4 white KA3597HO'!CF33+'MAN №5 Тент МД'!BV33</f>
        <v>0</v>
      </c>
      <c r="CV33" s="3364">
        <f t="shared" si="42"/>
        <v>0</v>
      </c>
      <c r="CW33" s="3228">
        <f t="shared" si="17"/>
        <v>0</v>
      </c>
      <c r="CX33" s="3216"/>
      <c r="CY33" s="3300">
        <f>ЦО_логистика!BZ33+'Форд Тягач'!CY33+'MAN Blue KA1783HI'!CJ33+'MAN green KA2790IE'!CJ33+'MAN №3 white KA7837HO'!CJ33+'MAN №4 white KA3597HO'!CJ33+'MAN №5 Тент МД'!BZ33</f>
        <v>0</v>
      </c>
      <c r="CZ33" s="3301">
        <f>ЦО_логистика!CA33+'Форд Тягач'!CZ33+'MAN Blue KA1783HI'!CK33+'MAN green KA2790IE'!CK33+'MAN №3 white KA7837HO'!CK33+'MAN №4 white KA3597HO'!CK33+'MAN №5 Тент МД'!CA33</f>
        <v>0</v>
      </c>
      <c r="DA33" s="3364">
        <f t="shared" si="43"/>
        <v>0</v>
      </c>
      <c r="DB33" s="3228">
        <f t="shared" si="18"/>
        <v>0</v>
      </c>
      <c r="DC33" s="3216"/>
      <c r="DD33" s="3300">
        <f>ЦО_логистика!CE33+'Форд Тягач'!DD33+'MAN Blue KA1783HI'!CO33+'MAN green KA2790IE'!CO33+'MAN №3 white KA7837HO'!CO33+'MAN №4 white KA3597HO'!CO33+'MAN №5 Тент МД'!CE33</f>
        <v>0</v>
      </c>
      <c r="DE33" s="3301">
        <f>ЦО_логистика!CF33+'Форд Тягач'!DE33+'MAN Blue KA1783HI'!CP33+'MAN green KA2790IE'!CP33+'MAN №3 white KA7837HO'!CP33+'MAN №4 white KA3597HO'!CP33+'MAN №5 Тент МД'!CF33</f>
        <v>0</v>
      </c>
      <c r="DF33" s="3364">
        <f t="shared" si="44"/>
        <v>0</v>
      </c>
      <c r="DG33" s="3228">
        <f t="shared" si="19"/>
        <v>0</v>
      </c>
      <c r="DH33" s="3216"/>
      <c r="DI33" s="3300">
        <f>ЦО_логистика!CJ33+'Форд Тягач'!DI33+'MAN Blue KA1783HI'!CT33+'MAN green KA2790IE'!CT33+'MAN №3 white KA7837HO'!CT33+'MAN №4 white KA3597HO'!CT33+'MAN №5 Тент МД'!CJ33</f>
        <v>0</v>
      </c>
      <c r="DJ33" s="3301">
        <f>ЦО_логистика!CK33+'Форд Тягач'!DJ33+'MAN Blue KA1783HI'!CU33+'MAN green KA2790IE'!CU33+'MAN №3 white KA7837HO'!CU33+'MAN №4 white KA3597HO'!CU33+'MAN №5 Тент МД'!CK33</f>
        <v>0</v>
      </c>
      <c r="DK33" s="3364">
        <f t="shared" si="45"/>
        <v>0</v>
      </c>
      <c r="DL33" s="3228">
        <f t="shared" si="20"/>
        <v>0</v>
      </c>
      <c r="DM33" s="3216"/>
      <c r="DN33" s="3288">
        <f t="shared" si="21"/>
        <v>0</v>
      </c>
      <c r="DO33" s="3288">
        <f t="shared" si="21"/>
        <v>226364</v>
      </c>
      <c r="DP33" s="3302">
        <f>DN33+DO33*1</f>
        <v>226364</v>
      </c>
      <c r="DQ33" s="2883">
        <f t="shared" si="53"/>
        <v>8.5675580001483721E-3</v>
      </c>
      <c r="DR33" s="3423"/>
      <c r="DS33" s="916"/>
      <c r="DT33" s="916"/>
    </row>
    <row r="34" spans="1:124" s="1411" customFormat="1" ht="13.8" x14ac:dyDescent="0.25">
      <c r="A34" s="1586"/>
      <c r="B34" s="1631"/>
      <c r="C34" s="3274">
        <v>0</v>
      </c>
      <c r="D34" s="3274">
        <v>0</v>
      </c>
      <c r="E34" s="3306">
        <v>0</v>
      </c>
      <c r="F34" s="3306">
        <v>0</v>
      </c>
      <c r="G34" s="3306"/>
      <c r="H34" s="3274">
        <v>0</v>
      </c>
      <c r="I34" s="3274">
        <v>0</v>
      </c>
      <c r="J34" s="3306">
        <v>0</v>
      </c>
      <c r="K34" s="3306">
        <v>0</v>
      </c>
      <c r="L34" s="3306">
        <v>0</v>
      </c>
      <c r="M34" s="3274">
        <v>0</v>
      </c>
      <c r="N34" s="3274">
        <v>0</v>
      </c>
      <c r="O34" s="3306">
        <v>0</v>
      </c>
      <c r="P34" s="3306">
        <v>0</v>
      </c>
      <c r="Q34" s="3306">
        <v>0</v>
      </c>
      <c r="R34" s="3274"/>
      <c r="S34" s="3274"/>
      <c r="T34" s="3306"/>
      <c r="U34" s="3306"/>
      <c r="V34" s="3306"/>
      <c r="W34" s="3274"/>
      <c r="X34" s="3274"/>
      <c r="Y34" s="3306"/>
      <c r="Z34" s="3306"/>
      <c r="AA34" s="3306"/>
      <c r="AB34" s="3274"/>
      <c r="AC34" s="3274"/>
      <c r="AD34" s="3306"/>
      <c r="AE34" s="3306"/>
      <c r="AF34" s="3306"/>
      <c r="AG34" s="3274"/>
      <c r="AH34" s="3274"/>
      <c r="AI34" s="3306"/>
      <c r="AJ34" s="3306"/>
      <c r="AK34" s="3306"/>
      <c r="AL34" s="3288"/>
      <c r="AM34" s="3274"/>
      <c r="AN34" s="3306"/>
      <c r="AO34" s="3306"/>
      <c r="AP34" s="3306"/>
      <c r="AQ34" s="3288"/>
      <c r="AR34" s="3274"/>
      <c r="AS34" s="3306"/>
      <c r="AT34" s="3306"/>
      <c r="AU34" s="3306"/>
      <c r="AV34" s="3306"/>
      <c r="AW34" s="3306"/>
      <c r="AX34" s="3306"/>
      <c r="AY34" s="3306"/>
      <c r="AZ34" s="3306"/>
      <c r="BA34" s="3306"/>
      <c r="BB34" s="3306"/>
      <c r="BC34" s="3306"/>
      <c r="BD34" s="3306"/>
      <c r="BE34" s="3306">
        <f>ЦО_логистика!AD34+'Форд Тягач'!BC34+'MAN Blue KA1783HI'!AN34+'MAN green KA2790IE'!AN34+'MAN №3 white KA7837HO'!AN34+'MAN №4 white KA3597HO'!AN34+'MAN №5 Тент МД'!AD34-BC34</f>
        <v>0</v>
      </c>
      <c r="BF34" s="3288"/>
      <c r="BG34" s="3274"/>
      <c r="BH34" s="3306"/>
      <c r="BI34" s="3306"/>
      <c r="BJ34" s="3306"/>
      <c r="BK34" s="3306"/>
      <c r="BL34" s="3306"/>
      <c r="BM34" s="3306"/>
      <c r="BN34" s="3306"/>
      <c r="BO34" s="3306"/>
      <c r="BP34" s="3274"/>
      <c r="BQ34" s="3274"/>
      <c r="BR34" s="3306"/>
      <c r="BS34" s="3306"/>
      <c r="BT34" s="3306"/>
      <c r="BU34" s="3274"/>
      <c r="BV34" s="3274"/>
      <c r="BW34" s="3306"/>
      <c r="BX34" s="3306"/>
      <c r="BY34" s="3306"/>
      <c r="BZ34" s="3274"/>
      <c r="CA34" s="3274"/>
      <c r="CB34" s="3306"/>
      <c r="CC34" s="3365"/>
      <c r="CD34" s="3306"/>
      <c r="CE34" s="3274"/>
      <c r="CF34" s="3274"/>
      <c r="CG34" s="3306"/>
      <c r="CH34" s="3365"/>
      <c r="CI34" s="3306"/>
      <c r="CJ34" s="3274"/>
      <c r="CK34" s="3274"/>
      <c r="CL34" s="3306"/>
      <c r="CM34" s="3365"/>
      <c r="CN34" s="3306"/>
      <c r="CO34" s="3274"/>
      <c r="CP34" s="3274"/>
      <c r="CQ34" s="3306"/>
      <c r="CR34" s="3365"/>
      <c r="CS34" s="3306"/>
      <c r="CT34" s="3274"/>
      <c r="CU34" s="3274"/>
      <c r="CV34" s="3306"/>
      <c r="CW34" s="3365"/>
      <c r="CX34" s="3306"/>
      <c r="CY34" s="3274"/>
      <c r="CZ34" s="3274"/>
      <c r="DA34" s="3306"/>
      <c r="DB34" s="3365"/>
      <c r="DC34" s="3306"/>
      <c r="DD34" s="3274"/>
      <c r="DE34" s="3274"/>
      <c r="DF34" s="3306"/>
      <c r="DG34" s="3365"/>
      <c r="DH34" s="3306"/>
      <c r="DI34" s="3274"/>
      <c r="DJ34" s="3274"/>
      <c r="DK34" s="3306"/>
      <c r="DL34" s="3365"/>
      <c r="DM34" s="3306"/>
      <c r="DN34" s="3288"/>
      <c r="DO34" s="3274"/>
      <c r="DP34" s="3306"/>
      <c r="DQ34" s="3306"/>
      <c r="DR34" s="3306"/>
      <c r="DS34" s="916"/>
      <c r="DT34" s="916"/>
    </row>
    <row r="35" spans="1:124" s="2483" customFormat="1" ht="13.8" x14ac:dyDescent="0.25">
      <c r="A35" s="1586"/>
      <c r="B35" s="3307" t="s">
        <v>80</v>
      </c>
      <c r="C35" s="3392">
        <v>0</v>
      </c>
      <c r="D35" s="3308">
        <v>0</v>
      </c>
      <c r="E35" s="3309">
        <v>0</v>
      </c>
      <c r="F35" s="3309">
        <v>0</v>
      </c>
      <c r="G35" s="3309"/>
      <c r="H35" s="3392">
        <v>0</v>
      </c>
      <c r="I35" s="3308">
        <v>0</v>
      </c>
      <c r="J35" s="3309">
        <v>0</v>
      </c>
      <c r="K35" s="3309">
        <v>0</v>
      </c>
      <c r="L35" s="3309">
        <v>0</v>
      </c>
      <c r="M35" s="3392">
        <v>0</v>
      </c>
      <c r="N35" s="3308">
        <v>0</v>
      </c>
      <c r="O35" s="3309">
        <v>0</v>
      </c>
      <c r="P35" s="3309">
        <v>0</v>
      </c>
      <c r="Q35" s="3309">
        <v>0</v>
      </c>
      <c r="R35" s="3308">
        <f>R36</f>
        <v>0</v>
      </c>
      <c r="S35" s="3308">
        <f>S36</f>
        <v>0</v>
      </c>
      <c r="T35" s="3309">
        <f>T36</f>
        <v>0</v>
      </c>
      <c r="U35" s="3309">
        <f t="shared" si="0"/>
        <v>0</v>
      </c>
      <c r="V35" s="3309"/>
      <c r="W35" s="3308">
        <f>W36</f>
        <v>0</v>
      </c>
      <c r="X35" s="3308">
        <f>X36</f>
        <v>0</v>
      </c>
      <c r="Y35" s="3309">
        <f>Y36</f>
        <v>0</v>
      </c>
      <c r="Z35" s="3309">
        <f>Y35/$T$89</f>
        <v>0</v>
      </c>
      <c r="AA35" s="3309"/>
      <c r="AB35" s="3308">
        <f>AB36</f>
        <v>22524.58</v>
      </c>
      <c r="AC35" s="3308">
        <f>AC36</f>
        <v>0</v>
      </c>
      <c r="AD35" s="3309">
        <f>AD36</f>
        <v>22524.58</v>
      </c>
      <c r="AE35" s="3309">
        <f t="shared" si="2"/>
        <v>1.7622132668586827E-2</v>
      </c>
      <c r="AF35" s="3309"/>
      <c r="AG35" s="3308">
        <f>AG36</f>
        <v>23609</v>
      </c>
      <c r="AH35" s="3308">
        <f>AH36</f>
        <v>0</v>
      </c>
      <c r="AI35" s="3309">
        <f>AI36</f>
        <v>23609</v>
      </c>
      <c r="AJ35" s="3309">
        <f>AI35/$AD$89</f>
        <v>1.8470529979811672E-2</v>
      </c>
      <c r="AK35" s="3309"/>
      <c r="AL35" s="3308">
        <f>AL36</f>
        <v>0</v>
      </c>
      <c r="AM35" s="3308">
        <f>AM36</f>
        <v>0</v>
      </c>
      <c r="AN35" s="3309">
        <f>AN36</f>
        <v>0</v>
      </c>
      <c r="AO35" s="3309">
        <f>AN35/$AD$89</f>
        <v>0</v>
      </c>
      <c r="AP35" s="3309"/>
      <c r="AQ35" s="3308">
        <f>AQ36</f>
        <v>0</v>
      </c>
      <c r="AR35" s="3308">
        <f>AR36</f>
        <v>0</v>
      </c>
      <c r="AS35" s="3309">
        <f>AS36</f>
        <v>0</v>
      </c>
      <c r="AT35" s="3309">
        <f>AS35/$AD$89</f>
        <v>0</v>
      </c>
      <c r="AU35" s="3309"/>
      <c r="AV35" s="3308">
        <f>AV36</f>
        <v>0</v>
      </c>
      <c r="AW35" s="3308">
        <f>AW36</f>
        <v>0</v>
      </c>
      <c r="AX35" s="3309">
        <f>AX36</f>
        <v>0</v>
      </c>
      <c r="AY35" s="3309">
        <f>AX35/$AD$89</f>
        <v>0</v>
      </c>
      <c r="AZ35" s="3308"/>
      <c r="BA35" s="3308">
        <f>BA36</f>
        <v>0</v>
      </c>
      <c r="BB35" s="3308">
        <f>BB36</f>
        <v>0</v>
      </c>
      <c r="BC35" s="3309">
        <f>BC36</f>
        <v>0</v>
      </c>
      <c r="BD35" s="3309">
        <f>BC35/$AD$89</f>
        <v>0</v>
      </c>
      <c r="BE35" s="3308">
        <f>ЦО_логистика!AD35+'Форд Тягач'!BC35+'MAN Blue KA1783HI'!AN35+'MAN green KA2790IE'!AN35+'MAN №3 white KA7837HO'!AN35+'MAN №4 white KA3597HO'!AN35+'MAN №5 Тент МД'!AD35-BC35</f>
        <v>0</v>
      </c>
      <c r="BF35" s="3308">
        <f>BF36</f>
        <v>0</v>
      </c>
      <c r="BG35" s="3308">
        <f>BG36</f>
        <v>0</v>
      </c>
      <c r="BH35" s="3309">
        <f>BH36</f>
        <v>0</v>
      </c>
      <c r="BI35" s="3309">
        <f>BH35/$AD$89</f>
        <v>0</v>
      </c>
      <c r="BJ35" s="3308"/>
      <c r="BK35" s="3308">
        <f>BK36</f>
        <v>0</v>
      </c>
      <c r="BL35" s="3308">
        <f>BL36</f>
        <v>0</v>
      </c>
      <c r="BM35" s="3309">
        <f>BM36</f>
        <v>0</v>
      </c>
      <c r="BN35" s="3309">
        <f>BM35/$AD$89</f>
        <v>0</v>
      </c>
      <c r="BO35" s="3308"/>
      <c r="BP35" s="3308">
        <f>BP36</f>
        <v>0</v>
      </c>
      <c r="BQ35" s="3308">
        <f>BQ36</f>
        <v>0</v>
      </c>
      <c r="BR35" s="3309">
        <f>BR36</f>
        <v>0</v>
      </c>
      <c r="BS35" s="3309">
        <f>BR35/$AD$89</f>
        <v>0</v>
      </c>
      <c r="BT35" s="3309"/>
      <c r="BU35" s="3308">
        <f>BU36</f>
        <v>0</v>
      </c>
      <c r="BV35" s="3308">
        <f>BV36</f>
        <v>0</v>
      </c>
      <c r="BW35" s="3309">
        <f>BW36</f>
        <v>0</v>
      </c>
      <c r="BX35" s="3309">
        <f>BW35/$AD$89</f>
        <v>0</v>
      </c>
      <c r="BY35" s="3309"/>
      <c r="BZ35" s="3308">
        <f>BZ36</f>
        <v>0</v>
      </c>
      <c r="CA35" s="3308">
        <f>CA36</f>
        <v>0</v>
      </c>
      <c r="CB35" s="3309">
        <f>CB36</f>
        <v>0</v>
      </c>
      <c r="CC35" s="3309">
        <f>CB35/$AD$89</f>
        <v>0</v>
      </c>
      <c r="CD35" s="3309"/>
      <c r="CE35" s="3308">
        <f>CE36</f>
        <v>0</v>
      </c>
      <c r="CF35" s="3308">
        <f>CF36</f>
        <v>0</v>
      </c>
      <c r="CG35" s="3309">
        <f>CG36</f>
        <v>0</v>
      </c>
      <c r="CH35" s="3309">
        <f>CG35/$AD$89</f>
        <v>0</v>
      </c>
      <c r="CI35" s="3309"/>
      <c r="CJ35" s="3308">
        <f>CJ36</f>
        <v>0</v>
      </c>
      <c r="CK35" s="3308">
        <f>CK36</f>
        <v>0</v>
      </c>
      <c r="CL35" s="3309">
        <f>CL36</f>
        <v>0</v>
      </c>
      <c r="CM35" s="3309">
        <f>CL35/$AD$89</f>
        <v>0</v>
      </c>
      <c r="CN35" s="3309"/>
      <c r="CO35" s="3308">
        <f>CO36</f>
        <v>0</v>
      </c>
      <c r="CP35" s="3308">
        <f>CP36</f>
        <v>0</v>
      </c>
      <c r="CQ35" s="3309">
        <f>CQ36</f>
        <v>0</v>
      </c>
      <c r="CR35" s="3309">
        <f>CQ35/$AD$89</f>
        <v>0</v>
      </c>
      <c r="CS35" s="3309"/>
      <c r="CT35" s="3308">
        <f>CT36</f>
        <v>0</v>
      </c>
      <c r="CU35" s="3308">
        <f>CU36</f>
        <v>0</v>
      </c>
      <c r="CV35" s="3309">
        <f>CV36</f>
        <v>0</v>
      </c>
      <c r="CW35" s="3309">
        <f>CV35/$AD$89</f>
        <v>0</v>
      </c>
      <c r="CX35" s="3309"/>
      <c r="CY35" s="3308">
        <f>CY36</f>
        <v>0</v>
      </c>
      <c r="CZ35" s="3308">
        <f>CZ36</f>
        <v>0</v>
      </c>
      <c r="DA35" s="3309">
        <f>DA36</f>
        <v>0</v>
      </c>
      <c r="DB35" s="3309">
        <f>DA35/$AD$89</f>
        <v>0</v>
      </c>
      <c r="DC35" s="3309"/>
      <c r="DD35" s="3308">
        <f>DD36</f>
        <v>0</v>
      </c>
      <c r="DE35" s="3308">
        <f>DE36</f>
        <v>0</v>
      </c>
      <c r="DF35" s="3309">
        <f>DF36</f>
        <v>0</v>
      </c>
      <c r="DG35" s="3309">
        <f>DF35/$AD$89</f>
        <v>0</v>
      </c>
      <c r="DH35" s="3309"/>
      <c r="DI35" s="3308">
        <f>DI36</f>
        <v>0</v>
      </c>
      <c r="DJ35" s="3308">
        <f>DJ36</f>
        <v>0</v>
      </c>
      <c r="DK35" s="3309">
        <f>DK36</f>
        <v>0</v>
      </c>
      <c r="DL35" s="3309">
        <f>DK35/$AD$89</f>
        <v>0</v>
      </c>
      <c r="DM35" s="3309"/>
      <c r="DN35" s="3308">
        <f>DN36</f>
        <v>46133.58</v>
      </c>
      <c r="DO35" s="3308">
        <f>DO36</f>
        <v>0</v>
      </c>
      <c r="DP35" s="3309">
        <f>DP36</f>
        <v>46133.58</v>
      </c>
      <c r="DQ35" s="3309"/>
      <c r="DR35" s="3309"/>
      <c r="DS35" s="916"/>
      <c r="DT35" s="916"/>
    </row>
    <row r="36" spans="1:124" s="1411" customFormat="1" ht="13.8" x14ac:dyDescent="0.25">
      <c r="A36" s="1586"/>
      <c r="B36" s="3310" t="s">
        <v>81</v>
      </c>
      <c r="C36" s="3274">
        <v>0</v>
      </c>
      <c r="D36" s="3274">
        <v>0</v>
      </c>
      <c r="E36" s="2028">
        <v>0</v>
      </c>
      <c r="F36" s="3284">
        <v>0</v>
      </c>
      <c r="G36" s="3311"/>
      <c r="H36" s="3274">
        <v>0</v>
      </c>
      <c r="I36" s="3274">
        <v>0</v>
      </c>
      <c r="J36" s="2028">
        <v>0</v>
      </c>
      <c r="K36" s="3284">
        <v>0</v>
      </c>
      <c r="L36" s="3311">
        <v>0</v>
      </c>
      <c r="M36" s="3274">
        <v>0</v>
      </c>
      <c r="N36" s="3274">
        <v>0</v>
      </c>
      <c r="O36" s="2028">
        <v>0</v>
      </c>
      <c r="P36" s="3284">
        <v>0</v>
      </c>
      <c r="Q36" s="3311">
        <v>0</v>
      </c>
      <c r="R36" s="3274"/>
      <c r="S36" s="3274"/>
      <c r="T36" s="2028">
        <f>R36+S36*1</f>
        <v>0</v>
      </c>
      <c r="U36" s="3284">
        <f t="shared" si="0"/>
        <v>0</v>
      </c>
      <c r="V36" s="3311"/>
      <c r="W36" s="3274">
        <f>'Форд Тягач'!W36+'MAN Blue KA1783HI'!H36+'MAN green KA2790IE'!H36+'MAN №3 white KA7837HO'!H36+'MAN №4 white KA3597HO'!H36+Техника!W36</f>
        <v>0</v>
      </c>
      <c r="X36" s="3274">
        <f>'Форд Тягач'!X36+'MAN Blue KA1783HI'!I36+'MAN green KA2790IE'!I36+'MAN №3 white KA7837HO'!I36+'MAN №4 white KA3597HO'!I36+Техника!X36</f>
        <v>0</v>
      </c>
      <c r="Y36" s="2028">
        <f>W36+X36*1</f>
        <v>0</v>
      </c>
      <c r="Z36" s="3284">
        <f>Y36/$T$89</f>
        <v>0</v>
      </c>
      <c r="AA36" s="3421" t="s">
        <v>1207</v>
      </c>
      <c r="AB36" s="3274">
        <f>ЦО_логистика!C36+'Форд Тягач'!AB36+'MAN Blue KA1783HI'!M36+'MAN green KA2790IE'!M36+'MAN №3 white KA7837HO'!M36+'MAN №4 white KA3597HO'!M36+'MAN №5 Тент МД'!C36</f>
        <v>22524.58</v>
      </c>
      <c r="AC36" s="3274">
        <f>ЦО_логистика!D36+'Форд Тягач'!AC36+'MAN Blue KA1783HI'!N36+'MAN green KA2790IE'!N36+'MAN №3 white KA7837HO'!N36+'MAN №4 white KA3597HO'!N36+'MAN №5 Тент МД'!D36</f>
        <v>0</v>
      </c>
      <c r="AD36" s="2028">
        <f>AB36+AC36*1</f>
        <v>22524.58</v>
      </c>
      <c r="AE36" s="3284">
        <f t="shared" si="2"/>
        <v>1.7622132668586827E-2</v>
      </c>
      <c r="AF36" s="3311"/>
      <c r="AG36" s="3274">
        <f>ЦО_логистика!H36+'Форд Тягач'!AG36+'MAN Blue KA1783HI'!R36+'MAN green KA2790IE'!R36+'MAN №3 white KA7837HO'!R36+'MAN №4 white KA3597HO'!R36+'MAN №5 Тент МД'!H36</f>
        <v>23609</v>
      </c>
      <c r="AH36" s="3274">
        <f>ЦО_логистика!I36+'Форд Тягач'!AH36+'MAN Blue KA1783HI'!S36+'MAN green KA2790IE'!S36+'MAN №3 white KA7837HO'!S36+'MAN №4 white KA3597HO'!S36+'MAN №5 Тент МД'!I36</f>
        <v>0</v>
      </c>
      <c r="AI36" s="2028">
        <f>AG36+AH36*1</f>
        <v>23609</v>
      </c>
      <c r="AJ36" s="3284">
        <f>AI36/$AD$89</f>
        <v>1.8470529979811672E-2</v>
      </c>
      <c r="AK36" s="3275"/>
      <c r="AL36" s="3274">
        <f>ЦО_логистика!M36+'Форд Тягач'!AL36+'MAN Blue KA1783HI'!W36+'MAN green KA2790IE'!W36+'MAN №3 white KA7837HO'!W36+'MAN №4 white KA3597HO'!W36+'MAN №5 Тент МД'!M36</f>
        <v>0</v>
      </c>
      <c r="AM36" s="3274">
        <f>ЦО_логистика!N36+'Форд Тягач'!AM36+'MAN Blue KA1783HI'!X36+'MAN green KA2790IE'!X36+'MAN №3 white KA7837HO'!X36+'MAN №4 white KA3597HO'!X36+'MAN №5 Тент МД'!N36</f>
        <v>0</v>
      </c>
      <c r="AN36" s="2028">
        <f>AL36+AM36*1</f>
        <v>0</v>
      </c>
      <c r="AO36" s="3284">
        <f>AN36/$AD$89</f>
        <v>0</v>
      </c>
      <c r="AP36" s="3311"/>
      <c r="AQ36" s="3288">
        <f>SUM(ЦО_логистика!R36,'Форд Тягач'!AQ36,'MAN Blue KA1783HI'!AB36,'MAN green KA2790IE'!AB36,'MAN №3 white KA7837HO'!AB36,'MAN №4 white KA3597HO'!AB36,'MAN №5 Тент МД'!R36)</f>
        <v>0</v>
      </c>
      <c r="AR36" s="3274">
        <f>SUM(ЦО_логистика!S36,'Форд Тягач'!AR36,'MAN Blue KA1783HI'!AC36,'MAN green KA2790IE'!AC36,'MAN №3 white KA7837HO'!AC36,'MAN №4 white KA3597HO'!AC36,'MAN №5 Тент МД'!S36)</f>
        <v>0</v>
      </c>
      <c r="AS36" s="2028">
        <f>AQ36+AR36*1</f>
        <v>0</v>
      </c>
      <c r="AT36" s="3284">
        <f>AS36/$AD$89</f>
        <v>0</v>
      </c>
      <c r="AU36" s="3311"/>
      <c r="AV36" s="3275">
        <f>+ЦО_логистика!W36+'Форд Тягач'!AV36+'MAN Blue KA1783HI'!AG36+'MAN green KA2790IE'!AG36+'MAN №3 white KA7837HO'!AG36+'MAN №4 white KA3597HO'!AG36+'MAN №5 Тент МД'!W36</f>
        <v>0</v>
      </c>
      <c r="AW36" s="3275">
        <f>+ЦО_логистика!X36+'Форд Тягач'!AW36+'MAN Blue KA1783HI'!AH36+'MAN green KA2790IE'!AH36+'MAN №3 white KA7837HO'!AH36+'MAN №4 white KA3597HO'!AH36+'MAN №5 Тент МД'!X36</f>
        <v>0</v>
      </c>
      <c r="AX36" s="3274">
        <f>AV36+AW36*1</f>
        <v>0</v>
      </c>
      <c r="AY36" s="3284">
        <f>AX36/$AD$89</f>
        <v>0</v>
      </c>
      <c r="AZ36" s="3321"/>
      <c r="BA36" s="3275">
        <f t="shared" ref="BA36:BB36" si="54">BF36+BK36+BP36+BU36+BZ36+CE36+CJ36+CO36+CT36+CY36+DD36+DI36</f>
        <v>0</v>
      </c>
      <c r="BB36" s="3275">
        <f t="shared" si="54"/>
        <v>0</v>
      </c>
      <c r="BC36" s="3274">
        <f>BA36+BB36*1</f>
        <v>0</v>
      </c>
      <c r="BD36" s="3284">
        <f>BC36/$AD$89</f>
        <v>0</v>
      </c>
      <c r="BE36" s="3433">
        <f>ЦО_логистика!AD36+'Форд Тягач'!BC36+'MAN Blue KA1783HI'!AN36+'MAN green KA2790IE'!AN36+'MAN №3 white KA7837HO'!AN36+'MAN №4 white KA3597HO'!AN36+'MAN №5 Тент МД'!AD36-BC36</f>
        <v>0</v>
      </c>
      <c r="BF36" s="3274">
        <f>ЦО_логистика!AG36+'Форд Тягач'!BF36+'MAN Blue KA1783HI'!AQ36+'MAN green KA2790IE'!AQ36+'MAN №3 white KA7837HO'!AQ36+'MAN №4 white KA3597HO'!AQ36+'MAN №5 Тент МД'!AG36</f>
        <v>0</v>
      </c>
      <c r="BG36" s="3274">
        <f>ЦО_логистика!AH36+'Форд Тягач'!BG36+'MAN Blue KA1783HI'!AR36+'MAN green KA2790IE'!AR36+'MAN №3 white KA7837HO'!AR36+'MAN №4 white KA3597HO'!AR36+'MAN №5 Тент МД'!AH36</f>
        <v>0</v>
      </c>
      <c r="BH36" s="2028">
        <f>BF36+BG36*1</f>
        <v>0</v>
      </c>
      <c r="BI36" s="3284">
        <f>BH36/$AD$89</f>
        <v>0</v>
      </c>
      <c r="BJ36" s="3321"/>
      <c r="BK36" s="3275">
        <f>ЦО_логистика!AL36+'Форд Тягач'!BK36+'MAN Blue KA1783HI'!AV36+'MAN green KA2790IE'!AV36+'MAN №3 white KA7837HO'!AV36+'MAN №4 white KA3597HO'!AV36+'MAN №5 Тент МД'!AL36</f>
        <v>0</v>
      </c>
      <c r="BL36" s="3275">
        <f>ЦО_логистика!AM36+'Форд Тягач'!BL36+'MAN Blue KA1783HI'!AW36+'MAN green KA2790IE'!AW36+'MAN №3 white KA7837HO'!AW36+'MAN №4 white KA3597HO'!AW36+'MAN №5 Тент МД'!AM36</f>
        <v>0</v>
      </c>
      <c r="BM36" s="2028">
        <f>BK36+BL36*1</f>
        <v>0</v>
      </c>
      <c r="BN36" s="3284">
        <f>BM36/$AD$89</f>
        <v>0</v>
      </c>
      <c r="BO36" s="3321"/>
      <c r="BP36" s="3274">
        <f>ЦО_логистика!AQ36+'Форд Тягач'!BP36+'MAN Blue KA1783HI'!BA36+'MAN green KA2790IE'!BA36+'MAN №3 white KA7837HO'!BA36+'MAN №4 white KA3597HO'!BA36+'MAN №5 Тент МД'!AQ36</f>
        <v>0</v>
      </c>
      <c r="BQ36" s="3274">
        <f>ЦО_логистика!AR36+'Форд Тягач'!BQ36+'MAN Blue KA1783HI'!BB36+'MAN green KA2790IE'!BB36+'MAN №3 white KA7837HO'!BB36+'MAN №4 white KA3597HO'!BB36+'MAN №5 Тент МД'!AR36</f>
        <v>0</v>
      </c>
      <c r="BR36" s="2028">
        <f>BP36+BQ36*1</f>
        <v>0</v>
      </c>
      <c r="BS36" s="3284">
        <f>BR36/$AD$89</f>
        <v>0</v>
      </c>
      <c r="BT36" s="3276"/>
      <c r="BU36" s="3274">
        <f>ЦО_логистика!AV36+'Форд Тягач'!BU36+'MAN Blue KA1783HI'!BF36+'MAN green KA2790IE'!BF36+'MAN №3 white KA7837HO'!BF36+'MAN №4 white KA3597HO'!BF36+'MAN №5 Тент МД'!AV36</f>
        <v>0</v>
      </c>
      <c r="BV36" s="3274">
        <f>ЦО_логистика!AW36+'Форд Тягач'!BV36+'MAN Blue KA1783HI'!BG36+'MAN green KA2790IE'!BG36+'MAN №3 white KA7837HO'!BG36+'MAN №4 white KA3597HO'!BG36+'MAN №5 Тент МД'!AW36</f>
        <v>0</v>
      </c>
      <c r="BW36" s="2028">
        <f>BU36+BV36*1</f>
        <v>0</v>
      </c>
      <c r="BX36" s="3284">
        <f>BW36/$AD$89</f>
        <v>0</v>
      </c>
      <c r="BY36" s="3276"/>
      <c r="BZ36" s="3274">
        <f>ЦО_логистика!BA36+'Форд Тягач'!BZ36+'MAN Blue KA1783HI'!BK36+'MAN green KA2790IE'!BK36+'MAN №3 white KA7837HO'!BK36+'MAN №4 white KA3597HO'!BK36+'MAN №5 Тент МД'!BA36</f>
        <v>0</v>
      </c>
      <c r="CA36" s="3274">
        <f>ЦО_логистика!BB36+'Форд Тягач'!CA36+'MAN Blue KA1783HI'!BL36+'MAN green KA2790IE'!BL36+'MAN №3 white KA7837HO'!BL36+'MAN №4 white KA3597HO'!BL36+'MAN №5 Тент МД'!BB36</f>
        <v>0</v>
      </c>
      <c r="CB36" s="2028">
        <f>BZ36+CA36*1</f>
        <v>0</v>
      </c>
      <c r="CC36" s="3284">
        <f>CB36/$AD$89</f>
        <v>0</v>
      </c>
      <c r="CD36" s="3276"/>
      <c r="CE36" s="3274">
        <f>ЦО_логистика!BF36+'Форд Тягач'!CE36+'MAN Blue KA1783HI'!BP36+'MAN green KA2790IE'!BP36+'MAN №3 white KA7837HO'!BP36+'MAN №4 white KA3597HO'!BP36+'MAN №5 Тент МД'!BF36</f>
        <v>0</v>
      </c>
      <c r="CF36" s="3274">
        <f>ЦО_логистика!BG36+'Форд Тягач'!CF36+'MAN Blue KA1783HI'!BQ36+'MAN green KA2790IE'!BQ36+'MAN №3 white KA7837HO'!BQ36+'MAN №4 white KA3597HO'!BQ36+'MAN №5 Тент МД'!BG36</f>
        <v>0</v>
      </c>
      <c r="CG36" s="2028">
        <f>CE36+CF36*1</f>
        <v>0</v>
      </c>
      <c r="CH36" s="3284">
        <f>CG36/$AD$89</f>
        <v>0</v>
      </c>
      <c r="CI36" s="3276"/>
      <c r="CJ36" s="3274">
        <f>ЦО_логистика!BK36+'Форд Тягач'!CJ36+'MAN Blue KA1783HI'!BU36+'MAN green KA2790IE'!BU36+'MAN №3 white KA7837HO'!BU36+'MAN №4 white KA3597HO'!BU36+'MAN №5 Тент МД'!BK36</f>
        <v>0</v>
      </c>
      <c r="CK36" s="3274">
        <f>ЦО_логистика!BL36+'Форд Тягач'!CK36+'MAN Blue KA1783HI'!BV36+'MAN green KA2790IE'!BV36+'MAN №3 white KA7837HO'!BV36+'MAN №4 white KA3597HO'!BV36+'MAN №5 Тент МД'!BL36</f>
        <v>0</v>
      </c>
      <c r="CL36" s="2028">
        <f>CJ36+CK36*1</f>
        <v>0</v>
      </c>
      <c r="CM36" s="3284">
        <f>CL36/$AD$89</f>
        <v>0</v>
      </c>
      <c r="CN36" s="3276"/>
      <c r="CO36" s="3274">
        <f>ЦО_логистика!BP36+'Форд Тягач'!CO36+'MAN Blue KA1783HI'!BZ36+'MAN green KA2790IE'!BZ36+'MAN №3 white KA7837HO'!BZ36+'MAN №4 white KA3597HO'!BZ36+'MAN №5 Тент МД'!BP36</f>
        <v>0</v>
      </c>
      <c r="CP36" s="3274">
        <f>ЦО_логистика!BQ36+'Форд Тягач'!CP36+'MAN Blue KA1783HI'!CA36+'MAN green KA2790IE'!CA36+'MAN №3 white KA7837HO'!CA36+'MAN №4 white KA3597HO'!CA36+'MAN №5 Тент МД'!BQ36</f>
        <v>0</v>
      </c>
      <c r="CQ36" s="2028">
        <f>CO36+CP36*1</f>
        <v>0</v>
      </c>
      <c r="CR36" s="3284">
        <f>CQ36/$AD$89</f>
        <v>0</v>
      </c>
      <c r="CS36" s="3276"/>
      <c r="CT36" s="3274">
        <f>ЦО_логистика!BU36+'Форд Тягач'!CT36+'MAN Blue KA1783HI'!CE36+'MAN green KA2790IE'!CE36+'MAN №3 white KA7837HO'!CE36+'MAN №4 white KA3597HO'!CE36+'MAN №5 Тент МД'!BU36</f>
        <v>0</v>
      </c>
      <c r="CU36" s="3274">
        <f>ЦО_логистика!BV36+'Форд Тягач'!CU36+'MAN Blue KA1783HI'!CF36+'MAN green KA2790IE'!CF36+'MAN №3 white KA7837HO'!CF36+'MAN №4 white KA3597HO'!CF36+'MAN №5 Тент МД'!BV36</f>
        <v>0</v>
      </c>
      <c r="CV36" s="2028">
        <f>CT36+CU36*1</f>
        <v>0</v>
      </c>
      <c r="CW36" s="3284">
        <f>CV36/$AD$89</f>
        <v>0</v>
      </c>
      <c r="CX36" s="3276"/>
      <c r="CY36" s="3274">
        <f>ЦО_логистика!BZ36+'Форд Тягач'!CY36+'MAN Blue KA1783HI'!CJ36+'MAN green KA2790IE'!CJ36+'MAN №3 white KA7837HO'!CJ36+'MAN №4 white KA3597HO'!CJ36+'MAN №5 Тент МД'!BZ36</f>
        <v>0</v>
      </c>
      <c r="CZ36" s="3274">
        <f>ЦО_логистика!CA36+'Форд Тягач'!CZ36+'MAN Blue KA1783HI'!CK36+'MAN green KA2790IE'!CK36+'MAN №3 white KA7837HO'!CK36+'MAN №4 white KA3597HO'!CK36+'MAN №5 Тент МД'!CA36</f>
        <v>0</v>
      </c>
      <c r="DA36" s="2028">
        <f>CY36+CZ36*1</f>
        <v>0</v>
      </c>
      <c r="DB36" s="3284">
        <f>DA36/$AD$89</f>
        <v>0</v>
      </c>
      <c r="DC36" s="3276"/>
      <c r="DD36" s="3274">
        <f>ЦО_логистика!CE36+'Форд Тягач'!DD36+'MAN Blue KA1783HI'!CO36+'MAN green KA2790IE'!CO36+'MAN №3 white KA7837HO'!CO36+'MAN №4 white KA3597HO'!CO36+'MAN №5 Тент МД'!CE36</f>
        <v>0</v>
      </c>
      <c r="DE36" s="3274">
        <f>ЦО_логистика!CF36+'Форд Тягач'!DE36+'MAN Blue KA1783HI'!CP36+'MAN green KA2790IE'!CP36+'MAN №3 white KA7837HO'!CP36+'MAN №4 white KA3597HO'!CP36+'MAN №5 Тент МД'!CF36</f>
        <v>0</v>
      </c>
      <c r="DF36" s="2028">
        <f>DD36+DE36*1</f>
        <v>0</v>
      </c>
      <c r="DG36" s="3284">
        <f>DF36/$AD$89</f>
        <v>0</v>
      </c>
      <c r="DH36" s="3276"/>
      <c r="DI36" s="3274">
        <f>ЦО_логистика!CJ36+'Форд Тягач'!DI36+'MAN Blue KA1783HI'!CT36+'MAN green KA2790IE'!CT36+'MAN №3 white KA7837HO'!CT36+'MAN №4 white KA3597HO'!CT36+'MAN №5 Тент МД'!CJ36</f>
        <v>0</v>
      </c>
      <c r="DJ36" s="3274">
        <f>ЦО_логистика!CK36+'Форд Тягач'!DJ36+'MAN Blue KA1783HI'!CU36+'MAN green KA2790IE'!CU36+'MAN №3 white KA7837HO'!CU36+'MAN №4 white KA3597HO'!CU36+'MAN №5 Тент МД'!CK36</f>
        <v>0</v>
      </c>
      <c r="DK36" s="2028">
        <f>DI36+DJ36*1</f>
        <v>0</v>
      </c>
      <c r="DL36" s="3284">
        <f>DK36/$AD$89</f>
        <v>0</v>
      </c>
      <c r="DM36" s="3276"/>
      <c r="DN36" s="3288">
        <f>R36+W36+AB36+AG36+AL36+AQ36+BF36+BK36+BP36+BU36+BZ36+CE36+CJ36+CO36+CT36+CY36+DD36+DI36+AV36</f>
        <v>46133.58</v>
      </c>
      <c r="DO36" s="3288">
        <f>S36+X36+AC36+AH36+AM36+AR36+BG36+BL36+BQ36+BV36+CA36+CF36+CK36+CP36+CU36+CZ36+DE36+DJ36+AW36</f>
        <v>0</v>
      </c>
      <c r="DP36" s="2028">
        <f>DN36+DO36*1</f>
        <v>46133.58</v>
      </c>
      <c r="DQ36" s="3284">
        <f>DP36/$DP$89</f>
        <v>1.7460909084681528E-3</v>
      </c>
      <c r="DR36" s="3321"/>
      <c r="DS36" s="916"/>
      <c r="DT36" s="916"/>
    </row>
    <row r="37" spans="1:124" s="1411" customFormat="1" ht="14.4" thickBot="1" x14ac:dyDescent="0.3">
      <c r="A37" s="1413"/>
      <c r="B37" s="3312"/>
      <c r="C37" s="3274">
        <v>0</v>
      </c>
      <c r="D37" s="3274">
        <v>0</v>
      </c>
      <c r="E37" s="3313">
        <v>0</v>
      </c>
      <c r="F37" s="3313">
        <v>0</v>
      </c>
      <c r="G37" s="3313"/>
      <c r="H37" s="3274">
        <v>0</v>
      </c>
      <c r="I37" s="3274">
        <v>0</v>
      </c>
      <c r="J37" s="3313">
        <v>0</v>
      </c>
      <c r="K37" s="3313">
        <v>0</v>
      </c>
      <c r="L37" s="3313">
        <v>0</v>
      </c>
      <c r="M37" s="3274">
        <v>0</v>
      </c>
      <c r="N37" s="3274">
        <v>0</v>
      </c>
      <c r="O37" s="3313">
        <v>0</v>
      </c>
      <c r="P37" s="3313">
        <v>0</v>
      </c>
      <c r="Q37" s="3313">
        <v>0</v>
      </c>
      <c r="R37" s="3274"/>
      <c r="S37" s="3274"/>
      <c r="T37" s="3313"/>
      <c r="U37" s="3313"/>
      <c r="V37" s="3313"/>
      <c r="W37" s="3274"/>
      <c r="X37" s="3274"/>
      <c r="Y37" s="3313"/>
      <c r="Z37" s="3313"/>
      <c r="AA37" s="3313"/>
      <c r="AB37" s="3274"/>
      <c r="AC37" s="3274"/>
      <c r="AD37" s="3313"/>
      <c r="AE37" s="3313"/>
      <c r="AF37" s="3313"/>
      <c r="AG37" s="3274"/>
      <c r="AH37" s="3274"/>
      <c r="AI37" s="3313"/>
      <c r="AJ37" s="3313"/>
      <c r="AK37" s="3313"/>
      <c r="AL37" s="3323"/>
      <c r="AM37" s="3314"/>
      <c r="AN37" s="3313"/>
      <c r="AO37" s="3313"/>
      <c r="AP37" s="3313"/>
      <c r="AQ37" s="3323"/>
      <c r="AR37" s="3314"/>
      <c r="AS37" s="3313"/>
      <c r="AT37" s="3313"/>
      <c r="AU37" s="3313"/>
      <c r="AV37" s="3393"/>
      <c r="AW37" s="3393"/>
      <c r="AX37" s="3393"/>
      <c r="AY37" s="3393"/>
      <c r="AZ37" s="3393"/>
      <c r="BA37" s="3393"/>
      <c r="BB37" s="3393"/>
      <c r="BC37" s="3393"/>
      <c r="BD37" s="3393"/>
      <c r="BE37" s="3393">
        <f>ЦО_логистика!AD37+'Форд Тягач'!BC37+'MAN Blue KA1783HI'!AN37+'MAN green KA2790IE'!AN37+'MAN №3 white KA7837HO'!AN37+'MAN №4 white KA3597HO'!AN37+'MAN №5 Тент МД'!AD37-BC37</f>
        <v>0</v>
      </c>
      <c r="BF37" s="3323"/>
      <c r="BG37" s="3314"/>
      <c r="BH37" s="3313"/>
      <c r="BI37" s="3313"/>
      <c r="BJ37" s="3315"/>
      <c r="BK37" s="3315"/>
      <c r="BL37" s="3315"/>
      <c r="BM37" s="3313"/>
      <c r="BN37" s="3313"/>
      <c r="BO37" s="3315"/>
      <c r="BP37" s="3274"/>
      <c r="BQ37" s="3274"/>
      <c r="BR37" s="3313"/>
      <c r="BS37" s="3313"/>
      <c r="BT37" s="3313"/>
      <c r="BU37" s="3274"/>
      <c r="BV37" s="3274"/>
      <c r="BW37" s="3313"/>
      <c r="BX37" s="3313"/>
      <c r="BY37" s="3313"/>
      <c r="BZ37" s="3274"/>
      <c r="CA37" s="3274"/>
      <c r="CB37" s="3313"/>
      <c r="CC37" s="3313"/>
      <c r="CD37" s="3313"/>
      <c r="CE37" s="3274"/>
      <c r="CF37" s="3274"/>
      <c r="CG37" s="3313"/>
      <c r="CH37" s="3313"/>
      <c r="CI37" s="3313"/>
      <c r="CJ37" s="3274"/>
      <c r="CK37" s="3274"/>
      <c r="CL37" s="3313"/>
      <c r="CM37" s="3313"/>
      <c r="CN37" s="3313"/>
      <c r="CO37" s="3274"/>
      <c r="CP37" s="3274"/>
      <c r="CQ37" s="3313"/>
      <c r="CR37" s="3313"/>
      <c r="CS37" s="3313"/>
      <c r="CT37" s="3274"/>
      <c r="CU37" s="3274"/>
      <c r="CV37" s="3313"/>
      <c r="CW37" s="3313"/>
      <c r="CX37" s="3313"/>
      <c r="CY37" s="3274"/>
      <c r="CZ37" s="3274"/>
      <c r="DA37" s="3313"/>
      <c r="DB37" s="3313"/>
      <c r="DC37" s="3313"/>
      <c r="DD37" s="3274"/>
      <c r="DE37" s="3274"/>
      <c r="DF37" s="3313"/>
      <c r="DG37" s="3313"/>
      <c r="DH37" s="3313"/>
      <c r="DI37" s="3274"/>
      <c r="DJ37" s="3274"/>
      <c r="DK37" s="3313"/>
      <c r="DL37" s="3313"/>
      <c r="DM37" s="3313"/>
      <c r="DN37" s="3288"/>
      <c r="DO37" s="3274"/>
      <c r="DP37" s="3313"/>
      <c r="DQ37" s="3313"/>
      <c r="DR37" s="3315"/>
      <c r="DS37" s="916"/>
      <c r="DT37" s="916"/>
    </row>
    <row r="38" spans="1:124" ht="14.4" thickBot="1" x14ac:dyDescent="0.3">
      <c r="A38" s="1441"/>
      <c r="B38" s="1442" t="s">
        <v>46</v>
      </c>
      <c r="C38" s="1327">
        <v>397412.70278695651</v>
      </c>
      <c r="D38" s="2018">
        <v>-100158.78999999998</v>
      </c>
      <c r="E38" s="2018">
        <v>297253.91278695653</v>
      </c>
      <c r="F38" s="2018">
        <v>0</v>
      </c>
      <c r="G38" s="2018"/>
      <c r="H38" s="1327">
        <v>16708.380000000005</v>
      </c>
      <c r="I38" s="2018">
        <v>-15873.25</v>
      </c>
      <c r="J38" s="2018">
        <v>835.13000000000466</v>
      </c>
      <c r="K38" s="2018">
        <v>0</v>
      </c>
      <c r="L38" s="2018">
        <v>0</v>
      </c>
      <c r="M38" s="1327">
        <v>-116322.41215970868</v>
      </c>
      <c r="N38" s="2018">
        <v>-72808.75</v>
      </c>
      <c r="O38" s="2018">
        <v>-189131.16215970868</v>
      </c>
      <c r="P38" s="2018">
        <v>0</v>
      </c>
      <c r="Q38" s="2018">
        <v>0</v>
      </c>
      <c r="R38" s="2018">
        <f>(R5)-(R8)</f>
        <v>-28183.630000000005</v>
      </c>
      <c r="S38" s="2018">
        <f>(S5)-(S8)</f>
        <v>-104710.88</v>
      </c>
      <c r="T38" s="2018">
        <f>(T5)-(T8)</f>
        <v>-132894.51</v>
      </c>
      <c r="U38" s="2018"/>
      <c r="V38" s="2018"/>
      <c r="W38" s="2018">
        <f>(W5)-(W8)</f>
        <v>369270.43200000015</v>
      </c>
      <c r="X38" s="2018">
        <f>(X5)-(X8)</f>
        <v>110741.40999999997</v>
      </c>
      <c r="Y38" s="2018">
        <f>(Y5)-(Y8)</f>
        <v>480011.84200000018</v>
      </c>
      <c r="Z38" s="2018"/>
      <c r="AA38" s="2018"/>
      <c r="AB38" s="2018">
        <f>(AB5)-(AB8)</f>
        <v>928167.3</v>
      </c>
      <c r="AC38" s="2018">
        <f>(AC5)-(AC8)</f>
        <v>32181.5</v>
      </c>
      <c r="AD38" s="2018">
        <f>(AD5)-(AD8)</f>
        <v>960348.80000000016</v>
      </c>
      <c r="AE38" s="2018">
        <f t="shared" si="2"/>
        <v>0.75133005639697426</v>
      </c>
      <c r="AF38" s="2018"/>
      <c r="AG38" s="2018">
        <f>(AG5)-(AG8)</f>
        <v>708670.37</v>
      </c>
      <c r="AH38" s="2018">
        <f>(AH5)-(AH8)</f>
        <v>39523.109999999986</v>
      </c>
      <c r="AI38" s="2018">
        <f>(AI5)-(AI8)</f>
        <v>748193.48</v>
      </c>
      <c r="AJ38" s="2018">
        <f t="shared" ref="AJ38:AJ48" si="55">AI38/$AD$89</f>
        <v>0.58535008272436884</v>
      </c>
      <c r="AK38" s="2018"/>
      <c r="AL38" s="2018">
        <f>(AL5)-(AL8)</f>
        <v>1472465.5599999998</v>
      </c>
      <c r="AM38" s="2018">
        <f>(AM5)-(AM8)</f>
        <v>-67898.62</v>
      </c>
      <c r="AN38" s="2018">
        <f>(AN5)-(AN8)</f>
        <v>1404566.94</v>
      </c>
      <c r="AO38" s="2018">
        <f t="shared" ref="AO38:AO48" si="56">AN38/$AD$89</f>
        <v>1.0988646606769596</v>
      </c>
      <c r="AP38" s="2018"/>
      <c r="AQ38" s="2018">
        <f>(AQ5)-(AQ8)</f>
        <v>520350.23879999947</v>
      </c>
      <c r="AR38" s="2018">
        <f>(AR5)-(AR8)</f>
        <v>-111539.65999999997</v>
      </c>
      <c r="AS38" s="2018">
        <f>(AS5)-(AS8)</f>
        <v>408810.57879999932</v>
      </c>
      <c r="AT38" s="2018">
        <f t="shared" ref="AT38:AT48" si="57">AS38/$AD$89</f>
        <v>0.31983345553769954</v>
      </c>
      <c r="AU38" s="2018"/>
      <c r="AV38" s="2018">
        <f>(AV5)-(AV8)</f>
        <v>2290950.9410000015</v>
      </c>
      <c r="AW38" s="2018">
        <f>(AW5)-(AW8)</f>
        <v>-1309430.9300000002</v>
      </c>
      <c r="AX38" s="2018">
        <f>(AX5)-(AX8)</f>
        <v>981520.01100000087</v>
      </c>
      <c r="AY38" s="2018">
        <f t="shared" ref="AY38:AY39" si="58">AX38/$AD$89</f>
        <v>0.76789337917576339</v>
      </c>
      <c r="AZ38" s="2018"/>
      <c r="BA38" s="2018">
        <f>(BA5)-(BA8)</f>
        <v>208270.08000000002</v>
      </c>
      <c r="BB38" s="2018">
        <f>(BB5)-(BB8)</f>
        <v>-174626</v>
      </c>
      <c r="BC38" s="2018">
        <f>(BC5)-(BC8)</f>
        <v>33644.080000000075</v>
      </c>
      <c r="BD38" s="2018">
        <f t="shared" ref="BD38:BD39" si="59">BC38/$AD$89</f>
        <v>2.6321487072014215E-2</v>
      </c>
      <c r="BE38" s="2018">
        <f>ЦО_логистика!AD38+'Форд Тягач'!BC38+'MAN Blue KA1783HI'!AN38+'MAN green KA2790IE'!AN38+'MAN №3 white KA7837HO'!AN38+'MAN №4 white KA3597HO'!AN38+'MAN №5 Тент МД'!AD38-BC38</f>
        <v>-1.1641532182693481E-10</v>
      </c>
      <c r="BF38" s="2018">
        <f>(BF5)-(BF8)</f>
        <v>49271.320000000007</v>
      </c>
      <c r="BG38" s="2018">
        <f>(BG5)-(BG8)</f>
        <v>-8880</v>
      </c>
      <c r="BH38" s="2018">
        <f>(BH5)-(BH8)</f>
        <v>40391.320000000007</v>
      </c>
      <c r="BI38" s="2018">
        <f t="shared" ref="BI38:BI48" si="60">BH38/$AD$89</f>
        <v>3.1600198525315211E-2</v>
      </c>
      <c r="BJ38" s="2018"/>
      <c r="BK38" s="2018">
        <f>(BK5)-(BK8)</f>
        <v>141170.03000000003</v>
      </c>
      <c r="BL38" s="2018">
        <f>(BL5)-(BL8)</f>
        <v>-156193</v>
      </c>
      <c r="BM38" s="2018">
        <f>(BM5)-(BM8)</f>
        <v>-15022.969999999972</v>
      </c>
      <c r="BN38" s="2018">
        <f>BM38/$AD$89</f>
        <v>-1.1753238924597011E-2</v>
      </c>
      <c r="BO38" s="2018"/>
      <c r="BP38" s="2018">
        <f>(BP5)-(BP8)</f>
        <v>17828.729999999981</v>
      </c>
      <c r="BQ38" s="2018">
        <f>(BQ5)-(BQ8)</f>
        <v>-9553</v>
      </c>
      <c r="BR38" s="2018">
        <f>(BR5)-(BR8)</f>
        <v>8275.7300000000105</v>
      </c>
      <c r="BS38" s="2018">
        <f>BR38/$AD$89</f>
        <v>6.47452747129599E-3</v>
      </c>
      <c r="BT38" s="2018"/>
      <c r="BU38" s="2018">
        <f>(BU5)-(BU8)</f>
        <v>0</v>
      </c>
      <c r="BV38" s="2018">
        <f>(BV5)-(BV8)</f>
        <v>0</v>
      </c>
      <c r="BW38" s="2018">
        <f>(BW5)-(BW8)</f>
        <v>0</v>
      </c>
      <c r="BX38" s="2018">
        <f>BW38/$AD$89</f>
        <v>0</v>
      </c>
      <c r="BY38" s="2018"/>
      <c r="BZ38" s="2018">
        <f>(BZ5)-(BZ8)</f>
        <v>0</v>
      </c>
      <c r="CA38" s="2018">
        <f>(CA5)-(CA8)</f>
        <v>0</v>
      </c>
      <c r="CB38" s="2018">
        <f>(CB5)-(CB8)</f>
        <v>0</v>
      </c>
      <c r="CC38" s="2018">
        <f>CB38/$AD$89</f>
        <v>0</v>
      </c>
      <c r="CD38" s="2018"/>
      <c r="CE38" s="2018">
        <f>(CE5)-(CE8)</f>
        <v>0</v>
      </c>
      <c r="CF38" s="2018">
        <f>(CF5)-(CF8)</f>
        <v>0</v>
      </c>
      <c r="CG38" s="2018">
        <f>(CG5)-(CG8)</f>
        <v>0</v>
      </c>
      <c r="CH38" s="2018">
        <f>CG38/$AD$89</f>
        <v>0</v>
      </c>
      <c r="CI38" s="2018"/>
      <c r="CJ38" s="2018">
        <f>(CJ5)-(CJ8)</f>
        <v>0</v>
      </c>
      <c r="CK38" s="2018">
        <f>(CK5)-(CK8)</f>
        <v>0</v>
      </c>
      <c r="CL38" s="2018">
        <f>(CL5)-(CL8)</f>
        <v>0</v>
      </c>
      <c r="CM38" s="2018">
        <f>CL38/$AD$89</f>
        <v>0</v>
      </c>
      <c r="CN38" s="2018"/>
      <c r="CO38" s="2018">
        <f>(CO5)-(CO8)</f>
        <v>0</v>
      </c>
      <c r="CP38" s="2018">
        <f>(CP5)-(CP8)</f>
        <v>0</v>
      </c>
      <c r="CQ38" s="2018">
        <f>(CQ5)-(CQ8)</f>
        <v>0</v>
      </c>
      <c r="CR38" s="2018">
        <f>CQ38/$AD$89</f>
        <v>0</v>
      </c>
      <c r="CS38" s="2018"/>
      <c r="CT38" s="2018">
        <f>(CT5)-(CT8)</f>
        <v>0</v>
      </c>
      <c r="CU38" s="2018">
        <f>(CU5)-(CU8)</f>
        <v>0</v>
      </c>
      <c r="CV38" s="2018">
        <f>(CV5)-(CV8)</f>
        <v>0</v>
      </c>
      <c r="CW38" s="2018">
        <f>CV38/$AD$89</f>
        <v>0</v>
      </c>
      <c r="CX38" s="2018"/>
      <c r="CY38" s="2018">
        <f>(CY5)-(CY8)</f>
        <v>0</v>
      </c>
      <c r="CZ38" s="2018">
        <f>(CZ5)-(CZ8)</f>
        <v>0</v>
      </c>
      <c r="DA38" s="2018">
        <f>(DA5)-(DA8)</f>
        <v>0</v>
      </c>
      <c r="DB38" s="2018">
        <f>DA38/$AD$89</f>
        <v>0</v>
      </c>
      <c r="DC38" s="2018"/>
      <c r="DD38" s="2018">
        <f>(DD5)-(DD8)</f>
        <v>0</v>
      </c>
      <c r="DE38" s="2018">
        <f>(DE5)-(DE8)</f>
        <v>0</v>
      </c>
      <c r="DF38" s="2018">
        <f>(DF5)-(DF8)</f>
        <v>0</v>
      </c>
      <c r="DG38" s="2018">
        <f>DF38/$AD$89</f>
        <v>0</v>
      </c>
      <c r="DH38" s="2018"/>
      <c r="DI38" s="2018">
        <f>(DI5)-(DI8)</f>
        <v>0</v>
      </c>
      <c r="DJ38" s="2018">
        <f>(DJ5)-(DJ8)</f>
        <v>0</v>
      </c>
      <c r="DK38" s="2018">
        <f>(DK5)-(DK8)</f>
        <v>0</v>
      </c>
      <c r="DL38" s="2018">
        <f>DK38/$AD$89</f>
        <v>0</v>
      </c>
      <c r="DM38" s="2018"/>
      <c r="DN38" s="2018">
        <f>(DN5)-(DN8)</f>
        <v>6469961.2918000016</v>
      </c>
      <c r="DO38" s="2018">
        <f>(DO5)-(DO8)</f>
        <v>-1585760.0699999998</v>
      </c>
      <c r="DP38" s="2018">
        <f>(DP5)-(DP8)</f>
        <v>4884201.2218000032</v>
      </c>
      <c r="DQ38" s="2018"/>
      <c r="DR38" s="2018"/>
      <c r="DS38" s="916"/>
      <c r="DT38" s="916"/>
    </row>
    <row r="39" spans="1:124" ht="13.8" x14ac:dyDescent="0.25">
      <c r="A39" s="1580"/>
      <c r="B39" s="1423" t="s">
        <v>47</v>
      </c>
      <c r="C39" s="1331">
        <v>0.58079983985249573</v>
      </c>
      <c r="D39" s="2019">
        <v>-2.2149223794781068</v>
      </c>
      <c r="E39" s="2020">
        <v>0.40749259526397785</v>
      </c>
      <c r="F39" s="2020">
        <v>0</v>
      </c>
      <c r="G39" s="2020"/>
      <c r="H39" s="1331">
        <v>0.15706021695399602</v>
      </c>
      <c r="I39" s="2019" t="e">
        <v>#DIV/0!</v>
      </c>
      <c r="J39" s="2020">
        <v>7.8502942227068918E-3</v>
      </c>
      <c r="K39" s="2020">
        <v>0</v>
      </c>
      <c r="L39" s="2020">
        <v>0</v>
      </c>
      <c r="M39" s="1331">
        <v>-0.26817723528585152</v>
      </c>
      <c r="N39" s="2019" t="e">
        <v>#DIV/0!</v>
      </c>
      <c r="O39" s="2020">
        <v>-0.43603525092612527</v>
      </c>
      <c r="P39" s="2020">
        <v>0</v>
      </c>
      <c r="Q39" s="2020">
        <v>0</v>
      </c>
      <c r="R39" s="2019">
        <f>R38/(R5)</f>
        <v>-3.4262603987225519E-2</v>
      </c>
      <c r="S39" s="2019">
        <f>S38/(S5)</f>
        <v>-1.4362450278440733</v>
      </c>
      <c r="T39" s="2020">
        <f>T38/(T5)</f>
        <v>-0.14840539686403875</v>
      </c>
      <c r="U39" s="2020"/>
      <c r="V39" s="2020"/>
      <c r="W39" s="2019">
        <f>W38/(W5)</f>
        <v>0.28971514782120111</v>
      </c>
      <c r="X39" s="2019">
        <f>X38/(X5)</f>
        <v>0.32601725272874787</v>
      </c>
      <c r="Y39" s="2020">
        <f>Y38/(Y5)</f>
        <v>0.29735390974102988</v>
      </c>
      <c r="Z39" s="2020"/>
      <c r="AA39" s="2020"/>
      <c r="AB39" s="2019">
        <f>AB38/(AB5)</f>
        <v>0.58165325792321487</v>
      </c>
      <c r="AC39" s="2019">
        <f>AC38/(AC5)</f>
        <v>0.15605421394627098</v>
      </c>
      <c r="AD39" s="2020">
        <f>AD38/(AD5)</f>
        <v>0.53294682676286897</v>
      </c>
      <c r="AE39" s="2020">
        <f t="shared" si="2"/>
        <v>4.1695160071875422E-7</v>
      </c>
      <c r="AF39" s="2020"/>
      <c r="AG39" s="2019">
        <f>AG38/(AG5)</f>
        <v>0.54474229222382031</v>
      </c>
      <c r="AH39" s="2019">
        <f>AH38/(AH5)</f>
        <v>0.11882789950933227</v>
      </c>
      <c r="AI39" s="2020">
        <f>AI38/(AI5)</f>
        <v>0.45802087613925269</v>
      </c>
      <c r="AJ39" s="2020">
        <f t="shared" si="55"/>
        <v>3.5833319175355475E-7</v>
      </c>
      <c r="AK39" s="2020"/>
      <c r="AL39" s="2019">
        <f>AL38/(AL5)</f>
        <v>0.4199110932887834</v>
      </c>
      <c r="AM39" s="2019">
        <f>AM38/(AM5)</f>
        <v>-0.2630200271160178</v>
      </c>
      <c r="AN39" s="2020">
        <f>AN38/(AN5)</f>
        <v>0.37308246577997439</v>
      </c>
      <c r="AO39" s="2020">
        <f t="shared" si="56"/>
        <v>2.9188152268758011E-7</v>
      </c>
      <c r="AP39" s="2020"/>
      <c r="AQ39" s="2019">
        <f>AQ38/(AQ5)</f>
        <v>9.6310125056867688E-2</v>
      </c>
      <c r="AR39" s="2019">
        <f>AR38/(AR5)</f>
        <v>-0.42267482663230882</v>
      </c>
      <c r="AS39" s="2020">
        <f>AS38/(AS5)</f>
        <v>7.2141967001935717E-2</v>
      </c>
      <c r="AT39" s="2020">
        <f t="shared" si="57"/>
        <v>5.6440355979153628E-8</v>
      </c>
      <c r="AU39" s="2020"/>
      <c r="AV39" s="2019">
        <f>AV38/(AV5)</f>
        <v>0.26529171080429964</v>
      </c>
      <c r="AW39" s="2019">
        <f>AW38/(AW5)</f>
        <v>-5.2511667067693297</v>
      </c>
      <c r="AX39" s="2020">
        <f>AX38/(AX5)</f>
        <v>0.11046992998511322</v>
      </c>
      <c r="AY39" s="2020">
        <f t="shared" si="58"/>
        <v>8.6426284622717189E-8</v>
      </c>
      <c r="AZ39" s="2019"/>
      <c r="BA39" s="2019">
        <f>BA38/(BA5)</f>
        <v>0.30560988422427332</v>
      </c>
      <c r="BB39" s="2019">
        <f>BB38/(BB5)</f>
        <v>-4.4265145754119137</v>
      </c>
      <c r="BC39" s="2020">
        <f>BC38/(BC5)</f>
        <v>4.6666962576636162E-2</v>
      </c>
      <c r="BD39" s="2020">
        <f t="shared" si="59"/>
        <v>3.6509955158562731E-8</v>
      </c>
      <c r="BE39" s="2019" t="e">
        <f>ЦО_логистика!AD39+'Форд Тягач'!BC39+'MAN Blue KA1783HI'!AN39+'MAN green KA2790IE'!AN39+'MAN №3 white KA7837HO'!AN39+'MAN №4 white KA3597HO'!AN39+'MAN №5 Тент МД'!AD39-BC39</f>
        <v>#DIV/0!</v>
      </c>
      <c r="BF39" s="2019">
        <f>BF38/(BF5)</f>
        <v>0.39042250396196521</v>
      </c>
      <c r="BG39" s="2019" t="e">
        <f>BG38/(BG5)</f>
        <v>#DIV/0!</v>
      </c>
      <c r="BH39" s="2020">
        <f>BH38/(BH5)</f>
        <v>0.32005800316957217</v>
      </c>
      <c r="BI39" s="2020">
        <f t="shared" si="60"/>
        <v>2.5039776961422517E-7</v>
      </c>
      <c r="BJ39" s="2019"/>
      <c r="BK39" s="2019">
        <f>BK38/(BK5)</f>
        <v>0.37560204868963692</v>
      </c>
      <c r="BL39" s="2019">
        <f>BL38/(BL5)</f>
        <v>-8.3081382978723397</v>
      </c>
      <c r="BM39" s="2020">
        <f>BM38/(BM5)</f>
        <v>-3.8066565311035021E-2</v>
      </c>
      <c r="BN39" s="2020">
        <f>BM39/$AD$89</f>
        <v>-2.9781423855560646E-8</v>
      </c>
      <c r="BO39" s="2019"/>
      <c r="BP39" s="2019">
        <f>BP38/(BP5)</f>
        <v>9.9357612572447518E-2</v>
      </c>
      <c r="BQ39" s="2019">
        <f>BQ38/(BQ5)</f>
        <v>-0.46261501210653755</v>
      </c>
      <c r="BR39" s="2020">
        <f>BR38/(BR5)</f>
        <v>4.1360037982907744E-2</v>
      </c>
      <c r="BS39" s="2020">
        <f>BR39/$AD$89</f>
        <v>3.2358076222179967E-8</v>
      </c>
      <c r="BT39" s="2020"/>
      <c r="BU39" s="2019" t="e">
        <f>BU38/(BU5)</f>
        <v>#DIV/0!</v>
      </c>
      <c r="BV39" s="2019" t="e">
        <f>BV38/(BV5)</f>
        <v>#DIV/0!</v>
      </c>
      <c r="BW39" s="2020" t="e">
        <f>BW38/(BW5)</f>
        <v>#DIV/0!</v>
      </c>
      <c r="BX39" s="2020" t="e">
        <f>BW39/$AD$89</f>
        <v>#DIV/0!</v>
      </c>
      <c r="BY39" s="2020"/>
      <c r="BZ39" s="2019" t="e">
        <f>BZ38/(BZ5)</f>
        <v>#DIV/0!</v>
      </c>
      <c r="CA39" s="2019" t="e">
        <f>CA38/(CA5)</f>
        <v>#DIV/0!</v>
      </c>
      <c r="CB39" s="2020" t="e">
        <f>CB38/(CB5)</f>
        <v>#DIV/0!</v>
      </c>
      <c r="CC39" s="2020" t="e">
        <f>CB39/$AD$89</f>
        <v>#DIV/0!</v>
      </c>
      <c r="CD39" s="2020"/>
      <c r="CE39" s="2019" t="e">
        <f>CE38/(CE5)</f>
        <v>#DIV/0!</v>
      </c>
      <c r="CF39" s="2019" t="e">
        <f>CF38/(CF5)</f>
        <v>#DIV/0!</v>
      </c>
      <c r="CG39" s="2020" t="e">
        <f>CG38/(CG5)</f>
        <v>#DIV/0!</v>
      </c>
      <c r="CH39" s="2020" t="e">
        <f>CG39/$AD$89</f>
        <v>#DIV/0!</v>
      </c>
      <c r="CI39" s="2020"/>
      <c r="CJ39" s="2019" t="e">
        <f>CJ38/(CJ5)</f>
        <v>#DIV/0!</v>
      </c>
      <c r="CK39" s="2019" t="e">
        <f>CK38/(CK5)</f>
        <v>#DIV/0!</v>
      </c>
      <c r="CL39" s="2020" t="e">
        <f>CL38/(CL5)</f>
        <v>#DIV/0!</v>
      </c>
      <c r="CM39" s="2020" t="e">
        <f>CL39/$AD$89</f>
        <v>#DIV/0!</v>
      </c>
      <c r="CN39" s="2020"/>
      <c r="CO39" s="2019" t="e">
        <f>CO38/(CO5)</f>
        <v>#DIV/0!</v>
      </c>
      <c r="CP39" s="2019" t="e">
        <f>CP38/(CP5)</f>
        <v>#DIV/0!</v>
      </c>
      <c r="CQ39" s="2020" t="e">
        <f>CQ38/(CQ5)</f>
        <v>#DIV/0!</v>
      </c>
      <c r="CR39" s="2020" t="e">
        <f>CQ39/$AD$89</f>
        <v>#DIV/0!</v>
      </c>
      <c r="CS39" s="2020"/>
      <c r="CT39" s="2019" t="e">
        <f>CT38/(CT5)</f>
        <v>#DIV/0!</v>
      </c>
      <c r="CU39" s="2019">
        <f>IFERROR(CU38/(CU5),0)</f>
        <v>0</v>
      </c>
      <c r="CV39" s="2020" t="e">
        <f>CV38/(CV5)</f>
        <v>#DIV/0!</v>
      </c>
      <c r="CW39" s="2020" t="e">
        <f>CV39/$AD$89</f>
        <v>#DIV/0!</v>
      </c>
      <c r="CX39" s="2020"/>
      <c r="CY39" s="2019" t="e">
        <f>CY38/(CY5)</f>
        <v>#DIV/0!</v>
      </c>
      <c r="CZ39" s="2019">
        <f>IFERROR(CZ38/(CZ5),0)</f>
        <v>0</v>
      </c>
      <c r="DA39" s="2020" t="e">
        <f>DA38/(DA5)</f>
        <v>#DIV/0!</v>
      </c>
      <c r="DB39" s="2020" t="e">
        <f>DA39/$AD$89</f>
        <v>#DIV/0!</v>
      </c>
      <c r="DC39" s="2020"/>
      <c r="DD39" s="2019" t="e">
        <f>DD38/(DD5)</f>
        <v>#DIV/0!</v>
      </c>
      <c r="DE39" s="2019">
        <f>IFERROR(DE38/(DE5),0)</f>
        <v>0</v>
      </c>
      <c r="DF39" s="2020" t="e">
        <f>DF38/(DF5)</f>
        <v>#DIV/0!</v>
      </c>
      <c r="DG39" s="2020" t="e">
        <f>DF39/$AD$89</f>
        <v>#DIV/0!</v>
      </c>
      <c r="DH39" s="2020"/>
      <c r="DI39" s="2019" t="e">
        <f>DI38/(DI5)</f>
        <v>#DIV/0!</v>
      </c>
      <c r="DJ39" s="2019">
        <f>IFERROR(DJ38/(DJ5),0)</f>
        <v>0</v>
      </c>
      <c r="DK39" s="2020" t="e">
        <f>DK38/(DK5)</f>
        <v>#DIV/0!</v>
      </c>
      <c r="DL39" s="2020" t="e">
        <f>DK39/$AD$89</f>
        <v>#DIV/0!</v>
      </c>
      <c r="DM39" s="2020"/>
      <c r="DN39" s="2019">
        <f>DN38/(DN5)</f>
        <v>0.27863265316683195</v>
      </c>
      <c r="DO39" s="2019">
        <f>DO38/(DO5)</f>
        <v>-0.89984271932984361</v>
      </c>
      <c r="DP39" s="2020">
        <f>DP38/(DP5)</f>
        <v>0.19550363236147478</v>
      </c>
      <c r="DQ39" s="2020"/>
      <c r="DR39" s="2020"/>
      <c r="DS39" s="916"/>
      <c r="DT39" s="916"/>
    </row>
    <row r="40" spans="1:124" ht="14.4" thickBot="1" x14ac:dyDescent="0.3">
      <c r="A40" s="1582"/>
      <c r="B40" s="3316"/>
      <c r="C40" s="3317">
        <v>0</v>
      </c>
      <c r="D40" s="3317">
        <v>0</v>
      </c>
      <c r="E40" s="3317">
        <v>0</v>
      </c>
      <c r="F40" s="3317">
        <v>0</v>
      </c>
      <c r="G40" s="3317"/>
      <c r="H40" s="3317">
        <v>0</v>
      </c>
      <c r="I40" s="3317">
        <v>0</v>
      </c>
      <c r="J40" s="3317">
        <v>0</v>
      </c>
      <c r="K40" s="3317">
        <v>0</v>
      </c>
      <c r="L40" s="3317">
        <v>0</v>
      </c>
      <c r="M40" s="3317">
        <v>0</v>
      </c>
      <c r="N40" s="3317">
        <v>0</v>
      </c>
      <c r="O40" s="3317">
        <v>0</v>
      </c>
      <c r="P40" s="3317">
        <v>0</v>
      </c>
      <c r="Q40" s="3317">
        <v>0</v>
      </c>
      <c r="R40" s="3317"/>
      <c r="S40" s="3317"/>
      <c r="T40" s="3317"/>
      <c r="U40" s="3317"/>
      <c r="V40" s="3317"/>
      <c r="W40" s="3317"/>
      <c r="X40" s="3317"/>
      <c r="Y40" s="3317"/>
      <c r="Z40" s="3317"/>
      <c r="AA40" s="3317"/>
      <c r="AB40" s="3317"/>
      <c r="AC40" s="3317"/>
      <c r="AD40" s="3317"/>
      <c r="AE40" s="3317">
        <f t="shared" si="2"/>
        <v>0</v>
      </c>
      <c r="AF40" s="3317"/>
      <c r="AG40" s="3317"/>
      <c r="AH40" s="3317"/>
      <c r="AI40" s="3317"/>
      <c r="AJ40" s="3317">
        <f t="shared" si="55"/>
        <v>0</v>
      </c>
      <c r="AK40" s="3317"/>
      <c r="AL40" s="3317"/>
      <c r="AM40" s="3317"/>
      <c r="AN40" s="3317"/>
      <c r="AO40" s="3317">
        <f t="shared" si="56"/>
        <v>0</v>
      </c>
      <c r="AP40" s="3317"/>
      <c r="AQ40" s="3317"/>
      <c r="AR40" s="3317"/>
      <c r="AS40" s="3317"/>
      <c r="AT40" s="3317">
        <f t="shared" si="57"/>
        <v>0</v>
      </c>
      <c r="AU40" s="3317"/>
      <c r="AV40" s="3317"/>
      <c r="AW40" s="3317"/>
      <c r="AX40" s="3317"/>
      <c r="AY40" s="3317"/>
      <c r="AZ40" s="3317"/>
      <c r="BA40" s="3317"/>
      <c r="BB40" s="3317"/>
      <c r="BC40" s="3317"/>
      <c r="BD40" s="3317"/>
      <c r="BE40" s="3317">
        <f>ЦО_логистика!AD40+'Форд Тягач'!BC40+'MAN Blue KA1783HI'!AN40+'MAN green KA2790IE'!AN40+'MAN №3 white KA7837HO'!AN40+'MAN №4 white KA3597HO'!AN40+'MAN №5 Тент МД'!AD40-BC40</f>
        <v>0</v>
      </c>
      <c r="BF40" s="3317"/>
      <c r="BG40" s="3317"/>
      <c r="BH40" s="3317"/>
      <c r="BI40" s="3317"/>
      <c r="BJ40" s="3317"/>
      <c r="BK40" s="3317"/>
      <c r="BL40" s="3317"/>
      <c r="BM40" s="3317"/>
      <c r="BN40" s="3317">
        <f>BM40/$AD$89</f>
        <v>0</v>
      </c>
      <c r="BO40" s="3317"/>
      <c r="BP40" s="3317"/>
      <c r="BQ40" s="3317"/>
      <c r="BR40" s="3317"/>
      <c r="BS40" s="3317"/>
      <c r="BT40" s="3317"/>
      <c r="BU40" s="3317"/>
      <c r="BV40" s="3317"/>
      <c r="BW40" s="3317"/>
      <c r="BX40" s="3317"/>
      <c r="BY40" s="3317"/>
      <c r="BZ40" s="3317"/>
      <c r="CA40" s="3317"/>
      <c r="CB40" s="3317"/>
      <c r="CC40" s="3317"/>
      <c r="CD40" s="3317"/>
      <c r="CE40" s="3317"/>
      <c r="CF40" s="3317"/>
      <c r="CG40" s="3317"/>
      <c r="CH40" s="3317"/>
      <c r="CI40" s="3317"/>
      <c r="CJ40" s="3317"/>
      <c r="CK40" s="3317"/>
      <c r="CL40" s="3317"/>
      <c r="CM40" s="3317"/>
      <c r="CN40" s="3317"/>
      <c r="CO40" s="3317"/>
      <c r="CP40" s="3317"/>
      <c r="CQ40" s="3317"/>
      <c r="CR40" s="3317"/>
      <c r="CS40" s="3317"/>
      <c r="CT40" s="3317"/>
      <c r="CU40" s="3317"/>
      <c r="CV40" s="3317"/>
      <c r="CW40" s="3317"/>
      <c r="CX40" s="3317"/>
      <c r="CY40" s="3317"/>
      <c r="CZ40" s="3317"/>
      <c r="DA40" s="3317"/>
      <c r="DB40" s="3317"/>
      <c r="DC40" s="3317"/>
      <c r="DD40" s="3317"/>
      <c r="DE40" s="3317"/>
      <c r="DF40" s="3317"/>
      <c r="DG40" s="3317"/>
      <c r="DH40" s="3317"/>
      <c r="DI40" s="3317"/>
      <c r="DJ40" s="3317"/>
      <c r="DK40" s="3317"/>
      <c r="DL40" s="3317"/>
      <c r="DM40" s="3317"/>
      <c r="DN40" s="3394"/>
      <c r="DO40" s="3317"/>
      <c r="DP40" s="3317"/>
      <c r="DQ40" s="3317"/>
      <c r="DR40" s="3317"/>
      <c r="DS40" s="916"/>
      <c r="DT40" s="916"/>
    </row>
    <row r="41" spans="1:124" ht="13.8" x14ac:dyDescent="0.25">
      <c r="A41" s="1420"/>
      <c r="B41" s="1430" t="s">
        <v>26</v>
      </c>
      <c r="C41" s="3397">
        <v>0</v>
      </c>
      <c r="D41" s="2029">
        <v>47</v>
      </c>
      <c r="E41" s="2030">
        <v>47</v>
      </c>
      <c r="F41" s="3318">
        <v>7.5168943778745838E-5</v>
      </c>
      <c r="G41" s="2022"/>
      <c r="H41" s="3397">
        <v>0</v>
      </c>
      <c r="I41" s="2029">
        <v>0</v>
      </c>
      <c r="J41" s="2030">
        <v>0</v>
      </c>
      <c r="K41" s="3318">
        <v>0</v>
      </c>
      <c r="L41" s="2022">
        <v>0</v>
      </c>
      <c r="M41" s="3397">
        <v>0</v>
      </c>
      <c r="N41" s="2029">
        <v>0</v>
      </c>
      <c r="O41" s="2030">
        <v>0</v>
      </c>
      <c r="P41" s="3318">
        <v>0</v>
      </c>
      <c r="Q41" s="2022">
        <v>0</v>
      </c>
      <c r="R41" s="2029">
        <f>SUM(R42:R48)</f>
        <v>889.58999999999992</v>
      </c>
      <c r="S41" s="2029">
        <f>SUM(S42:S48)</f>
        <v>0</v>
      </c>
      <c r="T41" s="2030">
        <f>SUM(T42:T48)</f>
        <v>889.58999999999992</v>
      </c>
      <c r="U41" s="3318">
        <f t="shared" ref="U41:U48" si="61">T41/$T$89</f>
        <v>6.8059339551606451E-4</v>
      </c>
      <c r="V41" s="2022"/>
      <c r="W41" s="2029">
        <f>SUM(W42:W48)</f>
        <v>15858.4</v>
      </c>
      <c r="X41" s="2029">
        <f>SUM(X42:X48)</f>
        <v>20684.350000000002</v>
      </c>
      <c r="Y41" s="2030">
        <f>SUM(Y42:Y48)</f>
        <v>36542.75</v>
      </c>
      <c r="Z41" s="3318">
        <f t="shared" ref="Z41:Z48" si="62">Y41/$T$89</f>
        <v>2.7957547076737223E-2</v>
      </c>
      <c r="AA41" s="2022"/>
      <c r="AB41" s="2029">
        <f>SUM(AB42:AB48)</f>
        <v>1948.23</v>
      </c>
      <c r="AC41" s="2029">
        <f>SUM(AC42:AC48)</f>
        <v>21911.940000000002</v>
      </c>
      <c r="AD41" s="2030">
        <f>SUM(AD42:AD48)</f>
        <v>23860.170000000002</v>
      </c>
      <c r="AE41" s="3318">
        <f t="shared" si="2"/>
        <v>1.8667033136024528E-2</v>
      </c>
      <c r="AF41" s="2022"/>
      <c r="AG41" s="2029">
        <f>SUM(AG42:AG48)</f>
        <v>33192.089999999997</v>
      </c>
      <c r="AH41" s="2029">
        <f>SUM(AH42:AH48)</f>
        <v>18661.940000000002</v>
      </c>
      <c r="AI41" s="2030">
        <f>SUM(AI42:AI48)</f>
        <v>51854.03</v>
      </c>
      <c r="AJ41" s="3318">
        <f t="shared" si="55"/>
        <v>4.0568063691348799E-2</v>
      </c>
      <c r="AK41" s="2022"/>
      <c r="AL41" s="2029">
        <f>SUM(AL42:AL48)</f>
        <v>40177.289999999994</v>
      </c>
      <c r="AM41" s="2029">
        <f>SUM(AM42:AM48)</f>
        <v>9653.83</v>
      </c>
      <c r="AN41" s="2030">
        <f>SUM(AN42:AN48)</f>
        <v>49831.119999999995</v>
      </c>
      <c r="AO41" s="3318">
        <f t="shared" si="56"/>
        <v>3.8985437582599557E-2</v>
      </c>
      <c r="AP41" s="2022"/>
      <c r="AQ41" s="2029">
        <f>SUM(AQ42:AQ48)</f>
        <v>35933.78</v>
      </c>
      <c r="AR41" s="2029">
        <f>SUM(AR42:AR48)</f>
        <v>28008.17</v>
      </c>
      <c r="AS41" s="2030">
        <f>SUM(AS42:AS48)</f>
        <v>63941.95</v>
      </c>
      <c r="AT41" s="3318">
        <f t="shared" si="57"/>
        <v>5.002506266434914E-2</v>
      </c>
      <c r="AU41" s="2022"/>
      <c r="AV41" s="2029">
        <f>SUM(AV42:AV48)</f>
        <v>56477.23</v>
      </c>
      <c r="AW41" s="2029">
        <f>SUM(AW42:AW48)</f>
        <v>58568.66</v>
      </c>
      <c r="AX41" s="2030">
        <f>SUM(AX42:AX48)</f>
        <v>115045.89000000001</v>
      </c>
      <c r="AY41" s="3318">
        <f t="shared" ref="AY41:AY48" si="63">AX41/$AD$89</f>
        <v>9.0006292528235665E-2</v>
      </c>
      <c r="AZ41" s="1329"/>
      <c r="BA41" s="2029">
        <f>SUM(BA42:BA48)</f>
        <v>3624.0610000000001</v>
      </c>
      <c r="BB41" s="2029">
        <f>SUM(BB42:BB48)</f>
        <v>126</v>
      </c>
      <c r="BC41" s="2030">
        <f>SUM(BC42:BC48)</f>
        <v>3750.0610000000001</v>
      </c>
      <c r="BD41" s="3318">
        <f t="shared" ref="BD41:BD48" si="64">BC41/$AD$89</f>
        <v>2.9338648026863714E-3</v>
      </c>
      <c r="BE41" s="1329">
        <f>ЦО_логистика!AD41+'Форд Тягач'!BC41+'MAN Blue KA1783HI'!AN41+'MAN green KA2790IE'!AN41+'MAN №3 white KA7837HO'!AN41+'MAN №4 white KA3597HO'!AN41+'MAN №5 Тент МД'!AD41-BC41</f>
        <v>0</v>
      </c>
      <c r="BF41" s="2029">
        <f>SUM(BF42:BF48)</f>
        <v>1314.96</v>
      </c>
      <c r="BG41" s="2029">
        <f>SUM(BG42:BG48)</f>
        <v>0</v>
      </c>
      <c r="BH41" s="2030">
        <f>SUM(BH42:BH48)</f>
        <v>1314.96</v>
      </c>
      <c r="BI41" s="3318">
        <f t="shared" si="60"/>
        <v>1.0287605617456544E-3</v>
      </c>
      <c r="BJ41" s="1329"/>
      <c r="BK41" s="2029">
        <f>SUM(BK42:BK48)</f>
        <v>1309.1010000000001</v>
      </c>
      <c r="BL41" s="2029">
        <f>SUM(BL42:BL48)</f>
        <v>126</v>
      </c>
      <c r="BM41" s="2030">
        <f>SUM(BM42:BM48)</f>
        <v>1435.1010000000001</v>
      </c>
      <c r="BN41" s="3318">
        <f>BM41/$AD$89</f>
        <v>1.1227530198042149E-3</v>
      </c>
      <c r="BO41" s="1329"/>
      <c r="BP41" s="2029">
        <f>SUM(BP42:BP48)</f>
        <v>1000</v>
      </c>
      <c r="BQ41" s="2029">
        <f>SUM(BQ42:BQ48)</f>
        <v>0</v>
      </c>
      <c r="BR41" s="2030">
        <f>SUM(BR42:BR48)</f>
        <v>1000</v>
      </c>
      <c r="BS41" s="3318">
        <f t="shared" ref="BS41:BS52" si="65">BR41/$AD$89</f>
        <v>7.8235122113650183E-4</v>
      </c>
      <c r="BT41" s="2022"/>
      <c r="BU41" s="2029">
        <f>SUM(BU42:BU48)</f>
        <v>0</v>
      </c>
      <c r="BV41" s="2029">
        <f>SUM(BV42:BV48)</f>
        <v>0</v>
      </c>
      <c r="BW41" s="2030">
        <f>SUM(BW42:BW48)</f>
        <v>0</v>
      </c>
      <c r="BX41" s="3318">
        <f t="shared" ref="BX41:BX52" si="66">BW41/$AD$89</f>
        <v>0</v>
      </c>
      <c r="BY41" s="2022"/>
      <c r="BZ41" s="2029">
        <f>SUM(BZ42:BZ48)</f>
        <v>0</v>
      </c>
      <c r="CA41" s="2029">
        <f>SUM(CA42:CA48)</f>
        <v>0</v>
      </c>
      <c r="CB41" s="2030">
        <f>SUM(CB42:CB48)</f>
        <v>0</v>
      </c>
      <c r="CC41" s="3318">
        <f t="shared" ref="CC41:CC52" si="67">CB41/$AD$89</f>
        <v>0</v>
      </c>
      <c r="CD41" s="2022"/>
      <c r="CE41" s="2029">
        <f>SUM(CE42:CE48)</f>
        <v>0</v>
      </c>
      <c r="CF41" s="2029">
        <f>SUM(CF42:CF48)</f>
        <v>0</v>
      </c>
      <c r="CG41" s="2030">
        <f>SUM(CG42:CG48)</f>
        <v>0</v>
      </c>
      <c r="CH41" s="3318">
        <f t="shared" ref="CH41:CH52" si="68">CG41/$AD$89</f>
        <v>0</v>
      </c>
      <c r="CI41" s="2022"/>
      <c r="CJ41" s="2029">
        <f>SUM(CJ42:CJ48)</f>
        <v>0</v>
      </c>
      <c r="CK41" s="2029">
        <f>SUM(CK42:CK48)</f>
        <v>0</v>
      </c>
      <c r="CL41" s="2030">
        <f>SUM(CL42:CL48)</f>
        <v>0</v>
      </c>
      <c r="CM41" s="3318">
        <f t="shared" ref="CM41:CM52" si="69">CL41/$AD$89</f>
        <v>0</v>
      </c>
      <c r="CN41" s="2022"/>
      <c r="CO41" s="2029">
        <f>SUM(CO42:CO48)</f>
        <v>0</v>
      </c>
      <c r="CP41" s="2029">
        <f>SUM(CP42:CP48)</f>
        <v>0</v>
      </c>
      <c r="CQ41" s="2030">
        <f>SUM(CQ42:CQ48)</f>
        <v>0</v>
      </c>
      <c r="CR41" s="3318">
        <f t="shared" ref="CR41:CR52" si="70">CQ41/$AD$89</f>
        <v>0</v>
      </c>
      <c r="CS41" s="2022"/>
      <c r="CT41" s="2029">
        <f>SUM(CT42:CT48)</f>
        <v>0</v>
      </c>
      <c r="CU41" s="2029">
        <f>SUM(CU42:CU48)</f>
        <v>0</v>
      </c>
      <c r="CV41" s="2030">
        <f>SUM(CV42:CV48)</f>
        <v>0</v>
      </c>
      <c r="CW41" s="3318">
        <f t="shared" ref="CW41:CW52" si="71">CV41/$AD$89</f>
        <v>0</v>
      </c>
      <c r="CX41" s="2022"/>
      <c r="CY41" s="2029">
        <f>SUM(CY42:CY48)</f>
        <v>0</v>
      </c>
      <c r="CZ41" s="2029">
        <f>SUM(CZ42:CZ48)</f>
        <v>0</v>
      </c>
      <c r="DA41" s="2030">
        <f>SUM(DA42:DA48)</f>
        <v>0</v>
      </c>
      <c r="DB41" s="3318">
        <f t="shared" ref="DB41:DB52" si="72">DA41/$AD$89</f>
        <v>0</v>
      </c>
      <c r="DC41" s="2022"/>
      <c r="DD41" s="2029">
        <f>SUM(DD42:DD48)</f>
        <v>0</v>
      </c>
      <c r="DE41" s="2029">
        <f>SUM(DE42:DE48)</f>
        <v>0</v>
      </c>
      <c r="DF41" s="2030">
        <f>SUM(DF42:DF48)</f>
        <v>0</v>
      </c>
      <c r="DG41" s="3318">
        <f t="shared" ref="DG41:DG52" si="73">DF41/$AD$89</f>
        <v>0</v>
      </c>
      <c r="DH41" s="2022"/>
      <c r="DI41" s="2029">
        <f>SUM(DI42:DI48)</f>
        <v>0</v>
      </c>
      <c r="DJ41" s="2029">
        <f>SUM(DJ42:DJ48)</f>
        <v>0</v>
      </c>
      <c r="DK41" s="2030">
        <f>SUM(DK42:DK48)</f>
        <v>0</v>
      </c>
      <c r="DL41" s="3318">
        <f t="shared" ref="DL41:DL52" si="74">DK41/$AD$89</f>
        <v>0</v>
      </c>
      <c r="DM41" s="2022"/>
      <c r="DN41" s="2029">
        <f>SUM(DN42:DN48)</f>
        <v>188100.67099999997</v>
      </c>
      <c r="DO41" s="2029">
        <f>SUM(DO42:DO48)</f>
        <v>157614.88999999998</v>
      </c>
      <c r="DP41" s="2030">
        <f>SUM(DP42:DP48)</f>
        <v>345715.56099999999</v>
      </c>
      <c r="DQ41" s="3318">
        <f t="shared" ref="DQ41:DQ71" si="75">DP41/$DP$89</f>
        <v>1.3084846178815238E-2</v>
      </c>
      <c r="DR41" s="1071"/>
      <c r="DS41" s="916"/>
      <c r="DT41" s="916"/>
    </row>
    <row r="42" spans="1:124" ht="13.8" x14ac:dyDescent="0.25">
      <c r="A42" s="4015"/>
      <c r="B42" s="3319" t="s">
        <v>7</v>
      </c>
      <c r="C42" s="3274">
        <v>0</v>
      </c>
      <c r="D42" s="3274">
        <v>0</v>
      </c>
      <c r="E42" s="2028">
        <v>0</v>
      </c>
      <c r="F42" s="3284">
        <v>0</v>
      </c>
      <c r="G42" s="3295"/>
      <c r="H42" s="3274">
        <v>0</v>
      </c>
      <c r="I42" s="3274">
        <v>0</v>
      </c>
      <c r="J42" s="2028">
        <v>0</v>
      </c>
      <c r="K42" s="3284">
        <v>0</v>
      </c>
      <c r="L42" s="3295">
        <v>0</v>
      </c>
      <c r="M42" s="3274">
        <v>0</v>
      </c>
      <c r="N42" s="3274">
        <v>0</v>
      </c>
      <c r="O42" s="2028">
        <v>0</v>
      </c>
      <c r="P42" s="3284">
        <v>0</v>
      </c>
      <c r="Q42" s="3295">
        <v>0</v>
      </c>
      <c r="R42" s="3274">
        <f>'Форд Тягач'!R42+'MAN Blue KA1783HI'!C42+'MAN green KA2790IE'!C42+'MAN №3 white KA7837HO'!C42+'MAN №4 white KA3597HO'!C42</f>
        <v>0</v>
      </c>
      <c r="S42" s="3274">
        <f>'Форд Тягач'!S42+'MAN Blue KA1783HI'!D42+'MAN green KA2790IE'!D42+'MAN №3 white KA7837HO'!D42+'MAN №4 white KA3597HO'!D42</f>
        <v>0</v>
      </c>
      <c r="T42" s="2028">
        <f t="shared" ref="T42:T48" si="76">R42+S42*1</f>
        <v>0</v>
      </c>
      <c r="U42" s="3284">
        <f t="shared" si="61"/>
        <v>0</v>
      </c>
      <c r="V42" s="3295"/>
      <c r="W42" s="3274">
        <f>'Форд Тягач'!W42+'MAN Blue KA1783HI'!H42+'MAN green KA2790IE'!H42+'MAN №3 white KA7837HO'!H42+'MAN №4 white KA3597HO'!H42</f>
        <v>0</v>
      </c>
      <c r="X42" s="3274">
        <f>'Форд Тягач'!X42+'MAN Blue KA1783HI'!I42+'MAN green KA2790IE'!I42+'MAN №3 white KA7837HO'!I42+'MAN №4 white KA3597HO'!I42+2000</f>
        <v>2000</v>
      </c>
      <c r="Y42" s="2028">
        <f t="shared" ref="Y42:Y48" si="77">W42+X42*1</f>
        <v>2000</v>
      </c>
      <c r="Z42" s="3284">
        <f t="shared" si="62"/>
        <v>1.5301282512529693E-3</v>
      </c>
      <c r="AA42" s="3421" t="s">
        <v>1193</v>
      </c>
      <c r="AB42" s="3274">
        <f>ЦО_логистика!C42+'Форд Тягач'!AB42+'MAN Blue KA1783HI'!M42+'MAN green KA2790IE'!M42+'MAN №3 white KA7837HO'!M42+'MAN №4 white KA3597HO'!M42+'MAN №5 Тент МД'!C42</f>
        <v>0</v>
      </c>
      <c r="AC42" s="3274">
        <f>ЦО_логистика!D42+'Форд Тягач'!AC42+'MAN Blue KA1783HI'!N42+'MAN green KA2790IE'!N42+'MAN №3 white KA7837HO'!N42+'MAN №4 white KA3597HO'!N42+'MAN №5 Тент МД'!D42</f>
        <v>3750</v>
      </c>
      <c r="AD42" s="2028">
        <f t="shared" ref="AD42:AD48" si="78">AB42+AC42*1</f>
        <v>3750</v>
      </c>
      <c r="AE42" s="3284">
        <f t="shared" si="2"/>
        <v>2.9338170792618818E-3</v>
      </c>
      <c r="AF42" s="3295"/>
      <c r="AG42" s="3274">
        <f>ЦО_логистика!H42+'Форд Тягач'!AG42+'MAN Blue KA1783HI'!R42+'MAN green KA2790IE'!R42+'MAN №3 white KA7837HO'!R42+'MAN №4 white KA3597HO'!R42+'MAN №5 Тент МД'!H42</f>
        <v>0</v>
      </c>
      <c r="AH42" s="3274">
        <f>ЦО_логистика!I42+'Форд Тягач'!AH42+'MAN Blue KA1783HI'!S42+'MAN green KA2790IE'!S42+'MAN №3 white KA7837HO'!S42+'MAN №4 white KA3597HO'!S42+'MAN №5 Тент МД'!I42</f>
        <v>3750</v>
      </c>
      <c r="AI42" s="2028">
        <f t="shared" ref="AI42:AI48" si="79">AG42+AH42*1</f>
        <v>3750</v>
      </c>
      <c r="AJ42" s="3284">
        <f t="shared" si="55"/>
        <v>2.9338170792618818E-3</v>
      </c>
      <c r="AK42" s="3275" t="s">
        <v>1319</v>
      </c>
      <c r="AL42" s="3274">
        <f>ЦО_логистика!M42+'Форд Тягач'!AL42+'MAN Blue KA1783HI'!W42+'MAN green KA2790IE'!W42+'MAN №3 white KA7837HO'!W42+'MAN №4 white KA3597HO'!W42+'MAN №5 Тент МД'!M42</f>
        <v>0</v>
      </c>
      <c r="AM42" s="3274">
        <f>ЦО_логистика!N42+'Форд Тягач'!AM42+'MAN Blue KA1783HI'!X42+'MAN green KA2790IE'!X42+'MAN №3 white KA7837HO'!X42+'MAN №4 white KA3597HO'!X42+'MAN №5 Тент МД'!N42</f>
        <v>3000</v>
      </c>
      <c r="AN42" s="2028">
        <f t="shared" ref="AN42:AN48" si="80">AL42+AM42*1</f>
        <v>3000</v>
      </c>
      <c r="AO42" s="3284">
        <f t="shared" si="56"/>
        <v>2.3470536634095053E-3</v>
      </c>
      <c r="AP42" s="3425" t="str">
        <f>CONCATENATE(ЦО_логистика!Q42,'Форд Тягач'!AP42,'MAN Blue KA1783HI'!AA42,'MAN green KA2790IE'!AA42,'MAN №3 white KA7837HO'!AF42,'MAN №4 white KA3597HO'!AA42,'MAN №5 Тент МД'!Q42)</f>
        <v xml:space="preserve"> Уборка офиса 3000</v>
      </c>
      <c r="AQ42" s="3274">
        <f>SUM(ЦО_логистика!R42,'Форд Тягач'!AQ42,'MAN Blue KA1783HI'!AB42,'MAN green KA2790IE'!AB42,'MAN №3 white KA7837HO'!AB42,'MAN №4 white KA3597HO'!AB42,'MAN №5 Тент МД'!R42)</f>
        <v>0</v>
      </c>
      <c r="AR42" s="3274">
        <f>SUM(ЦО_логистика!S42,'Форд Тягач'!AR42,'MAN Blue KA1783HI'!AC42,'MAN green KA2790IE'!AC42,'MAN №3 white KA7837HO'!AC42,'MAN №4 white KA3597HO'!AC42,'MAN №5 Тент МД'!S42)</f>
        <v>3750</v>
      </c>
      <c r="AS42" s="2028">
        <f t="shared" ref="AS42:AS48" si="81">AQ42+AR42*1</f>
        <v>3750</v>
      </c>
      <c r="AT42" s="3284">
        <f t="shared" si="57"/>
        <v>2.9338170792618818E-3</v>
      </c>
      <c r="AU42" s="3425" t="str">
        <f>CONCATENATE(ЦО_логистика!V42,'Форд Тягач'!AU42,'MAN Blue KA1783HI'!AF41,'MAN green KA2790IE'!AF42,'MAN №3 white KA7837HO'!AF42,'MAN №4 white KA3597HO'!AF42,'MAN №5 Тент МД'!V42)</f>
        <v xml:space="preserve"> Уборка офиса</v>
      </c>
      <c r="AV42" s="3275">
        <f>+ЦО_логистика!W42+'Форд Тягач'!AV42+'MAN Blue KA1783HI'!AG42+'MAN green KA2790IE'!AG42+'MAN №3 white KA7837HO'!AG42+'MAN №4 white KA3597HO'!AG42+'MAN №5 Тент МД'!W42</f>
        <v>0</v>
      </c>
      <c r="AW42" s="3275">
        <f>+ЦО_логистика!X42+'Форд Тягач'!AW42+'MAN Blue KA1783HI'!AH42+'MAN green KA2790IE'!AH42+'MAN №3 white KA7837HO'!AH42+'MAN №4 white KA3597HO'!AH42+'MAN №5 Тент МД'!X42</f>
        <v>15000</v>
      </c>
      <c r="AX42" s="2028">
        <f t="shared" ref="AX42:AX48" si="82">AV42+AW42*1</f>
        <v>15000</v>
      </c>
      <c r="AY42" s="3284">
        <f t="shared" si="63"/>
        <v>1.1735268317047527E-2</v>
      </c>
      <c r="AZ42" s="3275"/>
      <c r="BA42" s="3275">
        <f t="shared" ref="BA42:BB48" si="83">BF42+BK42+BP42+BU42+BZ42+CE42+CJ42+CO42+CT42+CY42+DD42+DI42</f>
        <v>0</v>
      </c>
      <c r="BB42" s="3275">
        <f t="shared" si="83"/>
        <v>0</v>
      </c>
      <c r="BC42" s="2028">
        <f t="shared" ref="BC42:BC48" si="84">BA42+BB42*1</f>
        <v>0</v>
      </c>
      <c r="BD42" s="3284">
        <f t="shared" si="64"/>
        <v>0</v>
      </c>
      <c r="BE42" s="3275">
        <f>ЦО_логистика!AD42+'Форд Тягач'!BC42+'MAN Blue KA1783HI'!AN42+'MAN green KA2790IE'!AN42+'MAN №3 white KA7837HO'!AN42+'MAN №4 white KA3597HO'!AN42+'MAN №5 Тент МД'!AD42-BC42</f>
        <v>0</v>
      </c>
      <c r="BF42" s="3274">
        <f>ЦО_логистика!AG42+'Форд Тягач'!BF42+'MAN Blue KA1783HI'!AQ42+'MAN green KA2790IE'!AQ42+'MAN №3 white KA7837HO'!AQ42+'MAN №4 white KA3597HO'!AQ42+'MAN №5 Тент МД'!AG42</f>
        <v>0</v>
      </c>
      <c r="BG42" s="3274">
        <f>ЦО_логистика!AH42+'Форд Тягач'!BG42+'MAN Blue KA1783HI'!AR42+'MAN green KA2790IE'!AR42+'MAN №3 white KA7837HO'!AR42+'MAN №4 white KA3597HO'!AR42+'MAN №5 Тент МД'!AH42</f>
        <v>0</v>
      </c>
      <c r="BH42" s="2028">
        <f t="shared" ref="BH42:BH48" si="85">BF42+BG42*1</f>
        <v>0</v>
      </c>
      <c r="BI42" s="3284">
        <f t="shared" si="60"/>
        <v>0</v>
      </c>
      <c r="BJ42" s="3275"/>
      <c r="BK42" s="3275">
        <f>ЦО_логистика!AL42+'Форд Тягач'!BK42+'MAN Blue KA1783HI'!AV42+'MAN green KA2790IE'!AV42+'MAN №3 white KA7837HO'!AV42+'MAN №4 white KA3597HO'!AV42+'MAN №5 Тент МД'!AL42</f>
        <v>0</v>
      </c>
      <c r="BL42" s="3275">
        <f>ЦО_логистика!AM42+'Форд Тягач'!BL42+'MAN Blue KA1783HI'!AW42+'MAN green KA2790IE'!AW42+'MAN №3 white KA7837HO'!AW42+'MAN №4 white KA3597HO'!AW42+'MAN №5 Тент МД'!AM42</f>
        <v>0</v>
      </c>
      <c r="BM42" s="2028">
        <f t="shared" ref="BM42:BM48" si="86">BK42+BL42*1</f>
        <v>0</v>
      </c>
      <c r="BN42" s="3284">
        <f t="shared" ref="BN42:BN48" si="87">BM42/$AD$89</f>
        <v>0</v>
      </c>
      <c r="BO42" s="3275"/>
      <c r="BP42" s="3274">
        <f>ЦО_логистика!AQ42+'Форд Тягач'!BP42+'MAN Blue KA1783HI'!BA42+'MAN green KA2790IE'!BA42+'MAN №3 white KA7837HO'!BA42+'MAN №4 white KA3597HO'!BA42+'MAN №5 Тент МД'!AQ42</f>
        <v>0</v>
      </c>
      <c r="BQ42" s="3274">
        <f>ЦО_логистика!AR42+'Форд Тягач'!BQ42+'MAN Blue KA1783HI'!BB42+'MAN green KA2790IE'!BB42+'MAN №3 white KA7837HO'!BB42+'MAN №4 white KA3597HO'!BB42+'MAN №5 Тент МД'!AR42</f>
        <v>0</v>
      </c>
      <c r="BR42" s="2028">
        <f t="shared" ref="BR42:BR48" si="88">BP42+BQ42*1</f>
        <v>0</v>
      </c>
      <c r="BS42" s="3284">
        <f t="shared" si="65"/>
        <v>0</v>
      </c>
      <c r="BT42" s="3295"/>
      <c r="BU42" s="3274">
        <f>ЦО_логистика!AV42+'Форд Тягач'!BU42+'MAN Blue KA1783HI'!BF42+'MAN green KA2790IE'!BF42+'MAN №3 white KA7837HO'!BF42+'MAN №4 white KA3597HO'!BF42+'MAN №5 Тент МД'!AV42</f>
        <v>0</v>
      </c>
      <c r="BV42" s="3274">
        <f>ЦО_логистика!AW42+'Форд Тягач'!BV42+'MAN Blue KA1783HI'!BG42+'MAN green KA2790IE'!BG42+'MAN №3 white KA7837HO'!BG42+'MAN №4 white KA3597HO'!BG42+'MAN №5 Тент МД'!AW42</f>
        <v>0</v>
      </c>
      <c r="BW42" s="2028">
        <f t="shared" ref="BW42:BW48" si="89">BU42+BV42*1</f>
        <v>0</v>
      </c>
      <c r="BX42" s="3284">
        <f t="shared" si="66"/>
        <v>0</v>
      </c>
      <c r="BY42" s="3295"/>
      <c r="BZ42" s="3274">
        <f>ЦО_логистика!BA42+'Форд Тягач'!BZ42+'MAN Blue KA1783HI'!BK42+'MAN green KA2790IE'!BK42+'MAN №3 white KA7837HO'!BK42+'MAN №4 white KA3597HO'!BK42+'MAN №5 Тент МД'!BA42</f>
        <v>0</v>
      </c>
      <c r="CA42" s="3274">
        <f>ЦО_логистика!BB42+'Форд Тягач'!CA42+'MAN Blue KA1783HI'!BL42+'MAN green KA2790IE'!BL42+'MAN №3 white KA7837HO'!BL42+'MAN №4 white KA3597HO'!BL42+'MAN №5 Тент МД'!BB42</f>
        <v>0</v>
      </c>
      <c r="CB42" s="2028">
        <f t="shared" ref="CB42:CB48" si="90">BZ42+CA42*1</f>
        <v>0</v>
      </c>
      <c r="CC42" s="3284">
        <f t="shared" si="67"/>
        <v>0</v>
      </c>
      <c r="CD42" s="3295"/>
      <c r="CE42" s="3274">
        <f>ЦО_логистика!BF42+'Форд Тягач'!CE42+'MAN Blue KA1783HI'!BP42+'MAN green KA2790IE'!BP42+'MAN №3 white KA7837HO'!BP42+'MAN №4 white KA3597HO'!BP42+'MAN №5 Тент МД'!BF42</f>
        <v>0</v>
      </c>
      <c r="CF42" s="3274">
        <f>ЦО_логистика!BG42+'Форд Тягач'!CF42+'MAN Blue KA1783HI'!BQ42+'MAN green KA2790IE'!BQ42+'MAN №3 white KA7837HO'!BQ42+'MAN №4 white KA3597HO'!BQ42+'MAN №5 Тент МД'!BG42</f>
        <v>0</v>
      </c>
      <c r="CG42" s="2028">
        <f t="shared" ref="CG42:CG48" si="91">CE42+CF42*1</f>
        <v>0</v>
      </c>
      <c r="CH42" s="3284">
        <f t="shared" si="68"/>
        <v>0</v>
      </c>
      <c r="CI42" s="3295"/>
      <c r="CJ42" s="3274">
        <f>ЦО_логистика!BK42+'Форд Тягач'!CJ42+'MAN Blue KA1783HI'!BU42+'MAN green KA2790IE'!BU42+'MAN №3 white KA7837HO'!BU42+'MAN №4 white KA3597HO'!BU42+'MAN №5 Тент МД'!BK42</f>
        <v>0</v>
      </c>
      <c r="CK42" s="3274">
        <f>ЦО_логистика!BL42+'Форд Тягач'!CK42+'MAN Blue KA1783HI'!BV42+'MAN green KA2790IE'!BV42+'MAN №3 white KA7837HO'!BV42+'MAN №4 white KA3597HO'!BV42+'MAN №5 Тент МД'!BL42</f>
        <v>0</v>
      </c>
      <c r="CL42" s="2028">
        <f t="shared" ref="CL42:CL48" si="92">CJ42+CK42*1</f>
        <v>0</v>
      </c>
      <c r="CM42" s="3284">
        <f t="shared" si="69"/>
        <v>0</v>
      </c>
      <c r="CN42" s="3295"/>
      <c r="CO42" s="3274">
        <f>ЦО_логистика!BP42+'Форд Тягач'!CO42+'MAN Blue KA1783HI'!BZ42+'MAN green KA2790IE'!BZ42+'MAN №3 white KA7837HO'!BZ42+'MAN №4 white KA3597HO'!BZ42+'MAN №5 Тент МД'!BP42</f>
        <v>0</v>
      </c>
      <c r="CP42" s="3274">
        <f>ЦО_логистика!BQ42+'Форд Тягач'!CP42+'MAN Blue KA1783HI'!CA42+'MAN green KA2790IE'!CA42+'MAN №3 white KA7837HO'!CA42+'MAN №4 white KA3597HO'!CA42+'MAN №5 Тент МД'!BQ42</f>
        <v>0</v>
      </c>
      <c r="CQ42" s="2028">
        <f t="shared" ref="CQ42:CQ48" si="93">CO42+CP42*1</f>
        <v>0</v>
      </c>
      <c r="CR42" s="3284">
        <f t="shared" si="70"/>
        <v>0</v>
      </c>
      <c r="CS42" s="3295"/>
      <c r="CT42" s="3274">
        <f>ЦО_логистика!BU42+'Форд Тягач'!CT42+'MAN Blue KA1783HI'!CE42+'MAN green KA2790IE'!CE42+'MAN №3 white KA7837HO'!CE42+'MAN №4 white KA3597HO'!CE42+'MAN №5 Тент МД'!BU42</f>
        <v>0</v>
      </c>
      <c r="CU42" s="3274">
        <f>ЦО_логистика!BV42+'Форд Тягач'!CU42+'MAN Blue KA1783HI'!CF42+'MAN green KA2790IE'!CF42+'MAN №3 white KA7837HO'!CF42+'MAN №4 white KA3597HO'!CF42+'MAN №5 Тент МД'!BV42</f>
        <v>0</v>
      </c>
      <c r="CV42" s="2028">
        <f t="shared" ref="CV42:CV48" si="94">CT42+CU42*1</f>
        <v>0</v>
      </c>
      <c r="CW42" s="3284">
        <f t="shared" si="71"/>
        <v>0</v>
      </c>
      <c r="CX42" s="3295"/>
      <c r="CY42" s="3274">
        <f>ЦО_логистика!BZ42+'Форд Тягач'!CY42+'MAN Blue KA1783HI'!CJ42+'MAN green KA2790IE'!CJ42+'MAN №3 white KA7837HO'!CJ42+'MAN №4 white KA3597HO'!CJ42+'MAN №5 Тент МД'!BZ42</f>
        <v>0</v>
      </c>
      <c r="CZ42" s="3274">
        <f>ЦО_логистика!CA42+'Форд Тягач'!CZ42+'MAN Blue KA1783HI'!CK42+'MAN green KA2790IE'!CK42+'MAN №3 white KA7837HO'!CK42+'MAN №4 white KA3597HO'!CK42+'MAN №5 Тент МД'!CA42</f>
        <v>0</v>
      </c>
      <c r="DA42" s="2028">
        <f t="shared" ref="DA42:DA48" si="95">CY42+CZ42*1</f>
        <v>0</v>
      </c>
      <c r="DB42" s="3284">
        <f t="shared" si="72"/>
        <v>0</v>
      </c>
      <c r="DC42" s="3295"/>
      <c r="DD42" s="3274">
        <f>ЦО_логистика!CE42+'Форд Тягач'!DD42+'MAN Blue KA1783HI'!CO42+'MAN green KA2790IE'!CO42+'MAN №3 white KA7837HO'!CO42+'MAN №4 white KA3597HO'!CO42+'MAN №5 Тент МД'!CE42</f>
        <v>0</v>
      </c>
      <c r="DE42" s="3274">
        <f>ЦО_логистика!CF42+'Форд Тягач'!DE42+'MAN Blue KA1783HI'!CP42+'MAN green KA2790IE'!CP42+'MAN №3 white KA7837HO'!CP42+'MAN №4 white KA3597HO'!CP42+'MAN №5 Тент МД'!CF42</f>
        <v>0</v>
      </c>
      <c r="DF42" s="2028">
        <f t="shared" ref="DF42:DF48" si="96">DD42+DE42*1</f>
        <v>0</v>
      </c>
      <c r="DG42" s="3284">
        <f t="shared" si="73"/>
        <v>0</v>
      </c>
      <c r="DH42" s="3295"/>
      <c r="DI42" s="3274">
        <f>ЦО_логистика!CJ42+'Форд Тягач'!DI42+'MAN Blue KA1783HI'!CT42+'MAN green KA2790IE'!CT42+'MAN №3 white KA7837HO'!CT42+'MAN №4 white KA3597HO'!CT42+'MAN №5 Тент МД'!CJ42</f>
        <v>0</v>
      </c>
      <c r="DJ42" s="3274">
        <f>ЦО_логистика!CK42+'Форд Тягач'!DJ42+'MAN Blue KA1783HI'!CU42+'MAN green KA2790IE'!CU42+'MAN №3 white KA7837HO'!CU42+'MAN №4 white KA3597HO'!CU42+'MAN №5 Тент МД'!CK42</f>
        <v>0</v>
      </c>
      <c r="DK42" s="2028">
        <f t="shared" ref="DK42:DK48" si="97">DI42+DJ42*1</f>
        <v>0</v>
      </c>
      <c r="DL42" s="3284">
        <f t="shared" si="74"/>
        <v>0</v>
      </c>
      <c r="DM42" s="3295"/>
      <c r="DN42" s="3288">
        <f t="shared" ref="DN42:DO48" si="98">R42+W42+AB42+AG42+AL42+AQ42+BF42+BK42+BP42+BU42+BZ42+CE42+CJ42+CO42+CT42+CY42+DD42+DI42+AV42</f>
        <v>0</v>
      </c>
      <c r="DO42" s="3288">
        <f t="shared" si="98"/>
        <v>31250</v>
      </c>
      <c r="DP42" s="2028">
        <f t="shared" ref="DP42:DP48" si="99">DN42+DO42*1</f>
        <v>31250</v>
      </c>
      <c r="DQ42" s="3284">
        <f t="shared" si="75"/>
        <v>1.1827684062158145E-3</v>
      </c>
      <c r="DR42" s="3275"/>
      <c r="DS42" s="916"/>
      <c r="DT42" s="916"/>
    </row>
    <row r="43" spans="1:124" ht="20.399999999999999" x14ac:dyDescent="0.25">
      <c r="A43" s="4015"/>
      <c r="B43" s="3319" t="s">
        <v>27</v>
      </c>
      <c r="C43" s="3274">
        <v>0</v>
      </c>
      <c r="D43" s="3274">
        <v>0</v>
      </c>
      <c r="E43" s="2028">
        <v>0</v>
      </c>
      <c r="F43" s="3284">
        <v>0</v>
      </c>
      <c r="G43" s="3295"/>
      <c r="H43" s="3274">
        <v>0</v>
      </c>
      <c r="I43" s="3274">
        <v>0</v>
      </c>
      <c r="J43" s="2028">
        <v>0</v>
      </c>
      <c r="K43" s="3284">
        <v>0</v>
      </c>
      <c r="L43" s="3295">
        <v>0</v>
      </c>
      <c r="M43" s="3274">
        <v>0</v>
      </c>
      <c r="N43" s="3274">
        <v>0</v>
      </c>
      <c r="O43" s="2028">
        <v>0</v>
      </c>
      <c r="P43" s="3284">
        <v>0</v>
      </c>
      <c r="Q43" s="3295">
        <v>0</v>
      </c>
      <c r="R43" s="3274">
        <f>'Форд Тягач'!R43+'MAN Blue KA1783HI'!C43+'MAN green KA2790IE'!C43+'MAN №3 white KA7837HO'!C43+'MAN №4 white KA3597HO'!C43</f>
        <v>0</v>
      </c>
      <c r="S43" s="3274">
        <f>'Форд Тягач'!S43+'MAN Blue KA1783HI'!D43+'MAN green KA2790IE'!D43+'MAN №3 white KA7837HO'!D43+'MAN №4 white KA3597HO'!D43</f>
        <v>0</v>
      </c>
      <c r="T43" s="2028">
        <f t="shared" si="76"/>
        <v>0</v>
      </c>
      <c r="U43" s="3284">
        <f t="shared" si="61"/>
        <v>0</v>
      </c>
      <c r="V43" s="3295"/>
      <c r="W43" s="3274">
        <f>'Форд Тягач'!W43+'MAN Blue KA1783HI'!H43+'MAN green KA2790IE'!H43+'MAN №3 white KA7837HO'!H43+'MAN №4 white KA3597HO'!H43+10807.77</f>
        <v>10807.77</v>
      </c>
      <c r="X43" s="3274">
        <f>'Форд Тягач'!X43+'MAN Blue KA1783HI'!I43+'MAN green KA2790IE'!I43+'MAN №3 white KA7837HO'!I43+'MAN №4 white KA3597HO'!I43+140</f>
        <v>140</v>
      </c>
      <c r="Y43" s="2028">
        <f t="shared" si="77"/>
        <v>10947.77</v>
      </c>
      <c r="Z43" s="3284">
        <f t="shared" si="62"/>
        <v>8.3757460826098615E-3</v>
      </c>
      <c r="AA43" s="3421" t="s">
        <v>1194</v>
      </c>
      <c r="AB43" s="3274">
        <f>ЦО_логистика!C43+'Форд Тягач'!AB43+'MAN Blue KA1783HI'!M43+'MAN green KA2790IE'!M43+'MAN №3 white KA7837HO'!M43+'MAN №4 white KA3597HO'!M43+'MAN №5 Тент МД'!C43</f>
        <v>0</v>
      </c>
      <c r="AC43" s="3274">
        <f>ЦО_логистика!D43+'Форд Тягач'!AC43+'MAN Blue KA1783HI'!N43+'MAN green KA2790IE'!N43+'MAN №3 white KA7837HO'!N43+'MAN №4 white KA3597HO'!N43+'MAN №5 Тент МД'!D43</f>
        <v>0</v>
      </c>
      <c r="AD43" s="2028">
        <f t="shared" si="78"/>
        <v>0</v>
      </c>
      <c r="AE43" s="3284">
        <f t="shared" si="2"/>
        <v>0</v>
      </c>
      <c r="AF43" s="3295"/>
      <c r="AG43" s="3274">
        <f>ЦО_логистика!H43+'Форд Тягач'!AG43+'MAN Blue KA1783HI'!R43+'MAN green KA2790IE'!R43+'MAN №3 white KA7837HO'!R43+'MAN №4 white KA3597HO'!R43+'MAN №5 Тент МД'!H43</f>
        <v>2378</v>
      </c>
      <c r="AH43" s="3274">
        <f>ЦО_логистика!I43+'Форд Тягач'!AH43+'MAN Blue KA1783HI'!S43+'MAN green KA2790IE'!S43+'MAN №3 white KA7837HO'!S43+'MAN №4 white KA3597HO'!S43+'MAN №5 Тент МД'!I43</f>
        <v>0</v>
      </c>
      <c r="AI43" s="2028">
        <f t="shared" si="79"/>
        <v>2378</v>
      </c>
      <c r="AJ43" s="3284">
        <f t="shared" si="55"/>
        <v>1.8604312038626013E-3</v>
      </c>
      <c r="AK43" s="3275"/>
      <c r="AL43" s="3274">
        <f>ЦО_логистика!M43+'Форд Тягач'!AL43+'MAN Blue KA1783HI'!W43+'MAN green KA2790IE'!W43+'MAN №3 white KA7837HO'!W43+'MAN №4 white KA3597HO'!W43+'MAN №5 Тент МД'!M43</f>
        <v>5998.78</v>
      </c>
      <c r="AM43" s="3274">
        <f>ЦО_логистика!N43+'Форд Тягач'!AM43+'MAN Blue KA1783HI'!X43+'MAN green KA2790IE'!X43+'MAN №3 white KA7837HO'!X43+'MAN №4 white KA3597HO'!X43+'MAN №5 Тент МД'!N43</f>
        <v>0</v>
      </c>
      <c r="AN43" s="2028">
        <f t="shared" si="80"/>
        <v>5998.78</v>
      </c>
      <c r="AO43" s="3284">
        <f t="shared" si="56"/>
        <v>4.6931528583292244E-3</v>
      </c>
      <c r="AP43" s="3425" t="str">
        <f>CONCATENATE(ЦО_логистика!Q43,'Форд Тягач'!AP43,'MAN Blue KA1783HI'!AA43,'MAN green KA2790IE'!AA43,'MAN №3 white KA7837HO'!AF43,'MAN №4 white KA3597HO'!AA43,'MAN №5 Тент МД'!Q43)</f>
        <v/>
      </c>
      <c r="AQ43" s="3274">
        <f>SUM(ЦО_логистика!R43,'Форд Тягач'!AQ43,'MAN Blue KA1783HI'!AB43,'MAN green KA2790IE'!AB43,'MAN №3 white KA7837HO'!AB43,'MAN №4 white KA3597HO'!AB43,'MAN №5 Тент МД'!R43)</f>
        <v>4943.55</v>
      </c>
      <c r="AR43" s="3274">
        <f>SUM(ЦО_логистика!S43,'Форд Тягач'!AR43,'MAN Blue KA1783HI'!AC43,'MAN green KA2790IE'!AC43,'MAN №3 white KA7837HO'!AC43,'MAN №4 white KA3597HO'!AC43,'MAN №5 Тент МД'!S43)</f>
        <v>0</v>
      </c>
      <c r="AS43" s="2028">
        <f t="shared" si="81"/>
        <v>4943.55</v>
      </c>
      <c r="AT43" s="3284">
        <f t="shared" si="57"/>
        <v>3.8675923792493537E-3</v>
      </c>
      <c r="AU43" s="3425" t="str">
        <f>CONCATENATE(ЦО_логистика!V43,'Форд Тягач'!AU43,'MAN Blue KA1783HI'!AF42,'MAN green KA2790IE'!AF43,'MAN №3 white KA7837HO'!AF43,'MAN №4 white KA3597HO'!AF43,'MAN №5 Тент МД'!V43)</f>
        <v>хозтовары, кофе, чай</v>
      </c>
      <c r="AV43" s="3275">
        <f>+ЦО_логистика!W43+'Форд Тягач'!AV43+'MAN Blue KA1783HI'!AG43+'MAN green KA2790IE'!AG43+'MAN №3 white KA7837HO'!AG43+'MAN №4 white KA3597HO'!AG43+'MAN №5 Тент МД'!W43</f>
        <v>7142.77</v>
      </c>
      <c r="AW43" s="3275">
        <f>+ЦО_логистика!X43+'Форд Тягач'!AW43+'MAN Blue KA1783HI'!AH43+'MAN green KA2790IE'!AH43+'MAN №3 white KA7837HO'!AH43+'MAN №4 white KA3597HO'!AH43+'MAN №5 Тент МД'!X43</f>
        <v>404.5</v>
      </c>
      <c r="AX43" s="2028">
        <f t="shared" si="82"/>
        <v>7547.27</v>
      </c>
      <c r="AY43" s="3284">
        <f t="shared" si="63"/>
        <v>5.9046159007468861E-3</v>
      </c>
      <c r="AZ43" s="3275"/>
      <c r="BA43" s="3275">
        <f t="shared" si="83"/>
        <v>0</v>
      </c>
      <c r="BB43" s="3275">
        <f t="shared" si="83"/>
        <v>0</v>
      </c>
      <c r="BC43" s="2028">
        <f t="shared" si="84"/>
        <v>0</v>
      </c>
      <c r="BD43" s="3284">
        <f t="shared" si="64"/>
        <v>0</v>
      </c>
      <c r="BE43" s="3275">
        <f>ЦО_логистика!AD43+'Форд Тягач'!BC43+'MAN Blue KA1783HI'!AN43+'MAN green KA2790IE'!AN43+'MAN №3 white KA7837HO'!AN43+'MAN №4 white KA3597HO'!AN43+'MAN №5 Тент МД'!AD43-BC43</f>
        <v>0</v>
      </c>
      <c r="BF43" s="3274">
        <f>ЦО_логистика!AG43+'Форд Тягач'!BF43+'MAN Blue KA1783HI'!AQ43+'MAN green KA2790IE'!AQ43+'MAN №3 white KA7837HO'!AQ43+'MAN №4 white KA3597HO'!AQ43+'MAN №5 Тент МД'!AG43</f>
        <v>0</v>
      </c>
      <c r="BG43" s="3274">
        <f>ЦО_логистика!AH43+'Форд Тягач'!BG43+'MAN Blue KA1783HI'!AR43+'MAN green KA2790IE'!AR43+'MAN №3 white KA7837HO'!AR43+'MAN №4 white KA3597HO'!AR43+'MAN №5 Тент МД'!AH43</f>
        <v>0</v>
      </c>
      <c r="BH43" s="2028">
        <f t="shared" si="85"/>
        <v>0</v>
      </c>
      <c r="BI43" s="3284">
        <f t="shared" si="60"/>
        <v>0</v>
      </c>
      <c r="BJ43" s="3275"/>
      <c r="BK43" s="3275">
        <f>ЦО_логистика!AL43+'Форд Тягач'!BK43+'MAN Blue KA1783HI'!AV43+'MAN green KA2790IE'!AV43+'MAN №3 white KA7837HO'!AV43+'MAN №4 white KA3597HO'!AV43+'MAN №5 Тент МД'!AL43</f>
        <v>0</v>
      </c>
      <c r="BL43" s="3275">
        <f>ЦО_логистика!AM43+'Форд Тягач'!BL43+'MAN Blue KA1783HI'!AW43+'MAN green KA2790IE'!AW43+'MAN №3 white KA7837HO'!AW43+'MAN №4 white KA3597HO'!AW43+'MAN №5 Тент МД'!AM43</f>
        <v>0</v>
      </c>
      <c r="BM43" s="2028">
        <f t="shared" si="86"/>
        <v>0</v>
      </c>
      <c r="BN43" s="3284">
        <f t="shared" si="87"/>
        <v>0</v>
      </c>
      <c r="BO43" s="3275"/>
      <c r="BP43" s="3274">
        <f>ЦО_логистика!AQ43+'Форд Тягач'!BP43+'MAN Blue KA1783HI'!BA43+'MAN green KA2790IE'!BA43+'MAN №3 white KA7837HO'!BA43+'MAN №4 white KA3597HO'!BA43+'MAN №5 Тент МД'!AQ43</f>
        <v>0</v>
      </c>
      <c r="BQ43" s="3274">
        <f>ЦО_логистика!AR43+'Форд Тягач'!BQ43+'MAN Blue KA1783HI'!BB43+'MAN green KA2790IE'!BB43+'MAN №3 white KA7837HO'!BB43+'MAN №4 white KA3597HO'!BB43+'MAN №5 Тент МД'!AR43</f>
        <v>0</v>
      </c>
      <c r="BR43" s="2028">
        <f t="shared" si="88"/>
        <v>0</v>
      </c>
      <c r="BS43" s="3284">
        <f t="shared" si="65"/>
        <v>0</v>
      </c>
      <c r="BT43" s="3295"/>
      <c r="BU43" s="3274">
        <f>ЦО_логистика!AV43+'Форд Тягач'!BU43+'MAN Blue KA1783HI'!BF43+'MAN green KA2790IE'!BF43+'MAN №3 white KA7837HO'!BF43+'MAN №4 white KA3597HO'!BF43+'MAN №5 Тент МД'!AV43</f>
        <v>0</v>
      </c>
      <c r="BV43" s="3274">
        <f>ЦО_логистика!AW43+'Форд Тягач'!BV43+'MAN Blue KA1783HI'!BG43+'MAN green KA2790IE'!BG43+'MAN №3 white KA7837HO'!BG43+'MAN №4 white KA3597HO'!BG43+'MAN №5 Тент МД'!AW43</f>
        <v>0</v>
      </c>
      <c r="BW43" s="2028">
        <f t="shared" si="89"/>
        <v>0</v>
      </c>
      <c r="BX43" s="3284">
        <f t="shared" si="66"/>
        <v>0</v>
      </c>
      <c r="BY43" s="3295"/>
      <c r="BZ43" s="3274">
        <f>ЦО_логистика!BA43+'Форд Тягач'!BZ43+'MAN Blue KA1783HI'!BK43+'MAN green KA2790IE'!BK43+'MAN №3 white KA7837HO'!BK43+'MAN №4 white KA3597HO'!BK43+'MAN №5 Тент МД'!BA43</f>
        <v>0</v>
      </c>
      <c r="CA43" s="3274">
        <f>ЦО_логистика!BB43+'Форд Тягач'!CA43+'MAN Blue KA1783HI'!BL43+'MAN green KA2790IE'!BL43+'MAN №3 white KA7837HO'!BL43+'MAN №4 white KA3597HO'!BL43+'MAN №5 Тент МД'!BB43</f>
        <v>0</v>
      </c>
      <c r="CB43" s="2028">
        <f t="shared" si="90"/>
        <v>0</v>
      </c>
      <c r="CC43" s="3284">
        <f t="shared" si="67"/>
        <v>0</v>
      </c>
      <c r="CD43" s="3295"/>
      <c r="CE43" s="3274">
        <f>ЦО_логистика!BF43+'Форд Тягач'!CE43+'MAN Blue KA1783HI'!BP43+'MAN green KA2790IE'!BP43+'MAN №3 white KA7837HO'!BP43+'MAN №4 white KA3597HO'!BP43+'MAN №5 Тент МД'!BF43</f>
        <v>0</v>
      </c>
      <c r="CF43" s="3274">
        <f>ЦО_логистика!BG43+'Форд Тягач'!CF43+'MAN Blue KA1783HI'!BQ43+'MAN green KA2790IE'!BQ43+'MAN №3 white KA7837HO'!BQ43+'MAN №4 white KA3597HO'!BQ43+'MAN №5 Тент МД'!BG43</f>
        <v>0</v>
      </c>
      <c r="CG43" s="2028">
        <f t="shared" si="91"/>
        <v>0</v>
      </c>
      <c r="CH43" s="3284">
        <f t="shared" si="68"/>
        <v>0</v>
      </c>
      <c r="CI43" s="3295"/>
      <c r="CJ43" s="3274">
        <f>ЦО_логистика!BK43+'Форд Тягач'!CJ43+'MAN Blue KA1783HI'!BU43+'MAN green KA2790IE'!BU43+'MAN №3 white KA7837HO'!BU43+'MAN №4 white KA3597HO'!BU43+'MAN №5 Тент МД'!BK43</f>
        <v>0</v>
      </c>
      <c r="CK43" s="3274">
        <f>ЦО_логистика!BL43+'Форд Тягач'!CK43+'MAN Blue KA1783HI'!BV43+'MAN green KA2790IE'!BV43+'MAN №3 white KA7837HO'!BV43+'MAN №4 white KA3597HO'!BV43+'MAN №5 Тент МД'!BL43</f>
        <v>0</v>
      </c>
      <c r="CL43" s="2028">
        <f t="shared" si="92"/>
        <v>0</v>
      </c>
      <c r="CM43" s="3284">
        <f t="shared" si="69"/>
        <v>0</v>
      </c>
      <c r="CN43" s="3295"/>
      <c r="CO43" s="3274">
        <f>ЦО_логистика!BP43+'Форд Тягач'!CO43+'MAN Blue KA1783HI'!BZ43+'MAN green KA2790IE'!BZ43+'MAN №3 white KA7837HO'!BZ43+'MAN №4 white KA3597HO'!BZ43+'MAN №5 Тент МД'!BP43</f>
        <v>0</v>
      </c>
      <c r="CP43" s="3274">
        <f>ЦО_логистика!BQ43+'Форд Тягач'!CP43+'MAN Blue KA1783HI'!CA43+'MAN green KA2790IE'!CA43+'MAN №3 white KA7837HO'!CA43+'MAN №4 white KA3597HO'!CA43+'MAN №5 Тент МД'!BQ43</f>
        <v>0</v>
      </c>
      <c r="CQ43" s="2028">
        <f t="shared" si="93"/>
        <v>0</v>
      </c>
      <c r="CR43" s="3284">
        <f t="shared" si="70"/>
        <v>0</v>
      </c>
      <c r="CS43" s="3295"/>
      <c r="CT43" s="3274">
        <f>ЦО_логистика!BU43+'Форд Тягач'!CT43+'MAN Blue KA1783HI'!CE43+'MAN green KA2790IE'!CE43+'MAN №3 white KA7837HO'!CE43+'MAN №4 white KA3597HO'!CE43+'MAN №5 Тент МД'!BU43</f>
        <v>0</v>
      </c>
      <c r="CU43" s="3274">
        <f>ЦО_логистика!BV43+'Форд Тягач'!CU43+'MAN Blue KA1783HI'!CF43+'MAN green KA2790IE'!CF43+'MAN №3 white KA7837HO'!CF43+'MAN №4 white KA3597HO'!CF43+'MAN №5 Тент МД'!BV43</f>
        <v>0</v>
      </c>
      <c r="CV43" s="2028">
        <f t="shared" si="94"/>
        <v>0</v>
      </c>
      <c r="CW43" s="3284">
        <f t="shared" si="71"/>
        <v>0</v>
      </c>
      <c r="CX43" s="3295"/>
      <c r="CY43" s="3274">
        <f>ЦО_логистика!BZ43+'Форд Тягач'!CY43+'MAN Blue KA1783HI'!CJ43+'MAN green KA2790IE'!CJ43+'MAN №3 white KA7837HO'!CJ43+'MAN №4 white KA3597HO'!CJ43+'MAN №5 Тент МД'!BZ43</f>
        <v>0</v>
      </c>
      <c r="CZ43" s="3274">
        <f>ЦО_логистика!CA43+'Форд Тягач'!CZ43+'MAN Blue KA1783HI'!CK43+'MAN green KA2790IE'!CK43+'MAN №3 white KA7837HO'!CK43+'MAN №4 white KA3597HO'!CK43+'MAN №5 Тент МД'!CA43</f>
        <v>0</v>
      </c>
      <c r="DA43" s="2028">
        <f t="shared" si="95"/>
        <v>0</v>
      </c>
      <c r="DB43" s="3284">
        <f t="shared" si="72"/>
        <v>0</v>
      </c>
      <c r="DC43" s="3295"/>
      <c r="DD43" s="3274">
        <f>ЦО_логистика!CE43+'Форд Тягач'!DD43+'MAN Blue KA1783HI'!CO43+'MAN green KA2790IE'!CO43+'MAN №3 white KA7837HO'!CO43+'MAN №4 white KA3597HO'!CO43+'MAN №5 Тент МД'!CE43</f>
        <v>0</v>
      </c>
      <c r="DE43" s="3274">
        <f>ЦО_логистика!CF43+'Форд Тягач'!DE43+'MAN Blue KA1783HI'!CP43+'MAN green KA2790IE'!CP43+'MAN №3 white KA7837HO'!CP43+'MAN №4 white KA3597HO'!CP43+'MAN №5 Тент МД'!CF43</f>
        <v>0</v>
      </c>
      <c r="DF43" s="2028">
        <f t="shared" si="96"/>
        <v>0</v>
      </c>
      <c r="DG43" s="3284">
        <f t="shared" si="73"/>
        <v>0</v>
      </c>
      <c r="DH43" s="3295"/>
      <c r="DI43" s="3274">
        <f>ЦО_логистика!CJ43+'Форд Тягач'!DI43+'MAN Blue KA1783HI'!CT43+'MAN green KA2790IE'!CT43+'MAN №3 white KA7837HO'!CT43+'MAN №4 white KA3597HO'!CT43+'MAN №5 Тент МД'!CJ43</f>
        <v>0</v>
      </c>
      <c r="DJ43" s="3274">
        <f>ЦО_логистика!CK43+'Форд Тягач'!DJ43+'MAN Blue KA1783HI'!CU43+'MAN green KA2790IE'!CU43+'MAN №3 white KA7837HO'!CU43+'MAN №4 white KA3597HO'!CU43+'MAN №5 Тент МД'!CK43</f>
        <v>0</v>
      </c>
      <c r="DK43" s="2028">
        <f t="shared" si="97"/>
        <v>0</v>
      </c>
      <c r="DL43" s="3284">
        <f t="shared" si="74"/>
        <v>0</v>
      </c>
      <c r="DM43" s="3295"/>
      <c r="DN43" s="3288">
        <f t="shared" si="98"/>
        <v>31270.87</v>
      </c>
      <c r="DO43" s="3288">
        <f t="shared" si="98"/>
        <v>544.5</v>
      </c>
      <c r="DP43" s="2028">
        <f t="shared" si="99"/>
        <v>31815.37</v>
      </c>
      <c r="DQ43" s="3284">
        <f t="shared" si="75"/>
        <v>1.2041668629781258E-3</v>
      </c>
      <c r="DR43" s="3275"/>
      <c r="DS43" s="916"/>
      <c r="DT43" s="916"/>
    </row>
    <row r="44" spans="1:124" ht="69" x14ac:dyDescent="0.25">
      <c r="A44" s="4015"/>
      <c r="B44" s="3310" t="s">
        <v>28</v>
      </c>
      <c r="C44" s="3274">
        <v>0</v>
      </c>
      <c r="D44" s="3274">
        <v>0</v>
      </c>
      <c r="E44" s="2028">
        <v>0</v>
      </c>
      <c r="F44" s="3284">
        <v>0</v>
      </c>
      <c r="G44" s="3295"/>
      <c r="H44" s="3274">
        <v>0</v>
      </c>
      <c r="I44" s="3274">
        <v>0</v>
      </c>
      <c r="J44" s="2028">
        <v>0</v>
      </c>
      <c r="K44" s="3284">
        <v>0</v>
      </c>
      <c r="L44" s="3295">
        <v>0</v>
      </c>
      <c r="M44" s="3274">
        <v>0</v>
      </c>
      <c r="N44" s="3274">
        <v>0</v>
      </c>
      <c r="O44" s="2028">
        <v>0</v>
      </c>
      <c r="P44" s="3284">
        <v>0</v>
      </c>
      <c r="Q44" s="3295">
        <v>0</v>
      </c>
      <c r="R44" s="3274">
        <f>'Форд Тягач'!R44+'MAN Blue KA1783HI'!C44+'MAN green KA2790IE'!C44+'MAN №3 white KA7837HO'!C44+'MAN №4 white KA3597HO'!C44</f>
        <v>0</v>
      </c>
      <c r="S44" s="3274">
        <f>'Форд Тягач'!S44+'MAN Blue KA1783HI'!D44+'MAN green KA2790IE'!D44+'MAN №3 white KA7837HO'!D44+'MAN №4 white KA3597HO'!D44</f>
        <v>0</v>
      </c>
      <c r="T44" s="2028">
        <f t="shared" si="76"/>
        <v>0</v>
      </c>
      <c r="U44" s="3284">
        <f t="shared" si="61"/>
        <v>0</v>
      </c>
      <c r="V44" s="3295"/>
      <c r="W44" s="3274">
        <f>'Форд Тягач'!W44+'MAN Blue KA1783HI'!H44+'MAN green KA2790IE'!H44+'MAN №3 white KA7837HO'!H44+'MAN №4 white KA3597HO'!H44</f>
        <v>0</v>
      </c>
      <c r="X44" s="3274">
        <f>'Форд Тягач'!X44+'MAN Blue KA1783HI'!I44+'MAN green KA2790IE'!I44+'MAN №3 white KA7837HO'!I44+'MAN №4 white KA3597HO'!I44+18406.95</f>
        <v>18406.95</v>
      </c>
      <c r="Y44" s="2028">
        <f t="shared" si="77"/>
        <v>18406.95</v>
      </c>
      <c r="Z44" s="3284">
        <f t="shared" si="62"/>
        <v>1.4082497107200423E-2</v>
      </c>
      <c r="AA44" s="3421" t="s">
        <v>1195</v>
      </c>
      <c r="AB44" s="3274">
        <f>ЦО_логистика!C44+'Форд Тягач'!AB44+'MAN Blue KA1783HI'!M44+'MAN green KA2790IE'!M44+'MAN №3 white KA7837HO'!M44+'MAN №4 white KA3597HO'!M44+'MAN №5 Тент МД'!C44</f>
        <v>0</v>
      </c>
      <c r="AC44" s="3274">
        <f>ЦО_логистика!D44+'Форд Тягач'!AC44+'MAN Blue KA1783HI'!N44+'MAN green KA2790IE'!N44+'MAN №3 white KA7837HO'!N44+'MAN №4 white KA3597HO'!N44+'MAN №5 Тент МД'!D44</f>
        <v>18046.940000000002</v>
      </c>
      <c r="AD44" s="2028">
        <f t="shared" si="78"/>
        <v>18046.940000000002</v>
      </c>
      <c r="AE44" s="3284">
        <f t="shared" si="2"/>
        <v>1.4119045546777181E-2</v>
      </c>
      <c r="AF44" s="3295"/>
      <c r="AG44" s="3274">
        <f>ЦО_логистика!H44+'Форд Тягач'!AG44+'MAN Blue KA1783HI'!R44+'MAN green KA2790IE'!R44+'MAN №3 white KA7837HO'!R44+'MAN №4 white KA3597HO'!R44+'MAN №5 Тент МД'!H44</f>
        <v>20885</v>
      </c>
      <c r="AH44" s="3274">
        <f>ЦО_логистика!I44+'Форд Тягач'!AH44+'MAN Blue KA1783HI'!S44+'MAN green KA2790IE'!S44+'MAN №3 white KA7837HO'!S44+'MAN №4 white KA3597HO'!S44+'MAN №5 Тент МД'!I44</f>
        <v>14911.94</v>
      </c>
      <c r="AI44" s="2028">
        <f t="shared" si="79"/>
        <v>35796.94</v>
      </c>
      <c r="AJ44" s="3284">
        <f t="shared" si="55"/>
        <v>2.8005779721950088E-2</v>
      </c>
      <c r="AK44" s="3275" t="s">
        <v>1328</v>
      </c>
      <c r="AL44" s="3274">
        <f>ЦО_логистика!M44+'Форд Тягач'!AL44+'MAN Blue KA1783HI'!W44+'MAN green KA2790IE'!W44+'MAN №3 white KA7837HO'!W44+'MAN №4 white KA3597HO'!W44+'MAN №5 Тент МД'!M44</f>
        <v>25000</v>
      </c>
      <c r="AM44" s="3274">
        <f>ЦО_логистика!N44+'Форд Тягач'!AM44+'MAN Blue KA1783HI'!X44+'MAN green KA2790IE'!X44+'MAN №3 white KA7837HO'!X44+'MAN №4 white KA3597HO'!X44+'MAN №5 Тент МД'!N44</f>
        <v>6653.83</v>
      </c>
      <c r="AN44" s="2028">
        <f t="shared" si="80"/>
        <v>31653.83</v>
      </c>
      <c r="AO44" s="3284">
        <f t="shared" si="56"/>
        <v>2.4764412554147235E-2</v>
      </c>
      <c r="AP44" s="3425" t="str">
        <f>CONCATENATE(ЦО_логистика!Q44,'Форд Тягач'!AP44,'MAN Blue KA1783HI'!AA44,'MAN green KA2790IE'!AA44,'MAN №3 white KA7837HO'!AF44,'MAN №4 white KA3597HO'!AA44,'MAN №5 Тент МД'!Q44)</f>
        <v>Ф1 25000 - 1С
Ф2 - 952,33 - сервер 1С
3901,5 - почтовы сервер; 1800 - Жук (9*600=5400/3=1800)</v>
      </c>
      <c r="AQ44" s="3274">
        <f>SUM(ЦО_логистика!R44,'Форд Тягач'!AQ44,'MAN Blue KA1783HI'!AB44,'MAN green KA2790IE'!AB44,'MAN №3 white KA7837HO'!AB44,'MAN №4 white KA3597HO'!AB44,'MAN №5 Тент МД'!R44)</f>
        <v>23875.759999999998</v>
      </c>
      <c r="AR44" s="3274">
        <f>SUM(ЦО_логистика!S44,'Форд Тягач'!AR44,'MAN Blue KA1783HI'!AC44,'MAN green KA2790IE'!AC44,'MAN №3 white KA7837HO'!AC44,'MAN №4 white KA3597HO'!AC44,'MAN №5 Тент МД'!S44)</f>
        <v>24128.17</v>
      </c>
      <c r="AS44" s="2028">
        <f t="shared" si="81"/>
        <v>48003.929999999993</v>
      </c>
      <c r="AT44" s="3284">
        <f t="shared" si="57"/>
        <v>3.7555933254851147E-2</v>
      </c>
      <c r="AU44" s="3425" t="str">
        <f>CONCATENATE(ЦО_логистика!V44,'Форд Тягач'!AU44,'MAN Blue KA1783HI'!AF43,'MAN green KA2790IE'!AF44,'MAN №3 white KA7837HO'!AF44,'MAN №4 white KA3597HO'!AF44,'MAN №5 Тент МД'!V44)</f>
        <v>Ф1: 23800 - настройка сервера 1С                                     Ф2: 976,67 - сервер 1С
3901,50 - почтовы сервер; 2300 - Жук; 16500 - Борщ за 11-12.22</v>
      </c>
      <c r="AV44" s="3275">
        <f>+ЦО_логистика!W44+'Форд Тягач'!AV44+'MAN Blue KA1783HI'!AG44+'MAN green KA2790IE'!AG44+'MAN №3 white KA7837HO'!AG44+'MAN №4 white KA3597HO'!AG44+'MAN №5 Тент МД'!W44</f>
        <v>9163.73</v>
      </c>
      <c r="AW44" s="3275">
        <f>+ЦО_логистика!X44+'Форд Тягач'!AW44+'MAN Blue KA1783HI'!AH44+'MAN green KA2790IE'!AH44+'MAN №3 white KA7837HO'!AH44+'MAN №4 white KA3597HO'!AH44+'MAN №5 Тент МД'!X44</f>
        <v>42799.16</v>
      </c>
      <c r="AX44" s="2028">
        <f t="shared" si="82"/>
        <v>51962.89</v>
      </c>
      <c r="AY44" s="3284">
        <f t="shared" si="63"/>
        <v>4.065323044528172E-2</v>
      </c>
      <c r="AZ44" s="3275"/>
      <c r="BA44" s="3275">
        <f t="shared" si="83"/>
        <v>1628.9960000000001</v>
      </c>
      <c r="BB44" s="3275">
        <f t="shared" si="83"/>
        <v>0</v>
      </c>
      <c r="BC44" s="2028">
        <f t="shared" si="84"/>
        <v>1628.9960000000001</v>
      </c>
      <c r="BD44" s="3284">
        <f t="shared" si="64"/>
        <v>1.274447009826477E-3</v>
      </c>
      <c r="BE44" s="3275">
        <f>ЦО_логистика!AD44+'Форд Тягач'!BC44+'MAN Blue KA1783HI'!AN44+'MAN green KA2790IE'!AN44+'MAN №3 white KA7837HO'!AN44+'MAN №4 white KA3597HO'!AN44+'MAN №5 Тент МД'!AD44-BC44</f>
        <v>0</v>
      </c>
      <c r="BF44" s="3274">
        <f>ЦО_логистика!AG44+'Форд Тягач'!BF44+'MAN Blue KA1783HI'!AQ44+'MAN green KA2790IE'!AQ44+'MAN №3 white KA7837HO'!AQ44+'MAN №4 white KA3597HO'!AQ44+'MAN №5 Тент МД'!AG44</f>
        <v>350</v>
      </c>
      <c r="BG44" s="3274">
        <f>ЦО_логистика!AH44+'Форд Тягач'!BG44+'MAN Blue KA1783HI'!AR44+'MAN green KA2790IE'!AR44+'MAN №3 white KA7837HO'!AR44+'MAN №4 white KA3597HO'!AR44+'MAN №5 Тент МД'!AH44</f>
        <v>0</v>
      </c>
      <c r="BH44" s="2028">
        <f t="shared" si="85"/>
        <v>350</v>
      </c>
      <c r="BI44" s="3284">
        <f t="shared" si="60"/>
        <v>2.7382292739777561E-4</v>
      </c>
      <c r="BJ44" s="3275"/>
      <c r="BK44" s="3275">
        <f>ЦО_логистика!AL44+'Форд Тягач'!BK44+'MAN Blue KA1783HI'!AV44+'MAN green KA2790IE'!AV44+'MAN №3 white KA7837HO'!AV44+'MAN №4 white KA3597HO'!AV44+'MAN №5 Тент МД'!AL44</f>
        <v>578.99599999999998</v>
      </c>
      <c r="BL44" s="3275">
        <f>ЦО_логистика!AM44+'Форд Тягач'!BL44+'MAN Blue KA1783HI'!AW44+'MAN green KA2790IE'!AW44+'MAN №3 white KA7837HO'!AW44+'MAN №4 white KA3597HO'!AW44+'MAN №5 Тент МД'!AM44</f>
        <v>0</v>
      </c>
      <c r="BM44" s="2028">
        <f t="shared" si="86"/>
        <v>578.99599999999998</v>
      </c>
      <c r="BN44" s="3284">
        <f t="shared" si="87"/>
        <v>4.5297822763315E-4</v>
      </c>
      <c r="BO44" s="3275"/>
      <c r="BP44" s="3274">
        <f>ЦО_логистика!AQ44+'Форд Тягач'!BP44+'MAN Blue KA1783HI'!BA44+'MAN green KA2790IE'!BA44+'MAN №3 white KA7837HO'!BA44+'MAN №4 white KA3597HO'!BA44+'MAN №5 Тент МД'!AQ44</f>
        <v>700</v>
      </c>
      <c r="BQ44" s="3274">
        <f>ЦО_логистика!AR44+'Форд Тягач'!BQ44+'MAN Blue KA1783HI'!BB44+'MAN green KA2790IE'!BB44+'MAN №3 white KA7837HO'!BB44+'MAN №4 white KA3597HO'!BB44+'MAN №5 Тент МД'!AR44</f>
        <v>0</v>
      </c>
      <c r="BR44" s="2028">
        <f t="shared" si="88"/>
        <v>700</v>
      </c>
      <c r="BS44" s="3284">
        <f t="shared" si="65"/>
        <v>5.4764585479555121E-4</v>
      </c>
      <c r="BT44" s="3295"/>
      <c r="BU44" s="3274">
        <f>ЦО_логистика!AV44+'Форд Тягач'!BU44+'MAN Blue KA1783HI'!BF44+'MAN green KA2790IE'!BF44+'MAN №3 white KA7837HO'!BF44+'MAN №4 white KA3597HO'!BF44+'MAN №5 Тент МД'!AV44</f>
        <v>0</v>
      </c>
      <c r="BV44" s="3274">
        <f>ЦО_логистика!AW44+'Форд Тягач'!BV44+'MAN Blue KA1783HI'!BG44+'MAN green KA2790IE'!BG44+'MAN №3 white KA7837HO'!BG44+'MAN №4 white KA3597HO'!BG44+'MAN №5 Тент МД'!AW44</f>
        <v>0</v>
      </c>
      <c r="BW44" s="2028">
        <f t="shared" si="89"/>
        <v>0</v>
      </c>
      <c r="BX44" s="3284">
        <f t="shared" si="66"/>
        <v>0</v>
      </c>
      <c r="BY44" s="3295"/>
      <c r="BZ44" s="3274">
        <f>ЦО_логистика!BA44+'Форд Тягач'!BZ44+'MAN Blue KA1783HI'!BK44+'MAN green KA2790IE'!BK44+'MAN №3 white KA7837HO'!BK44+'MAN №4 white KA3597HO'!BK44+'MAN №5 Тент МД'!BA44</f>
        <v>0</v>
      </c>
      <c r="CA44" s="3274">
        <f>ЦО_логистика!BB44+'Форд Тягач'!CA44+'MAN Blue KA1783HI'!BL44+'MAN green KA2790IE'!BL44+'MAN №3 white KA7837HO'!BL44+'MAN №4 white KA3597HO'!BL44+'MAN №5 Тент МД'!BB44</f>
        <v>0</v>
      </c>
      <c r="CB44" s="2028">
        <f t="shared" si="90"/>
        <v>0</v>
      </c>
      <c r="CC44" s="3284">
        <f t="shared" si="67"/>
        <v>0</v>
      </c>
      <c r="CD44" s="3295"/>
      <c r="CE44" s="3274">
        <f>ЦО_логистика!BF44+'Форд Тягач'!CE44+'MAN Blue KA1783HI'!BP44+'MAN green KA2790IE'!BP44+'MAN №3 white KA7837HO'!BP44+'MAN №4 white KA3597HO'!BP44+'MAN №5 Тент МД'!BF44</f>
        <v>0</v>
      </c>
      <c r="CF44" s="3274">
        <f>ЦО_логистика!BG44+'Форд Тягач'!CF44+'MAN Blue KA1783HI'!BQ44+'MAN green KA2790IE'!BQ44+'MAN №3 white KA7837HO'!BQ44+'MAN №4 white KA3597HO'!BQ44+'MAN №5 Тент МД'!BG44</f>
        <v>0</v>
      </c>
      <c r="CG44" s="2028">
        <f t="shared" si="91"/>
        <v>0</v>
      </c>
      <c r="CH44" s="3284">
        <f t="shared" si="68"/>
        <v>0</v>
      </c>
      <c r="CI44" s="3295"/>
      <c r="CJ44" s="3274">
        <f>ЦО_логистика!BK44+'Форд Тягач'!CJ44+'MAN Blue KA1783HI'!BU44+'MAN green KA2790IE'!BU44+'MAN №3 white KA7837HO'!BU44+'MAN №4 white KA3597HO'!BU44+'MAN №5 Тент МД'!BK44</f>
        <v>0</v>
      </c>
      <c r="CK44" s="3274">
        <f>ЦО_логистика!BL44+'Форд Тягач'!CK44+'MAN Blue KA1783HI'!BV44+'MAN green KA2790IE'!BV44+'MAN №3 white KA7837HO'!BV44+'MAN №4 white KA3597HO'!BV44+'MAN №5 Тент МД'!BL44</f>
        <v>0</v>
      </c>
      <c r="CL44" s="2028">
        <f t="shared" si="92"/>
        <v>0</v>
      </c>
      <c r="CM44" s="3284">
        <f t="shared" si="69"/>
        <v>0</v>
      </c>
      <c r="CN44" s="3295"/>
      <c r="CO44" s="3274">
        <f>ЦО_логистика!BP44+'Форд Тягач'!CO44+'MAN Blue KA1783HI'!BZ44+'MAN green KA2790IE'!BZ44+'MAN №3 white KA7837HO'!BZ44+'MAN №4 white KA3597HO'!BZ44+'MAN №5 Тент МД'!BP44</f>
        <v>0</v>
      </c>
      <c r="CP44" s="3274">
        <f>ЦО_логистика!BQ44+'Форд Тягач'!CP44+'MAN Blue KA1783HI'!CA44+'MAN green KA2790IE'!CA44+'MAN №3 white KA7837HO'!CA44+'MAN №4 white KA3597HO'!CA44+'MAN №5 Тент МД'!BQ44</f>
        <v>0</v>
      </c>
      <c r="CQ44" s="2028">
        <f t="shared" si="93"/>
        <v>0</v>
      </c>
      <c r="CR44" s="3284">
        <f t="shared" si="70"/>
        <v>0</v>
      </c>
      <c r="CS44" s="3295"/>
      <c r="CT44" s="3274">
        <f>ЦО_логистика!BU44+'Форд Тягач'!CT44+'MAN Blue KA1783HI'!CE44+'MAN green KA2790IE'!CE44+'MAN №3 white KA7837HO'!CE44+'MAN №4 white KA3597HO'!CE44+'MAN №5 Тент МД'!BU44</f>
        <v>0</v>
      </c>
      <c r="CU44" s="3274">
        <f>ЦО_логистика!BV44+'Форд Тягач'!CU44+'MAN Blue KA1783HI'!CF44+'MAN green KA2790IE'!CF44+'MAN №3 white KA7837HO'!CF44+'MAN №4 white KA3597HO'!CF44+'MAN №5 Тент МД'!BV44</f>
        <v>0</v>
      </c>
      <c r="CV44" s="2028">
        <f t="shared" si="94"/>
        <v>0</v>
      </c>
      <c r="CW44" s="3284">
        <f t="shared" si="71"/>
        <v>0</v>
      </c>
      <c r="CX44" s="3295"/>
      <c r="CY44" s="3274">
        <f>ЦО_логистика!BZ44+'Форд Тягач'!CY44+'MAN Blue KA1783HI'!CJ44+'MAN green KA2790IE'!CJ44+'MAN №3 white KA7837HO'!CJ44+'MAN №4 white KA3597HO'!CJ44+'MAN №5 Тент МД'!BZ44</f>
        <v>0</v>
      </c>
      <c r="CZ44" s="3274">
        <f>ЦО_логистика!CA44+'Форд Тягач'!CZ44+'MAN Blue KA1783HI'!CK44+'MAN green KA2790IE'!CK44+'MAN №3 white KA7837HO'!CK44+'MAN №4 white KA3597HO'!CK44+'MAN №5 Тент МД'!CA44</f>
        <v>0</v>
      </c>
      <c r="DA44" s="2028">
        <f t="shared" si="95"/>
        <v>0</v>
      </c>
      <c r="DB44" s="3284">
        <f t="shared" si="72"/>
        <v>0</v>
      </c>
      <c r="DC44" s="3295"/>
      <c r="DD44" s="3274">
        <f>ЦО_логистика!CE44+'Форд Тягач'!DD44+'MAN Blue KA1783HI'!CO44+'MAN green KA2790IE'!CO44+'MAN №3 white KA7837HO'!CO44+'MAN №4 white KA3597HO'!CO44+'MAN №5 Тент МД'!CE44</f>
        <v>0</v>
      </c>
      <c r="DE44" s="3274">
        <f>ЦО_логистика!CF44+'Форд Тягач'!DE44+'MAN Blue KA1783HI'!CP44+'MAN green KA2790IE'!CP44+'MAN №3 white KA7837HO'!CP44+'MAN №4 white KA3597HO'!CP44+'MAN №5 Тент МД'!CF44</f>
        <v>0</v>
      </c>
      <c r="DF44" s="2028">
        <f t="shared" si="96"/>
        <v>0</v>
      </c>
      <c r="DG44" s="3284">
        <f t="shared" si="73"/>
        <v>0</v>
      </c>
      <c r="DH44" s="3295"/>
      <c r="DI44" s="3274">
        <f>ЦО_логистика!CJ44+'Форд Тягач'!DI44+'MAN Blue KA1783HI'!CT44+'MAN green KA2790IE'!CT44+'MAN №3 white KA7837HO'!CT44+'MAN №4 white KA3597HO'!CT44+'MAN №5 Тент МД'!CJ44</f>
        <v>0</v>
      </c>
      <c r="DJ44" s="3274">
        <f>ЦО_логистика!CK44+'Форд Тягач'!DJ44+'MAN Blue KA1783HI'!CU44+'MAN green KA2790IE'!CU44+'MAN №3 white KA7837HO'!CU44+'MAN №4 white KA3597HO'!CU44+'MAN №5 Тент МД'!CK44</f>
        <v>0</v>
      </c>
      <c r="DK44" s="2028">
        <f t="shared" si="97"/>
        <v>0</v>
      </c>
      <c r="DL44" s="3284">
        <f t="shared" si="74"/>
        <v>0</v>
      </c>
      <c r="DM44" s="3295"/>
      <c r="DN44" s="3288">
        <f t="shared" si="98"/>
        <v>80553.48599999999</v>
      </c>
      <c r="DO44" s="3288">
        <f t="shared" si="98"/>
        <v>124946.99</v>
      </c>
      <c r="DP44" s="2028">
        <f t="shared" si="99"/>
        <v>205500.476</v>
      </c>
      <c r="DQ44" s="3284">
        <f t="shared" si="75"/>
        <v>7.7779030552035588E-3</v>
      </c>
      <c r="DR44" s="3275"/>
      <c r="DS44" s="916"/>
      <c r="DT44" s="916"/>
    </row>
    <row r="45" spans="1:124" ht="13.8" x14ac:dyDescent="0.25">
      <c r="A45" s="4015"/>
      <c r="B45" s="3319" t="s">
        <v>8</v>
      </c>
      <c r="C45" s="3274">
        <v>0</v>
      </c>
      <c r="D45" s="3274">
        <v>0</v>
      </c>
      <c r="E45" s="2028">
        <v>0</v>
      </c>
      <c r="F45" s="3284">
        <v>0</v>
      </c>
      <c r="G45" s="3295"/>
      <c r="H45" s="3274">
        <v>0</v>
      </c>
      <c r="I45" s="3274">
        <v>0</v>
      </c>
      <c r="J45" s="2028">
        <v>0</v>
      </c>
      <c r="K45" s="3284">
        <v>0</v>
      </c>
      <c r="L45" s="3295">
        <v>0</v>
      </c>
      <c r="M45" s="3274">
        <v>0</v>
      </c>
      <c r="N45" s="3274">
        <v>0</v>
      </c>
      <c r="O45" s="2028">
        <v>0</v>
      </c>
      <c r="P45" s="3284">
        <v>0</v>
      </c>
      <c r="Q45" s="3295">
        <v>0</v>
      </c>
      <c r="R45" s="3274">
        <f>'Форд Тягач'!R45+'MAN Blue KA1783HI'!C45+'MAN green KA2790IE'!C45+'MAN №3 white KA7837HO'!C45+'MAN №4 white KA3597HO'!C45</f>
        <v>0</v>
      </c>
      <c r="S45" s="3274">
        <f>'Форд Тягач'!S45+'MAN Blue KA1783HI'!D45+'MAN green KA2790IE'!D45+'MAN №3 white KA7837HO'!D45+'MAN №4 white KA3597HO'!D45</f>
        <v>0</v>
      </c>
      <c r="T45" s="2028">
        <f t="shared" si="76"/>
        <v>0</v>
      </c>
      <c r="U45" s="3284">
        <f t="shared" si="61"/>
        <v>0</v>
      </c>
      <c r="V45" s="3295"/>
      <c r="W45" s="3274">
        <f>'Форд Тягач'!W45+'MAN Blue KA1783HI'!H45+'MAN green KA2790IE'!H45+'MAN №3 white KA7837HO'!H45+'MAN №4 white KA3597HO'!H45+862.5</f>
        <v>862.5</v>
      </c>
      <c r="X45" s="3274">
        <f>'Форд Тягач'!X45+'MAN Blue KA1783HI'!I45+'MAN green KA2790IE'!I45+'MAN №3 white KA7837HO'!I45+'MAN №4 white KA3597HO'!I45</f>
        <v>0</v>
      </c>
      <c r="Y45" s="2028">
        <f t="shared" si="77"/>
        <v>862.5</v>
      </c>
      <c r="Z45" s="3284">
        <f t="shared" si="62"/>
        <v>6.5986780835284307E-4</v>
      </c>
      <c r="AA45" s="3421" t="s">
        <v>1196</v>
      </c>
      <c r="AB45" s="3274">
        <f>ЦО_логистика!C45+'Форд Тягач'!AB45+'MAN Blue KA1783HI'!M45+'MAN green KA2790IE'!M45+'MAN №3 white KA7837HO'!M45+'MAN №4 white KA3597HO'!M45+'MAN №5 Тент МД'!C45</f>
        <v>0</v>
      </c>
      <c r="AC45" s="3274">
        <f>ЦО_логистика!D45+'Форд Тягач'!AC45+'MAN Blue KA1783HI'!N45+'MAN green KA2790IE'!N45+'MAN №3 white KA7837HO'!N45+'MAN №4 white KA3597HO'!N45+'MAN №5 Тент МД'!D45</f>
        <v>0</v>
      </c>
      <c r="AD45" s="2028">
        <f t="shared" si="78"/>
        <v>0</v>
      </c>
      <c r="AE45" s="3284">
        <f t="shared" si="2"/>
        <v>0</v>
      </c>
      <c r="AF45" s="3295"/>
      <c r="AG45" s="3274">
        <f>ЦО_логистика!H45+'Форд Тягач'!AG45+'MAN Blue KA1783HI'!R45+'MAN green KA2790IE'!R45+'MAN №3 white KA7837HO'!R45+'MAN №4 white KA3597HO'!R45+'MAN №5 Тент МД'!H45</f>
        <v>1150</v>
      </c>
      <c r="AH45" s="3274">
        <f>ЦО_логистика!I45+'Форд Тягач'!AH45+'MAN Blue KA1783HI'!S45+'MAN green KA2790IE'!S45+'MAN №3 white KA7837HO'!S45+'MAN №4 white KA3597HO'!S45+'MAN №5 Тент МД'!I45</f>
        <v>0</v>
      </c>
      <c r="AI45" s="2028">
        <f t="shared" si="79"/>
        <v>1150</v>
      </c>
      <c r="AJ45" s="3284">
        <f t="shared" si="55"/>
        <v>8.9970390430697703E-4</v>
      </c>
      <c r="AK45" s="3275"/>
      <c r="AL45" s="3274">
        <f>ЦО_логистика!M45+'Форд Тягач'!AL45+'MAN Blue KA1783HI'!W45+'MAN green KA2790IE'!W45+'MAN №3 white KA7837HO'!W45+'MAN №4 white KA3597HO'!W45+'MAN №5 Тент МД'!M45</f>
        <v>690</v>
      </c>
      <c r="AM45" s="3274">
        <f>ЦО_логистика!N45+'Форд Тягач'!AM45+'MAN Blue KA1783HI'!X45+'MAN green KA2790IE'!X45+'MAN №3 white KA7837HO'!X45+'MAN №4 white KA3597HO'!X45+'MAN №5 Тент МД'!N45</f>
        <v>0</v>
      </c>
      <c r="AN45" s="2028">
        <f t="shared" si="80"/>
        <v>690</v>
      </c>
      <c r="AO45" s="3284">
        <f t="shared" si="56"/>
        <v>5.3982234258418619E-4</v>
      </c>
      <c r="AP45" s="3425" t="str">
        <f>CONCATENATE(ЦО_логистика!Q45,'Форд Тягач'!AP45,'MAN Blue KA1783HI'!AA45,'MAN green KA2790IE'!AA45,'MAN №3 white KA7837HO'!AF45,'MAN №4 white KA3597HO'!AA45,'MAN №5 Тент МД'!Q45)</f>
        <v/>
      </c>
      <c r="AQ45" s="3274">
        <f>SUM(ЦО_логистика!R45,'Форд Тягач'!AQ45,'MAN Blue KA1783HI'!AB45,'MAN green KA2790IE'!AB45,'MAN №3 white KA7837HO'!AB45,'MAN №4 white KA3597HO'!AB45,'MAN №5 Тент МД'!R45)</f>
        <v>1150</v>
      </c>
      <c r="AR45" s="3274">
        <f>SUM(ЦО_логистика!S45,'Форд Тягач'!AR45,'MAN Blue KA1783HI'!AC45,'MAN green KA2790IE'!AC45,'MAN №3 white KA7837HO'!AC45,'MAN №4 white KA3597HO'!AC45,'MAN №5 Тент МД'!S45)</f>
        <v>0</v>
      </c>
      <c r="AS45" s="2028">
        <f t="shared" si="81"/>
        <v>1150</v>
      </c>
      <c r="AT45" s="3284">
        <f t="shared" si="57"/>
        <v>8.9970390430697703E-4</v>
      </c>
      <c r="AU45" s="3425" t="str">
        <f>CONCATENATE(ЦО_логистика!V45,'Форд Тягач'!AU45,'MAN Blue KA1783HI'!AF44,'MAN green KA2790IE'!AF45,'MAN №3 white KA7837HO'!AF45,'MAN №4 white KA3597HO'!AF45,'MAN №5 Тент МД'!V45)</f>
        <v/>
      </c>
      <c r="AV45" s="3275">
        <f>+ЦО_логистика!W45+'Форд Тягач'!AV45+'MAN Blue KA1783HI'!AG45+'MAN green KA2790IE'!AG45+'MAN №3 white KA7837HO'!AG45+'MAN №4 white KA3597HO'!AG45+'MAN №5 Тент МД'!W45</f>
        <v>3680</v>
      </c>
      <c r="AW45" s="3275">
        <f>+ЦО_логистика!X45+'Форд Тягач'!AW45+'MAN Blue KA1783HI'!AH45+'MAN green KA2790IE'!AH45+'MAN №3 white KA7837HO'!AH45+'MAN №4 white KA3597HO'!AH45+'MAN №5 Тент МД'!X45</f>
        <v>0</v>
      </c>
      <c r="AX45" s="2028">
        <f t="shared" si="82"/>
        <v>3680</v>
      </c>
      <c r="AY45" s="3284">
        <f t="shared" si="63"/>
        <v>2.8790524937823267E-3</v>
      </c>
      <c r="AZ45" s="3275"/>
      <c r="BA45" s="3275">
        <f t="shared" si="83"/>
        <v>0</v>
      </c>
      <c r="BB45" s="3275">
        <f t="shared" si="83"/>
        <v>0</v>
      </c>
      <c r="BC45" s="2028">
        <f t="shared" si="84"/>
        <v>0</v>
      </c>
      <c r="BD45" s="3284">
        <f t="shared" si="64"/>
        <v>0</v>
      </c>
      <c r="BE45" s="3275">
        <f>ЦО_логистика!AD45+'Форд Тягач'!BC45+'MAN Blue KA1783HI'!AN45+'MAN green KA2790IE'!AN45+'MAN №3 white KA7837HO'!AN45+'MAN №4 white KA3597HO'!AN45+'MAN №5 Тент МД'!AD45-BC45</f>
        <v>0</v>
      </c>
      <c r="BF45" s="3274">
        <f>ЦО_логистика!AG45+'Форд Тягач'!BF45+'MAN Blue KA1783HI'!AQ45+'MAN green KA2790IE'!AQ45+'MAN №3 white KA7837HO'!AQ45+'MAN №4 white KA3597HO'!AQ45+'MAN №5 Тент МД'!AG45</f>
        <v>0</v>
      </c>
      <c r="BG45" s="3274">
        <f>ЦО_логистика!AH45+'Форд Тягач'!BG45+'MAN Blue KA1783HI'!AR45+'MAN green KA2790IE'!AR45+'MAN №3 white KA7837HO'!AR45+'MAN №4 white KA3597HO'!AR45+'MAN №5 Тент МД'!AH45</f>
        <v>0</v>
      </c>
      <c r="BH45" s="2028">
        <f t="shared" si="85"/>
        <v>0</v>
      </c>
      <c r="BI45" s="3284">
        <f t="shared" si="60"/>
        <v>0</v>
      </c>
      <c r="BJ45" s="3275"/>
      <c r="BK45" s="3275">
        <f>ЦО_логистика!AL45+'Форд Тягач'!BK45+'MAN Blue KA1783HI'!AV45+'MAN green KA2790IE'!AV45+'MAN №3 white KA7837HO'!AV45+'MAN №4 white KA3597HO'!AV45+'MAN №5 Тент МД'!AL45</f>
        <v>0</v>
      </c>
      <c r="BL45" s="3275">
        <f>ЦО_логистика!AM45+'Форд Тягач'!BL45+'MAN Blue KA1783HI'!AW45+'MAN green KA2790IE'!AW45+'MAN №3 white KA7837HO'!AW45+'MAN №4 white KA3597HO'!AW45+'MAN №5 Тент МД'!AM45</f>
        <v>0</v>
      </c>
      <c r="BM45" s="2028">
        <f t="shared" si="86"/>
        <v>0</v>
      </c>
      <c r="BN45" s="3284">
        <f t="shared" si="87"/>
        <v>0</v>
      </c>
      <c r="BO45" s="3275"/>
      <c r="BP45" s="3274">
        <f>ЦО_логистика!AQ45+'Форд Тягач'!BP45+'MAN Blue KA1783HI'!BA45+'MAN green KA2790IE'!BA45+'MAN №3 white KA7837HO'!BA45+'MAN №4 white KA3597HO'!BA45+'MAN №5 Тент МД'!AQ45</f>
        <v>0</v>
      </c>
      <c r="BQ45" s="3274">
        <f>ЦО_логистика!AR45+'Форд Тягач'!BQ45+'MAN Blue KA1783HI'!BB45+'MAN green KA2790IE'!BB45+'MAN №3 white KA7837HO'!BB45+'MAN №4 white KA3597HO'!BB45+'MAN №5 Тент МД'!AR45</f>
        <v>0</v>
      </c>
      <c r="BR45" s="2028">
        <f t="shared" si="88"/>
        <v>0</v>
      </c>
      <c r="BS45" s="3284">
        <f t="shared" si="65"/>
        <v>0</v>
      </c>
      <c r="BT45" s="3295"/>
      <c r="BU45" s="3274">
        <f>ЦО_логистика!AV45+'Форд Тягач'!BU45+'MAN Blue KA1783HI'!BF45+'MAN green KA2790IE'!BF45+'MAN №3 white KA7837HO'!BF45+'MAN №4 white KA3597HO'!BF45+'MAN №5 Тент МД'!AV45</f>
        <v>0</v>
      </c>
      <c r="BV45" s="3274">
        <f>ЦО_логистика!AW45+'Форд Тягач'!BV45+'MAN Blue KA1783HI'!BG45+'MAN green KA2790IE'!BG45+'MAN №3 white KA7837HO'!BG45+'MAN №4 white KA3597HO'!BG45+'MAN №5 Тент МД'!AW45</f>
        <v>0</v>
      </c>
      <c r="BW45" s="2028">
        <f t="shared" si="89"/>
        <v>0</v>
      </c>
      <c r="BX45" s="3284">
        <f t="shared" si="66"/>
        <v>0</v>
      </c>
      <c r="BY45" s="3295"/>
      <c r="BZ45" s="3274">
        <f>ЦО_логистика!BA45+'Форд Тягач'!BZ45+'MAN Blue KA1783HI'!BK45+'MAN green KA2790IE'!BK45+'MAN №3 white KA7837HO'!BK45+'MAN №4 white KA3597HO'!BK45+'MAN №5 Тент МД'!BA45</f>
        <v>0</v>
      </c>
      <c r="CA45" s="3274">
        <f>ЦО_логистика!BB45+'Форд Тягач'!CA45+'MAN Blue KA1783HI'!BL45+'MAN green KA2790IE'!BL45+'MAN №3 white KA7837HO'!BL45+'MAN №4 white KA3597HO'!BL45+'MAN №5 Тент МД'!BB45</f>
        <v>0</v>
      </c>
      <c r="CB45" s="2028">
        <f t="shared" si="90"/>
        <v>0</v>
      </c>
      <c r="CC45" s="3284">
        <f t="shared" si="67"/>
        <v>0</v>
      </c>
      <c r="CD45" s="3295"/>
      <c r="CE45" s="3274">
        <f>ЦО_логистика!BF45+'Форд Тягач'!CE45+'MAN Blue KA1783HI'!BP45+'MAN green KA2790IE'!BP45+'MAN №3 white KA7837HO'!BP45+'MAN №4 white KA3597HO'!BP45+'MAN №5 Тент МД'!BF45</f>
        <v>0</v>
      </c>
      <c r="CF45" s="3274">
        <f>ЦО_логистика!BG45+'Форд Тягач'!CF45+'MAN Blue KA1783HI'!BQ45+'MAN green KA2790IE'!BQ45+'MAN №3 white KA7837HO'!BQ45+'MAN №4 white KA3597HO'!BQ45+'MAN №5 Тент МД'!BG45</f>
        <v>0</v>
      </c>
      <c r="CG45" s="2028">
        <f t="shared" si="91"/>
        <v>0</v>
      </c>
      <c r="CH45" s="3284">
        <f t="shared" si="68"/>
        <v>0</v>
      </c>
      <c r="CI45" s="3295"/>
      <c r="CJ45" s="3274">
        <f>ЦО_логистика!BK45+'Форд Тягач'!CJ45+'MAN Blue KA1783HI'!BU45+'MAN green KA2790IE'!BU45+'MAN №3 white KA7837HO'!BU45+'MAN №4 white KA3597HO'!BU45+'MAN №5 Тент МД'!BK45</f>
        <v>0</v>
      </c>
      <c r="CK45" s="3274">
        <f>ЦО_логистика!BL45+'Форд Тягач'!CK45+'MAN Blue KA1783HI'!BV45+'MAN green KA2790IE'!BV45+'MAN №3 white KA7837HO'!BV45+'MAN №4 white KA3597HO'!BV45+'MAN №5 Тент МД'!BL45</f>
        <v>0</v>
      </c>
      <c r="CL45" s="2028">
        <f t="shared" si="92"/>
        <v>0</v>
      </c>
      <c r="CM45" s="3284">
        <f t="shared" si="69"/>
        <v>0</v>
      </c>
      <c r="CN45" s="3295"/>
      <c r="CO45" s="3274">
        <f>ЦО_логистика!BP45+'Форд Тягач'!CO45+'MAN Blue KA1783HI'!BZ45+'MAN green KA2790IE'!BZ45+'MAN №3 white KA7837HO'!BZ45+'MAN №4 white KA3597HO'!BZ45+'MAN №5 Тент МД'!BP45</f>
        <v>0</v>
      </c>
      <c r="CP45" s="3274">
        <f>ЦО_логистика!BQ45+'Форд Тягач'!CP45+'MAN Blue KA1783HI'!CA45+'MAN green KA2790IE'!CA45+'MAN №3 white KA7837HO'!CA45+'MAN №4 white KA3597HO'!CA45+'MAN №5 Тент МД'!BQ45</f>
        <v>0</v>
      </c>
      <c r="CQ45" s="2028">
        <f t="shared" si="93"/>
        <v>0</v>
      </c>
      <c r="CR45" s="3284">
        <f t="shared" si="70"/>
        <v>0</v>
      </c>
      <c r="CS45" s="3295"/>
      <c r="CT45" s="3274">
        <f>ЦО_логистика!BU45+'Форд Тягач'!CT45+'MAN Blue KA1783HI'!CE45+'MAN green KA2790IE'!CE45+'MAN №3 white KA7837HO'!CE45+'MAN №4 white KA3597HO'!CE45+'MAN №5 Тент МД'!BU45</f>
        <v>0</v>
      </c>
      <c r="CU45" s="3274">
        <f>ЦО_логистика!BV45+'Форд Тягач'!CU45+'MAN Blue KA1783HI'!CF45+'MAN green KA2790IE'!CF45+'MAN №3 white KA7837HO'!CF45+'MAN №4 white KA3597HO'!CF45+'MAN №5 Тент МД'!BV45</f>
        <v>0</v>
      </c>
      <c r="CV45" s="2028">
        <f t="shared" si="94"/>
        <v>0</v>
      </c>
      <c r="CW45" s="3284">
        <f t="shared" si="71"/>
        <v>0</v>
      </c>
      <c r="CX45" s="3295"/>
      <c r="CY45" s="3274">
        <f>ЦО_логистика!BZ45+'Форд Тягач'!CY45+'MAN Blue KA1783HI'!CJ45+'MAN green KA2790IE'!CJ45+'MAN №3 white KA7837HO'!CJ45+'MAN №4 white KA3597HO'!CJ45+'MAN №5 Тент МД'!BZ45</f>
        <v>0</v>
      </c>
      <c r="CZ45" s="3274">
        <f>ЦО_логистика!CA45+'Форд Тягач'!CZ45+'MAN Blue KA1783HI'!CK45+'MAN green KA2790IE'!CK45+'MAN №3 white KA7837HO'!CK45+'MAN №4 white KA3597HO'!CK45+'MAN №5 Тент МД'!CA45</f>
        <v>0</v>
      </c>
      <c r="DA45" s="2028">
        <f t="shared" si="95"/>
        <v>0</v>
      </c>
      <c r="DB45" s="3284">
        <f t="shared" si="72"/>
        <v>0</v>
      </c>
      <c r="DC45" s="3295"/>
      <c r="DD45" s="3274">
        <f>ЦО_логистика!CE45+'Форд Тягач'!DD45+'MAN Blue KA1783HI'!CO45+'MAN green KA2790IE'!CO45+'MAN №3 white KA7837HO'!CO45+'MAN №4 white KA3597HO'!CO45+'MAN №5 Тент МД'!CE45</f>
        <v>0</v>
      </c>
      <c r="DE45" s="3274">
        <f>ЦО_логистика!CF45+'Форд Тягач'!DE45+'MAN Blue KA1783HI'!CP45+'MAN green KA2790IE'!CP45+'MAN №3 white KA7837HO'!CP45+'MAN №4 white KA3597HO'!CP45+'MAN №5 Тент МД'!CF45</f>
        <v>0</v>
      </c>
      <c r="DF45" s="2028">
        <f t="shared" si="96"/>
        <v>0</v>
      </c>
      <c r="DG45" s="3284">
        <f t="shared" si="73"/>
        <v>0</v>
      </c>
      <c r="DH45" s="3295"/>
      <c r="DI45" s="3274">
        <f>ЦО_логистика!CJ45+'Форд Тягач'!DI45+'MAN Blue KA1783HI'!CT45+'MAN green KA2790IE'!CT45+'MAN №3 white KA7837HO'!CT45+'MAN №4 white KA3597HO'!CT45+'MAN №5 Тент МД'!CJ45</f>
        <v>0</v>
      </c>
      <c r="DJ45" s="3274">
        <f>ЦО_логистика!CK45+'Форд Тягач'!DJ45+'MAN Blue KA1783HI'!CU45+'MAN green KA2790IE'!CU45+'MAN №3 white KA7837HO'!CU45+'MAN №4 white KA3597HO'!CU45+'MAN №5 Тент МД'!CK45</f>
        <v>0</v>
      </c>
      <c r="DK45" s="2028">
        <f t="shared" si="97"/>
        <v>0</v>
      </c>
      <c r="DL45" s="3284">
        <f t="shared" si="74"/>
        <v>0</v>
      </c>
      <c r="DM45" s="3295"/>
      <c r="DN45" s="3288">
        <f t="shared" si="98"/>
        <v>7532.5</v>
      </c>
      <c r="DO45" s="3288">
        <f t="shared" si="98"/>
        <v>0</v>
      </c>
      <c r="DP45" s="2028">
        <f t="shared" si="99"/>
        <v>7532.5</v>
      </c>
      <c r="DQ45" s="3284">
        <f t="shared" si="75"/>
        <v>2.8509449663425993E-4</v>
      </c>
      <c r="DR45" s="3275"/>
      <c r="DS45" s="916"/>
      <c r="DT45" s="916"/>
    </row>
    <row r="46" spans="1:124" ht="13.8" x14ac:dyDescent="0.25">
      <c r="A46" s="4015"/>
      <c r="B46" s="3319" t="s">
        <v>29</v>
      </c>
      <c r="C46" s="3274">
        <v>0</v>
      </c>
      <c r="D46" s="3274">
        <v>0</v>
      </c>
      <c r="E46" s="2028">
        <v>0</v>
      </c>
      <c r="F46" s="3284">
        <v>0</v>
      </c>
      <c r="G46" s="3295"/>
      <c r="H46" s="3274">
        <v>0</v>
      </c>
      <c r="I46" s="3274">
        <v>0</v>
      </c>
      <c r="J46" s="2028">
        <v>0</v>
      </c>
      <c r="K46" s="3284">
        <v>0</v>
      </c>
      <c r="L46" s="3295">
        <v>0</v>
      </c>
      <c r="M46" s="3274">
        <v>0</v>
      </c>
      <c r="N46" s="3274">
        <v>0</v>
      </c>
      <c r="O46" s="2028">
        <v>0</v>
      </c>
      <c r="P46" s="3284">
        <v>0</v>
      </c>
      <c r="Q46" s="3295">
        <v>0</v>
      </c>
      <c r="R46" s="3274">
        <v>484.5</v>
      </c>
      <c r="S46" s="3274">
        <f>'Форд Тягач'!S46+'MAN Blue KA1783HI'!D46+'MAN green KA2790IE'!D46+'MAN №3 white KA7837HO'!D46+'MAN №4 white KA3597HO'!D46</f>
        <v>0</v>
      </c>
      <c r="T46" s="2028">
        <f t="shared" si="76"/>
        <v>484.5</v>
      </c>
      <c r="U46" s="3284">
        <f t="shared" si="61"/>
        <v>3.7067356886603183E-4</v>
      </c>
      <c r="V46" s="3295">
        <v>0.5</v>
      </c>
      <c r="W46" s="3274">
        <f>'Форд Тягач'!W46+'MAN Blue KA1783HI'!H46+'MAN green KA2790IE'!H46+'MAN №3 white KA7837HO'!H46+'MAN №4 white KA3597HO'!H46</f>
        <v>0</v>
      </c>
      <c r="X46" s="3274">
        <f>'Форд Тягач'!X46+'MAN Blue KA1783HI'!I46+'MAN green KA2790IE'!I46+'MAN №3 white KA7837HO'!I46+'MAN №4 white KA3597HO'!I46</f>
        <v>0</v>
      </c>
      <c r="Y46" s="2028">
        <f t="shared" si="77"/>
        <v>0</v>
      </c>
      <c r="Z46" s="3284">
        <f t="shared" si="62"/>
        <v>0</v>
      </c>
      <c r="AA46" s="3295"/>
      <c r="AB46" s="3274">
        <f>ЦО_логистика!C46+'Форд Тягач'!AB46+'MAN Blue KA1783HI'!M46+'MAN green KA2790IE'!M46+'MAN №3 white KA7837HO'!M46+'MAN №4 white KA3597HO'!M46+'MAN №5 Тент МД'!C46</f>
        <v>0</v>
      </c>
      <c r="AC46" s="3274">
        <f>ЦО_логистика!D46+'Форд Тягач'!AC46+'MAN Blue KA1783HI'!N46+'MAN green KA2790IE'!N46+'MAN №3 white KA7837HO'!N46+'MAN №4 white KA3597HO'!N46+'MAN №5 Тент МД'!D46</f>
        <v>0</v>
      </c>
      <c r="AD46" s="2028">
        <f t="shared" si="78"/>
        <v>0</v>
      </c>
      <c r="AE46" s="3284">
        <f t="shared" si="2"/>
        <v>0</v>
      </c>
      <c r="AF46" s="3295"/>
      <c r="AG46" s="3274">
        <f>ЦО_логистика!H46+'Форд Тягач'!AG46+'MAN Blue KA1783HI'!R46+'MAN green KA2790IE'!R46+'MAN №3 white KA7837HO'!R46+'MAN №4 white KA3597HO'!R46+'MAN №5 Тент МД'!H46</f>
        <v>507.81</v>
      </c>
      <c r="AH46" s="3274">
        <f>ЦО_логистика!I46+'Форд Тягач'!AH46+'MAN Blue KA1783HI'!S46+'MAN green KA2790IE'!S46+'MAN №3 white KA7837HO'!S46+'MAN №4 white KA3597HO'!S46+'MAN №5 Тент МД'!I46</f>
        <v>0</v>
      </c>
      <c r="AI46" s="2028">
        <f t="shared" si="79"/>
        <v>507.81</v>
      </c>
      <c r="AJ46" s="3284">
        <f t="shared" si="55"/>
        <v>3.9728577360532698E-4</v>
      </c>
      <c r="AK46" s="3275" t="s">
        <v>1321</v>
      </c>
      <c r="AL46" s="3274">
        <f>ЦО_логистика!M46+'Форд Тягач'!AL46+'MAN Blue KA1783HI'!W46+'MAN green KA2790IE'!W46+'MAN №3 white KA7837HO'!W46+'MAN №4 white KA3597HO'!W46+'MAN №5 Тент МД'!M46</f>
        <v>462.82</v>
      </c>
      <c r="AM46" s="3274">
        <f>ЦО_логистика!N46+'Форд Тягач'!AM46+'MAN Blue KA1783HI'!X46+'MAN green KA2790IE'!X46+'MAN №3 white KA7837HO'!X46+'MAN №4 white KA3597HO'!X46+'MAN №5 Тент МД'!N46</f>
        <v>0</v>
      </c>
      <c r="AN46" s="2028">
        <f t="shared" si="80"/>
        <v>462.82</v>
      </c>
      <c r="AO46" s="3284">
        <f t="shared" si="56"/>
        <v>3.6208779216639577E-4</v>
      </c>
      <c r="AP46" s="3425" t="str">
        <f>CONCATENATE(ЦО_логистика!Q46,'Форд Тягач'!AP46,'MAN Blue KA1783HI'!AA46,'MAN green KA2790IE'!AA46,'MAN №3 white KA7837HO'!AF46,'MAN №4 white KA3597HO'!AA46,'MAN №5 Тент МД'!Q46)</f>
        <v/>
      </c>
      <c r="AQ46" s="3274">
        <f>SUM(ЦО_логистика!R46,'Форд Тягач'!AQ46,'MAN Blue KA1783HI'!AB46,'MAN green KA2790IE'!AB46,'MAN №3 white KA7837HO'!AB46,'MAN №4 white KA3597HO'!AB46,'MAN №5 Тент МД'!R46)</f>
        <v>496.11</v>
      </c>
      <c r="AR46" s="3274">
        <f>SUM(ЦО_логистика!S46,'Форд Тягач'!AR46,'MAN Blue KA1783HI'!AC46,'MAN green KA2790IE'!AC46,'MAN №3 white KA7837HO'!AC46,'MAN №4 white KA3597HO'!AC46,'MAN №5 Тент МД'!S46)</f>
        <v>0</v>
      </c>
      <c r="AS46" s="2028">
        <f t="shared" si="81"/>
        <v>496.11</v>
      </c>
      <c r="AT46" s="3284">
        <f t="shared" si="57"/>
        <v>3.8813226431802994E-4</v>
      </c>
      <c r="AU46" s="3425" t="str">
        <f>CONCATENATE(ЦО_логистика!V46,'Форд Тягач'!AU46,'MAN Blue KA1783HI'!AF45,'MAN green KA2790IE'!AF46,'MAN №3 white KA7837HO'!AF46,'MAN №4 white KA3597HO'!AF46,'MAN №5 Тент МД'!V46)</f>
        <v>0,5</v>
      </c>
      <c r="AV46" s="3275">
        <f>+ЦО_логистика!W46+'Форд Тягач'!AV46+'MAN Blue KA1783HI'!AG46+'MAN green KA2790IE'!AG46+'MAN №3 white KA7837HO'!AG46+'MAN №4 white KA3597HO'!AG46+'MAN №5 Тент МД'!W46</f>
        <v>1508.2</v>
      </c>
      <c r="AW46" s="3275">
        <f>+ЦО_логистика!X46+'Форд Тягач'!AW46+'MAN Blue KA1783HI'!AH46+'MAN green KA2790IE'!AH46+'MAN №3 white KA7837HO'!AH46+'MAN №4 white KA3597HO'!AH46+'MAN №5 Тент МД'!X46</f>
        <v>0</v>
      </c>
      <c r="AX46" s="2028">
        <f t="shared" si="82"/>
        <v>1508.2</v>
      </c>
      <c r="AY46" s="3284">
        <f t="shared" si="63"/>
        <v>1.1799421117180721E-3</v>
      </c>
      <c r="AZ46" s="3275"/>
      <c r="BA46" s="3275">
        <f t="shared" si="83"/>
        <v>0</v>
      </c>
      <c r="BB46" s="3275">
        <f t="shared" si="83"/>
        <v>0</v>
      </c>
      <c r="BC46" s="2028">
        <f t="shared" si="84"/>
        <v>0</v>
      </c>
      <c r="BD46" s="3284">
        <f t="shared" si="64"/>
        <v>0</v>
      </c>
      <c r="BE46" s="3275">
        <f>ЦО_логистика!AD46+'Форд Тягач'!BC46+'MAN Blue KA1783HI'!AN46+'MAN green KA2790IE'!AN46+'MAN №3 white KA7837HO'!AN46+'MAN №4 white KA3597HO'!AN46+'MAN №5 Тент МД'!AD46-BC46</f>
        <v>0</v>
      </c>
      <c r="BF46" s="3274">
        <f>ЦО_логистика!AG46+'Форд Тягач'!BF46+'MAN Blue KA1783HI'!AQ46+'MAN green KA2790IE'!AQ46+'MAN №3 white KA7837HO'!AQ46+'MAN №4 white KA3597HO'!AQ46+'MAN №5 Тент МД'!AG46</f>
        <v>0</v>
      </c>
      <c r="BG46" s="3274">
        <f>ЦО_логистика!AH46+'Форд Тягач'!BG46+'MAN Blue KA1783HI'!AR46+'MAN green KA2790IE'!AR46+'MAN №3 white KA7837HO'!AR46+'MAN №4 white KA3597HO'!AR46+'MAN №5 Тент МД'!AH46</f>
        <v>0</v>
      </c>
      <c r="BH46" s="2028">
        <f t="shared" si="85"/>
        <v>0</v>
      </c>
      <c r="BI46" s="3284">
        <f t="shared" si="60"/>
        <v>0</v>
      </c>
      <c r="BJ46" s="3275"/>
      <c r="BK46" s="3275">
        <f>ЦО_логистика!AL46+'Форд Тягач'!BK46+'MAN Blue KA1783HI'!AV46+'MAN green KA2790IE'!AV46+'MAN №3 white KA7837HO'!AV46+'MAN №4 white KA3597HO'!AV46+'MAN №5 Тент МД'!AL46</f>
        <v>0</v>
      </c>
      <c r="BL46" s="3275">
        <f>ЦО_логистика!AM46+'Форд Тягач'!BL46+'MAN Blue KA1783HI'!AW46+'MAN green KA2790IE'!AW46+'MAN №3 white KA7837HO'!AW46+'MAN №4 white KA3597HO'!AW46+'MAN №5 Тент МД'!AM46</f>
        <v>0</v>
      </c>
      <c r="BM46" s="2028">
        <f t="shared" si="86"/>
        <v>0</v>
      </c>
      <c r="BN46" s="3284">
        <f t="shared" si="87"/>
        <v>0</v>
      </c>
      <c r="BO46" s="3275"/>
      <c r="BP46" s="3274">
        <f>ЦО_логистика!AQ46+'Форд Тягач'!BP46+'MAN Blue KA1783HI'!BA46+'MAN green KA2790IE'!BA46+'MAN №3 white KA7837HO'!BA46+'MAN №4 white KA3597HO'!BA46+'MAN №5 Тент МД'!AQ46</f>
        <v>0</v>
      </c>
      <c r="BQ46" s="3274">
        <f>ЦО_логистика!AR46+'Форд Тягач'!BQ46+'MAN Blue KA1783HI'!BB46+'MAN green KA2790IE'!BB46+'MAN №3 white KA7837HO'!BB46+'MAN №4 white KA3597HO'!BB46+'MAN №5 Тент МД'!AR46</f>
        <v>0</v>
      </c>
      <c r="BR46" s="2028">
        <f t="shared" si="88"/>
        <v>0</v>
      </c>
      <c r="BS46" s="3284">
        <f t="shared" si="65"/>
        <v>0</v>
      </c>
      <c r="BT46" s="3295"/>
      <c r="BU46" s="3274">
        <f>ЦО_логистика!AV46+'Форд Тягач'!BU46+'MAN Blue KA1783HI'!BF46+'MAN green KA2790IE'!BF46+'MAN №3 white KA7837HO'!BF46+'MAN №4 white KA3597HO'!BF46+'MAN №5 Тент МД'!AV46</f>
        <v>0</v>
      </c>
      <c r="BV46" s="3274">
        <f>ЦО_логистика!AW46+'Форд Тягач'!BV46+'MAN Blue KA1783HI'!BG46+'MAN green KA2790IE'!BG46+'MAN №3 white KA7837HO'!BG46+'MAN №4 white KA3597HO'!BG46+'MAN №5 Тент МД'!AW46</f>
        <v>0</v>
      </c>
      <c r="BW46" s="2028">
        <f t="shared" si="89"/>
        <v>0</v>
      </c>
      <c r="BX46" s="3284">
        <f t="shared" si="66"/>
        <v>0</v>
      </c>
      <c r="BY46" s="3295"/>
      <c r="BZ46" s="3274">
        <f>ЦО_логистика!BA46+'Форд Тягач'!BZ46+'MAN Blue KA1783HI'!BK46+'MAN green KA2790IE'!BK46+'MAN №3 white KA7837HO'!BK46+'MAN №4 white KA3597HO'!BK46+'MAN №5 Тент МД'!BA46</f>
        <v>0</v>
      </c>
      <c r="CA46" s="3274">
        <f>ЦО_логистика!BB46+'Форд Тягач'!CA46+'MAN Blue KA1783HI'!BL46+'MAN green KA2790IE'!BL46+'MAN №3 white KA7837HO'!BL46+'MAN №4 white KA3597HO'!BL46+'MAN №5 Тент МД'!BB46</f>
        <v>0</v>
      </c>
      <c r="CB46" s="2028">
        <f t="shared" si="90"/>
        <v>0</v>
      </c>
      <c r="CC46" s="3284">
        <f t="shared" si="67"/>
        <v>0</v>
      </c>
      <c r="CD46" s="3295"/>
      <c r="CE46" s="3274">
        <f>ЦО_логистика!BF46+'Форд Тягач'!CE46+'MAN Blue KA1783HI'!BP46+'MAN green KA2790IE'!BP46+'MAN №3 white KA7837HO'!BP46+'MAN №4 white KA3597HO'!BP46+'MAN №5 Тент МД'!BF46</f>
        <v>0</v>
      </c>
      <c r="CF46" s="3274">
        <f>ЦО_логистика!BG46+'Форд Тягач'!CF46+'MAN Blue KA1783HI'!BQ46+'MAN green KA2790IE'!BQ46+'MAN №3 white KA7837HO'!BQ46+'MAN №4 white KA3597HO'!BQ46+'MAN №5 Тент МД'!BG46</f>
        <v>0</v>
      </c>
      <c r="CG46" s="2028">
        <f t="shared" si="91"/>
        <v>0</v>
      </c>
      <c r="CH46" s="3284">
        <f t="shared" si="68"/>
        <v>0</v>
      </c>
      <c r="CI46" s="3295"/>
      <c r="CJ46" s="3274">
        <f>ЦО_логистика!BK46+'Форд Тягач'!CJ46+'MAN Blue KA1783HI'!BU46+'MAN green KA2790IE'!BU46+'MAN №3 white KA7837HO'!BU46+'MAN №4 white KA3597HO'!BU46+'MAN №5 Тент МД'!BK46</f>
        <v>0</v>
      </c>
      <c r="CK46" s="3274">
        <f>ЦО_логистика!BL46+'Форд Тягач'!CK46+'MAN Blue KA1783HI'!BV46+'MAN green KA2790IE'!BV46+'MAN №3 white KA7837HO'!BV46+'MAN №4 white KA3597HO'!BV46+'MAN №5 Тент МД'!BL46</f>
        <v>0</v>
      </c>
      <c r="CL46" s="2028">
        <f t="shared" si="92"/>
        <v>0</v>
      </c>
      <c r="CM46" s="3284">
        <f t="shared" si="69"/>
        <v>0</v>
      </c>
      <c r="CN46" s="3295"/>
      <c r="CO46" s="3274">
        <f>ЦО_логистика!BP46+'Форд Тягач'!CO46+'MAN Blue KA1783HI'!BZ46+'MAN green KA2790IE'!BZ46+'MAN №3 white KA7837HO'!BZ46+'MAN №4 white KA3597HO'!BZ46+'MAN №5 Тент МД'!BP46</f>
        <v>0</v>
      </c>
      <c r="CP46" s="3274">
        <f>ЦО_логистика!BQ46+'Форд Тягач'!CP46+'MAN Blue KA1783HI'!CA46+'MAN green KA2790IE'!CA46+'MAN №3 white KA7837HO'!CA46+'MAN №4 white KA3597HO'!CA46+'MAN №5 Тент МД'!BQ46</f>
        <v>0</v>
      </c>
      <c r="CQ46" s="2028">
        <f t="shared" si="93"/>
        <v>0</v>
      </c>
      <c r="CR46" s="3284">
        <f t="shared" si="70"/>
        <v>0</v>
      </c>
      <c r="CS46" s="3295"/>
      <c r="CT46" s="3274">
        <f>ЦО_логистика!BU46+'Форд Тягач'!CT46+'MAN Blue KA1783HI'!CE46+'MAN green KA2790IE'!CE46+'MAN №3 white KA7837HO'!CE46+'MAN №4 white KA3597HO'!CE46+'MAN №5 Тент МД'!BU46</f>
        <v>0</v>
      </c>
      <c r="CU46" s="3274">
        <f>ЦО_логистика!BV46+'Форд Тягач'!CU46+'MAN Blue KA1783HI'!CF46+'MAN green KA2790IE'!CF46+'MAN №3 white KA7837HO'!CF46+'MAN №4 white KA3597HO'!CF46+'MAN №5 Тент МД'!BV46</f>
        <v>0</v>
      </c>
      <c r="CV46" s="2028">
        <f t="shared" si="94"/>
        <v>0</v>
      </c>
      <c r="CW46" s="3284">
        <f t="shared" si="71"/>
        <v>0</v>
      </c>
      <c r="CX46" s="3295"/>
      <c r="CY46" s="3274">
        <f>ЦО_логистика!BZ46+'Форд Тягач'!CY46+'MAN Blue KA1783HI'!CJ46+'MAN green KA2790IE'!CJ46+'MAN №3 white KA7837HO'!CJ46+'MAN №4 white KA3597HO'!CJ46+'MAN №5 Тент МД'!BZ46</f>
        <v>0</v>
      </c>
      <c r="CZ46" s="3274">
        <f>ЦО_логистика!CA46+'Форд Тягач'!CZ46+'MAN Blue KA1783HI'!CK46+'MAN green KA2790IE'!CK46+'MAN №3 white KA7837HO'!CK46+'MAN №4 white KA3597HO'!CK46+'MAN №5 Тент МД'!CA46</f>
        <v>0</v>
      </c>
      <c r="DA46" s="2028">
        <f t="shared" si="95"/>
        <v>0</v>
      </c>
      <c r="DB46" s="3284">
        <f t="shared" si="72"/>
        <v>0</v>
      </c>
      <c r="DC46" s="3295"/>
      <c r="DD46" s="3274">
        <f>ЦО_логистика!CE46+'Форд Тягач'!DD46+'MAN Blue KA1783HI'!CO46+'MAN green KA2790IE'!CO46+'MAN №3 white KA7837HO'!CO46+'MAN №4 white KA3597HO'!CO46+'MAN №5 Тент МД'!CE46</f>
        <v>0</v>
      </c>
      <c r="DE46" s="3274">
        <f>ЦО_логистика!CF46+'Форд Тягач'!DE46+'MAN Blue KA1783HI'!CP46+'MAN green KA2790IE'!CP46+'MAN №3 white KA7837HO'!CP46+'MAN №4 white KA3597HO'!CP46+'MAN №5 Тент МД'!CF46</f>
        <v>0</v>
      </c>
      <c r="DF46" s="2028">
        <f t="shared" si="96"/>
        <v>0</v>
      </c>
      <c r="DG46" s="3284">
        <f t="shared" si="73"/>
        <v>0</v>
      </c>
      <c r="DH46" s="3295"/>
      <c r="DI46" s="3274">
        <f>ЦО_логистика!CJ46+'Форд Тягач'!DI46+'MAN Blue KA1783HI'!CT46+'MAN green KA2790IE'!CT46+'MAN №3 white KA7837HO'!CT46+'MAN №4 white KA3597HO'!CT46+'MAN №5 Тент МД'!CJ46</f>
        <v>0</v>
      </c>
      <c r="DJ46" s="3274">
        <f>ЦО_логистика!CK46+'Форд Тягач'!DJ46+'MAN Blue KA1783HI'!CU46+'MAN green KA2790IE'!CU46+'MAN №3 white KA7837HO'!CU46+'MAN №4 white KA3597HO'!CU46+'MAN №5 Тент МД'!CK46</f>
        <v>0</v>
      </c>
      <c r="DK46" s="2028">
        <f t="shared" si="97"/>
        <v>0</v>
      </c>
      <c r="DL46" s="3284">
        <f t="shared" si="74"/>
        <v>0</v>
      </c>
      <c r="DM46" s="3295"/>
      <c r="DN46" s="3288">
        <f t="shared" si="98"/>
        <v>3459.4399999999996</v>
      </c>
      <c r="DO46" s="3288">
        <f t="shared" si="98"/>
        <v>0</v>
      </c>
      <c r="DP46" s="2028">
        <f t="shared" si="99"/>
        <v>3459.4399999999996</v>
      </c>
      <c r="DQ46" s="3284">
        <f t="shared" si="75"/>
        <v>1.3093492272637556E-4</v>
      </c>
      <c r="DR46" s="3275"/>
      <c r="DS46" s="916"/>
      <c r="DT46" s="916"/>
    </row>
    <row r="47" spans="1:124" ht="13.8" x14ac:dyDescent="0.25">
      <c r="A47" s="4015"/>
      <c r="B47" s="3319" t="s">
        <v>30</v>
      </c>
      <c r="C47" s="3274">
        <v>0</v>
      </c>
      <c r="D47" s="3274">
        <v>47</v>
      </c>
      <c r="E47" s="2028">
        <v>47</v>
      </c>
      <c r="F47" s="3284">
        <v>7.5168943778745838E-5</v>
      </c>
      <c r="G47" s="3295"/>
      <c r="H47" s="3274">
        <v>0</v>
      </c>
      <c r="I47" s="3274">
        <v>0</v>
      </c>
      <c r="J47" s="2028">
        <v>0</v>
      </c>
      <c r="K47" s="3284">
        <v>0</v>
      </c>
      <c r="L47" s="3295">
        <v>0</v>
      </c>
      <c r="M47" s="3274">
        <v>0</v>
      </c>
      <c r="N47" s="3274">
        <v>0</v>
      </c>
      <c r="O47" s="2028">
        <v>0</v>
      </c>
      <c r="P47" s="3284">
        <v>0</v>
      </c>
      <c r="Q47" s="3295">
        <v>0</v>
      </c>
      <c r="R47" s="3274">
        <v>405.09</v>
      </c>
      <c r="S47" s="3274">
        <f>'Форд Тягач'!S47+'MAN Blue KA1783HI'!D47+'MAN green KA2790IE'!D47+'MAN №3 white KA7837HO'!D47+'MAN №4 white KA3597HO'!D47</f>
        <v>0</v>
      </c>
      <c r="T47" s="2028">
        <f t="shared" si="76"/>
        <v>405.09</v>
      </c>
      <c r="U47" s="3284">
        <f t="shared" si="61"/>
        <v>3.0991982665003269E-4</v>
      </c>
      <c r="V47" s="3295" t="s">
        <v>1112</v>
      </c>
      <c r="W47" s="3274">
        <f>'Форд Тягач'!W47+'MAN Blue KA1783HI'!H47+'MAN green KA2790IE'!H47+'MAN №3 white KA7837HO'!H47+'MAN №4 white KA3597HO'!H47+1705.24</f>
        <v>1705.24</v>
      </c>
      <c r="X47" s="3274">
        <f>'Форд Тягач'!X47+'MAN Blue KA1783HI'!I47+'MAN green KA2790IE'!I47+'MAN №3 white KA7837HO'!I47+'MAN №4 white KA3597HO'!I47</f>
        <v>0</v>
      </c>
      <c r="Y47" s="2028">
        <f t="shared" si="77"/>
        <v>1705.24</v>
      </c>
      <c r="Z47" s="3284">
        <f t="shared" si="62"/>
        <v>1.3046179495833068E-3</v>
      </c>
      <c r="AA47" s="3421" t="s">
        <v>486</v>
      </c>
      <c r="AB47" s="3274">
        <f>ЦО_логистика!C47+'Форд Тягач'!AB47+'MAN Blue KA1783HI'!M47+'MAN green KA2790IE'!M47+'MAN №3 white KA7837HO'!M47+'MAN №4 white KA3597HO'!M47+'MAN №5 Тент МД'!C47</f>
        <v>1948.23</v>
      </c>
      <c r="AC47" s="3274">
        <f>ЦО_логистика!D47+'Форд Тягач'!AC47+'MAN Blue KA1783HI'!N47+'MAN green KA2790IE'!N47+'MAN №3 white KA7837HO'!N47+'MAN №4 white KA3597HO'!N47+'MAN №5 Тент МД'!D47</f>
        <v>115</v>
      </c>
      <c r="AD47" s="2028">
        <f t="shared" si="78"/>
        <v>2063.23</v>
      </c>
      <c r="AE47" s="3284">
        <f t="shared" si="2"/>
        <v>1.6141705099854645E-3</v>
      </c>
      <c r="AF47" s="3295"/>
      <c r="AG47" s="3274">
        <f>ЦО_логистика!H47+'Форд Тягач'!AG47+'MAN Blue KA1783HI'!R47+'MAN green KA2790IE'!R47+'MAN №3 white KA7837HO'!R47+'MAN №4 white KA3597HO'!R47+'MAN №5 Тент МД'!H47</f>
        <v>1243.1400000000001</v>
      </c>
      <c r="AH47" s="3274">
        <f>ЦО_логистика!I47+'Форд Тягач'!AH47+'MAN Blue KA1783HI'!S47+'MAN green KA2790IE'!S47+'MAN №3 white KA7837HO'!S47+'MAN №4 white KA3597HO'!S47+'MAN №5 Тент МД'!I47</f>
        <v>0</v>
      </c>
      <c r="AI47" s="2028">
        <f t="shared" si="79"/>
        <v>1243.1400000000001</v>
      </c>
      <c r="AJ47" s="3284">
        <f t="shared" si="55"/>
        <v>9.7257209704363094E-4</v>
      </c>
      <c r="AK47" s="3275"/>
      <c r="AL47" s="3274">
        <f>ЦО_логистика!M47+'Форд Тягач'!AL47+'MAN Blue KA1783HI'!W47+'MAN green KA2790IE'!W47+'MAN №3 white KA7837HO'!W47+'MAN №4 white KA3597HO'!W47+'MAN №5 Тент МД'!M47</f>
        <v>1636.1</v>
      </c>
      <c r="AM47" s="3274">
        <f>ЦО_логистика!N47+'Форд Тягач'!AM47+'MAN Blue KA1783HI'!X47+'MAN green KA2790IE'!X47+'MAN №3 white KA7837HO'!X47+'MAN №4 white KA3597HO'!X47+'MAN №5 Тент МД'!N47</f>
        <v>0</v>
      </c>
      <c r="AN47" s="2028">
        <f t="shared" si="80"/>
        <v>1636.1</v>
      </c>
      <c r="AO47" s="3284">
        <f t="shared" si="56"/>
        <v>1.2800048329014305E-3</v>
      </c>
      <c r="AP47" s="3425" t="str">
        <f>CONCATENATE(ЦО_логистика!Q47,'Форд Тягач'!AP47,'MAN Blue KA1783HI'!AA47,'MAN green KA2790IE'!AA47,'MAN №3 white KA7837HO'!AF47,'MAN №4 white KA3597HO'!AA47,'MAN №5 Тент МД'!Q47)</f>
        <v>НП</v>
      </c>
      <c r="AQ47" s="3274">
        <f>SUM(ЦО_логистика!R47,'Форд Тягач'!AQ47,'MAN Blue KA1783HI'!AB47,'MAN green KA2790IE'!AB47,'MAN №3 white KA7837HO'!AB47,'MAN №4 white KA3597HO'!AB47,'MAN №5 Тент МД'!R47)</f>
        <v>1501.13</v>
      </c>
      <c r="AR47" s="3274">
        <f>SUM(ЦО_логистика!S47,'Форд Тягач'!AR47,'MAN Blue KA1783HI'!AC47,'MAN green KA2790IE'!AC47,'MAN №3 white KA7837HO'!AC47,'MAN №4 white KA3597HO'!AC47,'MAN №5 Тент МД'!S47)</f>
        <v>130</v>
      </c>
      <c r="AS47" s="2028">
        <f t="shared" si="81"/>
        <v>1631.13</v>
      </c>
      <c r="AT47" s="3284">
        <f t="shared" si="57"/>
        <v>1.2761165473323822E-3</v>
      </c>
      <c r="AU47" s="3425" t="str">
        <f>CONCATENATE(ЦО_логистика!V47,'Форд Тягач'!AU47,'MAN Blue KA1783HI'!AF46,'MAN green KA2790IE'!AF47,'MAN №3 white KA7837HO'!AF47,'MAN №4 white KA3597HO'!AF47,'MAN №5 Тент МД'!V47)</f>
        <v>НП</v>
      </c>
      <c r="AV47" s="3275">
        <f>+ЦО_логистика!W47+'Форд Тягач'!AV47+'MAN Blue KA1783HI'!AG47+'MAN green KA2790IE'!AG47+'MAN №3 white KA7837HO'!AG47+'MAN №4 white KA3597HO'!AG47+'MAN №5 Тент МД'!W47</f>
        <v>16599.18</v>
      </c>
      <c r="AW47" s="3275">
        <f>+ЦО_логистика!X47+'Форд Тягач'!AW47+'MAN Blue KA1783HI'!AH47+'MAN green KA2790IE'!AH47+'MAN №3 white KA7837HO'!AH47+'MAN №4 white KA3597HO'!AH47+'MAN №5 Тент МД'!X47</f>
        <v>365</v>
      </c>
      <c r="AX47" s="2028">
        <f t="shared" si="82"/>
        <v>16964.18</v>
      </c>
      <c r="AY47" s="3284">
        <f t="shared" si="63"/>
        <v>1.3271946938579421E-2</v>
      </c>
      <c r="AZ47" s="3275"/>
      <c r="BA47" s="3275">
        <f t="shared" si="83"/>
        <v>1995.0650000000001</v>
      </c>
      <c r="BB47" s="3275">
        <f t="shared" si="83"/>
        <v>126</v>
      </c>
      <c r="BC47" s="2028">
        <f t="shared" si="84"/>
        <v>2121.0650000000001</v>
      </c>
      <c r="BD47" s="3284">
        <f t="shared" si="64"/>
        <v>1.6594177928598941E-3</v>
      </c>
      <c r="BE47" s="3275">
        <f>ЦО_логистика!AD47+'Форд Тягач'!BC47+'MAN Blue KA1783HI'!AN47+'MAN green KA2790IE'!AN47+'MAN №3 white KA7837HO'!AN47+'MAN №4 white KA3597HO'!AN47+'MAN №5 Тент МД'!AD47-BC47</f>
        <v>0</v>
      </c>
      <c r="BF47" s="3274">
        <f>ЦО_логистика!AG47+'Форд Тягач'!BF47+'MAN Blue KA1783HI'!AQ47+'MAN green KA2790IE'!AQ47+'MAN №3 white KA7837HO'!AQ47+'MAN №4 white KA3597HO'!AQ47+'MAN №5 Тент МД'!AG47</f>
        <v>964.96</v>
      </c>
      <c r="BG47" s="3274">
        <f>ЦО_логистика!AH47+'Форд Тягач'!BG47+'MAN Blue KA1783HI'!AR47+'MAN green KA2790IE'!AR47+'MAN №3 white KA7837HO'!AR47+'MAN №4 white KA3597HO'!AR47+'MAN №5 Тент МД'!AH47</f>
        <v>0</v>
      </c>
      <c r="BH47" s="2028">
        <f t="shared" si="85"/>
        <v>964.96</v>
      </c>
      <c r="BI47" s="3284">
        <f t="shared" si="60"/>
        <v>7.5493763434787882E-4</v>
      </c>
      <c r="BJ47" s="3275"/>
      <c r="BK47" s="3275">
        <f>ЦО_логистика!AL47+'Форд Тягач'!BK47+'MAN Blue KA1783HI'!AV47+'MAN green KA2790IE'!AV47+'MAN №3 white KA7837HO'!AV47+'MAN №4 white KA3597HO'!AV47+'MAN №5 Тент МД'!AL47</f>
        <v>730.10500000000002</v>
      </c>
      <c r="BL47" s="3275">
        <f>ЦО_логистика!AM47+'Форд Тягач'!BL47+'MAN Blue KA1783HI'!AW47+'MAN green KA2790IE'!AW47+'MAN №3 white KA7837HO'!AW47+'MAN №4 white KA3597HO'!AW47+'MAN №5 Тент МД'!AM47</f>
        <v>126</v>
      </c>
      <c r="BM47" s="2028">
        <f t="shared" si="86"/>
        <v>856.10500000000002</v>
      </c>
      <c r="BN47" s="3284">
        <f t="shared" si="87"/>
        <v>6.697747921710649E-4</v>
      </c>
      <c r="BO47" s="3275"/>
      <c r="BP47" s="3274">
        <f>ЦО_логистика!AQ47+'Форд Тягач'!BP47+'MAN Blue KA1783HI'!BA47+'MAN green KA2790IE'!BA47+'MAN №3 white KA7837HO'!BA47+'MAN №4 white KA3597HO'!BA47+'MAN №5 Тент МД'!AQ47</f>
        <v>300</v>
      </c>
      <c r="BQ47" s="3274">
        <f>ЦО_логистика!AR47+'Форд Тягач'!BQ47+'MAN Blue KA1783HI'!BB47+'MAN green KA2790IE'!BB47+'MAN №3 white KA7837HO'!BB47+'MAN №4 white KA3597HO'!BB47+'MAN №5 Тент МД'!AR47</f>
        <v>0</v>
      </c>
      <c r="BR47" s="2028">
        <f t="shared" si="88"/>
        <v>300</v>
      </c>
      <c r="BS47" s="3284">
        <f t="shared" si="65"/>
        <v>2.3470536634095053E-4</v>
      </c>
      <c r="BT47" s="3295"/>
      <c r="BU47" s="3274">
        <f>ЦО_логистика!AV47+'Форд Тягач'!BU47+'MAN Blue KA1783HI'!BF47+'MAN green KA2790IE'!BF47+'MAN №3 white KA7837HO'!BF47+'MAN №4 white KA3597HO'!BF47+'MAN №5 Тент МД'!AV47</f>
        <v>0</v>
      </c>
      <c r="BV47" s="3274">
        <f>ЦО_логистика!AW47+'Форд Тягач'!BV47+'MAN Blue KA1783HI'!BG47+'MAN green KA2790IE'!BG47+'MAN №3 white KA7837HO'!BG47+'MAN №4 white KA3597HO'!BG47+'MAN №5 Тент МД'!AW47</f>
        <v>0</v>
      </c>
      <c r="BW47" s="2028">
        <f t="shared" si="89"/>
        <v>0</v>
      </c>
      <c r="BX47" s="3284">
        <f t="shared" si="66"/>
        <v>0</v>
      </c>
      <c r="BY47" s="3295"/>
      <c r="BZ47" s="3274">
        <f>ЦО_логистика!BA47+'Форд Тягач'!BZ47+'MAN Blue KA1783HI'!BK47+'MAN green KA2790IE'!BK47+'MAN №3 white KA7837HO'!BK47+'MAN №4 white KA3597HO'!BK47+'MAN №5 Тент МД'!BA47</f>
        <v>0</v>
      </c>
      <c r="CA47" s="3274">
        <f>ЦО_логистика!BB47+'Форд Тягач'!CA47+'MAN Blue KA1783HI'!BL47+'MAN green KA2790IE'!BL47+'MAN №3 white KA7837HO'!BL47+'MAN №4 white KA3597HO'!BL47+'MAN №5 Тент МД'!BB47</f>
        <v>0</v>
      </c>
      <c r="CB47" s="2028">
        <f t="shared" si="90"/>
        <v>0</v>
      </c>
      <c r="CC47" s="3284">
        <f t="shared" si="67"/>
        <v>0</v>
      </c>
      <c r="CD47" s="3295"/>
      <c r="CE47" s="3274">
        <f>ЦО_логистика!BF47+'Форд Тягач'!CE47+'MAN Blue KA1783HI'!BP47+'MAN green KA2790IE'!BP47+'MAN №3 white KA7837HO'!BP47+'MAN №4 white KA3597HO'!BP47+'MAN №5 Тент МД'!BF47</f>
        <v>0</v>
      </c>
      <c r="CF47" s="3274">
        <f>ЦО_логистика!BG47+'Форд Тягач'!CF47+'MAN Blue KA1783HI'!BQ47+'MAN green KA2790IE'!BQ47+'MAN №3 white KA7837HO'!BQ47+'MAN №4 white KA3597HO'!BQ47+'MAN №5 Тент МД'!BG47</f>
        <v>0</v>
      </c>
      <c r="CG47" s="2028">
        <f t="shared" si="91"/>
        <v>0</v>
      </c>
      <c r="CH47" s="3284">
        <f t="shared" si="68"/>
        <v>0</v>
      </c>
      <c r="CI47" s="3295"/>
      <c r="CJ47" s="3274">
        <f>ЦО_логистика!BK47+'Форд Тягач'!CJ47+'MAN Blue KA1783HI'!BU47+'MAN green KA2790IE'!BU47+'MAN №3 white KA7837HO'!BU47+'MAN №4 white KA3597HO'!BU47+'MAN №5 Тент МД'!BK47</f>
        <v>0</v>
      </c>
      <c r="CK47" s="3274">
        <f>ЦО_логистика!BL47+'Форд Тягач'!CK47+'MAN Blue KA1783HI'!BV47+'MAN green KA2790IE'!BV47+'MAN №3 white KA7837HO'!BV47+'MAN №4 white KA3597HO'!BV47+'MAN №5 Тент МД'!BL47</f>
        <v>0</v>
      </c>
      <c r="CL47" s="2028">
        <f t="shared" si="92"/>
        <v>0</v>
      </c>
      <c r="CM47" s="3284">
        <f t="shared" si="69"/>
        <v>0</v>
      </c>
      <c r="CN47" s="3295"/>
      <c r="CO47" s="3274">
        <f>ЦО_логистика!BP47+'Форд Тягач'!CO47+'MAN Blue KA1783HI'!BZ47+'MAN green KA2790IE'!BZ47+'MAN №3 white KA7837HO'!BZ47+'MAN №4 white KA3597HO'!BZ47+'MAN №5 Тент МД'!BP47</f>
        <v>0</v>
      </c>
      <c r="CP47" s="3274">
        <f>ЦО_логистика!BQ47+'Форд Тягач'!CP47+'MAN Blue KA1783HI'!CA47+'MAN green KA2790IE'!CA47+'MAN №3 white KA7837HO'!CA47+'MAN №4 white KA3597HO'!CA47+'MAN №5 Тент МД'!BQ47</f>
        <v>0</v>
      </c>
      <c r="CQ47" s="2028">
        <f t="shared" si="93"/>
        <v>0</v>
      </c>
      <c r="CR47" s="3284">
        <f t="shared" si="70"/>
        <v>0</v>
      </c>
      <c r="CS47" s="3295"/>
      <c r="CT47" s="3274">
        <f>ЦО_логистика!BU47+'Форд Тягач'!CT47+'MAN Blue KA1783HI'!CE47+'MAN green KA2790IE'!CE47+'MAN №3 white KA7837HO'!CE47+'MAN №4 white KA3597HO'!CE47+'MAN №5 Тент МД'!BU47</f>
        <v>0</v>
      </c>
      <c r="CU47" s="3274">
        <f>ЦО_логистика!BV47+'Форд Тягач'!CU47+'MAN Blue KA1783HI'!CF47+'MAN green KA2790IE'!CF47+'MAN №3 white KA7837HO'!CF47+'MAN №4 white KA3597HO'!CF47+'MAN №5 Тент МД'!BV47</f>
        <v>0</v>
      </c>
      <c r="CV47" s="2028">
        <f t="shared" si="94"/>
        <v>0</v>
      </c>
      <c r="CW47" s="3284">
        <f t="shared" si="71"/>
        <v>0</v>
      </c>
      <c r="CX47" s="3295" t="s">
        <v>486</v>
      </c>
      <c r="CY47" s="3274">
        <f>ЦО_логистика!BZ47+'Форд Тягач'!CY47+'MAN Blue KA1783HI'!CJ47+'MAN green KA2790IE'!CJ47+'MAN №3 white KA7837HO'!CJ47+'MAN №4 white KA3597HO'!CJ47+'MAN №5 Тент МД'!BZ47</f>
        <v>0</v>
      </c>
      <c r="CZ47" s="3274">
        <f>ЦО_логистика!CA47+'Форд Тягач'!CZ47+'MAN Blue KA1783HI'!CK47+'MAN green KA2790IE'!CK47+'MAN №3 white KA7837HO'!CK47+'MAN №4 white KA3597HO'!CK47+'MAN №5 Тент МД'!CA47</f>
        <v>0</v>
      </c>
      <c r="DA47" s="2028">
        <f t="shared" si="95"/>
        <v>0</v>
      </c>
      <c r="DB47" s="3284">
        <f t="shared" si="72"/>
        <v>0</v>
      </c>
      <c r="DC47" s="3295"/>
      <c r="DD47" s="3274">
        <f>ЦО_логистика!CE47+'Форд Тягач'!DD47+'MAN Blue KA1783HI'!CO47+'MAN green KA2790IE'!CO47+'MAN №3 white KA7837HO'!CO47+'MAN №4 white KA3597HO'!CO47+'MAN №5 Тент МД'!CE47</f>
        <v>0</v>
      </c>
      <c r="DE47" s="3274">
        <f>ЦО_логистика!CF47+'Форд Тягач'!DE47+'MAN Blue KA1783HI'!CP47+'MAN green KA2790IE'!CP47+'MAN №3 white KA7837HO'!CP47+'MAN №4 white KA3597HO'!CP47+'MAN №5 Тент МД'!CF47</f>
        <v>0</v>
      </c>
      <c r="DF47" s="2028">
        <f t="shared" si="96"/>
        <v>0</v>
      </c>
      <c r="DG47" s="3284">
        <f t="shared" si="73"/>
        <v>0</v>
      </c>
      <c r="DH47" s="3295"/>
      <c r="DI47" s="3274">
        <f>ЦО_логистика!CJ47+'Форд Тягач'!DI47+'MAN Blue KA1783HI'!CT47+'MAN green KA2790IE'!CT47+'MAN №3 white KA7837HO'!CT47+'MAN №4 white KA3597HO'!CT47+'MAN №5 Тент МД'!CJ47</f>
        <v>0</v>
      </c>
      <c r="DJ47" s="3274">
        <f>ЦО_логистика!CK47+'Форд Тягач'!DJ47+'MAN Blue KA1783HI'!CU47+'MAN green KA2790IE'!CU47+'MAN №3 white KA7837HO'!CU47+'MAN №4 white KA3597HO'!CU47+'MAN №5 Тент МД'!CK47</f>
        <v>0</v>
      </c>
      <c r="DK47" s="2028">
        <f t="shared" si="97"/>
        <v>0</v>
      </c>
      <c r="DL47" s="3284">
        <f t="shared" si="74"/>
        <v>0</v>
      </c>
      <c r="DM47" s="3295"/>
      <c r="DN47" s="3288">
        <f t="shared" si="98"/>
        <v>27033.174999999999</v>
      </c>
      <c r="DO47" s="3288">
        <f t="shared" si="98"/>
        <v>736</v>
      </c>
      <c r="DP47" s="2028">
        <f t="shared" si="99"/>
        <v>27769.174999999999</v>
      </c>
      <c r="DQ47" s="3284">
        <f t="shared" si="75"/>
        <v>1.0510240914136972E-3</v>
      </c>
      <c r="DR47" s="3275"/>
      <c r="DS47" s="916"/>
      <c r="DT47" s="916"/>
    </row>
    <row r="48" spans="1:124" ht="27.6" x14ac:dyDescent="0.25">
      <c r="A48" s="4015"/>
      <c r="B48" s="3319" t="s">
        <v>15</v>
      </c>
      <c r="C48" s="3274">
        <v>0</v>
      </c>
      <c r="D48" s="3274">
        <v>0</v>
      </c>
      <c r="E48" s="2028">
        <v>0</v>
      </c>
      <c r="F48" s="3284">
        <v>0</v>
      </c>
      <c r="G48" s="3295"/>
      <c r="H48" s="3274">
        <v>0</v>
      </c>
      <c r="I48" s="3274">
        <v>0</v>
      </c>
      <c r="J48" s="2028">
        <v>0</v>
      </c>
      <c r="K48" s="3284">
        <v>0</v>
      </c>
      <c r="L48" s="3295">
        <v>0</v>
      </c>
      <c r="M48" s="3274">
        <v>0</v>
      </c>
      <c r="N48" s="3274">
        <v>0</v>
      </c>
      <c r="O48" s="2028">
        <v>0</v>
      </c>
      <c r="P48" s="3284">
        <v>0</v>
      </c>
      <c r="Q48" s="3295">
        <v>0</v>
      </c>
      <c r="R48" s="3274">
        <f>'Форд Тягач'!R48+'MAN Blue KA1783HI'!C48+'MAN green KA2790IE'!C48+'MAN №3 white KA7837HO'!C48+'MAN №4 white KA3597HO'!C48+Техника!R48</f>
        <v>0</v>
      </c>
      <c r="S48" s="3274">
        <f>'Форд Тягач'!S48+'MAN Blue KA1783HI'!D48+'MAN green KA2790IE'!D48+'MAN №3 white KA7837HO'!D48+'MAN №4 white KA3597HO'!D48</f>
        <v>0</v>
      </c>
      <c r="T48" s="2028">
        <f t="shared" si="76"/>
        <v>0</v>
      </c>
      <c r="U48" s="3284">
        <f t="shared" si="61"/>
        <v>0</v>
      </c>
      <c r="V48" s="3295"/>
      <c r="W48" s="3274">
        <f>'Форд Тягач'!W48+'MAN Blue KA1783HI'!H48+'MAN green KA2790IE'!H48+'MAN №3 white KA7837HO'!H48+'MAN №4 white KA3597HO'!H48+2482.89</f>
        <v>2482.89</v>
      </c>
      <c r="X48" s="3274">
        <f>'Форд Тягач'!X48+'MAN Blue KA1783HI'!I48+'MAN green KA2790IE'!I48+'MAN №3 white KA7837HO'!I48+'MAN №4 white KA3597HO'!I48+137.4</f>
        <v>137.4</v>
      </c>
      <c r="Y48" s="2028">
        <f t="shared" si="77"/>
        <v>2620.29</v>
      </c>
      <c r="Z48" s="3284">
        <f t="shared" si="62"/>
        <v>2.0046898777378217E-3</v>
      </c>
      <c r="AA48" s="3421" t="s">
        <v>1197</v>
      </c>
      <c r="AB48" s="3274">
        <f>ЦО_логистика!C48+'Форд Тягач'!AB48+'MAN Blue KA1783HI'!M48+'MAN green KA2790IE'!M48+'MAN №3 white KA7837HO'!M48+'MAN №4 white KA3597HO'!M48+'MAN №5 Тент МД'!C48</f>
        <v>0</v>
      </c>
      <c r="AC48" s="3274">
        <f>ЦО_логистика!D48+'Форд Тягач'!AC48+'MAN Blue KA1783HI'!N48+'MAN green KA2790IE'!N48+'MAN №3 white KA7837HO'!N48+'MAN №4 white KA3597HO'!N48+'MAN №5 Тент МД'!D48</f>
        <v>0</v>
      </c>
      <c r="AD48" s="2028">
        <f t="shared" si="78"/>
        <v>0</v>
      </c>
      <c r="AE48" s="3284">
        <f t="shared" si="2"/>
        <v>0</v>
      </c>
      <c r="AF48" s="3295"/>
      <c r="AG48" s="3274">
        <f>ЦО_логистика!H48+'Форд Тягач'!AG48+'MAN Blue KA1783HI'!R48+'MAN green KA2790IE'!R48+'MAN №3 white KA7837HO'!R48+'MAN №4 white KA3597HO'!R48+'MAN №5 Тент МД'!H48</f>
        <v>7028.1399999999994</v>
      </c>
      <c r="AH48" s="3274">
        <f>ЦО_логистика!I48+'Форд Тягач'!AH48+'MAN Blue KA1783HI'!S48+'MAN green KA2790IE'!S48+'MAN №3 white KA7837HO'!S48+'MAN №4 white KA3597HO'!S48+'MAN №5 Тент МД'!I48</f>
        <v>0</v>
      </c>
      <c r="AI48" s="2028">
        <f t="shared" si="79"/>
        <v>7028.1399999999994</v>
      </c>
      <c r="AJ48" s="3284">
        <f t="shared" si="55"/>
        <v>5.4984739113182936E-3</v>
      </c>
      <c r="AK48" s="3275" t="s">
        <v>1325</v>
      </c>
      <c r="AL48" s="3274">
        <f>ЦО_логистика!M48+'Форд Тягач'!AL48+'MAN Blue KA1783HI'!W48+'MAN green KA2790IE'!W48+'MAN №3 white KA7837HO'!W48+'MAN №4 white KA3597HO'!W48+'MAN №5 Тент МД'!M48</f>
        <v>6389.59</v>
      </c>
      <c r="AM48" s="3274">
        <f>ЦО_логистика!N48+'Форд Тягач'!AM48+'MAN Blue KA1783HI'!X48+'MAN green KA2790IE'!X48+'MAN №3 white KA7837HO'!X48+'MAN №4 white KA3597HO'!X48+'MAN №5 Тент МД'!N48</f>
        <v>0</v>
      </c>
      <c r="AN48" s="2028">
        <f t="shared" si="80"/>
        <v>6389.59</v>
      </c>
      <c r="AO48" s="3284">
        <f t="shared" si="56"/>
        <v>4.9989035390615808E-3</v>
      </c>
      <c r="AP48" s="3425" t="str">
        <f>CONCATENATE(ЦО_логистика!Q48,'Форд Тягач'!AP48,'MAN Blue KA1783HI'!AA48,'MAN green KA2790IE'!AA48,'MAN №3 white KA7837HO'!AF48,'MAN №4 white KA3597HO'!AA48,'MAN №5 Тент МД'!Q48)</f>
        <v>штампы+тонер в принтер+канцтовары</v>
      </c>
      <c r="AQ48" s="3274">
        <f>SUM(ЦО_логистика!R48,'Форд Тягач'!AQ48,'MAN Blue KA1783HI'!AB48,'MAN green KA2790IE'!AB48,'MAN №3 white KA7837HO'!AB48,'MAN №4 white KA3597HO'!AB48,'MAN №5 Тент МД'!R48)</f>
        <v>3967.23</v>
      </c>
      <c r="AR48" s="3274">
        <f>SUM(ЦО_логистика!S48,'Форд Тягач'!AR48,'MAN Blue KA1783HI'!AC48,'MAN green KA2790IE'!AC48,'MAN №3 white KA7837HO'!AC48,'MAN №4 white KA3597HO'!AC48,'MAN №5 Тент МД'!S48)</f>
        <v>0</v>
      </c>
      <c r="AS48" s="2028">
        <f t="shared" si="81"/>
        <v>3967.23</v>
      </c>
      <c r="AT48" s="3284">
        <f t="shared" si="57"/>
        <v>3.1037672350293639E-3</v>
      </c>
      <c r="AU48" s="3425" t="str">
        <f>CONCATENATE(ЦО_логистика!V48,'Форд Тягач'!AU48,'MAN Blue KA1783HI'!AF47,'MAN green KA2790IE'!AF48,'MAN №3 white KA7837HO'!AF48,'MAN №4 white KA3597HO'!AF48,'MAN №5 Тент МД'!V48)</f>
        <v>2541 - А4</v>
      </c>
      <c r="AV48" s="3275">
        <f>+ЦО_логистика!W48+'Форд Тягач'!AV48+'MAN Blue KA1783HI'!AG48+'MAN green KA2790IE'!AG48+'MAN №3 white KA7837HO'!AG48+'MAN №4 white KA3597HO'!AG48+'MAN №5 Тент МД'!W48</f>
        <v>18383.349999999999</v>
      </c>
      <c r="AW48" s="3275">
        <f>+ЦО_логистика!X48+'Форд Тягач'!AW48+'MAN Blue KA1783HI'!AH48+'MAN green KA2790IE'!AH48+'MAN №3 white KA7837HO'!AH48+'MAN №4 white KA3597HO'!AH48+'MAN №5 Тент МД'!X48</f>
        <v>0</v>
      </c>
      <c r="AX48" s="2028">
        <f t="shared" si="82"/>
        <v>18383.349999999999</v>
      </c>
      <c r="AY48" s="3284">
        <f t="shared" si="63"/>
        <v>1.4382236321079709E-2</v>
      </c>
      <c r="AZ48" s="3275"/>
      <c r="BA48" s="3275">
        <f t="shared" si="83"/>
        <v>0</v>
      </c>
      <c r="BB48" s="3275">
        <f t="shared" si="83"/>
        <v>0</v>
      </c>
      <c r="BC48" s="2028">
        <f t="shared" si="84"/>
        <v>0</v>
      </c>
      <c r="BD48" s="3284">
        <f t="shared" si="64"/>
        <v>0</v>
      </c>
      <c r="BE48" s="3275">
        <f>ЦО_логистика!AD48+'Форд Тягач'!BC48+'MAN Blue KA1783HI'!AN48+'MAN green KA2790IE'!AN48+'MAN №3 white KA7837HO'!AN48+'MAN №4 white KA3597HO'!AN48+'MAN №5 Тент МД'!AD48-BC48</f>
        <v>0</v>
      </c>
      <c r="BF48" s="3274">
        <f>ЦО_логистика!AG48+'Форд Тягач'!BF48+'MAN Blue KA1783HI'!AQ48+'MAN green KA2790IE'!AQ48+'MAN №3 white KA7837HO'!AQ48+'MAN №4 white KA3597HO'!AQ48+'MAN №5 Тент МД'!AG48</f>
        <v>0</v>
      </c>
      <c r="BG48" s="3274">
        <f>ЦО_логистика!AH48+'Форд Тягач'!BG48+'MAN Blue KA1783HI'!AR48+'MAN green KA2790IE'!AR48+'MAN №3 white KA7837HO'!AR48+'MAN №4 white KA3597HO'!AR48+'MAN №5 Тент МД'!AH48</f>
        <v>0</v>
      </c>
      <c r="BH48" s="2028">
        <f t="shared" si="85"/>
        <v>0</v>
      </c>
      <c r="BI48" s="3284">
        <f t="shared" si="60"/>
        <v>0</v>
      </c>
      <c r="BJ48" s="3275"/>
      <c r="BK48" s="3275">
        <f>ЦО_логистика!AL48+'Форд Тягач'!BK48+'MAN Blue KA1783HI'!AV48+'MAN green KA2790IE'!AV48+'MAN №3 white KA7837HO'!AV48+'MAN №4 white KA3597HO'!AV48+'MAN №5 Тент МД'!AL48</f>
        <v>0</v>
      </c>
      <c r="BL48" s="3275">
        <f>ЦО_логистика!AM48+'Форд Тягач'!BL48+'MAN Blue KA1783HI'!AW48+'MAN green KA2790IE'!AW48+'MAN №3 white KA7837HO'!AW48+'MAN №4 white KA3597HO'!AW48+'MAN №5 Тент МД'!AM48</f>
        <v>0</v>
      </c>
      <c r="BM48" s="2028">
        <f t="shared" si="86"/>
        <v>0</v>
      </c>
      <c r="BN48" s="3284">
        <f t="shared" si="87"/>
        <v>0</v>
      </c>
      <c r="BO48" s="3275"/>
      <c r="BP48" s="3274">
        <f>ЦО_логистика!AQ48+'Форд Тягач'!BP48+'MAN Blue KA1783HI'!BA48+'MAN green KA2790IE'!BA48+'MAN №3 white KA7837HO'!BA48+'MAN №4 white KA3597HO'!BA48+'MAN №5 Тент МД'!AQ48</f>
        <v>0</v>
      </c>
      <c r="BQ48" s="3274">
        <f>ЦО_логистика!AR48+'Форд Тягач'!BQ48+'MAN Blue KA1783HI'!BB48+'MAN green KA2790IE'!BB48+'MAN №3 white KA7837HO'!BB48+'MAN №4 white KA3597HO'!BB48+'MAN №5 Тент МД'!AR48</f>
        <v>0</v>
      </c>
      <c r="BR48" s="2028">
        <f t="shared" si="88"/>
        <v>0</v>
      </c>
      <c r="BS48" s="3284">
        <f t="shared" si="65"/>
        <v>0</v>
      </c>
      <c r="BT48" s="3295"/>
      <c r="BU48" s="3274">
        <f>ЦО_логистика!AV48+'Форд Тягач'!BU48+'MAN Blue KA1783HI'!BF48+'MAN green KA2790IE'!BF48+'MAN №3 white KA7837HO'!BF48+'MAN №4 white KA3597HO'!BF48+'MAN №5 Тент МД'!AV48</f>
        <v>0</v>
      </c>
      <c r="BV48" s="3274">
        <f>ЦО_логистика!AW48+'Форд Тягач'!BV48+'MAN Blue KA1783HI'!BG48+'MAN green KA2790IE'!BG48+'MAN №3 white KA7837HO'!BG48+'MAN №4 white KA3597HO'!BG48+'MAN №5 Тент МД'!AW48</f>
        <v>0</v>
      </c>
      <c r="BW48" s="2028">
        <f t="shared" si="89"/>
        <v>0</v>
      </c>
      <c r="BX48" s="3284">
        <f t="shared" si="66"/>
        <v>0</v>
      </c>
      <c r="BY48" s="3295"/>
      <c r="BZ48" s="3274">
        <f>ЦО_логистика!BA48+'Форд Тягач'!BZ48+'MAN Blue KA1783HI'!BK48+'MAN green KA2790IE'!BK48+'MAN №3 white KA7837HO'!BK48+'MAN №4 white KA3597HO'!BK48+'MAN №5 Тент МД'!BA48</f>
        <v>0</v>
      </c>
      <c r="CA48" s="3274">
        <f>ЦО_логистика!BB48+'Форд Тягач'!CA48+'MAN Blue KA1783HI'!BL48+'MAN green KA2790IE'!BL48+'MAN №3 white KA7837HO'!BL48+'MAN №4 white KA3597HO'!BL48+'MAN №5 Тент МД'!BB48</f>
        <v>0</v>
      </c>
      <c r="CB48" s="2028">
        <f t="shared" si="90"/>
        <v>0</v>
      </c>
      <c r="CC48" s="3284">
        <f t="shared" si="67"/>
        <v>0</v>
      </c>
      <c r="CD48" s="3295"/>
      <c r="CE48" s="3274">
        <f>ЦО_логистика!BF48+'Форд Тягач'!CE48+'MAN Blue KA1783HI'!BP48+'MAN green KA2790IE'!BP48+'MAN №3 white KA7837HO'!BP48+'MAN №4 white KA3597HO'!BP48+'MAN №5 Тент МД'!BF48</f>
        <v>0</v>
      </c>
      <c r="CF48" s="3274">
        <f>ЦО_логистика!BG48+'Форд Тягач'!CF48+'MAN Blue KA1783HI'!BQ48+'MAN green KA2790IE'!BQ48+'MAN №3 white KA7837HO'!BQ48+'MAN №4 white KA3597HO'!BQ48+'MAN №5 Тент МД'!BG48</f>
        <v>0</v>
      </c>
      <c r="CG48" s="2028">
        <f t="shared" si="91"/>
        <v>0</v>
      </c>
      <c r="CH48" s="3284">
        <f t="shared" si="68"/>
        <v>0</v>
      </c>
      <c r="CI48" s="3295"/>
      <c r="CJ48" s="3274">
        <f>ЦО_логистика!BK48+'Форд Тягач'!CJ48+'MAN Blue KA1783HI'!BU48+'MAN green KA2790IE'!BU48+'MAN №3 white KA7837HO'!BU48+'MAN №4 white KA3597HO'!BU48+'MAN №5 Тент МД'!BK48</f>
        <v>0</v>
      </c>
      <c r="CK48" s="3274">
        <f>ЦО_логистика!BL48+'Форд Тягач'!CK48+'MAN Blue KA1783HI'!BV48+'MAN green KA2790IE'!BV48+'MAN №3 white KA7837HO'!BV48+'MAN №4 white KA3597HO'!BV48+'MAN №5 Тент МД'!BL48</f>
        <v>0</v>
      </c>
      <c r="CL48" s="2028">
        <f t="shared" si="92"/>
        <v>0</v>
      </c>
      <c r="CM48" s="3284">
        <f t="shared" si="69"/>
        <v>0</v>
      </c>
      <c r="CN48" s="3295"/>
      <c r="CO48" s="3274">
        <f>ЦО_логистика!BP48+'Форд Тягач'!CO48+'MAN Blue KA1783HI'!BZ48+'MAN green KA2790IE'!BZ48+'MAN №3 white KA7837HO'!BZ48+'MAN №4 white KA3597HO'!BZ48+'MAN №5 Тент МД'!BP48</f>
        <v>0</v>
      </c>
      <c r="CP48" s="3274">
        <f>ЦО_логистика!BQ48+'Форд Тягач'!CP48+'MAN Blue KA1783HI'!CA48+'MAN green KA2790IE'!CA48+'MAN №3 white KA7837HO'!CA48+'MAN №4 white KA3597HO'!CA48+'MAN №5 Тент МД'!BQ48</f>
        <v>0</v>
      </c>
      <c r="CQ48" s="2028">
        <f t="shared" si="93"/>
        <v>0</v>
      </c>
      <c r="CR48" s="3284">
        <f t="shared" si="70"/>
        <v>0</v>
      </c>
      <c r="CS48" s="3295"/>
      <c r="CT48" s="3274">
        <f>ЦО_логистика!BU48+'Форд Тягач'!CT48+'MAN Blue KA1783HI'!CE48+'MAN green KA2790IE'!CE48+'MAN №3 white KA7837HO'!CE48+'MAN №4 white KA3597HO'!CE48+'MAN №5 Тент МД'!BU48</f>
        <v>0</v>
      </c>
      <c r="CU48" s="3274">
        <f>ЦО_логистика!BV48+'Форд Тягач'!CU48+'MAN Blue KA1783HI'!CF48+'MAN green KA2790IE'!CF48+'MAN №3 white KA7837HO'!CF48+'MAN №4 white KA3597HO'!CF48+'MAN №5 Тент МД'!BV48</f>
        <v>0</v>
      </c>
      <c r="CV48" s="2028">
        <f t="shared" si="94"/>
        <v>0</v>
      </c>
      <c r="CW48" s="3284">
        <f t="shared" si="71"/>
        <v>0</v>
      </c>
      <c r="CX48" s="3295"/>
      <c r="CY48" s="3274">
        <f>ЦО_логистика!BZ48+'Форд Тягач'!CY48+'MAN Blue KA1783HI'!CJ48+'MAN green KA2790IE'!CJ48+'MAN №3 white KA7837HO'!CJ48+'MAN №4 white KA3597HO'!CJ48+'MAN №5 Тент МД'!BZ48</f>
        <v>0</v>
      </c>
      <c r="CZ48" s="3274">
        <f>ЦО_логистика!CA48+'Форд Тягач'!CZ48+'MAN Blue KA1783HI'!CK48+'MAN green KA2790IE'!CK48+'MAN №3 white KA7837HO'!CK48+'MAN №4 white KA3597HO'!CK48+'MAN №5 Тент МД'!CA48</f>
        <v>0</v>
      </c>
      <c r="DA48" s="2028">
        <f t="shared" si="95"/>
        <v>0</v>
      </c>
      <c r="DB48" s="3284">
        <f t="shared" si="72"/>
        <v>0</v>
      </c>
      <c r="DC48" s="3295"/>
      <c r="DD48" s="3274">
        <f>ЦО_логистика!CE48+'Форд Тягач'!DD48+'MAN Blue KA1783HI'!CO48+'MAN green KA2790IE'!CO48+'MAN №3 white KA7837HO'!CO48+'MAN №4 white KA3597HO'!CO48+'MAN №5 Тент МД'!CE48</f>
        <v>0</v>
      </c>
      <c r="DE48" s="3274">
        <f>ЦО_логистика!CF48+'Форд Тягач'!DE48+'MAN Blue KA1783HI'!CP48+'MAN green KA2790IE'!CP48+'MAN №3 white KA7837HO'!CP48+'MAN №4 white KA3597HO'!CP48+'MAN №5 Тент МД'!CF48</f>
        <v>0</v>
      </c>
      <c r="DF48" s="2028">
        <f t="shared" si="96"/>
        <v>0</v>
      </c>
      <c r="DG48" s="3284">
        <f t="shared" si="73"/>
        <v>0</v>
      </c>
      <c r="DH48" s="3295"/>
      <c r="DI48" s="3274">
        <f>ЦО_логистика!CJ48+'Форд Тягач'!DI48+'MAN Blue KA1783HI'!CT48+'MAN green KA2790IE'!CT48+'MAN №3 white KA7837HO'!CT48+'MAN №4 white KA3597HO'!CT48+'MAN №5 Тент МД'!CJ48</f>
        <v>0</v>
      </c>
      <c r="DJ48" s="3274">
        <f>ЦО_логистика!CK48+'Форд Тягач'!DJ48+'MAN Blue KA1783HI'!CU48+'MAN green KA2790IE'!CU48+'MAN №3 white KA7837HO'!CU48+'MAN №4 white KA3597HO'!CU48+'MAN №5 Тент МД'!CK48</f>
        <v>0</v>
      </c>
      <c r="DK48" s="2028">
        <f t="shared" si="97"/>
        <v>0</v>
      </c>
      <c r="DL48" s="3284">
        <f t="shared" si="74"/>
        <v>0</v>
      </c>
      <c r="DM48" s="3295"/>
      <c r="DN48" s="3288">
        <f t="shared" si="98"/>
        <v>38251.199999999997</v>
      </c>
      <c r="DO48" s="3288">
        <f t="shared" si="98"/>
        <v>137.4</v>
      </c>
      <c r="DP48" s="2028">
        <f t="shared" si="99"/>
        <v>38388.6</v>
      </c>
      <c r="DQ48" s="3284">
        <f t="shared" si="75"/>
        <v>1.4529543436434052E-3</v>
      </c>
      <c r="DR48" s="3275"/>
      <c r="DS48" s="916"/>
      <c r="DT48" s="916"/>
    </row>
    <row r="49" spans="1:124" s="1411" customFormat="1" ht="14.4" thickBot="1" x14ac:dyDescent="0.3">
      <c r="A49" s="1420"/>
      <c r="B49" s="3320"/>
      <c r="C49" s="3274">
        <v>0</v>
      </c>
      <c r="D49" s="3274">
        <v>0</v>
      </c>
      <c r="E49" s="3313">
        <v>0</v>
      </c>
      <c r="F49" s="3284">
        <v>0</v>
      </c>
      <c r="G49" s="3313"/>
      <c r="H49" s="3274">
        <v>0</v>
      </c>
      <c r="I49" s="3274">
        <v>0</v>
      </c>
      <c r="J49" s="3313">
        <v>0</v>
      </c>
      <c r="K49" s="3284">
        <v>0</v>
      </c>
      <c r="L49" s="3313">
        <v>0</v>
      </c>
      <c r="M49" s="3274">
        <v>0</v>
      </c>
      <c r="N49" s="3274">
        <v>0</v>
      </c>
      <c r="O49" s="3313">
        <v>0</v>
      </c>
      <c r="P49" s="3284">
        <v>0</v>
      </c>
      <c r="Q49" s="3313">
        <v>0</v>
      </c>
      <c r="R49" s="3274"/>
      <c r="S49" s="3274"/>
      <c r="T49" s="3313"/>
      <c r="U49" s="3284"/>
      <c r="V49" s="3313"/>
      <c r="W49" s="3274"/>
      <c r="X49" s="3274"/>
      <c r="Y49" s="3313"/>
      <c r="Z49" s="3284"/>
      <c r="AA49" s="3313"/>
      <c r="AB49" s="3274"/>
      <c r="AC49" s="3274"/>
      <c r="AD49" s="3313"/>
      <c r="AE49" s="3284"/>
      <c r="AF49" s="3313"/>
      <c r="AG49" s="3274"/>
      <c r="AH49" s="3274"/>
      <c r="AI49" s="3313"/>
      <c r="AJ49" s="3284"/>
      <c r="AK49" s="3313"/>
      <c r="AL49" s="3274"/>
      <c r="AM49" s="3274"/>
      <c r="AN49" s="3313"/>
      <c r="AO49" s="3284"/>
      <c r="AP49" s="3393"/>
      <c r="AQ49" s="3274"/>
      <c r="AR49" s="3274"/>
      <c r="AS49" s="3313"/>
      <c r="AT49" s="3284"/>
      <c r="AU49" s="3393"/>
      <c r="AV49" s="3315"/>
      <c r="AW49" s="3315"/>
      <c r="AX49" s="3315"/>
      <c r="AY49" s="3315"/>
      <c r="AZ49" s="3315"/>
      <c r="BA49" s="3315"/>
      <c r="BB49" s="3315"/>
      <c r="BC49" s="3315"/>
      <c r="BD49" s="3315"/>
      <c r="BE49" s="3315">
        <f>ЦО_логистика!AD49+'Форд Тягач'!BC49+'MAN Blue KA1783HI'!AN49+'MAN green KA2790IE'!AN49+'MAN №3 white KA7837HO'!AN49+'MAN №4 white KA3597HO'!AN49+'MAN №5 Тент МД'!AD49-BC49</f>
        <v>0</v>
      </c>
      <c r="BF49" s="3274"/>
      <c r="BG49" s="3274"/>
      <c r="BH49" s="3313"/>
      <c r="BI49" s="3284"/>
      <c r="BJ49" s="3315"/>
      <c r="BK49" s="3315"/>
      <c r="BL49" s="3315"/>
      <c r="BM49" s="3313"/>
      <c r="BN49" s="3284"/>
      <c r="BO49" s="3315"/>
      <c r="BP49" s="3274"/>
      <c r="BQ49" s="3274"/>
      <c r="BR49" s="3313"/>
      <c r="BS49" s="3284">
        <f t="shared" si="65"/>
        <v>0</v>
      </c>
      <c r="BT49" s="3313"/>
      <c r="BU49" s="3274"/>
      <c r="BV49" s="3274"/>
      <c r="BW49" s="3313"/>
      <c r="BX49" s="3284">
        <f t="shared" si="66"/>
        <v>0</v>
      </c>
      <c r="BY49" s="3313"/>
      <c r="BZ49" s="3274"/>
      <c r="CA49" s="3274"/>
      <c r="CB49" s="3313"/>
      <c r="CC49" s="3284">
        <f t="shared" si="67"/>
        <v>0</v>
      </c>
      <c r="CD49" s="3313"/>
      <c r="CE49" s="3274"/>
      <c r="CF49" s="3274"/>
      <c r="CG49" s="3313"/>
      <c r="CH49" s="3284">
        <f t="shared" si="68"/>
        <v>0</v>
      </c>
      <c r="CI49" s="3313"/>
      <c r="CJ49" s="3274"/>
      <c r="CK49" s="3274"/>
      <c r="CL49" s="3313"/>
      <c r="CM49" s="3284">
        <f t="shared" si="69"/>
        <v>0</v>
      </c>
      <c r="CN49" s="3313"/>
      <c r="CO49" s="3274"/>
      <c r="CP49" s="3274"/>
      <c r="CQ49" s="3313"/>
      <c r="CR49" s="3284">
        <f t="shared" si="70"/>
        <v>0</v>
      </c>
      <c r="CS49" s="3313"/>
      <c r="CT49" s="3274"/>
      <c r="CU49" s="3274"/>
      <c r="CV49" s="3313"/>
      <c r="CW49" s="3284">
        <f t="shared" si="71"/>
        <v>0</v>
      </c>
      <c r="CX49" s="3313"/>
      <c r="CY49" s="3274"/>
      <c r="CZ49" s="3274"/>
      <c r="DA49" s="3313"/>
      <c r="DB49" s="3284">
        <f t="shared" si="72"/>
        <v>0</v>
      </c>
      <c r="DC49" s="3313"/>
      <c r="DD49" s="3274"/>
      <c r="DE49" s="3274"/>
      <c r="DF49" s="3313"/>
      <c r="DG49" s="3284">
        <f t="shared" si="73"/>
        <v>0</v>
      </c>
      <c r="DH49" s="3313"/>
      <c r="DI49" s="3274"/>
      <c r="DJ49" s="3274"/>
      <c r="DK49" s="3313"/>
      <c r="DL49" s="3284">
        <f t="shared" si="74"/>
        <v>0</v>
      </c>
      <c r="DM49" s="3313"/>
      <c r="DN49" s="3288"/>
      <c r="DO49" s="3274"/>
      <c r="DP49" s="3313"/>
      <c r="DQ49" s="3284">
        <f t="shared" si="75"/>
        <v>0</v>
      </c>
      <c r="DR49" s="3315"/>
      <c r="DS49" s="916"/>
      <c r="DT49" s="916"/>
    </row>
    <row r="50" spans="1:124" s="1411" customFormat="1" ht="13.8" x14ac:dyDescent="0.25">
      <c r="A50" s="1580"/>
      <c r="B50" s="1425" t="s">
        <v>59</v>
      </c>
      <c r="C50" s="309">
        <v>0</v>
      </c>
      <c r="D50" s="2031">
        <v>200</v>
      </c>
      <c r="E50" s="2031">
        <v>200</v>
      </c>
      <c r="F50" s="2022">
        <v>0</v>
      </c>
      <c r="G50" s="2022"/>
      <c r="H50" s="309">
        <v>0</v>
      </c>
      <c r="I50" s="2031">
        <v>0</v>
      </c>
      <c r="J50" s="2031">
        <v>0</v>
      </c>
      <c r="K50" s="2022">
        <v>0</v>
      </c>
      <c r="L50" s="2022">
        <v>0</v>
      </c>
      <c r="M50" s="309">
        <v>0</v>
      </c>
      <c r="N50" s="2031">
        <v>499</v>
      </c>
      <c r="O50" s="2031">
        <v>499</v>
      </c>
      <c r="P50" s="2022">
        <v>0</v>
      </c>
      <c r="Q50" s="2022">
        <v>0</v>
      </c>
      <c r="R50" s="2031">
        <f>R52+R51</f>
        <v>0</v>
      </c>
      <c r="S50" s="2031">
        <f>S52+S51</f>
        <v>0</v>
      </c>
      <c r="T50" s="2031">
        <f>SUM(T51:T52)</f>
        <v>0</v>
      </c>
      <c r="U50" s="2022">
        <f>T50/$T$89</f>
        <v>0</v>
      </c>
      <c r="V50" s="2022"/>
      <c r="W50" s="2031">
        <f>W52+W51</f>
        <v>0</v>
      </c>
      <c r="X50" s="2031">
        <f>X52+X51</f>
        <v>0</v>
      </c>
      <c r="Y50" s="2031">
        <f>SUM(Y51:Y52)</f>
        <v>0</v>
      </c>
      <c r="Z50" s="2022">
        <f>Y50/$T$89</f>
        <v>0</v>
      </c>
      <c r="AA50" s="2022"/>
      <c r="AB50" s="2031">
        <f>AB52+AB51</f>
        <v>0</v>
      </c>
      <c r="AC50" s="2031">
        <f>AC52+AC51</f>
        <v>0</v>
      </c>
      <c r="AD50" s="2031">
        <f>SUM(AD51:AD52)</f>
        <v>0</v>
      </c>
      <c r="AE50" s="2022">
        <f t="shared" si="2"/>
        <v>0</v>
      </c>
      <c r="AF50" s="2022"/>
      <c r="AG50" s="2031">
        <f>AG52+AG51</f>
        <v>0</v>
      </c>
      <c r="AH50" s="2031">
        <f>AH52+AH51</f>
        <v>0</v>
      </c>
      <c r="AI50" s="2031">
        <f>SUM(AI51:AI52)</f>
        <v>0</v>
      </c>
      <c r="AJ50" s="2022">
        <f>AI50/$AD$89</f>
        <v>0</v>
      </c>
      <c r="AK50" s="2022"/>
      <c r="AL50" s="2031">
        <f>AL52+AL51</f>
        <v>0</v>
      </c>
      <c r="AM50" s="2031">
        <f>AM52+AM51</f>
        <v>0</v>
      </c>
      <c r="AN50" s="2031">
        <f>SUM(AN51:AN52)</f>
        <v>0</v>
      </c>
      <c r="AO50" s="2022">
        <f>AN50/$AD$89</f>
        <v>0</v>
      </c>
      <c r="AP50" s="2022"/>
      <c r="AQ50" s="2031">
        <f>AQ52+AQ51</f>
        <v>0</v>
      </c>
      <c r="AR50" s="2031">
        <f>AR52+AR51</f>
        <v>0</v>
      </c>
      <c r="AS50" s="2031">
        <f>SUM(AS51:AS52)</f>
        <v>0</v>
      </c>
      <c r="AT50" s="2022">
        <f>AS50/$AD$89</f>
        <v>0</v>
      </c>
      <c r="AU50" s="2022"/>
      <c r="AV50" s="2031">
        <f>AV52+AV51</f>
        <v>19726</v>
      </c>
      <c r="AW50" s="2031">
        <f>AW52+AW51</f>
        <v>0</v>
      </c>
      <c r="AX50" s="2031">
        <f>SUM(AX51:AX52)</f>
        <v>19726</v>
      </c>
      <c r="AY50" s="2022">
        <f>AX50/$AD$89</f>
        <v>1.5432660188138634E-2</v>
      </c>
      <c r="AZ50" s="1460"/>
      <c r="BA50" s="2031">
        <f>BA52+BA51</f>
        <v>1728</v>
      </c>
      <c r="BB50" s="2031">
        <f>BB52+BB51</f>
        <v>0</v>
      </c>
      <c r="BC50" s="2031">
        <f>SUM(BC51:BC52)</f>
        <v>1728</v>
      </c>
      <c r="BD50" s="2022">
        <f>BC50/$AD$89</f>
        <v>1.351902910123875E-3</v>
      </c>
      <c r="BE50" s="1460">
        <f>ЦО_логистика!AD50+'Форд Тягач'!BC50+'MAN Blue KA1783HI'!AN50+'MAN green KA2790IE'!AN50+'MAN №3 white KA7837HO'!AN50+'MAN №4 white KA3597HO'!AN50+'MAN №5 Тент МД'!AD50-BC50</f>
        <v>0</v>
      </c>
      <c r="BF50" s="2031">
        <f>BF52+BF51</f>
        <v>576</v>
      </c>
      <c r="BG50" s="2031">
        <f>BG52+BG51</f>
        <v>0</v>
      </c>
      <c r="BH50" s="2031">
        <f>SUM(BH51:BH52)</f>
        <v>576</v>
      </c>
      <c r="BI50" s="2022">
        <f>BH50/$AD$89</f>
        <v>4.5063430337462506E-4</v>
      </c>
      <c r="BJ50" s="1460"/>
      <c r="BK50" s="2031">
        <f>BK52+BK51</f>
        <v>576</v>
      </c>
      <c r="BL50" s="2031">
        <f>BL52+BL51</f>
        <v>0</v>
      </c>
      <c r="BM50" s="2031">
        <f>SUM(BM51:BM52)</f>
        <v>576</v>
      </c>
      <c r="BN50" s="2022">
        <f>BM50/$AD$89</f>
        <v>4.5063430337462506E-4</v>
      </c>
      <c r="BO50" s="1460"/>
      <c r="BP50" s="2031">
        <f>BP52+BP51</f>
        <v>576</v>
      </c>
      <c r="BQ50" s="2031">
        <f>BQ52+BQ51</f>
        <v>0</v>
      </c>
      <c r="BR50" s="2031">
        <f>SUM(BR51:BR52)</f>
        <v>576</v>
      </c>
      <c r="BS50" s="2022">
        <f t="shared" si="65"/>
        <v>4.5063430337462506E-4</v>
      </c>
      <c r="BT50" s="2022"/>
      <c r="BU50" s="2031">
        <f>BU52+BU51</f>
        <v>0</v>
      </c>
      <c r="BV50" s="2031">
        <f>BV52+BV51</f>
        <v>0</v>
      </c>
      <c r="BW50" s="2031">
        <f>SUM(BW51:BW52)</f>
        <v>0</v>
      </c>
      <c r="BX50" s="2022">
        <f t="shared" si="66"/>
        <v>0</v>
      </c>
      <c r="BY50" s="2022"/>
      <c r="BZ50" s="2031">
        <f>BZ52+BZ51</f>
        <v>0</v>
      </c>
      <c r="CA50" s="2031">
        <f>CA52+CA51</f>
        <v>0</v>
      </c>
      <c r="CB50" s="2031">
        <f>SUM(CB51:CB52)</f>
        <v>0</v>
      </c>
      <c r="CC50" s="2022">
        <f t="shared" si="67"/>
        <v>0</v>
      </c>
      <c r="CD50" s="2022"/>
      <c r="CE50" s="2031">
        <f>CE52+CE51</f>
        <v>0</v>
      </c>
      <c r="CF50" s="2031">
        <f>CF52+CF51</f>
        <v>0</v>
      </c>
      <c r="CG50" s="2031">
        <f>SUM(CG51:CG52)</f>
        <v>0</v>
      </c>
      <c r="CH50" s="2022">
        <f t="shared" si="68"/>
        <v>0</v>
      </c>
      <c r="CI50" s="2022"/>
      <c r="CJ50" s="2031">
        <f>CJ52+CJ51</f>
        <v>0</v>
      </c>
      <c r="CK50" s="2031">
        <f>CK52+CK51</f>
        <v>0</v>
      </c>
      <c r="CL50" s="2031">
        <f>SUM(CL51:CL52)</f>
        <v>0</v>
      </c>
      <c r="CM50" s="2022">
        <f t="shared" si="69"/>
        <v>0</v>
      </c>
      <c r="CN50" s="2022"/>
      <c r="CO50" s="2031">
        <f>CO52+CO51</f>
        <v>0</v>
      </c>
      <c r="CP50" s="2031">
        <f>CP52+CP51</f>
        <v>0</v>
      </c>
      <c r="CQ50" s="2031">
        <f>SUM(CQ51:CQ52)</f>
        <v>0</v>
      </c>
      <c r="CR50" s="2022">
        <f t="shared" si="70"/>
        <v>0</v>
      </c>
      <c r="CS50" s="2022"/>
      <c r="CT50" s="2031">
        <f>CT52+CT51</f>
        <v>0</v>
      </c>
      <c r="CU50" s="2031">
        <f>CU52+CU51</f>
        <v>0</v>
      </c>
      <c r="CV50" s="2031">
        <f>SUM(CV51:CV52)</f>
        <v>0</v>
      </c>
      <c r="CW50" s="2022">
        <f t="shared" si="71"/>
        <v>0</v>
      </c>
      <c r="CX50" s="2022"/>
      <c r="CY50" s="2031">
        <f>CY52+CY51</f>
        <v>0</v>
      </c>
      <c r="CZ50" s="2031">
        <f>CZ52+CZ51</f>
        <v>0</v>
      </c>
      <c r="DA50" s="2031">
        <f>SUM(DA51:DA52)</f>
        <v>0</v>
      </c>
      <c r="DB50" s="2022">
        <f t="shared" si="72"/>
        <v>0</v>
      </c>
      <c r="DC50" s="2022"/>
      <c r="DD50" s="2031">
        <f>DD52+DD51</f>
        <v>0</v>
      </c>
      <c r="DE50" s="2031">
        <f>DE52+DE51</f>
        <v>0</v>
      </c>
      <c r="DF50" s="2031">
        <f>SUM(DF51:DF52)</f>
        <v>0</v>
      </c>
      <c r="DG50" s="2022">
        <f t="shared" si="73"/>
        <v>0</v>
      </c>
      <c r="DH50" s="2022"/>
      <c r="DI50" s="2031">
        <f>DI52+DI51</f>
        <v>0</v>
      </c>
      <c r="DJ50" s="2031">
        <f>DJ52+DJ51</f>
        <v>0</v>
      </c>
      <c r="DK50" s="2031">
        <f>SUM(DK51:DK52)</f>
        <v>0</v>
      </c>
      <c r="DL50" s="2022">
        <f t="shared" si="74"/>
        <v>0</v>
      </c>
      <c r="DM50" s="2022"/>
      <c r="DN50" s="2031">
        <f>DN52+DN51</f>
        <v>21454</v>
      </c>
      <c r="DO50" s="2031">
        <f>DO52+DO51</f>
        <v>0</v>
      </c>
      <c r="DP50" s="2031">
        <f>SUM(DP51:DP52)</f>
        <v>21454</v>
      </c>
      <c r="DQ50" s="2022"/>
      <c r="DR50" s="2022"/>
      <c r="DS50" s="916"/>
      <c r="DT50" s="916"/>
    </row>
    <row r="51" spans="1:124" s="1411" customFormat="1" ht="13.8" x14ac:dyDescent="0.25">
      <c r="A51" s="1581"/>
      <c r="B51" s="3319" t="s">
        <v>60</v>
      </c>
      <c r="C51" s="3274">
        <v>0</v>
      </c>
      <c r="D51" s="3274">
        <v>0</v>
      </c>
      <c r="E51" s="2028">
        <v>0</v>
      </c>
      <c r="F51" s="3284">
        <v>0</v>
      </c>
      <c r="G51" s="3311"/>
      <c r="H51" s="3274">
        <v>0</v>
      </c>
      <c r="I51" s="3274">
        <v>0</v>
      </c>
      <c r="J51" s="2028">
        <v>0</v>
      </c>
      <c r="K51" s="3284">
        <v>0</v>
      </c>
      <c r="L51" s="3311">
        <v>0</v>
      </c>
      <c r="M51" s="3274">
        <v>0</v>
      </c>
      <c r="N51" s="3274">
        <v>499</v>
      </c>
      <c r="O51" s="2028">
        <v>499</v>
      </c>
      <c r="P51" s="3284">
        <v>7.2573396685520299E-4</v>
      </c>
      <c r="Q51" s="3311">
        <v>0</v>
      </c>
      <c r="R51" s="3274">
        <f>'Форд Тягач'!R51+'MAN Blue KA1783HI'!C51+'MAN green KA2790IE'!C51+'MAN №3 white KA7837HO'!C51+'MAN №4 white KA3597HO'!C51+Техника!R51</f>
        <v>0</v>
      </c>
      <c r="S51" s="3274">
        <f>'Форд Тягач'!S51+'MAN Blue KA1783HI'!D51+'MAN green KA2790IE'!D51+'MAN №3 white KA7837HO'!D51+'MAN №4 white KA3597HO'!D51+Техника!S51</f>
        <v>0</v>
      </c>
      <c r="T51" s="2028">
        <f>R51+S51*1</f>
        <v>0</v>
      </c>
      <c r="U51" s="3284">
        <f>T51/$T$89</f>
        <v>0</v>
      </c>
      <c r="V51" s="3311"/>
      <c r="W51" s="3274">
        <f>'Форд Тягач'!W51+'MAN Blue KA1783HI'!H51+'MAN green KA2790IE'!H51+'MAN №3 white KA7837HO'!H51+'MAN №4 white KA3597HO'!H51</f>
        <v>0</v>
      </c>
      <c r="X51" s="3274">
        <f>'Форд Тягач'!X51+'MAN Blue KA1783HI'!I51+'MAN green KA2790IE'!I51+'MAN №3 white KA7837HO'!I51+'MAN №4 white KA3597HO'!I51</f>
        <v>0</v>
      </c>
      <c r="Y51" s="2028">
        <f>W51+X51*1</f>
        <v>0</v>
      </c>
      <c r="Z51" s="3284">
        <f>Y51/$T$89</f>
        <v>0</v>
      </c>
      <c r="AA51" s="3311"/>
      <c r="AB51" s="3274">
        <f>ЦО_логистика!C51+'Форд Тягач'!AB51+'MAN Blue KA1783HI'!M51+'MAN green KA2790IE'!M51+'MAN №3 white KA7837HO'!M51+'MAN №4 white KA3597HO'!M51+'MAN №5 Тент МД'!C51</f>
        <v>0</v>
      </c>
      <c r="AC51" s="3274">
        <f>ЦО_логистика!D51+'Форд Тягач'!AC51+'MAN Blue KA1783HI'!N51+'MAN green KA2790IE'!N51+'MAN №3 white KA7837HO'!N51+'MAN №4 white KA3597HO'!N51+'MAN №5 Тент МД'!D51</f>
        <v>0</v>
      </c>
      <c r="AD51" s="2028">
        <f>AB51+AC51*1</f>
        <v>0</v>
      </c>
      <c r="AE51" s="3284">
        <f t="shared" si="2"/>
        <v>0</v>
      </c>
      <c r="AF51" s="3311"/>
      <c r="AG51" s="3274">
        <f>ЦО_логистика!H51+'Форд Тягач'!AG51+'MAN Blue KA1783HI'!R51+'MAN green KA2790IE'!R51+'MAN №3 white KA7837HO'!R51+'MAN №4 white KA3597HO'!R51+'MAN №5 Тент МД'!H51</f>
        <v>0</v>
      </c>
      <c r="AH51" s="3274">
        <f>ЦО_логистика!I51+'Форд Тягач'!AH51+'MAN Blue KA1783HI'!S51+'MAN green KA2790IE'!S51+'MAN №3 white KA7837HO'!S51+'MAN №4 white KA3597HO'!S51+'MAN №5 Тент МД'!I51</f>
        <v>0</v>
      </c>
      <c r="AI51" s="2028">
        <f>AG51+AH51*1</f>
        <v>0</v>
      </c>
      <c r="AJ51" s="3284">
        <f>AI51/$AD$89</f>
        <v>0</v>
      </c>
      <c r="AK51" s="3311"/>
      <c r="AL51" s="3274">
        <f>ЦО_логистика!M51+'Форд Тягач'!AL51+'MAN Blue KA1783HI'!W51+'MAN green KA2790IE'!W51+'MAN №3 white KA7837HO'!W51+'MAN №4 white KA3597HO'!W51+'MAN №5 Тент МД'!M51</f>
        <v>0</v>
      </c>
      <c r="AM51" s="3274">
        <f>ЦО_логистика!N51+'Форд Тягач'!AM51+'MAN Blue KA1783HI'!X51+'MAN green KA2790IE'!X51+'MAN №3 white KA7837HO'!X51+'MAN №4 white KA3597HO'!X51+'MAN №5 Тент МД'!N51</f>
        <v>0</v>
      </c>
      <c r="AN51" s="2028">
        <f>AL51+AM51*1</f>
        <v>0</v>
      </c>
      <c r="AO51" s="3284">
        <f>AN51/$AD$89</f>
        <v>0</v>
      </c>
      <c r="AP51" s="3311"/>
      <c r="AQ51" s="3274">
        <f>SUM(ЦО_логистика!R51,'Форд Тягач'!AQ51,'MAN Blue KA1783HI'!AB51,'MAN green KA2790IE'!AB51,'MAN №3 white KA7837HO'!AB51,'MAN №4 white KA3597HO'!AB51,'MAN №5 Тент МД'!R51)</f>
        <v>0</v>
      </c>
      <c r="AR51" s="3274">
        <f>SUM(ЦО_логистика!S51,'Форд Тягач'!AR51,'MAN Blue KA1783HI'!AC51,'MAN green KA2790IE'!AC51,'MAN №3 white KA7837HO'!AC51,'MAN №4 white KA3597HO'!AC51,'MAN №5 Тент МД'!S51)</f>
        <v>0</v>
      </c>
      <c r="AS51" s="2028">
        <f>AQ51+AR51*1</f>
        <v>0</v>
      </c>
      <c r="AT51" s="3284">
        <f>AS51/$AD$89</f>
        <v>0</v>
      </c>
      <c r="AU51" s="3311"/>
      <c r="AV51" s="3275">
        <f>+ЦО_логистика!W51+'Форд Тягач'!AV51+'MAN Blue KA1783HI'!AG51+'MAN green KA2790IE'!AG51+'MAN №3 white KA7837HO'!AG51+'MAN №4 white KA3597HO'!AG51+'MAN №5 Тент МД'!W51</f>
        <v>4000</v>
      </c>
      <c r="AW51" s="3275">
        <f>+ЦО_логистика!X51+'Форд Тягач'!AW51+'MAN Blue KA1783HI'!AH51+'MAN green KA2790IE'!AH51+'MAN №3 white KA7837HO'!AH51+'MAN №4 white KA3597HO'!AH51+'MAN №5 Тент МД'!X51</f>
        <v>0</v>
      </c>
      <c r="AX51" s="2028">
        <f>AV51+AW51*1</f>
        <v>4000</v>
      </c>
      <c r="AY51" s="3426">
        <f>AX51/$AD$89</f>
        <v>3.1294048845460073E-3</v>
      </c>
      <c r="AZ51" s="3321"/>
      <c r="BA51" s="3275">
        <f t="shared" ref="BA51:BB52" si="100">BF51+BK51+BP51+BU51+BZ51+CE51+CJ51+CO51+CT51+CY51+DD51+DI51</f>
        <v>1728</v>
      </c>
      <c r="BB51" s="3275">
        <f t="shared" si="100"/>
        <v>0</v>
      </c>
      <c r="BC51" s="2028">
        <f>BA51+BB51*1</f>
        <v>1728</v>
      </c>
      <c r="BD51" s="3426">
        <f>BC51/$AD$89</f>
        <v>1.351902910123875E-3</v>
      </c>
      <c r="BE51" s="3367">
        <f>ЦО_логистика!AD51+'Форд Тягач'!BC51+'MAN Blue KA1783HI'!AN51+'MAN green KA2790IE'!AN51+'MAN №3 white KA7837HO'!AN51+'MAN №4 white KA3597HO'!AN51+'MAN №5 Тент МД'!AD51-BC51</f>
        <v>0</v>
      </c>
      <c r="BF51" s="3274">
        <f>ЦО_логистика!AG51+'Форд Тягач'!BF51+'MAN Blue KA1783HI'!AQ51+'MAN green KA2790IE'!AQ51+'MAN №3 white KA7837HO'!AQ51+'MAN №4 white KA3597HO'!AQ51+'MAN №5 Тент МД'!AG51</f>
        <v>576</v>
      </c>
      <c r="BG51" s="3274">
        <f>ЦО_логистика!AH51+'Форд Тягач'!BG51+'MAN Blue KA1783HI'!AR51+'MAN green KA2790IE'!AR51+'MAN №3 white KA7837HO'!AR51+'MAN №4 white KA3597HO'!AR51+'MAN №5 Тент МД'!AH51</f>
        <v>0</v>
      </c>
      <c r="BH51" s="2028">
        <f>BF51+BG51*1</f>
        <v>576</v>
      </c>
      <c r="BI51" s="3284">
        <f>BH51/$AD$89</f>
        <v>4.5063430337462506E-4</v>
      </c>
      <c r="BJ51" s="3321"/>
      <c r="BK51" s="3275">
        <f>ЦО_логистика!AL51+'Форд Тягач'!BK51+'MAN Blue KA1783HI'!AV51+'MAN green KA2790IE'!AV51+'MAN №3 white KA7837HO'!AV51+'MAN №4 white KA3597HO'!AV51+'MAN №5 Тент МД'!AL51</f>
        <v>576</v>
      </c>
      <c r="BL51" s="3275">
        <f>ЦО_логистика!AM51+'Форд Тягач'!BL51+'MAN Blue KA1783HI'!AW51+'MAN green KA2790IE'!AW51+'MAN №3 white KA7837HO'!AW51+'MAN №4 white KA3597HO'!AW51+'MAN №5 Тент МД'!AM51</f>
        <v>0</v>
      </c>
      <c r="BM51" s="2028">
        <f>BK51+BL51*1</f>
        <v>576</v>
      </c>
      <c r="BN51" s="3284">
        <f>BM51/$AD$89</f>
        <v>4.5063430337462506E-4</v>
      </c>
      <c r="BO51" s="3321"/>
      <c r="BP51" s="3274">
        <f>ЦО_логистика!AQ51+'Форд Тягач'!BP51+'MAN Blue KA1783HI'!BA51+'MAN green KA2790IE'!BA51+'MAN №3 white KA7837HO'!BA51+'MAN №4 white KA3597HO'!BA51+'MAN №5 Тент МД'!AQ51</f>
        <v>576</v>
      </c>
      <c r="BQ51" s="3274">
        <f>ЦО_логистика!AR51+'Форд Тягач'!BQ51+'MAN Blue KA1783HI'!BB51+'MAN green KA2790IE'!BB51+'MAN №3 white KA7837HO'!BB51+'MAN №4 white KA3597HO'!BB51+'MAN №5 Тент МД'!AR51</f>
        <v>0</v>
      </c>
      <c r="BR51" s="2028">
        <f>BP51+BQ51*1</f>
        <v>576</v>
      </c>
      <c r="BS51" s="3284">
        <f t="shared" si="65"/>
        <v>4.5063430337462506E-4</v>
      </c>
      <c r="BT51" s="3311"/>
      <c r="BU51" s="3274">
        <f>ЦО_логистика!AV51+'Форд Тягач'!BU51+'MAN Blue KA1783HI'!BF51+'MAN green KA2790IE'!BF51+'MAN №3 white KA7837HO'!BF51+'MAN №4 white KA3597HO'!BF51+'MAN №5 Тент МД'!AV51</f>
        <v>0</v>
      </c>
      <c r="BV51" s="3274">
        <f>ЦО_логистика!AW51+'Форд Тягач'!BV51+'MAN Blue KA1783HI'!BG51+'MAN green KA2790IE'!BG51+'MAN №3 white KA7837HO'!BG51+'MAN №4 white KA3597HO'!BG51+'MAN №5 Тент МД'!AW51</f>
        <v>0</v>
      </c>
      <c r="BW51" s="2028">
        <f>BU51+BV51*1</f>
        <v>0</v>
      </c>
      <c r="BX51" s="3284">
        <f t="shared" si="66"/>
        <v>0</v>
      </c>
      <c r="BY51" s="3311"/>
      <c r="BZ51" s="3274">
        <f>ЦО_логистика!BA51+'Форд Тягач'!BZ51+'MAN Blue KA1783HI'!BK51+'MAN green KA2790IE'!BK51+'MAN №3 white KA7837HO'!BK51+'MAN №4 white KA3597HO'!BK51+'MAN №5 Тент МД'!BA51</f>
        <v>0</v>
      </c>
      <c r="CA51" s="3274">
        <f>ЦО_логистика!BB51+'Форд Тягач'!CA51+'MAN Blue KA1783HI'!BL51+'MAN green KA2790IE'!BL51+'MAN №3 white KA7837HO'!BL51+'MAN №4 white KA3597HO'!BL51+'MAN №5 Тент МД'!BB51</f>
        <v>0</v>
      </c>
      <c r="CB51" s="2028">
        <f>BZ51+CA51*1</f>
        <v>0</v>
      </c>
      <c r="CC51" s="3284">
        <f t="shared" si="67"/>
        <v>0</v>
      </c>
      <c r="CD51" s="3311"/>
      <c r="CE51" s="3274">
        <f>ЦО_логистика!BF51+'Форд Тягач'!CE51+'MAN Blue KA1783HI'!BP51+'MAN green KA2790IE'!BP51+'MAN №3 white KA7837HO'!BP51+'MAN №4 white KA3597HO'!BP51+'MAN №5 Тент МД'!BF51</f>
        <v>0</v>
      </c>
      <c r="CF51" s="3274">
        <f>ЦО_логистика!BG51+'Форд Тягач'!CF51+'MAN Blue KA1783HI'!BQ51+'MAN green KA2790IE'!BQ51+'MAN №3 white KA7837HO'!BQ51+'MAN №4 white KA3597HO'!BQ51+'MAN №5 Тент МД'!BG51</f>
        <v>0</v>
      </c>
      <c r="CG51" s="2028">
        <f>CE51+CF51*1</f>
        <v>0</v>
      </c>
      <c r="CH51" s="3284">
        <f t="shared" si="68"/>
        <v>0</v>
      </c>
      <c r="CI51" s="3311"/>
      <c r="CJ51" s="3274">
        <f>ЦО_логистика!BK51+'Форд Тягач'!CJ51+'MAN Blue KA1783HI'!BU51+'MAN green KA2790IE'!BU51+'MAN №3 white KA7837HO'!BU51+'MAN №4 white KA3597HO'!BU51+'MAN №5 Тент МД'!BK51</f>
        <v>0</v>
      </c>
      <c r="CK51" s="3274">
        <f>ЦО_логистика!BL51+'Форд Тягач'!CK51+'MAN Blue KA1783HI'!BV51+'MAN green KA2790IE'!BV51+'MAN №3 white KA7837HO'!BV51+'MAN №4 white KA3597HO'!BV51+'MAN №5 Тент МД'!BL51</f>
        <v>0</v>
      </c>
      <c r="CL51" s="2028">
        <f>CJ51+CK51*1</f>
        <v>0</v>
      </c>
      <c r="CM51" s="3284">
        <f t="shared" si="69"/>
        <v>0</v>
      </c>
      <c r="CN51" s="3311"/>
      <c r="CO51" s="3274">
        <f>ЦО_логистика!BP51+'Форд Тягач'!CO51+'MAN Blue KA1783HI'!BZ51+'MAN green KA2790IE'!BZ51+'MAN №3 white KA7837HO'!BZ51+'MAN №4 white KA3597HO'!BZ51+'MAN №5 Тент МД'!BP51</f>
        <v>0</v>
      </c>
      <c r="CP51" s="3274">
        <f>ЦО_логистика!BQ51+'Форд Тягач'!CP51+'MAN Blue KA1783HI'!CA51+'MAN green KA2790IE'!CA51+'MAN №3 white KA7837HO'!CA51+'MAN №4 white KA3597HO'!CA51+'MAN №5 Тент МД'!BQ51</f>
        <v>0</v>
      </c>
      <c r="CQ51" s="2028">
        <f>CO51+CP51*1</f>
        <v>0</v>
      </c>
      <c r="CR51" s="3284">
        <f t="shared" si="70"/>
        <v>0</v>
      </c>
      <c r="CS51" s="3311"/>
      <c r="CT51" s="3274">
        <f>ЦО_логистика!BU51+'Форд Тягач'!CT51+'MAN Blue KA1783HI'!CE51+'MAN green KA2790IE'!CE51+'MAN №3 white KA7837HO'!CE51+'MAN №4 white KA3597HO'!CE51+'MAN №5 Тент МД'!BU51</f>
        <v>0</v>
      </c>
      <c r="CU51" s="3274">
        <f>ЦО_логистика!BV51+'Форд Тягач'!CU51+'MAN Blue KA1783HI'!CF51+'MAN green KA2790IE'!CF51+'MAN №3 white KA7837HO'!CF51+'MAN №4 white KA3597HO'!CF51+'MAN №5 Тент МД'!BV51</f>
        <v>0</v>
      </c>
      <c r="CV51" s="2028">
        <f>CT51+CU51*1</f>
        <v>0</v>
      </c>
      <c r="CW51" s="3284">
        <f t="shared" si="71"/>
        <v>0</v>
      </c>
      <c r="CX51" s="3311"/>
      <c r="CY51" s="3274">
        <f>ЦО_логистика!BZ51+'Форд Тягач'!CY51+'MAN Blue KA1783HI'!CJ51+'MAN green KA2790IE'!CJ51+'MAN №3 white KA7837HO'!CJ51+'MAN №4 white KA3597HO'!CJ51+'MAN №5 Тент МД'!BZ51</f>
        <v>0</v>
      </c>
      <c r="CZ51" s="3274">
        <f>ЦО_логистика!CA51+'Форд Тягач'!CZ51+'MAN Blue KA1783HI'!CK51+'MAN green KA2790IE'!CK51+'MAN №3 white KA7837HO'!CK51+'MAN №4 white KA3597HO'!CK51+'MAN №5 Тент МД'!CA51</f>
        <v>0</v>
      </c>
      <c r="DA51" s="2028">
        <f>CY51+CZ51*1</f>
        <v>0</v>
      </c>
      <c r="DB51" s="3284">
        <f t="shared" si="72"/>
        <v>0</v>
      </c>
      <c r="DC51" s="3311"/>
      <c r="DD51" s="3274">
        <f>ЦО_логистика!CE51+'Форд Тягач'!DD51+'MAN Blue KA1783HI'!CO51+'MAN green KA2790IE'!CO51+'MAN №3 white KA7837HO'!CO51+'MAN №4 white KA3597HO'!CO51+'MAN №5 Тент МД'!CE51</f>
        <v>0</v>
      </c>
      <c r="DE51" s="3274">
        <f>ЦО_логистика!CF51+'Форд Тягач'!DE51+'MAN Blue KA1783HI'!CP51+'MAN green KA2790IE'!CP51+'MAN №3 white KA7837HO'!CP51+'MAN №4 white KA3597HO'!CP51+'MAN №5 Тент МД'!CF51</f>
        <v>0</v>
      </c>
      <c r="DF51" s="2028">
        <f>DD51+DE51*1</f>
        <v>0</v>
      </c>
      <c r="DG51" s="3284">
        <f t="shared" si="73"/>
        <v>0</v>
      </c>
      <c r="DH51" s="3311"/>
      <c r="DI51" s="3274">
        <f>ЦО_логистика!CJ51+'Форд Тягач'!DI51+'MAN Blue KA1783HI'!CT51+'MAN green KA2790IE'!CT51+'MAN №3 white KA7837HO'!CT51+'MAN №4 white KA3597HO'!CT51+'MAN №5 Тент МД'!CJ51</f>
        <v>0</v>
      </c>
      <c r="DJ51" s="3274">
        <f>ЦО_логистика!CK51+'Форд Тягач'!DJ51+'MAN Blue KA1783HI'!CU51+'MAN green KA2790IE'!CU51+'MAN №3 white KA7837HO'!CU51+'MAN №4 white KA3597HO'!CU51+'MAN №5 Тент МД'!CK51</f>
        <v>0</v>
      </c>
      <c r="DK51" s="2028">
        <f>DI51+DJ51*1</f>
        <v>0</v>
      </c>
      <c r="DL51" s="3284">
        <f t="shared" si="74"/>
        <v>0</v>
      </c>
      <c r="DM51" s="3311"/>
      <c r="DN51" s="3288">
        <f t="shared" ref="DN51:DO52" si="101">R51+W51+AB51+AG51+AL51+AQ51+BF51+BK51+BP51+BU51+BZ51+CE51+CJ51+CO51+CT51+CY51+DD51+DI51+AV51</f>
        <v>5728</v>
      </c>
      <c r="DO51" s="3288">
        <f t="shared" si="101"/>
        <v>0</v>
      </c>
      <c r="DP51" s="2028">
        <f>DN51+DO51*1</f>
        <v>5728</v>
      </c>
      <c r="DQ51" s="3284">
        <f t="shared" si="75"/>
        <v>2.1679671778573393E-4</v>
      </c>
      <c r="DR51" s="3321"/>
      <c r="DS51" s="916"/>
      <c r="DT51" s="916"/>
    </row>
    <row r="52" spans="1:124" ht="13.8" x14ac:dyDescent="0.25">
      <c r="A52" s="1581"/>
      <c r="B52" s="3319" t="s">
        <v>61</v>
      </c>
      <c r="C52" s="3274">
        <v>0</v>
      </c>
      <c r="D52" s="3274">
        <v>200</v>
      </c>
      <c r="E52" s="2028">
        <v>200</v>
      </c>
      <c r="F52" s="3284">
        <v>3.198678458670036E-4</v>
      </c>
      <c r="G52" s="3311"/>
      <c r="H52" s="3274">
        <v>0</v>
      </c>
      <c r="I52" s="3274">
        <v>0</v>
      </c>
      <c r="J52" s="2028">
        <v>0</v>
      </c>
      <c r="K52" s="3284">
        <v>0</v>
      </c>
      <c r="L52" s="3311">
        <v>0</v>
      </c>
      <c r="M52" s="3274">
        <v>0</v>
      </c>
      <c r="N52" s="3274">
        <v>0</v>
      </c>
      <c r="O52" s="2028">
        <v>0</v>
      </c>
      <c r="P52" s="3284">
        <v>0</v>
      </c>
      <c r="Q52" s="3311">
        <v>0</v>
      </c>
      <c r="R52" s="3274">
        <f>'Форд Тягач'!R52+'MAN Blue KA1783HI'!C52+'MAN green KA2790IE'!C52+'MAN №3 white KA7837HO'!C52+'MAN №4 white KA3597HO'!C52+Техника!R52</f>
        <v>0</v>
      </c>
      <c r="S52" s="3274">
        <f>'Форд Тягач'!S52+'MAN Blue KA1783HI'!D52+'MAN green KA2790IE'!D52+'MAN №3 white KA7837HO'!D52+'MAN №4 white KA3597HO'!D52+Техника!S52</f>
        <v>0</v>
      </c>
      <c r="T52" s="2028">
        <f>R52+S52*1</f>
        <v>0</v>
      </c>
      <c r="U52" s="3284">
        <f>T52/$T$89</f>
        <v>0</v>
      </c>
      <c r="V52" s="3311"/>
      <c r="W52" s="3274">
        <f>'Форд Тягач'!W52+'MAN Blue KA1783HI'!H52+'MAN green KA2790IE'!H52+'MAN №3 white KA7837HO'!H52+'MAN №4 white KA3597HO'!H52</f>
        <v>0</v>
      </c>
      <c r="X52" s="3274">
        <f>'Форд Тягач'!X52+'MAN Blue KA1783HI'!I52+'MAN green KA2790IE'!I52+'MAN №3 white KA7837HO'!I52+'MAN №4 white KA3597HO'!I52</f>
        <v>0</v>
      </c>
      <c r="Y52" s="2028">
        <f>W52+X52*1</f>
        <v>0</v>
      </c>
      <c r="Z52" s="3284">
        <f>Y52/$T$89</f>
        <v>0</v>
      </c>
      <c r="AA52" s="3421"/>
      <c r="AB52" s="3274">
        <f>ЦО_логистика!C52+'Форд Тягач'!AB52+'MAN Blue KA1783HI'!M52+'MAN green KA2790IE'!M52+'MAN №3 white KA7837HO'!M52+'MAN №4 white KA3597HO'!M52+'MAN №5 Тент МД'!C52</f>
        <v>0</v>
      </c>
      <c r="AC52" s="3274">
        <f>ЦО_логистика!D52+'Форд Тягач'!AC52+'MAN Blue KA1783HI'!N52+'MAN green KA2790IE'!N52+'MAN №3 white KA7837HO'!N52+'MAN №4 white KA3597HO'!N52+'MAN №5 Тент МД'!D52</f>
        <v>0</v>
      </c>
      <c r="AD52" s="2028">
        <f>AB52+AC52*1</f>
        <v>0</v>
      </c>
      <c r="AE52" s="3284">
        <f t="shared" si="2"/>
        <v>0</v>
      </c>
      <c r="AF52" s="3311"/>
      <c r="AG52" s="3274">
        <f>ЦО_логистика!H52+'Форд Тягач'!AG52+'MAN Blue KA1783HI'!R52+'MAN green KA2790IE'!R52+'MAN №3 white KA7837HO'!R52+'MAN №4 white KA3597HO'!R52+'MAN №5 Тент МД'!H52</f>
        <v>0</v>
      </c>
      <c r="AH52" s="3274">
        <f>ЦО_логистика!I52+'Форд Тягач'!AH52+'MAN Blue KA1783HI'!S52+'MAN green KA2790IE'!S52+'MAN №3 white KA7837HO'!S52+'MAN №4 white KA3597HO'!S52+'MAN №5 Тент МД'!I52</f>
        <v>0</v>
      </c>
      <c r="AI52" s="2028">
        <f>AG52+AH52*1</f>
        <v>0</v>
      </c>
      <c r="AJ52" s="3284">
        <f>AI52/$AD$89</f>
        <v>0</v>
      </c>
      <c r="AK52" s="3311"/>
      <c r="AL52" s="3274">
        <f>ЦО_логистика!M52+'Форд Тягач'!AL52+'MAN Blue KA1783HI'!W52+'MAN green KA2790IE'!W52+'MAN №3 white KA7837HO'!W52+'MAN №4 white KA3597HO'!W52+'MAN №5 Тент МД'!M52</f>
        <v>0</v>
      </c>
      <c r="AM52" s="3274">
        <f>ЦО_логистика!N52+'Форд Тягач'!AM52+'MAN Blue KA1783HI'!X52+'MAN green KA2790IE'!X52+'MAN №3 white KA7837HO'!X52+'MAN №4 white KA3597HO'!X52+'MAN №5 Тент МД'!N52</f>
        <v>0</v>
      </c>
      <c r="AN52" s="2028">
        <f>AL52+AM52*1</f>
        <v>0</v>
      </c>
      <c r="AO52" s="3284">
        <f>AN52/$AD$89</f>
        <v>0</v>
      </c>
      <c r="AP52" s="3311"/>
      <c r="AQ52" s="3274">
        <f>SUM(ЦО_логистика!R52,'Форд Тягач'!AQ52,'MAN Blue KA1783HI'!AB52,'MAN green KA2790IE'!AB52,'MAN №3 white KA7837HO'!AB52,'MAN №4 white KA3597HO'!AB52,'MAN №5 Тент МД'!R52)</f>
        <v>0</v>
      </c>
      <c r="AR52" s="3274">
        <f>SUM(ЦО_логистика!S52,'Форд Тягач'!AR52,'MAN Blue KA1783HI'!AC52,'MAN green KA2790IE'!AC52,'MAN №3 white KA7837HO'!AC52,'MAN №4 white KA3597HO'!AC52,'MAN №5 Тент МД'!S52)</f>
        <v>0</v>
      </c>
      <c r="AS52" s="2028">
        <f>AQ52+AR52*1</f>
        <v>0</v>
      </c>
      <c r="AT52" s="3284">
        <f>AS52/$AD$89</f>
        <v>0</v>
      </c>
      <c r="AU52" s="3311"/>
      <c r="AV52" s="3275">
        <f>+ЦО_логистика!W52+'Форд Тягач'!AV52+'MAN Blue KA1783HI'!AG52+'MAN green KA2790IE'!AG52+'MAN №3 white KA7837HO'!AG52+'MAN №4 white KA3597HO'!AG52+'MAN №5 Тент МД'!W52</f>
        <v>15726</v>
      </c>
      <c r="AW52" s="3275">
        <f>+ЦО_логистика!X52+'Форд Тягач'!AW52+'MAN Blue KA1783HI'!AH52+'MAN green KA2790IE'!AH52+'MAN №3 white KA7837HO'!AH52+'MAN №4 white KA3597HO'!AH52+'MAN №5 Тент МД'!X52</f>
        <v>0</v>
      </c>
      <c r="AX52" s="2028">
        <f>AV52+AW52*1</f>
        <v>15726</v>
      </c>
      <c r="AY52" s="3426">
        <f>AX52/$AD$89</f>
        <v>1.2303255303592628E-2</v>
      </c>
      <c r="AZ52" s="3321"/>
      <c r="BA52" s="3275">
        <f t="shared" si="100"/>
        <v>0</v>
      </c>
      <c r="BB52" s="3275">
        <f t="shared" si="100"/>
        <v>0</v>
      </c>
      <c r="BC52" s="2028">
        <f>BA52+BB52*1</f>
        <v>0</v>
      </c>
      <c r="BD52" s="3426">
        <f>BC52/$AD$89</f>
        <v>0</v>
      </c>
      <c r="BE52" s="3367">
        <f>ЦО_логистика!AD52+'Форд Тягач'!BC52+'MAN Blue KA1783HI'!AN52+'MAN green KA2790IE'!AN52+'MAN №3 white KA7837HO'!AN52+'MAN №4 white KA3597HO'!AN52+'MAN №5 Тент МД'!AD52-BC52</f>
        <v>0</v>
      </c>
      <c r="BF52" s="3274">
        <f>ЦО_логистика!AG52+'Форд Тягач'!BF52+'MAN Blue KA1783HI'!AQ52+'MAN green KA2790IE'!AQ52+'MAN №3 white KA7837HO'!AQ52+'MAN №4 white KA3597HO'!AQ52+'MAN №5 Тент МД'!AG52</f>
        <v>0</v>
      </c>
      <c r="BG52" s="3274">
        <f>ЦО_логистика!AH52+'Форд Тягач'!BG52+'MAN Blue KA1783HI'!AR52+'MAN green KA2790IE'!AR52+'MAN №3 white KA7837HO'!AR52+'MAN №4 white KA3597HO'!AR52+'MAN №5 Тент МД'!AH52</f>
        <v>0</v>
      </c>
      <c r="BH52" s="2028">
        <f>BF52+BG52*1</f>
        <v>0</v>
      </c>
      <c r="BI52" s="3284">
        <f>BH52/$AD$89</f>
        <v>0</v>
      </c>
      <c r="BJ52" s="3321"/>
      <c r="BK52" s="3275">
        <f>ЦО_логистика!AL52+'Форд Тягач'!BK52+'MAN Blue KA1783HI'!AV52+'MAN green KA2790IE'!AV52+'MAN №3 white KA7837HO'!AV52+'MAN №4 white KA3597HO'!AV52+'MAN №5 Тент МД'!AL52</f>
        <v>0</v>
      </c>
      <c r="BL52" s="3275">
        <f>ЦО_логистика!AM52+'Форд Тягач'!BL52+'MAN Blue KA1783HI'!AW52+'MAN green KA2790IE'!AW52+'MAN №3 white KA7837HO'!AW52+'MAN №4 white KA3597HO'!AW52+'MAN №5 Тент МД'!AM52</f>
        <v>0</v>
      </c>
      <c r="BM52" s="2028">
        <f>BK52+BL52*1</f>
        <v>0</v>
      </c>
      <c r="BN52" s="3284">
        <f>BM52/$AD$89</f>
        <v>0</v>
      </c>
      <c r="BO52" s="3321"/>
      <c r="BP52" s="3274">
        <f>ЦО_логистика!AQ52+'Форд Тягач'!BP52+'MAN Blue KA1783HI'!BA52+'MAN green KA2790IE'!BA52+'MAN №3 white KA7837HO'!BA52+'MAN №4 white KA3597HO'!BA52+'MAN №5 Тент МД'!AQ52</f>
        <v>0</v>
      </c>
      <c r="BQ52" s="3274">
        <f>ЦО_логистика!AR52+'Форд Тягач'!BQ52+'MAN Blue KA1783HI'!BB52+'MAN green KA2790IE'!BB52+'MAN №3 white KA7837HO'!BB52+'MAN №4 white KA3597HO'!BB52+'MAN №5 Тент МД'!AR52</f>
        <v>0</v>
      </c>
      <c r="BR52" s="2028">
        <f>BP52+BQ52*1</f>
        <v>0</v>
      </c>
      <c r="BS52" s="3284">
        <f t="shared" si="65"/>
        <v>0</v>
      </c>
      <c r="BT52" s="3311"/>
      <c r="BU52" s="3274">
        <f>ЦО_логистика!AV52+'Форд Тягач'!BU52+'MAN Blue KA1783HI'!BF52+'MAN green KA2790IE'!BF52+'MAN №3 white KA7837HO'!BF52+'MAN №4 white KA3597HO'!BF52+'MAN №5 Тент МД'!AV52</f>
        <v>0</v>
      </c>
      <c r="BV52" s="3274">
        <f>ЦО_логистика!AW52+'Форд Тягач'!BV52+'MAN Blue KA1783HI'!BG52+'MAN green KA2790IE'!BG52+'MAN №3 white KA7837HO'!BG52+'MAN №4 white KA3597HO'!BG52+'MAN №5 Тент МД'!AW52</f>
        <v>0</v>
      </c>
      <c r="BW52" s="2028">
        <f>BU52+BV52*1</f>
        <v>0</v>
      </c>
      <c r="BX52" s="3284">
        <f t="shared" si="66"/>
        <v>0</v>
      </c>
      <c r="BY52" s="3311"/>
      <c r="BZ52" s="3274">
        <f>ЦО_логистика!BA52+'Форд Тягач'!BZ52+'MAN Blue KA1783HI'!BK52+'MAN green KA2790IE'!BK52+'MAN №3 white KA7837HO'!BK52+'MAN №4 white KA3597HO'!BK52+'MAN №5 Тент МД'!BA52</f>
        <v>0</v>
      </c>
      <c r="CA52" s="3274">
        <f>ЦО_логистика!BB52+'Форд Тягач'!CA52+'MAN Blue KA1783HI'!BL52+'MAN green KA2790IE'!BL52+'MAN №3 white KA7837HO'!BL52+'MAN №4 white KA3597HO'!BL52+'MAN №5 Тент МД'!BB52</f>
        <v>0</v>
      </c>
      <c r="CB52" s="2028">
        <f>BZ52+CA52*1</f>
        <v>0</v>
      </c>
      <c r="CC52" s="3284">
        <f t="shared" si="67"/>
        <v>0</v>
      </c>
      <c r="CD52" s="3311"/>
      <c r="CE52" s="3274">
        <f>ЦО_логистика!BF52+'Форд Тягач'!CE52+'MAN Blue KA1783HI'!BP52+'MAN green KA2790IE'!BP52+'MAN №3 white KA7837HO'!BP52+'MAN №4 white KA3597HO'!BP52+'MAN №5 Тент МД'!BF52</f>
        <v>0</v>
      </c>
      <c r="CF52" s="3274">
        <f>ЦО_логистика!BG52+'Форд Тягач'!CF52+'MAN Blue KA1783HI'!BQ52+'MAN green KA2790IE'!BQ52+'MAN №3 white KA7837HO'!BQ52+'MAN №4 white KA3597HO'!BQ52+'MAN №5 Тент МД'!BG52</f>
        <v>0</v>
      </c>
      <c r="CG52" s="2028">
        <f>CE52+CF52*1</f>
        <v>0</v>
      </c>
      <c r="CH52" s="3284">
        <f t="shared" si="68"/>
        <v>0</v>
      </c>
      <c r="CI52" s="3311"/>
      <c r="CJ52" s="3274">
        <f>ЦО_логистика!BK52+'Форд Тягач'!CJ52+'MAN Blue KA1783HI'!BU52+'MAN green KA2790IE'!BU52+'MAN №3 white KA7837HO'!BU52+'MAN №4 white KA3597HO'!BU52+'MAN №5 Тент МД'!BK52</f>
        <v>0</v>
      </c>
      <c r="CK52" s="3274">
        <f>ЦО_логистика!BL52+'Форд Тягач'!CK52+'MAN Blue KA1783HI'!BV52+'MAN green KA2790IE'!BV52+'MAN №3 white KA7837HO'!BV52+'MAN №4 white KA3597HO'!BV52+'MAN №5 Тент МД'!BL52</f>
        <v>0</v>
      </c>
      <c r="CL52" s="2028">
        <f>CJ52+CK52*1</f>
        <v>0</v>
      </c>
      <c r="CM52" s="3284">
        <f t="shared" si="69"/>
        <v>0</v>
      </c>
      <c r="CN52" s="3311"/>
      <c r="CO52" s="3274">
        <f>ЦО_логистика!BP52+'Форд Тягач'!CO52+'MAN Blue KA1783HI'!BZ52+'MAN green KA2790IE'!BZ52+'MAN №3 white KA7837HO'!BZ52+'MAN №4 white KA3597HO'!BZ52+'MAN №5 Тент МД'!BP52</f>
        <v>0</v>
      </c>
      <c r="CP52" s="3274">
        <f>ЦО_логистика!BQ52+'Форд Тягач'!CP52+'MAN Blue KA1783HI'!CA52+'MAN green KA2790IE'!CA52+'MAN №3 white KA7837HO'!CA52+'MAN №4 white KA3597HO'!CA52+'MAN №5 Тент МД'!BQ52</f>
        <v>0</v>
      </c>
      <c r="CQ52" s="2028">
        <f>CO52+CP52*1</f>
        <v>0</v>
      </c>
      <c r="CR52" s="3284">
        <f t="shared" si="70"/>
        <v>0</v>
      </c>
      <c r="CS52" s="3311"/>
      <c r="CT52" s="3274">
        <f>ЦО_логистика!BU52+'Форд Тягач'!CT52+'MAN Blue KA1783HI'!CE52+'MAN green KA2790IE'!CE52+'MAN №3 white KA7837HO'!CE52+'MAN №4 white KA3597HO'!CE52+'MAN №5 Тент МД'!BU52</f>
        <v>0</v>
      </c>
      <c r="CU52" s="3274">
        <f>ЦО_логистика!BV52+'Форд Тягач'!CU52+'MAN Blue KA1783HI'!CF52+'MAN green KA2790IE'!CF52+'MAN №3 white KA7837HO'!CF52+'MAN №4 white KA3597HO'!CF52+'MAN №5 Тент МД'!BV52</f>
        <v>0</v>
      </c>
      <c r="CV52" s="2028">
        <f>CT52+CU52*1</f>
        <v>0</v>
      </c>
      <c r="CW52" s="3284">
        <f t="shared" si="71"/>
        <v>0</v>
      </c>
      <c r="CX52" s="3311"/>
      <c r="CY52" s="3274">
        <f>ЦО_логистика!BZ52+'Форд Тягач'!CY52+'MAN Blue KA1783HI'!CJ52+'MAN green KA2790IE'!CJ52+'MAN №3 white KA7837HO'!CJ52+'MAN №4 white KA3597HO'!CJ52+'MAN №5 Тент МД'!BZ52</f>
        <v>0</v>
      </c>
      <c r="CZ52" s="3274">
        <f>ЦО_логистика!CA52+'Форд Тягач'!CZ52+'MAN Blue KA1783HI'!CK52+'MAN green KA2790IE'!CK52+'MAN №3 white KA7837HO'!CK52+'MAN №4 white KA3597HO'!CK52+'MAN №5 Тент МД'!CA52</f>
        <v>0</v>
      </c>
      <c r="DA52" s="2028">
        <f>CY52+CZ52*1</f>
        <v>0</v>
      </c>
      <c r="DB52" s="3284">
        <f t="shared" si="72"/>
        <v>0</v>
      </c>
      <c r="DC52" s="3311"/>
      <c r="DD52" s="3274">
        <f>ЦО_логистика!CE52+'Форд Тягач'!DD52+'MAN Blue KA1783HI'!CO52+'MAN green KA2790IE'!CO52+'MAN №3 white KA7837HO'!CO52+'MAN №4 white KA3597HO'!CO52+'MAN №5 Тент МД'!CE52</f>
        <v>0</v>
      </c>
      <c r="DE52" s="3274">
        <f>ЦО_логистика!CF52+'Форд Тягач'!DE52+'MAN Blue KA1783HI'!CP52+'MAN green KA2790IE'!CP52+'MAN №3 white KA7837HO'!CP52+'MAN №4 white KA3597HO'!CP52+'MAN №5 Тент МД'!CF52</f>
        <v>0</v>
      </c>
      <c r="DF52" s="2028">
        <f>DD52+DE52*1</f>
        <v>0</v>
      </c>
      <c r="DG52" s="3284">
        <f t="shared" si="73"/>
        <v>0</v>
      </c>
      <c r="DH52" s="3311"/>
      <c r="DI52" s="3274">
        <f>ЦО_логистика!CJ52+'Форд Тягач'!DI52+'MAN Blue KA1783HI'!CT52+'MAN green KA2790IE'!CT52+'MAN №3 white KA7837HO'!CT52+'MAN №4 white KA3597HO'!CT52+'MAN №5 Тент МД'!CJ52</f>
        <v>0</v>
      </c>
      <c r="DJ52" s="3274">
        <f>ЦО_логистика!CK52+'Форд Тягач'!DJ52+'MAN Blue KA1783HI'!CU52+'MAN green KA2790IE'!CU52+'MAN №3 white KA7837HO'!CU52+'MAN №4 white KA3597HO'!CU52+'MAN №5 Тент МД'!CK52</f>
        <v>0</v>
      </c>
      <c r="DK52" s="2028">
        <f>DI52+DJ52*1</f>
        <v>0</v>
      </c>
      <c r="DL52" s="3284">
        <f t="shared" si="74"/>
        <v>0</v>
      </c>
      <c r="DM52" s="3311"/>
      <c r="DN52" s="3288">
        <f t="shared" si="101"/>
        <v>15726</v>
      </c>
      <c r="DO52" s="3288">
        <f t="shared" si="101"/>
        <v>0</v>
      </c>
      <c r="DP52" s="2028">
        <f>DN52+DO52*1</f>
        <v>15726</v>
      </c>
      <c r="DQ52" s="3284">
        <f t="shared" si="75"/>
        <v>5.9520691059679668E-4</v>
      </c>
      <c r="DR52" s="3321"/>
      <c r="DS52" s="916"/>
      <c r="DT52" s="916"/>
    </row>
    <row r="53" spans="1:124" ht="14.4" thickBot="1" x14ac:dyDescent="0.3">
      <c r="A53" s="1428"/>
      <c r="B53" s="3322"/>
      <c r="C53" s="3274">
        <v>0</v>
      </c>
      <c r="D53" s="3274">
        <v>0</v>
      </c>
      <c r="E53" s="3227">
        <v>0</v>
      </c>
      <c r="F53" s="3227">
        <v>0</v>
      </c>
      <c r="G53" s="3227"/>
      <c r="H53" s="3274">
        <v>0</v>
      </c>
      <c r="I53" s="3274">
        <v>0</v>
      </c>
      <c r="J53" s="3227">
        <v>0</v>
      </c>
      <c r="K53" s="3227">
        <v>0</v>
      </c>
      <c r="L53" s="3227">
        <v>0</v>
      </c>
      <c r="M53" s="3274">
        <v>0</v>
      </c>
      <c r="N53" s="3274">
        <v>0</v>
      </c>
      <c r="O53" s="3227">
        <v>0</v>
      </c>
      <c r="P53" s="3227">
        <v>0</v>
      </c>
      <c r="Q53" s="3227">
        <v>0</v>
      </c>
      <c r="R53" s="3274">
        <f>'Форд Тягач'!R53+'MAN Blue KA1783HI'!C53+'MAN green KA2790IE'!C53+'MAN №3 white KA7837HO'!C53+'MAN №4 white KA3597HO'!C53+Техника!R53</f>
        <v>0</v>
      </c>
      <c r="S53" s="3274">
        <f>'Форд Тягач'!S53+'MAN Blue KA1783HI'!D53+'MAN green KA2790IE'!D53+'MAN №3 white KA7837HO'!D53+'MAN №4 white KA3597HO'!D53+Техника!S53</f>
        <v>0</v>
      </c>
      <c r="T53" s="3227"/>
      <c r="U53" s="3227"/>
      <c r="V53" s="3227"/>
      <c r="W53" s="3274"/>
      <c r="X53" s="3274"/>
      <c r="Y53" s="3227"/>
      <c r="Z53" s="3227"/>
      <c r="AA53" s="3227"/>
      <c r="AB53" s="3274"/>
      <c r="AC53" s="3274"/>
      <c r="AD53" s="3227"/>
      <c r="AE53" s="3227"/>
      <c r="AF53" s="3227"/>
      <c r="AG53" s="3274"/>
      <c r="AH53" s="3274"/>
      <c r="AI53" s="3227"/>
      <c r="AJ53" s="3227"/>
      <c r="AK53" s="3227"/>
      <c r="AL53" s="3274"/>
      <c r="AM53" s="3274"/>
      <c r="AN53" s="3227"/>
      <c r="AO53" s="3227"/>
      <c r="AP53" s="3227"/>
      <c r="AQ53" s="3274"/>
      <c r="AR53" s="3274"/>
      <c r="AS53" s="3227"/>
      <c r="AT53" s="3227"/>
      <c r="AU53" s="3227"/>
      <c r="AV53" s="1328"/>
      <c r="AW53" s="1328"/>
      <c r="AX53" s="1328"/>
      <c r="AY53" s="2517"/>
      <c r="AZ53" s="1328"/>
      <c r="BA53" s="1328"/>
      <c r="BB53" s="1328"/>
      <c r="BC53" s="1328"/>
      <c r="BD53" s="2517"/>
      <c r="BE53" s="1328">
        <f>ЦО_логистика!AD53+'Форд Тягач'!BC53+'MAN Blue KA1783HI'!AN53+'MAN green KA2790IE'!AN53+'MAN №3 white KA7837HO'!AN53+'MAN №4 white KA3597HO'!AN53+'MAN №5 Тент МД'!AD53-BC53</f>
        <v>0</v>
      </c>
      <c r="BF53" s="3274"/>
      <c r="BG53" s="3274"/>
      <c r="BH53" s="3227"/>
      <c r="BI53" s="3227"/>
      <c r="BJ53" s="1328"/>
      <c r="BK53" s="1328"/>
      <c r="BL53" s="1328"/>
      <c r="BM53" s="3227"/>
      <c r="BN53" s="3227"/>
      <c r="BO53" s="1328"/>
      <c r="BP53" s="3274"/>
      <c r="BQ53" s="3274"/>
      <c r="BR53" s="3227"/>
      <c r="BS53" s="3227"/>
      <c r="BT53" s="3227"/>
      <c r="BU53" s="3274"/>
      <c r="BV53" s="3274"/>
      <c r="BW53" s="3227"/>
      <c r="BX53" s="3227"/>
      <c r="BY53" s="3227"/>
      <c r="BZ53" s="3274"/>
      <c r="CA53" s="3274"/>
      <c r="CB53" s="3227"/>
      <c r="CC53" s="3227"/>
      <c r="CD53" s="3227"/>
      <c r="CE53" s="3274"/>
      <c r="CF53" s="3274"/>
      <c r="CG53" s="3227"/>
      <c r="CH53" s="3227"/>
      <c r="CI53" s="3227"/>
      <c r="CJ53" s="3274"/>
      <c r="CK53" s="3274"/>
      <c r="CL53" s="3227"/>
      <c r="CM53" s="3227"/>
      <c r="CN53" s="3227"/>
      <c r="CO53" s="3274"/>
      <c r="CP53" s="3274"/>
      <c r="CQ53" s="3227"/>
      <c r="CR53" s="3227"/>
      <c r="CS53" s="3227"/>
      <c r="CT53" s="3274"/>
      <c r="CU53" s="3274"/>
      <c r="CV53" s="3227"/>
      <c r="CW53" s="3227"/>
      <c r="CX53" s="3227"/>
      <c r="CY53" s="3274"/>
      <c r="CZ53" s="3274"/>
      <c r="DA53" s="3227"/>
      <c r="DB53" s="3227"/>
      <c r="DC53" s="3227"/>
      <c r="DD53" s="3274"/>
      <c r="DE53" s="3274"/>
      <c r="DF53" s="3227"/>
      <c r="DG53" s="3227"/>
      <c r="DH53" s="3227"/>
      <c r="DI53" s="3274"/>
      <c r="DJ53" s="3274"/>
      <c r="DK53" s="3227"/>
      <c r="DL53" s="3227"/>
      <c r="DM53" s="3227"/>
      <c r="DN53" s="3288"/>
      <c r="DO53" s="3274"/>
      <c r="DP53" s="3227"/>
      <c r="DQ53" s="3227"/>
      <c r="DR53" s="1328"/>
      <c r="DS53" s="916"/>
      <c r="DT53" s="916"/>
    </row>
    <row r="54" spans="1:124" ht="14.4" thickBot="1" x14ac:dyDescent="0.3">
      <c r="A54" s="1585"/>
      <c r="B54" s="1425" t="s">
        <v>1</v>
      </c>
      <c r="C54" s="309">
        <v>889.38</v>
      </c>
      <c r="D54" s="2031">
        <v>2149.83</v>
      </c>
      <c r="E54" s="2031">
        <v>3039.21</v>
      </c>
      <c r="F54" s="3318">
        <v>4.8607277791872803E-3</v>
      </c>
      <c r="G54" s="2022"/>
      <c r="H54" s="309">
        <v>0</v>
      </c>
      <c r="I54" s="2031">
        <v>323.97000000000003</v>
      </c>
      <c r="J54" s="2031">
        <v>323.97000000000003</v>
      </c>
      <c r="K54" s="3318">
        <v>2.6897605821645078E-3</v>
      </c>
      <c r="L54" s="2022">
        <v>0</v>
      </c>
      <c r="M54" s="309">
        <v>0</v>
      </c>
      <c r="N54" s="2031">
        <v>313.23</v>
      </c>
      <c r="O54" s="2031">
        <v>313.23</v>
      </c>
      <c r="P54" s="3318">
        <v>4.5555440969550148E-4</v>
      </c>
      <c r="Q54" s="2022">
        <v>0</v>
      </c>
      <c r="R54" s="2031">
        <f>SUM(R55:R72)</f>
        <v>89379.95</v>
      </c>
      <c r="S54" s="2031">
        <f>SUM(S55:S72)</f>
        <v>102488.57</v>
      </c>
      <c r="T54" s="2031">
        <f>SUM(T55:T72)</f>
        <v>191868.52000000002</v>
      </c>
      <c r="U54" s="3318">
        <f t="shared" ref="U54:U71" si="102">T54/$T$89</f>
        <v>0.14679172148904771</v>
      </c>
      <c r="V54" s="2022"/>
      <c r="W54" s="2031">
        <f>SUM(W55:W72)</f>
        <v>125849.70000000001</v>
      </c>
      <c r="X54" s="2031">
        <f>SUM(X55:X72)</f>
        <v>106456.11</v>
      </c>
      <c r="Y54" s="2031">
        <f>SUM(Y55:Y72)</f>
        <v>232305.81000000003</v>
      </c>
      <c r="Z54" s="3318">
        <f t="shared" ref="Z54:Z71" si="103">Y54/$T$89</f>
        <v>0.1777288414056023</v>
      </c>
      <c r="AA54" s="988"/>
      <c r="AB54" s="2031">
        <f>SUM(AB55:AB72)</f>
        <v>145598.81</v>
      </c>
      <c r="AC54" s="2031">
        <f>SUM(AC55:AC72)</f>
        <v>125830.54000000001</v>
      </c>
      <c r="AD54" s="2031">
        <f>SUM(AD55:AD72)</f>
        <v>271429.34999999998</v>
      </c>
      <c r="AE54" s="3318">
        <f t="shared" si="2"/>
        <v>0.21235308342478693</v>
      </c>
      <c r="AF54" s="2022"/>
      <c r="AG54" s="2031">
        <f>SUM(AG55:AG72)</f>
        <v>267272.06</v>
      </c>
      <c r="AH54" s="2031">
        <f>SUM(AH55:AH72)</f>
        <v>111975.93</v>
      </c>
      <c r="AI54" s="2031">
        <f>SUM(AI55:AI72)</f>
        <v>379247.99</v>
      </c>
      <c r="AJ54" s="3318">
        <f t="shared" ref="AJ54:AJ71" si="104">AI54/$AD$89</f>
        <v>0.29670512809006383</v>
      </c>
      <c r="AK54" s="2022"/>
      <c r="AL54" s="2031">
        <f>SUM(AL55:AL72)</f>
        <v>152904.18</v>
      </c>
      <c r="AM54" s="2031">
        <f>SUM(AM55:AM72)</f>
        <v>127242.8</v>
      </c>
      <c r="AN54" s="2031">
        <f>SUM(AN55:AN72)</f>
        <v>280146.98</v>
      </c>
      <c r="AO54" s="3318">
        <f t="shared" ref="AO54:AO71" si="105">AN54/$AD$89</f>
        <v>0.21917333190070312</v>
      </c>
      <c r="AP54" s="2022"/>
      <c r="AQ54" s="2031">
        <f>SUM(AQ55:AQ72)</f>
        <v>2046598.6199999999</v>
      </c>
      <c r="AR54" s="2031">
        <f>SUM(AR55:AR72)</f>
        <v>167762.72</v>
      </c>
      <c r="AS54" s="2031">
        <f>SUM(AS55:AS72)</f>
        <v>2214361.34</v>
      </c>
      <c r="AT54" s="3318">
        <f t="shared" ref="AT54:AT71" si="106">AS54/$AD$89</f>
        <v>1.7324082983864604</v>
      </c>
      <c r="AU54" s="2022"/>
      <c r="AV54" s="2031">
        <f>SUM(AV55:AV72)</f>
        <v>623390.91799999983</v>
      </c>
      <c r="AW54" s="2031">
        <f>SUM(AW55:AW72)</f>
        <v>540959.86</v>
      </c>
      <c r="AX54" s="2031">
        <f>SUM(AX55:AX72)</f>
        <v>1164350.7780000002</v>
      </c>
      <c r="AY54" s="1550">
        <f t="shared" ref="AY54:AY71" si="107">AX54/$AD$89</f>
        <v>0.91093125299953603</v>
      </c>
      <c r="AZ54" s="1460"/>
      <c r="BA54" s="2031">
        <f>SUM(BA55:BA72)</f>
        <v>60362.805</v>
      </c>
      <c r="BB54" s="2031">
        <f>SUM(BB55:BB72)</f>
        <v>51016</v>
      </c>
      <c r="BC54" s="2031">
        <f>SUM(BC55:BC72)</f>
        <v>111378.80499999999</v>
      </c>
      <c r="BD54" s="1550">
        <f t="shared" ref="BD54:BD71" si="108">BC54/$AD$89</f>
        <v>8.7137344100474301E-2</v>
      </c>
      <c r="BE54" s="1460">
        <f>ЦО_логистика!AD54+'Форд Тягач'!BC54+'MAN Blue KA1783HI'!AN54+'MAN green KA2790IE'!AN54+'MAN №3 white KA7837HO'!AN54+'MAN №4 white KA3597HO'!AN54+'MAN №5 Тент МД'!AD54-BC54</f>
        <v>0</v>
      </c>
      <c r="BF54" s="2031">
        <f>SUM(BF55:BF72)</f>
        <v>20058.334999999999</v>
      </c>
      <c r="BG54" s="2031">
        <f>SUM(BG55:BG72)</f>
        <v>3333</v>
      </c>
      <c r="BH54" s="2031">
        <f>SUM(BH55:BH72)</f>
        <v>23391.334999999999</v>
      </c>
      <c r="BI54" s="3318">
        <f t="shared" ref="BI54:BI71" si="109">BH54/$AD$89</f>
        <v>1.8300239501262992E-2</v>
      </c>
      <c r="BJ54" s="1460"/>
      <c r="BK54" s="2031">
        <f>SUM(BK55:BK72)</f>
        <v>17533.939999999999</v>
      </c>
      <c r="BL54" s="2031">
        <f>SUM(BL55:BL72)</f>
        <v>19417.29</v>
      </c>
      <c r="BM54" s="2031">
        <f>SUM(BM55:BM72)</f>
        <v>36951.229999999996</v>
      </c>
      <c r="BN54" s="3318">
        <f>BM54/$AD$89</f>
        <v>2.8908839912995737E-2</v>
      </c>
      <c r="BO54" s="1460"/>
      <c r="BP54" s="2031">
        <f>SUM(BP55:BP72)</f>
        <v>22770.53</v>
      </c>
      <c r="BQ54" s="2031">
        <f>SUM(BQ55:BQ72)</f>
        <v>28265.71</v>
      </c>
      <c r="BR54" s="2031">
        <f>SUM(BR55:BR72)</f>
        <v>51036.240000000005</v>
      </c>
      <c r="BS54" s="3318">
        <f t="shared" ref="BS54:BS71" si="110">BR54/$AD$89</f>
        <v>3.9928264686215582E-2</v>
      </c>
      <c r="BT54" s="2022"/>
      <c r="BU54" s="2031">
        <f>SUM(BU55:BU72)</f>
        <v>0</v>
      </c>
      <c r="BV54" s="2031">
        <f>SUM(BV55:BV72)</f>
        <v>0</v>
      </c>
      <c r="BW54" s="2031">
        <f>SUM(BW55:BW72)</f>
        <v>0</v>
      </c>
      <c r="BX54" s="3318">
        <f t="shared" ref="BX54:BX71" si="111">BW54/$AD$89</f>
        <v>0</v>
      </c>
      <c r="BY54" s="2022"/>
      <c r="BZ54" s="2031">
        <f>SUM(BZ55:BZ72)</f>
        <v>0</v>
      </c>
      <c r="CA54" s="2031">
        <f>SUM(CA55:CA72)</f>
        <v>0</v>
      </c>
      <c r="CB54" s="2031">
        <f>SUM(CB55:CB72)</f>
        <v>0</v>
      </c>
      <c r="CC54" s="3318">
        <f t="shared" ref="CC54:CC71" si="112">CB54/$AD$89</f>
        <v>0</v>
      </c>
      <c r="CD54" s="2022"/>
      <c r="CE54" s="2031">
        <f>SUM(CE55:CE72)</f>
        <v>0</v>
      </c>
      <c r="CF54" s="2031">
        <f>SUM(CF55:CF72)</f>
        <v>0</v>
      </c>
      <c r="CG54" s="2031">
        <f>SUM(CG55:CG72)</f>
        <v>0</v>
      </c>
      <c r="CH54" s="3318">
        <f t="shared" ref="CH54:CH71" si="113">CG54/$AD$89</f>
        <v>0</v>
      </c>
      <c r="CI54" s="2022"/>
      <c r="CJ54" s="2031">
        <f>SUM(CJ55:CJ72)</f>
        <v>0</v>
      </c>
      <c r="CK54" s="2031">
        <f>SUM(CK55:CK72)</f>
        <v>0</v>
      </c>
      <c r="CL54" s="2031">
        <f>SUM(CL55:CL72)</f>
        <v>0</v>
      </c>
      <c r="CM54" s="3318">
        <f t="shared" ref="CM54:CM71" si="114">CL54/$AD$89</f>
        <v>0</v>
      </c>
      <c r="CN54" s="2022"/>
      <c r="CO54" s="2031">
        <f>SUM(CO55:CO72)</f>
        <v>0</v>
      </c>
      <c r="CP54" s="2031">
        <f>SUM(CP55:CP72)</f>
        <v>0</v>
      </c>
      <c r="CQ54" s="2031">
        <f>SUM(CQ55:CQ72)</f>
        <v>0</v>
      </c>
      <c r="CR54" s="3318">
        <f t="shared" ref="CR54:CR71" si="115">CQ54/$AD$89</f>
        <v>0</v>
      </c>
      <c r="CS54" s="2022"/>
      <c r="CT54" s="2031">
        <f>SUM(CT55:CT72)</f>
        <v>0</v>
      </c>
      <c r="CU54" s="2031">
        <f>SUM(CU55:CU72)</f>
        <v>0</v>
      </c>
      <c r="CV54" s="2031">
        <f>SUM(CV55:CV72)</f>
        <v>0</v>
      </c>
      <c r="CW54" s="3318">
        <f t="shared" ref="CW54:CW71" si="116">CV54/$AD$89</f>
        <v>0</v>
      </c>
      <c r="CX54" s="2022"/>
      <c r="CY54" s="2031">
        <f>SUM(CY55:CY72)</f>
        <v>0</v>
      </c>
      <c r="CZ54" s="2031">
        <f>SUM(CZ55:CZ72)</f>
        <v>0</v>
      </c>
      <c r="DA54" s="2031">
        <f>SUM(DA55:DA72)</f>
        <v>0</v>
      </c>
      <c r="DB54" s="3318">
        <f t="shared" ref="DB54:DB71" si="117">DA54/$AD$89</f>
        <v>0</v>
      </c>
      <c r="DC54" s="2022"/>
      <c r="DD54" s="2031">
        <f>SUM(DD55:DD72)</f>
        <v>0</v>
      </c>
      <c r="DE54" s="2031">
        <f>SUM(DE55:DE72)</f>
        <v>0</v>
      </c>
      <c r="DF54" s="2031">
        <f>SUM(DF55:DF72)</f>
        <v>0</v>
      </c>
      <c r="DG54" s="3318">
        <f t="shared" ref="DG54:DG71" si="118">DF54/$AD$89</f>
        <v>0</v>
      </c>
      <c r="DH54" s="2022"/>
      <c r="DI54" s="2031">
        <f>SUM(DI55:DI72)</f>
        <v>0</v>
      </c>
      <c r="DJ54" s="2031">
        <f>SUM(DJ55:DJ72)</f>
        <v>0</v>
      </c>
      <c r="DK54" s="2031">
        <f>SUM(DK55:DK72)</f>
        <v>0</v>
      </c>
      <c r="DL54" s="3318">
        <f t="shared" ref="DL54:DL71" si="119">DK54/$AD$89</f>
        <v>0</v>
      </c>
      <c r="DM54" s="2022"/>
      <c r="DN54" s="2031">
        <f>SUM(DN55:DN72)</f>
        <v>3511357.0429999996</v>
      </c>
      <c r="DO54" s="2031">
        <f>SUM(DO55:DO72)</f>
        <v>1333732.53</v>
      </c>
      <c r="DP54" s="2031">
        <f>SUM(DP55:DP72)</f>
        <v>4845089.5730000008</v>
      </c>
      <c r="DQ54" s="3318">
        <f t="shared" si="75"/>
        <v>0.1833798039113623</v>
      </c>
      <c r="DR54" s="2022"/>
      <c r="DS54" s="916"/>
      <c r="DT54" s="916"/>
    </row>
    <row r="55" spans="1:124" ht="179.4" x14ac:dyDescent="0.25">
      <c r="A55" s="1586"/>
      <c r="B55" s="3310" t="s">
        <v>77</v>
      </c>
      <c r="C55" s="3283">
        <v>0</v>
      </c>
      <c r="D55" s="3283">
        <v>0</v>
      </c>
      <c r="E55" s="2028">
        <v>0</v>
      </c>
      <c r="F55" s="3284">
        <v>0</v>
      </c>
      <c r="G55" s="3295"/>
      <c r="H55" s="3283">
        <v>0</v>
      </c>
      <c r="I55" s="3283">
        <v>0</v>
      </c>
      <c r="J55" s="2028">
        <v>0</v>
      </c>
      <c r="K55" s="3284">
        <v>0</v>
      </c>
      <c r="L55" s="3295">
        <v>0</v>
      </c>
      <c r="M55" s="3283">
        <v>0</v>
      </c>
      <c r="N55" s="3283">
        <v>0</v>
      </c>
      <c r="O55" s="2028">
        <v>0</v>
      </c>
      <c r="P55" s="3284">
        <v>0</v>
      </c>
      <c r="Q55" s="3295">
        <v>0</v>
      </c>
      <c r="R55" s="3274">
        <f>'Форд Тягач'!R55+'MAN Blue KA1783HI'!C55+'MAN green KA2790IE'!C55+'MAN №3 white KA7837HO'!C55+'MAN №4 white KA3597HO'!C55+40885.6</f>
        <v>40885.599999999999</v>
      </c>
      <c r="S55" s="3274">
        <v>88217.57</v>
      </c>
      <c r="T55" s="2028">
        <f t="shared" ref="T55:T71" si="120">R55+S55*1</f>
        <v>129103.17000000001</v>
      </c>
      <c r="U55" s="3284">
        <f t="shared" si="102"/>
        <v>9.8772203871657416E-2</v>
      </c>
      <c r="V55" s="3275" t="s">
        <v>1113</v>
      </c>
      <c r="W55" s="3283">
        <f>'Форд Тягач'!W55+'MAN Blue KA1783HI'!H55+'MAN green KA2790IE'!H55+'MAN №3 white KA7837HO'!H55+'MAN №4 white KA3597HO'!H55+72471</f>
        <v>72471</v>
      </c>
      <c r="X55" s="3283">
        <f>'Форд Тягач'!X55+'MAN Blue KA1783HI'!I55+'MAN green KA2790IE'!I55+'MAN №3 white KA7837HO'!I55+'MAN №4 white KA3597HO'!I55+103144</f>
        <v>103144</v>
      </c>
      <c r="Y55" s="2028">
        <f t="shared" ref="Y55:Y71" si="121">W55+X55*1</f>
        <v>175615</v>
      </c>
      <c r="Z55" s="3284">
        <f t="shared" si="103"/>
        <v>0.13435673642189511</v>
      </c>
      <c r="AA55" s="3427" t="s">
        <v>1198</v>
      </c>
      <c r="AB55" s="3274">
        <f>ЦО_логистика!C55+'Форд Тягач'!AB55+'MAN Blue KA1783HI'!M55+'MAN green KA2790IE'!M55+'MAN №3 white KA7837HO'!M55+'MAN №4 white KA3597HO'!M55+'MAN №5 Тент МД'!C55</f>
        <v>78274.28</v>
      </c>
      <c r="AC55" s="3274">
        <f>ЦО_логистика!D55+'Форд Тягач'!AC55+'MAN Blue KA1783HI'!N55+'MAN green KA2790IE'!N55+'MAN №3 white KA7837HO'!N55+'MAN №4 white KA3597HO'!N55+'MAN №5 Тент МД'!D55</f>
        <v>120914.08</v>
      </c>
      <c r="AD55" s="2028">
        <f t="shared" ref="AD55:AD71" si="122">AB55+AC55*1</f>
        <v>199188.36</v>
      </c>
      <c r="AE55" s="3284">
        <f t="shared" si="2"/>
        <v>0.15583525668217713</v>
      </c>
      <c r="AF55" s="3295"/>
      <c r="AG55" s="3274">
        <f>ЦО_логистика!H55+'Форд Тягач'!AG55+'MAN Blue KA1783HI'!R55+'MAN green KA2790IE'!R55+'MAN №3 white KA7837HO'!R55+'MAN №4 white KA3597HO'!R55+'MAN №5 Тент МД'!H55</f>
        <v>83815.820000000007</v>
      </c>
      <c r="AH55" s="3274">
        <f>ЦО_логистика!I55+'Форд Тягач'!AH55+'MAN Blue KA1783HI'!S55+'MAN green KA2790IE'!S55+'MAN №3 white KA7837HO'!S55+'MAN №4 white KA3597HO'!S55+'MAN №5 Тент МД'!I55</f>
        <v>111303.29</v>
      </c>
      <c r="AI55" s="2028">
        <f t="shared" ref="AI55:AI71" si="123">AG55+AH55*1</f>
        <v>195119.11</v>
      </c>
      <c r="AJ55" s="3284">
        <f t="shared" si="104"/>
        <v>0.15265167397556742</v>
      </c>
      <c r="AK55" s="3276" t="s">
        <v>1464</v>
      </c>
      <c r="AL55" s="3274">
        <f>ЦО_логистика!M55+'Форд Тягач'!AL55+'MAN Blue KA1783HI'!W55+'MAN green KA2790IE'!W55+'MAN №3 white KA7837HO'!W55+'MAN №4 white KA3597HO'!W55+'MAN №5 Тент МД'!M55</f>
        <v>77917.2</v>
      </c>
      <c r="AM55" s="3274">
        <f>ЦО_логистика!N55+'Форд Тягач'!AM55+'MAN Blue KA1783HI'!X55+'MAN green KA2790IE'!X55+'MAN №3 white KA7837HO'!X55+'MAN №4 white KA3597HO'!X55+'MAN №5 Тент МД'!N55</f>
        <v>114926.36</v>
      </c>
      <c r="AN55" s="2028">
        <f t="shared" ref="AN55:AN71" si="124">AL55+AM55*1</f>
        <v>192843.56</v>
      </c>
      <c r="AO55" s="3284">
        <f t="shared" si="105"/>
        <v>0.15087139465431024</v>
      </c>
      <c r="AP55" s="3425" t="str">
        <f>CONCATENATE(ЦО_логистика!Q55,'Форд Тягач'!AP55,'MAN Blue KA1783HI'!AA55,'MAN green KA2790IE'!AA55,'MAN №3 white KA7837HO'!AF55,'MAN №4 white KA3597HO'!AA55,'MAN №5 Тент МД'!Q55)</f>
        <v>Ф1/Ф2 Гголомбек 1/3 (3 706,97/6939,54), Климович 1/3 (3 488,34/4845,00), Рубець 1/4 (4 787,41/7267,60), Шарова 1/3 (2 786,26/5 547,07), Манжула 1/2 (10 561,60/14 408,89), Антонович 1/2 (4 991,00/10 009,00), Аулова (9 982,00/15 018,00), Глузд (9 982,00/5 018,00), Гриценко С (11 994,50/10 993,00), Илюхин (9 156,87/21 434,38), Соломоненко (6 480,25/6 039,88), Бонусы логист (7 406,00)</v>
      </c>
      <c r="AQ55" s="3274">
        <f>SUM(ЦО_логистика!R55,'Форд Тягач'!AQ55,'MAN Blue KA1783HI'!AB55,'MAN green KA2790IE'!AB55,'MAN №3 white KA7837HO'!AB55,'MAN №4 white KA3597HO'!AB55,'MAN №5 Тент МД'!R55)</f>
        <v>80316.259999999995</v>
      </c>
      <c r="AR55" s="3274">
        <f>SUM(ЦО_логистика!S55,'Форд Тягач'!AR55,'MAN Blue KA1783HI'!AC55,'MAN green KA2790IE'!AC55,'MAN №3 white KA7837HO'!AC55,'MAN №4 white KA3597HO'!AC55,'MAN №5 Тент МД'!S55)</f>
        <v>99463.92</v>
      </c>
      <c r="AS55" s="2028">
        <f t="shared" ref="AS55:AS71" si="125">AQ55+AR55*1</f>
        <v>179780.18</v>
      </c>
      <c r="AT55" s="3284">
        <f t="shared" si="106"/>
        <v>0.14065124335914009</v>
      </c>
      <c r="AU55" s="3425" t="str">
        <f>CONCATENATE(ЦО_логистика!V55,'Форд Тягач'!AU55,'MAN Blue KA1783HI'!AF54,'MAN green KA2790IE'!AF55,'MAN №3 white KA7837HO'!AF55,'MAN №4 white KA3597HO'!AF55,'MAN №5 Тент МД'!V55)</f>
        <v/>
      </c>
      <c r="AV55" s="3275">
        <f>+ЦО_логистика!W55+'Форд Тягач'!AV55+'MAN Blue KA1783HI'!AG55+'MAN green KA2790IE'!AG55+'MAN №3 white KA7837HO'!AG55+'MAN №4 white KA3597HO'!AG55+'MAN №5 Тент МД'!W55</f>
        <v>353372.36</v>
      </c>
      <c r="AW55" s="3275">
        <f>+ЦО_логистика!X55+'Форд Тягач'!AW55+'MAN Blue KA1783HI'!AH55+'MAN green KA2790IE'!AH55+'MAN №3 white KA7837HO'!AH55+'MAN №4 white KA3597HO'!AH55+'MAN №5 Тент МД'!X55</f>
        <v>535617.73</v>
      </c>
      <c r="AX55" s="2028">
        <f t="shared" ref="AX55:AX71" si="126">AV55+AW55*1</f>
        <v>888990.09</v>
      </c>
      <c r="AY55" s="3284">
        <f t="shared" si="107"/>
        <v>0.69550248248974855</v>
      </c>
      <c r="AZ55" s="3275"/>
      <c r="BA55" s="3275">
        <f t="shared" ref="BA55:BB71" si="127">BF55+BK55+BP55+BU55+BZ55+CE55+CJ55+CO55+CT55+CY55+DD55+DI55</f>
        <v>28008.07</v>
      </c>
      <c r="BB55" s="3275">
        <f t="shared" si="127"/>
        <v>50950</v>
      </c>
      <c r="BC55" s="2028">
        <f t="shared" ref="BC55:BC71" si="128">BA55+BB55*1</f>
        <v>78958.070000000007</v>
      </c>
      <c r="BD55" s="3284">
        <f t="shared" si="108"/>
        <v>6.1772942483081392E-2</v>
      </c>
      <c r="BE55" s="3275">
        <f>ЦО_логистика!AD55+'Форд Тягач'!BC55+'MAN Blue KA1783HI'!AN55+'MAN green KA2790IE'!AN55+'MAN №3 white KA7837HO'!AN55+'MAN №4 white KA3597HO'!AN55+'MAN №5 Тент МД'!AD55-BC55</f>
        <v>0</v>
      </c>
      <c r="BF55" s="3274">
        <f>ЦО_логистика!AG55+'Форд Тягач'!BF55+'MAN Blue KA1783HI'!AQ55+'MAN green KA2790IE'!AQ55+'MAN №3 white KA7837HO'!AQ55+'MAN №4 white KA3597HO'!AQ55+'MAN №5 Тент МД'!AG55</f>
        <v>1814.91</v>
      </c>
      <c r="BG55" s="3274">
        <f>ЦО_логистика!AH55+'Форд Тягач'!BG55+'MAN Blue KA1783HI'!AR55+'MAN green KA2790IE'!AR55+'MAN №3 white KA7837HO'!AR55+'MAN №4 white KA3597HO'!AR55+'MAN №5 Тент МД'!AH55</f>
        <v>3300</v>
      </c>
      <c r="BH55" s="2028">
        <f t="shared" ref="BH55:BH71" si="129">BF55+BG55*1</f>
        <v>5114.91</v>
      </c>
      <c r="BI55" s="3284">
        <f t="shared" si="109"/>
        <v>4.0016560845033047E-3</v>
      </c>
      <c r="BJ55" s="3275"/>
      <c r="BK55" s="3275">
        <f>ЦО_логистика!AL55+'Форд Тягач'!BK55+'MAN Blue KA1783HI'!AV55+'MAN green KA2790IE'!AV55+'MAN №3 white KA7837HO'!AV55+'MAN №4 white KA3597HO'!AV55+'MAN №5 Тент МД'!AL55</f>
        <v>10978.66</v>
      </c>
      <c r="BL55" s="3275">
        <f>ЦО_логистика!AM55+'Форд Тягач'!BL55+'MAN Blue KA1783HI'!AW55+'MAN green KA2790IE'!AW55+'MAN №3 white KA7837HO'!AW55+'MAN №4 white KA3597HO'!AW55+'MAN №5 Тент МД'!AM55</f>
        <v>19384.29</v>
      </c>
      <c r="BM55" s="2028">
        <f t="shared" ref="BM55:BM71" si="130">BK55+BL55*1</f>
        <v>30362.95</v>
      </c>
      <c r="BN55" s="3284">
        <f t="shared" ref="BN55:BN71" si="131">BM55/$AD$89</f>
        <v>2.3754491009806547E-2</v>
      </c>
      <c r="BO55" s="3275"/>
      <c r="BP55" s="3274">
        <f>ЦО_логистика!AQ55+'Форд Тягач'!BP55+'MAN Blue KA1783HI'!BA55+'MAN green KA2790IE'!BA55+'MAN №3 white KA7837HO'!BA55+'MAN №4 white KA3597HO'!BA55+'MAN №5 Тент МД'!AQ55</f>
        <v>15214.5</v>
      </c>
      <c r="BQ55" s="3274">
        <f>ЦО_логистика!AR55+'Форд Тягач'!BQ55+'MAN Blue KA1783HI'!BB55+'MAN green KA2790IE'!BB55+'MAN №3 white KA7837HO'!BB55+'MAN №4 white KA3597HO'!BB55+'MAN №5 Тент МД'!AR55</f>
        <v>28265.71</v>
      </c>
      <c r="BR55" s="2028">
        <f t="shared" ref="BR55:BR71" si="132">BP55+BQ55*1</f>
        <v>43480.21</v>
      </c>
      <c r="BS55" s="3284">
        <f t="shared" si="110"/>
        <v>3.4016795388771538E-2</v>
      </c>
      <c r="BT55" s="3295"/>
      <c r="BU55" s="3274">
        <f>ЦО_логистика!AV55+'Форд Тягач'!BU55+'MAN Blue KA1783HI'!BF55+'MAN green KA2790IE'!BF55+'MAN №3 white KA7837HO'!BF55+'MAN №4 white KA3597HO'!BF55+'MAN №5 Тент МД'!AV55</f>
        <v>0</v>
      </c>
      <c r="BV55" s="3274">
        <f>ЦО_логистика!AW55+'Форд Тягач'!BV55+'MAN Blue KA1783HI'!BG55+'MAN green KA2790IE'!BG55+'MAN №3 white KA7837HO'!BG55+'MAN №4 white KA3597HO'!BG55+'MAN №5 Тент МД'!AW55</f>
        <v>0</v>
      </c>
      <c r="BW55" s="2028">
        <f t="shared" ref="BW55:BW71" si="133">BU55+BV55*1</f>
        <v>0</v>
      </c>
      <c r="BX55" s="3284">
        <f t="shared" si="111"/>
        <v>0</v>
      </c>
      <c r="BY55" s="3295"/>
      <c r="BZ55" s="3274">
        <f>ЦО_логистика!BA55+'Форд Тягач'!BZ55+'MAN Blue KA1783HI'!BK55+'MAN green KA2790IE'!BK55+'MAN №3 white KA7837HO'!BK55+'MAN №4 white KA3597HO'!BK55+'MAN №5 Тент МД'!BA55</f>
        <v>0</v>
      </c>
      <c r="CA55" s="3274">
        <f>ЦО_логистика!BB55+'Форд Тягач'!CA55+'MAN Blue KA1783HI'!BL55+'MAN green KA2790IE'!BL55+'MAN №3 white KA7837HO'!BL55+'MAN №4 white KA3597HO'!BL55+'MAN №5 Тент МД'!BB55</f>
        <v>0</v>
      </c>
      <c r="CB55" s="2028">
        <f t="shared" ref="CB55:CB71" si="134">BZ55+CA55*1</f>
        <v>0</v>
      </c>
      <c r="CC55" s="3284">
        <f t="shared" si="112"/>
        <v>0</v>
      </c>
      <c r="CD55" s="3295"/>
      <c r="CE55" s="3274">
        <f>ЦО_логистика!BF55+'Форд Тягач'!CE55+'MAN Blue KA1783HI'!BP55+'MAN green KA2790IE'!BP55+'MAN №3 white KA7837HO'!BP55+'MAN №4 white KA3597HO'!BP55+'MAN №5 Тент МД'!BF55</f>
        <v>0</v>
      </c>
      <c r="CF55" s="3274">
        <f>ЦО_логистика!BG55+'Форд Тягач'!CF55+'MAN Blue KA1783HI'!BQ55+'MAN green KA2790IE'!BQ55+'MAN №3 white KA7837HO'!BQ55+'MAN №4 white KA3597HO'!BQ55+'MAN №5 Тент МД'!BG55</f>
        <v>0</v>
      </c>
      <c r="CG55" s="2028">
        <f t="shared" ref="CG55:CG71" si="135">CE55+CF55*1</f>
        <v>0</v>
      </c>
      <c r="CH55" s="3284">
        <f t="shared" si="113"/>
        <v>0</v>
      </c>
      <c r="CI55" s="3295"/>
      <c r="CJ55" s="3274">
        <f>ЦО_логистика!BK55+'Форд Тягач'!CJ55+'MAN Blue KA1783HI'!BU55+'MAN green KA2790IE'!BU55+'MAN №3 white KA7837HO'!BU55+'MAN №4 white KA3597HO'!BU55+'MAN №5 Тент МД'!BK55</f>
        <v>0</v>
      </c>
      <c r="CK55" s="3274">
        <f>ЦО_логистика!BL55+'Форд Тягач'!CK55+'MAN Blue KA1783HI'!BV55+'MAN green KA2790IE'!BV55+'MAN №3 white KA7837HO'!BV55+'MAN №4 white KA3597HO'!BV55+'MAN №5 Тент МД'!BL55</f>
        <v>0</v>
      </c>
      <c r="CL55" s="2028">
        <f t="shared" ref="CL55:CL71" si="136">CJ55+CK55*1</f>
        <v>0</v>
      </c>
      <c r="CM55" s="3284">
        <f t="shared" si="114"/>
        <v>0</v>
      </c>
      <c r="CN55" s="3295"/>
      <c r="CO55" s="3274">
        <f>ЦО_логистика!BP55+'Форд Тягач'!CO55+'MAN Blue KA1783HI'!BZ55+'MAN green KA2790IE'!BZ55+'MAN №3 white KA7837HO'!BZ55+'MAN №4 white KA3597HO'!BZ55+'MAN №5 Тент МД'!BP55</f>
        <v>0</v>
      </c>
      <c r="CP55" s="3274">
        <f>ЦО_логистика!BQ55+'Форд Тягач'!CP55+'MAN Blue KA1783HI'!CA55+'MAN green KA2790IE'!CA55+'MAN №3 white KA7837HO'!CA55+'MAN №4 white KA3597HO'!CA55+'MAN №5 Тент МД'!BQ55</f>
        <v>0</v>
      </c>
      <c r="CQ55" s="2028">
        <f t="shared" ref="CQ55:CQ71" si="137">CO55+CP55*1</f>
        <v>0</v>
      </c>
      <c r="CR55" s="3284">
        <f t="shared" si="115"/>
        <v>0</v>
      </c>
      <c r="CS55" s="3295"/>
      <c r="CT55" s="3274">
        <f>ЦО_логистика!BU55+'Форд Тягач'!CT55+'MAN Blue KA1783HI'!CE55+'MAN green KA2790IE'!CE55+'MAN №3 white KA7837HO'!CE55+'MAN №4 white KA3597HO'!CE55+'MAN №5 Тент МД'!BU55</f>
        <v>0</v>
      </c>
      <c r="CU55" s="3274">
        <f>ЦО_логистика!BV55+'Форд Тягач'!CU55+'MAN Blue KA1783HI'!CF55+'MAN green KA2790IE'!CF55+'MAN №3 white KA7837HO'!CF55+'MAN №4 white KA3597HO'!CF55+'MAN №5 Тент МД'!BV55</f>
        <v>0</v>
      </c>
      <c r="CV55" s="2028">
        <f t="shared" ref="CV55:CV71" si="138">CT55+CU55*1</f>
        <v>0</v>
      </c>
      <c r="CW55" s="3284">
        <f t="shared" si="116"/>
        <v>0</v>
      </c>
      <c r="CX55" s="3295">
        <f>ЦО_логистика!BY55</f>
        <v>0</v>
      </c>
      <c r="CY55" s="3274">
        <f>ЦО_логистика!BZ55+'Форд Тягач'!CY55+'MAN Blue KA1783HI'!CJ55+'MAN green KA2790IE'!CJ55+'MAN №3 white KA7837HO'!CJ55+'MAN №4 white KA3597HO'!CJ55+'MAN №5 Тент МД'!BZ55</f>
        <v>0</v>
      </c>
      <c r="CZ55" s="3274">
        <f>ЦО_логистика!CA55+'Форд Тягач'!CZ55+'MAN Blue KA1783HI'!CK55+'MAN green KA2790IE'!CK55+'MAN №3 white KA7837HO'!CK55+'MAN №4 white KA3597HO'!CK55+'MAN №5 Тент МД'!CA55</f>
        <v>0</v>
      </c>
      <c r="DA55" s="2028">
        <f t="shared" ref="DA55:DA71" si="139">CY55+CZ55*1</f>
        <v>0</v>
      </c>
      <c r="DB55" s="3284">
        <f t="shared" si="117"/>
        <v>0</v>
      </c>
      <c r="DC55" s="3295"/>
      <c r="DD55" s="3274">
        <f>ЦО_логистика!CE55+'Форд Тягач'!DD55+'MAN Blue KA1783HI'!CO55+'MAN green KA2790IE'!CO55+'MAN №3 white KA7837HO'!CO55+'MAN №4 white KA3597HO'!CO55+'MAN №5 Тент МД'!CE55</f>
        <v>0</v>
      </c>
      <c r="DE55" s="3274">
        <f>ЦО_логистика!CF55+'Форд Тягач'!DE55+'MAN Blue KA1783HI'!CP55+'MAN green KA2790IE'!CP55+'MAN №3 white KA7837HO'!CP55+'MAN №4 white KA3597HO'!CP55+'MAN №5 Тент МД'!CF55</f>
        <v>0</v>
      </c>
      <c r="DF55" s="2028">
        <f t="shared" ref="DF55:DF71" si="140">DD55+DE55*1</f>
        <v>0</v>
      </c>
      <c r="DG55" s="3284">
        <f t="shared" si="118"/>
        <v>0</v>
      </c>
      <c r="DH55" s="3295"/>
      <c r="DI55" s="3274">
        <f>ЦО_логистика!CJ55+'Форд Тягач'!DI55+'MAN Blue KA1783HI'!CT55+'MAN green KA2790IE'!CT55+'MAN №3 white KA7837HO'!CT55+'MAN №4 white KA3597HO'!CT55+'MAN №5 Тент МД'!CJ55</f>
        <v>0</v>
      </c>
      <c r="DJ55" s="3274">
        <f>ЦО_логистика!CK55+'Форд Тягач'!DJ55+'MAN Blue KA1783HI'!CU55+'MAN green KA2790IE'!CU55+'MAN №3 white KA7837HO'!CU55+'MAN №4 white KA3597HO'!CU55+'MAN №5 Тент МД'!CK55</f>
        <v>0</v>
      </c>
      <c r="DK55" s="2028">
        <f t="shared" ref="DK55:DK71" si="141">DI55+DJ55*1</f>
        <v>0</v>
      </c>
      <c r="DL55" s="3284">
        <f t="shared" si="119"/>
        <v>0</v>
      </c>
      <c r="DM55" s="3295"/>
      <c r="DN55" s="3288">
        <f t="shared" ref="DN55:DO71" si="142">R55+W55+AB55+AG55+AL55+AQ55+BF55+BK55+BP55+BU55+BZ55+CE55+CJ55+CO55+CT55+CY55+DD55+DI55+AV55</f>
        <v>815060.59</v>
      </c>
      <c r="DO55" s="3288">
        <f t="shared" si="142"/>
        <v>1224536.9500000002</v>
      </c>
      <c r="DP55" s="2028">
        <f t="shared" ref="DP55:DP71" si="143">DN55+DO55*1</f>
        <v>2039597.54</v>
      </c>
      <c r="DQ55" s="3284">
        <f t="shared" si="75"/>
        <v>7.7195889014639862E-2</v>
      </c>
      <c r="DR55" s="3275"/>
      <c r="DS55" s="916"/>
      <c r="DT55" s="916"/>
    </row>
    <row r="56" spans="1:124" ht="13.8" x14ac:dyDescent="0.25">
      <c r="A56" s="1586"/>
      <c r="B56" s="3310" t="s">
        <v>76</v>
      </c>
      <c r="C56" s="3283">
        <v>0</v>
      </c>
      <c r="D56" s="3283">
        <v>0</v>
      </c>
      <c r="E56" s="2028">
        <v>0</v>
      </c>
      <c r="F56" s="3284">
        <v>0</v>
      </c>
      <c r="G56" s="3295"/>
      <c r="H56" s="3283">
        <v>0</v>
      </c>
      <c r="I56" s="3283">
        <v>0</v>
      </c>
      <c r="J56" s="2028">
        <v>0</v>
      </c>
      <c r="K56" s="3284">
        <v>0</v>
      </c>
      <c r="L56" s="3295">
        <v>0</v>
      </c>
      <c r="M56" s="3283">
        <v>0</v>
      </c>
      <c r="N56" s="3283">
        <v>0</v>
      </c>
      <c r="O56" s="2028">
        <v>0</v>
      </c>
      <c r="P56" s="3284">
        <v>0</v>
      </c>
      <c r="Q56" s="3295">
        <v>0</v>
      </c>
      <c r="R56" s="3274">
        <f>'Форд Тягач'!R56+'MAN Blue KA1783HI'!C56+'MAN green KA2790IE'!C56+'MAN №3 white KA7837HO'!C56+'MAN №4 white KA3597HO'!C56+11173.7</f>
        <v>11173.7</v>
      </c>
      <c r="S56" s="3274">
        <f>'Форд Тягач'!S56+'MAN Blue KA1783HI'!D56+'MAN green KA2790IE'!D56+'MAN №3 white KA7837HO'!D56+'MAN №4 white KA3597HO'!D56</f>
        <v>0</v>
      </c>
      <c r="T56" s="2028">
        <f t="shared" si="120"/>
        <v>11173.7</v>
      </c>
      <c r="U56" s="3284">
        <f t="shared" si="102"/>
        <v>8.5485970205126521E-3</v>
      </c>
      <c r="V56" s="3275"/>
      <c r="W56" s="3283">
        <f>'Форд Тягач'!W56+'MAN Blue KA1783HI'!H56+'MAN green KA2790IE'!H56+'MAN №3 white KA7837HO'!H56+'MAN №4 white KA3597HO'!H56+19806</f>
        <v>19806</v>
      </c>
      <c r="X56" s="3283">
        <f>'Форд Тягач'!X56+'MAN Blue KA1783HI'!I56+'MAN green KA2790IE'!I56+'MAN №3 white KA7837HO'!I56+'MAN №4 white KA3597HO'!I56+Техника!X56</f>
        <v>0</v>
      </c>
      <c r="Y56" s="2028">
        <f t="shared" si="121"/>
        <v>19806</v>
      </c>
      <c r="Z56" s="3284">
        <f t="shared" si="103"/>
        <v>1.5152860072158157E-2</v>
      </c>
      <c r="AA56" s="3295"/>
      <c r="AB56" s="3274">
        <f>ЦО_логистика!C56+'Форд Тягач'!AB56+'MAN Blue KA1783HI'!M56+'MAN green KA2790IE'!M56+'MAN №3 white KA7837HO'!M56+'MAN №4 white KA3597HO'!M56+'MAN №5 Тент МД'!C56</f>
        <v>21391.72</v>
      </c>
      <c r="AC56" s="3274">
        <f>ЦО_логистика!D56+'Форд Тягач'!AC56+'MAN Blue KA1783HI'!N56+'MAN green KA2790IE'!N56+'MAN №3 white KA7837HO'!N56+'MAN №4 white KA3597HO'!N56+'MAN №5 Тент МД'!D56</f>
        <v>0</v>
      </c>
      <c r="AD56" s="2028">
        <f t="shared" si="122"/>
        <v>21391.72</v>
      </c>
      <c r="AE56" s="3284">
        <f t="shared" si="2"/>
        <v>1.6735838264210129E-2</v>
      </c>
      <c r="AF56" s="3295"/>
      <c r="AG56" s="3274">
        <f>ЦО_логистика!H56+'Форд Тягач'!AG56+'MAN Blue KA1783HI'!R56+'MAN green KA2790IE'!R56+'MAN №3 white KA7837HO'!R56+'MAN №4 white KA3597HO'!R56+'MAN №5 Тент МД'!H56</f>
        <v>22906.18</v>
      </c>
      <c r="AH56" s="3274">
        <f>ЦО_логистика!I56+'Форд Тягач'!AH56+'MAN Blue KA1783HI'!S56+'MAN green KA2790IE'!S56+'MAN №3 white KA7837HO'!S56+'MAN №4 white KA3597HO'!S56+'MAN №5 Тент МД'!I56</f>
        <v>0</v>
      </c>
      <c r="AI56" s="2028">
        <f t="shared" si="123"/>
        <v>22906.18</v>
      </c>
      <c r="AJ56" s="3284">
        <f t="shared" si="104"/>
        <v>1.7920677894572516E-2</v>
      </c>
      <c r="AK56" s="3295"/>
      <c r="AL56" s="3274">
        <f>ЦО_логистика!M56+'Форд Тягач'!AL56+'MAN Blue KA1783HI'!W56+'MAN green KA2790IE'!W56+'MAN №3 white KA7837HO'!W56+'MAN №4 white KA3597HO'!W56+'MAN №5 Тент МД'!M56</f>
        <v>20744.14</v>
      </c>
      <c r="AM56" s="3274">
        <f>ЦО_логистика!N56+'Форд Тягач'!AM56+'MAN Blue KA1783HI'!X56+'MAN green KA2790IE'!X56+'MAN №3 white KA7837HO'!X56+'MAN №4 white KA3597HO'!X56+'MAN №5 Тент МД'!N56</f>
        <v>0</v>
      </c>
      <c r="AN56" s="2028">
        <f t="shared" si="124"/>
        <v>20744.14</v>
      </c>
      <c r="AO56" s="3284">
        <f t="shared" si="105"/>
        <v>1.6229203260426553E-2</v>
      </c>
      <c r="AP56" s="3425" t="str">
        <f>CONCATENATE(ЦО_логистика!Q56,'Форд Тягач'!AP56,'MAN Blue KA1783HI'!AA56,'MAN green KA2790IE'!AA56,'MAN №3 white KA7837HO'!AF56,'MAN №4 white KA3597HO'!AA56,'MAN №5 Тент МД'!Q56)</f>
        <v/>
      </c>
      <c r="AQ56" s="3274">
        <f>SUM(ЦО_логистика!R56,'Форд Тягач'!AQ56,'MAN Blue KA1783HI'!AB56,'MAN green KA2790IE'!AB56,'MAN №3 white KA7837HO'!AB56,'MAN №4 white KA3597HO'!AB56,'MAN №5 Тент МД'!R56)</f>
        <v>21036.639999999999</v>
      </c>
      <c r="AR56" s="3274">
        <f>SUM(ЦО_логистика!S56,'Форд Тягач'!AR56,'MAN Blue KA1783HI'!AC56,'MAN green KA2790IE'!AC56,'MAN №3 white KA7837HO'!AC56,'MAN №4 white KA3597HO'!AC56,'MAN №5 Тент МД'!S56)</f>
        <v>0</v>
      </c>
      <c r="AS56" s="2028">
        <f t="shared" si="125"/>
        <v>21036.639999999999</v>
      </c>
      <c r="AT56" s="3284">
        <f t="shared" si="106"/>
        <v>1.6458040992608978E-2</v>
      </c>
      <c r="AU56" s="3425" t="str">
        <f>CONCATENATE(ЦО_логистика!V56,'Форд Тягач'!AU56,'MAN Blue KA1783HI'!AF55,'MAN green KA2790IE'!AF56,'MAN №3 white KA7837HO'!AF56,'MAN №4 white KA3597HO'!AF56,'MAN №5 Тент МД'!V56)</f>
        <v/>
      </c>
      <c r="AV56" s="3275">
        <f>+ЦО_логистика!W56+'Форд Тягач'!AV56+'MAN Blue KA1783HI'!AG56+'MAN green KA2790IE'!AG56+'MAN №3 white KA7837HO'!AG56+'MAN №4 white KA3597HO'!AG56+'MAN №5 Тент МД'!W56</f>
        <v>93728.15</v>
      </c>
      <c r="AW56" s="3275">
        <f>+ЦО_логистика!X56+'Форд Тягач'!AW56+'MAN Blue KA1783HI'!AH56+'MAN green KA2790IE'!AH56+'MAN №3 white KA7837HO'!AH56+'MAN №4 white KA3597HO'!AH56+'MAN №5 Тент МД'!X56</f>
        <v>0</v>
      </c>
      <c r="AX56" s="2028">
        <f t="shared" si="126"/>
        <v>93728.15</v>
      </c>
      <c r="AY56" s="3284">
        <f t="shared" si="107"/>
        <v>7.332833260736521E-2</v>
      </c>
      <c r="AZ56" s="3275"/>
      <c r="BA56" s="3275">
        <f t="shared" si="127"/>
        <v>4227.7000000000007</v>
      </c>
      <c r="BB56" s="3275">
        <f t="shared" si="127"/>
        <v>0</v>
      </c>
      <c r="BC56" s="2028">
        <f t="shared" si="128"/>
        <v>4227.7000000000007</v>
      </c>
      <c r="BD56" s="3284">
        <f t="shared" si="108"/>
        <v>3.3075462575987893E-3</v>
      </c>
      <c r="BE56" s="3275">
        <f>ЦО_логистика!AD56+'Форд Тягач'!BC56+'MAN Blue KA1783HI'!AN56+'MAN green KA2790IE'!AN56+'MAN №3 white KA7837HO'!AN56+'MAN №4 white KA3597HO'!AN56+'MAN №5 Тент МД'!AD56-BC56</f>
        <v>0</v>
      </c>
      <c r="BF56" s="3274">
        <f>ЦО_логистика!AG56+'Форд Тягач'!BF56+'MAN Blue KA1783HI'!AQ56+'MAN green KA2790IE'!AQ56+'MAN №3 white KA7837HO'!AQ56+'MAN №4 white KA3597HO'!AQ56+'MAN №5 Тент МД'!AG56</f>
        <v>439.64</v>
      </c>
      <c r="BG56" s="3274">
        <f>ЦО_логистика!AH56+'Форд Тягач'!BG56+'MAN Blue KA1783HI'!AR56+'MAN green KA2790IE'!AR56+'MAN №3 white KA7837HO'!AR56+'MAN №4 white KA3597HO'!AR56+'MAN №5 Тент МД'!AH56</f>
        <v>0</v>
      </c>
      <c r="BH56" s="2028">
        <f t="shared" si="129"/>
        <v>439.64</v>
      </c>
      <c r="BI56" s="3284">
        <f t="shared" si="109"/>
        <v>3.4395289086045161E-4</v>
      </c>
      <c r="BJ56" s="3275"/>
      <c r="BK56" s="3275">
        <f>ЦО_логистика!AL56+'Форд Тягач'!BK56+'MAN Blue KA1783HI'!AV56+'MAN green KA2790IE'!AV56+'MAN №3 white KA7837HO'!AV56+'MAN №4 white KA3597HO'!AV56+'MAN №5 Тент МД'!AL56</f>
        <v>1315.22</v>
      </c>
      <c r="BL56" s="3275">
        <f>ЦО_логистика!AM56+'Форд Тягач'!BL56+'MAN Blue KA1783HI'!AW56+'MAN green KA2790IE'!AW56+'MAN №3 white KA7837HO'!AW56+'MAN №4 white KA3597HO'!AW56+'MAN №5 Тент МД'!AM56</f>
        <v>0</v>
      </c>
      <c r="BM56" s="2028">
        <f t="shared" si="130"/>
        <v>1315.22</v>
      </c>
      <c r="BN56" s="3284">
        <f t="shared" si="131"/>
        <v>1.0289639730631499E-3</v>
      </c>
      <c r="BO56" s="3275"/>
      <c r="BP56" s="3274">
        <f>ЦО_логистика!AQ56+'Форд Тягач'!BP56+'MAN Blue KA1783HI'!BA56+'MAN green KA2790IE'!BA56+'MAN №3 white KA7837HO'!BA56+'MAN №4 white KA3597HO'!BA56+'MAN №5 Тент МД'!AQ56</f>
        <v>2472.84</v>
      </c>
      <c r="BQ56" s="3274">
        <f>ЦО_логистика!AR56+'Форд Тягач'!BQ56+'MAN Blue KA1783HI'!BB56+'MAN green KA2790IE'!BB56+'MAN №3 white KA7837HO'!BB56+'MAN №4 white KA3597HO'!BB56+'MAN №5 Тент МД'!AR56</f>
        <v>0</v>
      </c>
      <c r="BR56" s="2028">
        <f t="shared" si="132"/>
        <v>2472.84</v>
      </c>
      <c r="BS56" s="3284">
        <f t="shared" si="110"/>
        <v>1.9346293936751873E-3</v>
      </c>
      <c r="BT56" s="3295"/>
      <c r="BU56" s="3274">
        <f>ЦО_логистика!AV56+'Форд Тягач'!BU56+'MAN Blue KA1783HI'!BF56+'MAN green KA2790IE'!BF56+'MAN №3 white KA7837HO'!BF56+'MAN №4 white KA3597HO'!BF56+'MAN №5 Тент МД'!AV56</f>
        <v>0</v>
      </c>
      <c r="BV56" s="3274">
        <f>ЦО_логистика!AW56+'Форд Тягач'!BV56+'MAN Blue KA1783HI'!BG56+'MAN green KA2790IE'!BG56+'MAN №3 white KA7837HO'!BG56+'MAN №4 white KA3597HO'!BG56+'MAN №5 Тент МД'!AW56</f>
        <v>0</v>
      </c>
      <c r="BW56" s="2028">
        <f t="shared" si="133"/>
        <v>0</v>
      </c>
      <c r="BX56" s="3284">
        <f t="shared" si="111"/>
        <v>0</v>
      </c>
      <c r="BY56" s="3295"/>
      <c r="BZ56" s="3274">
        <f>ЦО_логистика!BA56+'Форд Тягач'!BZ56+'MAN Blue KA1783HI'!BK56+'MAN green KA2790IE'!BK56+'MAN №3 white KA7837HO'!BK56+'MAN №4 white KA3597HO'!BK56+'MAN №5 Тент МД'!BA56</f>
        <v>0</v>
      </c>
      <c r="CA56" s="3274">
        <f>ЦО_логистика!BB56+'Форд Тягач'!CA56+'MAN Blue KA1783HI'!BL56+'MAN green KA2790IE'!BL56+'MAN №3 white KA7837HO'!BL56+'MAN №4 white KA3597HO'!BL56+'MAN №5 Тент МД'!BB56</f>
        <v>0</v>
      </c>
      <c r="CB56" s="2028">
        <f t="shared" si="134"/>
        <v>0</v>
      </c>
      <c r="CC56" s="3284">
        <f t="shared" si="112"/>
        <v>0</v>
      </c>
      <c r="CD56" s="3295"/>
      <c r="CE56" s="3274">
        <f>ЦО_логистика!BF56+'Форд Тягач'!CE56+'MAN Blue KA1783HI'!BP56+'MAN green KA2790IE'!BP56+'MAN №3 white KA7837HO'!BP56+'MAN №4 white KA3597HO'!BP56+'MAN №5 Тент МД'!BF56</f>
        <v>0</v>
      </c>
      <c r="CF56" s="3274">
        <f>ЦО_логистика!BG56+'Форд Тягач'!CF56+'MAN Blue KA1783HI'!BQ56+'MAN green KA2790IE'!BQ56+'MAN №3 white KA7837HO'!BQ56+'MAN №4 white KA3597HO'!BQ56+'MAN №5 Тент МД'!BG56</f>
        <v>0</v>
      </c>
      <c r="CG56" s="2028">
        <f t="shared" si="135"/>
        <v>0</v>
      </c>
      <c r="CH56" s="3284">
        <f t="shared" si="113"/>
        <v>0</v>
      </c>
      <c r="CI56" s="3295"/>
      <c r="CJ56" s="3274">
        <f>ЦО_логистика!BK56+'Форд Тягач'!CJ56+'MAN Blue KA1783HI'!BU56+'MAN green KA2790IE'!BU56+'MAN №3 white KA7837HO'!BU56+'MAN №4 white KA3597HO'!BU56+'MAN №5 Тент МД'!BK56</f>
        <v>0</v>
      </c>
      <c r="CK56" s="3274">
        <f>ЦО_логистика!BL56+'Форд Тягач'!CK56+'MAN Blue KA1783HI'!BV56+'MAN green KA2790IE'!BV56+'MAN №3 white KA7837HO'!BV56+'MAN №4 white KA3597HO'!BV56+'MAN №5 Тент МД'!BL56</f>
        <v>0</v>
      </c>
      <c r="CL56" s="2028">
        <f t="shared" si="136"/>
        <v>0</v>
      </c>
      <c r="CM56" s="3284">
        <f t="shared" si="114"/>
        <v>0</v>
      </c>
      <c r="CN56" s="3295"/>
      <c r="CO56" s="3274">
        <f>ЦО_логистика!BP56+'Форд Тягач'!CO56+'MAN Blue KA1783HI'!BZ56+'MAN green KA2790IE'!BZ56+'MAN №3 white KA7837HO'!BZ56+'MAN №4 white KA3597HO'!BZ56+'MAN №5 Тент МД'!BP56</f>
        <v>0</v>
      </c>
      <c r="CP56" s="3274">
        <f>ЦО_логистика!BQ56+'Форд Тягач'!CP56+'MAN Blue KA1783HI'!CA56+'MAN green KA2790IE'!CA56+'MAN №3 white KA7837HO'!CA56+'MAN №4 white KA3597HO'!CA56+'MAN №5 Тент МД'!BQ56</f>
        <v>0</v>
      </c>
      <c r="CQ56" s="2028">
        <f t="shared" si="137"/>
        <v>0</v>
      </c>
      <c r="CR56" s="3284">
        <f t="shared" si="115"/>
        <v>0</v>
      </c>
      <c r="CS56" s="3295"/>
      <c r="CT56" s="3274">
        <f>ЦО_логистика!BU56+'Форд Тягач'!CT56+'MAN Blue KA1783HI'!CE56+'MAN green KA2790IE'!CE56+'MAN №3 white KA7837HO'!CE56+'MAN №4 white KA3597HO'!CE56+'MAN №5 Тент МД'!BU56</f>
        <v>0</v>
      </c>
      <c r="CU56" s="3274">
        <f>ЦО_логистика!BV56+'Форд Тягач'!CU56+'MAN Blue KA1783HI'!CF56+'MAN green KA2790IE'!CF56+'MAN №3 white KA7837HO'!CF56+'MAN №4 white KA3597HO'!CF56+'MAN №5 Тент МД'!BV56</f>
        <v>0</v>
      </c>
      <c r="CV56" s="2028">
        <f t="shared" si="138"/>
        <v>0</v>
      </c>
      <c r="CW56" s="3284">
        <f t="shared" si="116"/>
        <v>0</v>
      </c>
      <c r="CX56" s="3295"/>
      <c r="CY56" s="3274">
        <f>ЦО_логистика!BZ56+'Форд Тягач'!CY56+'MAN Blue KA1783HI'!CJ56+'MAN green KA2790IE'!CJ56+'MAN №3 white KA7837HO'!CJ56+'MAN №4 white KA3597HO'!CJ56+'MAN №5 Тент МД'!BZ56</f>
        <v>0</v>
      </c>
      <c r="CZ56" s="3274">
        <f>ЦО_логистика!CA56+'Форд Тягач'!CZ56+'MAN Blue KA1783HI'!CK56+'MAN green KA2790IE'!CK56+'MAN №3 white KA7837HO'!CK56+'MAN №4 white KA3597HO'!CK56+'MAN №5 Тент МД'!CA56</f>
        <v>0</v>
      </c>
      <c r="DA56" s="2028">
        <f t="shared" si="139"/>
        <v>0</v>
      </c>
      <c r="DB56" s="3284">
        <f t="shared" si="117"/>
        <v>0</v>
      </c>
      <c r="DC56" s="3295"/>
      <c r="DD56" s="3274">
        <f>ЦО_логистика!CE56+'Форд Тягач'!DD56+'MAN Blue KA1783HI'!CO56+'MAN green KA2790IE'!CO56+'MAN №3 white KA7837HO'!CO56+'MAN №4 white KA3597HO'!CO56+'MAN №5 Тент МД'!CE56</f>
        <v>0</v>
      </c>
      <c r="DE56" s="3274">
        <f>ЦО_логистика!CF56+'Форд Тягач'!DE56+'MAN Blue KA1783HI'!CP56+'MAN green KA2790IE'!CP56+'MAN №3 white KA7837HO'!CP56+'MAN №4 white KA3597HO'!CP56+'MAN №5 Тент МД'!CF56</f>
        <v>0</v>
      </c>
      <c r="DF56" s="2028">
        <f t="shared" si="140"/>
        <v>0</v>
      </c>
      <c r="DG56" s="3284">
        <f t="shared" si="118"/>
        <v>0</v>
      </c>
      <c r="DH56" s="3295"/>
      <c r="DI56" s="3274">
        <f>ЦО_логистика!CJ56+'Форд Тягач'!DI56+'MAN Blue KA1783HI'!CT56+'MAN green KA2790IE'!CT56+'MAN №3 white KA7837HO'!CT56+'MAN №4 white KA3597HO'!CT56+'MAN №5 Тент МД'!CJ56</f>
        <v>0</v>
      </c>
      <c r="DJ56" s="3274">
        <f>ЦО_логистика!CK56+'Форд Тягач'!DJ56+'MAN Blue KA1783HI'!CU56+'MAN green KA2790IE'!CU56+'MAN №3 white KA7837HO'!CU56+'MAN №4 white KA3597HO'!CU56+'MAN №5 Тент МД'!CK56</f>
        <v>0</v>
      </c>
      <c r="DK56" s="2028">
        <f t="shared" si="141"/>
        <v>0</v>
      </c>
      <c r="DL56" s="3284">
        <f t="shared" si="119"/>
        <v>0</v>
      </c>
      <c r="DM56" s="3295"/>
      <c r="DN56" s="3288">
        <f t="shared" si="142"/>
        <v>215014.22999999998</v>
      </c>
      <c r="DO56" s="3288">
        <f t="shared" si="142"/>
        <v>0</v>
      </c>
      <c r="DP56" s="2028">
        <f t="shared" si="143"/>
        <v>215014.22999999998</v>
      </c>
      <c r="DQ56" s="3284">
        <f t="shared" si="75"/>
        <v>8.1379852201862567E-3</v>
      </c>
      <c r="DR56" s="3275"/>
      <c r="DS56" s="916"/>
      <c r="DT56" s="916"/>
    </row>
    <row r="57" spans="1:124" ht="13.8" x14ac:dyDescent="0.25">
      <c r="A57" s="1586"/>
      <c r="B57" s="3310" t="s">
        <v>68</v>
      </c>
      <c r="C57" s="3283">
        <v>0</v>
      </c>
      <c r="D57" s="3283">
        <v>0</v>
      </c>
      <c r="E57" s="2028">
        <v>0</v>
      </c>
      <c r="F57" s="3284">
        <v>0</v>
      </c>
      <c r="G57" s="3295"/>
      <c r="H57" s="3283">
        <v>0</v>
      </c>
      <c r="I57" s="3283">
        <v>0</v>
      </c>
      <c r="J57" s="2028">
        <v>0</v>
      </c>
      <c r="K57" s="3284">
        <v>0</v>
      </c>
      <c r="L57" s="3295">
        <v>0</v>
      </c>
      <c r="M57" s="3283">
        <v>0</v>
      </c>
      <c r="N57" s="3283">
        <v>0</v>
      </c>
      <c r="O57" s="2028">
        <v>0</v>
      </c>
      <c r="P57" s="3284">
        <v>0</v>
      </c>
      <c r="Q57" s="3295">
        <v>0</v>
      </c>
      <c r="R57" s="3274">
        <f>'Форд Тягач'!R57+'MAN Blue KA1783HI'!C57+'MAN green KA2790IE'!C57+'MAN №3 white KA7837HO'!C57+'MAN №4 white KA3597HO'!C57+9903.98</f>
        <v>9903.98</v>
      </c>
      <c r="S57" s="3274">
        <f>'Форд Тягач'!S57+'MAN Blue KA1783HI'!D57+'MAN green KA2790IE'!D57+'MAN №3 white KA7837HO'!D57+'MAN №4 white KA3597HO'!D57</f>
        <v>0</v>
      </c>
      <c r="T57" s="2028">
        <f t="shared" si="120"/>
        <v>9903.98</v>
      </c>
      <c r="U57" s="3284">
        <f t="shared" si="102"/>
        <v>7.5771797989221913E-3</v>
      </c>
      <c r="V57" s="3275"/>
      <c r="W57" s="3283">
        <f>'Форд Тягач'!W57+'MAN Blue KA1783HI'!H57+'MAN green KA2790IE'!H57+'MAN №3 white KA7837HO'!H57+'MAN №4 white KA3597HO'!H57+17555</f>
        <v>17555</v>
      </c>
      <c r="X57" s="3283">
        <f>'Форд Тягач'!X57+'MAN Blue KA1783HI'!I57+'MAN green KA2790IE'!I57+'MAN №3 white KA7837HO'!I57+'MAN №4 white KA3597HO'!I57+Техника!X57</f>
        <v>0</v>
      </c>
      <c r="Y57" s="2028">
        <f t="shared" si="121"/>
        <v>17555</v>
      </c>
      <c r="Z57" s="3284">
        <f t="shared" si="103"/>
        <v>1.3430700725372939E-2</v>
      </c>
      <c r="AA57" s="3295"/>
      <c r="AB57" s="3274">
        <f>ЦО_логистика!C57+'Форд Тягач'!AB57+'MAN Blue KA1783HI'!M57+'MAN green KA2790IE'!M57+'MAN №3 white KA7837HO'!M57+'MAN №4 white KA3597HO'!M57+'MAN №5 Тент МД'!C57</f>
        <v>18960.87</v>
      </c>
      <c r="AC57" s="3274">
        <f>ЦО_логистика!D57+'Форд Тягач'!AC57+'MAN Blue KA1783HI'!N57+'MAN green KA2790IE'!N57+'MAN №3 white KA7837HO'!N57+'MAN №4 white KA3597HO'!N57+'MAN №5 Тент МД'!D57</f>
        <v>0</v>
      </c>
      <c r="AD57" s="2028">
        <f t="shared" si="122"/>
        <v>18960.87</v>
      </c>
      <c r="AE57" s="3284">
        <f t="shared" si="2"/>
        <v>1.4834059798310461E-2</v>
      </c>
      <c r="AF57" s="3295"/>
      <c r="AG57" s="3274">
        <f>ЦО_логистика!H57+'Форд Тягач'!AG57+'MAN Blue KA1783HI'!R57+'MAN green KA2790IE'!R57+'MAN №3 white KA7837HO'!R57+'MAN №4 white KA3597HO'!R57+'MAN №5 Тент МД'!H57</f>
        <v>20303.23</v>
      </c>
      <c r="AH57" s="3274">
        <f>ЦО_логистика!I57+'Форд Тягач'!AH57+'MAN Blue KA1783HI'!S57+'MAN green KA2790IE'!S57+'MAN №3 white KA7837HO'!S57+'MAN №4 white KA3597HO'!S57+'MAN №5 Тент МД'!I57</f>
        <v>0</v>
      </c>
      <c r="AI57" s="2028">
        <f t="shared" si="123"/>
        <v>20303.23</v>
      </c>
      <c r="AJ57" s="3284">
        <f t="shared" si="104"/>
        <v>1.5884256783515256E-2</v>
      </c>
      <c r="AK57" s="3295"/>
      <c r="AL57" s="3274">
        <f>ЦО_логистика!M57+'Форд Тягач'!AL57+'MAN Blue KA1783HI'!W57+'MAN green KA2790IE'!W57+'MAN №3 white KA7837HO'!W57+'MAN №4 white KA3597HO'!W57+'MAN №5 Тент МД'!M57</f>
        <v>18874.36</v>
      </c>
      <c r="AM57" s="3274">
        <f>ЦО_логистика!N57+'Форд Тягач'!AM57+'MAN Blue KA1783HI'!X57+'MAN green KA2790IE'!X57+'MAN №3 white KA7837HO'!X57+'MAN №4 white KA3597HO'!X57+'MAN №5 Тент МД'!N57</f>
        <v>0</v>
      </c>
      <c r="AN57" s="2028">
        <f t="shared" si="124"/>
        <v>18874.36</v>
      </c>
      <c r="AO57" s="3284">
        <f t="shared" si="105"/>
        <v>1.4766378594169944E-2</v>
      </c>
      <c r="AP57" s="3425" t="str">
        <f>CONCATENATE(ЦО_логистика!Q57,'Форд Тягач'!AP57,'MAN Blue KA1783HI'!AA57,'MAN green KA2790IE'!AA57,'MAN №3 white KA7837HO'!AF57,'MAN №4 white KA3597HO'!AA57,'MAN №5 Тент МД'!Q57)</f>
        <v/>
      </c>
      <c r="AQ57" s="3274">
        <f>SUM(ЦО_логистика!R57,'Форд Тягач'!AQ57,'MAN Blue KA1783HI'!AB57,'MAN green KA2790IE'!AB57,'MAN №3 white KA7837HO'!AB57,'MAN №4 white KA3597HO'!AB57,'MAN №5 Тент МД'!R57)</f>
        <v>19328.61</v>
      </c>
      <c r="AR57" s="3274">
        <f>SUM(ЦО_логистика!S57,'Форд Тягач'!AR57,'MAN Blue KA1783HI'!AC57,'MAN green KA2790IE'!AC57,'MAN №3 white KA7837HO'!AC57,'MAN №4 white KA3597HO'!AC57,'MAN №5 Тент МД'!S57)</f>
        <v>0</v>
      </c>
      <c r="AS57" s="2028">
        <f t="shared" si="125"/>
        <v>19328.61</v>
      </c>
      <c r="AT57" s="3284">
        <f t="shared" si="106"/>
        <v>1.51217616363712E-2</v>
      </c>
      <c r="AU57" s="3425" t="str">
        <f>CONCATENATE(ЦО_логистика!V57,'Форд Тягач'!AU57,'MAN Blue KA1783HI'!AF56,'MAN green KA2790IE'!AF57,'MAN №3 white KA7837HO'!AF57,'MAN №4 white KA3597HO'!AF57,'MAN №5 Тент МД'!V57)</f>
        <v/>
      </c>
      <c r="AV57" s="3275">
        <f>+ЦО_логистика!W57+'Форд Тягач'!AV57+'MAN Blue KA1783HI'!AG57+'MAN green KA2790IE'!AG57+'MAN №3 white KA7837HO'!AG57+'MAN №4 white KA3597HO'!AG57+'MAN №5 Тент МД'!W57</f>
        <v>86135.59</v>
      </c>
      <c r="AW57" s="3275">
        <f>+ЦО_логистика!X57+'Форд Тягач'!AW57+'MAN Blue KA1783HI'!AH57+'MAN green KA2790IE'!AH57+'MAN №3 white KA7837HO'!AH57+'MAN №4 white KA3597HO'!AH57+'MAN №5 Тент МД'!X57</f>
        <v>0</v>
      </c>
      <c r="AX57" s="2028">
        <f t="shared" si="126"/>
        <v>86135.59</v>
      </c>
      <c r="AY57" s="3284">
        <f t="shared" si="107"/>
        <v>6.7388284019813047E-2</v>
      </c>
      <c r="AZ57" s="3275"/>
      <c r="BA57" s="3275">
        <f t="shared" si="127"/>
        <v>6534.54</v>
      </c>
      <c r="BB57" s="3275">
        <f t="shared" si="127"/>
        <v>0</v>
      </c>
      <c r="BC57" s="2028">
        <f t="shared" si="128"/>
        <v>6534.54</v>
      </c>
      <c r="BD57" s="3284">
        <f t="shared" si="108"/>
        <v>5.1123053485653165E-3</v>
      </c>
      <c r="BE57" s="3275">
        <f>ЦО_логистика!AD57+'Форд Тягач'!BC57+'MAN Blue KA1783HI'!AN57+'MAN green KA2790IE'!AN57+'MAN №3 white KA7837HO'!AN57+'MAN №4 white KA3597HO'!AN57+'MAN №5 Тент МД'!AD57-BC57</f>
        <v>0</v>
      </c>
      <c r="BF57" s="3274">
        <f>ЦО_логистика!AG57+'Форд Тягач'!BF57+'MAN Blue KA1783HI'!AQ57+'MAN green KA2790IE'!AQ57+'MAN №3 white KA7837HO'!AQ57+'MAN №4 white KA3597HO'!AQ57+'MAN №5 Тент МД'!AG57</f>
        <v>189.61</v>
      </c>
      <c r="BG57" s="3274">
        <f>ЦО_логистика!AH57+'Форд Тягач'!BG57+'MAN Blue KA1783HI'!AR57+'MAN green KA2790IE'!AR57+'MAN №3 white KA7837HO'!AR57+'MAN №4 white KA3597HO'!AR57+'MAN №5 Тент МД'!AH57</f>
        <v>0</v>
      </c>
      <c r="BH57" s="2028">
        <f t="shared" si="129"/>
        <v>189.61</v>
      </c>
      <c r="BI57" s="3284">
        <f t="shared" si="109"/>
        <v>1.483416150396921E-4</v>
      </c>
      <c r="BJ57" s="3275"/>
      <c r="BK57" s="3275">
        <f>ЦО_логистика!AL57+'Форд Тягач'!BK57+'MAN Blue KA1783HI'!AV57+'MAN green KA2790IE'!AV57+'MAN №3 white KA7837HO'!AV57+'MAN №4 white KA3597HO'!AV57+'MAN №5 Тент МД'!AL57</f>
        <v>2659.43</v>
      </c>
      <c r="BL57" s="3275">
        <f>ЦО_логистика!AM57+'Форд Тягач'!BL57+'MAN Blue KA1783HI'!AW57+'MAN green KA2790IE'!AW57+'MAN №3 white KA7837HO'!AW57+'MAN №4 white KA3597HO'!AW57+'MAN №5 Тент МД'!AM57</f>
        <v>0</v>
      </c>
      <c r="BM57" s="2028">
        <f t="shared" si="130"/>
        <v>2659.43</v>
      </c>
      <c r="BN57" s="3284">
        <f t="shared" si="131"/>
        <v>2.0806083080270469E-3</v>
      </c>
      <c r="BO57" s="3275"/>
      <c r="BP57" s="3274">
        <f>ЦО_логистика!AQ57+'Форд Тягач'!BP57+'MAN Blue KA1783HI'!BA57+'MAN green KA2790IE'!BA57+'MAN №3 white KA7837HO'!BA57+'MAN №4 white KA3597HO'!BA57+'MAN №5 Тент МД'!AQ57</f>
        <v>3685.5</v>
      </c>
      <c r="BQ57" s="3274">
        <f>ЦО_логистика!AR57+'Форд Тягач'!BQ57+'MAN Blue KA1783HI'!BB57+'MAN green KA2790IE'!BB57+'MAN №3 white KA7837HO'!BB57+'MAN №4 white KA3597HO'!BB57+'MAN №5 Тент МД'!AR57</f>
        <v>0</v>
      </c>
      <c r="BR57" s="2028">
        <f t="shared" si="132"/>
        <v>3685.5</v>
      </c>
      <c r="BS57" s="3284">
        <f t="shared" si="110"/>
        <v>2.8833554254985776E-3</v>
      </c>
      <c r="BT57" s="3295"/>
      <c r="BU57" s="3274">
        <f>ЦО_логистика!AV57+'Форд Тягач'!BU57+'MAN Blue KA1783HI'!BF57+'MAN green KA2790IE'!BF57+'MAN №3 white KA7837HO'!BF57+'MAN №4 white KA3597HO'!BF57+'MAN №5 Тент МД'!AV57</f>
        <v>0</v>
      </c>
      <c r="BV57" s="3274">
        <f>ЦО_логистика!AW57+'Форд Тягач'!BV57+'MAN Blue KA1783HI'!BG57+'MAN green KA2790IE'!BG57+'MAN №3 white KA7837HO'!BG57+'MAN №4 white KA3597HO'!BG57+'MAN №5 Тент МД'!AW57</f>
        <v>0</v>
      </c>
      <c r="BW57" s="2028">
        <f t="shared" si="133"/>
        <v>0</v>
      </c>
      <c r="BX57" s="3284">
        <f t="shared" si="111"/>
        <v>0</v>
      </c>
      <c r="BY57" s="3295"/>
      <c r="BZ57" s="3274">
        <f>ЦО_логистика!BA57+'Форд Тягач'!BZ57+'MAN Blue KA1783HI'!BK57+'MAN green KA2790IE'!BK57+'MAN №3 white KA7837HO'!BK57+'MAN №4 white KA3597HO'!BK57+'MAN №5 Тент МД'!BA57</f>
        <v>0</v>
      </c>
      <c r="CA57" s="3274">
        <f>ЦО_логистика!BB57+'Форд Тягач'!CA57+'MAN Blue KA1783HI'!BL57+'MAN green KA2790IE'!BL57+'MAN №3 white KA7837HO'!BL57+'MAN №4 white KA3597HO'!BL57+'MAN №5 Тент МД'!BB57</f>
        <v>0</v>
      </c>
      <c r="CB57" s="2028">
        <f t="shared" si="134"/>
        <v>0</v>
      </c>
      <c r="CC57" s="3284">
        <f t="shared" si="112"/>
        <v>0</v>
      </c>
      <c r="CD57" s="3295"/>
      <c r="CE57" s="3274">
        <f>ЦО_логистика!BF57+'Форд Тягач'!CE57+'MAN Blue KA1783HI'!BP57+'MAN green KA2790IE'!BP57+'MAN №3 white KA7837HO'!BP57+'MAN №4 white KA3597HO'!BP57+'MAN №5 Тент МД'!BF57</f>
        <v>0</v>
      </c>
      <c r="CF57" s="3274">
        <f>ЦО_логистика!BG57+'Форд Тягач'!CF57+'MAN Blue KA1783HI'!BQ57+'MAN green KA2790IE'!BQ57+'MAN №3 white KA7837HO'!BQ57+'MAN №4 white KA3597HO'!BQ57+'MAN №5 Тент МД'!BG57</f>
        <v>0</v>
      </c>
      <c r="CG57" s="2028">
        <f t="shared" si="135"/>
        <v>0</v>
      </c>
      <c r="CH57" s="3284">
        <f t="shared" si="113"/>
        <v>0</v>
      </c>
      <c r="CI57" s="3295"/>
      <c r="CJ57" s="3274">
        <f>ЦО_логистика!BK57+'Форд Тягач'!CJ57+'MAN Blue KA1783HI'!BU57+'MAN green KA2790IE'!BU57+'MAN №3 white KA7837HO'!BU57+'MAN №4 white KA3597HO'!BU57+'MAN №5 Тент МД'!BK57</f>
        <v>0</v>
      </c>
      <c r="CK57" s="3274">
        <f>ЦО_логистика!BL57+'Форд Тягач'!CK57+'MAN Blue KA1783HI'!BV57+'MAN green KA2790IE'!BV57+'MAN №3 white KA7837HO'!BV57+'MAN №4 white KA3597HO'!BV57+'MAN №5 Тент МД'!BL57</f>
        <v>0</v>
      </c>
      <c r="CL57" s="2028">
        <f t="shared" si="136"/>
        <v>0</v>
      </c>
      <c r="CM57" s="3284">
        <f t="shared" si="114"/>
        <v>0</v>
      </c>
      <c r="CN57" s="3295"/>
      <c r="CO57" s="3274">
        <f>ЦО_логистика!BP57+'Форд Тягач'!CO57+'MAN Blue KA1783HI'!BZ57+'MAN green KA2790IE'!BZ57+'MAN №3 white KA7837HO'!BZ57+'MAN №4 white KA3597HO'!BZ57+'MAN №5 Тент МД'!BP57</f>
        <v>0</v>
      </c>
      <c r="CP57" s="3274">
        <f>ЦО_логистика!BQ57+'Форд Тягач'!CP57+'MAN Blue KA1783HI'!CA57+'MAN green KA2790IE'!CA57+'MAN №3 white KA7837HO'!CA57+'MAN №4 white KA3597HO'!CA57+'MAN №5 Тент МД'!BQ57</f>
        <v>0</v>
      </c>
      <c r="CQ57" s="2028">
        <f t="shared" si="137"/>
        <v>0</v>
      </c>
      <c r="CR57" s="3284">
        <f t="shared" si="115"/>
        <v>0</v>
      </c>
      <c r="CS57" s="3295"/>
      <c r="CT57" s="3274">
        <f>ЦО_логистика!BU57+'Форд Тягач'!CT57+'MAN Blue KA1783HI'!CE57+'MAN green KA2790IE'!CE57+'MAN №3 white KA7837HO'!CE57+'MAN №4 white KA3597HO'!CE57+'MAN №5 Тент МД'!BU57</f>
        <v>0</v>
      </c>
      <c r="CU57" s="3274">
        <f>ЦО_логистика!BV57+'Форд Тягач'!CU57+'MAN Blue KA1783HI'!CF57+'MAN green KA2790IE'!CF57+'MAN №3 white KA7837HO'!CF57+'MAN №4 white KA3597HO'!CF57+'MAN №5 Тент МД'!BV57</f>
        <v>0</v>
      </c>
      <c r="CV57" s="2028">
        <f t="shared" si="138"/>
        <v>0</v>
      </c>
      <c r="CW57" s="3284">
        <f t="shared" si="116"/>
        <v>0</v>
      </c>
      <c r="CX57" s="3295"/>
      <c r="CY57" s="3274">
        <f>ЦО_логистика!BZ57+'Форд Тягач'!CY57+'MAN Blue KA1783HI'!CJ57+'MAN green KA2790IE'!CJ57+'MAN №3 white KA7837HO'!CJ57+'MAN №4 white KA3597HO'!CJ57+'MAN №5 Тент МД'!BZ57</f>
        <v>0</v>
      </c>
      <c r="CZ57" s="3274">
        <f>ЦО_логистика!CA57+'Форд Тягач'!CZ57+'MAN Blue KA1783HI'!CK57+'MAN green KA2790IE'!CK57+'MAN №3 white KA7837HO'!CK57+'MAN №4 white KA3597HO'!CK57+'MAN №5 Тент МД'!CA57</f>
        <v>0</v>
      </c>
      <c r="DA57" s="2028">
        <f t="shared" si="139"/>
        <v>0</v>
      </c>
      <c r="DB57" s="3284">
        <f t="shared" si="117"/>
        <v>0</v>
      </c>
      <c r="DC57" s="3295"/>
      <c r="DD57" s="3274">
        <f>ЦО_логистика!CE57+'Форд Тягач'!DD57+'MAN Blue KA1783HI'!CO57+'MAN green KA2790IE'!CO57+'MAN №3 white KA7837HO'!CO57+'MAN №4 white KA3597HO'!CO57+'MAN №5 Тент МД'!CE57</f>
        <v>0</v>
      </c>
      <c r="DE57" s="3274">
        <f>ЦО_логистика!CF57+'Форд Тягач'!DE57+'MAN Blue KA1783HI'!CP57+'MAN green KA2790IE'!CP57+'MAN №3 white KA7837HO'!CP57+'MAN №4 white KA3597HO'!CP57+'MAN №5 Тент МД'!CF57</f>
        <v>0</v>
      </c>
      <c r="DF57" s="2028">
        <f t="shared" si="140"/>
        <v>0</v>
      </c>
      <c r="DG57" s="3284">
        <f t="shared" si="118"/>
        <v>0</v>
      </c>
      <c r="DH57" s="3295"/>
      <c r="DI57" s="3274">
        <f>ЦО_логистика!CJ57+'Форд Тягач'!DI57+'MAN Blue KA1783HI'!CT57+'MAN green KA2790IE'!CT57+'MAN №3 white KA7837HO'!CT57+'MAN №4 white KA3597HO'!CT57+'MAN №5 Тент МД'!CJ57</f>
        <v>0</v>
      </c>
      <c r="DJ57" s="3274">
        <f>ЦО_логистика!CK57+'Форд Тягач'!DJ57+'MAN Blue KA1783HI'!CU57+'MAN green KA2790IE'!CU57+'MAN №3 white KA7837HO'!CU57+'MAN №4 white KA3597HO'!CU57+'MAN №5 Тент МД'!CK57</f>
        <v>0</v>
      </c>
      <c r="DK57" s="2028">
        <f t="shared" si="141"/>
        <v>0</v>
      </c>
      <c r="DL57" s="3284">
        <f t="shared" si="119"/>
        <v>0</v>
      </c>
      <c r="DM57" s="3295"/>
      <c r="DN57" s="3288">
        <f t="shared" si="142"/>
        <v>197596.18</v>
      </c>
      <c r="DO57" s="3288">
        <f t="shared" si="142"/>
        <v>0</v>
      </c>
      <c r="DP57" s="2028">
        <f t="shared" si="143"/>
        <v>197596.18</v>
      </c>
      <c r="DQ57" s="3284">
        <f t="shared" si="75"/>
        <v>7.478736604573862E-3</v>
      </c>
      <c r="DR57" s="3275"/>
      <c r="DS57" s="916"/>
      <c r="DT57" s="916"/>
    </row>
    <row r="58" spans="1:124" ht="13.8" x14ac:dyDescent="0.25">
      <c r="A58" s="1586"/>
      <c r="B58" s="3310" t="s">
        <v>67</v>
      </c>
      <c r="C58" s="3283">
        <v>0</v>
      </c>
      <c r="D58" s="3283">
        <v>0</v>
      </c>
      <c r="E58" s="2028">
        <v>0</v>
      </c>
      <c r="F58" s="3284">
        <v>0</v>
      </c>
      <c r="G58" s="3295"/>
      <c r="H58" s="3283">
        <v>0</v>
      </c>
      <c r="I58" s="3283">
        <v>0</v>
      </c>
      <c r="J58" s="2028">
        <v>0</v>
      </c>
      <c r="K58" s="3284">
        <v>0</v>
      </c>
      <c r="L58" s="3295">
        <v>0</v>
      </c>
      <c r="M58" s="3283">
        <v>0</v>
      </c>
      <c r="N58" s="3283">
        <v>0</v>
      </c>
      <c r="O58" s="2028">
        <v>0</v>
      </c>
      <c r="P58" s="3284">
        <v>0</v>
      </c>
      <c r="Q58" s="3295">
        <v>0</v>
      </c>
      <c r="R58" s="3274">
        <f>'Форд Тягач'!R58+'MAN Blue KA1783HI'!C58+'MAN green KA2790IE'!C58+'MAN №3 white KA7837HO'!C58+'MAN №4 white KA3597HO'!C58</f>
        <v>0</v>
      </c>
      <c r="S58" s="3274">
        <f>'Форд Тягач'!S58+'MAN Blue KA1783HI'!D58+'MAN green KA2790IE'!D58+'MAN №3 white KA7837HO'!D58+'MAN №4 white KA3597HO'!D58</f>
        <v>0</v>
      </c>
      <c r="T58" s="2028">
        <f t="shared" si="120"/>
        <v>0</v>
      </c>
      <c r="U58" s="3284">
        <f t="shared" si="102"/>
        <v>0</v>
      </c>
      <c r="V58" s="3275"/>
      <c r="W58" s="3283">
        <f>'Форд Тягач'!W58+'MAN Blue KA1783HI'!H58+'MAN green KA2790IE'!H58+'MAN №3 white KA7837HO'!H58+'MAN №4 white KA3597HO'!H58+Техника!W58</f>
        <v>0</v>
      </c>
      <c r="X58" s="3283">
        <f>'Форд Тягач'!X58+'MAN Blue KA1783HI'!I58+'MAN green KA2790IE'!I58+'MAN №3 white KA7837HO'!I58+'MAN №4 white KA3597HO'!I58+Техника!X58</f>
        <v>0</v>
      </c>
      <c r="Y58" s="2028">
        <f t="shared" si="121"/>
        <v>0</v>
      </c>
      <c r="Z58" s="3284">
        <f t="shared" si="103"/>
        <v>0</v>
      </c>
      <c r="AA58" s="3295"/>
      <c r="AB58" s="3274">
        <f>ЦО_логистика!C58+'Форд Тягач'!AB58+'MAN Blue KA1783HI'!M58+'MAN green KA2790IE'!M58+'MAN №3 white KA7837HO'!M58+'MAN №4 white KA3597HO'!M58+'MAN №5 Тент МД'!C58</f>
        <v>0</v>
      </c>
      <c r="AC58" s="3274">
        <f>ЦО_логистика!D58+'Форд Тягач'!AC58+'MAN Blue KA1783HI'!N58+'MAN green KA2790IE'!N58+'MAN №3 white KA7837HO'!N58+'MAN №4 white KA3597HO'!N58+'MAN №5 Тент МД'!D58</f>
        <v>0</v>
      </c>
      <c r="AD58" s="2028">
        <f t="shared" si="122"/>
        <v>0</v>
      </c>
      <c r="AE58" s="3284">
        <f t="shared" si="2"/>
        <v>0</v>
      </c>
      <c r="AF58" s="3295"/>
      <c r="AG58" s="3274">
        <f>ЦО_логистика!H58+'Форд Тягач'!AG58+'MAN Blue KA1783HI'!R58+'MAN green KA2790IE'!R58+'MAN №3 white KA7837HO'!R58+'MAN №4 white KA3597HO'!R58+'MAN №5 Тент МД'!H58</f>
        <v>0</v>
      </c>
      <c r="AH58" s="3274">
        <f>ЦО_логистика!I58+'Форд Тягач'!AH58+'MAN Blue KA1783HI'!S58+'MAN green KA2790IE'!S58+'MAN №3 white KA7837HO'!S58+'MAN №4 white KA3597HO'!S58+'MAN №5 Тент МД'!I58</f>
        <v>0</v>
      </c>
      <c r="AI58" s="2028">
        <f t="shared" si="123"/>
        <v>0</v>
      </c>
      <c r="AJ58" s="3284">
        <f t="shared" si="104"/>
        <v>0</v>
      </c>
      <c r="AK58" s="3295"/>
      <c r="AL58" s="3274">
        <f>ЦО_логистика!M58+'Форд Тягач'!AL58+'MAN Blue KA1783HI'!W58+'MAN green KA2790IE'!W58+'MAN №3 white KA7837HO'!W58+'MAN №4 white KA3597HO'!W58+'MAN №5 Тент МД'!M58</f>
        <v>0</v>
      </c>
      <c r="AM58" s="3274">
        <f>ЦО_логистика!N58+'Форд Тягач'!AM58+'MAN Blue KA1783HI'!X58+'MAN green KA2790IE'!X58+'MAN №3 white KA7837HO'!X58+'MAN №4 white KA3597HO'!X58+'MAN №5 Тент МД'!N58</f>
        <v>0</v>
      </c>
      <c r="AN58" s="2028">
        <f t="shared" si="124"/>
        <v>0</v>
      </c>
      <c r="AO58" s="3284">
        <f t="shared" si="105"/>
        <v>0</v>
      </c>
      <c r="AP58" s="3425" t="str">
        <f>CONCATENATE(ЦО_логистика!Q58,'Форд Тягач'!AP58,'MAN Blue KA1783HI'!AA58,'MAN green KA2790IE'!AA58,'MAN №3 white KA7837HO'!AF58,'MAN №4 white KA3597HO'!AA58,'MAN №5 Тент МД'!Q58)</f>
        <v/>
      </c>
      <c r="AQ58" s="3274">
        <f>SUM(ЦО_логистика!R58,'Форд Тягач'!AQ58,'MAN Blue KA1783HI'!AB58,'MAN green KA2790IE'!AB58,'MAN №3 white KA7837HO'!AB58,'MAN №4 white KA3597HO'!AB58,'MAN №5 Тент МД'!R58)</f>
        <v>0</v>
      </c>
      <c r="AR58" s="3274">
        <f>SUM(ЦО_логистика!S58,'Форд Тягач'!AR58,'MAN Blue KA1783HI'!AC58,'MAN green KA2790IE'!AC58,'MAN №3 white KA7837HO'!AC58,'MAN №4 white KA3597HO'!AC58,'MAN №5 Тент МД'!S58)</f>
        <v>0</v>
      </c>
      <c r="AS58" s="2028">
        <f t="shared" si="125"/>
        <v>0</v>
      </c>
      <c r="AT58" s="3284">
        <f t="shared" si="106"/>
        <v>0</v>
      </c>
      <c r="AU58" s="3425" t="str">
        <f>CONCATENATE(ЦО_логистика!V58,'Форд Тягач'!AU58,'MAN Blue KA1783HI'!AF57,'MAN green KA2790IE'!AF58,'MAN №3 white KA7837HO'!AF58,'MAN №4 white KA3597HO'!AF58,'MAN №5 Тент МД'!V58)</f>
        <v/>
      </c>
      <c r="AV58" s="3275">
        <f>+ЦО_логистика!W58+'Форд Тягач'!AV58+'MAN Blue KA1783HI'!AG58+'MAN green KA2790IE'!AG58+'MAN №3 white KA7837HO'!AG58+'MAN №4 white KA3597HO'!AG58+'MAN №5 Тент МД'!W58</f>
        <v>0</v>
      </c>
      <c r="AW58" s="3275">
        <f>+ЦО_логистика!X58+'Форд Тягач'!AW58+'MAN Blue KA1783HI'!AH58+'MAN green KA2790IE'!AH58+'MAN №3 white KA7837HO'!AH58+'MAN №4 white KA3597HO'!AH58+'MAN №5 Тент МД'!X58</f>
        <v>0</v>
      </c>
      <c r="AX58" s="2028">
        <f t="shared" si="126"/>
        <v>0</v>
      </c>
      <c r="AY58" s="3284">
        <f t="shared" si="107"/>
        <v>0</v>
      </c>
      <c r="AZ58" s="3275"/>
      <c r="BA58" s="3275">
        <f t="shared" si="127"/>
        <v>0</v>
      </c>
      <c r="BB58" s="3275">
        <f t="shared" si="127"/>
        <v>0</v>
      </c>
      <c r="BC58" s="2028">
        <f t="shared" si="128"/>
        <v>0</v>
      </c>
      <c r="BD58" s="3284">
        <f t="shared" si="108"/>
        <v>0</v>
      </c>
      <c r="BE58" s="3275">
        <f>ЦО_логистика!AD58+'Форд Тягач'!BC58+'MAN Blue KA1783HI'!AN58+'MAN green KA2790IE'!AN58+'MAN №3 white KA7837HO'!AN58+'MAN №4 white KA3597HO'!AN58+'MAN №5 Тент МД'!AD58-BC58</f>
        <v>0</v>
      </c>
      <c r="BF58" s="3274">
        <f>ЦО_логистика!AG58+'Форд Тягач'!BF58+'MAN Blue KA1783HI'!AQ58+'MAN green KA2790IE'!AQ58+'MAN №3 white KA7837HO'!AQ58+'MAN №4 white KA3597HO'!AQ58+'MAN №5 Тент МД'!AG58</f>
        <v>0</v>
      </c>
      <c r="BG58" s="3274">
        <f>ЦО_логистика!AH58+'Форд Тягач'!BG58+'MAN Blue KA1783HI'!AR58+'MAN green KA2790IE'!AR58+'MAN №3 white KA7837HO'!AR58+'MAN №4 white KA3597HO'!AR58+'MAN №5 Тент МД'!AH58</f>
        <v>0</v>
      </c>
      <c r="BH58" s="2028">
        <f t="shared" si="129"/>
        <v>0</v>
      </c>
      <c r="BI58" s="3284">
        <f t="shared" si="109"/>
        <v>0</v>
      </c>
      <c r="BJ58" s="3275"/>
      <c r="BK58" s="3275">
        <f>ЦО_логистика!AL58+'Форд Тягач'!BK58+'MAN Blue KA1783HI'!AV58+'MAN green KA2790IE'!AV58+'MAN №3 white KA7837HO'!AV58+'MAN №4 white KA3597HO'!AV58+'MAN №5 Тент МД'!AL58</f>
        <v>0</v>
      </c>
      <c r="BL58" s="3275">
        <f>ЦО_логистика!AM58+'Форд Тягач'!BL58+'MAN Blue KA1783HI'!AW58+'MAN green KA2790IE'!AW58+'MAN №3 white KA7837HO'!AW58+'MAN №4 white KA3597HO'!AW58+'MAN №5 Тент МД'!AM58</f>
        <v>0</v>
      </c>
      <c r="BM58" s="2028">
        <f t="shared" si="130"/>
        <v>0</v>
      </c>
      <c r="BN58" s="3284">
        <f t="shared" si="131"/>
        <v>0</v>
      </c>
      <c r="BO58" s="3275"/>
      <c r="BP58" s="3274">
        <f>ЦО_логистика!AQ58+'Форд Тягач'!BP58+'MAN Blue KA1783HI'!BA58+'MAN green KA2790IE'!BA58+'MAN №3 white KA7837HO'!BA58+'MAN №4 white KA3597HO'!BA58+'MAN №5 Тент МД'!AQ58</f>
        <v>0</v>
      </c>
      <c r="BQ58" s="3274">
        <f>ЦО_логистика!AR58+'Форд Тягач'!BQ58+'MAN Blue KA1783HI'!BB58+'MAN green KA2790IE'!BB58+'MAN №3 white KA7837HO'!BB58+'MAN №4 white KA3597HO'!BB58+'MAN №5 Тент МД'!AR58</f>
        <v>0</v>
      </c>
      <c r="BR58" s="2028">
        <f t="shared" si="132"/>
        <v>0</v>
      </c>
      <c r="BS58" s="3284">
        <f t="shared" si="110"/>
        <v>0</v>
      </c>
      <c r="BT58" s="3295"/>
      <c r="BU58" s="3274">
        <f>ЦО_логистика!AV58+'Форд Тягач'!BU58+'MAN Blue KA1783HI'!BF58+'MAN green KA2790IE'!BF58+'MAN №3 white KA7837HO'!BF58+'MAN №4 white KA3597HO'!BF58+'MAN №5 Тент МД'!AV58</f>
        <v>0</v>
      </c>
      <c r="BV58" s="3274">
        <f>ЦО_логистика!AW58+'Форд Тягач'!BV58+'MAN Blue KA1783HI'!BG58+'MAN green KA2790IE'!BG58+'MAN №3 white KA7837HO'!BG58+'MAN №4 white KA3597HO'!BG58+'MAN №5 Тент МД'!AW58</f>
        <v>0</v>
      </c>
      <c r="BW58" s="2028">
        <f t="shared" si="133"/>
        <v>0</v>
      </c>
      <c r="BX58" s="3284">
        <f t="shared" si="111"/>
        <v>0</v>
      </c>
      <c r="BY58" s="3295"/>
      <c r="BZ58" s="3274">
        <f>ЦО_логистика!BA58+'Форд Тягач'!BZ58+'MAN Blue KA1783HI'!BK58+'MAN green KA2790IE'!BK58+'MAN №3 white KA7837HO'!BK58+'MAN №4 white KA3597HO'!BK58+'MAN №5 Тент МД'!BA58</f>
        <v>0</v>
      </c>
      <c r="CA58" s="3274">
        <f>ЦО_логистика!BB58+'Форд Тягач'!CA58+'MAN Blue KA1783HI'!BL58+'MAN green KA2790IE'!BL58+'MAN №3 white KA7837HO'!BL58+'MAN №4 white KA3597HO'!BL58+'MAN №5 Тент МД'!BB58</f>
        <v>0</v>
      </c>
      <c r="CB58" s="2028">
        <f t="shared" si="134"/>
        <v>0</v>
      </c>
      <c r="CC58" s="3284">
        <f t="shared" si="112"/>
        <v>0</v>
      </c>
      <c r="CD58" s="3295"/>
      <c r="CE58" s="3274">
        <f>ЦО_логистика!BF58+'Форд Тягач'!CE58+'MAN Blue KA1783HI'!BP58+'MAN green KA2790IE'!BP58+'MAN №3 white KA7837HO'!BP58+'MAN №4 white KA3597HO'!BP58+'MAN №5 Тент МД'!BF58</f>
        <v>0</v>
      </c>
      <c r="CF58" s="3274">
        <f>ЦО_логистика!BG58+'Форд Тягач'!CF58+'MAN Blue KA1783HI'!BQ58+'MAN green KA2790IE'!BQ58+'MAN №3 white KA7837HO'!BQ58+'MAN №4 white KA3597HO'!BQ58+'MAN №5 Тент МД'!BG58</f>
        <v>0</v>
      </c>
      <c r="CG58" s="2028">
        <f t="shared" si="135"/>
        <v>0</v>
      </c>
      <c r="CH58" s="3284">
        <f t="shared" si="113"/>
        <v>0</v>
      </c>
      <c r="CI58" s="3295"/>
      <c r="CJ58" s="3274">
        <f>ЦО_логистика!BK58+'Форд Тягач'!CJ58+'MAN Blue KA1783HI'!BU58+'MAN green KA2790IE'!BU58+'MAN №3 white KA7837HO'!BU58+'MAN №4 white KA3597HO'!BU58+'MAN №5 Тент МД'!BK58</f>
        <v>0</v>
      </c>
      <c r="CK58" s="3274">
        <f>ЦО_логистика!BL58+'Форд Тягач'!CK58+'MAN Blue KA1783HI'!BV58+'MAN green KA2790IE'!BV58+'MAN №3 white KA7837HO'!BV58+'MAN №4 white KA3597HO'!BV58+'MAN №5 Тент МД'!BL58</f>
        <v>0</v>
      </c>
      <c r="CL58" s="2028">
        <f t="shared" si="136"/>
        <v>0</v>
      </c>
      <c r="CM58" s="3284">
        <f t="shared" si="114"/>
        <v>0</v>
      </c>
      <c r="CN58" s="3295"/>
      <c r="CO58" s="3274">
        <f>ЦО_логистика!BP58+'Форд Тягач'!CO58+'MAN Blue KA1783HI'!BZ58+'MAN green KA2790IE'!BZ58+'MAN №3 white KA7837HO'!BZ58+'MAN №4 white KA3597HO'!BZ58+'MAN №5 Тент МД'!BP58</f>
        <v>0</v>
      </c>
      <c r="CP58" s="3274">
        <f>ЦО_логистика!BQ58+'Форд Тягач'!CP58+'MAN Blue KA1783HI'!CA58+'MAN green KA2790IE'!CA58+'MAN №3 white KA7837HO'!CA58+'MAN №4 white KA3597HO'!CA58+'MAN №5 Тент МД'!BQ58</f>
        <v>0</v>
      </c>
      <c r="CQ58" s="2028">
        <f t="shared" si="137"/>
        <v>0</v>
      </c>
      <c r="CR58" s="3284">
        <f t="shared" si="115"/>
        <v>0</v>
      </c>
      <c r="CS58" s="3295"/>
      <c r="CT58" s="3274">
        <f>ЦО_логистика!BU58+'Форд Тягач'!CT58+'MAN Blue KA1783HI'!CE58+'MAN green KA2790IE'!CE58+'MAN №3 white KA7837HO'!CE58+'MAN №4 white KA3597HO'!CE58+'MAN №5 Тент МД'!BU58</f>
        <v>0</v>
      </c>
      <c r="CU58" s="3274">
        <f>ЦО_логистика!BV58+'Форд Тягач'!CU58+'MAN Blue KA1783HI'!CF58+'MAN green KA2790IE'!CF58+'MAN №3 white KA7837HO'!CF58+'MAN №4 white KA3597HO'!CF58+'MAN №5 Тент МД'!BV58</f>
        <v>0</v>
      </c>
      <c r="CV58" s="2028">
        <f t="shared" si="138"/>
        <v>0</v>
      </c>
      <c r="CW58" s="3284">
        <f t="shared" si="116"/>
        <v>0</v>
      </c>
      <c r="CX58" s="3295"/>
      <c r="CY58" s="3274">
        <f>ЦО_логистика!BZ58+'Форд Тягач'!CY58+'MAN Blue KA1783HI'!CJ58+'MAN green KA2790IE'!CJ58+'MAN №3 white KA7837HO'!CJ58+'MAN №4 white KA3597HO'!CJ58+'MAN №5 Тент МД'!BZ58</f>
        <v>0</v>
      </c>
      <c r="CZ58" s="3274">
        <f>ЦО_логистика!CA58+'Форд Тягач'!CZ58+'MAN Blue KA1783HI'!CK58+'MAN green KA2790IE'!CK58+'MAN №3 white KA7837HO'!CK58+'MAN №4 white KA3597HO'!CK58+'MAN №5 Тент МД'!CA58</f>
        <v>0</v>
      </c>
      <c r="DA58" s="2028">
        <f t="shared" si="139"/>
        <v>0</v>
      </c>
      <c r="DB58" s="3284">
        <f t="shared" si="117"/>
        <v>0</v>
      </c>
      <c r="DC58" s="3295"/>
      <c r="DD58" s="3274">
        <f>ЦО_логистика!CE58+'Форд Тягач'!DD58+'MAN Blue KA1783HI'!CO58+'MAN green KA2790IE'!CO58+'MAN №3 white KA7837HO'!CO58+'MAN №4 white KA3597HO'!CO58+'MAN №5 Тент МД'!CE58</f>
        <v>0</v>
      </c>
      <c r="DE58" s="3274">
        <f>ЦО_логистика!CF58+'Форд Тягач'!DE58+'MAN Blue KA1783HI'!CP58+'MAN green KA2790IE'!CP58+'MAN №3 white KA7837HO'!CP58+'MAN №4 white KA3597HO'!CP58+'MAN №5 Тент МД'!CF58</f>
        <v>0</v>
      </c>
      <c r="DF58" s="2028">
        <f t="shared" si="140"/>
        <v>0</v>
      </c>
      <c r="DG58" s="3284">
        <f t="shared" si="118"/>
        <v>0</v>
      </c>
      <c r="DH58" s="3295"/>
      <c r="DI58" s="3274">
        <f>ЦО_логистика!CJ58+'Форд Тягач'!DI58+'MAN Blue KA1783HI'!CT58+'MAN green KA2790IE'!CT58+'MAN №3 white KA7837HO'!CT58+'MAN №4 white KA3597HO'!CT58+'MAN №5 Тент МД'!CJ58</f>
        <v>0</v>
      </c>
      <c r="DJ58" s="3274">
        <f>ЦО_логистика!CK58+'Форд Тягач'!DJ58+'MAN Blue KA1783HI'!CU58+'MAN green KA2790IE'!CU58+'MAN №3 white KA7837HO'!CU58+'MAN №4 white KA3597HO'!CU58+'MAN №5 Тент МД'!CK58</f>
        <v>0</v>
      </c>
      <c r="DK58" s="2028">
        <f t="shared" si="141"/>
        <v>0</v>
      </c>
      <c r="DL58" s="3284">
        <f t="shared" si="119"/>
        <v>0</v>
      </c>
      <c r="DM58" s="3295"/>
      <c r="DN58" s="3288">
        <f t="shared" si="142"/>
        <v>0</v>
      </c>
      <c r="DO58" s="3288">
        <f t="shared" si="142"/>
        <v>0</v>
      </c>
      <c r="DP58" s="2028">
        <f t="shared" si="143"/>
        <v>0</v>
      </c>
      <c r="DQ58" s="3284">
        <f t="shared" si="75"/>
        <v>0</v>
      </c>
      <c r="DR58" s="3275"/>
      <c r="DS58" s="916"/>
      <c r="DT58" s="916"/>
    </row>
    <row r="59" spans="1:124" ht="13.8" x14ac:dyDescent="0.25">
      <c r="A59" s="1586"/>
      <c r="B59" s="3310" t="s">
        <v>66</v>
      </c>
      <c r="C59" s="3283">
        <v>0</v>
      </c>
      <c r="D59" s="3283">
        <v>0</v>
      </c>
      <c r="E59" s="2028">
        <v>0</v>
      </c>
      <c r="F59" s="3284">
        <v>0</v>
      </c>
      <c r="G59" s="3295"/>
      <c r="H59" s="3283">
        <v>0</v>
      </c>
      <c r="I59" s="3283">
        <v>0</v>
      </c>
      <c r="J59" s="2028">
        <v>0</v>
      </c>
      <c r="K59" s="3284">
        <v>0</v>
      </c>
      <c r="L59" s="3295">
        <v>0</v>
      </c>
      <c r="M59" s="3283">
        <v>0</v>
      </c>
      <c r="N59" s="3283">
        <v>0</v>
      </c>
      <c r="O59" s="2028">
        <v>0</v>
      </c>
      <c r="P59" s="3284">
        <v>0</v>
      </c>
      <c r="Q59" s="3295">
        <v>0</v>
      </c>
      <c r="R59" s="3274">
        <f>'Форд Тягач'!R59+'MAN Blue KA1783HI'!C59+'MAN green KA2790IE'!C59+'MAN №3 white KA7837HO'!C59+'MAN №4 white KA3597HO'!C59</f>
        <v>0</v>
      </c>
      <c r="S59" s="3274">
        <f>'Форд Тягач'!S59+'MAN Blue KA1783HI'!D59+'MAN green KA2790IE'!D59+'MAN №3 white KA7837HO'!D59+'MAN №4 white KA3597HO'!D59</f>
        <v>0</v>
      </c>
      <c r="T59" s="2028">
        <f t="shared" si="120"/>
        <v>0</v>
      </c>
      <c r="U59" s="3284">
        <f t="shared" si="102"/>
        <v>0</v>
      </c>
      <c r="V59" s="3275"/>
      <c r="W59" s="3283">
        <f>'Форд Тягач'!W59+'MAN Blue KA1783HI'!H59+'MAN green KA2790IE'!H59+'MAN №3 white KA7837HO'!H59+'MAN №4 white KA3597HO'!H59+Техника!W59</f>
        <v>0</v>
      </c>
      <c r="X59" s="3283">
        <f>'Форд Тягач'!X59+'MAN Blue KA1783HI'!I59+'MAN green KA2790IE'!I59+'MAN №3 white KA7837HO'!I59+'MAN №4 white KA3597HO'!I59+Техника!X59</f>
        <v>0</v>
      </c>
      <c r="Y59" s="2028">
        <f t="shared" si="121"/>
        <v>0</v>
      </c>
      <c r="Z59" s="3284">
        <f t="shared" si="103"/>
        <v>0</v>
      </c>
      <c r="AA59" s="3295"/>
      <c r="AB59" s="3274">
        <f>ЦО_логистика!C59+'Форд Тягач'!AB59+'MAN Blue KA1783HI'!M59+'MAN green KA2790IE'!M59+'MAN №3 white KA7837HO'!M59+'MAN №4 white KA3597HO'!M59+'MAN №5 Тент МД'!C59</f>
        <v>0</v>
      </c>
      <c r="AC59" s="3274">
        <f>ЦО_логистика!D59+'Форд Тягач'!AC59+'MAN Blue KA1783HI'!N59+'MAN green KA2790IE'!N59+'MAN №3 white KA7837HO'!N59+'MAN №4 white KA3597HO'!N59+'MAN №5 Тент МД'!D59</f>
        <v>0</v>
      </c>
      <c r="AD59" s="2028">
        <f t="shared" si="122"/>
        <v>0</v>
      </c>
      <c r="AE59" s="3284">
        <f t="shared" si="2"/>
        <v>0</v>
      </c>
      <c r="AF59" s="3295"/>
      <c r="AG59" s="3274">
        <f>ЦО_логистика!H59+'Форд Тягач'!AG59+'MAN Blue KA1783HI'!R59+'MAN green KA2790IE'!R59+'MAN №3 white KA7837HO'!R59+'MAN №4 white KA3597HO'!R59+'MAN №5 Тент МД'!H59</f>
        <v>0</v>
      </c>
      <c r="AH59" s="3274">
        <f>ЦО_логистика!I59+'Форд Тягач'!AH59+'MAN Blue KA1783HI'!S59+'MAN green KA2790IE'!S59+'MAN №3 white KA7837HO'!S59+'MAN №4 white KA3597HO'!S59+'MAN №5 Тент МД'!I59</f>
        <v>0</v>
      </c>
      <c r="AI59" s="2028">
        <f t="shared" si="123"/>
        <v>0</v>
      </c>
      <c r="AJ59" s="3284">
        <f t="shared" si="104"/>
        <v>0</v>
      </c>
      <c r="AK59" s="3295"/>
      <c r="AL59" s="3274">
        <f>ЦО_логистика!M59+'Форд Тягач'!AL59+'MAN Blue KA1783HI'!W59+'MAN green KA2790IE'!W59+'MAN №3 white KA7837HO'!W59+'MAN №4 white KA3597HO'!W59+'MAN №5 Тент МД'!M59</f>
        <v>0</v>
      </c>
      <c r="AM59" s="3274">
        <f>ЦО_логистика!N59+'Форд Тягач'!AM59+'MAN Blue KA1783HI'!X59+'MAN green KA2790IE'!X59+'MAN №3 white KA7837HO'!X59+'MAN №4 white KA3597HO'!X59+'MAN №5 Тент МД'!N59</f>
        <v>0</v>
      </c>
      <c r="AN59" s="2028">
        <f t="shared" si="124"/>
        <v>0</v>
      </c>
      <c r="AO59" s="3284">
        <f t="shared" si="105"/>
        <v>0</v>
      </c>
      <c r="AP59" s="3425" t="str">
        <f>CONCATENATE(ЦО_логистика!Q59,'Форд Тягач'!AP59,'MAN Blue KA1783HI'!AA59,'MAN green KA2790IE'!AA59,'MAN №3 white KA7837HO'!AF59,'MAN №4 white KA3597HO'!AA59,'MAN №5 Тент МД'!Q59)</f>
        <v/>
      </c>
      <c r="AQ59" s="3274">
        <f>SUM(ЦО_логистика!R59,'Форд Тягач'!AQ59,'MAN Blue KA1783HI'!AB59,'MAN green KA2790IE'!AB59,'MAN №3 white KA7837HO'!AB59,'MAN №4 white KA3597HO'!AB59,'MAN №5 Тент МД'!R59)</f>
        <v>0</v>
      </c>
      <c r="AR59" s="3274">
        <f>SUM(ЦО_логистика!S59,'Форд Тягач'!AR59,'MAN Blue KA1783HI'!AC59,'MAN green KA2790IE'!AC59,'MAN №3 white KA7837HO'!AC59,'MAN №4 white KA3597HO'!AC59,'MAN №5 Тент МД'!S59)</f>
        <v>0</v>
      </c>
      <c r="AS59" s="2028">
        <f t="shared" si="125"/>
        <v>0</v>
      </c>
      <c r="AT59" s="3284">
        <f t="shared" si="106"/>
        <v>0</v>
      </c>
      <c r="AU59" s="3425" t="str">
        <f>CONCATENATE(ЦО_логистика!V59,'Форд Тягач'!AU59,'MAN Blue KA1783HI'!AF58,'MAN green KA2790IE'!AF59,'MAN №3 white KA7837HO'!AF59,'MAN №4 white KA3597HO'!AF59,'MAN №5 Тент МД'!V59)</f>
        <v/>
      </c>
      <c r="AV59" s="3275">
        <f>+ЦО_логистика!W59+'Форд Тягач'!AV59+'MAN Blue KA1783HI'!AG59+'MAN green KA2790IE'!AG59+'MAN №3 white KA7837HO'!AG59+'MAN №4 white KA3597HO'!AG59+'MAN №5 Тент МД'!W59</f>
        <v>0</v>
      </c>
      <c r="AW59" s="3275">
        <f>+ЦО_логистика!X59+'Форд Тягач'!AW59+'MAN Blue KA1783HI'!AH59+'MAN green KA2790IE'!AH59+'MAN №3 white KA7837HO'!AH59+'MAN №4 white KA3597HO'!AH59+'MAN №5 Тент МД'!X59</f>
        <v>0</v>
      </c>
      <c r="AX59" s="2028">
        <f t="shared" si="126"/>
        <v>0</v>
      </c>
      <c r="AY59" s="3284">
        <f t="shared" si="107"/>
        <v>0</v>
      </c>
      <c r="AZ59" s="3275"/>
      <c r="BA59" s="3275">
        <f t="shared" si="127"/>
        <v>0</v>
      </c>
      <c r="BB59" s="3275">
        <f t="shared" si="127"/>
        <v>0</v>
      </c>
      <c r="BC59" s="2028">
        <f t="shared" si="128"/>
        <v>0</v>
      </c>
      <c r="BD59" s="3284">
        <f t="shared" si="108"/>
        <v>0</v>
      </c>
      <c r="BE59" s="3275">
        <f>ЦО_логистика!AD59+'Форд Тягач'!BC59+'MAN Blue KA1783HI'!AN59+'MAN green KA2790IE'!AN59+'MAN №3 white KA7837HO'!AN59+'MAN №4 white KA3597HO'!AN59+'MAN №5 Тент МД'!AD59-BC59</f>
        <v>0</v>
      </c>
      <c r="BF59" s="3274">
        <f>ЦО_логистика!AG59+'Форд Тягач'!BF59+'MAN Blue KA1783HI'!AQ59+'MAN green KA2790IE'!AQ59+'MAN №3 white KA7837HO'!AQ59+'MAN №4 white KA3597HO'!AQ59+'MAN №5 Тент МД'!AG59</f>
        <v>0</v>
      </c>
      <c r="BG59" s="3274">
        <f>ЦО_логистика!AH59+'Форд Тягач'!BG59+'MAN Blue KA1783HI'!AR59+'MAN green KA2790IE'!AR59+'MAN №3 white KA7837HO'!AR59+'MAN №4 white KA3597HO'!AR59+'MAN №5 Тент МД'!AH59</f>
        <v>0</v>
      </c>
      <c r="BH59" s="2028">
        <f t="shared" si="129"/>
        <v>0</v>
      </c>
      <c r="BI59" s="3284">
        <f t="shared" si="109"/>
        <v>0</v>
      </c>
      <c r="BJ59" s="3275"/>
      <c r="BK59" s="3275">
        <f>ЦО_логистика!AL59+'Форд Тягач'!BK59+'MAN Blue KA1783HI'!AV59+'MAN green KA2790IE'!AV59+'MAN №3 white KA7837HO'!AV59+'MAN №4 white KA3597HO'!AV59+'MAN №5 Тент МД'!AL59</f>
        <v>0</v>
      </c>
      <c r="BL59" s="3275">
        <f>ЦО_логистика!AM59+'Форд Тягач'!BL59+'MAN Blue KA1783HI'!AW59+'MAN green KA2790IE'!AW59+'MAN №3 white KA7837HO'!AW59+'MAN №4 white KA3597HO'!AW59+'MAN №5 Тент МД'!AM59</f>
        <v>0</v>
      </c>
      <c r="BM59" s="2028">
        <f t="shared" si="130"/>
        <v>0</v>
      </c>
      <c r="BN59" s="3284">
        <f t="shared" si="131"/>
        <v>0</v>
      </c>
      <c r="BO59" s="3275"/>
      <c r="BP59" s="3274">
        <f>ЦО_логистика!AQ59+'Форд Тягач'!BP59+'MAN Blue KA1783HI'!BA59+'MAN green KA2790IE'!BA59+'MAN №3 white KA7837HO'!BA59+'MAN №4 white KA3597HO'!BA59+'MAN №5 Тент МД'!AQ59</f>
        <v>0</v>
      </c>
      <c r="BQ59" s="3274">
        <f>ЦО_логистика!AR59+'Форд Тягач'!BQ59+'MAN Blue KA1783HI'!BB59+'MAN green KA2790IE'!BB59+'MAN №3 white KA7837HO'!BB59+'MAN №4 white KA3597HO'!BB59+'MAN №5 Тент МД'!AR59</f>
        <v>0</v>
      </c>
      <c r="BR59" s="2028">
        <f t="shared" si="132"/>
        <v>0</v>
      </c>
      <c r="BS59" s="3284">
        <f t="shared" si="110"/>
        <v>0</v>
      </c>
      <c r="BT59" s="3295"/>
      <c r="BU59" s="3274">
        <f>ЦО_логистика!AV59+'Форд Тягач'!BU59+'MAN Blue KA1783HI'!BF59+'MAN green KA2790IE'!BF59+'MAN №3 white KA7837HO'!BF59+'MAN №4 white KA3597HO'!BF59+'MAN №5 Тент МД'!AV59</f>
        <v>0</v>
      </c>
      <c r="BV59" s="3274">
        <f>ЦО_логистика!AW59+'Форд Тягач'!BV59+'MAN Blue KA1783HI'!BG59+'MAN green KA2790IE'!BG59+'MAN №3 white KA7837HO'!BG59+'MAN №4 white KA3597HO'!BG59+'MAN №5 Тент МД'!AW59</f>
        <v>0</v>
      </c>
      <c r="BW59" s="2028">
        <f t="shared" si="133"/>
        <v>0</v>
      </c>
      <c r="BX59" s="3284">
        <f t="shared" si="111"/>
        <v>0</v>
      </c>
      <c r="BY59" s="3295"/>
      <c r="BZ59" s="3274">
        <f>ЦО_логистика!BA59+'Форд Тягач'!BZ59+'MAN Blue KA1783HI'!BK59+'MAN green KA2790IE'!BK59+'MAN №3 white KA7837HO'!BK59+'MAN №4 white KA3597HO'!BK59+'MAN №5 Тент МД'!BA59</f>
        <v>0</v>
      </c>
      <c r="CA59" s="3274">
        <f>ЦО_логистика!BB59+'Форд Тягач'!CA59+'MAN Blue KA1783HI'!BL59+'MAN green KA2790IE'!BL59+'MAN №3 white KA7837HO'!BL59+'MAN №4 white KA3597HO'!BL59+'MAN №5 Тент МД'!BB59</f>
        <v>0</v>
      </c>
      <c r="CB59" s="2028">
        <f t="shared" si="134"/>
        <v>0</v>
      </c>
      <c r="CC59" s="3284">
        <f t="shared" si="112"/>
        <v>0</v>
      </c>
      <c r="CD59" s="3295"/>
      <c r="CE59" s="3274">
        <f>ЦО_логистика!BF59+'Форд Тягач'!CE59+'MAN Blue KA1783HI'!BP59+'MAN green KA2790IE'!BP59+'MAN №3 white KA7837HO'!BP59+'MAN №4 white KA3597HO'!BP59+'MAN №5 Тент МД'!BF59</f>
        <v>0</v>
      </c>
      <c r="CF59" s="3274">
        <f>ЦО_логистика!BG59+'Форд Тягач'!CF59+'MAN Blue KA1783HI'!BQ59+'MAN green KA2790IE'!BQ59+'MAN №3 white KA7837HO'!BQ59+'MAN №4 white KA3597HO'!BQ59+'MAN №5 Тент МД'!BG59</f>
        <v>0</v>
      </c>
      <c r="CG59" s="2028">
        <f t="shared" si="135"/>
        <v>0</v>
      </c>
      <c r="CH59" s="3284">
        <f t="shared" si="113"/>
        <v>0</v>
      </c>
      <c r="CI59" s="3295"/>
      <c r="CJ59" s="3274">
        <f>ЦО_логистика!BK59+'Форд Тягач'!CJ59+'MAN Blue KA1783HI'!BU59+'MAN green KA2790IE'!BU59+'MAN №3 white KA7837HO'!BU59+'MAN №4 white KA3597HO'!BU59+'MAN №5 Тент МД'!BK59</f>
        <v>0</v>
      </c>
      <c r="CK59" s="3274">
        <f>ЦО_логистика!BL59+'Форд Тягач'!CK59+'MAN Blue KA1783HI'!BV59+'MAN green KA2790IE'!BV59+'MAN №3 white KA7837HO'!BV59+'MAN №4 white KA3597HO'!BV59+'MAN №5 Тент МД'!BL59</f>
        <v>0</v>
      </c>
      <c r="CL59" s="2028">
        <f t="shared" si="136"/>
        <v>0</v>
      </c>
      <c r="CM59" s="3284">
        <f t="shared" si="114"/>
        <v>0</v>
      </c>
      <c r="CN59" s="3295"/>
      <c r="CO59" s="3274">
        <f>ЦО_логистика!BP59+'Форд Тягач'!CO59+'MAN Blue KA1783HI'!BZ59+'MAN green KA2790IE'!BZ59+'MAN №3 white KA7837HO'!BZ59+'MAN №4 white KA3597HO'!BZ59+'MAN №5 Тент МД'!BP59</f>
        <v>0</v>
      </c>
      <c r="CP59" s="3274">
        <f>ЦО_логистика!BQ59+'Форд Тягач'!CP59+'MAN Blue KA1783HI'!CA59+'MAN green KA2790IE'!CA59+'MAN №3 white KA7837HO'!CA59+'MAN №4 white KA3597HO'!CA59+'MAN №5 Тент МД'!BQ59</f>
        <v>0</v>
      </c>
      <c r="CQ59" s="2028">
        <f t="shared" si="137"/>
        <v>0</v>
      </c>
      <c r="CR59" s="3284">
        <f t="shared" si="115"/>
        <v>0</v>
      </c>
      <c r="CS59" s="3295"/>
      <c r="CT59" s="3274">
        <f>ЦО_логистика!BU59+'Форд Тягач'!CT59+'MAN Blue KA1783HI'!CE59+'MAN green KA2790IE'!CE59+'MAN №3 white KA7837HO'!CE59+'MAN №4 white KA3597HO'!CE59+'MAN №5 Тент МД'!BU59</f>
        <v>0</v>
      </c>
      <c r="CU59" s="3274">
        <f>ЦО_логистика!BV59+'Форд Тягач'!CU59+'MAN Blue KA1783HI'!CF59+'MAN green KA2790IE'!CF59+'MAN №3 white KA7837HO'!CF59+'MAN №4 white KA3597HO'!CF59+'MAN №5 Тент МД'!BV59</f>
        <v>0</v>
      </c>
      <c r="CV59" s="2028">
        <f t="shared" si="138"/>
        <v>0</v>
      </c>
      <c r="CW59" s="3284">
        <f t="shared" si="116"/>
        <v>0</v>
      </c>
      <c r="CX59" s="3295"/>
      <c r="CY59" s="3274">
        <f>ЦО_логистика!BZ59+'Форд Тягач'!CY59+'MAN Blue KA1783HI'!CJ59+'MAN green KA2790IE'!CJ59+'MAN №3 white KA7837HO'!CJ59+'MAN №4 white KA3597HO'!CJ59+'MAN №5 Тент МД'!BZ59</f>
        <v>0</v>
      </c>
      <c r="CZ59" s="3274">
        <f>ЦО_логистика!CA59+'Форд Тягач'!CZ59+'MAN Blue KA1783HI'!CK59+'MAN green KA2790IE'!CK59+'MAN №3 white KA7837HO'!CK59+'MAN №4 white KA3597HO'!CK59+'MAN №5 Тент МД'!CA59</f>
        <v>0</v>
      </c>
      <c r="DA59" s="2028">
        <f t="shared" si="139"/>
        <v>0</v>
      </c>
      <c r="DB59" s="3284">
        <f t="shared" si="117"/>
        <v>0</v>
      </c>
      <c r="DC59" s="3295"/>
      <c r="DD59" s="3274">
        <f>ЦО_логистика!CE59+'Форд Тягач'!DD59+'MAN Blue KA1783HI'!CO59+'MAN green KA2790IE'!CO59+'MAN №3 white KA7837HO'!CO59+'MAN №4 white KA3597HO'!CO59+'MAN №5 Тент МД'!CE59</f>
        <v>0</v>
      </c>
      <c r="DE59" s="3274">
        <f>ЦО_логистика!CF59+'Форд Тягач'!DE59+'MAN Blue KA1783HI'!CP59+'MAN green KA2790IE'!CP59+'MAN №3 white KA7837HO'!CP59+'MAN №4 white KA3597HO'!CP59+'MAN №5 Тент МД'!CF59</f>
        <v>0</v>
      </c>
      <c r="DF59" s="2028">
        <f t="shared" si="140"/>
        <v>0</v>
      </c>
      <c r="DG59" s="3284">
        <f t="shared" si="118"/>
        <v>0</v>
      </c>
      <c r="DH59" s="3295"/>
      <c r="DI59" s="3274">
        <f>ЦО_логистика!CJ59+'Форд Тягач'!DI59+'MAN Blue KA1783HI'!CT59+'MAN green KA2790IE'!CT59+'MAN №3 white KA7837HO'!CT59+'MAN №4 white KA3597HO'!CT59+'MAN №5 Тент МД'!CJ59</f>
        <v>0</v>
      </c>
      <c r="DJ59" s="3274">
        <f>ЦО_логистика!CK59+'Форд Тягач'!DJ59+'MAN Blue KA1783HI'!CU59+'MAN green KA2790IE'!CU59+'MAN №3 white KA7837HO'!CU59+'MAN №4 white KA3597HO'!CU59+'MAN №5 Тент МД'!CK59</f>
        <v>0</v>
      </c>
      <c r="DK59" s="2028">
        <f t="shared" si="141"/>
        <v>0</v>
      </c>
      <c r="DL59" s="3284">
        <f t="shared" si="119"/>
        <v>0</v>
      </c>
      <c r="DM59" s="3295"/>
      <c r="DN59" s="3288">
        <f t="shared" si="142"/>
        <v>0</v>
      </c>
      <c r="DO59" s="3288">
        <f t="shared" si="142"/>
        <v>0</v>
      </c>
      <c r="DP59" s="2028">
        <f t="shared" si="143"/>
        <v>0</v>
      </c>
      <c r="DQ59" s="3284">
        <f t="shared" si="75"/>
        <v>0</v>
      </c>
      <c r="DR59" s="3275"/>
      <c r="DS59" s="916"/>
      <c r="DT59" s="916"/>
    </row>
    <row r="60" spans="1:124" ht="13.8" x14ac:dyDescent="0.25">
      <c r="A60" s="1586"/>
      <c r="B60" s="3310" t="s">
        <v>65</v>
      </c>
      <c r="C60" s="3283">
        <v>0</v>
      </c>
      <c r="D60" s="3283">
        <v>0</v>
      </c>
      <c r="E60" s="2028">
        <v>0</v>
      </c>
      <c r="F60" s="3284">
        <v>0</v>
      </c>
      <c r="G60" s="3295"/>
      <c r="H60" s="3283">
        <v>0</v>
      </c>
      <c r="I60" s="3283">
        <v>0</v>
      </c>
      <c r="J60" s="2028">
        <v>0</v>
      </c>
      <c r="K60" s="3284">
        <v>0</v>
      </c>
      <c r="L60" s="3295">
        <v>0</v>
      </c>
      <c r="M60" s="3283">
        <v>0</v>
      </c>
      <c r="N60" s="3283">
        <v>0</v>
      </c>
      <c r="O60" s="2028">
        <v>0</v>
      </c>
      <c r="P60" s="3284">
        <v>0</v>
      </c>
      <c r="Q60" s="3295">
        <v>0</v>
      </c>
      <c r="R60" s="3274">
        <f>'Форд Тягач'!R60+'MAN Blue KA1783HI'!C60+'MAN green KA2790IE'!C60+'MAN №3 white KA7837HO'!C60+'MAN №4 white KA3597HO'!C60</f>
        <v>0</v>
      </c>
      <c r="S60" s="3274">
        <f>'Форд Тягач'!S60+'MAN Blue KA1783HI'!D60+'MAN green KA2790IE'!D60+'MAN №3 white KA7837HO'!D60+'MAN №4 white KA3597HO'!D60</f>
        <v>0</v>
      </c>
      <c r="T60" s="2028">
        <f t="shared" si="120"/>
        <v>0</v>
      </c>
      <c r="U60" s="3284">
        <f t="shared" si="102"/>
        <v>0</v>
      </c>
      <c r="V60" s="3275"/>
      <c r="W60" s="3283">
        <f>'Форд Тягач'!W60+'MAN Blue KA1783HI'!H60+'MAN green KA2790IE'!H60+'MAN №3 white KA7837HO'!H60+'MAN №4 white KA3597HO'!H60+Техника!W60</f>
        <v>0</v>
      </c>
      <c r="X60" s="3283">
        <f>'Форд Тягач'!X60+'MAN Blue KA1783HI'!I60+'MAN green KA2790IE'!I60+'MAN №3 white KA7837HO'!I60+'MAN №4 white KA3597HO'!I60+Техника!X60</f>
        <v>0</v>
      </c>
      <c r="Y60" s="2028">
        <f t="shared" si="121"/>
        <v>0</v>
      </c>
      <c r="Z60" s="3284">
        <f t="shared" si="103"/>
        <v>0</v>
      </c>
      <c r="AA60" s="3295"/>
      <c r="AB60" s="3274">
        <f>ЦО_логистика!C60+'Форд Тягач'!AB60+'MAN Blue KA1783HI'!M60+'MAN green KA2790IE'!M60+'MAN №3 white KA7837HO'!M60+'MAN №4 white KA3597HO'!M60+'MAN №5 Тент МД'!C60</f>
        <v>0</v>
      </c>
      <c r="AC60" s="3274">
        <f>ЦО_логистика!D60+'Форд Тягач'!AC60+'MAN Blue KA1783HI'!N60+'MAN green KA2790IE'!N60+'MAN №3 white KA7837HO'!N60+'MAN №4 white KA3597HO'!N60+'MAN №5 Тент МД'!D60</f>
        <v>0</v>
      </c>
      <c r="AD60" s="2028">
        <f t="shared" si="122"/>
        <v>0</v>
      </c>
      <c r="AE60" s="3284">
        <f t="shared" si="2"/>
        <v>0</v>
      </c>
      <c r="AF60" s="3295"/>
      <c r="AG60" s="3274">
        <f>ЦО_логистика!H60+'Форд Тягач'!AG60+'MAN Blue KA1783HI'!R60+'MAN green KA2790IE'!R60+'MAN №3 white KA7837HO'!R60+'MAN №4 white KA3597HO'!R60+'MAN №5 Тент МД'!H60</f>
        <v>0</v>
      </c>
      <c r="AH60" s="3274">
        <f>ЦО_логистика!I60+'Форд Тягач'!AH60+'MAN Blue KA1783HI'!S60+'MAN green KA2790IE'!S60+'MAN №3 white KA7837HO'!S60+'MAN №4 white KA3597HO'!S60+'MAN №5 Тент МД'!I60</f>
        <v>0</v>
      </c>
      <c r="AI60" s="2028">
        <f t="shared" si="123"/>
        <v>0</v>
      </c>
      <c r="AJ60" s="3284">
        <f t="shared" si="104"/>
        <v>0</v>
      </c>
      <c r="AK60" s="3295"/>
      <c r="AL60" s="3274">
        <f>ЦО_логистика!M60+'Форд Тягач'!AL60+'MAN Blue KA1783HI'!W60+'MAN green KA2790IE'!W60+'MAN №3 white KA7837HO'!W60+'MAN №4 white KA3597HO'!W60+'MAN №5 Тент МД'!M60</f>
        <v>0</v>
      </c>
      <c r="AM60" s="3274">
        <f>ЦО_логистика!N60+'Форд Тягач'!AM60+'MAN Blue KA1783HI'!X60+'MAN green KA2790IE'!X60+'MAN №3 white KA7837HO'!X60+'MAN №4 white KA3597HO'!X60+'MAN №5 Тент МД'!N60</f>
        <v>0</v>
      </c>
      <c r="AN60" s="2028">
        <f t="shared" si="124"/>
        <v>0</v>
      </c>
      <c r="AO60" s="3284">
        <f t="shared" si="105"/>
        <v>0</v>
      </c>
      <c r="AP60" s="3425" t="str">
        <f>CONCATENATE(ЦО_логистика!Q60,'Форд Тягач'!AP60,'MAN Blue KA1783HI'!AA60,'MAN green KA2790IE'!AA60,'MAN №3 white KA7837HO'!AF60,'MAN №4 white KA3597HO'!AA60,'MAN №5 Тент МД'!Q60)</f>
        <v/>
      </c>
      <c r="AQ60" s="3274">
        <f>SUM(ЦО_логистика!R60,'Форд Тягач'!AQ60,'MAN Blue KA1783HI'!AB60,'MAN green KA2790IE'!AB60,'MAN №3 white KA7837HO'!AB60,'MAN №4 white KA3597HO'!AB60,'MAN №5 Тент МД'!R60)</f>
        <v>0</v>
      </c>
      <c r="AR60" s="3274">
        <f>SUM(ЦО_логистика!S60,'Форд Тягач'!AR60,'MAN Blue KA1783HI'!AC60,'MAN green KA2790IE'!AC60,'MAN №3 white KA7837HO'!AC60,'MAN №4 white KA3597HO'!AC60,'MAN №5 Тент МД'!S60)</f>
        <v>0</v>
      </c>
      <c r="AS60" s="2028">
        <f t="shared" si="125"/>
        <v>0</v>
      </c>
      <c r="AT60" s="3284">
        <f t="shared" si="106"/>
        <v>0</v>
      </c>
      <c r="AU60" s="3425" t="str">
        <f>CONCATENATE(ЦО_логистика!V60,'Форд Тягач'!AU60,'MAN Blue KA1783HI'!AF59,'MAN green KA2790IE'!AF60,'MAN №3 white KA7837HO'!AF60,'MAN №4 white KA3597HO'!AF60,'MAN №5 Тент МД'!V60)</f>
        <v/>
      </c>
      <c r="AV60" s="3275">
        <f>+ЦО_логистика!W60+'Форд Тягач'!AV60+'MAN Blue KA1783HI'!AG60+'MAN green KA2790IE'!AG60+'MAN №3 white KA7837HO'!AG60+'MAN №4 white KA3597HO'!AG60+'MAN №5 Тент МД'!W60</f>
        <v>0</v>
      </c>
      <c r="AW60" s="3275">
        <f>+ЦО_логистика!X60+'Форд Тягач'!AW60+'MAN Blue KA1783HI'!AH60+'MAN green KA2790IE'!AH60+'MAN №3 white KA7837HO'!AH60+'MAN №4 white KA3597HO'!AH60+'MAN №5 Тент МД'!X60</f>
        <v>0</v>
      </c>
      <c r="AX60" s="2028">
        <f t="shared" si="126"/>
        <v>0</v>
      </c>
      <c r="AY60" s="3284">
        <f t="shared" si="107"/>
        <v>0</v>
      </c>
      <c r="AZ60" s="3275"/>
      <c r="BA60" s="3275">
        <f t="shared" si="127"/>
        <v>0</v>
      </c>
      <c r="BB60" s="3275">
        <f t="shared" si="127"/>
        <v>0</v>
      </c>
      <c r="BC60" s="2028">
        <f t="shared" si="128"/>
        <v>0</v>
      </c>
      <c r="BD60" s="3284">
        <f t="shared" si="108"/>
        <v>0</v>
      </c>
      <c r="BE60" s="3275">
        <f>ЦО_логистика!AD60+'Форд Тягач'!BC60+'MAN Blue KA1783HI'!AN60+'MAN green KA2790IE'!AN60+'MAN №3 white KA7837HO'!AN60+'MAN №4 white KA3597HO'!AN60+'MAN №5 Тент МД'!AD60-BC60</f>
        <v>0</v>
      </c>
      <c r="BF60" s="3274">
        <f>ЦО_логистика!AG60+'Форд Тягач'!BF60+'MAN Blue KA1783HI'!AQ60+'MAN green KA2790IE'!AQ60+'MAN №3 white KA7837HO'!AQ60+'MAN №4 white KA3597HO'!AQ60+'MAN №5 Тент МД'!AG60</f>
        <v>0</v>
      </c>
      <c r="BG60" s="3274">
        <f>ЦО_логистика!AH60+'Форд Тягач'!BG60+'MAN Blue KA1783HI'!AR60+'MAN green KA2790IE'!AR60+'MAN №3 white KA7837HO'!AR60+'MAN №4 white KA3597HO'!AR60+'MAN №5 Тент МД'!AH60</f>
        <v>0</v>
      </c>
      <c r="BH60" s="2028">
        <f t="shared" si="129"/>
        <v>0</v>
      </c>
      <c r="BI60" s="3284">
        <f t="shared" si="109"/>
        <v>0</v>
      </c>
      <c r="BJ60" s="3275"/>
      <c r="BK60" s="3275">
        <f>ЦО_логистика!AL60+'Форд Тягач'!BK60+'MAN Blue KA1783HI'!AV60+'MAN green KA2790IE'!AV60+'MAN №3 white KA7837HO'!AV60+'MAN №4 white KA3597HO'!AV60+'MAN №5 Тент МД'!AL60</f>
        <v>0</v>
      </c>
      <c r="BL60" s="3275">
        <f>ЦО_логистика!AM60+'Форд Тягач'!BL60+'MAN Blue KA1783HI'!AW60+'MAN green KA2790IE'!AW60+'MAN №3 white KA7837HO'!AW60+'MAN №4 white KA3597HO'!AW60+'MAN №5 Тент МД'!AM60</f>
        <v>0</v>
      </c>
      <c r="BM60" s="2028">
        <f t="shared" si="130"/>
        <v>0</v>
      </c>
      <c r="BN60" s="3284">
        <f t="shared" si="131"/>
        <v>0</v>
      </c>
      <c r="BO60" s="3275"/>
      <c r="BP60" s="3274">
        <f>ЦО_логистика!AQ60+'Форд Тягач'!BP60+'MAN Blue KA1783HI'!BA60+'MAN green KA2790IE'!BA60+'MAN №3 white KA7837HO'!BA60+'MAN №4 white KA3597HO'!BA60+'MAN №5 Тент МД'!AQ60</f>
        <v>0</v>
      </c>
      <c r="BQ60" s="3274">
        <f>ЦО_логистика!AR60+'Форд Тягач'!BQ60+'MAN Blue KA1783HI'!BB60+'MAN green KA2790IE'!BB60+'MAN №3 white KA7837HO'!BB60+'MAN №4 white KA3597HO'!BB60+'MAN №5 Тент МД'!AR60</f>
        <v>0</v>
      </c>
      <c r="BR60" s="2028">
        <f t="shared" si="132"/>
        <v>0</v>
      </c>
      <c r="BS60" s="3284">
        <f t="shared" si="110"/>
        <v>0</v>
      </c>
      <c r="BT60" s="3295"/>
      <c r="BU60" s="3274">
        <f>ЦО_логистика!AV60+'Форд Тягач'!BU60+'MAN Blue KA1783HI'!BF60+'MAN green KA2790IE'!BF60+'MAN №3 white KA7837HO'!BF60+'MAN №4 white KA3597HO'!BF60+'MAN №5 Тент МД'!AV60</f>
        <v>0</v>
      </c>
      <c r="BV60" s="3274">
        <f>ЦО_логистика!AW60+'Форд Тягач'!BV60+'MAN Blue KA1783HI'!BG60+'MAN green KA2790IE'!BG60+'MAN №3 white KA7837HO'!BG60+'MAN №4 white KA3597HO'!BG60+'MAN №5 Тент МД'!AW60</f>
        <v>0</v>
      </c>
      <c r="BW60" s="2028">
        <f t="shared" si="133"/>
        <v>0</v>
      </c>
      <c r="BX60" s="3284">
        <f t="shared" si="111"/>
        <v>0</v>
      </c>
      <c r="BY60" s="3295"/>
      <c r="BZ60" s="3274">
        <f>ЦО_логистика!BA60+'Форд Тягач'!BZ60+'MAN Blue KA1783HI'!BK60+'MAN green KA2790IE'!BK60+'MAN №3 white KA7837HO'!BK60+'MAN №4 white KA3597HO'!BK60+'MAN №5 Тент МД'!BA60</f>
        <v>0</v>
      </c>
      <c r="CA60" s="3274">
        <f>ЦО_логистика!BB60+'Форд Тягач'!CA60+'MAN Blue KA1783HI'!BL60+'MAN green KA2790IE'!BL60+'MAN №3 white KA7837HO'!BL60+'MAN №4 white KA3597HO'!BL60+'MAN №5 Тент МД'!BB60</f>
        <v>0</v>
      </c>
      <c r="CB60" s="2028">
        <f t="shared" si="134"/>
        <v>0</v>
      </c>
      <c r="CC60" s="3284">
        <f t="shared" si="112"/>
        <v>0</v>
      </c>
      <c r="CD60" s="3295"/>
      <c r="CE60" s="3274">
        <f>ЦО_логистика!BF60+'Форд Тягач'!CE60+'MAN Blue KA1783HI'!BP60+'MAN green KA2790IE'!BP60+'MAN №3 white KA7837HO'!BP60+'MAN №4 white KA3597HO'!BP60+'MAN №5 Тент МД'!BF60</f>
        <v>0</v>
      </c>
      <c r="CF60" s="3274">
        <f>ЦО_логистика!BG60+'Форд Тягач'!CF60+'MAN Blue KA1783HI'!BQ60+'MAN green KA2790IE'!BQ60+'MAN №3 white KA7837HO'!BQ60+'MAN №4 white KA3597HO'!BQ60+'MAN №5 Тент МД'!BG60</f>
        <v>0</v>
      </c>
      <c r="CG60" s="2028">
        <f t="shared" si="135"/>
        <v>0</v>
      </c>
      <c r="CH60" s="3284">
        <f t="shared" si="113"/>
        <v>0</v>
      </c>
      <c r="CI60" s="3295"/>
      <c r="CJ60" s="3274">
        <f>ЦО_логистика!BK60+'Форд Тягач'!CJ60+'MAN Blue KA1783HI'!BU60+'MAN green KA2790IE'!BU60+'MAN №3 white KA7837HO'!BU60+'MAN №4 white KA3597HO'!BU60+'MAN №5 Тент МД'!BK60</f>
        <v>0</v>
      </c>
      <c r="CK60" s="3274">
        <f>ЦО_логистика!BL60+'Форд Тягач'!CK60+'MAN Blue KA1783HI'!BV60+'MAN green KA2790IE'!BV60+'MAN №3 white KA7837HO'!BV60+'MAN №4 white KA3597HO'!BV60+'MAN №5 Тент МД'!BL60</f>
        <v>0</v>
      </c>
      <c r="CL60" s="2028">
        <f t="shared" si="136"/>
        <v>0</v>
      </c>
      <c r="CM60" s="3284">
        <f t="shared" si="114"/>
        <v>0</v>
      </c>
      <c r="CN60" s="3295"/>
      <c r="CO60" s="3274">
        <f>ЦО_логистика!BP60+'Форд Тягач'!CO60+'MAN Blue KA1783HI'!BZ60+'MAN green KA2790IE'!BZ60+'MAN №3 white KA7837HO'!BZ60+'MAN №4 white KA3597HO'!BZ60+'MAN №5 Тент МД'!BP60</f>
        <v>0</v>
      </c>
      <c r="CP60" s="3274">
        <f>ЦО_логистика!BQ60+'Форд Тягач'!CP60+'MAN Blue KA1783HI'!CA60+'MAN green KA2790IE'!CA60+'MAN №3 white KA7837HO'!CA60+'MAN №4 white KA3597HO'!CA60+'MAN №5 Тент МД'!BQ60</f>
        <v>0</v>
      </c>
      <c r="CQ60" s="2028">
        <f t="shared" si="137"/>
        <v>0</v>
      </c>
      <c r="CR60" s="3284">
        <f t="shared" si="115"/>
        <v>0</v>
      </c>
      <c r="CS60" s="3295"/>
      <c r="CT60" s="3274">
        <f>ЦО_логистика!BU60+'Форд Тягач'!CT60+'MAN Blue KA1783HI'!CE60+'MAN green KA2790IE'!CE60+'MAN №3 white KA7837HO'!CE60+'MAN №4 white KA3597HO'!CE60+'MAN №5 Тент МД'!BU60</f>
        <v>0</v>
      </c>
      <c r="CU60" s="3274">
        <f>ЦО_логистика!BV60+'Форд Тягач'!CU60+'MAN Blue KA1783HI'!CF60+'MAN green KA2790IE'!CF60+'MAN №3 white KA7837HO'!CF60+'MAN №4 white KA3597HO'!CF60+'MAN №5 Тент МД'!BV60</f>
        <v>0</v>
      </c>
      <c r="CV60" s="2028">
        <f t="shared" si="138"/>
        <v>0</v>
      </c>
      <c r="CW60" s="3284">
        <f t="shared" si="116"/>
        <v>0</v>
      </c>
      <c r="CX60" s="3295"/>
      <c r="CY60" s="3274">
        <f>ЦО_логистика!BZ60+'Форд Тягач'!CY60+'MAN Blue KA1783HI'!CJ60+'MAN green KA2790IE'!CJ60+'MAN №3 white KA7837HO'!CJ60+'MAN №4 white KA3597HO'!CJ60+'MAN №5 Тент МД'!BZ60</f>
        <v>0</v>
      </c>
      <c r="CZ60" s="3274">
        <f>ЦО_логистика!CA60+'Форд Тягач'!CZ60+'MAN Blue KA1783HI'!CK60+'MAN green KA2790IE'!CK60+'MAN №3 white KA7837HO'!CK60+'MAN №4 white KA3597HO'!CK60+'MAN №5 Тент МД'!CA60</f>
        <v>0</v>
      </c>
      <c r="DA60" s="2028">
        <f t="shared" si="139"/>
        <v>0</v>
      </c>
      <c r="DB60" s="3284">
        <f t="shared" si="117"/>
        <v>0</v>
      </c>
      <c r="DC60" s="3295"/>
      <c r="DD60" s="3274">
        <f>ЦО_логистика!CE60+'Форд Тягач'!DD60+'MAN Blue KA1783HI'!CO60+'MAN green KA2790IE'!CO60+'MAN №3 white KA7837HO'!CO60+'MAN №4 white KA3597HO'!CO60+'MAN №5 Тент МД'!CE60</f>
        <v>0</v>
      </c>
      <c r="DE60" s="3274">
        <f>ЦО_логистика!CF60+'Форд Тягач'!DE60+'MAN Blue KA1783HI'!CP60+'MAN green KA2790IE'!CP60+'MAN №3 white KA7837HO'!CP60+'MAN №4 white KA3597HO'!CP60+'MAN №5 Тент МД'!CF60</f>
        <v>0</v>
      </c>
      <c r="DF60" s="2028">
        <f t="shared" si="140"/>
        <v>0</v>
      </c>
      <c r="DG60" s="3284">
        <f t="shared" si="118"/>
        <v>0</v>
      </c>
      <c r="DH60" s="3295"/>
      <c r="DI60" s="3274">
        <f>ЦО_логистика!CJ60+'Форд Тягач'!DI60+'MAN Blue KA1783HI'!CT60+'MAN green KA2790IE'!CT60+'MAN №3 white KA7837HO'!CT60+'MAN №4 white KA3597HO'!CT60+'MAN №5 Тент МД'!CJ60</f>
        <v>0</v>
      </c>
      <c r="DJ60" s="3274">
        <f>ЦО_логистика!CK60+'Форд Тягач'!DJ60+'MAN Blue KA1783HI'!CU60+'MAN green KA2790IE'!CU60+'MAN №3 white KA7837HO'!CU60+'MAN №4 white KA3597HO'!CU60+'MAN №5 Тент МД'!CK60</f>
        <v>0</v>
      </c>
      <c r="DK60" s="2028">
        <f t="shared" si="141"/>
        <v>0</v>
      </c>
      <c r="DL60" s="3284">
        <f t="shared" si="119"/>
        <v>0</v>
      </c>
      <c r="DM60" s="3295"/>
      <c r="DN60" s="3288">
        <f t="shared" si="142"/>
        <v>0</v>
      </c>
      <c r="DO60" s="3288">
        <f t="shared" si="142"/>
        <v>0</v>
      </c>
      <c r="DP60" s="2028">
        <f t="shared" si="143"/>
        <v>0</v>
      </c>
      <c r="DQ60" s="3284">
        <f t="shared" si="75"/>
        <v>0</v>
      </c>
      <c r="DR60" s="3275"/>
      <c r="DS60" s="916"/>
      <c r="DT60" s="916"/>
    </row>
    <row r="61" spans="1:124" ht="13.8" x14ac:dyDescent="0.25">
      <c r="A61" s="1586"/>
      <c r="B61" s="3310" t="s">
        <v>32</v>
      </c>
      <c r="C61" s="3283">
        <v>0</v>
      </c>
      <c r="D61" s="3283">
        <v>0</v>
      </c>
      <c r="E61" s="2028">
        <v>0</v>
      </c>
      <c r="F61" s="3284">
        <v>0</v>
      </c>
      <c r="G61" s="3295"/>
      <c r="H61" s="3283">
        <v>0</v>
      </c>
      <c r="I61" s="3283">
        <v>0</v>
      </c>
      <c r="J61" s="2028">
        <v>0</v>
      </c>
      <c r="K61" s="3284">
        <v>0</v>
      </c>
      <c r="L61" s="3295">
        <v>0</v>
      </c>
      <c r="M61" s="3283">
        <v>0</v>
      </c>
      <c r="N61" s="3283">
        <v>0</v>
      </c>
      <c r="O61" s="2028">
        <v>0</v>
      </c>
      <c r="P61" s="3284">
        <v>0</v>
      </c>
      <c r="Q61" s="3295">
        <v>0</v>
      </c>
      <c r="R61" s="3274">
        <f>'Форд Тягач'!R61+'MAN Blue KA1783HI'!C61+'MAN green KA2790IE'!C61+'MAN №3 white KA7837HO'!C61+'MAN №4 white KA3597HO'!C61</f>
        <v>0</v>
      </c>
      <c r="S61" s="3274">
        <f>'Форд Тягач'!S61+'MAN Blue KA1783HI'!D61+'MAN green KA2790IE'!D61+'MAN №3 white KA7837HO'!D61+'MAN №4 white KA3597HO'!D61</f>
        <v>0</v>
      </c>
      <c r="T61" s="2028">
        <f t="shared" si="120"/>
        <v>0</v>
      </c>
      <c r="U61" s="3284">
        <f t="shared" si="102"/>
        <v>0</v>
      </c>
      <c r="V61" s="3275"/>
      <c r="W61" s="3283">
        <f>'Форд Тягач'!W61+'MAN Blue KA1783HI'!H61+'MAN green KA2790IE'!H61+'MAN №3 white KA7837HO'!H61+'MAN №4 white KA3597HO'!H61+Техника!W61</f>
        <v>0</v>
      </c>
      <c r="X61" s="3283">
        <f>'Форд Тягач'!X61+'MAN Blue KA1783HI'!I61+'MAN green KA2790IE'!I61+'MAN №3 white KA7837HO'!I61+'MAN №4 white KA3597HO'!I61+Техника!X61</f>
        <v>0</v>
      </c>
      <c r="Y61" s="2028">
        <f t="shared" si="121"/>
        <v>0</v>
      </c>
      <c r="Z61" s="3284">
        <f t="shared" si="103"/>
        <v>0</v>
      </c>
      <c r="AA61" s="3295"/>
      <c r="AB61" s="3274">
        <f>ЦО_логистика!C61+'Форд Тягач'!AB61+'MAN Blue KA1783HI'!M61+'MAN green KA2790IE'!M61+'MAN №3 white KA7837HO'!M61+'MAN №4 white KA3597HO'!M61+'MAN №5 Тент МД'!C61</f>
        <v>0</v>
      </c>
      <c r="AC61" s="3274">
        <f>ЦО_логистика!D61+'Форд Тягач'!AC61+'MAN Blue KA1783HI'!N61+'MAN green KA2790IE'!N61+'MAN №3 white KA7837HO'!N61+'MAN №4 white KA3597HO'!N61+'MAN №5 Тент МД'!D61</f>
        <v>0</v>
      </c>
      <c r="AD61" s="2028">
        <f t="shared" si="122"/>
        <v>0</v>
      </c>
      <c r="AE61" s="3284">
        <f t="shared" si="2"/>
        <v>0</v>
      </c>
      <c r="AF61" s="3295"/>
      <c r="AG61" s="3274">
        <f>ЦО_логистика!H61+'Форд Тягач'!AG61+'MAN Blue KA1783HI'!R61+'MAN green KA2790IE'!R61+'MAN №3 white KA7837HO'!R61+'MAN №4 white KA3597HO'!R61+'MAN №5 Тент МД'!H61</f>
        <v>0</v>
      </c>
      <c r="AH61" s="3274">
        <f>ЦО_логистика!I61+'Форд Тягач'!AH61+'MAN Blue KA1783HI'!S61+'MAN green KA2790IE'!S61+'MAN №3 white KA7837HO'!S61+'MAN №4 white KA3597HO'!S61+'MAN №5 Тент МД'!I61</f>
        <v>0</v>
      </c>
      <c r="AI61" s="2028">
        <f t="shared" si="123"/>
        <v>0</v>
      </c>
      <c r="AJ61" s="3284">
        <f t="shared" si="104"/>
        <v>0</v>
      </c>
      <c r="AK61" s="3295"/>
      <c r="AL61" s="3274">
        <f>ЦО_логистика!M61+'Форд Тягач'!AL61+'MAN Blue KA1783HI'!W61+'MAN green KA2790IE'!W61+'MAN №3 white KA7837HO'!W61+'MAN №4 white KA3597HO'!W61+'MAN №5 Тент МД'!M61</f>
        <v>0</v>
      </c>
      <c r="AM61" s="3274">
        <f>ЦО_логистика!N61+'Форд Тягач'!AM61+'MAN Blue KA1783HI'!X61+'MAN green KA2790IE'!X61+'MAN №3 white KA7837HO'!X61+'MAN №4 white KA3597HO'!X61+'MAN №5 Тент МД'!N61</f>
        <v>0</v>
      </c>
      <c r="AN61" s="2028">
        <f t="shared" si="124"/>
        <v>0</v>
      </c>
      <c r="AO61" s="3284">
        <f t="shared" si="105"/>
        <v>0</v>
      </c>
      <c r="AP61" s="3425" t="str">
        <f>CONCATENATE(ЦО_логистика!Q61,'Форд Тягач'!AP61,'MAN Blue KA1783HI'!AA61,'MAN green KA2790IE'!AA61,'MAN №3 white KA7837HO'!AF61,'MAN №4 white KA3597HO'!AA61,'MAN №5 Тент МД'!Q61)</f>
        <v/>
      </c>
      <c r="AQ61" s="3274">
        <f>SUM(ЦО_логистика!R61,'Форд Тягач'!AQ61,'MAN Blue KA1783HI'!AB61,'MAN green KA2790IE'!AB61,'MAN №3 white KA7837HO'!AB61,'MAN №4 white KA3597HO'!AB61,'MAN №5 Тент МД'!R61)</f>
        <v>0</v>
      </c>
      <c r="AR61" s="3274">
        <f>SUM(ЦО_логистика!S61,'Форд Тягач'!AR61,'MAN Blue KA1783HI'!AC61,'MAN green KA2790IE'!AC61,'MAN №3 white KA7837HO'!AC61,'MAN №4 white KA3597HO'!AC61,'MAN №5 Тент МД'!S61)</f>
        <v>54166.66</v>
      </c>
      <c r="AS61" s="2028">
        <f t="shared" si="125"/>
        <v>54166.66</v>
      </c>
      <c r="AT61" s="3284">
        <f t="shared" si="106"/>
        <v>4.2377352595885709E-2</v>
      </c>
      <c r="AU61" s="3425" t="str">
        <f>CONCATENATE(ЦО_логистика!V61,'Форд Тягач'!AU61,'MAN Blue KA1783HI'!AF60,'MAN green KA2790IE'!AF61,'MAN №3 white KA7837HO'!AF61,'MAN №4 white KA3597HO'!AF61,'MAN №5 Тент МД'!V61)</f>
        <v>к НГ</v>
      </c>
      <c r="AV61" s="3275">
        <f>+ЦО_логистика!W61+'Форд Тягач'!AV61+'MAN Blue KA1783HI'!AG61+'MAN green KA2790IE'!AG61+'MAN №3 white KA7837HO'!AG61+'MAN №4 white KA3597HO'!AG61+'MAN №5 Тент МД'!W61</f>
        <v>0</v>
      </c>
      <c r="AW61" s="3275">
        <f>+ЦО_логистика!X61+'Форд Тягач'!AW61+'MAN Blue KA1783HI'!AH61+'MAN green KA2790IE'!AH61+'MAN №3 white KA7837HO'!AH61+'MAN №4 white KA3597HO'!AH61+'MAN №5 Тент МД'!X61</f>
        <v>0</v>
      </c>
      <c r="AX61" s="2028">
        <f t="shared" si="126"/>
        <v>0</v>
      </c>
      <c r="AY61" s="3284">
        <f t="shared" si="107"/>
        <v>0</v>
      </c>
      <c r="AZ61" s="3275"/>
      <c r="BA61" s="3275">
        <f t="shared" si="127"/>
        <v>0</v>
      </c>
      <c r="BB61" s="3275">
        <f t="shared" si="127"/>
        <v>0</v>
      </c>
      <c r="BC61" s="2028">
        <f t="shared" si="128"/>
        <v>0</v>
      </c>
      <c r="BD61" s="3284">
        <f t="shared" si="108"/>
        <v>0</v>
      </c>
      <c r="BE61" s="3275">
        <f>ЦО_логистика!AD61+'Форд Тягач'!BC61+'MAN Blue KA1783HI'!AN61+'MAN green KA2790IE'!AN61+'MAN №3 white KA7837HO'!AN61+'MAN №4 white KA3597HO'!AN61+'MAN №5 Тент МД'!AD61-BC61</f>
        <v>0</v>
      </c>
      <c r="BF61" s="3274">
        <f>ЦО_логистика!AG61+'Форд Тягач'!BF61+'MAN Blue KA1783HI'!AQ61+'MAN green KA2790IE'!AQ61+'MAN №3 white KA7837HO'!AQ61+'MAN №4 white KA3597HO'!AQ61+'MAN №5 Тент МД'!AG61</f>
        <v>0</v>
      </c>
      <c r="BG61" s="3274">
        <f>ЦО_логистика!AH61+'Форд Тягач'!BG61+'MAN Blue KA1783HI'!AR61+'MAN green KA2790IE'!AR61+'MAN №3 white KA7837HO'!AR61+'MAN №4 white KA3597HO'!AR61+'MAN №5 Тент МД'!AH61</f>
        <v>0</v>
      </c>
      <c r="BH61" s="2028">
        <f t="shared" si="129"/>
        <v>0</v>
      </c>
      <c r="BI61" s="3284">
        <f t="shared" si="109"/>
        <v>0</v>
      </c>
      <c r="BJ61" s="3275"/>
      <c r="BK61" s="3275">
        <f>ЦО_логистика!AL61+'Форд Тягач'!BK61+'MAN Blue KA1783HI'!AV61+'MAN green KA2790IE'!AV61+'MAN №3 white KA7837HO'!AV61+'MAN №4 white KA3597HO'!AV61+'MAN №5 Тент МД'!AL61</f>
        <v>0</v>
      </c>
      <c r="BL61" s="3275">
        <f>ЦО_логистика!AM61+'Форд Тягач'!BL61+'MAN Blue KA1783HI'!AW61+'MAN green KA2790IE'!AW61+'MAN №3 white KA7837HO'!AW61+'MAN №4 white KA3597HO'!AW61+'MAN №5 Тент МД'!AM61</f>
        <v>0</v>
      </c>
      <c r="BM61" s="2028">
        <f t="shared" si="130"/>
        <v>0</v>
      </c>
      <c r="BN61" s="3284">
        <f t="shared" si="131"/>
        <v>0</v>
      </c>
      <c r="BO61" s="3275"/>
      <c r="BP61" s="3274">
        <f>ЦО_логистика!AQ61+'Форд Тягач'!BP61+'MAN Blue KA1783HI'!BA61+'MAN green KA2790IE'!BA61+'MAN №3 white KA7837HO'!BA61+'MAN №4 white KA3597HO'!BA61+'MAN №5 Тент МД'!AQ61</f>
        <v>0</v>
      </c>
      <c r="BQ61" s="3274">
        <f>ЦО_логистика!AR61+'Форд Тягач'!BQ61+'MAN Blue KA1783HI'!BB61+'MAN green KA2790IE'!BB61+'MAN №3 white KA7837HO'!BB61+'MAN №4 white KA3597HO'!BB61+'MAN №5 Тент МД'!AR61</f>
        <v>0</v>
      </c>
      <c r="BR61" s="2028">
        <f t="shared" si="132"/>
        <v>0</v>
      </c>
      <c r="BS61" s="3284">
        <f t="shared" si="110"/>
        <v>0</v>
      </c>
      <c r="BT61" s="3295"/>
      <c r="BU61" s="3274">
        <f>ЦО_логистика!AV61+'Форд Тягач'!BU61+'MAN Blue KA1783HI'!BF61+'MAN green KA2790IE'!BF61+'MAN №3 white KA7837HO'!BF61+'MAN №4 white KA3597HO'!BF61+'MAN №5 Тент МД'!AV61</f>
        <v>0</v>
      </c>
      <c r="BV61" s="3274">
        <f>ЦО_логистика!AW61+'Форд Тягач'!BV61+'MAN Blue KA1783HI'!BG61+'MAN green KA2790IE'!BG61+'MAN №3 white KA7837HO'!BG61+'MAN №4 white KA3597HO'!BG61+'MAN №5 Тент МД'!AW61</f>
        <v>0</v>
      </c>
      <c r="BW61" s="2028">
        <f t="shared" si="133"/>
        <v>0</v>
      </c>
      <c r="BX61" s="3284">
        <f t="shared" si="111"/>
        <v>0</v>
      </c>
      <c r="BY61" s="3295"/>
      <c r="BZ61" s="3274">
        <f>ЦО_логистика!BA61+'Форд Тягач'!BZ61+'MAN Blue KA1783HI'!BK61+'MAN green KA2790IE'!BK61+'MAN №3 white KA7837HO'!BK61+'MAN №4 white KA3597HO'!BK61+'MAN №5 Тент МД'!BA61</f>
        <v>0</v>
      </c>
      <c r="CA61" s="3274">
        <f>ЦО_логистика!BB61+'Форд Тягач'!CA61+'MAN Blue KA1783HI'!BL61+'MAN green KA2790IE'!BL61+'MAN №3 white KA7837HO'!BL61+'MAN №4 white KA3597HO'!BL61+'MAN №5 Тент МД'!BB61</f>
        <v>0</v>
      </c>
      <c r="CB61" s="2028">
        <f t="shared" si="134"/>
        <v>0</v>
      </c>
      <c r="CC61" s="3284">
        <f t="shared" si="112"/>
        <v>0</v>
      </c>
      <c r="CD61" s="3295"/>
      <c r="CE61" s="3274">
        <f>ЦО_логистика!BF61+'Форд Тягач'!CE61+'MAN Blue KA1783HI'!BP61+'MAN green KA2790IE'!BP61+'MAN №3 white KA7837HO'!BP61+'MAN №4 white KA3597HO'!BP61+'MAN №5 Тент МД'!BF61</f>
        <v>0</v>
      </c>
      <c r="CF61" s="3274">
        <f>ЦО_логистика!BG61+'Форд Тягач'!CF61+'MAN Blue KA1783HI'!BQ61+'MAN green KA2790IE'!BQ61+'MAN №3 white KA7837HO'!BQ61+'MAN №4 white KA3597HO'!BQ61+'MAN №5 Тент МД'!BG61</f>
        <v>0</v>
      </c>
      <c r="CG61" s="2028">
        <f t="shared" si="135"/>
        <v>0</v>
      </c>
      <c r="CH61" s="3284">
        <f t="shared" si="113"/>
        <v>0</v>
      </c>
      <c r="CI61" s="3295"/>
      <c r="CJ61" s="3274">
        <f>ЦО_логистика!BK61+'Форд Тягач'!CJ61+'MAN Blue KA1783HI'!BU61+'MAN green KA2790IE'!BU61+'MAN №3 white KA7837HO'!BU61+'MAN №4 white KA3597HO'!BU61+'MAN №5 Тент МД'!BK61</f>
        <v>0</v>
      </c>
      <c r="CK61" s="3274">
        <f>ЦО_логистика!BL61+'Форд Тягач'!CK61+'MAN Blue KA1783HI'!BV61+'MAN green KA2790IE'!BV61+'MAN №3 white KA7837HO'!BV61+'MAN №4 white KA3597HO'!BV61+'MAN №5 Тент МД'!BL61</f>
        <v>0</v>
      </c>
      <c r="CL61" s="2028">
        <f t="shared" si="136"/>
        <v>0</v>
      </c>
      <c r="CM61" s="3284">
        <f t="shared" si="114"/>
        <v>0</v>
      </c>
      <c r="CN61" s="3295"/>
      <c r="CO61" s="3274">
        <f>ЦО_логистика!BP61+'Форд Тягач'!CO61+'MAN Blue KA1783HI'!BZ61+'MAN green KA2790IE'!BZ61+'MAN №3 white KA7837HO'!BZ61+'MAN №4 white KA3597HO'!BZ61+'MAN №5 Тент МД'!BP61</f>
        <v>0</v>
      </c>
      <c r="CP61" s="3274">
        <f>ЦО_логистика!BQ61+'Форд Тягач'!CP61+'MAN Blue KA1783HI'!CA61+'MAN green KA2790IE'!CA61+'MAN №3 white KA7837HO'!CA61+'MAN №4 white KA3597HO'!CA61+'MAN №5 Тент МД'!BQ61</f>
        <v>0</v>
      </c>
      <c r="CQ61" s="2028">
        <f t="shared" si="137"/>
        <v>0</v>
      </c>
      <c r="CR61" s="3284">
        <f t="shared" si="115"/>
        <v>0</v>
      </c>
      <c r="CS61" s="3295"/>
      <c r="CT61" s="3274">
        <f>ЦО_логистика!BU61+'Форд Тягач'!CT61+'MAN Blue KA1783HI'!CE61+'MAN green KA2790IE'!CE61+'MAN №3 white KA7837HO'!CE61+'MAN №4 white KA3597HO'!CE61+'MAN №5 Тент МД'!BU61</f>
        <v>0</v>
      </c>
      <c r="CU61" s="3274">
        <f>ЦО_логистика!BV61+'Форд Тягач'!CU61+'MAN Blue KA1783HI'!CF61+'MAN green KA2790IE'!CF61+'MAN №3 white KA7837HO'!CF61+'MAN №4 white KA3597HO'!CF61+'MAN №5 Тент МД'!BV61</f>
        <v>0</v>
      </c>
      <c r="CV61" s="2028">
        <f t="shared" si="138"/>
        <v>0</v>
      </c>
      <c r="CW61" s="3284">
        <f t="shared" si="116"/>
        <v>0</v>
      </c>
      <c r="CX61" s="3295"/>
      <c r="CY61" s="3274">
        <f>ЦО_логистика!BZ61+'Форд Тягач'!CY61+'MAN Blue KA1783HI'!CJ61+'MAN green KA2790IE'!CJ61+'MAN №3 white KA7837HO'!CJ61+'MAN №4 white KA3597HO'!CJ61+'MAN №5 Тент МД'!BZ61</f>
        <v>0</v>
      </c>
      <c r="CZ61" s="3274">
        <f>ЦО_логистика!CA61+'Форд Тягач'!CZ61+'MAN Blue KA1783HI'!CK61+'MAN green KA2790IE'!CK61+'MAN №3 white KA7837HO'!CK61+'MAN №4 white KA3597HO'!CK61+'MAN №5 Тент МД'!CA61</f>
        <v>0</v>
      </c>
      <c r="DA61" s="2028">
        <f t="shared" si="139"/>
        <v>0</v>
      </c>
      <c r="DB61" s="3284">
        <f t="shared" si="117"/>
        <v>0</v>
      </c>
      <c r="DC61" s="3295"/>
      <c r="DD61" s="3274">
        <f>ЦО_логистика!CE61+'Форд Тягач'!DD61+'MAN Blue KA1783HI'!CO61+'MAN green KA2790IE'!CO61+'MAN №3 white KA7837HO'!CO61+'MAN №4 white KA3597HO'!CO61+'MAN №5 Тент МД'!CE61</f>
        <v>0</v>
      </c>
      <c r="DE61" s="3274">
        <f>ЦО_логистика!CF61+'Форд Тягач'!DE61+'MAN Blue KA1783HI'!CP61+'MAN green KA2790IE'!CP61+'MAN №3 white KA7837HO'!CP61+'MAN №4 white KA3597HO'!CP61+'MAN №5 Тент МД'!CF61</f>
        <v>0</v>
      </c>
      <c r="DF61" s="2028">
        <f t="shared" si="140"/>
        <v>0</v>
      </c>
      <c r="DG61" s="3284">
        <f t="shared" si="118"/>
        <v>0</v>
      </c>
      <c r="DH61" s="3295"/>
      <c r="DI61" s="3274">
        <f>ЦО_логистика!CJ61+'Форд Тягач'!DI61+'MAN Blue KA1783HI'!CT61+'MAN green KA2790IE'!CT61+'MAN №3 white KA7837HO'!CT61+'MAN №4 white KA3597HO'!CT61+'MAN №5 Тент МД'!CJ61</f>
        <v>0</v>
      </c>
      <c r="DJ61" s="3274">
        <f>ЦО_логистика!CK61+'Форд Тягач'!DJ61+'MAN Blue KA1783HI'!CU61+'MAN green KA2790IE'!CU61+'MAN №3 white KA7837HO'!CU61+'MAN №4 white KA3597HO'!CU61+'MAN №5 Тент МД'!CK61</f>
        <v>0</v>
      </c>
      <c r="DK61" s="2028">
        <f t="shared" si="141"/>
        <v>0</v>
      </c>
      <c r="DL61" s="3284">
        <f t="shared" si="119"/>
        <v>0</v>
      </c>
      <c r="DM61" s="3295"/>
      <c r="DN61" s="3288">
        <f t="shared" si="142"/>
        <v>0</v>
      </c>
      <c r="DO61" s="3288">
        <f t="shared" si="142"/>
        <v>54166.66</v>
      </c>
      <c r="DP61" s="2028">
        <f t="shared" si="143"/>
        <v>54166.66</v>
      </c>
      <c r="DQ61" s="3284">
        <f t="shared" si="75"/>
        <v>2.050131651783485E-3</v>
      </c>
      <c r="DR61" s="3275"/>
      <c r="DS61" s="916"/>
      <c r="DT61" s="916"/>
    </row>
    <row r="62" spans="1:124" ht="27.6" x14ac:dyDescent="0.25">
      <c r="A62" s="1586"/>
      <c r="B62" s="3310" t="s">
        <v>33</v>
      </c>
      <c r="C62" s="3283">
        <v>0</v>
      </c>
      <c r="D62" s="3283">
        <v>0</v>
      </c>
      <c r="E62" s="2028">
        <v>0</v>
      </c>
      <c r="F62" s="3284">
        <v>0</v>
      </c>
      <c r="G62" s="3295"/>
      <c r="H62" s="3283">
        <v>0</v>
      </c>
      <c r="I62" s="3283">
        <v>0</v>
      </c>
      <c r="J62" s="2028">
        <v>0</v>
      </c>
      <c r="K62" s="3284">
        <v>0</v>
      </c>
      <c r="L62" s="3295">
        <v>0</v>
      </c>
      <c r="M62" s="3283">
        <v>0</v>
      </c>
      <c r="N62" s="3283">
        <v>0</v>
      </c>
      <c r="O62" s="2028">
        <v>0</v>
      </c>
      <c r="P62" s="3284">
        <v>0</v>
      </c>
      <c r="Q62" s="3295">
        <v>0</v>
      </c>
      <c r="R62" s="3274">
        <f>'Форд Тягач'!R62+'MAN Blue KA1783HI'!C62+'MAN green KA2790IE'!C62+'MAN №3 white KA7837HO'!C62+'MAN №4 white KA3597HO'!C62+2400+3304</f>
        <v>5704</v>
      </c>
      <c r="S62" s="3274">
        <f>'Форд Тягач'!S62+'MAN Blue KA1783HI'!D62+'MAN green KA2790IE'!D62+'MAN №3 white KA7837HO'!D62+'MAN №4 white KA3597HO'!D62</f>
        <v>0</v>
      </c>
      <c r="T62" s="2028">
        <f t="shared" si="120"/>
        <v>5704</v>
      </c>
      <c r="U62" s="3284">
        <f t="shared" si="102"/>
        <v>4.363925772573469E-3</v>
      </c>
      <c r="V62" s="3275" t="s">
        <v>1114</v>
      </c>
      <c r="W62" s="3283">
        <f>'Форд Тягач'!W62+'MAN Blue KA1783HI'!H62+'MAN green KA2790IE'!H62+'MAN №3 white KA7837HO'!H62+'MAN №4 white KA3597HO'!H62+5558.92</f>
        <v>5558.92</v>
      </c>
      <c r="X62" s="3283">
        <f>'Форд Тягач'!X62+'MAN Blue KA1783HI'!I62+'MAN green KA2790IE'!I62+'MAN №3 white KA7837HO'!I62+'MAN №4 white KA3597HO'!I62+Техника!X62</f>
        <v>0</v>
      </c>
      <c r="Y62" s="2028">
        <f t="shared" si="121"/>
        <v>5558.92</v>
      </c>
      <c r="Z62" s="3284">
        <f t="shared" si="103"/>
        <v>4.252930269227578E-3</v>
      </c>
      <c r="AA62" s="3421" t="s">
        <v>1199</v>
      </c>
      <c r="AB62" s="3274">
        <f>ЦО_логистика!C62+'Форд Тягач'!AB62+'MAN Blue KA1783HI'!M62+'MAN green KA2790IE'!M62+'MAN №3 white KA7837HO'!M62+'MAN №4 white KA3597HO'!M62+'MAN №5 Тент МД'!C62</f>
        <v>3660</v>
      </c>
      <c r="AC62" s="3274">
        <f>ЦО_логистика!D62+'Форд Тягач'!AC62+'MAN Blue KA1783HI'!N62+'MAN green KA2790IE'!N62+'MAN №3 white KA7837HO'!N62+'MAN №4 white KA3597HO'!N62+'MAN №5 Тент МД'!D62</f>
        <v>0</v>
      </c>
      <c r="AD62" s="2028">
        <f t="shared" si="122"/>
        <v>3660</v>
      </c>
      <c r="AE62" s="3284">
        <f t="shared" si="2"/>
        <v>2.8634054693595966E-3</v>
      </c>
      <c r="AF62" s="3295"/>
      <c r="AG62" s="3274">
        <f>ЦО_логистика!H62+'Форд Тягач'!AG62+'MAN Blue KA1783HI'!R62+'MAN green KA2790IE'!R62+'MAN №3 white KA7837HO'!R62+'MAN №4 white KA3597HO'!R62+'MAN №5 Тент МД'!H62</f>
        <v>3644</v>
      </c>
      <c r="AH62" s="3274">
        <f>ЦО_логистика!I62+'Форд Тягач'!AH62+'MAN Blue KA1783HI'!S62+'MAN green KA2790IE'!S62+'MAN №3 white KA7837HO'!S62+'MAN №4 white KA3597HO'!S62+'MAN №5 Тент МД'!I62</f>
        <v>0</v>
      </c>
      <c r="AI62" s="2028">
        <f t="shared" si="123"/>
        <v>3644</v>
      </c>
      <c r="AJ62" s="3284">
        <f t="shared" si="104"/>
        <v>2.8508878498214123E-3</v>
      </c>
      <c r="AK62" s="3275" t="s">
        <v>1299</v>
      </c>
      <c r="AL62" s="3274">
        <f>ЦО_логистика!M62+'Форд Тягач'!AL62+'MAN Blue KA1783HI'!W62+'MAN green KA2790IE'!W62+'MAN №3 white KA7837HO'!W62+'MAN №4 white KA3597HO'!W62+'MAN №5 Тент МД'!M62</f>
        <v>4319</v>
      </c>
      <c r="AM62" s="3274">
        <f>ЦО_логистика!N62+'Форд Тягач'!AM62+'MAN Blue KA1783HI'!X62+'MAN green KA2790IE'!X62+'MAN №3 white KA7837HO'!X62+'MAN №4 white KA3597HO'!X62+'MAN №5 Тент МД'!N62</f>
        <v>0</v>
      </c>
      <c r="AN62" s="2028">
        <f t="shared" si="124"/>
        <v>4319</v>
      </c>
      <c r="AO62" s="3284">
        <f t="shared" si="105"/>
        <v>3.3789749240885512E-3</v>
      </c>
      <c r="AP62" s="3425" t="str">
        <f>CONCATENATE(ЦО_логистика!Q62,'Форд Тягач'!AP62,'MAN Blue KA1783HI'!AA62,'MAN green KA2790IE'!AA62,'MAN №3 white KA7837HO'!AF62,'MAN №4 white KA3597HO'!AA62,'MAN №5 Тент МД'!Q62)</f>
        <v>Киевстар, интернет</v>
      </c>
      <c r="AQ62" s="3274">
        <f>SUM(ЦО_логистика!R62,'Форд Тягач'!AQ62,'MAN Blue KA1783HI'!AB62,'MAN green KA2790IE'!AB62,'MAN №3 white KA7837HO'!AB62,'MAN №4 white KA3597HO'!AB62,'MAN №5 Тент МД'!R62)</f>
        <v>4562.6000000000004</v>
      </c>
      <c r="AR62" s="3274">
        <f>SUM(ЦО_логистика!S62,'Форд Тягач'!AR62,'MAN Blue KA1783HI'!AC62,'MAN green KA2790IE'!AC62,'MAN №3 white KA7837HO'!AC62,'MAN №4 white KA3597HO'!AC62,'MAN №5 Тент МД'!S62)</f>
        <v>0</v>
      </c>
      <c r="AS62" s="2028">
        <f t="shared" si="125"/>
        <v>4562.6000000000004</v>
      </c>
      <c r="AT62" s="3284">
        <f t="shared" si="106"/>
        <v>3.5695556815574033E-3</v>
      </c>
      <c r="AU62" s="3425" t="str">
        <f>CONCATENATE(ЦО_логистика!V62,'Форд Тягач'!AU62,'MAN Blue KA1783HI'!AF61,'MAN green KA2790IE'!AF62,'MAN №3 white KA7837HO'!AF62,'MAN №4 white KA3597HO'!AF62,'MAN №5 Тент МД'!V62)</f>
        <v>Киевстар, интернет</v>
      </c>
      <c r="AV62" s="3275">
        <f>+ЦО_логистика!W62+'Форд Тягач'!AV62+'MAN Blue KA1783HI'!AG62+'MAN green KA2790IE'!AG62+'MAN №3 white KA7837HO'!AG62+'MAN №4 white KA3597HO'!AG62+'MAN №5 Тент МД'!W62</f>
        <v>23735.371999999999</v>
      </c>
      <c r="AW62" s="3275">
        <f>+ЦО_логистика!X62+'Форд Тягач'!AW62+'MAN Blue KA1783HI'!AH62+'MAN green KA2790IE'!AH62+'MAN №3 white KA7837HO'!AH62+'MAN №4 white KA3597HO'!AH62+'MAN №5 Тент МД'!X62</f>
        <v>0</v>
      </c>
      <c r="AX62" s="2028">
        <f t="shared" si="126"/>
        <v>23735.371999999999</v>
      </c>
      <c r="AY62" s="3284">
        <f t="shared" si="107"/>
        <v>1.8569397268329131E-2</v>
      </c>
      <c r="AZ62" s="3275"/>
      <c r="BA62" s="3275">
        <f t="shared" si="127"/>
        <v>2601</v>
      </c>
      <c r="BB62" s="3275">
        <f t="shared" si="127"/>
        <v>0</v>
      </c>
      <c r="BC62" s="2028">
        <f t="shared" si="128"/>
        <v>2601</v>
      </c>
      <c r="BD62" s="3284">
        <f t="shared" si="108"/>
        <v>2.0348955261760412E-3</v>
      </c>
      <c r="BE62" s="3275">
        <f>ЦО_логистика!AD62+'Форд Тягач'!BC62+'MAN Blue KA1783HI'!AN62+'MAN green KA2790IE'!AN62+'MAN №3 white KA7837HO'!AN62+'MAN №4 white KA3597HO'!AN62+'MAN №5 Тент МД'!AD62-BC62</f>
        <v>0</v>
      </c>
      <c r="BF62" s="3274">
        <f>ЦО_логистика!AG62+'Форд Тягач'!BF62+'MAN Blue KA1783HI'!AQ62+'MAN green KA2790IE'!AQ62+'MAN №3 white KA7837HO'!AQ62+'MAN №4 white KA3597HO'!AQ62+'MAN №5 Тент МД'!AG62</f>
        <v>1</v>
      </c>
      <c r="BG62" s="3274">
        <f>ЦО_логистика!AH62+'Форд Тягач'!BG62+'MAN Blue KA1783HI'!AR62+'MAN green KA2790IE'!AR62+'MAN №3 white KA7837HO'!AR62+'MAN №4 white KA3597HO'!AR62+'MAN №5 Тент МД'!AH62</f>
        <v>0</v>
      </c>
      <c r="BH62" s="2028">
        <f t="shared" si="129"/>
        <v>1</v>
      </c>
      <c r="BI62" s="3284">
        <f t="shared" si="109"/>
        <v>7.8235122113650179E-7</v>
      </c>
      <c r="BJ62" s="3275"/>
      <c r="BK62" s="3275">
        <f>ЦО_логистика!AL62+'Форд Тягач'!BK62+'MAN Blue KA1783HI'!AV62+'MAN green KA2790IE'!AV62+'MAN №3 white KA7837HO'!AV62+'MAN №4 white KA3597HO'!AV62+'MAN №5 Тент МД'!AL62</f>
        <v>2000</v>
      </c>
      <c r="BL62" s="3275">
        <f>ЦО_логистика!AM62+'Форд Тягач'!BL62+'MAN Blue KA1783HI'!AW62+'MAN green KA2790IE'!AW62+'MAN №3 white KA7837HO'!AW62+'MAN №4 white KA3597HO'!AW62+'MAN №5 Тент МД'!AM62</f>
        <v>0</v>
      </c>
      <c r="BM62" s="2028">
        <f t="shared" si="130"/>
        <v>2000</v>
      </c>
      <c r="BN62" s="3284">
        <f t="shared" si="131"/>
        <v>1.5647024422730037E-3</v>
      </c>
      <c r="BO62" s="3275"/>
      <c r="BP62" s="3274">
        <f>ЦО_логистика!AQ62+'Форд Тягач'!BP62+'MAN Blue KA1783HI'!BA62+'MAN green KA2790IE'!BA62+'MAN №3 white KA7837HO'!BA62+'MAN №4 white KA3597HO'!BA62+'MAN №5 Тент МД'!AQ62</f>
        <v>600</v>
      </c>
      <c r="BQ62" s="3274">
        <f>ЦО_логистика!AR62+'Форд Тягач'!BQ62+'MAN Blue KA1783HI'!BB62+'MAN green KA2790IE'!BB62+'MAN №3 white KA7837HO'!BB62+'MAN №4 white KA3597HO'!BB62+'MAN №5 Тент МД'!AR62</f>
        <v>0</v>
      </c>
      <c r="BR62" s="2028">
        <f t="shared" si="132"/>
        <v>600</v>
      </c>
      <c r="BS62" s="3284">
        <f t="shared" si="110"/>
        <v>4.6941073268190106E-4</v>
      </c>
      <c r="BT62" s="3295"/>
      <c r="BU62" s="3274">
        <f>ЦО_логистика!AV62+'Форд Тягач'!BU62+'MAN Blue KA1783HI'!BF62+'MAN green KA2790IE'!BF62+'MAN №3 white KA7837HO'!BF62+'MAN №4 white KA3597HO'!BF62+'MAN №5 Тент МД'!AV62</f>
        <v>0</v>
      </c>
      <c r="BV62" s="3274">
        <f>ЦО_логистика!AW62+'Форд Тягач'!BV62+'MAN Blue KA1783HI'!BG62+'MAN green KA2790IE'!BG62+'MAN №3 white KA7837HO'!BG62+'MAN №4 white KA3597HO'!BG62+'MAN №5 Тент МД'!AW62</f>
        <v>0</v>
      </c>
      <c r="BW62" s="2028">
        <f t="shared" si="133"/>
        <v>0</v>
      </c>
      <c r="BX62" s="3284">
        <f t="shared" si="111"/>
        <v>0</v>
      </c>
      <c r="BY62" s="3295"/>
      <c r="BZ62" s="3274">
        <f>ЦО_логистика!BA62+'Форд Тягач'!BZ62+'MAN Blue KA1783HI'!BK62+'MAN green KA2790IE'!BK62+'MAN №3 white KA7837HO'!BK62+'MAN №4 white KA3597HO'!BK62+'MAN №5 Тент МД'!BA62</f>
        <v>0</v>
      </c>
      <c r="CA62" s="3274">
        <f>ЦО_логистика!BB62+'Форд Тягач'!CA62+'MAN Blue KA1783HI'!BL62+'MAN green KA2790IE'!BL62+'MAN №3 white KA7837HO'!BL62+'MAN №4 white KA3597HO'!BL62+'MAN №5 Тент МД'!BB62</f>
        <v>0</v>
      </c>
      <c r="CB62" s="2028">
        <f t="shared" si="134"/>
        <v>0</v>
      </c>
      <c r="CC62" s="3284">
        <f t="shared" si="112"/>
        <v>0</v>
      </c>
      <c r="CD62" s="3295"/>
      <c r="CE62" s="3274">
        <f>ЦО_логистика!BF62+'Форд Тягач'!CE62+'MAN Blue KA1783HI'!BP62+'MAN green KA2790IE'!BP62+'MAN №3 white KA7837HO'!BP62+'MAN №4 white KA3597HO'!BP62+'MAN №5 Тент МД'!BF62</f>
        <v>0</v>
      </c>
      <c r="CF62" s="3274">
        <f>ЦО_логистика!BG62+'Форд Тягач'!CF62+'MAN Blue KA1783HI'!BQ62+'MAN green KA2790IE'!BQ62+'MAN №3 white KA7837HO'!BQ62+'MAN №4 white KA3597HO'!BQ62+'MAN №5 Тент МД'!BG62</f>
        <v>0</v>
      </c>
      <c r="CG62" s="2028">
        <f t="shared" si="135"/>
        <v>0</v>
      </c>
      <c r="CH62" s="3284">
        <f t="shared" si="113"/>
        <v>0</v>
      </c>
      <c r="CI62" s="3295"/>
      <c r="CJ62" s="3274">
        <f>ЦО_логистика!BK62+'Форд Тягач'!CJ62+'MAN Blue KA1783HI'!BU62+'MAN green KA2790IE'!BU62+'MAN №3 white KA7837HO'!BU62+'MAN №4 white KA3597HO'!BU62+'MAN №5 Тент МД'!BK62</f>
        <v>0</v>
      </c>
      <c r="CK62" s="3274">
        <f>ЦО_логистика!BL62+'Форд Тягач'!CK62+'MAN Blue KA1783HI'!BV62+'MAN green KA2790IE'!BV62+'MAN №3 white KA7837HO'!BV62+'MAN №4 white KA3597HO'!BV62+'MAN №5 Тент МД'!BL62</f>
        <v>0</v>
      </c>
      <c r="CL62" s="2028">
        <f t="shared" si="136"/>
        <v>0</v>
      </c>
      <c r="CM62" s="3284">
        <f t="shared" si="114"/>
        <v>0</v>
      </c>
      <c r="CN62" s="3295"/>
      <c r="CO62" s="3274">
        <f>ЦО_логистика!BP62+'Форд Тягач'!CO62+'MAN Blue KA1783HI'!BZ62+'MAN green KA2790IE'!BZ62+'MAN №3 white KA7837HO'!BZ62+'MAN №4 white KA3597HO'!BZ62+'MAN №5 Тент МД'!BP62</f>
        <v>0</v>
      </c>
      <c r="CP62" s="3274">
        <f>ЦО_логистика!BQ62+'Форд Тягач'!CP62+'MAN Blue KA1783HI'!CA62+'MAN green KA2790IE'!CA62+'MAN №3 white KA7837HO'!CA62+'MAN №4 white KA3597HO'!CA62+'MAN №5 Тент МД'!BQ62</f>
        <v>0</v>
      </c>
      <c r="CQ62" s="2028">
        <f t="shared" si="137"/>
        <v>0</v>
      </c>
      <c r="CR62" s="3284">
        <f t="shared" si="115"/>
        <v>0</v>
      </c>
      <c r="CS62" s="3295"/>
      <c r="CT62" s="3274">
        <f>ЦО_логистика!BU62+'Форд Тягач'!CT62+'MAN Blue KA1783HI'!CE62+'MAN green KA2790IE'!CE62+'MAN №3 white KA7837HO'!CE62+'MAN №4 white KA3597HO'!CE62+'MAN №5 Тент МД'!BU62</f>
        <v>0</v>
      </c>
      <c r="CU62" s="3274">
        <f>ЦО_логистика!BV62+'Форд Тягач'!CU62+'MAN Blue KA1783HI'!CF62+'MAN green KA2790IE'!CF62+'MAN №3 white KA7837HO'!CF62+'MAN №4 white KA3597HO'!CF62+'MAN №5 Тент МД'!BV62</f>
        <v>0</v>
      </c>
      <c r="CV62" s="2028">
        <f t="shared" si="138"/>
        <v>0</v>
      </c>
      <c r="CW62" s="3284">
        <f t="shared" si="116"/>
        <v>0</v>
      </c>
      <c r="CX62" s="3295"/>
      <c r="CY62" s="3274">
        <f>ЦО_логистика!BZ62+'Форд Тягач'!CY62+'MAN Blue KA1783HI'!CJ62+'MAN green KA2790IE'!CJ62+'MAN №3 white KA7837HO'!CJ62+'MAN №4 white KA3597HO'!CJ62+'MAN №5 Тент МД'!BZ62</f>
        <v>0</v>
      </c>
      <c r="CZ62" s="3274">
        <f>ЦО_логистика!CA62+'Форд Тягач'!CZ62+'MAN Blue KA1783HI'!CK62+'MAN green KA2790IE'!CK62+'MAN №3 white KA7837HO'!CK62+'MAN №4 white KA3597HO'!CK62+'MAN №5 Тент МД'!CA62</f>
        <v>0</v>
      </c>
      <c r="DA62" s="2028">
        <f t="shared" si="139"/>
        <v>0</v>
      </c>
      <c r="DB62" s="3284">
        <f t="shared" si="117"/>
        <v>0</v>
      </c>
      <c r="DC62" s="3295"/>
      <c r="DD62" s="3274">
        <f>ЦО_логистика!CE62+'Форд Тягач'!DD62+'MAN Blue KA1783HI'!CO62+'MAN green KA2790IE'!CO62+'MAN №3 white KA7837HO'!CO62+'MAN №4 white KA3597HO'!CO62+'MAN №5 Тент МД'!CE62</f>
        <v>0</v>
      </c>
      <c r="DE62" s="3274">
        <f>ЦО_логистика!CF62+'Форд Тягач'!DE62+'MAN Blue KA1783HI'!CP62+'MAN green KA2790IE'!CP62+'MAN №3 white KA7837HO'!CP62+'MAN №4 white KA3597HO'!CP62+'MAN №5 Тент МД'!CF62</f>
        <v>0</v>
      </c>
      <c r="DF62" s="2028">
        <f t="shared" si="140"/>
        <v>0</v>
      </c>
      <c r="DG62" s="3284">
        <f t="shared" si="118"/>
        <v>0</v>
      </c>
      <c r="DH62" s="3295"/>
      <c r="DI62" s="3274">
        <f>ЦО_логистика!CJ62+'Форд Тягач'!DI62+'MAN Blue KA1783HI'!CT62+'MAN green KA2790IE'!CT62+'MAN №3 white KA7837HO'!CT62+'MAN №4 white KA3597HO'!CT62+'MAN №5 Тент МД'!CJ62</f>
        <v>0</v>
      </c>
      <c r="DJ62" s="3274">
        <f>ЦО_логистика!CK62+'Форд Тягач'!DJ62+'MAN Blue KA1783HI'!CU62+'MAN green KA2790IE'!CU62+'MAN №3 white KA7837HO'!CU62+'MAN №4 white KA3597HO'!CU62+'MAN №5 Тент МД'!CK62</f>
        <v>0</v>
      </c>
      <c r="DK62" s="2028">
        <f t="shared" si="141"/>
        <v>0</v>
      </c>
      <c r="DL62" s="3284">
        <f t="shared" si="119"/>
        <v>0</v>
      </c>
      <c r="DM62" s="3295"/>
      <c r="DN62" s="3288">
        <f t="shared" si="142"/>
        <v>53784.891999999993</v>
      </c>
      <c r="DO62" s="3288">
        <f t="shared" si="142"/>
        <v>0</v>
      </c>
      <c r="DP62" s="2028">
        <f t="shared" si="143"/>
        <v>53784.891999999993</v>
      </c>
      <c r="DQ62" s="3284">
        <f t="shared" si="75"/>
        <v>2.0356822716585503E-3</v>
      </c>
      <c r="DR62" s="3275"/>
      <c r="DS62" s="916"/>
      <c r="DT62" s="916"/>
    </row>
    <row r="63" spans="1:124" ht="27.6" x14ac:dyDescent="0.25">
      <c r="A63" s="1586"/>
      <c r="B63" s="3310" t="s">
        <v>35</v>
      </c>
      <c r="C63" s="3283">
        <v>0</v>
      </c>
      <c r="D63" s="3283">
        <v>0</v>
      </c>
      <c r="E63" s="2028">
        <v>0</v>
      </c>
      <c r="F63" s="3284">
        <v>0</v>
      </c>
      <c r="G63" s="3295"/>
      <c r="H63" s="3283">
        <v>0</v>
      </c>
      <c r="I63" s="3283">
        <v>0</v>
      </c>
      <c r="J63" s="2028">
        <v>0</v>
      </c>
      <c r="K63" s="3284">
        <v>0</v>
      </c>
      <c r="L63" s="3295">
        <v>0</v>
      </c>
      <c r="M63" s="3283">
        <v>0</v>
      </c>
      <c r="N63" s="3283">
        <v>0</v>
      </c>
      <c r="O63" s="2028">
        <v>0</v>
      </c>
      <c r="P63" s="3284">
        <v>0</v>
      </c>
      <c r="Q63" s="3295">
        <v>0</v>
      </c>
      <c r="R63" s="3274">
        <f>'Форд Тягач'!R63+'MAN Blue KA1783HI'!C63+'MAN green KA2790IE'!C63+'MAN №3 white KA7837HO'!C63+'MAN №4 white KA3597HO'!C63+20982.15</f>
        <v>20982.15</v>
      </c>
      <c r="S63" s="3274">
        <f>'Форд Тягач'!S63+'MAN Blue KA1783HI'!D63+'MAN green KA2790IE'!D63+'MAN №3 white KA7837HO'!D63+'MAN №4 white KA3597HO'!D63+96</f>
        <v>96</v>
      </c>
      <c r="T63" s="2028">
        <f t="shared" si="120"/>
        <v>21078.15</v>
      </c>
      <c r="U63" s="3284">
        <f t="shared" si="102"/>
        <v>1.6126136399573891E-2</v>
      </c>
      <c r="V63" s="3275" t="s">
        <v>1115</v>
      </c>
      <c r="W63" s="3283">
        <f>'Форд Тягач'!W63+'MAN Blue KA1783HI'!H63+'MAN green KA2790IE'!H63+'MAN №3 white KA7837HO'!H63+'MAN №4 white KA3597HO'!H63+4060</f>
        <v>4060</v>
      </c>
      <c r="X63" s="3283">
        <f>'Форд Тягач'!X63+'MAN Blue KA1783HI'!I63+'MAN green KA2790IE'!I63+'MAN №3 white KA7837HO'!I63+'MAN №4 white KA3597HO'!I63+Техника!X63</f>
        <v>0</v>
      </c>
      <c r="Y63" s="2028">
        <f t="shared" si="121"/>
        <v>4060</v>
      </c>
      <c r="Z63" s="3284">
        <f t="shared" si="103"/>
        <v>3.1061603500435278E-3</v>
      </c>
      <c r="AA63" s="3421" t="s">
        <v>1200</v>
      </c>
      <c r="AB63" s="3274">
        <f>ЦО_логистика!C63+'Форд Тягач'!AB63+'MAN Blue KA1783HI'!M63+'MAN green KA2790IE'!M63+'MAN №3 white KA7837HO'!M63+'MAN №4 white KA3597HO'!M63+'MAN №5 Тент МД'!C63</f>
        <v>5874</v>
      </c>
      <c r="AC63" s="3274">
        <f>ЦО_логистика!D63+'Форд Тягач'!AC63+'MAN Blue KA1783HI'!N63+'MAN green KA2790IE'!N63+'MAN №3 white KA7837HO'!N63+'MAN №4 white KA3597HO'!N63+'MAN №5 Тент МД'!D63</f>
        <v>0</v>
      </c>
      <c r="AD63" s="2028">
        <f t="shared" si="122"/>
        <v>5874</v>
      </c>
      <c r="AE63" s="3284">
        <f t="shared" si="2"/>
        <v>4.5955310729558115E-3</v>
      </c>
      <c r="AF63" s="3295"/>
      <c r="AG63" s="3274">
        <f>ЦО_логистика!H63+'Форд Тягач'!AG63+'MAN Blue KA1783HI'!R63+'MAN green KA2790IE'!R63+'MAN №3 white KA7837HO'!R63+'MAN №4 white KA3597HO'!R63+'MAN №5 Тент МД'!H63</f>
        <v>13036</v>
      </c>
      <c r="AH63" s="3274">
        <f>ЦО_логистика!I63+'Форд Тягач'!AH63+'MAN Blue KA1783HI'!S63+'MAN green KA2790IE'!S63+'MAN №3 white KA7837HO'!S63+'MAN №4 white KA3597HO'!S63+'MAN №5 Тент МД'!I63</f>
        <v>0</v>
      </c>
      <c r="AI63" s="2028">
        <f t="shared" si="123"/>
        <v>13036</v>
      </c>
      <c r="AJ63" s="3284">
        <f t="shared" si="104"/>
        <v>1.0198730518735438E-2</v>
      </c>
      <c r="AK63" s="3275" t="s">
        <v>1323</v>
      </c>
      <c r="AL63" s="3274">
        <f>ЦО_логистика!M63+'Форд Тягач'!AL63+'MAN Blue KA1783HI'!W63+'MAN green KA2790IE'!W63+'MAN №3 white KA7837HO'!W63+'MAN №4 white KA3597HO'!W63+'MAN №5 Тент МД'!M63</f>
        <v>18934.11</v>
      </c>
      <c r="AM63" s="3274">
        <f>ЦО_логистика!N63+'Форд Тягач'!AM63+'MAN Blue KA1783HI'!X63+'MAN green KA2790IE'!X63+'MAN №3 white KA7837HO'!X63+'MAN №4 white KA3597HO'!X63+'MAN №5 Тент МД'!N63</f>
        <v>0</v>
      </c>
      <c r="AN63" s="2028">
        <f t="shared" si="124"/>
        <v>18934.11</v>
      </c>
      <c r="AO63" s="3284">
        <f t="shared" si="105"/>
        <v>1.4813124079632851E-2</v>
      </c>
      <c r="AP63" s="3425" t="str">
        <f>CONCATENATE(ЦО_логистика!Q63,'Форд Тягач'!AP63,'MAN Blue KA1783HI'!AA63,'MAN green KA2790IE'!AA63,'MAN №3 white KA7837HO'!AF63,'MAN №4 white KA3597HO'!AA63,'MAN №5 Тент МД'!Q63)</f>
        <v/>
      </c>
      <c r="AQ63" s="3274">
        <f>SUM(ЦО_логистика!R63,'Форд Тягач'!AQ63,'MAN Blue KA1783HI'!AB63,'MAN green KA2790IE'!AB63,'MAN №3 white KA7837HO'!AB63,'MAN №4 white KA3597HO'!AB63,'MAN №5 Тент МД'!R63)</f>
        <v>4466.82</v>
      </c>
      <c r="AR63" s="3274">
        <f>SUM(ЦО_логистика!S63,'Форд Тягач'!AR63,'MAN Blue KA1783HI'!AC63,'MAN green KA2790IE'!AC63,'MAN №3 white KA7837HO'!AC63,'MAN №4 white KA3597HO'!AC63,'MAN №5 Тент МД'!S63)</f>
        <v>0</v>
      </c>
      <c r="AS63" s="2028">
        <f t="shared" si="125"/>
        <v>4466.82</v>
      </c>
      <c r="AT63" s="3284">
        <f t="shared" si="106"/>
        <v>3.4946220815969486E-3</v>
      </c>
      <c r="AU63" s="3425" t="str">
        <f>CONCATENATE(ЦО_логистика!V63,'Форд Тягач'!AU63,'MAN Blue KA1783HI'!AF62,'MAN green KA2790IE'!AF63,'MAN №3 white KA7837HO'!AF63,'MAN №4 white KA3597HO'!AF63,'MAN №5 Тент МД'!V63)</f>
        <v>Топливо Гриценко, Илюхин</v>
      </c>
      <c r="AV63" s="3275">
        <f>+ЦО_логистика!W63+'Форд Тягач'!AV63+'MAN Blue KA1783HI'!AG63+'MAN green KA2790IE'!AG63+'MAN №3 white KA7837HO'!AG63+'MAN №4 white KA3597HO'!AG63+'MAN №5 Тент МД'!W63</f>
        <v>11341.83</v>
      </c>
      <c r="AW63" s="3275">
        <f>+ЦО_логистика!X63+'Форд Тягач'!AW63+'MAN Blue KA1783HI'!AH63+'MAN green KA2790IE'!AH63+'MAN №3 white KA7837HO'!AH63+'MAN №4 white KA3597HO'!AH63+'MAN №5 Тент МД'!X63</f>
        <v>0</v>
      </c>
      <c r="AX63" s="2028">
        <f t="shared" si="126"/>
        <v>11341.83</v>
      </c>
      <c r="AY63" s="3284">
        <f t="shared" si="107"/>
        <v>8.8732945504226106E-3</v>
      </c>
      <c r="AZ63" s="3275"/>
      <c r="BA63" s="3275">
        <f t="shared" si="127"/>
        <v>0</v>
      </c>
      <c r="BB63" s="3275">
        <f t="shared" si="127"/>
        <v>0</v>
      </c>
      <c r="BC63" s="2028">
        <f t="shared" si="128"/>
        <v>0</v>
      </c>
      <c r="BD63" s="3284">
        <f t="shared" si="108"/>
        <v>0</v>
      </c>
      <c r="BE63" s="3275">
        <f>ЦО_логистика!AD63+'Форд Тягач'!BC63+'MAN Blue KA1783HI'!AN63+'MAN green KA2790IE'!AN63+'MAN №3 white KA7837HO'!AN63+'MAN №4 white KA3597HO'!AN63+'MAN №5 Тент МД'!AD63-BC63</f>
        <v>0</v>
      </c>
      <c r="BF63" s="3274">
        <f>ЦО_логистика!AG63+'Форд Тягач'!BF63+'MAN Blue KA1783HI'!AQ63+'MAN green KA2790IE'!AQ63+'MAN №3 white KA7837HO'!AQ63+'MAN №4 white KA3597HO'!AQ63+'MAN №5 Тент МД'!AG63</f>
        <v>0</v>
      </c>
      <c r="BG63" s="3274">
        <f>ЦО_логистика!AH63+'Форд Тягач'!BG63+'MAN Blue KA1783HI'!AR63+'MAN green KA2790IE'!AR63+'MAN №3 white KA7837HO'!AR63+'MAN №4 white KA3597HO'!AR63+'MAN №5 Тент МД'!AH63</f>
        <v>0</v>
      </c>
      <c r="BH63" s="2028">
        <f t="shared" si="129"/>
        <v>0</v>
      </c>
      <c r="BI63" s="3284">
        <f t="shared" si="109"/>
        <v>0</v>
      </c>
      <c r="BJ63" s="3275"/>
      <c r="BK63" s="3275">
        <f>ЦО_логистика!AL63+'Форд Тягач'!BK63+'MAN Blue KA1783HI'!AV63+'MAN green KA2790IE'!AV63+'MAN №3 white KA7837HO'!AV63+'MAN №4 white KA3597HO'!AV63+'MAN №5 Тент МД'!AL63</f>
        <v>0</v>
      </c>
      <c r="BL63" s="3275">
        <f>ЦО_логистика!AM63+'Форд Тягач'!BL63+'MAN Blue KA1783HI'!AW63+'MAN green KA2790IE'!AW63+'MAN №3 white KA7837HO'!AW63+'MAN №4 white KA3597HO'!AW63+'MAN №5 Тент МД'!AM63</f>
        <v>0</v>
      </c>
      <c r="BM63" s="2028">
        <f t="shared" si="130"/>
        <v>0</v>
      </c>
      <c r="BN63" s="3284">
        <f t="shared" si="131"/>
        <v>0</v>
      </c>
      <c r="BO63" s="3275"/>
      <c r="BP63" s="3274">
        <f>ЦО_логистика!AQ63+'Форд Тягач'!BP63+'MAN Blue KA1783HI'!BA63+'MAN green KA2790IE'!BA63+'MAN №3 white KA7837HO'!BA63+'MAN №4 white KA3597HO'!BA63+'MAN №5 Тент МД'!AQ63</f>
        <v>0</v>
      </c>
      <c r="BQ63" s="3274">
        <f>ЦО_логистика!AR63+'Форд Тягач'!BQ63+'MAN Blue KA1783HI'!BB63+'MAN green KA2790IE'!BB63+'MAN №3 white KA7837HO'!BB63+'MAN №4 white KA3597HO'!BB63+'MAN №5 Тент МД'!AR63</f>
        <v>0</v>
      </c>
      <c r="BR63" s="2028">
        <f t="shared" si="132"/>
        <v>0</v>
      </c>
      <c r="BS63" s="3284">
        <f t="shared" si="110"/>
        <v>0</v>
      </c>
      <c r="BT63" s="3295"/>
      <c r="BU63" s="3274">
        <f>ЦО_логистика!AV63+'Форд Тягач'!BU63+'MAN Blue KA1783HI'!BF63+'MAN green KA2790IE'!BF63+'MAN №3 white KA7837HO'!BF63+'MAN №4 white KA3597HO'!BF63+'MAN №5 Тент МД'!AV63</f>
        <v>0</v>
      </c>
      <c r="BV63" s="3274">
        <f>ЦО_логистика!AW63+'Форд Тягач'!BV63+'MAN Blue KA1783HI'!BG63+'MAN green KA2790IE'!BG63+'MAN №3 white KA7837HO'!BG63+'MAN №4 white KA3597HO'!BG63+'MAN №5 Тент МД'!AW63</f>
        <v>0</v>
      </c>
      <c r="BW63" s="2028">
        <f t="shared" si="133"/>
        <v>0</v>
      </c>
      <c r="BX63" s="3284">
        <f t="shared" si="111"/>
        <v>0</v>
      </c>
      <c r="BY63" s="3295"/>
      <c r="BZ63" s="3274">
        <f>ЦО_логистика!BA63+'Форд Тягач'!BZ63+'MAN Blue KA1783HI'!BK63+'MAN green KA2790IE'!BK63+'MAN №3 white KA7837HO'!BK63+'MAN №4 white KA3597HO'!BK63+'MAN №5 Тент МД'!BA63</f>
        <v>0</v>
      </c>
      <c r="CA63" s="3274">
        <f>ЦО_логистика!BB63+'Форд Тягач'!CA63+'MAN Blue KA1783HI'!BL63+'MAN green KA2790IE'!BL63+'MAN №3 white KA7837HO'!BL63+'MAN №4 white KA3597HO'!BL63+'MAN №5 Тент МД'!BB63</f>
        <v>0</v>
      </c>
      <c r="CB63" s="2028">
        <f t="shared" si="134"/>
        <v>0</v>
      </c>
      <c r="CC63" s="3284">
        <f t="shared" si="112"/>
        <v>0</v>
      </c>
      <c r="CD63" s="3295"/>
      <c r="CE63" s="3274">
        <f>ЦО_логистика!BF63+'Форд Тягач'!CE63+'MAN Blue KA1783HI'!BP63+'MAN green KA2790IE'!BP63+'MAN №3 white KA7837HO'!BP63+'MAN №4 white KA3597HO'!BP63+'MAN №5 Тент МД'!BF63</f>
        <v>0</v>
      </c>
      <c r="CF63" s="3274">
        <f>ЦО_логистика!BG63+'Форд Тягач'!CF63+'MAN Blue KA1783HI'!BQ63+'MAN green KA2790IE'!BQ63+'MAN №3 white KA7837HO'!BQ63+'MAN №4 white KA3597HO'!BQ63+'MAN №5 Тент МД'!BG63</f>
        <v>0</v>
      </c>
      <c r="CG63" s="2028">
        <f t="shared" si="135"/>
        <v>0</v>
      </c>
      <c r="CH63" s="3284">
        <f t="shared" si="113"/>
        <v>0</v>
      </c>
      <c r="CI63" s="3295"/>
      <c r="CJ63" s="3274">
        <f>ЦО_логистика!BK63+'Форд Тягач'!CJ63+'MAN Blue KA1783HI'!BU63+'MAN green KA2790IE'!BU63+'MAN №3 white KA7837HO'!BU63+'MAN №4 white KA3597HO'!BU63+'MAN №5 Тент МД'!BK63</f>
        <v>0</v>
      </c>
      <c r="CK63" s="3274">
        <f>ЦО_логистика!BL63+'Форд Тягач'!CK63+'MAN Blue KA1783HI'!BV63+'MAN green KA2790IE'!BV63+'MAN №3 white KA7837HO'!BV63+'MAN №4 white KA3597HO'!BV63+'MAN №5 Тент МД'!BL63</f>
        <v>0</v>
      </c>
      <c r="CL63" s="2028">
        <f t="shared" si="136"/>
        <v>0</v>
      </c>
      <c r="CM63" s="3284">
        <f t="shared" si="114"/>
        <v>0</v>
      </c>
      <c r="CN63" s="3295"/>
      <c r="CO63" s="3274">
        <f>ЦО_логистика!BP63+'Форд Тягач'!CO63+'MAN Blue KA1783HI'!BZ63+'MAN green KA2790IE'!BZ63+'MAN №3 white KA7837HO'!BZ63+'MAN №4 white KA3597HO'!BZ63+'MAN №5 Тент МД'!BP63</f>
        <v>0</v>
      </c>
      <c r="CP63" s="3274">
        <f>ЦО_логистика!BQ63+'Форд Тягач'!CP63+'MAN Blue KA1783HI'!CA63+'MAN green KA2790IE'!CA63+'MAN №3 white KA7837HO'!CA63+'MAN №4 white KA3597HO'!CA63+'MAN №5 Тент МД'!BQ63</f>
        <v>0</v>
      </c>
      <c r="CQ63" s="2028">
        <f t="shared" si="137"/>
        <v>0</v>
      </c>
      <c r="CR63" s="3284">
        <f t="shared" si="115"/>
        <v>0</v>
      </c>
      <c r="CS63" s="3295"/>
      <c r="CT63" s="3274">
        <f>ЦО_логистика!BU63+'Форд Тягач'!CT63+'MAN Blue KA1783HI'!CE63+'MAN green KA2790IE'!CE63+'MAN №3 white KA7837HO'!CE63+'MAN №4 white KA3597HO'!CE63+'MAN №5 Тент МД'!BU63</f>
        <v>0</v>
      </c>
      <c r="CU63" s="3274">
        <f>ЦО_логистика!BV63+'Форд Тягач'!CU63+'MAN Blue KA1783HI'!CF63+'MAN green KA2790IE'!CF63+'MAN №3 white KA7837HO'!CF63+'MAN №4 white KA3597HO'!CF63+'MAN №5 Тент МД'!BV63</f>
        <v>0</v>
      </c>
      <c r="CV63" s="2028">
        <f t="shared" si="138"/>
        <v>0</v>
      </c>
      <c r="CW63" s="3284">
        <f t="shared" si="116"/>
        <v>0</v>
      </c>
      <c r="CX63" s="3295"/>
      <c r="CY63" s="3274">
        <f>ЦО_логистика!BZ63+'Форд Тягач'!CY63+'MAN Blue KA1783HI'!CJ63+'MAN green KA2790IE'!CJ63+'MAN №3 white KA7837HO'!CJ63+'MAN №4 white KA3597HO'!CJ63+'MAN №5 Тент МД'!BZ63</f>
        <v>0</v>
      </c>
      <c r="CZ63" s="3274">
        <f>ЦО_логистика!CA63+'Форд Тягач'!CZ63+'MAN Blue KA1783HI'!CK63+'MAN green KA2790IE'!CK63+'MAN №3 white KA7837HO'!CK63+'MAN №4 white KA3597HO'!CK63+'MAN №5 Тент МД'!CA63</f>
        <v>0</v>
      </c>
      <c r="DA63" s="2028">
        <f t="shared" si="139"/>
        <v>0</v>
      </c>
      <c r="DB63" s="3284">
        <f t="shared" si="117"/>
        <v>0</v>
      </c>
      <c r="DC63" s="3295"/>
      <c r="DD63" s="3274">
        <f>ЦО_логистика!CE63+'Форд Тягач'!DD63+'MAN Blue KA1783HI'!CO63+'MAN green KA2790IE'!CO63+'MAN №3 white KA7837HO'!CO63+'MAN №4 white KA3597HO'!CO63+'MAN №5 Тент МД'!CE63</f>
        <v>0</v>
      </c>
      <c r="DE63" s="3274">
        <f>ЦО_логистика!CF63+'Форд Тягач'!DE63+'MAN Blue KA1783HI'!CP63+'MAN green KA2790IE'!CP63+'MAN №3 white KA7837HO'!CP63+'MAN №4 white KA3597HO'!CP63+'MAN №5 Тент МД'!CF63</f>
        <v>0</v>
      </c>
      <c r="DF63" s="2028">
        <f t="shared" si="140"/>
        <v>0</v>
      </c>
      <c r="DG63" s="3284">
        <f t="shared" si="118"/>
        <v>0</v>
      </c>
      <c r="DH63" s="3295"/>
      <c r="DI63" s="3274">
        <f>ЦО_логистика!CJ63+'Форд Тягач'!DI63+'MAN Blue KA1783HI'!CT63+'MAN green KA2790IE'!CT63+'MAN №3 white KA7837HO'!CT63+'MAN №4 white KA3597HO'!CT63+'MAN №5 Тент МД'!CJ63</f>
        <v>0</v>
      </c>
      <c r="DJ63" s="3274">
        <f>ЦО_логистика!CK63+'Форд Тягач'!DJ63+'MAN Blue KA1783HI'!CU63+'MAN green KA2790IE'!CU63+'MAN №3 white KA7837HO'!CU63+'MAN №4 white KA3597HO'!CU63+'MAN №5 Тент МД'!CK63</f>
        <v>0</v>
      </c>
      <c r="DK63" s="2028">
        <f t="shared" si="141"/>
        <v>0</v>
      </c>
      <c r="DL63" s="3284">
        <f t="shared" si="119"/>
        <v>0</v>
      </c>
      <c r="DM63" s="3295"/>
      <c r="DN63" s="3288">
        <f t="shared" si="142"/>
        <v>78694.91</v>
      </c>
      <c r="DO63" s="3288">
        <f t="shared" si="142"/>
        <v>96</v>
      </c>
      <c r="DP63" s="2028">
        <f t="shared" si="143"/>
        <v>78790.91</v>
      </c>
      <c r="DQ63" s="3284">
        <f t="shared" si="75"/>
        <v>2.9821247694397975E-3</v>
      </c>
      <c r="DR63" s="3275"/>
      <c r="DS63" s="916"/>
      <c r="DT63" s="916"/>
    </row>
    <row r="64" spans="1:124" ht="13.8" x14ac:dyDescent="0.25">
      <c r="A64" s="1586"/>
      <c r="B64" s="3310" t="s">
        <v>63</v>
      </c>
      <c r="C64" s="3283">
        <v>0</v>
      </c>
      <c r="D64" s="3283">
        <v>0</v>
      </c>
      <c r="E64" s="2028">
        <v>0</v>
      </c>
      <c r="F64" s="3284">
        <v>0</v>
      </c>
      <c r="G64" s="3295"/>
      <c r="H64" s="3283">
        <v>0</v>
      </c>
      <c r="I64" s="3283">
        <v>0</v>
      </c>
      <c r="J64" s="2028">
        <v>0</v>
      </c>
      <c r="K64" s="3284">
        <v>0</v>
      </c>
      <c r="L64" s="3295">
        <v>0</v>
      </c>
      <c r="M64" s="3283">
        <v>0</v>
      </c>
      <c r="N64" s="3283">
        <v>0</v>
      </c>
      <c r="O64" s="2028">
        <v>0</v>
      </c>
      <c r="P64" s="3284">
        <v>0</v>
      </c>
      <c r="Q64" s="3295">
        <v>0</v>
      </c>
      <c r="R64" s="3274">
        <f>'Форд Тягач'!R64+'MAN Blue KA1783HI'!C64+'MAN green KA2790IE'!C64+'MAN №3 white KA7837HO'!C64+'MAN №4 white KA3597HO'!C64</f>
        <v>0</v>
      </c>
      <c r="S64" s="3274">
        <f>'Форд Тягач'!S64+'MAN Blue KA1783HI'!D64+'MAN green KA2790IE'!D64+'MAN №3 white KA7837HO'!D64+'MAN №4 white KA3597HO'!D64+Техника!S64</f>
        <v>0</v>
      </c>
      <c r="T64" s="2028">
        <f t="shared" si="120"/>
        <v>0</v>
      </c>
      <c r="U64" s="3284">
        <f t="shared" si="102"/>
        <v>0</v>
      </c>
      <c r="V64" s="3275"/>
      <c r="W64" s="3283">
        <f>'Форд Тягач'!W64+'MAN Blue KA1783HI'!H64+'MAN green KA2790IE'!H64+'MAN №3 white KA7837HO'!H64+'MAN №4 white KA3597HO'!H64+7818.91-3400</f>
        <v>4418.91</v>
      </c>
      <c r="X64" s="3283">
        <f>'Форд Тягач'!X64+'MAN Blue KA1783HI'!I64+'MAN green KA2790IE'!I64+'MAN №3 white KA7837HO'!I64+'MAN №4 white KA3597HO'!I64+Техника!X64</f>
        <v>0</v>
      </c>
      <c r="Y64" s="2028">
        <f t="shared" si="121"/>
        <v>4418.91</v>
      </c>
      <c r="Z64" s="3284">
        <f t="shared" si="103"/>
        <v>3.3807495153721293E-3</v>
      </c>
      <c r="AA64" s="3421" t="s">
        <v>1222</v>
      </c>
      <c r="AB64" s="3274">
        <f>ЦО_логистика!C64+'Форд Тягач'!AB64+'MAN Blue KA1783HI'!M64+'MAN green KA2790IE'!M64+'MAN №3 white KA7837HO'!M64+'MAN №4 white KA3597HO'!M64+'MAN №5 Тент МД'!C64</f>
        <v>0</v>
      </c>
      <c r="AC64" s="3274">
        <f>ЦО_логистика!D64+'Форд Тягач'!AC64+'MAN Blue KA1783HI'!N64+'MAN green KA2790IE'!N64+'MAN №3 white KA7837HO'!N64+'MAN №4 white KA3597HO'!N64+'MAN №5 Тент МД'!D64</f>
        <v>100</v>
      </c>
      <c r="AD64" s="2028">
        <f t="shared" si="122"/>
        <v>100</v>
      </c>
      <c r="AE64" s="3284">
        <f t="shared" si="2"/>
        <v>7.8235122113650177E-5</v>
      </c>
      <c r="AF64" s="3295"/>
      <c r="AG64" s="3274">
        <f>ЦО_логистика!H64+'Форд Тягач'!AG64+'MAN Blue KA1783HI'!R64+'MAN green KA2790IE'!R64+'MAN №3 white KA7837HO'!R64+'MAN №4 white KA3597HO'!R64+'MAN №5 Тент МД'!H64</f>
        <v>5510</v>
      </c>
      <c r="AH64" s="3274">
        <f>ЦО_логистика!I64+'Форд Тягач'!AH64+'MAN Blue KA1783HI'!S64+'MAN green KA2790IE'!S64+'MAN №3 white KA7837HO'!S64+'MAN №4 white KA3597HO'!S64+'MAN №5 Тент МД'!I64</f>
        <v>0</v>
      </c>
      <c r="AI64" s="2028">
        <f t="shared" si="123"/>
        <v>5510</v>
      </c>
      <c r="AJ64" s="3284">
        <f t="shared" si="104"/>
        <v>4.3107552284621245E-3</v>
      </c>
      <c r="AK64" s="3275" t="s">
        <v>1320</v>
      </c>
      <c r="AL64" s="3274">
        <f>ЦО_логистика!M64+'Форд Тягач'!AL64+'MAN Blue KA1783HI'!W64+'MAN green KA2790IE'!W64+'MAN №3 white KA7837HO'!W64+'MAN №4 white KA3597HO'!W64+'MAN №5 Тент МД'!M64</f>
        <v>5887</v>
      </c>
      <c r="AM64" s="3274">
        <f>ЦО_логистика!N64+'Форд Тягач'!AM64+'MAN Blue KA1783HI'!X64+'MAN green KA2790IE'!X64+'MAN №3 white KA7837HO'!X64+'MAN №4 white KA3597HO'!X64+'MAN №5 Тент МД'!N64</f>
        <v>0</v>
      </c>
      <c r="AN64" s="2028">
        <f t="shared" si="124"/>
        <v>5887</v>
      </c>
      <c r="AO64" s="3284">
        <f t="shared" si="105"/>
        <v>4.6057016388305859E-3</v>
      </c>
      <c r="AP64" s="3425" t="str">
        <f>CONCATENATE(ЦО_логистика!Q64,'Форд Тягач'!AP64,'MAN Blue KA1783HI'!AA64,'MAN green KA2790IE'!AA64,'MAN №3 white KA7837HO'!AF64,'MAN №4 white KA3597HO'!AA64,'MAN №5 Тент МД'!Q64)</f>
        <v>коммунальные офис</v>
      </c>
      <c r="AQ64" s="3274">
        <f>SUM(ЦО_логистика!R64,'Форд Тягач'!AQ64,'MAN Blue KA1783HI'!AB64,'MAN green KA2790IE'!AB64,'MAN №3 white KA7837HO'!AB64,'MAN №4 white KA3597HO'!AB64,'MAN №5 Тент МД'!R64)</f>
        <v>10737.5</v>
      </c>
      <c r="AR64" s="3274">
        <f>SUM(ЦО_логистика!S64,'Форд Тягач'!AR64,'MAN Blue KA1783HI'!AC64,'MAN green KA2790IE'!AC64,'MAN №3 white KA7837HO'!AC64,'MAN №4 white KA3597HO'!AC64,'MAN №5 Тент МД'!S64)</f>
        <v>0</v>
      </c>
      <c r="AS64" s="2028">
        <f t="shared" si="125"/>
        <v>10737.5</v>
      </c>
      <c r="AT64" s="3284">
        <f t="shared" si="106"/>
        <v>8.4004962369531883E-3</v>
      </c>
      <c r="AU64" s="3425" t="str">
        <f>CONCATENATE(ЦО_логистика!V64,'Форд Тягач'!AU64,'MAN Blue KA1783HI'!AF63,'MAN green KA2790IE'!AF64,'MAN №3 white KA7837HO'!AF64,'MAN №4 white KA3597HO'!AF64,'MAN №5 Тент МД'!V64)</f>
        <v>коммунальные офис</v>
      </c>
      <c r="AV64" s="3275">
        <f>+ЦО_логистика!W64+'Форд Тягач'!AV64+'MAN Blue KA1783HI'!AG64+'MAN green KA2790IE'!AG64+'MAN №3 white KA7837HO'!AG64+'MAN №4 white KA3597HO'!AG64+'MAN №5 Тент МД'!W64</f>
        <v>30355</v>
      </c>
      <c r="AW64" s="3275">
        <f>+ЦО_логистика!X64+'Форд Тягач'!AW64+'MAN Blue KA1783HI'!AH64+'MAN green KA2790IE'!AH64+'MAN №3 white KA7837HO'!AH64+'MAN №4 white KA3597HO'!AH64+'MAN №5 Тент МД'!X64</f>
        <v>0</v>
      </c>
      <c r="AX64" s="2028">
        <f t="shared" si="126"/>
        <v>30355</v>
      </c>
      <c r="AY64" s="3284">
        <f t="shared" si="107"/>
        <v>2.3748271317598511E-2</v>
      </c>
      <c r="AZ64" s="3275"/>
      <c r="BA64" s="3275">
        <f t="shared" si="127"/>
        <v>0</v>
      </c>
      <c r="BB64" s="3275">
        <f t="shared" si="127"/>
        <v>0</v>
      </c>
      <c r="BC64" s="2028">
        <f t="shared" si="128"/>
        <v>0</v>
      </c>
      <c r="BD64" s="3284">
        <f t="shared" si="108"/>
        <v>0</v>
      </c>
      <c r="BE64" s="3275">
        <f>ЦО_логистика!AD64+'Форд Тягач'!BC64+'MAN Blue KA1783HI'!AN64+'MAN green KA2790IE'!AN64+'MAN №3 white KA7837HO'!AN64+'MAN №4 white KA3597HO'!AN64+'MAN №5 Тент МД'!AD64-BC64</f>
        <v>0</v>
      </c>
      <c r="BF64" s="3274">
        <f>ЦО_логистика!AG64+'Форд Тягач'!BF64+'MAN Blue KA1783HI'!AQ64+'MAN green KA2790IE'!AQ64+'MAN №3 white KA7837HO'!AQ64+'MAN №4 white KA3597HO'!AQ64+'MAN №5 Тент МД'!AG64</f>
        <v>0</v>
      </c>
      <c r="BG64" s="3274">
        <f>ЦО_логистика!AH64+'Форд Тягач'!BG64+'MAN Blue KA1783HI'!AR64+'MAN green KA2790IE'!AR64+'MAN №3 white KA7837HO'!AR64+'MAN №4 white KA3597HO'!AR64+'MAN №5 Тент МД'!AH64</f>
        <v>0</v>
      </c>
      <c r="BH64" s="2028">
        <f t="shared" si="129"/>
        <v>0</v>
      </c>
      <c r="BI64" s="3284">
        <f t="shared" si="109"/>
        <v>0</v>
      </c>
      <c r="BJ64" s="3275"/>
      <c r="BK64" s="3275">
        <f>ЦО_логистика!AL64+'Форд Тягач'!BK64+'MAN Blue KA1783HI'!AV64+'MAN green KA2790IE'!AV64+'MAN №3 white KA7837HO'!AV64+'MAN №4 white KA3597HO'!AV64+'MAN №5 Тент МД'!AL64</f>
        <v>0</v>
      </c>
      <c r="BL64" s="3275">
        <f>ЦО_логистика!AM64+'Форд Тягач'!BL64+'MAN Blue KA1783HI'!AW64+'MAN green KA2790IE'!AW64+'MAN №3 white KA7837HO'!AW64+'MAN №4 white KA3597HO'!AW64+'MAN №5 Тент МД'!AM64</f>
        <v>0</v>
      </c>
      <c r="BM64" s="2028">
        <f t="shared" si="130"/>
        <v>0</v>
      </c>
      <c r="BN64" s="3284">
        <f t="shared" si="131"/>
        <v>0</v>
      </c>
      <c r="BO64" s="3275"/>
      <c r="BP64" s="3274">
        <f>ЦО_логистика!AQ64+'Форд Тягач'!BP64+'MAN Blue KA1783HI'!BA64+'MAN green KA2790IE'!BA64+'MAN №3 white KA7837HO'!BA64+'MAN №4 white KA3597HO'!BA64+'MAN №5 Тент МД'!AQ64</f>
        <v>0</v>
      </c>
      <c r="BQ64" s="3274">
        <f>ЦО_логистика!AR64+'Форд Тягач'!BQ64+'MAN Blue KA1783HI'!BB64+'MAN green KA2790IE'!BB64+'MAN №3 white KA7837HO'!BB64+'MAN №4 white KA3597HO'!BB64+'MAN №5 Тент МД'!AR64</f>
        <v>0</v>
      </c>
      <c r="BR64" s="2028">
        <f t="shared" si="132"/>
        <v>0</v>
      </c>
      <c r="BS64" s="3284">
        <f t="shared" si="110"/>
        <v>0</v>
      </c>
      <c r="BT64" s="3295"/>
      <c r="BU64" s="3274">
        <f>ЦО_логистика!AV64+'Форд Тягач'!BU64+'MAN Blue KA1783HI'!BF64+'MAN green KA2790IE'!BF64+'MAN №3 white KA7837HO'!BF64+'MAN №4 white KA3597HO'!BF64+'MAN №5 Тент МД'!AV64</f>
        <v>0</v>
      </c>
      <c r="BV64" s="3274">
        <f>ЦО_логистика!AW64+'Форд Тягач'!BV64+'MAN Blue KA1783HI'!BG64+'MAN green KA2790IE'!BG64+'MAN №3 white KA7837HO'!BG64+'MAN №4 white KA3597HO'!BG64+'MAN №5 Тент МД'!AW64</f>
        <v>0</v>
      </c>
      <c r="BW64" s="2028">
        <f t="shared" si="133"/>
        <v>0</v>
      </c>
      <c r="BX64" s="3284">
        <f t="shared" si="111"/>
        <v>0</v>
      </c>
      <c r="BY64" s="3295"/>
      <c r="BZ64" s="3274">
        <f>ЦО_логистика!BA64+'Форд Тягач'!BZ64+'MAN Blue KA1783HI'!BK64+'MAN green KA2790IE'!BK64+'MAN №3 white KA7837HO'!BK64+'MAN №4 white KA3597HO'!BK64+'MAN №5 Тент МД'!BA64</f>
        <v>0</v>
      </c>
      <c r="CA64" s="3274">
        <f>ЦО_логистика!BB64+'Форд Тягач'!CA64+'MAN Blue KA1783HI'!BL64+'MAN green KA2790IE'!BL64+'MAN №3 white KA7837HO'!BL64+'MAN №4 white KA3597HO'!BL64+'MAN №5 Тент МД'!BB64</f>
        <v>0</v>
      </c>
      <c r="CB64" s="2028">
        <f t="shared" si="134"/>
        <v>0</v>
      </c>
      <c r="CC64" s="3284">
        <f t="shared" si="112"/>
        <v>0</v>
      </c>
      <c r="CD64" s="3295"/>
      <c r="CE64" s="3274">
        <f>ЦО_логистика!BF64+'Форд Тягач'!CE64+'MAN Blue KA1783HI'!BP64+'MAN green KA2790IE'!BP64+'MAN №3 white KA7837HO'!BP64+'MAN №4 white KA3597HO'!BP64+'MAN №5 Тент МД'!BF64</f>
        <v>0</v>
      </c>
      <c r="CF64" s="3274">
        <f>ЦО_логистика!BG64+'Форд Тягач'!CF64+'MAN Blue KA1783HI'!BQ64+'MAN green KA2790IE'!BQ64+'MAN №3 white KA7837HO'!BQ64+'MAN №4 white KA3597HO'!BQ64+'MAN №5 Тент МД'!BG64</f>
        <v>0</v>
      </c>
      <c r="CG64" s="2028">
        <f t="shared" si="135"/>
        <v>0</v>
      </c>
      <c r="CH64" s="3284">
        <f t="shared" si="113"/>
        <v>0</v>
      </c>
      <c r="CI64" s="3295"/>
      <c r="CJ64" s="3274">
        <f>ЦО_логистика!BK64+'Форд Тягач'!CJ64+'MAN Blue KA1783HI'!BU64+'MAN green KA2790IE'!BU64+'MAN №3 white KA7837HO'!BU64+'MAN №4 white KA3597HO'!BU64+'MAN №5 Тент МД'!BK64</f>
        <v>0</v>
      </c>
      <c r="CK64" s="3274">
        <f>ЦО_логистика!BL64+'Форд Тягач'!CK64+'MAN Blue KA1783HI'!BV64+'MAN green KA2790IE'!BV64+'MAN №3 white KA7837HO'!BV64+'MAN №4 white KA3597HO'!BV64+'MAN №5 Тент МД'!BL64</f>
        <v>0</v>
      </c>
      <c r="CL64" s="2028">
        <f t="shared" si="136"/>
        <v>0</v>
      </c>
      <c r="CM64" s="3284">
        <f t="shared" si="114"/>
        <v>0</v>
      </c>
      <c r="CN64" s="3295"/>
      <c r="CO64" s="3274">
        <f>ЦО_логистика!BP64+'Форд Тягач'!CO64+'MAN Blue KA1783HI'!BZ64+'MAN green KA2790IE'!BZ64+'MAN №3 white KA7837HO'!BZ64+'MAN №4 white KA3597HO'!BZ64+'MAN №5 Тент МД'!BP64</f>
        <v>0</v>
      </c>
      <c r="CP64" s="3274">
        <f>ЦО_логистика!BQ64+'Форд Тягач'!CP64+'MAN Blue KA1783HI'!CA64+'MAN green KA2790IE'!CA64+'MAN №3 white KA7837HO'!CA64+'MAN №4 white KA3597HO'!CA64+'MAN №5 Тент МД'!BQ64</f>
        <v>0</v>
      </c>
      <c r="CQ64" s="2028">
        <f t="shared" si="137"/>
        <v>0</v>
      </c>
      <c r="CR64" s="3284">
        <f t="shared" si="115"/>
        <v>0</v>
      </c>
      <c r="CS64" s="3295"/>
      <c r="CT64" s="3274">
        <f>ЦО_логистика!BU64+'Форд Тягач'!CT64+'MAN Blue KA1783HI'!CE64+'MAN green KA2790IE'!CE64+'MAN №3 white KA7837HO'!CE64+'MAN №4 white KA3597HO'!CE64+'MAN №5 Тент МД'!BU64</f>
        <v>0</v>
      </c>
      <c r="CU64" s="3274">
        <f>ЦО_логистика!BV64+'Форд Тягач'!CU64+'MAN Blue KA1783HI'!CF64+'MAN green KA2790IE'!CF64+'MAN №3 white KA7837HO'!CF64+'MAN №4 white KA3597HO'!CF64+'MAN №5 Тент МД'!BV64</f>
        <v>0</v>
      </c>
      <c r="CV64" s="2028">
        <f t="shared" si="138"/>
        <v>0</v>
      </c>
      <c r="CW64" s="3284">
        <f t="shared" si="116"/>
        <v>0</v>
      </c>
      <c r="CX64" s="3295"/>
      <c r="CY64" s="3274">
        <f>ЦО_логистика!BZ64+'Форд Тягач'!CY64+'MAN Blue KA1783HI'!CJ64+'MAN green KA2790IE'!CJ64+'MAN №3 white KA7837HO'!CJ64+'MAN №4 white KA3597HO'!CJ64+'MAN №5 Тент МД'!BZ64</f>
        <v>0</v>
      </c>
      <c r="CZ64" s="3274">
        <f>ЦО_логистика!CA64+'Форд Тягач'!CZ64+'MAN Blue KA1783HI'!CK64+'MAN green KA2790IE'!CK64+'MAN №3 white KA7837HO'!CK64+'MAN №4 white KA3597HO'!CK64+'MAN №5 Тент МД'!CA64</f>
        <v>0</v>
      </c>
      <c r="DA64" s="2028">
        <f t="shared" si="139"/>
        <v>0</v>
      </c>
      <c r="DB64" s="3284">
        <f t="shared" si="117"/>
        <v>0</v>
      </c>
      <c r="DC64" s="3295"/>
      <c r="DD64" s="3274">
        <f>ЦО_логистика!CE64+'Форд Тягач'!DD64+'MAN Blue KA1783HI'!CO64+'MAN green KA2790IE'!CO64+'MAN №3 white KA7837HO'!CO64+'MAN №4 white KA3597HO'!CO64+'MAN №5 Тент МД'!CE64</f>
        <v>0</v>
      </c>
      <c r="DE64" s="3274">
        <f>ЦО_логистика!CF64+'Форд Тягач'!DE64+'MAN Blue KA1783HI'!CP64+'MAN green KA2790IE'!CP64+'MAN №3 white KA7837HO'!CP64+'MAN №4 white KA3597HO'!CP64+'MAN №5 Тент МД'!CF64</f>
        <v>0</v>
      </c>
      <c r="DF64" s="2028">
        <f t="shared" si="140"/>
        <v>0</v>
      </c>
      <c r="DG64" s="3284">
        <f t="shared" si="118"/>
        <v>0</v>
      </c>
      <c r="DH64" s="3295"/>
      <c r="DI64" s="3274">
        <f>ЦО_логистика!CJ64+'Форд Тягач'!DI64+'MAN Blue KA1783HI'!CT64+'MAN green KA2790IE'!CT64+'MAN №3 white KA7837HO'!CT64+'MAN №4 white KA3597HO'!CT64+'MAN №5 Тент МД'!CJ64</f>
        <v>0</v>
      </c>
      <c r="DJ64" s="3274">
        <f>ЦО_логистика!CK64+'Форд Тягач'!DJ64+'MAN Blue KA1783HI'!CU64+'MAN green KA2790IE'!CU64+'MAN №3 white KA7837HO'!CU64+'MAN №4 white KA3597HO'!CU64+'MAN №5 Тент МД'!CK64</f>
        <v>0</v>
      </c>
      <c r="DK64" s="2028">
        <f t="shared" si="141"/>
        <v>0</v>
      </c>
      <c r="DL64" s="3284">
        <f t="shared" si="119"/>
        <v>0</v>
      </c>
      <c r="DM64" s="3295"/>
      <c r="DN64" s="3288">
        <f t="shared" si="142"/>
        <v>56908.41</v>
      </c>
      <c r="DO64" s="3288">
        <f t="shared" si="142"/>
        <v>100</v>
      </c>
      <c r="DP64" s="2028">
        <f t="shared" si="143"/>
        <v>57008.41</v>
      </c>
      <c r="DQ64" s="3284">
        <f t="shared" si="75"/>
        <v>2.1576878795711266E-3</v>
      </c>
      <c r="DR64" s="3275"/>
      <c r="DS64" s="916"/>
      <c r="DT64" s="916"/>
    </row>
    <row r="65" spans="1:124" ht="27.6" x14ac:dyDescent="0.25">
      <c r="A65" s="1586"/>
      <c r="B65" s="3310" t="s">
        <v>36</v>
      </c>
      <c r="C65" s="3274">
        <v>0</v>
      </c>
      <c r="D65" s="3274">
        <v>0</v>
      </c>
      <c r="E65" s="2028">
        <v>0</v>
      </c>
      <c r="F65" s="3284">
        <v>0</v>
      </c>
      <c r="G65" s="3295"/>
      <c r="H65" s="3274">
        <v>0</v>
      </c>
      <c r="I65" s="3274">
        <v>0</v>
      </c>
      <c r="J65" s="2028">
        <v>0</v>
      </c>
      <c r="K65" s="3284">
        <v>0</v>
      </c>
      <c r="L65" s="3295">
        <v>0</v>
      </c>
      <c r="M65" s="3274">
        <v>0</v>
      </c>
      <c r="N65" s="3274">
        <v>0</v>
      </c>
      <c r="O65" s="2028">
        <v>0</v>
      </c>
      <c r="P65" s="3284">
        <v>0</v>
      </c>
      <c r="Q65" s="3295">
        <v>0</v>
      </c>
      <c r="R65" s="3274">
        <f>'Форд Тягач'!R65+'MAN Blue KA1783HI'!C65+'MAN green KA2790IE'!C65+'MAN №3 white KA7837HO'!C65+'MAN №4 white KA3597HO'!C65</f>
        <v>0</v>
      </c>
      <c r="S65" s="3274">
        <f>'Форд Тягач'!S65+'MAN Blue KA1783HI'!D65+'MAN green KA2790IE'!D65+'MAN №3 white KA7837HO'!D65+'MAN №4 white KA3597HO'!D65</f>
        <v>13774</v>
      </c>
      <c r="T65" s="2028">
        <f t="shared" si="120"/>
        <v>13774</v>
      </c>
      <c r="U65" s="3284">
        <f t="shared" si="102"/>
        <v>1.0537993266379201E-2</v>
      </c>
      <c r="V65" s="3275" t="s">
        <v>1116</v>
      </c>
      <c r="W65" s="3274">
        <f>'Форд Тягач'!W65+'MAN Blue KA1783HI'!H65+'MAN green KA2790IE'!H65+'MAN №3 white KA7837HO'!H65+'MAN №4 white KA3597HO'!H65+Техника!W65</f>
        <v>0</v>
      </c>
      <c r="X65" s="3274">
        <f>'Форд Тягач'!X65+'MAN Blue KA1783HI'!I65+'MAN green KA2790IE'!I65+'MAN №3 white KA7837HO'!I65+'MAN №4 white KA3597HO'!I65+Техника!X65</f>
        <v>0</v>
      </c>
      <c r="Y65" s="2028">
        <f t="shared" si="121"/>
        <v>0</v>
      </c>
      <c r="Z65" s="3284">
        <f t="shared" si="103"/>
        <v>0</v>
      </c>
      <c r="AA65" s="3421"/>
      <c r="AB65" s="3274">
        <f>ЦО_логистика!C65+'Форд Тягач'!AB65+'MAN Blue KA1783HI'!M65+'MAN green KA2790IE'!M65+'MAN №3 white KA7837HO'!M65+'MAN №4 white KA3597HO'!M65+'MAN №5 Тент МД'!C65</f>
        <v>0</v>
      </c>
      <c r="AC65" s="3274">
        <f>ЦО_логистика!D65+'Форд Тягач'!AC65+'MAN Blue KA1783HI'!N65+'MAN green KA2790IE'!N65+'MAN №3 white KA7837HO'!N65+'MAN №4 white KA3597HO'!N65+'MAN №5 Тент МД'!D65</f>
        <v>0</v>
      </c>
      <c r="AD65" s="2028">
        <f t="shared" si="122"/>
        <v>0</v>
      </c>
      <c r="AE65" s="3284">
        <f t="shared" si="2"/>
        <v>0</v>
      </c>
      <c r="AF65" s="3295"/>
      <c r="AG65" s="3274">
        <f>ЦО_логистика!H65+'Форд Тягач'!AG65+'MAN Blue KA1783HI'!R65+'MAN green KA2790IE'!R65+'MAN №3 white KA7837HO'!R65+'MAN №4 white KA3597HO'!R65+'MAN №5 Тент МД'!H65</f>
        <v>0</v>
      </c>
      <c r="AH65" s="3274">
        <f>ЦО_логистика!I65+'Форд Тягач'!AH65+'MAN Blue KA1783HI'!S65+'MAN green KA2790IE'!S65+'MAN №3 white KA7837HO'!S65+'MAN №4 white KA3597HO'!S65+'MAN №5 Тент МД'!I65</f>
        <v>366</v>
      </c>
      <c r="AI65" s="2028">
        <f t="shared" si="123"/>
        <v>366</v>
      </c>
      <c r="AJ65" s="3284">
        <f t="shared" si="104"/>
        <v>2.8634054693595963E-4</v>
      </c>
      <c r="AK65" s="3295"/>
      <c r="AL65" s="3274">
        <f>ЦО_логистика!M65+'Форд Тягач'!AL65+'MAN Blue KA1783HI'!W65+'MAN green KA2790IE'!W65+'MAN №3 white KA7837HO'!W65+'MAN №4 white KA3597HO'!W65+'MAN №5 Тент МД'!M65</f>
        <v>0</v>
      </c>
      <c r="AM65" s="3274">
        <f>ЦО_логистика!N65+'Форд Тягач'!AM65+'MAN Blue KA1783HI'!X65+'MAN green KA2790IE'!X65+'MAN №3 white KA7837HO'!X65+'MAN №4 white KA3597HO'!X65+'MAN №5 Тент МД'!N65</f>
        <v>1800</v>
      </c>
      <c r="AN65" s="2028">
        <f t="shared" si="124"/>
        <v>1800</v>
      </c>
      <c r="AO65" s="3284">
        <f t="shared" si="105"/>
        <v>1.4082321980457032E-3</v>
      </c>
      <c r="AP65" s="3425" t="str">
        <f>CONCATENATE(ЦО_логистика!Q65,'Форд Тягач'!AP65,'MAN Blue KA1783HI'!AA65,'MAN green KA2790IE'!AA65,'MAN №3 white KA7837HO'!AF65,'MAN №4 white KA3597HO'!AA65,'MAN №5 Тент МД'!Q65)</f>
        <v>оплаиа гостинниц Илюхина при выборе нового полуприцепа</v>
      </c>
      <c r="AQ65" s="3274">
        <f>SUM(ЦО_логистика!R65,'Форд Тягач'!AQ65,'MAN Blue KA1783HI'!AB65,'MAN green KA2790IE'!AB65,'MAN №3 white KA7837HO'!AB65,'MAN №4 white KA3597HO'!AB65,'MAN №5 Тент МД'!R65)</f>
        <v>0</v>
      </c>
      <c r="AR65" s="3274">
        <f>SUM(ЦО_логистика!S65,'Форд Тягач'!AR65,'MAN Blue KA1783HI'!AC65,'MAN green KA2790IE'!AC65,'MAN №3 white KA7837HO'!AC65,'MAN №4 white KA3597HO'!AC65,'MAN №5 Тент МД'!S65)</f>
        <v>0</v>
      </c>
      <c r="AS65" s="2028">
        <f t="shared" si="125"/>
        <v>0</v>
      </c>
      <c r="AT65" s="3284">
        <f t="shared" si="106"/>
        <v>0</v>
      </c>
      <c r="AU65" s="3425" t="str">
        <f>CONCATENATE(ЦО_логистика!V65,'Форд Тягач'!AU65,'MAN Blue KA1783HI'!AF64,'MAN green KA2790IE'!AF65,'MAN №3 white KA7837HO'!AF65,'MAN №4 white KA3597HO'!AF65,'MAN №5 Тент МД'!V65)</f>
        <v/>
      </c>
      <c r="AV65" s="3275">
        <f>+ЦО_логистика!W65+'Форд Тягач'!AV65+'MAN Blue KA1783HI'!AG65+'MAN green KA2790IE'!AG65+'MAN №3 white KA7837HO'!AG65+'MAN №4 white KA3597HO'!AG65+'MAN №5 Тент МД'!W65</f>
        <v>0</v>
      </c>
      <c r="AW65" s="3275">
        <f>+ЦО_логистика!X65+'Форд Тягач'!AW65+'MAN Blue KA1783HI'!AH65+'MAN green KA2790IE'!AH65+'MAN №3 white KA7837HO'!AH65+'MAN №4 white KA3597HO'!AH65+'MAN №5 Тент МД'!X65</f>
        <v>0</v>
      </c>
      <c r="AX65" s="2028">
        <f t="shared" si="126"/>
        <v>0</v>
      </c>
      <c r="AY65" s="3284">
        <f t="shared" si="107"/>
        <v>0</v>
      </c>
      <c r="AZ65" s="3275"/>
      <c r="BA65" s="3275">
        <f t="shared" si="127"/>
        <v>0</v>
      </c>
      <c r="BB65" s="3275">
        <f t="shared" si="127"/>
        <v>0</v>
      </c>
      <c r="BC65" s="2028">
        <f t="shared" si="128"/>
        <v>0</v>
      </c>
      <c r="BD65" s="3284">
        <f t="shared" si="108"/>
        <v>0</v>
      </c>
      <c r="BE65" s="3275">
        <f>ЦО_логистика!AD65+'Форд Тягач'!BC65+'MAN Blue KA1783HI'!AN65+'MAN green KA2790IE'!AN65+'MAN №3 white KA7837HO'!AN65+'MAN №4 white KA3597HO'!AN65+'MAN №5 Тент МД'!AD65-BC65</f>
        <v>0</v>
      </c>
      <c r="BF65" s="3274">
        <f>ЦО_логистика!AG65+'Форд Тягач'!BF65+'MAN Blue KA1783HI'!AQ65+'MAN green KA2790IE'!AQ65+'MAN №3 white KA7837HO'!AQ65+'MAN №4 white KA3597HO'!AQ65+'MAN №5 Тент МД'!AG65</f>
        <v>0</v>
      </c>
      <c r="BG65" s="3274">
        <f>ЦО_логистика!AH65+'Форд Тягач'!BG65+'MAN Blue KA1783HI'!AR65+'MAN green KA2790IE'!AR65+'MAN №3 white KA7837HO'!AR65+'MAN №4 white KA3597HO'!AR65+'MAN №5 Тент МД'!AH65</f>
        <v>0</v>
      </c>
      <c r="BH65" s="2028">
        <f t="shared" si="129"/>
        <v>0</v>
      </c>
      <c r="BI65" s="3284">
        <f t="shared" si="109"/>
        <v>0</v>
      </c>
      <c r="BJ65" s="3275"/>
      <c r="BK65" s="3275">
        <f>ЦО_логистика!AL65+'Форд Тягач'!BK65+'MAN Blue KA1783HI'!AV65+'MAN green KA2790IE'!AV65+'MAN №3 white KA7837HO'!AV65+'MAN №4 white KA3597HO'!AV65+'MAN №5 Тент МД'!AL65</f>
        <v>0</v>
      </c>
      <c r="BL65" s="3275">
        <f>ЦО_логистика!AM65+'Форд Тягач'!BL65+'MAN Blue KA1783HI'!AW65+'MAN green KA2790IE'!AW65+'MAN №3 white KA7837HO'!AW65+'MAN №4 white KA3597HO'!AW65+'MAN №5 Тент МД'!AM65</f>
        <v>0</v>
      </c>
      <c r="BM65" s="2028">
        <f t="shared" si="130"/>
        <v>0</v>
      </c>
      <c r="BN65" s="3284">
        <f t="shared" si="131"/>
        <v>0</v>
      </c>
      <c r="BO65" s="3275"/>
      <c r="BP65" s="3274">
        <f>ЦО_логистика!AQ65+'Форд Тягач'!BP65+'MAN Blue KA1783HI'!BA65+'MAN green KA2790IE'!BA65+'MAN №3 white KA7837HO'!BA65+'MAN №4 white KA3597HO'!BA65+'MAN №5 Тент МД'!AQ65</f>
        <v>0</v>
      </c>
      <c r="BQ65" s="3274">
        <f>ЦО_логистика!AR65+'Форд Тягач'!BQ65+'MAN Blue KA1783HI'!BB65+'MAN green KA2790IE'!BB65+'MAN №3 white KA7837HO'!BB65+'MAN №4 white KA3597HO'!BB65+'MAN №5 Тент МД'!AR65</f>
        <v>0</v>
      </c>
      <c r="BR65" s="2028">
        <f t="shared" si="132"/>
        <v>0</v>
      </c>
      <c r="BS65" s="3284">
        <f t="shared" si="110"/>
        <v>0</v>
      </c>
      <c r="BT65" s="3295"/>
      <c r="BU65" s="3274">
        <f>ЦО_логистика!AV65+'Форд Тягач'!BU65+'MAN Blue KA1783HI'!BF65+'MAN green KA2790IE'!BF65+'MAN №3 white KA7837HO'!BF65+'MAN №4 white KA3597HO'!BF65+'MAN №5 Тент МД'!AV65</f>
        <v>0</v>
      </c>
      <c r="BV65" s="3274">
        <f>ЦО_логистика!AW65+'Форд Тягач'!BV65+'MAN Blue KA1783HI'!BG65+'MAN green KA2790IE'!BG65+'MAN №3 white KA7837HO'!BG65+'MAN №4 white KA3597HO'!BG65+'MAN №5 Тент МД'!AW65</f>
        <v>0</v>
      </c>
      <c r="BW65" s="2028">
        <f t="shared" si="133"/>
        <v>0</v>
      </c>
      <c r="BX65" s="3284">
        <f t="shared" si="111"/>
        <v>0</v>
      </c>
      <c r="BY65" s="3295"/>
      <c r="BZ65" s="3274">
        <f>ЦО_логистика!BA65+'Форд Тягач'!BZ65+'MAN Blue KA1783HI'!BK65+'MAN green KA2790IE'!BK65+'MAN №3 white KA7837HO'!BK65+'MAN №4 white KA3597HO'!BK65+'MAN №5 Тент МД'!BA65</f>
        <v>0</v>
      </c>
      <c r="CA65" s="3274">
        <f>ЦО_логистика!BB65+'Форд Тягач'!CA65+'MAN Blue KA1783HI'!BL65+'MAN green KA2790IE'!BL65+'MAN №3 white KA7837HO'!BL65+'MAN №4 white KA3597HO'!BL65+'MAN №5 Тент МД'!BB65</f>
        <v>0</v>
      </c>
      <c r="CB65" s="2028">
        <f t="shared" si="134"/>
        <v>0</v>
      </c>
      <c r="CC65" s="3284">
        <f t="shared" si="112"/>
        <v>0</v>
      </c>
      <c r="CD65" s="3295"/>
      <c r="CE65" s="3274">
        <f>ЦО_логистика!BF65+'Форд Тягач'!CE65+'MAN Blue KA1783HI'!BP65+'MAN green KA2790IE'!BP65+'MAN №3 white KA7837HO'!BP65+'MAN №4 white KA3597HO'!BP65+'MAN №5 Тент МД'!BF65</f>
        <v>0</v>
      </c>
      <c r="CF65" s="3274">
        <f>ЦО_логистика!BG65+'Форд Тягач'!CF65+'MAN Blue KA1783HI'!BQ65+'MAN green KA2790IE'!BQ65+'MAN №3 white KA7837HO'!BQ65+'MAN №4 white KA3597HO'!BQ65+'MAN №5 Тент МД'!BG65</f>
        <v>0</v>
      </c>
      <c r="CG65" s="2028">
        <f t="shared" si="135"/>
        <v>0</v>
      </c>
      <c r="CH65" s="3284">
        <f t="shared" si="113"/>
        <v>0</v>
      </c>
      <c r="CI65" s="3295"/>
      <c r="CJ65" s="3274">
        <f>ЦО_логистика!BK65+'Форд Тягач'!CJ65+'MAN Blue KA1783HI'!BU65+'MAN green KA2790IE'!BU65+'MAN №3 white KA7837HO'!BU65+'MAN №4 white KA3597HO'!BU65+'MAN №5 Тент МД'!BK65</f>
        <v>0</v>
      </c>
      <c r="CK65" s="3274">
        <f>ЦО_логистика!BL65+'Форд Тягач'!CK65+'MAN Blue KA1783HI'!BV65+'MAN green KA2790IE'!BV65+'MAN №3 white KA7837HO'!BV65+'MAN №4 white KA3597HO'!BV65+'MAN №5 Тент МД'!BL65</f>
        <v>0</v>
      </c>
      <c r="CL65" s="2028">
        <f t="shared" si="136"/>
        <v>0</v>
      </c>
      <c r="CM65" s="3284">
        <f t="shared" si="114"/>
        <v>0</v>
      </c>
      <c r="CN65" s="3295"/>
      <c r="CO65" s="3274">
        <f>ЦО_логистика!BP65+'Форд Тягач'!CO65+'MAN Blue KA1783HI'!BZ65+'MAN green KA2790IE'!BZ65+'MAN №3 white KA7837HO'!BZ65+'MAN №4 white KA3597HO'!BZ65+'MAN №5 Тент МД'!BP65</f>
        <v>0</v>
      </c>
      <c r="CP65" s="3274">
        <f>ЦО_логистика!BQ65+'Форд Тягач'!CP65+'MAN Blue KA1783HI'!CA65+'MAN green KA2790IE'!CA65+'MAN №3 white KA7837HO'!CA65+'MAN №4 white KA3597HO'!CA65+'MAN №5 Тент МД'!BQ65</f>
        <v>0</v>
      </c>
      <c r="CQ65" s="2028">
        <f t="shared" si="137"/>
        <v>0</v>
      </c>
      <c r="CR65" s="3284">
        <f t="shared" si="115"/>
        <v>0</v>
      </c>
      <c r="CS65" s="3295"/>
      <c r="CT65" s="3274">
        <f>ЦО_логистика!BU65+'Форд Тягач'!CT65+'MAN Blue KA1783HI'!CE65+'MAN green KA2790IE'!CE65+'MAN №3 white KA7837HO'!CE65+'MAN №4 white KA3597HO'!CE65+'MAN №5 Тент МД'!BU65</f>
        <v>0</v>
      </c>
      <c r="CU65" s="3274">
        <f>ЦО_логистика!BV65+'Форд Тягач'!CU65+'MAN Blue KA1783HI'!CF65+'MAN green KA2790IE'!CF65+'MAN №3 white KA7837HO'!CF65+'MAN №4 white KA3597HO'!CF65+'MAN №5 Тент МД'!BV65</f>
        <v>0</v>
      </c>
      <c r="CV65" s="2028">
        <f t="shared" si="138"/>
        <v>0</v>
      </c>
      <c r="CW65" s="3284">
        <f t="shared" si="116"/>
        <v>0</v>
      </c>
      <c r="CX65" s="3295"/>
      <c r="CY65" s="3274">
        <f>ЦО_логистика!BZ65+'Форд Тягач'!CY65+'MAN Blue KA1783HI'!CJ65+'MAN green KA2790IE'!CJ65+'MAN №3 white KA7837HO'!CJ65+'MAN №4 white KA3597HO'!CJ65+'MAN №5 Тент МД'!BZ65</f>
        <v>0</v>
      </c>
      <c r="CZ65" s="3274">
        <f>ЦО_логистика!CA65+'Форд Тягач'!CZ65+'MAN Blue KA1783HI'!CK65+'MAN green KA2790IE'!CK65+'MAN №3 white KA7837HO'!CK65+'MAN №4 white KA3597HO'!CK65+'MAN №5 Тент МД'!CA65</f>
        <v>0</v>
      </c>
      <c r="DA65" s="2028">
        <f t="shared" si="139"/>
        <v>0</v>
      </c>
      <c r="DB65" s="3284">
        <f t="shared" si="117"/>
        <v>0</v>
      </c>
      <c r="DC65" s="3295"/>
      <c r="DD65" s="3274">
        <f>ЦО_логистика!CE65+'Форд Тягач'!DD65+'MAN Blue KA1783HI'!CO65+'MAN green KA2790IE'!CO65+'MAN №3 white KA7837HO'!CO65+'MAN №4 white KA3597HO'!CO65+'MAN №5 Тент МД'!CE65</f>
        <v>0</v>
      </c>
      <c r="DE65" s="3274">
        <f>ЦО_логистика!CF65+'Форд Тягач'!DE65+'MAN Blue KA1783HI'!CP65+'MAN green KA2790IE'!CP65+'MAN №3 white KA7837HO'!CP65+'MAN №4 white KA3597HO'!CP65+'MAN №5 Тент МД'!CF65</f>
        <v>0</v>
      </c>
      <c r="DF65" s="2028">
        <f t="shared" si="140"/>
        <v>0</v>
      </c>
      <c r="DG65" s="3284">
        <f t="shared" si="118"/>
        <v>0</v>
      </c>
      <c r="DH65" s="3295"/>
      <c r="DI65" s="3274">
        <f>ЦО_логистика!CJ65+'Форд Тягач'!DI65+'MAN Blue KA1783HI'!CT65+'MAN green KA2790IE'!CT65+'MAN №3 white KA7837HO'!CT65+'MAN №4 white KA3597HO'!CT65+'MAN №5 Тент МД'!CJ65</f>
        <v>0</v>
      </c>
      <c r="DJ65" s="3274">
        <f>ЦО_логистика!CK65+'Форд Тягач'!DJ65+'MAN Blue KA1783HI'!CU65+'MAN green KA2790IE'!CU65+'MAN №3 white KA7837HO'!CU65+'MAN №4 white KA3597HO'!CU65+'MAN №5 Тент МД'!CK65</f>
        <v>0</v>
      </c>
      <c r="DK65" s="2028">
        <f t="shared" si="141"/>
        <v>0</v>
      </c>
      <c r="DL65" s="3284">
        <f t="shared" si="119"/>
        <v>0</v>
      </c>
      <c r="DM65" s="3295"/>
      <c r="DN65" s="3288">
        <f t="shared" si="142"/>
        <v>0</v>
      </c>
      <c r="DO65" s="3288">
        <f t="shared" si="142"/>
        <v>15940</v>
      </c>
      <c r="DP65" s="2028">
        <f t="shared" si="143"/>
        <v>15940</v>
      </c>
      <c r="DQ65" s="3284">
        <f t="shared" si="75"/>
        <v>6.033065086425626E-4</v>
      </c>
      <c r="DR65" s="3275"/>
      <c r="DS65" s="916"/>
      <c r="DT65" s="916"/>
    </row>
    <row r="66" spans="1:124" s="1411" customFormat="1" ht="13.8" x14ac:dyDescent="0.25">
      <c r="A66" s="1586"/>
      <c r="B66" s="3310" t="s">
        <v>37</v>
      </c>
      <c r="C66" s="3274">
        <v>0</v>
      </c>
      <c r="D66" s="3274">
        <v>0</v>
      </c>
      <c r="E66" s="2028">
        <v>0</v>
      </c>
      <c r="F66" s="3284">
        <v>0</v>
      </c>
      <c r="G66" s="3295"/>
      <c r="H66" s="3274">
        <v>0</v>
      </c>
      <c r="I66" s="3274">
        <v>0</v>
      </c>
      <c r="J66" s="2028">
        <v>0</v>
      </c>
      <c r="K66" s="3284">
        <v>0</v>
      </c>
      <c r="L66" s="3295">
        <v>0</v>
      </c>
      <c r="M66" s="3274">
        <v>0</v>
      </c>
      <c r="N66" s="3274">
        <v>0</v>
      </c>
      <c r="O66" s="2028">
        <v>0</v>
      </c>
      <c r="P66" s="3284">
        <v>0</v>
      </c>
      <c r="Q66" s="3295">
        <v>0</v>
      </c>
      <c r="R66" s="3274">
        <f>'Форд Тягач'!R66+'MAN Blue KA1783HI'!C66+'MAN green KA2790IE'!C66+'MAN №3 white KA7837HO'!C66+'MAN №4 white KA3597HO'!C66</f>
        <v>0</v>
      </c>
      <c r="S66" s="3274">
        <f>'Форд Тягач'!S66+'MAN Blue KA1783HI'!D66+'MAN green KA2790IE'!D66+'MAN №3 white KA7837HO'!D66+'MAN №4 white KA3597HO'!D66+Техника!S66</f>
        <v>0</v>
      </c>
      <c r="T66" s="2028">
        <f t="shared" si="120"/>
        <v>0</v>
      </c>
      <c r="U66" s="3284">
        <f t="shared" si="102"/>
        <v>0</v>
      </c>
      <c r="V66" s="3295"/>
      <c r="W66" s="3274">
        <f>'Форд Тягач'!W66+'MAN Blue KA1783HI'!H66+'MAN green KA2790IE'!H66+'MAN №3 white KA7837HO'!H66+'MAN №4 white KA3597HO'!H66+Техника!W66</f>
        <v>0</v>
      </c>
      <c r="X66" s="3274">
        <f>'Форд Тягач'!X66+'MAN Blue KA1783HI'!I66+'MAN green KA2790IE'!I66+'MAN №3 white KA7837HO'!I66+'MAN №4 white KA3597HO'!I66+2200</f>
        <v>2200</v>
      </c>
      <c r="Y66" s="2028">
        <f t="shared" si="121"/>
        <v>2200</v>
      </c>
      <c r="Z66" s="3284">
        <f t="shared" si="103"/>
        <v>1.6831410763782663E-3</v>
      </c>
      <c r="AA66" s="3421" t="s">
        <v>1201</v>
      </c>
      <c r="AB66" s="3274">
        <f>ЦО_логистика!C66+'Форд Тягач'!AB66+'MAN Blue KA1783HI'!M66+'MAN green KA2790IE'!M66+'MAN №3 white KA7837HO'!M66+'MAN №4 white KA3597HO'!M66+'MAN №5 Тент МД'!C66</f>
        <v>3720</v>
      </c>
      <c r="AC66" s="3274">
        <f>ЦО_логистика!D66+'Форд Тягач'!AC66+'MAN Blue KA1783HI'!N66+'MAN green KA2790IE'!N66+'MAN №3 white KA7837HO'!N66+'MAN №4 white KA3597HO'!N66+'MAN №5 Тент МД'!D66</f>
        <v>1000</v>
      </c>
      <c r="AD66" s="2028">
        <f t="shared" si="122"/>
        <v>4720</v>
      </c>
      <c r="AE66" s="3284">
        <f t="shared" si="2"/>
        <v>3.6926977637642884E-3</v>
      </c>
      <c r="AF66" s="3295"/>
      <c r="AG66" s="3274">
        <f>ЦО_логистика!H66+'Форд Тягач'!AG66+'MAN Blue KA1783HI'!R66+'MAN green KA2790IE'!R66+'MAN №3 white KA7837HO'!R66+'MAN №4 white KA3597HO'!R66+'MAN №5 Тент МД'!H66</f>
        <v>0</v>
      </c>
      <c r="AH66" s="3274">
        <f>ЦО_логистика!I66+'Форд Тягач'!AH66+'MAN Blue KA1783HI'!S66+'MAN green KA2790IE'!S66+'MAN №3 white KA7837HO'!S66+'MAN №4 white KA3597HO'!S66+'MAN №5 Тент МД'!I66</f>
        <v>0</v>
      </c>
      <c r="AI66" s="2028">
        <f t="shared" si="123"/>
        <v>0</v>
      </c>
      <c r="AJ66" s="3284">
        <f t="shared" si="104"/>
        <v>0</v>
      </c>
      <c r="AK66" s="3295"/>
      <c r="AL66" s="3274">
        <f>ЦО_логистика!M66+'Форд Тягач'!AL66+'MAN Blue KA1783HI'!W66+'MAN green KA2790IE'!W66+'MAN №3 white KA7837HO'!W66+'MAN №4 white KA3597HO'!W66+'MAN №5 Тент МД'!M66</f>
        <v>3140</v>
      </c>
      <c r="AM66" s="3274">
        <f>ЦО_логистика!N66+'Форд Тягач'!AM66+'MAN Blue KA1783HI'!X66+'MAN green KA2790IE'!X66+'MAN №3 white KA7837HO'!X66+'MAN №4 white KA3597HO'!X66+'MAN №5 Тент МД'!N66</f>
        <v>0</v>
      </c>
      <c r="AN66" s="2028">
        <f t="shared" si="124"/>
        <v>3140</v>
      </c>
      <c r="AO66" s="3284">
        <f t="shared" si="105"/>
        <v>2.4565828343686156E-3</v>
      </c>
      <c r="AP66" s="3425" t="str">
        <f>CONCATENATE(ЦО_логистика!Q66,'Форд Тягач'!AP66,'MAN Blue KA1783HI'!AA66,'MAN green KA2790IE'!AA66,'MAN №3 white KA7837HO'!AF66,'MAN №4 white KA3597HO'!AA66,'MAN №5 Тент МД'!Q66)</f>
        <v>нотариус</v>
      </c>
      <c r="AQ66" s="3274">
        <f>SUM(ЦО_логистика!R66,'Форд Тягач'!AQ66,'MAN Blue KA1783HI'!AB66,'MAN green KA2790IE'!AB66,'MAN №3 white KA7837HO'!AB66,'MAN №4 white KA3597HO'!AB66,'MAN №5 Тент МД'!R66)</f>
        <v>0</v>
      </c>
      <c r="AR66" s="3274">
        <f>SUM(ЦО_логистика!S66,'Форд Тягач'!AR66,'MAN Blue KA1783HI'!AC66,'MAN green KA2790IE'!AC66,'MAN №3 white KA7837HO'!AC66,'MAN №4 white KA3597HO'!AC66,'MAN №5 Тент МД'!S66)</f>
        <v>0</v>
      </c>
      <c r="AS66" s="2028">
        <f t="shared" si="125"/>
        <v>0</v>
      </c>
      <c r="AT66" s="3284">
        <f t="shared" si="106"/>
        <v>0</v>
      </c>
      <c r="AU66" s="3425" t="str">
        <f>CONCATENATE(ЦО_логистика!V66,'Форд Тягач'!AU66,'MAN Blue KA1783HI'!AF65,'MAN green KA2790IE'!AF66,'MAN №3 white KA7837HO'!AF66,'MAN №4 white KA3597HO'!AF66,'MAN №5 Тент МД'!V66)</f>
        <v/>
      </c>
      <c r="AV66" s="3275">
        <f>+ЦО_логистика!W66+'Форд Тягач'!AV66+'MAN Blue KA1783HI'!AG66+'MAN green KA2790IE'!AG66+'MAN №3 white KA7837HO'!AG66+'MAN №4 white KA3597HO'!AG66+'MAN №5 Тент МД'!W66</f>
        <v>11541.21</v>
      </c>
      <c r="AW66" s="3275">
        <f>+ЦО_логистика!X66+'Форд Тягач'!AW66+'MAN Blue KA1783HI'!AH66+'MAN green KA2790IE'!AH66+'MAN №3 white KA7837HO'!AH66+'MAN №4 white KA3597HO'!AH66+'MAN №5 Тент МД'!X66</f>
        <v>0</v>
      </c>
      <c r="AX66" s="2028">
        <f t="shared" si="126"/>
        <v>11541.21</v>
      </c>
      <c r="AY66" s="3284">
        <f t="shared" si="107"/>
        <v>9.0292797368928049E-3</v>
      </c>
      <c r="AZ66" s="3275"/>
      <c r="BA66" s="3275">
        <f t="shared" si="127"/>
        <v>0</v>
      </c>
      <c r="BB66" s="3275">
        <f t="shared" si="127"/>
        <v>0</v>
      </c>
      <c r="BC66" s="2028">
        <f t="shared" si="128"/>
        <v>0</v>
      </c>
      <c r="BD66" s="3284">
        <f t="shared" si="108"/>
        <v>0</v>
      </c>
      <c r="BE66" s="3275">
        <f>ЦО_логистика!AD66+'Форд Тягач'!BC66+'MAN Blue KA1783HI'!AN66+'MAN green KA2790IE'!AN66+'MAN №3 white KA7837HO'!AN66+'MAN №4 white KA3597HO'!AN66+'MAN №5 Тент МД'!AD66-BC66</f>
        <v>0</v>
      </c>
      <c r="BF66" s="3274">
        <f>ЦО_логистика!AG66+'Форд Тягач'!BF66+'MAN Blue KA1783HI'!AQ66+'MAN green KA2790IE'!AQ66+'MAN №3 white KA7837HO'!AQ66+'MAN №4 white KA3597HO'!AQ66+'MAN №5 Тент МД'!AG66</f>
        <v>0</v>
      </c>
      <c r="BG66" s="3274">
        <f>ЦО_логистика!AH66+'Форд Тягач'!BG66+'MAN Blue KA1783HI'!AR66+'MAN green KA2790IE'!AR66+'MAN №3 white KA7837HO'!AR66+'MAN №4 white KA3597HO'!AR66+'MAN №5 Тент МД'!AH66</f>
        <v>0</v>
      </c>
      <c r="BH66" s="2028">
        <f t="shared" si="129"/>
        <v>0</v>
      </c>
      <c r="BI66" s="3284">
        <f t="shared" si="109"/>
        <v>0</v>
      </c>
      <c r="BJ66" s="3275"/>
      <c r="BK66" s="3275">
        <f>ЦО_логистика!AL66+'Форд Тягач'!BK66+'MAN Blue KA1783HI'!AV66+'MAN green KA2790IE'!AV66+'MAN №3 white KA7837HO'!AV66+'MAN №4 white KA3597HO'!AV66+'MAN №5 Тент МД'!AL66</f>
        <v>0</v>
      </c>
      <c r="BL66" s="3275">
        <f>ЦО_логистика!AM66+'Форд Тягач'!BL66+'MAN Blue KA1783HI'!AW66+'MAN green KA2790IE'!AW66+'MAN №3 white KA7837HO'!AW66+'MAN №4 white KA3597HO'!AW66+'MAN №5 Тент МД'!AM66</f>
        <v>0</v>
      </c>
      <c r="BM66" s="2028">
        <f t="shared" si="130"/>
        <v>0</v>
      </c>
      <c r="BN66" s="3284">
        <f t="shared" si="131"/>
        <v>0</v>
      </c>
      <c r="BO66" s="3275"/>
      <c r="BP66" s="3274">
        <f>ЦО_логистика!AQ66+'Форд Тягач'!BP66+'MAN Blue KA1783HI'!BA66+'MAN green KA2790IE'!BA66+'MAN №3 white KA7837HO'!BA66+'MAN №4 white KA3597HO'!BA66+'MAN №5 Тент МД'!AQ66</f>
        <v>0</v>
      </c>
      <c r="BQ66" s="3274">
        <f>ЦО_логистика!AR66+'Форд Тягач'!BQ66+'MAN Blue KA1783HI'!BB66+'MAN green KA2790IE'!BB66+'MAN №3 white KA7837HO'!BB66+'MAN №4 white KA3597HO'!BB66+'MAN №5 Тент МД'!AR66</f>
        <v>0</v>
      </c>
      <c r="BR66" s="2028">
        <f t="shared" si="132"/>
        <v>0</v>
      </c>
      <c r="BS66" s="3284">
        <f t="shared" si="110"/>
        <v>0</v>
      </c>
      <c r="BT66" s="3295"/>
      <c r="BU66" s="3274">
        <f>ЦО_логистика!AV66+'Форд Тягач'!BU66+'MAN Blue KA1783HI'!BF66+'MAN green KA2790IE'!BF66+'MAN №3 white KA7837HO'!BF66+'MAN №4 white KA3597HO'!BF66+'MAN №5 Тент МД'!AV66</f>
        <v>0</v>
      </c>
      <c r="BV66" s="3274">
        <f>ЦО_логистика!AW66+'Форд Тягач'!BV66+'MAN Blue KA1783HI'!BG66+'MAN green KA2790IE'!BG66+'MAN №3 white KA7837HO'!BG66+'MAN №4 white KA3597HO'!BG66+'MAN №5 Тент МД'!AW66</f>
        <v>0</v>
      </c>
      <c r="BW66" s="2028">
        <f t="shared" si="133"/>
        <v>0</v>
      </c>
      <c r="BX66" s="3284">
        <f t="shared" si="111"/>
        <v>0</v>
      </c>
      <c r="BY66" s="3295"/>
      <c r="BZ66" s="3274">
        <f>ЦО_логистика!BA66+'Форд Тягач'!BZ66+'MAN Blue KA1783HI'!BK66+'MAN green KA2790IE'!BK66+'MAN №3 white KA7837HO'!BK66+'MAN №4 white KA3597HO'!BK66+'MAN №5 Тент МД'!BA66</f>
        <v>0</v>
      </c>
      <c r="CA66" s="3274">
        <f>ЦО_логистика!BB66+'Форд Тягач'!CA66+'MAN Blue KA1783HI'!BL66+'MAN green KA2790IE'!BL66+'MAN №3 white KA7837HO'!BL66+'MAN №4 white KA3597HO'!BL66+'MAN №5 Тент МД'!BB66</f>
        <v>0</v>
      </c>
      <c r="CB66" s="2028">
        <f t="shared" si="134"/>
        <v>0</v>
      </c>
      <c r="CC66" s="3284">
        <f t="shared" si="112"/>
        <v>0</v>
      </c>
      <c r="CD66" s="3295"/>
      <c r="CE66" s="3274">
        <f>ЦО_логистика!BF66+'Форд Тягач'!CE66+'MAN Blue KA1783HI'!BP66+'MAN green KA2790IE'!BP66+'MAN №3 white KA7837HO'!BP66+'MAN №4 white KA3597HO'!BP66+'MAN №5 Тент МД'!BF66</f>
        <v>0</v>
      </c>
      <c r="CF66" s="3274">
        <f>ЦО_логистика!BG66+'Форд Тягач'!CF66+'MAN Blue KA1783HI'!BQ66+'MAN green KA2790IE'!BQ66+'MAN №3 white KA7837HO'!BQ66+'MAN №4 white KA3597HO'!BQ66+'MAN №5 Тент МД'!BG66</f>
        <v>0</v>
      </c>
      <c r="CG66" s="2028">
        <f t="shared" si="135"/>
        <v>0</v>
      </c>
      <c r="CH66" s="3284">
        <f t="shared" si="113"/>
        <v>0</v>
      </c>
      <c r="CI66" s="3295"/>
      <c r="CJ66" s="3274">
        <f>ЦО_логистика!BK66+'Форд Тягач'!CJ66+'MAN Blue KA1783HI'!BU66+'MAN green KA2790IE'!BU66+'MAN №3 white KA7837HO'!BU66+'MAN №4 white KA3597HO'!BU66+'MAN №5 Тент МД'!BK66</f>
        <v>0</v>
      </c>
      <c r="CK66" s="3274">
        <f>ЦО_логистика!BL66+'Форд Тягач'!CK66+'MAN Blue KA1783HI'!BV66+'MAN green KA2790IE'!BV66+'MAN №3 white KA7837HO'!BV66+'MAN №4 white KA3597HO'!BV66+'MAN №5 Тент МД'!BL66</f>
        <v>0</v>
      </c>
      <c r="CL66" s="2028">
        <f t="shared" si="136"/>
        <v>0</v>
      </c>
      <c r="CM66" s="3284">
        <f t="shared" si="114"/>
        <v>0</v>
      </c>
      <c r="CN66" s="3295"/>
      <c r="CO66" s="3274">
        <f>ЦО_логистика!BP66+'Форд Тягач'!CO66+'MAN Blue KA1783HI'!BZ66+'MAN green KA2790IE'!BZ66+'MAN №3 white KA7837HO'!BZ66+'MAN №4 white KA3597HO'!BZ66+'MAN №5 Тент МД'!BP66</f>
        <v>0</v>
      </c>
      <c r="CP66" s="3274">
        <f>ЦО_логистика!BQ66+'Форд Тягач'!CP66+'MAN Blue KA1783HI'!CA66+'MAN green KA2790IE'!CA66+'MAN №3 white KA7837HO'!CA66+'MAN №4 white KA3597HO'!CA66+'MAN №5 Тент МД'!BQ66</f>
        <v>0</v>
      </c>
      <c r="CQ66" s="2028">
        <f t="shared" si="137"/>
        <v>0</v>
      </c>
      <c r="CR66" s="3284">
        <f t="shared" si="115"/>
        <v>0</v>
      </c>
      <c r="CS66" s="3295"/>
      <c r="CT66" s="3274">
        <f>ЦО_логистика!BU66+'Форд Тягач'!CT66+'MAN Blue KA1783HI'!CE66+'MAN green KA2790IE'!CE66+'MAN №3 white KA7837HO'!CE66+'MAN №4 white KA3597HO'!CE66+'MAN №5 Тент МД'!BU66</f>
        <v>0</v>
      </c>
      <c r="CU66" s="3274">
        <f>ЦО_логистика!BV66+'Форд Тягач'!CU66+'MAN Blue KA1783HI'!CF66+'MAN green KA2790IE'!CF66+'MAN №3 white KA7837HO'!CF66+'MAN №4 white KA3597HO'!CF66+'MAN №5 Тент МД'!BV66</f>
        <v>0</v>
      </c>
      <c r="CV66" s="2028">
        <f t="shared" si="138"/>
        <v>0</v>
      </c>
      <c r="CW66" s="3284">
        <f t="shared" si="116"/>
        <v>0</v>
      </c>
      <c r="CX66" s="3295"/>
      <c r="CY66" s="3274">
        <f>ЦО_логистика!BZ66+'Форд Тягач'!CY66+'MAN Blue KA1783HI'!CJ66+'MAN green KA2790IE'!CJ66+'MAN №3 white KA7837HO'!CJ66+'MAN №4 white KA3597HO'!CJ66+'MAN №5 Тент МД'!BZ66</f>
        <v>0</v>
      </c>
      <c r="CZ66" s="3274">
        <f>ЦО_логистика!CA66+'Форд Тягач'!CZ66+'MAN Blue KA1783HI'!CK66+'MAN green KA2790IE'!CK66+'MAN №3 white KA7837HO'!CK66+'MAN №4 white KA3597HO'!CK66+'MAN №5 Тент МД'!CA66</f>
        <v>0</v>
      </c>
      <c r="DA66" s="2028">
        <f t="shared" si="139"/>
        <v>0</v>
      </c>
      <c r="DB66" s="3284">
        <f t="shared" si="117"/>
        <v>0</v>
      </c>
      <c r="DC66" s="3295"/>
      <c r="DD66" s="3274">
        <f>ЦО_логистика!CE66+'Форд Тягач'!DD66+'MAN Blue KA1783HI'!CO66+'MAN green KA2790IE'!CO66+'MAN №3 white KA7837HO'!CO66+'MAN №4 white KA3597HO'!CO66+'MAN №5 Тент МД'!CE66</f>
        <v>0</v>
      </c>
      <c r="DE66" s="3274">
        <f>ЦО_логистика!CF66+'Форд Тягач'!DE66+'MAN Blue KA1783HI'!CP66+'MAN green KA2790IE'!CP66+'MAN №3 white KA7837HO'!CP66+'MAN №4 white KA3597HO'!CP66+'MAN №5 Тент МД'!CF66</f>
        <v>0</v>
      </c>
      <c r="DF66" s="2028">
        <f t="shared" si="140"/>
        <v>0</v>
      </c>
      <c r="DG66" s="3284">
        <f t="shared" si="118"/>
        <v>0</v>
      </c>
      <c r="DH66" s="3295"/>
      <c r="DI66" s="3274">
        <f>ЦО_логистика!CJ66+'Форд Тягач'!DI66+'MAN Blue KA1783HI'!CT66+'MAN green KA2790IE'!CT66+'MAN №3 white KA7837HO'!CT66+'MAN №4 white KA3597HO'!CT66+'MAN №5 Тент МД'!CJ66</f>
        <v>0</v>
      </c>
      <c r="DJ66" s="3274">
        <f>ЦО_логистика!CK66+'Форд Тягач'!DJ66+'MAN Blue KA1783HI'!CU66+'MAN green KA2790IE'!CU66+'MAN №3 white KA7837HO'!CU66+'MAN №4 white KA3597HO'!CU66+'MAN №5 Тент МД'!CK66</f>
        <v>0</v>
      </c>
      <c r="DK66" s="2028">
        <f t="shared" si="141"/>
        <v>0</v>
      </c>
      <c r="DL66" s="3284">
        <f t="shared" si="119"/>
        <v>0</v>
      </c>
      <c r="DM66" s="3295"/>
      <c r="DN66" s="3288">
        <f t="shared" si="142"/>
        <v>18401.21</v>
      </c>
      <c r="DO66" s="3288">
        <f t="shared" si="142"/>
        <v>3200</v>
      </c>
      <c r="DP66" s="2028">
        <f t="shared" si="143"/>
        <v>21601.21</v>
      </c>
      <c r="DQ66" s="3284">
        <f t="shared" si="75"/>
        <v>8.1757531916905953E-4</v>
      </c>
      <c r="DR66" s="3275"/>
      <c r="DS66" s="916"/>
      <c r="DT66" s="916"/>
    </row>
    <row r="67" spans="1:124" s="1411" customFormat="1" ht="41.4" x14ac:dyDescent="0.25">
      <c r="A67" s="1586"/>
      <c r="B67" s="3310" t="s">
        <v>3</v>
      </c>
      <c r="C67" s="3274">
        <v>0</v>
      </c>
      <c r="D67" s="3274">
        <v>0</v>
      </c>
      <c r="E67" s="2028">
        <v>0</v>
      </c>
      <c r="F67" s="3284">
        <v>0</v>
      </c>
      <c r="G67" s="3295"/>
      <c r="H67" s="3274">
        <v>0</v>
      </c>
      <c r="I67" s="3274">
        <v>0</v>
      </c>
      <c r="J67" s="2028">
        <v>0</v>
      </c>
      <c r="K67" s="3284">
        <v>0</v>
      </c>
      <c r="L67" s="3295">
        <v>0</v>
      </c>
      <c r="M67" s="3274">
        <v>0</v>
      </c>
      <c r="N67" s="3274">
        <v>0</v>
      </c>
      <c r="O67" s="2028">
        <v>0</v>
      </c>
      <c r="P67" s="3284">
        <v>0</v>
      </c>
      <c r="Q67" s="3295">
        <v>0</v>
      </c>
      <c r="R67" s="3274">
        <f>'Форд Тягач'!R67+'MAN Blue KA1783HI'!C67+'MAN green KA2790IE'!C67+'MAN №3 white KA7837HO'!C67+'MAN №4 white KA3597HO'!C67+445</f>
        <v>445</v>
      </c>
      <c r="S67" s="3274">
        <f>'Форд Тягач'!S67+'MAN Blue KA1783HI'!D67+'MAN green KA2790IE'!D67+'MAN №3 white KA7837HO'!D67+'MAN №4 white KA3597HO'!D67</f>
        <v>0</v>
      </c>
      <c r="T67" s="2028">
        <f t="shared" si="120"/>
        <v>445</v>
      </c>
      <c r="U67" s="3284">
        <f t="shared" si="102"/>
        <v>3.404535359037857E-4</v>
      </c>
      <c r="V67" s="3295" t="s">
        <v>1117</v>
      </c>
      <c r="W67" s="3274">
        <f>'Форд Тягач'!W67+'MAN Blue KA1783HI'!H67+'MAN green KA2790IE'!H67+'MAN №3 white KA7837HO'!H67+'MAN №4 white KA3597HO'!H67+1666.66</f>
        <v>1666.66</v>
      </c>
      <c r="X67" s="3274">
        <f>'Форд Тягач'!X67+'MAN Blue KA1783HI'!I67+'MAN green KA2790IE'!I67+'MAN №3 white KA7837HO'!I67+'MAN №4 white KA3597HO'!I67+Техника!X67</f>
        <v>0</v>
      </c>
      <c r="Y67" s="2028">
        <f t="shared" si="121"/>
        <v>1666.66</v>
      </c>
      <c r="Z67" s="3284">
        <f t="shared" si="103"/>
        <v>1.2751017756166372E-3</v>
      </c>
      <c r="AA67" s="3421" t="s">
        <v>1202</v>
      </c>
      <c r="AB67" s="3274">
        <f>ЦО_логистика!C67+'Форд Тягач'!AB67+'MAN Blue KA1783HI'!M67+'MAN green KA2790IE'!M67+'MAN №3 white KA7837HO'!M67+'MAN №4 white KA3597HO'!M67+'MAN №5 Тент МД'!C67</f>
        <v>0</v>
      </c>
      <c r="AC67" s="3274">
        <f>ЦО_логистика!D67+'Форд Тягач'!AC67+'MAN Blue KA1783HI'!N67+'MAN green KA2790IE'!N67+'MAN №3 white KA7837HO'!N67+'MAN №4 white KA3597HO'!N67+'MAN №5 Тент МД'!D67</f>
        <v>0</v>
      </c>
      <c r="AD67" s="2028">
        <f t="shared" si="122"/>
        <v>0</v>
      </c>
      <c r="AE67" s="3284">
        <f t="shared" si="2"/>
        <v>0</v>
      </c>
      <c r="AF67" s="3295"/>
      <c r="AG67" s="3274">
        <f>ЦО_логистика!H67+'Форд Тягач'!AG67+'MAN Blue KA1783HI'!R67+'MAN green KA2790IE'!R67+'MAN №3 white KA7837HO'!R67+'MAN №4 white KA3597HO'!R67+'MAN №5 Тент МД'!H67</f>
        <v>8319</v>
      </c>
      <c r="AH67" s="3274">
        <f>ЦО_логистика!I67+'Форд Тягач'!AH67+'MAN Blue KA1783HI'!S67+'MAN green KA2790IE'!S67+'MAN №3 white KA7837HO'!S67+'MAN №4 white KA3597HO'!S67+'MAN №5 Тент МД'!I67</f>
        <v>0</v>
      </c>
      <c r="AI67" s="2028">
        <f t="shared" si="123"/>
        <v>8319</v>
      </c>
      <c r="AJ67" s="3284">
        <f t="shared" si="104"/>
        <v>6.5083798086345585E-3</v>
      </c>
      <c r="AK67" s="3275" t="s">
        <v>1324</v>
      </c>
      <c r="AL67" s="3274">
        <f>ЦО_логистика!M67+'Форд Тягач'!AL67+'MAN Blue KA1783HI'!W67+'MAN green KA2790IE'!W67+'MAN №3 white KA7837HO'!W67+'MAN №4 white KA3597HO'!W67+'MAN №5 Тент МД'!M67</f>
        <v>944.5</v>
      </c>
      <c r="AM67" s="3274">
        <f>ЦО_логистика!N67+'Форд Тягач'!AM67+'MAN Blue KA1783HI'!X67+'MAN green KA2790IE'!X67+'MAN №3 white KA7837HO'!X67+'MAN №4 white KA3597HO'!X67+'MAN №5 Тент МД'!N67</f>
        <v>0</v>
      </c>
      <c r="AN67" s="2028">
        <f t="shared" si="124"/>
        <v>944.5</v>
      </c>
      <c r="AO67" s="3284">
        <f t="shared" si="105"/>
        <v>7.3893072836342594E-4</v>
      </c>
      <c r="AP67" s="3425" t="str">
        <f>CONCATENATE(ЦО_логистика!Q67,'Форд Тягач'!AP67,'MAN Blue KA1783HI'!AA67,'MAN green KA2790IE'!AA67,'MAN №3 white KA7837HO'!AF67,'MAN №4 white KA3597HO'!AA67,'MAN №5 Тент МД'!Q67)</f>
        <v>ворк и работа 1/2</v>
      </c>
      <c r="AQ67" s="3274">
        <f>SUM(ЦО_логистика!R67,'Форд Тягач'!AQ67,'MAN Blue KA1783HI'!AB67,'MAN green KA2790IE'!AB67,'MAN №3 white KA7837HO'!AB67,'MAN №4 white KA3597HO'!AB67,'MAN №5 Тент МД'!R67)</f>
        <v>0</v>
      </c>
      <c r="AR67" s="3274">
        <f>SUM(ЦО_логистика!S67,'Форд Тягач'!AR67,'MAN Blue KA1783HI'!AC67,'MAN green KA2790IE'!AC67,'MAN №3 white KA7837HO'!AC67,'MAN №4 white KA3597HO'!AC67,'MAN №5 Тент МД'!S67)</f>
        <v>0</v>
      </c>
      <c r="AS67" s="2028">
        <f t="shared" si="125"/>
        <v>0</v>
      </c>
      <c r="AT67" s="3284">
        <f t="shared" si="106"/>
        <v>0</v>
      </c>
      <c r="AU67" s="3425" t="str">
        <f>CONCATENATE(ЦО_логистика!V67,'Форд Тягач'!AU67,'MAN Blue KA1783HI'!AF66,'MAN green KA2790IE'!AF67,'MAN №3 white KA7837HO'!AF67,'MAN №4 white KA3597HO'!AF67,'MAN №5 Тент МД'!V67)</f>
        <v/>
      </c>
      <c r="AV67" s="3275">
        <f>+ЦО_логистика!W67+'Форд Тягач'!AV67+'MAN Blue KA1783HI'!AG67+'MAN green KA2790IE'!AG67+'MAN №3 white KA7837HO'!AG67+'MAN №4 white KA3597HO'!AG67+'MAN №5 Тент МД'!W67</f>
        <v>800</v>
      </c>
      <c r="AW67" s="3275">
        <f>+ЦО_логистика!X67+'Форд Тягач'!AW67+'MAN Blue KA1783HI'!AH67+'MAN green KA2790IE'!AH67+'MAN №3 white KA7837HO'!AH67+'MAN №4 white KA3597HO'!AH67+'MAN №5 Тент МД'!X67</f>
        <v>0</v>
      </c>
      <c r="AX67" s="2028">
        <f t="shared" si="126"/>
        <v>800</v>
      </c>
      <c r="AY67" s="3284">
        <f t="shared" si="107"/>
        <v>6.2588097690920142E-4</v>
      </c>
      <c r="AZ67" s="3275"/>
      <c r="BA67" s="3275">
        <f t="shared" si="127"/>
        <v>0</v>
      </c>
      <c r="BB67" s="3275">
        <f t="shared" si="127"/>
        <v>0</v>
      </c>
      <c r="BC67" s="2028">
        <f t="shared" si="128"/>
        <v>0</v>
      </c>
      <c r="BD67" s="3284">
        <f t="shared" si="108"/>
        <v>0</v>
      </c>
      <c r="BE67" s="3275">
        <f>ЦО_логистика!AD67+'Форд Тягач'!BC67+'MAN Blue KA1783HI'!AN67+'MAN green KA2790IE'!AN67+'MAN №3 white KA7837HO'!AN67+'MAN №4 white KA3597HO'!AN67+'MAN №5 Тент МД'!AD67-BC67</f>
        <v>0</v>
      </c>
      <c r="BF67" s="3274">
        <f>ЦО_логистика!AG67+'Форд Тягач'!BF67+'MAN Blue KA1783HI'!AQ67+'MAN green KA2790IE'!AQ67+'MAN №3 white KA7837HO'!AQ67+'MAN №4 white KA3597HO'!AQ67+'MAN №5 Тент МД'!AG67</f>
        <v>0</v>
      </c>
      <c r="BG67" s="3274">
        <f>ЦО_логистика!AH67+'Форд Тягач'!BG67+'MAN Blue KA1783HI'!AR67+'MAN green KA2790IE'!AR67+'MAN №3 white KA7837HO'!AR67+'MAN №4 white KA3597HO'!AR67+'MAN №5 Тент МД'!AH67</f>
        <v>0</v>
      </c>
      <c r="BH67" s="2028">
        <f t="shared" si="129"/>
        <v>0</v>
      </c>
      <c r="BI67" s="3284">
        <f t="shared" si="109"/>
        <v>0</v>
      </c>
      <c r="BJ67" s="3275"/>
      <c r="BK67" s="3275">
        <f>ЦО_логистика!AL67+'Форд Тягач'!BK67+'MAN Blue KA1783HI'!AV67+'MAN green KA2790IE'!AV67+'MAN №3 white KA7837HO'!AV67+'MAN №4 white KA3597HO'!AV67+'MAN №5 Тент МД'!AL67</f>
        <v>0</v>
      </c>
      <c r="BL67" s="3275">
        <f>ЦО_логистика!AM67+'Форд Тягач'!BL67+'MAN Blue KA1783HI'!AW67+'MAN green KA2790IE'!AW67+'MAN №3 white KA7837HO'!AW67+'MAN №4 white KA3597HO'!AW67+'MAN №5 Тент МД'!AM67</f>
        <v>0</v>
      </c>
      <c r="BM67" s="2028">
        <f t="shared" si="130"/>
        <v>0</v>
      </c>
      <c r="BN67" s="3284">
        <f t="shared" si="131"/>
        <v>0</v>
      </c>
      <c r="BO67" s="3275"/>
      <c r="BP67" s="3274">
        <f>ЦО_логистика!AQ67+'Форд Тягач'!BP67+'MAN Blue KA1783HI'!BA67+'MAN green KA2790IE'!BA67+'MAN №3 white KA7837HO'!BA67+'MAN №4 white KA3597HO'!BA67+'MAN №5 Тент МД'!AQ67</f>
        <v>0</v>
      </c>
      <c r="BQ67" s="3274">
        <f>ЦО_логистика!AR67+'Форд Тягач'!BQ67+'MAN Blue KA1783HI'!BB67+'MAN green KA2790IE'!BB67+'MAN №3 white KA7837HO'!BB67+'MAN №4 white KA3597HO'!BB67+'MAN №5 Тент МД'!AR67</f>
        <v>0</v>
      </c>
      <c r="BR67" s="2028">
        <f t="shared" si="132"/>
        <v>0</v>
      </c>
      <c r="BS67" s="3284">
        <f t="shared" si="110"/>
        <v>0</v>
      </c>
      <c r="BT67" s="3295"/>
      <c r="BU67" s="3274">
        <f>ЦО_логистика!AV67+'Форд Тягач'!BU67+'MAN Blue KA1783HI'!BF67+'MAN green KA2790IE'!BF67+'MAN №3 white KA7837HO'!BF67+'MAN №4 white KA3597HO'!BF67+'MAN №5 Тент МД'!AV67</f>
        <v>0</v>
      </c>
      <c r="BV67" s="3274">
        <f>ЦО_логистика!AW67+'Форд Тягач'!BV67+'MAN Blue KA1783HI'!BG67+'MAN green KA2790IE'!BG67+'MAN №3 white KA7837HO'!BG67+'MAN №4 white KA3597HO'!BG67+'MAN №5 Тент МД'!AW67</f>
        <v>0</v>
      </c>
      <c r="BW67" s="2028">
        <f t="shared" si="133"/>
        <v>0</v>
      </c>
      <c r="BX67" s="3284">
        <f t="shared" si="111"/>
        <v>0</v>
      </c>
      <c r="BY67" s="3295"/>
      <c r="BZ67" s="3274">
        <f>ЦО_логистика!BA67+'Форд Тягач'!BZ67+'MAN Blue KA1783HI'!BK67+'MAN green KA2790IE'!BK67+'MAN №3 white KA7837HO'!BK67+'MAN №4 white KA3597HO'!BK67+'MAN №5 Тент МД'!BA67</f>
        <v>0</v>
      </c>
      <c r="CA67" s="3274">
        <f>ЦО_логистика!BB67+'Форд Тягач'!CA67+'MAN Blue KA1783HI'!BL67+'MAN green KA2790IE'!BL67+'MAN №3 white KA7837HO'!BL67+'MAN №4 white KA3597HO'!BL67+'MAN №5 Тент МД'!BB67</f>
        <v>0</v>
      </c>
      <c r="CB67" s="2028">
        <f t="shared" si="134"/>
        <v>0</v>
      </c>
      <c r="CC67" s="3284">
        <f t="shared" si="112"/>
        <v>0</v>
      </c>
      <c r="CD67" s="3295"/>
      <c r="CE67" s="3274">
        <f>ЦО_логистика!BF67+'Форд Тягач'!CE67+'MAN Blue KA1783HI'!BP67+'MAN green KA2790IE'!BP67+'MAN №3 white KA7837HO'!BP67+'MAN №4 white KA3597HO'!BP67+'MAN №5 Тент МД'!BF67</f>
        <v>0</v>
      </c>
      <c r="CF67" s="3274">
        <f>ЦО_логистика!BG67+'Форд Тягач'!CF67+'MAN Blue KA1783HI'!BQ67+'MAN green KA2790IE'!BQ67+'MAN №3 white KA7837HO'!BQ67+'MAN №4 white KA3597HO'!BQ67+'MAN №5 Тент МД'!BG67</f>
        <v>0</v>
      </c>
      <c r="CG67" s="2028">
        <f t="shared" si="135"/>
        <v>0</v>
      </c>
      <c r="CH67" s="3284">
        <f t="shared" si="113"/>
        <v>0</v>
      </c>
      <c r="CI67" s="3295"/>
      <c r="CJ67" s="3274">
        <f>ЦО_логистика!BK67+'Форд Тягач'!CJ67+'MAN Blue KA1783HI'!BU67+'MAN green KA2790IE'!BU67+'MAN №3 white KA7837HO'!BU67+'MAN №4 white KA3597HO'!BU67+'MAN №5 Тент МД'!BK67</f>
        <v>0</v>
      </c>
      <c r="CK67" s="3274">
        <f>ЦО_логистика!BL67+'Форд Тягач'!CK67+'MAN Blue KA1783HI'!BV67+'MAN green KA2790IE'!BV67+'MAN №3 white KA7837HO'!BV67+'MAN №4 white KA3597HO'!BV67+'MAN №5 Тент МД'!BL67</f>
        <v>0</v>
      </c>
      <c r="CL67" s="2028">
        <f t="shared" si="136"/>
        <v>0</v>
      </c>
      <c r="CM67" s="3284">
        <f t="shared" si="114"/>
        <v>0</v>
      </c>
      <c r="CN67" s="3295"/>
      <c r="CO67" s="3274">
        <f>ЦО_логистика!BP67+'Форд Тягач'!CO67+'MAN Blue KA1783HI'!BZ67+'MAN green KA2790IE'!BZ67+'MAN №3 white KA7837HO'!BZ67+'MAN №4 white KA3597HO'!BZ67+'MAN №5 Тент МД'!BP67</f>
        <v>0</v>
      </c>
      <c r="CP67" s="3274">
        <f>ЦО_логистика!BQ67+'Форд Тягач'!CP67+'MAN Blue KA1783HI'!CA67+'MAN green KA2790IE'!CA67+'MAN №3 white KA7837HO'!CA67+'MAN №4 white KA3597HO'!CA67+'MAN №5 Тент МД'!BQ67</f>
        <v>0</v>
      </c>
      <c r="CQ67" s="2028">
        <f t="shared" si="137"/>
        <v>0</v>
      </c>
      <c r="CR67" s="3284">
        <f t="shared" si="115"/>
        <v>0</v>
      </c>
      <c r="CS67" s="3295"/>
      <c r="CT67" s="3274">
        <f>ЦО_логистика!BU67+'Форд Тягач'!CT67+'MAN Blue KA1783HI'!CE67+'MAN green KA2790IE'!CE67+'MAN №3 white KA7837HO'!CE67+'MAN №4 white KA3597HO'!CE67+'MAN №5 Тент МД'!BU67</f>
        <v>0</v>
      </c>
      <c r="CU67" s="3274">
        <f>ЦО_логистика!BV67+'Форд Тягач'!CU67+'MAN Blue KA1783HI'!CF67+'MAN green KA2790IE'!CF67+'MAN №3 white KA7837HO'!CF67+'MAN №4 white KA3597HO'!CF67+'MAN №5 Тент МД'!BV67</f>
        <v>0</v>
      </c>
      <c r="CV67" s="2028">
        <f t="shared" si="138"/>
        <v>0</v>
      </c>
      <c r="CW67" s="3284">
        <f t="shared" si="116"/>
        <v>0</v>
      </c>
      <c r="CX67" s="3295"/>
      <c r="CY67" s="3274">
        <f>ЦО_логистика!BZ67+'Форд Тягач'!CY67+'MAN Blue KA1783HI'!CJ67+'MAN green KA2790IE'!CJ67+'MAN №3 white KA7837HO'!CJ67+'MAN №4 white KA3597HO'!CJ67+'MAN №5 Тент МД'!BZ67</f>
        <v>0</v>
      </c>
      <c r="CZ67" s="3274">
        <f>ЦО_логистика!CA67+'Форд Тягач'!CZ67+'MAN Blue KA1783HI'!CK67+'MAN green KA2790IE'!CK67+'MAN №3 white KA7837HO'!CK67+'MAN №4 white KA3597HO'!CK67+'MAN №5 Тент МД'!CA67</f>
        <v>0</v>
      </c>
      <c r="DA67" s="2028">
        <f t="shared" si="139"/>
        <v>0</v>
      </c>
      <c r="DB67" s="3284">
        <f t="shared" si="117"/>
        <v>0</v>
      </c>
      <c r="DC67" s="3295"/>
      <c r="DD67" s="3274">
        <f>ЦО_логистика!CE67+'Форд Тягач'!DD67+'MAN Blue KA1783HI'!CO67+'MAN green KA2790IE'!CO67+'MAN №3 white KA7837HO'!CO67+'MAN №4 white KA3597HO'!CO67+'MAN №5 Тент МД'!CE67</f>
        <v>0</v>
      </c>
      <c r="DE67" s="3274">
        <f>ЦО_логистика!CF67+'Форд Тягач'!DE67+'MAN Blue KA1783HI'!CP67+'MAN green KA2790IE'!CP67+'MAN №3 white KA7837HO'!CP67+'MAN №4 white KA3597HO'!CP67+'MAN №5 Тент МД'!CF67</f>
        <v>0</v>
      </c>
      <c r="DF67" s="2028">
        <f t="shared" si="140"/>
        <v>0</v>
      </c>
      <c r="DG67" s="3284">
        <f t="shared" si="118"/>
        <v>0</v>
      </c>
      <c r="DH67" s="3295"/>
      <c r="DI67" s="3274">
        <f>ЦО_логистика!CJ67+'Форд Тягач'!DI67+'MAN Blue KA1783HI'!CT67+'MAN green KA2790IE'!CT67+'MAN №3 white KA7837HO'!CT67+'MAN №4 white KA3597HO'!CT67+'MAN №5 Тент МД'!CJ67</f>
        <v>0</v>
      </c>
      <c r="DJ67" s="3274">
        <f>ЦО_логистика!CK67+'Форд Тягач'!DJ67+'MAN Blue KA1783HI'!CU67+'MAN green KA2790IE'!CU67+'MAN №3 white KA7837HO'!CU67+'MAN №4 white KA3597HO'!CU67+'MAN №5 Тент МД'!CK67</f>
        <v>0</v>
      </c>
      <c r="DK67" s="2028">
        <f t="shared" si="141"/>
        <v>0</v>
      </c>
      <c r="DL67" s="3284">
        <f t="shared" si="119"/>
        <v>0</v>
      </c>
      <c r="DM67" s="3295"/>
      <c r="DN67" s="3288">
        <f t="shared" si="142"/>
        <v>12175.16</v>
      </c>
      <c r="DO67" s="3288">
        <f t="shared" si="142"/>
        <v>0</v>
      </c>
      <c r="DP67" s="2028">
        <f t="shared" si="143"/>
        <v>12175.16</v>
      </c>
      <c r="DQ67" s="3284">
        <f t="shared" si="75"/>
        <v>4.6081262683592112E-4</v>
      </c>
      <c r="DR67" s="3275"/>
      <c r="DS67" s="916"/>
      <c r="DT67" s="916"/>
    </row>
    <row r="68" spans="1:124" s="1411" customFormat="1" ht="27.6" x14ac:dyDescent="0.25">
      <c r="A68" s="1586"/>
      <c r="B68" s="3310" t="s">
        <v>5</v>
      </c>
      <c r="C68" s="3274">
        <v>0</v>
      </c>
      <c r="D68" s="3274">
        <v>1149.8300000000002</v>
      </c>
      <c r="E68" s="2028">
        <v>1149.8300000000002</v>
      </c>
      <c r="F68" s="3284">
        <v>1.8389682260662838E-3</v>
      </c>
      <c r="G68" s="3295"/>
      <c r="H68" s="3274">
        <v>0</v>
      </c>
      <c r="I68" s="3274">
        <v>23.97</v>
      </c>
      <c r="J68" s="2028">
        <v>23.97</v>
      </c>
      <c r="K68" s="3284">
        <v>1.9901089963417367E-4</v>
      </c>
      <c r="L68" s="3295">
        <v>0</v>
      </c>
      <c r="M68" s="3274">
        <v>0</v>
      </c>
      <c r="N68" s="3274">
        <v>313.23</v>
      </c>
      <c r="O68" s="2028">
        <v>313.23</v>
      </c>
      <c r="P68" s="3284">
        <v>4.5555440969550148E-4</v>
      </c>
      <c r="Q68" s="3295">
        <v>0</v>
      </c>
      <c r="R68" s="3274">
        <f>'Форд Тягач'!R68+'MAN Blue KA1783HI'!C68+'MAN green KA2790IE'!C68+'MAN №3 white KA7837HO'!C68+'MAN №4 white KA3597HO'!C68+33</f>
        <v>33</v>
      </c>
      <c r="S68" s="3274">
        <f>'Форд Тягач'!S68+'MAN Blue KA1783HI'!D68+'MAN green KA2790IE'!D68+'MAN №3 white KA7837HO'!D68+'MAN №4 white KA3597HO'!D68</f>
        <v>401</v>
      </c>
      <c r="T68" s="2028">
        <f t="shared" si="120"/>
        <v>434</v>
      </c>
      <c r="U68" s="3284">
        <f t="shared" si="102"/>
        <v>3.3203783052189435E-4</v>
      </c>
      <c r="V68" s="3274" t="s">
        <v>546</v>
      </c>
      <c r="W68" s="3274">
        <f>'Форд Тягач'!W68+'MAN Blue KA1783HI'!H68+'MAN green KA2790IE'!H68+'MAN №3 white KA7837HO'!H68+'MAN №4 white KA3597HO'!H68+313.21</f>
        <v>313.20999999999998</v>
      </c>
      <c r="X68" s="3274">
        <f>'Форд Тягач'!X68+'MAN Blue KA1783HI'!I68+'MAN green KA2790IE'!I68+'MAN №3 white KA7837HO'!I68+'MAN №4 white KA3597HO'!I68+1112.11</f>
        <v>1112.1099999999999</v>
      </c>
      <c r="Y68" s="2028">
        <f t="shared" si="121"/>
        <v>1425.32</v>
      </c>
      <c r="Z68" s="3284">
        <f t="shared" si="103"/>
        <v>1.0904611995379411E-3</v>
      </c>
      <c r="AA68" s="3421" t="s">
        <v>1203</v>
      </c>
      <c r="AB68" s="3274">
        <f>ЦО_логистика!C68+'Форд Тягач'!AB68+'MAN Blue KA1783HI'!M68+'MAN green KA2790IE'!M68+'MAN №3 white KA7837HO'!M68+'MAN №4 white KA3597HO'!M68+'MAN №5 Тент МД'!C68</f>
        <v>1837.44</v>
      </c>
      <c r="AC68" s="3274">
        <f>ЦО_логистика!D68+'Форд Тягач'!AC68+'MAN Blue KA1783HI'!N68+'MAN green KA2790IE'!N68+'MAN №3 white KA7837HO'!N68+'MAN №4 white KA3597HO'!N68+'MAN №5 Тент МД'!D68</f>
        <v>3816.46</v>
      </c>
      <c r="AD68" s="2028">
        <f t="shared" si="122"/>
        <v>5653.9</v>
      </c>
      <c r="AE68" s="3284">
        <f t="shared" si="2"/>
        <v>4.4233355691836668E-3</v>
      </c>
      <c r="AF68" s="3274"/>
      <c r="AG68" s="3274">
        <f>ЦО_логистика!H68+'Форд Тягач'!AG68+'MAN Blue KA1783HI'!R68+'MAN green KA2790IE'!R68+'MAN №3 white KA7837HO'!R68+'MAN №4 white KA3597HO'!R68+'MAN №5 Тент МД'!H68</f>
        <v>109737.83</v>
      </c>
      <c r="AH68" s="3274">
        <f>ЦО_логистика!I68+'Форд Тягач'!AH68+'MAN Blue KA1783HI'!S68+'MAN green KA2790IE'!S68+'MAN №3 white KA7837HO'!S68+'MAN №4 white KA3597HO'!S68+'MAN №5 Тент МД'!I68</f>
        <v>306.64</v>
      </c>
      <c r="AI68" s="2028">
        <f t="shared" si="123"/>
        <v>110044.47</v>
      </c>
      <c r="AJ68" s="3284">
        <f t="shared" si="104"/>
        <v>8.6093425483819139E-2</v>
      </c>
      <c r="AK68" s="3275" t="s">
        <v>1327</v>
      </c>
      <c r="AL68" s="3274">
        <f>ЦО_логистика!M68+'Форд Тягач'!AL68+'MAN Blue KA1783HI'!W68+'MAN green KA2790IE'!W68+'MAN №3 white KA7837HO'!W68+'MAN №4 white KA3597HO'!W68+'MAN №5 Тент МД'!M68</f>
        <v>2143.87</v>
      </c>
      <c r="AM68" s="3274">
        <f>ЦО_логистика!N68+'Форд Тягач'!AM68+'MAN Blue KA1783HI'!X68+'MAN green KA2790IE'!X68+'MAN №3 white KA7837HO'!X68+'MAN №4 white KA3597HO'!X68+'MAN №5 Тент МД'!N68</f>
        <v>516.44000000000005</v>
      </c>
      <c r="AN68" s="2028">
        <f t="shared" si="124"/>
        <v>2660.31</v>
      </c>
      <c r="AO68" s="3284">
        <f t="shared" si="105"/>
        <v>2.0812967771016472E-3</v>
      </c>
      <c r="AP68" s="3425" t="str">
        <f>CONCATENATE(ЦО_логистика!Q68,'Форд Тягач'!AP68,'MAN Blue KA1783HI'!AA68,'MAN green KA2790IE'!AA68,'MAN №3 white KA7837HO'!AF68,'MAN №4 white KA3597HO'!AA68,'MAN №5 Тент МД'!Q68)</f>
        <v>ркорко</v>
      </c>
      <c r="AQ68" s="3274">
        <f>SUM(ЦО_логистика!R68,'Форд Тягач'!AQ68,'MAN Blue KA1783HI'!AB68,'MAN green KA2790IE'!AB68,'MAN №3 white KA7837HO'!AB68,'MAN №4 white KA3597HO'!AB68,'MAN №5 Тент МД'!R68)</f>
        <v>1041.01</v>
      </c>
      <c r="AR68" s="3274">
        <f>SUM(ЦО_логистика!S68,'Форд Тягач'!AR68,'MAN Blue KA1783HI'!AC68,'MAN green KA2790IE'!AC68,'MAN №3 white KA7837HO'!AC68,'MAN №4 white KA3597HO'!AC68,'MAN №5 Тент МД'!S68)</f>
        <v>5031.21</v>
      </c>
      <c r="AS68" s="2028">
        <f t="shared" si="125"/>
        <v>6072.22</v>
      </c>
      <c r="AT68" s="3284">
        <f t="shared" si="106"/>
        <v>4.7506087320094894E-3</v>
      </c>
      <c r="AU68" s="3425" t="str">
        <f>CONCATENATE(ЦО_логистика!V68,'Форд Тягач'!AU68,'MAN Blue KA1783HI'!AF67,'MAN green KA2790IE'!AF68,'MAN №3 white KA7837HO'!AF68,'MAN №4 white KA3597HO'!AF68,'MAN №5 Тент МД'!V68)</f>
        <v>РКО</v>
      </c>
      <c r="AV68" s="3275">
        <f>+ЦО_логистика!W68+'Форд Тягач'!AV68+'MAN Blue KA1783HI'!AG68+'MAN green KA2790IE'!AG68+'MAN №3 white KA7837HO'!AG68+'MAN №4 white KA3597HO'!AG68+'MAN №5 Тент МД'!W68</f>
        <v>12381.405999999999</v>
      </c>
      <c r="AW68" s="3275">
        <f>+ЦО_логистика!X68+'Форд Тягач'!AW68+'MAN Blue KA1783HI'!AH68+'MAN green KA2790IE'!AH68+'MAN №3 white KA7837HO'!AH68+'MAN №4 white KA3597HO'!AH68+'MAN №5 Тент МД'!X68</f>
        <v>5342.13</v>
      </c>
      <c r="AX68" s="2028">
        <f t="shared" si="126"/>
        <v>17723.536</v>
      </c>
      <c r="AY68" s="3284">
        <f t="shared" si="107"/>
        <v>1.3866030032456751E-2</v>
      </c>
      <c r="AZ68" s="3275"/>
      <c r="BA68" s="3275">
        <f t="shared" si="127"/>
        <v>1473.9949999999999</v>
      </c>
      <c r="BB68" s="3275">
        <f t="shared" si="127"/>
        <v>66</v>
      </c>
      <c r="BC68" s="2028">
        <f t="shared" si="128"/>
        <v>1539.9949999999999</v>
      </c>
      <c r="BD68" s="3284">
        <f t="shared" si="108"/>
        <v>1.204816968794107E-3</v>
      </c>
      <c r="BE68" s="3275">
        <f>ЦО_логистика!AD68+'Форд Тягач'!BC68+'MAN Blue KA1783HI'!AN68+'MAN green KA2790IE'!AN68+'MAN №3 white KA7837HO'!AN68+'MAN №4 white KA3597HO'!AN68+'MAN №5 Тент МД'!AD68-BC68</f>
        <v>0</v>
      </c>
      <c r="BF68" s="3274">
        <f>ЦО_логистика!AG68+'Форд Тягач'!BF68+'MAN Blue KA1783HI'!AQ68+'MAN green KA2790IE'!AQ68+'MAN №3 white KA7837HO'!AQ68+'MAN №4 white KA3597HO'!AQ68+'MAN №5 Тент МД'!AG68</f>
        <v>95.674999999999997</v>
      </c>
      <c r="BG68" s="3274">
        <f>ЦО_логистика!AH68+'Форд Тягач'!BG68+'MAN Blue KA1783HI'!AR68+'MAN green KA2790IE'!AR68+'MAN №3 white KA7837HO'!AR68+'MAN №4 white KA3597HO'!AR68+'MAN №5 Тент МД'!AH68</f>
        <v>33</v>
      </c>
      <c r="BH68" s="2028">
        <f t="shared" si="129"/>
        <v>128.67500000000001</v>
      </c>
      <c r="BI68" s="3284">
        <f t="shared" si="109"/>
        <v>1.0066904337973938E-4</v>
      </c>
      <c r="BJ68" s="3275"/>
      <c r="BK68" s="3275">
        <f>ЦО_логистика!AL68+'Форд Тягач'!BK68+'MAN Blue KA1783HI'!AV68+'MAN green KA2790IE'!AV68+'MAN №3 white KA7837HO'!AV68+'MAN №4 white KA3597HO'!AV68+'MAN №5 Тент МД'!AL68</f>
        <v>580.63</v>
      </c>
      <c r="BL68" s="3275">
        <f>ЦО_логистика!AM68+'Форд Тягач'!BL68+'MAN Blue KA1783HI'!AW68+'MAN green KA2790IE'!AW68+'MAN №3 white KA7837HO'!AW68+'MAN №4 white KA3597HO'!AW68+'MAN №5 Тент МД'!AM68</f>
        <v>33</v>
      </c>
      <c r="BM68" s="2028">
        <f t="shared" si="130"/>
        <v>613.63</v>
      </c>
      <c r="BN68" s="3284">
        <f t="shared" si="131"/>
        <v>4.8007417982599159E-4</v>
      </c>
      <c r="BO68" s="3275"/>
      <c r="BP68" s="3274">
        <f>ЦО_логистика!AQ68+'Форд Тягач'!BP68+'MAN Blue KA1783HI'!BA68+'MAN green KA2790IE'!BA68+'MAN №3 white KA7837HO'!BA68+'MAN №4 white KA3597HO'!BA68+'MAN №5 Тент МД'!AQ68</f>
        <v>797.69</v>
      </c>
      <c r="BQ68" s="3274">
        <f>ЦО_логистика!AR68+'Форд Тягач'!BQ68+'MAN Blue KA1783HI'!BB68+'MAN green KA2790IE'!BB68+'MAN №3 white KA7837HO'!BB68+'MAN №4 white KA3597HO'!BB68+'MAN №5 Тент МД'!AR68</f>
        <v>0</v>
      </c>
      <c r="BR68" s="2028">
        <f t="shared" si="132"/>
        <v>797.69</v>
      </c>
      <c r="BS68" s="3284">
        <f t="shared" si="110"/>
        <v>6.2407374558837614E-4</v>
      </c>
      <c r="BT68" s="3274"/>
      <c r="BU68" s="3274">
        <f>ЦО_логистика!AV68+'Форд Тягач'!BU68+'MAN Blue KA1783HI'!BF68+'MAN green KA2790IE'!BF68+'MAN №3 white KA7837HO'!BF68+'MAN №4 white KA3597HO'!BF68+'MAN №5 Тент МД'!AV68</f>
        <v>0</v>
      </c>
      <c r="BV68" s="3274">
        <f>ЦО_логистика!AW68+'Форд Тягач'!BV68+'MAN Blue KA1783HI'!BG68+'MAN green KA2790IE'!BG68+'MAN №3 white KA7837HO'!BG68+'MAN №4 white KA3597HO'!BG68+'MAN №5 Тент МД'!AW68</f>
        <v>0</v>
      </c>
      <c r="BW68" s="2028">
        <f t="shared" si="133"/>
        <v>0</v>
      </c>
      <c r="BX68" s="3284">
        <f t="shared" si="111"/>
        <v>0</v>
      </c>
      <c r="BY68" s="3274"/>
      <c r="BZ68" s="3274">
        <f>ЦО_логистика!BA68+'Форд Тягач'!BZ68+'MAN Blue KA1783HI'!BK68+'MAN green KA2790IE'!BK68+'MAN №3 white KA7837HO'!BK68+'MAN №4 white KA3597HO'!BK68+'MAN №5 Тент МД'!BA68</f>
        <v>0</v>
      </c>
      <c r="CA68" s="3274">
        <f>ЦО_логистика!BB68+'Форд Тягач'!CA68+'MAN Blue KA1783HI'!BL68+'MAN green KA2790IE'!BL68+'MAN №3 white KA7837HO'!BL68+'MAN №4 white KA3597HO'!BL68+'MAN №5 Тент МД'!BB68</f>
        <v>0</v>
      </c>
      <c r="CB68" s="2028">
        <f t="shared" si="134"/>
        <v>0</v>
      </c>
      <c r="CC68" s="3284">
        <f t="shared" si="112"/>
        <v>0</v>
      </c>
      <c r="CD68" s="3274"/>
      <c r="CE68" s="3274">
        <f>ЦО_логистика!BF68+'Форд Тягач'!CE68+'MAN Blue KA1783HI'!BP68+'MAN green KA2790IE'!BP68+'MAN №3 white KA7837HO'!BP68+'MAN №4 white KA3597HO'!BP68+'MAN №5 Тент МД'!BF68</f>
        <v>0</v>
      </c>
      <c r="CF68" s="3274">
        <f>ЦО_логистика!BG68+'Форд Тягач'!CF68+'MAN Blue KA1783HI'!BQ68+'MAN green KA2790IE'!BQ68+'MAN №3 white KA7837HO'!BQ68+'MAN №4 white KA3597HO'!BQ68+'MAN №5 Тент МД'!BG68</f>
        <v>0</v>
      </c>
      <c r="CG68" s="2028">
        <f t="shared" si="135"/>
        <v>0</v>
      </c>
      <c r="CH68" s="3284">
        <f t="shared" si="113"/>
        <v>0</v>
      </c>
      <c r="CI68" s="3274"/>
      <c r="CJ68" s="3274">
        <f>ЦО_логистика!BK68+'Форд Тягач'!CJ68+'MAN Blue KA1783HI'!BU68+'MAN green KA2790IE'!BU68+'MAN №3 white KA7837HO'!BU68+'MAN №4 white KA3597HO'!BU68+'MAN №5 Тент МД'!BK68</f>
        <v>0</v>
      </c>
      <c r="CK68" s="3274">
        <f>ЦО_логистика!BL68+'Форд Тягач'!CK68+'MAN Blue KA1783HI'!BV68+'MAN green KA2790IE'!BV68+'MAN №3 white KA7837HO'!BV68+'MAN №4 white KA3597HO'!BV68+'MAN №5 Тент МД'!BL68</f>
        <v>0</v>
      </c>
      <c r="CL68" s="2028">
        <f t="shared" si="136"/>
        <v>0</v>
      </c>
      <c r="CM68" s="3284">
        <f t="shared" si="114"/>
        <v>0</v>
      </c>
      <c r="CN68" s="3274"/>
      <c r="CO68" s="3274">
        <f>ЦО_логистика!BP68+'Форд Тягач'!CO68+'MAN Blue KA1783HI'!BZ68+'MAN green KA2790IE'!BZ68+'MAN №3 white KA7837HO'!BZ68+'MAN №4 white KA3597HO'!BZ68+'MAN №5 Тент МД'!BP68</f>
        <v>0</v>
      </c>
      <c r="CP68" s="3274">
        <f>ЦО_логистика!BQ68+'Форд Тягач'!CP68+'MAN Blue KA1783HI'!CA68+'MAN green KA2790IE'!CA68+'MAN №3 white KA7837HO'!CA68+'MAN №4 white KA3597HO'!CA68+'MAN №5 Тент МД'!BQ68</f>
        <v>0</v>
      </c>
      <c r="CQ68" s="2028">
        <f t="shared" si="137"/>
        <v>0</v>
      </c>
      <c r="CR68" s="3284">
        <f t="shared" si="115"/>
        <v>0</v>
      </c>
      <c r="CS68" s="3274"/>
      <c r="CT68" s="3274">
        <f>ЦО_логистика!BU68+'Форд Тягач'!CT68+'MAN Blue KA1783HI'!CE68+'MAN green KA2790IE'!CE68+'MAN №3 white KA7837HO'!CE68+'MAN №4 white KA3597HO'!CE68+'MAN №5 Тент МД'!BU68</f>
        <v>0</v>
      </c>
      <c r="CU68" s="3274">
        <f>ЦО_логистика!BV68+'Форд Тягач'!CU68+'MAN Blue KA1783HI'!CF68+'MAN green KA2790IE'!CF68+'MAN №3 white KA7837HO'!CF68+'MAN №4 white KA3597HO'!CF68+'MAN №5 Тент МД'!BV68</f>
        <v>0</v>
      </c>
      <c r="CV68" s="2028">
        <f t="shared" si="138"/>
        <v>0</v>
      </c>
      <c r="CW68" s="3284">
        <f t="shared" si="116"/>
        <v>0</v>
      </c>
      <c r="CX68" s="3274"/>
      <c r="CY68" s="3274">
        <f>ЦО_логистика!BZ68+'Форд Тягач'!CY68+'MAN Blue KA1783HI'!CJ68+'MAN green KA2790IE'!CJ68+'MAN №3 white KA7837HO'!CJ68+'MAN №4 white KA3597HO'!CJ68+'MAN №5 Тент МД'!BZ68</f>
        <v>0</v>
      </c>
      <c r="CZ68" s="3274">
        <f>ЦО_логистика!CA68+'Форд Тягач'!CZ68+'MAN Blue KA1783HI'!CK68+'MAN green KA2790IE'!CK68+'MAN №3 white KA7837HO'!CK68+'MAN №4 white KA3597HO'!CK68+'MAN №5 Тент МД'!CA68</f>
        <v>0</v>
      </c>
      <c r="DA68" s="2028">
        <f t="shared" si="139"/>
        <v>0</v>
      </c>
      <c r="DB68" s="3284">
        <f t="shared" si="117"/>
        <v>0</v>
      </c>
      <c r="DC68" s="3274"/>
      <c r="DD68" s="3274">
        <f>ЦО_логистика!CE68+'Форд Тягач'!DD68+'MAN Blue KA1783HI'!CO68+'MAN green KA2790IE'!CO68+'MAN №3 white KA7837HO'!CO68+'MAN №4 white KA3597HO'!CO68+'MAN №5 Тент МД'!CE68</f>
        <v>0</v>
      </c>
      <c r="DE68" s="3274">
        <f>ЦО_логистика!CF68+'Форд Тягач'!DE68+'MAN Blue KA1783HI'!CP68+'MAN green KA2790IE'!CP68+'MAN №3 white KA7837HO'!CP68+'MAN №4 white KA3597HO'!CP68+'MAN №5 Тент МД'!CF68</f>
        <v>0</v>
      </c>
      <c r="DF68" s="2028">
        <f t="shared" si="140"/>
        <v>0</v>
      </c>
      <c r="DG68" s="3284">
        <f t="shared" si="118"/>
        <v>0</v>
      </c>
      <c r="DH68" s="3274"/>
      <c r="DI68" s="3274">
        <f>ЦО_логистика!CJ68+'Форд Тягач'!DI68+'MAN Blue KA1783HI'!CT68+'MAN green KA2790IE'!CT68+'MAN №3 white KA7837HO'!CT68+'MAN №4 white KA3597HO'!CT68+'MAN №5 Тент МД'!CJ68</f>
        <v>0</v>
      </c>
      <c r="DJ68" s="3274">
        <f>ЦО_логистика!CK68+'Форд Тягач'!DJ68+'MAN Blue KA1783HI'!CU68+'MAN green KA2790IE'!CU68+'MAN №3 white KA7837HO'!CU68+'MAN №4 white KA3597HO'!CU68+'MAN №5 Тент МД'!CK68</f>
        <v>0</v>
      </c>
      <c r="DK68" s="2028">
        <f t="shared" si="141"/>
        <v>0</v>
      </c>
      <c r="DL68" s="3284">
        <f t="shared" si="119"/>
        <v>0</v>
      </c>
      <c r="DM68" s="3274"/>
      <c r="DN68" s="3288">
        <f t="shared" si="142"/>
        <v>128961.761</v>
      </c>
      <c r="DO68" s="3288">
        <f t="shared" si="142"/>
        <v>16591.990000000002</v>
      </c>
      <c r="DP68" s="2028">
        <f t="shared" si="143"/>
        <v>145553.75099999999</v>
      </c>
      <c r="DQ68" s="3284">
        <f t="shared" si="75"/>
        <v>5.5090040988481116E-3</v>
      </c>
      <c r="DR68" s="3275"/>
      <c r="DS68" s="916"/>
      <c r="DT68" s="916"/>
    </row>
    <row r="69" spans="1:124" s="1411" customFormat="1" ht="13.8" x14ac:dyDescent="0.25">
      <c r="A69" s="1586"/>
      <c r="B69" s="3310" t="s">
        <v>42</v>
      </c>
      <c r="C69" s="3274">
        <v>700</v>
      </c>
      <c r="D69" s="3274">
        <v>0</v>
      </c>
      <c r="E69" s="2028">
        <v>700</v>
      </c>
      <c r="F69" s="3284">
        <v>1.1195374605345125E-3</v>
      </c>
      <c r="G69" s="3295"/>
      <c r="H69" s="3274">
        <v>0</v>
      </c>
      <c r="I69" s="3274">
        <v>0</v>
      </c>
      <c r="J69" s="2028">
        <v>0</v>
      </c>
      <c r="K69" s="3284">
        <v>0</v>
      </c>
      <c r="L69" s="3295">
        <v>0</v>
      </c>
      <c r="M69" s="3274">
        <v>0</v>
      </c>
      <c r="N69" s="3274">
        <v>0</v>
      </c>
      <c r="O69" s="2028">
        <v>0</v>
      </c>
      <c r="P69" s="3284">
        <v>0</v>
      </c>
      <c r="Q69" s="3295">
        <v>0</v>
      </c>
      <c r="R69" s="3274">
        <f>'Форд Тягач'!R69+'MAN Blue KA1783HI'!C69+'MAN green KA2790IE'!C69+'MAN №3 white KA7837HO'!C69+'MAN №4 white KA3597HO'!C69</f>
        <v>0</v>
      </c>
      <c r="S69" s="3274">
        <f>'Форд Тягач'!S69+'MAN Blue KA1783HI'!D69+'MAN green KA2790IE'!D69+'MAN №3 white KA7837HO'!D69+'MAN №4 white KA3597HO'!D69</f>
        <v>0</v>
      </c>
      <c r="T69" s="2028">
        <f t="shared" si="120"/>
        <v>0</v>
      </c>
      <c r="U69" s="3284">
        <f t="shared" si="102"/>
        <v>0</v>
      </c>
      <c r="V69" s="3274"/>
      <c r="W69" s="3274">
        <f>'Форд Тягач'!W69+'MAN Blue KA1783HI'!H69+'MAN green KA2790IE'!H69+'MAN №3 white KA7837HO'!H69+'MAN №4 white KA3597HO'!H69+Техника!W69</f>
        <v>0</v>
      </c>
      <c r="X69" s="3274">
        <f>'Форд Тягач'!X69+'MAN Blue KA1783HI'!I69+'MAN green KA2790IE'!I69+'MAN №3 white KA7837HO'!I69+'MAN №4 white KA3597HO'!I69</f>
        <v>0</v>
      </c>
      <c r="Y69" s="2028">
        <f t="shared" si="121"/>
        <v>0</v>
      </c>
      <c r="Z69" s="3284">
        <f t="shared" si="103"/>
        <v>0</v>
      </c>
      <c r="AA69" s="3421"/>
      <c r="AB69" s="3274">
        <f>ЦО_логистика!C69+'Форд Тягач'!AB69+'MAN Blue KA1783HI'!M69+'MAN green KA2790IE'!M69+'MAN №3 white KA7837HO'!M69+'MAN №4 white KA3597HO'!M69+'MAN №5 Тент МД'!C69</f>
        <v>11880.5</v>
      </c>
      <c r="AC69" s="3274">
        <f>ЦО_логистика!D69+'Форд Тягач'!AC69+'MAN Blue KA1783HI'!N69+'MAN green KA2790IE'!N69+'MAN №3 white KA7837HO'!N69+'MAN №4 white KA3597HO'!N69+'MAN №5 Тент МД'!D69</f>
        <v>0</v>
      </c>
      <c r="AD69" s="2028">
        <f t="shared" si="122"/>
        <v>11880.5</v>
      </c>
      <c r="AE69" s="3284">
        <f t="shared" si="2"/>
        <v>9.2947236827122092E-3</v>
      </c>
      <c r="AF69" s="3274"/>
      <c r="AG69" s="3274">
        <f>ЦО_логистика!H69+'Форд Тягач'!AG69+'MAN Blue KA1783HI'!R69+'MAN green KA2790IE'!R69+'MAN №3 white KA7837HO'!R69+'MAN №4 white KA3597HO'!R69+'MAN №5 Тент МД'!H69</f>
        <v>0</v>
      </c>
      <c r="AH69" s="3274">
        <f>ЦО_логистика!I69+'Форд Тягач'!AH69+'MAN Blue KA1783HI'!S69+'MAN green KA2790IE'!S69+'MAN №3 white KA7837HO'!S69+'MAN №4 white KA3597HO'!S69+'MAN №5 Тент МД'!I69</f>
        <v>0</v>
      </c>
      <c r="AI69" s="2028">
        <f t="shared" si="123"/>
        <v>0</v>
      </c>
      <c r="AJ69" s="3284">
        <f t="shared" si="104"/>
        <v>0</v>
      </c>
      <c r="AK69" s="3274"/>
      <c r="AL69" s="3274">
        <f>ЦО_логистика!M69+'Форд Тягач'!AL69+'MAN Blue KA1783HI'!W69+'MAN green KA2790IE'!W69+'MAN №3 white KA7837HO'!W69+'MAN №4 white KA3597HO'!W69+'MAN №5 Тент МД'!M69</f>
        <v>0</v>
      </c>
      <c r="AM69" s="3274">
        <f>ЦО_логистика!N69+'Форд Тягач'!AM69+'MAN Blue KA1783HI'!X69+'MAN green KA2790IE'!X69+'MAN №3 white KA7837HO'!X69+'MAN №4 white KA3597HO'!X69+'MAN №5 Тент МД'!N69</f>
        <v>0</v>
      </c>
      <c r="AN69" s="2028">
        <f t="shared" si="124"/>
        <v>0</v>
      </c>
      <c r="AO69" s="3284">
        <f t="shared" si="105"/>
        <v>0</v>
      </c>
      <c r="AP69" s="3425" t="str">
        <f>CONCATENATE(ЦО_логистика!Q69,'Форд Тягач'!AP69,'MAN Blue KA1783HI'!AA69,'MAN green KA2790IE'!AA69,'MAN №3 white KA7837HO'!AF69,'MAN №4 white KA3597HO'!AA69,'MAN №5 Тент МД'!Q69)</f>
        <v/>
      </c>
      <c r="AQ69" s="3274">
        <f>SUM(ЦО_логистика!R69,'Форд Тягач'!AQ69,'MAN Blue KA1783HI'!AB69,'MAN green KA2790IE'!AB69,'MAN №3 white KA7837HO'!AB69,'MAN №4 white KA3597HO'!AB69,'MAN №5 Тент МД'!R69)</f>
        <v>0</v>
      </c>
      <c r="AR69" s="3274">
        <f>SUM(ЦО_логистика!S69,'Форд Тягач'!AR69,'MAN Blue KA1783HI'!AC69,'MAN green KA2790IE'!AC69,'MAN №3 white KA7837HO'!AC69,'MAN №4 white KA3597HO'!AC69,'MAN №5 Тент МД'!S69)</f>
        <v>0</v>
      </c>
      <c r="AS69" s="2028">
        <f t="shared" si="125"/>
        <v>0</v>
      </c>
      <c r="AT69" s="3284">
        <f t="shared" si="106"/>
        <v>0</v>
      </c>
      <c r="AU69" s="3425" t="str">
        <f>CONCATENATE(ЦО_логистика!V69,'Форд Тягач'!AU69,'MAN Blue KA1783HI'!AF68,'MAN green KA2790IE'!AF69,'MAN №3 white KA7837HO'!AF69,'MAN №4 white KA3597HO'!AF69,'MAN №5 Тент МД'!V69)</f>
        <v/>
      </c>
      <c r="AV69" s="3275">
        <f>+ЦО_логистика!W69+'Форд Тягач'!AV69+'MAN Blue KA1783HI'!AG69+'MAN green KA2790IE'!AG69+'MAN №3 white KA7837HO'!AG69+'MAN №4 white KA3597HO'!AG69+'MAN №5 Тент МД'!W69</f>
        <v>0</v>
      </c>
      <c r="AW69" s="3275">
        <f>+ЦО_логистика!X69+'Форд Тягач'!AW69+'MAN Blue KA1783HI'!AH69+'MAN green KA2790IE'!AH69+'MAN №3 white KA7837HO'!AH69+'MAN №4 white KA3597HO'!AH69+'MAN №5 Тент МД'!X69</f>
        <v>0</v>
      </c>
      <c r="AX69" s="2028">
        <f t="shared" si="126"/>
        <v>0</v>
      </c>
      <c r="AY69" s="3284">
        <f t="shared" si="107"/>
        <v>0</v>
      </c>
      <c r="AZ69" s="3275"/>
      <c r="BA69" s="3275">
        <f t="shared" si="127"/>
        <v>0</v>
      </c>
      <c r="BB69" s="3275">
        <f t="shared" si="127"/>
        <v>0</v>
      </c>
      <c r="BC69" s="2028">
        <f t="shared" si="128"/>
        <v>0</v>
      </c>
      <c r="BD69" s="3284">
        <f t="shared" si="108"/>
        <v>0</v>
      </c>
      <c r="BE69" s="3275">
        <f>ЦО_логистика!AD69+'Форд Тягач'!BC69+'MAN Blue KA1783HI'!AN69+'MAN green KA2790IE'!AN69+'MAN №3 white KA7837HO'!AN69+'MAN №4 white KA3597HO'!AN69+'MAN №5 Тент МД'!AD69-BC69</f>
        <v>0</v>
      </c>
      <c r="BF69" s="3274">
        <f>ЦО_логистика!AG69+'Форд Тягач'!BF69+'MAN Blue KA1783HI'!AQ69+'MAN green KA2790IE'!AQ69+'MAN №3 white KA7837HO'!AQ69+'MAN №4 white KA3597HO'!AQ69+'MAN №5 Тент МД'!AG69</f>
        <v>0</v>
      </c>
      <c r="BG69" s="3274">
        <f>ЦО_логистика!AH69+'Форд Тягач'!BG69+'MAN Blue KA1783HI'!AR69+'MAN green KA2790IE'!AR69+'MAN №3 white KA7837HO'!AR69+'MAN №4 white KA3597HO'!AR69+'MAN №5 Тент МД'!AH69</f>
        <v>0</v>
      </c>
      <c r="BH69" s="2028">
        <f t="shared" si="129"/>
        <v>0</v>
      </c>
      <c r="BI69" s="3284">
        <f t="shared" si="109"/>
        <v>0</v>
      </c>
      <c r="BJ69" s="3275"/>
      <c r="BK69" s="3275">
        <f>ЦО_логистика!AL69+'Форд Тягач'!BK69+'MAN Blue KA1783HI'!AV69+'MAN green KA2790IE'!AV69+'MAN №3 white KA7837HO'!AV69+'MAN №4 white KA3597HO'!AV69+'MAN №5 Тент МД'!AL69</f>
        <v>0</v>
      </c>
      <c r="BL69" s="3275">
        <f>ЦО_логистика!AM69+'Форд Тягач'!BL69+'MAN Blue KA1783HI'!AW69+'MAN green KA2790IE'!AW69+'MAN №3 white KA7837HO'!AW69+'MAN №4 white KA3597HO'!AW69+'MAN №5 Тент МД'!AM69</f>
        <v>0</v>
      </c>
      <c r="BM69" s="2028">
        <f t="shared" si="130"/>
        <v>0</v>
      </c>
      <c r="BN69" s="3284">
        <f t="shared" si="131"/>
        <v>0</v>
      </c>
      <c r="BO69" s="3275"/>
      <c r="BP69" s="3274">
        <f>ЦО_логистика!AQ69+'Форд Тягач'!BP69+'MAN Blue KA1783HI'!BA69+'MAN green KA2790IE'!BA69+'MAN №3 white KA7837HO'!BA69+'MAN №4 white KA3597HO'!BA69+'MAN №5 Тент МД'!AQ69</f>
        <v>0</v>
      </c>
      <c r="BQ69" s="3274">
        <f>ЦО_логистика!AR69+'Форд Тягач'!BQ69+'MAN Blue KA1783HI'!BB69+'MAN green KA2790IE'!BB69+'MAN №3 white KA7837HO'!BB69+'MAN №4 white KA3597HO'!BB69+'MAN №5 Тент МД'!AR69</f>
        <v>0</v>
      </c>
      <c r="BR69" s="2028">
        <f t="shared" si="132"/>
        <v>0</v>
      </c>
      <c r="BS69" s="3284">
        <f t="shared" si="110"/>
        <v>0</v>
      </c>
      <c r="BT69" s="3274"/>
      <c r="BU69" s="3274">
        <f>ЦО_логистика!AV69+'Форд Тягач'!BU69+'MAN Blue KA1783HI'!BF69+'MAN green KA2790IE'!BF69+'MAN №3 white KA7837HO'!BF69+'MAN №4 white KA3597HO'!BF69+'MAN №5 Тент МД'!AV69</f>
        <v>0</v>
      </c>
      <c r="BV69" s="3274">
        <f>ЦО_логистика!AW69+'Форд Тягач'!BV69+'MAN Blue KA1783HI'!BG69+'MAN green KA2790IE'!BG69+'MAN №3 white KA7837HO'!BG69+'MAN №4 white KA3597HO'!BG69+'MAN №5 Тент МД'!AW69</f>
        <v>0</v>
      </c>
      <c r="BW69" s="2028">
        <f t="shared" si="133"/>
        <v>0</v>
      </c>
      <c r="BX69" s="3284">
        <f t="shared" si="111"/>
        <v>0</v>
      </c>
      <c r="BY69" s="3274"/>
      <c r="BZ69" s="3274">
        <f>ЦО_логистика!BA69+'Форд Тягач'!BZ69+'MAN Blue KA1783HI'!BK69+'MAN green KA2790IE'!BK69+'MAN №3 white KA7837HO'!BK69+'MAN №4 white KA3597HO'!BK69+'MAN №5 Тент МД'!BA69</f>
        <v>0</v>
      </c>
      <c r="CA69" s="3274">
        <f>ЦО_логистика!BB69+'Форд Тягач'!CA69+'MAN Blue KA1783HI'!BL69+'MAN green KA2790IE'!BL69+'MAN №3 white KA7837HO'!BL69+'MAN №4 white KA3597HO'!BL69+'MAN №5 Тент МД'!BB69</f>
        <v>0</v>
      </c>
      <c r="CB69" s="2028">
        <f t="shared" si="134"/>
        <v>0</v>
      </c>
      <c r="CC69" s="3284">
        <f t="shared" si="112"/>
        <v>0</v>
      </c>
      <c r="CD69" s="3274"/>
      <c r="CE69" s="3274">
        <f>ЦО_логистика!BF69+'Форд Тягач'!CE69+'MAN Blue KA1783HI'!BP69+'MAN green KA2790IE'!BP69+'MAN №3 white KA7837HO'!BP69+'MAN №4 white KA3597HO'!BP69+'MAN №5 Тент МД'!BF69</f>
        <v>0</v>
      </c>
      <c r="CF69" s="3274">
        <f>ЦО_логистика!BG69+'Форд Тягач'!CF69+'MAN Blue KA1783HI'!BQ69+'MAN green KA2790IE'!BQ69+'MAN №3 white KA7837HO'!BQ69+'MAN №4 white KA3597HO'!BQ69+'MAN №5 Тент МД'!BG69</f>
        <v>0</v>
      </c>
      <c r="CG69" s="2028">
        <f t="shared" si="135"/>
        <v>0</v>
      </c>
      <c r="CH69" s="3284">
        <f t="shared" si="113"/>
        <v>0</v>
      </c>
      <c r="CI69" s="3274"/>
      <c r="CJ69" s="3274">
        <f>ЦО_логистика!BK69+'Форд Тягач'!CJ69+'MAN Blue KA1783HI'!BU69+'MAN green KA2790IE'!BU69+'MAN №3 white KA7837HO'!BU69+'MAN №4 white KA3597HO'!BU69+'MAN №5 Тент МД'!BK69</f>
        <v>0</v>
      </c>
      <c r="CK69" s="3274">
        <f>ЦО_логистика!BL69+'Форд Тягач'!CK69+'MAN Blue KA1783HI'!BV69+'MAN green KA2790IE'!BV69+'MAN №3 white KA7837HO'!BV69+'MAN №4 white KA3597HO'!BV69+'MAN №5 Тент МД'!BL69</f>
        <v>0</v>
      </c>
      <c r="CL69" s="2028">
        <f t="shared" si="136"/>
        <v>0</v>
      </c>
      <c r="CM69" s="3284">
        <f t="shared" si="114"/>
        <v>0</v>
      </c>
      <c r="CN69" s="3274"/>
      <c r="CO69" s="3274">
        <f>ЦО_логистика!BP69+'Форд Тягач'!CO69+'MAN Blue KA1783HI'!BZ69+'MAN green KA2790IE'!BZ69+'MAN №3 white KA7837HO'!BZ69+'MAN №4 white KA3597HO'!BZ69+'MAN №5 Тент МД'!BP69</f>
        <v>0</v>
      </c>
      <c r="CP69" s="3274">
        <f>ЦО_логистика!BQ69+'Форд Тягач'!CP69+'MAN Blue KA1783HI'!CA69+'MAN green KA2790IE'!CA69+'MAN №3 white KA7837HO'!CA69+'MAN №4 white KA3597HO'!CA69+'MAN №5 Тент МД'!BQ69</f>
        <v>0</v>
      </c>
      <c r="CQ69" s="2028">
        <f t="shared" si="137"/>
        <v>0</v>
      </c>
      <c r="CR69" s="3284">
        <f t="shared" si="115"/>
        <v>0</v>
      </c>
      <c r="CS69" s="3274"/>
      <c r="CT69" s="3274">
        <f>ЦО_логистика!BU69+'Форд Тягач'!CT69+'MAN Blue KA1783HI'!CE69+'MAN green KA2790IE'!CE69+'MAN №3 white KA7837HO'!CE69+'MAN №4 white KA3597HO'!CE69+'MAN №5 Тент МД'!BU69</f>
        <v>0</v>
      </c>
      <c r="CU69" s="3274">
        <f>ЦО_логистика!BV69+'Форд Тягач'!CU69+'MAN Blue KA1783HI'!CF69+'MAN green KA2790IE'!CF69+'MAN №3 white KA7837HO'!CF69+'MAN №4 white KA3597HO'!CF69+'MAN №5 Тент МД'!BV69</f>
        <v>0</v>
      </c>
      <c r="CV69" s="2028">
        <f t="shared" si="138"/>
        <v>0</v>
      </c>
      <c r="CW69" s="3284">
        <f t="shared" si="116"/>
        <v>0</v>
      </c>
      <c r="CX69" s="3274"/>
      <c r="CY69" s="3274">
        <f>ЦО_логистика!BZ69+'Форд Тягач'!CY69+'MAN Blue KA1783HI'!CJ69+'MAN green KA2790IE'!CJ69+'MAN №3 white KA7837HO'!CJ69+'MAN №4 white KA3597HO'!CJ69+'MAN №5 Тент МД'!BZ69</f>
        <v>0</v>
      </c>
      <c r="CZ69" s="3274">
        <f>ЦО_логистика!CA69+'Форд Тягач'!CZ69+'MAN Blue KA1783HI'!CK69+'MAN green KA2790IE'!CK69+'MAN №3 white KA7837HO'!CK69+'MAN №4 white KA3597HO'!CK69+'MAN №5 Тент МД'!CA69</f>
        <v>0</v>
      </c>
      <c r="DA69" s="2028">
        <f t="shared" si="139"/>
        <v>0</v>
      </c>
      <c r="DB69" s="3284">
        <f t="shared" si="117"/>
        <v>0</v>
      </c>
      <c r="DC69" s="3274"/>
      <c r="DD69" s="3274">
        <f>ЦО_логистика!CE69+'Форд Тягач'!DD69+'MAN Blue KA1783HI'!CO69+'MAN green KA2790IE'!CO69+'MAN №3 white KA7837HO'!CO69+'MAN №4 white KA3597HO'!CO69+'MAN №5 Тент МД'!CE69</f>
        <v>0</v>
      </c>
      <c r="DE69" s="3274">
        <f>ЦО_логистика!CF69+'Форд Тягач'!DE69+'MAN Blue KA1783HI'!CP69+'MAN green KA2790IE'!CP69+'MAN №3 white KA7837HO'!CP69+'MAN №4 white KA3597HO'!CP69+'MAN №5 Тент МД'!CF69</f>
        <v>0</v>
      </c>
      <c r="DF69" s="2028">
        <f t="shared" si="140"/>
        <v>0</v>
      </c>
      <c r="DG69" s="3284">
        <f t="shared" si="118"/>
        <v>0</v>
      </c>
      <c r="DH69" s="3274"/>
      <c r="DI69" s="3274">
        <f>ЦО_логистика!CJ69+'Форд Тягач'!DI69+'MAN Blue KA1783HI'!CT69+'MAN green KA2790IE'!CT69+'MAN №3 white KA7837HO'!CT69+'MAN №4 white KA3597HO'!CT69+'MAN №5 Тент МД'!CJ69</f>
        <v>0</v>
      </c>
      <c r="DJ69" s="3274">
        <f>ЦО_логистика!CK69+'Форд Тягач'!DJ69+'MAN Blue KA1783HI'!CU69+'MAN green KA2790IE'!CU69+'MAN №3 white KA7837HO'!CU69+'MAN №4 white KA3597HO'!CU69+'MAN №5 Тент МД'!CK69</f>
        <v>0</v>
      </c>
      <c r="DK69" s="2028">
        <f t="shared" si="141"/>
        <v>0</v>
      </c>
      <c r="DL69" s="3284">
        <f t="shared" si="119"/>
        <v>0</v>
      </c>
      <c r="DM69" s="3274"/>
      <c r="DN69" s="3288">
        <f t="shared" si="142"/>
        <v>11880.5</v>
      </c>
      <c r="DO69" s="3288">
        <f t="shared" si="142"/>
        <v>0</v>
      </c>
      <c r="DP69" s="2028">
        <f t="shared" si="143"/>
        <v>11880.5</v>
      </c>
      <c r="DQ69" s="3284">
        <f t="shared" si="75"/>
        <v>4.4966016160150345E-4</v>
      </c>
      <c r="DR69" s="3275"/>
      <c r="DS69" s="916"/>
      <c r="DT69" s="916"/>
    </row>
    <row r="70" spans="1:124" s="1411" customFormat="1" ht="13.8" x14ac:dyDescent="0.25">
      <c r="A70" s="1586"/>
      <c r="B70" s="3310" t="s">
        <v>6</v>
      </c>
      <c r="C70" s="3274">
        <v>0</v>
      </c>
      <c r="D70" s="3274">
        <v>0</v>
      </c>
      <c r="E70" s="2028">
        <v>0</v>
      </c>
      <c r="F70" s="3284">
        <v>0</v>
      </c>
      <c r="G70" s="3295"/>
      <c r="H70" s="3274">
        <v>0</v>
      </c>
      <c r="I70" s="3274">
        <v>0</v>
      </c>
      <c r="J70" s="2028">
        <v>0</v>
      </c>
      <c r="K70" s="3284">
        <v>0</v>
      </c>
      <c r="L70" s="3295">
        <v>0</v>
      </c>
      <c r="M70" s="3274">
        <v>0</v>
      </c>
      <c r="N70" s="3274">
        <v>0</v>
      </c>
      <c r="O70" s="2028">
        <v>0</v>
      </c>
      <c r="P70" s="3284">
        <v>0</v>
      </c>
      <c r="Q70" s="3295">
        <v>0</v>
      </c>
      <c r="R70" s="3274">
        <f>'Форд Тягач'!R70+'MAN Blue KA1783HI'!C70+'MAN green KA2790IE'!C70+'MAN №3 white KA7837HO'!C70+'MAN №4 white KA3597HO'!C70</f>
        <v>0</v>
      </c>
      <c r="S70" s="3274">
        <f>'Форд Тягач'!S70+'MAN Blue KA1783HI'!D70+'MAN green KA2790IE'!D70+'MAN №3 white KA7837HO'!D70+'MAN №4 white KA3597HO'!D70</f>
        <v>0</v>
      </c>
      <c r="T70" s="2028">
        <f t="shared" si="120"/>
        <v>0</v>
      </c>
      <c r="U70" s="3284">
        <f t="shared" si="102"/>
        <v>0</v>
      </c>
      <c r="V70" s="3295"/>
      <c r="W70" s="3274">
        <f>'Форд Тягач'!W70+'MAN Blue KA1783HI'!H70+'MAN green KA2790IE'!H70+'MAN №3 white KA7837HO'!H70+'MAN №4 white KA3597HO'!H70</f>
        <v>0</v>
      </c>
      <c r="X70" s="3274">
        <f>'Форд Тягач'!X70+'MAN Blue KA1783HI'!I70+'MAN green KA2790IE'!I70+'MAN №3 white KA7837HO'!I70+'MAN №4 white KA3597HO'!I70+Техника!X70</f>
        <v>0</v>
      </c>
      <c r="Y70" s="2028">
        <f t="shared" si="121"/>
        <v>0</v>
      </c>
      <c r="Z70" s="3284">
        <f t="shared" si="103"/>
        <v>0</v>
      </c>
      <c r="AA70" s="3295"/>
      <c r="AB70" s="3274">
        <f>ЦО_логистика!C70+'Форд Тягач'!AB70+'MAN Blue KA1783HI'!M70+'MAN green KA2790IE'!M70+'MAN №3 white KA7837HO'!M70+'MAN №4 white KA3597HO'!M70+'MAN №5 Тент МД'!C70</f>
        <v>0</v>
      </c>
      <c r="AC70" s="3274">
        <f>ЦО_логистика!D70+'Форд Тягач'!AC70+'MAN Blue KA1783HI'!N70+'MAN green KA2790IE'!N70+'MAN №3 white KA7837HO'!N70+'MAN №4 white KA3597HO'!N70+'MAN №5 Тент МД'!D70</f>
        <v>0</v>
      </c>
      <c r="AD70" s="2028">
        <f t="shared" si="122"/>
        <v>0</v>
      </c>
      <c r="AE70" s="3284">
        <f t="shared" si="2"/>
        <v>0</v>
      </c>
      <c r="AF70" s="3295"/>
      <c r="AG70" s="3274">
        <f>ЦО_логистика!H70+'Форд Тягач'!AG70+'MAN Blue KA1783HI'!R70+'MAN green KA2790IE'!R70+'MAN №3 white KA7837HO'!R70+'MAN №4 white KA3597HO'!R70+'MAN №5 Тент МД'!H70</f>
        <v>0</v>
      </c>
      <c r="AH70" s="3274">
        <f>ЦО_логистика!I70+'Форд Тягач'!AH70+'MAN Blue KA1783HI'!S70+'MAN green KA2790IE'!S70+'MAN №3 white KA7837HO'!S70+'MAN №4 white KA3597HO'!S70+'MAN №5 Тент МД'!I70</f>
        <v>0</v>
      </c>
      <c r="AI70" s="2028">
        <f t="shared" si="123"/>
        <v>0</v>
      </c>
      <c r="AJ70" s="3284">
        <f t="shared" si="104"/>
        <v>0</v>
      </c>
      <c r="AK70" s="3295"/>
      <c r="AL70" s="3274">
        <f>ЦО_логистика!M70+'Форд Тягач'!AL70+'MAN Blue KA1783HI'!W70+'MAN green KA2790IE'!W70+'MAN №3 white KA7837HO'!W70+'MAN №4 white KA3597HO'!W70+'MAN №5 Тент МД'!M70</f>
        <v>0</v>
      </c>
      <c r="AM70" s="3274">
        <f>ЦО_логистика!N70+'Форд Тягач'!AM70+'MAN Blue KA1783HI'!X70+'MAN green KA2790IE'!X70+'MAN №3 white KA7837HO'!X70+'MAN №4 white KA3597HO'!X70+'MAN №5 Тент МД'!N70</f>
        <v>10000</v>
      </c>
      <c r="AN70" s="2028">
        <f t="shared" si="124"/>
        <v>10000</v>
      </c>
      <c r="AO70" s="3284">
        <f t="shared" si="105"/>
        <v>7.8235122113650187E-3</v>
      </c>
      <c r="AP70" s="3425" t="str">
        <f>CONCATENATE(ЦО_логистика!Q70,'Форд Тягач'!AP70,'MAN Blue KA1783HI'!AA70,'MAN green KA2790IE'!AA70,'MAN №3 white KA7837HO'!AF70,'MAN №4 white KA3597HO'!AA70,'MAN №5 Тент МД'!Q70)</f>
        <v/>
      </c>
      <c r="AQ70" s="3274">
        <f>SUM(ЦО_логистика!R70,'Форд Тягач'!AQ70,'MAN Blue KA1783HI'!AB70,'MAN green KA2790IE'!AB70,'MAN №3 white KA7837HO'!AB70,'MAN №4 white KA3597HO'!AB70,'MAN №5 Тент МД'!R70)</f>
        <v>0</v>
      </c>
      <c r="AR70" s="3274">
        <f>SUM(ЦО_логистика!S70,'Форд Тягач'!AR70,'MAN Blue KA1783HI'!AC70,'MAN green KA2790IE'!AC70,'MAN №3 white KA7837HO'!AC70,'MAN №4 white KA3597HO'!AC70,'MAN №5 Тент МД'!S70)</f>
        <v>9100.93</v>
      </c>
      <c r="AS70" s="2028">
        <f t="shared" si="125"/>
        <v>9100.93</v>
      </c>
      <c r="AT70" s="3284">
        <f t="shared" si="106"/>
        <v>7.1201236989778234E-3</v>
      </c>
      <c r="AU70" s="3425" t="str">
        <f>CONCATENATE(ЦО_логистика!V70,'Форд Тягач'!AU70,'MAN Blue KA1783HI'!AF69,'MAN green KA2790IE'!AF70,'MAN №3 white KA7837HO'!AF70,'MAN №4 white KA3597HO'!AF70,'MAN №5 Тент МД'!V70)</f>
        <v xml:space="preserve">новогодний стол 50 % логистика </v>
      </c>
      <c r="AV70" s="3275">
        <f>+ЦО_логистика!W70+'Форд Тягач'!AV70+'MAN Blue KA1783HI'!AG70+'MAN green KA2790IE'!AG70+'MAN №3 white KA7837HO'!AG70+'MAN №4 white KA3597HO'!AG70+'MAN №5 Тент МД'!W70</f>
        <v>0</v>
      </c>
      <c r="AW70" s="3275">
        <f>+ЦО_логистика!X70+'Форд Тягач'!AW70+'MAN Blue KA1783HI'!AH70+'MAN green KA2790IE'!AH70+'MAN №3 white KA7837HO'!AH70+'MAN №4 white KA3597HO'!AH70+'MAN №5 Тент МД'!X70</f>
        <v>0</v>
      </c>
      <c r="AX70" s="2028">
        <f t="shared" si="126"/>
        <v>0</v>
      </c>
      <c r="AY70" s="3284">
        <f t="shared" si="107"/>
        <v>0</v>
      </c>
      <c r="AZ70" s="3275"/>
      <c r="BA70" s="3275">
        <f t="shared" si="127"/>
        <v>0</v>
      </c>
      <c r="BB70" s="3275">
        <f t="shared" si="127"/>
        <v>0</v>
      </c>
      <c r="BC70" s="2028">
        <f t="shared" si="128"/>
        <v>0</v>
      </c>
      <c r="BD70" s="3284">
        <f t="shared" si="108"/>
        <v>0</v>
      </c>
      <c r="BE70" s="3275">
        <f>ЦО_логистика!AD70+'Форд Тягач'!BC70+'MAN Blue KA1783HI'!AN70+'MAN green KA2790IE'!AN70+'MAN №3 white KA7837HO'!AN70+'MAN №4 white KA3597HO'!AN70+'MAN №5 Тент МД'!AD70-BC70</f>
        <v>0</v>
      </c>
      <c r="BF70" s="3274">
        <f>ЦО_логистика!AG70+'Форд Тягач'!BF70+'MAN Blue KA1783HI'!AQ70+'MAN green KA2790IE'!AQ70+'MAN №3 white KA7837HO'!AQ70+'MAN №4 white KA3597HO'!AQ70+'MAN №5 Тент МД'!AG70</f>
        <v>0</v>
      </c>
      <c r="BG70" s="3274">
        <f>ЦО_логистика!AH70+'Форд Тягач'!BG70+'MAN Blue KA1783HI'!AR70+'MAN green KA2790IE'!AR70+'MAN №3 white KA7837HO'!AR70+'MAN №4 white KA3597HO'!AR70+'MAN №5 Тент МД'!AH70</f>
        <v>0</v>
      </c>
      <c r="BH70" s="2028">
        <f t="shared" si="129"/>
        <v>0</v>
      </c>
      <c r="BI70" s="3284">
        <f t="shared" si="109"/>
        <v>0</v>
      </c>
      <c r="BJ70" s="3275"/>
      <c r="BK70" s="3275">
        <f>ЦО_логистика!AL70+'Форд Тягач'!BK70+'MAN Blue KA1783HI'!AV70+'MAN green KA2790IE'!AV70+'MAN №3 white KA7837HO'!AV70+'MAN №4 white KA3597HO'!AV70+'MAN №5 Тент МД'!AL70</f>
        <v>0</v>
      </c>
      <c r="BL70" s="3275">
        <f>ЦО_логистика!AM70+'Форд Тягач'!BL70+'MAN Blue KA1783HI'!AW70+'MAN green KA2790IE'!AW70+'MAN №3 white KA7837HO'!AW70+'MAN №4 white KA3597HO'!AW70+'MAN №5 Тент МД'!AM70</f>
        <v>0</v>
      </c>
      <c r="BM70" s="2028">
        <f t="shared" si="130"/>
        <v>0</v>
      </c>
      <c r="BN70" s="3284">
        <f t="shared" si="131"/>
        <v>0</v>
      </c>
      <c r="BO70" s="3275"/>
      <c r="BP70" s="3274">
        <f>ЦО_логистика!AQ70+'Форд Тягач'!BP70+'MAN Blue KA1783HI'!BA70+'MAN green KA2790IE'!BA70+'MAN №3 white KA7837HO'!BA70+'MAN №4 white KA3597HO'!BA70+'MAN №5 Тент МД'!AQ70</f>
        <v>0</v>
      </c>
      <c r="BQ70" s="3274">
        <f>ЦО_логистика!AR70+'Форд Тягач'!BQ70+'MAN Blue KA1783HI'!BB70+'MAN green KA2790IE'!BB70+'MAN №3 white KA7837HO'!BB70+'MAN №4 white KA3597HO'!BB70+'MAN №5 Тент МД'!AR70</f>
        <v>0</v>
      </c>
      <c r="BR70" s="2028">
        <f t="shared" si="132"/>
        <v>0</v>
      </c>
      <c r="BS70" s="3284">
        <f t="shared" si="110"/>
        <v>0</v>
      </c>
      <c r="BT70" s="3295"/>
      <c r="BU70" s="3274">
        <f>ЦО_логистика!AV70+'Форд Тягач'!BU70+'MAN Blue KA1783HI'!BF70+'MAN green KA2790IE'!BF70+'MAN №3 white KA7837HO'!BF70+'MAN №4 white KA3597HO'!BF70+'MAN №5 Тент МД'!AV70</f>
        <v>0</v>
      </c>
      <c r="BV70" s="3274">
        <f>ЦО_логистика!AW70+'Форд Тягач'!BV70+'MAN Blue KA1783HI'!BG70+'MAN green KA2790IE'!BG70+'MAN №3 white KA7837HO'!BG70+'MAN №4 white KA3597HO'!BG70+'MAN №5 Тент МД'!AW70</f>
        <v>0</v>
      </c>
      <c r="BW70" s="2028">
        <f t="shared" si="133"/>
        <v>0</v>
      </c>
      <c r="BX70" s="3284">
        <f t="shared" si="111"/>
        <v>0</v>
      </c>
      <c r="BY70" s="3295"/>
      <c r="BZ70" s="3274">
        <f>ЦО_логистика!BA70+'Форд Тягач'!BZ70+'MAN Blue KA1783HI'!BK70+'MAN green KA2790IE'!BK70+'MAN №3 white KA7837HO'!BK70+'MAN №4 white KA3597HO'!BK70+'MAN №5 Тент МД'!BA70</f>
        <v>0</v>
      </c>
      <c r="CA70" s="3274">
        <f>ЦО_логистика!BB70+'Форд Тягач'!CA70+'MAN Blue KA1783HI'!BL70+'MAN green KA2790IE'!BL70+'MAN №3 white KA7837HO'!BL70+'MAN №4 white KA3597HO'!BL70+'MAN №5 Тент МД'!BB70</f>
        <v>0</v>
      </c>
      <c r="CB70" s="2028">
        <f t="shared" si="134"/>
        <v>0</v>
      </c>
      <c r="CC70" s="3284">
        <f t="shared" si="112"/>
        <v>0</v>
      </c>
      <c r="CD70" s="3295"/>
      <c r="CE70" s="3274">
        <f>ЦО_логистика!BF70+'Форд Тягач'!CE70+'MAN Blue KA1783HI'!BP70+'MAN green KA2790IE'!BP70+'MAN №3 white KA7837HO'!BP70+'MAN №4 white KA3597HO'!BP70+'MAN №5 Тент МД'!BF70</f>
        <v>0</v>
      </c>
      <c r="CF70" s="3274">
        <f>ЦО_логистика!BG70+'Форд Тягач'!CF70+'MAN Blue KA1783HI'!BQ70+'MAN green KA2790IE'!BQ70+'MAN №3 white KA7837HO'!BQ70+'MAN №4 white KA3597HO'!BQ70+'MAN №5 Тент МД'!BG70</f>
        <v>0</v>
      </c>
      <c r="CG70" s="2028">
        <f t="shared" si="135"/>
        <v>0</v>
      </c>
      <c r="CH70" s="3284">
        <f t="shared" si="113"/>
        <v>0</v>
      </c>
      <c r="CI70" s="3295"/>
      <c r="CJ70" s="3274">
        <f>ЦО_логистика!BK70+'Форд Тягач'!CJ70+'MAN Blue KA1783HI'!BU70+'MAN green KA2790IE'!BU70+'MAN №3 white KA7837HO'!BU70+'MAN №4 white KA3597HO'!BU70+'MAN №5 Тент МД'!BK70</f>
        <v>0</v>
      </c>
      <c r="CK70" s="3274">
        <f>ЦО_логистика!BL70+'Форд Тягач'!CK70+'MAN Blue KA1783HI'!BV70+'MAN green KA2790IE'!BV70+'MAN №3 white KA7837HO'!BV70+'MAN №4 white KA3597HO'!BV70+'MAN №5 Тент МД'!BL70</f>
        <v>0</v>
      </c>
      <c r="CL70" s="2028">
        <f t="shared" si="136"/>
        <v>0</v>
      </c>
      <c r="CM70" s="3284">
        <f t="shared" si="114"/>
        <v>0</v>
      </c>
      <c r="CN70" s="3295"/>
      <c r="CO70" s="3274">
        <f>ЦО_логистика!BP70+'Форд Тягач'!CO70+'MAN Blue KA1783HI'!BZ70+'MAN green KA2790IE'!BZ70+'MAN №3 white KA7837HO'!BZ70+'MAN №4 white KA3597HO'!BZ70+'MAN №5 Тент МД'!BP70</f>
        <v>0</v>
      </c>
      <c r="CP70" s="3274">
        <f>ЦО_логистика!BQ70+'Форд Тягач'!CP70+'MAN Blue KA1783HI'!CA70+'MAN green KA2790IE'!CA70+'MAN №3 white KA7837HO'!CA70+'MAN №4 white KA3597HO'!CA70+'MAN №5 Тент МД'!BQ70</f>
        <v>0</v>
      </c>
      <c r="CQ70" s="2028">
        <f t="shared" si="137"/>
        <v>0</v>
      </c>
      <c r="CR70" s="3284">
        <f t="shared" si="115"/>
        <v>0</v>
      </c>
      <c r="CS70" s="3295"/>
      <c r="CT70" s="3274">
        <f>ЦО_логистика!BU70+'Форд Тягач'!CT70+'MAN Blue KA1783HI'!CE70+'MAN green KA2790IE'!CE70+'MAN №3 white KA7837HO'!CE70+'MAN №4 white KA3597HO'!CE70+'MAN №5 Тент МД'!BU70</f>
        <v>0</v>
      </c>
      <c r="CU70" s="3274">
        <f>ЦО_логистика!BV70+'Форд Тягач'!CU70+'MAN Blue KA1783HI'!CF70+'MAN green KA2790IE'!CF70+'MAN №3 white KA7837HO'!CF70+'MAN №4 white KA3597HO'!CF70+'MAN №5 Тент МД'!BV70</f>
        <v>0</v>
      </c>
      <c r="CV70" s="2028">
        <f t="shared" si="138"/>
        <v>0</v>
      </c>
      <c r="CW70" s="3284">
        <f t="shared" si="116"/>
        <v>0</v>
      </c>
      <c r="CX70" s="3295"/>
      <c r="CY70" s="3274">
        <f>ЦО_логистика!BZ70+'Форд Тягач'!CY70+'MAN Blue KA1783HI'!CJ70+'MAN green KA2790IE'!CJ70+'MAN №3 white KA7837HO'!CJ70+'MAN №4 white KA3597HO'!CJ70+'MAN №5 Тент МД'!BZ70</f>
        <v>0</v>
      </c>
      <c r="CZ70" s="3274">
        <f>ЦО_логистика!CA70+'Форд Тягач'!CZ70+'MAN Blue KA1783HI'!CK70+'MAN green KA2790IE'!CK70+'MAN №3 white KA7837HO'!CK70+'MAN №4 white KA3597HO'!CK70+'MAN №5 Тент МД'!CA70</f>
        <v>0</v>
      </c>
      <c r="DA70" s="2028">
        <f t="shared" si="139"/>
        <v>0</v>
      </c>
      <c r="DB70" s="3284">
        <f t="shared" si="117"/>
        <v>0</v>
      </c>
      <c r="DC70" s="3295"/>
      <c r="DD70" s="3274">
        <f>ЦО_логистика!CE70+'Форд Тягач'!DD70+'MAN Blue KA1783HI'!CO70+'MAN green KA2790IE'!CO70+'MAN №3 white KA7837HO'!CO70+'MAN №4 white KA3597HO'!CO70+'MAN №5 Тент МД'!CE70</f>
        <v>0</v>
      </c>
      <c r="DE70" s="3274">
        <f>ЦО_логистика!CF70+'Форд Тягач'!DE70+'MAN Blue KA1783HI'!CP70+'MAN green KA2790IE'!CP70+'MAN №3 white KA7837HO'!CP70+'MAN №4 white KA3597HO'!CP70+'MAN №5 Тент МД'!CF70</f>
        <v>0</v>
      </c>
      <c r="DF70" s="2028">
        <f t="shared" si="140"/>
        <v>0</v>
      </c>
      <c r="DG70" s="3284">
        <f t="shared" si="118"/>
        <v>0</v>
      </c>
      <c r="DH70" s="3295"/>
      <c r="DI70" s="3274">
        <f>ЦО_логистика!CJ70+'Форд Тягач'!DI70+'MAN Blue KA1783HI'!CT70+'MAN green KA2790IE'!CT70+'MAN №3 white KA7837HO'!CT70+'MAN №4 white KA3597HO'!CT70+'MAN №5 Тент МД'!CJ70</f>
        <v>0</v>
      </c>
      <c r="DJ70" s="3274">
        <f>ЦО_логистика!CK70+'Форд Тягач'!DJ70+'MAN Blue KA1783HI'!CU70+'MAN green KA2790IE'!CU70+'MAN №3 white KA7837HO'!CU70+'MAN №4 white KA3597HO'!CU70+'MAN №5 Тент МД'!CK70</f>
        <v>0</v>
      </c>
      <c r="DK70" s="2028">
        <f t="shared" si="141"/>
        <v>0</v>
      </c>
      <c r="DL70" s="3284">
        <f t="shared" si="119"/>
        <v>0</v>
      </c>
      <c r="DM70" s="3295"/>
      <c r="DN70" s="3288">
        <f t="shared" si="142"/>
        <v>0</v>
      </c>
      <c r="DO70" s="3288">
        <f t="shared" si="142"/>
        <v>19100.93</v>
      </c>
      <c r="DP70" s="2028">
        <f t="shared" si="143"/>
        <v>19100.93</v>
      </c>
      <c r="DQ70" s="3284">
        <f t="shared" si="75"/>
        <v>7.2294324906687474E-4</v>
      </c>
      <c r="DR70" s="3275"/>
      <c r="DS70" s="916"/>
      <c r="DT70" s="916"/>
    </row>
    <row r="71" spans="1:124" s="1411" customFormat="1" ht="13.8" x14ac:dyDescent="0.25">
      <c r="A71" s="1586"/>
      <c r="B71" s="3310" t="s">
        <v>78</v>
      </c>
      <c r="C71" s="3274">
        <v>189.38</v>
      </c>
      <c r="D71" s="3274">
        <v>1000</v>
      </c>
      <c r="E71" s="2028">
        <v>1189.3800000000001</v>
      </c>
      <c r="F71" s="3284">
        <v>1.9022220925864839E-3</v>
      </c>
      <c r="G71" s="3295"/>
      <c r="H71" s="3274">
        <v>0</v>
      </c>
      <c r="I71" s="3274">
        <v>300</v>
      </c>
      <c r="J71" s="2028">
        <v>300</v>
      </c>
      <c r="K71" s="3284">
        <v>2.4907496825303339E-3</v>
      </c>
      <c r="L71" s="3295">
        <v>0</v>
      </c>
      <c r="M71" s="3274">
        <v>0</v>
      </c>
      <c r="N71" s="3274">
        <v>0</v>
      </c>
      <c r="O71" s="2028">
        <v>0</v>
      </c>
      <c r="P71" s="3284">
        <v>0</v>
      </c>
      <c r="Q71" s="3295">
        <v>0</v>
      </c>
      <c r="R71" s="3274">
        <f>'Форд Тягач'!R71+'MAN Blue KA1783HI'!C71+'MAN green KA2790IE'!C71+'MAN №3 white KA7837HO'!C71+'MAN №4 white KA3597HO'!C71</f>
        <v>252.52</v>
      </c>
      <c r="S71" s="3274">
        <f>'Форд Тягач'!S71+'MAN Blue KA1783HI'!D71+'MAN green KA2790IE'!D71+'MAN №3 white KA7837HO'!D71+'MAN №4 white KA3597HO'!D71</f>
        <v>0</v>
      </c>
      <c r="T71" s="2028">
        <f t="shared" si="120"/>
        <v>252.52</v>
      </c>
      <c r="U71" s="3284">
        <f t="shared" si="102"/>
        <v>1.9319399300319994E-4</v>
      </c>
      <c r="V71" s="3274"/>
      <c r="W71" s="3274">
        <f>'Форд Тягач'!W71+'MAN Blue KA1783HI'!H71+'MAN green KA2790IE'!H71+'MAN №3 white KA7837HO'!H71+'MAN №4 white KA3597HO'!H71+Техника!W71</f>
        <v>0</v>
      </c>
      <c r="X71" s="3274">
        <f>'Форд Тягач'!X71+'MAN Blue KA1783HI'!I71+'MAN green KA2790IE'!I71+'MAN №3 white KA7837HO'!I71+'MAN №4 white KA3597HO'!I71</f>
        <v>0</v>
      </c>
      <c r="Y71" s="2028">
        <f t="shared" si="121"/>
        <v>0</v>
      </c>
      <c r="Z71" s="3284">
        <f t="shared" si="103"/>
        <v>0</v>
      </c>
      <c r="AA71" s="3421" t="s">
        <v>1185</v>
      </c>
      <c r="AB71" s="3274">
        <f>ЦО_логистика!C71+'Форд Тягач'!AB71+'MAN Blue KA1783HI'!M71+'MAN green KA2790IE'!M71+'MAN №3 white KA7837HO'!M71+'MAN №4 white KA3597HO'!M71+'MAN №5 Тент МД'!C71</f>
        <v>0</v>
      </c>
      <c r="AC71" s="3274">
        <f>ЦО_логистика!D71+'Форд Тягач'!AC71+'MAN Blue KA1783HI'!N71+'MAN green KA2790IE'!N71+'MAN №3 white KA7837HO'!N71+'MAN №4 white KA3597HO'!N71+'MAN №5 Тент МД'!D71</f>
        <v>0</v>
      </c>
      <c r="AD71" s="2028">
        <f t="shared" si="122"/>
        <v>0</v>
      </c>
      <c r="AE71" s="3284">
        <f t="shared" si="2"/>
        <v>0</v>
      </c>
      <c r="AF71" s="3274"/>
      <c r="AG71" s="3274">
        <f>ЦО_логистика!H71+'Форд Тягач'!AG71+'MAN Blue KA1783HI'!R71+'MAN green KA2790IE'!R71+'MAN №3 white KA7837HO'!R71+'MAN №4 white KA3597HO'!R71+'MAN №5 Тент МД'!H71</f>
        <v>0</v>
      </c>
      <c r="AH71" s="3274">
        <f>ЦО_логистика!I71+'Форд Тягач'!AH71+'MAN Blue KA1783HI'!S71+'MAN green KA2790IE'!S71+'MAN №3 white KA7837HO'!S71+'MAN №4 white KA3597HO'!S71+'MAN №5 Тент МД'!I71</f>
        <v>0</v>
      </c>
      <c r="AI71" s="2028">
        <f t="shared" si="123"/>
        <v>0</v>
      </c>
      <c r="AJ71" s="3284">
        <f t="shared" si="104"/>
        <v>0</v>
      </c>
      <c r="AK71" s="3274"/>
      <c r="AL71" s="3274">
        <f>ЦО_логистика!M71+'Форд Тягач'!AL71+'MAN Blue KA1783HI'!W71+'MAN green KA2790IE'!W71+'MAN №3 white KA7837HO'!W71+'MAN №4 white KA3597HO'!W71+'MAN №5 Тент МД'!M71</f>
        <v>0</v>
      </c>
      <c r="AM71" s="3274">
        <f>ЦО_логистика!N71+'Форд Тягач'!AM71+'MAN Blue KA1783HI'!X71+'MAN green KA2790IE'!X71+'MAN №3 white KA7837HO'!X71+'MAN №4 white KA3597HO'!X71+'MAN №5 Тент МД'!N71</f>
        <v>0</v>
      </c>
      <c r="AN71" s="2028">
        <f t="shared" si="124"/>
        <v>0</v>
      </c>
      <c r="AO71" s="3284">
        <f t="shared" si="105"/>
        <v>0</v>
      </c>
      <c r="AP71" s="3425" t="str">
        <f>CONCATENATE(ЦО_логистика!Q71,'Форд Тягач'!AP71,'MAN Blue KA1783HI'!AA71,'MAN green KA2790IE'!AA71,'MAN №3 white KA7837HO'!AF71,'MAN №4 white KA3597HO'!AA71,'MAN №5 Тент МД'!Q71)</f>
        <v/>
      </c>
      <c r="AQ71" s="3274">
        <f>SUM(ЦО_логистика!R71,'Форд Тягач'!AQ71,'MAN Blue KA1783HI'!AB71,'MAN green KA2790IE'!AB71,'MAN №3 white KA7837HO'!AB71,'MAN №4 white KA3597HO'!AB71,'MAN №5 Тент МД'!R71)</f>
        <v>1905109.18</v>
      </c>
      <c r="AR71" s="3274">
        <f>SUM(ЦО_логистика!S71,'Форд Тягач'!AR71,'MAN Blue KA1783HI'!AC71,'MAN green KA2790IE'!AC71,'MAN №3 white KA7837HO'!AC71,'MAN №4 white KA3597HO'!AC71,'MAN №5 Тент МД'!S71)</f>
        <v>0</v>
      </c>
      <c r="AS71" s="2028">
        <f t="shared" si="125"/>
        <v>1905109.18</v>
      </c>
      <c r="AT71" s="3284">
        <f t="shared" si="106"/>
        <v>1.4904644933713596</v>
      </c>
      <c r="AU71" s="3425" t="str">
        <f>CONCATENATE(ЦО_логистика!V71,'Форд Тягач'!AU71,'MAN Blue KA1783HI'!AF70,'MAN green KA2790IE'!AF71,'MAN №3 white KA7837HO'!AF71,'MAN №4 white KA3597HO'!AF71,'MAN №5 Тент МД'!V71)</f>
        <v>Оптимус</v>
      </c>
      <c r="AV71" s="3275">
        <f>+ЦО_логистика!W71+'Форд Тягач'!AV71+'MAN Blue KA1783HI'!AG71+'MAN green KA2790IE'!AG71+'MAN №3 white KA7837HO'!AG71+'MAN №4 white KA3597HO'!AG71+'MAN №5 Тент МД'!W71</f>
        <v>0</v>
      </c>
      <c r="AW71" s="3275">
        <f>+ЦО_логистика!X71+'Форд Тягач'!AW71+'MAN Blue KA1783HI'!AH71+'MAN green KA2790IE'!AH71+'MAN №3 white KA7837HO'!AH71+'MAN №4 white KA3597HO'!AH71+'MAN №5 Тент МД'!X71</f>
        <v>0</v>
      </c>
      <c r="AX71" s="2028">
        <f t="shared" si="126"/>
        <v>0</v>
      </c>
      <c r="AY71" s="3284">
        <f t="shared" si="107"/>
        <v>0</v>
      </c>
      <c r="AZ71" s="3275"/>
      <c r="BA71" s="3275">
        <f t="shared" si="127"/>
        <v>17517.5</v>
      </c>
      <c r="BB71" s="3275">
        <f t="shared" si="127"/>
        <v>0</v>
      </c>
      <c r="BC71" s="2028">
        <f t="shared" si="128"/>
        <v>17517.5</v>
      </c>
      <c r="BD71" s="3284">
        <f t="shared" si="108"/>
        <v>1.370483751625867E-2</v>
      </c>
      <c r="BE71" s="3275">
        <f>ЦО_логистика!AD71+'Форд Тягач'!BC71+'MAN Blue KA1783HI'!AN71+'MAN green KA2790IE'!AN71+'MAN №3 white KA7837HO'!AN71+'MAN №4 white KA3597HO'!AN71+'MAN №5 Тент МД'!AD71-BC71</f>
        <v>0</v>
      </c>
      <c r="BF71" s="3274">
        <f>ЦО_логистика!AG71+'Форд Тягач'!BF71+'MAN Blue KA1783HI'!AQ71+'MAN green KA2790IE'!AQ71+'MAN №3 white KA7837HO'!AQ71+'MAN №4 white KA3597HO'!AQ71+'MAN №5 Тент МД'!AG71</f>
        <v>17517.5</v>
      </c>
      <c r="BG71" s="3274">
        <f>ЦО_логистика!AH71+'Форд Тягач'!BG71+'MAN Blue KA1783HI'!AR71+'MAN green KA2790IE'!AR71+'MAN №3 white KA7837HO'!AR71+'MAN №4 white KA3597HO'!AR71+'MAN №5 Тент МД'!AH71</f>
        <v>0</v>
      </c>
      <c r="BH71" s="2028">
        <f t="shared" si="129"/>
        <v>17517.5</v>
      </c>
      <c r="BI71" s="3284">
        <f t="shared" si="109"/>
        <v>1.370483751625867E-2</v>
      </c>
      <c r="BJ71" s="3275"/>
      <c r="BK71" s="3275">
        <f>ЦО_логистика!AL71+'Форд Тягач'!BK71+'MAN Blue KA1783HI'!AV71+'MAN green KA2790IE'!AV71+'MAN №3 white KA7837HO'!AV71+'MAN №4 white KA3597HO'!AV71+'MAN №5 Тент МД'!AL71</f>
        <v>0</v>
      </c>
      <c r="BL71" s="3275">
        <f>ЦО_логистика!AM71+'Форд Тягач'!BL71+'MAN Blue KA1783HI'!AW71+'MAN green KA2790IE'!AW71+'MAN №3 white KA7837HO'!AW71+'MAN №4 white KA3597HO'!AW71+'MAN №5 Тент МД'!AM71</f>
        <v>0</v>
      </c>
      <c r="BM71" s="2028">
        <f t="shared" si="130"/>
        <v>0</v>
      </c>
      <c r="BN71" s="3284">
        <f t="shared" si="131"/>
        <v>0</v>
      </c>
      <c r="BO71" s="3275"/>
      <c r="BP71" s="3274">
        <f>ЦО_логистика!AQ71+'Форд Тягач'!BP71+'MAN Blue KA1783HI'!BA71+'MAN green KA2790IE'!BA71+'MAN №3 white KA7837HO'!BA71+'MAN №4 white KA3597HO'!BA71+'MAN №5 Тент МД'!AQ71</f>
        <v>0</v>
      </c>
      <c r="BQ71" s="3274">
        <f>ЦО_логистика!AR71+'Форд Тягач'!BQ71+'MAN Blue KA1783HI'!BB71+'MAN green KA2790IE'!BB71+'MAN №3 white KA7837HO'!BB71+'MAN №4 white KA3597HO'!BB71+'MAN №5 Тент МД'!AR71</f>
        <v>0</v>
      </c>
      <c r="BR71" s="2028">
        <f t="shared" si="132"/>
        <v>0</v>
      </c>
      <c r="BS71" s="3284">
        <f t="shared" si="110"/>
        <v>0</v>
      </c>
      <c r="BT71" s="3274"/>
      <c r="BU71" s="3274">
        <f>ЦО_логистика!AV71+'Форд Тягач'!BU71+'MAN Blue KA1783HI'!BF71+'MAN green KA2790IE'!BF71+'MAN №3 white KA7837HO'!BF71+'MAN №4 white KA3597HO'!BF71+'MAN №5 Тент МД'!AV71</f>
        <v>0</v>
      </c>
      <c r="BV71" s="3274">
        <f>ЦО_логистика!AW71+'Форд Тягач'!BV71+'MAN Blue KA1783HI'!BG71+'MAN green KA2790IE'!BG71+'MAN №3 white KA7837HO'!BG71+'MAN №4 white KA3597HO'!BG71+'MAN №5 Тент МД'!AW71</f>
        <v>0</v>
      </c>
      <c r="BW71" s="2028">
        <f t="shared" si="133"/>
        <v>0</v>
      </c>
      <c r="BX71" s="3284">
        <f t="shared" si="111"/>
        <v>0</v>
      </c>
      <c r="BY71" s="3274"/>
      <c r="BZ71" s="3274">
        <f>ЦО_логистика!BA71+'Форд Тягач'!BZ71+'MAN Blue KA1783HI'!BK71+'MAN green KA2790IE'!BK71+'MAN №3 white KA7837HO'!BK71+'MAN №4 white KA3597HO'!BK71+'MAN №5 Тент МД'!BA71</f>
        <v>0</v>
      </c>
      <c r="CA71" s="3274">
        <f>ЦО_логистика!BB71+'Форд Тягач'!CA71+'MAN Blue KA1783HI'!BL71+'MAN green KA2790IE'!BL71+'MAN №3 white KA7837HO'!BL71+'MAN №4 white KA3597HO'!BL71+'MAN №5 Тент МД'!BB71</f>
        <v>0</v>
      </c>
      <c r="CB71" s="2028">
        <f t="shared" si="134"/>
        <v>0</v>
      </c>
      <c r="CC71" s="3284">
        <f t="shared" si="112"/>
        <v>0</v>
      </c>
      <c r="CD71" s="3274"/>
      <c r="CE71" s="3274">
        <f>ЦО_логистика!BF71+'Форд Тягач'!CE71+'MAN Blue KA1783HI'!BP71+'MAN green KA2790IE'!BP71+'MAN №3 white KA7837HO'!BP71+'MAN №4 white KA3597HO'!BP71+'MAN №5 Тент МД'!BF71</f>
        <v>0</v>
      </c>
      <c r="CF71" s="3274">
        <f>ЦО_логистика!BG71+'Форд Тягач'!CF71+'MAN Blue KA1783HI'!BQ71+'MAN green KA2790IE'!BQ71+'MAN №3 white KA7837HO'!BQ71+'MAN №4 white KA3597HO'!BQ71+'MAN №5 Тент МД'!BG71</f>
        <v>0</v>
      </c>
      <c r="CG71" s="2028">
        <f t="shared" si="135"/>
        <v>0</v>
      </c>
      <c r="CH71" s="3284">
        <f t="shared" si="113"/>
        <v>0</v>
      </c>
      <c r="CI71" s="3274"/>
      <c r="CJ71" s="3274">
        <f>ЦО_логистика!BK71+'Форд Тягач'!CJ71+'MAN Blue KA1783HI'!BU71+'MAN green KA2790IE'!BU71+'MAN №3 white KA7837HO'!BU71+'MAN №4 white KA3597HO'!BU71+'MAN №5 Тент МД'!BK71</f>
        <v>0</v>
      </c>
      <c r="CK71" s="3274">
        <f>ЦО_логистика!BL71+'Форд Тягач'!CK71+'MAN Blue KA1783HI'!BV71+'MAN green KA2790IE'!BV71+'MAN №3 white KA7837HO'!BV71+'MAN №4 white KA3597HO'!BV71+'MAN №5 Тент МД'!BL71</f>
        <v>0</v>
      </c>
      <c r="CL71" s="2028">
        <f t="shared" si="136"/>
        <v>0</v>
      </c>
      <c r="CM71" s="3284">
        <f t="shared" si="114"/>
        <v>0</v>
      </c>
      <c r="CN71" s="3274"/>
      <c r="CO71" s="3274">
        <f>ЦО_логистика!BP71+'Форд Тягач'!CO71+'MAN Blue KA1783HI'!BZ71+'MAN green KA2790IE'!BZ71+'MAN №3 white KA7837HO'!BZ71+'MAN №4 white KA3597HO'!BZ71+'MAN №5 Тент МД'!BP71</f>
        <v>0</v>
      </c>
      <c r="CP71" s="3274">
        <f>ЦО_логистика!BQ71+'Форд Тягач'!CP71+'MAN Blue KA1783HI'!CA71+'MAN green KA2790IE'!CA71+'MAN №3 white KA7837HO'!CA71+'MAN №4 white KA3597HO'!CA71+'MAN №5 Тент МД'!BQ71</f>
        <v>0</v>
      </c>
      <c r="CQ71" s="2028">
        <f t="shared" si="137"/>
        <v>0</v>
      </c>
      <c r="CR71" s="3284">
        <f t="shared" si="115"/>
        <v>0</v>
      </c>
      <c r="CS71" s="3274"/>
      <c r="CT71" s="3274">
        <f>ЦО_логистика!BU71+'Форд Тягач'!CT71+'MAN Blue KA1783HI'!CE71+'MAN green KA2790IE'!CE71+'MAN №3 white KA7837HO'!CE71+'MAN №4 white KA3597HO'!CE71+'MAN №5 Тент МД'!BU71</f>
        <v>0</v>
      </c>
      <c r="CU71" s="3274">
        <f>ЦО_логистика!BV71+'Форд Тягач'!CU71+'MAN Blue KA1783HI'!CF71+'MAN green KA2790IE'!CF71+'MAN №3 white KA7837HO'!CF71+'MAN №4 white KA3597HO'!CF71+'MAN №5 Тент МД'!BV71</f>
        <v>0</v>
      </c>
      <c r="CV71" s="2028">
        <f t="shared" si="138"/>
        <v>0</v>
      </c>
      <c r="CW71" s="3284">
        <f t="shared" si="116"/>
        <v>0</v>
      </c>
      <c r="CX71" s="3274"/>
      <c r="CY71" s="3274">
        <f>ЦО_логистика!BZ71+'Форд Тягач'!CY71+'MAN Blue KA1783HI'!CJ71+'MAN green KA2790IE'!CJ71+'MAN №3 white KA7837HO'!CJ71+'MAN №4 white KA3597HO'!CJ71+'MAN №5 Тент МД'!BZ71</f>
        <v>0</v>
      </c>
      <c r="CZ71" s="3274">
        <f>ЦО_логистика!CA71+'Форд Тягач'!CZ71+'MAN Blue KA1783HI'!CK71+'MAN green KA2790IE'!CK71+'MAN №3 white KA7837HO'!CK71+'MAN №4 white KA3597HO'!CK71+'MAN №5 Тент МД'!CA71</f>
        <v>0</v>
      </c>
      <c r="DA71" s="2028">
        <f t="shared" si="139"/>
        <v>0</v>
      </c>
      <c r="DB71" s="3284">
        <f t="shared" si="117"/>
        <v>0</v>
      </c>
      <c r="DC71" s="3274"/>
      <c r="DD71" s="3274">
        <f>ЦО_логистика!CE71+'Форд Тягач'!DD71+'MAN Blue KA1783HI'!CO71+'MAN green KA2790IE'!CO71+'MAN №3 white KA7837HO'!CO71+'MAN №4 white KA3597HO'!CO71+'MAN №5 Тент МД'!CE71</f>
        <v>0</v>
      </c>
      <c r="DE71" s="3274">
        <f>ЦО_логистика!CF71+'Форд Тягач'!DE71+'MAN Blue KA1783HI'!CP71+'MAN green KA2790IE'!CP71+'MAN №3 white KA7837HO'!CP71+'MAN №4 white KA3597HO'!CP71+'MAN №5 Тент МД'!CF71</f>
        <v>0</v>
      </c>
      <c r="DF71" s="2028">
        <f t="shared" si="140"/>
        <v>0</v>
      </c>
      <c r="DG71" s="3284">
        <f t="shared" si="118"/>
        <v>0</v>
      </c>
      <c r="DH71" s="3274"/>
      <c r="DI71" s="3274">
        <f>ЦО_логистика!CJ71+'Форд Тягач'!DI71+'MAN Blue KA1783HI'!CT71+'MAN green KA2790IE'!CT71+'MAN №3 white KA7837HO'!CT71+'MAN №4 white KA3597HO'!CT71+'MAN №5 Тент МД'!CJ71</f>
        <v>0</v>
      </c>
      <c r="DJ71" s="3274">
        <f>ЦО_логистика!CK71+'Форд Тягач'!DJ71+'MAN Blue KA1783HI'!CU71+'MAN green KA2790IE'!CU71+'MAN №3 white KA7837HO'!CU71+'MAN №4 white KA3597HO'!CU71+'MAN №5 Тент МД'!CK71</f>
        <v>0</v>
      </c>
      <c r="DK71" s="2028">
        <f t="shared" si="141"/>
        <v>0</v>
      </c>
      <c r="DL71" s="3284">
        <f t="shared" si="119"/>
        <v>0</v>
      </c>
      <c r="DM71" s="3274"/>
      <c r="DN71" s="3288">
        <f t="shared" si="142"/>
        <v>1922879.2</v>
      </c>
      <c r="DO71" s="3288">
        <f t="shared" si="142"/>
        <v>0</v>
      </c>
      <c r="DP71" s="2028">
        <f t="shared" si="143"/>
        <v>1922879.2</v>
      </c>
      <c r="DQ71" s="3284">
        <f t="shared" si="75"/>
        <v>7.2778264535345291E-2</v>
      </c>
      <c r="DR71" s="3275"/>
      <c r="DS71" s="916"/>
      <c r="DT71" s="916"/>
    </row>
    <row r="72" spans="1:124" s="1411" customFormat="1" ht="14.4" thickBot="1" x14ac:dyDescent="0.3">
      <c r="A72" s="1586"/>
      <c r="B72" s="3310"/>
      <c r="C72" s="3278">
        <v>0</v>
      </c>
      <c r="D72" s="3278">
        <v>0</v>
      </c>
      <c r="E72" s="2046">
        <v>0</v>
      </c>
      <c r="F72" s="3228">
        <v>0</v>
      </c>
      <c r="G72" s="3229"/>
      <c r="H72" s="3278">
        <v>0</v>
      </c>
      <c r="I72" s="3278">
        <v>0</v>
      </c>
      <c r="J72" s="2046">
        <v>0</v>
      </c>
      <c r="K72" s="3228">
        <v>0</v>
      </c>
      <c r="L72" s="3229">
        <v>0</v>
      </c>
      <c r="M72" s="3278">
        <v>0</v>
      </c>
      <c r="N72" s="3278">
        <v>0</v>
      </c>
      <c r="O72" s="2046">
        <v>0</v>
      </c>
      <c r="P72" s="3228">
        <v>0</v>
      </c>
      <c r="Q72" s="3229">
        <v>0</v>
      </c>
      <c r="R72" s="3278"/>
      <c r="S72" s="3278"/>
      <c r="T72" s="2046"/>
      <c r="U72" s="3228"/>
      <c r="V72" s="3229"/>
      <c r="W72" s="3278"/>
      <c r="X72" s="3278"/>
      <c r="Y72" s="2046"/>
      <c r="Z72" s="3228"/>
      <c r="AA72" s="3229"/>
      <c r="AB72" s="3278"/>
      <c r="AC72" s="3278"/>
      <c r="AD72" s="2046"/>
      <c r="AE72" s="3228"/>
      <c r="AF72" s="3229"/>
      <c r="AG72" s="3278"/>
      <c r="AH72" s="3278"/>
      <c r="AI72" s="2046"/>
      <c r="AJ72" s="3228"/>
      <c r="AK72" s="3229"/>
      <c r="AL72" s="3278"/>
      <c r="AM72" s="3278"/>
      <c r="AN72" s="2046"/>
      <c r="AO72" s="3228"/>
      <c r="AP72" s="3229"/>
      <c r="AQ72" s="3278"/>
      <c r="AR72" s="3278"/>
      <c r="AS72" s="2046"/>
      <c r="AT72" s="3228"/>
      <c r="AU72" s="3229"/>
      <c r="AV72" s="1325"/>
      <c r="AW72" s="1325"/>
      <c r="AX72" s="1325"/>
      <c r="AY72" s="1325"/>
      <c r="AZ72" s="1325"/>
      <c r="BA72" s="1325"/>
      <c r="BB72" s="1325"/>
      <c r="BC72" s="1325"/>
      <c r="BD72" s="1325"/>
      <c r="BE72" s="1325">
        <f>ЦО_логистика!AD72+'Форд Тягач'!BC72+'MAN Blue KA1783HI'!AN72+'MAN green KA2790IE'!AN72+'MAN №3 white KA7837HO'!AN72+'MAN №4 white KA3597HO'!AN72+'MAN №5 Тент МД'!AD72-BC72</f>
        <v>0</v>
      </c>
      <c r="BF72" s="3278"/>
      <c r="BG72" s="3278"/>
      <c r="BH72" s="2046"/>
      <c r="BI72" s="3228"/>
      <c r="BJ72" s="1325"/>
      <c r="BK72" s="1325"/>
      <c r="BL72" s="1325"/>
      <c r="BM72" s="2046"/>
      <c r="BN72" s="3228"/>
      <c r="BO72" s="1325"/>
      <c r="BP72" s="3278"/>
      <c r="BQ72" s="3278"/>
      <c r="BR72" s="2046"/>
      <c r="BS72" s="3228"/>
      <c r="BT72" s="3229"/>
      <c r="BU72" s="3278"/>
      <c r="BV72" s="3278"/>
      <c r="BW72" s="2046"/>
      <c r="BX72" s="3228"/>
      <c r="BY72" s="3229"/>
      <c r="BZ72" s="3278"/>
      <c r="CA72" s="3278"/>
      <c r="CB72" s="2046"/>
      <c r="CC72" s="3228"/>
      <c r="CD72" s="3229"/>
      <c r="CE72" s="3278"/>
      <c r="CF72" s="3278"/>
      <c r="CG72" s="2046"/>
      <c r="CH72" s="3228"/>
      <c r="CI72" s="3229"/>
      <c r="CJ72" s="3278"/>
      <c r="CK72" s="3278"/>
      <c r="CL72" s="2046"/>
      <c r="CM72" s="3228"/>
      <c r="CN72" s="3229"/>
      <c r="CO72" s="3278"/>
      <c r="CP72" s="3278"/>
      <c r="CQ72" s="2046"/>
      <c r="CR72" s="3228"/>
      <c r="CS72" s="3229"/>
      <c r="CT72" s="3278"/>
      <c r="CU72" s="3278"/>
      <c r="CV72" s="2046"/>
      <c r="CW72" s="3228"/>
      <c r="CX72" s="3229"/>
      <c r="CY72" s="3278"/>
      <c r="CZ72" s="3278"/>
      <c r="DA72" s="2046"/>
      <c r="DB72" s="3228"/>
      <c r="DC72" s="3229"/>
      <c r="DD72" s="3278"/>
      <c r="DE72" s="3278"/>
      <c r="DF72" s="2046"/>
      <c r="DG72" s="3228"/>
      <c r="DH72" s="3229"/>
      <c r="DI72" s="3278"/>
      <c r="DJ72" s="3278"/>
      <c r="DK72" s="2046"/>
      <c r="DL72" s="3228"/>
      <c r="DM72" s="3229"/>
      <c r="DN72" s="3418"/>
      <c r="DO72" s="3278"/>
      <c r="DP72" s="2046"/>
      <c r="DQ72" s="3228">
        <f>DP72/$DP$89</f>
        <v>0</v>
      </c>
      <c r="DR72" s="1325"/>
      <c r="DS72" s="916"/>
      <c r="DT72" s="916"/>
    </row>
    <row r="73" spans="1:124" s="1411" customFormat="1" ht="14.4" thickBot="1" x14ac:dyDescent="0.3">
      <c r="A73" s="1586"/>
      <c r="B73" s="3324" t="s">
        <v>4</v>
      </c>
      <c r="C73" s="1599">
        <v>0</v>
      </c>
      <c r="D73" s="1704">
        <v>0</v>
      </c>
      <c r="E73" s="1703">
        <v>0</v>
      </c>
      <c r="F73" s="1704">
        <v>0</v>
      </c>
      <c r="G73" s="1704"/>
      <c r="H73" s="1042">
        <v>0</v>
      </c>
      <c r="I73" s="1704">
        <v>0</v>
      </c>
      <c r="J73" s="1703">
        <v>0</v>
      </c>
      <c r="K73" s="1704">
        <v>0</v>
      </c>
      <c r="L73" s="1704">
        <v>0</v>
      </c>
      <c r="M73" s="1042">
        <v>0</v>
      </c>
      <c r="N73" s="1704">
        <v>0</v>
      </c>
      <c r="O73" s="1703">
        <v>0</v>
      </c>
      <c r="P73" s="1704">
        <v>0</v>
      </c>
      <c r="Q73" s="1704">
        <v>0</v>
      </c>
      <c r="R73" s="1599">
        <f>R74</f>
        <v>34937.11</v>
      </c>
      <c r="S73" s="1704">
        <f>S74</f>
        <v>0</v>
      </c>
      <c r="T73" s="1703">
        <f>T74</f>
        <v>34937.11</v>
      </c>
      <c r="U73" s="1704"/>
      <c r="V73" s="1704"/>
      <c r="W73" s="1599">
        <f>W74</f>
        <v>35799.9</v>
      </c>
      <c r="X73" s="1704">
        <f>X74</f>
        <v>0</v>
      </c>
      <c r="Y73" s="1703">
        <f>Y74</f>
        <v>35799.9</v>
      </c>
      <c r="Z73" s="1704"/>
      <c r="AA73" s="1704"/>
      <c r="AB73" s="1599">
        <f>AB74</f>
        <v>66390.16</v>
      </c>
      <c r="AC73" s="1704">
        <f>AC74</f>
        <v>0</v>
      </c>
      <c r="AD73" s="1703">
        <f>AD74</f>
        <v>66390.16</v>
      </c>
      <c r="AE73" s="1704"/>
      <c r="AF73" s="1704"/>
      <c r="AG73" s="1599">
        <f>AG74</f>
        <v>24916.25</v>
      </c>
      <c r="AH73" s="1704">
        <f>AH74</f>
        <v>0</v>
      </c>
      <c r="AI73" s="1703">
        <f>AI74</f>
        <v>24916.25</v>
      </c>
      <c r="AJ73" s="1704"/>
      <c r="AK73" s="1704"/>
      <c r="AL73" s="1599">
        <f>AL74</f>
        <v>114755.1</v>
      </c>
      <c r="AM73" s="1704">
        <f>AM74</f>
        <v>0</v>
      </c>
      <c r="AN73" s="1703">
        <f>AN74</f>
        <v>114755.1</v>
      </c>
      <c r="AO73" s="1704"/>
      <c r="AP73" s="1704"/>
      <c r="AQ73" s="1599">
        <f>AQ74</f>
        <v>54388.100000000006</v>
      </c>
      <c r="AR73" s="1704">
        <f>AR74</f>
        <v>0</v>
      </c>
      <c r="AS73" s="1703">
        <f>AS74</f>
        <v>54388.100000000006</v>
      </c>
      <c r="AT73" s="1704"/>
      <c r="AU73" s="1704"/>
      <c r="AV73" s="1599">
        <f>AV74</f>
        <v>0</v>
      </c>
      <c r="AW73" s="1704">
        <f>AW74</f>
        <v>0</v>
      </c>
      <c r="AX73" s="1703">
        <f>AX74</f>
        <v>0</v>
      </c>
      <c r="AY73" s="1719"/>
      <c r="AZ73" s="1719">
        <f>ЦО_логистика!Y73+'Форд Тягач'!AX73+'MAN Blue KA1783HI'!AI73+'MAN green KA2790IE'!AI73+'MAN №3 white KA7837HO'!AI73+'MAN №4 white KA3597HO'!AI73+'MAN №5 Тент МД'!Y73-AX73</f>
        <v>0</v>
      </c>
      <c r="BA73" s="1599">
        <f>BA74</f>
        <v>0</v>
      </c>
      <c r="BB73" s="1704">
        <f>BB74</f>
        <v>0</v>
      </c>
      <c r="BC73" s="1703">
        <f>BC74</f>
        <v>0</v>
      </c>
      <c r="BD73" s="1719"/>
      <c r="BE73" s="1719">
        <f>ЦО_логистика!AD73+'Форд Тягач'!BC73+'MAN Blue KA1783HI'!AN73+'MAN green KA2790IE'!AN73+'MAN №3 white KA7837HO'!AN73+'MAN №4 white KA3597HO'!AN73+'MAN №5 Тент МД'!AD73-BC73</f>
        <v>0</v>
      </c>
      <c r="BF73" s="1599">
        <f>BF74</f>
        <v>0</v>
      </c>
      <c r="BG73" s="1704">
        <f>BG74</f>
        <v>0</v>
      </c>
      <c r="BH73" s="1703">
        <f>BH74</f>
        <v>0</v>
      </c>
      <c r="BI73" s="1704"/>
      <c r="BJ73" s="1719"/>
      <c r="BK73" s="1599">
        <f>BK74</f>
        <v>0</v>
      </c>
      <c r="BL73" s="1704">
        <f>BL74</f>
        <v>0</v>
      </c>
      <c r="BM73" s="1703">
        <f>BM74</f>
        <v>0</v>
      </c>
      <c r="BN73" s="1704"/>
      <c r="BO73" s="1719"/>
      <c r="BP73" s="1599">
        <f>BP74</f>
        <v>0</v>
      </c>
      <c r="BQ73" s="1704">
        <f>BQ74</f>
        <v>0</v>
      </c>
      <c r="BR73" s="1703">
        <f>BR74</f>
        <v>0</v>
      </c>
      <c r="BS73" s="1704"/>
      <c r="BT73" s="1704"/>
      <c r="BU73" s="1599">
        <f>BU74</f>
        <v>0</v>
      </c>
      <c r="BV73" s="1704">
        <f>BV74</f>
        <v>0</v>
      </c>
      <c r="BW73" s="1703">
        <f>BW74</f>
        <v>0</v>
      </c>
      <c r="BX73" s="1704"/>
      <c r="BY73" s="1704"/>
      <c r="BZ73" s="1599">
        <f>BZ74</f>
        <v>0</v>
      </c>
      <c r="CA73" s="1704">
        <f>CA74</f>
        <v>0</v>
      </c>
      <c r="CB73" s="1703">
        <f>CB74</f>
        <v>0</v>
      </c>
      <c r="CC73" s="1704"/>
      <c r="CD73" s="1704"/>
      <c r="CE73" s="1599">
        <f>CE74</f>
        <v>0</v>
      </c>
      <c r="CF73" s="1704">
        <f>CF74</f>
        <v>0</v>
      </c>
      <c r="CG73" s="1703">
        <f>CG74</f>
        <v>0</v>
      </c>
      <c r="CH73" s="1704"/>
      <c r="CI73" s="1704"/>
      <c r="CJ73" s="1599">
        <f>CJ74</f>
        <v>0</v>
      </c>
      <c r="CK73" s="1986">
        <f>CK74</f>
        <v>0</v>
      </c>
      <c r="CL73" s="1703">
        <f>CL74</f>
        <v>0</v>
      </c>
      <c r="CM73" s="1704"/>
      <c r="CN73" s="1704"/>
      <c r="CO73" s="1599">
        <f>CO74</f>
        <v>0</v>
      </c>
      <c r="CP73" s="1986">
        <f>CP74</f>
        <v>0</v>
      </c>
      <c r="CQ73" s="1703">
        <f>CQ74</f>
        <v>0</v>
      </c>
      <c r="CR73" s="1704"/>
      <c r="CS73" s="1704"/>
      <c r="CT73" s="1599">
        <f>CT74</f>
        <v>0</v>
      </c>
      <c r="CU73" s="1986">
        <f>CU74</f>
        <v>0</v>
      </c>
      <c r="CV73" s="1703">
        <f>CV74</f>
        <v>0</v>
      </c>
      <c r="CW73" s="1704"/>
      <c r="CX73" s="1704"/>
      <c r="CY73" s="1599">
        <f>CY74</f>
        <v>0</v>
      </c>
      <c r="CZ73" s="1986">
        <f>CZ74</f>
        <v>0</v>
      </c>
      <c r="DA73" s="1703">
        <f>DA74</f>
        <v>0</v>
      </c>
      <c r="DB73" s="1704"/>
      <c r="DC73" s="1704"/>
      <c r="DD73" s="1599">
        <f>DD74</f>
        <v>0</v>
      </c>
      <c r="DE73" s="1986">
        <f>DE74</f>
        <v>0</v>
      </c>
      <c r="DF73" s="1703">
        <f>DF74</f>
        <v>0</v>
      </c>
      <c r="DG73" s="1704"/>
      <c r="DH73" s="1704"/>
      <c r="DI73" s="1599">
        <f>DI74</f>
        <v>0</v>
      </c>
      <c r="DJ73" s="1986">
        <f>DJ74</f>
        <v>0</v>
      </c>
      <c r="DK73" s="1703">
        <f>DK74</f>
        <v>0</v>
      </c>
      <c r="DL73" s="1704"/>
      <c r="DM73" s="1704"/>
      <c r="DN73" s="1599">
        <f>DN74</f>
        <v>331186.62</v>
      </c>
      <c r="DO73" s="1704">
        <f>DO74</f>
        <v>0</v>
      </c>
      <c r="DP73" s="1703">
        <f>DP74</f>
        <v>331186.62</v>
      </c>
      <c r="DQ73" s="1704"/>
      <c r="DR73" s="1704"/>
      <c r="DS73" s="916"/>
      <c r="DT73" s="916"/>
    </row>
    <row r="74" spans="1:124" s="1411" customFormat="1" ht="28.2" thickBot="1" x14ac:dyDescent="0.3">
      <c r="A74" s="1428"/>
      <c r="B74" s="3289" t="s">
        <v>64</v>
      </c>
      <c r="C74" s="3274">
        <v>0</v>
      </c>
      <c r="D74" s="3274">
        <v>0</v>
      </c>
      <c r="E74" s="3327">
        <v>0</v>
      </c>
      <c r="F74" s="3327">
        <v>0</v>
      </c>
      <c r="G74" s="3327"/>
      <c r="H74" s="3274">
        <v>0</v>
      </c>
      <c r="I74" s="3274">
        <v>0</v>
      </c>
      <c r="J74" s="3327">
        <v>0</v>
      </c>
      <c r="K74" s="3327">
        <v>0</v>
      </c>
      <c r="L74" s="3327">
        <v>0</v>
      </c>
      <c r="M74" s="3274">
        <v>0</v>
      </c>
      <c r="N74" s="3274">
        <v>0</v>
      </c>
      <c r="O74" s="3327">
        <v>0</v>
      </c>
      <c r="P74" s="3327">
        <v>0</v>
      </c>
      <c r="Q74" s="3327">
        <v>0</v>
      </c>
      <c r="R74" s="3274">
        <f>866.78+10401.42+23668.91</f>
        <v>34937.11</v>
      </c>
      <c r="S74" s="3274"/>
      <c r="T74" s="2028">
        <f>R74+S74*1</f>
        <v>34937.11</v>
      </c>
      <c r="U74" s="3327"/>
      <c r="V74" s="1596" t="s">
        <v>1118</v>
      </c>
      <c r="W74" s="3274">
        <f>'Форд Тягач'!W74+'MAN Blue KA1783HI'!H74+'MAN green KA2790IE'!H74+'MAN №3 white KA7837HO'!H74+'MAN №4 white KA3597HO'!H74+35799.9</f>
        <v>35799.9</v>
      </c>
      <c r="X74" s="3274">
        <f>'Форд Тягач'!X74+'MAN Blue KA1783HI'!I74+'MAN green KA2790IE'!I74+'MAN №3 white KA7837HO'!I74+'MAN №4 white KA3597HO'!I74</f>
        <v>0</v>
      </c>
      <c r="Y74" s="2028">
        <f>W74+X74*1</f>
        <v>35799.9</v>
      </c>
      <c r="Z74" s="3327"/>
      <c r="AA74" s="3421" t="s">
        <v>1204</v>
      </c>
      <c r="AB74" s="3274">
        <f>ЦО_логистика!C74+'Форд Тягач'!AB74+'MAN Blue KA1783HI'!M74+'MAN green KA2790IE'!M74+'MAN №3 white KA7837HO'!M74+'MAN №4 white KA3597HO'!M74+'MAN №5 Тент МД'!C74</f>
        <v>66390.16</v>
      </c>
      <c r="AC74" s="3274">
        <f>ЦО_логистика!D74+'Форд Тягач'!AC74+'MAN Blue KA1783HI'!N74+'MAN green KA2790IE'!N74+'MAN №3 white KA7837HO'!N74+'MAN №4 white KA3597HO'!N74+'MAN №5 Тент МД'!D74</f>
        <v>0</v>
      </c>
      <c r="AD74" s="3332">
        <f>AB74+AC74</f>
        <v>66390.16</v>
      </c>
      <c r="AE74" s="3327"/>
      <c r="AF74" s="3327"/>
      <c r="AG74" s="3274">
        <f>ЦО_логистика!H74+'Форд Тягач'!AG74+'MAN Blue KA1783HI'!R74+'MAN green KA2790IE'!R74+'MAN №3 white KA7837HO'!R74+'MAN №4 white KA3597HO'!R74+'MAN №5 Тент МД'!H74</f>
        <v>24916.25</v>
      </c>
      <c r="AH74" s="3274">
        <f>ЦО_логистика!I74+'Форд Тягач'!AH74+'MAN Blue KA1783HI'!S74+'MAN green KA2790IE'!S74+'MAN №3 white KA7837HO'!S74+'MAN №4 white KA3597HO'!S74+'MAN №5 Тент МД'!I74</f>
        <v>0</v>
      </c>
      <c r="AI74" s="2028">
        <f>AG74+AH74*1</f>
        <v>24916.25</v>
      </c>
      <c r="AJ74" s="3327"/>
      <c r="AK74" s="3275" t="s">
        <v>1333</v>
      </c>
      <c r="AL74" s="3274">
        <f>ЦО_логистика!M74+'Форд Тягач'!AL74+'MAN Blue KA1783HI'!W74+'MAN green KA2790IE'!W74+'MAN №3 white KA7837HO'!W74+'MAN №4 white KA3597HO'!W74+'MAN №5 Тент МД'!M74</f>
        <v>114755.1</v>
      </c>
      <c r="AM74" s="3274">
        <f>ЦО_логистика!N74+'Форд Тягач'!AM74+'MAN Blue KA1783HI'!X74+'MAN green KA2790IE'!X74+'MAN №3 white KA7837HO'!X74+'MAN №4 white KA3597HO'!X74+'MAN №5 Тент МД'!N74</f>
        <v>0</v>
      </c>
      <c r="AN74" s="3274">
        <f>ЦО_логистика!O74+'Форд Тягач'!AN74+'MAN Blue KA1783HI'!Y74+'MAN green KA2790IE'!Y74+'MAN №3 white KA7837HO'!Y74+'MAN №4 white KA3597HO'!Y74+'MAN №5 Тент МД'!O74</f>
        <v>114755.1</v>
      </c>
      <c r="AO74" s="3327"/>
      <c r="AP74" s="3428" t="str">
        <f>CONCATENATE(ЦО_логистика!Q74,'Форд Тягач'!AP74,'MAN Blue KA1783HI'!AA74,'MAN green KA2790IE'!AA74,'MAN №3 white KA7837HO'!AF74,'MAN №4 white KA3597HO'!AA74,'MAN №5 Тент МД'!Q74)</f>
        <v>1972 - ЄСВ; 23665,5 - НДФЛ; 89 117,60 - обязательство по НДС</v>
      </c>
      <c r="AQ74" s="3274">
        <f>SUM(ЦО_логистика!R74,'Форд Тягач'!AQ74,'MAN Blue KA1783HI'!AB74,'MAN green KA2790IE'!AB74,'MAN №3 white KA7837HO'!AB74,'MAN №4 white KA3597HO'!AB74,'MAN №5 Тент МД'!R74)</f>
        <v>54388.100000000006</v>
      </c>
      <c r="AR74" s="3274">
        <f>SUM(ЦО_логистика!S74,'Форд Тягач'!AR74,'MAN Blue KA1783HI'!AC74,'MAN green KA2790IE'!AC74,'MAN №3 white KA7837HO'!AC74,'MAN №4 white KA3597HO'!AC74,'MAN №5 Тент МД'!S74)</f>
        <v>0</v>
      </c>
      <c r="AS74" s="2028">
        <f>AQ74+AR74*1</f>
        <v>54388.100000000006</v>
      </c>
      <c r="AT74" s="3327"/>
      <c r="AU74" s="3428" t="str">
        <f>CONCATENATE(ЦО_логистика!V74,'Форд Тягач'!AU74,'MAN Blue KA1783HI'!AF74,'MAN green KA2790IE'!AF74,'MAN №3 white KA7837HO'!AF74,'MAN №4 white KA3597HO'!AF74,'MAN №5 Тент МД'!V74)</f>
        <v xml:space="preserve"> 1943,71 - ВС;  23324,58 - НДФЛ; 29119,81 - ЄСВ</v>
      </c>
      <c r="AV74" s="3275">
        <f>+ЦО_логистика!W74+'Форд Тягач'!AV74+'MAN Blue KA1783HI'!AG74+'MAN green KA2790IE'!AG74+'MAN №3 white KA7837HO'!AG74+'MAN №4 white KA3597HO'!AG74+'MAN №5 Тент МД'!W74</f>
        <v>0</v>
      </c>
      <c r="AW74" s="3275">
        <f>+ЦО_логистика!X74+'Форд Тягач'!AW74+'MAN Blue KA1783HI'!AH74+'MAN green KA2790IE'!AH74+'MAN №3 white KA7837HO'!AH74+'MAN №4 white KA3597HO'!AH74+'MAN №5 Тент МД'!X74</f>
        <v>0</v>
      </c>
      <c r="AX74" s="3275"/>
      <c r="AY74" s="3275"/>
      <c r="AZ74" s="3275"/>
      <c r="BA74" s="3275">
        <f t="shared" ref="BA74:BB74" si="144">BF74+BK74+BP74+BU74+BZ74+CE74+CJ74+CO74+CT74+CY74+DD74+DI74</f>
        <v>0</v>
      </c>
      <c r="BB74" s="3275">
        <f t="shared" si="144"/>
        <v>0</v>
      </c>
      <c r="BC74" s="3275"/>
      <c r="BD74" s="3275"/>
      <c r="BE74" s="3275">
        <f>ЦО_логистика!AD74+'Форд Тягач'!BC74+'MAN Blue KA1783HI'!AN74+'MAN green KA2790IE'!AN74+'MAN №3 white KA7837HO'!AN74+'MAN №4 white KA3597HO'!AN74+'MAN №5 Тент МД'!AD74-BC74</f>
        <v>0</v>
      </c>
      <c r="BF74" s="3274">
        <f>ЦО_логистика!AG74+'Форд Тягач'!BF74+'MAN Blue KA1783HI'!AQ74+'MAN green KA2790IE'!AQ74+'MAN №3 white KA7837HO'!AQ74+'MAN №4 white KA3597HO'!AQ74+'MAN №5 Тент МД'!AG74</f>
        <v>0</v>
      </c>
      <c r="BG74" s="3274">
        <f>ЦО_логистика!AH74+'Форд Тягач'!BG74+'MAN Blue KA1783HI'!AR74+'MAN green KA2790IE'!AR74+'MAN №3 white KA7837HO'!AR74+'MAN №4 white KA3597HO'!AR74+'MAN №5 Тент МД'!AH74</f>
        <v>0</v>
      </c>
      <c r="BH74" s="2028">
        <f>BF74+BG74*1</f>
        <v>0</v>
      </c>
      <c r="BI74" s="3327"/>
      <c r="BJ74" s="3275"/>
      <c r="BK74" s="3275">
        <f>ЦО_логистика!AL74+'Форд Тягач'!BK74+'MAN Blue KA1783HI'!AV74+'MAN green KA2790IE'!AV74+'MAN №3 white KA7837HO'!AV74+'MAN №4 white KA3597HO'!AV74+'MAN №5 Тент МД'!AL74</f>
        <v>0</v>
      </c>
      <c r="BL74" s="3275">
        <f>ЦО_логистика!AM74+'Форд Тягач'!BL74+'MAN Blue KA1783HI'!AW74+'MAN green KA2790IE'!AW74+'MAN №3 white KA7837HO'!AW74+'MAN №4 white KA3597HO'!AW74+'MAN №5 Тент МД'!AM74</f>
        <v>0</v>
      </c>
      <c r="BM74" s="2028">
        <f>BK74+BL74*1</f>
        <v>0</v>
      </c>
      <c r="BN74" s="3327"/>
      <c r="BO74" s="3275"/>
      <c r="BP74" s="3274">
        <f>ЦО_логистика!AQ74+'Форд Тягач'!BP74+'MAN Blue KA1783HI'!BA74+'MAN green KA2790IE'!BA74+'MAN №3 white KA7837HO'!BA74+'MAN №4 white KA3597HO'!BA74+'MAN №5 Тент МД'!AQ74</f>
        <v>0</v>
      </c>
      <c r="BQ74" s="3274">
        <f>ЦО_логистика!AR74+'Форд Тягач'!BQ74+'MAN Blue KA1783HI'!BB74+'MAN green KA2790IE'!BB74+'MAN №3 white KA7837HO'!BB74+'MAN №4 white KA3597HO'!BB74+'MAN №5 Тент МД'!AR74</f>
        <v>0</v>
      </c>
      <c r="BR74" s="3329">
        <f>BP74+BQ74*1</f>
        <v>0</v>
      </c>
      <c r="BS74" s="3327"/>
      <c r="BT74" s="3327"/>
      <c r="BU74" s="3274">
        <f>ЦО_логистика!AV74+'Форд Тягач'!BU74+'MAN Blue KA1783HI'!BF74+'MAN green KA2790IE'!BF74+'MAN №3 white KA7837HO'!BF74+'MAN №4 white KA3597HO'!BF74+'MAN №5 Тент МД'!AV74</f>
        <v>0</v>
      </c>
      <c r="BV74" s="3274">
        <f>ЦО_логистика!AW74+'Форд Тягач'!BV74+'MAN Blue KA1783HI'!BG74+'MAN green KA2790IE'!BG74+'MAN №3 white KA7837HO'!BG74+'MAN №4 white KA3597HO'!BG74+'MAN №5 Тент МД'!AW74</f>
        <v>0</v>
      </c>
      <c r="BW74" s="3329">
        <f>BU74+BV74*1</f>
        <v>0</v>
      </c>
      <c r="BX74" s="3327"/>
      <c r="BY74" s="3327"/>
      <c r="BZ74" s="3274">
        <f>ЦО_логистика!BA74+'Форд Тягач'!BZ74+'MAN Blue KA1783HI'!BK74+'MAN green KA2790IE'!BK74+'MAN №3 white KA7837HO'!BK74+'MAN №4 white KA3597HO'!BK74+'MAN №5 Тент МД'!BA74</f>
        <v>0</v>
      </c>
      <c r="CA74" s="3274">
        <f>ЦО_логистика!BB74+'Форд Тягач'!CA74+'MAN Blue KA1783HI'!BL74+'MAN green KA2790IE'!BL74+'MAN №3 white KA7837HO'!BL74+'MAN №4 white KA3597HO'!BL74+'MAN №5 Тент МД'!BB74</f>
        <v>0</v>
      </c>
      <c r="CB74" s="3329">
        <f>BZ74+CA74*1</f>
        <v>0</v>
      </c>
      <c r="CC74" s="3327"/>
      <c r="CD74" s="3327"/>
      <c r="CE74" s="3274">
        <f>ЦО_логистика!BF74+'Форд Тягач'!CE74+'MAN Blue KA1783HI'!BP74+'MAN green KA2790IE'!BP74+'MAN №3 white KA7837HO'!BP74+'MAN №4 white KA3597HO'!BP74+'MAN №5 Тент МД'!BF74</f>
        <v>0</v>
      </c>
      <c r="CF74" s="3274">
        <f>ЦО_логистика!BG74+'Форд Тягач'!CF74+'MAN Blue KA1783HI'!BQ74+'MAN green KA2790IE'!BQ74+'MAN №3 white KA7837HO'!BQ74+'MAN №4 white KA3597HO'!BQ74+'MAN №5 Тент МД'!BG74</f>
        <v>0</v>
      </c>
      <c r="CG74" s="3329">
        <f>CE74+CF74*1</f>
        <v>0</v>
      </c>
      <c r="CH74" s="3327"/>
      <c r="CI74" s="3327"/>
      <c r="CJ74" s="3274">
        <f>ЦО_логистика!BK74+'Форд Тягач'!CJ74+'MAN Blue KA1783HI'!BU74+'MAN green KA2790IE'!BU74+'MAN №3 white KA7837HO'!BU74+'MAN №4 white KA3597HO'!BU74+'MAN №5 Тент МД'!BK74</f>
        <v>0</v>
      </c>
      <c r="CK74" s="3274">
        <f>ЦО_логистика!BL74+'Форд Тягач'!CK74+'MAN Blue KA1783HI'!BV74+'MAN green KA2790IE'!BV74+'MAN №3 white KA7837HO'!BV74+'MAN №4 white KA3597HO'!BV74+'MAN №5 Тент МД'!BL74</f>
        <v>0</v>
      </c>
      <c r="CL74" s="3329">
        <f>CJ74+CK74*1</f>
        <v>0</v>
      </c>
      <c r="CM74" s="3327"/>
      <c r="CN74" s="3327"/>
      <c r="CO74" s="3274">
        <f>ЦО_логистика!BP74+'Форд Тягач'!CO74+'MAN Blue KA1783HI'!BZ74+'MAN green KA2790IE'!BZ74+'MAN №3 white KA7837HO'!BZ74+'MAN №4 white KA3597HO'!BZ74+'MAN №5 Тент МД'!BP74</f>
        <v>0</v>
      </c>
      <c r="CP74" s="3274">
        <f>ЦО_логистика!BQ74+'Форд Тягач'!CP74+'MAN Blue KA1783HI'!CA74+'MAN green KA2790IE'!CA74+'MAN №3 white KA7837HO'!CA74+'MAN №4 white KA3597HO'!CA74+'MAN №5 Тент МД'!BQ74</f>
        <v>0</v>
      </c>
      <c r="CQ74" s="3329">
        <f>CO74+CP74*1</f>
        <v>0</v>
      </c>
      <c r="CR74" s="3327"/>
      <c r="CS74" s="3327"/>
      <c r="CT74" s="3274">
        <f>ЦО_логистика!BU74+'Форд Тягач'!CT74+'MAN Blue KA1783HI'!CE74+'MAN green KA2790IE'!CE74+'MAN №3 white KA7837HO'!CE74+'MAN №4 white KA3597HO'!CE74+'MAN №5 Тент МД'!BU74</f>
        <v>0</v>
      </c>
      <c r="CU74" s="3274">
        <f>ЦО_логистика!BV74+'Форд Тягач'!CU74+'MAN Blue KA1783HI'!CF74+'MAN green KA2790IE'!CF74+'MAN №3 white KA7837HO'!CF74+'MAN №4 white KA3597HO'!CF74+'MAN №5 Тент МД'!BV74</f>
        <v>0</v>
      </c>
      <c r="CV74" s="3329">
        <f>CT74+CU74*1</f>
        <v>0</v>
      </c>
      <c r="CW74" s="3327"/>
      <c r="CX74" s="3327"/>
      <c r="CY74" s="3274">
        <f>ЦО_логистика!BZ74+'Форд Тягач'!CY74+'MAN Blue KA1783HI'!CJ74+'MAN green KA2790IE'!CJ74+'MAN №3 white KA7837HO'!CJ74+'MAN №4 white KA3597HO'!CJ74+'MAN №5 Тент МД'!BZ74</f>
        <v>0</v>
      </c>
      <c r="CZ74" s="3274">
        <f>ЦО_логистика!CA74+'Форд Тягач'!CZ74+'MAN Blue KA1783HI'!CK74+'MAN green KA2790IE'!CK74+'MAN №3 white KA7837HO'!CK74+'MAN №4 white KA3597HO'!CK74+'MAN №5 Тент МД'!CA74</f>
        <v>0</v>
      </c>
      <c r="DA74" s="3329">
        <f>CY74+CZ74*1</f>
        <v>0</v>
      </c>
      <c r="DB74" s="3327"/>
      <c r="DC74" s="3327"/>
      <c r="DD74" s="3274">
        <f>ЦО_логистика!CE74+'Форд Тягач'!DD74+'MAN Blue KA1783HI'!CO74+'MAN green KA2790IE'!CO74+'MAN №3 white KA7837HO'!CO74+'MAN №4 white KA3597HO'!CO74+'MAN №5 Тент МД'!CE74</f>
        <v>0</v>
      </c>
      <c r="DE74" s="3274">
        <f>ЦО_логистика!CF74+'Форд Тягач'!DE74+'MAN Blue KA1783HI'!CP74+'MAN green KA2790IE'!CP74+'MAN №3 white KA7837HO'!CP74+'MAN №4 white KA3597HO'!CP74+'MAN №5 Тент МД'!CF74</f>
        <v>0</v>
      </c>
      <c r="DF74" s="3329">
        <f>DD74+DE74*1</f>
        <v>0</v>
      </c>
      <c r="DG74" s="3327"/>
      <c r="DH74" s="3327"/>
      <c r="DI74" s="3274">
        <f>ЦО_логистика!CJ74+'Форд Тягач'!DI74+'MAN Blue KA1783HI'!CT74+'MAN green KA2790IE'!CT74+'MAN №3 white KA7837HO'!CT74+'MAN №4 white KA3597HO'!CT74+'MAN №5 Тент МД'!CJ74</f>
        <v>0</v>
      </c>
      <c r="DJ74" s="3274">
        <f>ЦО_логистика!CK74+'Форд Тягач'!DJ74+'MAN Blue KA1783HI'!CU74+'MAN green KA2790IE'!CU74+'MAN №3 white KA7837HO'!CU74+'MAN №4 white KA3597HO'!CU74+'MAN №5 Тент МД'!CK74</f>
        <v>0</v>
      </c>
      <c r="DK74" s="3329">
        <f>DI74+DJ74*1</f>
        <v>0</v>
      </c>
      <c r="DL74" s="3327"/>
      <c r="DM74" s="3327"/>
      <c r="DN74" s="3288">
        <f>R74+W74+AB74+AG74+AL74+AQ74+BF74+BK74+BP74+BU74+BZ74+CE74+CJ74+CO74+CT74+CY74+DD74+DI74+AV74</f>
        <v>331186.62</v>
      </c>
      <c r="DO74" s="3288">
        <f>S74+X74+AC74+AH74+AM74+AR74+BG74+BL74+BQ74+BV74+CA74+CF74+CK74+CP74+CU74+CZ74+DE74+DJ74+AW74</f>
        <v>0</v>
      </c>
      <c r="DP74" s="2028">
        <f>DN74+DO74*1</f>
        <v>331186.62</v>
      </c>
      <c r="DQ74" s="3327"/>
      <c r="DR74" s="3275"/>
      <c r="DS74" s="916"/>
      <c r="DT74" s="916"/>
    </row>
    <row r="75" spans="1:124" s="1411" customFormat="1" ht="14.4" thickBot="1" x14ac:dyDescent="0.3">
      <c r="A75" s="1414"/>
      <c r="B75" s="1431" t="s">
        <v>48</v>
      </c>
      <c r="C75" s="1330">
        <v>396523.3227869565</v>
      </c>
      <c r="D75" s="1465">
        <v>-102555.61999999998</v>
      </c>
      <c r="E75" s="1523">
        <v>293967.70278695651</v>
      </c>
      <c r="F75" s="1969">
        <v>0</v>
      </c>
      <c r="G75" s="1969"/>
      <c r="H75" s="1330">
        <v>16708.380000000005</v>
      </c>
      <c r="I75" s="1465">
        <v>-16197.22</v>
      </c>
      <c r="J75" s="1523">
        <v>511.16000000000463</v>
      </c>
      <c r="K75" s="1969">
        <v>0</v>
      </c>
      <c r="L75" s="1969">
        <v>0</v>
      </c>
      <c r="M75" s="1330">
        <v>-116322.41215970868</v>
      </c>
      <c r="N75" s="1465">
        <v>-73620.98</v>
      </c>
      <c r="O75" s="1523">
        <v>-189943.39215970869</v>
      </c>
      <c r="P75" s="1969">
        <v>0</v>
      </c>
      <c r="Q75" s="1969">
        <v>0</v>
      </c>
      <c r="R75" s="1465">
        <f>R38-R41-R50-R54</f>
        <v>-118453.17</v>
      </c>
      <c r="S75" s="1465">
        <f>S38-S41-S50-S54</f>
        <v>-207199.45</v>
      </c>
      <c r="T75" s="1523">
        <f>T38-T41-T50-T54</f>
        <v>-325652.62</v>
      </c>
      <c r="U75" s="1969"/>
      <c r="V75" s="1969"/>
      <c r="W75" s="1465">
        <f>W38-W41-W50-W54</f>
        <v>227562.33200000011</v>
      </c>
      <c r="X75" s="1465">
        <f>X38-X41-X50-X54</f>
        <v>-16399.050000000032</v>
      </c>
      <c r="Y75" s="1523">
        <f>Y38-Y41-Y50-Y54</f>
        <v>211163.28200000015</v>
      </c>
      <c r="Z75" s="1969"/>
      <c r="AA75" s="1969"/>
      <c r="AB75" s="1465">
        <f>AB38-AB41-AB50-AB54</f>
        <v>780620.26</v>
      </c>
      <c r="AC75" s="1465">
        <f>AC38-AC41-AC50-AC54</f>
        <v>-115560.98000000001</v>
      </c>
      <c r="AD75" s="1523">
        <f>AD38-AD41-AD50-AD54</f>
        <v>665059.28000000014</v>
      </c>
      <c r="AE75" s="1969"/>
      <c r="AF75" s="1969"/>
      <c r="AG75" s="1465">
        <f>AG38-AG41-AG50-AG54</f>
        <v>408206.22000000003</v>
      </c>
      <c r="AH75" s="1465">
        <f>AH38-AH41-AH50-AH54</f>
        <v>-91114.760000000009</v>
      </c>
      <c r="AI75" s="1523">
        <f>AI38-AI41-AI50-AI54</f>
        <v>317091.45999999996</v>
      </c>
      <c r="AJ75" s="1969"/>
      <c r="AK75" s="1969"/>
      <c r="AL75" s="1465">
        <f>AL38-AL41-AL50-AL54</f>
        <v>1279384.0899999999</v>
      </c>
      <c r="AM75" s="1465">
        <f>AM38-AM41-AM50-AM54</f>
        <v>-204795.25</v>
      </c>
      <c r="AN75" s="1523">
        <f>AN38-AN41-AN50-AN54</f>
        <v>1074588.8399999999</v>
      </c>
      <c r="AO75" s="1969"/>
      <c r="AP75" s="1969"/>
      <c r="AQ75" s="1465">
        <f>AQ38-AQ41-AQ50-AQ54</f>
        <v>-1562182.1612000004</v>
      </c>
      <c r="AR75" s="1465">
        <f>AR38-AR41-AR50-AR54</f>
        <v>-307310.54999999993</v>
      </c>
      <c r="AS75" s="1523">
        <f>AS38-AS41-AS50-AS54</f>
        <v>-1869492.7112000005</v>
      </c>
      <c r="AT75" s="1969"/>
      <c r="AU75" s="1969"/>
      <c r="AV75" s="1465">
        <f>AV38-AV41-AV50-AV54</f>
        <v>1591356.7930000017</v>
      </c>
      <c r="AW75" s="1465">
        <f>AW38-AW41-AW50-AW54</f>
        <v>-1908959.4500000002</v>
      </c>
      <c r="AX75" s="1523">
        <f>AX38-AX41-AX50-AX54</f>
        <v>-317602.65699999931</v>
      </c>
      <c r="AY75" s="1465"/>
      <c r="AZ75" s="1465"/>
      <c r="BA75" s="1465">
        <f>BA38-BA41-BA50-BA54</f>
        <v>142555.21400000004</v>
      </c>
      <c r="BB75" s="1465">
        <f>BB38-BB41-BB50-BB54</f>
        <v>-225768</v>
      </c>
      <c r="BC75" s="1523">
        <f>BC38-BC41-BC50-BC54</f>
        <v>-83212.78599999992</v>
      </c>
      <c r="BD75" s="1465"/>
      <c r="BE75" s="1465">
        <f>ЦО_логистика!AD75+'Форд Тягач'!BC75+'MAN Blue KA1783HI'!AN75+'MAN green KA2790IE'!AN75+'MAN №3 white KA7837HO'!AN75+'MAN №4 white KA3597HO'!AN75+'MAN №5 Тент МД'!AD75-BC75</f>
        <v>0</v>
      </c>
      <c r="BF75" s="1465">
        <f>BF38-BF41-BF50-BF54</f>
        <v>27322.025000000009</v>
      </c>
      <c r="BG75" s="1465">
        <f>BG38-BG41-BG50-BG54</f>
        <v>-12213</v>
      </c>
      <c r="BH75" s="1523">
        <f>BH38-BH41-BH50-BH54</f>
        <v>15109.025000000009</v>
      </c>
      <c r="BI75" s="1969"/>
      <c r="BJ75" s="1465"/>
      <c r="BK75" s="1465">
        <f>BK38-BK41-BK50-BK54</f>
        <v>121750.98900000003</v>
      </c>
      <c r="BL75" s="1465">
        <f>BL38-BL41-BL50-BL54</f>
        <v>-175736.29</v>
      </c>
      <c r="BM75" s="1523">
        <f>BM38-BM41-BM50-BM54</f>
        <v>-53985.300999999963</v>
      </c>
      <c r="BN75" s="1969"/>
      <c r="BO75" s="1465"/>
      <c r="BP75" s="1465">
        <f>BP38-BP41-BP50-BP54</f>
        <v>-6517.8000000000175</v>
      </c>
      <c r="BQ75" s="1465">
        <f>BQ38-BQ41-BQ50-BQ54</f>
        <v>-37818.71</v>
      </c>
      <c r="BR75" s="1523">
        <f>BR38-BR41-BR50-BR54</f>
        <v>-44336.509999999995</v>
      </c>
      <c r="BS75" s="1969"/>
      <c r="BT75" s="1969"/>
      <c r="BU75" s="1465">
        <f>BU38-BU41-BU50-BU54</f>
        <v>0</v>
      </c>
      <c r="BV75" s="1465">
        <f>BV38-BV41-BV50-BV54</f>
        <v>0</v>
      </c>
      <c r="BW75" s="1523">
        <f>BW38-BW41-BW50-BW54</f>
        <v>0</v>
      </c>
      <c r="BX75" s="1969"/>
      <c r="BY75" s="1969"/>
      <c r="BZ75" s="1465">
        <f>BZ38-BZ41-BZ50-BZ54</f>
        <v>0</v>
      </c>
      <c r="CA75" s="1465">
        <f>CA38-CA41-CA50-CA54</f>
        <v>0</v>
      </c>
      <c r="CB75" s="1523">
        <f>CB38-CB41-CB50-CB54</f>
        <v>0</v>
      </c>
      <c r="CC75" s="1969"/>
      <c r="CD75" s="1969"/>
      <c r="CE75" s="1465">
        <f>CE38-CE41-CE50-CE54</f>
        <v>0</v>
      </c>
      <c r="CF75" s="1465">
        <f>CF38-CF41-CF50-CF54</f>
        <v>0</v>
      </c>
      <c r="CG75" s="1523">
        <f>CG38-CG41-CG50-CG54</f>
        <v>0</v>
      </c>
      <c r="CH75" s="1969"/>
      <c r="CI75" s="1969"/>
      <c r="CJ75" s="1465">
        <f>CJ38-CJ41-CJ50-CJ54</f>
        <v>0</v>
      </c>
      <c r="CK75" s="1465">
        <f>CK38-CK41-CK50-CK54</f>
        <v>0</v>
      </c>
      <c r="CL75" s="1523">
        <f>CL38-CL41-CL50-CL54</f>
        <v>0</v>
      </c>
      <c r="CM75" s="1969"/>
      <c r="CN75" s="1969"/>
      <c r="CO75" s="1465">
        <f>CO38-CO41-CO50-CO54</f>
        <v>0</v>
      </c>
      <c r="CP75" s="1465">
        <f>CP38-CP41-CP50-CP54</f>
        <v>0</v>
      </c>
      <c r="CQ75" s="1523">
        <f>CQ38-CQ41-CQ50-CQ54</f>
        <v>0</v>
      </c>
      <c r="CR75" s="1969"/>
      <c r="CS75" s="1969"/>
      <c r="CT75" s="1465">
        <f>CT38-CT41-CT50-CT54</f>
        <v>0</v>
      </c>
      <c r="CU75" s="1465">
        <f>CU38-CU41-CU50-CU54</f>
        <v>0</v>
      </c>
      <c r="CV75" s="1523">
        <f>CV38-CV41-CV50-CV54</f>
        <v>0</v>
      </c>
      <c r="CW75" s="1969"/>
      <c r="CX75" s="1969"/>
      <c r="CY75" s="1465">
        <f>CY38-CY41-CY50-CY54</f>
        <v>0</v>
      </c>
      <c r="CZ75" s="1465">
        <f>CZ38-CZ41-CZ50-CZ54</f>
        <v>0</v>
      </c>
      <c r="DA75" s="1523">
        <f>DA38-DA41-DA50-DA54</f>
        <v>0</v>
      </c>
      <c r="DB75" s="1969"/>
      <c r="DC75" s="1969"/>
      <c r="DD75" s="1465">
        <f>DD38-DD41-DD50-DD54</f>
        <v>0</v>
      </c>
      <c r="DE75" s="1465">
        <f>DE38-DE41-DE50-DE54</f>
        <v>0</v>
      </c>
      <c r="DF75" s="1523">
        <f>DF38-DF41-DF50-DF54</f>
        <v>0</v>
      </c>
      <c r="DG75" s="1969"/>
      <c r="DH75" s="1969"/>
      <c r="DI75" s="1465">
        <f>DI38-DI41-DI50-DI54</f>
        <v>0</v>
      </c>
      <c r="DJ75" s="1465">
        <f>DJ38-DJ41-DJ50-DJ54</f>
        <v>0</v>
      </c>
      <c r="DK75" s="1523">
        <f>DK38-DK41-DK50-DK54</f>
        <v>0</v>
      </c>
      <c r="DL75" s="1969"/>
      <c r="DM75" s="1969"/>
      <c r="DN75" s="1465">
        <f>DN38-DN41-DN50-DN54</f>
        <v>2749049.5778000019</v>
      </c>
      <c r="DO75" s="1465">
        <f>DO38-DO41-DO50-DO54</f>
        <v>-3077107.4899999998</v>
      </c>
      <c r="DP75" s="1523">
        <f>DP38-DP41-DP50-DP54</f>
        <v>-328057.91219999734</v>
      </c>
      <c r="DQ75" s="1969"/>
      <c r="DR75" s="1969"/>
      <c r="DS75" s="916"/>
      <c r="DT75" s="916"/>
    </row>
    <row r="76" spans="1:124" s="1411" customFormat="1" ht="13.8" x14ac:dyDescent="0.25">
      <c r="A76" s="1581"/>
      <c r="B76" s="1444" t="s">
        <v>49</v>
      </c>
      <c r="C76" s="1331">
        <v>0.579500053112048</v>
      </c>
      <c r="D76" s="2019">
        <v>-2.2679261388766028</v>
      </c>
      <c r="E76" s="2020">
        <v>0.40298767141309416</v>
      </c>
      <c r="F76" s="2020">
        <v>0</v>
      </c>
      <c r="G76" s="2020"/>
      <c r="H76" s="1331">
        <v>0.15706021695399602</v>
      </c>
      <c r="I76" s="2019" t="e">
        <v>#DIV/0!</v>
      </c>
      <c r="J76" s="2020">
        <v>4.8049482055235347E-3</v>
      </c>
      <c r="K76" s="2020">
        <v>0</v>
      </c>
      <c r="L76" s="2020">
        <v>0</v>
      </c>
      <c r="M76" s="1331">
        <v>-0.26817723528585152</v>
      </c>
      <c r="N76" s="2019" t="e">
        <v>#DIV/0!</v>
      </c>
      <c r="O76" s="2020">
        <v>-0.43790781866068329</v>
      </c>
      <c r="P76" s="2020">
        <v>0</v>
      </c>
      <c r="Q76" s="2020">
        <v>0</v>
      </c>
      <c r="R76" s="2019">
        <f>R75/R5</f>
        <v>-0.14400253107003963</v>
      </c>
      <c r="S76" s="2019">
        <f>S75/S5</f>
        <v>-2.8420082023427429</v>
      </c>
      <c r="T76" s="2020">
        <f>T75/T5</f>
        <v>-0.36366142070815416</v>
      </c>
      <c r="U76" s="2020"/>
      <c r="V76" s="2020"/>
      <c r="W76" s="2019">
        <f>W75/W5</f>
        <v>0.17853651129564915</v>
      </c>
      <c r="X76" s="2019">
        <f>X75/X5</f>
        <v>-4.8277994910498105E-2</v>
      </c>
      <c r="Y76" s="2020">
        <f>Y75/Y5</f>
        <v>0.1308097467654718</v>
      </c>
      <c r="Z76" s="2020"/>
      <c r="AA76" s="2020"/>
      <c r="AB76" s="2019">
        <f>AB75/AB5</f>
        <v>0.48919016801159343</v>
      </c>
      <c r="AC76" s="2019">
        <f>AC75/AC5</f>
        <v>-0.56037717001260789</v>
      </c>
      <c r="AD76" s="2020">
        <f>AD75/AD5</f>
        <v>0.36907552014976053</v>
      </c>
      <c r="AE76" s="2020"/>
      <c r="AF76" s="2020"/>
      <c r="AG76" s="2019">
        <f>AG75/AG5</f>
        <v>0.31378085129031302</v>
      </c>
      <c r="AH76" s="2019">
        <f>AH75/AH5</f>
        <v>-0.27394037425437756</v>
      </c>
      <c r="AI76" s="2020">
        <f>AI75/AI5</f>
        <v>0.19411357116540867</v>
      </c>
      <c r="AJ76" s="2020"/>
      <c r="AK76" s="2020"/>
      <c r="AL76" s="2019">
        <f>AL75/AL5</f>
        <v>0.3648489897231792</v>
      </c>
      <c r="AM76" s="2019">
        <f>AM75/AM5</f>
        <v>-0.79331880689521594</v>
      </c>
      <c r="AN76" s="2020">
        <f>AN75/AN5</f>
        <v>0.28543335508583328</v>
      </c>
      <c r="AO76" s="2020"/>
      <c r="AP76" s="2020"/>
      <c r="AQ76" s="2019">
        <f>AQ75/AQ5</f>
        <v>-0.28913979102565185</v>
      </c>
      <c r="AR76" s="2019">
        <f>AR75/AR5</f>
        <v>-1.1645403387775206</v>
      </c>
      <c r="AS76" s="2020">
        <f>AS75/AS5</f>
        <v>-0.32990555645021874</v>
      </c>
      <c r="AT76" s="2020"/>
      <c r="AU76" s="2020"/>
      <c r="AV76" s="2019">
        <f>AV75/AV5</f>
        <v>0.18427883310793861</v>
      </c>
      <c r="AW76" s="2019">
        <f>AW75/AW5</f>
        <v>-7.6554357154315058</v>
      </c>
      <c r="AX76" s="2020">
        <f>AX75/AX5</f>
        <v>-3.574613139688277E-2</v>
      </c>
      <c r="AY76" s="2019"/>
      <c r="AZ76" s="2019">
        <f>ЦО_логистика!Y76+'Форд Тягач'!AX76+'MAN Blue KA1783HI'!AI76+'MAN green KA2790IE'!AI76+'MAN №3 white KA7837HO'!AI76+'MAN №4 white KA3597HO'!AI76+'MAN №5 Тент МД'!Y76-AX76</f>
        <v>-2.0104351092244643</v>
      </c>
      <c r="BA76" s="2019">
        <f>BA75/BA5</f>
        <v>0.2091816666422105</v>
      </c>
      <c r="BB76" s="2019">
        <f>BB75/BB5</f>
        <v>-5.7228897338403044</v>
      </c>
      <c r="BC76" s="2020">
        <f>BC75/BC5</f>
        <v>-0.11542262324187855</v>
      </c>
      <c r="BD76" s="2019"/>
      <c r="BE76" s="2019" t="e">
        <f>ЦО_логистика!AD76+'Форд Тягач'!BC76+'MAN Blue KA1783HI'!AN76+'MAN green KA2790IE'!AN76+'MAN №3 white KA7837HO'!AN76+'MAN №4 white KA3597HO'!AN76+'MAN №5 Тент МД'!AD76-BC76</f>
        <v>#DIV/0!</v>
      </c>
      <c r="BF76" s="2019">
        <f>BF75/BF5</f>
        <v>0.21649782091917599</v>
      </c>
      <c r="BG76" s="2019" t="e">
        <f>BG75/BG5</f>
        <v>#DIV/0!</v>
      </c>
      <c r="BH76" s="2020">
        <f>BH75/BH5</f>
        <v>0.11972286053882733</v>
      </c>
      <c r="BI76" s="2020"/>
      <c r="BJ76" s="2019"/>
      <c r="BK76" s="2019">
        <f>BK75/BK5</f>
        <v>0.32393505121724098</v>
      </c>
      <c r="BL76" s="2019">
        <f>BL75/BL5</f>
        <v>-9.3476750000000006</v>
      </c>
      <c r="BM76" s="2020">
        <f>BM75/BM5</f>
        <v>-0.13679285696186486</v>
      </c>
      <c r="BN76" s="2020"/>
      <c r="BO76" s="2019"/>
      <c r="BP76" s="2019">
        <f>BP75/BP5</f>
        <v>-3.6323004904146333E-2</v>
      </c>
      <c r="BQ76" s="2019">
        <f>BQ75/BQ5</f>
        <v>-1.8314145278450362</v>
      </c>
      <c r="BR76" s="2020">
        <f>BR75/BR5</f>
        <v>-0.22158283772302462</v>
      </c>
      <c r="BS76" s="2020"/>
      <c r="BT76" s="2020"/>
      <c r="BU76" s="2019" t="e">
        <f>BU75/BU5</f>
        <v>#DIV/0!</v>
      </c>
      <c r="BV76" s="2019" t="e">
        <f>BV75/BV5</f>
        <v>#DIV/0!</v>
      </c>
      <c r="BW76" s="2020" t="e">
        <f>BW75/BW5</f>
        <v>#DIV/0!</v>
      </c>
      <c r="BX76" s="2020"/>
      <c r="BY76" s="2020"/>
      <c r="BZ76" s="2019" t="e">
        <f>BZ75/BZ5</f>
        <v>#DIV/0!</v>
      </c>
      <c r="CA76" s="2019" t="e">
        <f>CA75/CA5</f>
        <v>#DIV/0!</v>
      </c>
      <c r="CB76" s="2020" t="e">
        <f>CB75/CB5</f>
        <v>#DIV/0!</v>
      </c>
      <c r="CC76" s="2020"/>
      <c r="CD76" s="2020"/>
      <c r="CE76" s="2019" t="e">
        <f>CE75/CE5</f>
        <v>#DIV/0!</v>
      </c>
      <c r="CF76" s="2019" t="e">
        <f>CF75/CF5</f>
        <v>#DIV/0!</v>
      </c>
      <c r="CG76" s="2020" t="e">
        <f>CG75/CG5</f>
        <v>#DIV/0!</v>
      </c>
      <c r="CH76" s="2020"/>
      <c r="CI76" s="2020"/>
      <c r="CJ76" s="2019" t="e">
        <f>CJ75/CJ5</f>
        <v>#DIV/0!</v>
      </c>
      <c r="CK76" s="2019" t="e">
        <f>CK75/CK5</f>
        <v>#DIV/0!</v>
      </c>
      <c r="CL76" s="2020" t="e">
        <f>CL75/CL5</f>
        <v>#DIV/0!</v>
      </c>
      <c r="CM76" s="2020"/>
      <c r="CN76" s="2020"/>
      <c r="CO76" s="2019" t="e">
        <f>CO75/CO5</f>
        <v>#DIV/0!</v>
      </c>
      <c r="CP76" s="2019" t="e">
        <f>CP75/CP5</f>
        <v>#DIV/0!</v>
      </c>
      <c r="CQ76" s="2020" t="e">
        <f>CQ75/CQ5</f>
        <v>#DIV/0!</v>
      </c>
      <c r="CR76" s="2020"/>
      <c r="CS76" s="2020"/>
      <c r="CT76" s="2019" t="e">
        <f>CT75/CT5</f>
        <v>#DIV/0!</v>
      </c>
      <c r="CU76" s="2019">
        <f>IFERROR(CU75/CU5,0)</f>
        <v>0</v>
      </c>
      <c r="CV76" s="2020" t="e">
        <f>CV75/CV5</f>
        <v>#DIV/0!</v>
      </c>
      <c r="CW76" s="2020"/>
      <c r="CX76" s="2020"/>
      <c r="CY76" s="2019" t="e">
        <f>CY75/CY5</f>
        <v>#DIV/0!</v>
      </c>
      <c r="CZ76" s="2019">
        <f>IFERROR(CZ75/CZ5,0)</f>
        <v>0</v>
      </c>
      <c r="DA76" s="2020" t="e">
        <f>DA75/DA5</f>
        <v>#DIV/0!</v>
      </c>
      <c r="DB76" s="2020"/>
      <c r="DC76" s="2020"/>
      <c r="DD76" s="2019" t="e">
        <f>DD75/DD5</f>
        <v>#DIV/0!</v>
      </c>
      <c r="DE76" s="2019">
        <f>IFERROR(DE75/DE5,0)</f>
        <v>0</v>
      </c>
      <c r="DF76" s="2020" t="e">
        <f>DF75/DF5</f>
        <v>#DIV/0!</v>
      </c>
      <c r="DG76" s="2020"/>
      <c r="DH76" s="2020"/>
      <c r="DI76" s="2019" t="e">
        <f>DI75/DI5</f>
        <v>#DIV/0!</v>
      </c>
      <c r="DJ76" s="2019">
        <f>IFERROR(DJ75/DJ5,0)</f>
        <v>0</v>
      </c>
      <c r="DK76" s="2020" t="e">
        <f>DK75/DK5</f>
        <v>#DIV/0!</v>
      </c>
      <c r="DL76" s="2020"/>
      <c r="DM76" s="2020"/>
      <c r="DN76" s="2019">
        <f>DN75/DN5</f>
        <v>0.11838942197697021</v>
      </c>
      <c r="DO76" s="2019">
        <f>DO75/DO5</f>
        <v>-1.7461107918247869</v>
      </c>
      <c r="DP76" s="2020">
        <f>DP75/DP5</f>
        <v>-1.3131423245577225E-2</v>
      </c>
      <c r="DQ76" s="2020"/>
      <c r="DR76" s="2020"/>
      <c r="DS76" s="916"/>
      <c r="DT76" s="916"/>
    </row>
    <row r="77" spans="1:124" s="1411" customFormat="1" ht="14.4" thickBot="1" x14ac:dyDescent="0.3">
      <c r="A77" s="1581"/>
      <c r="B77" s="3331" t="s">
        <v>9</v>
      </c>
      <c r="C77" s="3401">
        <v>-182261.68000000002</v>
      </c>
      <c r="D77" s="2865">
        <v>0</v>
      </c>
      <c r="E77" s="2866">
        <v>-189755.21296816567</v>
      </c>
      <c r="F77" s="2868">
        <v>0</v>
      </c>
      <c r="G77" s="2868"/>
      <c r="H77" s="3401">
        <v>-12154.55</v>
      </c>
      <c r="I77" s="2865">
        <v>0</v>
      </c>
      <c r="J77" s="2866">
        <v>-14574.824252873563</v>
      </c>
      <c r="K77" s="2868">
        <v>0</v>
      </c>
      <c r="L77" s="2868">
        <v>0</v>
      </c>
      <c r="M77" s="3401">
        <v>-52883.55</v>
      </c>
      <c r="N77" s="2865">
        <v>0</v>
      </c>
      <c r="O77" s="2866">
        <v>-63884.386091954024</v>
      </c>
      <c r="P77" s="2868">
        <v>0</v>
      </c>
      <c r="Q77" s="2868">
        <v>0</v>
      </c>
      <c r="R77" s="2865">
        <f>R78-R79</f>
        <v>-51007.247356321852</v>
      </c>
      <c r="S77" s="2865">
        <f>S78-S79</f>
        <v>0</v>
      </c>
      <c r="T77" s="2866">
        <f>T78-T79</f>
        <v>-51007.247356321852</v>
      </c>
      <c r="U77" s="2868"/>
      <c r="V77" s="2868"/>
      <c r="W77" s="2865">
        <f>W78-W79</f>
        <v>-57966.301453137989</v>
      </c>
      <c r="X77" s="2865">
        <f>X78-X79</f>
        <v>0</v>
      </c>
      <c r="Y77" s="2866">
        <f>Y78-Y79</f>
        <v>-57966.301453137989</v>
      </c>
      <c r="Z77" s="2868"/>
      <c r="AA77" s="2868"/>
      <c r="AB77" s="2865">
        <f>AB78-AB79</f>
        <v>-52382.958901260063</v>
      </c>
      <c r="AC77" s="2865">
        <f>AC78-AC79</f>
        <v>0</v>
      </c>
      <c r="AD77" s="2866">
        <f>AD78-AD79</f>
        <v>-52382.958901260063</v>
      </c>
      <c r="AE77" s="2868"/>
      <c r="AF77" s="2868"/>
      <c r="AG77" s="2865">
        <f>AG78-AG79</f>
        <v>-22436.712708303483</v>
      </c>
      <c r="AH77" s="2865">
        <f>AH78-AH79</f>
        <v>0</v>
      </c>
      <c r="AI77" s="2866">
        <f>AI78-AI79</f>
        <v>-22436.712708303483</v>
      </c>
      <c r="AJ77" s="2868"/>
      <c r="AK77" s="2868"/>
      <c r="AL77" s="2865">
        <f>AL78-AL79</f>
        <v>-38938.736632444728</v>
      </c>
      <c r="AM77" s="2865">
        <f>AM78-AM79</f>
        <v>-46275</v>
      </c>
      <c r="AN77" s="2866">
        <f>AN78-AN79</f>
        <v>-85213.736632444721</v>
      </c>
      <c r="AO77" s="2868"/>
      <c r="AP77" s="2868"/>
      <c r="AQ77" s="2865">
        <f>AQ78-AQ79</f>
        <v>-75315.812995137821</v>
      </c>
      <c r="AR77" s="2865">
        <f>AR78-AR79</f>
        <v>-16545</v>
      </c>
      <c r="AS77" s="2866">
        <f>AS78-AS79</f>
        <v>-91860.812995137821</v>
      </c>
      <c r="AT77" s="2868"/>
      <c r="AU77" s="2868"/>
      <c r="AV77" s="2865">
        <f>AV78-AV79</f>
        <v>-270921.1084977953</v>
      </c>
      <c r="AW77" s="2865">
        <f>AW78-AW79</f>
        <v>-60231</v>
      </c>
      <c r="AX77" s="2866">
        <f>AX78-AX79</f>
        <v>-331152.1084977953</v>
      </c>
      <c r="AY77" s="3138"/>
      <c r="AZ77" s="3138"/>
      <c r="BA77" s="2865">
        <f>BA78-BA79</f>
        <v>-38231.064024317318</v>
      </c>
      <c r="BB77" s="2865">
        <f>BB78-BB79</f>
        <v>0</v>
      </c>
      <c r="BC77" s="2866">
        <f>BC78-BC79</f>
        <v>-38231.064024317318</v>
      </c>
      <c r="BD77" s="3138"/>
      <c r="BE77" s="3138">
        <f>ЦО_логистика!AD77+'Форд Тягач'!BC77+'MAN Blue KA1783HI'!AN77+'MAN green KA2790IE'!AN77+'MAN №3 white KA7837HO'!AN77+'MAN №4 white KA3597HO'!AN77+'MAN №5 Тент МД'!AD77-BC77</f>
        <v>0</v>
      </c>
      <c r="BF77" s="2865">
        <f>BF78-BF79</f>
        <v>-1906.0751445086705</v>
      </c>
      <c r="BG77" s="2865">
        <f>BG78-BG79</f>
        <v>0</v>
      </c>
      <c r="BH77" s="2866">
        <f>BH78-BH79</f>
        <v>-1906.0751445086705</v>
      </c>
      <c r="BI77" s="2868"/>
      <c r="BJ77" s="3138"/>
      <c r="BK77" s="2865">
        <f>BK78-BK79</f>
        <v>-28387.895086705204</v>
      </c>
      <c r="BL77" s="2865">
        <f>BL78-BL79</f>
        <v>0</v>
      </c>
      <c r="BM77" s="2866">
        <f>BM78-BM79</f>
        <v>-28387.895086705204</v>
      </c>
      <c r="BN77" s="2868"/>
      <c r="BO77" s="3138"/>
      <c r="BP77" s="2865">
        <f>BP78-BP79</f>
        <v>-7937.0937931034487</v>
      </c>
      <c r="BQ77" s="2865">
        <f>BQ78-BQ79</f>
        <v>0</v>
      </c>
      <c r="BR77" s="2866">
        <f>BR78-BR79</f>
        <v>-7937.0937931034487</v>
      </c>
      <c r="BS77" s="2868"/>
      <c r="BT77" s="2868"/>
      <c r="BU77" s="2865">
        <f>BU78-BU79</f>
        <v>0</v>
      </c>
      <c r="BV77" s="2865">
        <f>BV78-BV79</f>
        <v>0</v>
      </c>
      <c r="BW77" s="2866">
        <f>BW78-BW79</f>
        <v>0</v>
      </c>
      <c r="BX77" s="2868"/>
      <c r="BY77" s="2868"/>
      <c r="BZ77" s="2865">
        <f>BZ78-BZ79</f>
        <v>0</v>
      </c>
      <c r="CA77" s="2865">
        <f>CA78-CA79</f>
        <v>0</v>
      </c>
      <c r="CB77" s="2866">
        <f>CB78-CB79</f>
        <v>0</v>
      </c>
      <c r="CC77" s="2868"/>
      <c r="CD77" s="2868"/>
      <c r="CE77" s="2865">
        <f>CE78-CE79</f>
        <v>0</v>
      </c>
      <c r="CF77" s="2865">
        <f>CF78-CF79</f>
        <v>0</v>
      </c>
      <c r="CG77" s="2866">
        <f>CG78-CG79</f>
        <v>0</v>
      </c>
      <c r="CH77" s="2868"/>
      <c r="CI77" s="2868"/>
      <c r="CJ77" s="2865">
        <f>CJ78-CJ79</f>
        <v>0</v>
      </c>
      <c r="CK77" s="2865">
        <f>CK78-CK79</f>
        <v>0</v>
      </c>
      <c r="CL77" s="2866">
        <f>CL78-CL79</f>
        <v>0</v>
      </c>
      <c r="CM77" s="2868"/>
      <c r="CN77" s="2868"/>
      <c r="CO77" s="2865">
        <f>CO78-CO79</f>
        <v>0</v>
      </c>
      <c r="CP77" s="2865">
        <f>CP78-CP79</f>
        <v>0</v>
      </c>
      <c r="CQ77" s="2866">
        <f>CQ78-CQ79</f>
        <v>0</v>
      </c>
      <c r="CR77" s="2868"/>
      <c r="CS77" s="2868"/>
      <c r="CT77" s="2865">
        <f>CT78-CT79</f>
        <v>0</v>
      </c>
      <c r="CU77" s="2865">
        <f>CU78-CU79</f>
        <v>0</v>
      </c>
      <c r="CV77" s="2866">
        <f>CV78-CV79</f>
        <v>0</v>
      </c>
      <c r="CW77" s="2868"/>
      <c r="CX77" s="2868"/>
      <c r="CY77" s="2865">
        <f>CY78-CY79</f>
        <v>0</v>
      </c>
      <c r="CZ77" s="2865">
        <f>CZ78-CZ79</f>
        <v>0</v>
      </c>
      <c r="DA77" s="2866">
        <f>DA78-DA79</f>
        <v>0</v>
      </c>
      <c r="DB77" s="2868"/>
      <c r="DC77" s="2868"/>
      <c r="DD77" s="2865">
        <f>DD78-DD79</f>
        <v>0</v>
      </c>
      <c r="DE77" s="2865">
        <f>DE78-DE79</f>
        <v>0</v>
      </c>
      <c r="DF77" s="2866">
        <f>DF78-DF79</f>
        <v>0</v>
      </c>
      <c r="DG77" s="2868"/>
      <c r="DH77" s="2868"/>
      <c r="DI77" s="2865">
        <f>DI78-DI79</f>
        <v>0</v>
      </c>
      <c r="DJ77" s="2865">
        <f>DJ78-DJ79</f>
        <v>0</v>
      </c>
      <c r="DK77" s="2866">
        <f>DK78-DK79</f>
        <v>0</v>
      </c>
      <c r="DL77" s="2868"/>
      <c r="DM77" s="2868"/>
      <c r="DN77" s="2865">
        <f>DN78-DN79</f>
        <v>-607199.94256871857</v>
      </c>
      <c r="DO77" s="2865">
        <f>DO78-DO79</f>
        <v>-123051</v>
      </c>
      <c r="DP77" s="2866">
        <f>DP78-DP79</f>
        <v>-730250.94256871857</v>
      </c>
      <c r="DQ77" s="2868"/>
      <c r="DR77" s="2868"/>
      <c r="DS77" s="916"/>
      <c r="DT77" s="916"/>
    </row>
    <row r="78" spans="1:124" s="1411" customFormat="1" ht="14.4" thickBot="1" x14ac:dyDescent="0.3">
      <c r="A78" s="1420"/>
      <c r="B78" s="1415" t="s">
        <v>43</v>
      </c>
      <c r="C78" s="3274">
        <v>0</v>
      </c>
      <c r="D78" s="3274">
        <v>0</v>
      </c>
      <c r="E78" s="3333">
        <v>0</v>
      </c>
      <c r="F78" s="3333">
        <v>0</v>
      </c>
      <c r="G78" s="3333"/>
      <c r="H78" s="3274">
        <v>0</v>
      </c>
      <c r="I78" s="3274">
        <v>0</v>
      </c>
      <c r="J78" s="3333">
        <v>0</v>
      </c>
      <c r="K78" s="3333">
        <v>0</v>
      </c>
      <c r="L78" s="3333">
        <v>0</v>
      </c>
      <c r="M78" s="3274">
        <v>0</v>
      </c>
      <c r="N78" s="3274">
        <v>0</v>
      </c>
      <c r="O78" s="3333">
        <v>0</v>
      </c>
      <c r="P78" s="3333">
        <v>0</v>
      </c>
      <c r="Q78" s="3333">
        <v>0</v>
      </c>
      <c r="R78" s="3274"/>
      <c r="S78" s="3274"/>
      <c r="T78" s="2028">
        <f>R78+S78*1</f>
        <v>0</v>
      </c>
      <c r="U78" s="3333"/>
      <c r="V78" s="3333"/>
      <c r="W78" s="3274"/>
      <c r="X78" s="3274"/>
      <c r="Y78" s="2028">
        <f>W78+X78*1</f>
        <v>0</v>
      </c>
      <c r="Z78" s="3333"/>
      <c r="AA78" s="3333"/>
      <c r="AB78" s="3274">
        <f>ЦО_логистика!C78+'Форд Тягач'!AB78+'MAN Blue KA1783HI'!M78+'MAN green KA2790IE'!M78+'MAN №3 white KA7837HO'!M78+'MAN №4 white KA3597HO'!M78+'MAN №5 Тент МД'!C78</f>
        <v>0</v>
      </c>
      <c r="AC78" s="3274">
        <f>ЦО_логистика!D78+'Форд Тягач'!AC78+'MAN Blue KA1783HI'!N78+'MAN green KA2790IE'!N78+'MAN №3 white KA7837HO'!N78+'MAN №4 white KA3597HO'!N78+'MAN №5 Тент МД'!D78</f>
        <v>0</v>
      </c>
      <c r="AD78" s="2028">
        <f>AB78+AC78</f>
        <v>0</v>
      </c>
      <c r="AE78" s="3333"/>
      <c r="AF78" s="3333"/>
      <c r="AG78" s="3274">
        <f>ЦО_логистика!H78+'Форд Тягач'!AG78+'MAN Blue KA1783HI'!R78+'MAN green KA2790IE'!R78+'MAN №3 white KA7837HO'!R78+'MAN №4 white KA3597HO'!R78+'MAN №5 Тент МД'!H78</f>
        <v>0</v>
      </c>
      <c r="AH78" s="3274">
        <f>ЦО_логистика!I78+'Форд Тягач'!AH78+'MAN Blue KA1783HI'!S78+'MAN green KA2790IE'!S78+'MAN №3 white KA7837HO'!S78+'MAN №4 white KA3597HO'!S78+'MAN №5 Тент МД'!I78</f>
        <v>0</v>
      </c>
      <c r="AI78" s="2028">
        <f>AG78+AH78*1</f>
        <v>0</v>
      </c>
      <c r="AJ78" s="3333"/>
      <c r="AK78" s="3333"/>
      <c r="AL78" s="3274">
        <f>ЦО_логистика!M78+'Форд Тягач'!AL78+'MAN Blue KA1783HI'!W78+'MAN green KA2790IE'!W78+'MAN №3 white KA7837HO'!W78+'MAN №4 white KA3597HO'!W78+'MAN №5 Тент МД'!M78</f>
        <v>0</v>
      </c>
      <c r="AM78" s="3274">
        <f>ЦО_логистика!N78+'Форд Тягач'!AM78+'MAN Blue KA1783HI'!X78+'MAN green KA2790IE'!X78+'MAN №3 white KA7837HO'!X78+'MAN №4 white KA3597HO'!X78+'MAN №5 Тент МД'!N78</f>
        <v>0</v>
      </c>
      <c r="AN78" s="2028">
        <f>AL78+AM78*1</f>
        <v>0</v>
      </c>
      <c r="AO78" s="3333"/>
      <c r="AP78" s="3425" t="str">
        <f>CONCATENATE(ЦО_логистика!Q78,'Форд Тягач'!AP78,'MAN Blue KA1783HI'!AA78,'MAN green KA2790IE'!AA78,'MAN №3 white KA7837HO'!AF78,'MAN №4 white KA3597HO'!AA78,'MAN №5 Тент МД'!Q78)</f>
        <v/>
      </c>
      <c r="AQ78" s="3274">
        <f>SUM(ЦО_логистика!R78,'Форд Тягач'!AQ78,'MAN Blue KA1783HI'!AB78,'MAN green KA2790IE'!AB78,'MAN №3 white KA7837HO'!AB78,'MAN №4 white KA3597HO'!AB78,'MAN №5 Тент МД'!R78)</f>
        <v>0</v>
      </c>
      <c r="AR78" s="3274">
        <f>SUM(ЦО_логистика!S78,'Форд Тягач'!AR78,'MAN Blue KA1783HI'!AC78,'MAN green KA2790IE'!AC78,'MAN №3 white KA7837HO'!AC78,'MAN №4 white KA3597HO'!AC78,'MAN №5 Тент МД'!S78)</f>
        <v>0</v>
      </c>
      <c r="AS78" s="2028">
        <f>AQ78+AR78*1</f>
        <v>0</v>
      </c>
      <c r="AT78" s="3333"/>
      <c r="AU78" s="3425" t="str">
        <f>CONCATENATE(ЦО_логистика!V78,'Форд Тягач'!AU78,'MAN Blue KA1783HI'!AF78,'MAN green KA2790IE'!AF78,'MAN №3 white KA7837HO'!AF78,'MAN №4 white KA3597HO'!AF78,'MAN №5 Тент МД'!V78)</f>
        <v/>
      </c>
      <c r="AV78" s="3275">
        <f>+ЦО_логистика!W78+'Форд Тягач'!AV78+'MAN Blue KA1783HI'!AG78+'MAN green KA2790IE'!AG78+'MAN №3 white KA7837HO'!AG78+'MAN №4 white KA3597HO'!AG78+'MAN №5 Тент МД'!W78</f>
        <v>0</v>
      </c>
      <c r="AW78" s="3275">
        <f>+ЦО_логистика!X78+'Форд Тягач'!AW78+'MAN Blue KA1783HI'!AH78+'MAN green KA2790IE'!AH78+'MAN №3 white KA7837HO'!AH78+'MAN №4 white KA3597HO'!AH78+'MAN №5 Тент МД'!X78</f>
        <v>0</v>
      </c>
      <c r="AX78" s="2028">
        <f t="shared" ref="AX78:AX79" si="145">AV78+AW78*1</f>
        <v>0</v>
      </c>
      <c r="AY78" s="3275"/>
      <c r="AZ78" s="3275"/>
      <c r="BA78" s="3275">
        <f t="shared" ref="BA78:BB79" si="146">BF78+BK78+BP78+BU78+BZ78+CE78+CJ78+CO78+CT78+CY78+DD78+DI78</f>
        <v>2772.87</v>
      </c>
      <c r="BB78" s="3275">
        <f t="shared" si="146"/>
        <v>0</v>
      </c>
      <c r="BC78" s="3275">
        <f t="shared" ref="BC78" si="147">BH78+BM78+BR78+BW78+CB78</f>
        <v>2772.87</v>
      </c>
      <c r="BD78" s="3275"/>
      <c r="BE78" s="3275">
        <f>ЦО_логистика!AD78+'Форд Тягач'!BC78+'MAN Blue KA1783HI'!AN78+'MAN green KA2790IE'!AN78+'MAN №3 white KA7837HO'!AN78+'MAN №4 white KA3597HO'!AN78+'MAN №5 Тент МД'!AD78-BC78</f>
        <v>0</v>
      </c>
      <c r="BF78" s="3274">
        <f>ЦО_логистика!AG78+'Форд Тягач'!BF78+'MAN Blue KA1783HI'!AQ78+'MAN green KA2790IE'!AQ78+'MAN №3 white KA7837HO'!AQ78+'MAN №4 white KA3597HO'!AQ78+'MAN №5 Тент МД'!AG78</f>
        <v>0</v>
      </c>
      <c r="BG78" s="3274">
        <f>ЦО_логистика!AH78+'Форд Тягач'!BG78+'MAN Blue KA1783HI'!AR78+'MAN green KA2790IE'!AR78+'MAN №3 white KA7837HO'!AR78+'MAN №4 white KA3597HO'!AR78+'MAN №5 Тент МД'!AH78</f>
        <v>0</v>
      </c>
      <c r="BH78" s="3274">
        <f>ЦО_логистика!AI78+'Форд Тягач'!BH78+'MAN Blue KA1783HI'!AS78+'MAN green KA2790IE'!AS78+'MAN №3 white KA7837HO'!AS78+'MAN №4 white KA3597HO'!AS78+'MAN №5 Тент МД'!AI78</f>
        <v>0</v>
      </c>
      <c r="BI78" s="3333"/>
      <c r="BJ78" s="3275"/>
      <c r="BK78" s="3275">
        <f>ЦО_логистика!AL78+'Форд Тягач'!BK78+'MAN Blue KA1783HI'!AV78+'MAN green KA2790IE'!AV78+'MAN №3 white KA7837HO'!AV78+'MAN №4 white KA3597HO'!AV78+'MAN №5 Тент МД'!AL78</f>
        <v>1973.26</v>
      </c>
      <c r="BL78" s="3275">
        <f>ЦО_логистика!AM78+'Форд Тягач'!BL78+'MAN Blue KA1783HI'!AW78+'MAN green KA2790IE'!AW78+'MAN №3 white KA7837HO'!AW78+'MAN №4 white KA3597HO'!AW78+'MAN №5 Тент МД'!AM78</f>
        <v>0</v>
      </c>
      <c r="BM78" s="2028">
        <f>BK78+BL78*1</f>
        <v>1973.26</v>
      </c>
      <c r="BN78" s="3333"/>
      <c r="BO78" s="3275"/>
      <c r="BP78" s="3274">
        <f>ЦО_логистика!AQ78+'Форд Тягач'!BP78+'MAN Blue KA1783HI'!BA78+'MAN green KA2790IE'!BA78+'MAN №3 white KA7837HO'!BA78+'MAN №4 white KA3597HO'!BA78+'MAN №5 Тент МД'!AQ78</f>
        <v>799.61</v>
      </c>
      <c r="BQ78" s="3274">
        <f>ЦО_логистика!AR78+'Форд Тягач'!BQ78+'MAN Blue KA1783HI'!BB78+'MAN green KA2790IE'!BB78+'MAN №3 white KA7837HO'!BB78+'MAN №4 white KA3597HO'!BB78+'MAN №5 Тент МД'!AR78</f>
        <v>0</v>
      </c>
      <c r="BR78" s="3332">
        <f>BP78+BQ78*1.15</f>
        <v>799.61</v>
      </c>
      <c r="BS78" s="3333"/>
      <c r="BT78" s="3333"/>
      <c r="BU78" s="3274">
        <f>ЦО_логистика!AV78+'Форд Тягач'!BU78+'MAN Blue KA1783HI'!BF78+'MAN green KA2790IE'!BF78+'MAN №3 white KA7837HO'!BF78+'MAN №4 white KA3597HO'!BF78+'MAN №5 Тент МД'!AV78</f>
        <v>0</v>
      </c>
      <c r="BV78" s="3274">
        <f>ЦО_логистика!AW78+'Форд Тягач'!BV78+'MAN Blue KA1783HI'!BG78+'MAN green KA2790IE'!BG78+'MAN №3 white KA7837HO'!BG78+'MAN №4 white KA3597HO'!BG78+'MAN №5 Тент МД'!AW78</f>
        <v>0</v>
      </c>
      <c r="BW78" s="3332">
        <f>BU78+BV78*1.15</f>
        <v>0</v>
      </c>
      <c r="BX78" s="3333"/>
      <c r="BY78" s="3333"/>
      <c r="BZ78" s="3274">
        <f>ЦО_логистика!BA78+'Форд Тягач'!BZ78+'MAN Blue KA1783HI'!BK78+'MAN green KA2790IE'!BK78+'MAN №3 white KA7837HO'!BK78+'MAN №4 white KA3597HO'!BK78+'MAN №5 Тент МД'!BA78</f>
        <v>0</v>
      </c>
      <c r="CA78" s="3274">
        <f>ЦО_логистика!BB78+'Форд Тягач'!CA78+'MAN Blue KA1783HI'!BL78+'MAN green KA2790IE'!BL78+'MAN №3 white KA7837HO'!BL78+'MAN №4 white KA3597HO'!BL78+'MAN №5 Тент МД'!BB78</f>
        <v>0</v>
      </c>
      <c r="CB78" s="3332">
        <f>BZ78+CA78*1.15</f>
        <v>0</v>
      </c>
      <c r="CC78" s="3333"/>
      <c r="CD78" s="3333"/>
      <c r="CE78" s="3274">
        <f>ЦО_логистика!BF78+'Форд Тягач'!CE78+'MAN Blue KA1783HI'!BP78+'MAN green KA2790IE'!BP78+'MAN №3 white KA7837HO'!BP78+'MAN №4 white KA3597HO'!BP78+'MAN №5 Тент МД'!BF78</f>
        <v>0</v>
      </c>
      <c r="CF78" s="3274">
        <f>ЦО_логистика!BG78+'Форд Тягач'!CF78+'MAN Blue KA1783HI'!BQ78+'MAN green KA2790IE'!BQ78+'MAN №3 white KA7837HO'!BQ78+'MAN №4 white KA3597HO'!BQ78+'MAN №5 Тент МД'!BG78</f>
        <v>0</v>
      </c>
      <c r="CG78" s="3332">
        <f>CE78+CF78*1.15</f>
        <v>0</v>
      </c>
      <c r="CH78" s="3333"/>
      <c r="CI78" s="3333"/>
      <c r="CJ78" s="3274">
        <f>ЦО_логистика!BK78+'Форд Тягач'!CJ78+'MAN Blue KA1783HI'!BU78+'MAN green KA2790IE'!BU78+'MAN №3 white KA7837HO'!BU78+'MAN №4 white KA3597HO'!BU78+'MAN №5 Тент МД'!BK78</f>
        <v>0</v>
      </c>
      <c r="CK78" s="3274">
        <f>ЦО_логистика!BL78+'Форд Тягач'!CK78+'MAN Blue KA1783HI'!BV78+'MAN green KA2790IE'!BV78+'MAN №3 white KA7837HO'!BV78+'MAN №4 white KA3597HO'!BV78+'MAN №5 Тент МД'!BL78</f>
        <v>0</v>
      </c>
      <c r="CL78" s="3366">
        <f>CJ78+CK78*1.15</f>
        <v>0</v>
      </c>
      <c r="CM78" s="3333"/>
      <c r="CN78" s="3333"/>
      <c r="CO78" s="3274">
        <f>ЦО_логистика!BP78+'Форд Тягач'!CO78+'MAN Blue KA1783HI'!BZ78+'MAN green KA2790IE'!BZ78+'MAN №3 white KA7837HO'!BZ78+'MAN №4 white KA3597HO'!BZ78+'MAN №5 Тент МД'!BP78</f>
        <v>0</v>
      </c>
      <c r="CP78" s="3274">
        <f>ЦО_логистика!BQ78+'Форд Тягач'!CP78+'MAN Blue KA1783HI'!CA78+'MAN green KA2790IE'!CA78+'MAN №3 white KA7837HO'!CA78+'MAN №4 white KA3597HO'!CA78+'MAN №5 Тент МД'!BQ78</f>
        <v>0</v>
      </c>
      <c r="CQ78" s="3366">
        <f>CO78+CP78*1.15</f>
        <v>0</v>
      </c>
      <c r="CR78" s="3333"/>
      <c r="CS78" s="3333"/>
      <c r="CT78" s="3274">
        <f>ЦО_логистика!BU78+'Форд Тягач'!CT78+'MAN Blue KA1783HI'!CE78+'MAN green KA2790IE'!CE78+'MAN №3 white KA7837HO'!CE78+'MAN №4 white KA3597HO'!CE78+'MAN №5 Тент МД'!BU78</f>
        <v>0</v>
      </c>
      <c r="CU78" s="3274">
        <f>ЦО_логистика!BV78+'Форд Тягач'!CU78+'MAN Blue KA1783HI'!CF78+'MAN green KA2790IE'!CF78+'MAN №3 white KA7837HO'!CF78+'MAN №4 white KA3597HO'!CF78+'MAN №5 Тент МД'!BV78</f>
        <v>0</v>
      </c>
      <c r="CV78" s="3366">
        <f>CT78+CU78*1.15</f>
        <v>0</v>
      </c>
      <c r="CW78" s="3333"/>
      <c r="CX78" s="3333"/>
      <c r="CY78" s="3274">
        <f>ЦО_логистика!BZ78+'Форд Тягач'!CY78+'MAN Blue KA1783HI'!CJ78+'MAN green KA2790IE'!CJ78+'MAN №3 white KA7837HO'!CJ78+'MAN №4 white KA3597HO'!CJ78+'MAN №5 Тент МД'!BZ78</f>
        <v>0</v>
      </c>
      <c r="CZ78" s="3274">
        <f>ЦО_логистика!CA78+'Форд Тягач'!CZ78+'MAN Blue KA1783HI'!CK78+'MAN green KA2790IE'!CK78+'MAN №3 white KA7837HO'!CK78+'MAN №4 white KA3597HO'!CK78+'MAN №5 Тент МД'!CA78</f>
        <v>0</v>
      </c>
      <c r="DA78" s="3366">
        <f>CY78+CZ78*1.15</f>
        <v>0</v>
      </c>
      <c r="DB78" s="3333"/>
      <c r="DC78" s="3333"/>
      <c r="DD78" s="3274">
        <f>ЦО_логистика!CE78+'Форд Тягач'!DD78+'MAN Blue KA1783HI'!CO78+'MAN green KA2790IE'!CO78+'MAN №3 white KA7837HO'!CO78+'MAN №4 white KA3597HO'!CO78+'MAN №5 Тент МД'!CE78</f>
        <v>0</v>
      </c>
      <c r="DE78" s="3274">
        <f>ЦО_логистика!CF78+'Форд Тягач'!DE78+'MAN Blue KA1783HI'!CP78+'MAN green KA2790IE'!CP78+'MAN №3 white KA7837HO'!CP78+'MAN №4 white KA3597HO'!CP78+'MAN №5 Тент МД'!CF78</f>
        <v>0</v>
      </c>
      <c r="DF78" s="3366">
        <f>DD78+DE78*1.15</f>
        <v>0</v>
      </c>
      <c r="DG78" s="3333"/>
      <c r="DH78" s="3333"/>
      <c r="DI78" s="3274">
        <f>ЦО_логистика!CJ78+'Форд Тягач'!DI78+'MAN Blue KA1783HI'!CT78+'MAN green KA2790IE'!CT78+'MAN №3 white KA7837HO'!CT78+'MAN №4 white KA3597HO'!CT78+'MAN №5 Тент МД'!CJ78</f>
        <v>0</v>
      </c>
      <c r="DJ78" s="3274">
        <f>ЦО_логистика!CK78+'Форд Тягач'!DJ78+'MAN Blue KA1783HI'!CU78+'MAN green KA2790IE'!CU78+'MAN №3 white KA7837HO'!CU78+'MAN №4 white KA3597HO'!CU78+'MAN №5 Тент МД'!CK78</f>
        <v>0</v>
      </c>
      <c r="DK78" s="3366">
        <f>DI78+DJ78*1.15</f>
        <v>0</v>
      </c>
      <c r="DL78" s="3333"/>
      <c r="DM78" s="3333"/>
      <c r="DN78" s="3288">
        <f t="shared" ref="DN78:DO79" si="148">R78+W78+AB78+AG78+AL78+AQ78+BF78+BK78+BP78+BU78+BZ78+CE78+CJ78+CO78+CT78+CY78+DD78+DI78+AV78</f>
        <v>2772.87</v>
      </c>
      <c r="DO78" s="3288">
        <f t="shared" si="148"/>
        <v>0</v>
      </c>
      <c r="DP78" s="2028">
        <f>DN78+DO78*1</f>
        <v>2772.87</v>
      </c>
      <c r="DQ78" s="3333"/>
      <c r="DR78" s="3275"/>
      <c r="DS78" s="916"/>
      <c r="DT78" s="916"/>
    </row>
    <row r="79" spans="1:124" s="1411" customFormat="1" ht="13.8" x14ac:dyDescent="0.25">
      <c r="A79" s="1420"/>
      <c r="B79" s="3289" t="s">
        <v>79</v>
      </c>
      <c r="C79" s="3274">
        <v>182261.68000000002</v>
      </c>
      <c r="D79" s="3274">
        <v>0</v>
      </c>
      <c r="E79" s="2028">
        <v>189755.21296816599</v>
      </c>
      <c r="F79" s="3311">
        <v>0</v>
      </c>
      <c r="G79" s="3311"/>
      <c r="H79" s="3274">
        <v>12154.55</v>
      </c>
      <c r="I79" s="3274">
        <v>0</v>
      </c>
      <c r="J79" s="2028">
        <v>14574.824252873599</v>
      </c>
      <c r="K79" s="3311">
        <v>0</v>
      </c>
      <c r="L79" s="3311" t="s">
        <v>1007</v>
      </c>
      <c r="M79" s="3274">
        <v>52883.55</v>
      </c>
      <c r="N79" s="3274">
        <v>0</v>
      </c>
      <c r="O79" s="2028">
        <v>63884.386091954024</v>
      </c>
      <c r="P79" s="3311">
        <v>0</v>
      </c>
      <c r="Q79" s="3311" t="s">
        <v>1037</v>
      </c>
      <c r="R79" s="3274">
        <f>(S8+S41+S50+S54)/(1-'расчет 2022'!E6)*'расчет 2022'!E6+9152.41</f>
        <v>51007.247356321852</v>
      </c>
      <c r="S79" s="3274"/>
      <c r="T79" s="2028">
        <f>R79+S79*1</f>
        <v>51007.247356321852</v>
      </c>
      <c r="U79" s="3311"/>
      <c r="V79" s="3311" t="s">
        <v>965</v>
      </c>
      <c r="W79" s="3274">
        <f>(X8+X41+X50+X54)/(1-'расчет 2022'!I8)*'расчет 2022'!I8</f>
        <v>57966.301453137989</v>
      </c>
      <c r="X79" s="3274"/>
      <c r="Y79" s="2028">
        <f>W79+X79*1</f>
        <v>57966.301453137989</v>
      </c>
      <c r="Z79" s="3311"/>
      <c r="AA79" s="3421" t="s">
        <v>1205</v>
      </c>
      <c r="AB79" s="3274">
        <f>ЦО_логистика!C79+'Форд Тягач'!AB79+'MAN Blue KA1783HI'!M79+'MAN green KA2790IE'!M79+'MAN №3 white KA7837HO'!M79+'MAN №4 white KA3597HO'!M79+'MAN №5 Тент МД'!C79</f>
        <v>52382.958901260063</v>
      </c>
      <c r="AC79" s="3274">
        <f>ЦО_логистика!D79+'Форд Тягач'!AC79+'MAN Blue KA1783HI'!N79+'MAN green KA2790IE'!N79+'MAN №3 white KA7837HO'!N79+'MAN №4 white KA3597HO'!N79+'MAN №5 Тент МД'!D79</f>
        <v>0</v>
      </c>
      <c r="AD79" s="3332">
        <f>AB79+AC79</f>
        <v>52382.958901260063</v>
      </c>
      <c r="AE79" s="3311"/>
      <c r="AF79" s="3311"/>
      <c r="AG79" s="3274">
        <f>ЦО_логистика!H79+'Форд Тягач'!AG79+'MAN Blue KA1783HI'!R79+'MAN green KA2790IE'!R79+'MAN №3 white KA7837HO'!R79+'MAN №4 white KA3597HO'!R79+'MAN №5 Тент МД'!H79</f>
        <v>22436.712708303483</v>
      </c>
      <c r="AH79" s="3274">
        <f>ЦО_логистика!I79+'Форд Тягач'!AH79+'MAN Blue KA1783HI'!S79+'MAN green KA2790IE'!S79+'MAN №3 white KA7837HO'!S79+'MAN №4 white KA3597HO'!S79+'MAN №5 Тент МД'!I79</f>
        <v>0</v>
      </c>
      <c r="AI79" s="2028">
        <f>AG79+AH79*1</f>
        <v>22436.712708303483</v>
      </c>
      <c r="AJ79" s="3311"/>
      <c r="AK79" s="3311"/>
      <c r="AL79" s="3274">
        <f>ЦО_логистика!M79+'Форд Тягач'!AL79+'MAN Blue KA1783HI'!W79+'MAN green KA2790IE'!W79+'MAN №3 white KA7837HO'!W79+'MAN №4 white KA3597HO'!W79+'MAN №5 Тент МД'!M79</f>
        <v>38938.736632444728</v>
      </c>
      <c r="AM79" s="3274">
        <f>ЦО_логистика!N79+'Форд Тягач'!AM79+'MAN Blue KA1783HI'!X79+'MAN green KA2790IE'!X79+'MAN №3 white KA7837HO'!X79+'MAN №4 white KA3597HO'!X79+'MAN №5 Тент МД'!N79</f>
        <v>46275</v>
      </c>
      <c r="AN79" s="3274">
        <f>ЦО_логистика!O79+'Форд Тягач'!AN79+'MAN Blue KA1783HI'!Y79+'MAN green KA2790IE'!Y79+'MAN №3 white KA7837HO'!Y79+'MAN №4 white KA3597HO'!Y79+'MAN №5 Тент МД'!O79</f>
        <v>85213.736632444721</v>
      </c>
      <c r="AO79" s="3311"/>
      <c r="AP79" s="3425" t="str">
        <f>CONCATENATE(ЦО_логистика!Q79,'Форд Тягач'!AP79,'MAN Blue KA1783HI'!AA79,'MAN green KA2790IE'!AA79,'MAN №3 white KA7837HO'!AF79,'MAN №4 white KA3597HO'!AA79,'MAN №5 Тент МД'!Q79)</f>
        <v/>
      </c>
      <c r="AQ79" s="3274">
        <f>SUM(ЦО_логистика!R79,'Форд Тягач'!AQ79,'MAN Blue KA1783HI'!AB79,'MAN green KA2790IE'!AB79,'MAN №3 white KA7837HO'!AB79,'MAN №4 white KA3597HO'!AB79,'MAN №5 Тент МД'!R79)</f>
        <v>75315.812995137821</v>
      </c>
      <c r="AR79" s="3274">
        <f>SUM(ЦО_логистика!S79,'Форд Тягач'!AR79,'MAN Blue KA1783HI'!AC79,'MAN green KA2790IE'!AC79,'MAN №3 white KA7837HO'!AC79,'MAN №4 white KA3597HO'!AC79,'MAN №5 Тент МД'!S79)</f>
        <v>16545</v>
      </c>
      <c r="AS79" s="3274">
        <f>SUM(ЦО_логистика!T79,'Форд Тягач'!AS79,'MAN Blue KA1783HI'!AD79,'MAN green KA2790IE'!AD79,'MAN №3 white KA7837HO'!AD79,'MAN №4 white KA3597HO'!AD79,'MAN №5 Тент МД'!T79)</f>
        <v>91860.812995137821</v>
      </c>
      <c r="AT79" s="3311"/>
      <c r="AU79" s="3425"/>
      <c r="AV79" s="3275">
        <f>+ЦО_логистика!W79+'Форд Тягач'!AV79+'MAN Blue KA1783HI'!AG79+'MAN green KA2790IE'!AG79+'MAN №3 white KA7837HO'!AG79+'MAN №4 white KA3597HO'!AG79+'MAN №5 Тент МД'!W79</f>
        <v>270921.1084977953</v>
      </c>
      <c r="AW79" s="3275">
        <f>+ЦО_логистика!X79+'Форд Тягач'!AW79+'MAN Blue KA1783HI'!AH79+'MAN green KA2790IE'!AH79+'MAN №3 white KA7837HO'!AH79+'MAN №4 white KA3597HO'!AH79+'MAN №5 Тент МД'!X79</f>
        <v>60231</v>
      </c>
      <c r="AX79" s="2028">
        <f t="shared" si="145"/>
        <v>331152.1084977953</v>
      </c>
      <c r="AY79" s="3275"/>
      <c r="AZ79" s="3275"/>
      <c r="BA79" s="3275">
        <f t="shared" si="146"/>
        <v>41003.934024317321</v>
      </c>
      <c r="BB79" s="3275">
        <f t="shared" si="146"/>
        <v>0</v>
      </c>
      <c r="BC79" s="3275">
        <f t="shared" ref="BC79" si="149">BH79+BM79+BR79+BW79+CB79+CG79+CL79</f>
        <v>41003.934024317321</v>
      </c>
      <c r="BD79" s="3275"/>
      <c r="BE79" s="3275">
        <f>ЦО_логистика!AD79+'Форд Тягач'!BC79+'MAN Blue KA1783HI'!AN79+'MAN green KA2790IE'!AN79+'MAN №3 white KA7837HO'!AN79+'MAN №4 white KA3597HO'!AN79+'MAN №5 Тент МД'!AD79-BC79</f>
        <v>0</v>
      </c>
      <c r="BF79" s="3274">
        <f>ЦО_логистика!AG79+'Форд Тягач'!BF79+'MAN Blue KA1783HI'!AQ79+'MAN green KA2790IE'!AQ79+'MAN №3 white KA7837HO'!AQ79+'MAN №4 white KA3597HO'!AQ79+'MAN №5 Тент МД'!AG79</f>
        <v>1906.0751445086705</v>
      </c>
      <c r="BG79" s="3274">
        <f>ЦО_логистика!AH79+'Форд Тягач'!BG79+'MAN Blue KA1783HI'!AR79+'MAN green KA2790IE'!AR79+'MAN №3 white KA7837HO'!AR79+'MAN №4 white KA3597HO'!AR79+'MAN №5 Тент МД'!AH79</f>
        <v>0</v>
      </c>
      <c r="BH79" s="3274">
        <f>ЦО_логистика!AI79+'Форд Тягач'!BH79+'MAN Blue KA1783HI'!AS79+'MAN green KA2790IE'!AS79+'MAN №3 white KA7837HO'!AS79+'MAN №4 white KA3597HO'!AS79+'MAN №5 Тент МД'!AI79</f>
        <v>1906.0751445086705</v>
      </c>
      <c r="BI79" s="3311"/>
      <c r="BJ79" s="3275"/>
      <c r="BK79" s="3275">
        <f>ЦО_логистика!AL79+'Форд Тягач'!BK79+'MAN Blue KA1783HI'!AV79+'MAN green KA2790IE'!AV79+'MAN №3 white KA7837HO'!AV79+'MAN №4 white KA3597HO'!AV79+'MAN №5 Тент МД'!AL79</f>
        <v>30361.155086705203</v>
      </c>
      <c r="BL79" s="3275">
        <f>ЦО_логистика!AM79+'Форд Тягач'!BL79+'MAN Blue KA1783HI'!AW79+'MAN green KA2790IE'!AW79+'MAN №3 white KA7837HO'!AW79+'MAN №4 white KA3597HO'!AW79+'MAN №5 Тент МД'!AM79</f>
        <v>0</v>
      </c>
      <c r="BM79" s="2028">
        <f>BK79+BL79*1</f>
        <v>30361.155086705203</v>
      </c>
      <c r="BN79" s="3311"/>
      <c r="BO79" s="3275"/>
      <c r="BP79" s="3274">
        <f>ЦО_логистика!AQ79+'Форд Тягач'!BP79+'MAN Blue KA1783HI'!BA79+'MAN green KA2790IE'!BA79+'MAN №3 white KA7837HO'!BA79+'MAN №4 white KA3597HO'!BA79+'MAN №5 Тент МД'!AQ79</f>
        <v>8736.7037931034483</v>
      </c>
      <c r="BQ79" s="3274">
        <f>ЦО_логистика!AR79+'Форд Тягач'!BQ79+'MAN Blue KA1783HI'!BB79+'MAN green KA2790IE'!BB79+'MAN №3 white KA7837HO'!BB79+'MAN №4 white KA3597HO'!BB79+'MAN №5 Тент МД'!AR79</f>
        <v>0</v>
      </c>
      <c r="BR79" s="3332">
        <f>BP79+BQ79*1.15</f>
        <v>8736.7037931034483</v>
      </c>
      <c r="BS79" s="3311"/>
      <c r="BT79" s="3276"/>
      <c r="BU79" s="3274">
        <f>ЦО_логистика!AV79+'Форд Тягач'!BU79+'MAN Blue KA1783HI'!BF79+'MAN green KA2790IE'!BF79+'MAN №3 white KA7837HO'!BF79+'MAN №4 white KA3597HO'!BF79+'MAN №5 Тент МД'!AV79</f>
        <v>0</v>
      </c>
      <c r="BV79" s="3274">
        <f>ЦО_логистика!AW79+'Форд Тягач'!BV79+'MAN Blue KA1783HI'!BG79+'MAN green KA2790IE'!BG79+'MAN №3 white KA7837HO'!BG79+'MAN №4 white KA3597HO'!BG79+'MAN №5 Тент МД'!AW79</f>
        <v>0</v>
      </c>
      <c r="BW79" s="3274">
        <f>BU79+BV79*1.15</f>
        <v>0</v>
      </c>
      <c r="BX79" s="3311"/>
      <c r="BY79" s="3276"/>
      <c r="BZ79" s="3274">
        <f>ЦО_логистика!BA79+'Форд Тягач'!BZ79+'MAN Blue KA1783HI'!BK79+'MAN green KA2790IE'!BK79+'MAN №3 white KA7837HO'!BK79+'MAN №4 white KA3597HO'!BK79+'MAN №5 Тент МД'!BA79</f>
        <v>0</v>
      </c>
      <c r="CA79" s="3274">
        <f>ЦО_логистика!BB79+'Форд Тягач'!CA79+'MAN Blue KA1783HI'!BL79+'MAN green KA2790IE'!BL79+'MAN №3 white KA7837HO'!BL79+'MAN №4 white KA3597HO'!BL79+'MAN №5 Тент МД'!BB79</f>
        <v>0</v>
      </c>
      <c r="CB79" s="3332">
        <f>BZ79+CA79*1.15</f>
        <v>0</v>
      </c>
      <c r="CC79" s="3311"/>
      <c r="CD79" s="3276"/>
      <c r="CE79" s="3274">
        <f>ЦО_логистика!BF79+'Форд Тягач'!CE79+'MAN Blue KA1783HI'!BP79+'MAN green KA2790IE'!BP79+'MAN №3 white KA7837HO'!BP79+'MAN №4 white KA3597HO'!BP79+'MAN №5 Тент МД'!BF79</f>
        <v>0</v>
      </c>
      <c r="CF79" s="3274">
        <f>ЦО_логистика!BG79+'Форд Тягач'!CF79+'MAN Blue KA1783HI'!BQ79+'MAN green KA2790IE'!BQ79+'MAN №3 white KA7837HO'!BQ79+'MAN №4 white KA3597HO'!BQ79+'MAN №5 Тент МД'!BG79</f>
        <v>0</v>
      </c>
      <c r="CG79" s="3332">
        <f>CE79+CF79*1.15</f>
        <v>0</v>
      </c>
      <c r="CH79" s="3311"/>
      <c r="CI79" s="3276"/>
      <c r="CJ79" s="3274">
        <f>ЦО_логистика!BK79+'Форд Тягач'!CJ79+'MAN Blue KA1783HI'!BU79+'MAN green KA2790IE'!BU79+'MAN №3 white KA7837HO'!BU79+'MAN №4 white KA3597HO'!BU79+'MAN №5 Тент МД'!BK79</f>
        <v>0</v>
      </c>
      <c r="CK79" s="3274">
        <f>ЦО_логистика!BL79+'Форд Тягач'!CK79+'MAN Blue KA1783HI'!BV79+'MAN green KA2790IE'!BV79+'MAN №3 white KA7837HO'!BV79+'MAN №4 white KA3597HO'!BV79+'MAN №5 Тент МД'!BL79</f>
        <v>0</v>
      </c>
      <c r="CL79" s="3367">
        <f>CJ79+CK79*1.15</f>
        <v>0</v>
      </c>
      <c r="CM79" s="3311"/>
      <c r="CN79" s="3276"/>
      <c r="CO79" s="3274">
        <f>ЦО_логистика!BP79+'Форд Тягач'!CO79+'MAN Blue KA1783HI'!BZ79+'MAN green KA2790IE'!BZ79+'MAN №3 white KA7837HO'!BZ79+'MAN №4 white KA3597HO'!BZ79+'MAN №5 Тент МД'!BP79</f>
        <v>0</v>
      </c>
      <c r="CP79" s="3274">
        <f>ЦО_логистика!BQ79+'Форд Тягач'!CP79+'MAN Blue KA1783HI'!CA79+'MAN green KA2790IE'!CA79+'MAN №3 white KA7837HO'!CA79+'MAN №4 white KA3597HO'!CA79+'MAN №5 Тент МД'!BQ79</f>
        <v>0</v>
      </c>
      <c r="CQ79" s="3367">
        <f>CO79+CP79*1.15</f>
        <v>0</v>
      </c>
      <c r="CR79" s="3311"/>
      <c r="CS79" s="3276"/>
      <c r="CT79" s="3274">
        <f>ЦО_логистика!BU79+'Форд Тягач'!CT79+'MAN Blue KA1783HI'!CE79+'MAN green KA2790IE'!CE79+'MAN №3 white KA7837HO'!CE79+'MAN №4 white KA3597HO'!CE79+'MAN №5 Тент МД'!BU79</f>
        <v>0</v>
      </c>
      <c r="CU79" s="3274">
        <f>ЦО_логистика!BV79+'Форд Тягач'!CU79+'MAN Blue KA1783HI'!CF79+'MAN green KA2790IE'!CF79+'MAN №3 white KA7837HO'!CF79+'MAN №4 white KA3597HO'!CF79+'MAN №5 Тент МД'!BV79</f>
        <v>0</v>
      </c>
      <c r="CV79" s="3367">
        <f>CT79+CU79*1.15</f>
        <v>0</v>
      </c>
      <c r="CW79" s="3311"/>
      <c r="CX79" s="3276"/>
      <c r="CY79" s="3274">
        <f>ЦО_логистика!BZ79+'Форд Тягач'!CY79+'MAN Blue KA1783HI'!CJ79+'MAN green KA2790IE'!CJ79+'MAN №3 white KA7837HO'!CJ79+'MAN №4 white KA3597HO'!CJ79+'MAN №5 Тент МД'!BZ79</f>
        <v>0</v>
      </c>
      <c r="CZ79" s="3274">
        <f>ЦО_логистика!CA79+'Форд Тягач'!CZ79+'MAN Blue KA1783HI'!CK79+'MAN green KA2790IE'!CK79+'MAN №3 white KA7837HO'!CK79+'MAN №4 white KA3597HO'!CK79+'MAN №5 Тент МД'!CA79</f>
        <v>0</v>
      </c>
      <c r="DA79" s="3367">
        <f>CY79+CZ79*1.15</f>
        <v>0</v>
      </c>
      <c r="DB79" s="3311"/>
      <c r="DC79" s="3276"/>
      <c r="DD79" s="3274">
        <f>ЦО_логистика!CE79+'Форд Тягач'!DD79+'MAN Blue KA1783HI'!CO79+'MAN green KA2790IE'!CO79+'MAN №3 white KA7837HO'!CO79+'MAN №4 white KA3597HO'!CO79+'MAN №5 Тент МД'!CE79</f>
        <v>0</v>
      </c>
      <c r="DE79" s="3274">
        <f>ЦО_логистика!CF79+'Форд Тягач'!DE79+'MAN Blue KA1783HI'!CP79+'MAN green KA2790IE'!CP79+'MAN №3 white KA7837HO'!CP79+'MAN №4 white KA3597HO'!CP79+'MAN №5 Тент МД'!CF79</f>
        <v>0</v>
      </c>
      <c r="DF79" s="3367">
        <f>DD79+DE79*1.15</f>
        <v>0</v>
      </c>
      <c r="DG79" s="3311"/>
      <c r="DH79" s="3276"/>
      <c r="DI79" s="3274">
        <f>ЦО_логистика!CJ79+'Форд Тягач'!DI79+'MAN Blue KA1783HI'!CT79+'MAN green KA2790IE'!CT79+'MAN №3 white KA7837HO'!CT79+'MAN №4 white KA3597HO'!CT79+'MAN №5 Тент МД'!CJ79</f>
        <v>0</v>
      </c>
      <c r="DJ79" s="3274">
        <f>ЦО_логистика!CK79+'Форд Тягач'!DJ79+'MAN Blue KA1783HI'!CU79+'MAN green KA2790IE'!CU79+'MAN №3 white KA7837HO'!CU79+'MAN №4 white KA3597HO'!CU79+'MAN №5 Тент МД'!CK79</f>
        <v>0</v>
      </c>
      <c r="DK79" s="3367">
        <f>DI79+DJ79*1.15</f>
        <v>0</v>
      </c>
      <c r="DL79" s="3311"/>
      <c r="DM79" s="3276"/>
      <c r="DN79" s="3288">
        <f t="shared" si="148"/>
        <v>609972.81256871857</v>
      </c>
      <c r="DO79" s="3288">
        <f t="shared" si="148"/>
        <v>123051</v>
      </c>
      <c r="DP79" s="2028">
        <f>DN79+DO79*1</f>
        <v>733023.81256871857</v>
      </c>
      <c r="DQ79" s="3311"/>
      <c r="DR79" s="3275"/>
      <c r="DS79" s="916"/>
      <c r="DT79" s="916"/>
    </row>
    <row r="80" spans="1:124" ht="13.8" x14ac:dyDescent="0.25">
      <c r="A80" s="1412"/>
      <c r="B80" s="3335"/>
      <c r="C80" s="3274">
        <v>0</v>
      </c>
      <c r="D80" s="3274">
        <v>0</v>
      </c>
      <c r="E80" s="3336">
        <v>0</v>
      </c>
      <c r="F80" s="3336">
        <v>0</v>
      </c>
      <c r="G80" s="3336"/>
      <c r="H80" s="3274">
        <v>0</v>
      </c>
      <c r="I80" s="3274">
        <v>0</v>
      </c>
      <c r="J80" s="3336">
        <v>0</v>
      </c>
      <c r="K80" s="3336">
        <v>0</v>
      </c>
      <c r="L80" s="3336">
        <v>0</v>
      </c>
      <c r="M80" s="3274">
        <v>0</v>
      </c>
      <c r="N80" s="3274">
        <v>0</v>
      </c>
      <c r="O80" s="3336">
        <v>0</v>
      </c>
      <c r="P80" s="3336">
        <v>0</v>
      </c>
      <c r="Q80" s="3336">
        <v>0</v>
      </c>
      <c r="R80" s="3274"/>
      <c r="S80" s="3274"/>
      <c r="T80" s="3336"/>
      <c r="U80" s="3336"/>
      <c r="V80" s="3336"/>
      <c r="W80" s="3274"/>
      <c r="X80" s="3274"/>
      <c r="Y80" s="3336"/>
      <c r="Z80" s="3336"/>
      <c r="AA80" s="3336"/>
      <c r="AB80" s="3274"/>
      <c r="AC80" s="3274"/>
      <c r="AD80" s="3336"/>
      <c r="AE80" s="3336"/>
      <c r="AF80" s="3336"/>
      <c r="AG80" s="3274"/>
      <c r="AH80" s="3274"/>
      <c r="AI80" s="3336"/>
      <c r="AJ80" s="3336"/>
      <c r="AK80" s="3336"/>
      <c r="AL80" s="3274"/>
      <c r="AM80" s="3274"/>
      <c r="AN80" s="3336"/>
      <c r="AO80" s="3336"/>
      <c r="AP80" s="3336"/>
      <c r="AQ80" s="3274"/>
      <c r="AR80" s="3274"/>
      <c r="AS80" s="3336"/>
      <c r="AT80" s="3336"/>
      <c r="AU80" s="3336"/>
      <c r="AV80" s="3275"/>
      <c r="AW80" s="3275"/>
      <c r="AX80" s="3306"/>
      <c r="AY80" s="3306"/>
      <c r="AZ80" s="3306"/>
      <c r="BA80" s="3306"/>
      <c r="BB80" s="3306"/>
      <c r="BC80" s="3306"/>
      <c r="BD80" s="3306"/>
      <c r="BE80" s="3306">
        <f>ЦО_логистика!AD80+'Форд Тягач'!BC80+'MAN Blue KA1783HI'!AN80+'MAN green KA2790IE'!AN80+'MAN №3 white KA7837HO'!AN80+'MAN №4 white KA3597HO'!AN80+'MAN №5 Тент МД'!AD80-BC80</f>
        <v>0</v>
      </c>
      <c r="BF80" s="3274"/>
      <c r="BG80" s="3274"/>
      <c r="BH80" s="3336"/>
      <c r="BI80" s="3336"/>
      <c r="BJ80" s="3306"/>
      <c r="BK80" s="3306"/>
      <c r="BL80" s="3306"/>
      <c r="BM80" s="3336"/>
      <c r="BN80" s="3336"/>
      <c r="BO80" s="3306"/>
      <c r="BP80" s="3274"/>
      <c r="BQ80" s="3274"/>
      <c r="BR80" s="3336"/>
      <c r="BS80" s="3336"/>
      <c r="BT80" s="3336"/>
      <c r="BU80" s="3274"/>
      <c r="BV80" s="3274"/>
      <c r="BW80" s="3336"/>
      <c r="BX80" s="3336"/>
      <c r="BY80" s="3336"/>
      <c r="BZ80" s="3274"/>
      <c r="CA80" s="3274"/>
      <c r="CB80" s="3336"/>
      <c r="CC80" s="3336"/>
      <c r="CD80" s="3336"/>
      <c r="CE80" s="3274"/>
      <c r="CF80" s="3274"/>
      <c r="CG80" s="3336"/>
      <c r="CH80" s="3336"/>
      <c r="CI80" s="3336"/>
      <c r="CJ80" s="3274"/>
      <c r="CK80" s="3274"/>
      <c r="CL80" s="3336"/>
      <c r="CM80" s="3336"/>
      <c r="CN80" s="3336"/>
      <c r="CO80" s="3274"/>
      <c r="CP80" s="3274"/>
      <c r="CQ80" s="3336"/>
      <c r="CR80" s="3336"/>
      <c r="CS80" s="3336"/>
      <c r="CT80" s="3274"/>
      <c r="CU80" s="3274"/>
      <c r="CV80" s="3336"/>
      <c r="CW80" s="3336"/>
      <c r="CX80" s="3336"/>
      <c r="CY80" s="3274"/>
      <c r="CZ80" s="3274"/>
      <c r="DA80" s="3336"/>
      <c r="DB80" s="3336"/>
      <c r="DC80" s="3336"/>
      <c r="DD80" s="3274"/>
      <c r="DE80" s="3274"/>
      <c r="DF80" s="3336"/>
      <c r="DG80" s="3336"/>
      <c r="DH80" s="3336"/>
      <c r="DI80" s="3274"/>
      <c r="DJ80" s="3274"/>
      <c r="DK80" s="3336"/>
      <c r="DL80" s="3336"/>
      <c r="DM80" s="3336"/>
      <c r="DN80" s="3288"/>
      <c r="DO80" s="3274"/>
      <c r="DP80" s="3336"/>
      <c r="DQ80" s="3336"/>
      <c r="DR80" s="3306"/>
      <c r="DS80" s="916"/>
      <c r="DT80" s="916"/>
    </row>
    <row r="81" spans="1:125" s="1411" customFormat="1" ht="14.4" thickBot="1" x14ac:dyDescent="0.3">
      <c r="A81" s="1434"/>
      <c r="B81" s="3331" t="s">
        <v>12</v>
      </c>
      <c r="C81" s="3401">
        <v>214261.64278695648</v>
      </c>
      <c r="D81" s="2865">
        <v>-102555.61999999998</v>
      </c>
      <c r="E81" s="2866">
        <v>104212.48981879084</v>
      </c>
      <c r="F81" s="2868">
        <v>0</v>
      </c>
      <c r="G81" s="2868"/>
      <c r="H81" s="3401">
        <v>4553.8300000000054</v>
      </c>
      <c r="I81" s="2865">
        <v>-16197.22</v>
      </c>
      <c r="J81" s="2866">
        <v>-14063.664252873557</v>
      </c>
      <c r="K81" s="2868">
        <v>0</v>
      </c>
      <c r="L81" s="2868">
        <v>0</v>
      </c>
      <c r="M81" s="3401">
        <v>-169205.96215970867</v>
      </c>
      <c r="N81" s="2865">
        <v>-73620.98</v>
      </c>
      <c r="O81" s="2866">
        <v>-253827.7782516627</v>
      </c>
      <c r="P81" s="2868">
        <v>0</v>
      </c>
      <c r="Q81" s="2868">
        <v>0</v>
      </c>
      <c r="R81" s="2865">
        <f>(R75+R78)-R79</f>
        <v>-169460.41735632185</v>
      </c>
      <c r="S81" s="2865">
        <f>(S75+S78)-S79</f>
        <v>-207199.45</v>
      </c>
      <c r="T81" s="2866">
        <f>(T75+T78)-T79</f>
        <v>-376659.86735632183</v>
      </c>
      <c r="U81" s="2868"/>
      <c r="V81" s="2868"/>
      <c r="W81" s="2865">
        <f>(W75+W78)-W79</f>
        <v>169596.03054686211</v>
      </c>
      <c r="X81" s="2866">
        <f>(X75+X78)-X79</f>
        <v>-16399.050000000032</v>
      </c>
      <c r="Y81" s="2865">
        <f>(Y75+Y78)-Y79</f>
        <v>153196.98054686218</v>
      </c>
      <c r="Z81" s="2868"/>
      <c r="AA81" s="2868"/>
      <c r="AB81" s="2865">
        <f>(AB75+AB78)-AB79</f>
        <v>728237.30109873996</v>
      </c>
      <c r="AC81" s="2865">
        <f>(AC75+AC78)-AC79</f>
        <v>-115560.98000000001</v>
      </c>
      <c r="AD81" s="2866">
        <f>(AD75+AD78)-AD79</f>
        <v>612676.3210987401</v>
      </c>
      <c r="AE81" s="2868"/>
      <c r="AF81" s="2868"/>
      <c r="AG81" s="2865">
        <f>(AG75+AG78)-AG79</f>
        <v>385769.50729169656</v>
      </c>
      <c r="AH81" s="2865">
        <f>(AH75+AH78)-AH79</f>
        <v>-91114.760000000009</v>
      </c>
      <c r="AI81" s="2866">
        <f>(AI75+AI78)-AI79</f>
        <v>294654.74729169649</v>
      </c>
      <c r="AJ81" s="2868"/>
      <c r="AK81" s="2868"/>
      <c r="AL81" s="2865">
        <f>(AL75+AL78)-AL79</f>
        <v>1240445.3533675552</v>
      </c>
      <c r="AM81" s="2865">
        <f>(AM75+AM78)-AM79</f>
        <v>-251070.25</v>
      </c>
      <c r="AN81" s="2866">
        <f>(AN75+AN78)-AN79</f>
        <v>989375.10336755519</v>
      </c>
      <c r="AO81" s="2868"/>
      <c r="AP81" s="2868"/>
      <c r="AQ81" s="2865">
        <f>(AQ75+AQ78)-AQ79</f>
        <v>-1637497.9741951383</v>
      </c>
      <c r="AR81" s="2865">
        <f>(AR75+AR78)-AR79</f>
        <v>-323855.54999999993</v>
      </c>
      <c r="AS81" s="2866">
        <f>(AS75+AS78)-AS79</f>
        <v>-1961353.5241951384</v>
      </c>
      <c r="AT81" s="2868"/>
      <c r="AU81" s="2868"/>
      <c r="AV81" s="2865">
        <f>(AV75+AV78)-AV79</f>
        <v>1320435.6845022063</v>
      </c>
      <c r="AW81" s="2865">
        <f>(AW75+AW78)-AW79</f>
        <v>-1969190.4500000002</v>
      </c>
      <c r="AX81" s="2866">
        <f>(AX75+AX78)-AX79</f>
        <v>-648754.76549779461</v>
      </c>
      <c r="AY81" s="3138"/>
      <c r="AZ81" s="3138"/>
      <c r="BA81" s="2865">
        <f>(BA75+BA78)-BA79</f>
        <v>104324.14997568271</v>
      </c>
      <c r="BB81" s="2865">
        <f>(BB75+BB78)-BB79</f>
        <v>-225768</v>
      </c>
      <c r="BC81" s="2866">
        <f>(BC75+BC78)-BC79</f>
        <v>-121443.85002431725</v>
      </c>
      <c r="BD81" s="3138"/>
      <c r="BE81" s="3138">
        <f>ЦО_логистика!AD81+'Форд Тягач'!BC81+'MAN Blue KA1783HI'!AN81+'MAN green KA2790IE'!AN81+'MAN №3 white KA7837HO'!AN81+'MAN №4 white KA3597HO'!AN81+'MAN №5 Тент МД'!AD81-BC81</f>
        <v>0</v>
      </c>
      <c r="BF81" s="2865">
        <f>(BF75+BF78)-BF79</f>
        <v>25415.949855491337</v>
      </c>
      <c r="BG81" s="2865">
        <f>(BG75+BG78)-BG79</f>
        <v>-12213</v>
      </c>
      <c r="BH81" s="2866">
        <f>(BH75+BH78)-BH79</f>
        <v>13202.949855491339</v>
      </c>
      <c r="BI81" s="2868"/>
      <c r="BJ81" s="3138"/>
      <c r="BK81" s="2865">
        <f>(BK75+BK78)-BK79</f>
        <v>93363.093913294826</v>
      </c>
      <c r="BL81" s="2865">
        <f>(BL75+BL78)-BL79</f>
        <v>-175736.29</v>
      </c>
      <c r="BM81" s="2866">
        <f>(BM75+BM78)-BM79</f>
        <v>-82373.196086705168</v>
      </c>
      <c r="BN81" s="2868"/>
      <c r="BO81" s="3138"/>
      <c r="BP81" s="2865">
        <f>(BP75+BP78)-BP79</f>
        <v>-14454.893793103467</v>
      </c>
      <c r="BQ81" s="2865">
        <f>(BQ75+BQ78)-BQ79</f>
        <v>-37818.71</v>
      </c>
      <c r="BR81" s="2866">
        <f>(BR75+BR78)-BR79</f>
        <v>-52273.603793103444</v>
      </c>
      <c r="BS81" s="2868"/>
      <c r="BT81" s="2868"/>
      <c r="BU81" s="2865">
        <f>(BU75+BU78)-BU79</f>
        <v>0</v>
      </c>
      <c r="BV81" s="2865">
        <f>(BV75+BV78)-BV79</f>
        <v>0</v>
      </c>
      <c r="BW81" s="2866">
        <f>(BW75+BW78)-BW79</f>
        <v>0</v>
      </c>
      <c r="BX81" s="2868"/>
      <c r="BY81" s="2868"/>
      <c r="BZ81" s="2865">
        <f>(BZ75+BZ78)-BZ79</f>
        <v>0</v>
      </c>
      <c r="CA81" s="2865">
        <f>(CA75+CA78)-CA79</f>
        <v>0</v>
      </c>
      <c r="CB81" s="2866">
        <f>(CB75+CB78)-CB79</f>
        <v>0</v>
      </c>
      <c r="CC81" s="2868"/>
      <c r="CD81" s="2868"/>
      <c r="CE81" s="2865">
        <f>(CE75+CE78)-CE79</f>
        <v>0</v>
      </c>
      <c r="CF81" s="2865">
        <f>(CF75+CF78)-CF79</f>
        <v>0</v>
      </c>
      <c r="CG81" s="2866">
        <f>(CG75+CG78)-CG79</f>
        <v>0</v>
      </c>
      <c r="CH81" s="2868"/>
      <c r="CI81" s="2868"/>
      <c r="CJ81" s="2865">
        <f>(CJ75+CJ78)-CJ79</f>
        <v>0</v>
      </c>
      <c r="CK81" s="2865">
        <f>(CK75+CK78)-CK79</f>
        <v>0</v>
      </c>
      <c r="CL81" s="2866">
        <f>(CL75+CL78)-CL79</f>
        <v>0</v>
      </c>
      <c r="CM81" s="2868"/>
      <c r="CN81" s="2868"/>
      <c r="CO81" s="2865">
        <f>(CO75+CO78)-CO79</f>
        <v>0</v>
      </c>
      <c r="CP81" s="2865">
        <f>(CP75+CP78)-CP79</f>
        <v>0</v>
      </c>
      <c r="CQ81" s="2866">
        <f>(CQ75+CQ78)-CQ79</f>
        <v>0</v>
      </c>
      <c r="CR81" s="2868"/>
      <c r="CS81" s="2868"/>
      <c r="CT81" s="2865">
        <f>(CT75+CT78)-CT79</f>
        <v>0</v>
      </c>
      <c r="CU81" s="2865">
        <f>(CU75+CU78)-CU79</f>
        <v>0</v>
      </c>
      <c r="CV81" s="2866">
        <f>(CV75+CV78)-CV79</f>
        <v>0</v>
      </c>
      <c r="CW81" s="2868"/>
      <c r="CX81" s="2868"/>
      <c r="CY81" s="2865">
        <f>(CY75+CY78)-CY79</f>
        <v>0</v>
      </c>
      <c r="CZ81" s="2865">
        <f>(CZ75+CZ78)-CZ79</f>
        <v>0</v>
      </c>
      <c r="DA81" s="2866">
        <f>(DA75+DA78)-DA79</f>
        <v>0</v>
      </c>
      <c r="DB81" s="2868"/>
      <c r="DC81" s="2868"/>
      <c r="DD81" s="2865">
        <f>(DD75+DD78)-DD79</f>
        <v>0</v>
      </c>
      <c r="DE81" s="2865">
        <f>(DE75+DE78)-DE79</f>
        <v>0</v>
      </c>
      <c r="DF81" s="2866">
        <f>(DF75+DF78)-DF79</f>
        <v>0</v>
      </c>
      <c r="DG81" s="2868"/>
      <c r="DH81" s="2868"/>
      <c r="DI81" s="2865">
        <f>(DI75+DI78)-DI79</f>
        <v>0</v>
      </c>
      <c r="DJ81" s="2865">
        <f>(DJ75+DJ78)-DJ79</f>
        <v>0</v>
      </c>
      <c r="DK81" s="2866">
        <f>(DK75+DK78)-DK79</f>
        <v>0</v>
      </c>
      <c r="DL81" s="2868"/>
      <c r="DM81" s="2868"/>
      <c r="DN81" s="2865">
        <f>(DN75+DN78)-DN79</f>
        <v>2141849.6352312835</v>
      </c>
      <c r="DO81" s="2865">
        <f>(DO75+DO78)-DO79</f>
        <v>-3200158.4899999998</v>
      </c>
      <c r="DP81" s="2866">
        <f>(DP75+DP78)-DP79</f>
        <v>-1058308.8547687158</v>
      </c>
      <c r="DQ81" s="2868"/>
      <c r="DR81" s="2868"/>
      <c r="DS81" s="916"/>
      <c r="DT81" s="916"/>
    </row>
    <row r="82" spans="1:125" s="1411" customFormat="1" ht="13.8" x14ac:dyDescent="0.25">
      <c r="A82" s="1580"/>
      <c r="B82" s="1415" t="s">
        <v>38</v>
      </c>
      <c r="C82" s="3274">
        <v>0</v>
      </c>
      <c r="D82" s="3274">
        <v>0</v>
      </c>
      <c r="E82" s="3332">
        <v>0</v>
      </c>
      <c r="F82" s="3321">
        <v>0</v>
      </c>
      <c r="G82" s="3321"/>
      <c r="H82" s="3274">
        <v>0</v>
      </c>
      <c r="I82" s="3274">
        <v>0</v>
      </c>
      <c r="J82" s="3332">
        <v>0</v>
      </c>
      <c r="K82" s="3321">
        <v>0</v>
      </c>
      <c r="L82" s="3321">
        <v>0</v>
      </c>
      <c r="M82" s="3274">
        <v>0</v>
      </c>
      <c r="N82" s="3274">
        <v>0</v>
      </c>
      <c r="O82" s="3332">
        <v>0</v>
      </c>
      <c r="P82" s="3321">
        <v>0</v>
      </c>
      <c r="Q82" s="3321">
        <v>0</v>
      </c>
      <c r="R82" s="3274"/>
      <c r="S82" s="3274"/>
      <c r="T82" s="3332">
        <f>R82+S82</f>
        <v>0</v>
      </c>
      <c r="U82" s="3321"/>
      <c r="V82" s="3321"/>
      <c r="W82" s="3429"/>
      <c r="X82" s="3288"/>
      <c r="Y82" s="3430">
        <f>W82+X82</f>
        <v>0</v>
      </c>
      <c r="Z82" s="3321"/>
      <c r="AA82" s="3321"/>
      <c r="AB82" s="3274">
        <f>ЦО_логистика!C82+'Форд Тягач'!AB82+'MAN Blue KA1783HI'!M82+'MAN green KA2790IE'!M82+'MAN №3 white KA7837HO'!M82+'MAN №4 white KA3597HO'!M82+'MAN №5 Тент МД'!C82</f>
        <v>0</v>
      </c>
      <c r="AC82" s="3274">
        <f>ЦО_логистика!D82+'Форд Тягач'!AC82+'MAN Blue KA1783HI'!N82+'MAN green KA2790IE'!N82+'MAN №3 white KA7837HO'!N82+'MAN №4 white KA3597HO'!N82+'MAN №5 Тент МД'!D82</f>
        <v>0</v>
      </c>
      <c r="AD82" s="3332">
        <f>AB82+AC82</f>
        <v>0</v>
      </c>
      <c r="AE82" s="3321"/>
      <c r="AF82" s="3321"/>
      <c r="AG82" s="3274">
        <f>ЦО_логистика!H82+'Форд Тягач'!AG82+'MAN Blue KA1783HI'!R82+'MAN green KA2790IE'!R82+'MAN №3 white KA7837HO'!R82+'MAN №4 white KA3597HO'!R82+'MAN №5 Тент МД'!H82</f>
        <v>0</v>
      </c>
      <c r="AH82" s="3274">
        <f>ЦО_логистика!I82+'Форд Тягач'!AH82+'MAN Blue KA1783HI'!S82+'MAN green KA2790IE'!S82+'MAN №3 white KA7837HO'!S82+'MAN №4 white KA3597HO'!S82+'MAN №5 Тент МД'!I82</f>
        <v>0</v>
      </c>
      <c r="AI82" s="3332">
        <f>AG82+AH82</f>
        <v>0</v>
      </c>
      <c r="AJ82" s="3321"/>
      <c r="AK82" s="3321"/>
      <c r="AL82" s="3274">
        <f>ЦО_логистика!M82+'Форд Тягач'!AL82+'MAN Blue KA1783HI'!W82+'MAN green KA2790IE'!W82+'MAN №3 white KA7837HO'!W82+'MAN №4 white KA3597HO'!W82+'MAN №5 Тент МД'!M82</f>
        <v>0</v>
      </c>
      <c r="AM82" s="3274">
        <f>ЦО_логистика!N82+'Форд Тягач'!AM82+'MAN Blue KA1783HI'!X82+'MAN green KA2790IE'!X82+'MAN №3 white KA7837HO'!X82+'MAN №4 white KA3597HO'!X82+'MAN №5 Тент МД'!N82</f>
        <v>0</v>
      </c>
      <c r="AN82" s="3332">
        <f>AL82+AM82</f>
        <v>0</v>
      </c>
      <c r="AO82" s="3321"/>
      <c r="AP82" s="3321"/>
      <c r="AQ82" s="3274">
        <f>SUM(ЦО_логистика!R82,'Форд Тягач'!AQ82,'MAN Blue KA1783HI'!AB82,'MAN green KA2790IE'!AB82,'MAN №3 white KA7837HO'!AB82,'MAN №4 white KA3597HO'!AB82,'MAN №5 Тент МД'!R82)</f>
        <v>0</v>
      </c>
      <c r="AR82" s="3274">
        <f>SUM(ЦО_логистика!S82,'Форд Тягач'!AR82,'MAN Blue KA1783HI'!AC82,'MAN green KA2790IE'!AC82,'MAN №3 white KA7837HO'!AC82,'MAN №4 white KA3597HO'!AC82,'MAN №5 Тент МД'!S82)</f>
        <v>0</v>
      </c>
      <c r="AS82" s="3332">
        <f>AQ82+AR82</f>
        <v>0</v>
      </c>
      <c r="AT82" s="3321"/>
      <c r="AU82" s="3321"/>
      <c r="AV82" s="3275">
        <f>+ЦО_логистика!W82+'Форд Тягач'!AV82+'MAN Blue KA1783HI'!AG82+'MAN green KA2790IE'!AG82+'MAN №3 white KA7837HO'!AG82+'MAN №4 white KA3597HO'!AG82+'MAN №5 Тент МД'!W82</f>
        <v>0</v>
      </c>
      <c r="AW82" s="3275">
        <f>+ЦО_логистика!X82+'Форд Тягач'!AW82+'MAN Blue KA1783HI'!AH82+'MAN green KA2790IE'!AH82+'MAN №3 white KA7837HO'!AH82+'MAN №4 white KA3597HO'!AH82+'MAN №5 Тент МД'!X82</f>
        <v>0</v>
      </c>
      <c r="AX82" s="3275">
        <f>BC82+BH82+BM82+BR82+BW82</f>
        <v>0</v>
      </c>
      <c r="AY82" s="3321"/>
      <c r="AZ82" s="3321"/>
      <c r="BA82" s="3275">
        <f t="shared" ref="BA82:BB82" si="150">BF82+BK82+BP82+BU82+BZ82+CE82+CJ82+CO82+CT82+CY82+DD82+DI82</f>
        <v>0</v>
      </c>
      <c r="BB82" s="3275">
        <f t="shared" si="150"/>
        <v>0</v>
      </c>
      <c r="BC82" s="3275">
        <f>BH82+BM82+BR82+BW82+CB82</f>
        <v>0</v>
      </c>
      <c r="BD82" s="3321"/>
      <c r="BE82" s="3433">
        <f>ЦО_логистика!AD82+'Форд Тягач'!BC82+'MAN Blue KA1783HI'!AN82+'MAN green KA2790IE'!AN82+'MAN №3 white KA7837HO'!AN82+'MAN №4 white KA3597HO'!AN82+'MAN №5 Тент МД'!AD82-BC82</f>
        <v>0</v>
      </c>
      <c r="BF82" s="3274">
        <f>ЦО_логистика!AG82+'Форд Тягач'!BF82+'MAN Blue KA1783HI'!AQ82+'MAN green KA2790IE'!AQ82+'MAN №3 white KA7837HO'!AQ82+'MAN №4 white KA3597HO'!AQ82+'MAN №5 Тент МД'!AG82</f>
        <v>0</v>
      </c>
      <c r="BG82" s="3274">
        <f>ЦО_логистика!AH82+'Форд Тягач'!BG82+'MAN Blue KA1783HI'!AR82+'MAN green KA2790IE'!AR82+'MAN №3 white KA7837HO'!AR82+'MAN №4 white KA3597HO'!AR82+'MAN №5 Тент МД'!AH82</f>
        <v>0</v>
      </c>
      <c r="BH82" s="3332">
        <f>BF82+BG82</f>
        <v>0</v>
      </c>
      <c r="BI82" s="3321"/>
      <c r="BJ82" s="3321"/>
      <c r="BK82" s="3275">
        <f>ЦО_логистика!AL82+'Форд Тягач'!BK82+'MAN Blue KA1783HI'!AV82+'MAN green KA2790IE'!AV82+'MAN №3 white KA7837HO'!AV82+'MAN №4 white KA3597HO'!AV82+'MAN №5 Тент МД'!AL82</f>
        <v>0</v>
      </c>
      <c r="BL82" s="3275">
        <f>ЦО_логистика!AM82+'Форд Тягач'!BL82+'MAN Blue KA1783HI'!AW82+'MAN green KA2790IE'!AW82+'MAN №3 white KA7837HO'!AW82+'MAN №4 white KA3597HO'!AW82+'MAN №5 Тент МД'!AM82</f>
        <v>0</v>
      </c>
      <c r="BM82" s="3332">
        <f>BK82+BL82</f>
        <v>0</v>
      </c>
      <c r="BN82" s="3321"/>
      <c r="BO82" s="3321"/>
      <c r="BP82" s="3274">
        <f>ЦО_логистика!AQ82+'Форд Тягач'!BP82+'MAN Blue KA1783HI'!BA82+'MAN green KA2790IE'!BA82+'MAN №3 white KA7837HO'!BA82+'MAN №4 white KA3597HO'!BA82+'MAN №5 Тент МД'!AQ82</f>
        <v>0</v>
      </c>
      <c r="BQ82" s="3274">
        <f>ЦО_логистика!AR82+'Форд Тягач'!BQ82+'MAN Blue KA1783HI'!BB82+'MAN green KA2790IE'!BB82+'MAN №3 white KA7837HO'!BB82+'MAN №4 white KA3597HO'!BB82+'MAN №5 Тент МД'!AR82</f>
        <v>0</v>
      </c>
      <c r="BR82" s="3332">
        <f>BP82+BQ82</f>
        <v>0</v>
      </c>
      <c r="BS82" s="3321"/>
      <c r="BT82" s="3321"/>
      <c r="BU82" s="3274"/>
      <c r="BV82" s="3274"/>
      <c r="BW82" s="3332">
        <f>BU82+BV82</f>
        <v>0</v>
      </c>
      <c r="BX82" s="3321"/>
      <c r="BY82" s="3321"/>
      <c r="BZ82" s="3274"/>
      <c r="CA82" s="3274"/>
      <c r="CB82" s="3332">
        <f>BZ82+CA82</f>
        <v>0</v>
      </c>
      <c r="CC82" s="3321"/>
      <c r="CD82" s="3321"/>
      <c r="CE82" s="3274"/>
      <c r="CF82" s="3274"/>
      <c r="CG82" s="3332">
        <f>CE82+CF82</f>
        <v>0</v>
      </c>
      <c r="CH82" s="3321"/>
      <c r="CI82" s="3321"/>
      <c r="CJ82" s="3274"/>
      <c r="CK82" s="3274"/>
      <c r="CL82" s="3332">
        <f>CJ82+CK82</f>
        <v>0</v>
      </c>
      <c r="CM82" s="3321"/>
      <c r="CN82" s="3321"/>
      <c r="CO82" s="3274"/>
      <c r="CP82" s="3274"/>
      <c r="CQ82" s="3332">
        <f>CO82+CP82</f>
        <v>0</v>
      </c>
      <c r="CR82" s="3321"/>
      <c r="CS82" s="3321"/>
      <c r="CT82" s="3274"/>
      <c r="CU82" s="3274"/>
      <c r="CV82" s="3332">
        <f>CT82+CU82</f>
        <v>0</v>
      </c>
      <c r="CW82" s="3321"/>
      <c r="CX82" s="3321"/>
      <c r="CY82" s="3274"/>
      <c r="CZ82" s="3274"/>
      <c r="DA82" s="3332">
        <f>CY82+CZ82</f>
        <v>0</v>
      </c>
      <c r="DB82" s="3321"/>
      <c r="DC82" s="3321"/>
      <c r="DD82" s="3274"/>
      <c r="DE82" s="3274"/>
      <c r="DF82" s="3332">
        <f>DD82+DE82</f>
        <v>0</v>
      </c>
      <c r="DG82" s="3321"/>
      <c r="DH82" s="3321"/>
      <c r="DI82" s="3274"/>
      <c r="DJ82" s="3274"/>
      <c r="DK82" s="3332">
        <f>DI82+DJ82</f>
        <v>0</v>
      </c>
      <c r="DL82" s="3321"/>
      <c r="DM82" s="3321"/>
      <c r="DN82" s="3288">
        <f>R82+W82+AB82+AG82+AL82+AQ82+BF82+BK82+BP82+BU82+BZ82+CE82+CJ82+CO82+CT82+CY82+DD82+DI82+AV82</f>
        <v>0</v>
      </c>
      <c r="DO82" s="3288">
        <f>S82+X82+AC82+AH82+AM82+AR82+BG82+BL82+BQ82+BV82+CA82+CF82+CK82+CP82+CU82+CZ82+DE82+DJ82+AW82</f>
        <v>0</v>
      </c>
      <c r="DP82" s="3288">
        <f>E82+J82+O82+T82+Y82+AD82+AI82+AN82+AS82+BH82+BM82</f>
        <v>0</v>
      </c>
      <c r="DQ82" s="3321"/>
      <c r="DR82" s="3321"/>
      <c r="DS82" s="916"/>
      <c r="DT82" s="916"/>
    </row>
    <row r="83" spans="1:125" s="1411" customFormat="1" ht="13.8" x14ac:dyDescent="0.25">
      <c r="A83" s="1420"/>
      <c r="B83" s="3337" t="s">
        <v>13</v>
      </c>
      <c r="C83" s="3404">
        <v>214261.64278695648</v>
      </c>
      <c r="D83" s="3338">
        <v>-102555.61999999998</v>
      </c>
      <c r="E83" s="3339">
        <v>104212.48981879084</v>
      </c>
      <c r="F83" s="3340">
        <v>0</v>
      </c>
      <c r="G83" s="3340"/>
      <c r="H83" s="3404">
        <v>4553.8300000000054</v>
      </c>
      <c r="I83" s="3338">
        <v>-16197.22</v>
      </c>
      <c r="J83" s="3339">
        <v>-14063.664252873557</v>
      </c>
      <c r="K83" s="3340">
        <v>0</v>
      </c>
      <c r="L83" s="3340">
        <v>0</v>
      </c>
      <c r="M83" s="3404">
        <v>264546.03784029133</v>
      </c>
      <c r="N83" s="3338">
        <v>-73620.98</v>
      </c>
      <c r="O83" s="3339">
        <v>179924.2217483373</v>
      </c>
      <c r="P83" s="3340">
        <v>0</v>
      </c>
      <c r="Q83" s="3340">
        <v>0</v>
      </c>
      <c r="R83" s="3338">
        <f>(R81+R7)-R36</f>
        <v>-169460.41735632185</v>
      </c>
      <c r="S83" s="3338">
        <f>(S81+S7)-S36</f>
        <v>-207199.45</v>
      </c>
      <c r="T83" s="3339">
        <f>(T81+T7)-T36</f>
        <v>-376659.86735632183</v>
      </c>
      <c r="U83" s="3340"/>
      <c r="V83" s="3340"/>
      <c r="W83" s="3338">
        <f>(W81)-W36</f>
        <v>169596.03054686211</v>
      </c>
      <c r="X83" s="3338">
        <f>(X81)-X36</f>
        <v>-16399.050000000032</v>
      </c>
      <c r="Y83" s="3339">
        <f>(Y81)-Y36</f>
        <v>153196.98054686218</v>
      </c>
      <c r="Z83" s="3340"/>
      <c r="AA83" s="3340"/>
      <c r="AB83" s="3338">
        <f>(AB81+AB7)-AB36</f>
        <v>705712.72109874</v>
      </c>
      <c r="AC83" s="3338">
        <f>(AC81+AC7)-AC36</f>
        <v>-115560.98000000001</v>
      </c>
      <c r="AD83" s="3339">
        <f>(AD81+AD7)-AD36</f>
        <v>590151.74109874014</v>
      </c>
      <c r="AE83" s="3340"/>
      <c r="AF83" s="3340"/>
      <c r="AG83" s="3338">
        <f>(AG81+AG7)-AG36</f>
        <v>362160.50729169656</v>
      </c>
      <c r="AH83" s="3338">
        <f>(AH81+AH7)-AH36</f>
        <v>-91114.760000000009</v>
      </c>
      <c r="AI83" s="3339">
        <f>(AI81+AI7)-AI36</f>
        <v>271045.74729169649</v>
      </c>
      <c r="AJ83" s="3340"/>
      <c r="AK83" s="3340"/>
      <c r="AL83" s="3338">
        <f>(AL81)-AL36</f>
        <v>1240445.3533675552</v>
      </c>
      <c r="AM83" s="3338">
        <f>(AM81)-AM36</f>
        <v>-251070.25</v>
      </c>
      <c r="AN83" s="3339">
        <f>(AN81)-AN36</f>
        <v>989375.10336755519</v>
      </c>
      <c r="AO83" s="3340"/>
      <c r="AP83" s="3340"/>
      <c r="AQ83" s="3338">
        <f>(AQ81)-AQ36</f>
        <v>-1637497.9741951383</v>
      </c>
      <c r="AR83" s="3338">
        <f>(AR81)-AR36</f>
        <v>-323855.54999999993</v>
      </c>
      <c r="AS83" s="3339">
        <f>(AS81)-AS36</f>
        <v>-1961353.5241951384</v>
      </c>
      <c r="AT83" s="3340"/>
      <c r="AU83" s="3340"/>
      <c r="AV83" s="3338">
        <f>(AV81)-AV36</f>
        <v>1320435.6845022063</v>
      </c>
      <c r="AW83" s="3338">
        <f>(AW81)-AW36</f>
        <v>-1969190.4500000002</v>
      </c>
      <c r="AX83" s="3339">
        <f>(AX81)-AX36</f>
        <v>-648754.76549779461</v>
      </c>
      <c r="AY83" s="3341"/>
      <c r="AZ83" s="3341"/>
      <c r="BA83" s="3338">
        <f>(BA81)-BA36</f>
        <v>104324.14997568271</v>
      </c>
      <c r="BB83" s="3338">
        <f>(BB81)-BB36</f>
        <v>-225768</v>
      </c>
      <c r="BC83" s="3339">
        <f>(BC81)-BC36</f>
        <v>-121443.85002431725</v>
      </c>
      <c r="BD83" s="3341"/>
      <c r="BE83" s="3341">
        <f>ЦО_логистика!AD83+'Форд Тягач'!BC83+'MAN Blue KA1783HI'!AN83+'MAN green KA2790IE'!AN83+'MAN №3 white KA7837HO'!AN83+'MAN №4 white KA3597HO'!AN83+'MAN №5 Тент МД'!AD83-BC83</f>
        <v>0</v>
      </c>
      <c r="BF83" s="3338">
        <f>(BF81)-BF36</f>
        <v>25415.949855491337</v>
      </c>
      <c r="BG83" s="3338">
        <f>(BG81)-BG36</f>
        <v>-12213</v>
      </c>
      <c r="BH83" s="3339">
        <f>(BH81)-BH36</f>
        <v>13202.949855491339</v>
      </c>
      <c r="BI83" s="3340"/>
      <c r="BJ83" s="3341"/>
      <c r="BK83" s="3338">
        <f>(BK81)-BK36</f>
        <v>93363.093913294826</v>
      </c>
      <c r="BL83" s="3338">
        <f>(BL81)-BL36</f>
        <v>-175736.29</v>
      </c>
      <c r="BM83" s="3339">
        <f>(BM81)-BM36</f>
        <v>-82373.196086705168</v>
      </c>
      <c r="BN83" s="3340"/>
      <c r="BO83" s="3341"/>
      <c r="BP83" s="3338">
        <f>(BP81+BP7)-BP36</f>
        <v>-14454.893793103467</v>
      </c>
      <c r="BQ83" s="3338">
        <f>(BQ81+BQ7)-BQ36</f>
        <v>-37818.71</v>
      </c>
      <c r="BR83" s="3339">
        <f>(BR81+BR7)-BR36</f>
        <v>-52273.603793103444</v>
      </c>
      <c r="BS83" s="3340"/>
      <c r="BT83" s="3340"/>
      <c r="BU83" s="3338">
        <f>(BU81+BU7)-BU36</f>
        <v>0</v>
      </c>
      <c r="BV83" s="3338">
        <f>(BV81+BV7)-BV36</f>
        <v>0</v>
      </c>
      <c r="BW83" s="3339">
        <f>(BW81)-BW36</f>
        <v>0</v>
      </c>
      <c r="BX83" s="3340"/>
      <c r="BY83" s="3340"/>
      <c r="BZ83" s="3338">
        <f>(BZ81+BZ7)-BZ36</f>
        <v>0</v>
      </c>
      <c r="CA83" s="3338">
        <f>(CA81+CA7)-CA36</f>
        <v>0</v>
      </c>
      <c r="CB83" s="3339">
        <f>(CB81)-CB36</f>
        <v>0</v>
      </c>
      <c r="CC83" s="3340"/>
      <c r="CD83" s="3340"/>
      <c r="CE83" s="3338">
        <f>(CE81+CE7)-CE36</f>
        <v>0</v>
      </c>
      <c r="CF83" s="3338">
        <f>(CF81+CF7)-CF36</f>
        <v>0</v>
      </c>
      <c r="CG83" s="3339">
        <f>(CG81)-CG36</f>
        <v>0</v>
      </c>
      <c r="CH83" s="3340"/>
      <c r="CI83" s="3340"/>
      <c r="CJ83" s="3338">
        <f>(CJ81+CJ7)-CJ36</f>
        <v>0</v>
      </c>
      <c r="CK83" s="3338">
        <f>(CK81+CK7)-CK36</f>
        <v>0</v>
      </c>
      <c r="CL83" s="3339">
        <f>(CL81)-CL36</f>
        <v>0</v>
      </c>
      <c r="CM83" s="3340"/>
      <c r="CN83" s="3340"/>
      <c r="CO83" s="3338">
        <f>(CO81+CO7)-CO36</f>
        <v>0</v>
      </c>
      <c r="CP83" s="3338">
        <f>(CP81+CP7)-CP36</f>
        <v>0</v>
      </c>
      <c r="CQ83" s="3339">
        <f>(CQ81)-CQ36</f>
        <v>0</v>
      </c>
      <c r="CR83" s="3340"/>
      <c r="CS83" s="3340"/>
      <c r="CT83" s="3338">
        <f>(CT81+CT7)-CT36</f>
        <v>0</v>
      </c>
      <c r="CU83" s="3338">
        <f>(CU81+CU7)-CU36</f>
        <v>0</v>
      </c>
      <c r="CV83" s="3339">
        <f>(CV81)-CV36</f>
        <v>0</v>
      </c>
      <c r="CW83" s="3340"/>
      <c r="CX83" s="3340"/>
      <c r="CY83" s="3338">
        <f>(CY81+CY7)-CY36</f>
        <v>0</v>
      </c>
      <c r="CZ83" s="3338">
        <f>(CZ81+CZ7)-CZ36</f>
        <v>0</v>
      </c>
      <c r="DA83" s="3339">
        <f>(DA81)-DA36</f>
        <v>0</v>
      </c>
      <c r="DB83" s="3340"/>
      <c r="DC83" s="3340"/>
      <c r="DD83" s="3338">
        <f>(DD81+DD7)-DD36</f>
        <v>0</v>
      </c>
      <c r="DE83" s="3338">
        <f>(DE81+DE7)-DE36</f>
        <v>0</v>
      </c>
      <c r="DF83" s="3339">
        <f>(DF81)-DF36</f>
        <v>0</v>
      </c>
      <c r="DG83" s="3340"/>
      <c r="DH83" s="3340"/>
      <c r="DI83" s="3338">
        <f>(DI81+DI7)-DI36</f>
        <v>0</v>
      </c>
      <c r="DJ83" s="3338">
        <f>(DJ81+DJ7)-DJ36</f>
        <v>0</v>
      </c>
      <c r="DK83" s="3339">
        <f>(DK81)-DK36</f>
        <v>0</v>
      </c>
      <c r="DL83" s="3340"/>
      <c r="DM83" s="3340"/>
      <c r="DN83" s="3338">
        <f>(DN81)-DN36</f>
        <v>2095716.0552312834</v>
      </c>
      <c r="DO83" s="3338">
        <f>(DO81)-DO36</f>
        <v>-3200158.4899999998</v>
      </c>
      <c r="DP83" s="3339">
        <f>(DP81)-DP36</f>
        <v>-1104442.4347687159</v>
      </c>
      <c r="DQ83" s="3340"/>
      <c r="DR83" s="3340"/>
      <c r="DS83" s="916"/>
      <c r="DT83" s="916"/>
    </row>
    <row r="84" spans="1:125" s="1411" customFormat="1" ht="14.4" thickBot="1" x14ac:dyDescent="0.3">
      <c r="A84" s="1420"/>
      <c r="B84" s="3368" t="s">
        <v>14</v>
      </c>
      <c r="C84" s="3431">
        <v>214261.64278695648</v>
      </c>
      <c r="D84" s="3344">
        <v>-102555.61999999998</v>
      </c>
      <c r="E84" s="3344">
        <v>104212.48981879084</v>
      </c>
      <c r="F84" s="3345">
        <v>0</v>
      </c>
      <c r="G84" s="3345"/>
      <c r="H84" s="3431">
        <v>4553.8300000000054</v>
      </c>
      <c r="I84" s="3344">
        <v>-16197.22</v>
      </c>
      <c r="J84" s="3344">
        <v>-14063.664252873557</v>
      </c>
      <c r="K84" s="3345">
        <v>0</v>
      </c>
      <c r="L84" s="3345">
        <v>0</v>
      </c>
      <c r="M84" s="3431">
        <v>264546.03784029133</v>
      </c>
      <c r="N84" s="3344">
        <v>-73620.98</v>
      </c>
      <c r="O84" s="3344">
        <v>179924.2217483373</v>
      </c>
      <c r="P84" s="3345">
        <v>0</v>
      </c>
      <c r="Q84" s="3345">
        <v>0</v>
      </c>
      <c r="R84" s="3344">
        <f>R83-R73-R82</f>
        <v>-204397.52735632187</v>
      </c>
      <c r="S84" s="3344">
        <f>S83-S73-S82</f>
        <v>-207199.45</v>
      </c>
      <c r="T84" s="3344">
        <f>T83-T73-T82</f>
        <v>-411596.97735632182</v>
      </c>
      <c r="U84" s="3345"/>
      <c r="V84" s="3345"/>
      <c r="W84" s="2871">
        <f>W83-W73-W82</f>
        <v>133796.13054686211</v>
      </c>
      <c r="X84" s="2873">
        <f>X83-X73-X82</f>
        <v>-16399.050000000032</v>
      </c>
      <c r="Y84" s="2871">
        <f>Y83-Y73-Y82</f>
        <v>117397.08054686218</v>
      </c>
      <c r="Z84" s="3345"/>
      <c r="AA84" s="3345"/>
      <c r="AB84" s="3344">
        <f>AB83-AB73-AB82</f>
        <v>639322.56109873997</v>
      </c>
      <c r="AC84" s="3344">
        <f>AC83-AC73-AC82</f>
        <v>-115560.98000000001</v>
      </c>
      <c r="AD84" s="3344">
        <f>AD83-AD73-AD82</f>
        <v>523761.58109874011</v>
      </c>
      <c r="AE84" s="3345"/>
      <c r="AF84" s="3345"/>
      <c r="AG84" s="2873">
        <f>AG83-AG73-AG82</f>
        <v>337244.25729169656</v>
      </c>
      <c r="AH84" s="2873">
        <f>AH83-AH73-AH82</f>
        <v>-91114.760000000009</v>
      </c>
      <c r="AI84" s="2873">
        <f>AI83-AI73-AI82</f>
        <v>246129.49729169649</v>
      </c>
      <c r="AJ84" s="3345"/>
      <c r="AK84" s="3345"/>
      <c r="AL84" s="2873">
        <f>AL83-AL73-AL82</f>
        <v>1125690.2533675551</v>
      </c>
      <c r="AM84" s="2873">
        <f>AM83-AM73-AM82</f>
        <v>-251070.25</v>
      </c>
      <c r="AN84" s="2873">
        <f>AN83-AN73-AN82</f>
        <v>874620.00336755521</v>
      </c>
      <c r="AO84" s="3345"/>
      <c r="AP84" s="3345"/>
      <c r="AQ84" s="3344">
        <f>AQ83-AQ73-AQ82</f>
        <v>-1691886.0741951384</v>
      </c>
      <c r="AR84" s="3344">
        <f>AR83-AR73-AR82</f>
        <v>-323855.54999999993</v>
      </c>
      <c r="AS84" s="3344">
        <f>AS83-AS73-AS82</f>
        <v>-2015741.6241951385</v>
      </c>
      <c r="AT84" s="3345"/>
      <c r="AU84" s="3345"/>
      <c r="AV84" s="2873">
        <f>AV83-AV73-AV82</f>
        <v>1320435.6845022063</v>
      </c>
      <c r="AW84" s="2873">
        <f>AW83-AW73-AW82</f>
        <v>-1969190.4500000002</v>
      </c>
      <c r="AX84" s="2873">
        <f>AX83-AX73-AX82</f>
        <v>-648754.76549779461</v>
      </c>
      <c r="AY84" s="2874"/>
      <c r="AZ84" s="2874"/>
      <c r="BA84" s="2873">
        <f>BA83-BA73-BA82</f>
        <v>104324.14997568271</v>
      </c>
      <c r="BB84" s="2873">
        <f>BB83-BB73-BB82</f>
        <v>-225768</v>
      </c>
      <c r="BC84" s="2873">
        <f>BC83-BC73-BC82</f>
        <v>-121443.85002431725</v>
      </c>
      <c r="BD84" s="2874"/>
      <c r="BE84" s="2874">
        <f>ЦО_логистика!AD84+'Форд Тягач'!BC84+'MAN Blue KA1783HI'!AN84+'MAN green KA2790IE'!AN84+'MAN №3 white KA7837HO'!AN84+'MAN №4 white KA3597HO'!AN84+'MAN №5 Тент МД'!AD84-BC84</f>
        <v>0</v>
      </c>
      <c r="BF84" s="2873">
        <f>BF83-BF73-BF82</f>
        <v>25415.949855491337</v>
      </c>
      <c r="BG84" s="2873">
        <f>BG83-BG73-BG82</f>
        <v>-12213</v>
      </c>
      <c r="BH84" s="2873">
        <f>BH83-BH73-BH82</f>
        <v>13202.949855491339</v>
      </c>
      <c r="BI84" s="2874"/>
      <c r="BJ84" s="2874"/>
      <c r="BK84" s="2873">
        <f>BK83-BK73-BK82</f>
        <v>93363.093913294826</v>
      </c>
      <c r="BL84" s="2873">
        <f>BL83-BL73-BL82</f>
        <v>-175736.29</v>
      </c>
      <c r="BM84" s="2873">
        <f>BM83-BM73-BM82</f>
        <v>-82373.196086705168</v>
      </c>
      <c r="BN84" s="2874"/>
      <c r="BO84" s="2874"/>
      <c r="BP84" s="2873">
        <f>BP83-BP73-BP82</f>
        <v>-14454.893793103467</v>
      </c>
      <c r="BQ84" s="2873">
        <f>BQ83-BQ73-BQ82</f>
        <v>-37818.71</v>
      </c>
      <c r="BR84" s="2873">
        <f>BR83-BR73-BR82</f>
        <v>-52273.603793103444</v>
      </c>
      <c r="BS84" s="3345"/>
      <c r="BT84" s="3345"/>
      <c r="BU84" s="2873">
        <f>BU83-BU73-BU82</f>
        <v>0</v>
      </c>
      <c r="BV84" s="2873">
        <f>BV83-BV73-BV82</f>
        <v>0</v>
      </c>
      <c r="BW84" s="2873">
        <f>BW83-BW73-BW82</f>
        <v>0</v>
      </c>
      <c r="BX84" s="3345"/>
      <c r="BY84" s="3345"/>
      <c r="BZ84" s="2873">
        <f>BZ83-BZ73-BZ82</f>
        <v>0</v>
      </c>
      <c r="CA84" s="2873">
        <f>CA83-CA73-CA82</f>
        <v>0</v>
      </c>
      <c r="CB84" s="3344">
        <f>CB83-CB73-CB82</f>
        <v>0</v>
      </c>
      <c r="CC84" s="3345"/>
      <c r="CD84" s="3345"/>
      <c r="CE84" s="2873">
        <f>CE83-CE73-CE82</f>
        <v>0</v>
      </c>
      <c r="CF84" s="2873">
        <f>CF83-CF73-CF82</f>
        <v>0</v>
      </c>
      <c r="CG84" s="3344">
        <f>CG83-CG73-CG82</f>
        <v>0</v>
      </c>
      <c r="CH84" s="3345"/>
      <c r="CI84" s="3345"/>
      <c r="CJ84" s="2873">
        <f>CJ83-CJ73-CJ82</f>
        <v>0</v>
      </c>
      <c r="CK84" s="2873">
        <f>CK83-CK73-CK82</f>
        <v>0</v>
      </c>
      <c r="CL84" s="3344">
        <f>CL83-CL73-CL82</f>
        <v>0</v>
      </c>
      <c r="CM84" s="3345"/>
      <c r="CN84" s="3345"/>
      <c r="CO84" s="2873">
        <f>CO83-CO73-CO82</f>
        <v>0</v>
      </c>
      <c r="CP84" s="2873">
        <f>CP83-CP73-CP82</f>
        <v>0</v>
      </c>
      <c r="CQ84" s="3344">
        <f>CQ83-CQ73-CQ82</f>
        <v>0</v>
      </c>
      <c r="CR84" s="3345"/>
      <c r="CS84" s="3345"/>
      <c r="CT84" s="2873">
        <f>CT83-CT73-CT82</f>
        <v>0</v>
      </c>
      <c r="CU84" s="2873">
        <f>CU83-CU73-CU82</f>
        <v>0</v>
      </c>
      <c r="CV84" s="3344">
        <f>CV83-CV73-CV82</f>
        <v>0</v>
      </c>
      <c r="CW84" s="3345"/>
      <c r="CX84" s="3345"/>
      <c r="CY84" s="2873">
        <f>CY83-CY73-CY82</f>
        <v>0</v>
      </c>
      <c r="CZ84" s="2873">
        <f>CZ83-CZ73-CZ82</f>
        <v>0</v>
      </c>
      <c r="DA84" s="3344">
        <f>DA83-DA73-DA82</f>
        <v>0</v>
      </c>
      <c r="DB84" s="3345"/>
      <c r="DC84" s="3345"/>
      <c r="DD84" s="2873">
        <f>DD83-DD73-DD82</f>
        <v>0</v>
      </c>
      <c r="DE84" s="2873">
        <f>DE83-DE73-DE82</f>
        <v>0</v>
      </c>
      <c r="DF84" s="3344">
        <f>DF83-DF73-DF82</f>
        <v>0</v>
      </c>
      <c r="DG84" s="3345"/>
      <c r="DH84" s="3345"/>
      <c r="DI84" s="2873">
        <f>DI83-DI73-DI82</f>
        <v>0</v>
      </c>
      <c r="DJ84" s="2873">
        <f>DJ83-DJ73-DJ82</f>
        <v>0</v>
      </c>
      <c r="DK84" s="3344">
        <f>DK83-DK73-DK82</f>
        <v>0</v>
      </c>
      <c r="DL84" s="3345"/>
      <c r="DM84" s="3345"/>
      <c r="DN84" s="2873">
        <f>DN83-DN73-DN82</f>
        <v>1764529.4352312833</v>
      </c>
      <c r="DO84" s="2873">
        <f>DO83-DO73-DO82</f>
        <v>-3200158.4899999998</v>
      </c>
      <c r="DP84" s="2873">
        <f>DP83-DP73-DP82</f>
        <v>-1435629.054768716</v>
      </c>
      <c r="DQ84" s="2874"/>
      <c r="DR84" s="2874"/>
      <c r="DS84" s="916"/>
      <c r="DT84" s="916"/>
    </row>
    <row r="85" spans="1:125" s="1411" customFormat="1" ht="13.8" x14ac:dyDescent="0.25">
      <c r="A85" s="1580"/>
      <c r="B85" s="1415" t="s">
        <v>44</v>
      </c>
      <c r="C85" s="3280">
        <v>0</v>
      </c>
      <c r="D85" s="3280">
        <v>0</v>
      </c>
      <c r="E85" s="2141">
        <v>0</v>
      </c>
      <c r="F85" s="3352">
        <v>0</v>
      </c>
      <c r="G85" s="3352"/>
      <c r="H85" s="3280">
        <v>0</v>
      </c>
      <c r="I85" s="3280">
        <v>0</v>
      </c>
      <c r="J85" s="2141">
        <v>0</v>
      </c>
      <c r="K85" s="3352">
        <v>0</v>
      </c>
      <c r="L85" s="3352">
        <v>0</v>
      </c>
      <c r="M85" s="3280">
        <v>0</v>
      </c>
      <c r="N85" s="3280">
        <v>0</v>
      </c>
      <c r="O85" s="2141">
        <v>0</v>
      </c>
      <c r="P85" s="3352">
        <v>0</v>
      </c>
      <c r="Q85" s="3352">
        <v>0</v>
      </c>
      <c r="R85" s="3280"/>
      <c r="S85" s="3280"/>
      <c r="T85" s="2141">
        <f>R85+S85*1.15</f>
        <v>0</v>
      </c>
      <c r="U85" s="3352"/>
      <c r="V85" s="3352"/>
      <c r="W85" s="3429"/>
      <c r="X85" s="3288"/>
      <c r="Y85" s="1997">
        <f>W85+X85*1</f>
        <v>0</v>
      </c>
      <c r="Z85" s="3352"/>
      <c r="AA85" s="3352"/>
      <c r="AB85" s="3280"/>
      <c r="AC85" s="3280"/>
      <c r="AD85" s="2141">
        <f>AB85+AC85*1.15</f>
        <v>0</v>
      </c>
      <c r="AE85" s="3352"/>
      <c r="AF85" s="3352"/>
      <c r="AG85" s="3274">
        <f>ЦО_логистика!H85+'Форд Тягач'!AG85+'MAN Blue KA1783HI'!R85+'MAN green KA2790IE'!R85+'MAN №3 white KA7837HO'!R85+'MAN №4 white KA3597HO'!R85+'MAN №5 Тент МД'!H85</f>
        <v>0</v>
      </c>
      <c r="AH85" s="3274">
        <f>ЦО_логистика!I85+'Форд Тягач'!AH85+'MAN Blue KA1783HI'!S85+'MAN green KA2790IE'!S85+'MAN №3 white KA7837HO'!S85+'MAN №4 white KA3597HO'!S85+'MAN №5 Тент МД'!I85</f>
        <v>0</v>
      </c>
      <c r="AI85" s="3274">
        <f>'Форд Тягач'!AI85+'MAN Blue KA1783HI'!T85+'MAN green KA2790IE'!T85+'MAN №3 white KA7837HO'!T85+'MAN №4 white KA3597HO'!T85+'MAN №5 Тент МД'!J85</f>
        <v>0</v>
      </c>
      <c r="AJ85" s="3352"/>
      <c r="AK85" s="3352"/>
      <c r="AL85" s="3274">
        <f>ЦО_логистика!M85+'Форд Тягач'!AL85+'MAN Blue KA1783HI'!W85+'MAN green KA2790IE'!W85+'MAN №3 white KA7837HO'!W85+'MAN №4 white KA3597HO'!W85+'MAN №5 Тент МД'!M85</f>
        <v>0</v>
      </c>
      <c r="AM85" s="3274">
        <f>ЦО_логистика!N85+'Форд Тягач'!AM85+'MAN Blue KA1783HI'!X85+'MAN green KA2790IE'!X85+'MAN №3 white KA7837HO'!X85+'MAN №4 white KA3597HO'!X85+'MAN №5 Тент МД'!N85</f>
        <v>0</v>
      </c>
      <c r="AN85" s="3274">
        <f>ЦО_логистика!O85+'Форд Тягач'!AN85+'MAN Blue KA1783HI'!Y85+'MAN green KA2790IE'!Y85+'MAN №3 white KA7837HO'!Y85+'MAN №4 white KA3597HO'!Y85+'MAN №5 Тент МД'!O85</f>
        <v>0</v>
      </c>
      <c r="AO85" s="3352"/>
      <c r="AP85" s="3352"/>
      <c r="AQ85" s="3279">
        <f>SUM(ЦО_логистика!R85,'Форд Тягач'!AQ85,'MAN Blue KA1783HI'!AB85,'MAN green KA2790IE'!AB85,'MAN №3 white KA7837HO'!AB85,'MAN №4 white KA3597HO'!AB85,'MAN №5 Тент МД'!R85)</f>
        <v>0</v>
      </c>
      <c r="AR85" s="3280">
        <f>SUM(ЦО_логистика!S85,'Форд Тягач'!AR85,'MAN Blue KA1783HI'!AC85,'MAN green KA2790IE'!AC85,'MAN №3 white KA7837HO'!AC85,'MAN №4 white KA3597HO'!AC85,'MAN №5 Тент МД'!S85)</f>
        <v>0</v>
      </c>
      <c r="AS85" s="3280">
        <f>SUM(ЦО_логистика!T85,'Форд Тягач'!AS85,'MAN Blue KA1783HI'!AD85,'MAN green KA2790IE'!AD85,'MAN №3 white KA7837HO'!AD85,'MAN №4 white KA3597HO'!AD85,'MAN №5 Тент МД'!T85)</f>
        <v>0</v>
      </c>
      <c r="AT85" s="3352"/>
      <c r="AU85" s="3352"/>
      <c r="AV85" s="3275">
        <f>+ЦО_логистика!W85+'Форд Тягач'!AV85+'MAN Blue KA1783HI'!AG85+'MAN green KA2790IE'!AG85+'MAN №3 white KA7837HO'!AG85+'MAN №4 white KA3597HO'!AG85+'MAN №5 Тент МД'!W85</f>
        <v>0</v>
      </c>
      <c r="AW85" s="3275">
        <f>+ЦО_логистика!X85+'Форд Тягач'!AW85+'MAN Blue KA1783HI'!AH85+'MAN green KA2790IE'!AH85+'MAN №3 white KA7837HO'!AH85+'MAN №4 white KA3597HO'!AH85+'MAN №5 Тент МД'!X85</f>
        <v>0</v>
      </c>
      <c r="AX85" s="3275">
        <f>BC85+BH85+BM85+BR85+BW85+CB85+CG85</f>
        <v>0</v>
      </c>
      <c r="AY85" s="3321"/>
      <c r="AZ85" s="3321"/>
      <c r="BA85" s="3275">
        <f t="shared" ref="BA85:BB85" si="151">BF85+BK85+BP85+BU85+BZ85+CE85+CJ85+CO85+CT85+CY85+DD85+DI85</f>
        <v>0</v>
      </c>
      <c r="BB85" s="3275">
        <f t="shared" si="151"/>
        <v>0</v>
      </c>
      <c r="BC85" s="3275">
        <f>BH85+BM85+BR85+BW85+CB85+CG85+CL85</f>
        <v>0</v>
      </c>
      <c r="BD85" s="3321"/>
      <c r="BE85" s="3433">
        <f>ЦО_логистика!AD85+'Форд Тягач'!BC85+'MAN Blue KA1783HI'!AN85+'MAN green KA2790IE'!AN85+'MAN №3 white KA7837HO'!AN85+'MAN №4 white KA3597HO'!AN85+'MAN №5 Тент МД'!AD85-BC85</f>
        <v>0</v>
      </c>
      <c r="BF85" s="3274">
        <f>ЦО_логистика!AG85+'Форд Тягач'!BF85+'MAN Blue KA1783HI'!AQ85+'MAN green KA2790IE'!AQ85+'MAN №3 white KA7837HO'!AQ85+'MAN №4 white KA3597HO'!AQ85+'MAN №5 Тент МД'!AG85</f>
        <v>0</v>
      </c>
      <c r="BG85" s="3274">
        <f>ЦО_логистика!AH85+'Форд Тягач'!BG85+'MAN Blue KA1783HI'!AR85+'MAN green KA2790IE'!AR85+'MAN №3 white KA7837HO'!AR85+'MAN №4 white KA3597HO'!AR85+'MAN №5 Тент МД'!AH85</f>
        <v>0</v>
      </c>
      <c r="BH85" s="3274">
        <f>ЦО_логистика!AI85+'Форд Тягач'!BH85+'MAN Blue KA1783HI'!AS85+'MAN green KA2790IE'!AS85+'MAN №3 white KA7837HO'!AS85+'MAN №4 white KA3597HO'!AS85+'MAN №5 Тент МД'!AI85</f>
        <v>0</v>
      </c>
      <c r="BI85" s="3321"/>
      <c r="BJ85" s="3321"/>
      <c r="BK85" s="3274">
        <f>ЦО_логистика!AL85+'Форд Тягач'!BK85+'MAN Blue KA1783HI'!AV85+'MAN green KA2790IE'!AV85+'MAN №3 white KA7837HO'!AV85+'MAN №4 white KA3597HO'!AV85+'MAN №5 Тент МД'!AL85</f>
        <v>0</v>
      </c>
      <c r="BL85" s="3274">
        <f>ЦО_логистика!AM85+'Форд Тягач'!BL85+'MAN Blue KA1783HI'!AW85+'MAN green KA2790IE'!AW85+'MAN №3 white KA7837HO'!AW85+'MAN №4 white KA3597HO'!AW85+'MAN №5 Тент МД'!AM85</f>
        <v>0</v>
      </c>
      <c r="BM85" s="3274">
        <f>ЦО_логистика!AN85+'Форд Тягач'!BM85+'MAN Blue KA1783HI'!AX85+'MAN green KA2790IE'!AX85+'MAN №3 white KA7837HO'!AX85+'MAN №4 white KA3597HO'!AX85+'MAN №5 Тент МД'!AN85</f>
        <v>0</v>
      </c>
      <c r="BN85" s="3321"/>
      <c r="BO85" s="3321"/>
      <c r="BP85" s="3274">
        <f>ЦО_логистика!AQ85+'Форд Тягач'!BP85+'MAN Blue KA1783HI'!BA85+'MAN green KA2790IE'!BA85+'MAN №3 white KA7837HO'!BA85+'MAN №4 white KA3597HO'!BA85+'MAN №5 Тент МД'!AQ85</f>
        <v>0</v>
      </c>
      <c r="BQ85" s="3274">
        <f>ЦО_логистика!AR85+'Форд Тягач'!BQ85+'MAN Blue KA1783HI'!BB85+'MAN green KA2790IE'!BB85+'MAN №3 white KA7837HO'!BB85+'MAN №4 white KA3597HO'!BB85+'MAN №5 Тент МД'!AR85</f>
        <v>0</v>
      </c>
      <c r="BR85" s="3274">
        <f>ЦО_логистика!AS85+'Форд Тягач'!BR85+'MAN Blue KA1783HI'!BC85+'MAN green KA2790IE'!BC85+'MAN №3 white KA7837HO'!BC85+'MAN №4 white KA3597HO'!BC85+'MAN №5 Тент МД'!AS85</f>
        <v>0</v>
      </c>
      <c r="BS85" s="3352"/>
      <c r="BT85" s="3370"/>
      <c r="BU85" s="3274">
        <f>ЦО_логистика!AV85+'Форд Тягач'!BU85+'MAN Blue KA1783HI'!BF85+'MAN green KA2790IE'!BF85+'MAN №3 white KA7837HO'!BF85+'MAN №4 white KA3597HO'!BF85+'MAN №5 Тент МД'!AV85</f>
        <v>0</v>
      </c>
      <c r="BV85" s="3274">
        <f>ЦО_логистика!AW85+'Форд Тягач'!BV85+'MAN Blue KA1783HI'!BG85+'MAN green KA2790IE'!BG85+'MAN №3 white KA7837HO'!BG85+'MAN №4 white KA3597HO'!BG85+'MAN №5 Тент МД'!AW85</f>
        <v>0</v>
      </c>
      <c r="BW85" s="3274">
        <f>ЦО_логистика!AX85+'Форд Тягач'!BW85+'MAN Blue KA1783HI'!BH85+'MAN green KA2790IE'!BH85+'MAN №3 white KA7837HO'!BH85+'MAN №4 white KA3597HO'!BH85+'MAN №5 Тент МД'!AX85</f>
        <v>0</v>
      </c>
      <c r="BX85" s="3372"/>
      <c r="BY85" s="3369"/>
      <c r="BZ85" s="3274">
        <f>ЦО_логистика!BA85+'Форд Тягач'!BZ85+'MAN Blue KA1783HI'!BK85+'MAN green KA2790IE'!BK85+'MAN №3 white KA7837HO'!BK85+'MAN №4 white KA3597HO'!BK85+'MAN №5 Тент МД'!BA85</f>
        <v>0</v>
      </c>
      <c r="CA85" s="3274">
        <f>ЦО_логистика!BB85+'Форд Тягач'!CA85+'MAN Blue KA1783HI'!BL85+'MAN green KA2790IE'!BL85+'MAN №3 white KA7837HO'!BL85+'MAN №4 white KA3597HO'!BL85+'MAN №5 Тент МД'!BB85</f>
        <v>0</v>
      </c>
      <c r="CB85" s="1358"/>
      <c r="CC85" s="3372"/>
      <c r="CD85" s="3369"/>
      <c r="CE85" s="3274">
        <f>ЦО_логистика!BF85+'Форд Тягач'!CE85+'MAN Blue KA1783HI'!BP85+'MAN green KA2790IE'!BP85+'MAN №3 white KA7837HO'!BP85+'MAN №4 white KA3597HO'!BP85+'MAN №5 Тент МД'!BF85</f>
        <v>0</v>
      </c>
      <c r="CF85" s="3274">
        <f>ЦО_логистика!BG85+'Форд Тягач'!CF85+'MAN Blue KA1783HI'!BQ85+'MAN green KA2790IE'!BQ85+'MAN №3 white KA7837HO'!BQ85+'MAN №4 white KA3597HO'!BQ85+'MAN №5 Тент МД'!BG85</f>
        <v>0</v>
      </c>
      <c r="CG85" s="1358"/>
      <c r="CH85" s="3372"/>
      <c r="CI85" s="3369"/>
      <c r="CJ85" s="3274">
        <f>ЦО_логистика!BK85+'Форд Тягач'!CJ85+'MAN Blue KA1783HI'!BU85+'MAN green KA2790IE'!BU85+'MAN №3 white KA7837HO'!BU85+'MAN №4 white KA3597HO'!BU85+'MAN №5 Тент МД'!BK85</f>
        <v>0</v>
      </c>
      <c r="CK85" s="3274">
        <f>ЦО_логистика!BL85+'Форд Тягач'!CK85+'MAN Blue KA1783HI'!BV85+'MAN green KA2790IE'!BV85+'MAN №3 white KA7837HO'!BV85+'MAN №4 white KA3597HO'!BV85+'MAN №5 Тент МД'!BL85</f>
        <v>0</v>
      </c>
      <c r="CL85" s="1358"/>
      <c r="CM85" s="3372"/>
      <c r="CN85" s="3369"/>
      <c r="CO85" s="3274">
        <f>ЦО_логистика!BP85+'Форд Тягач'!CO85+'MAN Blue KA1783HI'!BZ85+'MAN green KA2790IE'!BZ85+'MAN №3 white KA7837HO'!BZ85+'MAN №4 white KA3597HO'!BZ85+'MAN №5 Тент МД'!BP85</f>
        <v>0</v>
      </c>
      <c r="CP85" s="3274">
        <f>ЦО_логистика!BQ85+'Форд Тягач'!CP85+'MAN Blue KA1783HI'!CA85+'MAN green KA2790IE'!CA85+'MAN №3 white KA7837HO'!CA85+'MAN №4 white KA3597HO'!CA85+'MAN №5 Тент МД'!BQ85</f>
        <v>0</v>
      </c>
      <c r="CQ85" s="1358"/>
      <c r="CR85" s="3372"/>
      <c r="CS85" s="3369"/>
      <c r="CT85" s="3274">
        <f>ЦО_логистика!BU85+'Форд Тягач'!CT85+'MAN Blue KA1783HI'!CE85+'MAN green KA2790IE'!CE85+'MAN №3 white KA7837HO'!CE85+'MAN №4 white KA3597HO'!CE85+'MAN №5 Тент МД'!BU85</f>
        <v>0</v>
      </c>
      <c r="CU85" s="3274">
        <f>ЦО_логистика!BV85+'Форд Тягач'!CU85+'MAN Blue KA1783HI'!CF85+'MAN green KA2790IE'!CF85+'MAN №3 white KA7837HO'!CF85+'MAN №4 white KA3597HO'!CF85+'MAN №5 Тент МД'!BV85</f>
        <v>0</v>
      </c>
      <c r="CV85" s="1358"/>
      <c r="CW85" s="3372"/>
      <c r="CX85" s="3369"/>
      <c r="CY85" s="3274">
        <f>ЦО_логистика!BZ85+'Форд Тягач'!CY85+'MAN Blue KA1783HI'!CJ85+'MAN green KA2790IE'!CJ85+'MAN №3 white KA7837HO'!CJ85+'MAN №4 white KA3597HO'!CJ85+'MAN №5 Тент МД'!BZ85</f>
        <v>0</v>
      </c>
      <c r="CZ85" s="3274">
        <f>ЦО_логистика!CA85+'Форд Тягач'!CZ85+'MAN Blue KA1783HI'!CK85+'MAN green KA2790IE'!CK85+'MAN №3 white KA7837HO'!CK85+'MAN №4 white KA3597HO'!CK85+'MAN №5 Тент МД'!CA85</f>
        <v>0</v>
      </c>
      <c r="DA85" s="1358"/>
      <c r="DB85" s="3372"/>
      <c r="DC85" s="3369"/>
      <c r="DD85" s="3274">
        <f>ЦО_логистика!CE85+'Форд Тягач'!DD85+'MAN Blue KA1783HI'!CO85+'MAN green KA2790IE'!CO85+'MAN №3 white KA7837HO'!CO85+'MAN №4 white KA3597HO'!CO85+'MAN №5 Тент МД'!CE85</f>
        <v>0</v>
      </c>
      <c r="DE85" s="3274">
        <f>ЦО_логистика!CF85+'Форд Тягач'!DE85+'MAN Blue KA1783HI'!CP85+'MAN green KA2790IE'!CP85+'MAN №3 white KA7837HO'!CP85+'MAN №4 white KA3597HO'!CP85+'MAN №5 Тент МД'!CF85</f>
        <v>0</v>
      </c>
      <c r="DF85" s="1358"/>
      <c r="DG85" s="3372"/>
      <c r="DH85" s="3369"/>
      <c r="DI85" s="3274">
        <f>ЦО_логистика!CJ85+'Форд Тягач'!DI85+'MAN Blue KA1783HI'!CT85+'MAN green KA2790IE'!CT85+'MAN №3 white KA7837HO'!CT85+'MAN №4 white KA3597HO'!CT85+'MAN №5 Тент МД'!CJ85</f>
        <v>0</v>
      </c>
      <c r="DJ85" s="3274">
        <f>ЦО_логистика!CK85+'Форд Тягач'!DJ85+'MAN Blue KA1783HI'!CU85+'MAN green KA2790IE'!CU85+'MAN №3 white KA7837HO'!CU85+'MAN №4 white KA3597HO'!CU85+'MAN №5 Тент МД'!CK85</f>
        <v>0</v>
      </c>
      <c r="DK85" s="1358"/>
      <c r="DL85" s="3372"/>
      <c r="DM85" s="3369"/>
      <c r="DN85" s="3288">
        <f>R85+W85+AB85+AG85+AL85+AQ85+BF85+BK85+BP85+BU85+BZ85+CE85+CJ85+CO85+CT85+CY85+DD85+DI85+AV85</f>
        <v>0</v>
      </c>
      <c r="DO85" s="3288">
        <f>S85+X85+AC85+AH85+AM85+AR85+BG85+BL85+BQ85+BV85+CA85+CF85+CK85+CP85+CU85+CZ85+DE85+DJ85+AW85</f>
        <v>0</v>
      </c>
      <c r="DP85" s="3288">
        <f>T85+Y85+AD85+AI85+AN85+AS85+BH85+BM85+BR85+BW85</f>
        <v>0</v>
      </c>
      <c r="DQ85" s="3321"/>
      <c r="DR85" s="3321"/>
      <c r="DS85" s="916"/>
      <c r="DT85" s="916"/>
    </row>
    <row r="86" spans="1:125" s="1411" customFormat="1" ht="27.6" x14ac:dyDescent="0.25">
      <c r="A86" s="1420"/>
      <c r="B86" s="3353" t="s">
        <v>50</v>
      </c>
      <c r="C86" s="3408">
        <v>214261.64278695648</v>
      </c>
      <c r="D86" s="3354">
        <v>-102555.61999999998</v>
      </c>
      <c r="E86" s="3354">
        <v>104212.48981879084</v>
      </c>
      <c r="F86" s="3355">
        <v>0</v>
      </c>
      <c r="G86" s="3355"/>
      <c r="H86" s="3408">
        <v>4553.8300000000054</v>
      </c>
      <c r="I86" s="3354">
        <v>-16197.22</v>
      </c>
      <c r="J86" s="3354">
        <v>-14063.664252873557</v>
      </c>
      <c r="K86" s="3355">
        <v>0</v>
      </c>
      <c r="L86" s="3355">
        <v>0</v>
      </c>
      <c r="M86" s="3408">
        <v>264546.03784029133</v>
      </c>
      <c r="N86" s="3354">
        <v>-73620.98</v>
      </c>
      <c r="O86" s="3354">
        <v>179924.2217483373</v>
      </c>
      <c r="P86" s="3355">
        <v>0</v>
      </c>
      <c r="Q86" s="3355">
        <v>0</v>
      </c>
      <c r="R86" s="3354">
        <f>R84-R85</f>
        <v>-204397.52735632187</v>
      </c>
      <c r="S86" s="3354">
        <f>S84-S85</f>
        <v>-207199.45</v>
      </c>
      <c r="T86" s="3354">
        <f>T84-T85</f>
        <v>-411596.97735632182</v>
      </c>
      <c r="U86" s="3355"/>
      <c r="V86" s="3355"/>
      <c r="W86" s="3432">
        <f>W84-W85</f>
        <v>133796.13054686211</v>
      </c>
      <c r="X86" s="3354">
        <f>X84-X85</f>
        <v>-16399.050000000032</v>
      </c>
      <c r="Y86" s="3432">
        <f>Y84-Y85</f>
        <v>117397.08054686218</v>
      </c>
      <c r="Z86" s="3355"/>
      <c r="AA86" s="3355"/>
      <c r="AB86" s="3354">
        <f>AB84-AB85</f>
        <v>639322.56109873997</v>
      </c>
      <c r="AC86" s="3354">
        <f>AC84-AC85</f>
        <v>-115560.98000000001</v>
      </c>
      <c r="AD86" s="3354">
        <f>AD84-AD85</f>
        <v>523761.58109874011</v>
      </c>
      <c r="AE86" s="3355"/>
      <c r="AF86" s="3355"/>
      <c r="AG86" s="3354">
        <f>AG84-AG85</f>
        <v>337244.25729169656</v>
      </c>
      <c r="AH86" s="3354">
        <f>AH84-AH85</f>
        <v>-91114.760000000009</v>
      </c>
      <c r="AI86" s="3354">
        <f>AI84-AI85</f>
        <v>246129.49729169649</v>
      </c>
      <c r="AJ86" s="3355"/>
      <c r="AK86" s="3355"/>
      <c r="AL86" s="3354">
        <f>AL84</f>
        <v>1125690.2533675551</v>
      </c>
      <c r="AM86" s="3354">
        <f>AM84</f>
        <v>-251070.25</v>
      </c>
      <c r="AN86" s="3354">
        <f>AN84</f>
        <v>874620.00336755521</v>
      </c>
      <c r="AO86" s="3355"/>
      <c r="AP86" s="3355"/>
      <c r="AQ86" s="3354">
        <f>AQ84</f>
        <v>-1691886.0741951384</v>
      </c>
      <c r="AR86" s="3354">
        <f>AR84</f>
        <v>-323855.54999999993</v>
      </c>
      <c r="AS86" s="3354">
        <f>AS84</f>
        <v>-2015741.6241951385</v>
      </c>
      <c r="AT86" s="3355"/>
      <c r="AU86" s="3355"/>
      <c r="AV86" s="3354">
        <f>AV84</f>
        <v>1320435.6845022063</v>
      </c>
      <c r="AW86" s="3354">
        <f>AW84</f>
        <v>-1969190.4500000002</v>
      </c>
      <c r="AX86" s="3354">
        <f>AX84</f>
        <v>-648754.76549779461</v>
      </c>
      <c r="AY86" s="3355"/>
      <c r="AZ86" s="3355"/>
      <c r="BA86" s="3354">
        <f>BA84</f>
        <v>104324.14997568271</v>
      </c>
      <c r="BB86" s="3354">
        <f>BB84</f>
        <v>-225768</v>
      </c>
      <c r="BC86" s="3354">
        <f>BC84</f>
        <v>-121443.85002431725</v>
      </c>
      <c r="BD86" s="3355"/>
      <c r="BE86" s="3355">
        <f>ЦО_логистика!AD86+'Форд Тягач'!BC86+'MAN Blue KA1783HI'!AN86+'MAN green KA2790IE'!AN86+'MAN №3 white KA7837HO'!AN86+'MAN №4 white KA3597HO'!AN86+'MAN №5 Тент МД'!AD86-BC86</f>
        <v>0</v>
      </c>
      <c r="BF86" s="3354">
        <f>BF84</f>
        <v>25415.949855491337</v>
      </c>
      <c r="BG86" s="3354">
        <f>BG84</f>
        <v>-12213</v>
      </c>
      <c r="BH86" s="3354">
        <f>BH84</f>
        <v>13202.949855491339</v>
      </c>
      <c r="BI86" s="3355"/>
      <c r="BJ86" s="3355"/>
      <c r="BK86" s="3354">
        <f>BK84-BK85</f>
        <v>93363.093913294826</v>
      </c>
      <c r="BL86" s="3354">
        <f>BL84-BL85</f>
        <v>-175736.29</v>
      </c>
      <c r="BM86" s="3354">
        <f>BM84-BM85</f>
        <v>-82373.196086705168</v>
      </c>
      <c r="BN86" s="3355"/>
      <c r="BO86" s="3355"/>
      <c r="BP86" s="3354">
        <f>BP84-BP85</f>
        <v>-14454.893793103467</v>
      </c>
      <c r="BQ86" s="3354">
        <f>BQ84-BQ85</f>
        <v>-37818.71</v>
      </c>
      <c r="BR86" s="3354">
        <f>BR84</f>
        <v>-52273.603793103444</v>
      </c>
      <c r="BS86" s="3355"/>
      <c r="BT86" s="3355"/>
      <c r="BU86" s="3354">
        <f>BU84</f>
        <v>0</v>
      </c>
      <c r="BV86" s="3354">
        <f>BV84</f>
        <v>0</v>
      </c>
      <c r="BW86" s="3354">
        <f>BW84</f>
        <v>0</v>
      </c>
      <c r="BX86" s="3355"/>
      <c r="BY86" s="3355"/>
      <c r="BZ86" s="3354">
        <f>BZ84-BZ85</f>
        <v>0</v>
      </c>
      <c r="CA86" s="3354">
        <f>CA84-CA85</f>
        <v>0</v>
      </c>
      <c r="CB86" s="3354">
        <f>CB84</f>
        <v>0</v>
      </c>
      <c r="CC86" s="3355"/>
      <c r="CD86" s="3355"/>
      <c r="CE86" s="3354">
        <f>CE84-CE85</f>
        <v>0</v>
      </c>
      <c r="CF86" s="3354">
        <f>CF84-CF85</f>
        <v>0</v>
      </c>
      <c r="CG86" s="3354">
        <f>CG84</f>
        <v>0</v>
      </c>
      <c r="CH86" s="3355"/>
      <c r="CI86" s="3355"/>
      <c r="CJ86" s="3354">
        <f>CJ84-CJ85</f>
        <v>0</v>
      </c>
      <c r="CK86" s="3354">
        <f>CK84-CK85</f>
        <v>0</v>
      </c>
      <c r="CL86" s="3354">
        <f>CL84</f>
        <v>0</v>
      </c>
      <c r="CM86" s="3355"/>
      <c r="CN86" s="3355"/>
      <c r="CO86" s="3354">
        <f>CO84-CO85</f>
        <v>0</v>
      </c>
      <c r="CP86" s="3354">
        <f>CP84-CP85</f>
        <v>0</v>
      </c>
      <c r="CQ86" s="3354">
        <f>CQ84</f>
        <v>0</v>
      </c>
      <c r="CR86" s="3355"/>
      <c r="CS86" s="3355"/>
      <c r="CT86" s="3354">
        <f>CT84-CT85</f>
        <v>0</v>
      </c>
      <c r="CU86" s="3354">
        <f>CU84-CU85</f>
        <v>0</v>
      </c>
      <c r="CV86" s="3354">
        <f>CV84</f>
        <v>0</v>
      </c>
      <c r="CW86" s="3355"/>
      <c r="CX86" s="3355"/>
      <c r="CY86" s="3354">
        <f>CY84-CY85</f>
        <v>0</v>
      </c>
      <c r="CZ86" s="3354">
        <f>CZ84-CZ85</f>
        <v>0</v>
      </c>
      <c r="DA86" s="3354">
        <f>DA84</f>
        <v>0</v>
      </c>
      <c r="DB86" s="3355"/>
      <c r="DC86" s="3355"/>
      <c r="DD86" s="3354">
        <f>DD84-DD85</f>
        <v>0</v>
      </c>
      <c r="DE86" s="3354">
        <f>DE84-DE85</f>
        <v>0</v>
      </c>
      <c r="DF86" s="3354">
        <f>DF84</f>
        <v>0</v>
      </c>
      <c r="DG86" s="3355"/>
      <c r="DH86" s="3355"/>
      <c r="DI86" s="3354">
        <f>DI84-DI85</f>
        <v>0</v>
      </c>
      <c r="DJ86" s="3354">
        <f>DJ84-DJ85</f>
        <v>0</v>
      </c>
      <c r="DK86" s="3354">
        <f>DK84</f>
        <v>0</v>
      </c>
      <c r="DL86" s="3355"/>
      <c r="DM86" s="3355"/>
      <c r="DN86" s="3354">
        <f>DN84</f>
        <v>1764529.4352312833</v>
      </c>
      <c r="DO86" s="3354">
        <f>DO84</f>
        <v>-3200158.4899999998</v>
      </c>
      <c r="DP86" s="3354">
        <f>DP84-DP85</f>
        <v>-1435629.054768716</v>
      </c>
      <c r="DQ86" s="3355"/>
      <c r="DR86" s="3355"/>
      <c r="DS86" s="916"/>
      <c r="DT86" s="916"/>
    </row>
    <row r="87" spans="1:125" s="1411" customFormat="1" ht="14.4" thickBot="1" x14ac:dyDescent="0.3">
      <c r="A87" s="1582"/>
      <c r="B87" s="3356" t="s">
        <v>51</v>
      </c>
      <c r="C87" s="3410">
        <v>0.31313324145028143</v>
      </c>
      <c r="D87" s="2878">
        <v>-2.2679261388766028</v>
      </c>
      <c r="E87" s="2879">
        <v>0.14286041699849861</v>
      </c>
      <c r="F87" s="2881">
        <v>0</v>
      </c>
      <c r="G87" s="2881"/>
      <c r="H87" s="3410">
        <v>4.2806395818841582E-2</v>
      </c>
      <c r="I87" s="2878" t="e">
        <v>#DIV/0!</v>
      </c>
      <c r="J87" s="2879">
        <v>-0.13219966021388541</v>
      </c>
      <c r="K87" s="2881">
        <v>0</v>
      </c>
      <c r="L87" s="2881">
        <v>0</v>
      </c>
      <c r="M87" s="3410">
        <v>0.60990159778004793</v>
      </c>
      <c r="N87" s="2878" t="e">
        <v>#DIV/0!</v>
      </c>
      <c r="O87" s="2879">
        <v>0.4148089732112758</v>
      </c>
      <c r="P87" s="2881">
        <v>0</v>
      </c>
      <c r="Q87" s="2881">
        <v>0</v>
      </c>
      <c r="R87" s="2877">
        <f>R86/R5</f>
        <v>-0.24848436967763732</v>
      </c>
      <c r="S87" s="2878">
        <f>S86/S5</f>
        <v>-2.8420082023427429</v>
      </c>
      <c r="T87" s="2879">
        <f>T86/T5</f>
        <v>-0.45963684107495262</v>
      </c>
      <c r="U87" s="2881"/>
      <c r="V87" s="2881"/>
      <c r="W87" s="2877">
        <f>W86/W5</f>
        <v>0.10497121453604187</v>
      </c>
      <c r="X87" s="3051">
        <f>X86/X5</f>
        <v>-4.8277994910498105E-2</v>
      </c>
      <c r="Y87" s="2877">
        <f>Y86/Y5</f>
        <v>7.2724207693176154E-2</v>
      </c>
      <c r="Z87" s="2881"/>
      <c r="AA87" s="2881"/>
      <c r="AB87" s="2877">
        <f>AB86/AB5</f>
        <v>0.40064334363739779</v>
      </c>
      <c r="AC87" s="2878">
        <f>AC86/AC5</f>
        <v>-0.56037717001260789</v>
      </c>
      <c r="AD87" s="2879">
        <f>AD86/AD5</f>
        <v>0.29066217672878492</v>
      </c>
      <c r="AE87" s="2881"/>
      <c r="AF87" s="2881"/>
      <c r="AG87" s="2877">
        <f>AG86/AG5</f>
        <v>0.25923365436655493</v>
      </c>
      <c r="AH87" s="2878">
        <f>AH86/AH5</f>
        <v>-0.27394037425437756</v>
      </c>
      <c r="AI87" s="2879">
        <f>AI86/AI5</f>
        <v>0.15067285535989522</v>
      </c>
      <c r="AJ87" s="2881"/>
      <c r="AK87" s="2881"/>
      <c r="AL87" s="2877">
        <f>AL86/AL5</f>
        <v>0.32101927395578456</v>
      </c>
      <c r="AM87" s="2878">
        <f>AM86/AM5</f>
        <v>-0.97257505326360638</v>
      </c>
      <c r="AN87" s="2879">
        <f>AN86/AN5</f>
        <v>0.23231743406751196</v>
      </c>
      <c r="AO87" s="2881"/>
      <c r="AP87" s="2881"/>
      <c r="AQ87" s="2877">
        <f>AQ86/AQ5</f>
        <v>-0.31314631422766798</v>
      </c>
      <c r="AR87" s="2878">
        <f>AR86/AR5</f>
        <v>-1.2272369168971917</v>
      </c>
      <c r="AS87" s="2879">
        <f>AS86/AS5</f>
        <v>-0.35571380311138423</v>
      </c>
      <c r="AT87" s="2881"/>
      <c r="AU87" s="2881"/>
      <c r="AV87" s="2877">
        <f>AV86/AV5</f>
        <v>0.15290621701210691</v>
      </c>
      <c r="AW87" s="2878">
        <f>AW86/AW5</f>
        <v>-7.8969780638434397</v>
      </c>
      <c r="AX87" s="2879">
        <f>AX86/AX5</f>
        <v>-7.3017251527080537E-2</v>
      </c>
      <c r="AY87" s="3139"/>
      <c r="AZ87" s="3139"/>
      <c r="BA87" s="2877">
        <f>BA86/BA5</f>
        <v>0.15308243697733306</v>
      </c>
      <c r="BB87" s="2878">
        <f>BB86/BB5</f>
        <v>-5.7228897338403044</v>
      </c>
      <c r="BC87" s="2879">
        <f>BC86/BC5</f>
        <v>-0.16845209036024808</v>
      </c>
      <c r="BD87" s="3139"/>
      <c r="BE87" s="3139" t="e">
        <f>ЦО_логистика!AD87+'Форд Тягач'!BC87+'MAN Blue KA1783HI'!AN87+'MAN green KA2790IE'!AN87+'MAN №3 white KA7837HO'!AN87+'MAN №4 white KA3597HO'!AN87+'MAN №5 Тент МД'!AD87-BC87</f>
        <v>#DIV/0!</v>
      </c>
      <c r="BF87" s="2877">
        <f>BF86/BF5</f>
        <v>0.20139421438582675</v>
      </c>
      <c r="BG87" s="2878" t="e">
        <f>BG86/BG5</f>
        <v>#DIV/0!</v>
      </c>
      <c r="BH87" s="2879">
        <f>BH86/BH5</f>
        <v>0.10461925400547813</v>
      </c>
      <c r="BI87" s="2881"/>
      <c r="BJ87" s="3139"/>
      <c r="BK87" s="2877">
        <f>BK86/BK5</f>
        <v>0.24840519865184202</v>
      </c>
      <c r="BL87" s="2878">
        <f>BL86/BL5</f>
        <v>-9.3476750000000006</v>
      </c>
      <c r="BM87" s="2879">
        <f>BM86/BM5</f>
        <v>-0.20872468284988008</v>
      </c>
      <c r="BN87" s="2881"/>
      <c r="BO87" s="3139"/>
      <c r="BP87" s="2877">
        <f>BP86/BP5</f>
        <v>-8.0555582886220833E-2</v>
      </c>
      <c r="BQ87" s="2878">
        <f>BQ86/BQ5</f>
        <v>-1.8314145278450362</v>
      </c>
      <c r="BR87" s="2879">
        <f>BR86/BR5</f>
        <v>-0.26125045626020016</v>
      </c>
      <c r="BS87" s="2881"/>
      <c r="BT87" s="2881"/>
      <c r="BU87" s="2877" t="e">
        <f>BU86/BU5</f>
        <v>#DIV/0!</v>
      </c>
      <c r="BV87" s="2878" t="e">
        <f>BV86/BV5</f>
        <v>#DIV/0!</v>
      </c>
      <c r="BW87" s="2879" t="e">
        <f>BW86/BW5</f>
        <v>#DIV/0!</v>
      </c>
      <c r="BX87" s="2881"/>
      <c r="BY87" s="2881"/>
      <c r="BZ87" s="2877" t="e">
        <f>BZ86/BZ5</f>
        <v>#DIV/0!</v>
      </c>
      <c r="CA87" s="2878" t="e">
        <f>CA86/CA5</f>
        <v>#DIV/0!</v>
      </c>
      <c r="CB87" s="2879" t="e">
        <f>CB86/CB5</f>
        <v>#DIV/0!</v>
      </c>
      <c r="CC87" s="2881"/>
      <c r="CD87" s="2881"/>
      <c r="CE87" s="2877" t="e">
        <f>CE86/CE5</f>
        <v>#DIV/0!</v>
      </c>
      <c r="CF87" s="2878" t="e">
        <f>CF86/CF5</f>
        <v>#DIV/0!</v>
      </c>
      <c r="CG87" s="2879" t="e">
        <f>CG86/CG5</f>
        <v>#DIV/0!</v>
      </c>
      <c r="CH87" s="2881"/>
      <c r="CI87" s="2881"/>
      <c r="CJ87" s="2877" t="e">
        <f>CJ86/CJ5</f>
        <v>#DIV/0!</v>
      </c>
      <c r="CK87" s="2878" t="e">
        <f>CK86/CK5</f>
        <v>#DIV/0!</v>
      </c>
      <c r="CL87" s="2879" t="e">
        <f>CL86/CL5</f>
        <v>#DIV/0!</v>
      </c>
      <c r="CM87" s="2881"/>
      <c r="CN87" s="2881"/>
      <c r="CO87" s="2877" t="e">
        <f>CO86/CO5</f>
        <v>#DIV/0!</v>
      </c>
      <c r="CP87" s="2878" t="e">
        <f>CP86/CP5</f>
        <v>#DIV/0!</v>
      </c>
      <c r="CQ87" s="2879" t="e">
        <f>CQ86/CQ5</f>
        <v>#DIV/0!</v>
      </c>
      <c r="CR87" s="2881"/>
      <c r="CS87" s="2881"/>
      <c r="CT87" s="2877" t="e">
        <f>CT86/CT5</f>
        <v>#DIV/0!</v>
      </c>
      <c r="CU87" s="2878">
        <f>IFERROR(CU86/CU5,0)</f>
        <v>0</v>
      </c>
      <c r="CV87" s="2879" t="e">
        <f>CV86/CV5</f>
        <v>#DIV/0!</v>
      </c>
      <c r="CW87" s="2881"/>
      <c r="CX87" s="2881"/>
      <c r="CY87" s="2877" t="e">
        <f>CY86/CY5</f>
        <v>#DIV/0!</v>
      </c>
      <c r="CZ87" s="2878">
        <f>IFERROR(CZ86/CZ5,0)</f>
        <v>0</v>
      </c>
      <c r="DA87" s="2879" t="e">
        <f>DA86/DA5</f>
        <v>#DIV/0!</v>
      </c>
      <c r="DB87" s="2881"/>
      <c r="DC87" s="2881"/>
      <c r="DD87" s="2877" t="e">
        <f>DD86/DD5</f>
        <v>#DIV/0!</v>
      </c>
      <c r="DE87" s="2878">
        <f>IFERROR(DE86/DE5,0)</f>
        <v>0</v>
      </c>
      <c r="DF87" s="2879" t="e">
        <f>DF86/DF5</f>
        <v>#DIV/0!</v>
      </c>
      <c r="DG87" s="2881"/>
      <c r="DH87" s="2881"/>
      <c r="DI87" s="2877" t="e">
        <f>DI86/DI5</f>
        <v>#DIV/0!</v>
      </c>
      <c r="DJ87" s="2878">
        <f>IFERROR(DJ86/DJ5,0)</f>
        <v>0</v>
      </c>
      <c r="DK87" s="2879" t="e">
        <f>DK86/DK5</f>
        <v>#DIV/0!</v>
      </c>
      <c r="DL87" s="2881"/>
      <c r="DM87" s="2881"/>
      <c r="DN87" s="2877">
        <f>DN86/DN5</f>
        <v>7.5990488343815263E-2</v>
      </c>
      <c r="DO87" s="2878">
        <f>DO86/DO5</f>
        <v>-1.8159363275732414</v>
      </c>
      <c r="DP87" s="2879">
        <f>DP86/DP5</f>
        <v>-5.7465014684124203E-2</v>
      </c>
      <c r="DQ87" s="2881"/>
      <c r="DR87" s="2881"/>
      <c r="DS87" s="916"/>
      <c r="DT87" s="916"/>
      <c r="DU87" s="842"/>
    </row>
    <row r="88" spans="1:125" ht="13.8" x14ac:dyDescent="0.25">
      <c r="A88" s="1438"/>
      <c r="B88" s="1438"/>
      <c r="C88" s="1970"/>
      <c r="D88" s="1970"/>
      <c r="E88" s="1970"/>
      <c r="F88" s="1970"/>
      <c r="G88" s="1438"/>
      <c r="H88" s="1970"/>
      <c r="I88" s="1970"/>
      <c r="J88" s="1970"/>
      <c r="K88" s="1970"/>
      <c r="L88" s="1970"/>
      <c r="M88" s="1970"/>
      <c r="N88" s="1970"/>
      <c r="O88" s="1970"/>
      <c r="P88" s="1970"/>
      <c r="Q88" s="1970"/>
      <c r="R88" s="1970"/>
      <c r="S88" s="1970"/>
      <c r="T88" s="1970"/>
      <c r="U88" s="1970"/>
      <c r="V88" s="1970"/>
      <c r="W88" s="1970"/>
      <c r="X88" s="1970"/>
      <c r="Y88" s="1970"/>
      <c r="Z88" s="1970"/>
      <c r="AA88" s="1970"/>
      <c r="AB88" s="1970"/>
      <c r="AC88" s="1970"/>
      <c r="AD88" s="1970"/>
      <c r="AE88" s="1970"/>
      <c r="AF88" s="1970"/>
      <c r="AG88" s="1970"/>
      <c r="AH88" s="1970"/>
      <c r="AI88" s="1970"/>
      <c r="AJ88" s="1970"/>
      <c r="AK88" s="1970"/>
      <c r="AL88" s="1970"/>
      <c r="AM88" s="1970"/>
      <c r="AN88" s="1970"/>
      <c r="AO88" s="1970"/>
      <c r="AP88" s="1970"/>
      <c r="AQ88" s="1970"/>
      <c r="AR88" s="1970"/>
      <c r="AS88" s="1970"/>
      <c r="AT88" s="1970"/>
      <c r="AU88" s="1970"/>
      <c r="AV88" s="1970"/>
      <c r="AW88" s="1970"/>
      <c r="AX88" s="1970"/>
      <c r="AY88" s="1970"/>
      <c r="AZ88" s="1970"/>
      <c r="BA88" s="1970"/>
      <c r="BB88" s="1970"/>
      <c r="BC88" s="1970"/>
      <c r="BD88" s="1970"/>
      <c r="BE88" s="1970"/>
      <c r="BF88" s="1970"/>
      <c r="BG88" s="1970"/>
      <c r="BH88" s="1970"/>
      <c r="BI88" s="1970"/>
      <c r="BJ88" s="1970"/>
      <c r="BK88" s="1970"/>
      <c r="BL88" s="1970"/>
      <c r="BM88" s="1970"/>
      <c r="BN88" s="1970"/>
      <c r="BO88" s="1970"/>
      <c r="BP88" s="1970"/>
      <c r="BQ88" s="1970"/>
      <c r="BR88" s="1970"/>
      <c r="BS88" s="1970"/>
      <c r="BT88" s="1970"/>
      <c r="BU88" s="1970"/>
      <c r="BV88" s="1970"/>
      <c r="BW88" s="1970"/>
      <c r="BX88" s="1970"/>
      <c r="BY88" s="1970"/>
      <c r="BZ88" s="1970"/>
      <c r="CA88" s="1970"/>
      <c r="CB88" s="1970"/>
      <c r="CC88" s="1970"/>
      <c r="CD88" s="1970"/>
      <c r="CE88" s="1970"/>
      <c r="CF88" s="1970"/>
      <c r="CG88" s="1970"/>
      <c r="CH88" s="1970"/>
      <c r="CI88" s="1970"/>
      <c r="CJ88" s="1970"/>
      <c r="CK88" s="1970"/>
      <c r="CL88" s="1970"/>
      <c r="CM88" s="1970"/>
      <c r="CN88" s="1970"/>
      <c r="CO88" s="1970"/>
      <c r="CP88" s="1970"/>
      <c r="CQ88" s="1970"/>
      <c r="CR88" s="1970"/>
      <c r="CS88" s="1970"/>
      <c r="CT88" s="1970"/>
      <c r="CU88" s="1970"/>
      <c r="CV88" s="1970"/>
      <c r="CW88" s="1970"/>
      <c r="CX88" s="1970"/>
      <c r="CY88" s="1970"/>
      <c r="CZ88" s="1970"/>
      <c r="DA88" s="1970"/>
      <c r="DB88" s="1970"/>
      <c r="DC88" s="1970"/>
      <c r="DD88" s="1970"/>
      <c r="DE88" s="1970"/>
      <c r="DF88" s="1970"/>
      <c r="DG88" s="1970"/>
      <c r="DH88" s="1970"/>
      <c r="DI88" s="1970"/>
      <c r="DJ88" s="1970"/>
      <c r="DK88" s="1970"/>
      <c r="DL88" s="1970"/>
      <c r="DM88" s="1970"/>
      <c r="DN88" s="1970"/>
      <c r="DO88" s="1970"/>
      <c r="DP88" s="1970"/>
      <c r="DQ88" s="1970"/>
      <c r="DR88" s="1970"/>
    </row>
    <row r="89" spans="1:125" x14ac:dyDescent="0.25">
      <c r="B89" s="1577" t="s">
        <v>56</v>
      </c>
      <c r="C89" s="1968"/>
      <c r="D89" s="1968"/>
      <c r="E89" s="1976">
        <v>625258.22018120915</v>
      </c>
      <c r="F89" s="1968"/>
      <c r="G89" s="1577"/>
      <c r="J89" s="1976">
        <f>J8+J36+J41+J50+J54+J73+J79+J82+J85</f>
        <v>120445.6642528736</v>
      </c>
      <c r="O89" s="1976">
        <f>O8+O36+O41+O50+O54+O73+O79+O82+O85</f>
        <v>687579.77825166273</v>
      </c>
      <c r="T89" s="1976">
        <f>T8+T36+T41+T50+T54+T73+T79+T82+T85</f>
        <v>1307079.9773563221</v>
      </c>
      <c r="Y89" s="1976">
        <f>Y8+Y36+Y41+Y50+Y54+Y73+Y79+Y82+Y85</f>
        <v>1496880.8094531379</v>
      </c>
      <c r="AD89" s="1976">
        <f>AD8+AD36+AD41+AD50+AD54+AD73+AD79+AD82+AD85</f>
        <v>1278198.2989012599</v>
      </c>
      <c r="AI89" s="1976">
        <f>AI8+AI36+AI41+AI50+AI54+AI73+AI79+AI82+AI85</f>
        <v>1387406.2627083035</v>
      </c>
      <c r="AN89" s="1976">
        <f>AN8+AN36+AN41+AN50+AN54+AN73+AN79+AN82+AN85</f>
        <v>2890142.6666324451</v>
      </c>
      <c r="AS89" s="1976">
        <f>AS8+AS36+AS41+AS50+AS54+AS73+AS79+AS82+AS85</f>
        <v>7682492.834195138</v>
      </c>
      <c r="AX89" s="1976">
        <f>AX8+AX36+AX41+AX50+AX54+AX73+AX79+AX82</f>
        <v>9533706.6354977954</v>
      </c>
      <c r="BC89" s="1976">
        <f>BC8+BC36+BC41+BC50+BC54+BC73+BC79+BC82</f>
        <v>845156.72002431715</v>
      </c>
      <c r="BH89" s="1976">
        <f>BH8+BH36+BH41+BH50+BH54+BH73+BH79+BH82</f>
        <v>112997.05014450867</v>
      </c>
      <c r="BM89" s="1976">
        <f>BM8+BM36+BM41+BM50+BM54+BM73+BM79+BM82+BM85</f>
        <v>478996.45608670521</v>
      </c>
      <c r="BR89" s="1976">
        <f>BR8+BR36+BR41+BR50+BR54+BR73+BR79+BR82+BR85</f>
        <v>253163.21379310347</v>
      </c>
      <c r="BW89" s="1976">
        <f>BW8+BW36+BW41+BW50+BW54+BW73+BW79+BW82+BW85</f>
        <v>0</v>
      </c>
      <c r="CB89" s="1976">
        <f>CB8+CB36+CB41+CB50+CB54+CB73+CB79+CB82+CB85</f>
        <v>0</v>
      </c>
      <c r="CG89" s="1976">
        <f>CG8+CG36+CG41+CG50+CG54+CG73+CG79+CG82+CG85</f>
        <v>0</v>
      </c>
      <c r="CL89" s="1976">
        <f>CL8+CL36+CL41+CL50+CL54+CL73+CL79+CL82+CL85</f>
        <v>0</v>
      </c>
      <c r="CQ89" s="1976">
        <f>CQ8+CQ36+CQ41+CQ50+CQ54+CQ73+CQ79+CQ82+CQ85</f>
        <v>0</v>
      </c>
      <c r="CV89" s="1976">
        <f>CV8+CV36+CV41+CV50+CV54+CV73+CV79+CV82+CV85</f>
        <v>0</v>
      </c>
      <c r="DA89" s="1976">
        <f>DA8+DA36+DA41+DA50+DA54+DA73+DA79+DA82+DA85</f>
        <v>0</v>
      </c>
      <c r="DF89" s="1976">
        <f>DF8+DF36+DF41+DF50+DF54+DF73+DF79+DF82+DF85</f>
        <v>0</v>
      </c>
      <c r="DK89" s="1976">
        <f>DK8+DK36+DK41+DK50+DK54+DK73+DK79+DK82+DK85</f>
        <v>0</v>
      </c>
      <c r="DP89" s="1976">
        <f>DP8+DP36+DP41+DP50+DP54+DP73+DP79+DP82</f>
        <v>26421064.204768717</v>
      </c>
    </row>
    <row r="90" spans="1:125" ht="13.2" hidden="1" customHeight="1" outlineLevel="1" x14ac:dyDescent="0.25">
      <c r="C90" s="1968"/>
      <c r="D90" s="1968"/>
      <c r="E90" s="1968" t="b">
        <v>1</v>
      </c>
      <c r="F90" s="1968"/>
      <c r="AD90" s="1681">
        <f>ЦО_логистика!E89+'Форд Тягач'!AD89+'MAN Blue KA1783HI'!O89+'MAN green KA2790IE'!O89+'MAN №3 white KA7837HO'!O89+'MAN №4 white KA3597HO'!O89+'MAN №5 Тент МД'!E89</f>
        <v>1278198.2989012601</v>
      </c>
      <c r="AI90" s="1968">
        <f>ЦО_логистика!J89+'Форд Тягач'!AI89+'MAN Blue KA1783HI'!T89+'MAN green KA2790IE'!T89+'MAN №3 white KA7837HO'!T89+'MAN №4 white KA3597HO'!T89+'MAN №5 Тент МД'!J89-AI89</f>
        <v>0</v>
      </c>
      <c r="AN90" s="1361">
        <f>(ЦО_логистика!O89+'Форд Тягач'!AN89+'MAN Blue KA1783HI'!Y89+'MAN green KA2790IE'!Y89+'MAN №3 white KA7837HO'!Y89+'MAN №4 white KA3597HO'!Y89+'MAN №5 Тент МД'!O89)</f>
        <v>2890142.6666324446</v>
      </c>
      <c r="AS90" s="1607" t="b">
        <f>(ЦО_логистика!T89+'Форд Тягач'!AS89+'MAN Blue KA1783HI'!AD89+'MAN green KA2790IE'!AD89+'MAN №3 white KA7837HO'!AD89+'MAN №4 white KA3597HO'!AD89+'MAN №5 Тент МД'!T89)=AS89</f>
        <v>1</v>
      </c>
      <c r="AX90" s="1607">
        <f>(ЦО_логистика!Y89+'Форд Тягач'!AX89+'MAN Blue KA1783HI'!AI89+'MAN green KA2790IE'!AI89+'MAN №3 white KA7837HO'!AI89+'MAN №4 white KA3597HO'!AI89+'MAN №5 Тент МД'!Y89)</f>
        <v>9533706.6354977954</v>
      </c>
      <c r="BC90" s="1607">
        <f>(ЦО_логистика!AD89+'Форд Тягач'!BC89+'MAN Blue KA1783HI'!AN89+'MAN green KA2790IE'!AN89+'MAN №3 white KA7837HO'!AN89+'MAN №4 white KA3597HO'!AN89+'MAN №5 Тент МД'!AD89)</f>
        <v>845156.72002431739</v>
      </c>
      <c r="BH90" s="1607" t="b">
        <f>(ЦО_логистика!AI89+'Форд Тягач'!BH89+'MAN Blue KA1783HI'!AS89+'MAN green KA2790IE'!AS89+'MAN №3 white KA7837HO'!AS89+'MAN №4 white KA3597HO'!AS89+'MAN №5 Тент МД'!AI89)=BH89</f>
        <v>1</v>
      </c>
      <c r="BM90" s="1607">
        <f>(ЦО_логистика!AN89+'Форд Тягач'!BM89+'MAN Blue KA1783HI'!AX89+'MAN green KA2790IE'!AX89+'MAN №3 white KA7837HO'!AX89+'MAN №4 white KA3597HO'!AX89+'MAN №5 Тент МД'!AN89)</f>
        <v>478996.45608670515</v>
      </c>
      <c r="BR90" s="2135">
        <f>(ЦО_логистика!AS89+'Форд Тягач'!BR89+'MAN Blue KA1783HI'!BC89+'MAN green KA2790IE'!BC89+'MAN №3 white KA7837HO'!BC89+'MAN №4 white KA3597HO'!BC89+'MAN №5 Тент МД'!AS89)</f>
        <v>253163.21379310344</v>
      </c>
      <c r="DP90" s="1968" t="b">
        <f>T89+Y89+AD89+AI89+AN89+AS89+BH89+BM89+BR89+BW89+CB89+CG89+CL89+CQ89+CV89+DA89+DF89+DK89+AX89=DP89</f>
        <v>1</v>
      </c>
    </row>
    <row r="91" spans="1:125" s="1411" customFormat="1" ht="13.2" hidden="1" customHeight="1" outlineLevel="1" x14ac:dyDescent="0.25">
      <c r="A91" s="1417"/>
      <c r="B91" s="1417"/>
      <c r="C91" s="1968"/>
      <c r="D91" s="1968"/>
      <c r="E91" s="1968"/>
      <c r="F91" s="1968"/>
      <c r="G91" s="1417"/>
      <c r="H91" s="1968"/>
      <c r="I91" s="1968"/>
      <c r="J91" s="1968"/>
      <c r="K91" s="1968"/>
      <c r="L91" s="1968"/>
      <c r="M91" s="1968"/>
      <c r="N91" s="1968"/>
      <c r="O91" s="1968"/>
      <c r="P91" s="1968"/>
      <c r="Q91" s="1968"/>
      <c r="R91" s="1968"/>
      <c r="S91" s="1968"/>
      <c r="T91" s="1968"/>
      <c r="U91" s="1968"/>
      <c r="V91" s="1968"/>
      <c r="W91" s="1968"/>
      <c r="X91" s="1968"/>
      <c r="Y91" s="1968"/>
      <c r="Z91" s="1968"/>
      <c r="AA91" s="1968"/>
      <c r="AB91" s="1968"/>
      <c r="AC91" s="1968"/>
      <c r="AD91" s="1681"/>
      <c r="AE91" s="1968"/>
      <c r="AF91" s="1968"/>
      <c r="AG91" s="1968"/>
      <c r="AH91" s="1968"/>
      <c r="AI91" s="1681"/>
      <c r="AJ91" s="1968"/>
      <c r="AK91" s="1968"/>
      <c r="AL91" s="1968"/>
      <c r="AM91" s="1968"/>
      <c r="AN91" s="1185">
        <f>AN5+AN78-AN89</f>
        <v>874620.00336755486</v>
      </c>
      <c r="AO91" s="1968"/>
      <c r="AP91" s="1968"/>
      <c r="AQ91" s="1968"/>
      <c r="AR91" s="1968"/>
      <c r="AS91" s="1185">
        <f>AS5+AS78-AS89</f>
        <v>-2015741.624195138</v>
      </c>
      <c r="AT91" s="1968"/>
      <c r="AU91" s="1968"/>
      <c r="AV91" s="1968"/>
      <c r="AW91" s="1968"/>
      <c r="AX91" s="1185">
        <f>AX5+AX78-AX89</f>
        <v>-648754.76549779437</v>
      </c>
      <c r="AY91" s="1968"/>
      <c r="AZ91" s="1968"/>
      <c r="BA91" s="1968"/>
      <c r="BB91" s="1968"/>
      <c r="BC91" s="1185">
        <f>BC5+BC78-BC89</f>
        <v>-121443.85002431716</v>
      </c>
      <c r="BD91" s="1968"/>
      <c r="BE91" s="1968"/>
      <c r="BF91" s="1968"/>
      <c r="BG91" s="1968"/>
      <c r="BH91" s="1185">
        <f>BH5+BH78-BH89</f>
        <v>13202.94985549133</v>
      </c>
      <c r="BI91" s="1968"/>
      <c r="BJ91" s="1968"/>
      <c r="BK91" s="1968"/>
      <c r="BL91" s="1968"/>
      <c r="BM91" s="1185">
        <f>BM5+BM78-BM89</f>
        <v>-82373.196086705197</v>
      </c>
      <c r="BN91" s="1968"/>
      <c r="BO91" s="1968"/>
      <c r="BP91" s="1968"/>
      <c r="BQ91" s="1968"/>
      <c r="BR91" s="2135">
        <f>BR5-BR89</f>
        <v>-53073.213793103467</v>
      </c>
      <c r="BS91" s="1968"/>
      <c r="BT91" s="1968"/>
      <c r="BU91" s="1968"/>
      <c r="BV91" s="1968"/>
      <c r="BW91" s="1185">
        <f>BW5-BW89+BW77</f>
        <v>0</v>
      </c>
      <c r="BX91" s="1968"/>
      <c r="BY91" s="1968"/>
      <c r="BZ91" s="1968"/>
      <c r="CA91" s="1968"/>
      <c r="CB91" s="1185">
        <f>CB5-CB89</f>
        <v>0</v>
      </c>
      <c r="CC91" s="1968"/>
      <c r="CD91" s="1968"/>
      <c r="CE91" s="1968"/>
      <c r="CF91" s="1968"/>
      <c r="CG91" s="1185">
        <f>CG5-CG89</f>
        <v>0</v>
      </c>
      <c r="CH91" s="1968"/>
      <c r="CI91" s="1968"/>
      <c r="CJ91" s="1968"/>
      <c r="CK91" s="1968"/>
      <c r="CL91" s="1185">
        <f>CL5-CL89</f>
        <v>0</v>
      </c>
      <c r="CM91" s="1968"/>
      <c r="CN91" s="1968"/>
      <c r="CO91" s="1968"/>
      <c r="CP91" s="1968"/>
      <c r="CQ91" s="1185">
        <f>CQ5-CQ89</f>
        <v>0</v>
      </c>
      <c r="CR91" s="1968"/>
      <c r="CS91" s="1968"/>
      <c r="CT91" s="1968"/>
      <c r="CU91" s="1968"/>
      <c r="CV91" s="1185">
        <f>CV5-CV89</f>
        <v>0</v>
      </c>
      <c r="CW91" s="1968"/>
      <c r="CX91" s="1968"/>
      <c r="CY91" s="1968"/>
      <c r="CZ91" s="1968"/>
      <c r="DA91" s="1185">
        <f>DA5-DA89</f>
        <v>0</v>
      </c>
      <c r="DB91" s="1968"/>
      <c r="DC91" s="1968"/>
      <c r="DD91" s="1968"/>
      <c r="DE91" s="1968"/>
      <c r="DF91" s="1185">
        <f>DF5-DF89</f>
        <v>0</v>
      </c>
      <c r="DG91" s="1968"/>
      <c r="DH91" s="1968"/>
      <c r="DI91" s="1968"/>
      <c r="DJ91" s="1968"/>
      <c r="DK91" s="1185">
        <f>DK5-DK89</f>
        <v>0</v>
      </c>
      <c r="DL91" s="1968"/>
      <c r="DM91" s="1968"/>
      <c r="DN91" s="1968"/>
      <c r="DO91" s="1968"/>
      <c r="DP91" s="1185">
        <f>DP5+DP78-DP89</f>
        <v>-1435629.0547687151</v>
      </c>
      <c r="DQ91" s="1968"/>
      <c r="DR91" s="1968"/>
      <c r="DS91" s="1579"/>
      <c r="DT91" s="1579"/>
    </row>
    <row r="92" spans="1:125" ht="13.2" hidden="1" customHeight="1" outlineLevel="1" x14ac:dyDescent="0.25">
      <c r="C92" s="1968"/>
      <c r="D92" s="1968"/>
      <c r="E92" s="1968"/>
      <c r="F92" s="1968"/>
      <c r="AD92" s="1681">
        <f>AD5-AD89+AD78</f>
        <v>523761.58109874022</v>
      </c>
      <c r="AI92" s="1681">
        <f>AI5-AI89+AI78</f>
        <v>246129.49729169649</v>
      </c>
      <c r="AX92" s="828"/>
      <c r="BC92" s="828"/>
    </row>
    <row r="93" spans="1:125" s="1411" customFormat="1" ht="13.2" hidden="1" customHeight="1" outlineLevel="1" x14ac:dyDescent="0.25">
      <c r="A93" s="1417"/>
      <c r="B93" s="1417"/>
      <c r="C93" s="1417"/>
      <c r="D93" s="1417"/>
      <c r="E93" s="1417"/>
      <c r="F93" s="1417"/>
      <c r="G93" s="1417"/>
      <c r="H93" s="1968"/>
      <c r="I93" s="1968"/>
      <c r="J93" s="1968"/>
      <c r="K93" s="1968"/>
      <c r="L93" s="1968"/>
      <c r="M93" s="1968"/>
      <c r="N93" s="1968"/>
      <c r="O93" s="1968"/>
      <c r="P93" s="1968"/>
      <c r="Q93" s="1968"/>
      <c r="R93" s="1968"/>
      <c r="S93" s="1968"/>
      <c r="T93" s="1968"/>
      <c r="U93" s="1968"/>
      <c r="V93" s="1968"/>
      <c r="W93" s="1968"/>
      <c r="X93" s="1968"/>
      <c r="Y93" s="1968"/>
      <c r="Z93" s="1968"/>
      <c r="AA93" s="1968"/>
      <c r="AB93" s="1968"/>
      <c r="AC93" s="1968"/>
      <c r="AD93" s="1968"/>
      <c r="AE93" s="1968"/>
      <c r="AF93" s="1968"/>
      <c r="AG93" s="1968"/>
      <c r="AH93" s="1968"/>
      <c r="AI93" s="1968"/>
      <c r="AJ93" s="1968"/>
      <c r="AK93" s="1968"/>
      <c r="AL93" s="1968"/>
      <c r="AM93" s="1968"/>
      <c r="AN93" s="1968"/>
      <c r="AO93" s="1968"/>
      <c r="AP93" s="1968"/>
      <c r="AQ93" s="1968"/>
      <c r="AR93" s="1968"/>
      <c r="AS93" s="1968"/>
      <c r="AT93" s="1968"/>
      <c r="AU93" s="1968"/>
      <c r="AV93" s="1968"/>
      <c r="AW93" s="1968"/>
      <c r="AX93" s="1968">
        <f>ЦО_логистика!Y89+'Форд Тягач'!AX89+'MAN Blue KA1783HI'!AI89+'MAN green KA2790IE'!AI89+'MAN №3 white KA7837HO'!AI89+'MAN №4 white KA3597HO'!AI89+'MAN №5 Тент МД'!Y89-AX89</f>
        <v>0</v>
      </c>
      <c r="AY93" s="1968"/>
      <c r="AZ93" s="1968"/>
      <c r="BA93" s="1968"/>
      <c r="BB93" s="1968"/>
      <c r="BC93" s="1968">
        <f>ЦО_логистика!AD89+'Форд Тягач'!BC89+'MAN Blue KA1783HI'!AN89+'MAN green KA2790IE'!AN89+'MAN №3 white KA7837HO'!AN89+'MAN №4 white KA3597HO'!AN89+'MAN №5 Тент МД'!AD89-BC89</f>
        <v>0</v>
      </c>
      <c r="BD93" s="1968"/>
      <c r="BE93" s="1968"/>
      <c r="BF93" s="1968"/>
      <c r="BG93" s="2652" t="s">
        <v>2134</v>
      </c>
      <c r="BH93" s="1968"/>
      <c r="BI93" s="1968"/>
      <c r="BJ93" s="1968"/>
      <c r="BK93" s="1968"/>
      <c r="BL93" s="1968"/>
      <c r="BM93" s="1968"/>
      <c r="BN93" s="1968"/>
      <c r="BO93" s="1968"/>
      <c r="BP93" s="1968"/>
      <c r="BQ93" s="1968"/>
      <c r="BR93" s="1968"/>
      <c r="BS93" s="1968"/>
      <c r="BT93" s="1968"/>
      <c r="BU93" s="1968"/>
      <c r="BV93" s="1968"/>
      <c r="BW93" s="1968"/>
      <c r="BX93" s="1968"/>
      <c r="BY93" s="1968"/>
      <c r="BZ93" s="1968"/>
      <c r="CA93" s="1968"/>
      <c r="CB93" s="1968"/>
      <c r="CC93" s="1968"/>
      <c r="CD93" s="1968"/>
      <c r="CE93" s="1968"/>
      <c r="CF93" s="1968"/>
      <c r="CG93" s="1968"/>
      <c r="CH93" s="1968"/>
      <c r="CI93" s="1968"/>
      <c r="CJ93" s="1968"/>
      <c r="CK93" s="1968"/>
      <c r="CL93" s="2485">
        <f>ЦО_логистика!BM89+'Форд Тягач'!CL89+'MAN Blue KA1783HI'!BW89+'MAN green KA2790IE'!BW89+'MAN №3 white KA7837HO'!BW89+'MAN №4 white KA3597HO'!BW89+'MAN №5 Тент МД'!BM89</f>
        <v>0</v>
      </c>
      <c r="CM93" s="1968"/>
      <c r="CN93" s="1968"/>
      <c r="CO93" s="1968"/>
      <c r="CP93" s="1968"/>
      <c r="CQ93" s="2485"/>
      <c r="CR93" s="1968"/>
      <c r="CS93" s="1968"/>
      <c r="CT93" s="1968"/>
      <c r="CU93" s="1968"/>
      <c r="CV93" s="2485"/>
      <c r="CW93" s="1968"/>
      <c r="CX93" s="1968"/>
      <c r="CY93" s="1968"/>
      <c r="CZ93" s="1968"/>
      <c r="DA93" s="2485"/>
      <c r="DB93" s="1968"/>
      <c r="DC93" s="1968"/>
      <c r="DD93" s="1968"/>
      <c r="DE93" s="1968"/>
      <c r="DF93" s="2485"/>
      <c r="DG93" s="1968"/>
      <c r="DH93" s="1968"/>
      <c r="DI93" s="1968"/>
      <c r="DJ93" s="1968"/>
      <c r="DK93" s="2485"/>
      <c r="DL93" s="1968"/>
      <c r="DM93" s="1968"/>
      <c r="DN93" s="1968"/>
      <c r="DO93" s="1968"/>
      <c r="DP93" s="1968"/>
      <c r="DQ93" s="828"/>
      <c r="DR93" s="1968"/>
      <c r="DS93" s="1579"/>
      <c r="DT93" s="1579"/>
    </row>
    <row r="94" spans="1:125" s="1411" customFormat="1" ht="13.2" hidden="1" customHeight="1" outlineLevel="1" x14ac:dyDescent="0.25">
      <c r="A94" s="1417"/>
      <c r="B94" s="1417"/>
      <c r="C94" s="1417"/>
      <c r="D94" s="1417"/>
      <c r="E94" s="1417"/>
      <c r="F94" s="1417"/>
      <c r="G94" s="1417"/>
      <c r="H94" s="1968"/>
      <c r="I94" s="1968"/>
      <c r="J94" s="1968"/>
      <c r="K94" s="1968"/>
      <c r="L94" s="1968"/>
      <c r="M94" s="1968"/>
      <c r="N94" s="1968"/>
      <c r="O94" s="1968"/>
      <c r="P94" s="1968"/>
      <c r="Q94" s="1968"/>
      <c r="R94" s="1968"/>
      <c r="S94" s="1968"/>
      <c r="T94" s="1968"/>
      <c r="U94" s="1968"/>
      <c r="V94" s="1968"/>
      <c r="W94" s="1968"/>
      <c r="X94" s="1968"/>
      <c r="Y94" s="1968"/>
      <c r="Z94" s="1968"/>
      <c r="AA94" s="1968"/>
      <c r="AB94" s="1968"/>
      <c r="AC94" s="1968"/>
      <c r="AD94" s="1968"/>
      <c r="AE94" s="1968"/>
      <c r="AF94" s="1968"/>
      <c r="AG94" s="1968"/>
      <c r="AH94" s="1968"/>
      <c r="AI94" s="1968"/>
      <c r="AJ94" s="1968"/>
      <c r="AK94" s="1968"/>
      <c r="AL94" s="1968"/>
      <c r="AM94" s="1968"/>
      <c r="AN94" s="1968"/>
      <c r="AO94" s="1968"/>
      <c r="AP94" s="1968"/>
      <c r="AQ94" s="1968"/>
      <c r="AR94" s="1968"/>
      <c r="AS94" s="1968"/>
      <c r="AT94" s="1968"/>
      <c r="AU94" s="1968"/>
      <c r="AV94" s="1968"/>
      <c r="AW94" s="1968"/>
      <c r="AX94" s="1968"/>
      <c r="AY94" s="1968"/>
      <c r="AZ94" s="1968"/>
      <c r="BA94" s="1968"/>
      <c r="BB94" s="1968"/>
      <c r="BC94" s="1968"/>
      <c r="BD94" s="1968"/>
      <c r="BE94" s="1968"/>
      <c r="BF94" s="1968"/>
      <c r="BG94" s="1968"/>
      <c r="BH94" s="1968"/>
      <c r="BI94" s="1968"/>
      <c r="BJ94" s="1968"/>
      <c r="BK94" s="1968"/>
      <c r="BL94" s="1968"/>
      <c r="BM94" s="1968"/>
      <c r="BN94" s="1968"/>
      <c r="BO94" s="1968"/>
      <c r="BP94" s="1968"/>
      <c r="BQ94" s="1968"/>
      <c r="BR94" s="1968"/>
      <c r="BS94" s="1968"/>
      <c r="BT94" s="1968"/>
      <c r="BU94" s="1968"/>
      <c r="BV94" s="1968"/>
      <c r="BW94" s="1968">
        <f>ЦО_логистика!AX89+'Форд Тягач'!BW89+'MAN Blue KA1783HI'!BH89+'MAN green KA2790IE'!BH89+'MAN №3 white KA7837HO'!BH89+'MAN №4 white KA3597HO'!BH89+'MAN №5 Тент МД'!AX89</f>
        <v>0</v>
      </c>
      <c r="BX94" s="1968"/>
      <c r="BY94" s="1968"/>
      <c r="BZ94" s="1968"/>
      <c r="CA94" s="1968"/>
      <c r="CB94" s="1968"/>
      <c r="CC94" s="1968"/>
      <c r="CD94" s="1968"/>
      <c r="CE94" s="1968"/>
      <c r="CF94" s="1968"/>
      <c r="CG94" s="1968"/>
      <c r="CH94" s="1968"/>
      <c r="CI94" s="1968"/>
      <c r="CJ94" s="1968"/>
      <c r="CK94" s="1968"/>
      <c r="CL94" s="1968"/>
      <c r="CM94" s="1968"/>
      <c r="CN94" s="1968"/>
      <c r="CO94" s="1968"/>
      <c r="CP94" s="1968"/>
      <c r="CQ94" s="1968"/>
      <c r="CR94" s="1968"/>
      <c r="CS94" s="1968"/>
      <c r="CT94" s="1968"/>
      <c r="CU94" s="1968"/>
      <c r="CV94" s="1968"/>
      <c r="CW94" s="1968"/>
      <c r="CX94" s="1968"/>
      <c r="CY94" s="1968"/>
      <c r="CZ94" s="1968"/>
      <c r="DA94" s="1968"/>
      <c r="DB94" s="1968"/>
      <c r="DC94" s="1968"/>
      <c r="DD94" s="1968"/>
      <c r="DE94" s="1968"/>
      <c r="DF94" s="1968"/>
      <c r="DG94" s="1968"/>
      <c r="DH94" s="1968"/>
      <c r="DI94" s="1968"/>
      <c r="DJ94" s="1968"/>
      <c r="DK94" s="1968"/>
      <c r="DL94" s="1968"/>
      <c r="DM94" s="1968"/>
      <c r="DN94" s="1968"/>
      <c r="DO94" s="1968"/>
      <c r="DP94" s="1968"/>
      <c r="DQ94" s="1968"/>
      <c r="DR94" s="1968"/>
      <c r="DS94" s="1579"/>
      <c r="DT94" s="1579"/>
    </row>
    <row r="95" spans="1:125" s="1411" customFormat="1" ht="13.2" hidden="1" customHeight="1" outlineLevel="1" x14ac:dyDescent="0.25">
      <c r="A95" s="1417"/>
      <c r="B95" s="1417"/>
      <c r="C95" s="1417"/>
      <c r="D95" s="1417"/>
      <c r="E95" s="1417"/>
      <c r="F95" s="1417"/>
      <c r="G95" s="1417"/>
      <c r="H95" s="1968"/>
      <c r="I95" s="1968"/>
      <c r="J95" s="1968"/>
      <c r="K95" s="1968"/>
      <c r="L95" s="1968"/>
      <c r="M95" s="1968"/>
      <c r="N95" s="1968"/>
      <c r="O95" s="1968"/>
      <c r="P95" s="1968"/>
      <c r="Q95" s="1968"/>
      <c r="R95" s="1968"/>
      <c r="S95" s="1968"/>
      <c r="T95" s="1968"/>
      <c r="U95" s="1968"/>
      <c r="V95" s="1968"/>
      <c r="W95" s="1968"/>
      <c r="X95" s="1968"/>
      <c r="Y95" s="1968"/>
      <c r="Z95" s="1968"/>
      <c r="AA95" s="1968"/>
      <c r="AB95" s="1968"/>
      <c r="AC95" s="1968"/>
      <c r="AD95" s="1968"/>
      <c r="AE95" s="1968"/>
      <c r="AF95" s="1968"/>
      <c r="AG95" s="1968"/>
      <c r="AH95" s="1968"/>
      <c r="AI95" s="1968"/>
      <c r="AJ95" s="1968"/>
      <c r="AK95" s="1968"/>
      <c r="AL95" s="1968"/>
      <c r="AM95" s="1968"/>
      <c r="AN95" s="1968"/>
      <c r="AO95" s="1968"/>
      <c r="AP95" s="1968"/>
      <c r="AQ95" s="1968"/>
      <c r="AR95" s="1968"/>
      <c r="AS95" s="1968"/>
      <c r="AT95" s="1968"/>
      <c r="AU95" s="1968"/>
      <c r="AV95" s="1968"/>
      <c r="AW95" s="1968"/>
      <c r="AX95" s="828"/>
      <c r="AY95" s="1968"/>
      <c r="AZ95" s="1968"/>
      <c r="BA95" s="1968"/>
      <c r="BB95" s="1968"/>
      <c r="BC95" s="828"/>
      <c r="BD95" s="1968"/>
      <c r="BE95" s="1968"/>
      <c r="BF95" s="1968"/>
      <c r="BG95" s="1968"/>
      <c r="BH95" s="1968"/>
      <c r="BI95" s="1968"/>
      <c r="BJ95" s="1968"/>
      <c r="BK95" s="1968"/>
      <c r="BL95" s="1968"/>
      <c r="BM95" s="1968"/>
      <c r="BN95" s="1968"/>
      <c r="BO95" s="1968"/>
      <c r="BP95" s="1968"/>
      <c r="BQ95" s="1968"/>
      <c r="BR95" s="1968"/>
      <c r="BS95" s="1968"/>
      <c r="BT95" s="1968"/>
      <c r="BU95" s="1968"/>
      <c r="BV95" s="1968"/>
      <c r="BW95" s="1968"/>
      <c r="BX95" s="1968"/>
      <c r="BY95" s="1968"/>
      <c r="BZ95" s="1968"/>
      <c r="CA95" s="1968"/>
      <c r="CB95" s="1968"/>
      <c r="CC95" s="1968"/>
      <c r="CD95" s="1968"/>
      <c r="CE95" s="1968"/>
      <c r="CF95" s="1968"/>
      <c r="CG95" s="1968"/>
      <c r="CH95" s="1968"/>
      <c r="CI95" s="1968"/>
      <c r="CJ95" s="1968"/>
      <c r="CK95" s="1968"/>
      <c r="CL95" s="1968"/>
      <c r="CM95" s="1968"/>
      <c r="CN95" s="1968"/>
      <c r="CO95" s="1968"/>
      <c r="CP95" s="1968"/>
      <c r="CQ95" s="1968"/>
      <c r="CR95" s="1968"/>
      <c r="CS95" s="1968"/>
      <c r="CT95" s="1968"/>
      <c r="CU95" s="1968"/>
      <c r="CV95" s="1968"/>
      <c r="CW95" s="1968"/>
      <c r="CX95" s="1968"/>
      <c r="CY95" s="1968"/>
      <c r="CZ95" s="1968"/>
      <c r="DA95" s="1968"/>
      <c r="DB95" s="1968"/>
      <c r="DC95" s="1968"/>
      <c r="DD95" s="1968"/>
      <c r="DE95" s="1968"/>
      <c r="DF95" s="1968"/>
      <c r="DG95" s="1968"/>
      <c r="DH95" s="1968"/>
      <c r="DI95" s="1968"/>
      <c r="DJ95" s="1968"/>
      <c r="DK95" s="1968"/>
      <c r="DL95" s="1968"/>
      <c r="DM95" s="1968"/>
      <c r="DN95" s="1968"/>
      <c r="DO95" s="1968"/>
      <c r="DP95" s="1968"/>
      <c r="DQ95" s="1968"/>
      <c r="DR95" s="1968"/>
      <c r="DS95" s="1579"/>
      <c r="DT95" s="1579"/>
    </row>
    <row r="96" spans="1:125" s="1411" customFormat="1" collapsed="1" x14ac:dyDescent="0.25">
      <c r="A96" s="1417"/>
      <c r="B96" s="1417"/>
      <c r="C96" s="1417"/>
      <c r="D96" s="1417"/>
      <c r="E96" s="1417"/>
      <c r="F96" s="1417"/>
      <c r="G96" s="1417"/>
      <c r="H96" s="1968"/>
      <c r="I96" s="1968"/>
      <c r="J96" s="1968"/>
      <c r="K96" s="1968"/>
      <c r="L96" s="1968"/>
      <c r="M96" s="1968"/>
      <c r="N96" s="1968"/>
      <c r="O96" s="1968"/>
      <c r="P96" s="1968"/>
      <c r="Q96" s="1968"/>
      <c r="R96" s="1968"/>
      <c r="S96" s="1968"/>
      <c r="T96" s="1968"/>
      <c r="U96" s="1968"/>
      <c r="V96" s="1968"/>
      <c r="W96" s="1968"/>
      <c r="X96" s="1968"/>
      <c r="Y96" s="1968"/>
      <c r="Z96" s="1968"/>
      <c r="AA96" s="1968"/>
      <c r="AB96" s="1968"/>
      <c r="AC96" s="1968"/>
      <c r="AD96" s="1968"/>
      <c r="AE96" s="1968"/>
      <c r="AF96" s="1968"/>
      <c r="AG96" s="1968"/>
      <c r="AH96" s="1968"/>
      <c r="AI96" s="1968"/>
      <c r="AJ96" s="1968"/>
      <c r="AK96" s="1968"/>
      <c r="AL96" s="1968"/>
      <c r="AM96" s="1968"/>
      <c r="AN96" s="1968"/>
      <c r="AO96" s="1968"/>
      <c r="AP96" s="1968"/>
      <c r="AQ96" s="1968"/>
      <c r="AR96" s="1968"/>
      <c r="AS96" s="1968"/>
      <c r="AT96" s="1968"/>
      <c r="AU96" s="1968"/>
      <c r="AV96" s="1968"/>
      <c r="AW96" s="1968"/>
      <c r="AX96" s="1968"/>
      <c r="AY96" s="1968"/>
      <c r="AZ96" s="1968"/>
      <c r="BA96" s="1968"/>
      <c r="BB96" s="1968"/>
      <c r="BC96" s="1968"/>
      <c r="BD96" s="1968"/>
      <c r="BE96" s="1968"/>
      <c r="BF96" s="1968"/>
      <c r="BG96" s="1968"/>
      <c r="BH96" s="1968"/>
      <c r="BI96" s="1968"/>
      <c r="BJ96" s="1968"/>
      <c r="BK96" s="1968"/>
      <c r="BL96" s="1968"/>
      <c r="BM96" s="1968"/>
      <c r="BN96" s="1968"/>
      <c r="BO96" s="1968"/>
      <c r="BP96" s="1968"/>
      <c r="BQ96" s="1968"/>
      <c r="BR96" s="1968"/>
      <c r="BS96" s="1968"/>
      <c r="BT96" s="1968"/>
      <c r="BU96" s="1968"/>
      <c r="BV96" s="1968"/>
      <c r="BW96" s="1968"/>
      <c r="BX96" s="1968"/>
      <c r="BY96" s="1968"/>
      <c r="BZ96" s="1968"/>
      <c r="CA96" s="1968"/>
      <c r="CB96" s="1968"/>
      <c r="CC96" s="1968"/>
      <c r="CD96" s="1968"/>
      <c r="CE96" s="1968"/>
      <c r="CF96" s="1968"/>
      <c r="CG96" s="1968"/>
      <c r="CH96" s="1968"/>
      <c r="CI96" s="1968"/>
      <c r="CJ96" s="1968"/>
      <c r="CK96" s="1968"/>
      <c r="CL96" s="1968"/>
      <c r="CM96" s="1968"/>
      <c r="CN96" s="1968"/>
      <c r="CO96" s="1968"/>
      <c r="CP96" s="1968"/>
      <c r="CQ96" s="1968"/>
      <c r="CR96" s="1968"/>
      <c r="CS96" s="1968"/>
      <c r="CT96" s="1968"/>
      <c r="CU96" s="1968"/>
      <c r="CV96" s="1968"/>
      <c r="CW96" s="1968"/>
      <c r="CX96" s="1968"/>
      <c r="CY96" s="1968"/>
      <c r="CZ96" s="1968"/>
      <c r="DA96" s="1968"/>
      <c r="DB96" s="1968"/>
      <c r="DC96" s="1968"/>
      <c r="DD96" s="1968"/>
      <c r="DE96" s="1968"/>
      <c r="DF96" s="1968"/>
      <c r="DG96" s="1968"/>
      <c r="DH96" s="1968"/>
      <c r="DI96" s="1968"/>
      <c r="DJ96" s="1968"/>
      <c r="DK96" s="1968"/>
      <c r="DL96" s="1968"/>
      <c r="DM96" s="1968"/>
      <c r="DN96" s="1968"/>
      <c r="DO96" s="1968"/>
      <c r="DP96" s="1968"/>
      <c r="DQ96" s="828"/>
      <c r="DR96" s="1968"/>
      <c r="DS96" s="1579"/>
      <c r="DT96" s="1579"/>
    </row>
    <row r="97" spans="1:124" x14ac:dyDescent="0.25">
      <c r="BC97" s="2135"/>
      <c r="DQ97" s="828"/>
    </row>
    <row r="98" spans="1:124" s="1411" customFormat="1" x14ac:dyDescent="0.25">
      <c r="A98" s="1417"/>
      <c r="B98" s="1417"/>
      <c r="C98" s="1417"/>
      <c r="D98" s="1417"/>
      <c r="E98" s="1417"/>
      <c r="F98" s="1417"/>
      <c r="G98" s="1417"/>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O98" s="1968"/>
      <c r="CP98" s="1968"/>
      <c r="CQ98" s="1968"/>
      <c r="CR98" s="1968"/>
      <c r="CS98" s="1968"/>
      <c r="CT98" s="1968"/>
      <c r="CU98" s="1968"/>
      <c r="CV98" s="1968"/>
      <c r="CW98" s="1968"/>
      <c r="CX98" s="1968"/>
      <c r="CY98" s="1968"/>
      <c r="CZ98" s="1968"/>
      <c r="DA98" s="1968"/>
      <c r="DB98" s="1968"/>
      <c r="DC98" s="1968"/>
      <c r="DD98" s="1968"/>
      <c r="DE98" s="1968"/>
      <c r="DF98" s="1968"/>
      <c r="DG98" s="1968"/>
      <c r="DH98" s="1968"/>
      <c r="DI98" s="1968"/>
      <c r="DJ98" s="1968"/>
      <c r="DK98" s="1968"/>
      <c r="DL98" s="1968"/>
      <c r="DM98" s="1968"/>
      <c r="DN98" s="1968"/>
      <c r="DO98" s="1968"/>
      <c r="DP98" s="1968"/>
      <c r="DQ98" s="1968"/>
      <c r="DR98" s="1968"/>
      <c r="DS98" s="1579"/>
      <c r="DT98" s="1579"/>
    </row>
    <row r="99" spans="1:124" x14ac:dyDescent="0.25">
      <c r="DP99" s="2493"/>
      <c r="DQ99" s="2493"/>
    </row>
  </sheetData>
  <mergeCells count="27">
    <mergeCell ref="A42:A48"/>
    <mergeCell ref="A2:B2"/>
    <mergeCell ref="C2:G3"/>
    <mergeCell ref="H2:L3"/>
    <mergeCell ref="M2:P3"/>
    <mergeCell ref="CJ2:CN3"/>
    <mergeCell ref="CO2:CS3"/>
    <mergeCell ref="AB2:AF3"/>
    <mergeCell ref="CT2:CX3"/>
    <mergeCell ref="AG2:AK3"/>
    <mergeCell ref="AL2:AP3"/>
    <mergeCell ref="DN2:DR3"/>
    <mergeCell ref="CY2:DC3"/>
    <mergeCell ref="DD2:DH3"/>
    <mergeCell ref="DI2:DM3"/>
    <mergeCell ref="A3:B3"/>
    <mergeCell ref="R2:U3"/>
    <mergeCell ref="W2:AA3"/>
    <mergeCell ref="AQ2:AU3"/>
    <mergeCell ref="BA2:BE3"/>
    <mergeCell ref="BF2:BJ3"/>
    <mergeCell ref="BK2:BO3"/>
    <mergeCell ref="BP2:BT3"/>
    <mergeCell ref="BU2:BY3"/>
    <mergeCell ref="AV2:AZ3"/>
    <mergeCell ref="BZ2:CD3"/>
    <mergeCell ref="CE2:CI3"/>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6" tint="0.59999389629810485"/>
  </sheetPr>
  <dimension ref="A1:CT103"/>
  <sheetViews>
    <sheetView topLeftCell="B1" zoomScale="85" zoomScaleNormal="85" workbookViewId="0">
      <pane xSplit="1" ySplit="4" topLeftCell="AQ5" activePane="bottomRight" state="frozen"/>
      <selection activeCell="BP79" sqref="BP79"/>
      <selection pane="topRight" activeCell="BP79" sqref="BP79"/>
      <selection pane="bottomLeft" activeCell="BP79" sqref="BP79"/>
      <selection pane="bottomRight" activeCell="AQ79" sqref="AQ79"/>
    </sheetView>
  </sheetViews>
  <sheetFormatPr defaultColWidth="7.44140625" defaultRowHeight="13.2" outlineLevelCol="1" x14ac:dyDescent="0.25"/>
  <cols>
    <col min="1" max="1" width="5.5546875" style="1417" customWidth="1"/>
    <col min="2" max="2" width="52" style="1417" customWidth="1"/>
    <col min="3" max="4" width="16.33203125" style="1968" hidden="1" customWidth="1" outlineLevel="1"/>
    <col min="5" max="5" width="16.109375" style="1968" hidden="1" customWidth="1" outlineLevel="1"/>
    <col min="6" max="6" width="16.5546875" style="1968" hidden="1" customWidth="1" outlineLevel="1"/>
    <col min="7" max="7" width="31.6640625" style="1968" hidden="1" customWidth="1" outlineLevel="1"/>
    <col min="8" max="11" width="15.33203125" style="1968" hidden="1" customWidth="1" outlineLevel="1"/>
    <col min="12" max="12" width="31.6640625" style="1968" hidden="1" customWidth="1" outlineLevel="1"/>
    <col min="13" max="15" width="21.44140625" style="1968" hidden="1" customWidth="1" outlineLevel="1"/>
    <col min="16" max="16" width="15.5546875" style="1968" hidden="1" customWidth="1" outlineLevel="1"/>
    <col min="17" max="20" width="21.44140625" style="1968" hidden="1" customWidth="1" outlineLevel="1"/>
    <col min="21" max="21" width="15.5546875" style="1968" hidden="1" customWidth="1" outlineLevel="1"/>
    <col min="22" max="22" width="21.33203125" style="1968" hidden="1" customWidth="1" outlineLevel="1"/>
    <col min="23" max="23" width="12.6640625" style="1968" customWidth="1" collapsed="1"/>
    <col min="24" max="32" width="12.6640625" style="1968" customWidth="1"/>
    <col min="33" max="33" width="13.44140625" style="1968" hidden="1" customWidth="1" outlineLevel="1" collapsed="1"/>
    <col min="34" max="36" width="13.44140625" style="1968" hidden="1" customWidth="1" outlineLevel="1"/>
    <col min="37" max="37" width="23.33203125" style="1968" hidden="1" customWidth="1" outlineLevel="1"/>
    <col min="38" max="38" width="13.88671875" style="1968" hidden="1" customWidth="1" outlineLevel="1" collapsed="1"/>
    <col min="39" max="41" width="13.88671875" style="1968" hidden="1" customWidth="1" outlineLevel="1"/>
    <col min="42" max="42" width="31.88671875" style="1968" hidden="1" customWidth="1" outlineLevel="1"/>
    <col min="43" max="43" width="13.88671875" style="1968" customWidth="1" collapsed="1"/>
    <col min="44" max="46" width="13.88671875" style="1968" customWidth="1"/>
    <col min="47" max="47" width="31.88671875" style="1968" customWidth="1"/>
    <col min="48" max="51" width="13.88671875" style="1968" hidden="1" customWidth="1" outlineLevel="1"/>
    <col min="52" max="52" width="26.33203125" style="1968" hidden="1" customWidth="1" outlineLevel="1"/>
    <col min="53" max="56" width="13.88671875" style="1968" hidden="1" customWidth="1" outlineLevel="1"/>
    <col min="57" max="57" width="36.109375" style="1968" hidden="1" customWidth="1" outlineLevel="1"/>
    <col min="58" max="58" width="13.88671875" style="1968" hidden="1" customWidth="1" outlineLevel="1" collapsed="1"/>
    <col min="59" max="61" width="13.88671875" style="1968" hidden="1" customWidth="1" outlineLevel="1"/>
    <col min="62" max="62" width="36.109375" style="1968" hidden="1" customWidth="1" outlineLevel="1"/>
    <col min="63" max="63" width="13.88671875" style="1968" hidden="1" customWidth="1" outlineLevel="1" collapsed="1"/>
    <col min="64" max="66" width="13.88671875" style="1968" hidden="1" customWidth="1" outlineLevel="1"/>
    <col min="67" max="67" width="19.109375" style="1968" hidden="1" customWidth="1" outlineLevel="1"/>
    <col min="68" max="71" width="13.88671875" style="1968" hidden="1" customWidth="1" outlineLevel="1"/>
    <col min="72" max="72" width="25.44140625" style="1968" hidden="1" customWidth="1" outlineLevel="1"/>
    <col min="73" max="76" width="13.88671875" style="1968" hidden="1" customWidth="1" outlineLevel="1"/>
    <col min="77" max="77" width="31.33203125" style="1968" hidden="1" customWidth="1" outlineLevel="1"/>
    <col min="78" max="78" width="13.88671875" style="1968" hidden="1" customWidth="1" outlineLevel="1" collapsed="1"/>
    <col min="79" max="81" width="13.88671875" style="1968" hidden="1" customWidth="1" outlineLevel="1"/>
    <col min="82" max="82" width="31.33203125" style="1968" hidden="1" customWidth="1" outlineLevel="1"/>
    <col min="83" max="83" width="13.88671875" style="1968" hidden="1" customWidth="1" outlineLevel="1" collapsed="1"/>
    <col min="84" max="86" width="13.88671875" style="1968" hidden="1" customWidth="1" outlineLevel="1"/>
    <col min="87" max="87" width="31.33203125" style="1968" hidden="1" customWidth="1" outlineLevel="1"/>
    <col min="88" max="88" width="13.88671875" style="1968" hidden="1" customWidth="1" outlineLevel="1" collapsed="1"/>
    <col min="89" max="91" width="13.88671875" style="1968" hidden="1" customWidth="1" outlineLevel="1"/>
    <col min="92" max="92" width="31.33203125" style="1968" hidden="1" customWidth="1" outlineLevel="1"/>
    <col min="93" max="93" width="17.109375" style="1968" customWidth="1" collapsed="1"/>
    <col min="94" max="97" width="17.109375" style="1968" customWidth="1"/>
    <col min="98" max="98" width="11.33203125" style="1410" bestFit="1" customWidth="1"/>
    <col min="99" max="16384" width="7.44140625" style="1410"/>
  </cols>
  <sheetData>
    <row r="1" spans="1:98" ht="13.8" thickBot="1" x14ac:dyDescent="0.3"/>
    <row r="2" spans="1:98" ht="14.4" customHeight="1" x14ac:dyDescent="0.25">
      <c r="A2" s="4016" t="s">
        <v>1273</v>
      </c>
      <c r="B2" s="4017"/>
      <c r="C2" s="4053" t="s">
        <v>1161</v>
      </c>
      <c r="D2" s="4054"/>
      <c r="E2" s="4054"/>
      <c r="F2" s="4054"/>
      <c r="G2" s="3722"/>
      <c r="H2" s="4078" t="s">
        <v>1303</v>
      </c>
      <c r="I2" s="4078"/>
      <c r="J2" s="4078"/>
      <c r="K2" s="4078"/>
      <c r="L2" s="4079"/>
      <c r="M2" s="4172" t="s">
        <v>1383</v>
      </c>
      <c r="N2" s="4173"/>
      <c r="O2" s="4173"/>
      <c r="P2" s="4173"/>
      <c r="Q2" s="4174"/>
      <c r="R2" s="4053" t="s">
        <v>1470</v>
      </c>
      <c r="S2" s="4054"/>
      <c r="T2" s="4054"/>
      <c r="U2" s="4054"/>
      <c r="V2" s="4055"/>
      <c r="W2" s="4059" t="s">
        <v>1668</v>
      </c>
      <c r="X2" s="4060"/>
      <c r="Y2" s="4060"/>
      <c r="Z2" s="4060"/>
      <c r="AA2" s="4061"/>
      <c r="AB2" s="4083">
        <v>2024</v>
      </c>
      <c r="AC2" s="4084"/>
      <c r="AD2" s="4084"/>
      <c r="AE2" s="4084"/>
      <c r="AF2" s="4085"/>
      <c r="AG2" s="4256">
        <v>45292</v>
      </c>
      <c r="AH2" s="4024"/>
      <c r="AI2" s="4024"/>
      <c r="AJ2" s="4024"/>
      <c r="AK2" s="4025"/>
      <c r="AL2" s="4269">
        <v>45323</v>
      </c>
      <c r="AM2" s="4270"/>
      <c r="AN2" s="4270"/>
      <c r="AO2" s="4270"/>
      <c r="AP2" s="4271"/>
      <c r="AQ2" s="4276">
        <v>45352</v>
      </c>
      <c r="AR2" s="4204"/>
      <c r="AS2" s="4204"/>
      <c r="AT2" s="4204"/>
      <c r="AU2" s="4205"/>
      <c r="AV2" s="4277">
        <v>45383</v>
      </c>
      <c r="AW2" s="4278"/>
      <c r="AX2" s="4278"/>
      <c r="AY2" s="4278"/>
      <c r="AZ2" s="4279"/>
      <c r="BA2" s="4290">
        <v>45413</v>
      </c>
      <c r="BB2" s="4291"/>
      <c r="BC2" s="4291"/>
      <c r="BD2" s="4291"/>
      <c r="BE2" s="4292"/>
      <c r="BF2" s="4283">
        <v>45444</v>
      </c>
      <c r="BG2" s="4072"/>
      <c r="BH2" s="4072"/>
      <c r="BI2" s="4072"/>
      <c r="BJ2" s="4073"/>
      <c r="BK2" s="4376">
        <v>45474</v>
      </c>
      <c r="BL2" s="4054"/>
      <c r="BM2" s="4054"/>
      <c r="BN2" s="4054"/>
      <c r="BO2" s="4055"/>
      <c r="BP2" s="4356">
        <v>45505</v>
      </c>
      <c r="BQ2" s="4357"/>
      <c r="BR2" s="4357"/>
      <c r="BS2" s="4357"/>
      <c r="BT2" s="4358"/>
      <c r="BU2" s="4362">
        <v>45536</v>
      </c>
      <c r="BV2" s="4363"/>
      <c r="BW2" s="4363"/>
      <c r="BX2" s="4363"/>
      <c r="BY2" s="4364"/>
      <c r="BZ2" s="4095">
        <v>45566</v>
      </c>
      <c r="CA2" s="4096"/>
      <c r="CB2" s="4096"/>
      <c r="CC2" s="4096"/>
      <c r="CD2" s="4097"/>
      <c r="CE2" s="4244">
        <v>45597</v>
      </c>
      <c r="CF2" s="4245"/>
      <c r="CG2" s="4245"/>
      <c r="CH2" s="4245"/>
      <c r="CI2" s="4246"/>
      <c r="CJ2" s="4250">
        <v>45627</v>
      </c>
      <c r="CK2" s="4251"/>
      <c r="CL2" s="4251"/>
      <c r="CM2" s="4251"/>
      <c r="CN2" s="4252"/>
      <c r="CO2" s="4089" t="s">
        <v>2202</v>
      </c>
      <c r="CP2" s="4090"/>
      <c r="CQ2" s="4090"/>
      <c r="CR2" s="4090"/>
      <c r="CS2" s="4091"/>
    </row>
    <row r="3" spans="1:98" ht="15" customHeight="1" thickBot="1" x14ac:dyDescent="0.3">
      <c r="A3" s="4035" t="s">
        <v>54</v>
      </c>
      <c r="B3" s="4036"/>
      <c r="C3" s="4056"/>
      <c r="D3" s="4057"/>
      <c r="E3" s="4057"/>
      <c r="F3" s="4057"/>
      <c r="G3" s="3723"/>
      <c r="H3" s="4081"/>
      <c r="I3" s="4081"/>
      <c r="J3" s="4081"/>
      <c r="K3" s="4081"/>
      <c r="L3" s="4082"/>
      <c r="M3" s="4175"/>
      <c r="N3" s="4176"/>
      <c r="O3" s="4176"/>
      <c r="P3" s="4176"/>
      <c r="Q3" s="4177"/>
      <c r="R3" s="4056"/>
      <c r="S3" s="4057"/>
      <c r="T3" s="4057"/>
      <c r="U3" s="4057"/>
      <c r="V3" s="4058"/>
      <c r="W3" s="4062"/>
      <c r="X3" s="4063"/>
      <c r="Y3" s="4063"/>
      <c r="Z3" s="4063"/>
      <c r="AA3" s="4064"/>
      <c r="AB3" s="4086"/>
      <c r="AC3" s="4087"/>
      <c r="AD3" s="4087"/>
      <c r="AE3" s="4087"/>
      <c r="AF3" s="4088"/>
      <c r="AG3" s="4026"/>
      <c r="AH3" s="4027"/>
      <c r="AI3" s="4027"/>
      <c r="AJ3" s="4027"/>
      <c r="AK3" s="4028"/>
      <c r="AL3" s="4272"/>
      <c r="AM3" s="4273"/>
      <c r="AN3" s="4273"/>
      <c r="AO3" s="4273"/>
      <c r="AP3" s="4274"/>
      <c r="AQ3" s="4206"/>
      <c r="AR3" s="4207"/>
      <c r="AS3" s="4207"/>
      <c r="AT3" s="4207"/>
      <c r="AU3" s="4208"/>
      <c r="AV3" s="4280"/>
      <c r="AW3" s="4281"/>
      <c r="AX3" s="4281"/>
      <c r="AY3" s="4281"/>
      <c r="AZ3" s="4282"/>
      <c r="BA3" s="4293"/>
      <c r="BB3" s="4294"/>
      <c r="BC3" s="4294"/>
      <c r="BD3" s="4294"/>
      <c r="BE3" s="4295"/>
      <c r="BF3" s="4074"/>
      <c r="BG3" s="4075"/>
      <c r="BH3" s="4075"/>
      <c r="BI3" s="4075"/>
      <c r="BJ3" s="4076"/>
      <c r="BK3" s="4056"/>
      <c r="BL3" s="4057"/>
      <c r="BM3" s="4057"/>
      <c r="BN3" s="4057"/>
      <c r="BO3" s="4058"/>
      <c r="BP3" s="4359"/>
      <c r="BQ3" s="4360"/>
      <c r="BR3" s="4360"/>
      <c r="BS3" s="4360"/>
      <c r="BT3" s="4361"/>
      <c r="BU3" s="4365"/>
      <c r="BV3" s="4366"/>
      <c r="BW3" s="4366"/>
      <c r="BX3" s="4366"/>
      <c r="BY3" s="4367"/>
      <c r="BZ3" s="4098"/>
      <c r="CA3" s="4099"/>
      <c r="CB3" s="4099"/>
      <c r="CC3" s="4099"/>
      <c r="CD3" s="4100"/>
      <c r="CE3" s="4247"/>
      <c r="CF3" s="4248"/>
      <c r="CG3" s="4248"/>
      <c r="CH3" s="4248"/>
      <c r="CI3" s="4249"/>
      <c r="CJ3" s="4253"/>
      <c r="CK3" s="4254"/>
      <c r="CL3" s="4254"/>
      <c r="CM3" s="4254"/>
      <c r="CN3" s="4255"/>
      <c r="CO3" s="4092"/>
      <c r="CP3" s="4093"/>
      <c r="CQ3" s="4093"/>
      <c r="CR3" s="4093"/>
      <c r="CS3" s="4094"/>
    </row>
    <row r="4" spans="1:98" ht="27" thickBot="1" x14ac:dyDescent="0.3">
      <c r="A4" s="1486"/>
      <c r="B4" s="1487" t="s">
        <v>11</v>
      </c>
      <c r="C4" s="1972" t="s">
        <v>55</v>
      </c>
      <c r="D4" s="1972" t="s">
        <v>18</v>
      </c>
      <c r="E4" s="1489" t="s">
        <v>39</v>
      </c>
      <c r="F4" s="1978" t="s">
        <v>40</v>
      </c>
      <c r="G4" s="1489" t="s">
        <v>19</v>
      </c>
      <c r="H4" s="1972"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968</v>
      </c>
      <c r="X4" s="1972" t="s">
        <v>18</v>
      </c>
      <c r="Y4" s="1489" t="s">
        <v>39</v>
      </c>
      <c r="Z4" s="1978" t="s">
        <v>40</v>
      </c>
      <c r="AA4" s="1489" t="s">
        <v>19</v>
      </c>
      <c r="AB4" s="1972" t="s">
        <v>55</v>
      </c>
      <c r="AC4" s="1972" t="s">
        <v>18</v>
      </c>
      <c r="AD4" s="1489" t="s">
        <v>39</v>
      </c>
      <c r="AE4" s="1978" t="s">
        <v>40</v>
      </c>
      <c r="AF4" s="1489" t="s">
        <v>19</v>
      </c>
      <c r="AG4" s="1972" t="s">
        <v>55</v>
      </c>
      <c r="AH4" s="1972" t="s">
        <v>18</v>
      </c>
      <c r="AI4" s="1489" t="s">
        <v>39</v>
      </c>
      <c r="AJ4" s="1978" t="s">
        <v>40</v>
      </c>
      <c r="AK4" s="1489" t="s">
        <v>19</v>
      </c>
      <c r="AL4" s="1972" t="s">
        <v>55</v>
      </c>
      <c r="AM4" s="1972" t="s">
        <v>18</v>
      </c>
      <c r="AN4" s="1489" t="s">
        <v>39</v>
      </c>
      <c r="AO4" s="1978" t="s">
        <v>40</v>
      </c>
      <c r="AP4" s="1489" t="s">
        <v>19</v>
      </c>
      <c r="AQ4" s="1972" t="s">
        <v>968</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O4" s="1972" t="s">
        <v>55</v>
      </c>
      <c r="CP4" s="1972" t="s">
        <v>18</v>
      </c>
      <c r="CQ4" s="1489" t="s">
        <v>39</v>
      </c>
      <c r="CR4" s="1978" t="s">
        <v>40</v>
      </c>
      <c r="CS4" s="1489" t="s">
        <v>19</v>
      </c>
    </row>
    <row r="5" spans="1:98" s="2483" customFormat="1" ht="14.4" thickBot="1" x14ac:dyDescent="0.3">
      <c r="A5" s="1477"/>
      <c r="B5" s="1478" t="s">
        <v>10</v>
      </c>
      <c r="C5" s="1481">
        <f>C6+C7</f>
        <v>84000</v>
      </c>
      <c r="D5" s="1481">
        <f>D6+D7</f>
        <v>0</v>
      </c>
      <c r="E5" s="1481">
        <f>E6+E7</f>
        <v>84000</v>
      </c>
      <c r="F5" s="1481"/>
      <c r="G5" s="1481"/>
      <c r="H5" s="1481">
        <f>H6+H7</f>
        <v>111500</v>
      </c>
      <c r="I5" s="1481">
        <f>I6+I7</f>
        <v>0</v>
      </c>
      <c r="J5" s="1481">
        <f>J6+J7</f>
        <v>111500</v>
      </c>
      <c r="K5" s="1481"/>
      <c r="L5" s="1481"/>
      <c r="M5" s="1481">
        <f>M6+M7</f>
        <v>1701092.34</v>
      </c>
      <c r="N5" s="1481">
        <f>N6+N7</f>
        <v>0</v>
      </c>
      <c r="O5" s="1481">
        <f>O6+O7</f>
        <v>1701092.34</v>
      </c>
      <c r="P5" s="1481"/>
      <c r="Q5" s="1481"/>
      <c r="R5" s="1481">
        <f>R6+R7</f>
        <v>4122667</v>
      </c>
      <c r="S5" s="1481">
        <f>S6+S7</f>
        <v>0</v>
      </c>
      <c r="T5" s="1481">
        <f>T6+T7</f>
        <v>4122667</v>
      </c>
      <c r="U5" s="1481"/>
      <c r="V5" s="1481"/>
      <c r="W5" s="1481">
        <v>438757.4</v>
      </c>
      <c r="X5" s="1481">
        <v>0</v>
      </c>
      <c r="Y5" s="1481">
        <v>438757.4</v>
      </c>
      <c r="Z5" s="1481"/>
      <c r="AA5" s="1481"/>
      <c r="AB5" s="1481">
        <f>AB6+AB7</f>
        <v>0</v>
      </c>
      <c r="AC5" s="1481">
        <f>AC6+AC7</f>
        <v>0</v>
      </c>
      <c r="AD5" s="1481">
        <f>AD6+AD7</f>
        <v>0</v>
      </c>
      <c r="AE5" s="1481"/>
      <c r="AF5" s="1481"/>
      <c r="AG5" s="1481">
        <f>AG6+AG7</f>
        <v>0</v>
      </c>
      <c r="AH5" s="1481">
        <f>AH6+AH7</f>
        <v>0</v>
      </c>
      <c r="AI5" s="1481">
        <f>AI6+AI7</f>
        <v>0</v>
      </c>
      <c r="AJ5" s="1481"/>
      <c r="AK5" s="1481"/>
      <c r="AL5" s="1481">
        <f>AL6+AL7</f>
        <v>0</v>
      </c>
      <c r="AM5" s="1481">
        <f>AM6+AM7</f>
        <v>0</v>
      </c>
      <c r="AN5" s="1481">
        <f>AN6+AN7</f>
        <v>0</v>
      </c>
      <c r="AO5" s="1481"/>
      <c r="AP5" s="1481"/>
      <c r="AQ5" s="1481">
        <f>AQ6+AQ7</f>
        <v>0</v>
      </c>
      <c r="AR5" s="1481">
        <f>AR6+AR7</f>
        <v>0</v>
      </c>
      <c r="AS5" s="1481">
        <f>AS6+AS7</f>
        <v>0</v>
      </c>
      <c r="AT5" s="1481"/>
      <c r="AU5" s="1481"/>
      <c r="AV5" s="1481">
        <f>AV6</f>
        <v>0</v>
      </c>
      <c r="AW5" s="1481">
        <f>AW6</f>
        <v>0</v>
      </c>
      <c r="AX5" s="1481">
        <f>AX6+AX7</f>
        <v>0</v>
      </c>
      <c r="AY5" s="1481"/>
      <c r="AZ5" s="1481"/>
      <c r="BA5" s="1481">
        <f>BA6</f>
        <v>0</v>
      </c>
      <c r="BB5" s="1481">
        <f>BB6</f>
        <v>0</v>
      </c>
      <c r="BC5" s="1481">
        <f>BC6+BC7</f>
        <v>0</v>
      </c>
      <c r="BD5" s="1481"/>
      <c r="BE5" s="1481"/>
      <c r="BF5" s="1481">
        <f>BF6</f>
        <v>0</v>
      </c>
      <c r="BG5" s="1481">
        <f>BG6</f>
        <v>0</v>
      </c>
      <c r="BH5" s="1481">
        <f>BH6+BH7</f>
        <v>0</v>
      </c>
      <c r="BI5" s="1481"/>
      <c r="BJ5" s="1481"/>
      <c r="BK5" s="1481">
        <f>BK6</f>
        <v>0</v>
      </c>
      <c r="BL5" s="1481">
        <f>BL6</f>
        <v>0</v>
      </c>
      <c r="BM5" s="1481">
        <f>BM6+BM7</f>
        <v>0</v>
      </c>
      <c r="BN5" s="1481"/>
      <c r="BO5" s="1481"/>
      <c r="BP5" s="1481">
        <f>BP6</f>
        <v>0</v>
      </c>
      <c r="BQ5" s="1481">
        <f>BQ6</f>
        <v>0</v>
      </c>
      <c r="BR5" s="1481">
        <f>BR6+BR7</f>
        <v>0</v>
      </c>
      <c r="BS5" s="1481"/>
      <c r="BT5" s="1481"/>
      <c r="BU5" s="1481">
        <f>BU6</f>
        <v>0</v>
      </c>
      <c r="BV5" s="1481">
        <f>BV6</f>
        <v>0</v>
      </c>
      <c r="BW5" s="1481">
        <f>BW6+BW7</f>
        <v>0</v>
      </c>
      <c r="BX5" s="1481"/>
      <c r="BY5" s="1481"/>
      <c r="BZ5" s="1481">
        <f>BZ6+BZ7</f>
        <v>0</v>
      </c>
      <c r="CA5" s="1481">
        <f>CA6+CA7</f>
        <v>0</v>
      </c>
      <c r="CB5" s="1481">
        <f>CB6+CB7</f>
        <v>0</v>
      </c>
      <c r="CC5" s="1481"/>
      <c r="CD5" s="1481"/>
      <c r="CE5" s="1481">
        <f>CE6+CE7</f>
        <v>0</v>
      </c>
      <c r="CF5" s="1481">
        <f>CF6+CF7</f>
        <v>0</v>
      </c>
      <c r="CG5" s="1481">
        <f>CG6+CG7</f>
        <v>0</v>
      </c>
      <c r="CH5" s="1481"/>
      <c r="CI5" s="1481"/>
      <c r="CJ5" s="1481">
        <f>CJ6+CJ7</f>
        <v>0</v>
      </c>
      <c r="CK5" s="1481">
        <f>CK6+CK7</f>
        <v>0</v>
      </c>
      <c r="CL5" s="1481">
        <f>CL6+CL7</f>
        <v>0</v>
      </c>
      <c r="CM5" s="1481"/>
      <c r="CN5" s="1481"/>
      <c r="CO5" s="1481">
        <f>CO6+CO7</f>
        <v>6458016.7400000002</v>
      </c>
      <c r="CP5" s="1481">
        <f>CP6+CP7</f>
        <v>0</v>
      </c>
      <c r="CQ5" s="1481">
        <f>CQ6+CQ7</f>
        <v>6458016.7400000002</v>
      </c>
      <c r="CR5" s="1481"/>
      <c r="CS5" s="1481"/>
    </row>
    <row r="6" spans="1:98" s="1411" customFormat="1" ht="46.95" customHeight="1" x14ac:dyDescent="0.25">
      <c r="A6" s="3273">
        <v>0</v>
      </c>
      <c r="B6" s="1418" t="s">
        <v>17</v>
      </c>
      <c r="C6" s="3274">
        <f>26000+20000+20000+18000</f>
        <v>84000</v>
      </c>
      <c r="D6" s="3274"/>
      <c r="E6" s="2028">
        <f>C6+D6</f>
        <v>84000</v>
      </c>
      <c r="F6" s="3274"/>
      <c r="G6" s="3275" t="s">
        <v>1274</v>
      </c>
      <c r="H6" s="3274">
        <f>20000+20000+24000+47500</f>
        <v>111500</v>
      </c>
      <c r="I6" s="3274"/>
      <c r="J6" s="2028">
        <f>H6+I6</f>
        <v>111500</v>
      </c>
      <c r="K6" s="3274"/>
      <c r="L6" s="3275" t="s">
        <v>1334</v>
      </c>
      <c r="M6" s="3274">
        <f>21000+14000+21000+33000+21000+30000+30000+1525508.47</f>
        <v>1695508.47</v>
      </c>
      <c r="N6" s="3274"/>
      <c r="O6" s="2028">
        <f>M6+N6</f>
        <v>1695508.47</v>
      </c>
      <c r="P6" s="3274"/>
      <c r="Q6" s="3276" t="s">
        <v>1396</v>
      </c>
      <c r="R6" s="3274">
        <f>4114919.7</f>
        <v>4114919.7</v>
      </c>
      <c r="S6" s="3274"/>
      <c r="T6" s="2028">
        <f>R6+S6</f>
        <v>4114919.7</v>
      </c>
      <c r="U6" s="3274"/>
      <c r="V6" s="3276" t="s">
        <v>1494</v>
      </c>
      <c r="W6" s="3274">
        <v>209455.5</v>
      </c>
      <c r="X6" s="3274">
        <v>0</v>
      </c>
      <c r="Y6" s="2028">
        <v>209455.5</v>
      </c>
      <c r="Z6" s="3274"/>
      <c r="AA6" s="3276"/>
      <c r="AB6" s="3274">
        <f>AG6+AL6+AQ6+AV6+BA6+BF6+BK6+BP6+BU6+BZ6+CE6+CJ6</f>
        <v>0</v>
      </c>
      <c r="AC6" s="3274">
        <f>AH6+AM6+AR6+AW6+BB6+BG6+BL6+BQ6+BV6+CA6+CF6+CK6</f>
        <v>0</v>
      </c>
      <c r="AD6" s="2028">
        <f>AB6+AC6</f>
        <v>0</v>
      </c>
      <c r="AE6" s="3274"/>
      <c r="AF6" s="3276"/>
      <c r="AG6" s="3274"/>
      <c r="AH6" s="3274"/>
      <c r="AI6" s="2028">
        <f>AG6+AH6</f>
        <v>0</v>
      </c>
      <c r="AJ6" s="3274"/>
      <c r="AK6" s="3276"/>
      <c r="AL6" s="3274"/>
      <c r="AM6" s="3274"/>
      <c r="AN6" s="2028">
        <f>AL6+AM6</f>
        <v>0</v>
      </c>
      <c r="AO6" s="3274"/>
      <c r="AP6" s="3276"/>
      <c r="AQ6" s="3274"/>
      <c r="AR6" s="3274"/>
      <c r="AS6" s="2028">
        <f>AQ6+AR6</f>
        <v>0</v>
      </c>
      <c r="AT6" s="3274"/>
      <c r="AU6" s="3276"/>
      <c r="AV6" s="3274"/>
      <c r="AW6" s="3274"/>
      <c r="AX6" s="2028">
        <f>AV6+AW6</f>
        <v>0</v>
      </c>
      <c r="AY6" s="3274"/>
      <c r="AZ6" s="3276"/>
      <c r="BA6" s="3274"/>
      <c r="BB6" s="3274"/>
      <c r="BC6" s="2028">
        <f>BA6+BB6</f>
        <v>0</v>
      </c>
      <c r="BD6" s="3274"/>
      <c r="BE6" s="3276"/>
      <c r="BF6" s="3274"/>
      <c r="BG6" s="3274"/>
      <c r="BH6" s="2028">
        <f>BF6+BG6</f>
        <v>0</v>
      </c>
      <c r="BI6" s="3274"/>
      <c r="BJ6" s="3276"/>
      <c r="BK6" s="3274"/>
      <c r="BL6" s="3274"/>
      <c r="BM6" s="2028">
        <f>BK6+BL6</f>
        <v>0</v>
      </c>
      <c r="BN6" s="3274"/>
      <c r="BO6" s="3276"/>
      <c r="BP6" s="3274"/>
      <c r="BQ6" s="3274"/>
      <c r="BR6" s="2028">
        <f>BP6+BQ6</f>
        <v>0</v>
      </c>
      <c r="BS6" s="3274"/>
      <c r="BT6" s="3276"/>
      <c r="BU6" s="3274"/>
      <c r="BV6" s="3274"/>
      <c r="BW6" s="2028">
        <f>BU6+BV6</f>
        <v>0</v>
      </c>
      <c r="BX6" s="3274"/>
      <c r="BY6" s="3276"/>
      <c r="BZ6" s="3274"/>
      <c r="CA6" s="3274"/>
      <c r="CB6" s="2028">
        <f>BZ6+CA6</f>
        <v>0</v>
      </c>
      <c r="CC6" s="3274"/>
      <c r="CD6" s="3276"/>
      <c r="CE6" s="3274"/>
      <c r="CF6" s="3274"/>
      <c r="CG6" s="2028">
        <f>CE6+CF6</f>
        <v>0</v>
      </c>
      <c r="CH6" s="3274"/>
      <c r="CI6" s="3276"/>
      <c r="CJ6" s="3274"/>
      <c r="CK6" s="3274"/>
      <c r="CL6" s="2028">
        <f>CJ6+CK6</f>
        <v>0</v>
      </c>
      <c r="CM6" s="3274"/>
      <c r="CN6" s="3276"/>
      <c r="CO6" s="3274">
        <f>C6+H6+M6+R6+AG6+AL6+AQ6+AV6+BA6+BF6+BK6+BP6+BU6+BZ6+CE6+CJ6+W6</f>
        <v>6215383.6699999999</v>
      </c>
      <c r="CP6" s="3274">
        <f>D6+I6+N6+S6+AH6+AM6+AR6+AW6+BB6+BG6+BL6+BQ6+BV6+CA6+CF6+CK6+X6</f>
        <v>0</v>
      </c>
      <c r="CQ6" s="2028">
        <f>CO6+CP6</f>
        <v>6215383.6699999999</v>
      </c>
      <c r="CR6" s="3274"/>
      <c r="CS6" s="3274"/>
      <c r="CT6" s="933"/>
    </row>
    <row r="7" spans="1:98" s="1411" customFormat="1" ht="14.4" thickBot="1" x14ac:dyDescent="0.3">
      <c r="A7" s="1586"/>
      <c r="B7" s="3231" t="s">
        <v>41</v>
      </c>
      <c r="C7" s="3274"/>
      <c r="D7" s="3274"/>
      <c r="E7" s="2028">
        <f>C7+D7</f>
        <v>0</v>
      </c>
      <c r="F7" s="3277"/>
      <c r="G7" s="3277"/>
      <c r="H7" s="3274"/>
      <c r="I7" s="3274"/>
      <c r="J7" s="2028">
        <f>H7+I7</f>
        <v>0</v>
      </c>
      <c r="K7" s="3277"/>
      <c r="L7" s="3277"/>
      <c r="M7" s="3274">
        <v>5583.87</v>
      </c>
      <c r="N7" s="3274"/>
      <c r="O7" s="2028">
        <v>5583.87</v>
      </c>
      <c r="P7" s="3277"/>
      <c r="Q7" s="3276" t="s">
        <v>1427</v>
      </c>
      <c r="R7" s="3274">
        <v>7747.3</v>
      </c>
      <c r="S7" s="3274"/>
      <c r="T7" s="2028">
        <f>R7+S7</f>
        <v>7747.3</v>
      </c>
      <c r="U7" s="3277"/>
      <c r="V7" s="3276" t="s">
        <v>1427</v>
      </c>
      <c r="W7" s="3274">
        <v>229301.9</v>
      </c>
      <c r="X7" s="3274">
        <v>0</v>
      </c>
      <c r="Y7" s="2028">
        <v>229301.9</v>
      </c>
      <c r="Z7" s="3277"/>
      <c r="AA7" s="3276"/>
      <c r="AB7" s="3274">
        <f>AG7+AL7+AQ7+AV7+BA7+BF7+BK7+BP7+BU7+BZ7+CE7+CJ7</f>
        <v>0</v>
      </c>
      <c r="AC7" s="3274">
        <f>AH7+AM7+AR7+AW7+BB7+BG7+BL7+BQ7+BV7+CA7+CF7+CK7</f>
        <v>0</v>
      </c>
      <c r="AD7" s="2028">
        <f>AB7+AC7</f>
        <v>0</v>
      </c>
      <c r="AE7" s="3277"/>
      <c r="AF7" s="3276"/>
      <c r="AG7" s="3274"/>
      <c r="AH7" s="3274"/>
      <c r="AI7" s="2028">
        <f>AG7+AH7</f>
        <v>0</v>
      </c>
      <c r="AJ7" s="3277"/>
      <c r="AK7" s="3276"/>
      <c r="AL7" s="3274"/>
      <c r="AM7" s="3274"/>
      <c r="AN7" s="2028">
        <f>AL7+AM7</f>
        <v>0</v>
      </c>
      <c r="AO7" s="3277"/>
      <c r="AP7" s="3385"/>
      <c r="AQ7" s="3274"/>
      <c r="AR7" s="3274"/>
      <c r="AS7" s="2028">
        <f>AQ7+AR7</f>
        <v>0</v>
      </c>
      <c r="AT7" s="3277"/>
      <c r="AU7" s="3385"/>
      <c r="AV7" s="3274"/>
      <c r="AW7" s="3274"/>
      <c r="AX7" s="2028">
        <f>AV7+AW7</f>
        <v>0</v>
      </c>
      <c r="AY7" s="3277"/>
      <c r="AZ7" s="3385"/>
      <c r="BA7" s="3274"/>
      <c r="BB7" s="3274"/>
      <c r="BC7" s="2028">
        <f>BA7+BB7</f>
        <v>0</v>
      </c>
      <c r="BD7" s="3277"/>
      <c r="BE7" s="3277"/>
      <c r="BF7" s="3274"/>
      <c r="BG7" s="3274"/>
      <c r="BH7" s="2028">
        <f>BF7+BG7</f>
        <v>0</v>
      </c>
      <c r="BI7" s="3277"/>
      <c r="BJ7" s="3277"/>
      <c r="BK7" s="3274"/>
      <c r="BL7" s="3274"/>
      <c r="BM7" s="2028">
        <f>BK7+BL7</f>
        <v>0</v>
      </c>
      <c r="BN7" s="3277"/>
      <c r="BO7" s="3277"/>
      <c r="BP7" s="3274"/>
      <c r="BQ7" s="3274"/>
      <c r="BR7" s="2028">
        <f>BP7+BQ7</f>
        <v>0</v>
      </c>
      <c r="BS7" s="3277"/>
      <c r="BT7" s="3277"/>
      <c r="BU7" s="3274"/>
      <c r="BV7" s="3274"/>
      <c r="BW7" s="2028">
        <f>BU7+BV7</f>
        <v>0</v>
      </c>
      <c r="BX7" s="3277"/>
      <c r="BY7" s="3385"/>
      <c r="BZ7" s="3274"/>
      <c r="CA7" s="3274"/>
      <c r="CB7" s="2028">
        <f>BZ7+CA7</f>
        <v>0</v>
      </c>
      <c r="CC7" s="3277"/>
      <c r="CD7" s="3385"/>
      <c r="CE7" s="3274"/>
      <c r="CF7" s="3274"/>
      <c r="CG7" s="2028">
        <f>CE7+CF7</f>
        <v>0</v>
      </c>
      <c r="CH7" s="3277"/>
      <c r="CI7" s="3385"/>
      <c r="CJ7" s="3274"/>
      <c r="CK7" s="3274"/>
      <c r="CL7" s="2028">
        <f>CJ7+CK7</f>
        <v>0</v>
      </c>
      <c r="CM7" s="3277"/>
      <c r="CN7" s="3385"/>
      <c r="CO7" s="3274">
        <f>C7+H7+M7+R7+AG7+AL7+AQ7+AV7+BA7+BF7+BK7+BP7+BU7+BZ7+CE7+CJ7+W7</f>
        <v>242633.07</v>
      </c>
      <c r="CP7" s="3274">
        <f>D7+I7+N7+S7+AH7+AM7+AR7+AW7+BB7+BG7+BL7+BQ7+BV7+CA7+CF7+CK7+X7</f>
        <v>0</v>
      </c>
      <c r="CQ7" s="2028">
        <f>CO7+CP7</f>
        <v>242633.07</v>
      </c>
      <c r="CR7" s="3277"/>
      <c r="CS7" s="3277"/>
      <c r="CT7" s="933"/>
    </row>
    <row r="8" spans="1:98" s="2483" customFormat="1" ht="14.4" thickBot="1" x14ac:dyDescent="0.3">
      <c r="A8" s="1586"/>
      <c r="B8" s="1478" t="s">
        <v>16</v>
      </c>
      <c r="C8" s="1973">
        <f>SUM(C9:C33)</f>
        <v>61010</v>
      </c>
      <c r="D8" s="1973">
        <f>SUM(D9:D33)</f>
        <v>11645</v>
      </c>
      <c r="E8" s="1499">
        <f>SUM(E9:E33)</f>
        <v>72655</v>
      </c>
      <c r="F8" s="1543">
        <f t="shared" ref="F8:F36" si="0">E8/$E$89</f>
        <v>0.15820236082943789</v>
      </c>
      <c r="G8" s="1481"/>
      <c r="H8" s="1973">
        <f>SUM(H9:H33)</f>
        <v>60110</v>
      </c>
      <c r="I8" s="1973">
        <f>SUM(I9:I33)</f>
        <v>110000</v>
      </c>
      <c r="J8" s="1499">
        <f>SUM(J9:J33)</f>
        <v>170110</v>
      </c>
      <c r="K8" s="1543">
        <f>J8/$AN$89</f>
        <v>1.1824513885173966</v>
      </c>
      <c r="L8" s="1481"/>
      <c r="M8" s="1973">
        <f>SUM(M9:M33)</f>
        <v>1459251.19</v>
      </c>
      <c r="N8" s="1973">
        <f>SUM(N9:N33)</f>
        <v>91426</v>
      </c>
      <c r="O8" s="1499">
        <f>SUM(O9:O33)</f>
        <v>1550677.19</v>
      </c>
      <c r="P8" s="1543">
        <f>O8/$T$89</f>
        <v>0.24183397994520767</v>
      </c>
      <c r="Q8" s="1481"/>
      <c r="R8" s="1973">
        <f>SUM(R9:R33)</f>
        <v>3940465.5900000003</v>
      </c>
      <c r="S8" s="1973">
        <f>SUM(S9:S33)</f>
        <v>100000</v>
      </c>
      <c r="T8" s="1499">
        <f>SUM(T9:T33)</f>
        <v>4040465.5900000003</v>
      </c>
      <c r="U8" s="1543">
        <f>T8/$T$89</f>
        <v>0.63012590935277879</v>
      </c>
      <c r="V8" s="1481"/>
      <c r="W8" s="1973">
        <v>146838.69899999999</v>
      </c>
      <c r="X8" s="1973">
        <v>138166</v>
      </c>
      <c r="Y8" s="1499">
        <v>285004.69900000002</v>
      </c>
      <c r="Z8" s="1543">
        <v>4.4447562075931452E-2</v>
      </c>
      <c r="AA8" s="1481"/>
      <c r="AB8" s="1973">
        <f>SUM(AB9:AB33)</f>
        <v>0</v>
      </c>
      <c r="AC8" s="1973">
        <f>SUM(AC9:AC33)</f>
        <v>88100</v>
      </c>
      <c r="AD8" s="1499">
        <f>SUM(AD9:AD33)</f>
        <v>88100</v>
      </c>
      <c r="AE8" s="1543">
        <f>AD8/$T$89</f>
        <v>1.3739528620507273E-2</v>
      </c>
      <c r="AF8" s="1481"/>
      <c r="AG8" s="1973">
        <f>SUM(AG9:AG33)</f>
        <v>0</v>
      </c>
      <c r="AH8" s="1973">
        <f>SUM(AH9:AH33)</f>
        <v>0</v>
      </c>
      <c r="AI8" s="1499">
        <f>SUM(AI9:AI33)</f>
        <v>0</v>
      </c>
      <c r="AJ8" s="1543">
        <f>AI8/$T$89</f>
        <v>0</v>
      </c>
      <c r="AK8" s="1481"/>
      <c r="AL8" s="1973">
        <f>SUM(AL9:AL33)</f>
        <v>0</v>
      </c>
      <c r="AM8" s="1973">
        <f>SUM(AM9:AM33)</f>
        <v>88100</v>
      </c>
      <c r="AN8" s="1499">
        <f>SUM(AN9:AN33)</f>
        <v>88100</v>
      </c>
      <c r="AO8" s="1543">
        <f>AN8/$E$89</f>
        <v>0.19183301891230445</v>
      </c>
      <c r="AP8" s="1481"/>
      <c r="AQ8" s="1973">
        <f>SUM(AQ9:AQ33)</f>
        <v>0</v>
      </c>
      <c r="AR8" s="1973">
        <f>SUM(AR9:AR33)</f>
        <v>0</v>
      </c>
      <c r="AS8" s="1499">
        <f>SUM(AS9:AS33)</f>
        <v>0</v>
      </c>
      <c r="AT8" s="1543">
        <f>AS8/$AN$89</f>
        <v>0</v>
      </c>
      <c r="AU8" s="1481"/>
      <c r="AV8" s="1973">
        <f>SUM(AV9:AV33)</f>
        <v>0</v>
      </c>
      <c r="AW8" s="1973">
        <f>SUM(AW9:AW33)</f>
        <v>0</v>
      </c>
      <c r="AX8" s="1499">
        <f>SUM(AX9:AX33)</f>
        <v>0</v>
      </c>
      <c r="AY8" s="1543">
        <f>AX8/$AN$89</f>
        <v>0</v>
      </c>
      <c r="AZ8" s="1481"/>
      <c r="BA8" s="1973">
        <f>SUM(BA9:BA33)</f>
        <v>0</v>
      </c>
      <c r="BB8" s="1973">
        <f>SUM(BB9:BB33)</f>
        <v>0</v>
      </c>
      <c r="BC8" s="1499">
        <f>SUM(BC9:BC33)</f>
        <v>0</v>
      </c>
      <c r="BD8" s="1543">
        <f>BC8/$AN$89</f>
        <v>0</v>
      </c>
      <c r="BE8" s="1481"/>
      <c r="BF8" s="1973">
        <f>SUM(BF9:BF33)</f>
        <v>0</v>
      </c>
      <c r="BG8" s="1973">
        <f>SUM(BG9:BG33)</f>
        <v>0</v>
      </c>
      <c r="BH8" s="1499">
        <f>SUM(BH9:BH33)</f>
        <v>0</v>
      </c>
      <c r="BI8" s="1543">
        <f>BH8/$AN$89</f>
        <v>0</v>
      </c>
      <c r="BJ8" s="1481"/>
      <c r="BK8" s="1973">
        <f>SUM(BK9:BK33)</f>
        <v>0</v>
      </c>
      <c r="BL8" s="1973">
        <f>SUM(BL9:BL33)</f>
        <v>0</v>
      </c>
      <c r="BM8" s="1499">
        <f>SUM(BM9:BM33)</f>
        <v>0</v>
      </c>
      <c r="BN8" s="1543">
        <f>BM8/$AN$89</f>
        <v>0</v>
      </c>
      <c r="BO8" s="1481"/>
      <c r="BP8" s="1973">
        <f>SUM(BP9:BP33)</f>
        <v>0</v>
      </c>
      <c r="BQ8" s="1973">
        <f>SUM(BQ9:BQ33)</f>
        <v>0</v>
      </c>
      <c r="BR8" s="1499">
        <f>SUM(BR9:BR33)</f>
        <v>0</v>
      </c>
      <c r="BS8" s="1543">
        <f>BR8/$AN$89</f>
        <v>0</v>
      </c>
      <c r="BT8" s="1481"/>
      <c r="BU8" s="1973">
        <f>SUM(BU9:BU33)</f>
        <v>0</v>
      </c>
      <c r="BV8" s="1973">
        <f>SUM(BV9:BV33)</f>
        <v>0</v>
      </c>
      <c r="BW8" s="1499">
        <f>SUM(BW9:BW33)</f>
        <v>0</v>
      </c>
      <c r="BX8" s="1543">
        <f>BW8/$AN$89</f>
        <v>0</v>
      </c>
      <c r="BY8" s="1481"/>
      <c r="BZ8" s="1973">
        <f>SUM(BZ9:BZ33)</f>
        <v>0</v>
      </c>
      <c r="CA8" s="1973">
        <f>SUM(CA9:CA33)</f>
        <v>0</v>
      </c>
      <c r="CB8" s="1499">
        <f>SUM(CB9:CB33)</f>
        <v>0</v>
      </c>
      <c r="CC8" s="1543">
        <f>CB8/$AN$89</f>
        <v>0</v>
      </c>
      <c r="CD8" s="1481"/>
      <c r="CE8" s="1973">
        <f>SUM(CE9:CE33)</f>
        <v>0</v>
      </c>
      <c r="CF8" s="1973">
        <f>SUM(CF9:CF33)</f>
        <v>0</v>
      </c>
      <c r="CG8" s="1499">
        <f>SUM(CG9:CG33)</f>
        <v>0</v>
      </c>
      <c r="CH8" s="1543">
        <f>CG8/$AN$89</f>
        <v>0</v>
      </c>
      <c r="CI8" s="1481"/>
      <c r="CJ8" s="1973">
        <f>SUM(CJ9:CJ33)</f>
        <v>0</v>
      </c>
      <c r="CK8" s="1973">
        <f>SUM(CK9:CK33)</f>
        <v>0</v>
      </c>
      <c r="CL8" s="1499">
        <f>SUM(CL9:CL33)</f>
        <v>0</v>
      </c>
      <c r="CM8" s="1543">
        <f>CL8/$AN$89</f>
        <v>0</v>
      </c>
      <c r="CN8" s="1481"/>
      <c r="CO8" s="1973">
        <f>SUM(CO9:CO33)</f>
        <v>5667675.4790000012</v>
      </c>
      <c r="CP8" s="1973">
        <f>SUM(CP9:CP33)</f>
        <v>539337</v>
      </c>
      <c r="CQ8" s="1499">
        <f>SUM(CQ9:CQ33)</f>
        <v>6207012.4790000012</v>
      </c>
      <c r="CR8" s="1543">
        <f t="shared" ref="CR8:CR21" si="1">CQ8/$CQ$89</f>
        <v>0.54311571703225847</v>
      </c>
      <c r="CS8" s="1481"/>
      <c r="CT8" s="933"/>
    </row>
    <row r="9" spans="1:98" s="1411" customFormat="1" ht="13.8" x14ac:dyDescent="0.25">
      <c r="A9" s="1586"/>
      <c r="B9" s="1061" t="s">
        <v>74</v>
      </c>
      <c r="C9" s="3279"/>
      <c r="D9" s="3280"/>
      <c r="E9" s="3281">
        <f>C9+D9*1</f>
        <v>0</v>
      </c>
      <c r="F9" s="1574">
        <f>E9/$E$89</f>
        <v>0</v>
      </c>
      <c r="G9" s="3282"/>
      <c r="H9" s="3279"/>
      <c r="I9" s="3280"/>
      <c r="J9" s="3281">
        <f>H9+I9*1</f>
        <v>0</v>
      </c>
      <c r="K9" s="1574">
        <f t="shared" ref="K9:K33" si="2">J9/$AN$89</f>
        <v>0</v>
      </c>
      <c r="L9" s="3282"/>
      <c r="M9" s="3274"/>
      <c r="N9" s="3274"/>
      <c r="O9" s="3283">
        <f>M9+N9*1</f>
        <v>0</v>
      </c>
      <c r="P9" s="3284">
        <f t="shared" ref="P9:P71" si="3">O9/$T$89</f>
        <v>0</v>
      </c>
      <c r="Q9" s="3275"/>
      <c r="R9" s="3274"/>
      <c r="S9" s="3274"/>
      <c r="T9" s="3283">
        <f>R9+S9*1</f>
        <v>0</v>
      </c>
      <c r="U9" s="3284">
        <f t="shared" ref="U9:U71" si="4">T9/$T$89</f>
        <v>0</v>
      </c>
      <c r="V9" s="3275"/>
      <c r="W9" s="3274">
        <v>3783.5</v>
      </c>
      <c r="X9" s="3274">
        <v>0</v>
      </c>
      <c r="Y9" s="3283">
        <v>3783.5</v>
      </c>
      <c r="Z9" s="3284">
        <v>5.9005115250498604E-4</v>
      </c>
      <c r="AA9" s="3275"/>
      <c r="AB9" s="3274">
        <f t="shared" ref="AB9:AC33" si="5">AG9+AL9+AQ9+AV9+BA9+BF9+BK9+BP9+BU9+BZ9+CE9+CJ9</f>
        <v>0</v>
      </c>
      <c r="AC9" s="3274">
        <f t="shared" si="5"/>
        <v>0</v>
      </c>
      <c r="AD9" s="3283">
        <f>AB9+AC9*1</f>
        <v>0</v>
      </c>
      <c r="AE9" s="3284">
        <f t="shared" ref="AE9:AE33" si="6">AD9/$T$89</f>
        <v>0</v>
      </c>
      <c r="AF9" s="3275"/>
      <c r="AG9" s="3274"/>
      <c r="AH9" s="3274"/>
      <c r="AI9" s="3283">
        <f>AG9+AH9*1</f>
        <v>0</v>
      </c>
      <c r="AJ9" s="3284">
        <f t="shared" ref="AJ9:AJ33" si="7">AI9/$T$89</f>
        <v>0</v>
      </c>
      <c r="AK9" s="3275"/>
      <c r="AL9" s="3282"/>
      <c r="AM9" s="3274"/>
      <c r="AN9" s="3283">
        <f>AL9+AM9*1</f>
        <v>0</v>
      </c>
      <c r="AO9" s="3284">
        <f t="shared" ref="AO9:AO33" si="8">AN9/$E$89</f>
        <v>0</v>
      </c>
      <c r="AP9" s="3357"/>
      <c r="AQ9" s="3285"/>
      <c r="AR9" s="3285"/>
      <c r="AS9" s="3286">
        <f>AQ9+AR9*1</f>
        <v>0</v>
      </c>
      <c r="AT9" s="3284">
        <f t="shared" ref="AT9:AT33" si="9">AS9/$AN$89</f>
        <v>0</v>
      </c>
      <c r="AU9" s="3287"/>
      <c r="AV9" s="3285"/>
      <c r="AW9" s="3285"/>
      <c r="AX9" s="3286">
        <f>AV9+AW9*1</f>
        <v>0</v>
      </c>
      <c r="AY9" s="3284">
        <f t="shared" ref="AY9:AY33" si="10">AX9/$AN$89</f>
        <v>0</v>
      </c>
      <c r="AZ9" s="3287"/>
      <c r="BA9" s="3285"/>
      <c r="BB9" s="3285"/>
      <c r="BC9" s="3286">
        <f>BA9+BB9*1</f>
        <v>0</v>
      </c>
      <c r="BD9" s="3284">
        <f t="shared" ref="BD9:BD33" si="11">BC9/$AN$89</f>
        <v>0</v>
      </c>
      <c r="BE9" s="3287"/>
      <c r="BF9" s="3285"/>
      <c r="BG9" s="3285"/>
      <c r="BH9" s="3286">
        <f>BF9+BG9*1</f>
        <v>0</v>
      </c>
      <c r="BI9" s="3284">
        <f t="shared" ref="BI9:BI33" si="12">BH9/$AN$89</f>
        <v>0</v>
      </c>
      <c r="BJ9" s="3287"/>
      <c r="BK9" s="3285"/>
      <c r="BL9" s="3285"/>
      <c r="BM9" s="3286">
        <f>BK9+BL9*1</f>
        <v>0</v>
      </c>
      <c r="BN9" s="3284">
        <f t="shared" ref="BN9:BN33" si="13">BM9/$AN$89</f>
        <v>0</v>
      </c>
      <c r="BO9" s="3287"/>
      <c r="BP9" s="3285"/>
      <c r="BQ9" s="3285"/>
      <c r="BR9" s="3286">
        <f>BP9+BQ9*1</f>
        <v>0</v>
      </c>
      <c r="BS9" s="3284">
        <f t="shared" ref="BS9:BS33" si="14">BR9/$AN$89</f>
        <v>0</v>
      </c>
      <c r="BT9" s="3287"/>
      <c r="BU9" s="3285"/>
      <c r="BV9" s="3285"/>
      <c r="BW9" s="3286">
        <f>BU9+BV9*1</f>
        <v>0</v>
      </c>
      <c r="BX9" s="3284">
        <f t="shared" ref="BX9:BX33" si="15">BW9/$AN$89</f>
        <v>0</v>
      </c>
      <c r="BY9" s="3287"/>
      <c r="BZ9" s="3285"/>
      <c r="CA9" s="3285"/>
      <c r="CB9" s="3286">
        <f>BZ9+CA9*1</f>
        <v>0</v>
      </c>
      <c r="CC9" s="3284">
        <f t="shared" ref="CC9:CC33" si="16">CB9/$AN$89</f>
        <v>0</v>
      </c>
      <c r="CD9" s="3287"/>
      <c r="CE9" s="3285"/>
      <c r="CF9" s="3285"/>
      <c r="CG9" s="3286">
        <f>CE9+CF9*1</f>
        <v>0</v>
      </c>
      <c r="CH9" s="3284">
        <f t="shared" ref="CH9:CH33" si="17">CG9/$AN$89</f>
        <v>0</v>
      </c>
      <c r="CI9" s="3287"/>
      <c r="CJ9" s="3285"/>
      <c r="CK9" s="3285"/>
      <c r="CL9" s="3286">
        <f>CJ9+CK9*1</f>
        <v>0</v>
      </c>
      <c r="CM9" s="3284">
        <f t="shared" ref="CM9:CM33" si="18">CL9/$AN$89</f>
        <v>0</v>
      </c>
      <c r="CN9" s="3287"/>
      <c r="CO9" s="3274">
        <f t="shared" ref="CO9:CP9" si="19">C9+H9+M9+R9+AG9+AL9+AQ9+AV9+BA9+BF9+BK9+BP9+BU9+BZ9+CE9+CJ9+W9</f>
        <v>3783.5</v>
      </c>
      <c r="CP9" s="3274">
        <f t="shared" si="19"/>
        <v>0</v>
      </c>
      <c r="CQ9" s="3281">
        <f>CO9+CP9*1</f>
        <v>3783.5</v>
      </c>
      <c r="CR9" s="1574">
        <f t="shared" si="1"/>
        <v>3.3105754537207036E-4</v>
      </c>
      <c r="CS9" s="1595"/>
      <c r="CT9" s="933"/>
    </row>
    <row r="10" spans="1:98" s="1411" customFormat="1" ht="13.8" x14ac:dyDescent="0.25">
      <c r="A10" s="1586"/>
      <c r="B10" s="1061" t="s">
        <v>72</v>
      </c>
      <c r="C10" s="3288"/>
      <c r="D10" s="3274"/>
      <c r="E10" s="3283">
        <f t="shared" ref="E10:E33" si="20">C10+D10*1</f>
        <v>0</v>
      </c>
      <c r="F10" s="3284">
        <f t="shared" si="0"/>
        <v>0</v>
      </c>
      <c r="G10" s="1449"/>
      <c r="H10" s="3288"/>
      <c r="I10" s="3274"/>
      <c r="J10" s="3283">
        <f t="shared" ref="J10:J21" si="21">H10+I10*1</f>
        <v>0</v>
      </c>
      <c r="K10" s="3284">
        <f t="shared" si="2"/>
        <v>0</v>
      </c>
      <c r="L10" s="1449"/>
      <c r="M10" s="3274"/>
      <c r="N10" s="3274"/>
      <c r="O10" s="3283">
        <f t="shared" ref="O10:O21" si="22">M10+N10*1</f>
        <v>0</v>
      </c>
      <c r="P10" s="3284">
        <f t="shared" si="3"/>
        <v>0</v>
      </c>
      <c r="Q10" s="1449"/>
      <c r="R10" s="3274"/>
      <c r="S10" s="3274"/>
      <c r="T10" s="3283">
        <f t="shared" ref="T10:T21" si="23">R10+S10*1</f>
        <v>0</v>
      </c>
      <c r="U10" s="3284">
        <f t="shared" si="4"/>
        <v>0</v>
      </c>
      <c r="V10" s="1449"/>
      <c r="W10" s="3274">
        <v>916.5</v>
      </c>
      <c r="X10" s="3274">
        <v>0</v>
      </c>
      <c r="Y10" s="3283">
        <v>916.5</v>
      </c>
      <c r="Z10" s="3284">
        <v>1.4293164563785376E-4</v>
      </c>
      <c r="AA10" s="1449"/>
      <c r="AB10" s="3274">
        <f t="shared" si="5"/>
        <v>0</v>
      </c>
      <c r="AC10" s="3274">
        <f t="shared" si="5"/>
        <v>0</v>
      </c>
      <c r="AD10" s="3283">
        <f t="shared" ref="AD10:AD21" si="24">AB10+AC10*1</f>
        <v>0</v>
      </c>
      <c r="AE10" s="3284">
        <f t="shared" si="6"/>
        <v>0</v>
      </c>
      <c r="AF10" s="1449"/>
      <c r="AG10" s="3274"/>
      <c r="AH10" s="3274"/>
      <c r="AI10" s="3283">
        <f t="shared" ref="AI10:AI21" si="25">AG10+AH10*1</f>
        <v>0</v>
      </c>
      <c r="AJ10" s="3284">
        <f t="shared" si="7"/>
        <v>0</v>
      </c>
      <c r="AK10" s="1449"/>
      <c r="AL10" s="3274"/>
      <c r="AM10" s="3274"/>
      <c r="AN10" s="3283">
        <f t="shared" ref="AN10:AN33" si="26">AL10+AM10*1</f>
        <v>0</v>
      </c>
      <c r="AO10" s="3284">
        <f t="shared" si="8"/>
        <v>0</v>
      </c>
      <c r="AP10" s="1449"/>
      <c r="AQ10" s="3285"/>
      <c r="AR10" s="3285"/>
      <c r="AS10" s="3286">
        <f t="shared" ref="AS10:AS33" si="27">AQ10+AR10*1</f>
        <v>0</v>
      </c>
      <c r="AT10" s="3284">
        <f t="shared" si="9"/>
        <v>0</v>
      </c>
      <c r="AU10" s="1158"/>
      <c r="AV10" s="3285"/>
      <c r="AW10" s="3285"/>
      <c r="AX10" s="3286">
        <f>AV10+AW10*1</f>
        <v>0</v>
      </c>
      <c r="AY10" s="3284">
        <f t="shared" si="10"/>
        <v>0</v>
      </c>
      <c r="AZ10" s="1158"/>
      <c r="BA10" s="3285"/>
      <c r="BB10" s="3285"/>
      <c r="BC10" s="3286">
        <f>BA10+BB10*1</f>
        <v>0</v>
      </c>
      <c r="BD10" s="3284">
        <f t="shared" si="11"/>
        <v>0</v>
      </c>
      <c r="BE10" s="1158"/>
      <c r="BF10" s="3285"/>
      <c r="BG10" s="3285"/>
      <c r="BH10" s="3286">
        <f>BF10+BG10*1</f>
        <v>0</v>
      </c>
      <c r="BI10" s="3284">
        <f t="shared" si="12"/>
        <v>0</v>
      </c>
      <c r="BJ10" s="1158"/>
      <c r="BK10" s="3285"/>
      <c r="BL10" s="3285"/>
      <c r="BM10" s="3286">
        <f>BK10+BL10*1</f>
        <v>0</v>
      </c>
      <c r="BN10" s="3284">
        <f t="shared" si="13"/>
        <v>0</v>
      </c>
      <c r="BO10" s="1158"/>
      <c r="BP10" s="3285"/>
      <c r="BQ10" s="3285"/>
      <c r="BR10" s="3286">
        <f>BP10+BQ10*1</f>
        <v>0</v>
      </c>
      <c r="BS10" s="3284">
        <f t="shared" si="14"/>
        <v>0</v>
      </c>
      <c r="BT10" s="1158"/>
      <c r="BU10" s="3285"/>
      <c r="BV10" s="3285"/>
      <c r="BW10" s="3286">
        <f>BU10+BV10*1</f>
        <v>0</v>
      </c>
      <c r="BX10" s="3284">
        <f t="shared" si="15"/>
        <v>0</v>
      </c>
      <c r="BY10" s="1158"/>
      <c r="BZ10" s="3285"/>
      <c r="CA10" s="3285"/>
      <c r="CB10" s="3286">
        <f>BZ10+CA10*1</f>
        <v>0</v>
      </c>
      <c r="CC10" s="3284">
        <f t="shared" si="16"/>
        <v>0</v>
      </c>
      <c r="CD10" s="1158"/>
      <c r="CE10" s="3285"/>
      <c r="CF10" s="3285"/>
      <c r="CG10" s="3286">
        <f>CE10+CF10*1</f>
        <v>0</v>
      </c>
      <c r="CH10" s="3284">
        <f t="shared" si="17"/>
        <v>0</v>
      </c>
      <c r="CI10" s="1158"/>
      <c r="CJ10" s="3285"/>
      <c r="CK10" s="3285"/>
      <c r="CL10" s="3286">
        <f>CJ10+CK10*1</f>
        <v>0</v>
      </c>
      <c r="CM10" s="3284">
        <f t="shared" si="18"/>
        <v>0</v>
      </c>
      <c r="CN10" s="1158"/>
      <c r="CO10" s="3274">
        <f t="shared" ref="CO10:CO33" si="28">C10+H10+M10+R10+AG10+AL10+AQ10+AV10+BA10+BF10+BK10+BP10+BU10+BZ10+CE10+CJ10+W10</f>
        <v>916.5</v>
      </c>
      <c r="CP10" s="3274">
        <f t="shared" ref="CP10:CP33" si="29">D10+I10+N10+S10+AH10+AM10+AR10+AW10+BB10+BG10+BL10+BQ10+BV10+CA10+CF10+CK10+X10</f>
        <v>0</v>
      </c>
      <c r="CQ10" s="3283">
        <f t="shared" ref="CQ10:CQ33" si="30">CO10+CP10*1</f>
        <v>916.5</v>
      </c>
      <c r="CR10" s="3284">
        <f t="shared" si="1"/>
        <v>8.0194063785781017E-5</v>
      </c>
      <c r="CS10" s="1449"/>
      <c r="CT10" s="933"/>
    </row>
    <row r="11" spans="1:98" s="1411" customFormat="1" ht="13.8" x14ac:dyDescent="0.25">
      <c r="A11" s="1586"/>
      <c r="B11" s="1061" t="s">
        <v>69</v>
      </c>
      <c r="C11" s="3288"/>
      <c r="D11" s="3274"/>
      <c r="E11" s="3283">
        <f t="shared" si="20"/>
        <v>0</v>
      </c>
      <c r="F11" s="3284">
        <f t="shared" si="0"/>
        <v>0</v>
      </c>
      <c r="G11" s="1449"/>
      <c r="H11" s="3288"/>
      <c r="I11" s="3274"/>
      <c r="J11" s="3283">
        <f t="shared" si="21"/>
        <v>0</v>
      </c>
      <c r="K11" s="3284">
        <f t="shared" si="2"/>
        <v>0</v>
      </c>
      <c r="L11" s="1449"/>
      <c r="M11" s="3274"/>
      <c r="N11" s="3274"/>
      <c r="O11" s="3283">
        <f t="shared" si="22"/>
        <v>0</v>
      </c>
      <c r="P11" s="3284">
        <f t="shared" si="3"/>
        <v>0</v>
      </c>
      <c r="Q11" s="1449"/>
      <c r="R11" s="3274"/>
      <c r="S11" s="3274"/>
      <c r="T11" s="3283">
        <f t="shared" si="23"/>
        <v>0</v>
      </c>
      <c r="U11" s="3284">
        <f t="shared" si="4"/>
        <v>0</v>
      </c>
      <c r="V11" s="1449"/>
      <c r="W11" s="3274">
        <v>1474</v>
      </c>
      <c r="X11" s="3274">
        <v>0</v>
      </c>
      <c r="Y11" s="3283">
        <v>1474</v>
      </c>
      <c r="Z11" s="3284">
        <v>2.2987588180054167E-4</v>
      </c>
      <c r="AA11" s="1449"/>
      <c r="AB11" s="3274">
        <f t="shared" si="5"/>
        <v>0</v>
      </c>
      <c r="AC11" s="3274">
        <f t="shared" si="5"/>
        <v>0</v>
      </c>
      <c r="AD11" s="3283">
        <f t="shared" si="24"/>
        <v>0</v>
      </c>
      <c r="AE11" s="3284">
        <f t="shared" si="6"/>
        <v>0</v>
      </c>
      <c r="AF11" s="1449"/>
      <c r="AG11" s="3274"/>
      <c r="AH11" s="3274"/>
      <c r="AI11" s="3283">
        <f t="shared" si="25"/>
        <v>0</v>
      </c>
      <c r="AJ11" s="3284">
        <f t="shared" si="7"/>
        <v>0</v>
      </c>
      <c r="AK11" s="1449"/>
      <c r="AL11" s="3274"/>
      <c r="AM11" s="3274"/>
      <c r="AN11" s="3283">
        <f t="shared" si="26"/>
        <v>0</v>
      </c>
      <c r="AO11" s="3284">
        <f t="shared" si="8"/>
        <v>0</v>
      </c>
      <c r="AP11" s="1449"/>
      <c r="AQ11" s="3285"/>
      <c r="AR11" s="3285"/>
      <c r="AS11" s="3286">
        <f t="shared" si="27"/>
        <v>0</v>
      </c>
      <c r="AT11" s="3284">
        <f t="shared" si="9"/>
        <v>0</v>
      </c>
      <c r="AU11" s="1158"/>
      <c r="AV11" s="3285"/>
      <c r="AW11" s="3285"/>
      <c r="AX11" s="3286">
        <f>AV11+AW11*1</f>
        <v>0</v>
      </c>
      <c r="AY11" s="3284">
        <f t="shared" si="10"/>
        <v>0</v>
      </c>
      <c r="AZ11" s="1158"/>
      <c r="BA11" s="3285"/>
      <c r="BB11" s="3285"/>
      <c r="BC11" s="3286">
        <f>BA11+BB11*1</f>
        <v>0</v>
      </c>
      <c r="BD11" s="3284">
        <f t="shared" si="11"/>
        <v>0</v>
      </c>
      <c r="BE11" s="1158"/>
      <c r="BF11" s="3285"/>
      <c r="BG11" s="3285"/>
      <c r="BH11" s="3286">
        <f>BF11+BG11*1</f>
        <v>0</v>
      </c>
      <c r="BI11" s="3284">
        <f t="shared" si="12"/>
        <v>0</v>
      </c>
      <c r="BJ11" s="1158"/>
      <c r="BK11" s="3285"/>
      <c r="BL11" s="3285"/>
      <c r="BM11" s="3286">
        <f>BK11+BL11*1</f>
        <v>0</v>
      </c>
      <c r="BN11" s="3284">
        <f t="shared" si="13"/>
        <v>0</v>
      </c>
      <c r="BO11" s="1158"/>
      <c r="BP11" s="3285"/>
      <c r="BQ11" s="3285"/>
      <c r="BR11" s="3286">
        <f>BP11+BQ11*1</f>
        <v>0</v>
      </c>
      <c r="BS11" s="3284">
        <f t="shared" si="14"/>
        <v>0</v>
      </c>
      <c r="BT11" s="1158"/>
      <c r="BU11" s="3285"/>
      <c r="BV11" s="3285"/>
      <c r="BW11" s="3286">
        <f>BU11+BV11*1</f>
        <v>0</v>
      </c>
      <c r="BX11" s="3284">
        <f t="shared" si="15"/>
        <v>0</v>
      </c>
      <c r="BY11" s="1158"/>
      <c r="BZ11" s="3285"/>
      <c r="CA11" s="3285"/>
      <c r="CB11" s="3286">
        <f>BZ11+CA11*1</f>
        <v>0</v>
      </c>
      <c r="CC11" s="3284">
        <f t="shared" si="16"/>
        <v>0</v>
      </c>
      <c r="CD11" s="1158"/>
      <c r="CE11" s="3285"/>
      <c r="CF11" s="3285"/>
      <c r="CG11" s="3286">
        <f>CE11+CF11*1</f>
        <v>0</v>
      </c>
      <c r="CH11" s="3284">
        <f t="shared" si="17"/>
        <v>0</v>
      </c>
      <c r="CI11" s="1158"/>
      <c r="CJ11" s="3285"/>
      <c r="CK11" s="3285"/>
      <c r="CL11" s="3286">
        <f>CJ11+CK11*1</f>
        <v>0</v>
      </c>
      <c r="CM11" s="3284">
        <f t="shared" si="18"/>
        <v>0</v>
      </c>
      <c r="CN11" s="1158"/>
      <c r="CO11" s="3274">
        <f t="shared" si="28"/>
        <v>1474</v>
      </c>
      <c r="CP11" s="3274">
        <f t="shared" si="29"/>
        <v>0</v>
      </c>
      <c r="CQ11" s="3283">
        <f t="shared" si="30"/>
        <v>1474</v>
      </c>
      <c r="CR11" s="3284">
        <f t="shared" si="1"/>
        <v>1.2897550465929212E-4</v>
      </c>
      <c r="CS11" s="1449"/>
      <c r="CT11" s="933"/>
    </row>
    <row r="12" spans="1:98" s="1411" customFormat="1" ht="13.8" x14ac:dyDescent="0.25">
      <c r="A12" s="1586"/>
      <c r="B12" s="1061" t="s">
        <v>73</v>
      </c>
      <c r="C12" s="3288"/>
      <c r="D12" s="3274"/>
      <c r="E12" s="3283">
        <f t="shared" si="20"/>
        <v>0</v>
      </c>
      <c r="F12" s="3284">
        <f t="shared" si="0"/>
        <v>0</v>
      </c>
      <c r="G12" s="1449"/>
      <c r="H12" s="3288"/>
      <c r="I12" s="3274"/>
      <c r="J12" s="3283">
        <f t="shared" si="21"/>
        <v>0</v>
      </c>
      <c r="K12" s="3284">
        <f t="shared" si="2"/>
        <v>0</v>
      </c>
      <c r="L12" s="1449"/>
      <c r="M12" s="3274"/>
      <c r="N12" s="3274"/>
      <c r="O12" s="3283">
        <f t="shared" si="22"/>
        <v>0</v>
      </c>
      <c r="P12" s="3284">
        <f t="shared" si="3"/>
        <v>0</v>
      </c>
      <c r="Q12" s="1449"/>
      <c r="R12" s="3274"/>
      <c r="S12" s="3274"/>
      <c r="T12" s="3283">
        <f t="shared" si="23"/>
        <v>0</v>
      </c>
      <c r="U12" s="3284">
        <f t="shared" si="4"/>
        <v>0</v>
      </c>
      <c r="V12" s="1449"/>
      <c r="W12" s="3274">
        <v>0</v>
      </c>
      <c r="X12" s="3274">
        <v>0</v>
      </c>
      <c r="Y12" s="3283">
        <v>0</v>
      </c>
      <c r="Z12" s="3284">
        <v>0</v>
      </c>
      <c r="AA12" s="1449"/>
      <c r="AB12" s="3274">
        <f t="shared" si="5"/>
        <v>0</v>
      </c>
      <c r="AC12" s="3274">
        <f t="shared" si="5"/>
        <v>0</v>
      </c>
      <c r="AD12" s="3283">
        <f t="shared" si="24"/>
        <v>0</v>
      </c>
      <c r="AE12" s="3284">
        <f t="shared" si="6"/>
        <v>0</v>
      </c>
      <c r="AF12" s="1449"/>
      <c r="AG12" s="3274"/>
      <c r="AH12" s="3274"/>
      <c r="AI12" s="3283">
        <f t="shared" si="25"/>
        <v>0</v>
      </c>
      <c r="AJ12" s="3284">
        <f t="shared" si="7"/>
        <v>0</v>
      </c>
      <c r="AK12" s="1449"/>
      <c r="AL12" s="3274"/>
      <c r="AM12" s="3274"/>
      <c r="AN12" s="3283">
        <f t="shared" si="26"/>
        <v>0</v>
      </c>
      <c r="AO12" s="3284">
        <f t="shared" si="8"/>
        <v>0</v>
      </c>
      <c r="AP12" s="1449"/>
      <c r="AQ12" s="3285"/>
      <c r="AR12" s="3285"/>
      <c r="AS12" s="3286">
        <f t="shared" si="27"/>
        <v>0</v>
      </c>
      <c r="AT12" s="3284">
        <f t="shared" si="9"/>
        <v>0</v>
      </c>
      <c r="AU12" s="1158"/>
      <c r="AV12" s="3285"/>
      <c r="AW12" s="3285"/>
      <c r="AX12" s="3286">
        <f>AV12+AW12*1</f>
        <v>0</v>
      </c>
      <c r="AY12" s="3284">
        <f t="shared" si="10"/>
        <v>0</v>
      </c>
      <c r="AZ12" s="1158"/>
      <c r="BA12" s="3285"/>
      <c r="BB12" s="3285"/>
      <c r="BC12" s="3286">
        <f>BA12+BB12*1</f>
        <v>0</v>
      </c>
      <c r="BD12" s="3284">
        <f t="shared" si="11"/>
        <v>0</v>
      </c>
      <c r="BE12" s="1158"/>
      <c r="BF12" s="3285"/>
      <c r="BG12" s="3285"/>
      <c r="BH12" s="3286">
        <f>BF12+BG12*1</f>
        <v>0</v>
      </c>
      <c r="BI12" s="3284">
        <f t="shared" si="12"/>
        <v>0</v>
      </c>
      <c r="BJ12" s="1158"/>
      <c r="BK12" s="3285"/>
      <c r="BL12" s="3285"/>
      <c r="BM12" s="3286">
        <f>BK12+BL12*1</f>
        <v>0</v>
      </c>
      <c r="BN12" s="3284">
        <f t="shared" si="13"/>
        <v>0</v>
      </c>
      <c r="BO12" s="1158"/>
      <c r="BP12" s="3285"/>
      <c r="BQ12" s="3285"/>
      <c r="BR12" s="3286">
        <f>BP12+BQ12*1</f>
        <v>0</v>
      </c>
      <c r="BS12" s="3284">
        <f t="shared" si="14"/>
        <v>0</v>
      </c>
      <c r="BT12" s="1158"/>
      <c r="BU12" s="3285"/>
      <c r="BV12" s="3285"/>
      <c r="BW12" s="3286">
        <f>BU12+BV12*1</f>
        <v>0</v>
      </c>
      <c r="BX12" s="3284">
        <f t="shared" si="15"/>
        <v>0</v>
      </c>
      <c r="BY12" s="1158"/>
      <c r="BZ12" s="3285"/>
      <c r="CA12" s="3285"/>
      <c r="CB12" s="3286">
        <f>BZ12+CA12*1</f>
        <v>0</v>
      </c>
      <c r="CC12" s="3284">
        <f t="shared" si="16"/>
        <v>0</v>
      </c>
      <c r="CD12" s="1158"/>
      <c r="CE12" s="3285"/>
      <c r="CF12" s="3285"/>
      <c r="CG12" s="3286">
        <f>CE12+CF12*1</f>
        <v>0</v>
      </c>
      <c r="CH12" s="3284">
        <f t="shared" si="17"/>
        <v>0</v>
      </c>
      <c r="CI12" s="1158"/>
      <c r="CJ12" s="3285"/>
      <c r="CK12" s="3285"/>
      <c r="CL12" s="3286">
        <f>CJ12+CK12*1</f>
        <v>0</v>
      </c>
      <c r="CM12" s="3284">
        <f t="shared" si="18"/>
        <v>0</v>
      </c>
      <c r="CN12" s="1158"/>
      <c r="CO12" s="3274">
        <f t="shared" si="28"/>
        <v>0</v>
      </c>
      <c r="CP12" s="3274">
        <f t="shared" si="29"/>
        <v>0</v>
      </c>
      <c r="CQ12" s="3283">
        <f t="shared" si="30"/>
        <v>0</v>
      </c>
      <c r="CR12" s="3284">
        <f t="shared" si="1"/>
        <v>0</v>
      </c>
      <c r="CS12" s="1449"/>
      <c r="CT12" s="933"/>
    </row>
    <row r="13" spans="1:98" s="1411" customFormat="1" ht="13.8" x14ac:dyDescent="0.25">
      <c r="A13" s="1586"/>
      <c r="B13" s="1061" t="s">
        <v>71</v>
      </c>
      <c r="C13" s="3288"/>
      <c r="D13" s="3274"/>
      <c r="E13" s="3283">
        <f t="shared" si="20"/>
        <v>0</v>
      </c>
      <c r="F13" s="3284">
        <f t="shared" si="0"/>
        <v>0</v>
      </c>
      <c r="G13" s="1449"/>
      <c r="H13" s="3288"/>
      <c r="I13" s="3274"/>
      <c r="J13" s="3283">
        <f t="shared" si="21"/>
        <v>0</v>
      </c>
      <c r="K13" s="3284">
        <f t="shared" si="2"/>
        <v>0</v>
      </c>
      <c r="L13" s="1449"/>
      <c r="M13" s="3274"/>
      <c r="N13" s="3274"/>
      <c r="O13" s="3283">
        <f t="shared" si="22"/>
        <v>0</v>
      </c>
      <c r="P13" s="3284">
        <f t="shared" si="3"/>
        <v>0</v>
      </c>
      <c r="Q13" s="1449"/>
      <c r="R13" s="3274"/>
      <c r="S13" s="3274"/>
      <c r="T13" s="3283">
        <f t="shared" si="23"/>
        <v>0</v>
      </c>
      <c r="U13" s="3284">
        <f t="shared" si="4"/>
        <v>0</v>
      </c>
      <c r="V13" s="1449"/>
      <c r="W13" s="3274">
        <v>0</v>
      </c>
      <c r="X13" s="3274">
        <v>0</v>
      </c>
      <c r="Y13" s="3283">
        <v>0</v>
      </c>
      <c r="Z13" s="3284">
        <v>0</v>
      </c>
      <c r="AA13" s="1449"/>
      <c r="AB13" s="3274">
        <f t="shared" si="5"/>
        <v>0</v>
      </c>
      <c r="AC13" s="3274">
        <f t="shared" si="5"/>
        <v>0</v>
      </c>
      <c r="AD13" s="3283">
        <f t="shared" si="24"/>
        <v>0</v>
      </c>
      <c r="AE13" s="3284">
        <f t="shared" si="6"/>
        <v>0</v>
      </c>
      <c r="AF13" s="1449"/>
      <c r="AG13" s="3274"/>
      <c r="AH13" s="3274"/>
      <c r="AI13" s="3283">
        <f t="shared" si="25"/>
        <v>0</v>
      </c>
      <c r="AJ13" s="3284">
        <f t="shared" si="7"/>
        <v>0</v>
      </c>
      <c r="AK13" s="1449"/>
      <c r="AL13" s="3274"/>
      <c r="AM13" s="3274"/>
      <c r="AN13" s="3283">
        <f t="shared" si="26"/>
        <v>0</v>
      </c>
      <c r="AO13" s="3284">
        <f t="shared" si="8"/>
        <v>0</v>
      </c>
      <c r="AP13" s="1449"/>
      <c r="AQ13" s="3285"/>
      <c r="AR13" s="3285"/>
      <c r="AS13" s="3286">
        <f>AQ13+AR13*1</f>
        <v>0</v>
      </c>
      <c r="AT13" s="3284">
        <f t="shared" si="9"/>
        <v>0</v>
      </c>
      <c r="AU13" s="1158"/>
      <c r="AV13" s="3285"/>
      <c r="AW13" s="3285"/>
      <c r="AX13" s="3286">
        <f>AV13+AW13*1</f>
        <v>0</v>
      </c>
      <c r="AY13" s="3284">
        <f t="shared" si="10"/>
        <v>0</v>
      </c>
      <c r="AZ13" s="1158"/>
      <c r="BA13" s="3285"/>
      <c r="BB13" s="3285"/>
      <c r="BC13" s="3286">
        <f>BA13+BB13*1</f>
        <v>0</v>
      </c>
      <c r="BD13" s="3284">
        <f t="shared" si="11"/>
        <v>0</v>
      </c>
      <c r="BE13" s="1158"/>
      <c r="BF13" s="3285"/>
      <c r="BG13" s="3285"/>
      <c r="BH13" s="3286">
        <f>BF13+BG13*1</f>
        <v>0</v>
      </c>
      <c r="BI13" s="3284">
        <f t="shared" si="12"/>
        <v>0</v>
      </c>
      <c r="BJ13" s="1158"/>
      <c r="BK13" s="3285"/>
      <c r="BL13" s="3285"/>
      <c r="BM13" s="3286">
        <f>BK13+BL13*1</f>
        <v>0</v>
      </c>
      <c r="BN13" s="3284">
        <f t="shared" si="13"/>
        <v>0</v>
      </c>
      <c r="BO13" s="1158"/>
      <c r="BP13" s="3285"/>
      <c r="BQ13" s="3285"/>
      <c r="BR13" s="3286">
        <f>BP13+BQ13*1</f>
        <v>0</v>
      </c>
      <c r="BS13" s="3284">
        <f t="shared" si="14"/>
        <v>0</v>
      </c>
      <c r="BT13" s="1158"/>
      <c r="BU13" s="3285"/>
      <c r="BV13" s="3285"/>
      <c r="BW13" s="3286">
        <f>BU13+BV13*1</f>
        <v>0</v>
      </c>
      <c r="BX13" s="3284">
        <f t="shared" si="15"/>
        <v>0</v>
      </c>
      <c r="BY13" s="1158"/>
      <c r="BZ13" s="3285"/>
      <c r="CA13" s="3285"/>
      <c r="CB13" s="3286">
        <f>BZ13+CA13*1</f>
        <v>0</v>
      </c>
      <c r="CC13" s="3284">
        <f t="shared" si="16"/>
        <v>0</v>
      </c>
      <c r="CD13" s="1158"/>
      <c r="CE13" s="3285"/>
      <c r="CF13" s="3285"/>
      <c r="CG13" s="3286">
        <f>CE13+CF13*1</f>
        <v>0</v>
      </c>
      <c r="CH13" s="3284">
        <f t="shared" si="17"/>
        <v>0</v>
      </c>
      <c r="CI13" s="1158"/>
      <c r="CJ13" s="3285"/>
      <c r="CK13" s="3285"/>
      <c r="CL13" s="3286">
        <f>CJ13+CK13*1</f>
        <v>0</v>
      </c>
      <c r="CM13" s="3284">
        <f t="shared" si="18"/>
        <v>0</v>
      </c>
      <c r="CN13" s="1158"/>
      <c r="CO13" s="3274">
        <f t="shared" si="28"/>
        <v>0</v>
      </c>
      <c r="CP13" s="3274">
        <f t="shared" si="29"/>
        <v>0</v>
      </c>
      <c r="CQ13" s="3283">
        <f t="shared" si="30"/>
        <v>0</v>
      </c>
      <c r="CR13" s="3284">
        <f t="shared" si="1"/>
        <v>0</v>
      </c>
      <c r="CS13" s="1449"/>
      <c r="CT13" s="933"/>
    </row>
    <row r="14" spans="1:98" s="1411" customFormat="1" ht="13.8" x14ac:dyDescent="0.25">
      <c r="A14" s="1586"/>
      <c r="B14" s="1061" t="s">
        <v>70</v>
      </c>
      <c r="C14" s="3288"/>
      <c r="D14" s="3274"/>
      <c r="E14" s="3283">
        <f t="shared" si="20"/>
        <v>0</v>
      </c>
      <c r="F14" s="3284">
        <f t="shared" si="0"/>
        <v>0</v>
      </c>
      <c r="G14" s="1449"/>
      <c r="H14" s="3288"/>
      <c r="I14" s="3274"/>
      <c r="J14" s="3283">
        <f t="shared" si="21"/>
        <v>0</v>
      </c>
      <c r="K14" s="3284">
        <f t="shared" si="2"/>
        <v>0</v>
      </c>
      <c r="L14" s="1449"/>
      <c r="M14" s="3274"/>
      <c r="N14" s="3274"/>
      <c r="O14" s="3283">
        <f t="shared" si="22"/>
        <v>0</v>
      </c>
      <c r="P14" s="3284">
        <f t="shared" si="3"/>
        <v>0</v>
      </c>
      <c r="Q14" s="1449"/>
      <c r="R14" s="3274"/>
      <c r="S14" s="3274"/>
      <c r="T14" s="3283">
        <f t="shared" si="23"/>
        <v>0</v>
      </c>
      <c r="U14" s="3284">
        <f t="shared" si="4"/>
        <v>0</v>
      </c>
      <c r="V14" s="1449"/>
      <c r="W14" s="3274">
        <v>0</v>
      </c>
      <c r="X14" s="3274">
        <v>0</v>
      </c>
      <c r="Y14" s="3283">
        <v>0</v>
      </c>
      <c r="Z14" s="3284">
        <v>0</v>
      </c>
      <c r="AA14" s="1449"/>
      <c r="AB14" s="3274">
        <f t="shared" si="5"/>
        <v>0</v>
      </c>
      <c r="AC14" s="3274">
        <f t="shared" si="5"/>
        <v>0</v>
      </c>
      <c r="AD14" s="3283">
        <f t="shared" si="24"/>
        <v>0</v>
      </c>
      <c r="AE14" s="3284">
        <f t="shared" si="6"/>
        <v>0</v>
      </c>
      <c r="AF14" s="1449"/>
      <c r="AG14" s="3274"/>
      <c r="AH14" s="3274"/>
      <c r="AI14" s="3283">
        <f t="shared" si="25"/>
        <v>0</v>
      </c>
      <c r="AJ14" s="3284">
        <f t="shared" si="7"/>
        <v>0</v>
      </c>
      <c r="AK14" s="1449"/>
      <c r="AL14" s="3274"/>
      <c r="AM14" s="3274"/>
      <c r="AN14" s="3283">
        <f t="shared" si="26"/>
        <v>0</v>
      </c>
      <c r="AO14" s="3284">
        <f t="shared" si="8"/>
        <v>0</v>
      </c>
      <c r="AP14" s="1449"/>
      <c r="AQ14" s="3285"/>
      <c r="AR14" s="3285"/>
      <c r="AS14" s="3286">
        <f t="shared" si="27"/>
        <v>0</v>
      </c>
      <c r="AT14" s="3284">
        <f t="shared" si="9"/>
        <v>0</v>
      </c>
      <c r="AU14" s="1158"/>
      <c r="AV14" s="3285"/>
      <c r="AW14" s="3285"/>
      <c r="AX14" s="3286">
        <f t="shared" ref="AX14:AX33" si="31">AV14+AW14*1</f>
        <v>0</v>
      </c>
      <c r="AY14" s="3284">
        <f t="shared" si="10"/>
        <v>0</v>
      </c>
      <c r="AZ14" s="1158"/>
      <c r="BA14" s="3285"/>
      <c r="BB14" s="3285"/>
      <c r="BC14" s="3286">
        <f t="shared" ref="BC14:BC33" si="32">BA14+BB14*1</f>
        <v>0</v>
      </c>
      <c r="BD14" s="3284">
        <f t="shared" si="11"/>
        <v>0</v>
      </c>
      <c r="BE14" s="1158"/>
      <c r="BF14" s="3285"/>
      <c r="BG14" s="3285"/>
      <c r="BH14" s="3286">
        <f t="shared" ref="BH14:BH33" si="33">BF14+BG14*1</f>
        <v>0</v>
      </c>
      <c r="BI14" s="3284">
        <f t="shared" si="12"/>
        <v>0</v>
      </c>
      <c r="BJ14" s="1158"/>
      <c r="BK14" s="3285"/>
      <c r="BL14" s="3285"/>
      <c r="BM14" s="3286">
        <f t="shared" ref="BM14:BM33" si="34">BK14+BL14*1</f>
        <v>0</v>
      </c>
      <c r="BN14" s="3284">
        <f t="shared" si="13"/>
        <v>0</v>
      </c>
      <c r="BO14" s="1158"/>
      <c r="BP14" s="3285"/>
      <c r="BQ14" s="3285"/>
      <c r="BR14" s="3286">
        <f t="shared" ref="BR14:BR33" si="35">BP14+BQ14*1</f>
        <v>0</v>
      </c>
      <c r="BS14" s="3284">
        <f t="shared" si="14"/>
        <v>0</v>
      </c>
      <c r="BT14" s="1158"/>
      <c r="BU14" s="3285"/>
      <c r="BV14" s="3285"/>
      <c r="BW14" s="3286">
        <f t="shared" ref="BW14:BW33" si="36">BU14+BV14*1</f>
        <v>0</v>
      </c>
      <c r="BX14" s="3284">
        <f t="shared" si="15"/>
        <v>0</v>
      </c>
      <c r="BY14" s="1158"/>
      <c r="BZ14" s="3285"/>
      <c r="CA14" s="3285"/>
      <c r="CB14" s="3286">
        <f t="shared" ref="CB14:CB33" si="37">BZ14+CA14*1</f>
        <v>0</v>
      </c>
      <c r="CC14" s="3284">
        <f t="shared" si="16"/>
        <v>0</v>
      </c>
      <c r="CD14" s="1158"/>
      <c r="CE14" s="3285"/>
      <c r="CF14" s="3285"/>
      <c r="CG14" s="3286">
        <f t="shared" ref="CG14:CG33" si="38">CE14+CF14*1</f>
        <v>0</v>
      </c>
      <c r="CH14" s="3284">
        <f t="shared" si="17"/>
        <v>0</v>
      </c>
      <c r="CI14" s="1158"/>
      <c r="CJ14" s="3285"/>
      <c r="CK14" s="3285"/>
      <c r="CL14" s="3286">
        <f t="shared" ref="CL14:CL33" si="39">CJ14+CK14*1</f>
        <v>0</v>
      </c>
      <c r="CM14" s="3284">
        <f t="shared" si="18"/>
        <v>0</v>
      </c>
      <c r="CN14" s="1158"/>
      <c r="CO14" s="3274">
        <f t="shared" si="28"/>
        <v>0</v>
      </c>
      <c r="CP14" s="3274">
        <f t="shared" si="29"/>
        <v>0</v>
      </c>
      <c r="CQ14" s="3283">
        <f t="shared" si="30"/>
        <v>0</v>
      </c>
      <c r="CR14" s="3284">
        <f t="shared" si="1"/>
        <v>0</v>
      </c>
      <c r="CS14" s="1449"/>
      <c r="CT14" s="933"/>
    </row>
    <row r="15" spans="1:98" s="1411" customFormat="1" ht="13.8" x14ac:dyDescent="0.25">
      <c r="A15" s="1586"/>
      <c r="B15" s="3289" t="s">
        <v>20</v>
      </c>
      <c r="C15" s="3288"/>
      <c r="D15" s="3274"/>
      <c r="E15" s="3283">
        <f t="shared" si="20"/>
        <v>0</v>
      </c>
      <c r="F15" s="3284">
        <f t="shared" si="0"/>
        <v>0</v>
      </c>
      <c r="G15" s="1449"/>
      <c r="H15" s="3288"/>
      <c r="I15" s="3274"/>
      <c r="J15" s="3283">
        <f t="shared" si="21"/>
        <v>0</v>
      </c>
      <c r="K15" s="3284">
        <f t="shared" si="2"/>
        <v>0</v>
      </c>
      <c r="L15" s="1449"/>
      <c r="M15" s="3274"/>
      <c r="N15" s="3274"/>
      <c r="O15" s="3283">
        <f t="shared" si="22"/>
        <v>0</v>
      </c>
      <c r="P15" s="3284">
        <f t="shared" si="3"/>
        <v>0</v>
      </c>
      <c r="Q15" s="1449"/>
      <c r="R15" s="3274"/>
      <c r="S15" s="3274"/>
      <c r="T15" s="3283">
        <f t="shared" si="23"/>
        <v>0</v>
      </c>
      <c r="U15" s="3284">
        <f t="shared" si="4"/>
        <v>0</v>
      </c>
      <c r="V15" s="1449"/>
      <c r="W15" s="3274">
        <v>0</v>
      </c>
      <c r="X15" s="3274">
        <v>0</v>
      </c>
      <c r="Y15" s="3283">
        <v>0</v>
      </c>
      <c r="Z15" s="3284">
        <v>0</v>
      </c>
      <c r="AA15" s="1449"/>
      <c r="AB15" s="3274">
        <f t="shared" si="5"/>
        <v>0</v>
      </c>
      <c r="AC15" s="3274">
        <f t="shared" si="5"/>
        <v>0</v>
      </c>
      <c r="AD15" s="3283">
        <f t="shared" si="24"/>
        <v>0</v>
      </c>
      <c r="AE15" s="3284">
        <f t="shared" si="6"/>
        <v>0</v>
      </c>
      <c r="AF15" s="1449"/>
      <c r="AG15" s="3274"/>
      <c r="AH15" s="3274"/>
      <c r="AI15" s="3283">
        <f t="shared" si="25"/>
        <v>0</v>
      </c>
      <c r="AJ15" s="3284">
        <f t="shared" si="7"/>
        <v>0</v>
      </c>
      <c r="AK15" s="1449"/>
      <c r="AL15" s="3274"/>
      <c r="AM15" s="3274"/>
      <c r="AN15" s="3283">
        <f t="shared" si="26"/>
        <v>0</v>
      </c>
      <c r="AO15" s="3284">
        <f t="shared" si="8"/>
        <v>0</v>
      </c>
      <c r="AP15" s="1449"/>
      <c r="AQ15" s="3285"/>
      <c r="AR15" s="3285"/>
      <c r="AS15" s="3286">
        <f t="shared" si="27"/>
        <v>0</v>
      </c>
      <c r="AT15" s="3284">
        <f t="shared" si="9"/>
        <v>0</v>
      </c>
      <c r="AU15" s="1158"/>
      <c r="AV15" s="3285"/>
      <c r="AW15" s="3285"/>
      <c r="AX15" s="3286">
        <f t="shared" si="31"/>
        <v>0</v>
      </c>
      <c r="AY15" s="3284">
        <f t="shared" si="10"/>
        <v>0</v>
      </c>
      <c r="AZ15" s="1158"/>
      <c r="BA15" s="3285"/>
      <c r="BB15" s="3285"/>
      <c r="BC15" s="3286">
        <f t="shared" si="32"/>
        <v>0</v>
      </c>
      <c r="BD15" s="3284">
        <f t="shared" si="11"/>
        <v>0</v>
      </c>
      <c r="BE15" s="1158"/>
      <c r="BF15" s="3285"/>
      <c r="BG15" s="3285"/>
      <c r="BH15" s="3286">
        <f t="shared" si="33"/>
        <v>0</v>
      </c>
      <c r="BI15" s="3284">
        <f t="shared" si="12"/>
        <v>0</v>
      </c>
      <c r="BJ15" s="1158"/>
      <c r="BK15" s="3285"/>
      <c r="BL15" s="3285"/>
      <c r="BM15" s="3286">
        <f t="shared" si="34"/>
        <v>0</v>
      </c>
      <c r="BN15" s="3284">
        <f t="shared" si="13"/>
        <v>0</v>
      </c>
      <c r="BO15" s="1158"/>
      <c r="BP15" s="3285"/>
      <c r="BQ15" s="3285"/>
      <c r="BR15" s="3286">
        <f t="shared" si="35"/>
        <v>0</v>
      </c>
      <c r="BS15" s="3284">
        <f t="shared" si="14"/>
        <v>0</v>
      </c>
      <c r="BT15" s="1158"/>
      <c r="BU15" s="3285"/>
      <c r="BV15" s="3285"/>
      <c r="BW15" s="3286">
        <f t="shared" si="36"/>
        <v>0</v>
      </c>
      <c r="BX15" s="3284">
        <f t="shared" si="15"/>
        <v>0</v>
      </c>
      <c r="BY15" s="1158"/>
      <c r="BZ15" s="3285"/>
      <c r="CA15" s="3285"/>
      <c r="CB15" s="3286">
        <f t="shared" si="37"/>
        <v>0</v>
      </c>
      <c r="CC15" s="3284">
        <f t="shared" si="16"/>
        <v>0</v>
      </c>
      <c r="CD15" s="1158"/>
      <c r="CE15" s="3285"/>
      <c r="CF15" s="3285"/>
      <c r="CG15" s="3286">
        <f t="shared" si="38"/>
        <v>0</v>
      </c>
      <c r="CH15" s="3284">
        <f t="shared" si="17"/>
        <v>0</v>
      </c>
      <c r="CI15" s="1158"/>
      <c r="CJ15" s="3285"/>
      <c r="CK15" s="3285"/>
      <c r="CL15" s="3286">
        <f t="shared" si="39"/>
        <v>0</v>
      </c>
      <c r="CM15" s="3284">
        <f t="shared" si="18"/>
        <v>0</v>
      </c>
      <c r="CN15" s="1158"/>
      <c r="CO15" s="3274">
        <f t="shared" si="28"/>
        <v>0</v>
      </c>
      <c r="CP15" s="3274">
        <f t="shared" si="29"/>
        <v>0</v>
      </c>
      <c r="CQ15" s="3283">
        <f t="shared" si="30"/>
        <v>0</v>
      </c>
      <c r="CR15" s="3284">
        <f t="shared" si="1"/>
        <v>0</v>
      </c>
      <c r="CS15" s="1449"/>
      <c r="CT15" s="933"/>
    </row>
    <row r="16" spans="1:98" s="1411" customFormat="1" ht="13.8" x14ac:dyDescent="0.25">
      <c r="A16" s="3290"/>
      <c r="B16" s="3289" t="s">
        <v>21</v>
      </c>
      <c r="C16" s="3288"/>
      <c r="D16" s="3274"/>
      <c r="E16" s="3283">
        <f t="shared" si="20"/>
        <v>0</v>
      </c>
      <c r="F16" s="3284">
        <f t="shared" si="0"/>
        <v>0</v>
      </c>
      <c r="G16" s="1449"/>
      <c r="H16" s="3288"/>
      <c r="I16" s="3274"/>
      <c r="J16" s="3283">
        <f t="shared" si="21"/>
        <v>0</v>
      </c>
      <c r="K16" s="3284">
        <f t="shared" si="2"/>
        <v>0</v>
      </c>
      <c r="L16" s="1449"/>
      <c r="M16" s="3274"/>
      <c r="N16" s="3274"/>
      <c r="O16" s="3283">
        <f t="shared" si="22"/>
        <v>0</v>
      </c>
      <c r="P16" s="3284">
        <f t="shared" si="3"/>
        <v>0</v>
      </c>
      <c r="Q16" s="1449"/>
      <c r="R16" s="3274"/>
      <c r="S16" s="3274"/>
      <c r="T16" s="3283">
        <f t="shared" si="23"/>
        <v>0</v>
      </c>
      <c r="U16" s="3284">
        <f t="shared" si="4"/>
        <v>0</v>
      </c>
      <c r="V16" s="1449"/>
      <c r="W16" s="3274">
        <v>0</v>
      </c>
      <c r="X16" s="3274">
        <v>0</v>
      </c>
      <c r="Y16" s="3283">
        <v>0</v>
      </c>
      <c r="Z16" s="3284">
        <v>0</v>
      </c>
      <c r="AA16" s="1449"/>
      <c r="AB16" s="3274">
        <f t="shared" si="5"/>
        <v>0</v>
      </c>
      <c r="AC16" s="3274">
        <f t="shared" si="5"/>
        <v>0</v>
      </c>
      <c r="AD16" s="3283">
        <f t="shared" si="24"/>
        <v>0</v>
      </c>
      <c r="AE16" s="3284">
        <f t="shared" si="6"/>
        <v>0</v>
      </c>
      <c r="AF16" s="1449"/>
      <c r="AG16" s="3274"/>
      <c r="AH16" s="3274"/>
      <c r="AI16" s="3283">
        <f t="shared" si="25"/>
        <v>0</v>
      </c>
      <c r="AJ16" s="3284">
        <f t="shared" si="7"/>
        <v>0</v>
      </c>
      <c r="AK16" s="1449"/>
      <c r="AL16" s="3274"/>
      <c r="AM16" s="3274"/>
      <c r="AN16" s="3283">
        <f t="shared" si="26"/>
        <v>0</v>
      </c>
      <c r="AO16" s="3284">
        <f t="shared" si="8"/>
        <v>0</v>
      </c>
      <c r="AP16" s="1449"/>
      <c r="AQ16" s="3285"/>
      <c r="AR16" s="3285"/>
      <c r="AS16" s="3286">
        <f t="shared" si="27"/>
        <v>0</v>
      </c>
      <c r="AT16" s="3284">
        <f t="shared" si="9"/>
        <v>0</v>
      </c>
      <c r="AU16" s="1158"/>
      <c r="AV16" s="3285"/>
      <c r="AW16" s="3285"/>
      <c r="AX16" s="3286">
        <f t="shared" si="31"/>
        <v>0</v>
      </c>
      <c r="AY16" s="3284">
        <f t="shared" si="10"/>
        <v>0</v>
      </c>
      <c r="AZ16" s="1158"/>
      <c r="BA16" s="3285"/>
      <c r="BB16" s="3285"/>
      <c r="BC16" s="3286">
        <f t="shared" si="32"/>
        <v>0</v>
      </c>
      <c r="BD16" s="3284">
        <f t="shared" si="11"/>
        <v>0</v>
      </c>
      <c r="BE16" s="1158"/>
      <c r="BF16" s="3285"/>
      <c r="BG16" s="3285"/>
      <c r="BH16" s="3286">
        <f t="shared" si="33"/>
        <v>0</v>
      </c>
      <c r="BI16" s="3284">
        <f t="shared" si="12"/>
        <v>0</v>
      </c>
      <c r="BJ16" s="1158"/>
      <c r="BK16" s="3285"/>
      <c r="BL16" s="3285"/>
      <c r="BM16" s="3286">
        <f t="shared" si="34"/>
        <v>0</v>
      </c>
      <c r="BN16" s="3284">
        <f t="shared" si="13"/>
        <v>0</v>
      </c>
      <c r="BO16" s="1158"/>
      <c r="BP16" s="3285"/>
      <c r="BQ16" s="3285"/>
      <c r="BR16" s="3286">
        <f t="shared" si="35"/>
        <v>0</v>
      </c>
      <c r="BS16" s="3284">
        <f t="shared" si="14"/>
        <v>0</v>
      </c>
      <c r="BT16" s="1158"/>
      <c r="BU16" s="3285"/>
      <c r="BV16" s="3285"/>
      <c r="BW16" s="3286">
        <f t="shared" si="36"/>
        <v>0</v>
      </c>
      <c r="BX16" s="3284">
        <f t="shared" si="15"/>
        <v>0</v>
      </c>
      <c r="BY16" s="1158"/>
      <c r="BZ16" s="3285"/>
      <c r="CA16" s="3285"/>
      <c r="CB16" s="3286">
        <f t="shared" si="37"/>
        <v>0</v>
      </c>
      <c r="CC16" s="3284">
        <f t="shared" si="16"/>
        <v>0</v>
      </c>
      <c r="CD16" s="1158"/>
      <c r="CE16" s="3285"/>
      <c r="CF16" s="3285"/>
      <c r="CG16" s="3286">
        <f t="shared" si="38"/>
        <v>0</v>
      </c>
      <c r="CH16" s="3284">
        <f t="shared" si="17"/>
        <v>0</v>
      </c>
      <c r="CI16" s="1158"/>
      <c r="CJ16" s="3285"/>
      <c r="CK16" s="3285"/>
      <c r="CL16" s="3286">
        <f t="shared" si="39"/>
        <v>0</v>
      </c>
      <c r="CM16" s="3284">
        <f t="shared" si="18"/>
        <v>0</v>
      </c>
      <c r="CN16" s="1158"/>
      <c r="CO16" s="3274">
        <f t="shared" si="28"/>
        <v>0</v>
      </c>
      <c r="CP16" s="3274">
        <f t="shared" si="29"/>
        <v>0</v>
      </c>
      <c r="CQ16" s="3283">
        <f t="shared" si="30"/>
        <v>0</v>
      </c>
      <c r="CR16" s="3284">
        <f t="shared" si="1"/>
        <v>0</v>
      </c>
      <c r="CS16" s="1449"/>
      <c r="CT16" s="933"/>
    </row>
    <row r="17" spans="1:98" s="1411" customFormat="1" ht="13.8" x14ac:dyDescent="0.25">
      <c r="A17" s="1586"/>
      <c r="B17" s="3289" t="s">
        <v>22</v>
      </c>
      <c r="C17" s="3288"/>
      <c r="D17" s="3274"/>
      <c r="E17" s="3283">
        <f t="shared" si="20"/>
        <v>0</v>
      </c>
      <c r="F17" s="3284">
        <f t="shared" si="0"/>
        <v>0</v>
      </c>
      <c r="G17" s="1449"/>
      <c r="H17" s="3288"/>
      <c r="I17" s="3274"/>
      <c r="J17" s="3283">
        <f t="shared" si="21"/>
        <v>0</v>
      </c>
      <c r="K17" s="3284">
        <f t="shared" si="2"/>
        <v>0</v>
      </c>
      <c r="L17" s="1449"/>
      <c r="M17" s="3274"/>
      <c r="N17" s="3274"/>
      <c r="O17" s="3283">
        <f t="shared" si="22"/>
        <v>0</v>
      </c>
      <c r="P17" s="3284">
        <f t="shared" si="3"/>
        <v>0</v>
      </c>
      <c r="Q17" s="1449"/>
      <c r="R17" s="3274"/>
      <c r="S17" s="3274"/>
      <c r="T17" s="3283">
        <f t="shared" si="23"/>
        <v>0</v>
      </c>
      <c r="U17" s="3284">
        <f t="shared" si="4"/>
        <v>0</v>
      </c>
      <c r="V17" s="1449"/>
      <c r="W17" s="3274">
        <v>0</v>
      </c>
      <c r="X17" s="3274">
        <v>0</v>
      </c>
      <c r="Y17" s="3283">
        <v>0</v>
      </c>
      <c r="Z17" s="3284">
        <v>0</v>
      </c>
      <c r="AA17" s="1449"/>
      <c r="AB17" s="3274">
        <f t="shared" si="5"/>
        <v>0</v>
      </c>
      <c r="AC17" s="3274">
        <f t="shared" si="5"/>
        <v>0</v>
      </c>
      <c r="AD17" s="3283">
        <f t="shared" si="24"/>
        <v>0</v>
      </c>
      <c r="AE17" s="3284">
        <f t="shared" si="6"/>
        <v>0</v>
      </c>
      <c r="AF17" s="1449"/>
      <c r="AG17" s="3274"/>
      <c r="AH17" s="3274"/>
      <c r="AI17" s="3283">
        <f t="shared" si="25"/>
        <v>0</v>
      </c>
      <c r="AJ17" s="3284">
        <f t="shared" si="7"/>
        <v>0</v>
      </c>
      <c r="AK17" s="1449"/>
      <c r="AL17" s="3274"/>
      <c r="AM17" s="3274"/>
      <c r="AN17" s="3283">
        <f t="shared" si="26"/>
        <v>0</v>
      </c>
      <c r="AO17" s="3284">
        <f t="shared" si="8"/>
        <v>0</v>
      </c>
      <c r="AP17" s="1449"/>
      <c r="AQ17" s="3285"/>
      <c r="AR17" s="3285"/>
      <c r="AS17" s="3286">
        <f t="shared" si="27"/>
        <v>0</v>
      </c>
      <c r="AT17" s="3284">
        <f t="shared" si="9"/>
        <v>0</v>
      </c>
      <c r="AU17" s="1158"/>
      <c r="AV17" s="3285"/>
      <c r="AW17" s="3285"/>
      <c r="AX17" s="3286">
        <f t="shared" si="31"/>
        <v>0</v>
      </c>
      <c r="AY17" s="3284">
        <f t="shared" si="10"/>
        <v>0</v>
      </c>
      <c r="AZ17" s="1158"/>
      <c r="BA17" s="3285"/>
      <c r="BB17" s="3285"/>
      <c r="BC17" s="3286">
        <f t="shared" si="32"/>
        <v>0</v>
      </c>
      <c r="BD17" s="3284">
        <f t="shared" si="11"/>
        <v>0</v>
      </c>
      <c r="BE17" s="1158"/>
      <c r="BF17" s="3285"/>
      <c r="BG17" s="3285"/>
      <c r="BH17" s="3286">
        <f t="shared" si="33"/>
        <v>0</v>
      </c>
      <c r="BI17" s="3284">
        <f t="shared" si="12"/>
        <v>0</v>
      </c>
      <c r="BJ17" s="1158"/>
      <c r="BK17" s="3285"/>
      <c r="BL17" s="3285"/>
      <c r="BM17" s="3286">
        <f t="shared" si="34"/>
        <v>0</v>
      </c>
      <c r="BN17" s="3284">
        <f t="shared" si="13"/>
        <v>0</v>
      </c>
      <c r="BO17" s="1158"/>
      <c r="BP17" s="3285"/>
      <c r="BQ17" s="3285"/>
      <c r="BR17" s="3286">
        <f t="shared" si="35"/>
        <v>0</v>
      </c>
      <c r="BS17" s="3284">
        <f t="shared" si="14"/>
        <v>0</v>
      </c>
      <c r="BT17" s="1158"/>
      <c r="BU17" s="3285"/>
      <c r="BV17" s="3285"/>
      <c r="BW17" s="3286">
        <f t="shared" si="36"/>
        <v>0</v>
      </c>
      <c r="BX17" s="3284">
        <f t="shared" si="15"/>
        <v>0</v>
      </c>
      <c r="BY17" s="1158"/>
      <c r="BZ17" s="3285"/>
      <c r="CA17" s="3285"/>
      <c r="CB17" s="3286">
        <f t="shared" si="37"/>
        <v>0</v>
      </c>
      <c r="CC17" s="3284">
        <f t="shared" si="16"/>
        <v>0</v>
      </c>
      <c r="CD17" s="1158"/>
      <c r="CE17" s="3285"/>
      <c r="CF17" s="3285"/>
      <c r="CG17" s="3286">
        <f t="shared" si="38"/>
        <v>0</v>
      </c>
      <c r="CH17" s="3284">
        <f t="shared" si="17"/>
        <v>0</v>
      </c>
      <c r="CI17" s="1158"/>
      <c r="CJ17" s="3285"/>
      <c r="CK17" s="3285"/>
      <c r="CL17" s="3286">
        <f t="shared" si="39"/>
        <v>0</v>
      </c>
      <c r="CM17" s="3284">
        <f t="shared" si="18"/>
        <v>0</v>
      </c>
      <c r="CN17" s="1158"/>
      <c r="CO17" s="3274">
        <f t="shared" si="28"/>
        <v>0</v>
      </c>
      <c r="CP17" s="3274">
        <f t="shared" si="29"/>
        <v>0</v>
      </c>
      <c r="CQ17" s="3283">
        <f t="shared" si="30"/>
        <v>0</v>
      </c>
      <c r="CR17" s="3284">
        <f t="shared" si="1"/>
        <v>0</v>
      </c>
      <c r="CS17" s="1449"/>
      <c r="CT17" s="933"/>
    </row>
    <row r="18" spans="1:98" s="1411" customFormat="1" ht="60" x14ac:dyDescent="0.25">
      <c r="A18" s="1586"/>
      <c r="B18" s="3289" t="s">
        <v>0</v>
      </c>
      <c r="C18" s="3288">
        <f>210+2400</f>
        <v>2610</v>
      </c>
      <c r="D18" s="3274"/>
      <c r="E18" s="3283">
        <f t="shared" si="20"/>
        <v>2610</v>
      </c>
      <c r="F18" s="3284">
        <f t="shared" si="0"/>
        <v>5.6831348395132188E-3</v>
      </c>
      <c r="G18" s="3275" t="s">
        <v>1275</v>
      </c>
      <c r="H18" s="3288">
        <f>12900+1710</f>
        <v>14610</v>
      </c>
      <c r="I18" s="3274"/>
      <c r="J18" s="3283">
        <f t="shared" si="21"/>
        <v>14610</v>
      </c>
      <c r="K18" s="3284">
        <f t="shared" si="2"/>
        <v>0.10155555103309133</v>
      </c>
      <c r="L18" s="3275"/>
      <c r="M18" s="3274">
        <f>2000+850+1125+3030+960</f>
        <v>7965</v>
      </c>
      <c r="N18" s="3274"/>
      <c r="O18" s="3283">
        <f t="shared" si="22"/>
        <v>7965</v>
      </c>
      <c r="P18" s="3284">
        <f t="shared" si="3"/>
        <v>1.2421719121718552E-3</v>
      </c>
      <c r="Q18" s="3276" t="s">
        <v>1397</v>
      </c>
      <c r="R18" s="3274"/>
      <c r="S18" s="3274"/>
      <c r="T18" s="3283">
        <f t="shared" si="23"/>
        <v>0</v>
      </c>
      <c r="U18" s="3284">
        <f t="shared" si="4"/>
        <v>0</v>
      </c>
      <c r="V18" s="3275"/>
      <c r="W18" s="3274">
        <v>9895</v>
      </c>
      <c r="X18" s="3274">
        <v>0</v>
      </c>
      <c r="Y18" s="3283">
        <v>9895</v>
      </c>
      <c r="Z18" s="3284">
        <v>1.5431627207709363E-3</v>
      </c>
      <c r="AA18" s="3275"/>
      <c r="AB18" s="3274">
        <f t="shared" si="5"/>
        <v>0</v>
      </c>
      <c r="AC18" s="3274">
        <f t="shared" si="5"/>
        <v>0</v>
      </c>
      <c r="AD18" s="3283">
        <f t="shared" si="24"/>
        <v>0</v>
      </c>
      <c r="AE18" s="3284">
        <f t="shared" si="6"/>
        <v>0</v>
      </c>
      <c r="AF18" s="3275"/>
      <c r="AG18" s="3274"/>
      <c r="AH18" s="3274"/>
      <c r="AI18" s="3283">
        <f t="shared" si="25"/>
        <v>0</v>
      </c>
      <c r="AJ18" s="3284">
        <f t="shared" si="7"/>
        <v>0</v>
      </c>
      <c r="AK18" s="1449"/>
      <c r="AL18" s="3274"/>
      <c r="AM18" s="3274"/>
      <c r="AN18" s="3283">
        <f t="shared" si="26"/>
        <v>0</v>
      </c>
      <c r="AO18" s="3284">
        <f t="shared" si="8"/>
        <v>0</v>
      </c>
      <c r="AP18" s="3293"/>
      <c r="AQ18" s="3285"/>
      <c r="AR18" s="3285"/>
      <c r="AS18" s="3286">
        <f t="shared" si="27"/>
        <v>0</v>
      </c>
      <c r="AT18" s="3284">
        <f t="shared" si="9"/>
        <v>0</v>
      </c>
      <c r="AU18" s="3291"/>
      <c r="AV18" s="3285"/>
      <c r="AW18" s="3285"/>
      <c r="AX18" s="3286">
        <f t="shared" si="31"/>
        <v>0</v>
      </c>
      <c r="AY18" s="3284">
        <f t="shared" si="10"/>
        <v>0</v>
      </c>
      <c r="AZ18" s="3276"/>
      <c r="BA18" s="3285"/>
      <c r="BB18" s="3285"/>
      <c r="BC18" s="3286">
        <f t="shared" si="32"/>
        <v>0</v>
      </c>
      <c r="BD18" s="3284">
        <f t="shared" si="11"/>
        <v>0</v>
      </c>
      <c r="BE18" s="3291"/>
      <c r="BF18" s="3285"/>
      <c r="BG18" s="3285"/>
      <c r="BH18" s="3286">
        <f t="shared" si="33"/>
        <v>0</v>
      </c>
      <c r="BI18" s="3284">
        <f t="shared" si="12"/>
        <v>0</v>
      </c>
      <c r="BJ18" s="3291"/>
      <c r="BK18" s="3285"/>
      <c r="BL18" s="3285"/>
      <c r="BM18" s="3286">
        <f t="shared" si="34"/>
        <v>0</v>
      </c>
      <c r="BN18" s="3284">
        <f t="shared" si="13"/>
        <v>0</v>
      </c>
      <c r="BO18" s="3291"/>
      <c r="BP18" s="3285"/>
      <c r="BQ18" s="3285"/>
      <c r="BR18" s="3286">
        <f t="shared" si="35"/>
        <v>0</v>
      </c>
      <c r="BS18" s="3284">
        <f t="shared" si="14"/>
        <v>0</v>
      </c>
      <c r="BT18" s="3291"/>
      <c r="BU18" s="3285"/>
      <c r="BV18" s="3285"/>
      <c r="BW18" s="3286">
        <f t="shared" si="36"/>
        <v>0</v>
      </c>
      <c r="BX18" s="3284">
        <f t="shared" si="15"/>
        <v>0</v>
      </c>
      <c r="BY18" s="3291"/>
      <c r="BZ18" s="3285"/>
      <c r="CA18" s="3285"/>
      <c r="CB18" s="3286">
        <f t="shared" si="37"/>
        <v>0</v>
      </c>
      <c r="CC18" s="3284">
        <f t="shared" si="16"/>
        <v>0</v>
      </c>
      <c r="CD18" s="3291"/>
      <c r="CE18" s="3285"/>
      <c r="CF18" s="3285"/>
      <c r="CG18" s="3286">
        <f t="shared" si="38"/>
        <v>0</v>
      </c>
      <c r="CH18" s="3284">
        <f t="shared" si="17"/>
        <v>0</v>
      </c>
      <c r="CI18" s="3291"/>
      <c r="CJ18" s="3285"/>
      <c r="CK18" s="3285"/>
      <c r="CL18" s="3286">
        <f t="shared" si="39"/>
        <v>0</v>
      </c>
      <c r="CM18" s="3284">
        <f t="shared" si="18"/>
        <v>0</v>
      </c>
      <c r="CN18" s="3291"/>
      <c r="CO18" s="3274">
        <f t="shared" si="28"/>
        <v>35080</v>
      </c>
      <c r="CP18" s="3274">
        <f t="shared" si="29"/>
        <v>0</v>
      </c>
      <c r="CQ18" s="3283">
        <f t="shared" si="30"/>
        <v>35080</v>
      </c>
      <c r="CR18" s="3284">
        <f>CQ18/$CQ$89</f>
        <v>3.0695120104803036E-3</v>
      </c>
      <c r="CS18" s="1449"/>
      <c r="CT18" s="933"/>
    </row>
    <row r="19" spans="1:98" s="1411" customFormat="1" ht="13.8" x14ac:dyDescent="0.25">
      <c r="A19" s="1586"/>
      <c r="B19" s="3289" t="s">
        <v>53</v>
      </c>
      <c r="C19" s="3288"/>
      <c r="D19" s="3274"/>
      <c r="E19" s="3283">
        <f t="shared" si="20"/>
        <v>0</v>
      </c>
      <c r="F19" s="3284">
        <f t="shared" si="0"/>
        <v>0</v>
      </c>
      <c r="G19" s="1409"/>
      <c r="H19" s="3288"/>
      <c r="I19" s="3274"/>
      <c r="J19" s="3283">
        <f t="shared" si="21"/>
        <v>0</v>
      </c>
      <c r="K19" s="3284">
        <f t="shared" si="2"/>
        <v>0</v>
      </c>
      <c r="L19" s="1409"/>
      <c r="M19" s="3274"/>
      <c r="N19" s="3274"/>
      <c r="O19" s="3283">
        <f t="shared" si="22"/>
        <v>0</v>
      </c>
      <c r="P19" s="3284">
        <f t="shared" si="3"/>
        <v>0</v>
      </c>
      <c r="Q19" s="1409"/>
      <c r="R19" s="3274"/>
      <c r="S19" s="3274"/>
      <c r="T19" s="3283">
        <f t="shared" si="23"/>
        <v>0</v>
      </c>
      <c r="U19" s="3284">
        <f t="shared" si="4"/>
        <v>0</v>
      </c>
      <c r="V19" s="1409"/>
      <c r="W19" s="3274">
        <v>0</v>
      </c>
      <c r="X19" s="3274">
        <v>0</v>
      </c>
      <c r="Y19" s="3283">
        <v>0</v>
      </c>
      <c r="Z19" s="3284">
        <v>0</v>
      </c>
      <c r="AA19" s="1409"/>
      <c r="AB19" s="3274">
        <f t="shared" si="5"/>
        <v>0</v>
      </c>
      <c r="AC19" s="3274">
        <f t="shared" si="5"/>
        <v>0</v>
      </c>
      <c r="AD19" s="3283">
        <f t="shared" si="24"/>
        <v>0</v>
      </c>
      <c r="AE19" s="3284">
        <f t="shared" si="6"/>
        <v>0</v>
      </c>
      <c r="AF19" s="1409"/>
      <c r="AG19" s="3274"/>
      <c r="AH19" s="3274"/>
      <c r="AI19" s="3283">
        <f t="shared" si="25"/>
        <v>0</v>
      </c>
      <c r="AJ19" s="3284">
        <f t="shared" si="7"/>
        <v>0</v>
      </c>
      <c r="AK19" s="1409"/>
      <c r="AL19" s="3274"/>
      <c r="AM19" s="3274"/>
      <c r="AN19" s="3283">
        <f t="shared" si="26"/>
        <v>0</v>
      </c>
      <c r="AO19" s="3284">
        <f t="shared" si="8"/>
        <v>0</v>
      </c>
      <c r="AP19" s="1409"/>
      <c r="AQ19" s="3285"/>
      <c r="AR19" s="3285"/>
      <c r="AS19" s="3286">
        <f t="shared" si="27"/>
        <v>0</v>
      </c>
      <c r="AT19" s="3284">
        <f t="shared" si="9"/>
        <v>0</v>
      </c>
      <c r="AU19" s="1107"/>
      <c r="AV19" s="3285"/>
      <c r="AW19" s="3285"/>
      <c r="AX19" s="3286">
        <f t="shared" si="31"/>
        <v>0</v>
      </c>
      <c r="AY19" s="3284">
        <f t="shared" si="10"/>
        <v>0</v>
      </c>
      <c r="AZ19" s="1107"/>
      <c r="BA19" s="3285"/>
      <c r="BB19" s="3285"/>
      <c r="BC19" s="3286">
        <f t="shared" si="32"/>
        <v>0</v>
      </c>
      <c r="BD19" s="3284">
        <f t="shared" si="11"/>
        <v>0</v>
      </c>
      <c r="BE19" s="1107"/>
      <c r="BF19" s="3285"/>
      <c r="BG19" s="3285"/>
      <c r="BH19" s="3286">
        <f t="shared" si="33"/>
        <v>0</v>
      </c>
      <c r="BI19" s="3284">
        <f t="shared" si="12"/>
        <v>0</v>
      </c>
      <c r="BJ19" s="1107"/>
      <c r="BK19" s="3285"/>
      <c r="BL19" s="3285"/>
      <c r="BM19" s="3286">
        <f t="shared" si="34"/>
        <v>0</v>
      </c>
      <c r="BN19" s="3284">
        <f t="shared" si="13"/>
        <v>0</v>
      </c>
      <c r="BO19" s="1107"/>
      <c r="BP19" s="3285"/>
      <c r="BQ19" s="3285"/>
      <c r="BR19" s="3286">
        <f t="shared" si="35"/>
        <v>0</v>
      </c>
      <c r="BS19" s="3284">
        <f t="shared" si="14"/>
        <v>0</v>
      </c>
      <c r="BT19" s="1107"/>
      <c r="BU19" s="3285"/>
      <c r="BV19" s="3285"/>
      <c r="BW19" s="3286">
        <f t="shared" si="36"/>
        <v>0</v>
      </c>
      <c r="BX19" s="3284">
        <f t="shared" si="15"/>
        <v>0</v>
      </c>
      <c r="BY19" s="1107"/>
      <c r="BZ19" s="3285"/>
      <c r="CA19" s="3285"/>
      <c r="CB19" s="3286">
        <f t="shared" si="37"/>
        <v>0</v>
      </c>
      <c r="CC19" s="3284">
        <f t="shared" si="16"/>
        <v>0</v>
      </c>
      <c r="CD19" s="1107"/>
      <c r="CE19" s="3285"/>
      <c r="CF19" s="3285"/>
      <c r="CG19" s="3286">
        <f t="shared" si="38"/>
        <v>0</v>
      </c>
      <c r="CH19" s="3284">
        <f t="shared" si="17"/>
        <v>0</v>
      </c>
      <c r="CI19" s="1107"/>
      <c r="CJ19" s="3285"/>
      <c r="CK19" s="3285"/>
      <c r="CL19" s="3286">
        <f t="shared" si="39"/>
        <v>0</v>
      </c>
      <c r="CM19" s="3284">
        <f t="shared" si="18"/>
        <v>0</v>
      </c>
      <c r="CN19" s="1107"/>
      <c r="CO19" s="3274">
        <f t="shared" si="28"/>
        <v>0</v>
      </c>
      <c r="CP19" s="3274">
        <f t="shared" si="29"/>
        <v>0</v>
      </c>
      <c r="CQ19" s="3283">
        <f t="shared" si="30"/>
        <v>0</v>
      </c>
      <c r="CR19" s="3284">
        <f t="shared" si="1"/>
        <v>0</v>
      </c>
      <c r="CS19" s="1449"/>
      <c r="CT19" s="933"/>
    </row>
    <row r="20" spans="1:98" s="1411" customFormat="1" ht="13.8" x14ac:dyDescent="0.25">
      <c r="A20" s="1586"/>
      <c r="B20" s="3289" t="s">
        <v>57</v>
      </c>
      <c r="C20" s="3288"/>
      <c r="D20" s="3274"/>
      <c r="E20" s="3283">
        <f t="shared" si="20"/>
        <v>0</v>
      </c>
      <c r="F20" s="3284">
        <f t="shared" si="0"/>
        <v>0</v>
      </c>
      <c r="G20" s="1608"/>
      <c r="H20" s="3288"/>
      <c r="I20" s="3274"/>
      <c r="J20" s="3283">
        <f t="shared" si="21"/>
        <v>0</v>
      </c>
      <c r="K20" s="3284">
        <f t="shared" si="2"/>
        <v>0</v>
      </c>
      <c r="L20" s="1608"/>
      <c r="M20" s="3274"/>
      <c r="N20" s="3274"/>
      <c r="O20" s="3283">
        <f t="shared" si="22"/>
        <v>0</v>
      </c>
      <c r="P20" s="3284">
        <f t="shared" si="3"/>
        <v>0</v>
      </c>
      <c r="Q20" s="1608"/>
      <c r="R20" s="3274"/>
      <c r="S20" s="3274"/>
      <c r="T20" s="3283">
        <f t="shared" si="23"/>
        <v>0</v>
      </c>
      <c r="U20" s="3284">
        <f t="shared" si="4"/>
        <v>0</v>
      </c>
      <c r="V20" s="1608"/>
      <c r="W20" s="3274">
        <v>0</v>
      </c>
      <c r="X20" s="3274">
        <v>0</v>
      </c>
      <c r="Y20" s="3283">
        <v>0</v>
      </c>
      <c r="Z20" s="3284">
        <v>0</v>
      </c>
      <c r="AA20" s="1608"/>
      <c r="AB20" s="3274">
        <f t="shared" si="5"/>
        <v>0</v>
      </c>
      <c r="AC20" s="3274">
        <f t="shared" si="5"/>
        <v>0</v>
      </c>
      <c r="AD20" s="3283">
        <f t="shared" si="24"/>
        <v>0</v>
      </c>
      <c r="AE20" s="3284">
        <f t="shared" si="6"/>
        <v>0</v>
      </c>
      <c r="AF20" s="1608"/>
      <c r="AG20" s="3274"/>
      <c r="AH20" s="3274"/>
      <c r="AI20" s="3283">
        <f t="shared" si="25"/>
        <v>0</v>
      </c>
      <c r="AJ20" s="3284">
        <f t="shared" si="7"/>
        <v>0</v>
      </c>
      <c r="AK20" s="1608"/>
      <c r="AL20" s="3274"/>
      <c r="AM20" s="3274"/>
      <c r="AN20" s="3283">
        <f t="shared" si="26"/>
        <v>0</v>
      </c>
      <c r="AO20" s="3284">
        <f t="shared" si="8"/>
        <v>0</v>
      </c>
      <c r="AP20" s="1608"/>
      <c r="AQ20" s="3285"/>
      <c r="AR20" s="3285"/>
      <c r="AS20" s="3286">
        <f t="shared" si="27"/>
        <v>0</v>
      </c>
      <c r="AT20" s="3284">
        <f t="shared" si="9"/>
        <v>0</v>
      </c>
      <c r="AU20" s="1158"/>
      <c r="AV20" s="3285"/>
      <c r="AW20" s="3285"/>
      <c r="AX20" s="3286">
        <f t="shared" si="31"/>
        <v>0</v>
      </c>
      <c r="AY20" s="3284">
        <f t="shared" si="10"/>
        <v>0</v>
      </c>
      <c r="AZ20" s="1158"/>
      <c r="BA20" s="3285"/>
      <c r="BB20" s="3285"/>
      <c r="BC20" s="3286">
        <f t="shared" si="32"/>
        <v>0</v>
      </c>
      <c r="BD20" s="3284">
        <f t="shared" si="11"/>
        <v>0</v>
      </c>
      <c r="BE20" s="1158"/>
      <c r="BF20" s="3285"/>
      <c r="BG20" s="3285"/>
      <c r="BH20" s="3286">
        <f t="shared" si="33"/>
        <v>0</v>
      </c>
      <c r="BI20" s="3284">
        <f t="shared" si="12"/>
        <v>0</v>
      </c>
      <c r="BJ20" s="1158"/>
      <c r="BK20" s="3285"/>
      <c r="BL20" s="3285"/>
      <c r="BM20" s="3286">
        <f t="shared" si="34"/>
        <v>0</v>
      </c>
      <c r="BN20" s="3284">
        <f t="shared" si="13"/>
        <v>0</v>
      </c>
      <c r="BO20" s="1158"/>
      <c r="BP20" s="3285"/>
      <c r="BQ20" s="3285"/>
      <c r="BR20" s="3286">
        <f t="shared" si="35"/>
        <v>0</v>
      </c>
      <c r="BS20" s="3284">
        <f t="shared" si="14"/>
        <v>0</v>
      </c>
      <c r="BT20" s="1158"/>
      <c r="BU20" s="3285"/>
      <c r="BV20" s="3285"/>
      <c r="BW20" s="3286">
        <f t="shared" si="36"/>
        <v>0</v>
      </c>
      <c r="BX20" s="3284">
        <f t="shared" si="15"/>
        <v>0</v>
      </c>
      <c r="BY20" s="1158"/>
      <c r="BZ20" s="3285"/>
      <c r="CA20" s="3285"/>
      <c r="CB20" s="3286">
        <f t="shared" si="37"/>
        <v>0</v>
      </c>
      <c r="CC20" s="3284">
        <f t="shared" si="16"/>
        <v>0</v>
      </c>
      <c r="CD20" s="1158"/>
      <c r="CE20" s="3285"/>
      <c r="CF20" s="3285"/>
      <c r="CG20" s="3286">
        <f t="shared" si="38"/>
        <v>0</v>
      </c>
      <c r="CH20" s="3284">
        <f t="shared" si="17"/>
        <v>0</v>
      </c>
      <c r="CI20" s="1158"/>
      <c r="CJ20" s="3285"/>
      <c r="CK20" s="3285"/>
      <c r="CL20" s="3286">
        <f t="shared" si="39"/>
        <v>0</v>
      </c>
      <c r="CM20" s="3284">
        <f t="shared" si="18"/>
        <v>0</v>
      </c>
      <c r="CN20" s="1158"/>
      <c r="CO20" s="3274">
        <f t="shared" si="28"/>
        <v>0</v>
      </c>
      <c r="CP20" s="3274">
        <f t="shared" si="29"/>
        <v>0</v>
      </c>
      <c r="CQ20" s="3283">
        <f t="shared" si="30"/>
        <v>0</v>
      </c>
      <c r="CR20" s="3284">
        <f t="shared" si="1"/>
        <v>0</v>
      </c>
      <c r="CS20" s="1449"/>
      <c r="CT20" s="933"/>
    </row>
    <row r="21" spans="1:98" s="1411" customFormat="1" ht="13.8" x14ac:dyDescent="0.25">
      <c r="A21" s="1586"/>
      <c r="B21" s="3289" t="s">
        <v>58</v>
      </c>
      <c r="C21" s="3288"/>
      <c r="D21" s="3274"/>
      <c r="E21" s="3283">
        <f t="shared" si="20"/>
        <v>0</v>
      </c>
      <c r="F21" s="3284">
        <f t="shared" si="0"/>
        <v>0</v>
      </c>
      <c r="G21" s="1608"/>
      <c r="H21" s="3288"/>
      <c r="I21" s="3274"/>
      <c r="J21" s="3283">
        <f t="shared" si="21"/>
        <v>0</v>
      </c>
      <c r="K21" s="3284">
        <f t="shared" si="2"/>
        <v>0</v>
      </c>
      <c r="L21" s="1608"/>
      <c r="M21" s="3274"/>
      <c r="N21" s="3274"/>
      <c r="O21" s="3283">
        <f t="shared" si="22"/>
        <v>0</v>
      </c>
      <c r="P21" s="3284">
        <f t="shared" si="3"/>
        <v>0</v>
      </c>
      <c r="Q21" s="1608"/>
      <c r="R21" s="3274"/>
      <c r="S21" s="3274"/>
      <c r="T21" s="3283">
        <f t="shared" si="23"/>
        <v>0</v>
      </c>
      <c r="U21" s="3284">
        <f t="shared" si="4"/>
        <v>0</v>
      </c>
      <c r="V21" s="1608"/>
      <c r="W21" s="3274">
        <v>0</v>
      </c>
      <c r="X21" s="3274">
        <v>0</v>
      </c>
      <c r="Y21" s="3283">
        <v>0</v>
      </c>
      <c r="Z21" s="3284">
        <v>0</v>
      </c>
      <c r="AA21" s="1608"/>
      <c r="AB21" s="3274">
        <f t="shared" si="5"/>
        <v>0</v>
      </c>
      <c r="AC21" s="3274">
        <f t="shared" si="5"/>
        <v>0</v>
      </c>
      <c r="AD21" s="3283">
        <f t="shared" si="24"/>
        <v>0</v>
      </c>
      <c r="AE21" s="3284">
        <f t="shared" si="6"/>
        <v>0</v>
      </c>
      <c r="AF21" s="1608"/>
      <c r="AG21" s="3274"/>
      <c r="AH21" s="3274"/>
      <c r="AI21" s="3283">
        <f t="shared" si="25"/>
        <v>0</v>
      </c>
      <c r="AJ21" s="3284">
        <f t="shared" si="7"/>
        <v>0</v>
      </c>
      <c r="AK21" s="1608"/>
      <c r="AL21" s="3274"/>
      <c r="AM21" s="3274"/>
      <c r="AN21" s="3283">
        <f t="shared" si="26"/>
        <v>0</v>
      </c>
      <c r="AO21" s="3284">
        <f t="shared" si="8"/>
        <v>0</v>
      </c>
      <c r="AP21" s="1608"/>
      <c r="AQ21" s="3285"/>
      <c r="AR21" s="3285"/>
      <c r="AS21" s="3286">
        <f t="shared" si="27"/>
        <v>0</v>
      </c>
      <c r="AT21" s="3284">
        <f t="shared" si="9"/>
        <v>0</v>
      </c>
      <c r="AU21" s="1158"/>
      <c r="AV21" s="3285"/>
      <c r="AW21" s="3285"/>
      <c r="AX21" s="3286">
        <f t="shared" si="31"/>
        <v>0</v>
      </c>
      <c r="AY21" s="3284">
        <f t="shared" si="10"/>
        <v>0</v>
      </c>
      <c r="AZ21" s="1158"/>
      <c r="BA21" s="3285"/>
      <c r="BB21" s="3285"/>
      <c r="BC21" s="3286">
        <f t="shared" si="32"/>
        <v>0</v>
      </c>
      <c r="BD21" s="3284">
        <f t="shared" si="11"/>
        <v>0</v>
      </c>
      <c r="BE21" s="1158"/>
      <c r="BF21" s="3285"/>
      <c r="BG21" s="3285"/>
      <c r="BH21" s="3286">
        <f t="shared" si="33"/>
        <v>0</v>
      </c>
      <c r="BI21" s="3284">
        <f t="shared" si="12"/>
        <v>0</v>
      </c>
      <c r="BJ21" s="1158"/>
      <c r="BK21" s="3285"/>
      <c r="BL21" s="3285"/>
      <c r="BM21" s="3286">
        <f t="shared" si="34"/>
        <v>0</v>
      </c>
      <c r="BN21" s="3284">
        <f t="shared" si="13"/>
        <v>0</v>
      </c>
      <c r="BO21" s="1158"/>
      <c r="BP21" s="3285"/>
      <c r="BQ21" s="3285"/>
      <c r="BR21" s="3286">
        <f t="shared" si="35"/>
        <v>0</v>
      </c>
      <c r="BS21" s="3284">
        <f t="shared" si="14"/>
        <v>0</v>
      </c>
      <c r="BT21" s="1158"/>
      <c r="BU21" s="3285"/>
      <c r="BV21" s="3285"/>
      <c r="BW21" s="3286">
        <f t="shared" si="36"/>
        <v>0</v>
      </c>
      <c r="BX21" s="3284">
        <f t="shared" si="15"/>
        <v>0</v>
      </c>
      <c r="BY21" s="1158"/>
      <c r="BZ21" s="3285"/>
      <c r="CA21" s="3285"/>
      <c r="CB21" s="3286">
        <f t="shared" si="37"/>
        <v>0</v>
      </c>
      <c r="CC21" s="3284">
        <f t="shared" si="16"/>
        <v>0</v>
      </c>
      <c r="CD21" s="1158"/>
      <c r="CE21" s="3285"/>
      <c r="CF21" s="3285"/>
      <c r="CG21" s="3286">
        <f t="shared" si="38"/>
        <v>0</v>
      </c>
      <c r="CH21" s="3284">
        <f t="shared" si="17"/>
        <v>0</v>
      </c>
      <c r="CI21" s="1158"/>
      <c r="CJ21" s="3285"/>
      <c r="CK21" s="3285"/>
      <c r="CL21" s="3286">
        <f t="shared" si="39"/>
        <v>0</v>
      </c>
      <c r="CM21" s="3284">
        <f t="shared" si="18"/>
        <v>0</v>
      </c>
      <c r="CN21" s="1158"/>
      <c r="CO21" s="3274">
        <f t="shared" si="28"/>
        <v>0</v>
      </c>
      <c r="CP21" s="3274">
        <f t="shared" si="29"/>
        <v>0</v>
      </c>
      <c r="CQ21" s="3283">
        <f t="shared" si="30"/>
        <v>0</v>
      </c>
      <c r="CR21" s="3284">
        <f t="shared" si="1"/>
        <v>0</v>
      </c>
      <c r="CS21" s="1449"/>
      <c r="CT21" s="933"/>
    </row>
    <row r="22" spans="1:98" s="1411" customFormat="1" ht="13.8" x14ac:dyDescent="0.25">
      <c r="A22" s="1586"/>
      <c r="B22" s="3289" t="s">
        <v>621</v>
      </c>
      <c r="C22" s="3288"/>
      <c r="D22" s="3274"/>
      <c r="E22" s="3283">
        <f t="shared" si="20"/>
        <v>0</v>
      </c>
      <c r="F22" s="3284">
        <f t="shared" si="0"/>
        <v>0</v>
      </c>
      <c r="G22" s="1608"/>
      <c r="H22" s="3288"/>
      <c r="I22" s="3274"/>
      <c r="J22" s="3283"/>
      <c r="K22" s="3284">
        <f t="shared" si="2"/>
        <v>0</v>
      </c>
      <c r="L22" s="1608"/>
      <c r="M22" s="3274"/>
      <c r="N22" s="3274"/>
      <c r="O22" s="3283"/>
      <c r="P22" s="3284">
        <f t="shared" si="3"/>
        <v>0</v>
      </c>
      <c r="Q22" s="1608"/>
      <c r="R22" s="3274"/>
      <c r="S22" s="3274"/>
      <c r="T22" s="3283"/>
      <c r="U22" s="3284">
        <f t="shared" si="4"/>
        <v>0</v>
      </c>
      <c r="V22" s="1608"/>
      <c r="W22" s="3274">
        <v>0</v>
      </c>
      <c r="X22" s="3274">
        <v>0</v>
      </c>
      <c r="Y22" s="3283"/>
      <c r="Z22" s="3284">
        <v>0</v>
      </c>
      <c r="AA22" s="1608"/>
      <c r="AB22" s="3274">
        <f t="shared" si="5"/>
        <v>0</v>
      </c>
      <c r="AC22" s="3274">
        <f t="shared" si="5"/>
        <v>0</v>
      </c>
      <c r="AD22" s="3283"/>
      <c r="AE22" s="3284">
        <f t="shared" si="6"/>
        <v>0</v>
      </c>
      <c r="AF22" s="1608"/>
      <c r="AG22" s="3274"/>
      <c r="AH22" s="3274"/>
      <c r="AI22" s="3283"/>
      <c r="AJ22" s="3284">
        <f t="shared" si="7"/>
        <v>0</v>
      </c>
      <c r="AK22" s="1608"/>
      <c r="AL22" s="3274"/>
      <c r="AM22" s="3274"/>
      <c r="AN22" s="3283">
        <f t="shared" si="26"/>
        <v>0</v>
      </c>
      <c r="AO22" s="3284">
        <f t="shared" si="8"/>
        <v>0</v>
      </c>
      <c r="AP22" s="1608"/>
      <c r="AQ22" s="3285"/>
      <c r="AR22" s="3285"/>
      <c r="AS22" s="3286">
        <f t="shared" si="27"/>
        <v>0</v>
      </c>
      <c r="AT22" s="3284">
        <f t="shared" si="9"/>
        <v>0</v>
      </c>
      <c r="AU22" s="1158"/>
      <c r="AV22" s="3285"/>
      <c r="AW22" s="3285"/>
      <c r="AX22" s="3286">
        <f t="shared" si="31"/>
        <v>0</v>
      </c>
      <c r="AY22" s="3284">
        <f t="shared" si="10"/>
        <v>0</v>
      </c>
      <c r="AZ22" s="1158"/>
      <c r="BA22" s="3285"/>
      <c r="BB22" s="3285"/>
      <c r="BC22" s="3286">
        <f t="shared" si="32"/>
        <v>0</v>
      </c>
      <c r="BD22" s="3284">
        <f t="shared" si="11"/>
        <v>0</v>
      </c>
      <c r="BE22" s="1158"/>
      <c r="BF22" s="3285"/>
      <c r="BG22" s="3285"/>
      <c r="BH22" s="3286">
        <f t="shared" si="33"/>
        <v>0</v>
      </c>
      <c r="BI22" s="3284">
        <f t="shared" si="12"/>
        <v>0</v>
      </c>
      <c r="BJ22" s="1158"/>
      <c r="BK22" s="3285"/>
      <c r="BL22" s="3285"/>
      <c r="BM22" s="3286">
        <f t="shared" si="34"/>
        <v>0</v>
      </c>
      <c r="BN22" s="3284">
        <f t="shared" si="13"/>
        <v>0</v>
      </c>
      <c r="BO22" s="1158"/>
      <c r="BP22" s="3285"/>
      <c r="BQ22" s="3285"/>
      <c r="BR22" s="3286">
        <f t="shared" si="35"/>
        <v>0</v>
      </c>
      <c r="BS22" s="3284">
        <f t="shared" si="14"/>
        <v>0</v>
      </c>
      <c r="BT22" s="1158"/>
      <c r="BU22" s="3285"/>
      <c r="BV22" s="3285"/>
      <c r="BW22" s="3286">
        <f t="shared" si="36"/>
        <v>0</v>
      </c>
      <c r="BX22" s="3284">
        <f t="shared" si="15"/>
        <v>0</v>
      </c>
      <c r="BY22" s="1158"/>
      <c r="BZ22" s="3285"/>
      <c r="CA22" s="3285"/>
      <c r="CB22" s="3286">
        <f t="shared" si="37"/>
        <v>0</v>
      </c>
      <c r="CC22" s="3284">
        <f t="shared" si="16"/>
        <v>0</v>
      </c>
      <c r="CD22" s="1158"/>
      <c r="CE22" s="3285"/>
      <c r="CF22" s="3285"/>
      <c r="CG22" s="3286">
        <f t="shared" si="38"/>
        <v>0</v>
      </c>
      <c r="CH22" s="3284">
        <f t="shared" si="17"/>
        <v>0</v>
      </c>
      <c r="CI22" s="1158"/>
      <c r="CJ22" s="3285"/>
      <c r="CK22" s="3285"/>
      <c r="CL22" s="3286">
        <f t="shared" si="39"/>
        <v>0</v>
      </c>
      <c r="CM22" s="3284">
        <f t="shared" si="18"/>
        <v>0</v>
      </c>
      <c r="CN22" s="1158"/>
      <c r="CO22" s="3274">
        <f t="shared" si="28"/>
        <v>0</v>
      </c>
      <c r="CP22" s="3274">
        <f t="shared" si="29"/>
        <v>0</v>
      </c>
      <c r="CQ22" s="3283"/>
      <c r="CR22" s="3284"/>
      <c r="CS22" s="1449"/>
      <c r="CT22" s="933"/>
    </row>
    <row r="23" spans="1:98" s="1411" customFormat="1" ht="13.8" x14ac:dyDescent="0.25">
      <c r="A23" s="1586"/>
      <c r="B23" s="3289" t="s">
        <v>630</v>
      </c>
      <c r="C23" s="3288"/>
      <c r="D23" s="3274"/>
      <c r="E23" s="3283">
        <f t="shared" si="20"/>
        <v>0</v>
      </c>
      <c r="F23" s="3284">
        <f t="shared" si="0"/>
        <v>0</v>
      </c>
      <c r="G23" s="1608"/>
      <c r="H23" s="3288"/>
      <c r="I23" s="3274"/>
      <c r="J23" s="3283"/>
      <c r="K23" s="3284">
        <f t="shared" si="2"/>
        <v>0</v>
      </c>
      <c r="L23" s="1608"/>
      <c r="M23" s="3274"/>
      <c r="N23" s="3274"/>
      <c r="O23" s="3283"/>
      <c r="P23" s="3284">
        <f t="shared" si="3"/>
        <v>0</v>
      </c>
      <c r="Q23" s="1608"/>
      <c r="R23" s="3274"/>
      <c r="S23" s="3274"/>
      <c r="T23" s="3283"/>
      <c r="U23" s="3284">
        <f t="shared" si="4"/>
        <v>0</v>
      </c>
      <c r="V23" s="1608"/>
      <c r="W23" s="3274">
        <v>0</v>
      </c>
      <c r="X23" s="3274">
        <v>0</v>
      </c>
      <c r="Y23" s="3283"/>
      <c r="Z23" s="3284">
        <v>0</v>
      </c>
      <c r="AA23" s="1608"/>
      <c r="AB23" s="3274">
        <f t="shared" si="5"/>
        <v>0</v>
      </c>
      <c r="AC23" s="3274">
        <f t="shared" si="5"/>
        <v>0</v>
      </c>
      <c r="AD23" s="3283"/>
      <c r="AE23" s="3284">
        <f t="shared" si="6"/>
        <v>0</v>
      </c>
      <c r="AF23" s="1608"/>
      <c r="AG23" s="3274"/>
      <c r="AH23" s="3274"/>
      <c r="AI23" s="3283"/>
      <c r="AJ23" s="3284">
        <f t="shared" si="7"/>
        <v>0</v>
      </c>
      <c r="AK23" s="1608"/>
      <c r="AL23" s="3274"/>
      <c r="AM23" s="3274"/>
      <c r="AN23" s="3283">
        <f t="shared" si="26"/>
        <v>0</v>
      </c>
      <c r="AO23" s="3284">
        <f t="shared" si="8"/>
        <v>0</v>
      </c>
      <c r="AP23" s="3276"/>
      <c r="AQ23" s="3285"/>
      <c r="AR23" s="3285"/>
      <c r="AS23" s="3286">
        <f t="shared" si="27"/>
        <v>0</v>
      </c>
      <c r="AT23" s="3284">
        <f t="shared" si="9"/>
        <v>0</v>
      </c>
      <c r="AU23" s="3291"/>
      <c r="AV23" s="3285"/>
      <c r="AW23" s="3285"/>
      <c r="AX23" s="3286">
        <f t="shared" si="31"/>
        <v>0</v>
      </c>
      <c r="AY23" s="3284">
        <f t="shared" si="10"/>
        <v>0</v>
      </c>
      <c r="AZ23" s="3291"/>
      <c r="BA23" s="3285"/>
      <c r="BB23" s="3285"/>
      <c r="BC23" s="3286">
        <f t="shared" si="32"/>
        <v>0</v>
      </c>
      <c r="BD23" s="3284">
        <f t="shared" si="11"/>
        <v>0</v>
      </c>
      <c r="BE23" s="3291"/>
      <c r="BF23" s="3285"/>
      <c r="BG23" s="3285"/>
      <c r="BH23" s="3286">
        <f t="shared" si="33"/>
        <v>0</v>
      </c>
      <c r="BI23" s="3284">
        <f t="shared" si="12"/>
        <v>0</v>
      </c>
      <c r="BJ23" s="3291"/>
      <c r="BK23" s="3285"/>
      <c r="BL23" s="3285"/>
      <c r="BM23" s="3286">
        <f t="shared" si="34"/>
        <v>0</v>
      </c>
      <c r="BN23" s="3284">
        <f t="shared" si="13"/>
        <v>0</v>
      </c>
      <c r="BO23" s="3291"/>
      <c r="BP23" s="3285"/>
      <c r="BQ23" s="3285"/>
      <c r="BR23" s="3286">
        <f t="shared" si="35"/>
        <v>0</v>
      </c>
      <c r="BS23" s="3284">
        <f t="shared" si="14"/>
        <v>0</v>
      </c>
      <c r="BT23" s="3291"/>
      <c r="BU23" s="3285"/>
      <c r="BV23" s="3285"/>
      <c r="BW23" s="3286">
        <f t="shared" si="36"/>
        <v>0</v>
      </c>
      <c r="BX23" s="3284">
        <f t="shared" si="15"/>
        <v>0</v>
      </c>
      <c r="BY23" s="3291"/>
      <c r="BZ23" s="3285"/>
      <c r="CA23" s="3285"/>
      <c r="CB23" s="3286">
        <f t="shared" si="37"/>
        <v>0</v>
      </c>
      <c r="CC23" s="3284">
        <f t="shared" si="16"/>
        <v>0</v>
      </c>
      <c r="CD23" s="3291"/>
      <c r="CE23" s="3285"/>
      <c r="CF23" s="3285"/>
      <c r="CG23" s="3286">
        <f t="shared" si="38"/>
        <v>0</v>
      </c>
      <c r="CH23" s="3284">
        <f t="shared" si="17"/>
        <v>0</v>
      </c>
      <c r="CI23" s="3291"/>
      <c r="CJ23" s="3285"/>
      <c r="CK23" s="3285"/>
      <c r="CL23" s="3286">
        <f t="shared" si="39"/>
        <v>0</v>
      </c>
      <c r="CM23" s="3284">
        <f t="shared" si="18"/>
        <v>0</v>
      </c>
      <c r="CN23" s="3291"/>
      <c r="CO23" s="3274">
        <f t="shared" si="28"/>
        <v>0</v>
      </c>
      <c r="CP23" s="3274">
        <f t="shared" si="29"/>
        <v>0</v>
      </c>
      <c r="CQ23" s="3283"/>
      <c r="CR23" s="3284"/>
      <c r="CS23" s="1449"/>
      <c r="CT23" s="933"/>
    </row>
    <row r="24" spans="1:98" s="1411" customFormat="1" ht="27.6" x14ac:dyDescent="0.25">
      <c r="A24" s="1586"/>
      <c r="B24" s="3289" t="s">
        <v>23</v>
      </c>
      <c r="C24" s="3288">
        <v>56600</v>
      </c>
      <c r="D24" s="3274"/>
      <c r="E24" s="3283">
        <f t="shared" si="20"/>
        <v>56600</v>
      </c>
      <c r="F24" s="3284">
        <f t="shared" si="0"/>
        <v>0.12324346050438628</v>
      </c>
      <c r="G24" s="3275" t="s">
        <v>1276</v>
      </c>
      <c r="H24" s="3288">
        <f>15000+15000+15500</f>
        <v>45500</v>
      </c>
      <c r="I24" s="3274"/>
      <c r="J24" s="3283">
        <f t="shared" ref="J24:J33" si="40">H24+I24*1</f>
        <v>45500</v>
      </c>
      <c r="K24" s="3284">
        <f t="shared" si="2"/>
        <v>0.31627498781695107</v>
      </c>
      <c r="L24" s="3275"/>
      <c r="M24" s="3274"/>
      <c r="N24" s="3274">
        <v>4250</v>
      </c>
      <c r="O24" s="3283">
        <f t="shared" ref="O24:O33" si="41">M24+N24*1</f>
        <v>4250</v>
      </c>
      <c r="P24" s="3284">
        <f t="shared" si="3"/>
        <v>6.6280359406533382E-4</v>
      </c>
      <c r="Q24" s="3276" t="s">
        <v>1398</v>
      </c>
      <c r="R24" s="3274">
        <f>2400+574955.89+3154650+208459.7</f>
        <v>3940465.5900000003</v>
      </c>
      <c r="S24" s="3274"/>
      <c r="T24" s="3283">
        <f t="shared" ref="T24:T33" si="42">R24+S24*1</f>
        <v>3940465.5900000003</v>
      </c>
      <c r="U24" s="3284">
        <f t="shared" si="4"/>
        <v>0.61453053066888863</v>
      </c>
      <c r="V24" s="3276" t="s">
        <v>1577</v>
      </c>
      <c r="W24" s="3274">
        <v>106180.7</v>
      </c>
      <c r="X24" s="3274">
        <v>0</v>
      </c>
      <c r="Y24" s="3283">
        <v>106180.7</v>
      </c>
      <c r="Z24" s="3284">
        <v>1.6559282254205412E-2</v>
      </c>
      <c r="AA24" s="3276"/>
      <c r="AB24" s="3274">
        <f t="shared" si="5"/>
        <v>0</v>
      </c>
      <c r="AC24" s="3274">
        <f t="shared" si="5"/>
        <v>0</v>
      </c>
      <c r="AD24" s="3283">
        <f t="shared" ref="AD24:AD33" si="43">AB24+AC24*1</f>
        <v>0</v>
      </c>
      <c r="AE24" s="3284">
        <f t="shared" si="6"/>
        <v>0</v>
      </c>
      <c r="AF24" s="3276"/>
      <c r="AG24" s="3274"/>
      <c r="AH24" s="3274"/>
      <c r="AI24" s="3283">
        <f t="shared" ref="AI24:AI33" si="44">AG24+AH24*1</f>
        <v>0</v>
      </c>
      <c r="AJ24" s="3284">
        <f t="shared" si="7"/>
        <v>0</v>
      </c>
      <c r="AK24" s="3276"/>
      <c r="AL24" s="3274"/>
      <c r="AM24" s="3274"/>
      <c r="AN24" s="3283">
        <f t="shared" si="26"/>
        <v>0</v>
      </c>
      <c r="AO24" s="3284">
        <f t="shared" si="8"/>
        <v>0</v>
      </c>
      <c r="AP24" s="3276"/>
      <c r="AQ24" s="3285"/>
      <c r="AR24" s="3285"/>
      <c r="AS24" s="3286">
        <f t="shared" si="27"/>
        <v>0</v>
      </c>
      <c r="AT24" s="3284">
        <f t="shared" si="9"/>
        <v>0</v>
      </c>
      <c r="AU24" s="3291"/>
      <c r="AV24" s="3285"/>
      <c r="AW24" s="3285"/>
      <c r="AX24" s="3286">
        <f t="shared" si="31"/>
        <v>0</v>
      </c>
      <c r="AY24" s="3284">
        <f t="shared" si="10"/>
        <v>0</v>
      </c>
      <c r="AZ24" s="3291"/>
      <c r="BA24" s="3285"/>
      <c r="BB24" s="3285"/>
      <c r="BC24" s="3286">
        <f t="shared" si="32"/>
        <v>0</v>
      </c>
      <c r="BD24" s="3284">
        <f t="shared" si="11"/>
        <v>0</v>
      </c>
      <c r="BE24" s="3291"/>
      <c r="BF24" s="3285"/>
      <c r="BG24" s="3285"/>
      <c r="BH24" s="3286">
        <f t="shared" si="33"/>
        <v>0</v>
      </c>
      <c r="BI24" s="3284">
        <f t="shared" si="12"/>
        <v>0</v>
      </c>
      <c r="BJ24" s="3291"/>
      <c r="BK24" s="3285"/>
      <c r="BL24" s="3285"/>
      <c r="BM24" s="3286">
        <f t="shared" si="34"/>
        <v>0</v>
      </c>
      <c r="BN24" s="3284">
        <f t="shared" si="13"/>
        <v>0</v>
      </c>
      <c r="BO24" s="3291"/>
      <c r="BP24" s="3285"/>
      <c r="BQ24" s="3285"/>
      <c r="BR24" s="3286">
        <f t="shared" si="35"/>
        <v>0</v>
      </c>
      <c r="BS24" s="3284">
        <f t="shared" si="14"/>
        <v>0</v>
      </c>
      <c r="BT24" s="3291"/>
      <c r="BU24" s="3285"/>
      <c r="BV24" s="3285"/>
      <c r="BW24" s="3286">
        <f t="shared" si="36"/>
        <v>0</v>
      </c>
      <c r="BX24" s="3284">
        <f t="shared" si="15"/>
        <v>0</v>
      </c>
      <c r="BY24" s="3291"/>
      <c r="BZ24" s="3285"/>
      <c r="CA24" s="3285"/>
      <c r="CB24" s="3286">
        <f t="shared" si="37"/>
        <v>0</v>
      </c>
      <c r="CC24" s="3284">
        <f t="shared" si="16"/>
        <v>0</v>
      </c>
      <c r="CD24" s="3291"/>
      <c r="CE24" s="3285"/>
      <c r="CF24" s="3285"/>
      <c r="CG24" s="3286">
        <f t="shared" si="38"/>
        <v>0</v>
      </c>
      <c r="CH24" s="3284">
        <f t="shared" si="17"/>
        <v>0</v>
      </c>
      <c r="CI24" s="3291"/>
      <c r="CJ24" s="3285"/>
      <c r="CK24" s="3285"/>
      <c r="CL24" s="3286">
        <f t="shared" si="39"/>
        <v>0</v>
      </c>
      <c r="CM24" s="3284">
        <f t="shared" si="18"/>
        <v>0</v>
      </c>
      <c r="CN24" s="3291"/>
      <c r="CO24" s="3274">
        <f t="shared" si="28"/>
        <v>4148746.2900000005</v>
      </c>
      <c r="CP24" s="3274">
        <f t="shared" si="29"/>
        <v>4250</v>
      </c>
      <c r="CQ24" s="3283">
        <f t="shared" si="30"/>
        <v>4152996.2900000005</v>
      </c>
      <c r="CR24" s="3284">
        <f t="shared" ref="CR24:CR33" si="45">CQ24/$CQ$89</f>
        <v>0.36338859725299727</v>
      </c>
      <c r="CS24" s="1449"/>
      <c r="CT24" s="933"/>
    </row>
    <row r="25" spans="1:98" s="1411" customFormat="1" ht="13.8" x14ac:dyDescent="0.25">
      <c r="A25" s="1586"/>
      <c r="B25" s="3289" t="s">
        <v>24</v>
      </c>
      <c r="C25" s="3288"/>
      <c r="D25" s="3274"/>
      <c r="E25" s="3283">
        <f t="shared" si="20"/>
        <v>0</v>
      </c>
      <c r="F25" s="3284">
        <f t="shared" si="0"/>
        <v>0</v>
      </c>
      <c r="G25" s="1376"/>
      <c r="H25" s="3288"/>
      <c r="I25" s="3274"/>
      <c r="J25" s="3283">
        <f t="shared" si="40"/>
        <v>0</v>
      </c>
      <c r="K25" s="3284">
        <f t="shared" si="2"/>
        <v>0</v>
      </c>
      <c r="L25" s="1376"/>
      <c r="M25" s="3274"/>
      <c r="N25" s="3274"/>
      <c r="O25" s="3283">
        <f t="shared" si="41"/>
        <v>0</v>
      </c>
      <c r="P25" s="3284">
        <f t="shared" si="3"/>
        <v>0</v>
      </c>
      <c r="Q25" s="1376"/>
      <c r="R25" s="3274"/>
      <c r="S25" s="3274"/>
      <c r="T25" s="3283">
        <f t="shared" si="42"/>
        <v>0</v>
      </c>
      <c r="U25" s="3284">
        <f t="shared" si="4"/>
        <v>0</v>
      </c>
      <c r="V25" s="1376"/>
      <c r="W25" s="3274">
        <v>7018</v>
      </c>
      <c r="X25" s="3274">
        <v>0</v>
      </c>
      <c r="Y25" s="3283">
        <v>7018</v>
      </c>
      <c r="Z25" s="3284">
        <v>1.0944836760354148E-3</v>
      </c>
      <c r="AA25" s="1376"/>
      <c r="AB25" s="3274">
        <f t="shared" si="5"/>
        <v>0</v>
      </c>
      <c r="AC25" s="3274">
        <f t="shared" si="5"/>
        <v>0</v>
      </c>
      <c r="AD25" s="3283">
        <f t="shared" si="43"/>
        <v>0</v>
      </c>
      <c r="AE25" s="3284">
        <f t="shared" si="6"/>
        <v>0</v>
      </c>
      <c r="AF25" s="1376"/>
      <c r="AG25" s="3274"/>
      <c r="AH25" s="3274"/>
      <c r="AI25" s="3283">
        <f t="shared" si="44"/>
        <v>0</v>
      </c>
      <c r="AJ25" s="3284">
        <f t="shared" si="7"/>
        <v>0</v>
      </c>
      <c r="AK25" s="3276"/>
      <c r="AL25" s="3274"/>
      <c r="AM25" s="3274"/>
      <c r="AN25" s="3283">
        <f t="shared" si="26"/>
        <v>0</v>
      </c>
      <c r="AO25" s="3284">
        <f t="shared" si="8"/>
        <v>0</v>
      </c>
      <c r="AP25" s="3276"/>
      <c r="AQ25" s="3285"/>
      <c r="AR25" s="3285"/>
      <c r="AS25" s="3286">
        <f t="shared" si="27"/>
        <v>0</v>
      </c>
      <c r="AT25" s="3284">
        <f t="shared" si="9"/>
        <v>0</v>
      </c>
      <c r="AU25" s="3291"/>
      <c r="AV25" s="3285"/>
      <c r="AW25" s="3285"/>
      <c r="AX25" s="3286">
        <f t="shared" si="31"/>
        <v>0</v>
      </c>
      <c r="AY25" s="3284">
        <f t="shared" si="10"/>
        <v>0</v>
      </c>
      <c r="AZ25" s="3291"/>
      <c r="BA25" s="3285"/>
      <c r="BB25" s="3285"/>
      <c r="BC25" s="3286">
        <f t="shared" si="32"/>
        <v>0</v>
      </c>
      <c r="BD25" s="3284">
        <f t="shared" si="11"/>
        <v>0</v>
      </c>
      <c r="BE25" s="3291"/>
      <c r="BF25" s="3285"/>
      <c r="BG25" s="3285"/>
      <c r="BH25" s="3286">
        <f t="shared" si="33"/>
        <v>0</v>
      </c>
      <c r="BI25" s="3284">
        <f t="shared" si="12"/>
        <v>0</v>
      </c>
      <c r="BJ25" s="3291"/>
      <c r="BK25" s="3285"/>
      <c r="BL25" s="3285"/>
      <c r="BM25" s="3286">
        <f t="shared" si="34"/>
        <v>0</v>
      </c>
      <c r="BN25" s="3284">
        <f t="shared" si="13"/>
        <v>0</v>
      </c>
      <c r="BO25" s="3291"/>
      <c r="BP25" s="3285"/>
      <c r="BQ25" s="3285"/>
      <c r="BR25" s="3286">
        <f t="shared" si="35"/>
        <v>0</v>
      </c>
      <c r="BS25" s="3284">
        <f t="shared" si="14"/>
        <v>0</v>
      </c>
      <c r="BT25" s="3291"/>
      <c r="BU25" s="3285"/>
      <c r="BV25" s="3285"/>
      <c r="BW25" s="3286">
        <f t="shared" si="36"/>
        <v>0</v>
      </c>
      <c r="BX25" s="3284">
        <f t="shared" si="15"/>
        <v>0</v>
      </c>
      <c r="BY25" s="3291"/>
      <c r="BZ25" s="3285"/>
      <c r="CA25" s="3285"/>
      <c r="CB25" s="3286">
        <f t="shared" si="37"/>
        <v>0</v>
      </c>
      <c r="CC25" s="3284">
        <f t="shared" si="16"/>
        <v>0</v>
      </c>
      <c r="CD25" s="3291"/>
      <c r="CE25" s="3285"/>
      <c r="CF25" s="3285"/>
      <c r="CG25" s="3286">
        <f t="shared" si="38"/>
        <v>0</v>
      </c>
      <c r="CH25" s="3284">
        <f t="shared" si="17"/>
        <v>0</v>
      </c>
      <c r="CI25" s="3291"/>
      <c r="CJ25" s="3285"/>
      <c r="CK25" s="3285"/>
      <c r="CL25" s="3286">
        <f t="shared" si="39"/>
        <v>0</v>
      </c>
      <c r="CM25" s="3284">
        <f t="shared" si="18"/>
        <v>0</v>
      </c>
      <c r="CN25" s="3291"/>
      <c r="CO25" s="3274">
        <f t="shared" si="28"/>
        <v>7018</v>
      </c>
      <c r="CP25" s="3274">
        <f t="shared" si="29"/>
        <v>0</v>
      </c>
      <c r="CQ25" s="3283">
        <f t="shared" si="30"/>
        <v>7018</v>
      </c>
      <c r="CR25" s="3284">
        <f t="shared" si="45"/>
        <v>6.140774027808088E-4</v>
      </c>
      <c r="CS25" s="1449"/>
      <c r="CT25" s="933"/>
    </row>
    <row r="26" spans="1:98" s="1411" customFormat="1" ht="13.8" x14ac:dyDescent="0.25">
      <c r="A26" s="1586"/>
      <c r="B26" s="3289" t="s">
        <v>45</v>
      </c>
      <c r="C26" s="3288"/>
      <c r="D26" s="3274"/>
      <c r="E26" s="3283">
        <f t="shared" si="20"/>
        <v>0</v>
      </c>
      <c r="F26" s="3284">
        <f t="shared" si="0"/>
        <v>0</v>
      </c>
      <c r="G26" s="1608"/>
      <c r="H26" s="3288"/>
      <c r="I26" s="3274"/>
      <c r="J26" s="3283">
        <f t="shared" si="40"/>
        <v>0</v>
      </c>
      <c r="K26" s="3284">
        <f t="shared" si="2"/>
        <v>0</v>
      </c>
      <c r="L26" s="1608"/>
      <c r="M26" s="3274"/>
      <c r="N26" s="3274"/>
      <c r="O26" s="3283">
        <f t="shared" si="41"/>
        <v>0</v>
      </c>
      <c r="P26" s="3284">
        <f t="shared" si="3"/>
        <v>0</v>
      </c>
      <c r="Q26" s="1608"/>
      <c r="R26" s="3274"/>
      <c r="S26" s="3274"/>
      <c r="T26" s="3283">
        <f t="shared" si="42"/>
        <v>0</v>
      </c>
      <c r="U26" s="3284">
        <f t="shared" si="4"/>
        <v>0</v>
      </c>
      <c r="V26" s="1608"/>
      <c r="W26" s="3274">
        <v>0</v>
      </c>
      <c r="X26" s="3274">
        <v>0</v>
      </c>
      <c r="Y26" s="3283">
        <v>0</v>
      </c>
      <c r="Z26" s="3284">
        <v>0</v>
      </c>
      <c r="AA26" s="1608"/>
      <c r="AB26" s="3274">
        <f t="shared" si="5"/>
        <v>0</v>
      </c>
      <c r="AC26" s="3274">
        <f t="shared" si="5"/>
        <v>0</v>
      </c>
      <c r="AD26" s="3283">
        <f t="shared" si="43"/>
        <v>0</v>
      </c>
      <c r="AE26" s="3284">
        <f t="shared" si="6"/>
        <v>0</v>
      </c>
      <c r="AF26" s="1608"/>
      <c r="AG26" s="3274"/>
      <c r="AH26" s="3274"/>
      <c r="AI26" s="3283">
        <f t="shared" si="44"/>
        <v>0</v>
      </c>
      <c r="AJ26" s="3284">
        <f t="shared" si="7"/>
        <v>0</v>
      </c>
      <c r="AK26" s="1608"/>
      <c r="AL26" s="3274"/>
      <c r="AM26" s="3274"/>
      <c r="AN26" s="3283">
        <f t="shared" si="26"/>
        <v>0</v>
      </c>
      <c r="AO26" s="3284">
        <f t="shared" si="8"/>
        <v>0</v>
      </c>
      <c r="AP26" s="1608"/>
      <c r="AQ26" s="3285"/>
      <c r="AR26" s="3285"/>
      <c r="AS26" s="3286">
        <f t="shared" si="27"/>
        <v>0</v>
      </c>
      <c r="AT26" s="3284">
        <f t="shared" si="9"/>
        <v>0</v>
      </c>
      <c r="AU26" s="1158"/>
      <c r="AV26" s="3285"/>
      <c r="AW26" s="3285"/>
      <c r="AX26" s="3286">
        <f t="shared" si="31"/>
        <v>0</v>
      </c>
      <c r="AY26" s="3284">
        <f t="shared" si="10"/>
        <v>0</v>
      </c>
      <c r="AZ26" s="1158"/>
      <c r="BA26" s="3285"/>
      <c r="BB26" s="3285"/>
      <c r="BC26" s="3286">
        <f t="shared" si="32"/>
        <v>0</v>
      </c>
      <c r="BD26" s="3284">
        <f t="shared" si="11"/>
        <v>0</v>
      </c>
      <c r="BE26" s="1158"/>
      <c r="BF26" s="3285"/>
      <c r="BG26" s="3285"/>
      <c r="BH26" s="3286">
        <f t="shared" si="33"/>
        <v>0</v>
      </c>
      <c r="BI26" s="3284">
        <f t="shared" si="12"/>
        <v>0</v>
      </c>
      <c r="BJ26" s="1158"/>
      <c r="BK26" s="3285"/>
      <c r="BL26" s="3285"/>
      <c r="BM26" s="3286">
        <f t="shared" si="34"/>
        <v>0</v>
      </c>
      <c r="BN26" s="3284">
        <f t="shared" si="13"/>
        <v>0</v>
      </c>
      <c r="BO26" s="1158"/>
      <c r="BP26" s="3285"/>
      <c r="BQ26" s="3285"/>
      <c r="BR26" s="3286">
        <f t="shared" si="35"/>
        <v>0</v>
      </c>
      <c r="BS26" s="3284">
        <f t="shared" si="14"/>
        <v>0</v>
      </c>
      <c r="BT26" s="1158"/>
      <c r="BU26" s="3285"/>
      <c r="BV26" s="3285"/>
      <c r="BW26" s="3286">
        <f t="shared" si="36"/>
        <v>0</v>
      </c>
      <c r="BX26" s="3284">
        <f t="shared" si="15"/>
        <v>0</v>
      </c>
      <c r="BY26" s="1158"/>
      <c r="BZ26" s="3285"/>
      <c r="CA26" s="3285"/>
      <c r="CB26" s="3286">
        <f t="shared" si="37"/>
        <v>0</v>
      </c>
      <c r="CC26" s="3284">
        <f t="shared" si="16"/>
        <v>0</v>
      </c>
      <c r="CD26" s="1158"/>
      <c r="CE26" s="3285"/>
      <c r="CF26" s="3285"/>
      <c r="CG26" s="3286">
        <f t="shared" si="38"/>
        <v>0</v>
      </c>
      <c r="CH26" s="3284">
        <f t="shared" si="17"/>
        <v>0</v>
      </c>
      <c r="CI26" s="1158"/>
      <c r="CJ26" s="3285"/>
      <c r="CK26" s="3285"/>
      <c r="CL26" s="3286">
        <f t="shared" si="39"/>
        <v>0</v>
      </c>
      <c r="CM26" s="3284">
        <f t="shared" si="18"/>
        <v>0</v>
      </c>
      <c r="CN26" s="1158"/>
      <c r="CO26" s="3274">
        <f t="shared" si="28"/>
        <v>0</v>
      </c>
      <c r="CP26" s="3274">
        <f t="shared" si="29"/>
        <v>0</v>
      </c>
      <c r="CQ26" s="3283">
        <f t="shared" si="30"/>
        <v>0</v>
      </c>
      <c r="CR26" s="3284">
        <f t="shared" si="45"/>
        <v>0</v>
      </c>
      <c r="CS26" s="1449"/>
      <c r="CT26" s="933"/>
    </row>
    <row r="27" spans="1:98" s="1411" customFormat="1" ht="13.8" x14ac:dyDescent="0.25">
      <c r="A27" s="1586"/>
      <c r="B27" s="3289" t="s">
        <v>25</v>
      </c>
      <c r="C27" s="3288"/>
      <c r="D27" s="3274"/>
      <c r="E27" s="3283">
        <f t="shared" si="20"/>
        <v>0</v>
      </c>
      <c r="F27" s="3284">
        <f t="shared" si="0"/>
        <v>0</v>
      </c>
      <c r="G27" s="1608"/>
      <c r="H27" s="3288"/>
      <c r="I27" s="3274"/>
      <c r="J27" s="3283">
        <f t="shared" si="40"/>
        <v>0</v>
      </c>
      <c r="K27" s="3284">
        <f t="shared" si="2"/>
        <v>0</v>
      </c>
      <c r="L27" s="1608"/>
      <c r="M27" s="3274"/>
      <c r="N27" s="3274"/>
      <c r="O27" s="3283">
        <f t="shared" si="41"/>
        <v>0</v>
      </c>
      <c r="P27" s="3284">
        <f t="shared" si="3"/>
        <v>0</v>
      </c>
      <c r="Q27" s="1608"/>
      <c r="R27" s="3274"/>
      <c r="S27" s="3274"/>
      <c r="T27" s="3283">
        <f t="shared" si="42"/>
        <v>0</v>
      </c>
      <c r="U27" s="3284">
        <f t="shared" si="4"/>
        <v>0</v>
      </c>
      <c r="V27" s="1608"/>
      <c r="W27" s="3274">
        <v>0</v>
      </c>
      <c r="X27" s="3274">
        <v>0</v>
      </c>
      <c r="Y27" s="3283">
        <v>0</v>
      </c>
      <c r="Z27" s="3284">
        <v>0</v>
      </c>
      <c r="AA27" s="1608"/>
      <c r="AB27" s="3274">
        <f t="shared" si="5"/>
        <v>0</v>
      </c>
      <c r="AC27" s="3274">
        <f t="shared" si="5"/>
        <v>0</v>
      </c>
      <c r="AD27" s="3283">
        <f t="shared" si="43"/>
        <v>0</v>
      </c>
      <c r="AE27" s="3284">
        <f t="shared" si="6"/>
        <v>0</v>
      </c>
      <c r="AF27" s="1608"/>
      <c r="AG27" s="3274"/>
      <c r="AH27" s="3274"/>
      <c r="AI27" s="3283">
        <f t="shared" si="44"/>
        <v>0</v>
      </c>
      <c r="AJ27" s="3284">
        <f t="shared" si="7"/>
        <v>0</v>
      </c>
      <c r="AK27" s="1608"/>
      <c r="AL27" s="3292"/>
      <c r="AM27" s="3274"/>
      <c r="AN27" s="3283">
        <f t="shared" si="26"/>
        <v>0</v>
      </c>
      <c r="AO27" s="3284">
        <f t="shared" si="8"/>
        <v>0</v>
      </c>
      <c r="AP27" s="3293"/>
      <c r="AQ27" s="3285"/>
      <c r="AR27" s="3285"/>
      <c r="AS27" s="3286">
        <f t="shared" si="27"/>
        <v>0</v>
      </c>
      <c r="AT27" s="3284">
        <f t="shared" si="9"/>
        <v>0</v>
      </c>
      <c r="AU27" s="3291"/>
      <c r="AV27" s="3285"/>
      <c r="AW27" s="3285"/>
      <c r="AX27" s="3286">
        <f t="shared" si="31"/>
        <v>0</v>
      </c>
      <c r="AY27" s="3284">
        <f t="shared" si="10"/>
        <v>0</v>
      </c>
      <c r="AZ27" s="3291"/>
      <c r="BA27" s="3285"/>
      <c r="BB27" s="3285"/>
      <c r="BC27" s="3286">
        <f t="shared" si="32"/>
        <v>0</v>
      </c>
      <c r="BD27" s="3284">
        <f t="shared" si="11"/>
        <v>0</v>
      </c>
      <c r="BE27" s="3291"/>
      <c r="BF27" s="3285"/>
      <c r="BG27" s="3285"/>
      <c r="BH27" s="3286">
        <f t="shared" si="33"/>
        <v>0</v>
      </c>
      <c r="BI27" s="3284">
        <f t="shared" si="12"/>
        <v>0</v>
      </c>
      <c r="BJ27" s="3291"/>
      <c r="BK27" s="3285"/>
      <c r="BL27" s="3285"/>
      <c r="BM27" s="3286">
        <f t="shared" si="34"/>
        <v>0</v>
      </c>
      <c r="BN27" s="3284">
        <f t="shared" si="13"/>
        <v>0</v>
      </c>
      <c r="BO27" s="3291"/>
      <c r="BP27" s="3285"/>
      <c r="BQ27" s="3285"/>
      <c r="BR27" s="3286">
        <f t="shared" si="35"/>
        <v>0</v>
      </c>
      <c r="BS27" s="3284">
        <f t="shared" si="14"/>
        <v>0</v>
      </c>
      <c r="BT27" s="3291"/>
      <c r="BU27" s="3285"/>
      <c r="BV27" s="3285"/>
      <c r="BW27" s="3286">
        <f t="shared" si="36"/>
        <v>0</v>
      </c>
      <c r="BX27" s="3284">
        <f t="shared" si="15"/>
        <v>0</v>
      </c>
      <c r="BY27" s="3291"/>
      <c r="BZ27" s="3285"/>
      <c r="CA27" s="3285"/>
      <c r="CB27" s="3286">
        <f t="shared" si="37"/>
        <v>0</v>
      </c>
      <c r="CC27" s="3284">
        <f t="shared" si="16"/>
        <v>0</v>
      </c>
      <c r="CD27" s="3291"/>
      <c r="CE27" s="3285"/>
      <c r="CF27" s="3285"/>
      <c r="CG27" s="3286">
        <f t="shared" si="38"/>
        <v>0</v>
      </c>
      <c r="CH27" s="3284">
        <f t="shared" si="17"/>
        <v>0</v>
      </c>
      <c r="CI27" s="3291"/>
      <c r="CJ27" s="3285"/>
      <c r="CK27" s="3285"/>
      <c r="CL27" s="3286">
        <f t="shared" si="39"/>
        <v>0</v>
      </c>
      <c r="CM27" s="3284">
        <f t="shared" si="18"/>
        <v>0</v>
      </c>
      <c r="CN27" s="3291"/>
      <c r="CO27" s="3274">
        <f t="shared" si="28"/>
        <v>0</v>
      </c>
      <c r="CP27" s="3274">
        <f t="shared" si="29"/>
        <v>0</v>
      </c>
      <c r="CQ27" s="3283">
        <f t="shared" si="30"/>
        <v>0</v>
      </c>
      <c r="CR27" s="3284">
        <f t="shared" si="45"/>
        <v>0</v>
      </c>
      <c r="CS27" s="1449"/>
      <c r="CT27" s="933"/>
    </row>
    <row r="28" spans="1:98" s="1411" customFormat="1" ht="48" x14ac:dyDescent="0.25">
      <c r="A28" s="1586"/>
      <c r="B28" s="3289" t="s">
        <v>52</v>
      </c>
      <c r="C28" s="3288"/>
      <c r="D28" s="3274">
        <v>5375</v>
      </c>
      <c r="E28" s="3283">
        <f t="shared" si="20"/>
        <v>5375</v>
      </c>
      <c r="F28" s="3284">
        <f t="shared" si="0"/>
        <v>1.1703773855319368E-2</v>
      </c>
      <c r="G28" s="3275" t="s">
        <v>1277</v>
      </c>
      <c r="H28" s="3288"/>
      <c r="I28" s="3274">
        <f>110000</f>
        <v>110000</v>
      </c>
      <c r="J28" s="3283">
        <f t="shared" si="40"/>
        <v>110000</v>
      </c>
      <c r="K28" s="3284">
        <f t="shared" si="2"/>
        <v>0.76462084966735433</v>
      </c>
      <c r="L28" s="3275"/>
      <c r="M28" s="3274">
        <v>3647.19</v>
      </c>
      <c r="N28" s="3274">
        <v>87176</v>
      </c>
      <c r="O28" s="3283">
        <f t="shared" si="41"/>
        <v>90823.19</v>
      </c>
      <c r="P28" s="3284">
        <f t="shared" si="3"/>
        <v>1.4164220413289104E-2</v>
      </c>
      <c r="Q28" s="3276" t="s">
        <v>1462</v>
      </c>
      <c r="R28" s="3274"/>
      <c r="S28" s="3274">
        <v>100000</v>
      </c>
      <c r="T28" s="3283">
        <f t="shared" si="42"/>
        <v>100000</v>
      </c>
      <c r="U28" s="3284">
        <f t="shared" si="4"/>
        <v>1.5595378683890208E-2</v>
      </c>
      <c r="V28" s="3275" t="s">
        <v>1495</v>
      </c>
      <c r="W28" s="3274">
        <v>16790.999</v>
      </c>
      <c r="X28" s="3274">
        <v>0</v>
      </c>
      <c r="Y28" s="3283">
        <v>16790.999</v>
      </c>
      <c r="Z28" s="3284">
        <v>2.618619878858218E-3</v>
      </c>
      <c r="AA28" s="3275"/>
      <c r="AB28" s="3274">
        <f t="shared" si="5"/>
        <v>0</v>
      </c>
      <c r="AC28" s="3274">
        <f t="shared" si="5"/>
        <v>0</v>
      </c>
      <c r="AD28" s="3283">
        <f t="shared" si="43"/>
        <v>0</v>
      </c>
      <c r="AE28" s="3284">
        <f t="shared" si="6"/>
        <v>0</v>
      </c>
      <c r="AF28" s="3275"/>
      <c r="AG28" s="3274"/>
      <c r="AH28" s="3274"/>
      <c r="AI28" s="3283">
        <f t="shared" si="44"/>
        <v>0</v>
      </c>
      <c r="AJ28" s="3284">
        <f t="shared" si="7"/>
        <v>0</v>
      </c>
      <c r="AK28" s="3276"/>
      <c r="AL28" s="3274"/>
      <c r="AM28" s="3274"/>
      <c r="AN28" s="3283">
        <f t="shared" si="26"/>
        <v>0</v>
      </c>
      <c r="AO28" s="3284">
        <f t="shared" si="8"/>
        <v>0</v>
      </c>
      <c r="AP28" s="3381"/>
      <c r="AQ28" s="3285"/>
      <c r="AR28" s="3285"/>
      <c r="AS28" s="3286">
        <f t="shared" si="27"/>
        <v>0</v>
      </c>
      <c r="AT28" s="3284">
        <f t="shared" si="9"/>
        <v>0</v>
      </c>
      <c r="AU28" s="3291"/>
      <c r="AV28" s="3285"/>
      <c r="AW28" s="3285"/>
      <c r="AX28" s="3286">
        <f t="shared" si="31"/>
        <v>0</v>
      </c>
      <c r="AY28" s="3284">
        <f t="shared" si="10"/>
        <v>0</v>
      </c>
      <c r="AZ28" s="3291"/>
      <c r="BA28" s="3285"/>
      <c r="BB28" s="3285"/>
      <c r="BC28" s="3286">
        <f t="shared" si="32"/>
        <v>0</v>
      </c>
      <c r="BD28" s="3284">
        <f t="shared" si="11"/>
        <v>0</v>
      </c>
      <c r="BE28" s="3291"/>
      <c r="BF28" s="3285"/>
      <c r="BG28" s="3285"/>
      <c r="BH28" s="3286">
        <f t="shared" si="33"/>
        <v>0</v>
      </c>
      <c r="BI28" s="3284">
        <f t="shared" si="12"/>
        <v>0</v>
      </c>
      <c r="BJ28" s="3291"/>
      <c r="BK28" s="3285"/>
      <c r="BL28" s="3285"/>
      <c r="BM28" s="3286">
        <f t="shared" si="34"/>
        <v>0</v>
      </c>
      <c r="BN28" s="3284">
        <f t="shared" si="13"/>
        <v>0</v>
      </c>
      <c r="BO28" s="3291"/>
      <c r="BP28" s="3285"/>
      <c r="BQ28" s="3285"/>
      <c r="BR28" s="3286">
        <f t="shared" si="35"/>
        <v>0</v>
      </c>
      <c r="BS28" s="3284">
        <f t="shared" si="14"/>
        <v>0</v>
      </c>
      <c r="BT28" s="3291"/>
      <c r="BU28" s="3285"/>
      <c r="BV28" s="3285"/>
      <c r="BW28" s="3286">
        <f t="shared" si="36"/>
        <v>0</v>
      </c>
      <c r="BX28" s="3284">
        <f t="shared" si="15"/>
        <v>0</v>
      </c>
      <c r="BY28" s="3291"/>
      <c r="BZ28" s="3285"/>
      <c r="CA28" s="3285"/>
      <c r="CB28" s="3286">
        <f t="shared" si="37"/>
        <v>0</v>
      </c>
      <c r="CC28" s="3284">
        <f t="shared" si="16"/>
        <v>0</v>
      </c>
      <c r="CD28" s="3291"/>
      <c r="CE28" s="3285"/>
      <c r="CF28" s="3285"/>
      <c r="CG28" s="3286">
        <f t="shared" si="38"/>
        <v>0</v>
      </c>
      <c r="CH28" s="3284">
        <f t="shared" si="17"/>
        <v>0</v>
      </c>
      <c r="CI28" s="3291"/>
      <c r="CJ28" s="3285"/>
      <c r="CK28" s="3285"/>
      <c r="CL28" s="3286">
        <f t="shared" si="39"/>
        <v>0</v>
      </c>
      <c r="CM28" s="3284">
        <f t="shared" si="18"/>
        <v>0</v>
      </c>
      <c r="CN28" s="3291"/>
      <c r="CO28" s="3274">
        <f t="shared" si="28"/>
        <v>20438.188999999998</v>
      </c>
      <c r="CP28" s="3274">
        <f t="shared" si="29"/>
        <v>302551</v>
      </c>
      <c r="CQ28" s="3283">
        <f t="shared" si="30"/>
        <v>322989.18900000001</v>
      </c>
      <c r="CR28" s="3284">
        <f t="shared" si="45"/>
        <v>2.8261664620604129E-2</v>
      </c>
      <c r="CS28" s="1449"/>
      <c r="CT28" s="933"/>
    </row>
    <row r="29" spans="1:98" s="1411" customFormat="1" ht="13.8" x14ac:dyDescent="0.25">
      <c r="A29" s="1586"/>
      <c r="B29" s="3289" t="s">
        <v>31</v>
      </c>
      <c r="C29" s="3288"/>
      <c r="D29" s="3274"/>
      <c r="E29" s="3283">
        <f t="shared" si="20"/>
        <v>0</v>
      </c>
      <c r="F29" s="3284">
        <f t="shared" si="0"/>
        <v>0</v>
      </c>
      <c r="G29" s="3294"/>
      <c r="H29" s="3288"/>
      <c r="I29" s="3274"/>
      <c r="J29" s="3283">
        <f t="shared" si="40"/>
        <v>0</v>
      </c>
      <c r="K29" s="3284">
        <f t="shared" si="2"/>
        <v>0</v>
      </c>
      <c r="L29" s="3294"/>
      <c r="M29" s="3274"/>
      <c r="N29" s="3274"/>
      <c r="O29" s="3283">
        <f t="shared" si="41"/>
        <v>0</v>
      </c>
      <c r="P29" s="3284">
        <f t="shared" si="3"/>
        <v>0</v>
      </c>
      <c r="Q29" s="3294"/>
      <c r="R29" s="3274"/>
      <c r="S29" s="3274"/>
      <c r="T29" s="3283">
        <f t="shared" si="42"/>
        <v>0</v>
      </c>
      <c r="U29" s="3284">
        <f t="shared" si="4"/>
        <v>0</v>
      </c>
      <c r="V29" s="3294"/>
      <c r="W29" s="3274">
        <v>0</v>
      </c>
      <c r="X29" s="3274">
        <v>0</v>
      </c>
      <c r="Y29" s="3283">
        <v>0</v>
      </c>
      <c r="Z29" s="3284">
        <v>0</v>
      </c>
      <c r="AA29" s="3294"/>
      <c r="AB29" s="3274">
        <f t="shared" si="5"/>
        <v>0</v>
      </c>
      <c r="AC29" s="3274">
        <f t="shared" si="5"/>
        <v>0</v>
      </c>
      <c r="AD29" s="3283">
        <f t="shared" si="43"/>
        <v>0</v>
      </c>
      <c r="AE29" s="3284">
        <f t="shared" si="6"/>
        <v>0</v>
      </c>
      <c r="AF29" s="3294"/>
      <c r="AG29" s="3274"/>
      <c r="AH29" s="3274"/>
      <c r="AI29" s="3283">
        <f t="shared" si="44"/>
        <v>0</v>
      </c>
      <c r="AJ29" s="3284">
        <f t="shared" si="7"/>
        <v>0</v>
      </c>
      <c r="AK29" s="3294"/>
      <c r="AL29" s="3274"/>
      <c r="AM29" s="3274"/>
      <c r="AN29" s="3283">
        <f t="shared" si="26"/>
        <v>0</v>
      </c>
      <c r="AO29" s="3284">
        <f t="shared" si="8"/>
        <v>0</v>
      </c>
      <c r="AP29" s="3293"/>
      <c r="AQ29" s="3285"/>
      <c r="AR29" s="3285"/>
      <c r="AS29" s="3286">
        <f t="shared" si="27"/>
        <v>0</v>
      </c>
      <c r="AT29" s="3284">
        <f t="shared" si="9"/>
        <v>0</v>
      </c>
      <c r="AU29" s="3291"/>
      <c r="AV29" s="3285"/>
      <c r="AW29" s="3285"/>
      <c r="AX29" s="3286">
        <f t="shared" si="31"/>
        <v>0</v>
      </c>
      <c r="AY29" s="3284">
        <f t="shared" si="10"/>
        <v>0</v>
      </c>
      <c r="AZ29" s="3291"/>
      <c r="BA29" s="3285"/>
      <c r="BB29" s="3285"/>
      <c r="BC29" s="3286">
        <f t="shared" si="32"/>
        <v>0</v>
      </c>
      <c r="BD29" s="3284">
        <f t="shared" si="11"/>
        <v>0</v>
      </c>
      <c r="BE29" s="3291"/>
      <c r="BF29" s="3285"/>
      <c r="BG29" s="3285"/>
      <c r="BH29" s="3286">
        <f t="shared" si="33"/>
        <v>0</v>
      </c>
      <c r="BI29" s="3284">
        <f t="shared" si="12"/>
        <v>0</v>
      </c>
      <c r="BJ29" s="3291"/>
      <c r="BK29" s="3285"/>
      <c r="BL29" s="3285"/>
      <c r="BM29" s="3286">
        <f t="shared" si="34"/>
        <v>0</v>
      </c>
      <c r="BN29" s="3284">
        <f t="shared" si="13"/>
        <v>0</v>
      </c>
      <c r="BO29" s="3291"/>
      <c r="BP29" s="3285"/>
      <c r="BQ29" s="3285"/>
      <c r="BR29" s="3286">
        <f t="shared" si="35"/>
        <v>0</v>
      </c>
      <c r="BS29" s="3284">
        <f t="shared" si="14"/>
        <v>0</v>
      </c>
      <c r="BT29" s="3291"/>
      <c r="BU29" s="3285"/>
      <c r="BV29" s="3285"/>
      <c r="BW29" s="3286">
        <f t="shared" si="36"/>
        <v>0</v>
      </c>
      <c r="BX29" s="3284">
        <f t="shared" si="15"/>
        <v>0</v>
      </c>
      <c r="BY29" s="3291"/>
      <c r="BZ29" s="3285"/>
      <c r="CA29" s="3285"/>
      <c r="CB29" s="3286">
        <f t="shared" si="37"/>
        <v>0</v>
      </c>
      <c r="CC29" s="3284">
        <f t="shared" si="16"/>
        <v>0</v>
      </c>
      <c r="CD29" s="3291"/>
      <c r="CE29" s="3285"/>
      <c r="CF29" s="3285"/>
      <c r="CG29" s="3286">
        <f t="shared" si="38"/>
        <v>0</v>
      </c>
      <c r="CH29" s="3284">
        <f t="shared" si="17"/>
        <v>0</v>
      </c>
      <c r="CI29" s="3291"/>
      <c r="CJ29" s="3285"/>
      <c r="CK29" s="3285"/>
      <c r="CL29" s="3286">
        <f t="shared" si="39"/>
        <v>0</v>
      </c>
      <c r="CM29" s="3284">
        <f t="shared" si="18"/>
        <v>0</v>
      </c>
      <c r="CN29" s="3291"/>
      <c r="CO29" s="3274">
        <f t="shared" si="28"/>
        <v>0</v>
      </c>
      <c r="CP29" s="3274">
        <f t="shared" si="29"/>
        <v>0</v>
      </c>
      <c r="CQ29" s="3283">
        <f t="shared" si="30"/>
        <v>0</v>
      </c>
      <c r="CR29" s="3284">
        <f t="shared" si="45"/>
        <v>0</v>
      </c>
      <c r="CS29" s="3295"/>
      <c r="CT29" s="933"/>
    </row>
    <row r="30" spans="1:98" s="1411" customFormat="1" ht="13.8" x14ac:dyDescent="0.25">
      <c r="A30" s="1586"/>
      <c r="B30" s="3289" t="s">
        <v>62</v>
      </c>
      <c r="C30" s="3288"/>
      <c r="D30" s="3274"/>
      <c r="E30" s="3283">
        <f t="shared" si="20"/>
        <v>0</v>
      </c>
      <c r="F30" s="3284">
        <f t="shared" si="0"/>
        <v>0</v>
      </c>
      <c r="G30" s="3296"/>
      <c r="H30" s="3288"/>
      <c r="I30" s="3274"/>
      <c r="J30" s="3283">
        <f t="shared" si="40"/>
        <v>0</v>
      </c>
      <c r="K30" s="3284">
        <f t="shared" si="2"/>
        <v>0</v>
      </c>
      <c r="L30" s="3296"/>
      <c r="M30" s="3274"/>
      <c r="N30" s="3274"/>
      <c r="O30" s="3283">
        <f t="shared" si="41"/>
        <v>0</v>
      </c>
      <c r="P30" s="3284">
        <f t="shared" si="3"/>
        <v>0</v>
      </c>
      <c r="Q30" s="3296"/>
      <c r="R30" s="3274"/>
      <c r="S30" s="3274"/>
      <c r="T30" s="3283">
        <f t="shared" si="42"/>
        <v>0</v>
      </c>
      <c r="U30" s="3284">
        <f t="shared" si="4"/>
        <v>0</v>
      </c>
      <c r="V30" s="3296"/>
      <c r="W30" s="3274">
        <v>0</v>
      </c>
      <c r="X30" s="3274">
        <v>0</v>
      </c>
      <c r="Y30" s="3283">
        <v>0</v>
      </c>
      <c r="Z30" s="3284">
        <v>0</v>
      </c>
      <c r="AA30" s="3296"/>
      <c r="AB30" s="3274">
        <f t="shared" si="5"/>
        <v>0</v>
      </c>
      <c r="AC30" s="3274">
        <f t="shared" si="5"/>
        <v>0</v>
      </c>
      <c r="AD30" s="3283">
        <f t="shared" si="43"/>
        <v>0</v>
      </c>
      <c r="AE30" s="3284">
        <f t="shared" si="6"/>
        <v>0</v>
      </c>
      <c r="AF30" s="3296"/>
      <c r="AG30" s="3274"/>
      <c r="AH30" s="3274"/>
      <c r="AI30" s="3283">
        <f t="shared" si="44"/>
        <v>0</v>
      </c>
      <c r="AJ30" s="3284">
        <f t="shared" si="7"/>
        <v>0</v>
      </c>
      <c r="AK30" s="3296"/>
      <c r="AL30" s="3274"/>
      <c r="AM30" s="3274"/>
      <c r="AN30" s="3283">
        <f t="shared" si="26"/>
        <v>0</v>
      </c>
      <c r="AO30" s="3284">
        <f t="shared" si="8"/>
        <v>0</v>
      </c>
      <c r="AP30" s="3296"/>
      <c r="AQ30" s="3285"/>
      <c r="AR30" s="3285"/>
      <c r="AS30" s="3286">
        <f t="shared" si="27"/>
        <v>0</v>
      </c>
      <c r="AT30" s="3284">
        <f t="shared" si="9"/>
        <v>0</v>
      </c>
      <c r="AU30" s="3297"/>
      <c r="AV30" s="3285"/>
      <c r="AW30" s="3285"/>
      <c r="AX30" s="3286">
        <f t="shared" si="31"/>
        <v>0</v>
      </c>
      <c r="AY30" s="3284">
        <f t="shared" si="10"/>
        <v>0</v>
      </c>
      <c r="AZ30" s="3297"/>
      <c r="BA30" s="3285"/>
      <c r="BB30" s="3285"/>
      <c r="BC30" s="3286">
        <f t="shared" si="32"/>
        <v>0</v>
      </c>
      <c r="BD30" s="3284">
        <f t="shared" si="11"/>
        <v>0</v>
      </c>
      <c r="BE30" s="3297"/>
      <c r="BF30" s="3285"/>
      <c r="BG30" s="3285"/>
      <c r="BH30" s="3286">
        <f t="shared" si="33"/>
        <v>0</v>
      </c>
      <c r="BI30" s="3284">
        <f t="shared" si="12"/>
        <v>0</v>
      </c>
      <c r="BJ30" s="3297"/>
      <c r="BK30" s="3285"/>
      <c r="BL30" s="3285"/>
      <c r="BM30" s="3286">
        <f t="shared" si="34"/>
        <v>0</v>
      </c>
      <c r="BN30" s="3284">
        <f t="shared" si="13"/>
        <v>0</v>
      </c>
      <c r="BO30" s="3297"/>
      <c r="BP30" s="3285"/>
      <c r="BQ30" s="3285"/>
      <c r="BR30" s="3286">
        <f t="shared" si="35"/>
        <v>0</v>
      </c>
      <c r="BS30" s="3284">
        <f t="shared" si="14"/>
        <v>0</v>
      </c>
      <c r="BT30" s="3297"/>
      <c r="BU30" s="3285"/>
      <c r="BV30" s="3285"/>
      <c r="BW30" s="3286">
        <f t="shared" si="36"/>
        <v>0</v>
      </c>
      <c r="BX30" s="3284">
        <f t="shared" si="15"/>
        <v>0</v>
      </c>
      <c r="BY30" s="3297"/>
      <c r="BZ30" s="3285"/>
      <c r="CA30" s="3285"/>
      <c r="CB30" s="3286">
        <f t="shared" si="37"/>
        <v>0</v>
      </c>
      <c r="CC30" s="3284">
        <f t="shared" si="16"/>
        <v>0</v>
      </c>
      <c r="CD30" s="3297"/>
      <c r="CE30" s="3285"/>
      <c r="CF30" s="3285"/>
      <c r="CG30" s="3286">
        <f t="shared" si="38"/>
        <v>0</v>
      </c>
      <c r="CH30" s="3284">
        <f t="shared" si="17"/>
        <v>0</v>
      </c>
      <c r="CI30" s="3297"/>
      <c r="CJ30" s="3285"/>
      <c r="CK30" s="3285"/>
      <c r="CL30" s="3286">
        <f t="shared" si="39"/>
        <v>0</v>
      </c>
      <c r="CM30" s="3284">
        <f t="shared" si="18"/>
        <v>0</v>
      </c>
      <c r="CN30" s="3297"/>
      <c r="CO30" s="3274">
        <f t="shared" si="28"/>
        <v>0</v>
      </c>
      <c r="CP30" s="3274">
        <f t="shared" si="29"/>
        <v>0</v>
      </c>
      <c r="CQ30" s="3283">
        <f t="shared" si="30"/>
        <v>0</v>
      </c>
      <c r="CR30" s="3284">
        <f t="shared" si="45"/>
        <v>0</v>
      </c>
      <c r="CS30" s="3295"/>
      <c r="CT30" s="933"/>
    </row>
    <row r="31" spans="1:98" s="1411" customFormat="1" ht="47.4" customHeight="1" x14ac:dyDescent="0.25">
      <c r="A31" s="1586"/>
      <c r="B31" s="3289" t="s">
        <v>34</v>
      </c>
      <c r="C31" s="3288"/>
      <c r="D31" s="3274"/>
      <c r="E31" s="3283">
        <f t="shared" si="20"/>
        <v>0</v>
      </c>
      <c r="F31" s="3284">
        <f t="shared" si="0"/>
        <v>0</v>
      </c>
      <c r="G31" s="3296"/>
      <c r="H31" s="3288"/>
      <c r="I31" s="3274"/>
      <c r="J31" s="3283">
        <f t="shared" si="40"/>
        <v>0</v>
      </c>
      <c r="K31" s="3284">
        <f t="shared" si="2"/>
        <v>0</v>
      </c>
      <c r="L31" s="3296"/>
      <c r="M31" s="3274">
        <f>16000+16000+10000+26000+16000+28000+28000+264930+69103+208890+73612+691104</f>
        <v>1447639</v>
      </c>
      <c r="N31" s="3274"/>
      <c r="O31" s="3283">
        <f t="shared" si="41"/>
        <v>1447639</v>
      </c>
      <c r="P31" s="3284">
        <f t="shared" si="3"/>
        <v>0.22576478402568137</v>
      </c>
      <c r="Q31" s="3276" t="s">
        <v>1461</v>
      </c>
      <c r="R31" s="3274"/>
      <c r="S31" s="3274"/>
      <c r="T31" s="3283">
        <f t="shared" si="42"/>
        <v>0</v>
      </c>
      <c r="U31" s="3284">
        <f t="shared" si="4"/>
        <v>0</v>
      </c>
      <c r="V31" s="3276"/>
      <c r="W31" s="3274">
        <v>0</v>
      </c>
      <c r="X31" s="3274">
        <v>0</v>
      </c>
      <c r="Y31" s="3283">
        <v>0</v>
      </c>
      <c r="Z31" s="3284">
        <v>0</v>
      </c>
      <c r="AA31" s="3276"/>
      <c r="AB31" s="3274">
        <f t="shared" si="5"/>
        <v>0</v>
      </c>
      <c r="AC31" s="3274">
        <f t="shared" si="5"/>
        <v>0</v>
      </c>
      <c r="AD31" s="3283">
        <f t="shared" si="43"/>
        <v>0</v>
      </c>
      <c r="AE31" s="3284">
        <f t="shared" si="6"/>
        <v>0</v>
      </c>
      <c r="AF31" s="3276"/>
      <c r="AG31" s="3274"/>
      <c r="AH31" s="3274"/>
      <c r="AI31" s="3283">
        <f t="shared" si="44"/>
        <v>0</v>
      </c>
      <c r="AJ31" s="3284">
        <f t="shared" si="7"/>
        <v>0</v>
      </c>
      <c r="AK31" s="3276"/>
      <c r="AL31" s="3274"/>
      <c r="AM31" s="3274"/>
      <c r="AN31" s="3283">
        <f t="shared" si="26"/>
        <v>0</v>
      </c>
      <c r="AO31" s="3284">
        <f t="shared" si="8"/>
        <v>0</v>
      </c>
      <c r="AP31" s="3296"/>
      <c r="AQ31" s="3285"/>
      <c r="AR31" s="3285"/>
      <c r="AS31" s="3286">
        <f t="shared" si="27"/>
        <v>0</v>
      </c>
      <c r="AT31" s="3284">
        <f t="shared" si="9"/>
        <v>0</v>
      </c>
      <c r="AU31" s="3297"/>
      <c r="AV31" s="3285"/>
      <c r="AW31" s="3285"/>
      <c r="AX31" s="3286">
        <f t="shared" si="31"/>
        <v>0</v>
      </c>
      <c r="AY31" s="3284">
        <f t="shared" si="10"/>
        <v>0</v>
      </c>
      <c r="AZ31" s="3297"/>
      <c r="BA31" s="3285"/>
      <c r="BB31" s="3285"/>
      <c r="BC31" s="3286">
        <f t="shared" si="32"/>
        <v>0</v>
      </c>
      <c r="BD31" s="3284">
        <f t="shared" si="11"/>
        <v>0</v>
      </c>
      <c r="BE31" s="3297"/>
      <c r="BF31" s="3285"/>
      <c r="BG31" s="3285"/>
      <c r="BH31" s="3286">
        <f t="shared" si="33"/>
        <v>0</v>
      </c>
      <c r="BI31" s="3284">
        <f t="shared" si="12"/>
        <v>0</v>
      </c>
      <c r="BJ31" s="3297"/>
      <c r="BK31" s="3285"/>
      <c r="BL31" s="3285"/>
      <c r="BM31" s="3286">
        <f t="shared" si="34"/>
        <v>0</v>
      </c>
      <c r="BN31" s="3284">
        <f t="shared" si="13"/>
        <v>0</v>
      </c>
      <c r="BO31" s="3297"/>
      <c r="BP31" s="3285"/>
      <c r="BQ31" s="3285"/>
      <c r="BR31" s="3286">
        <f t="shared" si="35"/>
        <v>0</v>
      </c>
      <c r="BS31" s="3284">
        <f t="shared" si="14"/>
        <v>0</v>
      </c>
      <c r="BT31" s="3297"/>
      <c r="BU31" s="3285"/>
      <c r="BV31" s="3285"/>
      <c r="BW31" s="3286">
        <f t="shared" si="36"/>
        <v>0</v>
      </c>
      <c r="BX31" s="3284">
        <f t="shared" si="15"/>
        <v>0</v>
      </c>
      <c r="BY31" s="3297"/>
      <c r="BZ31" s="3285"/>
      <c r="CA31" s="3285"/>
      <c r="CB31" s="3286">
        <f t="shared" si="37"/>
        <v>0</v>
      </c>
      <c r="CC31" s="3284">
        <f t="shared" si="16"/>
        <v>0</v>
      </c>
      <c r="CD31" s="3297"/>
      <c r="CE31" s="3285"/>
      <c r="CF31" s="3285"/>
      <c r="CG31" s="3286">
        <f t="shared" si="38"/>
        <v>0</v>
      </c>
      <c r="CH31" s="3284">
        <f t="shared" si="17"/>
        <v>0</v>
      </c>
      <c r="CI31" s="3297"/>
      <c r="CJ31" s="3285"/>
      <c r="CK31" s="3285"/>
      <c r="CL31" s="3286">
        <f t="shared" si="39"/>
        <v>0</v>
      </c>
      <c r="CM31" s="3284">
        <f t="shared" si="18"/>
        <v>0</v>
      </c>
      <c r="CN31" s="3297"/>
      <c r="CO31" s="3274">
        <f t="shared" si="28"/>
        <v>1447639</v>
      </c>
      <c r="CP31" s="3274">
        <f t="shared" si="29"/>
        <v>0</v>
      </c>
      <c r="CQ31" s="3283">
        <f t="shared" si="30"/>
        <v>1447639</v>
      </c>
      <c r="CR31" s="3284">
        <f t="shared" si="45"/>
        <v>0.12666890813397083</v>
      </c>
      <c r="CS31" s="3295"/>
      <c r="CT31" s="933"/>
    </row>
    <row r="32" spans="1:98" s="1411" customFormat="1" ht="41.4" x14ac:dyDescent="0.25">
      <c r="A32" s="1586"/>
      <c r="B32" s="3298" t="s">
        <v>2</v>
      </c>
      <c r="C32" s="3288">
        <v>1800</v>
      </c>
      <c r="D32" s="3274">
        <f>5690+580</f>
        <v>6270</v>
      </c>
      <c r="E32" s="3283">
        <f t="shared" si="20"/>
        <v>8070</v>
      </c>
      <c r="F32" s="3284">
        <f t="shared" si="0"/>
        <v>1.7571991630219032E-2</v>
      </c>
      <c r="G32" s="3275" t="s">
        <v>1278</v>
      </c>
      <c r="H32" s="3288"/>
      <c r="I32" s="3274"/>
      <c r="J32" s="3283">
        <f t="shared" si="40"/>
        <v>0</v>
      </c>
      <c r="K32" s="3284">
        <f t="shared" si="2"/>
        <v>0</v>
      </c>
      <c r="L32" s="3275"/>
      <c r="M32" s="3274"/>
      <c r="N32" s="3274"/>
      <c r="O32" s="3283">
        <f t="shared" si="41"/>
        <v>0</v>
      </c>
      <c r="P32" s="3284">
        <f t="shared" si="3"/>
        <v>0</v>
      </c>
      <c r="Q32" s="3299"/>
      <c r="R32" s="3274"/>
      <c r="S32" s="3274"/>
      <c r="T32" s="3283">
        <f t="shared" si="42"/>
        <v>0</v>
      </c>
      <c r="U32" s="3284">
        <f t="shared" si="4"/>
        <v>0</v>
      </c>
      <c r="V32" s="3299"/>
      <c r="W32" s="3274">
        <v>780</v>
      </c>
      <c r="X32" s="3274">
        <v>0</v>
      </c>
      <c r="Y32" s="3283">
        <v>780</v>
      </c>
      <c r="Z32" s="3284">
        <v>1.2164395373434363E-4</v>
      </c>
      <c r="AA32" s="3299"/>
      <c r="AB32" s="3274">
        <f t="shared" si="5"/>
        <v>0</v>
      </c>
      <c r="AC32" s="3274">
        <f t="shared" si="5"/>
        <v>0</v>
      </c>
      <c r="AD32" s="3283">
        <f t="shared" si="43"/>
        <v>0</v>
      </c>
      <c r="AE32" s="3284">
        <f t="shared" si="6"/>
        <v>0</v>
      </c>
      <c r="AF32" s="3299"/>
      <c r="AG32" s="3274"/>
      <c r="AH32" s="3274"/>
      <c r="AI32" s="3283">
        <f t="shared" si="44"/>
        <v>0</v>
      </c>
      <c r="AJ32" s="3284">
        <f t="shared" si="7"/>
        <v>0</v>
      </c>
      <c r="AK32" s="3276"/>
      <c r="AL32" s="3274"/>
      <c r="AM32" s="3274"/>
      <c r="AN32" s="3283">
        <f t="shared" si="26"/>
        <v>0</v>
      </c>
      <c r="AO32" s="3284">
        <f t="shared" si="8"/>
        <v>0</v>
      </c>
      <c r="AP32" s="3276"/>
      <c r="AQ32" s="3285"/>
      <c r="AR32" s="3285"/>
      <c r="AS32" s="3286">
        <f t="shared" si="27"/>
        <v>0</v>
      </c>
      <c r="AT32" s="3284">
        <f t="shared" si="9"/>
        <v>0</v>
      </c>
      <c r="AU32" s="3291"/>
      <c r="AV32" s="3285"/>
      <c r="AW32" s="3285"/>
      <c r="AX32" s="3286">
        <f t="shared" si="31"/>
        <v>0</v>
      </c>
      <c r="AY32" s="3284">
        <f t="shared" si="10"/>
        <v>0</v>
      </c>
      <c r="AZ32" s="3291"/>
      <c r="BA32" s="3285"/>
      <c r="BB32" s="3285"/>
      <c r="BC32" s="3286">
        <f t="shared" si="32"/>
        <v>0</v>
      </c>
      <c r="BD32" s="3284">
        <f t="shared" si="11"/>
        <v>0</v>
      </c>
      <c r="BE32" s="3291"/>
      <c r="BF32" s="3285"/>
      <c r="BG32" s="3285"/>
      <c r="BH32" s="3286">
        <f t="shared" si="33"/>
        <v>0</v>
      </c>
      <c r="BI32" s="3284">
        <f t="shared" si="12"/>
        <v>0</v>
      </c>
      <c r="BJ32" s="3291"/>
      <c r="BK32" s="3285"/>
      <c r="BL32" s="3285"/>
      <c r="BM32" s="3286">
        <f t="shared" si="34"/>
        <v>0</v>
      </c>
      <c r="BN32" s="3284">
        <f t="shared" si="13"/>
        <v>0</v>
      </c>
      <c r="BO32" s="3291"/>
      <c r="BP32" s="3285"/>
      <c r="BQ32" s="3285"/>
      <c r="BR32" s="3286">
        <f t="shared" si="35"/>
        <v>0</v>
      </c>
      <c r="BS32" s="3284">
        <f t="shared" si="14"/>
        <v>0</v>
      </c>
      <c r="BT32" s="3291"/>
      <c r="BU32" s="3285"/>
      <c r="BV32" s="3285"/>
      <c r="BW32" s="3286">
        <f t="shared" si="36"/>
        <v>0</v>
      </c>
      <c r="BX32" s="3284">
        <f t="shared" si="15"/>
        <v>0</v>
      </c>
      <c r="BY32" s="3291"/>
      <c r="BZ32" s="3285"/>
      <c r="CA32" s="3285"/>
      <c r="CB32" s="3286">
        <f t="shared" si="37"/>
        <v>0</v>
      </c>
      <c r="CC32" s="3284">
        <f t="shared" si="16"/>
        <v>0</v>
      </c>
      <c r="CD32" s="3291"/>
      <c r="CE32" s="3285"/>
      <c r="CF32" s="3285"/>
      <c r="CG32" s="3286">
        <f t="shared" si="38"/>
        <v>0</v>
      </c>
      <c r="CH32" s="3284">
        <f t="shared" si="17"/>
        <v>0</v>
      </c>
      <c r="CI32" s="3291"/>
      <c r="CJ32" s="3285"/>
      <c r="CK32" s="3285"/>
      <c r="CL32" s="3286">
        <f t="shared" si="39"/>
        <v>0</v>
      </c>
      <c r="CM32" s="3284">
        <f t="shared" si="18"/>
        <v>0</v>
      </c>
      <c r="CN32" s="3291"/>
      <c r="CO32" s="3274">
        <f t="shared" si="28"/>
        <v>2580</v>
      </c>
      <c r="CP32" s="3274">
        <f t="shared" si="29"/>
        <v>6270</v>
      </c>
      <c r="CQ32" s="3283">
        <f t="shared" si="30"/>
        <v>8850</v>
      </c>
      <c r="CR32" s="3284">
        <f t="shared" si="45"/>
        <v>7.7437803000999681E-4</v>
      </c>
      <c r="CS32" s="3295"/>
      <c r="CT32" s="933"/>
    </row>
    <row r="33" spans="1:98" s="1411" customFormat="1" ht="36.6" thickBot="1" x14ac:dyDescent="0.3">
      <c r="A33" s="1586"/>
      <c r="B33" s="3724" t="s">
        <v>75</v>
      </c>
      <c r="C33" s="3323"/>
      <c r="D33" s="3314"/>
      <c r="E33" s="3305">
        <f t="shared" si="20"/>
        <v>0</v>
      </c>
      <c r="F33" s="3725">
        <f t="shared" si="0"/>
        <v>0</v>
      </c>
      <c r="G33" s="3726"/>
      <c r="H33" s="3323"/>
      <c r="I33" s="3314"/>
      <c r="J33" s="3305">
        <f t="shared" si="40"/>
        <v>0</v>
      </c>
      <c r="K33" s="3725">
        <f t="shared" si="2"/>
        <v>0</v>
      </c>
      <c r="L33" s="3726"/>
      <c r="M33" s="3278"/>
      <c r="N33" s="3278"/>
      <c r="O33" s="3362">
        <f t="shared" si="41"/>
        <v>0</v>
      </c>
      <c r="P33" s="3228">
        <f t="shared" si="3"/>
        <v>0</v>
      </c>
      <c r="Q33" s="3229"/>
      <c r="R33" s="3278"/>
      <c r="S33" s="3278"/>
      <c r="T33" s="3362">
        <f t="shared" si="42"/>
        <v>0</v>
      </c>
      <c r="U33" s="3228">
        <f t="shared" si="4"/>
        <v>0</v>
      </c>
      <c r="V33" s="3229"/>
      <c r="W33" s="3278">
        <v>0</v>
      </c>
      <c r="X33" s="3278">
        <v>138166</v>
      </c>
      <c r="Y33" s="3362">
        <v>138166</v>
      </c>
      <c r="Z33" s="3228">
        <v>2.1547510912383747E-2</v>
      </c>
      <c r="AA33" s="3229"/>
      <c r="AB33" s="3274">
        <f t="shared" si="5"/>
        <v>0</v>
      </c>
      <c r="AC33" s="3274">
        <f t="shared" si="5"/>
        <v>88100</v>
      </c>
      <c r="AD33" s="3362">
        <f t="shared" si="43"/>
        <v>88100</v>
      </c>
      <c r="AE33" s="3228">
        <f t="shared" si="6"/>
        <v>1.3739528620507273E-2</v>
      </c>
      <c r="AF33" s="3229"/>
      <c r="AG33" s="3278"/>
      <c r="AH33" s="3278"/>
      <c r="AI33" s="3362">
        <f t="shared" si="44"/>
        <v>0</v>
      </c>
      <c r="AJ33" s="3228">
        <f t="shared" si="7"/>
        <v>0</v>
      </c>
      <c r="AK33" s="3229"/>
      <c r="AL33" s="3314"/>
      <c r="AM33" s="3314">
        <v>88100</v>
      </c>
      <c r="AN33" s="3305">
        <f t="shared" si="26"/>
        <v>88100</v>
      </c>
      <c r="AO33" s="3026">
        <f t="shared" si="8"/>
        <v>0.19183301891230445</v>
      </c>
      <c r="AP33" s="3381" t="s">
        <v>2175</v>
      </c>
      <c r="AQ33" s="3363"/>
      <c r="AR33" s="3363"/>
      <c r="AS33" s="3364">
        <f t="shared" si="27"/>
        <v>0</v>
      </c>
      <c r="AT33" s="3228">
        <f t="shared" si="9"/>
        <v>0</v>
      </c>
      <c r="AU33" s="3727"/>
      <c r="AV33" s="3363"/>
      <c r="AW33" s="3363"/>
      <c r="AX33" s="3364">
        <f t="shared" si="31"/>
        <v>0</v>
      </c>
      <c r="AY33" s="3228">
        <f t="shared" si="10"/>
        <v>0</v>
      </c>
      <c r="AZ33" s="3727"/>
      <c r="BA33" s="3363"/>
      <c r="BB33" s="3363"/>
      <c r="BC33" s="3364">
        <f t="shared" si="32"/>
        <v>0</v>
      </c>
      <c r="BD33" s="3228">
        <f t="shared" si="11"/>
        <v>0</v>
      </c>
      <c r="BE33" s="3727"/>
      <c r="BF33" s="3363"/>
      <c r="BG33" s="3363"/>
      <c r="BH33" s="3364">
        <f t="shared" si="33"/>
        <v>0</v>
      </c>
      <c r="BI33" s="3228">
        <f t="shared" si="12"/>
        <v>0</v>
      </c>
      <c r="BJ33" s="3727"/>
      <c r="BK33" s="3411"/>
      <c r="BL33" s="3728"/>
      <c r="BM33" s="3729">
        <f t="shared" si="34"/>
        <v>0</v>
      </c>
      <c r="BN33" s="3725">
        <f t="shared" si="13"/>
        <v>0</v>
      </c>
      <c r="BO33" s="3727"/>
      <c r="BP33" s="3411"/>
      <c r="BQ33" s="3728"/>
      <c r="BR33" s="3729">
        <f t="shared" si="35"/>
        <v>0</v>
      </c>
      <c r="BS33" s="3725">
        <f t="shared" si="14"/>
        <v>0</v>
      </c>
      <c r="BT33" s="3727"/>
      <c r="BU33" s="3411"/>
      <c r="BV33" s="3728"/>
      <c r="BW33" s="3729">
        <f t="shared" si="36"/>
        <v>0</v>
      </c>
      <c r="BX33" s="3725">
        <f t="shared" si="15"/>
        <v>0</v>
      </c>
      <c r="BY33" s="3727"/>
      <c r="BZ33" s="3411"/>
      <c r="CA33" s="3728"/>
      <c r="CB33" s="3729">
        <f t="shared" si="37"/>
        <v>0</v>
      </c>
      <c r="CC33" s="3725">
        <f t="shared" si="16"/>
        <v>0</v>
      </c>
      <c r="CD33" s="3727"/>
      <c r="CE33" s="3411"/>
      <c r="CF33" s="3728"/>
      <c r="CG33" s="3729">
        <f t="shared" si="38"/>
        <v>0</v>
      </c>
      <c r="CH33" s="3725">
        <f t="shared" si="17"/>
        <v>0</v>
      </c>
      <c r="CI33" s="3727"/>
      <c r="CJ33" s="3411"/>
      <c r="CK33" s="3728"/>
      <c r="CL33" s="3729">
        <f t="shared" si="39"/>
        <v>0</v>
      </c>
      <c r="CM33" s="3725">
        <f t="shared" si="18"/>
        <v>0</v>
      </c>
      <c r="CN33" s="3727"/>
      <c r="CO33" s="3274">
        <f t="shared" si="28"/>
        <v>0</v>
      </c>
      <c r="CP33" s="3274">
        <f t="shared" si="29"/>
        <v>226266</v>
      </c>
      <c r="CQ33" s="3731">
        <f t="shared" si="30"/>
        <v>226266</v>
      </c>
      <c r="CR33" s="3228">
        <f t="shared" si="45"/>
        <v>1.9798352467597959E-2</v>
      </c>
      <c r="CS33" s="3229"/>
      <c r="CT33" s="933"/>
    </row>
    <row r="34" spans="1:98" s="1411" customFormat="1" ht="13.8" x14ac:dyDescent="0.25">
      <c r="A34" s="1586"/>
      <c r="B34" s="1631"/>
      <c r="C34" s="3274"/>
      <c r="D34" s="3274"/>
      <c r="E34" s="3306"/>
      <c r="F34" s="3306"/>
      <c r="G34" s="3306"/>
      <c r="H34" s="3274"/>
      <c r="I34" s="3274"/>
      <c r="J34" s="3306"/>
      <c r="K34" s="3306"/>
      <c r="L34" s="3306"/>
      <c r="M34" s="3280"/>
      <c r="N34" s="3280"/>
      <c r="O34" s="3365"/>
      <c r="P34" s="3365"/>
      <c r="Q34" s="3365"/>
      <c r="R34" s="3280"/>
      <c r="S34" s="3280"/>
      <c r="T34" s="3365"/>
      <c r="U34" s="3365"/>
      <c r="V34" s="3365"/>
      <c r="W34" s="3280"/>
      <c r="X34" s="3280"/>
      <c r="Y34" s="3365"/>
      <c r="Z34" s="3365"/>
      <c r="AA34" s="3365"/>
      <c r="AB34" s="3280"/>
      <c r="AC34" s="3280"/>
      <c r="AD34" s="3365"/>
      <c r="AE34" s="3365"/>
      <c r="AF34" s="3365"/>
      <c r="AG34" s="3280"/>
      <c r="AH34" s="3280"/>
      <c r="AI34" s="3365"/>
      <c r="AJ34" s="3365"/>
      <c r="AK34" s="3365"/>
      <c r="AL34" s="3274"/>
      <c r="AM34" s="3274"/>
      <c r="AN34" s="3306"/>
      <c r="AO34" s="3306"/>
      <c r="AP34" s="3306"/>
      <c r="AQ34" s="3274"/>
      <c r="AR34" s="3274"/>
      <c r="AS34" s="3306"/>
      <c r="AT34" s="3365"/>
      <c r="AU34" s="3306"/>
      <c r="AV34" s="3274"/>
      <c r="AW34" s="3274"/>
      <c r="AX34" s="3306"/>
      <c r="AY34" s="3365"/>
      <c r="AZ34" s="3306"/>
      <c r="BA34" s="3274"/>
      <c r="BB34" s="3274"/>
      <c r="BC34" s="3306"/>
      <c r="BD34" s="3365"/>
      <c r="BE34" s="3306"/>
      <c r="BF34" s="3274"/>
      <c r="BG34" s="3274"/>
      <c r="BH34" s="3306"/>
      <c r="BI34" s="3365"/>
      <c r="BJ34" s="3306"/>
      <c r="BK34" s="3274"/>
      <c r="BL34" s="3274"/>
      <c r="BM34" s="3306"/>
      <c r="BN34" s="3306"/>
      <c r="BO34" s="3306"/>
      <c r="BP34" s="3274"/>
      <c r="BQ34" s="3274"/>
      <c r="BR34" s="3306"/>
      <c r="BS34" s="3306"/>
      <c r="BT34" s="3306"/>
      <c r="BU34" s="3274"/>
      <c r="BV34" s="3274"/>
      <c r="BW34" s="3306"/>
      <c r="BX34" s="3306"/>
      <c r="BY34" s="3306"/>
      <c r="BZ34" s="3274"/>
      <c r="CA34" s="3274"/>
      <c r="CB34" s="3306"/>
      <c r="CC34" s="3306"/>
      <c r="CD34" s="3306"/>
      <c r="CE34" s="3274"/>
      <c r="CF34" s="3274"/>
      <c r="CG34" s="3306"/>
      <c r="CH34" s="3306"/>
      <c r="CI34" s="3306"/>
      <c r="CJ34" s="3274"/>
      <c r="CK34" s="3274"/>
      <c r="CL34" s="3306"/>
      <c r="CM34" s="3306"/>
      <c r="CN34" s="3306"/>
      <c r="CO34" s="3274"/>
      <c r="CP34" s="3274"/>
      <c r="CQ34" s="3306"/>
      <c r="CR34" s="3365"/>
      <c r="CS34" s="3365"/>
      <c r="CT34" s="933"/>
    </row>
    <row r="35" spans="1:98" s="2483" customFormat="1" ht="13.8" x14ac:dyDescent="0.25">
      <c r="A35" s="1586"/>
      <c r="B35" s="3307" t="s">
        <v>80</v>
      </c>
      <c r="C35" s="3308">
        <f>C36</f>
        <v>0</v>
      </c>
      <c r="D35" s="3308">
        <f>D36</f>
        <v>0</v>
      </c>
      <c r="E35" s="3309">
        <f>E36</f>
        <v>0</v>
      </c>
      <c r="F35" s="3309">
        <f t="shared" si="0"/>
        <v>0</v>
      </c>
      <c r="G35" s="3309"/>
      <c r="H35" s="3308">
        <f>H36</f>
        <v>23609</v>
      </c>
      <c r="I35" s="3308">
        <f>I36</f>
        <v>0</v>
      </c>
      <c r="J35" s="3309">
        <f>J36</f>
        <v>23609</v>
      </c>
      <c r="K35" s="3309">
        <f>J35/$AN$89</f>
        <v>0.16410848763451424</v>
      </c>
      <c r="L35" s="3309"/>
      <c r="M35" s="3308">
        <f>M36</f>
        <v>0</v>
      </c>
      <c r="N35" s="3308">
        <f>N36</f>
        <v>0</v>
      </c>
      <c r="O35" s="3309">
        <f>O36</f>
        <v>0</v>
      </c>
      <c r="P35" s="3309">
        <f t="shared" si="3"/>
        <v>0</v>
      </c>
      <c r="Q35" s="3309"/>
      <c r="R35" s="3308">
        <f>R36</f>
        <v>0</v>
      </c>
      <c r="S35" s="3308">
        <f>S36</f>
        <v>0</v>
      </c>
      <c r="T35" s="3309">
        <f>T36</f>
        <v>0</v>
      </c>
      <c r="U35" s="3309">
        <f t="shared" si="4"/>
        <v>0</v>
      </c>
      <c r="V35" s="3309"/>
      <c r="W35" s="3308">
        <v>0</v>
      </c>
      <c r="X35" s="3308">
        <v>0</v>
      </c>
      <c r="Y35" s="3309">
        <v>0</v>
      </c>
      <c r="Z35" s="3309">
        <v>0</v>
      </c>
      <c r="AA35" s="3309"/>
      <c r="AB35" s="3308">
        <f>AB36</f>
        <v>0</v>
      </c>
      <c r="AC35" s="3308">
        <f>AC36</f>
        <v>0</v>
      </c>
      <c r="AD35" s="3309">
        <f>AD36</f>
        <v>0</v>
      </c>
      <c r="AE35" s="3309">
        <f t="shared" ref="AE35:AE36" si="46">AD35/$T$89</f>
        <v>0</v>
      </c>
      <c r="AF35" s="3309"/>
      <c r="AG35" s="3308">
        <f>AG36</f>
        <v>0</v>
      </c>
      <c r="AH35" s="3308">
        <f>AH36</f>
        <v>0</v>
      </c>
      <c r="AI35" s="3309">
        <f>AI36</f>
        <v>0</v>
      </c>
      <c r="AJ35" s="3309">
        <f>AI35/$T$89</f>
        <v>0</v>
      </c>
      <c r="AK35" s="3309"/>
      <c r="AL35" s="3308">
        <f>AL36</f>
        <v>0</v>
      </c>
      <c r="AM35" s="3308">
        <f>AM36</f>
        <v>0</v>
      </c>
      <c r="AN35" s="3309">
        <f>AN36</f>
        <v>0</v>
      </c>
      <c r="AO35" s="3309">
        <f>AN35/$E$89</f>
        <v>0</v>
      </c>
      <c r="AP35" s="3309"/>
      <c r="AQ35" s="3308">
        <f>AQ36</f>
        <v>0</v>
      </c>
      <c r="AR35" s="3308">
        <f>AR36</f>
        <v>0</v>
      </c>
      <c r="AS35" s="3309">
        <f>AS36</f>
        <v>0</v>
      </c>
      <c r="AT35" s="3309">
        <f>AS35/$AN$89</f>
        <v>0</v>
      </c>
      <c r="AU35" s="3309"/>
      <c r="AV35" s="3308">
        <f>AV36</f>
        <v>0</v>
      </c>
      <c r="AW35" s="3308">
        <f>AW36</f>
        <v>0</v>
      </c>
      <c r="AX35" s="3309">
        <f>AX36</f>
        <v>0</v>
      </c>
      <c r="AY35" s="3309">
        <f>AX35/$AN$89</f>
        <v>0</v>
      </c>
      <c r="AZ35" s="3309"/>
      <c r="BA35" s="3308">
        <f>BA36</f>
        <v>0</v>
      </c>
      <c r="BB35" s="3308">
        <f>BB36</f>
        <v>0</v>
      </c>
      <c r="BC35" s="3309">
        <f>BC36</f>
        <v>0</v>
      </c>
      <c r="BD35" s="3309">
        <f>BC35/$AN$89</f>
        <v>0</v>
      </c>
      <c r="BE35" s="3309"/>
      <c r="BF35" s="3308">
        <f>BF36</f>
        <v>0</v>
      </c>
      <c r="BG35" s="3308">
        <f>BG36</f>
        <v>0</v>
      </c>
      <c r="BH35" s="3309">
        <f>BH36</f>
        <v>0</v>
      </c>
      <c r="BI35" s="3309">
        <f>BH35/$AN$89</f>
        <v>0</v>
      </c>
      <c r="BJ35" s="3309"/>
      <c r="BK35" s="3308">
        <f>BK36</f>
        <v>0</v>
      </c>
      <c r="BL35" s="3308">
        <f>BL36</f>
        <v>0</v>
      </c>
      <c r="BM35" s="3309">
        <f>BM36</f>
        <v>0</v>
      </c>
      <c r="BN35" s="3309">
        <f>BM35/$AN$89</f>
        <v>0</v>
      </c>
      <c r="BO35" s="3309"/>
      <c r="BP35" s="3308">
        <f>BP36</f>
        <v>0</v>
      </c>
      <c r="BQ35" s="3308">
        <f>BQ36</f>
        <v>0</v>
      </c>
      <c r="BR35" s="3309">
        <f>BR36</f>
        <v>0</v>
      </c>
      <c r="BS35" s="3309">
        <f>BR35/$AN$89</f>
        <v>0</v>
      </c>
      <c r="BT35" s="3309"/>
      <c r="BU35" s="3308">
        <f>BU36</f>
        <v>0</v>
      </c>
      <c r="BV35" s="3308">
        <f>BV36</f>
        <v>0</v>
      </c>
      <c r="BW35" s="3309">
        <f>BW36</f>
        <v>0</v>
      </c>
      <c r="BX35" s="3309">
        <f>BW35/$AN$89</f>
        <v>0</v>
      </c>
      <c r="BY35" s="3309"/>
      <c r="BZ35" s="3308">
        <f>BZ36</f>
        <v>0</v>
      </c>
      <c r="CA35" s="3308">
        <f>CA36</f>
        <v>0</v>
      </c>
      <c r="CB35" s="3309">
        <f>CB36</f>
        <v>0</v>
      </c>
      <c r="CC35" s="3309">
        <f>CB35/$AN$89</f>
        <v>0</v>
      </c>
      <c r="CD35" s="3309"/>
      <c r="CE35" s="3308">
        <f>CE36</f>
        <v>0</v>
      </c>
      <c r="CF35" s="3308">
        <f>CF36</f>
        <v>0</v>
      </c>
      <c r="CG35" s="3309">
        <f>CG36</f>
        <v>0</v>
      </c>
      <c r="CH35" s="3309">
        <f>CG35/$AN$89</f>
        <v>0</v>
      </c>
      <c r="CI35" s="3309"/>
      <c r="CJ35" s="3308">
        <f>CJ36</f>
        <v>0</v>
      </c>
      <c r="CK35" s="3308">
        <f>CK36</f>
        <v>0</v>
      </c>
      <c r="CL35" s="3309">
        <f>CL36</f>
        <v>0</v>
      </c>
      <c r="CM35" s="3309">
        <f>CL35/$AN$89</f>
        <v>0</v>
      </c>
      <c r="CN35" s="3309"/>
      <c r="CO35" s="3308">
        <f>CO36</f>
        <v>23609</v>
      </c>
      <c r="CP35" s="3308">
        <f>CP36</f>
        <v>0</v>
      </c>
      <c r="CQ35" s="3309">
        <f>CQ36</f>
        <v>23609</v>
      </c>
      <c r="CR35" s="3309"/>
      <c r="CS35" s="3309"/>
      <c r="CT35" s="933"/>
    </row>
    <row r="36" spans="1:98" s="1411" customFormat="1" ht="13.8" x14ac:dyDescent="0.25">
      <c r="A36" s="1586"/>
      <c r="B36" s="3310" t="s">
        <v>81</v>
      </c>
      <c r="C36" s="3274"/>
      <c r="D36" s="3274"/>
      <c r="E36" s="2028">
        <f>C36+D36*1</f>
        <v>0</v>
      </c>
      <c r="F36" s="3284">
        <f t="shared" si="0"/>
        <v>0</v>
      </c>
      <c r="G36" s="3275" t="s">
        <v>1279</v>
      </c>
      <c r="H36" s="3274">
        <f>23609</f>
        <v>23609</v>
      </c>
      <c r="I36" s="3274"/>
      <c r="J36" s="2028">
        <f>H36+I36*1</f>
        <v>23609</v>
      </c>
      <c r="K36" s="3284">
        <f>J36/$AN$89</f>
        <v>0.16410848763451424</v>
      </c>
      <c r="L36" s="3275"/>
      <c r="M36" s="3274"/>
      <c r="N36" s="3274"/>
      <c r="O36" s="2028">
        <f>M36+N36*1</f>
        <v>0</v>
      </c>
      <c r="P36" s="3284">
        <f t="shared" si="3"/>
        <v>0</v>
      </c>
      <c r="Q36" s="3311"/>
      <c r="R36" s="3274"/>
      <c r="S36" s="3274"/>
      <c r="T36" s="2028">
        <f>R36+S36*1</f>
        <v>0</v>
      </c>
      <c r="U36" s="3284">
        <f t="shared" si="4"/>
        <v>0</v>
      </c>
      <c r="V36" s="3311"/>
      <c r="W36" s="3274">
        <v>0</v>
      </c>
      <c r="X36" s="3274">
        <v>0</v>
      </c>
      <c r="Y36" s="2028">
        <v>0</v>
      </c>
      <c r="Z36" s="3284">
        <v>0</v>
      </c>
      <c r="AA36" s="3311"/>
      <c r="AB36" s="3274">
        <f>AG36+AL36+AQ36+AV36+BA36+BF36+BK36+BP36+BU36+BZ36+CE36+CJ36</f>
        <v>0</v>
      </c>
      <c r="AC36" s="3274">
        <f>AH36+AM36+AR36+AW36+BB36+BG36+BL36+BQ36+BV36+CA36+CF36+CK36</f>
        <v>0</v>
      </c>
      <c r="AD36" s="2028">
        <f>AB36+AC36*1</f>
        <v>0</v>
      </c>
      <c r="AE36" s="3284">
        <f t="shared" si="46"/>
        <v>0</v>
      </c>
      <c r="AF36" s="3311"/>
      <c r="AG36" s="3274"/>
      <c r="AH36" s="3274"/>
      <c r="AI36" s="2028">
        <f>AG36+AH36*1</f>
        <v>0</v>
      </c>
      <c r="AJ36" s="3284">
        <f>AI36/$T$89</f>
        <v>0</v>
      </c>
      <c r="AK36" s="3311"/>
      <c r="AL36" s="3274"/>
      <c r="AM36" s="3274"/>
      <c r="AN36" s="2028">
        <f>AL36+AM36*1</f>
        <v>0</v>
      </c>
      <c r="AO36" s="3284">
        <f>AN36/$E$89</f>
        <v>0</v>
      </c>
      <c r="AP36" s="3276"/>
      <c r="AQ36" s="3274"/>
      <c r="AR36" s="3274"/>
      <c r="AS36" s="2028">
        <f>AQ36+AR36*1</f>
        <v>0</v>
      </c>
      <c r="AT36" s="3284">
        <f>AS36/$AN$89</f>
        <v>0</v>
      </c>
      <c r="AU36" s="3276"/>
      <c r="AV36" s="3274"/>
      <c r="AW36" s="3274"/>
      <c r="AX36" s="2028">
        <f>AV36+AW36*1</f>
        <v>0</v>
      </c>
      <c r="AY36" s="3284">
        <f>AX36/$AN$89</f>
        <v>0</v>
      </c>
      <c r="AZ36" s="3276"/>
      <c r="BA36" s="3274"/>
      <c r="BB36" s="3274"/>
      <c r="BC36" s="2028">
        <f>BA36+BB36*1</f>
        <v>0</v>
      </c>
      <c r="BD36" s="3284">
        <f>BC36/$AN$89</f>
        <v>0</v>
      </c>
      <c r="BE36" s="3276"/>
      <c r="BF36" s="3274"/>
      <c r="BG36" s="3274"/>
      <c r="BH36" s="2028">
        <f>BF36+BG36*1</f>
        <v>0</v>
      </c>
      <c r="BI36" s="3284">
        <f>BH36/$AN$89</f>
        <v>0</v>
      </c>
      <c r="BJ36" s="3276"/>
      <c r="BK36" s="3274"/>
      <c r="BL36" s="3274"/>
      <c r="BM36" s="2028">
        <f>BK36+BL36*1</f>
        <v>0</v>
      </c>
      <c r="BN36" s="3284">
        <f>BM36/$AN$89</f>
        <v>0</v>
      </c>
      <c r="BO36" s="3276"/>
      <c r="BP36" s="3274"/>
      <c r="BQ36" s="3274"/>
      <c r="BR36" s="2028">
        <f>BP36+BQ36*1</f>
        <v>0</v>
      </c>
      <c r="BS36" s="3284">
        <f>BR36/$AN$89</f>
        <v>0</v>
      </c>
      <c r="BT36" s="3276"/>
      <c r="BU36" s="3274"/>
      <c r="BV36" s="3274"/>
      <c r="BW36" s="2028">
        <f>BU36+BV36*1</f>
        <v>0</v>
      </c>
      <c r="BX36" s="3284">
        <f>BW36/$AN$89</f>
        <v>0</v>
      </c>
      <c r="BY36" s="3276"/>
      <c r="BZ36" s="3274"/>
      <c r="CA36" s="3274"/>
      <c r="CB36" s="2028">
        <f>BZ36+CA36*1</f>
        <v>0</v>
      </c>
      <c r="CC36" s="3284">
        <f>CB36/$AN$89</f>
        <v>0</v>
      </c>
      <c r="CD36" s="3276"/>
      <c r="CE36" s="3274"/>
      <c r="CF36" s="3274"/>
      <c r="CG36" s="2028">
        <f>CE36+CF36*1</f>
        <v>0</v>
      </c>
      <c r="CH36" s="3284">
        <f>CG36/$AN$89</f>
        <v>0</v>
      </c>
      <c r="CI36" s="3276"/>
      <c r="CJ36" s="3274"/>
      <c r="CK36" s="3274"/>
      <c r="CL36" s="2028">
        <f>CJ36+CK36*1</f>
        <v>0</v>
      </c>
      <c r="CM36" s="3284">
        <f>CL36/$AN$89</f>
        <v>0</v>
      </c>
      <c r="CN36" s="3276"/>
      <c r="CO36" s="3274">
        <f t="shared" ref="CO36:CP36" si="47">C36+H36+M36+R36+AG36+AL36+AQ36+AV36+BA36+BF36+BK36+BP36+BU36+BZ36+CE36+CJ36+W36</f>
        <v>23609</v>
      </c>
      <c r="CP36" s="3274">
        <f t="shared" si="47"/>
        <v>0</v>
      </c>
      <c r="CQ36" s="2028">
        <f>CO36+CP36*1</f>
        <v>23609</v>
      </c>
      <c r="CR36" s="3284">
        <f>CQ36/$CQ$89</f>
        <v>2.0657955831080241E-3</v>
      </c>
      <c r="CS36" s="3311"/>
      <c r="CT36" s="933"/>
    </row>
    <row r="37" spans="1:98" s="1411" customFormat="1" ht="14.4" thickBot="1" x14ac:dyDescent="0.3">
      <c r="A37" s="1413"/>
      <c r="B37" s="3732"/>
      <c r="C37" s="3274"/>
      <c r="D37" s="3274"/>
      <c r="E37" s="3733"/>
      <c r="F37" s="3733"/>
      <c r="G37" s="3733"/>
      <c r="H37" s="3274"/>
      <c r="I37" s="3274"/>
      <c r="J37" s="3733"/>
      <c r="K37" s="3733"/>
      <c r="L37" s="3733"/>
      <c r="M37" s="3314"/>
      <c r="N37" s="3314"/>
      <c r="O37" s="3733"/>
      <c r="P37" s="3733"/>
      <c r="Q37" s="3733"/>
      <c r="R37" s="3314"/>
      <c r="S37" s="3314"/>
      <c r="T37" s="3733"/>
      <c r="U37" s="3733"/>
      <c r="V37" s="3733"/>
      <c r="W37" s="3314"/>
      <c r="X37" s="3314"/>
      <c r="Y37" s="3733"/>
      <c r="Z37" s="3733"/>
      <c r="AA37" s="3733"/>
      <c r="AB37" s="3314"/>
      <c r="AC37" s="3314"/>
      <c r="AD37" s="3733"/>
      <c r="AE37" s="3733"/>
      <c r="AF37" s="3733"/>
      <c r="AG37" s="3314"/>
      <c r="AH37" s="3314"/>
      <c r="AI37" s="3733"/>
      <c r="AJ37" s="3733"/>
      <c r="AK37" s="3733"/>
      <c r="AL37" s="3274"/>
      <c r="AM37" s="3274"/>
      <c r="AN37" s="3733"/>
      <c r="AO37" s="3733"/>
      <c r="AP37" s="3733"/>
      <c r="AQ37" s="3274"/>
      <c r="AR37" s="3274"/>
      <c r="AS37" s="3733"/>
      <c r="AT37" s="3733"/>
      <c r="AU37" s="3733"/>
      <c r="AV37" s="3274"/>
      <c r="AW37" s="3274"/>
      <c r="AX37" s="3733"/>
      <c r="AY37" s="3733"/>
      <c r="AZ37" s="3733"/>
      <c r="BA37" s="3274"/>
      <c r="BB37" s="3274"/>
      <c r="BC37" s="3733"/>
      <c r="BD37" s="3733"/>
      <c r="BE37" s="3733"/>
      <c r="BF37" s="3274"/>
      <c r="BG37" s="3274"/>
      <c r="BH37" s="3733"/>
      <c r="BI37" s="3733"/>
      <c r="BJ37" s="3733"/>
      <c r="BK37" s="3274"/>
      <c r="BL37" s="3274"/>
      <c r="BM37" s="3733"/>
      <c r="BN37" s="3733"/>
      <c r="BO37" s="3733"/>
      <c r="BP37" s="3274"/>
      <c r="BQ37" s="3274"/>
      <c r="BR37" s="3733"/>
      <c r="BS37" s="3733"/>
      <c r="BT37" s="3733"/>
      <c r="BU37" s="3274"/>
      <c r="BV37" s="3274"/>
      <c r="BW37" s="3733"/>
      <c r="BX37" s="3733"/>
      <c r="BY37" s="3733"/>
      <c r="BZ37" s="3274"/>
      <c r="CA37" s="3274"/>
      <c r="CB37" s="3733"/>
      <c r="CC37" s="3733"/>
      <c r="CD37" s="3733"/>
      <c r="CE37" s="3274"/>
      <c r="CF37" s="3274"/>
      <c r="CG37" s="3733"/>
      <c r="CH37" s="3733"/>
      <c r="CI37" s="3733"/>
      <c r="CJ37" s="3274"/>
      <c r="CK37" s="3274"/>
      <c r="CL37" s="3733"/>
      <c r="CM37" s="3733"/>
      <c r="CN37" s="3733"/>
      <c r="CO37" s="3314"/>
      <c r="CP37" s="3314"/>
      <c r="CQ37" s="3733"/>
      <c r="CR37" s="3733"/>
      <c r="CS37" s="3733"/>
      <c r="CT37" s="933"/>
    </row>
    <row r="38" spans="1:98" ht="14.4" thickBot="1" x14ac:dyDescent="0.3">
      <c r="A38" s="1441"/>
      <c r="B38" s="1442" t="s">
        <v>46</v>
      </c>
      <c r="C38" s="2018">
        <f>(C5)-(C8)</f>
        <v>22990</v>
      </c>
      <c r="D38" s="2018">
        <f>(D5)-(D8)</f>
        <v>-11645</v>
      </c>
      <c r="E38" s="2018">
        <f>(E5)-(E8)</f>
        <v>11345</v>
      </c>
      <c r="F38" s="2018"/>
      <c r="G38" s="2018"/>
      <c r="H38" s="2018">
        <f>(H5)-(H8)</f>
        <v>51390</v>
      </c>
      <c r="I38" s="2018">
        <f>(I5)-(I8)</f>
        <v>-110000</v>
      </c>
      <c r="J38" s="2018">
        <f>(J5)-(J8)</f>
        <v>-58610</v>
      </c>
      <c r="K38" s="2018">
        <f t="shared" ref="K38:K48" si="48">J38/$AN$89</f>
        <v>-0.40740389090003304</v>
      </c>
      <c r="L38" s="2018"/>
      <c r="M38" s="2018">
        <f>(M5)-(M8)</f>
        <v>241841.15000000014</v>
      </c>
      <c r="N38" s="2018">
        <f>(N5)-(N8)</f>
        <v>-91426</v>
      </c>
      <c r="O38" s="2018">
        <f>(O5)-(O8)</f>
        <v>150415.15000000014</v>
      </c>
      <c r="P38" s="2018">
        <f t="shared" si="3"/>
        <v>2.3457812240441505E-2</v>
      </c>
      <c r="Q38" s="2018"/>
      <c r="R38" s="2018">
        <f>(R5)-(R8)</f>
        <v>182201.40999999968</v>
      </c>
      <c r="S38" s="2018">
        <f>(S5)-(S8)</f>
        <v>-100000</v>
      </c>
      <c r="T38" s="2018">
        <f>(T5)-(T8)</f>
        <v>82201.409999999683</v>
      </c>
      <c r="U38" s="2018">
        <f t="shared" si="4"/>
        <v>1.2819621172997146E-2</v>
      </c>
      <c r="V38" s="2018"/>
      <c r="W38" s="2018">
        <v>291918.701</v>
      </c>
      <c r="X38" s="2018">
        <v>-138166</v>
      </c>
      <c r="Y38" s="2018">
        <v>153752.701</v>
      </c>
      <c r="Z38" s="2018">
        <v>2.3978315957659448E-2</v>
      </c>
      <c r="AA38" s="2018"/>
      <c r="AB38" s="2018">
        <f>(AB5)-(AB8)</f>
        <v>0</v>
      </c>
      <c r="AC38" s="2018">
        <f>(AC5)-(AC8)</f>
        <v>-88100</v>
      </c>
      <c r="AD38" s="2018">
        <f>(AD5)-(AD8)</f>
        <v>-88100</v>
      </c>
      <c r="AE38" s="2018">
        <f t="shared" ref="AE38:AE48" si="49">AD38/$T$89</f>
        <v>-1.3739528620507273E-2</v>
      </c>
      <c r="AF38" s="2018"/>
      <c r="AG38" s="2018">
        <f>(AG5)-(AG8)</f>
        <v>0</v>
      </c>
      <c r="AH38" s="2018">
        <f>(AH5)-(AH8)</f>
        <v>0</v>
      </c>
      <c r="AI38" s="2018">
        <f>(AI5)-(AI8)</f>
        <v>0</v>
      </c>
      <c r="AJ38" s="2018">
        <f t="shared" ref="AJ38:AJ48" si="50">AI38/$T$89</f>
        <v>0</v>
      </c>
      <c r="AK38" s="2018"/>
      <c r="AL38" s="2018">
        <f>(AL5)-(AL8)</f>
        <v>0</v>
      </c>
      <c r="AM38" s="2018">
        <f>(AM5)-(AM8)</f>
        <v>-88100</v>
      </c>
      <c r="AN38" s="2018">
        <f>(AN5)-(AN8)</f>
        <v>-88100</v>
      </c>
      <c r="AO38" s="2018">
        <f t="shared" ref="AO38:AO48" si="51">AN38/$E$89</f>
        <v>-0.19183301891230445</v>
      </c>
      <c r="AP38" s="2018"/>
      <c r="AQ38" s="2018">
        <f>(AQ5)-(AQ8)</f>
        <v>0</v>
      </c>
      <c r="AR38" s="2018">
        <f>(AR5)-(AR8)</f>
        <v>0</v>
      </c>
      <c r="AS38" s="2018">
        <f>(AS5)-(AS8)</f>
        <v>0</v>
      </c>
      <c r="AT38" s="2018">
        <f>AS38/$AN$89</f>
        <v>0</v>
      </c>
      <c r="AU38" s="2018"/>
      <c r="AV38" s="2018">
        <f>(AV5)-(AV8)</f>
        <v>0</v>
      </c>
      <c r="AW38" s="2018">
        <f>(AW5)-(AW8)</f>
        <v>0</v>
      </c>
      <c r="AX38" s="2018">
        <f>(AX5)-(AX8)</f>
        <v>0</v>
      </c>
      <c r="AY38" s="2018">
        <f>AX38/$AN$89</f>
        <v>0</v>
      </c>
      <c r="AZ38" s="2018"/>
      <c r="BA38" s="2018">
        <f>(BA5)-(BA8)</f>
        <v>0</v>
      </c>
      <c r="BB38" s="2018">
        <f>(BB5)-(BB8)</f>
        <v>0</v>
      </c>
      <c r="BC38" s="2018">
        <f>(BC5)-(BC8)</f>
        <v>0</v>
      </c>
      <c r="BD38" s="2018">
        <f>BC38/$AN$89</f>
        <v>0</v>
      </c>
      <c r="BE38" s="2018"/>
      <c r="BF38" s="2018">
        <f>(BF5)-(BF8)</f>
        <v>0</v>
      </c>
      <c r="BG38" s="2018">
        <f>(BG5)-(BG8)</f>
        <v>0</v>
      </c>
      <c r="BH38" s="2018">
        <f>(BH5)-(BH8)</f>
        <v>0</v>
      </c>
      <c r="BI38" s="2018">
        <f>BH38/$AN$89</f>
        <v>0</v>
      </c>
      <c r="BJ38" s="2018"/>
      <c r="BK38" s="2018">
        <f>(BK5)-(BK8)</f>
        <v>0</v>
      </c>
      <c r="BL38" s="2018">
        <f>(BL5)-(BL8)</f>
        <v>0</v>
      </c>
      <c r="BM38" s="2018">
        <f>(BM5)-(BM8)</f>
        <v>0</v>
      </c>
      <c r="BN38" s="2018">
        <f>BM38/$AN$89</f>
        <v>0</v>
      </c>
      <c r="BO38" s="2018"/>
      <c r="BP38" s="2018">
        <f>(BP5)-(BP8)</f>
        <v>0</v>
      </c>
      <c r="BQ38" s="2018">
        <f>(BQ5)-(BQ8)</f>
        <v>0</v>
      </c>
      <c r="BR38" s="2018">
        <f>(BR5)-(BR8)</f>
        <v>0</v>
      </c>
      <c r="BS38" s="2018">
        <f>BR38/$AN$89</f>
        <v>0</v>
      </c>
      <c r="BT38" s="2018"/>
      <c r="BU38" s="2018">
        <f>(BU5)-(BU8)</f>
        <v>0</v>
      </c>
      <c r="BV38" s="2018">
        <f>(BV5)-(BV8)</f>
        <v>0</v>
      </c>
      <c r="BW38" s="2018">
        <f>(BW5)-(BW8)</f>
        <v>0</v>
      </c>
      <c r="BX38" s="2018">
        <f>BW38/$AN$89</f>
        <v>0</v>
      </c>
      <c r="BY38" s="2018"/>
      <c r="BZ38" s="2018">
        <f>(BZ5)-(BZ8)</f>
        <v>0</v>
      </c>
      <c r="CA38" s="2018">
        <f>(CA5)-(CA8)</f>
        <v>0</v>
      </c>
      <c r="CB38" s="2018">
        <f>(CB5)-(CB8)</f>
        <v>0</v>
      </c>
      <c r="CC38" s="2018">
        <f>CB38/$AN$89</f>
        <v>0</v>
      </c>
      <c r="CD38" s="2018"/>
      <c r="CE38" s="2018">
        <f>(CE5)-(CE8)</f>
        <v>0</v>
      </c>
      <c r="CF38" s="2018">
        <f>(CF5)-(CF8)</f>
        <v>0</v>
      </c>
      <c r="CG38" s="2018">
        <f>(CG5)-(CG8)</f>
        <v>0</v>
      </c>
      <c r="CH38" s="2018">
        <f>CG38/$AN$89</f>
        <v>0</v>
      </c>
      <c r="CI38" s="2018"/>
      <c r="CJ38" s="2018">
        <f>(CJ5)-(CJ8)</f>
        <v>0</v>
      </c>
      <c r="CK38" s="2018">
        <f>(CK5)-(CK8)</f>
        <v>0</v>
      </c>
      <c r="CL38" s="2018">
        <f>(CL5)-(CL8)</f>
        <v>0</v>
      </c>
      <c r="CM38" s="2018">
        <f>CL38/$AN$89</f>
        <v>0</v>
      </c>
      <c r="CN38" s="2018"/>
      <c r="CO38" s="2018">
        <f>(CO5)-(CO8)</f>
        <v>790341.26099999901</v>
      </c>
      <c r="CP38" s="2018">
        <f>(CP5)-(CP8)</f>
        <v>-539337</v>
      </c>
      <c r="CQ38" s="2018">
        <f>(CQ5)-(CQ8)</f>
        <v>251004.26099999901</v>
      </c>
      <c r="CR38" s="2018"/>
      <c r="CS38" s="2018"/>
      <c r="CT38" s="933"/>
    </row>
    <row r="39" spans="1:98" ht="13.8" x14ac:dyDescent="0.25">
      <c r="A39" s="1580"/>
      <c r="B39" s="1423" t="s">
        <v>47</v>
      </c>
      <c r="C39" s="2019">
        <f>C38/(C5)</f>
        <v>0.27369047619047621</v>
      </c>
      <c r="D39" s="2019" t="e">
        <f>D38/(D5)</f>
        <v>#DIV/0!</v>
      </c>
      <c r="E39" s="2020">
        <f>E38/(E5)</f>
        <v>0.1350595238095238</v>
      </c>
      <c r="F39" s="2020"/>
      <c r="G39" s="2020"/>
      <c r="H39" s="2019">
        <f>H38/(H5)</f>
        <v>0.46089686098654709</v>
      </c>
      <c r="I39" s="2019" t="e">
        <f>I38/(I5)</f>
        <v>#DIV/0!</v>
      </c>
      <c r="J39" s="2020">
        <f>J38/(J5)</f>
        <v>-0.52565022421524665</v>
      </c>
      <c r="K39" s="2020">
        <f t="shared" si="48"/>
        <v>-3.6538465551572471E-6</v>
      </c>
      <c r="L39" s="2020"/>
      <c r="M39" s="2019">
        <f>M38/(M5)</f>
        <v>0.14216814943743744</v>
      </c>
      <c r="N39" s="2019" t="e">
        <f>N38/(N5)</f>
        <v>#DIV/0!</v>
      </c>
      <c r="O39" s="2020">
        <f>O38/(O5)</f>
        <v>8.842268374449333E-2</v>
      </c>
      <c r="P39" s="2020">
        <f t="shared" si="3"/>
        <v>1.3789852372412366E-8</v>
      </c>
      <c r="Q39" s="2020"/>
      <c r="R39" s="2019">
        <f>R38/(R5)</f>
        <v>4.4195034427956387E-2</v>
      </c>
      <c r="S39" s="2019" t="e">
        <f>S38/(S5)</f>
        <v>#DIV/0!</v>
      </c>
      <c r="T39" s="2020">
        <f>T38/(T5)</f>
        <v>1.9938891499119305E-2</v>
      </c>
      <c r="U39" s="2020">
        <f t="shared" si="4"/>
        <v>3.1095456346576489E-9</v>
      </c>
      <c r="V39" s="2020"/>
      <c r="W39" s="2019">
        <v>0.66533054713151274</v>
      </c>
      <c r="X39" s="2019" t="e">
        <v>#DIV/0!</v>
      </c>
      <c r="Y39" s="2020">
        <v>0.35042759620692437</v>
      </c>
      <c r="Z39" s="2020">
        <v>5.4650510641323538E-8</v>
      </c>
      <c r="AA39" s="2020"/>
      <c r="AB39" s="2019" t="e">
        <f>AB38/(AB5)</f>
        <v>#DIV/0!</v>
      </c>
      <c r="AC39" s="2019" t="e">
        <f>AC38/(AC5)</f>
        <v>#DIV/0!</v>
      </c>
      <c r="AD39" s="2020" t="e">
        <f>AD38/(AD5)</f>
        <v>#DIV/0!</v>
      </c>
      <c r="AE39" s="2020" t="e">
        <f t="shared" si="49"/>
        <v>#DIV/0!</v>
      </c>
      <c r="AF39" s="2020"/>
      <c r="AG39" s="2019" t="e">
        <f>AG38/(AG5)</f>
        <v>#DIV/0!</v>
      </c>
      <c r="AH39" s="2019" t="e">
        <f>AH38/(AH5)</f>
        <v>#DIV/0!</v>
      </c>
      <c r="AI39" s="2020" t="e">
        <f>AI38/(AI5)</f>
        <v>#DIV/0!</v>
      </c>
      <c r="AJ39" s="2020" t="e">
        <f t="shared" si="50"/>
        <v>#DIV/0!</v>
      </c>
      <c r="AK39" s="2020"/>
      <c r="AL39" s="2019" t="e">
        <f>AL38/(AL5)</f>
        <v>#DIV/0!</v>
      </c>
      <c r="AM39" s="2019" t="e">
        <f>AM38/(AM5)</f>
        <v>#DIV/0!</v>
      </c>
      <c r="AN39" s="2020" t="e">
        <f>AN38/(AN5)</f>
        <v>#DIV/0!</v>
      </c>
      <c r="AO39" s="2020" t="e">
        <f t="shared" si="51"/>
        <v>#DIV/0!</v>
      </c>
      <c r="AP39" s="2020"/>
      <c r="AQ39" s="2019" t="e">
        <f>AQ38/(AQ5)</f>
        <v>#DIV/0!</v>
      </c>
      <c r="AR39" s="2019" t="e">
        <f>AR38/(AR5)</f>
        <v>#DIV/0!</v>
      </c>
      <c r="AS39" s="2020" t="e">
        <f>AS38/(AS5)</f>
        <v>#DIV/0!</v>
      </c>
      <c r="AT39" s="2020" t="e">
        <f>AS39/$AN$89</f>
        <v>#DIV/0!</v>
      </c>
      <c r="AU39" s="2020"/>
      <c r="AV39" s="2019" t="e">
        <f>AV38/(AV5)</f>
        <v>#DIV/0!</v>
      </c>
      <c r="AW39" s="2019" t="e">
        <f>AW38/(AW5)</f>
        <v>#DIV/0!</v>
      </c>
      <c r="AX39" s="2020" t="e">
        <f>AX38/(AX5)</f>
        <v>#DIV/0!</v>
      </c>
      <c r="AY39" s="2020" t="e">
        <f>AX39/$AN$89</f>
        <v>#DIV/0!</v>
      </c>
      <c r="AZ39" s="2020"/>
      <c r="BA39" s="2019" t="e">
        <f>BA38/(BA5)</f>
        <v>#DIV/0!</v>
      </c>
      <c r="BB39" s="2019" t="e">
        <f>BB38/(BB5)</f>
        <v>#DIV/0!</v>
      </c>
      <c r="BC39" s="2020" t="e">
        <f>BC38/(BC5)</f>
        <v>#DIV/0!</v>
      </c>
      <c r="BD39" s="2020" t="e">
        <f>BC39/$AN$89</f>
        <v>#DIV/0!</v>
      </c>
      <c r="BE39" s="2020"/>
      <c r="BF39" s="2019" t="e">
        <f>BF38/(BF5)</f>
        <v>#DIV/0!</v>
      </c>
      <c r="BG39" s="2019" t="e">
        <f>BG38/(BG5)</f>
        <v>#DIV/0!</v>
      </c>
      <c r="BH39" s="2020" t="e">
        <f>BH38/(BH5)</f>
        <v>#DIV/0!</v>
      </c>
      <c r="BI39" s="2020" t="e">
        <f>BH39/$AN$89</f>
        <v>#DIV/0!</v>
      </c>
      <c r="BJ39" s="2020"/>
      <c r="BK39" s="2019" t="e">
        <f>BK38/(BK5)</f>
        <v>#DIV/0!</v>
      </c>
      <c r="BL39" s="2019" t="e">
        <f>BL38/(BL5)</f>
        <v>#DIV/0!</v>
      </c>
      <c r="BM39" s="2020" t="e">
        <f>BM38/(BM5)</f>
        <v>#DIV/0!</v>
      </c>
      <c r="BN39" s="2020" t="e">
        <f>BM39/$AN$89</f>
        <v>#DIV/0!</v>
      </c>
      <c r="BO39" s="2020"/>
      <c r="BP39" s="2019" t="e">
        <f>BP38/(BP5)</f>
        <v>#DIV/0!</v>
      </c>
      <c r="BQ39" s="2019" t="e">
        <f>BQ38/(BQ5)</f>
        <v>#DIV/0!</v>
      </c>
      <c r="BR39" s="2020" t="e">
        <f>BR38/(BR5)</f>
        <v>#DIV/0!</v>
      </c>
      <c r="BS39" s="2020" t="e">
        <f>BR39/$AN$89</f>
        <v>#DIV/0!</v>
      </c>
      <c r="BT39" s="2020"/>
      <c r="BU39" s="2019" t="e">
        <f>BU38/(BU5)</f>
        <v>#DIV/0!</v>
      </c>
      <c r="BV39" s="2019" t="e">
        <f>BV38/(BV5)</f>
        <v>#DIV/0!</v>
      </c>
      <c r="BW39" s="2020" t="e">
        <f>BW38/(BW5)</f>
        <v>#DIV/0!</v>
      </c>
      <c r="BX39" s="2020" t="e">
        <f>BW39/$AN$89</f>
        <v>#DIV/0!</v>
      </c>
      <c r="BY39" s="2020"/>
      <c r="BZ39" s="2019" t="e">
        <f>BZ38/(BZ5)</f>
        <v>#DIV/0!</v>
      </c>
      <c r="CA39" s="2019" t="e">
        <f>CA38/(CA5)</f>
        <v>#DIV/0!</v>
      </c>
      <c r="CB39" s="2020" t="e">
        <f>CB38/(CB5)</f>
        <v>#DIV/0!</v>
      </c>
      <c r="CC39" s="2020" t="e">
        <f>CB39/$AN$89</f>
        <v>#DIV/0!</v>
      </c>
      <c r="CD39" s="2020"/>
      <c r="CE39" s="2019" t="e">
        <f>CE38/(CE5)</f>
        <v>#DIV/0!</v>
      </c>
      <c r="CF39" s="2019" t="e">
        <f>CF38/(CF5)</f>
        <v>#DIV/0!</v>
      </c>
      <c r="CG39" s="2020" t="e">
        <f>CG38/(CG5)</f>
        <v>#DIV/0!</v>
      </c>
      <c r="CH39" s="2020" t="e">
        <f>CG39/$AN$89</f>
        <v>#DIV/0!</v>
      </c>
      <c r="CI39" s="2020"/>
      <c r="CJ39" s="2019" t="e">
        <f>CJ38/(CJ5)</f>
        <v>#DIV/0!</v>
      </c>
      <c r="CK39" s="2019" t="e">
        <f>CK38/(CK5)</f>
        <v>#DIV/0!</v>
      </c>
      <c r="CL39" s="2020" t="e">
        <f>CL38/(CL5)</f>
        <v>#DIV/0!</v>
      </c>
      <c r="CM39" s="2020" t="e">
        <f>CL39/$AN$89</f>
        <v>#DIV/0!</v>
      </c>
      <c r="CN39" s="2020"/>
      <c r="CO39" s="2019">
        <f>CO38/(CO5)</f>
        <v>0.12238142030582581</v>
      </c>
      <c r="CP39" s="2019" t="e">
        <f>CP38/(CP5)</f>
        <v>#DIV/0!</v>
      </c>
      <c r="CQ39" s="2020">
        <f>CQ38/(CQ5)</f>
        <v>3.8867081196200026E-2</v>
      </c>
      <c r="CR39" s="2020"/>
      <c r="CS39" s="2020"/>
      <c r="CT39" s="933"/>
    </row>
    <row r="40" spans="1:98" ht="14.4" thickBot="1" x14ac:dyDescent="0.3">
      <c r="A40" s="1582"/>
      <c r="B40" s="3734"/>
      <c r="C40" s="3735"/>
      <c r="D40" s="3735"/>
      <c r="E40" s="3735"/>
      <c r="F40" s="3735"/>
      <c r="G40" s="3735"/>
      <c r="H40" s="3735"/>
      <c r="I40" s="3735"/>
      <c r="J40" s="3735"/>
      <c r="K40" s="3735">
        <f t="shared" si="48"/>
        <v>0</v>
      </c>
      <c r="L40" s="3735"/>
      <c r="M40" s="3735"/>
      <c r="N40" s="3735"/>
      <c r="O40" s="3735"/>
      <c r="P40" s="3735">
        <f t="shared" si="3"/>
        <v>0</v>
      </c>
      <c r="Q40" s="3735"/>
      <c r="R40" s="3735"/>
      <c r="S40" s="3735"/>
      <c r="T40" s="3735"/>
      <c r="U40" s="3735">
        <f t="shared" si="4"/>
        <v>0</v>
      </c>
      <c r="V40" s="3735"/>
      <c r="W40" s="3735"/>
      <c r="X40" s="3735"/>
      <c r="Y40" s="3735"/>
      <c r="Z40" s="3735">
        <v>0</v>
      </c>
      <c r="AA40" s="3735"/>
      <c r="AB40" s="3735"/>
      <c r="AC40" s="3735"/>
      <c r="AD40" s="3735"/>
      <c r="AE40" s="3735">
        <f t="shared" si="49"/>
        <v>0</v>
      </c>
      <c r="AF40" s="3735"/>
      <c r="AG40" s="3735"/>
      <c r="AH40" s="3735"/>
      <c r="AI40" s="3735"/>
      <c r="AJ40" s="3735">
        <f t="shared" si="50"/>
        <v>0</v>
      </c>
      <c r="AK40" s="3735"/>
      <c r="AL40" s="3735"/>
      <c r="AM40" s="3735"/>
      <c r="AN40" s="3735"/>
      <c r="AO40" s="3735">
        <f t="shared" si="51"/>
        <v>0</v>
      </c>
      <c r="AP40" s="3735"/>
      <c r="AQ40" s="3735"/>
      <c r="AR40" s="3735"/>
      <c r="AS40" s="3735"/>
      <c r="AT40" s="3735"/>
      <c r="AU40" s="3735"/>
      <c r="AV40" s="3735"/>
      <c r="AW40" s="3735"/>
      <c r="AX40" s="3735"/>
      <c r="AY40" s="3735"/>
      <c r="AZ40" s="3735"/>
      <c r="BA40" s="3735"/>
      <c r="BB40" s="3735"/>
      <c r="BC40" s="3735"/>
      <c r="BD40" s="3735"/>
      <c r="BE40" s="3735"/>
      <c r="BF40" s="3735"/>
      <c r="BG40" s="3735"/>
      <c r="BH40" s="3735"/>
      <c r="BI40" s="3735"/>
      <c r="BJ40" s="3735"/>
      <c r="BK40" s="3735"/>
      <c r="BL40" s="3735"/>
      <c r="BM40" s="3735"/>
      <c r="BN40" s="3735"/>
      <c r="BO40" s="3735"/>
      <c r="BP40" s="3735"/>
      <c r="BQ40" s="3735"/>
      <c r="BR40" s="3735"/>
      <c r="BS40" s="3735"/>
      <c r="BT40" s="3735"/>
      <c r="BU40" s="3735"/>
      <c r="BV40" s="3735"/>
      <c r="BW40" s="3735"/>
      <c r="BX40" s="3735"/>
      <c r="BY40" s="3735"/>
      <c r="BZ40" s="3735"/>
      <c r="CA40" s="3735"/>
      <c r="CB40" s="3735"/>
      <c r="CC40" s="3735"/>
      <c r="CD40" s="3735"/>
      <c r="CE40" s="3735"/>
      <c r="CF40" s="3735"/>
      <c r="CG40" s="3735"/>
      <c r="CH40" s="3735"/>
      <c r="CI40" s="3735"/>
      <c r="CJ40" s="3735"/>
      <c r="CK40" s="3735"/>
      <c r="CL40" s="3735"/>
      <c r="CM40" s="3735"/>
      <c r="CN40" s="3735"/>
      <c r="CO40" s="3735"/>
      <c r="CP40" s="3735"/>
      <c r="CQ40" s="3735"/>
      <c r="CR40" s="3735"/>
      <c r="CS40" s="3735"/>
      <c r="CT40" s="933"/>
    </row>
    <row r="41" spans="1:98" ht="13.8" x14ac:dyDescent="0.25">
      <c r="A41" s="1420"/>
      <c r="B41" s="1430" t="s">
        <v>26</v>
      </c>
      <c r="C41" s="2029">
        <f>SUM(C42:C48)</f>
        <v>1948.23</v>
      </c>
      <c r="D41" s="2029">
        <f>SUM(D42:D48)</f>
        <v>21866.940000000002</v>
      </c>
      <c r="E41" s="2030">
        <f>SUM(E42:E48)</f>
        <v>23815.170000000002</v>
      </c>
      <c r="F41" s="3318">
        <f t="shared" ref="F41:F48" si="52">E41/$E$89</f>
        <v>5.1856253768555571E-2</v>
      </c>
      <c r="G41" s="2022"/>
      <c r="H41" s="2029">
        <f>SUM(H42:H48)</f>
        <v>33192.089999999997</v>
      </c>
      <c r="I41" s="2029">
        <f>SUM(I42:I48)</f>
        <v>18661.940000000002</v>
      </c>
      <c r="J41" s="2030">
        <f>SUM(J42:J48)</f>
        <v>51854.03</v>
      </c>
      <c r="K41" s="3318">
        <f t="shared" si="48"/>
        <v>0.36044247706614979</v>
      </c>
      <c r="L41" s="2022"/>
      <c r="M41" s="2029">
        <f>SUM(M42:M48)</f>
        <v>40177.289999999994</v>
      </c>
      <c r="N41" s="2029">
        <f>SUM(N42:N48)</f>
        <v>9653.83</v>
      </c>
      <c r="O41" s="2030">
        <f>SUM(O42:O48)</f>
        <v>49831.119999999995</v>
      </c>
      <c r="P41" s="3318">
        <f t="shared" si="3"/>
        <v>7.7713518664237497E-3</v>
      </c>
      <c r="Q41" s="2022"/>
      <c r="R41" s="2029">
        <f>SUM(R42:R48)</f>
        <v>35933.78</v>
      </c>
      <c r="S41" s="2029">
        <f>SUM(S42:S48)</f>
        <v>28008.17</v>
      </c>
      <c r="T41" s="2030">
        <f>SUM(T42:T48)</f>
        <v>63941.95</v>
      </c>
      <c r="U41" s="3318">
        <f t="shared" si="4"/>
        <v>9.9719892403637347E-3</v>
      </c>
      <c r="V41" s="2022"/>
      <c r="W41" s="2029">
        <v>56387.23</v>
      </c>
      <c r="X41" s="2029">
        <v>58428.66</v>
      </c>
      <c r="Y41" s="2030">
        <v>114815.89000000001</v>
      </c>
      <c r="Z41" s="3318">
        <v>1.7905972834778832E-2</v>
      </c>
      <c r="AA41" s="2022"/>
      <c r="AB41" s="2029">
        <f>SUM(AB42:AB48)</f>
        <v>3624.0610000000001</v>
      </c>
      <c r="AC41" s="2029">
        <f>SUM(AC42:AC48)</f>
        <v>126</v>
      </c>
      <c r="AD41" s="2030">
        <f>SUM(AD42:AD48)</f>
        <v>3750.0610000000001</v>
      </c>
      <c r="AE41" s="3318">
        <f t="shared" si="49"/>
        <v>5.8483621382688007E-4</v>
      </c>
      <c r="AF41" s="2022"/>
      <c r="AG41" s="2029">
        <f>SUM(AG42:AG48)</f>
        <v>1314.96</v>
      </c>
      <c r="AH41" s="2029">
        <f>SUM(AH42:AH48)</f>
        <v>0</v>
      </c>
      <c r="AI41" s="2030">
        <f>SUM(AI42:AI48)</f>
        <v>1314.96</v>
      </c>
      <c r="AJ41" s="3318">
        <f t="shared" si="50"/>
        <v>2.0507299154168271E-4</v>
      </c>
      <c r="AK41" s="2022"/>
      <c r="AL41" s="2029">
        <f>SUM(AL42:AL48)</f>
        <v>1309.1010000000001</v>
      </c>
      <c r="AM41" s="2029">
        <f>SUM(AM42:AM48)</f>
        <v>126</v>
      </c>
      <c r="AN41" s="2030">
        <f>SUM(AN42:AN48)</f>
        <v>1435.1010000000001</v>
      </c>
      <c r="AO41" s="3318">
        <f t="shared" si="51"/>
        <v>3.1248553606591039E-3</v>
      </c>
      <c r="AP41" s="2022"/>
      <c r="AQ41" s="2029">
        <f>SUM(AQ42:AQ48)</f>
        <v>1000</v>
      </c>
      <c r="AR41" s="2029">
        <f>SUM(AR42:AR48)</f>
        <v>0</v>
      </c>
      <c r="AS41" s="2030">
        <f>SUM(AS42:AS48)</f>
        <v>1000</v>
      </c>
      <c r="AT41" s="3318">
        <f t="shared" ref="AT41:AT52" si="53">AS41/$AN$89</f>
        <v>6.9510986333395841E-3</v>
      </c>
      <c r="AU41" s="2022"/>
      <c r="AV41" s="2029">
        <f>SUM(AV42:AV48)</f>
        <v>0</v>
      </c>
      <c r="AW41" s="2029">
        <f>SUM(AW42:AW48)</f>
        <v>0</v>
      </c>
      <c r="AX41" s="2030">
        <f>SUM(AX42:AX48)</f>
        <v>0</v>
      </c>
      <c r="AY41" s="3318">
        <f t="shared" ref="AY41:AY52" si="54">AX41/$AN$89</f>
        <v>0</v>
      </c>
      <c r="AZ41" s="2022"/>
      <c r="BA41" s="2029">
        <f>SUM(BA42:BA48)</f>
        <v>0</v>
      </c>
      <c r="BB41" s="2029">
        <f>SUM(BB42:BB48)</f>
        <v>0</v>
      </c>
      <c r="BC41" s="2030">
        <f>SUM(BC42:BC48)</f>
        <v>0</v>
      </c>
      <c r="BD41" s="3318">
        <f t="shared" ref="BD41:BD52" si="55">BC41/$AN$89</f>
        <v>0</v>
      </c>
      <c r="BE41" s="2022"/>
      <c r="BF41" s="2029">
        <f>SUM(BF42:BF48)</f>
        <v>0</v>
      </c>
      <c r="BG41" s="2029">
        <f>SUM(BG42:BG48)</f>
        <v>0</v>
      </c>
      <c r="BH41" s="2030">
        <f>SUM(BH42:BH48)</f>
        <v>0</v>
      </c>
      <c r="BI41" s="3318">
        <f t="shared" ref="BI41:BI52" si="56">BH41/$AN$89</f>
        <v>0</v>
      </c>
      <c r="BJ41" s="2022"/>
      <c r="BK41" s="2029">
        <f>SUM(BK42:BK48)</f>
        <v>0</v>
      </c>
      <c r="BL41" s="2029">
        <f>SUM(BL42:BL48)</f>
        <v>0</v>
      </c>
      <c r="BM41" s="2030">
        <f>SUM(BM42:BM48)</f>
        <v>0</v>
      </c>
      <c r="BN41" s="3318">
        <f t="shared" ref="BN41:BN52" si="57">BM41/$AN$89</f>
        <v>0</v>
      </c>
      <c r="BO41" s="2022"/>
      <c r="BP41" s="2029">
        <f>SUM(BP42:BP48)</f>
        <v>0</v>
      </c>
      <c r="BQ41" s="2029">
        <f>SUM(BQ42:BQ48)</f>
        <v>0</v>
      </c>
      <c r="BR41" s="2030">
        <f>SUM(BR42:BR48)</f>
        <v>0</v>
      </c>
      <c r="BS41" s="3318">
        <f t="shared" ref="BS41:BS52" si="58">BR41/$AN$89</f>
        <v>0</v>
      </c>
      <c r="BT41" s="2022"/>
      <c r="BU41" s="2029">
        <f>SUM(BU42:BU48)</f>
        <v>0</v>
      </c>
      <c r="BV41" s="2029">
        <f>SUM(BV42:BV48)</f>
        <v>0</v>
      </c>
      <c r="BW41" s="2030">
        <f>SUM(BW42:BW48)</f>
        <v>0</v>
      </c>
      <c r="BX41" s="3318">
        <f t="shared" ref="BX41:BX52" si="59">BW41/$AN$89</f>
        <v>0</v>
      </c>
      <c r="BY41" s="2022"/>
      <c r="BZ41" s="2029">
        <f>SUM(BZ42:BZ48)</f>
        <v>0</v>
      </c>
      <c r="CA41" s="2029">
        <f>SUM(CA42:CA48)</f>
        <v>0</v>
      </c>
      <c r="CB41" s="2030">
        <f>SUM(CB42:CB48)</f>
        <v>0</v>
      </c>
      <c r="CC41" s="3318">
        <f t="shared" ref="CC41:CC52" si="60">CB41/$AN$89</f>
        <v>0</v>
      </c>
      <c r="CD41" s="2022"/>
      <c r="CE41" s="2029">
        <f>SUM(CE42:CE48)</f>
        <v>0</v>
      </c>
      <c r="CF41" s="2029">
        <f>SUM(CF42:CF48)</f>
        <v>0</v>
      </c>
      <c r="CG41" s="2030">
        <f>SUM(CG42:CG48)</f>
        <v>0</v>
      </c>
      <c r="CH41" s="3318">
        <f t="shared" ref="CH41:CH52" si="61">CG41/$AN$89</f>
        <v>0</v>
      </c>
      <c r="CI41" s="2022"/>
      <c r="CJ41" s="2029">
        <f>SUM(CJ42:CJ48)</f>
        <v>0</v>
      </c>
      <c r="CK41" s="2029">
        <f>SUM(CK42:CK48)</f>
        <v>0</v>
      </c>
      <c r="CL41" s="2030">
        <f>SUM(CL42:CL48)</f>
        <v>0</v>
      </c>
      <c r="CM41" s="3318">
        <f t="shared" ref="CM41:CM52" si="62">CL41/$AN$89</f>
        <v>0</v>
      </c>
      <c r="CN41" s="2022"/>
      <c r="CO41" s="2029">
        <f>SUM(CO42:CO48)</f>
        <v>171262.68099999998</v>
      </c>
      <c r="CP41" s="2029">
        <f>SUM(CP42:CP48)</f>
        <v>136745.54</v>
      </c>
      <c r="CQ41" s="2030">
        <f>SUM(CQ42:CQ48)</f>
        <v>308008.22100000002</v>
      </c>
      <c r="CR41" s="3318">
        <f t="shared" ref="CR41:CR71" si="63">CQ41/$CQ$89</f>
        <v>2.6950824791510026E-2</v>
      </c>
      <c r="CS41" s="2022"/>
      <c r="CT41" s="933"/>
    </row>
    <row r="42" spans="1:98" ht="13.8" x14ac:dyDescent="0.25">
      <c r="A42" s="4015"/>
      <c r="B42" s="3319" t="s">
        <v>7</v>
      </c>
      <c r="C42" s="3274"/>
      <c r="D42" s="3274">
        <v>3750</v>
      </c>
      <c r="E42" s="2028">
        <f t="shared" ref="E42:E48" si="64">C42+D42*1</f>
        <v>3750</v>
      </c>
      <c r="F42" s="3284">
        <f t="shared" si="52"/>
        <v>8.1654236199902568E-3</v>
      </c>
      <c r="G42" s="3275" t="s">
        <v>1280</v>
      </c>
      <c r="H42" s="3274"/>
      <c r="I42" s="3274">
        <v>3750</v>
      </c>
      <c r="J42" s="2028">
        <f t="shared" ref="J42:J48" si="65">H42+I42*1</f>
        <v>3750</v>
      </c>
      <c r="K42" s="3284">
        <f t="shared" si="48"/>
        <v>2.6066619875023442E-2</v>
      </c>
      <c r="L42" s="3275"/>
      <c r="M42" s="3274"/>
      <c r="N42" s="3274">
        <v>3000</v>
      </c>
      <c r="O42" s="2028">
        <f t="shared" ref="O42:O48" si="66">M42+N42*1</f>
        <v>3000</v>
      </c>
      <c r="P42" s="3284">
        <f t="shared" si="3"/>
        <v>4.6786136051670625E-4</v>
      </c>
      <c r="Q42" s="3412" t="s">
        <v>1399</v>
      </c>
      <c r="R42" s="3274"/>
      <c r="S42" s="3274">
        <f>1500+750*3</f>
        <v>3750</v>
      </c>
      <c r="T42" s="2028">
        <f t="shared" ref="T42:T48" si="67">R42+S42*1</f>
        <v>3750</v>
      </c>
      <c r="U42" s="3284">
        <f t="shared" si="4"/>
        <v>5.8482670064588288E-4</v>
      </c>
      <c r="V42" s="3276" t="s">
        <v>1492</v>
      </c>
      <c r="W42" s="3274">
        <v>0</v>
      </c>
      <c r="X42" s="3274">
        <v>15000</v>
      </c>
      <c r="Y42" s="2028">
        <v>15000</v>
      </c>
      <c r="Z42" s="3284">
        <v>2.3393068025835315E-3</v>
      </c>
      <c r="AA42" s="3276"/>
      <c r="AB42" s="3274">
        <f t="shared" ref="AB42:AC48" si="68">AG42+AL42+AQ42+AV42+BA42+BF42+BK42+BP42+BU42+BZ42+CE42+CJ42</f>
        <v>0</v>
      </c>
      <c r="AC42" s="3274">
        <f t="shared" si="68"/>
        <v>0</v>
      </c>
      <c r="AD42" s="2028">
        <f t="shared" ref="AD42:AD48" si="69">AB42+AC42*1</f>
        <v>0</v>
      </c>
      <c r="AE42" s="3284">
        <f t="shared" si="49"/>
        <v>0</v>
      </c>
      <c r="AF42" s="3276"/>
      <c r="AG42" s="3274"/>
      <c r="AH42" s="3274"/>
      <c r="AI42" s="2028">
        <f t="shared" ref="AI42:AI48" si="70">AG42+AH42*1</f>
        <v>0</v>
      </c>
      <c r="AJ42" s="3284">
        <f t="shared" si="50"/>
        <v>0</v>
      </c>
      <c r="AK42" s="3276"/>
      <c r="AL42" s="3274"/>
      <c r="AM42" s="3274"/>
      <c r="AN42" s="2028">
        <f t="shared" ref="AN42:AN48" si="71">AL42+AM42*1</f>
        <v>0</v>
      </c>
      <c r="AO42" s="3284">
        <f t="shared" si="51"/>
        <v>0</v>
      </c>
      <c r="AP42" s="3413"/>
      <c r="AQ42" s="3274"/>
      <c r="AR42" s="3274"/>
      <c r="AS42" s="2028">
        <f t="shared" ref="AS42:AS48" si="72">AQ42+AR42*1</f>
        <v>0</v>
      </c>
      <c r="AT42" s="3284">
        <f t="shared" si="53"/>
        <v>0</v>
      </c>
      <c r="AU42" s="3390"/>
      <c r="AV42" s="3274"/>
      <c r="AW42" s="3274"/>
      <c r="AX42" s="2028">
        <f t="shared" ref="AX42:AX48" si="73">AV42+AW42*1</f>
        <v>0</v>
      </c>
      <c r="AY42" s="3284">
        <f t="shared" si="54"/>
        <v>0</v>
      </c>
      <c r="AZ42" s="3275"/>
      <c r="BA42" s="3274"/>
      <c r="BB42" s="3274"/>
      <c r="BC42" s="2028">
        <f t="shared" ref="BC42:BC48" si="74">BA42+BB42*1</f>
        <v>0</v>
      </c>
      <c r="BD42" s="3284">
        <f t="shared" si="55"/>
        <v>0</v>
      </c>
      <c r="BE42" s="3295"/>
      <c r="BF42" s="3274"/>
      <c r="BG42" s="3274"/>
      <c r="BH42" s="2028">
        <f t="shared" ref="BH42:BH48" si="75">BF42+BG42*1</f>
        <v>0</v>
      </c>
      <c r="BI42" s="3284">
        <f t="shared" si="56"/>
        <v>0</v>
      </c>
      <c r="BJ42" s="3295"/>
      <c r="BK42" s="3274"/>
      <c r="BL42" s="3274"/>
      <c r="BM42" s="2028">
        <f t="shared" ref="BM42:BM48" si="76">BK42+BL42*1</f>
        <v>0</v>
      </c>
      <c r="BN42" s="3284">
        <f t="shared" si="57"/>
        <v>0</v>
      </c>
      <c r="BO42" s="3295"/>
      <c r="BP42" s="3274"/>
      <c r="BQ42" s="3274"/>
      <c r="BR42" s="2028">
        <f t="shared" ref="BR42:BR48" si="77">BP42+BQ42*1</f>
        <v>0</v>
      </c>
      <c r="BS42" s="3284">
        <f t="shared" si="58"/>
        <v>0</v>
      </c>
      <c r="BT42" s="3295"/>
      <c r="BU42" s="3274"/>
      <c r="BV42" s="3274"/>
      <c r="BW42" s="2028">
        <f t="shared" ref="BW42:BW48" si="78">BU42+BV42*1</f>
        <v>0</v>
      </c>
      <c r="BX42" s="3284">
        <f t="shared" si="59"/>
        <v>0</v>
      </c>
      <c r="BY42" s="3295"/>
      <c r="BZ42" s="3274"/>
      <c r="CA42" s="3274"/>
      <c r="CB42" s="2028">
        <f t="shared" ref="CB42:CB48" si="79">BZ42+CA42*1</f>
        <v>0</v>
      </c>
      <c r="CC42" s="3284">
        <f t="shared" si="60"/>
        <v>0</v>
      </c>
      <c r="CD42" s="3295"/>
      <c r="CE42" s="3274"/>
      <c r="CF42" s="3274"/>
      <c r="CG42" s="2028">
        <f t="shared" ref="CG42:CG48" si="80">CE42+CF42*1</f>
        <v>0</v>
      </c>
      <c r="CH42" s="3284">
        <f t="shared" si="61"/>
        <v>0</v>
      </c>
      <c r="CI42" s="3295"/>
      <c r="CJ42" s="3274"/>
      <c r="CK42" s="3274"/>
      <c r="CL42" s="2028">
        <f t="shared" ref="CL42:CL48" si="81">CJ42+CK42*1</f>
        <v>0</v>
      </c>
      <c r="CM42" s="3284">
        <f t="shared" si="62"/>
        <v>0</v>
      </c>
      <c r="CN42" s="3295"/>
      <c r="CO42" s="3274">
        <f t="shared" ref="CO42:CP48" si="82">C42+H42+M42+R42+AG42+AL42+AQ42+AV42+BA42+BF42+BK42+BP42+BU42+BZ42+CE42+CJ42+W42</f>
        <v>0</v>
      </c>
      <c r="CP42" s="3274">
        <f t="shared" si="82"/>
        <v>29250</v>
      </c>
      <c r="CQ42" s="2028">
        <f t="shared" ref="CQ42:CQ48" si="83">CO42+CP42*1</f>
        <v>29250</v>
      </c>
      <c r="CR42" s="3284">
        <f t="shared" si="63"/>
        <v>2.55938501443982E-3</v>
      </c>
      <c r="CS42" s="3295"/>
      <c r="CT42" s="933"/>
    </row>
    <row r="43" spans="1:98" ht="13.8" x14ac:dyDescent="0.25">
      <c r="A43" s="4015"/>
      <c r="B43" s="3319" t="s">
        <v>27</v>
      </c>
      <c r="C43" s="3274"/>
      <c r="D43" s="3274"/>
      <c r="E43" s="2028">
        <f t="shared" si="64"/>
        <v>0</v>
      </c>
      <c r="F43" s="3284">
        <f t="shared" si="52"/>
        <v>0</v>
      </c>
      <c r="G43" s="3295"/>
      <c r="H43" s="3274">
        <f>2378</f>
        <v>2378</v>
      </c>
      <c r="I43" s="3274"/>
      <c r="J43" s="2028">
        <f t="shared" si="65"/>
        <v>2378</v>
      </c>
      <c r="K43" s="3284">
        <f t="shared" si="48"/>
        <v>1.6529712550081531E-2</v>
      </c>
      <c r="L43" s="3295"/>
      <c r="M43" s="3274">
        <v>5998.78</v>
      </c>
      <c r="N43" s="3274"/>
      <c r="O43" s="2028">
        <f t="shared" si="66"/>
        <v>5998.78</v>
      </c>
      <c r="P43" s="3284">
        <f t="shared" si="3"/>
        <v>9.3553245741346907E-4</v>
      </c>
      <c r="Q43" s="3295"/>
      <c r="R43" s="3274">
        <v>4943.55</v>
      </c>
      <c r="S43" s="3274"/>
      <c r="T43" s="2028">
        <f t="shared" si="67"/>
        <v>4943.55</v>
      </c>
      <c r="U43" s="3284">
        <f t="shared" si="4"/>
        <v>7.7096534292745442E-4</v>
      </c>
      <c r="V43" s="3276" t="s">
        <v>1496</v>
      </c>
      <c r="W43" s="3274">
        <v>7142.77</v>
      </c>
      <c r="X43" s="3274">
        <v>404.5</v>
      </c>
      <c r="Y43" s="2028">
        <v>7547.27</v>
      </c>
      <c r="Z43" s="3284">
        <v>1.1770253367956406E-3</v>
      </c>
      <c r="AA43" s="3276"/>
      <c r="AB43" s="3274">
        <f t="shared" si="68"/>
        <v>0</v>
      </c>
      <c r="AC43" s="3274">
        <f t="shared" si="68"/>
        <v>0</v>
      </c>
      <c r="AD43" s="2028">
        <f t="shared" si="69"/>
        <v>0</v>
      </c>
      <c r="AE43" s="3284">
        <f t="shared" si="49"/>
        <v>0</v>
      </c>
      <c r="AF43" s="3276"/>
      <c r="AG43" s="3274"/>
      <c r="AH43" s="3274"/>
      <c r="AI43" s="2028">
        <f t="shared" si="70"/>
        <v>0</v>
      </c>
      <c r="AJ43" s="3284">
        <f t="shared" si="50"/>
        <v>0</v>
      </c>
      <c r="AK43" s="3276"/>
      <c r="AL43" s="3274"/>
      <c r="AM43" s="3274"/>
      <c r="AN43" s="2028">
        <f t="shared" si="71"/>
        <v>0</v>
      </c>
      <c r="AO43" s="3284">
        <f t="shared" si="51"/>
        <v>0</v>
      </c>
      <c r="AP43" s="3297"/>
      <c r="AQ43" s="3274"/>
      <c r="AR43" s="3274"/>
      <c r="AS43" s="2028">
        <f t="shared" si="72"/>
        <v>0</v>
      </c>
      <c r="AT43" s="3284">
        <f t="shared" si="53"/>
        <v>0</v>
      </c>
      <c r="AU43" s="3390"/>
      <c r="AV43" s="3274"/>
      <c r="AW43" s="3274"/>
      <c r="AX43" s="2028">
        <f t="shared" si="73"/>
        <v>0</v>
      </c>
      <c r="AY43" s="3284">
        <f t="shared" si="54"/>
        <v>0</v>
      </c>
      <c r="AZ43" s="3275"/>
      <c r="BA43" s="3274"/>
      <c r="BB43" s="3274"/>
      <c r="BC43" s="2028">
        <f t="shared" si="74"/>
        <v>0</v>
      </c>
      <c r="BD43" s="3284">
        <f t="shared" si="55"/>
        <v>0</v>
      </c>
      <c r="BE43" s="3295"/>
      <c r="BF43" s="3274"/>
      <c r="BG43" s="3274"/>
      <c r="BH43" s="2028">
        <f t="shared" si="75"/>
        <v>0</v>
      </c>
      <c r="BI43" s="3284">
        <f t="shared" si="56"/>
        <v>0</v>
      </c>
      <c r="BJ43" s="3295"/>
      <c r="BK43" s="3274"/>
      <c r="BL43" s="3274"/>
      <c r="BM43" s="2028">
        <f t="shared" si="76"/>
        <v>0</v>
      </c>
      <c r="BN43" s="3284">
        <f t="shared" si="57"/>
        <v>0</v>
      </c>
      <c r="BO43" s="3295"/>
      <c r="BP43" s="3274"/>
      <c r="BQ43" s="3274"/>
      <c r="BR43" s="2028">
        <f t="shared" si="77"/>
        <v>0</v>
      </c>
      <c r="BS43" s="3284">
        <f t="shared" si="58"/>
        <v>0</v>
      </c>
      <c r="BT43" s="3295"/>
      <c r="BU43" s="3274"/>
      <c r="BV43" s="3274"/>
      <c r="BW43" s="2028">
        <f t="shared" si="78"/>
        <v>0</v>
      </c>
      <c r="BX43" s="3284">
        <f t="shared" si="59"/>
        <v>0</v>
      </c>
      <c r="BY43" s="3295"/>
      <c r="BZ43" s="3274"/>
      <c r="CA43" s="3274"/>
      <c r="CB43" s="2028">
        <f t="shared" si="79"/>
        <v>0</v>
      </c>
      <c r="CC43" s="3284">
        <f t="shared" si="60"/>
        <v>0</v>
      </c>
      <c r="CD43" s="3295"/>
      <c r="CE43" s="3274"/>
      <c r="CF43" s="3274"/>
      <c r="CG43" s="2028">
        <f t="shared" si="80"/>
        <v>0</v>
      </c>
      <c r="CH43" s="3284">
        <f t="shared" si="61"/>
        <v>0</v>
      </c>
      <c r="CI43" s="3295"/>
      <c r="CJ43" s="3274"/>
      <c r="CK43" s="3274"/>
      <c r="CL43" s="2028">
        <f t="shared" si="81"/>
        <v>0</v>
      </c>
      <c r="CM43" s="3284">
        <f t="shared" si="62"/>
        <v>0</v>
      </c>
      <c r="CN43" s="3295"/>
      <c r="CO43" s="3274">
        <f t="shared" si="82"/>
        <v>20463.099999999999</v>
      </c>
      <c r="CP43" s="3274">
        <f t="shared" si="82"/>
        <v>404.5</v>
      </c>
      <c r="CQ43" s="2028">
        <f t="shared" si="83"/>
        <v>20867.599999999999</v>
      </c>
      <c r="CR43" s="3284">
        <f t="shared" si="63"/>
        <v>1.8259221445239104E-3</v>
      </c>
      <c r="CS43" s="3295"/>
      <c r="CT43" s="933"/>
    </row>
    <row r="44" spans="1:98" ht="72" x14ac:dyDescent="0.25">
      <c r="A44" s="4015"/>
      <c r="B44" s="3310" t="s">
        <v>28</v>
      </c>
      <c r="C44" s="3274"/>
      <c r="D44" s="3274">
        <f>3200+3886.94+3360+7600</f>
        <v>18046.940000000002</v>
      </c>
      <c r="E44" s="2028">
        <f t="shared" si="64"/>
        <v>18046.940000000002</v>
      </c>
      <c r="F44" s="3284">
        <f t="shared" si="52"/>
        <v>3.9296242705212529E-2</v>
      </c>
      <c r="G44" s="3275" t="s">
        <v>1281</v>
      </c>
      <c r="H44" s="3274">
        <f>550+1145+19190</f>
        <v>20885</v>
      </c>
      <c r="I44" s="3274">
        <f>2000+12911.94</f>
        <v>14911.94</v>
      </c>
      <c r="J44" s="2028">
        <f t="shared" si="65"/>
        <v>35796.94</v>
      </c>
      <c r="K44" s="3284">
        <f t="shared" si="48"/>
        <v>0.24882806071173913</v>
      </c>
      <c r="L44" s="3275"/>
      <c r="M44" s="3274">
        <v>25000</v>
      </c>
      <c r="N44" s="3283">
        <f>3901.5+952.33+1800</f>
        <v>6653.83</v>
      </c>
      <c r="O44" s="2028">
        <f t="shared" si="66"/>
        <v>31653.83</v>
      </c>
      <c r="P44" s="3284">
        <f t="shared" si="3"/>
        <v>4.9365346564548447E-3</v>
      </c>
      <c r="Q44" s="3412" t="s">
        <v>1400</v>
      </c>
      <c r="R44" s="3274">
        <f>23800+75.76</f>
        <v>23875.759999999998</v>
      </c>
      <c r="S44" s="3274">
        <f>2300+16950+3901.5+976.67</f>
        <v>24128.17</v>
      </c>
      <c r="T44" s="2028">
        <f t="shared" si="67"/>
        <v>48003.929999999993</v>
      </c>
      <c r="U44" s="3284">
        <f t="shared" si="4"/>
        <v>7.4863946666495762E-3</v>
      </c>
      <c r="V44" s="3276" t="s">
        <v>1497</v>
      </c>
      <c r="W44" s="3274">
        <v>9163.73</v>
      </c>
      <c r="X44" s="3274">
        <v>42799.16</v>
      </c>
      <c r="Y44" s="2028">
        <v>51962.89</v>
      </c>
      <c r="Z44" s="3284">
        <v>8.1038094705933161E-3</v>
      </c>
      <c r="AA44" s="3276"/>
      <c r="AB44" s="3274">
        <f t="shared" si="68"/>
        <v>1628.9960000000001</v>
      </c>
      <c r="AC44" s="3274">
        <f t="shared" si="68"/>
        <v>0</v>
      </c>
      <c r="AD44" s="2028">
        <f t="shared" si="69"/>
        <v>1628.9960000000001</v>
      </c>
      <c r="AE44" s="3284">
        <f t="shared" si="49"/>
        <v>2.5404809494542418E-4</v>
      </c>
      <c r="AF44" s="3276"/>
      <c r="AG44" s="3274">
        <v>350</v>
      </c>
      <c r="AH44" s="3274"/>
      <c r="AI44" s="2028">
        <f t="shared" si="70"/>
        <v>350</v>
      </c>
      <c r="AJ44" s="3284">
        <f t="shared" si="50"/>
        <v>5.4583825393615729E-5</v>
      </c>
      <c r="AK44" s="3276" t="s">
        <v>2129</v>
      </c>
      <c r="AL44" s="3274">
        <f>(190.83*1.2)+350</f>
        <v>578.99599999999998</v>
      </c>
      <c r="AM44" s="3274"/>
      <c r="AN44" s="2028">
        <f t="shared" si="71"/>
        <v>578.99599999999998</v>
      </c>
      <c r="AO44" s="3284">
        <f t="shared" si="51"/>
        <v>1.2607326971413009E-3</v>
      </c>
      <c r="AP44" s="3276" t="s">
        <v>2174</v>
      </c>
      <c r="AQ44" s="3274">
        <v>700</v>
      </c>
      <c r="AR44" s="3274"/>
      <c r="AS44" s="2028">
        <f t="shared" si="72"/>
        <v>700</v>
      </c>
      <c r="AT44" s="3284">
        <f t="shared" si="53"/>
        <v>4.8657690433377091E-3</v>
      </c>
      <c r="AU44" s="3390" t="s">
        <v>2199</v>
      </c>
      <c r="AV44" s="3274"/>
      <c r="AW44" s="3274"/>
      <c r="AX44" s="2028">
        <f t="shared" si="73"/>
        <v>0</v>
      </c>
      <c r="AY44" s="3284">
        <f t="shared" si="54"/>
        <v>0</v>
      </c>
      <c r="AZ44" s="3275"/>
      <c r="BA44" s="3274"/>
      <c r="BB44" s="3274"/>
      <c r="BC44" s="2028">
        <f t="shared" si="74"/>
        <v>0</v>
      </c>
      <c r="BD44" s="3284">
        <f t="shared" si="55"/>
        <v>0</v>
      </c>
      <c r="BE44" s="3295"/>
      <c r="BF44" s="3274"/>
      <c r="BG44" s="3274"/>
      <c r="BH44" s="2028">
        <f t="shared" si="75"/>
        <v>0</v>
      </c>
      <c r="BI44" s="3284">
        <f t="shared" si="56"/>
        <v>0</v>
      </c>
      <c r="BJ44" s="3295"/>
      <c r="BK44" s="3274"/>
      <c r="BL44" s="3274"/>
      <c r="BM44" s="2028">
        <f t="shared" si="76"/>
        <v>0</v>
      </c>
      <c r="BN44" s="3284">
        <f t="shared" si="57"/>
        <v>0</v>
      </c>
      <c r="BO44" s="3295"/>
      <c r="BP44" s="3274"/>
      <c r="BQ44" s="3274"/>
      <c r="BR44" s="2028">
        <f t="shared" si="77"/>
        <v>0</v>
      </c>
      <c r="BS44" s="3284">
        <f t="shared" si="58"/>
        <v>0</v>
      </c>
      <c r="BT44" s="3295"/>
      <c r="BU44" s="3274"/>
      <c r="BV44" s="3274"/>
      <c r="BW44" s="2028">
        <f t="shared" si="78"/>
        <v>0</v>
      </c>
      <c r="BX44" s="3284">
        <f t="shared" si="59"/>
        <v>0</v>
      </c>
      <c r="BY44" s="3295"/>
      <c r="BZ44" s="3274"/>
      <c r="CA44" s="3274"/>
      <c r="CB44" s="2028">
        <f t="shared" si="79"/>
        <v>0</v>
      </c>
      <c r="CC44" s="3284">
        <f t="shared" si="60"/>
        <v>0</v>
      </c>
      <c r="CD44" s="3295"/>
      <c r="CE44" s="3274"/>
      <c r="CF44" s="3274"/>
      <c r="CG44" s="2028">
        <f t="shared" si="80"/>
        <v>0</v>
      </c>
      <c r="CH44" s="3284">
        <f t="shared" si="61"/>
        <v>0</v>
      </c>
      <c r="CI44" s="3295"/>
      <c r="CJ44" s="3274"/>
      <c r="CK44" s="3274"/>
      <c r="CL44" s="2028">
        <f t="shared" si="81"/>
        <v>0</v>
      </c>
      <c r="CM44" s="3284">
        <f t="shared" si="62"/>
        <v>0</v>
      </c>
      <c r="CN44" s="3295"/>
      <c r="CO44" s="3274">
        <f t="shared" si="82"/>
        <v>80553.48599999999</v>
      </c>
      <c r="CP44" s="3274">
        <f t="shared" si="82"/>
        <v>106540.04000000001</v>
      </c>
      <c r="CQ44" s="2028">
        <f t="shared" si="83"/>
        <v>187093.52600000001</v>
      </c>
      <c r="CR44" s="3284">
        <f t="shared" si="63"/>
        <v>1.6370747580960916E-2</v>
      </c>
      <c r="CS44" s="3295"/>
      <c r="CT44" s="933"/>
    </row>
    <row r="45" spans="1:98" ht="13.8" x14ac:dyDescent="0.25">
      <c r="A45" s="4015"/>
      <c r="B45" s="3319" t="s">
        <v>8</v>
      </c>
      <c r="C45" s="3274"/>
      <c r="D45" s="3274"/>
      <c r="E45" s="2028">
        <f t="shared" si="64"/>
        <v>0</v>
      </c>
      <c r="F45" s="3284">
        <f t="shared" si="52"/>
        <v>0</v>
      </c>
      <c r="G45" s="3295"/>
      <c r="H45" s="3274">
        <f>1150</f>
        <v>1150</v>
      </c>
      <c r="I45" s="3274"/>
      <c r="J45" s="2028">
        <f t="shared" si="65"/>
        <v>1150</v>
      </c>
      <c r="K45" s="3284">
        <f t="shared" si="48"/>
        <v>7.993763428340522E-3</v>
      </c>
      <c r="L45" s="3295"/>
      <c r="M45" s="3274">
        <f>690</f>
        <v>690</v>
      </c>
      <c r="N45" s="3274"/>
      <c r="O45" s="2028">
        <f t="shared" si="66"/>
        <v>690</v>
      </c>
      <c r="P45" s="3284">
        <f t="shared" si="3"/>
        <v>1.0760811291884244E-4</v>
      </c>
      <c r="Q45" s="3295"/>
      <c r="R45" s="3274">
        <v>1150</v>
      </c>
      <c r="S45" s="3274"/>
      <c r="T45" s="2028">
        <f t="shared" si="67"/>
        <v>1150</v>
      </c>
      <c r="U45" s="3284">
        <f t="shared" si="4"/>
        <v>1.7934685486473739E-4</v>
      </c>
      <c r="V45" s="3295"/>
      <c r="W45" s="3274">
        <v>3680</v>
      </c>
      <c r="X45" s="3274">
        <v>0</v>
      </c>
      <c r="Y45" s="2028">
        <v>3680</v>
      </c>
      <c r="Z45" s="3284">
        <v>5.7390993556715971E-4</v>
      </c>
      <c r="AA45" s="3295"/>
      <c r="AB45" s="3274">
        <f t="shared" si="68"/>
        <v>0</v>
      </c>
      <c r="AC45" s="3274">
        <f t="shared" si="68"/>
        <v>0</v>
      </c>
      <c r="AD45" s="2028">
        <f t="shared" si="69"/>
        <v>0</v>
      </c>
      <c r="AE45" s="3284">
        <f t="shared" si="49"/>
        <v>0</v>
      </c>
      <c r="AF45" s="3295"/>
      <c r="AG45" s="3274"/>
      <c r="AH45" s="3274"/>
      <c r="AI45" s="2028">
        <f t="shared" si="70"/>
        <v>0</v>
      </c>
      <c r="AJ45" s="3284">
        <f t="shared" si="50"/>
        <v>0</v>
      </c>
      <c r="AK45" s="3295"/>
      <c r="AL45" s="3274"/>
      <c r="AM45" s="3274"/>
      <c r="AN45" s="2028">
        <f t="shared" si="71"/>
        <v>0</v>
      </c>
      <c r="AO45" s="3284">
        <f t="shared" si="51"/>
        <v>0</v>
      </c>
      <c r="AP45" s="3297"/>
      <c r="AQ45" s="3274"/>
      <c r="AR45" s="3274"/>
      <c r="AS45" s="2028">
        <f t="shared" si="72"/>
        <v>0</v>
      </c>
      <c r="AT45" s="3284">
        <f t="shared" si="53"/>
        <v>0</v>
      </c>
      <c r="AU45" s="3295"/>
      <c r="AV45" s="3274"/>
      <c r="AW45" s="3274"/>
      <c r="AX45" s="2028">
        <f t="shared" si="73"/>
        <v>0</v>
      </c>
      <c r="AY45" s="3284">
        <f t="shared" si="54"/>
        <v>0</v>
      </c>
      <c r="AZ45" s="3275"/>
      <c r="BA45" s="3274"/>
      <c r="BB45" s="3274"/>
      <c r="BC45" s="2028">
        <f t="shared" si="74"/>
        <v>0</v>
      </c>
      <c r="BD45" s="3284">
        <f t="shared" si="55"/>
        <v>0</v>
      </c>
      <c r="BE45" s="3295"/>
      <c r="BF45" s="3274"/>
      <c r="BG45" s="3274"/>
      <c r="BH45" s="2028">
        <f t="shared" si="75"/>
        <v>0</v>
      </c>
      <c r="BI45" s="3284">
        <f t="shared" si="56"/>
        <v>0</v>
      </c>
      <c r="BJ45" s="3295"/>
      <c r="BK45" s="3274"/>
      <c r="BL45" s="3274"/>
      <c r="BM45" s="2028">
        <f t="shared" si="76"/>
        <v>0</v>
      </c>
      <c r="BN45" s="3284">
        <f t="shared" si="57"/>
        <v>0</v>
      </c>
      <c r="BO45" s="3295"/>
      <c r="BP45" s="3274"/>
      <c r="BQ45" s="3274"/>
      <c r="BR45" s="2028">
        <f t="shared" si="77"/>
        <v>0</v>
      </c>
      <c r="BS45" s="3284">
        <f t="shared" si="58"/>
        <v>0</v>
      </c>
      <c r="BT45" s="3295"/>
      <c r="BU45" s="3274"/>
      <c r="BV45" s="3274"/>
      <c r="BW45" s="2028">
        <f t="shared" si="78"/>
        <v>0</v>
      </c>
      <c r="BX45" s="3284">
        <f t="shared" si="59"/>
        <v>0</v>
      </c>
      <c r="BY45" s="3295"/>
      <c r="BZ45" s="3274"/>
      <c r="CA45" s="3274"/>
      <c r="CB45" s="2028">
        <f t="shared" si="79"/>
        <v>0</v>
      </c>
      <c r="CC45" s="3284">
        <f t="shared" si="60"/>
        <v>0</v>
      </c>
      <c r="CD45" s="3295"/>
      <c r="CE45" s="3274"/>
      <c r="CF45" s="3274"/>
      <c r="CG45" s="2028">
        <f t="shared" si="80"/>
        <v>0</v>
      </c>
      <c r="CH45" s="3284">
        <f t="shared" si="61"/>
        <v>0</v>
      </c>
      <c r="CI45" s="3295"/>
      <c r="CJ45" s="3274"/>
      <c r="CK45" s="3274"/>
      <c r="CL45" s="2028">
        <f t="shared" si="81"/>
        <v>0</v>
      </c>
      <c r="CM45" s="3284">
        <f t="shared" si="62"/>
        <v>0</v>
      </c>
      <c r="CN45" s="3295"/>
      <c r="CO45" s="3274">
        <f t="shared" si="82"/>
        <v>6670</v>
      </c>
      <c r="CP45" s="3274">
        <f t="shared" si="82"/>
        <v>0</v>
      </c>
      <c r="CQ45" s="2028">
        <f t="shared" si="83"/>
        <v>6670</v>
      </c>
      <c r="CR45" s="3284">
        <f t="shared" si="63"/>
        <v>5.8362728363465296E-4</v>
      </c>
      <c r="CS45" s="3295"/>
      <c r="CT45" s="933"/>
    </row>
    <row r="46" spans="1:98" ht="13.8" x14ac:dyDescent="0.25">
      <c r="A46" s="4015"/>
      <c r="B46" s="3319" t="s">
        <v>29</v>
      </c>
      <c r="C46" s="3274"/>
      <c r="D46" s="3274"/>
      <c r="E46" s="2028">
        <f t="shared" si="64"/>
        <v>0</v>
      </c>
      <c r="F46" s="3284">
        <f t="shared" si="52"/>
        <v>0</v>
      </c>
      <c r="G46" s="3295"/>
      <c r="H46" s="3274">
        <f>507.81</f>
        <v>507.81</v>
      </c>
      <c r="I46" s="3274"/>
      <c r="J46" s="2028">
        <f t="shared" si="65"/>
        <v>507.81</v>
      </c>
      <c r="K46" s="3284">
        <f t="shared" si="48"/>
        <v>3.5298373969961743E-3</v>
      </c>
      <c r="L46" s="3295"/>
      <c r="M46" s="3274">
        <v>462.82</v>
      </c>
      <c r="N46" s="3274"/>
      <c r="O46" s="2028">
        <f t="shared" si="66"/>
        <v>462.82</v>
      </c>
      <c r="P46" s="3284">
        <f t="shared" si="3"/>
        <v>7.2178531624780668E-5</v>
      </c>
      <c r="Q46" s="3295"/>
      <c r="R46" s="3274">
        <v>496.11</v>
      </c>
      <c r="S46" s="3274"/>
      <c r="T46" s="2028">
        <f t="shared" si="67"/>
        <v>496.11</v>
      </c>
      <c r="U46" s="3284">
        <f t="shared" si="4"/>
        <v>7.7370233188647712E-5</v>
      </c>
      <c r="V46" s="3295">
        <v>0.5</v>
      </c>
      <c r="W46" s="3274">
        <v>1508.2</v>
      </c>
      <c r="X46" s="3274">
        <v>0</v>
      </c>
      <c r="Y46" s="2028">
        <v>1508.2</v>
      </c>
      <c r="Z46" s="3284">
        <v>2.3520950131043213E-4</v>
      </c>
      <c r="AA46" s="3295"/>
      <c r="AB46" s="3274">
        <f t="shared" si="68"/>
        <v>0</v>
      </c>
      <c r="AC46" s="3274">
        <f t="shared" si="68"/>
        <v>0</v>
      </c>
      <c r="AD46" s="2028">
        <f t="shared" si="69"/>
        <v>0</v>
      </c>
      <c r="AE46" s="3284">
        <f t="shared" si="49"/>
        <v>0</v>
      </c>
      <c r="AF46" s="3295"/>
      <c r="AG46" s="3274"/>
      <c r="AH46" s="3274"/>
      <c r="AI46" s="2028">
        <f t="shared" si="70"/>
        <v>0</v>
      </c>
      <c r="AJ46" s="3284">
        <f t="shared" si="50"/>
        <v>0</v>
      </c>
      <c r="AK46" s="3295"/>
      <c r="AL46" s="3274"/>
      <c r="AM46" s="3274"/>
      <c r="AN46" s="2028">
        <f t="shared" si="71"/>
        <v>0</v>
      </c>
      <c r="AO46" s="3284">
        <f t="shared" si="51"/>
        <v>0</v>
      </c>
      <c r="AP46" s="3297"/>
      <c r="AQ46" s="3274"/>
      <c r="AR46" s="3274"/>
      <c r="AS46" s="2028">
        <f t="shared" si="72"/>
        <v>0</v>
      </c>
      <c r="AT46" s="3284">
        <f t="shared" si="53"/>
        <v>0</v>
      </c>
      <c r="AU46" s="3295"/>
      <c r="AV46" s="3274"/>
      <c r="AW46" s="3274"/>
      <c r="AX46" s="2028">
        <f t="shared" si="73"/>
        <v>0</v>
      </c>
      <c r="AY46" s="3284">
        <f t="shared" si="54"/>
        <v>0</v>
      </c>
      <c r="AZ46" s="3275"/>
      <c r="BA46" s="3274"/>
      <c r="BB46" s="3274"/>
      <c r="BC46" s="2028">
        <f t="shared" si="74"/>
        <v>0</v>
      </c>
      <c r="BD46" s="3284">
        <f t="shared" si="55"/>
        <v>0</v>
      </c>
      <c r="BE46" s="3295"/>
      <c r="BF46" s="3274"/>
      <c r="BG46" s="3274"/>
      <c r="BH46" s="2028">
        <f t="shared" si="75"/>
        <v>0</v>
      </c>
      <c r="BI46" s="3284">
        <f t="shared" si="56"/>
        <v>0</v>
      </c>
      <c r="BJ46" s="3295"/>
      <c r="BK46" s="3274"/>
      <c r="BL46" s="3274"/>
      <c r="BM46" s="2028">
        <f t="shared" si="76"/>
        <v>0</v>
      </c>
      <c r="BN46" s="3284">
        <f t="shared" si="57"/>
        <v>0</v>
      </c>
      <c r="BO46" s="3295"/>
      <c r="BP46" s="3274"/>
      <c r="BQ46" s="3274"/>
      <c r="BR46" s="2028">
        <f t="shared" si="77"/>
        <v>0</v>
      </c>
      <c r="BS46" s="3284">
        <f t="shared" si="58"/>
        <v>0</v>
      </c>
      <c r="BT46" s="3295"/>
      <c r="BU46" s="3274"/>
      <c r="BV46" s="3274"/>
      <c r="BW46" s="2028">
        <f t="shared" si="78"/>
        <v>0</v>
      </c>
      <c r="BX46" s="3284">
        <f t="shared" si="59"/>
        <v>0</v>
      </c>
      <c r="BY46" s="3295"/>
      <c r="BZ46" s="3274"/>
      <c r="CA46" s="3274"/>
      <c r="CB46" s="2028">
        <f t="shared" si="79"/>
        <v>0</v>
      </c>
      <c r="CC46" s="3284">
        <f t="shared" si="60"/>
        <v>0</v>
      </c>
      <c r="CD46" s="3295"/>
      <c r="CE46" s="3274"/>
      <c r="CF46" s="3274"/>
      <c r="CG46" s="2028">
        <f t="shared" si="80"/>
        <v>0</v>
      </c>
      <c r="CH46" s="3284">
        <f t="shared" si="61"/>
        <v>0</v>
      </c>
      <c r="CI46" s="3295"/>
      <c r="CJ46" s="3274"/>
      <c r="CK46" s="3274"/>
      <c r="CL46" s="2028">
        <f t="shared" si="81"/>
        <v>0</v>
      </c>
      <c r="CM46" s="3284">
        <f t="shared" si="62"/>
        <v>0</v>
      </c>
      <c r="CN46" s="3295"/>
      <c r="CO46" s="3274">
        <f t="shared" si="82"/>
        <v>2974.94</v>
      </c>
      <c r="CP46" s="3274">
        <f t="shared" si="82"/>
        <v>0</v>
      </c>
      <c r="CQ46" s="2028">
        <f t="shared" si="83"/>
        <v>2974.94</v>
      </c>
      <c r="CR46" s="3284">
        <f t="shared" si="63"/>
        <v>2.6030826854214008E-4</v>
      </c>
      <c r="CS46" s="3295"/>
      <c r="CT46" s="933"/>
    </row>
    <row r="47" spans="1:98" ht="24" x14ac:dyDescent="0.25">
      <c r="A47" s="4015"/>
      <c r="B47" s="3319" t="s">
        <v>30</v>
      </c>
      <c r="C47" s="3274">
        <v>1948.23</v>
      </c>
      <c r="D47" s="3274">
        <v>70</v>
      </c>
      <c r="E47" s="2028">
        <f t="shared" si="64"/>
        <v>2018.23</v>
      </c>
      <c r="F47" s="3284">
        <f t="shared" si="52"/>
        <v>4.3945874433527835E-3</v>
      </c>
      <c r="G47" s="3275" t="s">
        <v>1282</v>
      </c>
      <c r="H47" s="3274">
        <f>1243.14</f>
        <v>1243.1400000000001</v>
      </c>
      <c r="I47" s="3274"/>
      <c r="J47" s="2028">
        <f t="shared" si="65"/>
        <v>1243.1400000000001</v>
      </c>
      <c r="K47" s="3284">
        <f t="shared" si="48"/>
        <v>8.641188755049772E-3</v>
      </c>
      <c r="L47" s="3275"/>
      <c r="M47" s="3274">
        <v>1636.1</v>
      </c>
      <c r="N47" s="3274"/>
      <c r="O47" s="2028">
        <f t="shared" si="66"/>
        <v>1636.1</v>
      </c>
      <c r="P47" s="3284">
        <f t="shared" si="3"/>
        <v>2.5515599064712772E-4</v>
      </c>
      <c r="Q47" s="3412" t="s">
        <v>486</v>
      </c>
      <c r="R47" s="3274">
        <v>1501.13</v>
      </c>
      <c r="S47" s="3274">
        <v>130</v>
      </c>
      <c r="T47" s="2028">
        <f t="shared" si="67"/>
        <v>1631.13</v>
      </c>
      <c r="U47" s="3284">
        <f t="shared" si="4"/>
        <v>2.5438090032653838E-4</v>
      </c>
      <c r="V47" s="3276" t="s">
        <v>486</v>
      </c>
      <c r="W47" s="3274">
        <v>16509.18</v>
      </c>
      <c r="X47" s="3274">
        <v>225</v>
      </c>
      <c r="Y47" s="2028">
        <v>16734.18</v>
      </c>
      <c r="Z47" s="3284">
        <v>2.6097587406438186E-3</v>
      </c>
      <c r="AA47" s="3276"/>
      <c r="AB47" s="3274">
        <f t="shared" si="68"/>
        <v>1995.0650000000001</v>
      </c>
      <c r="AC47" s="3274">
        <f t="shared" si="68"/>
        <v>126</v>
      </c>
      <c r="AD47" s="2028">
        <f t="shared" si="69"/>
        <v>2121.0650000000001</v>
      </c>
      <c r="AE47" s="3284">
        <f t="shared" si="49"/>
        <v>3.3078811888145589E-4</v>
      </c>
      <c r="AF47" s="3276"/>
      <c r="AG47" s="3274">
        <f>1929.92/2</f>
        <v>964.96</v>
      </c>
      <c r="AH47" s="3274"/>
      <c r="AI47" s="2028">
        <f t="shared" si="70"/>
        <v>964.96</v>
      </c>
      <c r="AJ47" s="3284">
        <f t="shared" si="50"/>
        <v>1.5048916614806697E-4</v>
      </c>
      <c r="AK47" s="3276" t="s">
        <v>2130</v>
      </c>
      <c r="AL47" s="3274">
        <f>1460.21/2</f>
        <v>730.10500000000002</v>
      </c>
      <c r="AM47" s="3274">
        <v>126</v>
      </c>
      <c r="AN47" s="2028">
        <f t="shared" si="71"/>
        <v>856.10500000000002</v>
      </c>
      <c r="AO47" s="3284">
        <f t="shared" si="51"/>
        <v>1.8641226635178025E-3</v>
      </c>
      <c r="AP47" s="3291" t="s">
        <v>2173</v>
      </c>
      <c r="AQ47" s="3274">
        <v>300</v>
      </c>
      <c r="AR47" s="3274"/>
      <c r="AS47" s="2028">
        <f t="shared" si="72"/>
        <v>300</v>
      </c>
      <c r="AT47" s="3284">
        <f t="shared" si="53"/>
        <v>2.0853295900018754E-3</v>
      </c>
      <c r="AU47" s="3295" t="s">
        <v>486</v>
      </c>
      <c r="AV47" s="3274"/>
      <c r="AW47" s="3274"/>
      <c r="AX47" s="2028">
        <f t="shared" si="73"/>
        <v>0</v>
      </c>
      <c r="AY47" s="3284">
        <f t="shared" si="54"/>
        <v>0</v>
      </c>
      <c r="AZ47" s="3275"/>
      <c r="BA47" s="3274"/>
      <c r="BB47" s="3274"/>
      <c r="BC47" s="2028">
        <f t="shared" si="74"/>
        <v>0</v>
      </c>
      <c r="BD47" s="3284">
        <f t="shared" si="55"/>
        <v>0</v>
      </c>
      <c r="BE47" s="3295"/>
      <c r="BF47" s="3274"/>
      <c r="BG47" s="3274"/>
      <c r="BH47" s="2028">
        <f t="shared" si="75"/>
        <v>0</v>
      </c>
      <c r="BI47" s="3284">
        <f t="shared" si="56"/>
        <v>0</v>
      </c>
      <c r="BJ47" s="3295"/>
      <c r="BK47" s="3274"/>
      <c r="BL47" s="3274"/>
      <c r="BM47" s="2028">
        <f t="shared" si="76"/>
        <v>0</v>
      </c>
      <c r="BN47" s="3284">
        <f t="shared" si="57"/>
        <v>0</v>
      </c>
      <c r="BO47" s="3295"/>
      <c r="BP47" s="3274"/>
      <c r="BQ47" s="3274"/>
      <c r="BR47" s="2028">
        <f t="shared" si="77"/>
        <v>0</v>
      </c>
      <c r="BS47" s="3284">
        <f t="shared" si="58"/>
        <v>0</v>
      </c>
      <c r="BT47" s="3295"/>
      <c r="BU47" s="3274"/>
      <c r="BV47" s="3274"/>
      <c r="BW47" s="2028">
        <f t="shared" si="78"/>
        <v>0</v>
      </c>
      <c r="BX47" s="3284">
        <f t="shared" si="59"/>
        <v>0</v>
      </c>
      <c r="BY47" s="3295"/>
      <c r="BZ47" s="3274"/>
      <c r="CA47" s="3274"/>
      <c r="CB47" s="2028">
        <f t="shared" si="79"/>
        <v>0</v>
      </c>
      <c r="CC47" s="3284">
        <f t="shared" si="60"/>
        <v>0</v>
      </c>
      <c r="CD47" s="3295"/>
      <c r="CE47" s="3274"/>
      <c r="CF47" s="3274"/>
      <c r="CG47" s="2028">
        <f t="shared" si="80"/>
        <v>0</v>
      </c>
      <c r="CH47" s="3284">
        <f t="shared" si="61"/>
        <v>0</v>
      </c>
      <c r="CI47" s="3295"/>
      <c r="CJ47" s="3274"/>
      <c r="CK47" s="3274"/>
      <c r="CL47" s="2028">
        <f t="shared" si="81"/>
        <v>0</v>
      </c>
      <c r="CM47" s="3284">
        <f t="shared" si="62"/>
        <v>0</v>
      </c>
      <c r="CN47" s="3295"/>
      <c r="CO47" s="3274">
        <f t="shared" si="82"/>
        <v>24832.845000000001</v>
      </c>
      <c r="CP47" s="3274">
        <f t="shared" si="82"/>
        <v>551</v>
      </c>
      <c r="CQ47" s="2028">
        <f t="shared" si="83"/>
        <v>25383.845000000001</v>
      </c>
      <c r="CR47" s="3284">
        <f t="shared" si="63"/>
        <v>2.2210951282688259E-3</v>
      </c>
      <c r="CS47" s="3295"/>
      <c r="CT47" s="933"/>
    </row>
    <row r="48" spans="1:98" ht="24" x14ac:dyDescent="0.25">
      <c r="A48" s="4015"/>
      <c r="B48" s="3319" t="s">
        <v>15</v>
      </c>
      <c r="C48" s="3274"/>
      <c r="D48" s="3274"/>
      <c r="E48" s="2028">
        <f t="shared" si="64"/>
        <v>0</v>
      </c>
      <c r="F48" s="3284">
        <f t="shared" si="52"/>
        <v>0</v>
      </c>
      <c r="G48" s="3295"/>
      <c r="H48" s="3274">
        <f>375+3238+3415.14</f>
        <v>7028.1399999999994</v>
      </c>
      <c r="I48" s="3274"/>
      <c r="J48" s="2028">
        <f t="shared" si="65"/>
        <v>7028.1399999999994</v>
      </c>
      <c r="K48" s="3284">
        <f t="shared" si="48"/>
        <v>4.885329434891926E-2</v>
      </c>
      <c r="L48" s="3295"/>
      <c r="M48" s="3274">
        <f>3310+7022.4+-3942.81</f>
        <v>6389.59</v>
      </c>
      <c r="N48" s="3274"/>
      <c r="O48" s="2028">
        <f t="shared" si="66"/>
        <v>6389.59</v>
      </c>
      <c r="P48" s="3284">
        <f t="shared" si="3"/>
        <v>9.9648075684798045E-4</v>
      </c>
      <c r="Q48" s="3412" t="s">
        <v>1401</v>
      </c>
      <c r="R48" s="3274">
        <v>3967.23</v>
      </c>
      <c r="S48" s="3274"/>
      <c r="T48" s="2028">
        <f t="shared" si="67"/>
        <v>3967.23</v>
      </c>
      <c r="U48" s="3284">
        <f t="shared" si="4"/>
        <v>6.1870454176089751E-4</v>
      </c>
      <c r="V48" s="3295" t="s">
        <v>1498</v>
      </c>
      <c r="W48" s="3274">
        <v>18383.349999999999</v>
      </c>
      <c r="X48" s="3274">
        <v>0</v>
      </c>
      <c r="Y48" s="2028">
        <v>18383.349999999999</v>
      </c>
      <c r="Z48" s="3284">
        <v>2.8669530472849305E-3</v>
      </c>
      <c r="AA48" s="3295"/>
      <c r="AB48" s="3274">
        <f t="shared" si="68"/>
        <v>0</v>
      </c>
      <c r="AC48" s="3274">
        <f t="shared" si="68"/>
        <v>0</v>
      </c>
      <c r="AD48" s="2028">
        <f t="shared" si="69"/>
        <v>0</v>
      </c>
      <c r="AE48" s="3284">
        <f t="shared" si="49"/>
        <v>0</v>
      </c>
      <c r="AF48" s="3295"/>
      <c r="AG48" s="3274"/>
      <c r="AH48" s="3274"/>
      <c r="AI48" s="2028">
        <f t="shared" si="70"/>
        <v>0</v>
      </c>
      <c r="AJ48" s="3284">
        <f t="shared" si="50"/>
        <v>0</v>
      </c>
      <c r="AK48" s="3276"/>
      <c r="AL48" s="3274"/>
      <c r="AM48" s="3274"/>
      <c r="AN48" s="2028">
        <f t="shared" si="71"/>
        <v>0</v>
      </c>
      <c r="AO48" s="3284">
        <f t="shared" si="51"/>
        <v>0</v>
      </c>
      <c r="AP48" s="3413"/>
      <c r="AQ48" s="3274"/>
      <c r="AR48" s="3274"/>
      <c r="AS48" s="2028">
        <f t="shared" si="72"/>
        <v>0</v>
      </c>
      <c r="AT48" s="3284">
        <f t="shared" si="53"/>
        <v>0</v>
      </c>
      <c r="AU48" s="3295"/>
      <c r="AV48" s="3274"/>
      <c r="AW48" s="3274"/>
      <c r="AX48" s="2028">
        <f t="shared" si="73"/>
        <v>0</v>
      </c>
      <c r="AY48" s="3284">
        <f t="shared" si="54"/>
        <v>0</v>
      </c>
      <c r="AZ48" s="3295"/>
      <c r="BA48" s="3274"/>
      <c r="BB48" s="3274"/>
      <c r="BC48" s="2028">
        <f t="shared" si="74"/>
        <v>0</v>
      </c>
      <c r="BD48" s="3284">
        <f t="shared" si="55"/>
        <v>0</v>
      </c>
      <c r="BE48" s="3295"/>
      <c r="BF48" s="3274"/>
      <c r="BG48" s="3274"/>
      <c r="BH48" s="2028">
        <f t="shared" si="75"/>
        <v>0</v>
      </c>
      <c r="BI48" s="3284">
        <f t="shared" si="56"/>
        <v>0</v>
      </c>
      <c r="BJ48" s="3295"/>
      <c r="BK48" s="3274"/>
      <c r="BL48" s="3274"/>
      <c r="BM48" s="2028">
        <f t="shared" si="76"/>
        <v>0</v>
      </c>
      <c r="BN48" s="3284">
        <f t="shared" si="57"/>
        <v>0</v>
      </c>
      <c r="BO48" s="3295"/>
      <c r="BP48" s="3274"/>
      <c r="BQ48" s="3274"/>
      <c r="BR48" s="2028">
        <f t="shared" si="77"/>
        <v>0</v>
      </c>
      <c r="BS48" s="3284">
        <f t="shared" si="58"/>
        <v>0</v>
      </c>
      <c r="BT48" s="3295"/>
      <c r="BU48" s="3274"/>
      <c r="BV48" s="3274"/>
      <c r="BW48" s="2028">
        <f t="shared" si="78"/>
        <v>0</v>
      </c>
      <c r="BX48" s="3284">
        <f t="shared" si="59"/>
        <v>0</v>
      </c>
      <c r="BY48" s="3295"/>
      <c r="BZ48" s="3274"/>
      <c r="CA48" s="3274"/>
      <c r="CB48" s="2028">
        <f t="shared" si="79"/>
        <v>0</v>
      </c>
      <c r="CC48" s="3284">
        <f t="shared" si="60"/>
        <v>0</v>
      </c>
      <c r="CD48" s="3295"/>
      <c r="CE48" s="3274"/>
      <c r="CF48" s="3274"/>
      <c r="CG48" s="2028">
        <f t="shared" si="80"/>
        <v>0</v>
      </c>
      <c r="CH48" s="3284">
        <f t="shared" si="61"/>
        <v>0</v>
      </c>
      <c r="CI48" s="3295"/>
      <c r="CJ48" s="3274"/>
      <c r="CK48" s="3274"/>
      <c r="CL48" s="2028">
        <f t="shared" si="81"/>
        <v>0</v>
      </c>
      <c r="CM48" s="3284">
        <f t="shared" si="62"/>
        <v>0</v>
      </c>
      <c r="CN48" s="3295"/>
      <c r="CO48" s="3274">
        <f t="shared" si="82"/>
        <v>35768.31</v>
      </c>
      <c r="CP48" s="3274">
        <f t="shared" si="82"/>
        <v>0</v>
      </c>
      <c r="CQ48" s="2028">
        <f t="shared" si="83"/>
        <v>35768.31</v>
      </c>
      <c r="CR48" s="3284">
        <f t="shared" si="63"/>
        <v>3.129739371139759E-3</v>
      </c>
      <c r="CS48" s="3295"/>
      <c r="CT48" s="933"/>
    </row>
    <row r="49" spans="1:98" s="1411" customFormat="1" ht="14.4" thickBot="1" x14ac:dyDescent="0.3">
      <c r="A49" s="1420"/>
      <c r="B49" s="3320"/>
      <c r="C49" s="3274"/>
      <c r="D49" s="3274"/>
      <c r="E49" s="3733"/>
      <c r="F49" s="3284"/>
      <c r="G49" s="3733"/>
      <c r="H49" s="3274"/>
      <c r="I49" s="3274"/>
      <c r="J49" s="3733"/>
      <c r="K49" s="3284"/>
      <c r="L49" s="3733"/>
      <c r="M49" s="3274"/>
      <c r="N49" s="3274"/>
      <c r="O49" s="3733"/>
      <c r="P49" s="3284"/>
      <c r="Q49" s="3733"/>
      <c r="R49" s="3274"/>
      <c r="S49" s="3274"/>
      <c r="T49" s="3733"/>
      <c r="U49" s="3284"/>
      <c r="V49" s="3733"/>
      <c r="W49" s="3274"/>
      <c r="X49" s="3274"/>
      <c r="Y49" s="3733"/>
      <c r="Z49" s="3284"/>
      <c r="AA49" s="3733"/>
      <c r="AB49" s="3274"/>
      <c r="AC49" s="3274"/>
      <c r="AD49" s="3733"/>
      <c r="AE49" s="3284"/>
      <c r="AF49" s="3733"/>
      <c r="AG49" s="3274"/>
      <c r="AH49" s="3274"/>
      <c r="AI49" s="3733"/>
      <c r="AJ49" s="3284"/>
      <c r="AK49" s="3733"/>
      <c r="AL49" s="3274"/>
      <c r="AM49" s="3274"/>
      <c r="AN49" s="3733"/>
      <c r="AO49" s="3284"/>
      <c r="AP49" s="3733"/>
      <c r="AQ49" s="3274"/>
      <c r="AR49" s="3274"/>
      <c r="AS49" s="3733"/>
      <c r="AT49" s="3284">
        <f t="shared" si="53"/>
        <v>0</v>
      </c>
      <c r="AU49" s="3733"/>
      <c r="AV49" s="3274"/>
      <c r="AW49" s="3274"/>
      <c r="AX49" s="3733"/>
      <c r="AY49" s="3284">
        <f t="shared" si="54"/>
        <v>0</v>
      </c>
      <c r="AZ49" s="3733"/>
      <c r="BA49" s="3274"/>
      <c r="BB49" s="3274"/>
      <c r="BC49" s="3733"/>
      <c r="BD49" s="3284">
        <f t="shared" si="55"/>
        <v>0</v>
      </c>
      <c r="BE49" s="3733"/>
      <c r="BF49" s="3274"/>
      <c r="BG49" s="3274"/>
      <c r="BH49" s="3733"/>
      <c r="BI49" s="3284">
        <f t="shared" si="56"/>
        <v>0</v>
      </c>
      <c r="BJ49" s="3733"/>
      <c r="BK49" s="3274"/>
      <c r="BL49" s="3274"/>
      <c r="BM49" s="3733"/>
      <c r="BN49" s="3284">
        <f t="shared" si="57"/>
        <v>0</v>
      </c>
      <c r="BO49" s="3733"/>
      <c r="BP49" s="3274"/>
      <c r="BQ49" s="3274"/>
      <c r="BR49" s="3733"/>
      <c r="BS49" s="3284">
        <f t="shared" si="58"/>
        <v>0</v>
      </c>
      <c r="BT49" s="3733"/>
      <c r="BU49" s="3274"/>
      <c r="BV49" s="3274"/>
      <c r="BW49" s="3733"/>
      <c r="BX49" s="3284">
        <f t="shared" si="59"/>
        <v>0</v>
      </c>
      <c r="BY49" s="3733"/>
      <c r="BZ49" s="3274"/>
      <c r="CA49" s="3274"/>
      <c r="CB49" s="3733"/>
      <c r="CC49" s="3284">
        <f t="shared" si="60"/>
        <v>0</v>
      </c>
      <c r="CD49" s="3733"/>
      <c r="CE49" s="3274"/>
      <c r="CF49" s="3274"/>
      <c r="CG49" s="3733"/>
      <c r="CH49" s="3284">
        <f t="shared" si="61"/>
        <v>0</v>
      </c>
      <c r="CI49" s="3733"/>
      <c r="CJ49" s="3274"/>
      <c r="CK49" s="3274"/>
      <c r="CL49" s="3733"/>
      <c r="CM49" s="3284">
        <f t="shared" si="62"/>
        <v>0</v>
      </c>
      <c r="CN49" s="3733"/>
      <c r="CO49" s="3274"/>
      <c r="CP49" s="3274"/>
      <c r="CQ49" s="3733"/>
      <c r="CR49" s="3284">
        <f t="shared" si="63"/>
        <v>0</v>
      </c>
      <c r="CS49" s="3733"/>
      <c r="CT49" s="933"/>
    </row>
    <row r="50" spans="1:98" s="1411" customFormat="1" ht="13.8" x14ac:dyDescent="0.25">
      <c r="A50" s="1580"/>
      <c r="B50" s="1425" t="s">
        <v>59</v>
      </c>
      <c r="C50" s="2031">
        <f>C52+C51</f>
        <v>0</v>
      </c>
      <c r="D50" s="2031">
        <f>D52+D51</f>
        <v>0</v>
      </c>
      <c r="E50" s="2031">
        <f>SUM(E51:E52)</f>
        <v>0</v>
      </c>
      <c r="F50" s="2022">
        <f>E50/$E$89</f>
        <v>0</v>
      </c>
      <c r="G50" s="2022"/>
      <c r="H50" s="2031">
        <f>H52+H51</f>
        <v>0</v>
      </c>
      <c r="I50" s="2031">
        <f>I52+I51</f>
        <v>0</v>
      </c>
      <c r="J50" s="2031">
        <f>SUM(J51:J52)</f>
        <v>0</v>
      </c>
      <c r="K50" s="2022">
        <f>J50/$AN$89</f>
        <v>0</v>
      </c>
      <c r="L50" s="2022"/>
      <c r="M50" s="2031">
        <f>M52+M51</f>
        <v>0</v>
      </c>
      <c r="N50" s="2031">
        <f>N52+N51</f>
        <v>0</v>
      </c>
      <c r="O50" s="2031">
        <f>SUM(O51:O52)</f>
        <v>0</v>
      </c>
      <c r="P50" s="2022">
        <f t="shared" si="3"/>
        <v>0</v>
      </c>
      <c r="Q50" s="2022"/>
      <c r="R50" s="2031">
        <f>R52+R51</f>
        <v>0</v>
      </c>
      <c r="S50" s="2031">
        <f>S52+S51</f>
        <v>0</v>
      </c>
      <c r="T50" s="2031">
        <f>SUM(T51:T52)</f>
        <v>0</v>
      </c>
      <c r="U50" s="2022">
        <f t="shared" si="4"/>
        <v>0</v>
      </c>
      <c r="V50" s="2022"/>
      <c r="W50" s="2031">
        <v>19726</v>
      </c>
      <c r="X50" s="2031">
        <v>0</v>
      </c>
      <c r="Y50" s="2031">
        <v>19726</v>
      </c>
      <c r="Z50" s="2022">
        <v>3.0763443991841826E-3</v>
      </c>
      <c r="AA50" s="2022"/>
      <c r="AB50" s="2031">
        <f>AB52+AB51</f>
        <v>1728</v>
      </c>
      <c r="AC50" s="2031">
        <f>AC52+AC51</f>
        <v>0</v>
      </c>
      <c r="AD50" s="2031">
        <f>SUM(AD51:AD52)</f>
        <v>1728</v>
      </c>
      <c r="AE50" s="2022">
        <f t="shared" ref="AE50:AE52" si="84">AD50/$T$89</f>
        <v>2.6948814365762282E-4</v>
      </c>
      <c r="AF50" s="2022"/>
      <c r="AG50" s="2031">
        <f>AG52+AG51</f>
        <v>576</v>
      </c>
      <c r="AH50" s="2031">
        <f>AH52+AH51</f>
        <v>0</v>
      </c>
      <c r="AI50" s="2031">
        <f>SUM(AI51:AI52)</f>
        <v>576</v>
      </c>
      <c r="AJ50" s="2022">
        <f>AI50/$T$89</f>
        <v>8.9829381219207606E-5</v>
      </c>
      <c r="AK50" s="2022"/>
      <c r="AL50" s="2031">
        <f>AL52+AL51</f>
        <v>576</v>
      </c>
      <c r="AM50" s="2031">
        <f>AM52+AM51</f>
        <v>0</v>
      </c>
      <c r="AN50" s="2031">
        <f>SUM(AN51:AN52)</f>
        <v>576</v>
      </c>
      <c r="AO50" s="2022">
        <f>AN50/$E$89</f>
        <v>1.2542090680305034E-3</v>
      </c>
      <c r="AP50" s="2022"/>
      <c r="AQ50" s="2031">
        <f>AQ52+AQ51</f>
        <v>576</v>
      </c>
      <c r="AR50" s="2031">
        <f>AR52+AR51</f>
        <v>0</v>
      </c>
      <c r="AS50" s="2031">
        <f>SUM(AS51:AS52)</f>
        <v>576</v>
      </c>
      <c r="AT50" s="2022">
        <f t="shared" si="53"/>
        <v>4.0038328128036002E-3</v>
      </c>
      <c r="AU50" s="2022"/>
      <c r="AV50" s="2031">
        <f>AV52+AV51</f>
        <v>0</v>
      </c>
      <c r="AW50" s="2031">
        <f>AW52+AW51</f>
        <v>0</v>
      </c>
      <c r="AX50" s="2031">
        <f>SUM(AX51:AX52)</f>
        <v>0</v>
      </c>
      <c r="AY50" s="2022">
        <f t="shared" si="54"/>
        <v>0</v>
      </c>
      <c r="AZ50" s="2022"/>
      <c r="BA50" s="2031">
        <f>BA52+BA51</f>
        <v>0</v>
      </c>
      <c r="BB50" s="2031">
        <f>BB52+BB51</f>
        <v>0</v>
      </c>
      <c r="BC50" s="2031">
        <f>SUM(BC51:BC52)</f>
        <v>0</v>
      </c>
      <c r="BD50" s="2022">
        <f t="shared" si="55"/>
        <v>0</v>
      </c>
      <c r="BE50" s="2022"/>
      <c r="BF50" s="2031">
        <f>BF52+BF51</f>
        <v>0</v>
      </c>
      <c r="BG50" s="2031">
        <f>BG52+BG51</f>
        <v>0</v>
      </c>
      <c r="BH50" s="2031">
        <f>SUM(BH51:BH52)</f>
        <v>0</v>
      </c>
      <c r="BI50" s="2022">
        <f t="shared" si="56"/>
        <v>0</v>
      </c>
      <c r="BJ50" s="2022"/>
      <c r="BK50" s="2031">
        <f>BK52+BK51</f>
        <v>0</v>
      </c>
      <c r="BL50" s="2031">
        <f>BL52+BL51</f>
        <v>0</v>
      </c>
      <c r="BM50" s="2031">
        <f>SUM(BM51:BM52)</f>
        <v>0</v>
      </c>
      <c r="BN50" s="2022">
        <f t="shared" si="57"/>
        <v>0</v>
      </c>
      <c r="BO50" s="2022"/>
      <c r="BP50" s="2031">
        <f>BP52+BP51</f>
        <v>0</v>
      </c>
      <c r="BQ50" s="2031">
        <f>BQ52+BQ51</f>
        <v>0</v>
      </c>
      <c r="BR50" s="2031">
        <f>SUM(BR51:BR52)</f>
        <v>0</v>
      </c>
      <c r="BS50" s="2022">
        <f t="shared" si="58"/>
        <v>0</v>
      </c>
      <c r="BT50" s="2022"/>
      <c r="BU50" s="2031">
        <f>BU52+BU51</f>
        <v>0</v>
      </c>
      <c r="BV50" s="2031">
        <f>BV52+BV51</f>
        <v>0</v>
      </c>
      <c r="BW50" s="2031">
        <f>SUM(BW51:BW52)</f>
        <v>0</v>
      </c>
      <c r="BX50" s="2022">
        <f t="shared" si="59"/>
        <v>0</v>
      </c>
      <c r="BY50" s="2022"/>
      <c r="BZ50" s="2031">
        <f>BZ52+BZ51</f>
        <v>0</v>
      </c>
      <c r="CA50" s="2031">
        <f>CA52+CA51</f>
        <v>0</v>
      </c>
      <c r="CB50" s="2031">
        <f>SUM(CB51:CB52)</f>
        <v>0</v>
      </c>
      <c r="CC50" s="2022">
        <f t="shared" si="60"/>
        <v>0</v>
      </c>
      <c r="CD50" s="2022"/>
      <c r="CE50" s="2031">
        <f>CE52+CE51</f>
        <v>0</v>
      </c>
      <c r="CF50" s="2031">
        <f>CF52+CF51</f>
        <v>0</v>
      </c>
      <c r="CG50" s="2031">
        <f>SUM(CG51:CG52)</f>
        <v>0</v>
      </c>
      <c r="CH50" s="2022">
        <f t="shared" si="61"/>
        <v>0</v>
      </c>
      <c r="CI50" s="2022"/>
      <c r="CJ50" s="2031">
        <f>CJ52+CJ51</f>
        <v>0</v>
      </c>
      <c r="CK50" s="2031">
        <f>CK52+CK51</f>
        <v>0</v>
      </c>
      <c r="CL50" s="2031">
        <f>SUM(CL51:CL52)</f>
        <v>0</v>
      </c>
      <c r="CM50" s="2022">
        <f t="shared" si="62"/>
        <v>0</v>
      </c>
      <c r="CN50" s="2022"/>
      <c r="CO50" s="2031">
        <f>CO52+CO51</f>
        <v>21454</v>
      </c>
      <c r="CP50" s="2031">
        <f>CP52+CP51</f>
        <v>0</v>
      </c>
      <c r="CQ50" s="2031">
        <f>SUM(CQ51:CQ52)</f>
        <v>21454</v>
      </c>
      <c r="CR50" s="2022"/>
      <c r="CS50" s="2022"/>
      <c r="CT50" s="933"/>
    </row>
    <row r="51" spans="1:98" s="1411" customFormat="1" ht="13.8" x14ac:dyDescent="0.25">
      <c r="A51" s="1581"/>
      <c r="B51" s="3319" t="s">
        <v>60</v>
      </c>
      <c r="C51" s="3274"/>
      <c r="D51" s="3274"/>
      <c r="E51" s="2028">
        <f>C51+D51*1</f>
        <v>0</v>
      </c>
      <c r="F51" s="3284">
        <f>E51/$E$89</f>
        <v>0</v>
      </c>
      <c r="G51" s="3311"/>
      <c r="H51" s="3274"/>
      <c r="I51" s="3274"/>
      <c r="J51" s="2028">
        <f>H51+I51*1</f>
        <v>0</v>
      </c>
      <c r="K51" s="3284">
        <f>J51/$AN$89</f>
        <v>0</v>
      </c>
      <c r="L51" s="3311"/>
      <c r="M51" s="3274"/>
      <c r="N51" s="3274"/>
      <c r="O51" s="2028">
        <f>M51+N51*1</f>
        <v>0</v>
      </c>
      <c r="P51" s="3284">
        <f t="shared" si="3"/>
        <v>0</v>
      </c>
      <c r="Q51" s="3311"/>
      <c r="R51" s="3274"/>
      <c r="S51" s="3274"/>
      <c r="T51" s="2028">
        <f>R51+S51*1</f>
        <v>0</v>
      </c>
      <c r="U51" s="3284">
        <f t="shared" si="4"/>
        <v>0</v>
      </c>
      <c r="V51" s="3311"/>
      <c r="W51" s="3274">
        <v>4000</v>
      </c>
      <c r="X51" s="3274">
        <v>0</v>
      </c>
      <c r="Y51" s="2028">
        <v>4000</v>
      </c>
      <c r="Z51" s="3284">
        <v>6.238151473556084E-4</v>
      </c>
      <c r="AA51" s="3311"/>
      <c r="AB51" s="3274">
        <f t="shared" ref="AB51:AC52" si="85">AG51+AL51+AQ51+AV51+BA51+BF51+BK51+BP51+BU51+BZ51+CE51+CJ51</f>
        <v>1728</v>
      </c>
      <c r="AC51" s="3274">
        <f t="shared" si="85"/>
        <v>0</v>
      </c>
      <c r="AD51" s="2028">
        <f>AB51+AC51*1</f>
        <v>1728</v>
      </c>
      <c r="AE51" s="3284">
        <f t="shared" si="84"/>
        <v>2.6948814365762282E-4</v>
      </c>
      <c r="AF51" s="3311"/>
      <c r="AG51" s="3274">
        <v>576</v>
      </c>
      <c r="AH51" s="3274"/>
      <c r="AI51" s="2028">
        <f>AG51+AH51*1</f>
        <v>576</v>
      </c>
      <c r="AJ51" s="3284">
        <f>AI51/$T$89</f>
        <v>8.9829381219207606E-5</v>
      </c>
      <c r="AK51" s="3311" t="s">
        <v>1607</v>
      </c>
      <c r="AL51" s="3274">
        <v>576</v>
      </c>
      <c r="AM51" s="3274"/>
      <c r="AN51" s="2028">
        <f>AL51+AM51*1</f>
        <v>576</v>
      </c>
      <c r="AO51" s="3284">
        <f>AN51/$E$89</f>
        <v>1.2542090680305034E-3</v>
      </c>
      <c r="AP51" s="3311" t="s">
        <v>1607</v>
      </c>
      <c r="AQ51" s="3274">
        <v>576</v>
      </c>
      <c r="AR51" s="3274"/>
      <c r="AS51" s="2028">
        <f>AQ51+AR51*1</f>
        <v>576</v>
      </c>
      <c r="AT51" s="3284">
        <f t="shared" si="53"/>
        <v>4.0038328128036002E-3</v>
      </c>
      <c r="AU51" s="3311" t="s">
        <v>1607</v>
      </c>
      <c r="AV51" s="3274"/>
      <c r="AW51" s="3274"/>
      <c r="AX51" s="2028">
        <f>AV51+AW51*1</f>
        <v>0</v>
      </c>
      <c r="AY51" s="3284">
        <f t="shared" si="54"/>
        <v>0</v>
      </c>
      <c r="AZ51" s="3311"/>
      <c r="BA51" s="3274"/>
      <c r="BB51" s="3274"/>
      <c r="BC51" s="2028">
        <f>BA51+BB51*1</f>
        <v>0</v>
      </c>
      <c r="BD51" s="3284">
        <f t="shared" si="55"/>
        <v>0</v>
      </c>
      <c r="BE51" s="3311"/>
      <c r="BF51" s="3274"/>
      <c r="BG51" s="3274"/>
      <c r="BH51" s="2028">
        <f>BF51+BG51*1</f>
        <v>0</v>
      </c>
      <c r="BI51" s="3284">
        <f t="shared" si="56"/>
        <v>0</v>
      </c>
      <c r="BJ51" s="3311"/>
      <c r="BK51" s="3274"/>
      <c r="BL51" s="3274"/>
      <c r="BM51" s="2028">
        <f>BK51+BL51*1</f>
        <v>0</v>
      </c>
      <c r="BN51" s="3284">
        <f t="shared" si="57"/>
        <v>0</v>
      </c>
      <c r="BO51" s="3311"/>
      <c r="BP51" s="3274"/>
      <c r="BQ51" s="3274"/>
      <c r="BR51" s="2028">
        <f>BP51+BQ51*1</f>
        <v>0</v>
      </c>
      <c r="BS51" s="3284">
        <f t="shared" si="58"/>
        <v>0</v>
      </c>
      <c r="BT51" s="3311"/>
      <c r="BU51" s="3274"/>
      <c r="BV51" s="3274"/>
      <c r="BW51" s="2028">
        <f>BU51+BV51*1</f>
        <v>0</v>
      </c>
      <c r="BX51" s="3284">
        <f t="shared" si="59"/>
        <v>0</v>
      </c>
      <c r="BY51" s="3311"/>
      <c r="BZ51" s="3274"/>
      <c r="CA51" s="3274"/>
      <c r="CB51" s="2028">
        <f>BZ51+CA51*1</f>
        <v>0</v>
      </c>
      <c r="CC51" s="3284">
        <f t="shared" si="60"/>
        <v>0</v>
      </c>
      <c r="CD51" s="3311"/>
      <c r="CE51" s="3274"/>
      <c r="CF51" s="3274"/>
      <c r="CG51" s="2028">
        <f>CE51+CF51*1</f>
        <v>0</v>
      </c>
      <c r="CH51" s="3284">
        <f t="shared" si="61"/>
        <v>0</v>
      </c>
      <c r="CI51" s="3311"/>
      <c r="CJ51" s="3274"/>
      <c r="CK51" s="3274"/>
      <c r="CL51" s="2028">
        <f>CJ51+CK51*1</f>
        <v>0</v>
      </c>
      <c r="CM51" s="3284">
        <f t="shared" si="62"/>
        <v>0</v>
      </c>
      <c r="CN51" s="3311"/>
      <c r="CO51" s="3274">
        <f t="shared" ref="CO51:CP52" si="86">C51+H51+M51+R51+AG51+AL51+AQ51+AV51+BA51+BF51+BK51+BP51+BU51+BZ51+CE51+CJ51+W51</f>
        <v>5728</v>
      </c>
      <c r="CP51" s="3274">
        <f t="shared" si="86"/>
        <v>0</v>
      </c>
      <c r="CQ51" s="2028">
        <f>CO51+CP51*1</f>
        <v>5728</v>
      </c>
      <c r="CR51" s="3284">
        <f t="shared" si="63"/>
        <v>5.0120196111833461E-4</v>
      </c>
      <c r="CS51" s="3311"/>
      <c r="CT51" s="933"/>
    </row>
    <row r="52" spans="1:98" ht="13.8" x14ac:dyDescent="0.25">
      <c r="A52" s="1581"/>
      <c r="B52" s="3319" t="s">
        <v>61</v>
      </c>
      <c r="C52" s="3274"/>
      <c r="D52" s="3274"/>
      <c r="E52" s="2028">
        <f>C52+D52*1</f>
        <v>0</v>
      </c>
      <c r="F52" s="3284">
        <f>E52/$E$89</f>
        <v>0</v>
      </c>
      <c r="G52" s="3311"/>
      <c r="H52" s="3274"/>
      <c r="I52" s="3274"/>
      <c r="J52" s="2028">
        <f>H52+I52*1</f>
        <v>0</v>
      </c>
      <c r="K52" s="3284">
        <f>J52/$AN$89</f>
        <v>0</v>
      </c>
      <c r="L52" s="3311"/>
      <c r="M52" s="3274"/>
      <c r="N52" s="3274"/>
      <c r="O52" s="2028">
        <f>M52+N52*1</f>
        <v>0</v>
      </c>
      <c r="P52" s="3284">
        <f t="shared" si="3"/>
        <v>0</v>
      </c>
      <c r="Q52" s="3311"/>
      <c r="R52" s="3274"/>
      <c r="S52" s="3274"/>
      <c r="T52" s="2028">
        <f>R52+S52*1</f>
        <v>0</v>
      </c>
      <c r="U52" s="3284">
        <f t="shared" si="4"/>
        <v>0</v>
      </c>
      <c r="V52" s="3311"/>
      <c r="W52" s="3274">
        <v>15726</v>
      </c>
      <c r="X52" s="3274">
        <v>0</v>
      </c>
      <c r="Y52" s="2028">
        <v>15726</v>
      </c>
      <c r="Z52" s="3284">
        <v>2.4525292518285742E-3</v>
      </c>
      <c r="AA52" s="3311"/>
      <c r="AB52" s="3274">
        <f t="shared" si="85"/>
        <v>0</v>
      </c>
      <c r="AC52" s="3274">
        <f t="shared" si="85"/>
        <v>0</v>
      </c>
      <c r="AD52" s="2028">
        <f>AB52+AC52*1</f>
        <v>0</v>
      </c>
      <c r="AE52" s="3284">
        <f t="shared" si="84"/>
        <v>0</v>
      </c>
      <c r="AF52" s="3311"/>
      <c r="AG52" s="3274"/>
      <c r="AH52" s="3274"/>
      <c r="AI52" s="2028">
        <f>AG52+AH52*1</f>
        <v>0</v>
      </c>
      <c r="AJ52" s="3284">
        <f>AI52/$T$89</f>
        <v>0</v>
      </c>
      <c r="AK52" s="3276"/>
      <c r="AL52" s="3274"/>
      <c r="AM52" s="3274"/>
      <c r="AN52" s="2028">
        <f>AL52+AM52*1</f>
        <v>0</v>
      </c>
      <c r="AO52" s="3284">
        <f>AN52/$E$89</f>
        <v>0</v>
      </c>
      <c r="AP52" s="3311"/>
      <c r="AQ52" s="3274"/>
      <c r="AR52" s="3274"/>
      <c r="AS52" s="2028">
        <f>AQ52+AR52*1</f>
        <v>0</v>
      </c>
      <c r="AT52" s="3284">
        <f t="shared" si="53"/>
        <v>0</v>
      </c>
      <c r="AU52" s="3311"/>
      <c r="AV52" s="3274"/>
      <c r="AW52" s="3274"/>
      <c r="AX52" s="2028">
        <f>AV52+AW52*1</f>
        <v>0</v>
      </c>
      <c r="AY52" s="3284">
        <f t="shared" si="54"/>
        <v>0</v>
      </c>
      <c r="AZ52" s="3311"/>
      <c r="BA52" s="3274"/>
      <c r="BB52" s="3274"/>
      <c r="BC52" s="2028">
        <f>BA52+BB52*1</f>
        <v>0</v>
      </c>
      <c r="BD52" s="3284">
        <f t="shared" si="55"/>
        <v>0</v>
      </c>
      <c r="BE52" s="3311"/>
      <c r="BF52" s="3274"/>
      <c r="BG52" s="3274"/>
      <c r="BH52" s="2028">
        <f>BF52+BG52*1</f>
        <v>0</v>
      </c>
      <c r="BI52" s="3284">
        <f t="shared" si="56"/>
        <v>0</v>
      </c>
      <c r="BJ52" s="3311"/>
      <c r="BK52" s="3283"/>
      <c r="BL52" s="3274"/>
      <c r="BM52" s="2028">
        <f>BK52+BL52*1</f>
        <v>0</v>
      </c>
      <c r="BN52" s="3284">
        <f t="shared" si="57"/>
        <v>0</v>
      </c>
      <c r="BO52" s="3311"/>
      <c r="BP52" s="3283"/>
      <c r="BQ52" s="3274"/>
      <c r="BR52" s="2028">
        <f>BP52+BQ52*1</f>
        <v>0</v>
      </c>
      <c r="BS52" s="3284">
        <f t="shared" si="58"/>
        <v>0</v>
      </c>
      <c r="BT52" s="3311"/>
      <c r="BU52" s="3283"/>
      <c r="BV52" s="3274"/>
      <c r="BW52" s="2028">
        <f>BU52+BV52*1</f>
        <v>0</v>
      </c>
      <c r="BX52" s="3284">
        <f t="shared" si="59"/>
        <v>0</v>
      </c>
      <c r="BY52" s="3311"/>
      <c r="BZ52" s="3283"/>
      <c r="CA52" s="3274"/>
      <c r="CB52" s="2028">
        <f>BZ52+CA52*1</f>
        <v>0</v>
      </c>
      <c r="CC52" s="3284">
        <f t="shared" si="60"/>
        <v>0</v>
      </c>
      <c r="CD52" s="3311"/>
      <c r="CE52" s="3283"/>
      <c r="CF52" s="3274"/>
      <c r="CG52" s="2028">
        <f>CE52+CF52*1</f>
        <v>0</v>
      </c>
      <c r="CH52" s="3284">
        <f t="shared" si="61"/>
        <v>0</v>
      </c>
      <c r="CI52" s="3311"/>
      <c r="CJ52" s="3283"/>
      <c r="CK52" s="3274"/>
      <c r="CL52" s="2028">
        <f>CJ52+CK52*1</f>
        <v>0</v>
      </c>
      <c r="CM52" s="3284">
        <f t="shared" si="62"/>
        <v>0</v>
      </c>
      <c r="CN52" s="3311"/>
      <c r="CO52" s="3274">
        <f t="shared" si="86"/>
        <v>15726</v>
      </c>
      <c r="CP52" s="3274">
        <f t="shared" si="86"/>
        <v>0</v>
      </c>
      <c r="CQ52" s="2028">
        <f>CO52+CP52*1</f>
        <v>15726</v>
      </c>
      <c r="CR52" s="3284">
        <f t="shared" si="63"/>
        <v>1.376030384173696E-3</v>
      </c>
      <c r="CS52" s="3311"/>
      <c r="CT52" s="933"/>
    </row>
    <row r="53" spans="1:98" ht="14.4" thickBot="1" x14ac:dyDescent="0.3">
      <c r="A53" s="1428"/>
      <c r="B53" s="3736"/>
      <c r="C53" s="3274"/>
      <c r="D53" s="3274"/>
      <c r="E53" s="3737"/>
      <c r="F53" s="3737"/>
      <c r="G53" s="3737"/>
      <c r="H53" s="3274"/>
      <c r="I53" s="3274"/>
      <c r="J53" s="3737"/>
      <c r="K53" s="3737"/>
      <c r="L53" s="3737"/>
      <c r="M53" s="3274"/>
      <c r="N53" s="3274"/>
      <c r="O53" s="3737"/>
      <c r="P53" s="3737"/>
      <c r="Q53" s="3737"/>
      <c r="R53" s="3274"/>
      <c r="S53" s="3274"/>
      <c r="T53" s="3737"/>
      <c r="U53" s="3737"/>
      <c r="V53" s="3737"/>
      <c r="W53" s="3274"/>
      <c r="X53" s="3274"/>
      <c r="Y53" s="3737"/>
      <c r="Z53" s="3737"/>
      <c r="AA53" s="3737"/>
      <c r="AB53" s="3274"/>
      <c r="AC53" s="3274"/>
      <c r="AD53" s="3737"/>
      <c r="AE53" s="3737"/>
      <c r="AF53" s="3737"/>
      <c r="AG53" s="3274"/>
      <c r="AH53" s="3274"/>
      <c r="AI53" s="3737"/>
      <c r="AJ53" s="3737"/>
      <c r="AK53" s="3737"/>
      <c r="AL53" s="3274"/>
      <c r="AM53" s="3274"/>
      <c r="AN53" s="3737"/>
      <c r="AO53" s="3737"/>
      <c r="AP53" s="3737"/>
      <c r="AQ53" s="3274"/>
      <c r="AR53" s="3274"/>
      <c r="AS53" s="3737"/>
      <c r="AT53" s="3737"/>
      <c r="AU53" s="3737"/>
      <c r="AV53" s="3274"/>
      <c r="AW53" s="3274"/>
      <c r="AX53" s="3737"/>
      <c r="AY53" s="3737"/>
      <c r="AZ53" s="3737"/>
      <c r="BA53" s="3274"/>
      <c r="BB53" s="3274"/>
      <c r="BC53" s="3737"/>
      <c r="BD53" s="3737"/>
      <c r="BE53" s="3737"/>
      <c r="BF53" s="3274"/>
      <c r="BG53" s="3274"/>
      <c r="BH53" s="3737"/>
      <c r="BI53" s="3737"/>
      <c r="BJ53" s="3737"/>
      <c r="BK53" s="3274"/>
      <c r="BL53" s="3274"/>
      <c r="BM53" s="3737"/>
      <c r="BN53" s="3737"/>
      <c r="BO53" s="3737"/>
      <c r="BP53" s="3274"/>
      <c r="BQ53" s="3274"/>
      <c r="BR53" s="3737"/>
      <c r="BS53" s="3737"/>
      <c r="BT53" s="3737"/>
      <c r="BU53" s="3274"/>
      <c r="BV53" s="3274"/>
      <c r="BW53" s="3737"/>
      <c r="BX53" s="3737"/>
      <c r="BY53" s="3737"/>
      <c r="BZ53" s="3274"/>
      <c r="CA53" s="3274"/>
      <c r="CB53" s="3737"/>
      <c r="CC53" s="3737"/>
      <c r="CD53" s="3737"/>
      <c r="CE53" s="3274"/>
      <c r="CF53" s="3274"/>
      <c r="CG53" s="3737"/>
      <c r="CH53" s="3737"/>
      <c r="CI53" s="3737"/>
      <c r="CJ53" s="3274"/>
      <c r="CK53" s="3274"/>
      <c r="CL53" s="3737"/>
      <c r="CM53" s="3737"/>
      <c r="CN53" s="3737"/>
      <c r="CO53" s="3274"/>
      <c r="CP53" s="3274"/>
      <c r="CQ53" s="3737"/>
      <c r="CR53" s="3737"/>
      <c r="CS53" s="3737"/>
      <c r="CT53" s="933"/>
    </row>
    <row r="54" spans="1:98" ht="13.8" x14ac:dyDescent="0.25">
      <c r="A54" s="1585"/>
      <c r="B54" s="1425" t="s">
        <v>1</v>
      </c>
      <c r="C54" s="2031">
        <f>SUM(C55:C72)</f>
        <v>145598.81</v>
      </c>
      <c r="D54" s="2031">
        <f>SUM(D55:D72)</f>
        <v>124991.54000000001</v>
      </c>
      <c r="E54" s="2031">
        <f>SUM(E55:E72)</f>
        <v>270590.34999999998</v>
      </c>
      <c r="F54" s="3318">
        <f t="shared" ref="F54:F71" si="87">E54/$E$89</f>
        <v>0.58919595606171482</v>
      </c>
      <c r="G54" s="2022"/>
      <c r="H54" s="2031">
        <f>SUM(H55:H72)</f>
        <v>267272.06</v>
      </c>
      <c r="I54" s="2031">
        <f>SUM(I55:I72)</f>
        <v>111303.29</v>
      </c>
      <c r="J54" s="2031">
        <f>SUM(J55:J72)</f>
        <v>378575.35000000003</v>
      </c>
      <c r="K54" s="3318">
        <f t="shared" ref="K54:K71" si="88">J54/$AN$89</f>
        <v>2.631514598001055</v>
      </c>
      <c r="L54" s="2022"/>
      <c r="M54" s="2031">
        <f>SUM(M55:M72)</f>
        <v>152904.18</v>
      </c>
      <c r="N54" s="2031">
        <f>SUM(N55:N72)</f>
        <v>125442.8</v>
      </c>
      <c r="O54" s="2031">
        <f>SUM(O55:O72)</f>
        <v>278346.98</v>
      </c>
      <c r="P54" s="3318">
        <f t="shared" si="3"/>
        <v>4.3409265586172141E-2</v>
      </c>
      <c r="Q54" s="2022"/>
      <c r="R54" s="2031">
        <f>SUM(R55:R72)</f>
        <v>2046598.6199999999</v>
      </c>
      <c r="S54" s="2031">
        <f>SUM(S55:S72)</f>
        <v>167762.72</v>
      </c>
      <c r="T54" s="2031">
        <f>SUM(T55:T72)</f>
        <v>2214361.34</v>
      </c>
      <c r="U54" s="3318">
        <f t="shared" si="4"/>
        <v>0.34533803640266558</v>
      </c>
      <c r="V54" s="2022"/>
      <c r="W54" s="2031">
        <v>621888.74799999991</v>
      </c>
      <c r="X54" s="2031">
        <v>539761.86</v>
      </c>
      <c r="Y54" s="2031">
        <v>1161650.608</v>
      </c>
      <c r="Z54" s="3318">
        <v>0.18116381130131301</v>
      </c>
      <c r="AA54" s="2022"/>
      <c r="AB54" s="2031">
        <f>SUM(AB55:AB72)</f>
        <v>60312.805</v>
      </c>
      <c r="AC54" s="2031">
        <f>SUM(AC55:AC72)</f>
        <v>51016</v>
      </c>
      <c r="AD54" s="2031">
        <f>SUM(AD55:AD72)</f>
        <v>111328.80499999999</v>
      </c>
      <c r="AE54" s="3318">
        <f t="shared" ref="AE54:AE71" si="89">AD54/$T$89</f>
        <v>1.7362148723999694E-2</v>
      </c>
      <c r="AF54" s="2022"/>
      <c r="AG54" s="2031">
        <f>SUM(AG55:AG72)</f>
        <v>20058.334999999999</v>
      </c>
      <c r="AH54" s="2031">
        <f>SUM(AH55:AH72)</f>
        <v>3333</v>
      </c>
      <c r="AI54" s="2031">
        <f>SUM(AI55:AI72)</f>
        <v>23391.334999999999</v>
      </c>
      <c r="AJ54" s="3318">
        <f t="shared" ref="AJ54:AJ71" si="90">AI54/$T$89</f>
        <v>3.6479672724673497E-3</v>
      </c>
      <c r="AK54" s="2022"/>
      <c r="AL54" s="2031">
        <f>SUM(AL55:AL72)</f>
        <v>17533.939999999999</v>
      </c>
      <c r="AM54" s="2031">
        <f>SUM(AM55:AM72)</f>
        <v>19417.29</v>
      </c>
      <c r="AN54" s="2031">
        <f>SUM(AN55:AN72)</f>
        <v>36951.229999999996</v>
      </c>
      <c r="AO54" s="3318">
        <f t="shared" ref="AO54:AO71" si="91">AN54/$E$89</f>
        <v>8.045931899458468E-2</v>
      </c>
      <c r="AP54" s="2022"/>
      <c r="AQ54" s="2031">
        <f>SUM(AQ55:AQ72)</f>
        <v>22720.53</v>
      </c>
      <c r="AR54" s="2031">
        <f>SUM(AR55:AR72)</f>
        <v>28265.71</v>
      </c>
      <c r="AS54" s="2031">
        <f>SUM(AS55:AS72)</f>
        <v>50986.240000000005</v>
      </c>
      <c r="AT54" s="3318">
        <f t="shared" ref="AT54:AT71" si="92">AS54/$AN$89</f>
        <v>0.35441038318312407</v>
      </c>
      <c r="AU54" s="2022"/>
      <c r="AV54" s="2031">
        <f>SUM(AV55:AV72)</f>
        <v>0</v>
      </c>
      <c r="AW54" s="2031">
        <f>SUM(AW55:AW72)</f>
        <v>0</v>
      </c>
      <c r="AX54" s="2031">
        <f>SUM(AX55:AX72)</f>
        <v>0</v>
      </c>
      <c r="AY54" s="3318">
        <f t="shared" ref="AY54:AY71" si="93">AX54/$AN$89</f>
        <v>0</v>
      </c>
      <c r="AZ54" s="2022"/>
      <c r="BA54" s="2031">
        <f>SUM(BA55:BA72)</f>
        <v>0</v>
      </c>
      <c r="BB54" s="2031">
        <f>SUM(BB55:BB72)</f>
        <v>0</v>
      </c>
      <c r="BC54" s="2031">
        <f>SUM(BC55:BC72)</f>
        <v>0</v>
      </c>
      <c r="BD54" s="3318">
        <f t="shared" ref="BD54:BD71" si="94">BC54/$AN$89</f>
        <v>0</v>
      </c>
      <c r="BE54" s="2022"/>
      <c r="BF54" s="2031">
        <f>SUM(BF55:BF72)</f>
        <v>0</v>
      </c>
      <c r="BG54" s="2031">
        <f>SUM(BG55:BG72)</f>
        <v>0</v>
      </c>
      <c r="BH54" s="2031">
        <f>SUM(BH55:BH72)</f>
        <v>0</v>
      </c>
      <c r="BI54" s="3318">
        <f t="shared" ref="BI54:BI71" si="95">BH54/$AN$89</f>
        <v>0</v>
      </c>
      <c r="BJ54" s="2022"/>
      <c r="BK54" s="2031">
        <f>SUM(BK55:BK72)</f>
        <v>0</v>
      </c>
      <c r="BL54" s="2031">
        <f>SUM(BL55:BL72)</f>
        <v>0</v>
      </c>
      <c r="BM54" s="2031">
        <f>SUM(BM55:BM72)</f>
        <v>0</v>
      </c>
      <c r="BN54" s="3318">
        <f t="shared" ref="BN54:BN71" si="96">BM54/$AN$89</f>
        <v>0</v>
      </c>
      <c r="BO54" s="2022"/>
      <c r="BP54" s="2031">
        <f>SUM(BP55:BP72)</f>
        <v>0</v>
      </c>
      <c r="BQ54" s="2031">
        <f>SUM(BQ55:BQ72)</f>
        <v>0</v>
      </c>
      <c r="BR54" s="2031">
        <f>SUM(BR55:BR72)</f>
        <v>0</v>
      </c>
      <c r="BS54" s="3318">
        <f t="shared" ref="BS54:BS71" si="97">BR54/$AN$89</f>
        <v>0</v>
      </c>
      <c r="BT54" s="2022"/>
      <c r="BU54" s="2031">
        <f>SUM(BU55:BU72)</f>
        <v>0</v>
      </c>
      <c r="BV54" s="2031">
        <f>SUM(BV55:BV72)</f>
        <v>0</v>
      </c>
      <c r="BW54" s="2031">
        <f>SUM(BW55:BW72)</f>
        <v>0</v>
      </c>
      <c r="BX54" s="3318">
        <f t="shared" ref="BX54:BX71" si="98">BW54/$AN$89</f>
        <v>0</v>
      </c>
      <c r="BY54" s="2022"/>
      <c r="BZ54" s="2031">
        <f>SUM(BZ55:BZ72)</f>
        <v>0</v>
      </c>
      <c r="CA54" s="2031">
        <f>SUM(CA55:CA72)</f>
        <v>0</v>
      </c>
      <c r="CB54" s="2031">
        <f>SUM(CB55:CB72)</f>
        <v>0</v>
      </c>
      <c r="CC54" s="3318">
        <f t="shared" ref="CC54:CC71" si="99">CB54/$AN$89</f>
        <v>0</v>
      </c>
      <c r="CD54" s="2022"/>
      <c r="CE54" s="2031">
        <f>SUM(CE55:CE72)</f>
        <v>0</v>
      </c>
      <c r="CF54" s="2031">
        <f>SUM(CF55:CF72)</f>
        <v>0</v>
      </c>
      <c r="CG54" s="2031">
        <f>SUM(CG55:CG72)</f>
        <v>0</v>
      </c>
      <c r="CH54" s="3318">
        <f t="shared" ref="CH54:CH71" si="100">CG54/$AN$89</f>
        <v>0</v>
      </c>
      <c r="CI54" s="2022"/>
      <c r="CJ54" s="2031">
        <f>SUM(CJ55:CJ72)</f>
        <v>0</v>
      </c>
      <c r="CK54" s="2031">
        <f>SUM(CK55:CK72)</f>
        <v>0</v>
      </c>
      <c r="CL54" s="2031">
        <f>SUM(CL55:CL72)</f>
        <v>0</v>
      </c>
      <c r="CM54" s="3318">
        <f t="shared" ref="CM54:CM71" si="101">CL54/$AN$89</f>
        <v>0</v>
      </c>
      <c r="CN54" s="2022"/>
      <c r="CO54" s="2031">
        <f>SUM(CO55:CO72)</f>
        <v>3294575.2230000002</v>
      </c>
      <c r="CP54" s="2031">
        <f>SUM(CP55:CP72)</f>
        <v>1120278.2099999997</v>
      </c>
      <c r="CQ54" s="2031">
        <f>SUM(CQ55:CQ72)</f>
        <v>4414853.4329999993</v>
      </c>
      <c r="CR54" s="1549">
        <f t="shared" si="63"/>
        <v>0.38630118691857751</v>
      </c>
      <c r="CS54" s="2022"/>
      <c r="CT54" s="933"/>
    </row>
    <row r="55" spans="1:98" ht="72" customHeight="1" x14ac:dyDescent="0.25">
      <c r="A55" s="1586"/>
      <c r="B55" s="3310" t="s">
        <v>77</v>
      </c>
      <c r="C55" s="3283">
        <v>78274.28</v>
      </c>
      <c r="D55" s="3283">
        <v>120914.08</v>
      </c>
      <c r="E55" s="2028">
        <f t="shared" ref="E55:E71" si="102">C55+D55*1</f>
        <v>199188.36</v>
      </c>
      <c r="F55" s="3284">
        <f t="shared" si="87"/>
        <v>0.43372195721896595</v>
      </c>
      <c r="G55" s="3275" t="s">
        <v>1283</v>
      </c>
      <c r="H55" s="3283">
        <v>83815.820000000007</v>
      </c>
      <c r="I55" s="3274">
        <f>111303.29</f>
        <v>111303.29</v>
      </c>
      <c r="J55" s="2028">
        <f t="shared" ref="J55:J71" si="103">H55+I55*1</f>
        <v>195119.11</v>
      </c>
      <c r="K55" s="3284">
        <f t="shared" si="88"/>
        <v>1.356292178859436</v>
      </c>
      <c r="L55" s="3275"/>
      <c r="M55" s="3283">
        <v>77917.2</v>
      </c>
      <c r="N55" s="3283">
        <v>114926.36</v>
      </c>
      <c r="O55" s="2028">
        <f t="shared" ref="O55:O71" si="104">M55+N55*1</f>
        <v>192843.56</v>
      </c>
      <c r="P55" s="3284">
        <f t="shared" si="3"/>
        <v>3.0074683449495026E-2</v>
      </c>
      <c r="Q55" s="3414" t="s">
        <v>1402</v>
      </c>
      <c r="R55" s="3283">
        <v>80316.259999999995</v>
      </c>
      <c r="S55" s="3283">
        <v>99463.92</v>
      </c>
      <c r="T55" s="2028">
        <f t="shared" ref="T55:T71" si="105">R55+S55*1</f>
        <v>179780.18</v>
      </c>
      <c r="U55" s="3284">
        <f t="shared" si="4"/>
        <v>2.8037399869579448E-2</v>
      </c>
      <c r="V55" s="3295"/>
      <c r="W55" s="3283">
        <v>353372.36</v>
      </c>
      <c r="X55" s="3283">
        <v>535617.73</v>
      </c>
      <c r="Y55" s="2028">
        <v>888990.09</v>
      </c>
      <c r="Z55" s="3284">
        <v>0.13864137099775639</v>
      </c>
      <c r="AA55" s="3295"/>
      <c r="AB55" s="3274">
        <f t="shared" ref="AB55:AC71" si="106">AG55+AL55+AQ55+AV55+BA55+BF55+BK55+BP55+BU55+BZ55+CE55+CJ55</f>
        <v>28008.07</v>
      </c>
      <c r="AC55" s="3274">
        <f t="shared" si="106"/>
        <v>50950</v>
      </c>
      <c r="AD55" s="2028">
        <f t="shared" ref="AD55:AD71" si="107">AB55+AC55*1</f>
        <v>78958.070000000007</v>
      </c>
      <c r="AE55" s="3284">
        <f t="shared" si="89"/>
        <v>1.2313810017991112E-2</v>
      </c>
      <c r="AF55" s="3295"/>
      <c r="AG55" s="3274">
        <v>1814.91</v>
      </c>
      <c r="AH55" s="3274">
        <v>3300</v>
      </c>
      <c r="AI55" s="2028">
        <f t="shared" ref="AI55:AI71" si="108">AG55+AH55*1</f>
        <v>5114.91</v>
      </c>
      <c r="AJ55" s="3284">
        <f t="shared" si="90"/>
        <v>7.9768958384016867E-4</v>
      </c>
      <c r="AK55" s="3275" t="s">
        <v>2131</v>
      </c>
      <c r="AL55" s="3283">
        <v>10978.66</v>
      </c>
      <c r="AM55" s="3283">
        <f>18000+(2768.58/2)</f>
        <v>19384.29</v>
      </c>
      <c r="AN55" s="2028">
        <f t="shared" ref="AN55:AN71" si="109">AL55+AM55*1</f>
        <v>30362.95</v>
      </c>
      <c r="AO55" s="3284">
        <f t="shared" si="91"/>
        <v>6.611369309402218E-2</v>
      </c>
      <c r="AP55" s="3413" t="s">
        <v>2187</v>
      </c>
      <c r="AQ55" s="3283">
        <v>15214.5</v>
      </c>
      <c r="AR55" s="3283">
        <f>29650-1384.29</f>
        <v>28265.71</v>
      </c>
      <c r="AS55" s="2028">
        <f t="shared" ref="AS55:AS71" si="110">AQ55+AR55*1</f>
        <v>43480.21</v>
      </c>
      <c r="AT55" s="3284">
        <f t="shared" si="92"/>
        <v>0.30223522830831812</v>
      </c>
      <c r="AU55" s="3390" t="s">
        <v>2187</v>
      </c>
      <c r="AV55" s="3283"/>
      <c r="AW55" s="3283"/>
      <c r="AX55" s="2028">
        <f t="shared" ref="AX55:AX71" si="111">AV55+AW55*1</f>
        <v>0</v>
      </c>
      <c r="AY55" s="3284">
        <f t="shared" si="93"/>
        <v>0</v>
      </c>
      <c r="AZ55" s="3275"/>
      <c r="BA55" s="3283"/>
      <c r="BB55" s="3283"/>
      <c r="BC55" s="2028">
        <f t="shared" ref="BC55:BC71" si="112">BA55+BB55*1</f>
        <v>0</v>
      </c>
      <c r="BD55" s="3284">
        <f t="shared" si="94"/>
        <v>0</v>
      </c>
      <c r="BE55" s="3295"/>
      <c r="BF55" s="3283"/>
      <c r="BG55" s="3283"/>
      <c r="BH55" s="2028">
        <f t="shared" ref="BH55:BH71" si="113">BF55+BG55*1</f>
        <v>0</v>
      </c>
      <c r="BI55" s="3284">
        <f t="shared" si="95"/>
        <v>0</v>
      </c>
      <c r="BJ55" s="3295"/>
      <c r="BK55" s="3283"/>
      <c r="BL55" s="3283"/>
      <c r="BM55" s="2028">
        <f t="shared" ref="BM55:BM71" si="114">BK55+BL55*1</f>
        <v>0</v>
      </c>
      <c r="BN55" s="3284">
        <f t="shared" si="96"/>
        <v>0</v>
      </c>
      <c r="BO55" s="3390"/>
      <c r="BP55" s="3285"/>
      <c r="BQ55" s="3283"/>
      <c r="BR55" s="2028">
        <f t="shared" ref="BR55:BR71" si="115">BP55+BQ55*1</f>
        <v>0</v>
      </c>
      <c r="BS55" s="3284">
        <f t="shared" si="97"/>
        <v>0</v>
      </c>
      <c r="BT55" s="3287"/>
      <c r="BU55" s="3283"/>
      <c r="BV55" s="3283"/>
      <c r="BW55" s="2028">
        <f t="shared" ref="BW55:BW71" si="116">BU55+BV55*1</f>
        <v>0</v>
      </c>
      <c r="BX55" s="3284">
        <f t="shared" si="98"/>
        <v>0</v>
      </c>
      <c r="BY55" s="3390"/>
      <c r="BZ55" s="3283"/>
      <c r="CA55" s="3283"/>
      <c r="CB55" s="2028">
        <f t="shared" ref="CB55:CB71" si="117">BZ55+CA55*1</f>
        <v>0</v>
      </c>
      <c r="CC55" s="3284">
        <f t="shared" si="99"/>
        <v>0</v>
      </c>
      <c r="CD55" s="3390"/>
      <c r="CE55" s="3283"/>
      <c r="CF55" s="3283"/>
      <c r="CG55" s="2028">
        <f t="shared" ref="CG55:CG71" si="118">CE55+CF55*1</f>
        <v>0</v>
      </c>
      <c r="CH55" s="3284">
        <f t="shared" si="100"/>
        <v>0</v>
      </c>
      <c r="CI55" s="3390"/>
      <c r="CJ55" s="3283"/>
      <c r="CK55" s="3283"/>
      <c r="CL55" s="2028">
        <f t="shared" ref="CL55:CL71" si="119">CJ55+CK55*1</f>
        <v>0</v>
      </c>
      <c r="CM55" s="3284">
        <f t="shared" si="101"/>
        <v>0</v>
      </c>
      <c r="CN55" s="3390"/>
      <c r="CO55" s="3274">
        <f>C55+H55+M55+R55+AG55+AL55+AQ55+AV55+BA55+BF55+BK55+BP55+BU55+BZ55+CE55+CJ55+W55</f>
        <v>701703.99</v>
      </c>
      <c r="CP55" s="3274">
        <f t="shared" ref="CP55" si="120">D55+I55+N55+S55+AH55+AM55+AR55+AW55+BB55+BG55+BL55+BQ55+BV55+CA55+CF55+CK55+X55</f>
        <v>1033175.3799999999</v>
      </c>
      <c r="CQ55" s="2028">
        <f t="shared" ref="CQ55:CQ71" si="121">CO55+CP55*1</f>
        <v>1734879.3699999999</v>
      </c>
      <c r="CR55" s="3284">
        <f t="shared" si="63"/>
        <v>0.15180253885260839</v>
      </c>
      <c r="CS55" s="3295"/>
      <c r="CT55" s="933"/>
    </row>
    <row r="56" spans="1:98" ht="13.8" x14ac:dyDescent="0.25">
      <c r="A56" s="1586"/>
      <c r="B56" s="3310" t="s">
        <v>76</v>
      </c>
      <c r="C56" s="3283">
        <v>21391.72</v>
      </c>
      <c r="D56" s="3283"/>
      <c r="E56" s="2028">
        <f t="shared" si="102"/>
        <v>21391.72</v>
      </c>
      <c r="F56" s="3284">
        <f t="shared" si="87"/>
        <v>4.6579321536058128E-2</v>
      </c>
      <c r="G56" s="3295"/>
      <c r="H56" s="3274">
        <v>22906.18</v>
      </c>
      <c r="I56" s="3274"/>
      <c r="J56" s="2028">
        <f t="shared" si="103"/>
        <v>22906.18</v>
      </c>
      <c r="K56" s="3284">
        <f t="shared" si="88"/>
        <v>0.15922311649303053</v>
      </c>
      <c r="L56" s="3295"/>
      <c r="M56" s="3283">
        <v>20744.14</v>
      </c>
      <c r="N56" s="3283"/>
      <c r="O56" s="2028">
        <f t="shared" si="104"/>
        <v>20744.14</v>
      </c>
      <c r="P56" s="3284">
        <f t="shared" si="3"/>
        <v>3.2351271877163424E-3</v>
      </c>
      <c r="Q56" s="3295"/>
      <c r="R56" s="3283">
        <v>21036.639999999999</v>
      </c>
      <c r="S56" s="3283"/>
      <c r="T56" s="2028">
        <f t="shared" si="105"/>
        <v>21036.639999999999</v>
      </c>
      <c r="U56" s="3284">
        <f t="shared" si="4"/>
        <v>3.2807436703667209E-3</v>
      </c>
      <c r="V56" s="3295"/>
      <c r="W56" s="3283">
        <v>93728.15</v>
      </c>
      <c r="X56" s="3283">
        <v>0</v>
      </c>
      <c r="Y56" s="2028">
        <v>93728.15</v>
      </c>
      <c r="Z56" s="3284">
        <v>1.461725992590464E-2</v>
      </c>
      <c r="AA56" s="3295"/>
      <c r="AB56" s="3274">
        <f t="shared" si="106"/>
        <v>4227.7000000000007</v>
      </c>
      <c r="AC56" s="3274">
        <f t="shared" si="106"/>
        <v>0</v>
      </c>
      <c r="AD56" s="2028">
        <f t="shared" si="107"/>
        <v>4227.7000000000007</v>
      </c>
      <c r="AE56" s="3284">
        <f t="shared" si="89"/>
        <v>6.5932582461882645E-4</v>
      </c>
      <c r="AF56" s="3295"/>
      <c r="AG56" s="3274">
        <v>439.64</v>
      </c>
      <c r="AH56" s="3274"/>
      <c r="AI56" s="2028">
        <f t="shared" si="108"/>
        <v>439.64</v>
      </c>
      <c r="AJ56" s="3284">
        <f t="shared" si="90"/>
        <v>6.8563522845854909E-5</v>
      </c>
      <c r="AK56" s="3295"/>
      <c r="AL56" s="3283">
        <v>1315.22</v>
      </c>
      <c r="AM56" s="3283"/>
      <c r="AN56" s="2028">
        <f t="shared" si="109"/>
        <v>1315.22</v>
      </c>
      <c r="AO56" s="3284">
        <f t="shared" si="91"/>
        <v>2.8638209209289564E-3</v>
      </c>
      <c r="AP56" s="3297"/>
      <c r="AQ56" s="3283">
        <v>2472.84</v>
      </c>
      <c r="AR56" s="3283"/>
      <c r="AS56" s="2028">
        <f t="shared" si="110"/>
        <v>2472.84</v>
      </c>
      <c r="AT56" s="3284">
        <f t="shared" si="92"/>
        <v>1.7188954744467459E-2</v>
      </c>
      <c r="AU56" s="3295"/>
      <c r="AV56" s="3283"/>
      <c r="AW56" s="3283"/>
      <c r="AX56" s="2028">
        <f t="shared" si="111"/>
        <v>0</v>
      </c>
      <c r="AY56" s="3284">
        <f t="shared" si="93"/>
        <v>0</v>
      </c>
      <c r="AZ56" s="3295"/>
      <c r="BA56" s="3283"/>
      <c r="BB56" s="3283"/>
      <c r="BC56" s="2028">
        <f t="shared" si="112"/>
        <v>0</v>
      </c>
      <c r="BD56" s="3284">
        <f t="shared" si="94"/>
        <v>0</v>
      </c>
      <c r="BE56" s="3295"/>
      <c r="BF56" s="3283"/>
      <c r="BG56" s="3283"/>
      <c r="BH56" s="2028">
        <f t="shared" si="113"/>
        <v>0</v>
      </c>
      <c r="BI56" s="3284">
        <f t="shared" si="95"/>
        <v>0</v>
      </c>
      <c r="BJ56" s="3295"/>
      <c r="BK56" s="3283"/>
      <c r="BL56" s="3283"/>
      <c r="BM56" s="2028">
        <f t="shared" si="114"/>
        <v>0</v>
      </c>
      <c r="BN56" s="3284">
        <f t="shared" si="96"/>
        <v>0</v>
      </c>
      <c r="BO56" s="3295"/>
      <c r="BP56" s="3285"/>
      <c r="BQ56" s="3283"/>
      <c r="BR56" s="2028">
        <f t="shared" si="115"/>
        <v>0</v>
      </c>
      <c r="BS56" s="3284">
        <f t="shared" si="97"/>
        <v>0</v>
      </c>
      <c r="BT56" s="3295"/>
      <c r="BU56" s="3283"/>
      <c r="BV56" s="3283"/>
      <c r="BW56" s="2028">
        <f t="shared" si="116"/>
        <v>0</v>
      </c>
      <c r="BX56" s="3284">
        <f t="shared" si="98"/>
        <v>0</v>
      </c>
      <c r="BY56" s="3295"/>
      <c r="BZ56" s="3283"/>
      <c r="CA56" s="3283"/>
      <c r="CB56" s="2028">
        <f t="shared" si="117"/>
        <v>0</v>
      </c>
      <c r="CC56" s="3284">
        <f t="shared" si="99"/>
        <v>0</v>
      </c>
      <c r="CD56" s="3295"/>
      <c r="CE56" s="3283"/>
      <c r="CF56" s="3283"/>
      <c r="CG56" s="2028">
        <f t="shared" si="118"/>
        <v>0</v>
      </c>
      <c r="CH56" s="3284">
        <f t="shared" si="100"/>
        <v>0</v>
      </c>
      <c r="CI56" s="3295"/>
      <c r="CJ56" s="3283"/>
      <c r="CK56" s="3283"/>
      <c r="CL56" s="2028">
        <f t="shared" si="119"/>
        <v>0</v>
      </c>
      <c r="CM56" s="3284">
        <f t="shared" si="101"/>
        <v>0</v>
      </c>
      <c r="CN56" s="3295"/>
      <c r="CO56" s="3274">
        <f t="shared" ref="CO56:CP71" si="122">C56+H56+M56+R56+AG56+AL56+AQ56+AV56+BA56+BF56+BK56+BP56+BU56+BZ56+CE56+CJ56+W56</f>
        <v>184034.52999999997</v>
      </c>
      <c r="CP56" s="3274">
        <f t="shared" si="122"/>
        <v>0</v>
      </c>
      <c r="CQ56" s="2028">
        <f t="shared" si="121"/>
        <v>184034.52999999997</v>
      </c>
      <c r="CR56" s="3284">
        <f t="shared" si="63"/>
        <v>1.6103084383640186E-2</v>
      </c>
      <c r="CS56" s="3295"/>
      <c r="CT56" s="933"/>
    </row>
    <row r="57" spans="1:98" ht="13.8" x14ac:dyDescent="0.25">
      <c r="A57" s="1586"/>
      <c r="B57" s="3310" t="s">
        <v>68</v>
      </c>
      <c r="C57" s="3283">
        <v>18960.87</v>
      </c>
      <c r="D57" s="3283"/>
      <c r="E57" s="2028">
        <f t="shared" si="102"/>
        <v>18960.87</v>
      </c>
      <c r="F57" s="3284">
        <f t="shared" si="87"/>
        <v>4.1286276200950572E-2</v>
      </c>
      <c r="G57" s="3295"/>
      <c r="H57" s="3274">
        <v>20303.23</v>
      </c>
      <c r="I57" s="3274"/>
      <c r="J57" s="2028">
        <f t="shared" si="103"/>
        <v>20303.23</v>
      </c>
      <c r="K57" s="3284">
        <f t="shared" si="88"/>
        <v>0.14112975430537925</v>
      </c>
      <c r="L57" s="3295"/>
      <c r="M57" s="3283">
        <v>18874.36</v>
      </c>
      <c r="N57" s="3283"/>
      <c r="O57" s="2028">
        <f t="shared" si="104"/>
        <v>18874.36</v>
      </c>
      <c r="P57" s="3284">
        <f t="shared" si="3"/>
        <v>2.9435279161607003E-3</v>
      </c>
      <c r="Q57" s="3295"/>
      <c r="R57" s="3283">
        <v>19328.61</v>
      </c>
      <c r="S57" s="3283"/>
      <c r="T57" s="2028">
        <f t="shared" si="105"/>
        <v>19328.61</v>
      </c>
      <c r="U57" s="3284">
        <f t="shared" si="4"/>
        <v>3.0143699238322713E-3</v>
      </c>
      <c r="V57" s="3295"/>
      <c r="W57" s="3283">
        <v>86135.59</v>
      </c>
      <c r="X57" s="3283">
        <v>0</v>
      </c>
      <c r="Y57" s="2028">
        <v>86135.59</v>
      </c>
      <c r="Z57" s="3284">
        <v>1.3433171442103065E-2</v>
      </c>
      <c r="AA57" s="3295"/>
      <c r="AB57" s="3274">
        <f t="shared" si="106"/>
        <v>6534.54</v>
      </c>
      <c r="AC57" s="3274">
        <f t="shared" si="106"/>
        <v>0</v>
      </c>
      <c r="AD57" s="2028">
        <f t="shared" si="107"/>
        <v>6534.54</v>
      </c>
      <c r="AE57" s="3284">
        <f t="shared" si="89"/>
        <v>1.0190862582502792E-3</v>
      </c>
      <c r="AF57" s="3295"/>
      <c r="AG57" s="3274">
        <v>189.61</v>
      </c>
      <c r="AH57" s="3274"/>
      <c r="AI57" s="2028">
        <f t="shared" si="108"/>
        <v>189.61</v>
      </c>
      <c r="AJ57" s="3284">
        <f t="shared" si="90"/>
        <v>2.9570397522524226E-5</v>
      </c>
      <c r="AK57" s="3295"/>
      <c r="AL57" s="3283">
        <v>2659.43</v>
      </c>
      <c r="AM57" s="3283"/>
      <c r="AN57" s="2028">
        <f t="shared" si="109"/>
        <v>2659.43</v>
      </c>
      <c r="AO57" s="3284">
        <f t="shared" si="91"/>
        <v>5.7907660100561835E-3</v>
      </c>
      <c r="AP57" s="3297"/>
      <c r="AQ57" s="3283">
        <v>3685.5</v>
      </c>
      <c r="AR57" s="3283"/>
      <c r="AS57" s="2028">
        <f t="shared" si="110"/>
        <v>3685.5</v>
      </c>
      <c r="AT57" s="3284">
        <f t="shared" si="92"/>
        <v>2.5618274013173039E-2</v>
      </c>
      <c r="AU57" s="3295"/>
      <c r="AV57" s="3283"/>
      <c r="AW57" s="3283"/>
      <c r="AX57" s="2028">
        <f t="shared" si="111"/>
        <v>0</v>
      </c>
      <c r="AY57" s="3284">
        <f t="shared" si="93"/>
        <v>0</v>
      </c>
      <c r="AZ57" s="3295"/>
      <c r="BA57" s="3283"/>
      <c r="BB57" s="3283"/>
      <c r="BC57" s="2028">
        <f t="shared" si="112"/>
        <v>0</v>
      </c>
      <c r="BD57" s="3284">
        <f t="shared" si="94"/>
        <v>0</v>
      </c>
      <c r="BE57" s="3295"/>
      <c r="BF57" s="3283"/>
      <c r="BG57" s="3283"/>
      <c r="BH57" s="2028">
        <f t="shared" si="113"/>
        <v>0</v>
      </c>
      <c r="BI57" s="3284">
        <f t="shared" si="95"/>
        <v>0</v>
      </c>
      <c r="BJ57" s="3295"/>
      <c r="BK57" s="3283"/>
      <c r="BL57" s="3283"/>
      <c r="BM57" s="2028">
        <f t="shared" si="114"/>
        <v>0</v>
      </c>
      <c r="BN57" s="3284">
        <f t="shared" si="96"/>
        <v>0</v>
      </c>
      <c r="BO57" s="3295"/>
      <c r="BP57" s="3285"/>
      <c r="BQ57" s="3283"/>
      <c r="BR57" s="2028">
        <f t="shared" si="115"/>
        <v>0</v>
      </c>
      <c r="BS57" s="3284">
        <f t="shared" si="97"/>
        <v>0</v>
      </c>
      <c r="BT57" s="3295"/>
      <c r="BU57" s="3283"/>
      <c r="BV57" s="3283"/>
      <c r="BW57" s="2028">
        <f t="shared" si="116"/>
        <v>0</v>
      </c>
      <c r="BX57" s="3284">
        <f t="shared" si="98"/>
        <v>0</v>
      </c>
      <c r="BY57" s="3295"/>
      <c r="BZ57" s="3283"/>
      <c r="CA57" s="3283"/>
      <c r="CB57" s="2028">
        <f t="shared" si="117"/>
        <v>0</v>
      </c>
      <c r="CC57" s="3284">
        <f t="shared" si="99"/>
        <v>0</v>
      </c>
      <c r="CD57" s="3295"/>
      <c r="CE57" s="3283"/>
      <c r="CF57" s="3283"/>
      <c r="CG57" s="2028">
        <f t="shared" si="118"/>
        <v>0</v>
      </c>
      <c r="CH57" s="3284">
        <f t="shared" si="100"/>
        <v>0</v>
      </c>
      <c r="CI57" s="3295"/>
      <c r="CJ57" s="3283"/>
      <c r="CK57" s="3283"/>
      <c r="CL57" s="2028">
        <f t="shared" si="119"/>
        <v>0</v>
      </c>
      <c r="CM57" s="3284">
        <f t="shared" si="101"/>
        <v>0</v>
      </c>
      <c r="CN57" s="3295"/>
      <c r="CO57" s="3274">
        <f t="shared" si="122"/>
        <v>170137.2</v>
      </c>
      <c r="CP57" s="3274">
        <f t="shared" si="122"/>
        <v>0</v>
      </c>
      <c r="CQ57" s="2028">
        <f t="shared" si="121"/>
        <v>170137.2</v>
      </c>
      <c r="CR57" s="3284">
        <f t="shared" si="63"/>
        <v>1.4887063250555575E-2</v>
      </c>
      <c r="CS57" s="3295"/>
      <c r="CT57" s="933"/>
    </row>
    <row r="58" spans="1:98" ht="13.8" x14ac:dyDescent="0.25">
      <c r="A58" s="1586"/>
      <c r="B58" s="3310" t="s">
        <v>67</v>
      </c>
      <c r="C58" s="3283"/>
      <c r="D58" s="3283"/>
      <c r="E58" s="2028">
        <f t="shared" si="102"/>
        <v>0</v>
      </c>
      <c r="F58" s="3284">
        <f t="shared" si="87"/>
        <v>0</v>
      </c>
      <c r="G58" s="3295"/>
      <c r="H58" s="3274"/>
      <c r="I58" s="3274"/>
      <c r="J58" s="2028">
        <f t="shared" si="103"/>
        <v>0</v>
      </c>
      <c r="K58" s="3284">
        <f t="shared" si="88"/>
        <v>0</v>
      </c>
      <c r="L58" s="3295"/>
      <c r="M58" s="3283"/>
      <c r="N58" s="3283"/>
      <c r="O58" s="2028">
        <f t="shared" si="104"/>
        <v>0</v>
      </c>
      <c r="P58" s="3284">
        <f t="shared" si="3"/>
        <v>0</v>
      </c>
      <c r="Q58" s="3295"/>
      <c r="R58" s="3283"/>
      <c r="S58" s="3283"/>
      <c r="T58" s="2028">
        <f t="shared" si="105"/>
        <v>0</v>
      </c>
      <c r="U58" s="3284">
        <f t="shared" si="4"/>
        <v>0</v>
      </c>
      <c r="V58" s="3295"/>
      <c r="W58" s="3283">
        <v>0</v>
      </c>
      <c r="X58" s="3283">
        <v>0</v>
      </c>
      <c r="Y58" s="2028">
        <v>0</v>
      </c>
      <c r="Z58" s="3284">
        <v>0</v>
      </c>
      <c r="AA58" s="3295"/>
      <c r="AB58" s="3274">
        <f t="shared" si="106"/>
        <v>0</v>
      </c>
      <c r="AC58" s="3274">
        <f t="shared" si="106"/>
        <v>0</v>
      </c>
      <c r="AD58" s="2028">
        <f t="shared" si="107"/>
        <v>0</v>
      </c>
      <c r="AE58" s="3284">
        <f t="shared" si="89"/>
        <v>0</v>
      </c>
      <c r="AF58" s="3295"/>
      <c r="AG58" s="3283"/>
      <c r="AH58" s="3283"/>
      <c r="AI58" s="2028">
        <f t="shared" si="108"/>
        <v>0</v>
      </c>
      <c r="AJ58" s="3284">
        <f t="shared" si="90"/>
        <v>0</v>
      </c>
      <c r="AK58" s="3295"/>
      <c r="AL58" s="3283"/>
      <c r="AM58" s="3283"/>
      <c r="AN58" s="2028">
        <f t="shared" si="109"/>
        <v>0</v>
      </c>
      <c r="AO58" s="3284">
        <f t="shared" si="91"/>
        <v>0</v>
      </c>
      <c r="AP58" s="3297"/>
      <c r="AQ58" s="3283"/>
      <c r="AR58" s="3283"/>
      <c r="AS58" s="2028">
        <f t="shared" si="110"/>
        <v>0</v>
      </c>
      <c r="AT58" s="3284">
        <f t="shared" si="92"/>
        <v>0</v>
      </c>
      <c r="AU58" s="3295"/>
      <c r="AV58" s="3283"/>
      <c r="AW58" s="3283"/>
      <c r="AX58" s="2028">
        <f t="shared" si="111"/>
        <v>0</v>
      </c>
      <c r="AY58" s="3284">
        <f t="shared" si="93"/>
        <v>0</v>
      </c>
      <c r="AZ58" s="3295"/>
      <c r="BA58" s="3283"/>
      <c r="BB58" s="3283"/>
      <c r="BC58" s="2028">
        <f t="shared" si="112"/>
        <v>0</v>
      </c>
      <c r="BD58" s="3284">
        <f t="shared" si="94"/>
        <v>0</v>
      </c>
      <c r="BE58" s="3295"/>
      <c r="BF58" s="3283"/>
      <c r="BG58" s="3283"/>
      <c r="BH58" s="2028">
        <f t="shared" si="113"/>
        <v>0</v>
      </c>
      <c r="BI58" s="3284">
        <f t="shared" si="95"/>
        <v>0</v>
      </c>
      <c r="BJ58" s="3295"/>
      <c r="BK58" s="3283"/>
      <c r="BL58" s="3283"/>
      <c r="BM58" s="2028">
        <f t="shared" si="114"/>
        <v>0</v>
      </c>
      <c r="BN58" s="3284">
        <f t="shared" si="96"/>
        <v>0</v>
      </c>
      <c r="BO58" s="3295"/>
      <c r="BP58" s="3283"/>
      <c r="BQ58" s="3283"/>
      <c r="BR58" s="2028">
        <f t="shared" si="115"/>
        <v>0</v>
      </c>
      <c r="BS58" s="3284">
        <f t="shared" si="97"/>
        <v>0</v>
      </c>
      <c r="BT58" s="3295"/>
      <c r="BU58" s="3283"/>
      <c r="BV58" s="3283"/>
      <c r="BW58" s="2028">
        <f t="shared" si="116"/>
        <v>0</v>
      </c>
      <c r="BX58" s="3284">
        <f t="shared" si="98"/>
        <v>0</v>
      </c>
      <c r="BY58" s="3295"/>
      <c r="BZ58" s="3283"/>
      <c r="CA58" s="3283"/>
      <c r="CB58" s="2028">
        <f t="shared" si="117"/>
        <v>0</v>
      </c>
      <c r="CC58" s="3284">
        <f t="shared" si="99"/>
        <v>0</v>
      </c>
      <c r="CD58" s="3295"/>
      <c r="CE58" s="3283"/>
      <c r="CF58" s="3283"/>
      <c r="CG58" s="2028">
        <f t="shared" si="118"/>
        <v>0</v>
      </c>
      <c r="CH58" s="3284">
        <f t="shared" si="100"/>
        <v>0</v>
      </c>
      <c r="CI58" s="3295"/>
      <c r="CJ58" s="3283"/>
      <c r="CK58" s="3283"/>
      <c r="CL58" s="2028">
        <f t="shared" si="119"/>
        <v>0</v>
      </c>
      <c r="CM58" s="3284">
        <f t="shared" si="101"/>
        <v>0</v>
      </c>
      <c r="CN58" s="3295"/>
      <c r="CO58" s="3274">
        <f t="shared" si="122"/>
        <v>0</v>
      </c>
      <c r="CP58" s="3274">
        <f t="shared" si="122"/>
        <v>0</v>
      </c>
      <c r="CQ58" s="2028">
        <f t="shared" si="121"/>
        <v>0</v>
      </c>
      <c r="CR58" s="3284">
        <f t="shared" si="63"/>
        <v>0</v>
      </c>
      <c r="CS58" s="3295"/>
      <c r="CT58" s="933"/>
    </row>
    <row r="59" spans="1:98" ht="13.8" x14ac:dyDescent="0.25">
      <c r="A59" s="1586"/>
      <c r="B59" s="3310" t="s">
        <v>66</v>
      </c>
      <c r="C59" s="3283"/>
      <c r="D59" s="3283"/>
      <c r="E59" s="2028">
        <f t="shared" si="102"/>
        <v>0</v>
      </c>
      <c r="F59" s="3284">
        <f t="shared" si="87"/>
        <v>0</v>
      </c>
      <c r="G59" s="3295"/>
      <c r="H59" s="3274"/>
      <c r="I59" s="3274"/>
      <c r="J59" s="2028">
        <f t="shared" si="103"/>
        <v>0</v>
      </c>
      <c r="K59" s="3284">
        <f t="shared" si="88"/>
        <v>0</v>
      </c>
      <c r="L59" s="3295"/>
      <c r="M59" s="3283"/>
      <c r="N59" s="3283"/>
      <c r="O59" s="2028">
        <f t="shared" si="104"/>
        <v>0</v>
      </c>
      <c r="P59" s="3284">
        <f t="shared" si="3"/>
        <v>0</v>
      </c>
      <c r="Q59" s="3295"/>
      <c r="R59" s="3283"/>
      <c r="S59" s="3283"/>
      <c r="T59" s="2028">
        <f t="shared" si="105"/>
        <v>0</v>
      </c>
      <c r="U59" s="3284">
        <f t="shared" si="4"/>
        <v>0</v>
      </c>
      <c r="V59" s="3295"/>
      <c r="W59" s="3283">
        <v>0</v>
      </c>
      <c r="X59" s="3283">
        <v>0</v>
      </c>
      <c r="Y59" s="2028">
        <v>0</v>
      </c>
      <c r="Z59" s="3284">
        <v>0</v>
      </c>
      <c r="AA59" s="3295"/>
      <c r="AB59" s="3274">
        <f t="shared" si="106"/>
        <v>0</v>
      </c>
      <c r="AC59" s="3274">
        <f t="shared" si="106"/>
        <v>0</v>
      </c>
      <c r="AD59" s="2028">
        <f t="shared" si="107"/>
        <v>0</v>
      </c>
      <c r="AE59" s="3284">
        <f t="shared" si="89"/>
        <v>0</v>
      </c>
      <c r="AF59" s="3295"/>
      <c r="AG59" s="3283"/>
      <c r="AH59" s="3283"/>
      <c r="AI59" s="2028">
        <f t="shared" si="108"/>
        <v>0</v>
      </c>
      <c r="AJ59" s="3284">
        <f t="shared" si="90"/>
        <v>0</v>
      </c>
      <c r="AK59" s="3295"/>
      <c r="AL59" s="3283"/>
      <c r="AM59" s="3283"/>
      <c r="AN59" s="2028">
        <f t="shared" si="109"/>
        <v>0</v>
      </c>
      <c r="AO59" s="3284">
        <f t="shared" si="91"/>
        <v>0</v>
      </c>
      <c r="AP59" s="3297"/>
      <c r="AQ59" s="3283"/>
      <c r="AR59" s="3283"/>
      <c r="AS59" s="2028">
        <f t="shared" si="110"/>
        <v>0</v>
      </c>
      <c r="AT59" s="3284">
        <f t="shared" si="92"/>
        <v>0</v>
      </c>
      <c r="AU59" s="3295"/>
      <c r="AV59" s="3283"/>
      <c r="AW59" s="3283"/>
      <c r="AX59" s="2028">
        <f t="shared" si="111"/>
        <v>0</v>
      </c>
      <c r="AY59" s="3284">
        <f t="shared" si="93"/>
        <v>0</v>
      </c>
      <c r="AZ59" s="3295"/>
      <c r="BA59" s="3283"/>
      <c r="BB59" s="3283"/>
      <c r="BC59" s="2028">
        <f t="shared" si="112"/>
        <v>0</v>
      </c>
      <c r="BD59" s="3284">
        <f t="shared" si="94"/>
        <v>0</v>
      </c>
      <c r="BE59" s="3295"/>
      <c r="BF59" s="3283"/>
      <c r="BG59" s="3283"/>
      <c r="BH59" s="2028">
        <f t="shared" si="113"/>
        <v>0</v>
      </c>
      <c r="BI59" s="3284">
        <f t="shared" si="95"/>
        <v>0</v>
      </c>
      <c r="BJ59" s="3295"/>
      <c r="BK59" s="3283"/>
      <c r="BL59" s="3283"/>
      <c r="BM59" s="2028">
        <f t="shared" si="114"/>
        <v>0</v>
      </c>
      <c r="BN59" s="3284">
        <f t="shared" si="96"/>
        <v>0</v>
      </c>
      <c r="BO59" s="3295"/>
      <c r="BP59" s="3283"/>
      <c r="BQ59" s="3283"/>
      <c r="BR59" s="2028">
        <f t="shared" si="115"/>
        <v>0</v>
      </c>
      <c r="BS59" s="3284">
        <f t="shared" si="97"/>
        <v>0</v>
      </c>
      <c r="BT59" s="3295"/>
      <c r="BU59" s="3283"/>
      <c r="BV59" s="3283"/>
      <c r="BW59" s="2028">
        <f t="shared" si="116"/>
        <v>0</v>
      </c>
      <c r="BX59" s="3284">
        <f t="shared" si="98"/>
        <v>0</v>
      </c>
      <c r="BY59" s="3295"/>
      <c r="BZ59" s="3283"/>
      <c r="CA59" s="3283"/>
      <c r="CB59" s="2028">
        <f t="shared" si="117"/>
        <v>0</v>
      </c>
      <c r="CC59" s="3284">
        <f t="shared" si="99"/>
        <v>0</v>
      </c>
      <c r="CD59" s="3295"/>
      <c r="CE59" s="3283"/>
      <c r="CF59" s="3283"/>
      <c r="CG59" s="2028">
        <f t="shared" si="118"/>
        <v>0</v>
      </c>
      <c r="CH59" s="3284">
        <f t="shared" si="100"/>
        <v>0</v>
      </c>
      <c r="CI59" s="3295"/>
      <c r="CJ59" s="3283"/>
      <c r="CK59" s="3283"/>
      <c r="CL59" s="2028">
        <f t="shared" si="119"/>
        <v>0</v>
      </c>
      <c r="CM59" s="3284">
        <f t="shared" si="101"/>
        <v>0</v>
      </c>
      <c r="CN59" s="3295"/>
      <c r="CO59" s="3274">
        <f t="shared" si="122"/>
        <v>0</v>
      </c>
      <c r="CP59" s="3274">
        <f t="shared" si="122"/>
        <v>0</v>
      </c>
      <c r="CQ59" s="2028">
        <f t="shared" si="121"/>
        <v>0</v>
      </c>
      <c r="CR59" s="3284">
        <f t="shared" si="63"/>
        <v>0</v>
      </c>
      <c r="CS59" s="3295"/>
      <c r="CT59" s="933"/>
    </row>
    <row r="60" spans="1:98" ht="13.8" x14ac:dyDescent="0.25">
      <c r="A60" s="1586"/>
      <c r="B60" s="3310" t="s">
        <v>65</v>
      </c>
      <c r="C60" s="3283"/>
      <c r="D60" s="3283"/>
      <c r="E60" s="2028">
        <f t="shared" si="102"/>
        <v>0</v>
      </c>
      <c r="F60" s="3284">
        <f t="shared" si="87"/>
        <v>0</v>
      </c>
      <c r="G60" s="3295"/>
      <c r="H60" s="3274"/>
      <c r="I60" s="3274"/>
      <c r="J60" s="2028">
        <f t="shared" si="103"/>
        <v>0</v>
      </c>
      <c r="K60" s="3284">
        <f t="shared" si="88"/>
        <v>0</v>
      </c>
      <c r="L60" s="3295"/>
      <c r="M60" s="3283"/>
      <c r="N60" s="3283"/>
      <c r="O60" s="2028">
        <f t="shared" si="104"/>
        <v>0</v>
      </c>
      <c r="P60" s="3284">
        <f t="shared" si="3"/>
        <v>0</v>
      </c>
      <c r="Q60" s="3295"/>
      <c r="R60" s="3283"/>
      <c r="S60" s="3283"/>
      <c r="T60" s="2028">
        <f t="shared" si="105"/>
        <v>0</v>
      </c>
      <c r="U60" s="3284">
        <f t="shared" si="4"/>
        <v>0</v>
      </c>
      <c r="V60" s="3295"/>
      <c r="W60" s="3283">
        <v>0</v>
      </c>
      <c r="X60" s="3283">
        <v>0</v>
      </c>
      <c r="Y60" s="2028">
        <v>0</v>
      </c>
      <c r="Z60" s="3284">
        <v>0</v>
      </c>
      <c r="AA60" s="3295"/>
      <c r="AB60" s="3274">
        <f t="shared" si="106"/>
        <v>0</v>
      </c>
      <c r="AC60" s="3274">
        <f t="shared" si="106"/>
        <v>0</v>
      </c>
      <c r="AD60" s="2028">
        <f t="shared" si="107"/>
        <v>0</v>
      </c>
      <c r="AE60" s="3284">
        <f t="shared" si="89"/>
        <v>0</v>
      </c>
      <c r="AF60" s="3295"/>
      <c r="AG60" s="3283"/>
      <c r="AH60" s="3283"/>
      <c r="AI60" s="2028">
        <f t="shared" si="108"/>
        <v>0</v>
      </c>
      <c r="AJ60" s="3284">
        <f t="shared" si="90"/>
        <v>0</v>
      </c>
      <c r="AK60" s="3295"/>
      <c r="AL60" s="3283"/>
      <c r="AM60" s="3283"/>
      <c r="AN60" s="2028">
        <f t="shared" si="109"/>
        <v>0</v>
      </c>
      <c r="AO60" s="3284">
        <f t="shared" si="91"/>
        <v>0</v>
      </c>
      <c r="AP60" s="3297"/>
      <c r="AQ60" s="3283"/>
      <c r="AR60" s="3283"/>
      <c r="AS60" s="2028">
        <f t="shared" si="110"/>
        <v>0</v>
      </c>
      <c r="AT60" s="3284">
        <f t="shared" si="92"/>
        <v>0</v>
      </c>
      <c r="AU60" s="3295"/>
      <c r="AV60" s="3283"/>
      <c r="AW60" s="3283"/>
      <c r="AX60" s="2028">
        <f t="shared" si="111"/>
        <v>0</v>
      </c>
      <c r="AY60" s="3284">
        <f t="shared" si="93"/>
        <v>0</v>
      </c>
      <c r="AZ60" s="3295"/>
      <c r="BA60" s="3283"/>
      <c r="BB60" s="3283"/>
      <c r="BC60" s="2028">
        <f t="shared" si="112"/>
        <v>0</v>
      </c>
      <c r="BD60" s="3284">
        <f t="shared" si="94"/>
        <v>0</v>
      </c>
      <c r="BE60" s="3295"/>
      <c r="BF60" s="3283"/>
      <c r="BG60" s="3283"/>
      <c r="BH60" s="2028">
        <f t="shared" si="113"/>
        <v>0</v>
      </c>
      <c r="BI60" s="3284">
        <f t="shared" si="95"/>
        <v>0</v>
      </c>
      <c r="BJ60" s="3295"/>
      <c r="BK60" s="3283"/>
      <c r="BL60" s="3283"/>
      <c r="BM60" s="2028">
        <f t="shared" si="114"/>
        <v>0</v>
      </c>
      <c r="BN60" s="3284">
        <f t="shared" si="96"/>
        <v>0</v>
      </c>
      <c r="BO60" s="3295"/>
      <c r="BP60" s="3283"/>
      <c r="BQ60" s="3283"/>
      <c r="BR60" s="2028">
        <f t="shared" si="115"/>
        <v>0</v>
      </c>
      <c r="BS60" s="3284">
        <f t="shared" si="97"/>
        <v>0</v>
      </c>
      <c r="BT60" s="3295"/>
      <c r="BU60" s="3283"/>
      <c r="BV60" s="3283"/>
      <c r="BW60" s="2028">
        <f t="shared" si="116"/>
        <v>0</v>
      </c>
      <c r="BX60" s="3284">
        <f t="shared" si="98"/>
        <v>0</v>
      </c>
      <c r="BY60" s="3295"/>
      <c r="BZ60" s="3283"/>
      <c r="CA60" s="3283"/>
      <c r="CB60" s="2028">
        <f t="shared" si="117"/>
        <v>0</v>
      </c>
      <c r="CC60" s="3284">
        <f t="shared" si="99"/>
        <v>0</v>
      </c>
      <c r="CD60" s="3295"/>
      <c r="CE60" s="3283"/>
      <c r="CF60" s="3283"/>
      <c r="CG60" s="2028">
        <f t="shared" si="118"/>
        <v>0</v>
      </c>
      <c r="CH60" s="3284">
        <f t="shared" si="100"/>
        <v>0</v>
      </c>
      <c r="CI60" s="3295"/>
      <c r="CJ60" s="3283"/>
      <c r="CK60" s="3283"/>
      <c r="CL60" s="2028">
        <f t="shared" si="119"/>
        <v>0</v>
      </c>
      <c r="CM60" s="3284">
        <f t="shared" si="101"/>
        <v>0</v>
      </c>
      <c r="CN60" s="3295"/>
      <c r="CO60" s="3274">
        <f t="shared" si="122"/>
        <v>0</v>
      </c>
      <c r="CP60" s="3274">
        <f t="shared" si="122"/>
        <v>0</v>
      </c>
      <c r="CQ60" s="2028">
        <f t="shared" si="121"/>
        <v>0</v>
      </c>
      <c r="CR60" s="3284">
        <f t="shared" si="63"/>
        <v>0</v>
      </c>
      <c r="CS60" s="3295"/>
      <c r="CT60" s="933"/>
    </row>
    <row r="61" spans="1:98" ht="13.8" x14ac:dyDescent="0.25">
      <c r="A61" s="1586"/>
      <c r="B61" s="3310" t="s">
        <v>32</v>
      </c>
      <c r="C61" s="3283"/>
      <c r="D61" s="3283"/>
      <c r="E61" s="2028">
        <f t="shared" si="102"/>
        <v>0</v>
      </c>
      <c r="F61" s="3284">
        <f t="shared" si="87"/>
        <v>0</v>
      </c>
      <c r="G61" s="3295"/>
      <c r="H61" s="3274"/>
      <c r="I61" s="3274"/>
      <c r="J61" s="2028">
        <f t="shared" si="103"/>
        <v>0</v>
      </c>
      <c r="K61" s="3284">
        <f t="shared" si="88"/>
        <v>0</v>
      </c>
      <c r="L61" s="3295"/>
      <c r="M61" s="3283"/>
      <c r="N61" s="3283"/>
      <c r="O61" s="2028">
        <f t="shared" si="104"/>
        <v>0</v>
      </c>
      <c r="P61" s="3284">
        <f t="shared" si="3"/>
        <v>0</v>
      </c>
      <c r="Q61" s="3295"/>
      <c r="R61" s="3283"/>
      <c r="S61" s="3283">
        <v>54166.66</v>
      </c>
      <c r="T61" s="2028">
        <f t="shared" si="105"/>
        <v>54166.66</v>
      </c>
      <c r="U61" s="3284">
        <f t="shared" si="4"/>
        <v>8.4474957474152852E-3</v>
      </c>
      <c r="V61" s="3276" t="s">
        <v>1491</v>
      </c>
      <c r="W61" s="3283">
        <v>0</v>
      </c>
      <c r="X61" s="3283">
        <v>0</v>
      </c>
      <c r="Y61" s="2028">
        <v>0</v>
      </c>
      <c r="Z61" s="3284">
        <v>0</v>
      </c>
      <c r="AA61" s="3276"/>
      <c r="AB61" s="3274">
        <f t="shared" si="106"/>
        <v>0</v>
      </c>
      <c r="AC61" s="3274">
        <f t="shared" si="106"/>
        <v>0</v>
      </c>
      <c r="AD61" s="2028">
        <f t="shared" si="107"/>
        <v>0</v>
      </c>
      <c r="AE61" s="3284">
        <f t="shared" si="89"/>
        <v>0</v>
      </c>
      <c r="AF61" s="3276"/>
      <c r="AG61" s="3283"/>
      <c r="AH61" s="3283"/>
      <c r="AI61" s="2028">
        <f t="shared" si="108"/>
        <v>0</v>
      </c>
      <c r="AJ61" s="3284">
        <f t="shared" si="90"/>
        <v>0</v>
      </c>
      <c r="AK61" s="3276"/>
      <c r="AL61" s="3283"/>
      <c r="AM61" s="3283"/>
      <c r="AN61" s="2028">
        <f t="shared" si="109"/>
        <v>0</v>
      </c>
      <c r="AO61" s="3284">
        <f t="shared" si="91"/>
        <v>0</v>
      </c>
      <c r="AP61" s="3297"/>
      <c r="AQ61" s="3283"/>
      <c r="AR61" s="3283"/>
      <c r="AS61" s="2028">
        <f t="shared" si="110"/>
        <v>0</v>
      </c>
      <c r="AT61" s="3284">
        <f t="shared" si="92"/>
        <v>0</v>
      </c>
      <c r="AU61" s="3295"/>
      <c r="AV61" s="3283"/>
      <c r="AW61" s="3283"/>
      <c r="AX61" s="2028">
        <f t="shared" si="111"/>
        <v>0</v>
      </c>
      <c r="AY61" s="3284">
        <f t="shared" si="93"/>
        <v>0</v>
      </c>
      <c r="AZ61" s="3295"/>
      <c r="BA61" s="3283"/>
      <c r="BB61" s="3283"/>
      <c r="BC61" s="2028">
        <f t="shared" si="112"/>
        <v>0</v>
      </c>
      <c r="BD61" s="3284">
        <f t="shared" si="94"/>
        <v>0</v>
      </c>
      <c r="BE61" s="3295"/>
      <c r="BF61" s="3283"/>
      <c r="BG61" s="3283"/>
      <c r="BH61" s="2028">
        <f t="shared" si="113"/>
        <v>0</v>
      </c>
      <c r="BI61" s="3284">
        <f t="shared" si="95"/>
        <v>0</v>
      </c>
      <c r="BJ61" s="3295"/>
      <c r="BK61" s="3283"/>
      <c r="BL61" s="3283"/>
      <c r="BM61" s="2028">
        <f t="shared" si="114"/>
        <v>0</v>
      </c>
      <c r="BN61" s="3284">
        <f t="shared" si="96"/>
        <v>0</v>
      </c>
      <c r="BO61" s="3295"/>
      <c r="BP61" s="3283"/>
      <c r="BQ61" s="3283"/>
      <c r="BR61" s="2028">
        <f t="shared" si="115"/>
        <v>0</v>
      </c>
      <c r="BS61" s="3284">
        <f t="shared" si="97"/>
        <v>0</v>
      </c>
      <c r="BT61" s="3295"/>
      <c r="BU61" s="3283"/>
      <c r="BV61" s="3283"/>
      <c r="BW61" s="2028">
        <f t="shared" si="116"/>
        <v>0</v>
      </c>
      <c r="BX61" s="3284">
        <f t="shared" si="98"/>
        <v>0</v>
      </c>
      <c r="BY61" s="3295"/>
      <c r="BZ61" s="3283"/>
      <c r="CA61" s="3283"/>
      <c r="CB61" s="2028">
        <f t="shared" si="117"/>
        <v>0</v>
      </c>
      <c r="CC61" s="3284">
        <f t="shared" si="99"/>
        <v>0</v>
      </c>
      <c r="CD61" s="3295"/>
      <c r="CE61" s="3283"/>
      <c r="CF61" s="3283"/>
      <c r="CG61" s="2028">
        <f t="shared" si="118"/>
        <v>0</v>
      </c>
      <c r="CH61" s="3284">
        <f t="shared" si="100"/>
        <v>0</v>
      </c>
      <c r="CI61" s="3295"/>
      <c r="CJ61" s="3283"/>
      <c r="CK61" s="3283"/>
      <c r="CL61" s="2028">
        <f t="shared" si="119"/>
        <v>0</v>
      </c>
      <c r="CM61" s="3284">
        <f t="shared" si="101"/>
        <v>0</v>
      </c>
      <c r="CN61" s="3295"/>
      <c r="CO61" s="3274">
        <f t="shared" si="122"/>
        <v>0</v>
      </c>
      <c r="CP61" s="3274">
        <f t="shared" si="122"/>
        <v>54166.66</v>
      </c>
      <c r="CQ61" s="2028">
        <f t="shared" si="121"/>
        <v>54166.66</v>
      </c>
      <c r="CR61" s="3284">
        <f t="shared" si="63"/>
        <v>4.7396012952566433E-3</v>
      </c>
      <c r="CS61" s="3295"/>
      <c r="CT61" s="933"/>
    </row>
    <row r="62" spans="1:98" ht="41.4" x14ac:dyDescent="0.25">
      <c r="A62" s="1586"/>
      <c r="B62" s="3310" t="s">
        <v>33</v>
      </c>
      <c r="C62" s="3283">
        <v>3660</v>
      </c>
      <c r="D62" s="3283"/>
      <c r="E62" s="2028">
        <f t="shared" si="102"/>
        <v>3660</v>
      </c>
      <c r="F62" s="3284">
        <f t="shared" si="87"/>
        <v>7.9694534531104914E-3</v>
      </c>
      <c r="G62" s="3275" t="s">
        <v>1284</v>
      </c>
      <c r="H62" s="3274">
        <f>3644</f>
        <v>3644</v>
      </c>
      <c r="I62" s="3274"/>
      <c r="J62" s="2028">
        <f t="shared" si="103"/>
        <v>3644</v>
      </c>
      <c r="K62" s="3284">
        <f t="shared" si="88"/>
        <v>2.5329803419889444E-2</v>
      </c>
      <c r="L62" s="3275"/>
      <c r="M62" s="3283">
        <f>3769+550</f>
        <v>4319</v>
      </c>
      <c r="N62" s="3283"/>
      <c r="O62" s="2028">
        <f t="shared" si="104"/>
        <v>4319</v>
      </c>
      <c r="P62" s="3284">
        <f t="shared" si="3"/>
        <v>6.7356440535721815E-4</v>
      </c>
      <c r="Q62" s="3412" t="s">
        <v>1403</v>
      </c>
      <c r="R62" s="3283">
        <f>4012.6+550</f>
        <v>4562.6000000000004</v>
      </c>
      <c r="S62" s="3283"/>
      <c r="T62" s="2028">
        <f t="shared" si="105"/>
        <v>4562.6000000000004</v>
      </c>
      <c r="U62" s="3284">
        <f t="shared" si="4"/>
        <v>7.1155474783117468E-4</v>
      </c>
      <c r="V62" s="3276" t="s">
        <v>1403</v>
      </c>
      <c r="W62" s="3283">
        <v>23735.371999999999</v>
      </c>
      <c r="X62" s="3283">
        <v>0</v>
      </c>
      <c r="Y62" s="2028">
        <v>23735.371999999999</v>
      </c>
      <c r="Z62" s="3284">
        <v>3.7016211454300452E-3</v>
      </c>
      <c r="AA62" s="3276"/>
      <c r="AB62" s="3274">
        <f t="shared" si="106"/>
        <v>2601</v>
      </c>
      <c r="AC62" s="3274">
        <f t="shared" si="106"/>
        <v>0</v>
      </c>
      <c r="AD62" s="2028">
        <f t="shared" si="107"/>
        <v>2601</v>
      </c>
      <c r="AE62" s="3284">
        <f t="shared" si="89"/>
        <v>4.0563579956798431E-4</v>
      </c>
      <c r="AF62" s="3276"/>
      <c r="AG62" s="3274">
        <v>1</v>
      </c>
      <c r="AH62" s="3283"/>
      <c r="AI62" s="2028">
        <f t="shared" si="108"/>
        <v>1</v>
      </c>
      <c r="AJ62" s="3284">
        <f t="shared" si="90"/>
        <v>1.5595378683890208E-7</v>
      </c>
      <c r="AK62" s="3276" t="s">
        <v>2132</v>
      </c>
      <c r="AL62" s="3283">
        <v>2000</v>
      </c>
      <c r="AM62" s="3283"/>
      <c r="AN62" s="2028">
        <f t="shared" si="109"/>
        <v>2000</v>
      </c>
      <c r="AO62" s="3284">
        <f t="shared" si="91"/>
        <v>4.3548925973281374E-3</v>
      </c>
      <c r="AP62" s="3297" t="s">
        <v>2172</v>
      </c>
      <c r="AQ62" s="3283">
        <v>600</v>
      </c>
      <c r="AR62" s="3283"/>
      <c r="AS62" s="2028">
        <f t="shared" si="110"/>
        <v>600</v>
      </c>
      <c r="AT62" s="3284">
        <f t="shared" si="92"/>
        <v>4.1706591800037508E-3</v>
      </c>
      <c r="AU62" s="3295" t="s">
        <v>2172</v>
      </c>
      <c r="AV62" s="3283"/>
      <c r="AW62" s="3283"/>
      <c r="AX62" s="2028">
        <f t="shared" si="111"/>
        <v>0</v>
      </c>
      <c r="AY62" s="3284">
        <f t="shared" si="93"/>
        <v>0</v>
      </c>
      <c r="AZ62" s="3275"/>
      <c r="BA62" s="3283"/>
      <c r="BB62" s="3283"/>
      <c r="BC62" s="2028">
        <f t="shared" si="112"/>
        <v>0</v>
      </c>
      <c r="BD62" s="3284">
        <f t="shared" si="94"/>
        <v>0</v>
      </c>
      <c r="BE62" s="3295"/>
      <c r="BF62" s="3283"/>
      <c r="BG62" s="3283"/>
      <c r="BH62" s="2028">
        <f t="shared" si="113"/>
        <v>0</v>
      </c>
      <c r="BI62" s="3284">
        <f t="shared" si="95"/>
        <v>0</v>
      </c>
      <c r="BJ62" s="3390"/>
      <c r="BK62" s="3283"/>
      <c r="BL62" s="3283"/>
      <c r="BM62" s="2028">
        <f t="shared" si="114"/>
        <v>0</v>
      </c>
      <c r="BN62" s="3284">
        <f t="shared" si="96"/>
        <v>0</v>
      </c>
      <c r="BO62" s="3295"/>
      <c r="BP62" s="3283"/>
      <c r="BQ62" s="3283"/>
      <c r="BR62" s="2028">
        <f t="shared" si="115"/>
        <v>0</v>
      </c>
      <c r="BS62" s="3284">
        <f t="shared" si="97"/>
        <v>0</v>
      </c>
      <c r="BT62" s="3390"/>
      <c r="BU62" s="3283"/>
      <c r="BV62" s="3283"/>
      <c r="BW62" s="2028">
        <f t="shared" si="116"/>
        <v>0</v>
      </c>
      <c r="BX62" s="3284">
        <f t="shared" si="98"/>
        <v>0</v>
      </c>
      <c r="BY62" s="3295"/>
      <c r="BZ62" s="3283"/>
      <c r="CA62" s="3283"/>
      <c r="CB62" s="2028">
        <f t="shared" si="117"/>
        <v>0</v>
      </c>
      <c r="CC62" s="3284">
        <f t="shared" si="99"/>
        <v>0</v>
      </c>
      <c r="CD62" s="3295"/>
      <c r="CE62" s="3283"/>
      <c r="CF62" s="3283"/>
      <c r="CG62" s="2028">
        <f t="shared" si="118"/>
        <v>0</v>
      </c>
      <c r="CH62" s="3284">
        <f t="shared" si="100"/>
        <v>0</v>
      </c>
      <c r="CI62" s="3295"/>
      <c r="CJ62" s="3283"/>
      <c r="CK62" s="3283"/>
      <c r="CL62" s="2028">
        <f t="shared" si="119"/>
        <v>0</v>
      </c>
      <c r="CM62" s="3284">
        <f t="shared" si="101"/>
        <v>0</v>
      </c>
      <c r="CN62" s="3295"/>
      <c r="CO62" s="3274">
        <f t="shared" si="122"/>
        <v>42521.971999999994</v>
      </c>
      <c r="CP62" s="3274">
        <f t="shared" si="122"/>
        <v>0</v>
      </c>
      <c r="CQ62" s="2028">
        <f t="shared" si="121"/>
        <v>42521.971999999994</v>
      </c>
      <c r="CR62" s="3284">
        <f t="shared" si="63"/>
        <v>3.720687108418106E-3</v>
      </c>
      <c r="CS62" s="3295"/>
      <c r="CT62" s="933"/>
    </row>
    <row r="63" spans="1:98" ht="27.6" x14ac:dyDescent="0.25">
      <c r="A63" s="1586"/>
      <c r="B63" s="3310" t="s">
        <v>35</v>
      </c>
      <c r="C63" s="3283">
        <v>5874</v>
      </c>
      <c r="D63" s="3283"/>
      <c r="E63" s="2028">
        <f t="shared" si="102"/>
        <v>5874</v>
      </c>
      <c r="F63" s="3284">
        <f t="shared" si="87"/>
        <v>1.2790319558352739E-2</v>
      </c>
      <c r="G63" s="3275" t="s">
        <v>1285</v>
      </c>
      <c r="H63" s="3274">
        <f>13036</f>
        <v>13036</v>
      </c>
      <c r="I63" s="3274"/>
      <c r="J63" s="2028">
        <f t="shared" si="103"/>
        <v>13036</v>
      </c>
      <c r="K63" s="3284">
        <f t="shared" si="88"/>
        <v>9.0614521784214822E-2</v>
      </c>
      <c r="L63" s="3275"/>
      <c r="M63" s="3283">
        <v>18934.11</v>
      </c>
      <c r="N63" s="3283"/>
      <c r="O63" s="2028">
        <f t="shared" si="104"/>
        <v>18934.11</v>
      </c>
      <c r="P63" s="3284">
        <f t="shared" si="3"/>
        <v>2.9528461549243245E-3</v>
      </c>
      <c r="Q63" s="3295"/>
      <c r="R63" s="3283">
        <v>4466.82</v>
      </c>
      <c r="S63" s="3283"/>
      <c r="T63" s="2028">
        <f t="shared" si="105"/>
        <v>4466.82</v>
      </c>
      <c r="U63" s="3284">
        <f t="shared" si="4"/>
        <v>6.9661749412774454E-4</v>
      </c>
      <c r="V63" s="3276" t="s">
        <v>1515</v>
      </c>
      <c r="W63" s="3283">
        <v>11341.83</v>
      </c>
      <c r="X63" s="3283">
        <v>0</v>
      </c>
      <c r="Y63" s="2028">
        <v>11341.83</v>
      </c>
      <c r="Z63" s="3284">
        <v>1.7688013381830649E-3</v>
      </c>
      <c r="AA63" s="3276"/>
      <c r="AB63" s="3274">
        <f t="shared" si="106"/>
        <v>0</v>
      </c>
      <c r="AC63" s="3274">
        <f t="shared" si="106"/>
        <v>0</v>
      </c>
      <c r="AD63" s="2028">
        <f t="shared" si="107"/>
        <v>0</v>
      </c>
      <c r="AE63" s="3284">
        <f t="shared" si="89"/>
        <v>0</v>
      </c>
      <c r="AF63" s="3276"/>
      <c r="AG63" s="3283"/>
      <c r="AH63" s="3283"/>
      <c r="AI63" s="2028">
        <f t="shared" si="108"/>
        <v>0</v>
      </c>
      <c r="AJ63" s="3284">
        <f t="shared" si="90"/>
        <v>0</v>
      </c>
      <c r="AK63" s="3276"/>
      <c r="AL63" s="3415"/>
      <c r="AM63" s="3283"/>
      <c r="AN63" s="2028">
        <f t="shared" si="109"/>
        <v>0</v>
      </c>
      <c r="AO63" s="3284">
        <f t="shared" si="91"/>
        <v>0</v>
      </c>
      <c r="AP63" s="3413"/>
      <c r="AQ63" s="3283"/>
      <c r="AR63" s="3283"/>
      <c r="AS63" s="2028">
        <f t="shared" si="110"/>
        <v>0</v>
      </c>
      <c r="AT63" s="3284">
        <f t="shared" si="92"/>
        <v>0</v>
      </c>
      <c r="AU63" s="3295"/>
      <c r="AV63" s="3283"/>
      <c r="AW63" s="3283"/>
      <c r="AX63" s="2028">
        <f t="shared" si="111"/>
        <v>0</v>
      </c>
      <c r="AY63" s="3284">
        <f t="shared" si="93"/>
        <v>0</v>
      </c>
      <c r="AZ63" s="3295"/>
      <c r="BA63" s="3283"/>
      <c r="BB63" s="3283"/>
      <c r="BC63" s="2028">
        <f t="shared" si="112"/>
        <v>0</v>
      </c>
      <c r="BD63" s="3284">
        <f t="shared" si="94"/>
        <v>0</v>
      </c>
      <c r="BE63" s="3295"/>
      <c r="BF63" s="3283"/>
      <c r="BG63" s="3283"/>
      <c r="BH63" s="2028">
        <f t="shared" si="113"/>
        <v>0</v>
      </c>
      <c r="BI63" s="3284">
        <f t="shared" si="95"/>
        <v>0</v>
      </c>
      <c r="BJ63" s="3295"/>
      <c r="BK63" s="3283"/>
      <c r="BL63" s="3283"/>
      <c r="BM63" s="2028">
        <f t="shared" si="114"/>
        <v>0</v>
      </c>
      <c r="BN63" s="3284">
        <f t="shared" si="96"/>
        <v>0</v>
      </c>
      <c r="BO63" s="3295"/>
      <c r="BP63" s="3283"/>
      <c r="BQ63" s="3283"/>
      <c r="BR63" s="2028">
        <f t="shared" si="115"/>
        <v>0</v>
      </c>
      <c r="BS63" s="3284">
        <f t="shared" si="97"/>
        <v>0</v>
      </c>
      <c r="BT63" s="3295"/>
      <c r="BU63" s="3283"/>
      <c r="BV63" s="3283"/>
      <c r="BW63" s="2028">
        <f t="shared" si="116"/>
        <v>0</v>
      </c>
      <c r="BX63" s="3284">
        <f t="shared" si="98"/>
        <v>0</v>
      </c>
      <c r="BY63" s="3295"/>
      <c r="BZ63" s="3283"/>
      <c r="CA63" s="3283"/>
      <c r="CB63" s="2028">
        <f t="shared" si="117"/>
        <v>0</v>
      </c>
      <c r="CC63" s="3284">
        <f t="shared" si="99"/>
        <v>0</v>
      </c>
      <c r="CD63" s="3295"/>
      <c r="CE63" s="3283"/>
      <c r="CF63" s="3283"/>
      <c r="CG63" s="2028">
        <f t="shared" si="118"/>
        <v>0</v>
      </c>
      <c r="CH63" s="3284">
        <f t="shared" si="100"/>
        <v>0</v>
      </c>
      <c r="CI63" s="3295"/>
      <c r="CJ63" s="3283"/>
      <c r="CK63" s="3283"/>
      <c r="CL63" s="2028">
        <f t="shared" si="119"/>
        <v>0</v>
      </c>
      <c r="CM63" s="3284">
        <f t="shared" si="101"/>
        <v>0</v>
      </c>
      <c r="CN63" s="3295"/>
      <c r="CO63" s="3274">
        <f t="shared" si="122"/>
        <v>53652.76</v>
      </c>
      <c r="CP63" s="3274">
        <f t="shared" si="122"/>
        <v>0</v>
      </c>
      <c r="CQ63" s="2028">
        <f t="shared" si="121"/>
        <v>53652.76</v>
      </c>
      <c r="CR63" s="3284">
        <f t="shared" si="63"/>
        <v>4.6946348693106396E-3</v>
      </c>
      <c r="CS63" s="3295"/>
      <c r="CT63" s="933"/>
    </row>
    <row r="64" spans="1:98" ht="13.8" x14ac:dyDescent="0.25">
      <c r="A64" s="1586"/>
      <c r="B64" s="3310" t="s">
        <v>63</v>
      </c>
      <c r="C64" s="3283"/>
      <c r="D64" s="3283">
        <v>100</v>
      </c>
      <c r="E64" s="2028">
        <f t="shared" si="102"/>
        <v>100</v>
      </c>
      <c r="F64" s="3284">
        <f t="shared" si="87"/>
        <v>2.1774462986640686E-4</v>
      </c>
      <c r="G64" s="3275" t="s">
        <v>1286</v>
      </c>
      <c r="H64" s="3274">
        <f>5510</f>
        <v>5510</v>
      </c>
      <c r="I64" s="3274"/>
      <c r="J64" s="2028">
        <f t="shared" si="103"/>
        <v>5510</v>
      </c>
      <c r="K64" s="3284">
        <f t="shared" si="88"/>
        <v>3.8300553469701112E-2</v>
      </c>
      <c r="L64" s="3275"/>
      <c r="M64" s="3283">
        <v>5887</v>
      </c>
      <c r="N64" s="3283"/>
      <c r="O64" s="2028">
        <f t="shared" si="104"/>
        <v>5887</v>
      </c>
      <c r="P64" s="3284">
        <f t="shared" si="3"/>
        <v>9.1809994312061656E-4</v>
      </c>
      <c r="Q64" s="3412" t="s">
        <v>1404</v>
      </c>
      <c r="R64" s="3283">
        <f>7337.5+3400</f>
        <v>10737.5</v>
      </c>
      <c r="S64" s="3283"/>
      <c r="T64" s="2028">
        <f t="shared" si="105"/>
        <v>10737.5</v>
      </c>
      <c r="U64" s="3284">
        <f t="shared" si="4"/>
        <v>1.6745537861827112E-3</v>
      </c>
      <c r="V64" s="3276" t="s">
        <v>1404</v>
      </c>
      <c r="W64" s="3283">
        <v>30355</v>
      </c>
      <c r="X64" s="3283">
        <v>0</v>
      </c>
      <c r="Y64" s="2028">
        <v>30355</v>
      </c>
      <c r="Z64" s="3284">
        <v>4.7339771994948732E-3</v>
      </c>
      <c r="AA64" s="3276"/>
      <c r="AB64" s="3274">
        <f t="shared" si="106"/>
        <v>0</v>
      </c>
      <c r="AC64" s="3274">
        <f t="shared" si="106"/>
        <v>0</v>
      </c>
      <c r="AD64" s="2028">
        <f t="shared" si="107"/>
        <v>0</v>
      </c>
      <c r="AE64" s="3284">
        <f t="shared" si="89"/>
        <v>0</v>
      </c>
      <c r="AF64" s="3276"/>
      <c r="AG64" s="3283"/>
      <c r="AH64" s="3283"/>
      <c r="AI64" s="2028">
        <f t="shared" si="108"/>
        <v>0</v>
      </c>
      <c r="AJ64" s="3284">
        <f t="shared" si="90"/>
        <v>0</v>
      </c>
      <c r="AK64" s="3276"/>
      <c r="AL64" s="3283"/>
      <c r="AM64" s="3283"/>
      <c r="AN64" s="2028">
        <f t="shared" si="109"/>
        <v>0</v>
      </c>
      <c r="AO64" s="3284">
        <f t="shared" si="91"/>
        <v>0</v>
      </c>
      <c r="AP64" s="3297"/>
      <c r="AQ64" s="3283"/>
      <c r="AR64" s="3283"/>
      <c r="AS64" s="2028">
        <f t="shared" si="110"/>
        <v>0</v>
      </c>
      <c r="AT64" s="3284">
        <f t="shared" si="92"/>
        <v>0</v>
      </c>
      <c r="AU64" s="3295"/>
      <c r="AV64" s="3283"/>
      <c r="AW64" s="3283"/>
      <c r="AX64" s="2028">
        <f t="shared" si="111"/>
        <v>0</v>
      </c>
      <c r="AY64" s="3284">
        <f t="shared" si="93"/>
        <v>0</v>
      </c>
      <c r="AZ64" s="3295"/>
      <c r="BA64" s="3283"/>
      <c r="BB64" s="3283"/>
      <c r="BC64" s="2028">
        <f t="shared" si="112"/>
        <v>0</v>
      </c>
      <c r="BD64" s="3284">
        <f t="shared" si="94"/>
        <v>0</v>
      </c>
      <c r="BE64" s="3295"/>
      <c r="BF64" s="3283"/>
      <c r="BG64" s="3283"/>
      <c r="BH64" s="2028">
        <f t="shared" si="113"/>
        <v>0</v>
      </c>
      <c r="BI64" s="3284">
        <f t="shared" si="95"/>
        <v>0</v>
      </c>
      <c r="BJ64" s="3295"/>
      <c r="BK64" s="3283"/>
      <c r="BL64" s="3283"/>
      <c r="BM64" s="2028">
        <f t="shared" si="114"/>
        <v>0</v>
      </c>
      <c r="BN64" s="3284">
        <f t="shared" si="96"/>
        <v>0</v>
      </c>
      <c r="BO64" s="3295"/>
      <c r="BP64" s="3283"/>
      <c r="BQ64" s="3283"/>
      <c r="BR64" s="2028">
        <f t="shared" si="115"/>
        <v>0</v>
      </c>
      <c r="BS64" s="3284">
        <f t="shared" si="97"/>
        <v>0</v>
      </c>
      <c r="BT64" s="3295"/>
      <c r="BU64" s="3283"/>
      <c r="BV64" s="3283"/>
      <c r="BW64" s="2028">
        <f t="shared" si="116"/>
        <v>0</v>
      </c>
      <c r="BX64" s="3284">
        <f t="shared" si="98"/>
        <v>0</v>
      </c>
      <c r="BY64" s="3295"/>
      <c r="BZ64" s="3283"/>
      <c r="CA64" s="3283"/>
      <c r="CB64" s="2028">
        <f t="shared" si="117"/>
        <v>0</v>
      </c>
      <c r="CC64" s="3284">
        <f t="shared" si="99"/>
        <v>0</v>
      </c>
      <c r="CD64" s="3295"/>
      <c r="CE64" s="3283"/>
      <c r="CF64" s="3283"/>
      <c r="CG64" s="2028">
        <f t="shared" si="118"/>
        <v>0</v>
      </c>
      <c r="CH64" s="3284">
        <f t="shared" si="100"/>
        <v>0</v>
      </c>
      <c r="CI64" s="3295"/>
      <c r="CJ64" s="3283"/>
      <c r="CK64" s="3283"/>
      <c r="CL64" s="2028">
        <f t="shared" si="119"/>
        <v>0</v>
      </c>
      <c r="CM64" s="3284">
        <f t="shared" si="101"/>
        <v>0</v>
      </c>
      <c r="CN64" s="3295"/>
      <c r="CO64" s="3274">
        <f t="shared" si="122"/>
        <v>52489.5</v>
      </c>
      <c r="CP64" s="3274">
        <f t="shared" si="122"/>
        <v>100</v>
      </c>
      <c r="CQ64" s="2028">
        <f t="shared" si="121"/>
        <v>52589.5</v>
      </c>
      <c r="CR64" s="3284">
        <f t="shared" si="63"/>
        <v>4.6015992552780483E-3</v>
      </c>
      <c r="CS64" s="3295"/>
      <c r="CT64" s="933"/>
    </row>
    <row r="65" spans="1:98" ht="13.8" x14ac:dyDescent="0.25">
      <c r="A65" s="1586"/>
      <c r="B65" s="3310" t="s">
        <v>36</v>
      </c>
      <c r="C65" s="3274"/>
      <c r="D65" s="3274"/>
      <c r="E65" s="2028">
        <f t="shared" si="102"/>
        <v>0</v>
      </c>
      <c r="F65" s="3284">
        <f t="shared" si="87"/>
        <v>0</v>
      </c>
      <c r="G65" s="3295"/>
      <c r="H65" s="3274"/>
      <c r="I65" s="3274"/>
      <c r="J65" s="2028">
        <f t="shared" si="103"/>
        <v>0</v>
      </c>
      <c r="K65" s="3284">
        <f t="shared" si="88"/>
        <v>0</v>
      </c>
      <c r="L65" s="3295"/>
      <c r="M65" s="3274"/>
      <c r="N65" s="3274"/>
      <c r="O65" s="2028">
        <f t="shared" si="104"/>
        <v>0</v>
      </c>
      <c r="P65" s="3284">
        <f t="shared" si="3"/>
        <v>0</v>
      </c>
      <c r="Q65" s="3295"/>
      <c r="R65" s="3274"/>
      <c r="S65" s="3274"/>
      <c r="T65" s="2028">
        <f t="shared" si="105"/>
        <v>0</v>
      </c>
      <c r="U65" s="3284">
        <f t="shared" si="4"/>
        <v>0</v>
      </c>
      <c r="V65" s="3276"/>
      <c r="W65" s="3274">
        <v>0</v>
      </c>
      <c r="X65" s="3274">
        <v>0</v>
      </c>
      <c r="Y65" s="2028">
        <v>0</v>
      </c>
      <c r="Z65" s="3284">
        <v>0</v>
      </c>
      <c r="AA65" s="3276"/>
      <c r="AB65" s="3274">
        <f t="shared" si="106"/>
        <v>0</v>
      </c>
      <c r="AC65" s="3274">
        <f t="shared" si="106"/>
        <v>0</v>
      </c>
      <c r="AD65" s="2028">
        <f t="shared" si="107"/>
        <v>0</v>
      </c>
      <c r="AE65" s="3284">
        <f t="shared" si="89"/>
        <v>0</v>
      </c>
      <c r="AF65" s="3276"/>
      <c r="AG65" s="3274"/>
      <c r="AH65" s="3274"/>
      <c r="AI65" s="2028">
        <f t="shared" si="108"/>
        <v>0</v>
      </c>
      <c r="AJ65" s="3284">
        <f t="shared" si="90"/>
        <v>0</v>
      </c>
      <c r="AK65" s="3276"/>
      <c r="AL65" s="3274"/>
      <c r="AM65" s="3274"/>
      <c r="AN65" s="2028">
        <f t="shared" si="109"/>
        <v>0</v>
      </c>
      <c r="AO65" s="3284">
        <f t="shared" si="91"/>
        <v>0</v>
      </c>
      <c r="AP65" s="3297"/>
      <c r="AQ65" s="3274"/>
      <c r="AR65" s="3274"/>
      <c r="AS65" s="2028">
        <f t="shared" si="110"/>
        <v>0</v>
      </c>
      <c r="AT65" s="3284">
        <f t="shared" si="92"/>
        <v>0</v>
      </c>
      <c r="AU65" s="3295"/>
      <c r="AV65" s="3274"/>
      <c r="AW65" s="3274"/>
      <c r="AX65" s="2028">
        <f t="shared" si="111"/>
        <v>0</v>
      </c>
      <c r="AY65" s="3284">
        <f t="shared" si="93"/>
        <v>0</v>
      </c>
      <c r="AZ65" s="3295"/>
      <c r="BA65" s="3274"/>
      <c r="BB65" s="3274"/>
      <c r="BC65" s="2028">
        <f t="shared" si="112"/>
        <v>0</v>
      </c>
      <c r="BD65" s="3284">
        <f t="shared" si="94"/>
        <v>0</v>
      </c>
      <c r="BE65" s="3295"/>
      <c r="BF65" s="3274"/>
      <c r="BG65" s="3274"/>
      <c r="BH65" s="2028">
        <f t="shared" si="113"/>
        <v>0</v>
      </c>
      <c r="BI65" s="3284">
        <f t="shared" si="95"/>
        <v>0</v>
      </c>
      <c r="BJ65" s="3295"/>
      <c r="BK65" s="3274"/>
      <c r="BL65" s="3274"/>
      <c r="BM65" s="2028">
        <f t="shared" si="114"/>
        <v>0</v>
      </c>
      <c r="BN65" s="3284">
        <f t="shared" si="96"/>
        <v>0</v>
      </c>
      <c r="BO65" s="3295"/>
      <c r="BP65" s="3274"/>
      <c r="BQ65" s="3274"/>
      <c r="BR65" s="2028">
        <f t="shared" si="115"/>
        <v>0</v>
      </c>
      <c r="BS65" s="3284">
        <f t="shared" si="97"/>
        <v>0</v>
      </c>
      <c r="BT65" s="3295"/>
      <c r="BU65" s="3274"/>
      <c r="BV65" s="3274"/>
      <c r="BW65" s="2028">
        <f t="shared" si="116"/>
        <v>0</v>
      </c>
      <c r="BX65" s="3284">
        <f t="shared" si="98"/>
        <v>0</v>
      </c>
      <c r="BY65" s="3295"/>
      <c r="BZ65" s="3274"/>
      <c r="CA65" s="3274"/>
      <c r="CB65" s="2028">
        <f t="shared" si="117"/>
        <v>0</v>
      </c>
      <c r="CC65" s="3284">
        <f t="shared" si="99"/>
        <v>0</v>
      </c>
      <c r="CD65" s="3295"/>
      <c r="CE65" s="3274"/>
      <c r="CF65" s="3274"/>
      <c r="CG65" s="2028">
        <f t="shared" si="118"/>
        <v>0</v>
      </c>
      <c r="CH65" s="3284">
        <f t="shared" si="100"/>
        <v>0</v>
      </c>
      <c r="CI65" s="3295"/>
      <c r="CJ65" s="3274"/>
      <c r="CK65" s="3274"/>
      <c r="CL65" s="2028">
        <f t="shared" si="119"/>
        <v>0</v>
      </c>
      <c r="CM65" s="3284">
        <f t="shared" si="101"/>
        <v>0</v>
      </c>
      <c r="CN65" s="3295"/>
      <c r="CO65" s="3274">
        <f t="shared" si="122"/>
        <v>0</v>
      </c>
      <c r="CP65" s="3274">
        <f t="shared" si="122"/>
        <v>0</v>
      </c>
      <c r="CQ65" s="2028">
        <f t="shared" si="121"/>
        <v>0</v>
      </c>
      <c r="CR65" s="3284">
        <f t="shared" si="63"/>
        <v>0</v>
      </c>
      <c r="CS65" s="3295"/>
      <c r="CT65" s="933"/>
    </row>
    <row r="66" spans="1:98" s="1411" customFormat="1" ht="41.4" x14ac:dyDescent="0.25">
      <c r="A66" s="1586"/>
      <c r="B66" s="3310" t="s">
        <v>37</v>
      </c>
      <c r="C66" s="3274">
        <v>3720</v>
      </c>
      <c r="D66" s="3274">
        <v>1000</v>
      </c>
      <c r="E66" s="2028">
        <f t="shared" si="102"/>
        <v>4720</v>
      </c>
      <c r="F66" s="3284">
        <f t="shared" si="87"/>
        <v>1.0277546529694403E-2</v>
      </c>
      <c r="G66" s="3275" t="s">
        <v>1287</v>
      </c>
      <c r="H66" s="3274"/>
      <c r="I66" s="3274"/>
      <c r="J66" s="2028">
        <f t="shared" si="103"/>
        <v>0</v>
      </c>
      <c r="K66" s="3284">
        <f t="shared" si="88"/>
        <v>0</v>
      </c>
      <c r="L66" s="3275"/>
      <c r="M66" s="3274">
        <v>3140</v>
      </c>
      <c r="N66" s="3274"/>
      <c r="O66" s="2028">
        <f t="shared" si="104"/>
        <v>3140</v>
      </c>
      <c r="P66" s="3284">
        <f t="shared" si="3"/>
        <v>4.8969489067415253E-4</v>
      </c>
      <c r="Q66" s="3416" t="s">
        <v>1405</v>
      </c>
      <c r="R66" s="3274"/>
      <c r="S66" s="3274"/>
      <c r="T66" s="2028">
        <f t="shared" si="105"/>
        <v>0</v>
      </c>
      <c r="U66" s="3284">
        <f t="shared" si="4"/>
        <v>0</v>
      </c>
      <c r="V66" s="3276"/>
      <c r="W66" s="3274">
        <v>11541.21</v>
      </c>
      <c r="X66" s="3274">
        <v>0</v>
      </c>
      <c r="Y66" s="2028">
        <v>11541.21</v>
      </c>
      <c r="Z66" s="3284">
        <v>1.799895404203005E-3</v>
      </c>
      <c r="AA66" s="3276"/>
      <c r="AB66" s="3274">
        <f t="shared" si="106"/>
        <v>0</v>
      </c>
      <c r="AC66" s="3274">
        <f t="shared" si="106"/>
        <v>0</v>
      </c>
      <c r="AD66" s="2028">
        <f t="shared" si="107"/>
        <v>0</v>
      </c>
      <c r="AE66" s="3284">
        <f t="shared" si="89"/>
        <v>0</v>
      </c>
      <c r="AF66" s="3276"/>
      <c r="AG66" s="3274"/>
      <c r="AH66" s="3274"/>
      <c r="AI66" s="2028">
        <f t="shared" si="108"/>
        <v>0</v>
      </c>
      <c r="AJ66" s="3284">
        <f t="shared" si="90"/>
        <v>0</v>
      </c>
      <c r="AK66" s="3276"/>
      <c r="AL66" s="3274"/>
      <c r="AM66" s="3274"/>
      <c r="AN66" s="2028">
        <f t="shared" si="109"/>
        <v>0</v>
      </c>
      <c r="AO66" s="3284">
        <f t="shared" si="91"/>
        <v>0</v>
      </c>
      <c r="AP66" s="3413"/>
      <c r="AQ66" s="3274"/>
      <c r="AR66" s="3274"/>
      <c r="AS66" s="2028">
        <f t="shared" si="110"/>
        <v>0</v>
      </c>
      <c r="AT66" s="3284">
        <f t="shared" si="92"/>
        <v>0</v>
      </c>
      <c r="AU66" s="3295"/>
      <c r="AV66" s="3274"/>
      <c r="AW66" s="3274"/>
      <c r="AX66" s="2028">
        <f t="shared" si="111"/>
        <v>0</v>
      </c>
      <c r="AY66" s="3284">
        <f t="shared" si="93"/>
        <v>0</v>
      </c>
      <c r="AZ66" s="3275"/>
      <c r="BA66" s="3274"/>
      <c r="BB66" s="3274"/>
      <c r="BC66" s="2028">
        <f t="shared" si="112"/>
        <v>0</v>
      </c>
      <c r="BD66" s="3284">
        <f t="shared" si="94"/>
        <v>0</v>
      </c>
      <c r="BE66" s="3295"/>
      <c r="BF66" s="3274"/>
      <c r="BG66" s="3274"/>
      <c r="BH66" s="2028">
        <f t="shared" si="113"/>
        <v>0</v>
      </c>
      <c r="BI66" s="3284">
        <f t="shared" si="95"/>
        <v>0</v>
      </c>
      <c r="BJ66" s="3295"/>
      <c r="BK66" s="3274"/>
      <c r="BL66" s="3274"/>
      <c r="BM66" s="2028">
        <f t="shared" si="114"/>
        <v>0</v>
      </c>
      <c r="BN66" s="3284">
        <f t="shared" si="96"/>
        <v>0</v>
      </c>
      <c r="BO66" s="3295"/>
      <c r="BP66" s="3274"/>
      <c r="BQ66" s="3274"/>
      <c r="BR66" s="2028">
        <f t="shared" si="115"/>
        <v>0</v>
      </c>
      <c r="BS66" s="3284">
        <f t="shared" si="97"/>
        <v>0</v>
      </c>
      <c r="BT66" s="3295"/>
      <c r="BU66" s="3274"/>
      <c r="BV66" s="3274"/>
      <c r="BW66" s="2028">
        <f t="shared" si="116"/>
        <v>0</v>
      </c>
      <c r="BX66" s="3284">
        <f t="shared" si="98"/>
        <v>0</v>
      </c>
      <c r="BY66" s="3295"/>
      <c r="BZ66" s="3274"/>
      <c r="CA66" s="3274"/>
      <c r="CB66" s="2028">
        <f t="shared" si="117"/>
        <v>0</v>
      </c>
      <c r="CC66" s="3284">
        <f t="shared" si="99"/>
        <v>0</v>
      </c>
      <c r="CD66" s="3295"/>
      <c r="CE66" s="3274"/>
      <c r="CF66" s="3274"/>
      <c r="CG66" s="2028">
        <f t="shared" si="118"/>
        <v>0</v>
      </c>
      <c r="CH66" s="3284">
        <f t="shared" si="100"/>
        <v>0</v>
      </c>
      <c r="CI66" s="3295"/>
      <c r="CJ66" s="3274"/>
      <c r="CK66" s="3274"/>
      <c r="CL66" s="2028">
        <f t="shared" si="119"/>
        <v>0</v>
      </c>
      <c r="CM66" s="3284">
        <f t="shared" si="101"/>
        <v>0</v>
      </c>
      <c r="CN66" s="3295"/>
      <c r="CO66" s="3274">
        <f t="shared" si="122"/>
        <v>18401.21</v>
      </c>
      <c r="CP66" s="3274">
        <f t="shared" si="122"/>
        <v>1000</v>
      </c>
      <c r="CQ66" s="2028">
        <f t="shared" si="121"/>
        <v>19401.21</v>
      </c>
      <c r="CR66" s="3284">
        <f t="shared" si="63"/>
        <v>1.6976125174700846E-3</v>
      </c>
      <c r="CS66" s="3295"/>
      <c r="CT66" s="933"/>
    </row>
    <row r="67" spans="1:98" s="1411" customFormat="1" ht="13.8" x14ac:dyDescent="0.25">
      <c r="A67" s="1586"/>
      <c r="B67" s="3310" t="s">
        <v>3</v>
      </c>
      <c r="C67" s="3274"/>
      <c r="D67" s="3274"/>
      <c r="E67" s="2028">
        <f t="shared" si="102"/>
        <v>0</v>
      </c>
      <c r="F67" s="3284">
        <f t="shared" si="87"/>
        <v>0</v>
      </c>
      <c r="G67" s="3295"/>
      <c r="H67" s="3274">
        <f>6667+892+445+315</f>
        <v>8319</v>
      </c>
      <c r="I67" s="3274"/>
      <c r="J67" s="2028">
        <f t="shared" si="103"/>
        <v>8319</v>
      </c>
      <c r="K67" s="3284">
        <f t="shared" si="88"/>
        <v>5.7826189530752005E-2</v>
      </c>
      <c r="L67" s="3295"/>
      <c r="M67" s="3274">
        <v>944.5</v>
      </c>
      <c r="N67" s="3274"/>
      <c r="O67" s="2028">
        <f t="shared" si="104"/>
        <v>944.5</v>
      </c>
      <c r="P67" s="3284">
        <f t="shared" si="3"/>
        <v>1.4729835166934303E-4</v>
      </c>
      <c r="Q67" s="3412" t="s">
        <v>1406</v>
      </c>
      <c r="R67" s="3274"/>
      <c r="S67" s="3274"/>
      <c r="T67" s="2028">
        <f t="shared" si="105"/>
        <v>0</v>
      </c>
      <c r="U67" s="3284">
        <f t="shared" si="4"/>
        <v>0</v>
      </c>
      <c r="V67" s="3276"/>
      <c r="W67" s="3274">
        <v>800</v>
      </c>
      <c r="X67" s="3274">
        <v>0</v>
      </c>
      <c r="Y67" s="2028">
        <v>800</v>
      </c>
      <c r="Z67" s="3284">
        <v>1.2476302947112168E-4</v>
      </c>
      <c r="AA67" s="3276"/>
      <c r="AB67" s="3274">
        <f t="shared" si="106"/>
        <v>0</v>
      </c>
      <c r="AC67" s="3274">
        <f t="shared" si="106"/>
        <v>0</v>
      </c>
      <c r="AD67" s="2028">
        <f t="shared" si="107"/>
        <v>0</v>
      </c>
      <c r="AE67" s="3284">
        <f t="shared" si="89"/>
        <v>0</v>
      </c>
      <c r="AF67" s="3276"/>
      <c r="AG67" s="3274"/>
      <c r="AH67" s="3274"/>
      <c r="AI67" s="2028">
        <f t="shared" si="108"/>
        <v>0</v>
      </c>
      <c r="AJ67" s="3284">
        <f t="shared" si="90"/>
        <v>0</v>
      </c>
      <c r="AK67" s="3276"/>
      <c r="AL67" s="3274"/>
      <c r="AM67" s="3274"/>
      <c r="AN67" s="2028">
        <f t="shared" si="109"/>
        <v>0</v>
      </c>
      <c r="AO67" s="3284">
        <f t="shared" si="91"/>
        <v>0</v>
      </c>
      <c r="AP67" s="3297"/>
      <c r="AQ67" s="3274"/>
      <c r="AR67" s="3274"/>
      <c r="AS67" s="2028">
        <f t="shared" si="110"/>
        <v>0</v>
      </c>
      <c r="AT67" s="3284">
        <f t="shared" si="92"/>
        <v>0</v>
      </c>
      <c r="AU67" s="3295"/>
      <c r="AV67" s="3274"/>
      <c r="AW67" s="3274"/>
      <c r="AX67" s="2028">
        <f t="shared" si="111"/>
        <v>0</v>
      </c>
      <c r="AY67" s="3284">
        <f t="shared" si="93"/>
        <v>0</v>
      </c>
      <c r="AZ67" s="3275"/>
      <c r="BA67" s="3274"/>
      <c r="BB67" s="3274"/>
      <c r="BC67" s="2028">
        <f t="shared" si="112"/>
        <v>0</v>
      </c>
      <c r="BD67" s="3284">
        <f t="shared" si="94"/>
        <v>0</v>
      </c>
      <c r="BE67" s="3295"/>
      <c r="BF67" s="3274"/>
      <c r="BG67" s="3274"/>
      <c r="BH67" s="2028">
        <f t="shared" si="113"/>
        <v>0</v>
      </c>
      <c r="BI67" s="3284">
        <f t="shared" si="95"/>
        <v>0</v>
      </c>
      <c r="BJ67" s="3295"/>
      <c r="BK67" s="3274"/>
      <c r="BL67" s="3274"/>
      <c r="BM67" s="2028">
        <f t="shared" si="114"/>
        <v>0</v>
      </c>
      <c r="BN67" s="3284">
        <f t="shared" si="96"/>
        <v>0</v>
      </c>
      <c r="BO67" s="3295"/>
      <c r="BP67" s="3274"/>
      <c r="BQ67" s="3274"/>
      <c r="BR67" s="2028">
        <f t="shared" si="115"/>
        <v>0</v>
      </c>
      <c r="BS67" s="3284">
        <f t="shared" si="97"/>
        <v>0</v>
      </c>
      <c r="BT67" s="3295"/>
      <c r="BU67" s="3274"/>
      <c r="BV67" s="3274"/>
      <c r="BW67" s="2028">
        <f t="shared" si="116"/>
        <v>0</v>
      </c>
      <c r="BX67" s="3284">
        <f t="shared" si="98"/>
        <v>0</v>
      </c>
      <c r="BY67" s="3295"/>
      <c r="BZ67" s="3274"/>
      <c r="CA67" s="3274"/>
      <c r="CB67" s="2028">
        <f t="shared" si="117"/>
        <v>0</v>
      </c>
      <c r="CC67" s="3284">
        <f t="shared" si="99"/>
        <v>0</v>
      </c>
      <c r="CD67" s="3295"/>
      <c r="CE67" s="3274"/>
      <c r="CF67" s="3274"/>
      <c r="CG67" s="2028">
        <f t="shared" si="118"/>
        <v>0</v>
      </c>
      <c r="CH67" s="3284">
        <f t="shared" si="100"/>
        <v>0</v>
      </c>
      <c r="CI67" s="3295"/>
      <c r="CJ67" s="3274"/>
      <c r="CK67" s="3274"/>
      <c r="CL67" s="2028">
        <f t="shared" si="119"/>
        <v>0</v>
      </c>
      <c r="CM67" s="3284">
        <f t="shared" si="101"/>
        <v>0</v>
      </c>
      <c r="CN67" s="3295"/>
      <c r="CO67" s="3274">
        <f t="shared" si="122"/>
        <v>10063.5</v>
      </c>
      <c r="CP67" s="3274">
        <f t="shared" si="122"/>
        <v>0</v>
      </c>
      <c r="CQ67" s="2028">
        <f t="shared" si="121"/>
        <v>10063.5</v>
      </c>
      <c r="CR67" s="3284">
        <f t="shared" si="63"/>
        <v>8.8055969548085904E-4</v>
      </c>
      <c r="CS67" s="3295"/>
      <c r="CT67" s="933"/>
    </row>
    <row r="68" spans="1:98" s="1411" customFormat="1" ht="13.8" x14ac:dyDescent="0.25">
      <c r="A68" s="1586"/>
      <c r="B68" s="3310" t="s">
        <v>5</v>
      </c>
      <c r="C68" s="3274">
        <f>496.42+1341.02</f>
        <v>1837.44</v>
      </c>
      <c r="D68" s="3274">
        <v>2977.46</v>
      </c>
      <c r="E68" s="2028">
        <f t="shared" si="102"/>
        <v>4814.8999999999996</v>
      </c>
      <c r="F68" s="3284">
        <f t="shared" si="87"/>
        <v>1.0484186183437622E-2</v>
      </c>
      <c r="G68" s="3274" t="s">
        <v>546</v>
      </c>
      <c r="H68" s="3274">
        <f>55+308.58+109374.25</f>
        <v>109737.83</v>
      </c>
      <c r="I68" s="3274"/>
      <c r="J68" s="2028">
        <f t="shared" si="103"/>
        <v>109737.83</v>
      </c>
      <c r="K68" s="3284">
        <f t="shared" si="88"/>
        <v>0.7627984801386517</v>
      </c>
      <c r="L68" s="3274"/>
      <c r="M68" s="3274">
        <f>595.15+1115.14+430.58+3</f>
        <v>2143.87</v>
      </c>
      <c r="N68" s="3274">
        <v>516.44000000000005</v>
      </c>
      <c r="O68" s="2028">
        <f t="shared" si="104"/>
        <v>2660.31</v>
      </c>
      <c r="P68" s="3284">
        <f t="shared" si="3"/>
        <v>4.1488541866539959E-4</v>
      </c>
      <c r="Q68" s="3416" t="s">
        <v>546</v>
      </c>
      <c r="R68" s="3274">
        <v>1041.01</v>
      </c>
      <c r="S68" s="3274">
        <v>5031.21</v>
      </c>
      <c r="T68" s="2028">
        <f t="shared" si="105"/>
        <v>6072.22</v>
      </c>
      <c r="U68" s="3284">
        <f t="shared" si="4"/>
        <v>9.4698570351891805E-4</v>
      </c>
      <c r="V68" s="3276" t="s">
        <v>562</v>
      </c>
      <c r="W68" s="3274">
        <v>10879.235999999999</v>
      </c>
      <c r="X68" s="3274">
        <v>4144.13</v>
      </c>
      <c r="Y68" s="2028">
        <v>15023.365999999998</v>
      </c>
      <c r="Z68" s="3284">
        <v>2.342950818766809E-3</v>
      </c>
      <c r="AA68" s="3276"/>
      <c r="AB68" s="3274">
        <f t="shared" si="106"/>
        <v>1423.9949999999999</v>
      </c>
      <c r="AC68" s="3274">
        <f t="shared" si="106"/>
        <v>66</v>
      </c>
      <c r="AD68" s="2028">
        <f t="shared" si="107"/>
        <v>1489.9949999999999</v>
      </c>
      <c r="AE68" s="3284">
        <f t="shared" si="89"/>
        <v>2.3237036262102991E-4</v>
      </c>
      <c r="AF68" s="3276"/>
      <c r="AG68" s="3274">
        <f>191.35/2</f>
        <v>95.674999999999997</v>
      </c>
      <c r="AH68" s="3274">
        <f>AH55*0.01</f>
        <v>33</v>
      </c>
      <c r="AI68" s="2028">
        <f t="shared" si="108"/>
        <v>128.67500000000001</v>
      </c>
      <c r="AJ68" s="3284">
        <f t="shared" si="90"/>
        <v>2.0067353521495728E-5</v>
      </c>
      <c r="AK68" s="3276" t="s">
        <v>562</v>
      </c>
      <c r="AL68" s="3274">
        <v>580.63</v>
      </c>
      <c r="AM68" s="3274">
        <v>33</v>
      </c>
      <c r="AN68" s="2028">
        <f t="shared" si="109"/>
        <v>613.63</v>
      </c>
      <c r="AO68" s="3284">
        <f t="shared" si="91"/>
        <v>1.3361463722492324E-3</v>
      </c>
      <c r="AP68" s="3291" t="s">
        <v>562</v>
      </c>
      <c r="AQ68" s="3274">
        <v>747.69</v>
      </c>
      <c r="AR68" s="3274"/>
      <c r="AS68" s="2028">
        <f t="shared" si="110"/>
        <v>747.69</v>
      </c>
      <c r="AT68" s="3284">
        <f t="shared" si="92"/>
        <v>5.1972669371616745E-3</v>
      </c>
      <c r="AU68" s="3274" t="s">
        <v>562</v>
      </c>
      <c r="AV68" s="3274"/>
      <c r="AW68" s="3274"/>
      <c r="AX68" s="2028">
        <f t="shared" si="111"/>
        <v>0</v>
      </c>
      <c r="AY68" s="3284">
        <f t="shared" si="93"/>
        <v>0</v>
      </c>
      <c r="AZ68" s="3274"/>
      <c r="BA68" s="3274"/>
      <c r="BB68" s="3274"/>
      <c r="BC68" s="2028">
        <f t="shared" si="112"/>
        <v>0</v>
      </c>
      <c r="BD68" s="3284">
        <f t="shared" si="94"/>
        <v>0</v>
      </c>
      <c r="BE68" s="3274"/>
      <c r="BF68" s="3274"/>
      <c r="BG68" s="3274"/>
      <c r="BH68" s="2028">
        <f t="shared" si="113"/>
        <v>0</v>
      </c>
      <c r="BI68" s="3284">
        <f t="shared" si="95"/>
        <v>0</v>
      </c>
      <c r="BJ68" s="3274"/>
      <c r="BK68" s="3274"/>
      <c r="BL68" s="3274"/>
      <c r="BM68" s="2028">
        <f t="shared" si="114"/>
        <v>0</v>
      </c>
      <c r="BN68" s="3284">
        <f t="shared" si="96"/>
        <v>0</v>
      </c>
      <c r="BO68" s="3274"/>
      <c r="BP68" s="3274"/>
      <c r="BQ68" s="3274"/>
      <c r="BR68" s="2028">
        <f t="shared" si="115"/>
        <v>0</v>
      </c>
      <c r="BS68" s="3284">
        <f t="shared" si="97"/>
        <v>0</v>
      </c>
      <c r="BT68" s="3274"/>
      <c r="BU68" s="3274"/>
      <c r="BV68" s="3274"/>
      <c r="BW68" s="2028">
        <f t="shared" si="116"/>
        <v>0</v>
      </c>
      <c r="BX68" s="3284">
        <f t="shared" si="98"/>
        <v>0</v>
      </c>
      <c r="BY68" s="3274"/>
      <c r="BZ68" s="3274"/>
      <c r="CA68" s="3274"/>
      <c r="CB68" s="2028">
        <f t="shared" si="117"/>
        <v>0</v>
      </c>
      <c r="CC68" s="3284">
        <f t="shared" si="99"/>
        <v>0</v>
      </c>
      <c r="CD68" s="3274"/>
      <c r="CE68" s="3274"/>
      <c r="CF68" s="3274"/>
      <c r="CG68" s="2028">
        <f t="shared" si="118"/>
        <v>0</v>
      </c>
      <c r="CH68" s="3284">
        <f t="shared" si="100"/>
        <v>0</v>
      </c>
      <c r="CI68" s="3274"/>
      <c r="CJ68" s="3274"/>
      <c r="CK68" s="3274"/>
      <c r="CL68" s="2028">
        <f t="shared" si="119"/>
        <v>0</v>
      </c>
      <c r="CM68" s="3284">
        <f t="shared" si="101"/>
        <v>0</v>
      </c>
      <c r="CN68" s="3274"/>
      <c r="CO68" s="3274">
        <f t="shared" si="122"/>
        <v>127063.38100000001</v>
      </c>
      <c r="CP68" s="3274">
        <f t="shared" si="122"/>
        <v>12735.240000000002</v>
      </c>
      <c r="CQ68" s="2028">
        <f t="shared" si="121"/>
        <v>139798.62100000001</v>
      </c>
      <c r="CR68" s="3284">
        <f t="shared" si="63"/>
        <v>1.2232427200914596E-2</v>
      </c>
      <c r="CS68" s="3295"/>
      <c r="CT68" s="933"/>
    </row>
    <row r="69" spans="1:98" s="1411" customFormat="1" ht="13.8" x14ac:dyDescent="0.25">
      <c r="A69" s="1586"/>
      <c r="B69" s="3310" t="s">
        <v>42</v>
      </c>
      <c r="C69" s="3274">
        <v>11880.5</v>
      </c>
      <c r="D69" s="3274"/>
      <c r="E69" s="2028">
        <f t="shared" si="102"/>
        <v>11880.5</v>
      </c>
      <c r="F69" s="3284">
        <f t="shared" si="87"/>
        <v>2.5869150751278467E-2</v>
      </c>
      <c r="G69" s="3274" t="s">
        <v>1288</v>
      </c>
      <c r="H69" s="3274"/>
      <c r="I69" s="3274"/>
      <c r="J69" s="2028">
        <f t="shared" si="103"/>
        <v>0</v>
      </c>
      <c r="K69" s="3284">
        <f t="shared" si="88"/>
        <v>0</v>
      </c>
      <c r="L69" s="3274"/>
      <c r="M69" s="3274"/>
      <c r="N69" s="3274"/>
      <c r="O69" s="2028">
        <f t="shared" si="104"/>
        <v>0</v>
      </c>
      <c r="P69" s="3284">
        <f t="shared" si="3"/>
        <v>0</v>
      </c>
      <c r="Q69" s="3274"/>
      <c r="R69" s="3274"/>
      <c r="S69" s="3274"/>
      <c r="T69" s="2028">
        <f t="shared" si="105"/>
        <v>0</v>
      </c>
      <c r="U69" s="3284">
        <f t="shared" si="4"/>
        <v>0</v>
      </c>
      <c r="V69" s="3276"/>
      <c r="W69" s="3274">
        <v>0</v>
      </c>
      <c r="X69" s="3274">
        <v>0</v>
      </c>
      <c r="Y69" s="2028">
        <v>0</v>
      </c>
      <c r="Z69" s="3284">
        <v>0</v>
      </c>
      <c r="AA69" s="3276"/>
      <c r="AB69" s="3274">
        <f t="shared" si="106"/>
        <v>0</v>
      </c>
      <c r="AC69" s="3274">
        <f t="shared" si="106"/>
        <v>0</v>
      </c>
      <c r="AD69" s="2028">
        <f t="shared" si="107"/>
        <v>0</v>
      </c>
      <c r="AE69" s="3284">
        <f t="shared" si="89"/>
        <v>0</v>
      </c>
      <c r="AF69" s="3276"/>
      <c r="AG69" s="3274"/>
      <c r="AH69" s="3274"/>
      <c r="AI69" s="2028">
        <f t="shared" si="108"/>
        <v>0</v>
      </c>
      <c r="AJ69" s="3284">
        <f t="shared" si="90"/>
        <v>0</v>
      </c>
      <c r="AK69" s="3276"/>
      <c r="AL69" s="3274"/>
      <c r="AM69" s="3274"/>
      <c r="AN69" s="2028">
        <f t="shared" si="109"/>
        <v>0</v>
      </c>
      <c r="AO69" s="3284">
        <f t="shared" si="91"/>
        <v>0</v>
      </c>
      <c r="AP69" s="3274"/>
      <c r="AQ69" s="3274"/>
      <c r="AR69" s="3274"/>
      <c r="AS69" s="2028">
        <f t="shared" si="110"/>
        <v>0</v>
      </c>
      <c r="AT69" s="3284">
        <f t="shared" si="92"/>
        <v>0</v>
      </c>
      <c r="AU69" s="3274"/>
      <c r="AV69" s="3274"/>
      <c r="AW69" s="3274"/>
      <c r="AX69" s="2028">
        <f t="shared" si="111"/>
        <v>0</v>
      </c>
      <c r="AY69" s="3284">
        <f t="shared" si="93"/>
        <v>0</v>
      </c>
      <c r="AZ69" s="3274"/>
      <c r="BA69" s="3274"/>
      <c r="BB69" s="3274"/>
      <c r="BC69" s="2028">
        <f t="shared" si="112"/>
        <v>0</v>
      </c>
      <c r="BD69" s="3284">
        <f t="shared" si="94"/>
        <v>0</v>
      </c>
      <c r="BE69" s="3274"/>
      <c r="BF69" s="3274"/>
      <c r="BG69" s="3274"/>
      <c r="BH69" s="2028">
        <f t="shared" si="113"/>
        <v>0</v>
      </c>
      <c r="BI69" s="3284">
        <f t="shared" si="95"/>
        <v>0</v>
      </c>
      <c r="BJ69" s="3274"/>
      <c r="BK69" s="3274"/>
      <c r="BL69" s="3274"/>
      <c r="BM69" s="2028">
        <f t="shared" si="114"/>
        <v>0</v>
      </c>
      <c r="BN69" s="3284">
        <f t="shared" si="96"/>
        <v>0</v>
      </c>
      <c r="BO69" s="3274"/>
      <c r="BP69" s="3274"/>
      <c r="BQ69" s="3274"/>
      <c r="BR69" s="2028">
        <f t="shared" si="115"/>
        <v>0</v>
      </c>
      <c r="BS69" s="3284">
        <f t="shared" si="97"/>
        <v>0</v>
      </c>
      <c r="BT69" s="3274"/>
      <c r="BU69" s="3274"/>
      <c r="BV69" s="3274"/>
      <c r="BW69" s="2028">
        <f t="shared" si="116"/>
        <v>0</v>
      </c>
      <c r="BX69" s="3284">
        <f t="shared" si="98"/>
        <v>0</v>
      </c>
      <c r="BY69" s="3274"/>
      <c r="BZ69" s="3274"/>
      <c r="CA69" s="3274"/>
      <c r="CB69" s="2028">
        <f t="shared" si="117"/>
        <v>0</v>
      </c>
      <c r="CC69" s="3284">
        <f t="shared" si="99"/>
        <v>0</v>
      </c>
      <c r="CD69" s="3274"/>
      <c r="CE69" s="3274"/>
      <c r="CF69" s="3274"/>
      <c r="CG69" s="2028">
        <f t="shared" si="118"/>
        <v>0</v>
      </c>
      <c r="CH69" s="3284">
        <f t="shared" si="100"/>
        <v>0</v>
      </c>
      <c r="CI69" s="3274"/>
      <c r="CJ69" s="3274"/>
      <c r="CK69" s="3274"/>
      <c r="CL69" s="2028">
        <f t="shared" si="119"/>
        <v>0</v>
      </c>
      <c r="CM69" s="3284">
        <f t="shared" si="101"/>
        <v>0</v>
      </c>
      <c r="CN69" s="3274"/>
      <c r="CO69" s="3274">
        <f t="shared" si="122"/>
        <v>11880.5</v>
      </c>
      <c r="CP69" s="3274">
        <f t="shared" si="122"/>
        <v>0</v>
      </c>
      <c r="CQ69" s="2028">
        <f t="shared" si="121"/>
        <v>11880.5</v>
      </c>
      <c r="CR69" s="3284">
        <f t="shared" si="63"/>
        <v>1.039547817574437E-3</v>
      </c>
      <c r="CS69" s="3295"/>
      <c r="CT69" s="933"/>
    </row>
    <row r="70" spans="1:98" s="1411" customFormat="1" ht="24" x14ac:dyDescent="0.25">
      <c r="A70" s="1586"/>
      <c r="B70" s="3310" t="s">
        <v>6</v>
      </c>
      <c r="C70" s="3274"/>
      <c r="D70" s="3274"/>
      <c r="E70" s="2028">
        <f t="shared" si="102"/>
        <v>0</v>
      </c>
      <c r="F70" s="3284">
        <f t="shared" si="87"/>
        <v>0</v>
      </c>
      <c r="G70" s="3295"/>
      <c r="H70" s="3274"/>
      <c r="I70" s="3274"/>
      <c r="J70" s="2028">
        <f t="shared" si="103"/>
        <v>0</v>
      </c>
      <c r="K70" s="3284">
        <f t="shared" si="88"/>
        <v>0</v>
      </c>
      <c r="L70" s="3295"/>
      <c r="M70" s="3274"/>
      <c r="N70" s="3274">
        <v>10000</v>
      </c>
      <c r="O70" s="2028">
        <f t="shared" si="104"/>
        <v>10000</v>
      </c>
      <c r="P70" s="3284">
        <f t="shared" si="3"/>
        <v>1.5595378683890208E-3</v>
      </c>
      <c r="Q70" s="3295"/>
      <c r="R70" s="3274"/>
      <c r="S70" s="3274">
        <v>9100.93</v>
      </c>
      <c r="T70" s="2028">
        <f t="shared" si="105"/>
        <v>9100.93</v>
      </c>
      <c r="U70" s="3284">
        <f t="shared" si="4"/>
        <v>1.4193244972557691E-3</v>
      </c>
      <c r="V70" s="3276" t="s">
        <v>1493</v>
      </c>
      <c r="W70" s="3274">
        <v>0</v>
      </c>
      <c r="X70" s="3274">
        <v>0</v>
      </c>
      <c r="Y70" s="2028">
        <v>0</v>
      </c>
      <c r="Z70" s="3284">
        <v>0</v>
      </c>
      <c r="AA70" s="3276"/>
      <c r="AB70" s="3274">
        <f t="shared" si="106"/>
        <v>0</v>
      </c>
      <c r="AC70" s="3274">
        <f t="shared" si="106"/>
        <v>0</v>
      </c>
      <c r="AD70" s="2028">
        <f t="shared" si="107"/>
        <v>0</v>
      </c>
      <c r="AE70" s="3284">
        <f t="shared" si="89"/>
        <v>0</v>
      </c>
      <c r="AF70" s="3276"/>
      <c r="AG70" s="3274"/>
      <c r="AH70" s="3274"/>
      <c r="AI70" s="2028">
        <f t="shared" si="108"/>
        <v>0</v>
      </c>
      <c r="AJ70" s="3284">
        <f t="shared" si="90"/>
        <v>0</v>
      </c>
      <c r="AK70" s="3276"/>
      <c r="AL70" s="3274"/>
      <c r="AM70" s="3274"/>
      <c r="AN70" s="2028">
        <f t="shared" si="109"/>
        <v>0</v>
      </c>
      <c r="AO70" s="3284">
        <f t="shared" si="91"/>
        <v>0</v>
      </c>
      <c r="AP70" s="3295"/>
      <c r="AQ70" s="3274"/>
      <c r="AR70" s="3274"/>
      <c r="AS70" s="2028">
        <f t="shared" si="110"/>
        <v>0</v>
      </c>
      <c r="AT70" s="3284">
        <f t="shared" si="92"/>
        <v>0</v>
      </c>
      <c r="AU70" s="3295"/>
      <c r="AV70" s="3274"/>
      <c r="AW70" s="3274"/>
      <c r="AX70" s="2028">
        <f t="shared" si="111"/>
        <v>0</v>
      </c>
      <c r="AY70" s="3284">
        <f t="shared" si="93"/>
        <v>0</v>
      </c>
      <c r="AZ70" s="3295"/>
      <c r="BA70" s="3274"/>
      <c r="BB70" s="3274"/>
      <c r="BC70" s="2028">
        <f t="shared" si="112"/>
        <v>0</v>
      </c>
      <c r="BD70" s="3284">
        <f t="shared" si="94"/>
        <v>0</v>
      </c>
      <c r="BE70" s="3295"/>
      <c r="BF70" s="3274"/>
      <c r="BG70" s="3274"/>
      <c r="BH70" s="2028">
        <f t="shared" si="113"/>
        <v>0</v>
      </c>
      <c r="BI70" s="3284">
        <f t="shared" si="95"/>
        <v>0</v>
      </c>
      <c r="BJ70" s="3295"/>
      <c r="BK70" s="3274"/>
      <c r="BL70" s="3274"/>
      <c r="BM70" s="2028">
        <f t="shared" si="114"/>
        <v>0</v>
      </c>
      <c r="BN70" s="3284">
        <f t="shared" si="96"/>
        <v>0</v>
      </c>
      <c r="BO70" s="3295"/>
      <c r="BP70" s="3274"/>
      <c r="BQ70" s="3274"/>
      <c r="BR70" s="2028">
        <f t="shared" si="115"/>
        <v>0</v>
      </c>
      <c r="BS70" s="3284">
        <f t="shared" si="97"/>
        <v>0</v>
      </c>
      <c r="BT70" s="3295"/>
      <c r="BU70" s="3274"/>
      <c r="BV70" s="3274"/>
      <c r="BW70" s="2028">
        <f t="shared" si="116"/>
        <v>0</v>
      </c>
      <c r="BX70" s="3284">
        <f t="shared" si="98"/>
        <v>0</v>
      </c>
      <c r="BY70" s="3295"/>
      <c r="BZ70" s="3417"/>
      <c r="CA70" s="3274"/>
      <c r="CB70" s="2028">
        <f t="shared" si="117"/>
        <v>0</v>
      </c>
      <c r="CC70" s="3284">
        <f t="shared" si="99"/>
        <v>0</v>
      </c>
      <c r="CD70" s="3295"/>
      <c r="CE70" s="3417"/>
      <c r="CF70" s="3274"/>
      <c r="CG70" s="2028">
        <f t="shared" si="118"/>
        <v>0</v>
      </c>
      <c r="CH70" s="3284">
        <f t="shared" si="100"/>
        <v>0</v>
      </c>
      <c r="CI70" s="3295"/>
      <c r="CJ70" s="3417"/>
      <c r="CK70" s="3274"/>
      <c r="CL70" s="2028">
        <f t="shared" si="119"/>
        <v>0</v>
      </c>
      <c r="CM70" s="3284">
        <f t="shared" si="101"/>
        <v>0</v>
      </c>
      <c r="CN70" s="3295"/>
      <c r="CO70" s="3274">
        <f t="shared" si="122"/>
        <v>0</v>
      </c>
      <c r="CP70" s="3274">
        <f t="shared" si="122"/>
        <v>19100.93</v>
      </c>
      <c r="CQ70" s="2028">
        <f t="shared" si="121"/>
        <v>19100.93</v>
      </c>
      <c r="CR70" s="3284">
        <f t="shared" si="63"/>
        <v>1.6713379146620167E-3</v>
      </c>
      <c r="CS70" s="3295"/>
      <c r="CT70" s="933"/>
    </row>
    <row r="71" spans="1:98" s="1411" customFormat="1" ht="60" x14ac:dyDescent="0.25">
      <c r="A71" s="1586"/>
      <c r="B71" s="3310" t="s">
        <v>78</v>
      </c>
      <c r="C71" s="3274"/>
      <c r="D71" s="3274"/>
      <c r="E71" s="2028">
        <f t="shared" si="102"/>
        <v>0</v>
      </c>
      <c r="F71" s="3284">
        <f t="shared" si="87"/>
        <v>0</v>
      </c>
      <c r="G71" s="3274"/>
      <c r="H71" s="3274"/>
      <c r="I71" s="3274"/>
      <c r="J71" s="2028">
        <f t="shared" si="103"/>
        <v>0</v>
      </c>
      <c r="K71" s="3284">
        <f t="shared" si="88"/>
        <v>0</v>
      </c>
      <c r="L71" s="3274"/>
      <c r="M71" s="3274"/>
      <c r="N71" s="3274"/>
      <c r="O71" s="2028">
        <f t="shared" si="104"/>
        <v>0</v>
      </c>
      <c r="P71" s="3284">
        <f t="shared" si="3"/>
        <v>0</v>
      </c>
      <c r="Q71" s="3274"/>
      <c r="R71" s="3274">
        <v>1905109.18</v>
      </c>
      <c r="S71" s="3274"/>
      <c r="T71" s="2028">
        <f t="shared" si="105"/>
        <v>1905109.18</v>
      </c>
      <c r="U71" s="3284">
        <f t="shared" si="4"/>
        <v>0.29710899096255555</v>
      </c>
      <c r="V71" s="3276" t="s">
        <v>1494</v>
      </c>
      <c r="W71" s="3274">
        <v>0</v>
      </c>
      <c r="X71" s="3274">
        <v>0</v>
      </c>
      <c r="Y71" s="2028">
        <v>0</v>
      </c>
      <c r="Z71" s="3284">
        <v>0</v>
      </c>
      <c r="AA71" s="3276"/>
      <c r="AB71" s="3274">
        <f t="shared" si="106"/>
        <v>17517.5</v>
      </c>
      <c r="AC71" s="3274">
        <f t="shared" si="106"/>
        <v>0</v>
      </c>
      <c r="AD71" s="2028">
        <f t="shared" si="107"/>
        <v>17517.5</v>
      </c>
      <c r="AE71" s="3284">
        <f t="shared" si="89"/>
        <v>2.7319204609504671E-3</v>
      </c>
      <c r="AF71" s="3276"/>
      <c r="AG71" s="2059">
        <v>17517.5</v>
      </c>
      <c r="AH71" s="3274"/>
      <c r="AI71" s="2028">
        <f t="shared" si="108"/>
        <v>17517.5</v>
      </c>
      <c r="AJ71" s="3284">
        <f t="shared" si="90"/>
        <v>2.7319204609504671E-3</v>
      </c>
      <c r="AK71" s="1337" t="s">
        <v>2133</v>
      </c>
      <c r="AL71" s="3274"/>
      <c r="AM71" s="3274"/>
      <c r="AN71" s="2028">
        <f t="shared" si="109"/>
        <v>0</v>
      </c>
      <c r="AO71" s="3284">
        <f t="shared" si="91"/>
        <v>0</v>
      </c>
      <c r="AP71" s="3274"/>
      <c r="AQ71" s="3274"/>
      <c r="AR71" s="3274"/>
      <c r="AS71" s="2028">
        <f t="shared" si="110"/>
        <v>0</v>
      </c>
      <c r="AT71" s="3284">
        <f t="shared" si="92"/>
        <v>0</v>
      </c>
      <c r="AU71" s="3274"/>
      <c r="AV71" s="3274"/>
      <c r="AW71" s="3274"/>
      <c r="AX71" s="2028">
        <f t="shared" si="111"/>
        <v>0</v>
      </c>
      <c r="AY71" s="3284">
        <f t="shared" si="93"/>
        <v>0</v>
      </c>
      <c r="AZ71" s="3274"/>
      <c r="BA71" s="3274"/>
      <c r="BB71" s="3274"/>
      <c r="BC71" s="2028">
        <f t="shared" si="112"/>
        <v>0</v>
      </c>
      <c r="BD71" s="3284">
        <f t="shared" si="94"/>
        <v>0</v>
      </c>
      <c r="BE71" s="3274"/>
      <c r="BF71" s="3274"/>
      <c r="BG71" s="3274"/>
      <c r="BH71" s="2028">
        <f t="shared" si="113"/>
        <v>0</v>
      </c>
      <c r="BI71" s="3284">
        <f t="shared" si="95"/>
        <v>0</v>
      </c>
      <c r="BJ71" s="3274"/>
      <c r="BK71" s="3274"/>
      <c r="BL71" s="3274"/>
      <c r="BM71" s="2028">
        <f t="shared" si="114"/>
        <v>0</v>
      </c>
      <c r="BN71" s="3284">
        <f t="shared" si="96"/>
        <v>0</v>
      </c>
      <c r="BO71" s="3274"/>
      <c r="BP71" s="3274"/>
      <c r="BQ71" s="3274"/>
      <c r="BR71" s="2028">
        <f t="shared" si="115"/>
        <v>0</v>
      </c>
      <c r="BS71" s="3284">
        <f t="shared" si="97"/>
        <v>0</v>
      </c>
      <c r="BT71" s="3274"/>
      <c r="BU71" s="3274"/>
      <c r="BV71" s="3274"/>
      <c r="BW71" s="2028">
        <f t="shared" si="116"/>
        <v>0</v>
      </c>
      <c r="BX71" s="3284">
        <f t="shared" si="98"/>
        <v>0</v>
      </c>
      <c r="BY71" s="3274"/>
      <c r="BZ71" s="3288"/>
      <c r="CA71" s="3274"/>
      <c r="CB71" s="2028">
        <f t="shared" si="117"/>
        <v>0</v>
      </c>
      <c r="CC71" s="3284">
        <f t="shared" si="99"/>
        <v>0</v>
      </c>
      <c r="CD71" s="3274"/>
      <c r="CE71" s="3288"/>
      <c r="CF71" s="3274"/>
      <c r="CG71" s="2028">
        <f t="shared" si="118"/>
        <v>0</v>
      </c>
      <c r="CH71" s="3284">
        <f t="shared" si="100"/>
        <v>0</v>
      </c>
      <c r="CI71" s="3274"/>
      <c r="CJ71" s="3288"/>
      <c r="CK71" s="3274"/>
      <c r="CL71" s="2028">
        <f t="shared" si="119"/>
        <v>0</v>
      </c>
      <c r="CM71" s="3284">
        <f t="shared" si="101"/>
        <v>0</v>
      </c>
      <c r="CN71" s="3274"/>
      <c r="CO71" s="3274">
        <f t="shared" si="122"/>
        <v>1922626.68</v>
      </c>
      <c r="CP71" s="3274">
        <f t="shared" si="122"/>
        <v>0</v>
      </c>
      <c r="CQ71" s="2028">
        <f t="shared" si="121"/>
        <v>1922626.68</v>
      </c>
      <c r="CR71" s="3284">
        <f t="shared" si="63"/>
        <v>0.16823049275740795</v>
      </c>
      <c r="CS71" s="3295"/>
      <c r="CT71" s="933"/>
    </row>
    <row r="72" spans="1:98" s="1411" customFormat="1" ht="14.4" thickBot="1" x14ac:dyDescent="0.3">
      <c r="A72" s="1586"/>
      <c r="B72" s="3310"/>
      <c r="C72" s="3278"/>
      <c r="D72" s="3278"/>
      <c r="E72" s="2046"/>
      <c r="F72" s="3228"/>
      <c r="G72" s="3229"/>
      <c r="H72" s="3278"/>
      <c r="I72" s="3278"/>
      <c r="J72" s="2046"/>
      <c r="K72" s="3228"/>
      <c r="L72" s="3229"/>
      <c r="M72" s="3278"/>
      <c r="N72" s="3278"/>
      <c r="O72" s="2046"/>
      <c r="P72" s="3228"/>
      <c r="Q72" s="3229"/>
      <c r="R72" s="3278"/>
      <c r="S72" s="3278"/>
      <c r="T72" s="2046"/>
      <c r="U72" s="3228"/>
      <c r="V72" s="3229"/>
      <c r="W72" s="3278"/>
      <c r="X72" s="3278"/>
      <c r="Y72" s="2046"/>
      <c r="Z72" s="3228"/>
      <c r="AA72" s="3229"/>
      <c r="AB72" s="3278"/>
      <c r="AC72" s="3278"/>
      <c r="AD72" s="2046"/>
      <c r="AE72" s="3228"/>
      <c r="AF72" s="3229"/>
      <c r="AG72" s="3278"/>
      <c r="AH72" s="3278"/>
      <c r="AI72" s="2046"/>
      <c r="AJ72" s="3228"/>
      <c r="AK72" s="3229"/>
      <c r="AL72" s="3278"/>
      <c r="AM72" s="3278"/>
      <c r="AN72" s="2046"/>
      <c r="AO72" s="3228"/>
      <c r="AP72" s="3229"/>
      <c r="AQ72" s="3278"/>
      <c r="AR72" s="3278"/>
      <c r="AS72" s="2046"/>
      <c r="AT72" s="3228"/>
      <c r="AU72" s="3229"/>
      <c r="AV72" s="3278"/>
      <c r="AW72" s="3278"/>
      <c r="AX72" s="2046"/>
      <c r="AY72" s="3228"/>
      <c r="AZ72" s="3229"/>
      <c r="BA72" s="3278"/>
      <c r="BB72" s="3278"/>
      <c r="BC72" s="2046"/>
      <c r="BD72" s="3228"/>
      <c r="BE72" s="3229"/>
      <c r="BF72" s="3278"/>
      <c r="BG72" s="3278"/>
      <c r="BH72" s="2046"/>
      <c r="BI72" s="3228"/>
      <c r="BJ72" s="3229"/>
      <c r="BK72" s="3278"/>
      <c r="BL72" s="3278"/>
      <c r="BM72" s="2046"/>
      <c r="BN72" s="3228"/>
      <c r="BO72" s="3229"/>
      <c r="BP72" s="3278"/>
      <c r="BQ72" s="3278"/>
      <c r="BR72" s="2046"/>
      <c r="BS72" s="3228"/>
      <c r="BT72" s="3229"/>
      <c r="BU72" s="3278"/>
      <c r="BV72" s="3278"/>
      <c r="BW72" s="2046"/>
      <c r="BX72" s="3228"/>
      <c r="BY72" s="3229"/>
      <c r="BZ72" s="3418"/>
      <c r="CA72" s="3278"/>
      <c r="CB72" s="2046"/>
      <c r="CC72" s="3228"/>
      <c r="CD72" s="3229"/>
      <c r="CE72" s="3418"/>
      <c r="CF72" s="3278"/>
      <c r="CG72" s="2046"/>
      <c r="CH72" s="3228"/>
      <c r="CI72" s="3229"/>
      <c r="CJ72" s="3418"/>
      <c r="CK72" s="3278"/>
      <c r="CL72" s="2046"/>
      <c r="CM72" s="3228"/>
      <c r="CN72" s="3229"/>
      <c r="CO72" s="3418"/>
      <c r="CP72" s="3278"/>
      <c r="CQ72" s="2046"/>
      <c r="CR72" s="3228">
        <f>CQ72/$CQ$89</f>
        <v>0</v>
      </c>
      <c r="CS72" s="3229"/>
      <c r="CT72" s="933"/>
    </row>
    <row r="73" spans="1:98" s="1411" customFormat="1" ht="14.4" thickBot="1" x14ac:dyDescent="0.3">
      <c r="A73" s="1586"/>
      <c r="B73" s="3324" t="s">
        <v>4</v>
      </c>
      <c r="C73" s="1599">
        <f>C74</f>
        <v>66390.16</v>
      </c>
      <c r="D73" s="1704">
        <f>D74</f>
        <v>0</v>
      </c>
      <c r="E73" s="1703">
        <f>E74</f>
        <v>66390.16</v>
      </c>
      <c r="F73" s="1704"/>
      <c r="G73" s="1704"/>
      <c r="H73" s="1599">
        <f>H74</f>
        <v>24916.25</v>
      </c>
      <c r="I73" s="1704">
        <f>I74</f>
        <v>0</v>
      </c>
      <c r="J73" s="1703">
        <f>J74</f>
        <v>24916.25</v>
      </c>
      <c r="K73" s="1704"/>
      <c r="L73" s="1704"/>
      <c r="M73" s="1599">
        <f>M74</f>
        <v>114755.1</v>
      </c>
      <c r="N73" s="1704">
        <f>N74</f>
        <v>0</v>
      </c>
      <c r="O73" s="1703">
        <f>O74</f>
        <v>114755.1</v>
      </c>
      <c r="P73" s="1704"/>
      <c r="Q73" s="1704"/>
      <c r="R73" s="1599">
        <f>R74</f>
        <v>54388.100000000006</v>
      </c>
      <c r="S73" s="1704">
        <f>S74</f>
        <v>0</v>
      </c>
      <c r="T73" s="1703">
        <f>T74</f>
        <v>54388.100000000006</v>
      </c>
      <c r="U73" s="1704"/>
      <c r="V73" s="1704"/>
      <c r="W73" s="1599">
        <v>0</v>
      </c>
      <c r="X73" s="1704">
        <v>0</v>
      </c>
      <c r="Y73" s="1703">
        <v>0</v>
      </c>
      <c r="Z73" s="1704"/>
      <c r="AA73" s="1704"/>
      <c r="AB73" s="1599">
        <f>AB74</f>
        <v>0</v>
      </c>
      <c r="AC73" s="1704">
        <f>AC74</f>
        <v>0</v>
      </c>
      <c r="AD73" s="1703">
        <f>AD74</f>
        <v>0</v>
      </c>
      <c r="AE73" s="1704"/>
      <c r="AF73" s="1704"/>
      <c r="AG73" s="1599">
        <f>AG74</f>
        <v>0</v>
      </c>
      <c r="AH73" s="1704">
        <f>AH74</f>
        <v>0</v>
      </c>
      <c r="AI73" s="1703">
        <f>AI74</f>
        <v>0</v>
      </c>
      <c r="AJ73" s="1704"/>
      <c r="AK73" s="1704"/>
      <c r="AL73" s="1599">
        <f>AL74</f>
        <v>0</v>
      </c>
      <c r="AM73" s="1704">
        <f>AM74</f>
        <v>0</v>
      </c>
      <c r="AN73" s="1703">
        <f>AN74</f>
        <v>0</v>
      </c>
      <c r="AO73" s="1704"/>
      <c r="AP73" s="1704"/>
      <c r="AQ73" s="1599">
        <f>AQ74</f>
        <v>0</v>
      </c>
      <c r="AR73" s="1704">
        <f>AR74</f>
        <v>0</v>
      </c>
      <c r="AS73" s="1703">
        <f>AS74</f>
        <v>0</v>
      </c>
      <c r="AT73" s="1704"/>
      <c r="AU73" s="1704"/>
      <c r="AV73" s="1599">
        <f>AV74</f>
        <v>0</v>
      </c>
      <c r="AW73" s="1704">
        <f>AW74</f>
        <v>0</v>
      </c>
      <c r="AX73" s="1703">
        <f>AX74</f>
        <v>0</v>
      </c>
      <c r="AY73" s="1704"/>
      <c r="AZ73" s="1704"/>
      <c r="BA73" s="1599">
        <f>BA74</f>
        <v>0</v>
      </c>
      <c r="BB73" s="1704">
        <f>BB74</f>
        <v>0</v>
      </c>
      <c r="BC73" s="1703">
        <f>BC74</f>
        <v>0</v>
      </c>
      <c r="BD73" s="1704"/>
      <c r="BE73" s="1704"/>
      <c r="BF73" s="1599">
        <f>BF74</f>
        <v>0</v>
      </c>
      <c r="BG73" s="1704">
        <f>BG74</f>
        <v>0</v>
      </c>
      <c r="BH73" s="1703">
        <f>BH74</f>
        <v>0</v>
      </c>
      <c r="BI73" s="1704"/>
      <c r="BJ73" s="1704"/>
      <c r="BK73" s="1599">
        <f>BK74</f>
        <v>0</v>
      </c>
      <c r="BL73" s="1704">
        <f>BL74</f>
        <v>0</v>
      </c>
      <c r="BM73" s="1703">
        <f>BM74</f>
        <v>0</v>
      </c>
      <c r="BN73" s="1704"/>
      <c r="BO73" s="1704"/>
      <c r="BP73" s="1599">
        <f>BP74</f>
        <v>0</v>
      </c>
      <c r="BQ73" s="1704">
        <f>BQ74</f>
        <v>0</v>
      </c>
      <c r="BR73" s="1703">
        <f>BR74</f>
        <v>0</v>
      </c>
      <c r="BS73" s="1704"/>
      <c r="BT73" s="1704"/>
      <c r="BU73" s="1599">
        <f>BU74</f>
        <v>0</v>
      </c>
      <c r="BV73" s="1704">
        <f>BV74</f>
        <v>0</v>
      </c>
      <c r="BW73" s="1703">
        <f>BW74</f>
        <v>0</v>
      </c>
      <c r="BX73" s="1704"/>
      <c r="BY73" s="1704"/>
      <c r="BZ73" s="1599">
        <f>BZ74</f>
        <v>0</v>
      </c>
      <c r="CA73" s="1704">
        <f>CA74</f>
        <v>0</v>
      </c>
      <c r="CB73" s="1703">
        <f>CB74</f>
        <v>0</v>
      </c>
      <c r="CC73" s="1704"/>
      <c r="CD73" s="1704"/>
      <c r="CE73" s="1599">
        <f>CE74</f>
        <v>0</v>
      </c>
      <c r="CF73" s="1704">
        <f>CF74</f>
        <v>0</v>
      </c>
      <c r="CG73" s="1703">
        <f>CG74</f>
        <v>0</v>
      </c>
      <c r="CH73" s="1704"/>
      <c r="CI73" s="1704"/>
      <c r="CJ73" s="1599">
        <f>CJ74</f>
        <v>0</v>
      </c>
      <c r="CK73" s="1704">
        <f>CK74</f>
        <v>0</v>
      </c>
      <c r="CL73" s="1703">
        <f>CL74</f>
        <v>0</v>
      </c>
      <c r="CM73" s="1704"/>
      <c r="CN73" s="1704"/>
      <c r="CO73" s="1599">
        <f>CO74</f>
        <v>260449.61000000002</v>
      </c>
      <c r="CP73" s="1704">
        <f>CP74</f>
        <v>0</v>
      </c>
      <c r="CQ73" s="1703">
        <f>CQ74</f>
        <v>260449.61000000002</v>
      </c>
      <c r="CR73" s="1704"/>
      <c r="CS73" s="1704"/>
      <c r="CT73" s="933"/>
    </row>
    <row r="74" spans="1:98" s="1411" customFormat="1" ht="25.2" customHeight="1" thickBot="1" x14ac:dyDescent="0.3">
      <c r="A74" s="1428"/>
      <c r="B74" s="3289" t="s">
        <v>64</v>
      </c>
      <c r="C74" s="3274">
        <f>1964.77+23577.16+40848.23</f>
        <v>66390.16</v>
      </c>
      <c r="D74" s="3274"/>
      <c r="E74" s="2028">
        <f>C74+D74*1</f>
        <v>66390.16</v>
      </c>
      <c r="F74" s="3327"/>
      <c r="G74" s="3275" t="s">
        <v>1289</v>
      </c>
      <c r="H74" s="3274">
        <f>23849.23+1067.02</f>
        <v>24916.25</v>
      </c>
      <c r="I74" s="3274"/>
      <c r="J74" s="2028">
        <f>H74+I74*1</f>
        <v>24916.25</v>
      </c>
      <c r="K74" s="3327"/>
      <c r="L74" s="3275"/>
      <c r="M74" s="3274">
        <f>1972+23665.5+89117.6</f>
        <v>114755.1</v>
      </c>
      <c r="N74" s="3274"/>
      <c r="O74" s="2028">
        <f>M74+N74*1</f>
        <v>114755.1</v>
      </c>
      <c r="P74" s="3327"/>
      <c r="Q74" s="3419" t="s">
        <v>1407</v>
      </c>
      <c r="R74" s="3274">
        <f>23324.58+1943.71+29119.81</f>
        <v>54388.100000000006</v>
      </c>
      <c r="S74" s="3274"/>
      <c r="T74" s="2028">
        <f>R74+S74*1</f>
        <v>54388.100000000006</v>
      </c>
      <c r="U74" s="3327"/>
      <c r="V74" s="3276" t="s">
        <v>1502</v>
      </c>
      <c r="W74" s="3274">
        <v>0</v>
      </c>
      <c r="X74" s="3274">
        <v>0</v>
      </c>
      <c r="Y74" s="2028">
        <v>0</v>
      </c>
      <c r="Z74" s="3327"/>
      <c r="AA74" s="3276"/>
      <c r="AB74" s="3274">
        <f>AG74+AL74+AQ74+AV74+BA74+BF74+BK74+BP74+BU74+BZ74+CE74+CJ74</f>
        <v>0</v>
      </c>
      <c r="AC74" s="3274">
        <f>AH74+AM74+AR74+AW74+BB74+BG74+BL74+BQ74+BV74+CA74+CF74+CK74</f>
        <v>0</v>
      </c>
      <c r="AD74" s="2028">
        <f>AB74+AC74*1</f>
        <v>0</v>
      </c>
      <c r="AE74" s="3327"/>
      <c r="AF74" s="3276"/>
      <c r="AG74" s="3274"/>
      <c r="AH74" s="3274"/>
      <c r="AI74" s="2028">
        <f>AG74+AH74*1</f>
        <v>0</v>
      </c>
      <c r="AJ74" s="3327"/>
      <c r="AK74" s="3276"/>
      <c r="AL74" s="3274"/>
      <c r="AM74" s="3274"/>
      <c r="AN74" s="3274">
        <f>AL74+AM74*1</f>
        <v>0</v>
      </c>
      <c r="AO74" s="3327"/>
      <c r="AP74" s="3329"/>
      <c r="AQ74" s="3274"/>
      <c r="AR74" s="3274"/>
      <c r="AS74" s="3329">
        <f>AQ74+AR74*1</f>
        <v>0</v>
      </c>
      <c r="AT74" s="3327"/>
      <c r="AU74" s="3327"/>
      <c r="AV74" s="3274"/>
      <c r="AW74" s="3274"/>
      <c r="AX74" s="2028">
        <f>AV74+AW74*1</f>
        <v>0</v>
      </c>
      <c r="AY74" s="3327"/>
      <c r="AZ74" s="3327"/>
      <c r="BA74" s="3274"/>
      <c r="BB74" s="3274"/>
      <c r="BC74" s="3329">
        <f>BA74+BB74*1</f>
        <v>0</v>
      </c>
      <c r="BD74" s="3327"/>
      <c r="BE74" s="3327"/>
      <c r="BF74" s="3274"/>
      <c r="BG74" s="3274"/>
      <c r="BH74" s="3329">
        <f>BF74+BG74*1</f>
        <v>0</v>
      </c>
      <c r="BI74" s="3327"/>
      <c r="BJ74" s="3327"/>
      <c r="BK74" s="3274"/>
      <c r="BL74" s="3274"/>
      <c r="BM74" s="3329">
        <f>BK74+BL74*1</f>
        <v>0</v>
      </c>
      <c r="BN74" s="3327"/>
      <c r="BO74" s="3327"/>
      <c r="BP74" s="3274"/>
      <c r="BQ74" s="3274"/>
      <c r="BR74" s="3329">
        <f>BP74+BQ74*1</f>
        <v>0</v>
      </c>
      <c r="BS74" s="3327"/>
      <c r="BT74" s="3327"/>
      <c r="BU74" s="3274"/>
      <c r="BV74" s="3274"/>
      <c r="BW74" s="3329">
        <f>BU74+BV74*1</f>
        <v>0</v>
      </c>
      <c r="BX74" s="3327"/>
      <c r="BY74" s="3327"/>
      <c r="BZ74" s="3288"/>
      <c r="CA74" s="3274"/>
      <c r="CB74" s="3329">
        <f>BZ74+CA74*1</f>
        <v>0</v>
      </c>
      <c r="CC74" s="3327"/>
      <c r="CD74" s="3327"/>
      <c r="CE74" s="3288"/>
      <c r="CF74" s="3274"/>
      <c r="CG74" s="3329">
        <f>CE74+CF74*1</f>
        <v>0</v>
      </c>
      <c r="CH74" s="3327"/>
      <c r="CI74" s="3327"/>
      <c r="CJ74" s="3288"/>
      <c r="CK74" s="3274"/>
      <c r="CL74" s="3329">
        <f>CJ74+CK74*1</f>
        <v>0</v>
      </c>
      <c r="CM74" s="3327"/>
      <c r="CN74" s="3327"/>
      <c r="CO74" s="3274">
        <f t="shared" ref="CO74:CP74" si="123">C74+H74+M74+R74+AG74+AL74+AQ74+AV74+BA74+BF74+BK74+BP74+BU74+BZ74+CE74+CJ74+W74</f>
        <v>260449.61000000002</v>
      </c>
      <c r="CP74" s="3274">
        <f t="shared" si="123"/>
        <v>0</v>
      </c>
      <c r="CQ74" s="2028">
        <f>CO74+CP74*1</f>
        <v>260449.61000000002</v>
      </c>
      <c r="CR74" s="3327"/>
      <c r="CS74" s="3327"/>
      <c r="CT74" s="933"/>
    </row>
    <row r="75" spans="1:98" s="1411" customFormat="1" ht="14.4" thickBot="1" x14ac:dyDescent="0.3">
      <c r="A75" s="1414"/>
      <c r="B75" s="1431" t="s">
        <v>48</v>
      </c>
      <c r="C75" s="1465">
        <f>C38-C41-C50-C54</f>
        <v>-124557.04</v>
      </c>
      <c r="D75" s="1465">
        <f>D38-D41-D50-D54</f>
        <v>-158503.48000000001</v>
      </c>
      <c r="E75" s="1523">
        <f>E38-E41-E50-E54</f>
        <v>-283060.51999999996</v>
      </c>
      <c r="F75" s="1969"/>
      <c r="G75" s="1969"/>
      <c r="H75" s="1465">
        <f>H38-H41-H50-H54</f>
        <v>-249074.15</v>
      </c>
      <c r="I75" s="1465">
        <f>I38-I41-I50-I54</f>
        <v>-239965.22999999998</v>
      </c>
      <c r="J75" s="1523">
        <f>J38-J41-J50-J54</f>
        <v>-489039.38</v>
      </c>
      <c r="K75" s="1969"/>
      <c r="L75" s="1969"/>
      <c r="M75" s="1465">
        <f>M38-M41-M50-M54</f>
        <v>48759.680000000168</v>
      </c>
      <c r="N75" s="1465">
        <f>N38-N41-N50-N54</f>
        <v>-226522.63</v>
      </c>
      <c r="O75" s="1523">
        <f>O38-O41-O50-O54</f>
        <v>-177762.94999999984</v>
      </c>
      <c r="P75" s="1969"/>
      <c r="Q75" s="1969"/>
      <c r="R75" s="1465">
        <f>R38-R41-R50-R54</f>
        <v>-1900330.9900000002</v>
      </c>
      <c r="S75" s="1465">
        <f>S38-S41-S50-S54</f>
        <v>-295770.89</v>
      </c>
      <c r="T75" s="1523">
        <f>T38-T41-T50-T54</f>
        <v>-2196101.8800000004</v>
      </c>
      <c r="U75" s="1969"/>
      <c r="V75" s="1969"/>
      <c r="W75" s="1465">
        <v>-406083.27699999989</v>
      </c>
      <c r="X75" s="1465">
        <v>-736356.52</v>
      </c>
      <c r="Y75" s="1523">
        <v>-1142439.797</v>
      </c>
      <c r="Z75" s="1969"/>
      <c r="AA75" s="1969"/>
      <c r="AB75" s="1465">
        <f>AB38-AB41-AB50-AB54</f>
        <v>-65664.865999999995</v>
      </c>
      <c r="AC75" s="1465">
        <f>AC38-AC41-AC50-AC54</f>
        <v>-139242</v>
      </c>
      <c r="AD75" s="1523">
        <f>AD38-AD41-AD50-AD54</f>
        <v>-204906.86599999998</v>
      </c>
      <c r="AE75" s="1969"/>
      <c r="AF75" s="1969"/>
      <c r="AG75" s="1465">
        <f>AG38-AG41-AG50-AG54</f>
        <v>-21949.294999999998</v>
      </c>
      <c r="AH75" s="1465">
        <f>AH38-AH41-AH50-AH54</f>
        <v>-3333</v>
      </c>
      <c r="AI75" s="1523">
        <f>AI38-AI41-AI50-AI54</f>
        <v>-25282.294999999998</v>
      </c>
      <c r="AJ75" s="1969"/>
      <c r="AK75" s="1969"/>
      <c r="AL75" s="1465">
        <f>AL38-AL41-AL50-AL54</f>
        <v>-19419.040999999997</v>
      </c>
      <c r="AM75" s="1465">
        <f>AM38-AM41-AM50-AM54</f>
        <v>-107643.29000000001</v>
      </c>
      <c r="AN75" s="1523">
        <f>AN38-AN41-AN50-AN54</f>
        <v>-127062.33099999999</v>
      </c>
      <c r="AO75" s="1969"/>
      <c r="AP75" s="1969"/>
      <c r="AQ75" s="1465">
        <f>AQ38-AQ41-AQ50-AQ54</f>
        <v>-24296.53</v>
      </c>
      <c r="AR75" s="1465">
        <f>AR38-AR41-AR50-AR54</f>
        <v>-28265.71</v>
      </c>
      <c r="AS75" s="1523">
        <f>AS38-AS41-AS50-AS54</f>
        <v>-52562.240000000005</v>
      </c>
      <c r="AT75" s="1969"/>
      <c r="AU75" s="1969"/>
      <c r="AV75" s="1465">
        <f>AV38-AV41-AV50-AV54</f>
        <v>0</v>
      </c>
      <c r="AW75" s="1465">
        <f>AW38-AW41-AW50-AW54</f>
        <v>0</v>
      </c>
      <c r="AX75" s="1523">
        <f>AX38-AX41-AX50-AX54</f>
        <v>0</v>
      </c>
      <c r="AY75" s="1969"/>
      <c r="AZ75" s="1969"/>
      <c r="BA75" s="1465">
        <f>BA38-BA41-BA50-BA54</f>
        <v>0</v>
      </c>
      <c r="BB75" s="1465">
        <f>BB38-BB41-BB50-BB54</f>
        <v>0</v>
      </c>
      <c r="BC75" s="1523">
        <f>BC38-BC41-BC50-BC54</f>
        <v>0</v>
      </c>
      <c r="BD75" s="1969"/>
      <c r="BE75" s="1969"/>
      <c r="BF75" s="1465">
        <f>BF38-BF41-BF50-BF54</f>
        <v>0</v>
      </c>
      <c r="BG75" s="1465">
        <f>BG38-BG41-BG50-BG54</f>
        <v>0</v>
      </c>
      <c r="BH75" s="1523">
        <f>BH38-BH41-BH50-BH54</f>
        <v>0</v>
      </c>
      <c r="BI75" s="1969"/>
      <c r="BJ75" s="1969"/>
      <c r="BK75" s="1465">
        <f>BK38-BK41-BK50-BK54</f>
        <v>0</v>
      </c>
      <c r="BL75" s="1465">
        <f>BL38-BL41-BL50-BL54</f>
        <v>0</v>
      </c>
      <c r="BM75" s="1523">
        <f>BM38-BM41-BM50-BM54</f>
        <v>0</v>
      </c>
      <c r="BN75" s="1969"/>
      <c r="BO75" s="1969"/>
      <c r="BP75" s="1465">
        <f>BP38-BP41-BP50-BP54</f>
        <v>0</v>
      </c>
      <c r="BQ75" s="1465">
        <f>BQ38-BQ41-BQ50-BQ54</f>
        <v>0</v>
      </c>
      <c r="BR75" s="1523">
        <f>BR38-BR41-BR50-BR54</f>
        <v>0</v>
      </c>
      <c r="BS75" s="1969"/>
      <c r="BT75" s="1969"/>
      <c r="BU75" s="1465">
        <f>BU38-BU41-BU50-BU54</f>
        <v>0</v>
      </c>
      <c r="BV75" s="1465">
        <f>BV38-BV41-BV50-BV54</f>
        <v>0</v>
      </c>
      <c r="BW75" s="1523">
        <f>BW38-BW41-BW50-BW54</f>
        <v>0</v>
      </c>
      <c r="BX75" s="1969"/>
      <c r="BY75" s="1969"/>
      <c r="BZ75" s="1465">
        <f>BZ38-BZ41-BZ50-BZ54</f>
        <v>0</v>
      </c>
      <c r="CA75" s="1465">
        <f>CA38-CA41-CA50-CA54</f>
        <v>0</v>
      </c>
      <c r="CB75" s="1523">
        <f>CB38-CB41-CB50-CB54</f>
        <v>0</v>
      </c>
      <c r="CC75" s="1969"/>
      <c r="CD75" s="1969"/>
      <c r="CE75" s="1465">
        <f>CE38-CE41-CE50-CE54</f>
        <v>0</v>
      </c>
      <c r="CF75" s="1465">
        <f>CF38-CF41-CF50-CF54</f>
        <v>0</v>
      </c>
      <c r="CG75" s="1523">
        <f>CG38-CG41-CG50-CG54</f>
        <v>0</v>
      </c>
      <c r="CH75" s="1969"/>
      <c r="CI75" s="1969"/>
      <c r="CJ75" s="1465">
        <f>CJ38-CJ41-CJ50-CJ54</f>
        <v>0</v>
      </c>
      <c r="CK75" s="1465">
        <f>CK38-CK41-CK50-CK54</f>
        <v>0</v>
      </c>
      <c r="CL75" s="1523">
        <f>CL38-CL41-CL50-CL54</f>
        <v>0</v>
      </c>
      <c r="CM75" s="1969"/>
      <c r="CN75" s="1969"/>
      <c r="CO75" s="1465">
        <f>CO38-CO41-CO50-CO54</f>
        <v>-2696950.6430000011</v>
      </c>
      <c r="CP75" s="1465">
        <f>CP38-CP41-CP50-CP54</f>
        <v>-1796360.7499999998</v>
      </c>
      <c r="CQ75" s="1523">
        <f>CQ38-CQ41-CQ50-CQ54</f>
        <v>-4493311.3930000002</v>
      </c>
      <c r="CR75" s="1969"/>
      <c r="CS75" s="1969"/>
      <c r="CT75" s="933"/>
    </row>
    <row r="76" spans="1:98" s="1411" customFormat="1" ht="13.8" x14ac:dyDescent="0.25">
      <c r="A76" s="1581"/>
      <c r="B76" s="1444" t="s">
        <v>49</v>
      </c>
      <c r="C76" s="2019">
        <f>C75/C5</f>
        <v>-1.4828219047619047</v>
      </c>
      <c r="D76" s="2019" t="e">
        <f>D75/D5</f>
        <v>#DIV/0!</v>
      </c>
      <c r="E76" s="2020">
        <f>E75/E5</f>
        <v>-3.3697680952380948</v>
      </c>
      <c r="F76" s="2020"/>
      <c r="G76" s="2020"/>
      <c r="H76" s="2019">
        <f>H75/H5</f>
        <v>-2.2338488789237667</v>
      </c>
      <c r="I76" s="2019" t="e">
        <f>I75/I5</f>
        <v>#DIV/0!</v>
      </c>
      <c r="J76" s="2020">
        <f>J75/J5</f>
        <v>-4.3860034080717485</v>
      </c>
      <c r="K76" s="2020"/>
      <c r="L76" s="2020"/>
      <c r="M76" s="2019">
        <f>M75/M5</f>
        <v>2.8663746731115235E-2</v>
      </c>
      <c r="N76" s="2019" t="e">
        <f>N75/N5</f>
        <v>#DIV/0!</v>
      </c>
      <c r="O76" s="2020">
        <f>O75/O5</f>
        <v>-0.10449929484721554</v>
      </c>
      <c r="P76" s="2020"/>
      <c r="Q76" s="2020"/>
      <c r="R76" s="2019">
        <f>R75/R5</f>
        <v>-0.46094700105538483</v>
      </c>
      <c r="S76" s="2019" t="e">
        <f>S75/S5</f>
        <v>#DIV/0!</v>
      </c>
      <c r="T76" s="2020">
        <f>T75/T5</f>
        <v>-0.53268961087567834</v>
      </c>
      <c r="U76" s="2020"/>
      <c r="V76" s="2020"/>
      <c r="W76" s="2019">
        <v>-0.92553032040029382</v>
      </c>
      <c r="X76" s="2019" t="e">
        <v>#DIV/0!</v>
      </c>
      <c r="Y76" s="2020">
        <v>-2.6038074731047272</v>
      </c>
      <c r="Z76" s="2020"/>
      <c r="AA76" s="2020"/>
      <c r="AB76" s="2019" t="e">
        <f>AB75/AB5</f>
        <v>#DIV/0!</v>
      </c>
      <c r="AC76" s="2019" t="e">
        <f>AC75/AC5</f>
        <v>#DIV/0!</v>
      </c>
      <c r="AD76" s="2020" t="e">
        <f>AD75/AD5</f>
        <v>#DIV/0!</v>
      </c>
      <c r="AE76" s="2020"/>
      <c r="AF76" s="2020"/>
      <c r="AG76" s="2019" t="e">
        <f>AG75/AG5</f>
        <v>#DIV/0!</v>
      </c>
      <c r="AH76" s="2019" t="e">
        <f>AH75/AH5</f>
        <v>#DIV/0!</v>
      </c>
      <c r="AI76" s="2020" t="e">
        <f>AI75/AI5</f>
        <v>#DIV/0!</v>
      </c>
      <c r="AJ76" s="2020"/>
      <c r="AK76" s="2020"/>
      <c r="AL76" s="2019" t="e">
        <f>AL75/AL5</f>
        <v>#DIV/0!</v>
      </c>
      <c r="AM76" s="2019" t="e">
        <f>AM75/AM5</f>
        <v>#DIV/0!</v>
      </c>
      <c r="AN76" s="2020" t="e">
        <f>AN75/AN5</f>
        <v>#DIV/0!</v>
      </c>
      <c r="AO76" s="2020"/>
      <c r="AP76" s="2020"/>
      <c r="AQ76" s="2019" t="e">
        <f>AQ75/AQ5</f>
        <v>#DIV/0!</v>
      </c>
      <c r="AR76" s="2019" t="e">
        <f>AR75/AR5</f>
        <v>#DIV/0!</v>
      </c>
      <c r="AS76" s="2020" t="e">
        <f>AS75/AS5</f>
        <v>#DIV/0!</v>
      </c>
      <c r="AT76" s="2020"/>
      <c r="AU76" s="2020"/>
      <c r="AV76" s="2019" t="e">
        <f>AV75/AV5</f>
        <v>#DIV/0!</v>
      </c>
      <c r="AW76" s="2019" t="e">
        <f>AW75/AW5</f>
        <v>#DIV/0!</v>
      </c>
      <c r="AX76" s="2020" t="e">
        <f>AX75/AX5</f>
        <v>#DIV/0!</v>
      </c>
      <c r="AY76" s="2020"/>
      <c r="AZ76" s="2020"/>
      <c r="BA76" s="2019" t="e">
        <f>BA75/BA5</f>
        <v>#DIV/0!</v>
      </c>
      <c r="BB76" s="2019" t="e">
        <f>BB75/BB5</f>
        <v>#DIV/0!</v>
      </c>
      <c r="BC76" s="2020" t="e">
        <f>BC75/BC5</f>
        <v>#DIV/0!</v>
      </c>
      <c r="BD76" s="2020"/>
      <c r="BE76" s="2020"/>
      <c r="BF76" s="2019" t="e">
        <f>BF75/BF5</f>
        <v>#DIV/0!</v>
      </c>
      <c r="BG76" s="2019" t="e">
        <f>BG75/BG5</f>
        <v>#DIV/0!</v>
      </c>
      <c r="BH76" s="2020" t="e">
        <f>BH75/BH5</f>
        <v>#DIV/0!</v>
      </c>
      <c r="BI76" s="2020"/>
      <c r="BJ76" s="2020"/>
      <c r="BK76" s="2019" t="e">
        <f>BK75/BK5</f>
        <v>#DIV/0!</v>
      </c>
      <c r="BL76" s="2019" t="e">
        <f>BL75/BL5</f>
        <v>#DIV/0!</v>
      </c>
      <c r="BM76" s="2020" t="e">
        <f>BM75/BM5</f>
        <v>#DIV/0!</v>
      </c>
      <c r="BN76" s="2020"/>
      <c r="BO76" s="2020"/>
      <c r="BP76" s="2019" t="e">
        <f>BP75/BP5</f>
        <v>#DIV/0!</v>
      </c>
      <c r="BQ76" s="2019" t="e">
        <f>BQ75/BQ5</f>
        <v>#DIV/0!</v>
      </c>
      <c r="BR76" s="2020" t="e">
        <f>BR75/BR5</f>
        <v>#DIV/0!</v>
      </c>
      <c r="BS76" s="2020"/>
      <c r="BT76" s="2020"/>
      <c r="BU76" s="2019" t="e">
        <f>BU75/BU5</f>
        <v>#DIV/0!</v>
      </c>
      <c r="BV76" s="2019" t="e">
        <f>BV75/BV5</f>
        <v>#DIV/0!</v>
      </c>
      <c r="BW76" s="2020" t="e">
        <f>BW75/BW5</f>
        <v>#DIV/0!</v>
      </c>
      <c r="BX76" s="2020"/>
      <c r="BY76" s="2020"/>
      <c r="BZ76" s="2019" t="e">
        <f>BZ75/BZ5</f>
        <v>#DIV/0!</v>
      </c>
      <c r="CA76" s="2019" t="e">
        <f>CA75/CA5</f>
        <v>#DIV/0!</v>
      </c>
      <c r="CB76" s="2020" t="e">
        <f>CB75/CB5</f>
        <v>#DIV/0!</v>
      </c>
      <c r="CC76" s="2020"/>
      <c r="CD76" s="2020"/>
      <c r="CE76" s="2019" t="e">
        <f>CE75/CE5</f>
        <v>#DIV/0!</v>
      </c>
      <c r="CF76" s="2019" t="e">
        <f>CF75/CF5</f>
        <v>#DIV/0!</v>
      </c>
      <c r="CG76" s="2020" t="e">
        <f>CG75/CG5</f>
        <v>#DIV/0!</v>
      </c>
      <c r="CH76" s="2020"/>
      <c r="CI76" s="2020"/>
      <c r="CJ76" s="2019" t="e">
        <f>CJ75/CJ5</f>
        <v>#DIV/0!</v>
      </c>
      <c r="CK76" s="2019" t="e">
        <f>CK75/CK5</f>
        <v>#DIV/0!</v>
      </c>
      <c r="CL76" s="2020" t="e">
        <f>CL75/CL5</f>
        <v>#DIV/0!</v>
      </c>
      <c r="CM76" s="2020"/>
      <c r="CN76" s="2020"/>
      <c r="CO76" s="2019">
        <f>CO75/CO5</f>
        <v>-0.41761282938390171</v>
      </c>
      <c r="CP76" s="2019" t="e">
        <f>CP75/CP5</f>
        <v>#DIV/0!</v>
      </c>
      <c r="CQ76" s="2020">
        <f>CQ75/CQ5</f>
        <v>-0.69577264567449848</v>
      </c>
      <c r="CR76" s="2020"/>
      <c r="CS76" s="2020"/>
      <c r="CT76" s="933"/>
    </row>
    <row r="77" spans="1:98" s="1411" customFormat="1" ht="14.4" thickBot="1" x14ac:dyDescent="0.3">
      <c r="A77" s="1581"/>
      <c r="B77" s="3738" t="s">
        <v>9</v>
      </c>
      <c r="C77" s="3739">
        <f>C78-C79</f>
        <v>-25802.896363068743</v>
      </c>
      <c r="D77" s="3739">
        <f>D78-D79</f>
        <v>0</v>
      </c>
      <c r="E77" s="2866">
        <f>E78-E79</f>
        <v>-25802.896363068743</v>
      </c>
      <c r="F77" s="2868"/>
      <c r="G77" s="2868"/>
      <c r="H77" s="3739">
        <f>H78-H79</f>
        <v>-6799.8990356696686</v>
      </c>
      <c r="I77" s="3739">
        <f>I78-I79</f>
        <v>0</v>
      </c>
      <c r="J77" s="2866">
        <f>J78-J79</f>
        <v>-6799.8990356696686</v>
      </c>
      <c r="K77" s="2868"/>
      <c r="L77" s="2868"/>
      <c r="M77" s="3739">
        <f>M78-M79</f>
        <v>-9717.9633740177651</v>
      </c>
      <c r="N77" s="3739">
        <f>N78-N79</f>
        <v>0</v>
      </c>
      <c r="O77" s="2866">
        <f>O78-O79</f>
        <v>-9717.9633740177651</v>
      </c>
      <c r="P77" s="2868"/>
      <c r="Q77" s="2868"/>
      <c r="R77" s="3739">
        <f>R78-R79</f>
        <v>-38998.955866981363</v>
      </c>
      <c r="S77" s="3739">
        <f>S78-S79</f>
        <v>0</v>
      </c>
      <c r="T77" s="2866">
        <f>T78-T79</f>
        <v>-38998.955866981363</v>
      </c>
      <c r="U77" s="2868"/>
      <c r="V77" s="2868"/>
      <c r="W77" s="3739">
        <v>-90276.642012080571</v>
      </c>
      <c r="X77" s="3739">
        <v>0</v>
      </c>
      <c r="Y77" s="2866">
        <v>-90276.642012080571</v>
      </c>
      <c r="Z77" s="2868"/>
      <c r="AA77" s="2868"/>
      <c r="AB77" s="3739">
        <f>AB78-AB79</f>
        <v>-18770.7408564215</v>
      </c>
      <c r="AC77" s="3739">
        <f>AC78-AC79</f>
        <v>0</v>
      </c>
      <c r="AD77" s="2866">
        <f>AD78-AD79</f>
        <v>-18770.7408564215</v>
      </c>
      <c r="AE77" s="2868"/>
      <c r="AF77" s="2868"/>
      <c r="AG77" s="3739">
        <f>AG78-AG79</f>
        <v>-520.17919075144516</v>
      </c>
      <c r="AH77" s="3739">
        <f>AH78-AH79</f>
        <v>0</v>
      </c>
      <c r="AI77" s="2866">
        <f>AI78-AI79</f>
        <v>-520.17919075144516</v>
      </c>
      <c r="AJ77" s="2868"/>
      <c r="AK77" s="2868"/>
      <c r="AL77" s="3739">
        <f>AL78-AL79</f>
        <v>-14826.559826589595</v>
      </c>
      <c r="AM77" s="3739">
        <f>AM78-AM79</f>
        <v>0</v>
      </c>
      <c r="AN77" s="2866">
        <f>AN78-AN79</f>
        <v>-14826.559826589595</v>
      </c>
      <c r="AO77" s="2868"/>
      <c r="AP77" s="2868"/>
      <c r="AQ77" s="3739">
        <f>AQ78-AQ79</f>
        <v>-3424.0018390804594</v>
      </c>
      <c r="AR77" s="3739">
        <f>AR78-AR79</f>
        <v>0</v>
      </c>
      <c r="AS77" s="2866">
        <f>AS78-AS79</f>
        <v>-3424.0018390804594</v>
      </c>
      <c r="AT77" s="2868"/>
      <c r="AU77" s="2868"/>
      <c r="AV77" s="3739">
        <f>AV78-AV79</f>
        <v>0</v>
      </c>
      <c r="AW77" s="3739">
        <f>AW78-AW79</f>
        <v>0</v>
      </c>
      <c r="AX77" s="2866">
        <f>AX78-AX79</f>
        <v>0</v>
      </c>
      <c r="AY77" s="2868"/>
      <c r="AZ77" s="2868"/>
      <c r="BA77" s="3739">
        <f>BA78-BA79</f>
        <v>0</v>
      </c>
      <c r="BB77" s="3739">
        <f>BB78-BB79</f>
        <v>0</v>
      </c>
      <c r="BC77" s="2866">
        <f>BC78-BC79</f>
        <v>0</v>
      </c>
      <c r="BD77" s="2868"/>
      <c r="BE77" s="2868"/>
      <c r="BF77" s="3739">
        <f>BF78-BF79</f>
        <v>0</v>
      </c>
      <c r="BG77" s="3739">
        <f>BG78-BG79</f>
        <v>0</v>
      </c>
      <c r="BH77" s="2866">
        <f>BH78-BH79</f>
        <v>0</v>
      </c>
      <c r="BI77" s="2868"/>
      <c r="BJ77" s="2868"/>
      <c r="BK77" s="3739">
        <f>BK78-BK79</f>
        <v>0</v>
      </c>
      <c r="BL77" s="3739">
        <f>BL78-BL79</f>
        <v>0</v>
      </c>
      <c r="BM77" s="2866">
        <f>BM78-BM79</f>
        <v>0</v>
      </c>
      <c r="BN77" s="2868"/>
      <c r="BO77" s="2868"/>
      <c r="BP77" s="3739">
        <f>BP78-BP79</f>
        <v>0</v>
      </c>
      <c r="BQ77" s="3739">
        <f>BQ78-BQ79</f>
        <v>0</v>
      </c>
      <c r="BR77" s="2866">
        <f>BR78-BR79</f>
        <v>0</v>
      </c>
      <c r="BS77" s="2868"/>
      <c r="BT77" s="2868"/>
      <c r="BU77" s="3739">
        <f>BU78-BU79</f>
        <v>0</v>
      </c>
      <c r="BV77" s="3739">
        <f>BV78-BV79</f>
        <v>0</v>
      </c>
      <c r="BW77" s="2866">
        <f>BW78-BW79</f>
        <v>0</v>
      </c>
      <c r="BX77" s="2868"/>
      <c r="BY77" s="2868"/>
      <c r="BZ77" s="3739">
        <f>BZ78-BZ79</f>
        <v>0</v>
      </c>
      <c r="CA77" s="3739">
        <f>CA78-CA79</f>
        <v>0</v>
      </c>
      <c r="CB77" s="2866">
        <f>CB78-CB79</f>
        <v>0</v>
      </c>
      <c r="CC77" s="2868"/>
      <c r="CD77" s="2868"/>
      <c r="CE77" s="3739">
        <f>CE78-CE79</f>
        <v>0</v>
      </c>
      <c r="CF77" s="3739">
        <f>CF78-CF79</f>
        <v>0</v>
      </c>
      <c r="CG77" s="2866">
        <f>CG78-CG79</f>
        <v>0</v>
      </c>
      <c r="CH77" s="2868"/>
      <c r="CI77" s="2868"/>
      <c r="CJ77" s="3739">
        <f>CJ78-CJ79</f>
        <v>0</v>
      </c>
      <c r="CK77" s="3739">
        <f>CK78-CK79</f>
        <v>0</v>
      </c>
      <c r="CL77" s="2866">
        <f>CL78-CL79</f>
        <v>0</v>
      </c>
      <c r="CM77" s="2868"/>
      <c r="CN77" s="2868"/>
      <c r="CO77" s="3739">
        <f>CO78-CO79</f>
        <v>-190367.09750823962</v>
      </c>
      <c r="CP77" s="3739">
        <f>CP78-CP79</f>
        <v>0</v>
      </c>
      <c r="CQ77" s="2866">
        <f>CQ78-CQ79</f>
        <v>-190367.09750823962</v>
      </c>
      <c r="CR77" s="2868"/>
      <c r="CS77" s="2868"/>
      <c r="CT77" s="933"/>
    </row>
    <row r="78" spans="1:98" s="1411" customFormat="1" ht="13.8" x14ac:dyDescent="0.25">
      <c r="A78" s="1420"/>
      <c r="B78" s="1415" t="s">
        <v>43</v>
      </c>
      <c r="C78" s="3274"/>
      <c r="D78" s="3274"/>
      <c r="E78" s="2028">
        <f>C78+D78*1.15</f>
        <v>0</v>
      </c>
      <c r="F78" s="3333"/>
      <c r="G78" s="3275"/>
      <c r="H78" s="3274"/>
      <c r="I78" s="3274"/>
      <c r="J78" s="2028">
        <f>H78+I78*1.15</f>
        <v>0</v>
      </c>
      <c r="K78" s="3333"/>
      <c r="L78" s="3275"/>
      <c r="M78" s="3274"/>
      <c r="N78" s="3274"/>
      <c r="O78" s="3274">
        <f>M78+N78</f>
        <v>0</v>
      </c>
      <c r="P78" s="3333"/>
      <c r="Q78" s="3333"/>
      <c r="R78" s="3274"/>
      <c r="S78" s="3274"/>
      <c r="T78" s="3274">
        <f>R78+S78</f>
        <v>0</v>
      </c>
      <c r="U78" s="3333"/>
      <c r="V78" s="3333"/>
      <c r="W78" s="3274">
        <v>0</v>
      </c>
      <c r="X78" s="3274">
        <v>0</v>
      </c>
      <c r="Y78" s="3274">
        <v>0</v>
      </c>
      <c r="Z78" s="3333"/>
      <c r="AA78" s="3333"/>
      <c r="AB78" s="3274">
        <f t="shared" ref="AB78:AC79" si="124">AG78+AL78+AQ78+AV78+BA78+BF78+BK78+BP78+BU78+BZ78+CE78+CJ78</f>
        <v>2772.87</v>
      </c>
      <c r="AC78" s="3274">
        <f t="shared" si="124"/>
        <v>0</v>
      </c>
      <c r="AD78" s="3274">
        <f>AB78+AC78</f>
        <v>2772.87</v>
      </c>
      <c r="AE78" s="3333"/>
      <c r="AF78" s="3333"/>
      <c r="AG78" s="3274"/>
      <c r="AH78" s="3274"/>
      <c r="AI78" s="3274">
        <f>AG78+AH78</f>
        <v>0</v>
      </c>
      <c r="AJ78" s="3333"/>
      <c r="AK78" s="3333"/>
      <c r="AL78" s="3274">
        <v>1973.26</v>
      </c>
      <c r="AM78" s="3274"/>
      <c r="AN78" s="3274">
        <f>AL78+AM78</f>
        <v>1973.26</v>
      </c>
      <c r="AO78" s="3333"/>
      <c r="AP78" s="3276" t="s">
        <v>2171</v>
      </c>
      <c r="AQ78" s="3274">
        <v>799.61</v>
      </c>
      <c r="AR78" s="3274"/>
      <c r="AS78" s="3332">
        <f>AQ78+AR78*1.15</f>
        <v>799.61</v>
      </c>
      <c r="AT78" s="3333"/>
      <c r="AU78" s="3333" t="s">
        <v>2200</v>
      </c>
      <c r="AV78" s="3274"/>
      <c r="AW78" s="3274"/>
      <c r="AX78" s="3366">
        <f>AV78+AW78*1.15</f>
        <v>0</v>
      </c>
      <c r="AY78" s="3333"/>
      <c r="AZ78" s="3276"/>
      <c r="BA78" s="3274"/>
      <c r="BB78" s="3274"/>
      <c r="BC78" s="3332">
        <f>BA78+BB78*1.15</f>
        <v>0</v>
      </c>
      <c r="BD78" s="3333"/>
      <c r="BE78" s="3333"/>
      <c r="BF78" s="3274"/>
      <c r="BG78" s="3274"/>
      <c r="BH78" s="3332">
        <f>BF78+BG78*1.15</f>
        <v>0</v>
      </c>
      <c r="BI78" s="3333"/>
      <c r="BJ78" s="3333"/>
      <c r="BK78" s="3274">
        <v>0</v>
      </c>
      <c r="BL78" s="3274"/>
      <c r="BM78" s="3332">
        <f>BK78+BL78*1.15</f>
        <v>0</v>
      </c>
      <c r="BN78" s="3333"/>
      <c r="BO78" s="3333"/>
      <c r="BP78" s="3274"/>
      <c r="BQ78" s="3274"/>
      <c r="BR78" s="3332">
        <f>BP78+BQ78*1.15</f>
        <v>0</v>
      </c>
      <c r="BS78" s="3333"/>
      <c r="BT78" s="3333"/>
      <c r="BU78" s="3274"/>
      <c r="BV78" s="3274"/>
      <c r="BW78" s="3332">
        <f>BU78+BV78*1.15</f>
        <v>0</v>
      </c>
      <c r="BX78" s="3333"/>
      <c r="BY78" s="3333"/>
      <c r="BZ78" s="3288"/>
      <c r="CA78" s="3274"/>
      <c r="CB78" s="3332">
        <f>BZ78+CA78*1.15</f>
        <v>0</v>
      </c>
      <c r="CC78" s="3333"/>
      <c r="CD78" s="3333"/>
      <c r="CE78" s="3288"/>
      <c r="CF78" s="3274"/>
      <c r="CG78" s="3332">
        <f>CE78+CF78*1.15</f>
        <v>0</v>
      </c>
      <c r="CH78" s="3333"/>
      <c r="CI78" s="3333"/>
      <c r="CJ78" s="3288"/>
      <c r="CK78" s="3274"/>
      <c r="CL78" s="3332">
        <f>CJ78+CK78*1.15</f>
        <v>0</v>
      </c>
      <c r="CM78" s="3333"/>
      <c r="CN78" s="3333"/>
      <c r="CO78" s="3274">
        <f t="shared" ref="CO78:CP79" si="125">C78+H78+M78+R78+AG78+AL78+AQ78+AV78+BA78+BF78+BK78+BP78+BU78+BZ78+CE78+CJ78+W78</f>
        <v>2772.87</v>
      </c>
      <c r="CP78" s="3274">
        <f t="shared" si="125"/>
        <v>0</v>
      </c>
      <c r="CQ78" s="3274">
        <f>CO78+CP78</f>
        <v>2772.87</v>
      </c>
      <c r="CR78" s="3333"/>
      <c r="CS78" s="3333"/>
      <c r="CT78" s="933"/>
    </row>
    <row r="79" spans="1:98" s="1411" customFormat="1" ht="13.8" x14ac:dyDescent="0.25">
      <c r="A79" s="1420"/>
      <c r="B79" s="3289" t="s">
        <v>79</v>
      </c>
      <c r="C79" s="3274">
        <f>(D8+D41+D50+D54)/(1-'расчет 2022'!I8)*'расчет 2022'!I8</f>
        <v>25802.896363068743</v>
      </c>
      <c r="D79" s="3274"/>
      <c r="E79" s="2028">
        <f>C79+D79</f>
        <v>25802.896363068743</v>
      </c>
      <c r="F79" s="3311"/>
      <c r="G79" s="3275"/>
      <c r="H79" s="3274">
        <f>(D8+D41+D50+D54)/(1-'расчет 2022'!I9)*'расчет 2022'!I9</f>
        <v>6799.8990356696686</v>
      </c>
      <c r="I79" s="3274"/>
      <c r="J79" s="2028">
        <f>H79+I79*1.15</f>
        <v>6799.8990356696686</v>
      </c>
      <c r="K79" s="3311"/>
      <c r="L79" s="3275"/>
      <c r="M79" s="3274">
        <f>(N8+N41+N50+N54)/(1-'расчет 2022'!I9)*'расчет 2022'!I9</f>
        <v>9717.9633740177651</v>
      </c>
      <c r="N79" s="3274"/>
      <c r="O79" s="3274">
        <f>M79+N79</f>
        <v>9717.9633740177651</v>
      </c>
      <c r="P79" s="3311"/>
      <c r="Q79" s="3419"/>
      <c r="R79" s="3274">
        <f>(S8+S41+S50+S54)/(1-'расчет 2022'!I11)*'расчет 2022'!I11</f>
        <v>38998.955866981363</v>
      </c>
      <c r="S79" s="3274"/>
      <c r="T79" s="3274">
        <f>R79+S79</f>
        <v>38998.955866981363</v>
      </c>
      <c r="U79" s="3311"/>
      <c r="V79" s="3276"/>
      <c r="W79" s="3274">
        <v>90276.642012080571</v>
      </c>
      <c r="X79" s="3274">
        <v>0</v>
      </c>
      <c r="Y79" s="3274">
        <v>90276.642012080571</v>
      </c>
      <c r="Z79" s="3311"/>
      <c r="AA79" s="3276"/>
      <c r="AB79" s="3283">
        <f t="shared" si="124"/>
        <v>21543.610856421499</v>
      </c>
      <c r="AC79" s="3283">
        <f t="shared" si="124"/>
        <v>0</v>
      </c>
      <c r="AD79" s="3283">
        <f>AB79+AC79</f>
        <v>21543.610856421499</v>
      </c>
      <c r="AE79" s="3311"/>
      <c r="AF79" s="3276"/>
      <c r="AG79" s="3274">
        <f>(AH8+AH41+AH50+AH54)/(1-'расчет 2022'!$I$24)*'расчет 2022'!$I$24</f>
        <v>520.17919075144516</v>
      </c>
      <c r="AH79" s="3274"/>
      <c r="AI79" s="3274">
        <f>AG79+AH79</f>
        <v>520.17919075144516</v>
      </c>
      <c r="AJ79" s="3311"/>
      <c r="AK79" s="3276"/>
      <c r="AL79" s="2059">
        <f>(AM8+AM41+AM50+AM54)/(1-'расчет 2022'!$I$25)*'расчет 2022'!$I$25</f>
        <v>16799.819826589595</v>
      </c>
      <c r="AM79" s="3274"/>
      <c r="AN79" s="3274">
        <f>AL79+AM79</f>
        <v>16799.819826589595</v>
      </c>
      <c r="AO79" s="3311"/>
      <c r="AP79" s="3276"/>
      <c r="AQ79" s="2059">
        <f>(AR8+AR41+AR50+AR54)/(1-'расчет 2022'!$I$26)*'расчет 2022'!$I$26</f>
        <v>4223.6118390804595</v>
      </c>
      <c r="AR79" s="3274"/>
      <c r="AS79" s="3274">
        <f>AQ79+AR79*1.15</f>
        <v>4223.6118390804595</v>
      </c>
      <c r="AT79" s="3311"/>
      <c r="AU79" s="3276"/>
      <c r="AV79" s="3274">
        <f>(AW8+AW41+AW50+AW54)/(1-'расчет 2022'!I15)*'расчет 2022'!I15</f>
        <v>0</v>
      </c>
      <c r="AW79" s="3274"/>
      <c r="AX79" s="3367">
        <f>AV79+AW79*1.15</f>
        <v>0</v>
      </c>
      <c r="AY79" s="3311"/>
      <c r="AZ79" s="3276"/>
      <c r="BA79" s="3274">
        <f>(BB8+BB41+BB50+BB54)/(1-'расчет 2022'!I15)*'расчет 2022'!I15</f>
        <v>0</v>
      </c>
      <c r="BB79" s="3274"/>
      <c r="BC79" s="3274">
        <f>BA79+BB79*1.15</f>
        <v>0</v>
      </c>
      <c r="BD79" s="3311"/>
      <c r="BE79" s="3276"/>
      <c r="BF79" s="3274"/>
      <c r="BG79" s="3274"/>
      <c r="BH79" s="3274">
        <f>BF79+BG79*1.15</f>
        <v>0</v>
      </c>
      <c r="BI79" s="3311"/>
      <c r="BJ79" s="3276"/>
      <c r="BK79" s="3274"/>
      <c r="BL79" s="3274"/>
      <c r="BM79" s="3274">
        <f>BK79+BL79*1.15</f>
        <v>0</v>
      </c>
      <c r="BN79" s="3311"/>
      <c r="BO79" s="3276"/>
      <c r="BP79" s="3274">
        <f>(BQ8+BQ41+BQ50+BQ54)/(1-'расчет 2022'!I19)*'расчет 2022'!I19</f>
        <v>0</v>
      </c>
      <c r="BQ79" s="3274"/>
      <c r="BR79" s="3274">
        <f>BP79+BQ79*1.15</f>
        <v>0</v>
      </c>
      <c r="BS79" s="3311"/>
      <c r="BT79" s="3276"/>
      <c r="BU79" s="3274">
        <f>(BV8+BV41+BV50+BV54)/(1-'расчет 2022'!I19)*'расчет 2022'!I19</f>
        <v>0</v>
      </c>
      <c r="BV79" s="3274"/>
      <c r="BW79" s="3274">
        <f>BU79+BV79*1.15</f>
        <v>0</v>
      </c>
      <c r="BX79" s="3311"/>
      <c r="BY79" s="3276"/>
      <c r="BZ79" s="3274">
        <f>(CA8+CA41+CA50+CA54)/(1-'расчет 2022'!I21)*'расчет 2022'!I21</f>
        <v>0</v>
      </c>
      <c r="CA79" s="3274"/>
      <c r="CB79" s="3274">
        <f>BZ79+CA79*1.15</f>
        <v>0</v>
      </c>
      <c r="CC79" s="3311"/>
      <c r="CD79" s="3276"/>
      <c r="CE79" s="3274">
        <f>(CF8+CF41+CF50+CF54)/(1-'расчет 2022'!$I$23)*'расчет 2022'!$I$23</f>
        <v>0</v>
      </c>
      <c r="CF79" s="3274"/>
      <c r="CG79" s="3274">
        <f>CE79+CF79*1.15</f>
        <v>0</v>
      </c>
      <c r="CH79" s="3311"/>
      <c r="CI79" s="3276"/>
      <c r="CJ79" s="3274">
        <f>(CK8+CK41+CK50+CK54)/(1-'расчет 2022'!$I$23)*'расчет 2022'!$I$23</f>
        <v>0</v>
      </c>
      <c r="CK79" s="3274"/>
      <c r="CL79" s="3274">
        <f>CJ79+CK79*1.15</f>
        <v>0</v>
      </c>
      <c r="CM79" s="3311"/>
      <c r="CN79" s="3276"/>
      <c r="CO79" s="3274">
        <f t="shared" si="125"/>
        <v>193139.96750823961</v>
      </c>
      <c r="CP79" s="3274">
        <f t="shared" si="125"/>
        <v>0</v>
      </c>
      <c r="CQ79" s="2028">
        <f t="shared" ref="CQ79" si="126">CO79+CP79*1</f>
        <v>193139.96750823961</v>
      </c>
      <c r="CR79" s="3311"/>
      <c r="CS79" s="3311"/>
      <c r="CT79" s="933"/>
    </row>
    <row r="80" spans="1:98" ht="13.8" x14ac:dyDescent="0.25">
      <c r="A80" s="1412"/>
      <c r="B80" s="3335"/>
      <c r="C80" s="3274"/>
      <c r="D80" s="3274"/>
      <c r="E80" s="3336"/>
      <c r="F80" s="3336"/>
      <c r="G80" s="3336"/>
      <c r="H80" s="3274"/>
      <c r="I80" s="3274"/>
      <c r="J80" s="3336"/>
      <c r="K80" s="3336"/>
      <c r="L80" s="3336"/>
      <c r="M80" s="3274"/>
      <c r="N80" s="3274"/>
      <c r="O80" s="3336"/>
      <c r="P80" s="3336"/>
      <c r="Q80" s="3336"/>
      <c r="R80" s="3274"/>
      <c r="S80" s="3274"/>
      <c r="T80" s="3336"/>
      <c r="U80" s="3336"/>
      <c r="V80" s="3336"/>
      <c r="W80" s="3274"/>
      <c r="X80" s="3274"/>
      <c r="Y80" s="3336"/>
      <c r="Z80" s="3336"/>
      <c r="AA80" s="3336"/>
      <c r="AB80" s="3274"/>
      <c r="AC80" s="3274"/>
      <c r="AD80" s="3336"/>
      <c r="AE80" s="3336"/>
      <c r="AF80" s="3336"/>
      <c r="AG80" s="3274"/>
      <c r="AH80" s="3274"/>
      <c r="AI80" s="3336"/>
      <c r="AJ80" s="3336"/>
      <c r="AK80" s="3336"/>
      <c r="AL80" s="3274"/>
      <c r="AM80" s="3274"/>
      <c r="AN80" s="3336"/>
      <c r="AO80" s="3336"/>
      <c r="AP80" s="3336"/>
      <c r="AQ80" s="3274"/>
      <c r="AR80" s="3274"/>
      <c r="AS80" s="3336"/>
      <c r="AT80" s="3336"/>
      <c r="AU80" s="3336"/>
      <c r="AV80" s="3274"/>
      <c r="AW80" s="3274"/>
      <c r="AX80" s="3336"/>
      <c r="AY80" s="3336"/>
      <c r="AZ80" s="3336"/>
      <c r="BA80" s="3274"/>
      <c r="BB80" s="3274"/>
      <c r="BC80" s="3336"/>
      <c r="BD80" s="3336"/>
      <c r="BE80" s="3336"/>
      <c r="BF80" s="3274"/>
      <c r="BG80" s="3274"/>
      <c r="BH80" s="3336"/>
      <c r="BI80" s="3336"/>
      <c r="BJ80" s="3336"/>
      <c r="BK80" s="3274"/>
      <c r="BL80" s="3274"/>
      <c r="BM80" s="3336"/>
      <c r="BN80" s="3336"/>
      <c r="BO80" s="3336"/>
      <c r="BP80" s="3274"/>
      <c r="BQ80" s="3274"/>
      <c r="BR80" s="3336"/>
      <c r="BS80" s="3336"/>
      <c r="BT80" s="3336"/>
      <c r="BU80" s="3274"/>
      <c r="BV80" s="3274"/>
      <c r="BW80" s="3336"/>
      <c r="BX80" s="3336"/>
      <c r="BY80" s="3336"/>
      <c r="BZ80" s="3288"/>
      <c r="CA80" s="3274"/>
      <c r="CB80" s="3336"/>
      <c r="CC80" s="3336"/>
      <c r="CD80" s="3336"/>
      <c r="CE80" s="3288"/>
      <c r="CF80" s="3274"/>
      <c r="CG80" s="3336"/>
      <c r="CH80" s="3336"/>
      <c r="CI80" s="3336"/>
      <c r="CJ80" s="3288"/>
      <c r="CK80" s="3274"/>
      <c r="CL80" s="3336"/>
      <c r="CM80" s="3336"/>
      <c r="CN80" s="3336"/>
      <c r="CO80" s="3349"/>
      <c r="CP80" s="3349"/>
      <c r="CQ80" s="3420"/>
      <c r="CR80" s="3336"/>
      <c r="CS80" s="3336"/>
      <c r="CT80" s="933"/>
    </row>
    <row r="81" spans="1:98" s="1411" customFormat="1" ht="14.4" thickBot="1" x14ac:dyDescent="0.3">
      <c r="A81" s="1434"/>
      <c r="B81" s="3738" t="s">
        <v>12</v>
      </c>
      <c r="C81" s="3739">
        <f>(C75+C78)-C79</f>
        <v>-150359.93636306873</v>
      </c>
      <c r="D81" s="3739">
        <f>(D75+D78)-D79</f>
        <v>-158503.48000000001</v>
      </c>
      <c r="E81" s="2866">
        <f>(E75+E78)-E79</f>
        <v>-308863.41636306868</v>
      </c>
      <c r="F81" s="2868"/>
      <c r="G81" s="2868"/>
      <c r="H81" s="3739">
        <f>(H75+H78)-H79</f>
        <v>-255874.04903566965</v>
      </c>
      <c r="I81" s="3739">
        <f>(I75+I78)-I79</f>
        <v>-239965.22999999998</v>
      </c>
      <c r="J81" s="2866">
        <f>(J75+J78)-J79</f>
        <v>-495839.27903566969</v>
      </c>
      <c r="K81" s="2868"/>
      <c r="L81" s="2868"/>
      <c r="M81" s="3739">
        <f>(M75+M78)-M79</f>
        <v>39041.716625982401</v>
      </c>
      <c r="N81" s="3739">
        <f>(N75+N78)-N79</f>
        <v>-226522.63</v>
      </c>
      <c r="O81" s="2866">
        <f>(O75+O78)-O79</f>
        <v>-187480.9133740176</v>
      </c>
      <c r="P81" s="2868"/>
      <c r="Q81" s="2868"/>
      <c r="R81" s="3739">
        <f>(R75+R78)-R79</f>
        <v>-1939329.9458669815</v>
      </c>
      <c r="S81" s="3739">
        <f>(S75+S78)-S79</f>
        <v>-295770.89</v>
      </c>
      <c r="T81" s="2866">
        <f>(T75+T78)-T79</f>
        <v>-2235100.8358669817</v>
      </c>
      <c r="U81" s="2868"/>
      <c r="V81" s="2868"/>
      <c r="W81" s="3739">
        <v>-496359.91901208047</v>
      </c>
      <c r="X81" s="3739">
        <v>-736356.52</v>
      </c>
      <c r="Y81" s="2866">
        <v>-1232716.4390120807</v>
      </c>
      <c r="Z81" s="2868"/>
      <c r="AA81" s="2868"/>
      <c r="AB81" s="3739">
        <f>(AB75+AB78)-AB79</f>
        <v>-84435.606856421495</v>
      </c>
      <c r="AC81" s="3739">
        <f>(AC75+AC78)-AC79</f>
        <v>-139242</v>
      </c>
      <c r="AD81" s="2866">
        <f>(AD75+AD78)-AD79</f>
        <v>-223677.60685642148</v>
      </c>
      <c r="AE81" s="2868"/>
      <c r="AF81" s="2868"/>
      <c r="AG81" s="3739">
        <f>(AG75+AG78)-AG79</f>
        <v>-22469.474190751444</v>
      </c>
      <c r="AH81" s="3739">
        <f>(AH75+AH78)-AH79</f>
        <v>-3333</v>
      </c>
      <c r="AI81" s="2866">
        <f>(AI75+AI78)-AI79</f>
        <v>-25802.474190751444</v>
      </c>
      <c r="AJ81" s="2868"/>
      <c r="AK81" s="2868"/>
      <c r="AL81" s="3739">
        <f>(AL75+AL78)-AL79</f>
        <v>-34245.600826589594</v>
      </c>
      <c r="AM81" s="3739">
        <f>(AM75+AM78)-AM79</f>
        <v>-107643.29000000001</v>
      </c>
      <c r="AN81" s="2866">
        <f>(AN75+AN78)-AN79</f>
        <v>-141888.8908265896</v>
      </c>
      <c r="AO81" s="2868"/>
      <c r="AP81" s="2868"/>
      <c r="AQ81" s="3739">
        <f>(AQ75+AQ78)-AQ79</f>
        <v>-27720.531839080457</v>
      </c>
      <c r="AR81" s="3739">
        <f>(AR75+AR78)-AR79</f>
        <v>-28265.71</v>
      </c>
      <c r="AS81" s="2866">
        <f>(AS75+AS78)-AS79</f>
        <v>-55986.241839080467</v>
      </c>
      <c r="AT81" s="2868"/>
      <c r="AU81" s="2868"/>
      <c r="AV81" s="3739">
        <f>(AV75+AV78)-AV79</f>
        <v>0</v>
      </c>
      <c r="AW81" s="3739">
        <f>(AW75+AW78)-AW79</f>
        <v>0</v>
      </c>
      <c r="AX81" s="2866">
        <f>(AX75+AX78)-AX79</f>
        <v>0</v>
      </c>
      <c r="AY81" s="2868"/>
      <c r="AZ81" s="2868"/>
      <c r="BA81" s="3739">
        <f>(BA75+BA78)-BA79</f>
        <v>0</v>
      </c>
      <c r="BB81" s="3739">
        <f>(BB75+BB78)-BB79</f>
        <v>0</v>
      </c>
      <c r="BC81" s="2866">
        <f>(BC75+BC78)-BC79</f>
        <v>0</v>
      </c>
      <c r="BD81" s="2868"/>
      <c r="BE81" s="2868"/>
      <c r="BF81" s="3739">
        <f>(BF75+BF78)-BF79</f>
        <v>0</v>
      </c>
      <c r="BG81" s="3739">
        <f>(BG75+BG78)-BG79</f>
        <v>0</v>
      </c>
      <c r="BH81" s="2866">
        <f>(BH75+BH78)-BH79</f>
        <v>0</v>
      </c>
      <c r="BI81" s="2868"/>
      <c r="BJ81" s="2868"/>
      <c r="BK81" s="3739">
        <f>(BK75+BK78)-BK79</f>
        <v>0</v>
      </c>
      <c r="BL81" s="3739">
        <f>(BL75+BL78)-BL79</f>
        <v>0</v>
      </c>
      <c r="BM81" s="2866">
        <f>(BM75+BM78)-BM79</f>
        <v>0</v>
      </c>
      <c r="BN81" s="2868"/>
      <c r="BO81" s="2868"/>
      <c r="BP81" s="3739">
        <f>(BP75+BP78)-BP79</f>
        <v>0</v>
      </c>
      <c r="BQ81" s="3739">
        <f>(BQ75+BQ78)-BQ79</f>
        <v>0</v>
      </c>
      <c r="BR81" s="2866">
        <f>(BR75+BR78)-BR79</f>
        <v>0</v>
      </c>
      <c r="BS81" s="2868"/>
      <c r="BT81" s="2868"/>
      <c r="BU81" s="3739">
        <f>(BU75+BU78)-BU79</f>
        <v>0</v>
      </c>
      <c r="BV81" s="3739">
        <f>(BV75+BV78)-BV79</f>
        <v>0</v>
      </c>
      <c r="BW81" s="2866">
        <f>(BW75+BW78)-BW79</f>
        <v>0</v>
      </c>
      <c r="BX81" s="2868"/>
      <c r="BY81" s="2868"/>
      <c r="BZ81" s="3739">
        <f>(BZ75+BZ78)-BZ79</f>
        <v>0</v>
      </c>
      <c r="CA81" s="3739">
        <f>(CA75+CA78)-CA79</f>
        <v>0</v>
      </c>
      <c r="CB81" s="2866">
        <f>(CB75+CB78)-CB79</f>
        <v>0</v>
      </c>
      <c r="CC81" s="2868"/>
      <c r="CD81" s="2868"/>
      <c r="CE81" s="3739">
        <f>(CE75+CE78)-CE79</f>
        <v>0</v>
      </c>
      <c r="CF81" s="3739">
        <f>(CF75+CF78)-CF79</f>
        <v>0</v>
      </c>
      <c r="CG81" s="2866">
        <f>(CG75+CG78)-CG79</f>
        <v>0</v>
      </c>
      <c r="CH81" s="2868"/>
      <c r="CI81" s="2868"/>
      <c r="CJ81" s="3739">
        <f>(CJ75+CJ78)-CJ79</f>
        <v>0</v>
      </c>
      <c r="CK81" s="3739">
        <f>(CK75+CK78)-CK79</f>
        <v>0</v>
      </c>
      <c r="CL81" s="2866">
        <f>(CL75+CL78)-CL79</f>
        <v>0</v>
      </c>
      <c r="CM81" s="2868"/>
      <c r="CN81" s="2868"/>
      <c r="CO81" s="3739">
        <f>(CO75+CO78)-CO79</f>
        <v>-2887317.7405082406</v>
      </c>
      <c r="CP81" s="3739">
        <f>(CP75+CP78)-CP79</f>
        <v>-1796360.7499999998</v>
      </c>
      <c r="CQ81" s="2866">
        <f>(CQ75+CQ78)-CQ79</f>
        <v>-4683678.4905082397</v>
      </c>
      <c r="CR81" s="2868"/>
      <c r="CS81" s="2868"/>
      <c r="CT81" s="933"/>
    </row>
    <row r="82" spans="1:98" s="1411" customFormat="1" ht="13.8" x14ac:dyDescent="0.25">
      <c r="A82" s="1580"/>
      <c r="B82" s="1415" t="s">
        <v>38</v>
      </c>
      <c r="C82" s="3274"/>
      <c r="D82" s="3274"/>
      <c r="E82" s="3332">
        <f>C82+D82</f>
        <v>0</v>
      </c>
      <c r="F82" s="3321"/>
      <c r="G82" s="3321"/>
      <c r="H82" s="3274"/>
      <c r="I82" s="3274"/>
      <c r="J82" s="3332">
        <f>H82+I82</f>
        <v>0</v>
      </c>
      <c r="K82" s="3321"/>
      <c r="L82" s="3321"/>
      <c r="M82" s="3274"/>
      <c r="N82" s="3274"/>
      <c r="O82" s="3332">
        <f>M82+N82</f>
        <v>0</v>
      </c>
      <c r="P82" s="3321"/>
      <c r="Q82" s="3321"/>
      <c r="R82" s="3274"/>
      <c r="S82" s="3274"/>
      <c r="T82" s="3332">
        <f>R82+S82</f>
        <v>0</v>
      </c>
      <c r="U82" s="3321"/>
      <c r="V82" s="3321"/>
      <c r="W82" s="3274"/>
      <c r="X82" s="3274"/>
      <c r="Y82" s="3332">
        <v>0</v>
      </c>
      <c r="Z82" s="3321"/>
      <c r="AA82" s="3321"/>
      <c r="AB82" s="3274"/>
      <c r="AC82" s="3274"/>
      <c r="AD82" s="3332">
        <f>AB82+AC82</f>
        <v>0</v>
      </c>
      <c r="AE82" s="3321"/>
      <c r="AF82" s="3321"/>
      <c r="AG82" s="3274"/>
      <c r="AH82" s="3274"/>
      <c r="AI82" s="3332">
        <f>AG82+AH82</f>
        <v>0</v>
      </c>
      <c r="AJ82" s="3321"/>
      <c r="AK82" s="3321"/>
      <c r="AL82" s="3274"/>
      <c r="AM82" s="3274"/>
      <c r="AN82" s="3332">
        <f>AL82+AM82</f>
        <v>0</v>
      </c>
      <c r="AO82" s="3321"/>
      <c r="AP82" s="3321"/>
      <c r="AQ82" s="3274"/>
      <c r="AR82" s="3274"/>
      <c r="AS82" s="3332">
        <f>AQ82+AR82</f>
        <v>0</v>
      </c>
      <c r="AT82" s="3321"/>
      <c r="AU82" s="3321"/>
      <c r="AV82" s="3274"/>
      <c r="AW82" s="3274"/>
      <c r="AX82" s="3332">
        <f>AV82+AW82</f>
        <v>0</v>
      </c>
      <c r="AY82" s="3321"/>
      <c r="AZ82" s="3321"/>
      <c r="BA82" s="3274"/>
      <c r="BB82" s="3274"/>
      <c r="BC82" s="3332">
        <f>BA82+BB82</f>
        <v>0</v>
      </c>
      <c r="BD82" s="3321"/>
      <c r="BE82" s="3321"/>
      <c r="BF82" s="3274"/>
      <c r="BG82" s="3274"/>
      <c r="BH82" s="3332">
        <f>BF82+BG82</f>
        <v>0</v>
      </c>
      <c r="BI82" s="3321"/>
      <c r="BJ82" s="3321"/>
      <c r="BK82" s="3274"/>
      <c r="BL82" s="3274"/>
      <c r="BM82" s="3332">
        <f>BK82+BL82</f>
        <v>0</v>
      </c>
      <c r="BN82" s="3321"/>
      <c r="BO82" s="3321"/>
      <c r="BP82" s="3274"/>
      <c r="BQ82" s="3274"/>
      <c r="BR82" s="3332">
        <f>BP82+BQ82</f>
        <v>0</v>
      </c>
      <c r="BS82" s="3321"/>
      <c r="BT82" s="3321"/>
      <c r="BU82" s="3274"/>
      <c r="BV82" s="3274"/>
      <c r="BW82" s="3332">
        <f>BU82+BV82</f>
        <v>0</v>
      </c>
      <c r="BX82" s="3321"/>
      <c r="BY82" s="3321"/>
      <c r="BZ82" s="3288"/>
      <c r="CA82" s="3274"/>
      <c r="CB82" s="3332">
        <f>BZ82+CA82</f>
        <v>0</v>
      </c>
      <c r="CC82" s="3321"/>
      <c r="CD82" s="3321"/>
      <c r="CE82" s="3288"/>
      <c r="CF82" s="3274"/>
      <c r="CG82" s="3332">
        <f>CE82+CF82</f>
        <v>0</v>
      </c>
      <c r="CH82" s="3321"/>
      <c r="CI82" s="3321"/>
      <c r="CJ82" s="3288"/>
      <c r="CK82" s="3274"/>
      <c r="CL82" s="3332">
        <f>CJ82+CK82</f>
        <v>0</v>
      </c>
      <c r="CM82" s="3321"/>
      <c r="CN82" s="3321"/>
      <c r="CO82" s="3274">
        <f t="shared" ref="CO82:CP82" si="127">C82+H82+M82+R82+AG82+AL82+AQ82+AV82+BA82+BF82+BK82+BP82+BU82+BZ82+CE82+CJ82+W82</f>
        <v>0</v>
      </c>
      <c r="CP82" s="3274">
        <f t="shared" si="127"/>
        <v>0</v>
      </c>
      <c r="CQ82" s="3332">
        <f>CO82+CP82</f>
        <v>0</v>
      </c>
      <c r="CR82" s="3321"/>
      <c r="CS82" s="3321"/>
      <c r="CT82" s="933"/>
    </row>
    <row r="83" spans="1:98" s="1411" customFormat="1" ht="14.4" thickBot="1" x14ac:dyDescent="0.3">
      <c r="A83" s="1420"/>
      <c r="B83" s="3337" t="s">
        <v>13</v>
      </c>
      <c r="C83" s="3338">
        <f>C81-C36</f>
        <v>-150359.93636306873</v>
      </c>
      <c r="D83" s="3338">
        <f>D81-D36</f>
        <v>-158503.48000000001</v>
      </c>
      <c r="E83" s="3338">
        <f>E81-E36</f>
        <v>-308863.41636306868</v>
      </c>
      <c r="F83" s="3340"/>
      <c r="G83" s="3340"/>
      <c r="H83" s="3338">
        <f>H81-H36</f>
        <v>-279483.04903566965</v>
      </c>
      <c r="I83" s="3338">
        <f>I81-I36</f>
        <v>-239965.22999999998</v>
      </c>
      <c r="J83" s="3338">
        <f>J81-J36</f>
        <v>-519448.27903566969</v>
      </c>
      <c r="K83" s="3340"/>
      <c r="L83" s="3340"/>
      <c r="M83" s="3338">
        <f>M81-M36</f>
        <v>39041.716625982401</v>
      </c>
      <c r="N83" s="3338">
        <f>N81-N36</f>
        <v>-226522.63</v>
      </c>
      <c r="O83" s="3338">
        <f>O81-O36</f>
        <v>-187480.9133740176</v>
      </c>
      <c r="P83" s="3340"/>
      <c r="Q83" s="3340"/>
      <c r="R83" s="3338">
        <f>R81-R36</f>
        <v>-1939329.9458669815</v>
      </c>
      <c r="S83" s="3338">
        <f>S81-S36</f>
        <v>-295770.89</v>
      </c>
      <c r="T83" s="3338">
        <f>T81-T36</f>
        <v>-2235100.8358669817</v>
      </c>
      <c r="U83" s="3340"/>
      <c r="V83" s="3340"/>
      <c r="W83" s="3338">
        <v>-496359.91901208047</v>
      </c>
      <c r="X83" s="3338">
        <v>-736356.52</v>
      </c>
      <c r="Y83" s="3338">
        <v>-1232716.4390120807</v>
      </c>
      <c r="Z83" s="3340"/>
      <c r="AA83" s="3340"/>
      <c r="AB83" s="3338">
        <f>AB81-AB36</f>
        <v>-84435.606856421495</v>
      </c>
      <c r="AC83" s="3338">
        <f>AC81-AC36</f>
        <v>-139242</v>
      </c>
      <c r="AD83" s="3338">
        <f>AD81-AD36</f>
        <v>-223677.60685642148</v>
      </c>
      <c r="AE83" s="3340"/>
      <c r="AF83" s="3340"/>
      <c r="AG83" s="3338">
        <f>AG81-AG36</f>
        <v>-22469.474190751444</v>
      </c>
      <c r="AH83" s="3338">
        <f>AH81-AH36</f>
        <v>-3333</v>
      </c>
      <c r="AI83" s="3338">
        <f>AI81-AI36</f>
        <v>-25802.474190751444</v>
      </c>
      <c r="AJ83" s="3340"/>
      <c r="AK83" s="3340"/>
      <c r="AL83" s="3338">
        <f>AL81-AL36</f>
        <v>-34245.600826589594</v>
      </c>
      <c r="AM83" s="3338">
        <f>AM81-AM36</f>
        <v>-107643.29000000001</v>
      </c>
      <c r="AN83" s="3338">
        <f>AN81-AN36</f>
        <v>-141888.8908265896</v>
      </c>
      <c r="AO83" s="3340"/>
      <c r="AP83" s="3340"/>
      <c r="AQ83" s="3338">
        <f>AQ81-AQ36</f>
        <v>-27720.531839080457</v>
      </c>
      <c r="AR83" s="3338">
        <f>AR81-AR36</f>
        <v>-28265.71</v>
      </c>
      <c r="AS83" s="3338">
        <f>AS81-AS36</f>
        <v>-55986.241839080467</v>
      </c>
      <c r="AT83" s="3340"/>
      <c r="AU83" s="3340"/>
      <c r="AV83" s="3338">
        <f>(AV81+AV7)-AV36</f>
        <v>0</v>
      </c>
      <c r="AW83" s="3338">
        <f>(AW81+AW7)-AW36</f>
        <v>0</v>
      </c>
      <c r="AX83" s="3339">
        <f>(AX81)-AX36</f>
        <v>0</v>
      </c>
      <c r="AY83" s="3340"/>
      <c r="AZ83" s="3340"/>
      <c r="BA83" s="3338">
        <f>(BA81+BA7)-BA36</f>
        <v>0</v>
      </c>
      <c r="BB83" s="3338">
        <f>(BB81+BB7)-BB36</f>
        <v>0</v>
      </c>
      <c r="BC83" s="3339">
        <f>(BC81)-BC36</f>
        <v>0</v>
      </c>
      <c r="BD83" s="3340"/>
      <c r="BE83" s="3340"/>
      <c r="BF83" s="3338">
        <f>(BF81+BF7)-BF36</f>
        <v>0</v>
      </c>
      <c r="BG83" s="3338">
        <f>(BG81+BG7)-BG36</f>
        <v>0</v>
      </c>
      <c r="BH83" s="3339">
        <f>(BH81)-BH36</f>
        <v>0</v>
      </c>
      <c r="BI83" s="3340"/>
      <c r="BJ83" s="3340"/>
      <c r="BK83" s="3339">
        <f t="shared" ref="BK83:BL83" si="128">(BK81)-BK36</f>
        <v>0</v>
      </c>
      <c r="BL83" s="3339">
        <f t="shared" si="128"/>
        <v>0</v>
      </c>
      <c r="BM83" s="3339">
        <f>(BM81)-BM36</f>
        <v>0</v>
      </c>
      <c r="BN83" s="3340"/>
      <c r="BO83" s="3340"/>
      <c r="BP83" s="3339">
        <f t="shared" ref="BP83:BQ83" si="129">(BP81)-BP36</f>
        <v>0</v>
      </c>
      <c r="BQ83" s="3339">
        <f t="shared" si="129"/>
        <v>0</v>
      </c>
      <c r="BR83" s="3339">
        <f>(BR81)-BR36</f>
        <v>0</v>
      </c>
      <c r="BS83" s="3340"/>
      <c r="BT83" s="3340"/>
      <c r="BU83" s="3339">
        <f t="shared" ref="BU83:BV83" si="130">(BU81)-BU36</f>
        <v>0</v>
      </c>
      <c r="BV83" s="3339">
        <f t="shared" si="130"/>
        <v>0</v>
      </c>
      <c r="BW83" s="3339">
        <f>(BW81)-BW36</f>
        <v>0</v>
      </c>
      <c r="BX83" s="3340"/>
      <c r="BY83" s="3340"/>
      <c r="BZ83" s="3339">
        <f t="shared" ref="BZ83:CA83" si="131">(BZ81)-BZ36</f>
        <v>0</v>
      </c>
      <c r="CA83" s="3339">
        <f t="shared" si="131"/>
        <v>0</v>
      </c>
      <c r="CB83" s="3339">
        <f>(CB81)-CB36</f>
        <v>0</v>
      </c>
      <c r="CC83" s="3340"/>
      <c r="CD83" s="3340"/>
      <c r="CE83" s="3339">
        <f>(CE81)-CE36</f>
        <v>0</v>
      </c>
      <c r="CF83" s="3339">
        <f>(CF81)-CF36</f>
        <v>0</v>
      </c>
      <c r="CG83" s="3339">
        <f>(CG81)-CG36</f>
        <v>0</v>
      </c>
      <c r="CH83" s="3340"/>
      <c r="CI83" s="3340"/>
      <c r="CJ83" s="3339">
        <f t="shared" ref="CJ83:CK83" si="132">(CJ81)-CJ36</f>
        <v>0</v>
      </c>
      <c r="CK83" s="3339">
        <f t="shared" si="132"/>
        <v>0</v>
      </c>
      <c r="CL83" s="3339">
        <f>(CL81)-CL36</f>
        <v>0</v>
      </c>
      <c r="CM83" s="3340"/>
      <c r="CN83" s="3340"/>
      <c r="CO83" s="3338">
        <f>CO81-CO36</f>
        <v>-2910926.7405082406</v>
      </c>
      <c r="CP83" s="3338">
        <f>CP81-CP36</f>
        <v>-1796360.7499999998</v>
      </c>
      <c r="CQ83" s="3339">
        <f>(CQ81)-CQ36</f>
        <v>-4707287.4905082397</v>
      </c>
      <c r="CR83" s="3340"/>
      <c r="CS83" s="3340"/>
      <c r="CT83" s="933"/>
    </row>
    <row r="84" spans="1:98" s="1411" customFormat="1" ht="14.4" thickBot="1" x14ac:dyDescent="0.3">
      <c r="A84" s="1420"/>
      <c r="B84" s="3368" t="s">
        <v>14</v>
      </c>
      <c r="C84" s="3344">
        <f>C83-C73-C82</f>
        <v>-216750.09636306873</v>
      </c>
      <c r="D84" s="3344">
        <f>D83-D73-D82</f>
        <v>-158503.48000000001</v>
      </c>
      <c r="E84" s="3344">
        <f>E83-E73-E82</f>
        <v>-375253.57636306866</v>
      </c>
      <c r="F84" s="3345"/>
      <c r="G84" s="3345"/>
      <c r="H84" s="2873">
        <f>H83-H73-H82</f>
        <v>-304399.29903566965</v>
      </c>
      <c r="I84" s="2873">
        <f>I83-I73-I82</f>
        <v>-239965.22999999998</v>
      </c>
      <c r="J84" s="2873">
        <f>J83-J73-J82</f>
        <v>-544364.52903566975</v>
      </c>
      <c r="K84" s="3345"/>
      <c r="L84" s="3345"/>
      <c r="M84" s="3344">
        <f>M83-M73-M82</f>
        <v>-75713.383374017605</v>
      </c>
      <c r="N84" s="3344">
        <f>N83-N73-N82</f>
        <v>-226522.63</v>
      </c>
      <c r="O84" s="3344">
        <f>O83-O73-O82</f>
        <v>-302236.01337401761</v>
      </c>
      <c r="P84" s="3345"/>
      <c r="Q84" s="3345"/>
      <c r="R84" s="3344">
        <f>R83-R73-R82</f>
        <v>-1993718.0458669816</v>
      </c>
      <c r="S84" s="3344">
        <f>S83-S73-S82</f>
        <v>-295770.89</v>
      </c>
      <c r="T84" s="3344">
        <f>T83-T73-T82</f>
        <v>-2289488.9358669817</v>
      </c>
      <c r="U84" s="3345"/>
      <c r="V84" s="3345"/>
      <c r="W84" s="3344">
        <v>-496359.91901208047</v>
      </c>
      <c r="X84" s="3344">
        <v>-736356.52</v>
      </c>
      <c r="Y84" s="3344">
        <v>-1232716.4390120807</v>
      </c>
      <c r="Z84" s="3345"/>
      <c r="AA84" s="3345"/>
      <c r="AB84" s="2873">
        <f>AB83-AB73-AB82</f>
        <v>-84435.606856421495</v>
      </c>
      <c r="AC84" s="2873">
        <f>AC83-AC73-AC82</f>
        <v>-139242</v>
      </c>
      <c r="AD84" s="3344">
        <f>AD83-AD73-AD82</f>
        <v>-223677.60685642148</v>
      </c>
      <c r="AE84" s="3345"/>
      <c r="AF84" s="3345"/>
      <c r="AG84" s="3344">
        <f>AG83-AG73-AG82</f>
        <v>-22469.474190751444</v>
      </c>
      <c r="AH84" s="3344">
        <f>AH83-AH73-AH82</f>
        <v>-3333</v>
      </c>
      <c r="AI84" s="3344">
        <f>AI83-AI73-AI82</f>
        <v>-25802.474190751444</v>
      </c>
      <c r="AJ84" s="3345"/>
      <c r="AK84" s="3345"/>
      <c r="AL84" s="3344">
        <f>AL83-AL73-AL82</f>
        <v>-34245.600826589594</v>
      </c>
      <c r="AM84" s="3344">
        <f>AM83-AM73-AM82</f>
        <v>-107643.29000000001</v>
      </c>
      <c r="AN84" s="3344">
        <f>AN83-AN73-AN82</f>
        <v>-141888.8908265896</v>
      </c>
      <c r="AO84" s="3345"/>
      <c r="AP84" s="3345"/>
      <c r="AQ84" s="3344">
        <f>AQ83-AQ73-AQ82</f>
        <v>-27720.531839080457</v>
      </c>
      <c r="AR84" s="3344">
        <f>AR83-AR73-AR82</f>
        <v>-28265.71</v>
      </c>
      <c r="AS84" s="3344">
        <f>AS83-AS73-AS82</f>
        <v>-55986.241839080467</v>
      </c>
      <c r="AT84" s="3345"/>
      <c r="AU84" s="3345"/>
      <c r="AV84" s="3344">
        <f>AV83-AV73-AV82</f>
        <v>0</v>
      </c>
      <c r="AW84" s="3344">
        <f>AW83-AW73-AW82</f>
        <v>0</v>
      </c>
      <c r="AX84" s="3344">
        <f>AX83-AX73-AX82</f>
        <v>0</v>
      </c>
      <c r="AY84" s="3345"/>
      <c r="AZ84" s="3345"/>
      <c r="BA84" s="3344">
        <f>BA83-BA73-BA82</f>
        <v>0</v>
      </c>
      <c r="BB84" s="3344">
        <f>BB83-BB73-BB82</f>
        <v>0</v>
      </c>
      <c r="BC84" s="3344">
        <f>BC83-BC73-BC82</f>
        <v>0</v>
      </c>
      <c r="BD84" s="3345"/>
      <c r="BE84" s="3345"/>
      <c r="BF84" s="3344">
        <f>BF83-BF73-BF82</f>
        <v>0</v>
      </c>
      <c r="BG84" s="3344">
        <f>BG83-BG73-BG82</f>
        <v>0</v>
      </c>
      <c r="BH84" s="3344">
        <f>BH83-BH73-BH82</f>
        <v>0</v>
      </c>
      <c r="BI84" s="3345"/>
      <c r="BJ84" s="3345"/>
      <c r="BK84" s="3344">
        <f>BK83-BK73-BK82</f>
        <v>0</v>
      </c>
      <c r="BL84" s="3344">
        <f>BL83-BL73-BL82</f>
        <v>0</v>
      </c>
      <c r="BM84" s="3344">
        <f>BM83-BM73-BM82</f>
        <v>0</v>
      </c>
      <c r="BN84" s="2874"/>
      <c r="BO84" s="3342"/>
      <c r="BP84" s="3344">
        <f>BP83-BP73-BP82</f>
        <v>0</v>
      </c>
      <c r="BQ84" s="3344">
        <f>BQ83-BQ73-BQ82</f>
        <v>0</v>
      </c>
      <c r="BR84" s="3344">
        <f>BR83-BR73-BR82</f>
        <v>0</v>
      </c>
      <c r="BS84" s="2874"/>
      <c r="BT84" s="3342"/>
      <c r="BU84" s="3344">
        <f>BU83-BU73-BU82</f>
        <v>0</v>
      </c>
      <c r="BV84" s="3344">
        <f>BV83-BV73-BV82</f>
        <v>0</v>
      </c>
      <c r="BW84" s="3344">
        <f>BW83-BW73-BW82</f>
        <v>0</v>
      </c>
      <c r="BX84" s="2874"/>
      <c r="BY84" s="3342"/>
      <c r="BZ84" s="3344">
        <f>BZ83-BZ73-BZ82</f>
        <v>0</v>
      </c>
      <c r="CA84" s="3344">
        <f>CA83-CA73-CA82</f>
        <v>0</v>
      </c>
      <c r="CB84" s="3344">
        <f>CB83-CB73-CB82</f>
        <v>0</v>
      </c>
      <c r="CC84" s="2874"/>
      <c r="CD84" s="3342"/>
      <c r="CE84" s="3344">
        <f>CE83-CE73-CE82</f>
        <v>0</v>
      </c>
      <c r="CF84" s="3344">
        <f>CF83-CF73-CF82</f>
        <v>0</v>
      </c>
      <c r="CG84" s="3344">
        <f>CG83-CG73-CG82</f>
        <v>0</v>
      </c>
      <c r="CH84" s="2874"/>
      <c r="CI84" s="3342"/>
      <c r="CJ84" s="3344">
        <f>CJ83-CJ73-CJ82</f>
        <v>0</v>
      </c>
      <c r="CK84" s="3344">
        <f>CK83-CK73-CK82</f>
        <v>0</v>
      </c>
      <c r="CL84" s="3344">
        <f>CL83-CL73-CL82</f>
        <v>0</v>
      </c>
      <c r="CM84" s="2874"/>
      <c r="CN84" s="3342"/>
      <c r="CO84" s="2873">
        <f t="shared" ref="CO84:CP85" si="133">C84+H84+M84+R84+AG84+AL84+AQ84+AV84+BA84+BF84+BK84+BP84+BU84+BZ84+CE84+CJ84+W84</f>
        <v>-3171376.3505082396</v>
      </c>
      <c r="CP84" s="2873">
        <f t="shared" si="133"/>
        <v>-1796360.75</v>
      </c>
      <c r="CQ84" s="2028">
        <f t="shared" ref="CQ84:CQ85" si="134">CO84+CP84*1</f>
        <v>-4967737.1005082391</v>
      </c>
      <c r="CR84" s="3345"/>
      <c r="CS84" s="3345"/>
      <c r="CT84" s="933"/>
    </row>
    <row r="85" spans="1:98" s="1411" customFormat="1" ht="13.8" x14ac:dyDescent="0.25">
      <c r="A85" s="1580"/>
      <c r="B85" s="1415" t="s">
        <v>44</v>
      </c>
      <c r="C85" s="3274"/>
      <c r="D85" s="3274"/>
      <c r="E85" s="3274"/>
      <c r="F85" s="3352"/>
      <c r="G85" s="3352"/>
      <c r="H85" s="3274"/>
      <c r="I85" s="3274"/>
      <c r="J85" s="3274"/>
      <c r="K85" s="3352"/>
      <c r="L85" s="3352"/>
      <c r="M85" s="3280"/>
      <c r="N85" s="3280"/>
      <c r="O85" s="2141">
        <f>M85+N85*1.15</f>
        <v>0</v>
      </c>
      <c r="P85" s="3352"/>
      <c r="Q85" s="3352"/>
      <c r="R85" s="3280"/>
      <c r="S85" s="3280"/>
      <c r="T85" s="2141">
        <f>R85+S85*1.15</f>
        <v>0</v>
      </c>
      <c r="U85" s="3352"/>
      <c r="V85" s="3352"/>
      <c r="W85" s="3280">
        <v>0</v>
      </c>
      <c r="X85" s="3280">
        <v>0</v>
      </c>
      <c r="Y85" s="2141">
        <v>0</v>
      </c>
      <c r="Z85" s="3352"/>
      <c r="AA85" s="3352"/>
      <c r="AB85" s="3274">
        <f>AG85+AL85+AQ85+AV85+BA85+BF85+BK85+BP85+BU85+BZ85+CE85+CJ85</f>
        <v>0</v>
      </c>
      <c r="AC85" s="3274">
        <f>AH85+AM85+AR85+AW85+BB85+BG85+BL85+BQ85+BV85+CA85+CF85+CK85</f>
        <v>0</v>
      </c>
      <c r="AD85" s="2141">
        <f>AB85+AC85*1.15</f>
        <v>0</v>
      </c>
      <c r="AE85" s="3352"/>
      <c r="AF85" s="3352"/>
      <c r="AG85" s="3280"/>
      <c r="AH85" s="3280"/>
      <c r="AI85" s="2141">
        <f>AG85+AH85*1.15</f>
        <v>0</v>
      </c>
      <c r="AJ85" s="3352"/>
      <c r="AK85" s="3845"/>
      <c r="AL85" s="3280"/>
      <c r="AM85" s="3280"/>
      <c r="AN85" s="2141"/>
      <c r="AO85" s="3352"/>
      <c r="AP85" s="3369"/>
      <c r="AQ85" s="3280"/>
      <c r="AR85" s="3280"/>
      <c r="AS85" s="2141"/>
      <c r="AT85" s="3352"/>
      <c r="AU85" s="3370"/>
      <c r="AV85" s="3280"/>
      <c r="AW85" s="3383"/>
      <c r="AX85" s="1358"/>
      <c r="AY85" s="3372"/>
      <c r="AZ85" s="3369"/>
      <c r="BA85" s="3280"/>
      <c r="BB85" s="3371">
        <f>(BC38/2*0.885+AX38)*0</f>
        <v>0</v>
      </c>
      <c r="BC85" s="1358"/>
      <c r="BD85" s="3372"/>
      <c r="BE85" s="3369"/>
      <c r="BF85" s="3280"/>
      <c r="BG85" s="3371">
        <f>(BH38/2*0.885+BC38)*0</f>
        <v>0</v>
      </c>
      <c r="BH85" s="1358"/>
      <c r="BI85" s="3372"/>
      <c r="BJ85" s="3369"/>
      <c r="BK85" s="3280"/>
      <c r="BL85" s="3373"/>
      <c r="BM85" s="1874">
        <f>BK85+BL85</f>
        <v>0</v>
      </c>
      <c r="BN85" s="3351"/>
      <c r="BP85" s="3280"/>
      <c r="BQ85" s="3373"/>
      <c r="BR85" s="1874">
        <f>BP85+BQ85</f>
        <v>0</v>
      </c>
      <c r="BS85" s="3351"/>
      <c r="BU85" s="3280"/>
      <c r="BV85" s="3373"/>
      <c r="BW85" s="1874">
        <f>BU85+BV85</f>
        <v>0</v>
      </c>
      <c r="BX85" s="3351"/>
      <c r="BZ85" s="3279"/>
      <c r="CA85" s="3373"/>
      <c r="CB85" s="1874">
        <f>BZ85+CA85</f>
        <v>0</v>
      </c>
      <c r="CC85" s="3351"/>
      <c r="CE85" s="3279"/>
      <c r="CF85" s="3373"/>
      <c r="CG85" s="1874">
        <f>CE85+CF85</f>
        <v>0</v>
      </c>
      <c r="CH85" s="3351"/>
      <c r="CJ85" s="3279"/>
      <c r="CK85" s="3373"/>
      <c r="CL85" s="1874">
        <f>CJ85+CK85</f>
        <v>0</v>
      </c>
      <c r="CM85" s="3351"/>
      <c r="CO85" s="3274">
        <f t="shared" si="133"/>
        <v>0</v>
      </c>
      <c r="CP85" s="3274">
        <f t="shared" si="133"/>
        <v>0</v>
      </c>
      <c r="CQ85" s="2028">
        <f t="shared" si="134"/>
        <v>0</v>
      </c>
      <c r="CR85" s="3352"/>
      <c r="CS85" s="3352"/>
      <c r="CT85" s="933"/>
    </row>
    <row r="86" spans="1:98" s="1411" customFormat="1" ht="27.6" x14ac:dyDescent="0.25">
      <c r="A86" s="1420"/>
      <c r="B86" s="3353" t="s">
        <v>50</v>
      </c>
      <c r="C86" s="3354">
        <f>C84-C85</f>
        <v>-216750.09636306873</v>
      </c>
      <c r="D86" s="3354">
        <f>D84-D85</f>
        <v>-158503.48000000001</v>
      </c>
      <c r="E86" s="3354">
        <f>E84-E85</f>
        <v>-375253.57636306866</v>
      </c>
      <c r="F86" s="3355"/>
      <c r="G86" s="3355"/>
      <c r="H86" s="3354">
        <f>H84-H85</f>
        <v>-304399.29903566965</v>
      </c>
      <c r="I86" s="3354">
        <f>I84-I85</f>
        <v>-239965.22999999998</v>
      </c>
      <c r="J86" s="3354">
        <f>J84-J85</f>
        <v>-544364.52903566975</v>
      </c>
      <c r="K86" s="3355"/>
      <c r="L86" s="3355"/>
      <c r="M86" s="3354">
        <f>M84-M85</f>
        <v>-75713.383374017605</v>
      </c>
      <c r="N86" s="3354">
        <f>N84-N85</f>
        <v>-226522.63</v>
      </c>
      <c r="O86" s="3354">
        <f>O84-O85</f>
        <v>-302236.01337401761</v>
      </c>
      <c r="P86" s="3355"/>
      <c r="Q86" s="3355"/>
      <c r="R86" s="3354">
        <f>R84-R85</f>
        <v>-1993718.0458669816</v>
      </c>
      <c r="S86" s="3354">
        <f>S84-S85</f>
        <v>-295770.89</v>
      </c>
      <c r="T86" s="3354">
        <f>T84-T85</f>
        <v>-2289488.9358669817</v>
      </c>
      <c r="U86" s="3355"/>
      <c r="V86" s="3355"/>
      <c r="W86" s="3354">
        <v>-496359.91901208047</v>
      </c>
      <c r="X86" s="3354">
        <v>-736356.52</v>
      </c>
      <c r="Y86" s="3354">
        <v>-1232716.4390120807</v>
      </c>
      <c r="Z86" s="3355"/>
      <c r="AA86" s="3355"/>
      <c r="AB86" s="3354">
        <f>AB84-AB85</f>
        <v>-84435.606856421495</v>
      </c>
      <c r="AC86" s="3354">
        <f>AC84-AC85</f>
        <v>-139242</v>
      </c>
      <c r="AD86" s="3354">
        <f>AD84-AD85</f>
        <v>-223677.60685642148</v>
      </c>
      <c r="AE86" s="3355"/>
      <c r="AF86" s="3355"/>
      <c r="AG86" s="3354">
        <f>AG84-AG85</f>
        <v>-22469.474190751444</v>
      </c>
      <c r="AH86" s="3354">
        <f>AH84-AH85</f>
        <v>-3333</v>
      </c>
      <c r="AI86" s="3354">
        <f>AI84-AI85</f>
        <v>-25802.474190751444</v>
      </c>
      <c r="AJ86" s="3355"/>
      <c r="AK86" s="3355"/>
      <c r="AL86" s="3354">
        <f>AL84-AL85</f>
        <v>-34245.600826589594</v>
      </c>
      <c r="AM86" s="3354">
        <f>AM84-AM85</f>
        <v>-107643.29000000001</v>
      </c>
      <c r="AN86" s="3354">
        <f>AN84-AN85</f>
        <v>-141888.8908265896</v>
      </c>
      <c r="AO86" s="3355"/>
      <c r="AP86" s="3355"/>
      <c r="AQ86" s="3354">
        <f>AQ84-AQ85</f>
        <v>-27720.531839080457</v>
      </c>
      <c r="AR86" s="3354">
        <f>AR84-AR85</f>
        <v>-28265.71</v>
      </c>
      <c r="AS86" s="3354">
        <f>AS84</f>
        <v>-55986.241839080467</v>
      </c>
      <c r="AT86" s="3355"/>
      <c r="AU86" s="3355"/>
      <c r="AV86" s="3354">
        <f>AV84-AV85</f>
        <v>0</v>
      </c>
      <c r="AW86" s="3354">
        <f>AW84-AW85</f>
        <v>0</v>
      </c>
      <c r="AX86" s="3354">
        <f>AX84</f>
        <v>0</v>
      </c>
      <c r="AY86" s="3355"/>
      <c r="AZ86" s="3355"/>
      <c r="BA86" s="3354">
        <f>BA84-BA85</f>
        <v>0</v>
      </c>
      <c r="BB86" s="3354">
        <f>BB84-BB85</f>
        <v>0</v>
      </c>
      <c r="BC86" s="3354">
        <f>BC84</f>
        <v>0</v>
      </c>
      <c r="BD86" s="3355"/>
      <c r="BE86" s="3355"/>
      <c r="BF86" s="3354">
        <f>BF84-BF85</f>
        <v>0</v>
      </c>
      <c r="BG86" s="3354">
        <f>BG84-BG85</f>
        <v>0</v>
      </c>
      <c r="BH86" s="3354">
        <f>BH84</f>
        <v>0</v>
      </c>
      <c r="BI86" s="3355"/>
      <c r="BJ86" s="3355"/>
      <c r="BK86" s="3354">
        <f>BK84-BK85</f>
        <v>0</v>
      </c>
      <c r="BL86" s="3354">
        <f>BL84-BL85</f>
        <v>0</v>
      </c>
      <c r="BM86" s="3354">
        <f>BM84-BM85</f>
        <v>0</v>
      </c>
      <c r="BN86" s="3355"/>
      <c r="BO86" s="3355"/>
      <c r="BP86" s="3354">
        <f>BP84-BP85</f>
        <v>0</v>
      </c>
      <c r="BQ86" s="3354">
        <f>BQ84-BQ85</f>
        <v>0</v>
      </c>
      <c r="BR86" s="3354">
        <f>BR84-BR85</f>
        <v>0</v>
      </c>
      <c r="BS86" s="3355"/>
      <c r="BT86" s="3355"/>
      <c r="BU86" s="3354">
        <f>BU84-BU85</f>
        <v>0</v>
      </c>
      <c r="BV86" s="3354">
        <f>BV84-BV85</f>
        <v>0</v>
      </c>
      <c r="BW86" s="3354">
        <f>BW84-BW85</f>
        <v>0</v>
      </c>
      <c r="BX86" s="3355"/>
      <c r="BY86" s="3355"/>
      <c r="BZ86" s="3354">
        <f>BZ84-BZ85</f>
        <v>0</v>
      </c>
      <c r="CA86" s="3354">
        <f>CA84-CA85</f>
        <v>0</v>
      </c>
      <c r="CB86" s="3354">
        <f>CB84-CB85</f>
        <v>0</v>
      </c>
      <c r="CC86" s="3355"/>
      <c r="CD86" s="3355"/>
      <c r="CE86" s="3354">
        <f>CE84-CE85</f>
        <v>0</v>
      </c>
      <c r="CF86" s="3354">
        <f>CF84-CF85</f>
        <v>0</v>
      </c>
      <c r="CG86" s="3354">
        <f>CG84-CG85</f>
        <v>0</v>
      </c>
      <c r="CH86" s="3355"/>
      <c r="CI86" s="3355"/>
      <c r="CJ86" s="3354">
        <f>CJ84-CJ85</f>
        <v>0</v>
      </c>
      <c r="CK86" s="3354">
        <f>CK84-CK85</f>
        <v>0</v>
      </c>
      <c r="CL86" s="3354">
        <f>CL84-CL85</f>
        <v>0</v>
      </c>
      <c r="CM86" s="3355"/>
      <c r="CN86" s="3355"/>
      <c r="CO86" s="3354">
        <f>CO84-CO85</f>
        <v>-3171376.3505082396</v>
      </c>
      <c r="CP86" s="3354">
        <f>CP84-CP85</f>
        <v>-1796360.75</v>
      </c>
      <c r="CQ86" s="3354">
        <f>CQ84-CQ85</f>
        <v>-4967737.1005082391</v>
      </c>
      <c r="CR86" s="3355"/>
      <c r="CS86" s="3355"/>
      <c r="CT86" s="933"/>
    </row>
    <row r="87" spans="1:98" s="1411" customFormat="1" ht="14.4" thickBot="1" x14ac:dyDescent="0.3">
      <c r="A87" s="1582"/>
      <c r="B87" s="3740" t="s">
        <v>51</v>
      </c>
      <c r="C87" s="3741">
        <f>C86/C5</f>
        <v>-2.5803582900365325</v>
      </c>
      <c r="D87" s="3742" t="e">
        <f>D86/D5</f>
        <v>#DIV/0!</v>
      </c>
      <c r="E87" s="2879">
        <f>E86/E5</f>
        <v>-4.4673044805127224</v>
      </c>
      <c r="F87" s="2881"/>
      <c r="G87" s="2881"/>
      <c r="H87" s="3741">
        <f>H86/H5</f>
        <v>-2.7300385563737191</v>
      </c>
      <c r="I87" s="3742" t="e">
        <f>I86/I5</f>
        <v>#DIV/0!</v>
      </c>
      <c r="J87" s="2879">
        <f>J86/J5</f>
        <v>-4.8821930855217017</v>
      </c>
      <c r="K87" s="2881"/>
      <c r="L87" s="2881"/>
      <c r="M87" s="3741">
        <f>M86/M5</f>
        <v>-4.4508685151105669E-2</v>
      </c>
      <c r="N87" s="3742" t="e">
        <f>N86/N5</f>
        <v>#DIV/0!</v>
      </c>
      <c r="O87" s="2879">
        <f>O86/O5</f>
        <v>-0.17767172672943646</v>
      </c>
      <c r="P87" s="2881"/>
      <c r="Q87" s="2881"/>
      <c r="R87" s="3741">
        <f>R86/R5</f>
        <v>-0.48359909880351276</v>
      </c>
      <c r="S87" s="3742" t="e">
        <f>S86/S5</f>
        <v>#DIV/0!</v>
      </c>
      <c r="T87" s="2879">
        <f>T86/T5</f>
        <v>-0.55534170862380627</v>
      </c>
      <c r="U87" s="2881"/>
      <c r="V87" s="2881"/>
      <c r="W87" s="3741">
        <v>-1.1312855783448448</v>
      </c>
      <c r="X87" s="3742" t="e">
        <v>#DIV/0!</v>
      </c>
      <c r="Y87" s="2879">
        <v>-2.8095627310492781</v>
      </c>
      <c r="Z87" s="2881"/>
      <c r="AA87" s="2881"/>
      <c r="AB87" s="3741" t="e">
        <f>AB86/AB5</f>
        <v>#DIV/0!</v>
      </c>
      <c r="AC87" s="3742" t="e">
        <f>AC86/AC5</f>
        <v>#DIV/0!</v>
      </c>
      <c r="AD87" s="2879" t="e">
        <f>AD86/AD5</f>
        <v>#DIV/0!</v>
      </c>
      <c r="AE87" s="2881"/>
      <c r="AF87" s="2881"/>
      <c r="AG87" s="3741" t="e">
        <f>AG86/AG5</f>
        <v>#DIV/0!</v>
      </c>
      <c r="AH87" s="3742" t="e">
        <f>AH86/AH5</f>
        <v>#DIV/0!</v>
      </c>
      <c r="AI87" s="2879" t="e">
        <f>AI86/AI5</f>
        <v>#DIV/0!</v>
      </c>
      <c r="AJ87" s="2881"/>
      <c r="AK87" s="2881"/>
      <c r="AL87" s="3741" t="e">
        <f>AL86/AL5</f>
        <v>#DIV/0!</v>
      </c>
      <c r="AM87" s="3742" t="e">
        <f>AM86/AM5</f>
        <v>#DIV/0!</v>
      </c>
      <c r="AN87" s="2879" t="e">
        <f>AN86/AN5</f>
        <v>#DIV/0!</v>
      </c>
      <c r="AO87" s="2881"/>
      <c r="AP87" s="2881"/>
      <c r="AQ87" s="3741" t="e">
        <f>AQ86/AQ5</f>
        <v>#DIV/0!</v>
      </c>
      <c r="AR87" s="3742" t="e">
        <f>AR86/AR5</f>
        <v>#DIV/0!</v>
      </c>
      <c r="AS87" s="2879" t="e">
        <f>AS86/AS5</f>
        <v>#DIV/0!</v>
      </c>
      <c r="AT87" s="2881"/>
      <c r="AU87" s="2881"/>
      <c r="AV87" s="3741" t="e">
        <f>AV86/AV5</f>
        <v>#DIV/0!</v>
      </c>
      <c r="AW87" s="3742" t="e">
        <f>AW86/AW5</f>
        <v>#DIV/0!</v>
      </c>
      <c r="AX87" s="2879" t="e">
        <f>AX86/AX5</f>
        <v>#DIV/0!</v>
      </c>
      <c r="AY87" s="2881"/>
      <c r="AZ87" s="2881"/>
      <c r="BA87" s="3741" t="e">
        <f>BA86/BA5</f>
        <v>#DIV/0!</v>
      </c>
      <c r="BB87" s="3742" t="e">
        <f>BB86/BB5</f>
        <v>#DIV/0!</v>
      </c>
      <c r="BC87" s="2879" t="e">
        <f>BC86/BC5</f>
        <v>#DIV/0!</v>
      </c>
      <c r="BD87" s="2881"/>
      <c r="BE87" s="2881"/>
      <c r="BF87" s="3741" t="e">
        <f>BF86/BF5</f>
        <v>#DIV/0!</v>
      </c>
      <c r="BG87" s="3742" t="e">
        <f>BG86/BG5</f>
        <v>#DIV/0!</v>
      </c>
      <c r="BH87" s="2879" t="e">
        <f>BH86/BH5</f>
        <v>#DIV/0!</v>
      </c>
      <c r="BI87" s="2881"/>
      <c r="BJ87" s="2881"/>
      <c r="BK87" s="3741" t="e">
        <f>BK86/BK5</f>
        <v>#DIV/0!</v>
      </c>
      <c r="BL87" s="3742" t="e">
        <f>BL86/BL5</f>
        <v>#DIV/0!</v>
      </c>
      <c r="BM87" s="2879" t="e">
        <f>BM86/BM5</f>
        <v>#DIV/0!</v>
      </c>
      <c r="BN87" s="2881"/>
      <c r="BO87" s="2881"/>
      <c r="BP87" s="3741" t="e">
        <f>BP86/BP5</f>
        <v>#DIV/0!</v>
      </c>
      <c r="BQ87" s="3742" t="e">
        <f>BQ86/BQ5</f>
        <v>#DIV/0!</v>
      </c>
      <c r="BR87" s="2879" t="e">
        <f>BR86/BR5</f>
        <v>#DIV/0!</v>
      </c>
      <c r="BS87" s="2881"/>
      <c r="BT87" s="2881"/>
      <c r="BU87" s="3741" t="e">
        <f>BU86/BU5</f>
        <v>#DIV/0!</v>
      </c>
      <c r="BV87" s="3742" t="e">
        <f>BV86/BV5</f>
        <v>#DIV/0!</v>
      </c>
      <c r="BW87" s="2879" t="e">
        <f>BW86/BW5</f>
        <v>#DIV/0!</v>
      </c>
      <c r="BX87" s="2881"/>
      <c r="BY87" s="2881"/>
      <c r="BZ87" s="3741" t="e">
        <f>BZ86/BZ5</f>
        <v>#DIV/0!</v>
      </c>
      <c r="CA87" s="3742" t="e">
        <f>CA86/CA5</f>
        <v>#DIV/0!</v>
      </c>
      <c r="CB87" s="2879" t="e">
        <f>CB86/CB5</f>
        <v>#DIV/0!</v>
      </c>
      <c r="CC87" s="2881"/>
      <c r="CD87" s="2881"/>
      <c r="CE87" s="3741" t="e">
        <f>CE86/CE5</f>
        <v>#DIV/0!</v>
      </c>
      <c r="CF87" s="3742" t="e">
        <f>CF86/CF5</f>
        <v>#DIV/0!</v>
      </c>
      <c r="CG87" s="2879" t="e">
        <f>CG86/CG5</f>
        <v>#DIV/0!</v>
      </c>
      <c r="CH87" s="2881"/>
      <c r="CI87" s="2881"/>
      <c r="CJ87" s="3741" t="e">
        <f>CJ86/CJ5</f>
        <v>#DIV/0!</v>
      </c>
      <c r="CK87" s="3742" t="e">
        <f>CK86/CK5</f>
        <v>#DIV/0!</v>
      </c>
      <c r="CL87" s="2879" t="e">
        <f>CL86/CL5</f>
        <v>#DIV/0!</v>
      </c>
      <c r="CM87" s="2881"/>
      <c r="CN87" s="2881"/>
      <c r="CO87" s="3741">
        <f>CO86/CO5</f>
        <v>-0.49107589499810422</v>
      </c>
      <c r="CP87" s="3742" t="e">
        <f>CP86/CP5</f>
        <v>#DIV/0!</v>
      </c>
      <c r="CQ87" s="2879">
        <f>CQ86/CQ5</f>
        <v>-0.76923571128870116</v>
      </c>
      <c r="CR87" s="2881"/>
      <c r="CS87" s="2881"/>
      <c r="CT87" s="933"/>
    </row>
    <row r="88" spans="1:98" ht="13.8" x14ac:dyDescent="0.25">
      <c r="A88" s="1438"/>
      <c r="B88" s="1438"/>
      <c r="C88" s="1970"/>
      <c r="D88" s="1970"/>
      <c r="E88" s="1970"/>
      <c r="F88" s="1970"/>
      <c r="G88" s="1970"/>
      <c r="H88" s="1970"/>
      <c r="I88" s="1970"/>
      <c r="J88" s="1970"/>
      <c r="K88" s="1970"/>
      <c r="L88" s="1970"/>
      <c r="M88" s="1970"/>
      <c r="N88" s="1970"/>
      <c r="O88" s="1970"/>
      <c r="P88" s="1970"/>
      <c r="Q88" s="1970"/>
      <c r="R88" s="1970"/>
      <c r="S88" s="1970"/>
      <c r="T88" s="1970"/>
      <c r="U88" s="1970"/>
      <c r="V88" s="1970"/>
      <c r="W88" s="1970"/>
      <c r="X88" s="1970"/>
      <c r="Y88" s="1970"/>
      <c r="Z88" s="1970"/>
      <c r="AA88" s="1970"/>
      <c r="AB88" s="1970"/>
      <c r="AC88" s="1970"/>
      <c r="AD88" s="1970"/>
      <c r="AE88" s="1970"/>
      <c r="AF88" s="1970"/>
      <c r="AG88" s="1970"/>
      <c r="AH88" s="1970"/>
      <c r="AI88" s="1970"/>
      <c r="AJ88" s="1970"/>
      <c r="AK88" s="1970"/>
      <c r="AL88" s="1970"/>
      <c r="AM88" s="1970"/>
      <c r="AN88" s="1970"/>
      <c r="AO88" s="1970"/>
      <c r="AP88" s="1970"/>
      <c r="AQ88" s="1970"/>
      <c r="AR88" s="1970"/>
      <c r="AS88" s="1970"/>
      <c r="AT88" s="1970"/>
      <c r="AU88" s="1970"/>
      <c r="AV88" s="1970"/>
      <c r="AW88" s="1970"/>
      <c r="AX88" s="1970"/>
      <c r="AY88" s="1970"/>
      <c r="AZ88" s="1970"/>
      <c r="BA88" s="1970"/>
      <c r="BB88" s="1970"/>
      <c r="BC88" s="1970"/>
      <c r="BD88" s="1970"/>
      <c r="BE88" s="1970"/>
      <c r="BF88" s="1970"/>
      <c r="BG88" s="1970"/>
      <c r="BH88" s="1970"/>
      <c r="BI88" s="1970"/>
      <c r="BJ88" s="1970"/>
      <c r="BK88" s="1970"/>
      <c r="BL88" s="1970"/>
      <c r="BM88" s="1970"/>
      <c r="BN88" s="1970"/>
      <c r="BO88" s="1970"/>
      <c r="BP88" s="1970"/>
      <c r="BQ88" s="1970"/>
      <c r="BR88" s="1970"/>
      <c r="BS88" s="1970"/>
      <c r="BT88" s="1970"/>
      <c r="BU88" s="1970"/>
      <c r="BV88" s="1970"/>
      <c r="BW88" s="1970"/>
      <c r="BX88" s="1970"/>
      <c r="BY88" s="1970"/>
      <c r="BZ88" s="1970"/>
      <c r="CA88" s="1970"/>
      <c r="CB88" s="1970"/>
      <c r="CC88" s="1970"/>
      <c r="CD88" s="1970"/>
      <c r="CE88" s="1970"/>
      <c r="CF88" s="1970"/>
      <c r="CG88" s="1970"/>
      <c r="CH88" s="1970"/>
      <c r="CI88" s="1970"/>
      <c r="CJ88" s="1970"/>
      <c r="CK88" s="1970"/>
      <c r="CL88" s="1970"/>
      <c r="CM88" s="1970"/>
      <c r="CN88" s="1970"/>
      <c r="CO88" s="1970"/>
      <c r="CP88" s="1970"/>
      <c r="CQ88" s="1970"/>
      <c r="CR88" s="1970"/>
      <c r="CS88" s="1970"/>
    </row>
    <row r="89" spans="1:98" x14ac:dyDescent="0.25">
      <c r="B89" s="1577" t="s">
        <v>56</v>
      </c>
      <c r="E89" s="1976">
        <f>E8+E36+E41+E50+E54+E73+E79+E82+E85</f>
        <v>459253.57636306866</v>
      </c>
      <c r="J89" s="1976">
        <f>J8+J36+J41+J50+J54+J73+J79+J82+J85</f>
        <v>655864.52903566964</v>
      </c>
      <c r="K89" s="1976"/>
      <c r="O89" s="1976">
        <f>O8+O36+O41+O50+O54+O73+O79+O82+O85</f>
        <v>2003328.3533740179</v>
      </c>
      <c r="T89" s="1976">
        <f>T8+T36+T41+T50+T54+T73+T79+T82+T85</f>
        <v>6412155.9358669817</v>
      </c>
      <c r="Y89" s="1976">
        <f>Y8+Y36+Y41+Y50+Y54+Y73+Y79+Y82+Y85</f>
        <v>1671473.8390120808</v>
      </c>
      <c r="AD89" s="1976">
        <f>AD8+AD36+AD41+AD50+AD54+AD73+AD79+AD82+AD85</f>
        <v>226450.47685642148</v>
      </c>
      <c r="AI89" s="1976">
        <f>AI8+AI36+AI41+AI50+AI54+AI73+AI79+AI82+AI85</f>
        <v>25802.474190751444</v>
      </c>
      <c r="AN89" s="1976">
        <f>AN8+AN36+AN41+AN50+AN54+AN73+AN79+AN82+AN85</f>
        <v>143862.15082658958</v>
      </c>
      <c r="AS89" s="1976">
        <f>AS8+AS36+AS41+AS50+AS54+AS73+AS79+AS82+AS85</f>
        <v>56785.851839080467</v>
      </c>
      <c r="AX89" s="1976">
        <f>AX8+AX36+AX41+AX50+AX54+AX73+AX79+AX82+AX85</f>
        <v>0</v>
      </c>
      <c r="BC89" s="1976">
        <f>BC8+BC36+BC41+BC50+BC54+BC73+BC79+BC82+BC85</f>
        <v>0</v>
      </c>
      <c r="BH89" s="1976">
        <f>BH8+BH36+BH41+BH50+BH54+BH73+BH79+BH82+BH85</f>
        <v>0</v>
      </c>
      <c r="BM89" s="1976">
        <f>BM8+BM36+BM41+BM50+BM54+BM73+BM79+BM82+BM85</f>
        <v>0</v>
      </c>
      <c r="BR89" s="1976">
        <f>BR8+BR36+BR41+BR50+BR54+BR73+BR79+BR82+BR85</f>
        <v>0</v>
      </c>
      <c r="BW89" s="1976">
        <f>BW8+BW36+BW41+BW50+BW54+BW73+BW79+BW82+BW85</f>
        <v>0</v>
      </c>
      <c r="CB89" s="1976">
        <f>CB8+CB36+CB41+CB50+CB54+CB73+CB79+CB82+CB85</f>
        <v>0</v>
      </c>
      <c r="CG89" s="1976">
        <f>CG8+CG36+CG41+CG50+CG54+CG73+CG79+CG82+CG85</f>
        <v>0</v>
      </c>
      <c r="CL89" s="1976">
        <f>CL8+CL36+CL41+CL50+CL54+CL73+CL79+CL82+CL85</f>
        <v>0</v>
      </c>
      <c r="CQ89" s="1976">
        <f>CQ8+CQ36+CQ41+CQ50+CQ54+CQ73+CQ79+CQ82+CQ85</f>
        <v>11428526.71050824</v>
      </c>
    </row>
    <row r="90" spans="1:98" x14ac:dyDescent="0.25">
      <c r="CQ90" s="1607" t="b">
        <f>(E89+O89+T89+AI89+AN89+J89+AS89+AX89+BC89+BH89+BM89+BR89+BW89+CB89+CG89+CL89+Y89)=CQ89</f>
        <v>1</v>
      </c>
    </row>
    <row r="91" spans="1:98" s="1411" customFormat="1" x14ac:dyDescent="0.25">
      <c r="A91" s="1417"/>
      <c r="B91" s="1417"/>
      <c r="C91" s="1968"/>
      <c r="D91" s="1968"/>
      <c r="E91" s="1185">
        <f>E5+E78-E89</f>
        <v>-375253.57636306866</v>
      </c>
      <c r="F91" s="1968"/>
      <c r="G91" s="1968"/>
      <c r="H91" s="1968"/>
      <c r="I91" s="1968"/>
      <c r="J91" s="1185">
        <f>J5+J78-J89</f>
        <v>-544364.52903566964</v>
      </c>
      <c r="K91" s="1185"/>
      <c r="L91" s="1968"/>
      <c r="M91" s="1968"/>
      <c r="N91" s="1968"/>
      <c r="O91" s="1185">
        <f>O5+O78-O89</f>
        <v>-302236.01337401778</v>
      </c>
      <c r="P91" s="1968"/>
      <c r="Q91" s="1968"/>
      <c r="R91" s="1968"/>
      <c r="S91" s="1968"/>
      <c r="T91" s="1968"/>
      <c r="U91" s="1968"/>
      <c r="V91" s="1968"/>
      <c r="W91" s="1968"/>
      <c r="X91" s="1968"/>
      <c r="Y91" s="1968">
        <f>Y5-Y89</f>
        <v>-1232716.4390120809</v>
      </c>
      <c r="Z91" s="1968"/>
      <c r="AA91" s="1968"/>
      <c r="AB91" s="1968"/>
      <c r="AC91" s="1968"/>
      <c r="AD91" s="1185">
        <f>AD5-AD89</f>
        <v>-226450.47685642148</v>
      </c>
      <c r="AE91" s="1968"/>
      <c r="AF91" s="1968"/>
      <c r="AG91" s="1968"/>
      <c r="AH91" s="1968"/>
      <c r="AI91" s="1185">
        <f>AI5-AI89</f>
        <v>-25802.474190751444</v>
      </c>
      <c r="AJ91" s="1968"/>
      <c r="AK91" s="1968"/>
      <c r="AL91" s="1968"/>
      <c r="AM91" s="1968"/>
      <c r="AN91" s="1185">
        <f>AN5-AN89</f>
        <v>-143862.15082658958</v>
      </c>
      <c r="AO91" s="1968"/>
      <c r="AP91" s="1968"/>
      <c r="AQ91" s="1968"/>
      <c r="AR91" s="1968"/>
      <c r="AS91" s="1185">
        <f>AS5-AS89</f>
        <v>-56785.851839080467</v>
      </c>
      <c r="AT91" s="1968"/>
      <c r="AU91" s="1968"/>
      <c r="AV91" s="1968"/>
      <c r="AW91" s="1968"/>
      <c r="AX91" s="1185">
        <f>AX5-AX89</f>
        <v>0</v>
      </c>
      <c r="AY91" s="1968"/>
      <c r="AZ91" s="1968"/>
      <c r="BA91" s="1968"/>
      <c r="BB91" s="1968"/>
      <c r="BC91" s="1185">
        <f>BC5-BC89</f>
        <v>0</v>
      </c>
      <c r="BD91" s="1968"/>
      <c r="BE91" s="1968"/>
      <c r="BF91" s="1968"/>
      <c r="BG91" s="1968"/>
      <c r="BH91" s="1185">
        <f>BH5-BH89</f>
        <v>0</v>
      </c>
      <c r="BI91" s="1968"/>
      <c r="BJ91" s="1968"/>
      <c r="BK91" s="1968"/>
      <c r="BL91" s="1968"/>
      <c r="BM91" s="1185">
        <f>BM5-BM89</f>
        <v>0</v>
      </c>
      <c r="BN91" s="1968"/>
      <c r="BO91" s="1968"/>
      <c r="BP91" s="1968"/>
      <c r="BQ91" s="1968"/>
      <c r="BR91" s="1185">
        <f>BR5-BR89</f>
        <v>0</v>
      </c>
      <c r="BS91" s="1968"/>
      <c r="BT91" s="1968"/>
      <c r="BU91" s="1968"/>
      <c r="BV91" s="1968"/>
      <c r="BW91" s="1185">
        <f>BW5-BW89</f>
        <v>0</v>
      </c>
      <c r="BX91" s="1968"/>
      <c r="BY91" s="1968"/>
      <c r="BZ91" s="1968"/>
      <c r="CA91" s="1968"/>
      <c r="CB91" s="1185">
        <f>CB5-CB89</f>
        <v>0</v>
      </c>
      <c r="CC91" s="1968"/>
      <c r="CD91" s="1968"/>
      <c r="CE91" s="1968"/>
      <c r="CF91" s="1968"/>
      <c r="CG91" s="1185">
        <f>CG5-CG89</f>
        <v>0</v>
      </c>
      <c r="CH91" s="1968"/>
      <c r="CI91" s="1968"/>
      <c r="CJ91" s="1968"/>
      <c r="CK91" s="1968"/>
      <c r="CL91" s="1185">
        <f>CL5-CL89</f>
        <v>0</v>
      </c>
      <c r="CM91" s="1968"/>
      <c r="CN91" s="1968"/>
      <c r="CO91" s="1968"/>
      <c r="CP91" s="1968"/>
      <c r="CQ91" s="1968"/>
      <c r="CR91" s="1968"/>
      <c r="CS91" s="1968"/>
    </row>
    <row r="92" spans="1:98" x14ac:dyDescent="0.25">
      <c r="AD92" s="1968">
        <f>AD7</f>
        <v>0</v>
      </c>
      <c r="CQ92" s="1185">
        <f>CQ5+CQ78-CQ89</f>
        <v>-4967737.1005082401</v>
      </c>
    </row>
    <row r="93" spans="1:98" s="1411" customFormat="1" x14ac:dyDescent="0.25">
      <c r="A93" s="1417"/>
      <c r="B93" s="1417"/>
      <c r="C93" s="1968"/>
      <c r="D93" s="1968"/>
      <c r="E93" s="1968"/>
      <c r="F93" s="1968"/>
      <c r="G93" s="1968"/>
      <c r="H93" s="1968"/>
      <c r="I93" s="1968"/>
      <c r="J93" s="1968"/>
      <c r="K93" s="1968"/>
      <c r="L93" s="1968"/>
      <c r="M93" s="1968"/>
      <c r="N93" s="1968"/>
      <c r="O93" s="1968"/>
      <c r="P93" s="1968"/>
      <c r="Q93" s="1968"/>
      <c r="R93" s="1968"/>
      <c r="S93" s="1968"/>
      <c r="T93" s="1968"/>
      <c r="U93" s="1968"/>
      <c r="V93" s="1968"/>
      <c r="W93" s="1968"/>
      <c r="X93" s="1968"/>
      <c r="Y93" s="1968"/>
      <c r="Z93" s="1968"/>
      <c r="AA93" s="1968"/>
      <c r="AB93" s="1968"/>
      <c r="AC93" s="1968"/>
      <c r="AD93" s="1968"/>
      <c r="AE93" s="1968"/>
      <c r="AF93" s="1968"/>
      <c r="AG93" s="1968"/>
      <c r="AH93" s="1968"/>
      <c r="AI93" s="1968"/>
      <c r="AJ93" s="1968"/>
      <c r="AK93" s="1968"/>
      <c r="AL93" s="1968"/>
      <c r="AM93" s="1968"/>
      <c r="AN93" s="1968"/>
      <c r="AO93" s="1968"/>
      <c r="AP93" s="1968"/>
      <c r="AQ93" s="1968"/>
      <c r="AR93" s="1968"/>
      <c r="AS93" s="1968"/>
      <c r="AT93" s="1968"/>
      <c r="AU93" s="1968"/>
      <c r="AV93" s="1968"/>
      <c r="AW93" s="1968"/>
      <c r="AX93" s="1968"/>
      <c r="AY93" s="1968"/>
      <c r="AZ93" s="1968"/>
      <c r="BA93" s="1968"/>
      <c r="BB93" s="1968"/>
      <c r="BC93" s="1968"/>
      <c r="BD93" s="1968"/>
      <c r="BE93" s="1968"/>
      <c r="BF93" s="1968"/>
      <c r="BG93" s="1968"/>
      <c r="BH93" s="1968"/>
      <c r="BI93" s="1968"/>
      <c r="BJ93" s="1968"/>
      <c r="BK93" s="1968"/>
      <c r="BL93" s="1968"/>
      <c r="BM93" s="1968"/>
      <c r="BN93" s="1968"/>
      <c r="BO93" s="1968"/>
      <c r="BP93" s="1968"/>
      <c r="BQ93" s="1968"/>
      <c r="BR93" s="1968"/>
      <c r="BS93" s="1968"/>
      <c r="BT93" s="1968"/>
      <c r="BU93" s="1968"/>
      <c r="BV93" s="1968"/>
      <c r="BW93" s="1968"/>
      <c r="BX93" s="1968"/>
      <c r="BY93" s="1968"/>
      <c r="BZ93" s="1968"/>
      <c r="CA93" s="1968"/>
      <c r="CB93" s="1968"/>
      <c r="CC93" s="1968"/>
      <c r="CD93" s="1968"/>
      <c r="CE93" s="1968"/>
      <c r="CF93" s="1968"/>
      <c r="CG93" s="1968"/>
      <c r="CH93" s="1968"/>
      <c r="CI93" s="1968"/>
      <c r="CJ93" s="1968"/>
      <c r="CK93" s="1968"/>
      <c r="CL93" s="1968"/>
      <c r="CM93" s="1968"/>
      <c r="CN93" s="1968"/>
      <c r="CO93" s="1968"/>
      <c r="CP93" s="1968"/>
      <c r="CQ93" s="1968"/>
      <c r="CR93" s="1968"/>
      <c r="CS93" s="1968"/>
    </row>
    <row r="94" spans="1:98" s="1411" customFormat="1" x14ac:dyDescent="0.25">
      <c r="A94" s="1417"/>
      <c r="B94" s="1417"/>
      <c r="C94" s="1968"/>
      <c r="D94" s="1968"/>
      <c r="E94" s="1968"/>
      <c r="F94" s="1968"/>
      <c r="G94" s="1968"/>
      <c r="H94" s="1968"/>
      <c r="I94" s="1968"/>
      <c r="J94" s="1968"/>
      <c r="K94" s="1968"/>
      <c r="L94" s="1968"/>
      <c r="M94" s="1968"/>
      <c r="N94" s="1968"/>
      <c r="O94" s="1968"/>
      <c r="P94" s="1968"/>
      <c r="Q94" s="1968"/>
      <c r="R94" s="1968"/>
      <c r="S94" s="1968"/>
      <c r="T94" s="1968"/>
      <c r="U94" s="1968"/>
      <c r="V94" s="1968"/>
      <c r="W94" s="1968"/>
      <c r="X94" s="1968"/>
      <c r="Y94" s="1968">
        <f>Y89-Y91</f>
        <v>2904190.2780241617</v>
      </c>
      <c r="Z94" s="1968"/>
      <c r="AA94" s="1968"/>
      <c r="AB94" s="1968"/>
      <c r="AC94" s="1968"/>
      <c r="AD94" s="1968">
        <f>AD89-AD91</f>
        <v>452900.95371284295</v>
      </c>
      <c r="AE94" s="1968"/>
      <c r="AF94" s="1968"/>
      <c r="AG94" s="1968"/>
      <c r="AH94" s="828"/>
      <c r="AI94" s="1968"/>
      <c r="AJ94" s="1968"/>
      <c r="AK94" s="1968"/>
      <c r="AL94" s="1968"/>
      <c r="AM94" s="1968"/>
      <c r="AN94" s="1968"/>
      <c r="AO94" s="1968"/>
      <c r="AP94" s="1968"/>
      <c r="AQ94" s="1968"/>
      <c r="AR94" s="1968"/>
      <c r="AS94" s="1968"/>
      <c r="AT94" s="1968"/>
      <c r="AU94" s="1968"/>
      <c r="AV94" s="1968"/>
      <c r="AW94" s="1968"/>
      <c r="AX94" s="1968"/>
      <c r="AY94" s="1968"/>
      <c r="AZ94" s="1968"/>
      <c r="BA94" s="1968"/>
      <c r="BB94" s="1968"/>
      <c r="BC94" s="1968"/>
      <c r="BD94" s="1968"/>
      <c r="BE94" s="1968"/>
      <c r="BF94" s="1968"/>
      <c r="BG94" s="1968"/>
      <c r="BH94" s="1968"/>
      <c r="BI94" s="1968"/>
      <c r="BJ94" s="1968"/>
      <c r="BK94" s="1968"/>
      <c r="BL94" s="1968"/>
      <c r="BM94" s="1968"/>
      <c r="BN94" s="1968"/>
      <c r="BO94" s="1968"/>
      <c r="BP94" s="1968"/>
      <c r="BQ94" s="1968"/>
      <c r="BR94" s="1968"/>
      <c r="BS94" s="1968"/>
      <c r="BT94" s="1968"/>
      <c r="BU94" s="1968"/>
      <c r="BV94" s="1968"/>
      <c r="BW94" s="1968"/>
      <c r="BX94" s="1968"/>
      <c r="BY94" s="1968"/>
      <c r="BZ94" s="1968"/>
      <c r="CA94" s="1968"/>
      <c r="CB94" s="1968"/>
      <c r="CC94" s="1968"/>
      <c r="CD94" s="1968"/>
      <c r="CE94" s="1968"/>
      <c r="CF94" s="1968"/>
      <c r="CG94" s="1968"/>
      <c r="CH94" s="1968"/>
      <c r="CI94" s="1968"/>
      <c r="CJ94" s="1968"/>
      <c r="CK94" s="1968"/>
      <c r="CL94" s="1968"/>
      <c r="CM94" s="1968"/>
      <c r="CN94" s="1968"/>
      <c r="CO94" s="1968"/>
      <c r="CP94" s="1968"/>
      <c r="CQ94" s="1968"/>
      <c r="CR94" s="1968"/>
      <c r="CS94" s="1968"/>
    </row>
    <row r="95" spans="1:98" s="1411" customFormat="1" x14ac:dyDescent="0.25">
      <c r="A95" s="1417"/>
      <c r="B95" s="1417"/>
      <c r="C95" s="1968"/>
      <c r="D95" s="1968"/>
      <c r="E95" s="1968"/>
      <c r="F95" s="1968"/>
      <c r="G95" s="1968"/>
      <c r="H95" s="1968"/>
      <c r="I95" s="1968"/>
      <c r="J95" s="1968"/>
      <c r="K95" s="1968"/>
      <c r="L95" s="1968"/>
      <c r="M95" s="1968"/>
      <c r="N95" s="1968"/>
      <c r="O95" s="1968"/>
      <c r="P95" s="1968"/>
      <c r="Q95" s="1968"/>
      <c r="R95" s="1968"/>
      <c r="S95" s="1968"/>
      <c r="T95" s="1968"/>
      <c r="U95" s="1968"/>
      <c r="V95" s="1968"/>
      <c r="W95" s="1968"/>
      <c r="X95" s="1968"/>
      <c r="Y95" s="1968"/>
      <c r="Z95" s="1968"/>
      <c r="AA95" s="1968"/>
      <c r="AB95" s="1968"/>
      <c r="AC95" s="1968"/>
      <c r="AD95" s="1968"/>
      <c r="AE95" s="1968"/>
      <c r="AF95" s="1968"/>
      <c r="AG95" s="1968"/>
      <c r="AH95" s="1968"/>
      <c r="AI95" s="1968"/>
      <c r="AJ95" s="1968"/>
      <c r="AK95" s="1968"/>
      <c r="AL95" s="1968"/>
      <c r="AM95" s="1968"/>
      <c r="AN95" s="1968"/>
      <c r="AO95" s="1968"/>
      <c r="AP95" s="1968"/>
      <c r="AQ95" s="1968"/>
      <c r="AR95" s="1968"/>
      <c r="AS95" s="1968"/>
      <c r="AT95" s="1968"/>
      <c r="AU95" s="1968"/>
      <c r="AV95" s="1968"/>
      <c r="AW95" s="1968"/>
      <c r="AX95" s="1968"/>
      <c r="AY95" s="1968"/>
      <c r="AZ95" s="1968"/>
      <c r="BA95" s="1968"/>
      <c r="BB95" s="1968"/>
      <c r="BC95" s="1968"/>
      <c r="BD95" s="1968"/>
      <c r="BE95" s="1968"/>
      <c r="BF95" s="1968"/>
      <c r="BG95" s="1968"/>
      <c r="BH95" s="1968"/>
      <c r="BI95" s="1968"/>
      <c r="BJ95" s="1968"/>
      <c r="BK95" s="1968"/>
      <c r="BL95" s="1968"/>
      <c r="BM95" s="1968"/>
      <c r="BN95" s="1968"/>
      <c r="BO95" s="1968"/>
      <c r="BP95" s="1968"/>
      <c r="BQ95" s="1968"/>
      <c r="BR95" s="1968"/>
      <c r="BS95" s="1968"/>
      <c r="BT95" s="1968"/>
      <c r="BU95" s="1968"/>
      <c r="BV95" s="1968"/>
      <c r="BW95" s="1968"/>
      <c r="BX95" s="1968"/>
      <c r="BY95" s="1968"/>
      <c r="BZ95" s="1968"/>
      <c r="CA95" s="1968"/>
      <c r="CB95" s="1968"/>
      <c r="CC95" s="1968"/>
      <c r="CD95" s="1968"/>
      <c r="CE95" s="1968"/>
      <c r="CF95" s="1968"/>
      <c r="CG95" s="1968"/>
      <c r="CH95" s="1968"/>
      <c r="CI95" s="1968"/>
      <c r="CJ95" s="1968"/>
      <c r="CK95" s="1968"/>
      <c r="CL95" s="1968"/>
      <c r="CM95" s="1968"/>
      <c r="CN95" s="1968"/>
      <c r="CO95" s="1968"/>
      <c r="CP95" s="1968"/>
      <c r="CQ95" s="1968"/>
      <c r="CR95" s="1968"/>
      <c r="CS95" s="1968"/>
    </row>
    <row r="96" spans="1:98" s="1411" customFormat="1" x14ac:dyDescent="0.25">
      <c r="A96" s="1417"/>
      <c r="B96" s="1417"/>
      <c r="C96" s="1968"/>
      <c r="D96" s="1968"/>
      <c r="E96" s="1968"/>
      <c r="F96" s="1968"/>
      <c r="G96" s="1968"/>
      <c r="H96" s="1968"/>
      <c r="I96" s="1968"/>
      <c r="J96" s="1968"/>
      <c r="K96" s="1968"/>
      <c r="L96" s="1968"/>
      <c r="M96" s="1968"/>
      <c r="N96" s="1968"/>
      <c r="O96" s="1968"/>
      <c r="P96" s="1968"/>
      <c r="Q96" s="1968"/>
      <c r="R96" s="1968"/>
      <c r="S96" s="1968"/>
      <c r="T96" s="1968"/>
      <c r="U96" s="1968"/>
      <c r="V96" s="1968"/>
      <c r="W96" s="1968"/>
      <c r="X96" s="1968"/>
      <c r="Y96" s="1968"/>
      <c r="Z96" s="1968"/>
      <c r="AA96" s="1968"/>
      <c r="AB96" s="1968"/>
      <c r="AC96" s="1968"/>
      <c r="AD96" s="1968"/>
      <c r="AE96" s="1968"/>
      <c r="AF96" s="1968"/>
      <c r="AG96" s="1968"/>
      <c r="AH96" s="1968"/>
      <c r="AI96" s="1968"/>
      <c r="AJ96" s="1968"/>
      <c r="AK96" s="1968"/>
      <c r="AL96" s="1968"/>
      <c r="AM96" s="1968"/>
      <c r="AN96" s="1968"/>
      <c r="AO96" s="1968"/>
      <c r="AP96" s="1968"/>
      <c r="AQ96" s="1968"/>
      <c r="AR96" s="1968"/>
      <c r="AS96" s="1968"/>
      <c r="AT96" s="1968"/>
      <c r="AU96" s="1968"/>
      <c r="AV96" s="1968"/>
      <c r="AW96" s="1968"/>
      <c r="AX96" s="1968"/>
      <c r="AY96" s="1968"/>
      <c r="AZ96" s="1968"/>
      <c r="BA96" s="1968"/>
      <c r="BB96" s="1968"/>
      <c r="BC96" s="1968"/>
      <c r="BD96" s="1968"/>
      <c r="BE96" s="1968"/>
      <c r="BF96" s="1968"/>
      <c r="BG96" s="1968"/>
      <c r="BH96" s="1968"/>
      <c r="BI96" s="1968"/>
      <c r="BJ96" s="1968"/>
      <c r="BK96" s="1968"/>
      <c r="BL96" s="1968"/>
      <c r="BM96" s="1968"/>
      <c r="BN96" s="1968"/>
      <c r="BO96" s="1968"/>
      <c r="BP96" s="1968"/>
      <c r="BQ96" s="1968"/>
      <c r="BR96" s="1968"/>
      <c r="BS96" s="1968"/>
      <c r="BT96" s="1968"/>
      <c r="BU96" s="1968"/>
      <c r="BV96" s="1968"/>
      <c r="BW96" s="1968"/>
      <c r="BX96" s="1968"/>
      <c r="BY96" s="1968"/>
      <c r="BZ96" s="1968"/>
      <c r="CA96" s="1968"/>
      <c r="CB96" s="1968"/>
      <c r="CC96" s="1968"/>
      <c r="CD96" s="1968"/>
      <c r="CE96" s="1968"/>
      <c r="CF96" s="1968"/>
      <c r="CG96" s="1968"/>
      <c r="CH96" s="1968"/>
      <c r="CI96" s="1968"/>
      <c r="CJ96" s="1968"/>
      <c r="CK96" s="1968"/>
      <c r="CL96" s="1968"/>
      <c r="CM96" s="1968"/>
      <c r="CN96" s="1968"/>
      <c r="CO96" s="1968"/>
      <c r="CP96" s="1968"/>
      <c r="CQ96" s="1968"/>
      <c r="CR96" s="1968"/>
      <c r="CS96" s="1968"/>
    </row>
    <row r="97" spans="1:97" s="1411" customFormat="1" x14ac:dyDescent="0.25">
      <c r="A97" s="1417"/>
      <c r="B97" s="1417"/>
      <c r="C97" s="1968"/>
      <c r="D97" s="1968"/>
      <c r="E97" s="1968"/>
      <c r="F97" s="1968"/>
      <c r="G97" s="1968"/>
      <c r="H97" s="1968"/>
      <c r="I97" s="1968"/>
      <c r="J97" s="1968"/>
      <c r="K97" s="1968"/>
      <c r="L97" s="1968"/>
      <c r="M97" s="1968"/>
      <c r="N97" s="1968"/>
      <c r="O97" s="1968"/>
      <c r="P97" s="1968"/>
      <c r="Q97" s="1968"/>
      <c r="R97" s="1968"/>
      <c r="S97" s="1968"/>
      <c r="T97" s="1968"/>
      <c r="U97" s="1968"/>
      <c r="V97" s="1968"/>
      <c r="W97" s="1968"/>
      <c r="X97" s="1968"/>
      <c r="Y97" s="1968"/>
      <c r="Z97" s="1968"/>
      <c r="AA97" s="1968"/>
      <c r="AB97" s="1968"/>
      <c r="AC97" s="1968"/>
      <c r="AD97" s="1968"/>
      <c r="AE97" s="1968"/>
      <c r="AF97" s="1968"/>
      <c r="AG97" s="1968"/>
      <c r="AH97" s="1968"/>
      <c r="AI97" s="1968"/>
      <c r="AJ97" s="1968"/>
      <c r="AK97" s="1968"/>
      <c r="AL97" s="1968"/>
      <c r="AM97" s="1968"/>
      <c r="AN97" s="1968"/>
      <c r="AO97" s="1968"/>
      <c r="AP97" s="1968"/>
      <c r="AQ97" s="1968"/>
      <c r="AR97" s="1968"/>
      <c r="AS97" s="1968"/>
      <c r="AT97" s="1968"/>
      <c r="AU97" s="1968"/>
      <c r="AV97" s="1968"/>
      <c r="AW97" s="1968"/>
      <c r="AX97" s="1968"/>
      <c r="AY97" s="1968"/>
      <c r="AZ97" s="1968"/>
      <c r="BA97" s="1968"/>
      <c r="BB97" s="1968"/>
      <c r="BC97" s="1968"/>
      <c r="BD97" s="1968"/>
      <c r="BE97" s="1968"/>
      <c r="BF97" s="1968"/>
      <c r="BG97" s="1968"/>
      <c r="BH97" s="1968"/>
      <c r="BI97" s="1968"/>
      <c r="BJ97" s="1968"/>
      <c r="BK97" s="1968"/>
      <c r="BL97" s="1968"/>
      <c r="BM97" s="1968"/>
      <c r="BN97" s="1968"/>
      <c r="BO97" s="1968"/>
      <c r="BP97" s="1968"/>
      <c r="BQ97" s="1968"/>
      <c r="BR97" s="1968"/>
      <c r="BS97" s="1968"/>
      <c r="BT97" s="1968"/>
      <c r="BU97" s="1968"/>
      <c r="BV97" s="1968"/>
      <c r="BW97" s="1968"/>
      <c r="BX97" s="1968"/>
      <c r="BY97" s="1968"/>
      <c r="BZ97" s="1968"/>
      <c r="CA97" s="1968"/>
      <c r="CB97" s="1968"/>
      <c r="CC97" s="1968"/>
      <c r="CD97" s="1968"/>
      <c r="CE97" s="1968"/>
      <c r="CF97" s="1968"/>
      <c r="CG97" s="1968"/>
      <c r="CH97" s="1968"/>
      <c r="CI97" s="1968"/>
      <c r="CJ97" s="1968"/>
      <c r="CK97" s="1968"/>
      <c r="CL97" s="1968"/>
      <c r="CM97" s="1968"/>
      <c r="CN97" s="1968"/>
      <c r="CO97" s="1968"/>
      <c r="CP97" s="1968"/>
      <c r="CQ97" s="1968"/>
      <c r="CR97" s="1968"/>
      <c r="CS97" s="1968"/>
    </row>
    <row r="98" spans="1:97" s="1411" customFormat="1" x14ac:dyDescent="0.25">
      <c r="A98" s="1417"/>
      <c r="B98" s="1417"/>
      <c r="C98" s="1968"/>
      <c r="D98" s="1968"/>
      <c r="E98" s="1968"/>
      <c r="F98" s="1968"/>
      <c r="G98" s="1968"/>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O98" s="1968"/>
      <c r="CP98" s="1968"/>
      <c r="CQ98" s="1968"/>
      <c r="CR98" s="1968"/>
      <c r="CS98" s="1968"/>
    </row>
    <row r="99" spans="1:97" s="1411" customFormat="1" x14ac:dyDescent="0.25">
      <c r="A99" s="1417"/>
      <c r="B99" s="1417"/>
      <c r="C99" s="1968"/>
      <c r="D99" s="1968"/>
      <c r="E99" s="1968"/>
      <c r="F99" s="1968"/>
      <c r="G99" s="1968"/>
      <c r="H99" s="1968"/>
      <c r="I99" s="1968"/>
      <c r="J99" s="1968"/>
      <c r="K99" s="1968"/>
      <c r="L99" s="1968"/>
      <c r="M99" s="1968"/>
      <c r="N99" s="1968"/>
      <c r="O99" s="1968"/>
      <c r="P99" s="1968"/>
      <c r="Q99" s="1968"/>
      <c r="R99" s="1968"/>
      <c r="S99" s="1968"/>
      <c r="T99" s="1968"/>
      <c r="U99" s="1968"/>
      <c r="V99" s="1968"/>
      <c r="W99" s="1968"/>
      <c r="X99" s="1968"/>
      <c r="Y99" s="1968"/>
      <c r="Z99" s="1968"/>
      <c r="AA99" s="1968"/>
      <c r="AB99" s="1968"/>
      <c r="AC99" s="1968"/>
      <c r="AD99" s="1968"/>
      <c r="AE99" s="1968"/>
      <c r="AF99" s="1968"/>
      <c r="AG99" s="1968"/>
      <c r="AH99" s="1968"/>
      <c r="AI99" s="1968"/>
      <c r="AJ99" s="1968"/>
      <c r="AK99" s="1968"/>
      <c r="AL99" s="1968"/>
      <c r="AM99" s="1968"/>
      <c r="AN99" s="1968"/>
      <c r="AO99" s="1968"/>
      <c r="AP99" s="1968"/>
      <c r="AQ99" s="1968"/>
      <c r="AR99" s="1968"/>
      <c r="AS99" s="1968"/>
      <c r="AT99" s="1968"/>
      <c r="AU99" s="1968"/>
      <c r="AV99" s="1968"/>
      <c r="AW99" s="1968"/>
      <c r="AX99" s="1968"/>
      <c r="AY99" s="1968"/>
      <c r="AZ99" s="1968"/>
      <c r="BA99" s="1968"/>
      <c r="BB99" s="1968"/>
      <c r="BC99" s="1968"/>
      <c r="BD99" s="1968"/>
      <c r="BE99" s="1968"/>
      <c r="BF99" s="1968"/>
      <c r="BG99" s="1968"/>
      <c r="BH99" s="1968"/>
      <c r="BI99" s="1968"/>
      <c r="BJ99" s="1968"/>
      <c r="BK99" s="1968"/>
      <c r="BL99" s="1968"/>
      <c r="BM99" s="1968"/>
      <c r="BN99" s="1968"/>
      <c r="BO99" s="1968"/>
      <c r="BP99" s="1968"/>
      <c r="BQ99" s="1968"/>
      <c r="BR99" s="1968"/>
      <c r="BS99" s="1968"/>
      <c r="BT99" s="1968"/>
      <c r="BU99" s="1968"/>
      <c r="BV99" s="1968"/>
      <c r="BW99" s="1968"/>
      <c r="BX99" s="1968"/>
      <c r="BY99" s="1968"/>
      <c r="BZ99" s="1968"/>
      <c r="CA99" s="1968"/>
      <c r="CB99" s="1968"/>
      <c r="CC99" s="1968"/>
      <c r="CD99" s="1968"/>
      <c r="CE99" s="1968"/>
      <c r="CF99" s="1968"/>
      <c r="CG99" s="1968"/>
      <c r="CH99" s="1968"/>
      <c r="CI99" s="1968"/>
      <c r="CJ99" s="1968"/>
      <c r="CK99" s="1968"/>
      <c r="CL99" s="1968"/>
      <c r="CM99" s="1968"/>
      <c r="CN99" s="1968"/>
      <c r="CO99" s="1968"/>
      <c r="CP99" s="1968"/>
      <c r="CQ99" s="1968"/>
      <c r="CR99" s="1968"/>
      <c r="CS99" s="1968"/>
    </row>
    <row r="100" spans="1:97" s="1411" customFormat="1" x14ac:dyDescent="0.25">
      <c r="A100" s="1417"/>
      <c r="B100" s="1417"/>
      <c r="C100" s="1968"/>
      <c r="D100" s="1968"/>
      <c r="E100" s="1968"/>
      <c r="F100" s="1968"/>
      <c r="G100" s="1968"/>
      <c r="H100" s="1968"/>
      <c r="I100" s="1968"/>
      <c r="J100" s="1968"/>
      <c r="K100" s="1968"/>
      <c r="L100" s="1968"/>
      <c r="M100" s="1968"/>
      <c r="N100" s="1968"/>
      <c r="O100" s="1968"/>
      <c r="P100" s="1968"/>
      <c r="Q100" s="1968"/>
      <c r="R100" s="1968"/>
      <c r="S100" s="1968"/>
      <c r="T100" s="1968"/>
      <c r="U100" s="1968"/>
      <c r="V100" s="1968"/>
      <c r="W100" s="1968"/>
      <c r="X100" s="1968"/>
      <c r="Y100" s="1968"/>
      <c r="Z100" s="1968"/>
      <c r="AA100" s="1968"/>
      <c r="AB100" s="1968"/>
      <c r="AC100" s="1968"/>
      <c r="AD100" s="1968"/>
      <c r="AE100" s="1968"/>
      <c r="AF100" s="1968"/>
      <c r="AG100" s="1968"/>
      <c r="AH100" s="1968"/>
      <c r="AI100" s="1968"/>
      <c r="AJ100" s="1968"/>
      <c r="AK100" s="1968"/>
      <c r="AL100" s="1968"/>
      <c r="AM100" s="1968"/>
      <c r="AN100" s="1968"/>
      <c r="AO100" s="1968"/>
      <c r="AP100" s="1968"/>
      <c r="AQ100" s="1968"/>
      <c r="AR100" s="1968"/>
      <c r="AS100" s="1968"/>
      <c r="AT100" s="1968"/>
      <c r="AU100" s="1968"/>
      <c r="AV100" s="1968"/>
      <c r="AW100" s="1968"/>
      <c r="AX100" s="1968"/>
      <c r="AY100" s="1968"/>
      <c r="AZ100" s="1968"/>
      <c r="BA100" s="1968"/>
      <c r="BB100" s="1968"/>
      <c r="BC100" s="1968"/>
      <c r="BD100" s="1968"/>
      <c r="BE100" s="1968"/>
      <c r="BF100" s="1968"/>
      <c r="BG100" s="1968"/>
      <c r="BH100" s="1968"/>
      <c r="BI100" s="1968"/>
      <c r="BJ100" s="1968"/>
      <c r="BK100" s="1968"/>
      <c r="BL100" s="1968"/>
      <c r="BM100" s="1968"/>
      <c r="BN100" s="1968"/>
      <c r="BO100" s="1968"/>
      <c r="BP100" s="1968"/>
      <c r="BQ100" s="1968"/>
      <c r="BR100" s="1968"/>
      <c r="BS100" s="1968"/>
      <c r="BT100" s="1968"/>
      <c r="BU100" s="1968"/>
      <c r="BV100" s="1968"/>
      <c r="BW100" s="1968"/>
      <c r="BX100" s="1968"/>
      <c r="BY100" s="1968"/>
      <c r="BZ100" s="1968"/>
      <c r="CA100" s="1968"/>
      <c r="CB100" s="1968"/>
      <c r="CC100" s="1968"/>
      <c r="CD100" s="1968"/>
      <c r="CE100" s="1968"/>
      <c r="CF100" s="1968"/>
      <c r="CG100" s="1968"/>
      <c r="CH100" s="1968"/>
      <c r="CI100" s="1968"/>
      <c r="CJ100" s="1968"/>
      <c r="CK100" s="1968"/>
      <c r="CL100" s="1968"/>
      <c r="CM100" s="1968"/>
      <c r="CN100" s="1968"/>
      <c r="CO100" s="1968"/>
      <c r="CP100" s="1968"/>
      <c r="CQ100" s="1968"/>
      <c r="CR100" s="1968"/>
      <c r="CS100" s="1968"/>
    </row>
    <row r="101" spans="1:97" s="1411" customFormat="1" x14ac:dyDescent="0.25">
      <c r="A101" s="1417"/>
      <c r="B101" s="1417"/>
      <c r="C101" s="1968"/>
      <c r="D101" s="1968">
        <f>D78-D79-'MAN №5 Тент МД'!H36</f>
        <v>0</v>
      </c>
      <c r="E101" s="1968"/>
      <c r="F101" s="1968"/>
      <c r="G101" s="1968"/>
      <c r="H101" s="1968"/>
      <c r="I101" s="1968"/>
      <c r="J101" s="1968"/>
      <c r="K101" s="1968"/>
      <c r="L101" s="1968"/>
      <c r="M101" s="1968"/>
      <c r="N101" s="1968"/>
      <c r="O101" s="1968"/>
      <c r="P101" s="1968"/>
      <c r="Q101" s="1968"/>
      <c r="R101" s="1968"/>
      <c r="S101" s="1968"/>
      <c r="T101" s="1968"/>
      <c r="U101" s="1968"/>
      <c r="V101" s="1968"/>
      <c r="W101" s="1968"/>
      <c r="X101" s="1968"/>
      <c r="Y101" s="1968"/>
      <c r="Z101" s="1968"/>
      <c r="AA101" s="1968"/>
      <c r="AB101" s="1968"/>
      <c r="AC101" s="1968"/>
      <c r="AD101" s="1968"/>
      <c r="AE101" s="1968"/>
      <c r="AF101" s="1968"/>
      <c r="AG101" s="1968"/>
      <c r="AH101" s="1968"/>
      <c r="AI101" s="1968"/>
      <c r="AJ101" s="1968"/>
      <c r="AK101" s="1968"/>
      <c r="AL101" s="1968"/>
      <c r="AM101" s="1968"/>
      <c r="AN101" s="1968"/>
      <c r="AO101" s="1968"/>
      <c r="AP101" s="1968"/>
      <c r="AQ101" s="1968"/>
      <c r="AR101" s="1968"/>
      <c r="AS101" s="1968"/>
      <c r="AT101" s="1968"/>
      <c r="AU101" s="1968"/>
      <c r="AV101" s="1968"/>
      <c r="AW101" s="1968"/>
      <c r="AX101" s="1968"/>
      <c r="AY101" s="1968"/>
      <c r="AZ101" s="1968"/>
      <c r="BA101" s="1968"/>
      <c r="BB101" s="1968"/>
      <c r="BC101" s="1968"/>
      <c r="BD101" s="1968"/>
      <c r="BE101" s="1968"/>
      <c r="BF101" s="1968"/>
      <c r="BG101" s="1968"/>
      <c r="BH101" s="1968"/>
      <c r="BI101" s="1968"/>
      <c r="BJ101" s="1968"/>
      <c r="BK101" s="1968"/>
      <c r="BL101" s="1968"/>
      <c r="BM101" s="1968"/>
      <c r="BN101" s="1968"/>
      <c r="BO101" s="1968"/>
      <c r="BP101" s="1968"/>
      <c r="BQ101" s="1968"/>
      <c r="BR101" s="1968"/>
      <c r="BS101" s="1968"/>
      <c r="BT101" s="1968"/>
      <c r="BU101" s="1968"/>
      <c r="BV101" s="1968"/>
      <c r="BW101" s="1968"/>
      <c r="BX101" s="1968"/>
      <c r="BY101" s="1968"/>
      <c r="BZ101" s="1968"/>
      <c r="CA101" s="1968"/>
      <c r="CB101" s="1968"/>
      <c r="CC101" s="1968"/>
      <c r="CD101" s="1968"/>
      <c r="CE101" s="1968"/>
      <c r="CF101" s="1968"/>
      <c r="CG101" s="1968"/>
      <c r="CH101" s="1968"/>
      <c r="CI101" s="1968"/>
      <c r="CJ101" s="1968"/>
      <c r="CK101" s="1968"/>
      <c r="CL101" s="1968"/>
      <c r="CM101" s="1968"/>
      <c r="CN101" s="1968"/>
      <c r="CO101" s="1968"/>
      <c r="CP101" s="1968"/>
      <c r="CQ101" s="1968"/>
      <c r="CR101" s="1968"/>
      <c r="CS101" s="1968"/>
    </row>
    <row r="103" spans="1:97" s="1411" customFormat="1" x14ac:dyDescent="0.25">
      <c r="A103" s="1417"/>
      <c r="B103" s="1417"/>
      <c r="C103" s="1968"/>
      <c r="D103" s="1968"/>
      <c r="E103" s="1968"/>
      <c r="F103" s="1968"/>
      <c r="G103" s="1968"/>
      <c r="H103" s="1968"/>
      <c r="I103" s="1968"/>
      <c r="J103" s="1968"/>
      <c r="K103" s="1968"/>
      <c r="L103" s="1968"/>
      <c r="M103" s="1968"/>
      <c r="N103" s="1968"/>
      <c r="O103" s="1968"/>
      <c r="P103" s="1968"/>
      <c r="Q103" s="1968"/>
      <c r="R103" s="1968"/>
      <c r="S103" s="1968"/>
      <c r="T103" s="1968"/>
      <c r="U103" s="1968"/>
      <c r="V103" s="1968"/>
      <c r="W103" s="1968"/>
      <c r="X103" s="1968"/>
      <c r="Y103" s="1968"/>
      <c r="Z103" s="1968"/>
      <c r="AA103" s="1968"/>
      <c r="AB103" s="1968"/>
      <c r="AC103" s="1968"/>
      <c r="AD103" s="1968"/>
      <c r="AE103" s="1968"/>
      <c r="AF103" s="1968"/>
      <c r="AG103" s="1968"/>
      <c r="AH103" s="1968"/>
      <c r="AI103" s="1968"/>
      <c r="AJ103" s="1968"/>
      <c r="AK103" s="1968"/>
      <c r="AL103" s="1968"/>
      <c r="AM103" s="1968"/>
      <c r="AN103" s="1968"/>
      <c r="AO103" s="1968"/>
      <c r="AP103" s="1968"/>
      <c r="AQ103" s="1968"/>
      <c r="AR103" s="1968"/>
      <c r="AS103" s="1968"/>
      <c r="AT103" s="1968"/>
      <c r="AU103" s="1968"/>
      <c r="AV103" s="1968"/>
      <c r="AW103" s="1968"/>
      <c r="AX103" s="1968"/>
      <c r="AY103" s="1968"/>
      <c r="AZ103" s="1968"/>
      <c r="BA103" s="1968"/>
      <c r="BB103" s="1968"/>
      <c r="BC103" s="1968"/>
      <c r="BD103" s="1968"/>
      <c r="BE103" s="1968"/>
      <c r="BF103" s="1968"/>
      <c r="BG103" s="1968"/>
      <c r="BH103" s="1968"/>
      <c r="BI103" s="1968"/>
      <c r="BJ103" s="1968"/>
      <c r="BK103" s="1968"/>
      <c r="BL103" s="1968"/>
      <c r="BM103" s="1968"/>
      <c r="BN103" s="1968"/>
      <c r="BO103" s="1968"/>
      <c r="BP103" s="1968"/>
      <c r="BQ103" s="1968"/>
      <c r="BR103" s="1968"/>
      <c r="BS103" s="1968"/>
      <c r="BT103" s="1968"/>
      <c r="BU103" s="1968"/>
      <c r="BV103" s="1968"/>
      <c r="BW103" s="1968"/>
      <c r="BX103" s="1968"/>
      <c r="BY103" s="1968"/>
      <c r="BZ103" s="1968"/>
      <c r="CA103" s="1968"/>
      <c r="CB103" s="1968"/>
      <c r="CC103" s="1968"/>
      <c r="CD103" s="1968"/>
      <c r="CE103" s="1968"/>
      <c r="CF103" s="1968"/>
      <c r="CG103" s="1968"/>
      <c r="CH103" s="1968"/>
      <c r="CI103" s="1968"/>
      <c r="CJ103" s="1968"/>
      <c r="CK103" s="1968"/>
      <c r="CL103" s="1968"/>
      <c r="CM103" s="1968"/>
      <c r="CN103" s="1968"/>
      <c r="CO103" s="1968"/>
      <c r="CP103" s="1968"/>
      <c r="CQ103" s="1968"/>
      <c r="CR103" s="1968"/>
      <c r="CS103" s="1968"/>
    </row>
  </sheetData>
  <mergeCells count="22">
    <mergeCell ref="A42:A48"/>
    <mergeCell ref="A2:B2"/>
    <mergeCell ref="C2:F3"/>
    <mergeCell ref="M2:Q3"/>
    <mergeCell ref="R2:V3"/>
    <mergeCell ref="H2:L3"/>
    <mergeCell ref="A3:B3"/>
    <mergeCell ref="AL2:AP3"/>
    <mergeCell ref="AQ2:AU3"/>
    <mergeCell ref="AV2:AZ3"/>
    <mergeCell ref="W2:AA3"/>
    <mergeCell ref="CO2:CS3"/>
    <mergeCell ref="CJ2:CN3"/>
    <mergeCell ref="BA2:BE3"/>
    <mergeCell ref="AG2:AK3"/>
    <mergeCell ref="AB2:AF3"/>
    <mergeCell ref="BF2:BJ3"/>
    <mergeCell ref="BK2:BO3"/>
    <mergeCell ref="BP2:BT3"/>
    <mergeCell ref="BU2:BY3"/>
    <mergeCell ref="BZ2:CD3"/>
    <mergeCell ref="CE2:CI3"/>
  </mergeCells>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6" tint="0.59999389629810485"/>
  </sheetPr>
  <dimension ref="A1:DR98"/>
  <sheetViews>
    <sheetView topLeftCell="B1" zoomScale="85" zoomScaleNormal="85" workbookViewId="0">
      <pane xSplit="1" ySplit="4" topLeftCell="BE74" activePane="bottomRight" state="frozen"/>
      <selection activeCell="G23" sqref="G23:G24"/>
      <selection pane="topRight" activeCell="G23" sqref="G23:G24"/>
      <selection pane="bottomLeft" activeCell="G23" sqref="G23:G24"/>
      <selection pane="bottomRight" activeCell="BR86" sqref="BR86"/>
    </sheetView>
  </sheetViews>
  <sheetFormatPr defaultColWidth="7.44140625" defaultRowHeight="13.2" outlineLevelCol="1" x14ac:dyDescent="0.25"/>
  <cols>
    <col min="1" max="1" width="5.5546875" style="1417" customWidth="1"/>
    <col min="2" max="2" width="47.44140625" style="1417" customWidth="1"/>
    <col min="3" max="7" width="14.33203125" style="1417" hidden="1" customWidth="1" outlineLevel="1"/>
    <col min="8" max="10" width="16.33203125" style="1968" hidden="1" customWidth="1" outlineLevel="1"/>
    <col min="11" max="11" width="9" style="1968" hidden="1" customWidth="1" outlineLevel="1"/>
    <col min="12" max="12" width="33.5546875" style="1968" hidden="1" customWidth="1" outlineLevel="1"/>
    <col min="13" max="13" width="15.6640625" style="1968" hidden="1" customWidth="1" outlineLevel="1"/>
    <col min="14" max="14" width="17.5546875" style="1968" hidden="1" customWidth="1" outlineLevel="1"/>
    <col min="15" max="15" width="22.33203125" style="1968" hidden="1" customWidth="1" outlineLevel="1"/>
    <col min="16" max="16" width="16.33203125" style="1968" hidden="1" customWidth="1" outlineLevel="1"/>
    <col min="17" max="17" width="42.88671875" style="1968" hidden="1" customWidth="1" outlineLevel="1"/>
    <col min="18" max="18" width="23.33203125" style="1968" hidden="1" customWidth="1" outlineLevel="1"/>
    <col min="19" max="19" width="22.109375" style="1968" hidden="1" customWidth="1" outlineLevel="1"/>
    <col min="20" max="20" width="12.6640625" style="1968" hidden="1" customWidth="1" outlineLevel="1"/>
    <col min="21" max="21" width="14.44140625" style="1968" hidden="1" customWidth="1" outlineLevel="1"/>
    <col min="22" max="22" width="39.33203125" style="1968" hidden="1" customWidth="1" outlineLevel="1"/>
    <col min="23" max="23" width="23.33203125" style="1968" hidden="1" customWidth="1" outlineLevel="1"/>
    <col min="24" max="24" width="22.109375" style="1968" hidden="1" customWidth="1" outlineLevel="1"/>
    <col min="25" max="25" width="12.6640625" style="1968" hidden="1" customWidth="1" outlineLevel="1"/>
    <col min="26" max="26" width="14.44140625" style="1968" hidden="1" customWidth="1" outlineLevel="1"/>
    <col min="27" max="27" width="39.33203125" style="1968" hidden="1" customWidth="1" outlineLevel="1"/>
    <col min="28" max="28" width="14.6640625" style="1968" hidden="1" customWidth="1" outlineLevel="1"/>
    <col min="29" max="29" width="19.6640625" style="1968" hidden="1" customWidth="1" outlineLevel="1"/>
    <col min="30" max="30" width="17" style="1968" hidden="1" customWidth="1" outlineLevel="1"/>
    <col min="31" max="31" width="11.109375" style="1968" hidden="1" customWidth="1" outlineLevel="1"/>
    <col min="32" max="32" width="39.33203125" style="1968" hidden="1" customWidth="1" outlineLevel="1"/>
    <col min="33" max="35" width="21.44140625" style="1968" hidden="1" customWidth="1" outlineLevel="1"/>
    <col min="36" max="36" width="16" style="1968" hidden="1" customWidth="1" outlineLevel="1"/>
    <col min="37" max="37" width="28" style="1968" hidden="1" customWidth="1" outlineLevel="1"/>
    <col min="38" max="41" width="21.44140625" style="1968" hidden="1" customWidth="1" outlineLevel="1"/>
    <col min="42" max="42" width="30.6640625" style="1968" hidden="1" customWidth="1" outlineLevel="1"/>
    <col min="43" max="43" width="21.44140625" style="1968" hidden="1" customWidth="1" outlineLevel="1"/>
    <col min="44" max="44" width="19" style="1968" hidden="1" customWidth="1" outlineLevel="1"/>
    <col min="45" max="45" width="21.44140625" style="1968" hidden="1" customWidth="1" outlineLevel="1"/>
    <col min="46" max="46" width="15.5546875" style="1968" hidden="1" customWidth="1" outlineLevel="1"/>
    <col min="47" max="47" width="21.44140625" style="1968" hidden="1" customWidth="1" outlineLevel="1"/>
    <col min="48" max="48" width="13.109375" style="1968" hidden="1" customWidth="1" outlineLevel="1" collapsed="1"/>
    <col min="49" max="52" width="13.109375" style="1968" hidden="1" customWidth="1" outlineLevel="1"/>
    <col min="53" max="53" width="13.109375" style="1968" customWidth="1" collapsed="1"/>
    <col min="54" max="57" width="13.109375" style="1968" customWidth="1"/>
    <col min="58" max="60" width="13.109375" style="1968" hidden="1" customWidth="1" outlineLevel="1"/>
    <col min="61" max="61" width="9" style="1968" hidden="1" customWidth="1" outlineLevel="1"/>
    <col min="62" max="62" width="32" style="1968" hidden="1" customWidth="1" outlineLevel="1"/>
    <col min="63" max="63" width="14.33203125" style="1968" hidden="1" customWidth="1" outlineLevel="1" collapsed="1"/>
    <col min="64" max="66" width="13.88671875" style="1968" hidden="1" customWidth="1" outlineLevel="1"/>
    <col min="67" max="67" width="31.88671875" style="1968" hidden="1" customWidth="1" outlineLevel="1"/>
    <col min="68" max="68" width="13.88671875" style="1968" customWidth="1" collapsed="1"/>
    <col min="69" max="71" width="13.88671875" style="1968" customWidth="1"/>
    <col min="72" max="72" width="31.88671875" style="1968" customWidth="1"/>
    <col min="73" max="76" width="13.88671875" style="1968" hidden="1" customWidth="1" outlineLevel="1"/>
    <col min="77" max="77" width="23.6640625" style="1968" hidden="1" customWidth="1" outlineLevel="1"/>
    <col min="78" max="81" width="13.88671875" style="1968" hidden="1" customWidth="1" outlineLevel="1"/>
    <col min="82" max="82" width="36.109375" style="1968" hidden="1" customWidth="1" outlineLevel="1"/>
    <col min="83" max="86" width="13.88671875" style="1968" hidden="1" customWidth="1" outlineLevel="1"/>
    <col min="87" max="87" width="36.109375" style="1968" hidden="1" customWidth="1" outlineLevel="1"/>
    <col min="88" max="88" width="13.88671875" style="1968" hidden="1" customWidth="1" outlineLevel="1" collapsed="1"/>
    <col min="89" max="89" width="13.88671875" style="1968" hidden="1" customWidth="1" outlineLevel="1"/>
    <col min="90" max="90" width="13.6640625" style="1968" hidden="1" customWidth="1" outlineLevel="1"/>
    <col min="91" max="91" width="13.88671875" style="1968" hidden="1" customWidth="1" outlineLevel="1"/>
    <col min="92" max="92" width="21.109375" style="1968" hidden="1" customWidth="1" outlineLevel="1"/>
    <col min="93" max="96" width="13.6640625" style="1968" hidden="1" customWidth="1" outlineLevel="1"/>
    <col min="97" max="97" width="21.33203125" style="1968" hidden="1" customWidth="1" outlineLevel="1"/>
    <col min="98" max="98" width="13.6640625" style="1968" hidden="1" customWidth="1" outlineLevel="1" collapsed="1"/>
    <col min="99" max="102" width="13.6640625" style="1968" hidden="1" customWidth="1" outlineLevel="1"/>
    <col min="103" max="103" width="13.6640625" style="1968" hidden="1" customWidth="1" outlineLevel="1" collapsed="1"/>
    <col min="104" max="107" width="13.6640625" style="1968" hidden="1" customWidth="1" outlineLevel="1"/>
    <col min="108" max="108" width="13.6640625" style="1968" hidden="1" customWidth="1" outlineLevel="1" collapsed="1"/>
    <col min="109" max="111" width="13.6640625" style="1968" hidden="1" customWidth="1" outlineLevel="1"/>
    <col min="112" max="112" width="20.33203125" style="1968" hidden="1" customWidth="1" outlineLevel="1"/>
    <col min="113" max="113" width="13.6640625" style="1968" hidden="1" customWidth="1" outlineLevel="1" collapsed="1"/>
    <col min="114" max="116" width="13.6640625" style="1968" hidden="1" customWidth="1" outlineLevel="1"/>
    <col min="117" max="117" width="25.6640625" style="1968" hidden="1" customWidth="1" outlineLevel="1"/>
    <col min="118" max="118" width="16.33203125" style="1968" customWidth="1" collapsed="1"/>
    <col min="119" max="120" width="16.33203125" style="1968" customWidth="1"/>
    <col min="121" max="121" width="9" style="1968" customWidth="1"/>
    <col min="122" max="122" width="16.33203125" style="1968" customWidth="1"/>
    <col min="123" max="16384" width="7.44140625" style="1410"/>
  </cols>
  <sheetData>
    <row r="1" spans="1:122" ht="13.8" thickBot="1" x14ac:dyDescent="0.3"/>
    <row r="2" spans="1:122" ht="14.4" customHeight="1" x14ac:dyDescent="0.25">
      <c r="A2" s="4016" t="s">
        <v>468</v>
      </c>
      <c r="B2" s="4017"/>
      <c r="C2" s="4016" t="s">
        <v>969</v>
      </c>
      <c r="D2" s="4017"/>
      <c r="E2" s="4017"/>
      <c r="F2" s="4017"/>
      <c r="G2" s="4018"/>
      <c r="H2" s="4197" t="s">
        <v>970</v>
      </c>
      <c r="I2" s="4198"/>
      <c r="J2" s="4198"/>
      <c r="K2" s="4198"/>
      <c r="L2" s="4199"/>
      <c r="M2" s="4019" t="s">
        <v>1014</v>
      </c>
      <c r="N2" s="4020"/>
      <c r="O2" s="4020"/>
      <c r="P2" s="4020"/>
      <c r="Q2" s="3265"/>
      <c r="R2" s="4019" t="s">
        <v>1075</v>
      </c>
      <c r="S2" s="4020"/>
      <c r="T2" s="4020"/>
      <c r="U2" s="4020"/>
      <c r="V2" s="4041"/>
      <c r="W2" s="4140" t="s">
        <v>1079</v>
      </c>
      <c r="X2" s="4141"/>
      <c r="Y2" s="4141"/>
      <c r="Z2" s="4141"/>
      <c r="AA2" s="3267"/>
      <c r="AB2" s="4043" t="s">
        <v>1161</v>
      </c>
      <c r="AC2" s="4044"/>
      <c r="AD2" s="4044"/>
      <c r="AE2" s="4044"/>
      <c r="AF2" s="3269"/>
      <c r="AG2" s="4053" t="s">
        <v>1303</v>
      </c>
      <c r="AH2" s="4054"/>
      <c r="AI2" s="4054"/>
      <c r="AJ2" s="4054"/>
      <c r="AK2" s="3271"/>
      <c r="AL2" s="4368" t="s">
        <v>1383</v>
      </c>
      <c r="AM2" s="4369"/>
      <c r="AN2" s="4369"/>
      <c r="AO2" s="4369"/>
      <c r="AP2" s="4370"/>
      <c r="AQ2" s="4053" t="s">
        <v>1470</v>
      </c>
      <c r="AR2" s="4054"/>
      <c r="AS2" s="4054"/>
      <c r="AT2" s="4054"/>
      <c r="AU2" s="4055"/>
      <c r="AV2" s="4059" t="s">
        <v>1668</v>
      </c>
      <c r="AW2" s="4060"/>
      <c r="AX2" s="4060"/>
      <c r="AY2" s="4060"/>
      <c r="AZ2" s="4061"/>
      <c r="BA2" s="4083">
        <v>2024</v>
      </c>
      <c r="BB2" s="4084"/>
      <c r="BC2" s="4084"/>
      <c r="BD2" s="4084"/>
      <c r="BE2" s="4085"/>
      <c r="BF2" s="4256">
        <v>45292</v>
      </c>
      <c r="BG2" s="4024"/>
      <c r="BH2" s="4024"/>
      <c r="BI2" s="4024"/>
      <c r="BJ2" s="4025"/>
      <c r="BK2" s="4269">
        <v>45323</v>
      </c>
      <c r="BL2" s="4270"/>
      <c r="BM2" s="4270"/>
      <c r="BN2" s="4270"/>
      <c r="BO2" s="4271"/>
      <c r="BP2" s="4276">
        <v>45352</v>
      </c>
      <c r="BQ2" s="4204"/>
      <c r="BR2" s="4204"/>
      <c r="BS2" s="4204"/>
      <c r="BT2" s="4205"/>
      <c r="BU2" s="4277">
        <v>45383</v>
      </c>
      <c r="BV2" s="4278"/>
      <c r="BW2" s="4278"/>
      <c r="BX2" s="4278"/>
      <c r="BY2" s="4279"/>
      <c r="BZ2" s="4290">
        <v>45413</v>
      </c>
      <c r="CA2" s="4291"/>
      <c r="CB2" s="4291"/>
      <c r="CC2" s="4291"/>
      <c r="CD2" s="4292"/>
      <c r="CE2" s="4283">
        <v>45444</v>
      </c>
      <c r="CF2" s="4072"/>
      <c r="CG2" s="4072"/>
      <c r="CH2" s="4072"/>
      <c r="CI2" s="4073"/>
      <c r="CJ2" s="4376">
        <v>45474</v>
      </c>
      <c r="CK2" s="4054"/>
      <c r="CL2" s="4054"/>
      <c r="CM2" s="4054"/>
      <c r="CN2" s="4055"/>
      <c r="CO2" s="4356">
        <v>45505</v>
      </c>
      <c r="CP2" s="4357"/>
      <c r="CQ2" s="4357"/>
      <c r="CR2" s="4357"/>
      <c r="CS2" s="4358"/>
      <c r="CT2" s="4362">
        <v>45536</v>
      </c>
      <c r="CU2" s="4363"/>
      <c r="CV2" s="4363"/>
      <c r="CW2" s="4363"/>
      <c r="CX2" s="4364"/>
      <c r="CY2" s="4095">
        <v>45566</v>
      </c>
      <c r="CZ2" s="4096"/>
      <c r="DA2" s="4096"/>
      <c r="DB2" s="4096"/>
      <c r="DC2" s="4097"/>
      <c r="DD2" s="4244">
        <v>45597</v>
      </c>
      <c r="DE2" s="4245"/>
      <c r="DF2" s="4245"/>
      <c r="DG2" s="4245"/>
      <c r="DH2" s="4246"/>
      <c r="DI2" s="4250">
        <v>45627</v>
      </c>
      <c r="DJ2" s="4251"/>
      <c r="DK2" s="4251"/>
      <c r="DL2" s="4251"/>
      <c r="DM2" s="4252"/>
      <c r="DN2" s="4089" t="s">
        <v>2201</v>
      </c>
      <c r="DO2" s="4090"/>
      <c r="DP2" s="4090"/>
      <c r="DQ2" s="4090"/>
      <c r="DR2" s="4091"/>
    </row>
    <row r="3" spans="1:122" ht="15" customHeight="1" thickBot="1" x14ac:dyDescent="0.3">
      <c r="A3" s="4035" t="s">
        <v>54</v>
      </c>
      <c r="B3" s="4036"/>
      <c r="C3" s="4209"/>
      <c r="D3" s="4210"/>
      <c r="E3" s="4210"/>
      <c r="F3" s="4210"/>
      <c r="G3" s="4211"/>
      <c r="H3" s="4200"/>
      <c r="I3" s="4201"/>
      <c r="J3" s="4201"/>
      <c r="K3" s="4201"/>
      <c r="L3" s="4202"/>
      <c r="M3" s="4021"/>
      <c r="N3" s="4022"/>
      <c r="O3" s="4022"/>
      <c r="P3" s="4022"/>
      <c r="Q3" s="3266"/>
      <c r="R3" s="4021"/>
      <c r="S3" s="4022"/>
      <c r="T3" s="4022"/>
      <c r="U3" s="4022"/>
      <c r="V3" s="4042"/>
      <c r="W3" s="4143"/>
      <c r="X3" s="4144"/>
      <c r="Y3" s="4144"/>
      <c r="Z3" s="4144"/>
      <c r="AA3" s="3268"/>
      <c r="AB3" s="4045"/>
      <c r="AC3" s="4046"/>
      <c r="AD3" s="4046"/>
      <c r="AE3" s="4046"/>
      <c r="AF3" s="3270"/>
      <c r="AG3" s="4056"/>
      <c r="AH3" s="4057"/>
      <c r="AI3" s="4057"/>
      <c r="AJ3" s="4057"/>
      <c r="AK3" s="3272"/>
      <c r="AL3" s="4371"/>
      <c r="AM3" s="4372"/>
      <c r="AN3" s="4372"/>
      <c r="AO3" s="4372"/>
      <c r="AP3" s="4373"/>
      <c r="AQ3" s="4056"/>
      <c r="AR3" s="4057"/>
      <c r="AS3" s="4057"/>
      <c r="AT3" s="4057"/>
      <c r="AU3" s="4058"/>
      <c r="AV3" s="4062"/>
      <c r="AW3" s="4063"/>
      <c r="AX3" s="4063"/>
      <c r="AY3" s="4063"/>
      <c r="AZ3" s="4064"/>
      <c r="BA3" s="4086"/>
      <c r="BB3" s="4087"/>
      <c r="BC3" s="4087"/>
      <c r="BD3" s="4087"/>
      <c r="BE3" s="4088"/>
      <c r="BF3" s="4026"/>
      <c r="BG3" s="4027"/>
      <c r="BH3" s="4027"/>
      <c r="BI3" s="4027"/>
      <c r="BJ3" s="4028"/>
      <c r="BK3" s="4272"/>
      <c r="BL3" s="4273"/>
      <c r="BM3" s="4273"/>
      <c r="BN3" s="4273"/>
      <c r="BO3" s="4274"/>
      <c r="BP3" s="4206"/>
      <c r="BQ3" s="4207"/>
      <c r="BR3" s="4207"/>
      <c r="BS3" s="4207"/>
      <c r="BT3" s="4208"/>
      <c r="BU3" s="4280"/>
      <c r="BV3" s="4281"/>
      <c r="BW3" s="4281"/>
      <c r="BX3" s="4281"/>
      <c r="BY3" s="4282"/>
      <c r="BZ3" s="4293"/>
      <c r="CA3" s="4294"/>
      <c r="CB3" s="4294"/>
      <c r="CC3" s="4294"/>
      <c r="CD3" s="4295"/>
      <c r="CE3" s="4074"/>
      <c r="CF3" s="4075"/>
      <c r="CG3" s="4075"/>
      <c r="CH3" s="4075"/>
      <c r="CI3" s="4076"/>
      <c r="CJ3" s="4056"/>
      <c r="CK3" s="4057"/>
      <c r="CL3" s="4057"/>
      <c r="CM3" s="4057"/>
      <c r="CN3" s="4058"/>
      <c r="CO3" s="4359"/>
      <c r="CP3" s="4360"/>
      <c r="CQ3" s="4360"/>
      <c r="CR3" s="4360"/>
      <c r="CS3" s="4361"/>
      <c r="CT3" s="4365"/>
      <c r="CU3" s="4366"/>
      <c r="CV3" s="4366"/>
      <c r="CW3" s="4366"/>
      <c r="CX3" s="4367"/>
      <c r="CY3" s="4098"/>
      <c r="CZ3" s="4099"/>
      <c r="DA3" s="4099"/>
      <c r="DB3" s="4099"/>
      <c r="DC3" s="4100"/>
      <c r="DD3" s="4247"/>
      <c r="DE3" s="4248"/>
      <c r="DF3" s="4248"/>
      <c r="DG3" s="4248"/>
      <c r="DH3" s="4249"/>
      <c r="DI3" s="4253"/>
      <c r="DJ3" s="4254"/>
      <c r="DK3" s="4254"/>
      <c r="DL3" s="4254"/>
      <c r="DM3" s="4255"/>
      <c r="DN3" s="4092"/>
      <c r="DO3" s="4093"/>
      <c r="DP3" s="4093"/>
      <c r="DQ3" s="4093"/>
      <c r="DR3" s="4094"/>
    </row>
    <row r="4" spans="1:122" ht="41.4" thickBot="1" x14ac:dyDescent="0.3">
      <c r="A4" s="1486"/>
      <c r="B4" s="1487" t="s">
        <v>11</v>
      </c>
      <c r="C4" s="1972" t="s">
        <v>968</v>
      </c>
      <c r="D4" s="1487" t="s">
        <v>18</v>
      </c>
      <c r="E4" s="1487" t="s">
        <v>39</v>
      </c>
      <c r="F4" s="1487" t="s">
        <v>40</v>
      </c>
      <c r="G4" s="774"/>
      <c r="H4" s="1487"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55</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968</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968</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O4" s="1972" t="s">
        <v>55</v>
      </c>
      <c r="CP4" s="1972" t="s">
        <v>18</v>
      </c>
      <c r="CQ4" s="1489" t="s">
        <v>39</v>
      </c>
      <c r="CR4" s="1978" t="s">
        <v>40</v>
      </c>
      <c r="CS4" s="1489" t="s">
        <v>19</v>
      </c>
      <c r="CT4" s="1972" t="s">
        <v>55</v>
      </c>
      <c r="CU4" s="1972" t="s">
        <v>18</v>
      </c>
      <c r="CV4" s="1489" t="s">
        <v>39</v>
      </c>
      <c r="CW4" s="1978" t="s">
        <v>40</v>
      </c>
      <c r="CX4" s="1489" t="s">
        <v>19</v>
      </c>
      <c r="CY4" s="1972" t="s">
        <v>55</v>
      </c>
      <c r="CZ4" s="1972" t="s">
        <v>18</v>
      </c>
      <c r="DA4" s="1489" t="s">
        <v>39</v>
      </c>
      <c r="DB4" s="1978" t="s">
        <v>40</v>
      </c>
      <c r="DC4" s="1489" t="s">
        <v>19</v>
      </c>
      <c r="DD4" s="1972" t="s">
        <v>55</v>
      </c>
      <c r="DE4" s="1972" t="s">
        <v>18</v>
      </c>
      <c r="DF4" s="1489" t="s">
        <v>39</v>
      </c>
      <c r="DG4" s="1978" t="s">
        <v>40</v>
      </c>
      <c r="DH4" s="1489" t="s">
        <v>19</v>
      </c>
      <c r="DI4" s="1972" t="s">
        <v>55</v>
      </c>
      <c r="DJ4" s="1972" t="s">
        <v>18</v>
      </c>
      <c r="DK4" s="1489" t="s">
        <v>39</v>
      </c>
      <c r="DL4" s="1978" t="s">
        <v>40</v>
      </c>
      <c r="DM4" s="1489" t="s">
        <v>19</v>
      </c>
      <c r="DN4" s="1972" t="s">
        <v>55</v>
      </c>
      <c r="DO4" s="1972" t="s">
        <v>18</v>
      </c>
      <c r="DP4" s="1489" t="s">
        <v>39</v>
      </c>
      <c r="DQ4" s="1978" t="s">
        <v>40</v>
      </c>
      <c r="DR4" s="1489" t="s">
        <v>19</v>
      </c>
    </row>
    <row r="5" spans="1:122" s="2483" customFormat="1" ht="14.4" thickBot="1" x14ac:dyDescent="0.3">
      <c r="A5" s="1477"/>
      <c r="B5" s="1478" t="s">
        <v>10</v>
      </c>
      <c r="C5" s="1971">
        <v>684250.71</v>
      </c>
      <c r="D5" s="1481">
        <v>45220</v>
      </c>
      <c r="E5" s="1481">
        <v>729470.71</v>
      </c>
      <c r="F5" s="1481"/>
      <c r="G5" s="975"/>
      <c r="H5" s="1481">
        <f>H6+H7</f>
        <v>106382</v>
      </c>
      <c r="I5" s="1481">
        <f>I6+I7</f>
        <v>0</v>
      </c>
      <c r="J5" s="1481">
        <f>J6</f>
        <v>106382</v>
      </c>
      <c r="K5" s="1481"/>
      <c r="L5" s="1481"/>
      <c r="M5" s="1481">
        <f>M6+M7</f>
        <v>433752</v>
      </c>
      <c r="N5" s="1481">
        <f>N6+N7</f>
        <v>0</v>
      </c>
      <c r="O5" s="1481">
        <f>O6+O7</f>
        <v>433752</v>
      </c>
      <c r="P5" s="1481"/>
      <c r="Q5" s="1481"/>
      <c r="R5" s="1481">
        <f>R6+R7</f>
        <v>188000</v>
      </c>
      <c r="S5" s="1481">
        <f>S6+S7</f>
        <v>72906</v>
      </c>
      <c r="T5" s="1481">
        <f>T6</f>
        <v>260906</v>
      </c>
      <c r="U5" s="1481"/>
      <c r="V5" s="1481"/>
      <c r="W5" s="1481">
        <f>W6+W7</f>
        <v>227800</v>
      </c>
      <c r="X5" s="1481">
        <f>X6+X7</f>
        <v>11500</v>
      </c>
      <c r="Y5" s="1481">
        <f>Y6</f>
        <v>239300</v>
      </c>
      <c r="Z5" s="1481"/>
      <c r="AA5" s="1481"/>
      <c r="AB5" s="1481">
        <f>AB6+AB7</f>
        <v>169444</v>
      </c>
      <c r="AC5" s="1481">
        <f>AC6+AC7</f>
        <v>37200</v>
      </c>
      <c r="AD5" s="1481">
        <f>AD6</f>
        <v>206644</v>
      </c>
      <c r="AE5" s="1481"/>
      <c r="AF5" s="1481"/>
      <c r="AG5" s="1481">
        <f>AG6+AG7</f>
        <v>29000</v>
      </c>
      <c r="AH5" s="1481">
        <f>AH6+AH7</f>
        <v>0</v>
      </c>
      <c r="AI5" s="1481">
        <f>AI6</f>
        <v>29000</v>
      </c>
      <c r="AJ5" s="1481"/>
      <c r="AK5" s="1481"/>
      <c r="AL5" s="1481">
        <f>AL6+AL7</f>
        <v>358372.28</v>
      </c>
      <c r="AM5" s="1481">
        <f>AM6+AM7</f>
        <v>88550</v>
      </c>
      <c r="AN5" s="1481">
        <f>AN6+AN7</f>
        <v>446922.28</v>
      </c>
      <c r="AO5" s="1481"/>
      <c r="AP5" s="1481"/>
      <c r="AQ5" s="1481">
        <f>AQ6+AQ7</f>
        <v>128514.21</v>
      </c>
      <c r="AR5" s="1481">
        <f>AR6+AR7</f>
        <v>0</v>
      </c>
      <c r="AS5" s="1481">
        <f>AS6</f>
        <v>128514.21</v>
      </c>
      <c r="AT5" s="1481"/>
      <c r="AU5" s="1481"/>
      <c r="AV5" s="1481">
        <v>1511011.7699999998</v>
      </c>
      <c r="AW5" s="1481">
        <v>13000</v>
      </c>
      <c r="AX5" s="1481">
        <v>1524011.7699999998</v>
      </c>
      <c r="AY5" s="1481"/>
      <c r="AZ5" s="1481"/>
      <c r="BA5" s="1481">
        <f>BA6+BA7</f>
        <v>307660</v>
      </c>
      <c r="BB5" s="1481">
        <f>BB6+BB7</f>
        <v>6500</v>
      </c>
      <c r="BC5" s="1481">
        <f>BC6+BC7</f>
        <v>314160</v>
      </c>
      <c r="BD5" s="1481"/>
      <c r="BE5" s="1481"/>
      <c r="BF5" s="1481">
        <f>BF6+BF7</f>
        <v>64840</v>
      </c>
      <c r="BG5" s="1481">
        <f>BG6+BG7</f>
        <v>0</v>
      </c>
      <c r="BH5" s="1481">
        <f>BH6</f>
        <v>64840</v>
      </c>
      <c r="BI5" s="1481"/>
      <c r="BJ5" s="1481"/>
      <c r="BK5" s="1481">
        <f>BK6+BK7</f>
        <v>172000</v>
      </c>
      <c r="BL5" s="1481">
        <f>BL6+BL7</f>
        <v>6500</v>
      </c>
      <c r="BM5" s="1481">
        <f>BM6+BM7</f>
        <v>178500</v>
      </c>
      <c r="BN5" s="1481"/>
      <c r="BO5" s="1481"/>
      <c r="BP5" s="1481">
        <f>BP6+BP7</f>
        <v>70820</v>
      </c>
      <c r="BQ5" s="1481">
        <f>BQ6+BQ7</f>
        <v>0</v>
      </c>
      <c r="BR5" s="1481">
        <f>BR6+BR7</f>
        <v>70820</v>
      </c>
      <c r="BS5" s="1481"/>
      <c r="BT5" s="1481"/>
      <c r="BU5" s="1481">
        <f>BU6</f>
        <v>0</v>
      </c>
      <c r="BV5" s="1481">
        <f>BV6</f>
        <v>0</v>
      </c>
      <c r="BW5" s="1481">
        <f>BW6+BW7</f>
        <v>0</v>
      </c>
      <c r="BX5" s="1481"/>
      <c r="BY5" s="1481"/>
      <c r="BZ5" s="1481">
        <f>BZ6</f>
        <v>0</v>
      </c>
      <c r="CA5" s="1481">
        <f>CA6</f>
        <v>0</v>
      </c>
      <c r="CB5" s="1481">
        <f>CB6+CB7</f>
        <v>0</v>
      </c>
      <c r="CC5" s="1481"/>
      <c r="CD5" s="1481"/>
      <c r="CE5" s="1481">
        <f>CE6</f>
        <v>0</v>
      </c>
      <c r="CF5" s="1481">
        <f>CF6</f>
        <v>0</v>
      </c>
      <c r="CG5" s="1481">
        <f>CG6+CG7</f>
        <v>0</v>
      </c>
      <c r="CH5" s="1481"/>
      <c r="CI5" s="1481"/>
      <c r="CJ5" s="1481">
        <f>CJ6</f>
        <v>0</v>
      </c>
      <c r="CK5" s="1481">
        <f>CK6</f>
        <v>0</v>
      </c>
      <c r="CL5" s="1481">
        <f>CL6+CL7</f>
        <v>0</v>
      </c>
      <c r="CM5" s="1481"/>
      <c r="CN5" s="1481"/>
      <c r="CO5" s="1481">
        <f>CO6</f>
        <v>0</v>
      </c>
      <c r="CP5" s="1481">
        <f>CP6</f>
        <v>0</v>
      </c>
      <c r="CQ5" s="1481">
        <f>CQ6+CQ7</f>
        <v>0</v>
      </c>
      <c r="CR5" s="1481"/>
      <c r="CS5" s="1481"/>
      <c r="CT5" s="1481">
        <f>CT6</f>
        <v>0</v>
      </c>
      <c r="CU5" s="1481">
        <f>CU6</f>
        <v>0</v>
      </c>
      <c r="CV5" s="1481">
        <f>CV6+CV7</f>
        <v>0</v>
      </c>
      <c r="CW5" s="1481"/>
      <c r="CX5" s="1481"/>
      <c r="CY5" s="1481">
        <f>CY6</f>
        <v>0</v>
      </c>
      <c r="CZ5" s="1481">
        <f>CZ6</f>
        <v>0</v>
      </c>
      <c r="DA5" s="1481">
        <f>DA6+DA7</f>
        <v>0</v>
      </c>
      <c r="DB5" s="1481"/>
      <c r="DC5" s="1481"/>
      <c r="DD5" s="1481">
        <f>DD6</f>
        <v>0</v>
      </c>
      <c r="DE5" s="1481">
        <f>DE6</f>
        <v>0</v>
      </c>
      <c r="DF5" s="1481">
        <f>DF6+DF7</f>
        <v>0</v>
      </c>
      <c r="DG5" s="1481"/>
      <c r="DH5" s="1481"/>
      <c r="DI5" s="1481">
        <f>DI6</f>
        <v>0</v>
      </c>
      <c r="DJ5" s="1481">
        <f>DJ6</f>
        <v>0</v>
      </c>
      <c r="DK5" s="1481">
        <f>DK6+DK7</f>
        <v>0</v>
      </c>
      <c r="DL5" s="1481"/>
      <c r="DM5" s="1481"/>
      <c r="DN5" s="1481">
        <f>DN6+DN7</f>
        <v>2919802.26</v>
      </c>
      <c r="DO5" s="1481">
        <f>DO6+DO7</f>
        <v>229656</v>
      </c>
      <c r="DP5" s="1481">
        <f>DP6+DP7</f>
        <v>3149458.26</v>
      </c>
      <c r="DQ5" s="1481"/>
      <c r="DR5" s="1481"/>
    </row>
    <row r="6" spans="1:122" s="1411" customFormat="1" ht="81" customHeight="1" x14ac:dyDescent="0.25">
      <c r="A6" s="3273">
        <f>'PL_Сватово очередь 2'!I6</f>
        <v>0</v>
      </c>
      <c r="B6" s="1418" t="s">
        <v>17</v>
      </c>
      <c r="C6" s="3288">
        <v>664250.71</v>
      </c>
      <c r="D6" s="3274">
        <v>33250</v>
      </c>
      <c r="E6" s="2028">
        <v>697500.71</v>
      </c>
      <c r="F6" s="3274"/>
      <c r="G6" s="2492"/>
      <c r="H6" s="3274">
        <v>106382</v>
      </c>
      <c r="I6" s="3274"/>
      <c r="J6" s="2028">
        <f>H6+I6</f>
        <v>106382</v>
      </c>
      <c r="K6" s="3274"/>
      <c r="L6" s="3275"/>
      <c r="M6" s="3274"/>
      <c r="N6" s="3274"/>
      <c r="O6" s="2028">
        <f>M6+N6</f>
        <v>0</v>
      </c>
      <c r="P6" s="3274"/>
      <c r="Q6" s="3357"/>
      <c r="R6" s="3274">
        <v>188000</v>
      </c>
      <c r="S6" s="3274">
        <v>72906</v>
      </c>
      <c r="T6" s="2028">
        <f>R6+S6</f>
        <v>260906</v>
      </c>
      <c r="U6" s="3274"/>
      <c r="V6" s="3275" t="s">
        <v>1097</v>
      </c>
      <c r="W6" s="3274">
        <v>227800</v>
      </c>
      <c r="X6" s="3274">
        <v>11500</v>
      </c>
      <c r="Y6" s="2028">
        <f>W6+X6</f>
        <v>239300</v>
      </c>
      <c r="Z6" s="3274"/>
      <c r="AA6" s="3384"/>
      <c r="AB6" s="3274">
        <f>26000+18800+39644+17000+28000+20000+20000</f>
        <v>169444</v>
      </c>
      <c r="AC6" s="3274">
        <f>9200+13500+14500</f>
        <v>37200</v>
      </c>
      <c r="AD6" s="2028">
        <f>AB6+AC6</f>
        <v>206644</v>
      </c>
      <c r="AE6" s="3274"/>
      <c r="AF6" s="3275" t="s">
        <v>1268</v>
      </c>
      <c r="AG6" s="3274">
        <f>27000+2000</f>
        <v>29000</v>
      </c>
      <c r="AH6" s="3274"/>
      <c r="AI6" s="2028">
        <f>AG6+AH6</f>
        <v>29000</v>
      </c>
      <c r="AJ6" s="3274"/>
      <c r="AK6" s="3275" t="s">
        <v>1330</v>
      </c>
      <c r="AL6" s="3274"/>
      <c r="AM6" s="3274"/>
      <c r="AN6" s="2028">
        <f>AL6+AM6</f>
        <v>0</v>
      </c>
      <c r="AO6" s="3274"/>
      <c r="AP6" s="3275"/>
      <c r="AQ6" s="3274">
        <f>3300*38.9437</f>
        <v>128514.21</v>
      </c>
      <c r="AR6" s="3274"/>
      <c r="AS6" s="2028">
        <f>AQ6+AR6</f>
        <v>128514.21</v>
      </c>
      <c r="AT6" s="3274"/>
      <c r="AU6" s="3276" t="s">
        <v>1487</v>
      </c>
      <c r="AV6" s="3274">
        <v>1505611.7699999998</v>
      </c>
      <c r="AW6" s="3274">
        <v>13000</v>
      </c>
      <c r="AX6" s="2028">
        <v>1518611.7699999998</v>
      </c>
      <c r="AY6" s="3274"/>
      <c r="AZ6" s="3276"/>
      <c r="BA6" s="3274">
        <f>BF6+BK6+BP6+BU6+BZ6+CE6+CJ6+CO6+CT6+CY6+DD6+DI6</f>
        <v>307660</v>
      </c>
      <c r="BB6" s="3274">
        <f>BG6+BL6+BQ6+BV6+CA6+CF6+CK6+CP6+CU6+CZ6+DE6+DJ6</f>
        <v>6500</v>
      </c>
      <c r="BC6" s="2028">
        <f>BA6+BB6</f>
        <v>314160</v>
      </c>
      <c r="BD6" s="3274"/>
      <c r="BE6" s="3276"/>
      <c r="BF6" s="3274">
        <v>64840</v>
      </c>
      <c r="BG6" s="3274"/>
      <c r="BH6" s="2028">
        <f>BF6+BG6</f>
        <v>64840</v>
      </c>
      <c r="BI6" s="3274"/>
      <c r="BJ6" s="3276" t="s">
        <v>2125</v>
      </c>
      <c r="BK6" s="3274">
        <v>172000</v>
      </c>
      <c r="BL6" s="3274">
        <v>6500</v>
      </c>
      <c r="BM6" s="2028">
        <f>BK6+BL6</f>
        <v>178500</v>
      </c>
      <c r="BN6" s="3274"/>
      <c r="BO6" s="3291" t="s">
        <v>2168</v>
      </c>
      <c r="BP6" s="3274">
        <v>70820</v>
      </c>
      <c r="BQ6" s="3274"/>
      <c r="BR6" s="2028">
        <f>BP6+BQ6</f>
        <v>70820</v>
      </c>
      <c r="BS6" s="3274"/>
      <c r="BT6" s="3276" t="s">
        <v>2194</v>
      </c>
      <c r="BU6" s="3274"/>
      <c r="BV6" s="3274"/>
      <c r="BW6" s="2028">
        <f>BU6+BV6</f>
        <v>0</v>
      </c>
      <c r="BX6" s="3274"/>
      <c r="BY6" s="3276"/>
      <c r="BZ6" s="3274"/>
      <c r="CA6" s="3274"/>
      <c r="CB6" s="2028">
        <f>BZ6+CA6</f>
        <v>0</v>
      </c>
      <c r="CC6" s="3274"/>
      <c r="CD6" s="3276"/>
      <c r="CE6" s="3274"/>
      <c r="CF6" s="3274"/>
      <c r="CG6" s="2028">
        <f>CE6+CF6</f>
        <v>0</v>
      </c>
      <c r="CH6" s="3274"/>
      <c r="CI6" s="3276"/>
      <c r="CJ6" s="3274"/>
      <c r="CK6" s="3274"/>
      <c r="CL6" s="2028">
        <f>CJ6+CK6</f>
        <v>0</v>
      </c>
      <c r="CM6" s="3274"/>
      <c r="CN6" s="3276"/>
      <c r="CO6" s="3274"/>
      <c r="CP6" s="3274"/>
      <c r="CQ6" s="2028">
        <f>CO6+CP6</f>
        <v>0</v>
      </c>
      <c r="CR6" s="3274"/>
      <c r="CS6" s="3276"/>
      <c r="CT6" s="3274"/>
      <c r="CU6" s="3274"/>
      <c r="CV6" s="2028">
        <f>CT6+CU6</f>
        <v>0</v>
      </c>
      <c r="CW6" s="3274"/>
      <c r="CX6" s="3276"/>
      <c r="CY6" s="3274"/>
      <c r="CZ6" s="3274"/>
      <c r="DA6" s="2028">
        <f>CY6+CZ6</f>
        <v>0</v>
      </c>
      <c r="DB6" s="3274"/>
      <c r="DC6" s="3276"/>
      <c r="DD6" s="3274"/>
      <c r="DE6" s="3274"/>
      <c r="DF6" s="2028">
        <f>DD6+DE6</f>
        <v>0</v>
      </c>
      <c r="DG6" s="3274"/>
      <c r="DH6" s="3276"/>
      <c r="DI6" s="3274"/>
      <c r="DJ6" s="3274"/>
      <c r="DK6" s="2028">
        <f>DI6+DJ6</f>
        <v>0</v>
      </c>
      <c r="DL6" s="3274"/>
      <c r="DM6" s="3276"/>
      <c r="DN6" s="3274">
        <f>R6+W6+AB6+AG6+AL6+AQ6+BF6+BK6+BP6+BU6+BZ6+CE6+CJ6+CO6+CT6+CY6+DD6+DI6+AV6</f>
        <v>2556029.9799999995</v>
      </c>
      <c r="DO6" s="3274">
        <f>S6+X6+AC6+AH6+AM6+AR6+BG6+BL6+BQ6+BV6+CA6+CF6+CK6+CP6+CU6+CZ6+DE6+DJ6+AW6</f>
        <v>141106</v>
      </c>
      <c r="DP6" s="2028">
        <f>DN6+DO6</f>
        <v>2697135.9799999995</v>
      </c>
      <c r="DQ6" s="3274"/>
      <c r="DR6" s="3274"/>
    </row>
    <row r="7" spans="1:122" s="1411" customFormat="1" ht="34.200000000000003" customHeight="1" thickBot="1" x14ac:dyDescent="0.3">
      <c r="A7" s="1586"/>
      <c r="B7" s="3231" t="s">
        <v>41</v>
      </c>
      <c r="C7" s="3288">
        <v>20000</v>
      </c>
      <c r="D7" s="3274">
        <v>11970</v>
      </c>
      <c r="E7" s="2028">
        <v>31970</v>
      </c>
      <c r="F7" s="3277"/>
      <c r="G7" s="976"/>
      <c r="H7" s="3274"/>
      <c r="I7" s="3274"/>
      <c r="J7" s="2028">
        <f>H7+I7</f>
        <v>0</v>
      </c>
      <c r="K7" s="3277"/>
      <c r="L7" s="3277"/>
      <c r="M7" s="3274">
        <f>29000+33500+96000+40000+45000+41000+12000+48000+30000+29000+15000+15252</f>
        <v>433752</v>
      </c>
      <c r="N7" s="3274"/>
      <c r="O7" s="2028">
        <f>M7+N7</f>
        <v>433752</v>
      </c>
      <c r="P7" s="3277"/>
      <c r="Q7" s="3385" t="s">
        <v>1067</v>
      </c>
      <c r="R7" s="3274"/>
      <c r="S7" s="3274"/>
      <c r="T7" s="2028">
        <f>R7+S7</f>
        <v>0</v>
      </c>
      <c r="U7" s="3277"/>
      <c r="V7" s="3277"/>
      <c r="W7" s="3274"/>
      <c r="X7" s="3274"/>
      <c r="Y7" s="2028">
        <f>W7+X7</f>
        <v>0</v>
      </c>
      <c r="Z7" s="3277"/>
      <c r="AA7" s="3277"/>
      <c r="AB7" s="3274"/>
      <c r="AC7" s="3274"/>
      <c r="AD7" s="2028">
        <f>AB7+AC7</f>
        <v>0</v>
      </c>
      <c r="AE7" s="3277"/>
      <c r="AF7" s="3277"/>
      <c r="AG7" s="3274"/>
      <c r="AH7" s="3274"/>
      <c r="AI7" s="2028">
        <f>AG7+AH7</f>
        <v>0</v>
      </c>
      <c r="AJ7" s="3277"/>
      <c r="AK7" s="3277"/>
      <c r="AL7" s="3274">
        <v>358372.28</v>
      </c>
      <c r="AM7" s="3274">
        <v>88550</v>
      </c>
      <c r="AN7" s="2028">
        <f>AL7+AM7</f>
        <v>446922.28</v>
      </c>
      <c r="AO7" s="3277"/>
      <c r="AP7" s="3386" t="s">
        <v>1408</v>
      </c>
      <c r="AQ7" s="3274"/>
      <c r="AR7" s="3274"/>
      <c r="AS7" s="2028">
        <f>AQ7+AR7</f>
        <v>0</v>
      </c>
      <c r="AT7" s="3277"/>
      <c r="AU7" s="3277"/>
      <c r="AV7" s="3274">
        <v>5400</v>
      </c>
      <c r="AW7" s="3274">
        <v>0</v>
      </c>
      <c r="AX7" s="2028">
        <v>5400</v>
      </c>
      <c r="AY7" s="3277"/>
      <c r="AZ7" s="3276"/>
      <c r="BA7" s="3274">
        <f>BF7+BK7+BP7+BU7+BZ7+CE7+CJ7+CO7+CT7+CY7+DD7+DI7</f>
        <v>0</v>
      </c>
      <c r="BB7" s="3274">
        <f>BG7+BL7+BQ7+BV7+CA7+CF7+CK7+CP7+CU7+CZ7+DE7+DJ7</f>
        <v>0</v>
      </c>
      <c r="BC7" s="2028">
        <f>BA7+BB7</f>
        <v>0</v>
      </c>
      <c r="BD7" s="3277"/>
      <c r="BE7" s="3276"/>
      <c r="BF7" s="3274"/>
      <c r="BG7" s="3274"/>
      <c r="BH7" s="2028">
        <f>BF7+BG7</f>
        <v>0</v>
      </c>
      <c r="BI7" s="3277"/>
      <c r="BJ7" s="3277"/>
      <c r="BK7" s="3274"/>
      <c r="BL7" s="3274"/>
      <c r="BM7" s="2028">
        <f>BK7+BL7</f>
        <v>0</v>
      </c>
      <c r="BN7" s="3277"/>
      <c r="BO7" s="3387"/>
      <c r="BP7" s="3274"/>
      <c r="BQ7" s="3274"/>
      <c r="BR7" s="2028">
        <f>BP7+BQ7</f>
        <v>0</v>
      </c>
      <c r="BS7" s="3277"/>
      <c r="BT7" s="3277"/>
      <c r="BU7" s="3274"/>
      <c r="BV7" s="3274"/>
      <c r="BW7" s="2028">
        <f>BU7+BV7</f>
        <v>0</v>
      </c>
      <c r="BX7" s="3277"/>
      <c r="BY7" s="3277"/>
      <c r="BZ7" s="3274"/>
      <c r="CA7" s="3274"/>
      <c r="CB7" s="2028">
        <f>BZ7+CA7</f>
        <v>0</v>
      </c>
      <c r="CC7" s="3277"/>
      <c r="CD7" s="3277"/>
      <c r="CE7" s="3274"/>
      <c r="CF7" s="3274"/>
      <c r="CG7" s="2028">
        <f>CE7+CF7</f>
        <v>0</v>
      </c>
      <c r="CH7" s="3277"/>
      <c r="CI7" s="3277"/>
      <c r="CJ7" s="3274"/>
      <c r="CK7" s="3274"/>
      <c r="CL7" s="2028">
        <f>CJ7+CK7</f>
        <v>0</v>
      </c>
      <c r="CM7" s="3277"/>
      <c r="CN7" s="3277"/>
      <c r="CO7" s="3274"/>
      <c r="CP7" s="3274"/>
      <c r="CQ7" s="2028">
        <f>CO7+CP7</f>
        <v>0</v>
      </c>
      <c r="CR7" s="3277"/>
      <c r="CS7" s="3278"/>
      <c r="CT7" s="3274"/>
      <c r="CU7" s="3274"/>
      <c r="CV7" s="2028">
        <f>CT7+CU7</f>
        <v>0</v>
      </c>
      <c r="CW7" s="3277"/>
      <c r="CX7" s="3278"/>
      <c r="CY7" s="3274"/>
      <c r="CZ7" s="3274"/>
      <c r="DA7" s="2028">
        <f>CY7+CZ7</f>
        <v>0</v>
      </c>
      <c r="DB7" s="3277"/>
      <c r="DC7" s="3278"/>
      <c r="DD7" s="3274"/>
      <c r="DE7" s="3274"/>
      <c r="DF7" s="2028">
        <f>DD7+DE7</f>
        <v>0</v>
      </c>
      <c r="DG7" s="3277"/>
      <c r="DH7" s="3278"/>
      <c r="DI7" s="3274"/>
      <c r="DJ7" s="3274"/>
      <c r="DK7" s="2028">
        <f>DI7+DJ7</f>
        <v>0</v>
      </c>
      <c r="DL7" s="3277"/>
      <c r="DM7" s="3278"/>
      <c r="DN7" s="3274">
        <f>R7+W7+AB7+AG7+AL7+AQ7+BF7+BK7+BP7+BU7+BZ7+CE7+CJ7+CO7+CT7+CY7+DD7+DI7+AV7</f>
        <v>363772.28</v>
      </c>
      <c r="DO7" s="3274">
        <f>S7+X7+AC7+AH7+AM7+AR7+BG7+BL7+BQ7+BV7+CA7+CF7+CK7+CP7+CU7+CZ7+DE7+DJ7+AW7</f>
        <v>88550</v>
      </c>
      <c r="DP7" s="2028">
        <f>DN7+DO7</f>
        <v>452322.28</v>
      </c>
      <c r="DQ7" s="3277"/>
      <c r="DR7" s="3277"/>
    </row>
    <row r="8" spans="1:122" s="2483" customFormat="1" ht="14.4" thickBot="1" x14ac:dyDescent="0.3">
      <c r="A8" s="1586"/>
      <c r="B8" s="1478" t="s">
        <v>16</v>
      </c>
      <c r="C8" s="1973">
        <v>286838.00721304346</v>
      </c>
      <c r="D8" s="1973">
        <v>145378.78999999998</v>
      </c>
      <c r="E8" s="1499">
        <v>432216.79721304344</v>
      </c>
      <c r="F8" s="1543">
        <v>0.69126127936035864</v>
      </c>
      <c r="G8" s="977"/>
      <c r="H8" s="974">
        <f>SUM(H9:H33)</f>
        <v>89673.62</v>
      </c>
      <c r="I8" s="1973">
        <f>SUM(I9:I33)</f>
        <v>15873.25</v>
      </c>
      <c r="J8" s="1499">
        <f>SUM(J9:J33)</f>
        <v>105546.87</v>
      </c>
      <c r="K8" s="1543">
        <f t="shared" ref="K8:K21" si="0">J8/$J$89</f>
        <v>0.87630277648190136</v>
      </c>
      <c r="L8" s="1481"/>
      <c r="M8" s="1973">
        <f>SUM(M9:M33)</f>
        <v>550074.41215970868</v>
      </c>
      <c r="N8" s="1973">
        <f>SUM(N9:N33)</f>
        <v>72808.75</v>
      </c>
      <c r="O8" s="1499">
        <f>SUM(O9:O33)</f>
        <v>622883.16215970868</v>
      </c>
      <c r="P8" s="1543">
        <f t="shared" ref="P8:P22" si="1">O8/$O$89</f>
        <v>0.90590674982260122</v>
      </c>
      <c r="Q8" s="1481"/>
      <c r="R8" s="1973">
        <f>SUM(R9:R33)</f>
        <v>283620.53999999998</v>
      </c>
      <c r="S8" s="1973">
        <f>SUM(S9:S33)</f>
        <v>28982.5</v>
      </c>
      <c r="T8" s="1499">
        <f>SUM(T9:T33)</f>
        <v>312603.04000000004</v>
      </c>
      <c r="U8" s="1543">
        <f t="shared" ref="U8:U36" si="2">T8/$T$89</f>
        <v>0.95777152620781936</v>
      </c>
      <c r="V8" s="1481"/>
      <c r="W8" s="1973">
        <f>SUM(W9:W33)</f>
        <v>126682.31</v>
      </c>
      <c r="X8" s="1973">
        <f>SUM(X9:X33)</f>
        <v>20651.810000000001</v>
      </c>
      <c r="Y8" s="1499">
        <f>SUM(Y9:Y33)</f>
        <v>147334.12</v>
      </c>
      <c r="Z8" s="1543">
        <f>Y8/$T$89</f>
        <v>0.45141091710076131</v>
      </c>
      <c r="AA8" s="1481"/>
      <c r="AB8" s="1973">
        <f>SUM(AB9:AB33)</f>
        <v>85574.2</v>
      </c>
      <c r="AC8" s="1973">
        <f>SUM(AC9:AC33)</f>
        <v>19528.5</v>
      </c>
      <c r="AD8" s="1499">
        <f>SUM(AD9:AD33)</f>
        <v>105102.7</v>
      </c>
      <c r="AE8" s="1543">
        <f>AD8/$AD$89</f>
        <v>0.80349852363552077</v>
      </c>
      <c r="AF8" s="1481"/>
      <c r="AG8" s="1973">
        <f>SUM(AG9:AG33)</f>
        <v>35449.24</v>
      </c>
      <c r="AH8" s="1973">
        <f>SUM(AH9:AH33)</f>
        <v>0</v>
      </c>
      <c r="AI8" s="1499">
        <f>SUM(AI9:AI33)</f>
        <v>35449.24</v>
      </c>
      <c r="AJ8" s="1543">
        <f t="shared" ref="AJ8:AJ36" si="3">AI8/$AI$89</f>
        <v>0.81334620047859185</v>
      </c>
      <c r="AK8" s="1481"/>
      <c r="AL8" s="1973">
        <f>SUM(AL9:AL33)</f>
        <v>18598.309999999998</v>
      </c>
      <c r="AM8" s="1973">
        <f>SUM(AM9:AM33)</f>
        <v>42930</v>
      </c>
      <c r="AN8" s="1499">
        <f>SUM(AN9:AN33)</f>
        <v>61528.31</v>
      </c>
      <c r="AO8" s="1543">
        <f>AN8/$AI$89</f>
        <v>1.4117035276459791</v>
      </c>
      <c r="AP8" s="1481"/>
      <c r="AQ8" s="1973">
        <f>SUM(AQ9:AQ33)</f>
        <v>126337.70200000002</v>
      </c>
      <c r="AR8" s="1973">
        <f>SUM(AR9:AR33)</f>
        <v>22246.65</v>
      </c>
      <c r="AS8" s="1499">
        <f>SUM(AS9:AS33)</f>
        <v>148584.35200000001</v>
      </c>
      <c r="AT8" s="1543">
        <f>AS8/$AS$89</f>
        <v>0.9806402906945455</v>
      </c>
      <c r="AU8" s="1481"/>
      <c r="AV8" s="1973">
        <v>1051691.5379999999</v>
      </c>
      <c r="AW8" s="1973">
        <v>293177.34999999998</v>
      </c>
      <c r="AX8" s="1499">
        <v>1344868.8879999998</v>
      </c>
      <c r="AY8" s="1543">
        <v>4.1204881673868963</v>
      </c>
      <c r="AZ8" s="1481"/>
      <c r="BA8" s="1973">
        <f>SUM(BA9:BA33)</f>
        <v>217634.86600000001</v>
      </c>
      <c r="BB8" s="1973">
        <f>SUM(BB9:BB33)</f>
        <v>54293</v>
      </c>
      <c r="BC8" s="1499">
        <f>SUM(BC9:BC33)</f>
        <v>271927.86600000004</v>
      </c>
      <c r="BD8" s="1543">
        <f>BC8/$T$89</f>
        <v>0.83314854275651129</v>
      </c>
      <c r="BE8" s="1481"/>
      <c r="BF8" s="1973">
        <f>SUM(BF9:BF33)</f>
        <v>29711.760000000002</v>
      </c>
      <c r="BG8" s="1973">
        <f>SUM(BG9:BG33)</f>
        <v>3900</v>
      </c>
      <c r="BH8" s="1499">
        <f>SUM(BH9:BH33)</f>
        <v>33611.760000000002</v>
      </c>
      <c r="BI8" s="1543">
        <f>BH8/$AS$89</f>
        <v>0.2218338987483372</v>
      </c>
      <c r="BJ8" s="1481"/>
      <c r="BK8" s="1973">
        <f>SUM(BK9:BK33)</f>
        <v>97844.28</v>
      </c>
      <c r="BL8" s="1973">
        <f>SUM(BL9:BL33)</f>
        <v>42693</v>
      </c>
      <c r="BM8" s="1499">
        <f>SUM(BM9:BM33)</f>
        <v>140537.28</v>
      </c>
      <c r="BN8" s="1543">
        <f>BM8/$E$89</f>
        <v>0.22476678508803963</v>
      </c>
      <c r="BO8" s="1481"/>
      <c r="BP8" s="1973">
        <f>SUM(BP9:BP33)</f>
        <v>90078.826000000001</v>
      </c>
      <c r="BQ8" s="1973">
        <f>SUM(BQ9:BQ33)</f>
        <v>7700</v>
      </c>
      <c r="BR8" s="1499">
        <f>SUM(BR9:BR33)</f>
        <v>97778.826000000001</v>
      </c>
      <c r="BS8" s="1543">
        <f>BR8/$AD$89</f>
        <v>0.74750831647345384</v>
      </c>
      <c r="BT8" s="1481"/>
      <c r="BU8" s="1973">
        <f>SUM(BU9:BU33)</f>
        <v>0</v>
      </c>
      <c r="BV8" s="1973">
        <f>SUM(BV9:BV33)</f>
        <v>0</v>
      </c>
      <c r="BW8" s="1499">
        <f>SUM(BW9:BW33)</f>
        <v>0</v>
      </c>
      <c r="BX8" s="1543">
        <f>BW8/$AD$89</f>
        <v>0</v>
      </c>
      <c r="BY8" s="1481"/>
      <c r="BZ8" s="1973">
        <f>SUM(BZ9:BZ33)</f>
        <v>0</v>
      </c>
      <c r="CA8" s="1973">
        <f>SUM(CA9:CA33)</f>
        <v>0</v>
      </c>
      <c r="CB8" s="1499">
        <f>SUM(CB9:CB33)</f>
        <v>0</v>
      </c>
      <c r="CC8" s="1543">
        <f>CB8/$AD$89</f>
        <v>0</v>
      </c>
      <c r="CD8" s="1481"/>
      <c r="CE8" s="1973">
        <f>SUM(CE9:CE33)</f>
        <v>0</v>
      </c>
      <c r="CF8" s="1973">
        <f>SUM(CF9:CF33)</f>
        <v>0</v>
      </c>
      <c r="CG8" s="1499">
        <f>SUM(CG9:CG33)</f>
        <v>0</v>
      </c>
      <c r="CH8" s="1543">
        <f>CG8/$AD$89</f>
        <v>0</v>
      </c>
      <c r="CI8" s="1481"/>
      <c r="CJ8" s="1973">
        <f>SUM(CJ9:CJ33)</f>
        <v>0</v>
      </c>
      <c r="CK8" s="1973">
        <f>SUM(CK9:CK33)</f>
        <v>0</v>
      </c>
      <c r="CL8" s="1499">
        <f>SUM(CL9:CL33)</f>
        <v>0</v>
      </c>
      <c r="CM8" s="1543">
        <f>CL8/$AI$89</f>
        <v>0</v>
      </c>
      <c r="CN8" s="1481"/>
      <c r="CO8" s="1973">
        <f>SUM(CO9:CO33)</f>
        <v>0</v>
      </c>
      <c r="CP8" s="1973">
        <f>SUM(CP9:CP33)</f>
        <v>0</v>
      </c>
      <c r="CQ8" s="1499">
        <f>SUM(CQ9:CQ33)</f>
        <v>0</v>
      </c>
      <c r="CR8" s="1543">
        <f>CQ8/$AI$89</f>
        <v>0</v>
      </c>
      <c r="CS8" s="1982"/>
      <c r="CT8" s="1973">
        <f>SUM(CT9:CT33)</f>
        <v>0</v>
      </c>
      <c r="CU8" s="1973">
        <f>SUM(CU9:CU33)</f>
        <v>0</v>
      </c>
      <c r="CV8" s="1499">
        <f>SUM(CV9:CV33)</f>
        <v>0</v>
      </c>
      <c r="CW8" s="1543">
        <f>CV8/$AI$89</f>
        <v>0</v>
      </c>
      <c r="CX8" s="1982"/>
      <c r="CY8" s="1973">
        <f>SUM(CY9:CY33)</f>
        <v>0</v>
      </c>
      <c r="CZ8" s="1973">
        <f>SUM(CZ9:CZ33)</f>
        <v>0</v>
      </c>
      <c r="DA8" s="1499">
        <f>SUM(DA9:DA33)</f>
        <v>0</v>
      </c>
      <c r="DB8" s="1543">
        <f>DA8/$AI$89</f>
        <v>0</v>
      </c>
      <c r="DC8" s="1982"/>
      <c r="DD8" s="1973">
        <f>SUM(DD9:DD33)</f>
        <v>0</v>
      </c>
      <c r="DE8" s="1973">
        <f>SUM(DE9:DE33)</f>
        <v>0</v>
      </c>
      <c r="DF8" s="1499">
        <f>SUM(DF9:DF33)</f>
        <v>0</v>
      </c>
      <c r="DG8" s="1543">
        <f>DF8/$AI$89</f>
        <v>0</v>
      </c>
      <c r="DH8" s="1982"/>
      <c r="DI8" s="1973">
        <f>SUM(DI9:DI33)</f>
        <v>0</v>
      </c>
      <c r="DJ8" s="1973">
        <f>SUM(DJ9:DJ33)</f>
        <v>0</v>
      </c>
      <c r="DK8" s="1499">
        <f>SUM(DK9:DK33)</f>
        <v>0</v>
      </c>
      <c r="DL8" s="1543">
        <f>DK8/$AI$89</f>
        <v>0</v>
      </c>
      <c r="DM8" s="1982"/>
      <c r="DN8" s="1973">
        <f>SUM(DN9:DN33)</f>
        <v>1945588.706</v>
      </c>
      <c r="DO8" s="1973">
        <f>SUM(DO9:DO33)</f>
        <v>481809.81</v>
      </c>
      <c r="DP8" s="1499">
        <f>SUM(DP9:DP33)</f>
        <v>2427398.5159999998</v>
      </c>
      <c r="DQ8" s="1543">
        <f t="shared" ref="DQ8:DQ21" si="4">DP8/$DP$89</f>
        <v>0.95387322293746812</v>
      </c>
      <c r="DR8" s="1481"/>
    </row>
    <row r="9" spans="1:122" s="1411" customFormat="1" ht="27.6" x14ac:dyDescent="0.25">
      <c r="A9" s="1586"/>
      <c r="B9" s="3388" t="s">
        <v>74</v>
      </c>
      <c r="C9" s="3288">
        <v>37403.449999999997</v>
      </c>
      <c r="D9" s="3274">
        <v>124283.8</v>
      </c>
      <c r="E9" s="3283">
        <v>161687.25</v>
      </c>
      <c r="F9" s="3284">
        <v>0.25859276180829838</v>
      </c>
      <c r="G9" s="2492"/>
      <c r="H9" s="3274">
        <v>7164.5</v>
      </c>
      <c r="I9" s="3274">
        <f>1381.12+13142.13</f>
        <v>14523.25</v>
      </c>
      <c r="J9" s="3283">
        <f>H9+I9*1</f>
        <v>21687.75</v>
      </c>
      <c r="K9" s="3284">
        <f t="shared" si="0"/>
        <v>0.18006252142432416</v>
      </c>
      <c r="L9" s="1449" t="s">
        <v>949</v>
      </c>
      <c r="M9" s="3274">
        <f>19632+26431.59</f>
        <v>46063.59</v>
      </c>
      <c r="N9" s="3274">
        <f>12377+35803.53</f>
        <v>48180.53</v>
      </c>
      <c r="O9" s="3283">
        <f>M9+N9*1</f>
        <v>94244.12</v>
      </c>
      <c r="P9" s="3284">
        <f t="shared" si="1"/>
        <v>0.13706645102280113</v>
      </c>
      <c r="Q9" s="1596" t="s">
        <v>1068</v>
      </c>
      <c r="R9" s="3274">
        <v>7325.5</v>
      </c>
      <c r="S9" s="3274">
        <v>17924.5</v>
      </c>
      <c r="T9" s="3283">
        <f>R9+S9*1</f>
        <v>25250</v>
      </c>
      <c r="U9" s="3284">
        <f>T9/$T$89</f>
        <v>7.7362430758022807E-2</v>
      </c>
      <c r="V9" s="3275" t="s">
        <v>1098</v>
      </c>
      <c r="W9" s="3274">
        <f>1911+5327.64</f>
        <v>7238.64</v>
      </c>
      <c r="X9" s="3274">
        <f>9354.86+6526.5</f>
        <v>15881.36</v>
      </c>
      <c r="Y9" s="3283">
        <f>W9+X9*1</f>
        <v>23120</v>
      </c>
      <c r="Z9" s="3284">
        <f>Y9/$T$89</f>
        <v>7.0836411846553954E-2</v>
      </c>
      <c r="AA9" s="3275" t="s">
        <v>1162</v>
      </c>
      <c r="AB9" s="3279">
        <f>1135.05+3662.75</f>
        <v>4797.8</v>
      </c>
      <c r="AC9" s="3280">
        <f>9866+9062.5</f>
        <v>18928.5</v>
      </c>
      <c r="AD9" s="3281">
        <f>AB9+AC9*1</f>
        <v>23726.3</v>
      </c>
      <c r="AE9" s="1574">
        <f>AD9/$AD$89</f>
        <v>0.18138494083723306</v>
      </c>
      <c r="AF9" s="3282" t="s">
        <v>1269</v>
      </c>
      <c r="AG9" s="3280">
        <v>1135.05</v>
      </c>
      <c r="AH9" s="3280"/>
      <c r="AI9" s="3281">
        <f>AG9+AH9*1</f>
        <v>1135.05</v>
      </c>
      <c r="AJ9" s="1574">
        <f>AI9/$AI$89</f>
        <v>2.6042549991289677E-2</v>
      </c>
      <c r="AK9" s="3282" t="s">
        <v>1340</v>
      </c>
      <c r="AL9" s="3280">
        <v>3783.5</v>
      </c>
      <c r="AM9" s="3280"/>
      <c r="AN9" s="3281">
        <f>AL9+AM9*1</f>
        <v>3783.5</v>
      </c>
      <c r="AO9" s="1574">
        <f>AN9/$AI$89</f>
        <v>8.6808499970965597E-2</v>
      </c>
      <c r="AP9" s="3282" t="s">
        <v>1409</v>
      </c>
      <c r="AQ9" s="3280">
        <v>2751.64</v>
      </c>
      <c r="AR9" s="3280">
        <v>7492.5</v>
      </c>
      <c r="AS9" s="3281">
        <f>AQ9+AR9*1</f>
        <v>10244.14</v>
      </c>
      <c r="AT9" s="1574">
        <f t="shared" ref="AT9:AT71" si="5">AS9/$AS$89</f>
        <v>6.7610191061812611E-2</v>
      </c>
      <c r="AU9" s="3276" t="s">
        <v>1409</v>
      </c>
      <c r="AV9" s="3274">
        <v>77524.97</v>
      </c>
      <c r="AW9" s="3274">
        <v>257603.96</v>
      </c>
      <c r="AX9" s="3283">
        <v>335128.93</v>
      </c>
      <c r="AY9" s="3284">
        <v>1.0267876689954565</v>
      </c>
      <c r="AZ9" s="3275"/>
      <c r="BA9" s="3274">
        <f t="shared" ref="BA9:BB33" si="6">BF9+BK9+BP9+BU9+BZ9+CE9+CJ9+CO9+CT9+CY9+DD9+DI9</f>
        <v>20947.5</v>
      </c>
      <c r="BB9" s="3274">
        <f t="shared" si="6"/>
        <v>53293</v>
      </c>
      <c r="BC9" s="3283">
        <f>BA9+BB9*1</f>
        <v>74240.5</v>
      </c>
      <c r="BD9" s="3284">
        <f t="shared" ref="BD9:BD33" si="7">BC9/$T$89</f>
        <v>0.22746239765112841</v>
      </c>
      <c r="BE9" s="3275"/>
      <c r="BF9" s="3280">
        <v>5503.27</v>
      </c>
      <c r="BG9" s="3280">
        <v>3900</v>
      </c>
      <c r="BH9" s="3281">
        <f>BF9+BG9*1</f>
        <v>9403.27</v>
      </c>
      <c r="BI9" s="1574">
        <f t="shared" ref="BI9:BI33" si="8">BH9/$AS$89</f>
        <v>6.2060542056806209E-2</v>
      </c>
      <c r="BJ9" s="3276" t="s">
        <v>2126</v>
      </c>
      <c r="BK9" s="3282">
        <v>7567</v>
      </c>
      <c r="BL9" s="3274">
        <v>41693</v>
      </c>
      <c r="BM9" s="3283">
        <f>BK9+BL9*1</f>
        <v>49260</v>
      </c>
      <c r="BN9" s="3284">
        <f t="shared" ref="BN9:BN33" si="9">BM9/$E$89</f>
        <v>7.878345043704299E-2</v>
      </c>
      <c r="BO9" s="3276" t="s">
        <v>2169</v>
      </c>
      <c r="BP9" s="3285">
        <v>7877.23</v>
      </c>
      <c r="BQ9" s="3285">
        <f>1900+5800</f>
        <v>7700</v>
      </c>
      <c r="BR9" s="3286">
        <f>BP9+BQ9*1</f>
        <v>15577.23</v>
      </c>
      <c r="BS9" s="3284">
        <f t="shared" ref="BS9:BS33" si="10">BR9/$AD$89</f>
        <v>0.11908620147085605</v>
      </c>
      <c r="BT9" s="3287" t="s">
        <v>2195</v>
      </c>
      <c r="BU9" s="3285"/>
      <c r="BV9" s="3285"/>
      <c r="BW9" s="3286">
        <f>BU9+BV9*1</f>
        <v>0</v>
      </c>
      <c r="BX9" s="3284">
        <f t="shared" ref="BX9:BX33" si="11">BW9/$AD$89</f>
        <v>0</v>
      </c>
      <c r="BY9" s="3287"/>
      <c r="BZ9" s="3285"/>
      <c r="CA9" s="3285"/>
      <c r="CB9" s="3286">
        <f>BZ9+CA9*1</f>
        <v>0</v>
      </c>
      <c r="CC9" s="3284">
        <f t="shared" ref="CC9:CC33" si="12">CB9/$AD$89</f>
        <v>0</v>
      </c>
      <c r="CD9" s="3287"/>
      <c r="CE9" s="3285"/>
      <c r="CF9" s="3285"/>
      <c r="CG9" s="3286">
        <f>CE9+CF9*1</f>
        <v>0</v>
      </c>
      <c r="CH9" s="3284">
        <f t="shared" ref="CH9:CH33" si="13">CG9/$AD$89</f>
        <v>0</v>
      </c>
      <c r="CI9" s="3287"/>
      <c r="CJ9" s="3285"/>
      <c r="CK9" s="3285"/>
      <c r="CL9" s="3286">
        <f>CJ9+CK9*1</f>
        <v>0</v>
      </c>
      <c r="CM9" s="3284">
        <f t="shared" ref="CM9:CM33" si="14">CL9/$AI$89</f>
        <v>0</v>
      </c>
      <c r="CN9" s="3287"/>
      <c r="CO9" s="3285"/>
      <c r="CP9" s="3285"/>
      <c r="CQ9" s="3286">
        <f>CO9+CP9*1</f>
        <v>0</v>
      </c>
      <c r="CR9" s="3284">
        <f t="shared" ref="CR9:CR33" si="15">CQ9/$AI$89</f>
        <v>0</v>
      </c>
      <c r="CS9" s="3287"/>
      <c r="CT9" s="3285"/>
      <c r="CU9" s="3285"/>
      <c r="CV9" s="3286">
        <f>CT9+CU9*1</f>
        <v>0</v>
      </c>
      <c r="CW9" s="3284">
        <f t="shared" ref="CW9:CW33" si="16">CV9/$AI$89</f>
        <v>0</v>
      </c>
      <c r="CX9" s="3287"/>
      <c r="CY9" s="3285"/>
      <c r="CZ9" s="3285"/>
      <c r="DA9" s="3286">
        <f>CY9+CZ9*1</f>
        <v>0</v>
      </c>
      <c r="DB9" s="3284">
        <f t="shared" ref="DB9:DB33" si="17">DA9/$AI$89</f>
        <v>0</v>
      </c>
      <c r="DC9" s="3287"/>
      <c r="DD9" s="3285"/>
      <c r="DE9" s="3285"/>
      <c r="DF9" s="3286">
        <f>DD9+DE9*1</f>
        <v>0</v>
      </c>
      <c r="DG9" s="3284">
        <f t="shared" ref="DG9:DG33" si="18">DF9/$AI$89</f>
        <v>0</v>
      </c>
      <c r="DH9" s="3287"/>
      <c r="DI9" s="3285"/>
      <c r="DJ9" s="3285"/>
      <c r="DK9" s="3286">
        <f>DI9+DJ9*1</f>
        <v>0</v>
      </c>
      <c r="DL9" s="3284">
        <f t="shared" ref="DL9:DL33" si="19">DK9/$AI$89</f>
        <v>0</v>
      </c>
      <c r="DM9" s="3287"/>
      <c r="DN9" s="3274">
        <f t="shared" ref="DN9:DO9" si="20">R9+W9+AB9+AG9+AL9+AQ9+BF9+BK9+BP9+BU9+BZ9+CE9+CJ9+CO9+CT9+CY9+DD9+DI9+AV9</f>
        <v>125504.59999999999</v>
      </c>
      <c r="DO9" s="3274">
        <f t="shared" si="20"/>
        <v>371123.82</v>
      </c>
      <c r="DP9" s="3281">
        <f t="shared" ref="DP9:DP21" si="21">DN9+DO9*1</f>
        <v>496628.42</v>
      </c>
      <c r="DQ9" s="1574">
        <f t="shared" si="4"/>
        <v>0.19515565675156019</v>
      </c>
      <c r="DR9" s="1595"/>
    </row>
    <row r="10" spans="1:122" s="1411" customFormat="1" ht="27.6" x14ac:dyDescent="0.25">
      <c r="A10" s="1586"/>
      <c r="B10" s="3388" t="s">
        <v>72</v>
      </c>
      <c r="C10" s="3288">
        <v>9060.4630434782612</v>
      </c>
      <c r="D10" s="3274">
        <v>0</v>
      </c>
      <c r="E10" s="3283">
        <v>9060.4630434782612</v>
      </c>
      <c r="F10" s="3284">
        <v>1.4490753981374933E-2</v>
      </c>
      <c r="G10" s="2492"/>
      <c r="H10" s="3274">
        <v>1735.5</v>
      </c>
      <c r="I10" s="3274"/>
      <c r="J10" s="3283">
        <f t="shared" ref="J10:J33" si="22">H10+I10*1</f>
        <v>1735.5</v>
      </c>
      <c r="K10" s="3284">
        <f t="shared" si="0"/>
        <v>1.4408986913437982E-2</v>
      </c>
      <c r="L10" s="1449"/>
      <c r="M10" s="3274">
        <f>1751.95+6402.67</f>
        <v>8154.62</v>
      </c>
      <c r="N10" s="3274"/>
      <c r="O10" s="3283">
        <f t="shared" ref="O10:O33" si="23">M10+N10*1</f>
        <v>8154.62</v>
      </c>
      <c r="P10" s="3284">
        <f t="shared" si="1"/>
        <v>1.1859889220033617E-2</v>
      </c>
      <c r="Q10" s="1449"/>
      <c r="R10" s="3274">
        <v>1774.5</v>
      </c>
      <c r="S10" s="3274"/>
      <c r="T10" s="3283">
        <f t="shared" ref="T10:T21" si="24">R10+S10*1</f>
        <v>1774.5</v>
      </c>
      <c r="U10" s="3284">
        <f t="shared" si="2"/>
        <v>5.4368171635687714E-3</v>
      </c>
      <c r="V10" s="1449"/>
      <c r="W10" s="3274">
        <v>1753.45</v>
      </c>
      <c r="X10" s="3274"/>
      <c r="Y10" s="3283">
        <f t="shared" ref="Y10:Y21" si="25">W10+X10*1</f>
        <v>1753.45</v>
      </c>
      <c r="Z10" s="3284">
        <f t="shared" ref="Z10:Z33" si="26">Y10/$T$89</f>
        <v>5.3723229391150536E-3</v>
      </c>
      <c r="AA10" s="1449"/>
      <c r="AB10" s="3288">
        <f>274.95+887.25</f>
        <v>1162.2</v>
      </c>
      <c r="AC10" s="3274"/>
      <c r="AD10" s="3283">
        <f t="shared" ref="AD10:AD21" si="27">AB10+AC10*1</f>
        <v>1162.2</v>
      </c>
      <c r="AE10" s="3284">
        <f>AD10/$AD$89</f>
        <v>8.884890532490624E-3</v>
      </c>
      <c r="AF10" s="1449"/>
      <c r="AG10" s="3274">
        <v>274.95</v>
      </c>
      <c r="AH10" s="3274"/>
      <c r="AI10" s="3283">
        <f t="shared" ref="AI10:AI21" si="28">AG10+AH10*1</f>
        <v>274.95</v>
      </c>
      <c r="AJ10" s="3284">
        <f t="shared" si="3"/>
        <v>6.3084437867099215E-3</v>
      </c>
      <c r="AK10" s="1449"/>
      <c r="AL10" s="3274">
        <v>916.5</v>
      </c>
      <c r="AM10" s="3274"/>
      <c r="AN10" s="3283">
        <f t="shared" ref="AN10:AN21" si="29">AL10+AM10*1</f>
        <v>916.5</v>
      </c>
      <c r="AO10" s="3284">
        <f t="shared" ref="AO10:AO33" si="30">AN10/$AI$89</f>
        <v>2.102814595569974E-2</v>
      </c>
      <c r="AP10" s="1449"/>
      <c r="AQ10" s="3274">
        <v>666.54</v>
      </c>
      <c r="AR10" s="3274"/>
      <c r="AS10" s="3283">
        <f t="shared" ref="AS10:AS21" si="31">AQ10+AR10*1</f>
        <v>666.54</v>
      </c>
      <c r="AT10" s="3284">
        <f t="shared" si="5"/>
        <v>4.3990902848204515E-3</v>
      </c>
      <c r="AU10" s="1449"/>
      <c r="AV10" s="3274">
        <v>12384.31</v>
      </c>
      <c r="AW10" s="3274">
        <v>0</v>
      </c>
      <c r="AX10" s="3283">
        <v>12384.31</v>
      </c>
      <c r="AY10" s="3284">
        <v>3.7943775242015428E-2</v>
      </c>
      <c r="AZ10" s="1449"/>
      <c r="BA10" s="3274">
        <f t="shared" si="6"/>
        <v>5074.24</v>
      </c>
      <c r="BB10" s="3274">
        <f t="shared" si="6"/>
        <v>0</v>
      </c>
      <c r="BC10" s="3283">
        <f t="shared" ref="BC10:BC21" si="32">BA10+BB10*1</f>
        <v>5074.24</v>
      </c>
      <c r="BD10" s="3284">
        <f t="shared" si="7"/>
        <v>1.5546754085132264E-2</v>
      </c>
      <c r="BE10" s="1449"/>
      <c r="BF10" s="3274">
        <v>1333.09</v>
      </c>
      <c r="BG10" s="3274"/>
      <c r="BH10" s="3283">
        <f t="shared" ref="BH10:BH21" si="33">BF10+BG10*1</f>
        <v>1333.09</v>
      </c>
      <c r="BI10" s="3284">
        <f t="shared" si="8"/>
        <v>8.7982465685349648E-3</v>
      </c>
      <c r="BJ10" s="1449"/>
      <c r="BK10" s="3274">
        <v>1833</v>
      </c>
      <c r="BL10" s="3274"/>
      <c r="BM10" s="3283">
        <f t="shared" ref="BM10:BM33" si="34">BK10+BL10*1</f>
        <v>1833</v>
      </c>
      <c r="BN10" s="3284">
        <f t="shared" si="9"/>
        <v>2.9315888073710877E-3</v>
      </c>
      <c r="BO10" s="1158"/>
      <c r="BP10" s="3285">
        <v>1908.15</v>
      </c>
      <c r="BQ10" s="3285"/>
      <c r="BR10" s="3286">
        <f t="shared" ref="BR10:BR33" si="35">BP10+BQ10*1</f>
        <v>1908.15</v>
      </c>
      <c r="BS10" s="3284">
        <f t="shared" si="10"/>
        <v>1.4587595826511774E-2</v>
      </c>
      <c r="BT10" s="1158"/>
      <c r="BU10" s="3285"/>
      <c r="BV10" s="3285"/>
      <c r="BW10" s="3286">
        <f>BU10+BV10*1</f>
        <v>0</v>
      </c>
      <c r="BX10" s="3284">
        <f t="shared" si="11"/>
        <v>0</v>
      </c>
      <c r="BY10" s="1158"/>
      <c r="BZ10" s="3285"/>
      <c r="CA10" s="3285"/>
      <c r="CB10" s="3286">
        <f>BZ10+CA10*1</f>
        <v>0</v>
      </c>
      <c r="CC10" s="3284">
        <f t="shared" si="12"/>
        <v>0</v>
      </c>
      <c r="CD10" s="1158"/>
      <c r="CE10" s="3285"/>
      <c r="CF10" s="3285"/>
      <c r="CG10" s="3286">
        <f>CE10+CF10*1</f>
        <v>0</v>
      </c>
      <c r="CH10" s="3284">
        <f t="shared" si="13"/>
        <v>0</v>
      </c>
      <c r="CI10" s="1158"/>
      <c r="CJ10" s="3285"/>
      <c r="CK10" s="3285"/>
      <c r="CL10" s="3286">
        <f>CJ10+CK10*1</f>
        <v>0</v>
      </c>
      <c r="CM10" s="3284">
        <f t="shared" si="14"/>
        <v>0</v>
      </c>
      <c r="CN10" s="1158"/>
      <c r="CO10" s="3285"/>
      <c r="CP10" s="3285"/>
      <c r="CQ10" s="3286">
        <f>CO10+CP10*1</f>
        <v>0</v>
      </c>
      <c r="CR10" s="3284">
        <f t="shared" si="15"/>
        <v>0</v>
      </c>
      <c r="CS10" s="1158"/>
      <c r="CT10" s="3285"/>
      <c r="CU10" s="3285"/>
      <c r="CV10" s="3286">
        <f>CT10+CU10*1</f>
        <v>0</v>
      </c>
      <c r="CW10" s="3284">
        <f t="shared" si="16"/>
        <v>0</v>
      </c>
      <c r="CX10" s="1158"/>
      <c r="CY10" s="3285"/>
      <c r="CZ10" s="3285"/>
      <c r="DA10" s="3286">
        <f>CY10+CZ10*1</f>
        <v>0</v>
      </c>
      <c r="DB10" s="3284">
        <f t="shared" si="17"/>
        <v>0</v>
      </c>
      <c r="DC10" s="1158"/>
      <c r="DD10" s="3285"/>
      <c r="DE10" s="3285"/>
      <c r="DF10" s="3286">
        <f>DD10+DE10*1</f>
        <v>0</v>
      </c>
      <c r="DG10" s="3284">
        <f t="shared" si="18"/>
        <v>0</v>
      </c>
      <c r="DH10" s="1158"/>
      <c r="DI10" s="3285"/>
      <c r="DJ10" s="3285"/>
      <c r="DK10" s="3286">
        <f>DI10+DJ10*1</f>
        <v>0</v>
      </c>
      <c r="DL10" s="3284">
        <f t="shared" si="19"/>
        <v>0</v>
      </c>
      <c r="DM10" s="1158"/>
      <c r="DN10" s="3274">
        <f t="shared" ref="DN10:DN33" si="36">R10+W10+AB10+AG10+AL10+AQ10+BF10+BK10+BP10+BU10+BZ10+CE10+CJ10+CO10+CT10+CY10+DD10+DI10+AV10</f>
        <v>24006.69</v>
      </c>
      <c r="DO10" s="3274">
        <f t="shared" ref="DO10:DO33" si="37">S10+X10+AC10+AH10+AM10+AR10+BG10+BL10+BQ10+BV10+CA10+CF10+CK10+CP10+CU10+CZ10+DE10+DJ10+AW10</f>
        <v>0</v>
      </c>
      <c r="DP10" s="3283">
        <f t="shared" si="21"/>
        <v>24006.69</v>
      </c>
      <c r="DQ10" s="3284">
        <f t="shared" si="4"/>
        <v>9.4336956257580103E-3</v>
      </c>
      <c r="DR10" s="1449"/>
    </row>
    <row r="11" spans="1:122" s="1411" customFormat="1" ht="27.6" x14ac:dyDescent="0.25">
      <c r="A11" s="1586"/>
      <c r="B11" s="3388" t="s">
        <v>69</v>
      </c>
      <c r="C11" s="3288">
        <v>10222.060869565217</v>
      </c>
      <c r="D11" s="3274">
        <v>0</v>
      </c>
      <c r="E11" s="3283">
        <v>10222.060869565217</v>
      </c>
      <c r="F11" s="3284">
        <v>1.6348542953346076E-2</v>
      </c>
      <c r="G11" s="2492"/>
      <c r="H11" s="3274">
        <v>1958</v>
      </c>
      <c r="I11" s="3274"/>
      <c r="J11" s="3283">
        <f t="shared" si="22"/>
        <v>1958</v>
      </c>
      <c r="K11" s="3284">
        <f t="shared" si="0"/>
        <v>1.6256292927981312E-2</v>
      </c>
      <c r="L11" s="1449"/>
      <c r="M11" s="3274">
        <f>1976+7223.54</f>
        <v>9199.5400000000009</v>
      </c>
      <c r="N11" s="3274"/>
      <c r="O11" s="3283">
        <f t="shared" si="23"/>
        <v>9199.5400000000009</v>
      </c>
      <c r="P11" s="3284">
        <f t="shared" si="1"/>
        <v>1.3379596507902033E-2</v>
      </c>
      <c r="Q11" s="1449"/>
      <c r="R11" s="3274">
        <v>2002</v>
      </c>
      <c r="S11" s="3274"/>
      <c r="T11" s="3283">
        <f t="shared" si="24"/>
        <v>2002</v>
      </c>
      <c r="U11" s="3284">
        <f t="shared" si="2"/>
        <v>6.1338450050519473E-3</v>
      </c>
      <c r="V11" s="1449"/>
      <c r="W11" s="3274">
        <v>1978.26</v>
      </c>
      <c r="X11" s="3274"/>
      <c r="Y11" s="3283">
        <f t="shared" si="25"/>
        <v>1978.26</v>
      </c>
      <c r="Z11" s="3284">
        <f t="shared" si="26"/>
        <v>6.0611090008461863E-3</v>
      </c>
      <c r="AA11" s="1449"/>
      <c r="AB11" s="3288">
        <f>310.2+1001</f>
        <v>1311.2</v>
      </c>
      <c r="AC11" s="3274"/>
      <c r="AD11" s="3283">
        <f t="shared" si="27"/>
        <v>1311.2</v>
      </c>
      <c r="AE11" s="3284">
        <f t="shared" ref="AE11:AE33" si="38">AD11/$AD$89</f>
        <v>1.0023979062297114E-2</v>
      </c>
      <c r="AF11" s="1449"/>
      <c r="AG11" s="3274">
        <v>310.2</v>
      </c>
      <c r="AH11" s="3274"/>
      <c r="AI11" s="3283">
        <f t="shared" si="28"/>
        <v>310.2</v>
      </c>
      <c r="AJ11" s="3284">
        <f t="shared" si="3"/>
        <v>7.1172186311599115E-3</v>
      </c>
      <c r="AK11" s="1449"/>
      <c r="AL11" s="3274">
        <v>1474</v>
      </c>
      <c r="AM11" s="3274"/>
      <c r="AN11" s="3283">
        <f t="shared" si="29"/>
        <v>1474</v>
      </c>
      <c r="AO11" s="3284">
        <f t="shared" si="30"/>
        <v>3.3819407679979721E-2</v>
      </c>
      <c r="AP11" s="1449"/>
      <c r="AQ11" s="3274">
        <v>1474</v>
      </c>
      <c r="AR11" s="3274"/>
      <c r="AS11" s="3283">
        <f t="shared" si="31"/>
        <v>1474</v>
      </c>
      <c r="AT11" s="3284">
        <f t="shared" si="5"/>
        <v>9.7282369847651248E-3</v>
      </c>
      <c r="AU11" s="1449"/>
      <c r="AV11" s="3274">
        <v>13972.039999999999</v>
      </c>
      <c r="AW11" s="3274">
        <v>0</v>
      </c>
      <c r="AX11" s="3283">
        <v>13972.039999999999</v>
      </c>
      <c r="AY11" s="3284">
        <v>4.2808355526666335E-2</v>
      </c>
      <c r="AZ11" s="1449"/>
      <c r="BA11" s="3274">
        <f t="shared" si="6"/>
        <v>5724.79</v>
      </c>
      <c r="BB11" s="3274">
        <f t="shared" si="6"/>
        <v>0</v>
      </c>
      <c r="BC11" s="3283">
        <f t="shared" si="32"/>
        <v>5724.79</v>
      </c>
      <c r="BD11" s="3284">
        <f t="shared" si="7"/>
        <v>1.7539947325909758E-2</v>
      </c>
      <c r="BE11" s="1449"/>
      <c r="BF11" s="3274">
        <v>1504</v>
      </c>
      <c r="BG11" s="3274"/>
      <c r="BH11" s="3283">
        <f t="shared" si="33"/>
        <v>1504</v>
      </c>
      <c r="BI11" s="3284">
        <f t="shared" si="8"/>
        <v>9.9262336669516602E-3</v>
      </c>
      <c r="BJ11" s="1449"/>
      <c r="BK11" s="3274">
        <v>2068</v>
      </c>
      <c r="BL11" s="3274"/>
      <c r="BM11" s="3283">
        <f t="shared" si="34"/>
        <v>2068</v>
      </c>
      <c r="BN11" s="3284">
        <f t="shared" si="9"/>
        <v>3.3074335262648171E-3</v>
      </c>
      <c r="BO11" s="1158"/>
      <c r="BP11" s="3285">
        <v>2152.79</v>
      </c>
      <c r="BQ11" s="3285"/>
      <c r="BR11" s="3286">
        <f t="shared" si="35"/>
        <v>2152.79</v>
      </c>
      <c r="BS11" s="3284">
        <f t="shared" si="10"/>
        <v>1.6457841584443716E-2</v>
      </c>
      <c r="BT11" s="1158"/>
      <c r="BU11" s="3285"/>
      <c r="BV11" s="3285"/>
      <c r="BW11" s="3286">
        <f>BU11+BV11*1</f>
        <v>0</v>
      </c>
      <c r="BX11" s="3284">
        <f t="shared" si="11"/>
        <v>0</v>
      </c>
      <c r="BY11" s="1158"/>
      <c r="BZ11" s="3285"/>
      <c r="CA11" s="3285"/>
      <c r="CB11" s="3286">
        <f>BZ11+CA11*1</f>
        <v>0</v>
      </c>
      <c r="CC11" s="3284">
        <f t="shared" si="12"/>
        <v>0</v>
      </c>
      <c r="CD11" s="1158"/>
      <c r="CE11" s="3285"/>
      <c r="CF11" s="3285"/>
      <c r="CG11" s="3286">
        <f>CE11+CF11*1</f>
        <v>0</v>
      </c>
      <c r="CH11" s="3284">
        <f t="shared" si="13"/>
        <v>0</v>
      </c>
      <c r="CI11" s="1158"/>
      <c r="CJ11" s="3285"/>
      <c r="CK11" s="3285"/>
      <c r="CL11" s="3286">
        <f>CJ11+CK11*1</f>
        <v>0</v>
      </c>
      <c r="CM11" s="3284">
        <f t="shared" si="14"/>
        <v>0</v>
      </c>
      <c r="CN11" s="1158"/>
      <c r="CO11" s="3285"/>
      <c r="CP11" s="3285"/>
      <c r="CQ11" s="3286">
        <f>CO11+CP11*1</f>
        <v>0</v>
      </c>
      <c r="CR11" s="3284">
        <f t="shared" si="15"/>
        <v>0</v>
      </c>
      <c r="CS11" s="1158"/>
      <c r="CT11" s="3285"/>
      <c r="CU11" s="3285"/>
      <c r="CV11" s="3286">
        <f>CT11+CU11*1</f>
        <v>0</v>
      </c>
      <c r="CW11" s="3284">
        <f t="shared" si="16"/>
        <v>0</v>
      </c>
      <c r="CX11" s="1158"/>
      <c r="CY11" s="3285"/>
      <c r="CZ11" s="3285"/>
      <c r="DA11" s="3286">
        <f>CY11+CZ11*1</f>
        <v>0</v>
      </c>
      <c r="DB11" s="3284">
        <f t="shared" si="17"/>
        <v>0</v>
      </c>
      <c r="DC11" s="1158"/>
      <c r="DD11" s="3285"/>
      <c r="DE11" s="3285"/>
      <c r="DF11" s="3286">
        <f>DD11+DE11*1</f>
        <v>0</v>
      </c>
      <c r="DG11" s="3284">
        <f t="shared" si="18"/>
        <v>0</v>
      </c>
      <c r="DH11" s="1158"/>
      <c r="DI11" s="3285"/>
      <c r="DJ11" s="3285"/>
      <c r="DK11" s="3286">
        <f>DI11+DJ11*1</f>
        <v>0</v>
      </c>
      <c r="DL11" s="3284">
        <f t="shared" si="19"/>
        <v>0</v>
      </c>
      <c r="DM11" s="1158"/>
      <c r="DN11" s="3274">
        <f t="shared" si="36"/>
        <v>28246.489999999998</v>
      </c>
      <c r="DO11" s="3274">
        <f t="shared" si="37"/>
        <v>0</v>
      </c>
      <c r="DP11" s="3283">
        <f t="shared" si="21"/>
        <v>28246.489999999998</v>
      </c>
      <c r="DQ11" s="3284">
        <f t="shared" si="4"/>
        <v>1.1099772153346312E-2</v>
      </c>
      <c r="DR11" s="1449"/>
    </row>
    <row r="12" spans="1:122" s="1411" customFormat="1" ht="13.8" x14ac:dyDescent="0.25">
      <c r="A12" s="1586"/>
      <c r="B12" s="3388" t="s">
        <v>73</v>
      </c>
      <c r="C12" s="3288">
        <v>0</v>
      </c>
      <c r="D12" s="3274">
        <v>0</v>
      </c>
      <c r="E12" s="3283">
        <v>0</v>
      </c>
      <c r="F12" s="3284">
        <v>0</v>
      </c>
      <c r="G12" s="2492"/>
      <c r="H12" s="3274"/>
      <c r="I12" s="3274"/>
      <c r="J12" s="3283">
        <f t="shared" si="22"/>
        <v>0</v>
      </c>
      <c r="K12" s="3284">
        <f t="shared" si="0"/>
        <v>0</v>
      </c>
      <c r="L12" s="1449"/>
      <c r="M12" s="3274"/>
      <c r="N12" s="3274"/>
      <c r="O12" s="3283">
        <f t="shared" si="23"/>
        <v>0</v>
      </c>
      <c r="P12" s="3284">
        <f t="shared" si="1"/>
        <v>0</v>
      </c>
      <c r="Q12" s="1449"/>
      <c r="R12" s="3274"/>
      <c r="S12" s="3274"/>
      <c r="T12" s="3283">
        <f t="shared" si="24"/>
        <v>0</v>
      </c>
      <c r="U12" s="3284">
        <f t="shared" si="2"/>
        <v>0</v>
      </c>
      <c r="V12" s="1449"/>
      <c r="W12" s="3274"/>
      <c r="X12" s="3274"/>
      <c r="Y12" s="3283">
        <f t="shared" si="25"/>
        <v>0</v>
      </c>
      <c r="Z12" s="3284">
        <f t="shared" si="26"/>
        <v>0</v>
      </c>
      <c r="AA12" s="1449"/>
      <c r="AB12" s="3288"/>
      <c r="AC12" s="3274"/>
      <c r="AD12" s="3283">
        <f t="shared" si="27"/>
        <v>0</v>
      </c>
      <c r="AE12" s="3284">
        <f t="shared" si="38"/>
        <v>0</v>
      </c>
      <c r="AF12" s="1449"/>
      <c r="AG12" s="3274"/>
      <c r="AH12" s="3274"/>
      <c r="AI12" s="3283">
        <f t="shared" si="28"/>
        <v>0</v>
      </c>
      <c r="AJ12" s="3284">
        <f t="shared" si="3"/>
        <v>0</v>
      </c>
      <c r="AK12" s="1449"/>
      <c r="AL12" s="3274"/>
      <c r="AM12" s="3274"/>
      <c r="AN12" s="3283">
        <f t="shared" si="29"/>
        <v>0</v>
      </c>
      <c r="AO12" s="3284">
        <f t="shared" si="30"/>
        <v>0</v>
      </c>
      <c r="AP12" s="1449"/>
      <c r="AQ12" s="3274"/>
      <c r="AR12" s="3274"/>
      <c r="AS12" s="3283">
        <f t="shared" si="31"/>
        <v>0</v>
      </c>
      <c r="AT12" s="3284">
        <f t="shared" si="5"/>
        <v>0</v>
      </c>
      <c r="AU12" s="1449"/>
      <c r="AV12" s="3274">
        <v>0</v>
      </c>
      <c r="AW12" s="3274">
        <v>0</v>
      </c>
      <c r="AX12" s="3283">
        <v>0</v>
      </c>
      <c r="AY12" s="3284">
        <v>0</v>
      </c>
      <c r="AZ12" s="1449"/>
      <c r="BA12" s="3274">
        <f t="shared" si="6"/>
        <v>0</v>
      </c>
      <c r="BB12" s="3274">
        <f t="shared" si="6"/>
        <v>0</v>
      </c>
      <c r="BC12" s="3283">
        <f t="shared" si="32"/>
        <v>0</v>
      </c>
      <c r="BD12" s="3284">
        <f t="shared" si="7"/>
        <v>0</v>
      </c>
      <c r="BE12" s="1449"/>
      <c r="BF12" s="3274"/>
      <c r="BG12" s="3274"/>
      <c r="BH12" s="3283">
        <f t="shared" si="33"/>
        <v>0</v>
      </c>
      <c r="BI12" s="3284">
        <f t="shared" si="8"/>
        <v>0</v>
      </c>
      <c r="BJ12" s="1449"/>
      <c r="BK12" s="3274"/>
      <c r="BL12" s="3274"/>
      <c r="BM12" s="3283">
        <f t="shared" si="34"/>
        <v>0</v>
      </c>
      <c r="BN12" s="3284">
        <f t="shared" si="9"/>
        <v>0</v>
      </c>
      <c r="BO12" s="1158"/>
      <c r="BP12" s="3285"/>
      <c r="BQ12" s="3285"/>
      <c r="BR12" s="3286">
        <f t="shared" si="35"/>
        <v>0</v>
      </c>
      <c r="BS12" s="3284">
        <f t="shared" si="10"/>
        <v>0</v>
      </c>
      <c r="BT12" s="1158"/>
      <c r="BU12" s="3285"/>
      <c r="BV12" s="3285"/>
      <c r="BW12" s="3286">
        <f>BU12+BV12*1</f>
        <v>0</v>
      </c>
      <c r="BX12" s="3284">
        <f t="shared" si="11"/>
        <v>0</v>
      </c>
      <c r="BY12" s="1158"/>
      <c r="BZ12" s="3285"/>
      <c r="CA12" s="3285"/>
      <c r="CB12" s="3286">
        <f>BZ12+CA12*1</f>
        <v>0</v>
      </c>
      <c r="CC12" s="3284">
        <f t="shared" si="12"/>
        <v>0</v>
      </c>
      <c r="CD12" s="1158"/>
      <c r="CE12" s="3285"/>
      <c r="CF12" s="3285"/>
      <c r="CG12" s="3286">
        <f>CE12+CF12*1</f>
        <v>0</v>
      </c>
      <c r="CH12" s="3284">
        <f t="shared" si="13"/>
        <v>0</v>
      </c>
      <c r="CI12" s="1158"/>
      <c r="CJ12" s="3285"/>
      <c r="CK12" s="3285"/>
      <c r="CL12" s="3286">
        <f>CJ12+CK12*1</f>
        <v>0</v>
      </c>
      <c r="CM12" s="3284">
        <f t="shared" si="14"/>
        <v>0</v>
      </c>
      <c r="CN12" s="1158"/>
      <c r="CO12" s="3285"/>
      <c r="CP12" s="3285"/>
      <c r="CQ12" s="3286">
        <f>CO12+CP12*1</f>
        <v>0</v>
      </c>
      <c r="CR12" s="3284">
        <f t="shared" si="15"/>
        <v>0</v>
      </c>
      <c r="CS12" s="1158"/>
      <c r="CT12" s="3285"/>
      <c r="CU12" s="3285"/>
      <c r="CV12" s="3286">
        <f>CT12+CU12*1</f>
        <v>0</v>
      </c>
      <c r="CW12" s="3284">
        <f t="shared" si="16"/>
        <v>0</v>
      </c>
      <c r="CX12" s="1158"/>
      <c r="CY12" s="3285"/>
      <c r="CZ12" s="3285"/>
      <c r="DA12" s="3286">
        <f>CY12+CZ12*1</f>
        <v>0</v>
      </c>
      <c r="DB12" s="3284">
        <f t="shared" si="17"/>
        <v>0</v>
      </c>
      <c r="DC12" s="1158"/>
      <c r="DD12" s="3285"/>
      <c r="DE12" s="3285"/>
      <c r="DF12" s="3286">
        <f>DD12+DE12*1</f>
        <v>0</v>
      </c>
      <c r="DG12" s="3284">
        <f t="shared" si="18"/>
        <v>0</v>
      </c>
      <c r="DH12" s="1158"/>
      <c r="DI12" s="3285"/>
      <c r="DJ12" s="3285"/>
      <c r="DK12" s="3286">
        <f>DI12+DJ12*1</f>
        <v>0</v>
      </c>
      <c r="DL12" s="3284">
        <f t="shared" si="19"/>
        <v>0</v>
      </c>
      <c r="DM12" s="1158"/>
      <c r="DN12" s="3274">
        <f t="shared" si="36"/>
        <v>0</v>
      </c>
      <c r="DO12" s="3274">
        <f t="shared" si="37"/>
        <v>0</v>
      </c>
      <c r="DP12" s="3283">
        <f t="shared" si="21"/>
        <v>0</v>
      </c>
      <c r="DQ12" s="3284">
        <f t="shared" si="4"/>
        <v>0</v>
      </c>
      <c r="DR12" s="1449"/>
    </row>
    <row r="13" spans="1:122" s="1411" customFormat="1" ht="13.8" x14ac:dyDescent="0.25">
      <c r="A13" s="1586"/>
      <c r="B13" s="3388" t="s">
        <v>71</v>
      </c>
      <c r="C13" s="3288">
        <v>0</v>
      </c>
      <c r="D13" s="3274">
        <v>0</v>
      </c>
      <c r="E13" s="3283">
        <v>0</v>
      </c>
      <c r="F13" s="3284">
        <v>0</v>
      </c>
      <c r="G13" s="2492"/>
      <c r="H13" s="3274"/>
      <c r="I13" s="3274"/>
      <c r="J13" s="3283">
        <f t="shared" si="22"/>
        <v>0</v>
      </c>
      <c r="K13" s="3284">
        <f t="shared" si="0"/>
        <v>0</v>
      </c>
      <c r="L13" s="1449"/>
      <c r="M13" s="3274"/>
      <c r="N13" s="3274"/>
      <c r="O13" s="3283">
        <f t="shared" si="23"/>
        <v>0</v>
      </c>
      <c r="P13" s="3284">
        <f t="shared" si="1"/>
        <v>0</v>
      </c>
      <c r="Q13" s="1449"/>
      <c r="R13" s="3274"/>
      <c r="S13" s="3274"/>
      <c r="T13" s="3283">
        <f t="shared" si="24"/>
        <v>0</v>
      </c>
      <c r="U13" s="3284">
        <f t="shared" si="2"/>
        <v>0</v>
      </c>
      <c r="V13" s="1449"/>
      <c r="W13" s="3274"/>
      <c r="X13" s="3274"/>
      <c r="Y13" s="3283">
        <f t="shared" si="25"/>
        <v>0</v>
      </c>
      <c r="Z13" s="3284">
        <f t="shared" si="26"/>
        <v>0</v>
      </c>
      <c r="AA13" s="1449"/>
      <c r="AB13" s="3288"/>
      <c r="AC13" s="3274"/>
      <c r="AD13" s="3283">
        <f t="shared" si="27"/>
        <v>0</v>
      </c>
      <c r="AE13" s="3284">
        <f t="shared" si="38"/>
        <v>0</v>
      </c>
      <c r="AF13" s="1449"/>
      <c r="AG13" s="3274"/>
      <c r="AH13" s="3274"/>
      <c r="AI13" s="3283">
        <f t="shared" si="28"/>
        <v>0</v>
      </c>
      <c r="AJ13" s="3284">
        <f t="shared" si="3"/>
        <v>0</v>
      </c>
      <c r="AK13" s="1449"/>
      <c r="AL13" s="3274"/>
      <c r="AM13" s="3274"/>
      <c r="AN13" s="3283">
        <f t="shared" si="29"/>
        <v>0</v>
      </c>
      <c r="AO13" s="3284">
        <f t="shared" si="30"/>
        <v>0</v>
      </c>
      <c r="AP13" s="1449"/>
      <c r="AQ13" s="3274"/>
      <c r="AR13" s="3274"/>
      <c r="AS13" s="3283">
        <f t="shared" si="31"/>
        <v>0</v>
      </c>
      <c r="AT13" s="3284">
        <f t="shared" si="5"/>
        <v>0</v>
      </c>
      <c r="AU13" s="1449"/>
      <c r="AV13" s="3274">
        <v>0</v>
      </c>
      <c r="AW13" s="3274">
        <v>0</v>
      </c>
      <c r="AX13" s="3283">
        <v>0</v>
      </c>
      <c r="AY13" s="3284">
        <v>0</v>
      </c>
      <c r="AZ13" s="1449"/>
      <c r="BA13" s="3274">
        <f t="shared" si="6"/>
        <v>0</v>
      </c>
      <c r="BB13" s="3274">
        <f t="shared" si="6"/>
        <v>0</v>
      </c>
      <c r="BC13" s="3283">
        <f t="shared" si="32"/>
        <v>0</v>
      </c>
      <c r="BD13" s="3284">
        <f t="shared" si="7"/>
        <v>0</v>
      </c>
      <c r="BE13" s="1449"/>
      <c r="BF13" s="3274"/>
      <c r="BG13" s="3274"/>
      <c r="BH13" s="3283">
        <f t="shared" si="33"/>
        <v>0</v>
      </c>
      <c r="BI13" s="3284">
        <f t="shared" si="8"/>
        <v>0</v>
      </c>
      <c r="BJ13" s="1449"/>
      <c r="BK13" s="3274"/>
      <c r="BL13" s="3274"/>
      <c r="BM13" s="3283">
        <f t="shared" si="34"/>
        <v>0</v>
      </c>
      <c r="BN13" s="3284">
        <f t="shared" si="9"/>
        <v>0</v>
      </c>
      <c r="BO13" s="1158"/>
      <c r="BP13" s="3285"/>
      <c r="BQ13" s="3285"/>
      <c r="BR13" s="3286">
        <f>BP13+BQ13*1</f>
        <v>0</v>
      </c>
      <c r="BS13" s="3284">
        <f t="shared" si="10"/>
        <v>0</v>
      </c>
      <c r="BT13" s="1158"/>
      <c r="BU13" s="3285"/>
      <c r="BV13" s="3285"/>
      <c r="BW13" s="3286">
        <f>BU13+BV13*1</f>
        <v>0</v>
      </c>
      <c r="BX13" s="3284">
        <f t="shared" si="11"/>
        <v>0</v>
      </c>
      <c r="BY13" s="1158"/>
      <c r="BZ13" s="3285"/>
      <c r="CA13" s="3285"/>
      <c r="CB13" s="3286">
        <f>BZ13+CA13*1</f>
        <v>0</v>
      </c>
      <c r="CC13" s="3284">
        <f t="shared" si="12"/>
        <v>0</v>
      </c>
      <c r="CD13" s="1158"/>
      <c r="CE13" s="3285"/>
      <c r="CF13" s="3285"/>
      <c r="CG13" s="3286">
        <f>CE13+CF13*1</f>
        <v>0</v>
      </c>
      <c r="CH13" s="3284">
        <f t="shared" si="13"/>
        <v>0</v>
      </c>
      <c r="CI13" s="1158"/>
      <c r="CJ13" s="3285"/>
      <c r="CK13" s="3285"/>
      <c r="CL13" s="3286">
        <f>CJ13+CK13*1</f>
        <v>0</v>
      </c>
      <c r="CM13" s="3284">
        <f t="shared" si="14"/>
        <v>0</v>
      </c>
      <c r="CN13" s="1158"/>
      <c r="CO13" s="3285"/>
      <c r="CP13" s="3285"/>
      <c r="CQ13" s="3286">
        <f>CO13+CP13*1</f>
        <v>0</v>
      </c>
      <c r="CR13" s="3284">
        <f t="shared" si="15"/>
        <v>0</v>
      </c>
      <c r="CS13" s="1158"/>
      <c r="CT13" s="3285"/>
      <c r="CU13" s="3285"/>
      <c r="CV13" s="3286">
        <f>CT13+CU13*1</f>
        <v>0</v>
      </c>
      <c r="CW13" s="3284">
        <f t="shared" si="16"/>
        <v>0</v>
      </c>
      <c r="CX13" s="1158"/>
      <c r="CY13" s="3285"/>
      <c r="CZ13" s="3285"/>
      <c r="DA13" s="3286">
        <f>CY13+CZ13*1</f>
        <v>0</v>
      </c>
      <c r="DB13" s="3284">
        <f t="shared" si="17"/>
        <v>0</v>
      </c>
      <c r="DC13" s="1158"/>
      <c r="DD13" s="3285"/>
      <c r="DE13" s="3285"/>
      <c r="DF13" s="3286">
        <f>DD13+DE13*1</f>
        <v>0</v>
      </c>
      <c r="DG13" s="3284">
        <f t="shared" si="18"/>
        <v>0</v>
      </c>
      <c r="DH13" s="1158"/>
      <c r="DI13" s="3285"/>
      <c r="DJ13" s="3285"/>
      <c r="DK13" s="3286">
        <f>DI13+DJ13*1</f>
        <v>0</v>
      </c>
      <c r="DL13" s="3284">
        <f t="shared" si="19"/>
        <v>0</v>
      </c>
      <c r="DM13" s="1158"/>
      <c r="DN13" s="3274">
        <f t="shared" si="36"/>
        <v>0</v>
      </c>
      <c r="DO13" s="3274">
        <f t="shared" si="37"/>
        <v>0</v>
      </c>
      <c r="DP13" s="3283">
        <f t="shared" si="21"/>
        <v>0</v>
      </c>
      <c r="DQ13" s="3284">
        <f t="shared" si="4"/>
        <v>0</v>
      </c>
      <c r="DR13" s="1449"/>
    </row>
    <row r="14" spans="1:122" s="1411" customFormat="1" ht="13.8" x14ac:dyDescent="0.25">
      <c r="A14" s="1586"/>
      <c r="B14" s="3388" t="s">
        <v>70</v>
      </c>
      <c r="C14" s="3288">
        <v>0</v>
      </c>
      <c r="D14" s="3274">
        <v>0</v>
      </c>
      <c r="E14" s="3283">
        <v>0</v>
      </c>
      <c r="F14" s="3284">
        <v>0</v>
      </c>
      <c r="G14" s="2492"/>
      <c r="H14" s="3274"/>
      <c r="I14" s="3274"/>
      <c r="J14" s="3283">
        <f t="shared" si="22"/>
        <v>0</v>
      </c>
      <c r="K14" s="3284">
        <f t="shared" si="0"/>
        <v>0</v>
      </c>
      <c r="L14" s="1449"/>
      <c r="M14" s="3274"/>
      <c r="N14" s="3274"/>
      <c r="O14" s="3283">
        <f t="shared" si="23"/>
        <v>0</v>
      </c>
      <c r="P14" s="3284">
        <f t="shared" si="1"/>
        <v>0</v>
      </c>
      <c r="Q14" s="1449"/>
      <c r="R14" s="3274"/>
      <c r="S14" s="3274"/>
      <c r="T14" s="3283">
        <f t="shared" si="24"/>
        <v>0</v>
      </c>
      <c r="U14" s="3284">
        <f t="shared" si="2"/>
        <v>0</v>
      </c>
      <c r="V14" s="1449"/>
      <c r="W14" s="3274"/>
      <c r="X14" s="3274"/>
      <c r="Y14" s="3283">
        <f t="shared" si="25"/>
        <v>0</v>
      </c>
      <c r="Z14" s="3284">
        <f t="shared" si="26"/>
        <v>0</v>
      </c>
      <c r="AA14" s="1449"/>
      <c r="AB14" s="3288"/>
      <c r="AC14" s="3274"/>
      <c r="AD14" s="3283">
        <f t="shared" si="27"/>
        <v>0</v>
      </c>
      <c r="AE14" s="3284">
        <f t="shared" si="38"/>
        <v>0</v>
      </c>
      <c r="AF14" s="1449"/>
      <c r="AG14" s="3274"/>
      <c r="AH14" s="3274"/>
      <c r="AI14" s="3283">
        <f t="shared" si="28"/>
        <v>0</v>
      </c>
      <c r="AJ14" s="3284">
        <f t="shared" si="3"/>
        <v>0</v>
      </c>
      <c r="AK14" s="1449"/>
      <c r="AL14" s="3274"/>
      <c r="AM14" s="3274"/>
      <c r="AN14" s="3283">
        <f t="shared" si="29"/>
        <v>0</v>
      </c>
      <c r="AO14" s="3284">
        <f t="shared" si="30"/>
        <v>0</v>
      </c>
      <c r="AP14" s="1449"/>
      <c r="AQ14" s="3274"/>
      <c r="AR14" s="3274"/>
      <c r="AS14" s="3283">
        <f t="shared" si="31"/>
        <v>0</v>
      </c>
      <c r="AT14" s="3284">
        <f t="shared" si="5"/>
        <v>0</v>
      </c>
      <c r="AU14" s="1449"/>
      <c r="AV14" s="3274">
        <v>0</v>
      </c>
      <c r="AW14" s="3274">
        <v>0</v>
      </c>
      <c r="AX14" s="3283">
        <v>0</v>
      </c>
      <c r="AY14" s="3284">
        <v>0</v>
      </c>
      <c r="AZ14" s="1449"/>
      <c r="BA14" s="3274">
        <f t="shared" si="6"/>
        <v>0</v>
      </c>
      <c r="BB14" s="3274">
        <f t="shared" si="6"/>
        <v>0</v>
      </c>
      <c r="BC14" s="3283">
        <f t="shared" si="32"/>
        <v>0</v>
      </c>
      <c r="BD14" s="3284">
        <f t="shared" si="7"/>
        <v>0</v>
      </c>
      <c r="BE14" s="1449"/>
      <c r="BF14" s="3274"/>
      <c r="BG14" s="3274"/>
      <c r="BH14" s="3283">
        <f t="shared" si="33"/>
        <v>0</v>
      </c>
      <c r="BI14" s="3284">
        <f t="shared" si="8"/>
        <v>0</v>
      </c>
      <c r="BJ14" s="1449"/>
      <c r="BK14" s="3274"/>
      <c r="BL14" s="3274"/>
      <c r="BM14" s="3283">
        <f t="shared" si="34"/>
        <v>0</v>
      </c>
      <c r="BN14" s="3284">
        <f t="shared" si="9"/>
        <v>0</v>
      </c>
      <c r="BO14" s="1158"/>
      <c r="BP14" s="3285"/>
      <c r="BQ14" s="3285"/>
      <c r="BR14" s="3286">
        <f t="shared" si="35"/>
        <v>0</v>
      </c>
      <c r="BS14" s="3284">
        <f t="shared" si="10"/>
        <v>0</v>
      </c>
      <c r="BT14" s="1158"/>
      <c r="BU14" s="3285"/>
      <c r="BV14" s="3285"/>
      <c r="BW14" s="3286">
        <f t="shared" ref="BW14:BW33" si="39">BU14+BV14*1</f>
        <v>0</v>
      </c>
      <c r="BX14" s="3284">
        <f t="shared" si="11"/>
        <v>0</v>
      </c>
      <c r="BY14" s="1158"/>
      <c r="BZ14" s="3285"/>
      <c r="CA14" s="3285"/>
      <c r="CB14" s="3286">
        <f t="shared" ref="CB14:CB33" si="40">BZ14+CA14*1</f>
        <v>0</v>
      </c>
      <c r="CC14" s="3284">
        <f t="shared" si="12"/>
        <v>0</v>
      </c>
      <c r="CD14" s="1158"/>
      <c r="CE14" s="3285"/>
      <c r="CF14" s="3285"/>
      <c r="CG14" s="3286">
        <f t="shared" ref="CG14:CG33" si="41">CE14+CF14*1</f>
        <v>0</v>
      </c>
      <c r="CH14" s="3284">
        <f t="shared" si="13"/>
        <v>0</v>
      </c>
      <c r="CI14" s="1158"/>
      <c r="CJ14" s="3285"/>
      <c r="CK14" s="3285"/>
      <c r="CL14" s="3286">
        <f t="shared" ref="CL14:CL33" si="42">CJ14+CK14*1</f>
        <v>0</v>
      </c>
      <c r="CM14" s="3284">
        <f t="shared" si="14"/>
        <v>0</v>
      </c>
      <c r="CN14" s="1158"/>
      <c r="CO14" s="3285"/>
      <c r="CP14" s="3285"/>
      <c r="CQ14" s="3286">
        <f t="shared" ref="CQ14:CQ33" si="43">CO14+CP14*1</f>
        <v>0</v>
      </c>
      <c r="CR14" s="3284">
        <f t="shared" si="15"/>
        <v>0</v>
      </c>
      <c r="CS14" s="1158"/>
      <c r="CT14" s="3285"/>
      <c r="CU14" s="3285"/>
      <c r="CV14" s="3286">
        <f t="shared" ref="CV14:CV33" si="44">CT14+CU14*1</f>
        <v>0</v>
      </c>
      <c r="CW14" s="3284">
        <f t="shared" si="16"/>
        <v>0</v>
      </c>
      <c r="CX14" s="1158"/>
      <c r="CY14" s="3285"/>
      <c r="CZ14" s="3285"/>
      <c r="DA14" s="3286">
        <f t="shared" ref="DA14:DA33" si="45">CY14+CZ14*1</f>
        <v>0</v>
      </c>
      <c r="DB14" s="3284">
        <f t="shared" si="17"/>
        <v>0</v>
      </c>
      <c r="DC14" s="1158"/>
      <c r="DD14" s="3285"/>
      <c r="DE14" s="3285"/>
      <c r="DF14" s="3286">
        <f t="shared" ref="DF14:DF33" si="46">DD14+DE14*1</f>
        <v>0</v>
      </c>
      <c r="DG14" s="3284">
        <f t="shared" si="18"/>
        <v>0</v>
      </c>
      <c r="DH14" s="1158"/>
      <c r="DI14" s="3285"/>
      <c r="DJ14" s="3285"/>
      <c r="DK14" s="3286">
        <f t="shared" ref="DK14:DK33" si="47">DI14+DJ14*1</f>
        <v>0</v>
      </c>
      <c r="DL14" s="3284">
        <f t="shared" si="19"/>
        <v>0</v>
      </c>
      <c r="DM14" s="1158"/>
      <c r="DN14" s="3274">
        <f t="shared" si="36"/>
        <v>0</v>
      </c>
      <c r="DO14" s="3274">
        <f t="shared" si="37"/>
        <v>0</v>
      </c>
      <c r="DP14" s="3283">
        <f t="shared" si="21"/>
        <v>0</v>
      </c>
      <c r="DQ14" s="3284">
        <f t="shared" si="4"/>
        <v>0</v>
      </c>
      <c r="DR14" s="1449"/>
    </row>
    <row r="15" spans="1:122" s="1411" customFormat="1" ht="13.8" x14ac:dyDescent="0.25">
      <c r="A15" s="1586"/>
      <c r="B15" s="3389" t="s">
        <v>20</v>
      </c>
      <c r="C15" s="3288">
        <v>0</v>
      </c>
      <c r="D15" s="3274">
        <v>0</v>
      </c>
      <c r="E15" s="3283">
        <v>0</v>
      </c>
      <c r="F15" s="3284">
        <v>0</v>
      </c>
      <c r="G15" s="2492"/>
      <c r="H15" s="3274"/>
      <c r="I15" s="3274"/>
      <c r="J15" s="3283">
        <f t="shared" si="22"/>
        <v>0</v>
      </c>
      <c r="K15" s="3284">
        <f t="shared" si="0"/>
        <v>0</v>
      </c>
      <c r="L15" s="1449"/>
      <c r="M15" s="3274"/>
      <c r="N15" s="3274"/>
      <c r="O15" s="3283">
        <f t="shared" si="23"/>
        <v>0</v>
      </c>
      <c r="P15" s="3284">
        <f t="shared" si="1"/>
        <v>0</v>
      </c>
      <c r="Q15" s="1449"/>
      <c r="R15" s="3274"/>
      <c r="S15" s="3274"/>
      <c r="T15" s="3283">
        <f t="shared" si="24"/>
        <v>0</v>
      </c>
      <c r="U15" s="3284">
        <f t="shared" si="2"/>
        <v>0</v>
      </c>
      <c r="V15" s="1449"/>
      <c r="W15" s="3274"/>
      <c r="X15" s="3274"/>
      <c r="Y15" s="3283">
        <f t="shared" si="25"/>
        <v>0</v>
      </c>
      <c r="Z15" s="3284">
        <f t="shared" si="26"/>
        <v>0</v>
      </c>
      <c r="AA15" s="1449"/>
      <c r="AB15" s="3288"/>
      <c r="AC15" s="3274"/>
      <c r="AD15" s="3283">
        <f t="shared" si="27"/>
        <v>0</v>
      </c>
      <c r="AE15" s="3284">
        <f t="shared" si="38"/>
        <v>0</v>
      </c>
      <c r="AF15" s="1449"/>
      <c r="AG15" s="3274"/>
      <c r="AH15" s="3274"/>
      <c r="AI15" s="3283">
        <f t="shared" si="28"/>
        <v>0</v>
      </c>
      <c r="AJ15" s="3284">
        <f t="shared" si="3"/>
        <v>0</v>
      </c>
      <c r="AK15" s="1449"/>
      <c r="AL15" s="3274"/>
      <c r="AM15" s="3274"/>
      <c r="AN15" s="3283">
        <f t="shared" si="29"/>
        <v>0</v>
      </c>
      <c r="AO15" s="3284">
        <f t="shared" si="30"/>
        <v>0</v>
      </c>
      <c r="AP15" s="1449"/>
      <c r="AQ15" s="3274"/>
      <c r="AR15" s="3274"/>
      <c r="AS15" s="3283">
        <f t="shared" si="31"/>
        <v>0</v>
      </c>
      <c r="AT15" s="3284">
        <f t="shared" si="5"/>
        <v>0</v>
      </c>
      <c r="AU15" s="1449"/>
      <c r="AV15" s="3274">
        <v>0</v>
      </c>
      <c r="AW15" s="3274">
        <v>0</v>
      </c>
      <c r="AX15" s="3283">
        <v>0</v>
      </c>
      <c r="AY15" s="3284">
        <v>0</v>
      </c>
      <c r="AZ15" s="1449"/>
      <c r="BA15" s="3274">
        <f t="shared" si="6"/>
        <v>0</v>
      </c>
      <c r="BB15" s="3274">
        <f t="shared" si="6"/>
        <v>0</v>
      </c>
      <c r="BC15" s="3283">
        <f t="shared" si="32"/>
        <v>0</v>
      </c>
      <c r="BD15" s="3284">
        <f t="shared" si="7"/>
        <v>0</v>
      </c>
      <c r="BE15" s="1449"/>
      <c r="BF15" s="3274"/>
      <c r="BG15" s="3274"/>
      <c r="BH15" s="3283">
        <f t="shared" si="33"/>
        <v>0</v>
      </c>
      <c r="BI15" s="3284">
        <f t="shared" si="8"/>
        <v>0</v>
      </c>
      <c r="BJ15" s="1449"/>
      <c r="BK15" s="3274"/>
      <c r="BL15" s="3274"/>
      <c r="BM15" s="3283">
        <f t="shared" si="34"/>
        <v>0</v>
      </c>
      <c r="BN15" s="3284">
        <f t="shared" si="9"/>
        <v>0</v>
      </c>
      <c r="BO15" s="1158"/>
      <c r="BP15" s="3285"/>
      <c r="BQ15" s="3285"/>
      <c r="BR15" s="3286">
        <f t="shared" si="35"/>
        <v>0</v>
      </c>
      <c r="BS15" s="3284">
        <f t="shared" si="10"/>
        <v>0</v>
      </c>
      <c r="BT15" s="1158"/>
      <c r="BU15" s="3285"/>
      <c r="BV15" s="3285"/>
      <c r="BW15" s="3286">
        <f t="shared" si="39"/>
        <v>0</v>
      </c>
      <c r="BX15" s="3284">
        <f t="shared" si="11"/>
        <v>0</v>
      </c>
      <c r="BY15" s="1158"/>
      <c r="BZ15" s="3285"/>
      <c r="CA15" s="3285"/>
      <c r="CB15" s="3286">
        <f t="shared" si="40"/>
        <v>0</v>
      </c>
      <c r="CC15" s="3284">
        <f t="shared" si="12"/>
        <v>0</v>
      </c>
      <c r="CD15" s="1158"/>
      <c r="CE15" s="3285"/>
      <c r="CF15" s="3285"/>
      <c r="CG15" s="3286">
        <f t="shared" si="41"/>
        <v>0</v>
      </c>
      <c r="CH15" s="3284">
        <f t="shared" si="13"/>
        <v>0</v>
      </c>
      <c r="CI15" s="1158"/>
      <c r="CJ15" s="3285"/>
      <c r="CK15" s="3285"/>
      <c r="CL15" s="3286">
        <f t="shared" si="42"/>
        <v>0</v>
      </c>
      <c r="CM15" s="3284">
        <f t="shared" si="14"/>
        <v>0</v>
      </c>
      <c r="CN15" s="1158"/>
      <c r="CO15" s="3285"/>
      <c r="CP15" s="3285"/>
      <c r="CQ15" s="3286">
        <f t="shared" si="43"/>
        <v>0</v>
      </c>
      <c r="CR15" s="3284">
        <f t="shared" si="15"/>
        <v>0</v>
      </c>
      <c r="CS15" s="1158"/>
      <c r="CT15" s="3285"/>
      <c r="CU15" s="3285"/>
      <c r="CV15" s="3286">
        <f t="shared" si="44"/>
        <v>0</v>
      </c>
      <c r="CW15" s="3284">
        <f t="shared" si="16"/>
        <v>0</v>
      </c>
      <c r="CX15" s="1158"/>
      <c r="CY15" s="3285"/>
      <c r="CZ15" s="3285"/>
      <c r="DA15" s="3286">
        <f t="shared" si="45"/>
        <v>0</v>
      </c>
      <c r="DB15" s="3284">
        <f t="shared" si="17"/>
        <v>0</v>
      </c>
      <c r="DC15" s="1158"/>
      <c r="DD15" s="3285"/>
      <c r="DE15" s="3285"/>
      <c r="DF15" s="3286">
        <f t="shared" si="46"/>
        <v>0</v>
      </c>
      <c r="DG15" s="3284">
        <f t="shared" si="18"/>
        <v>0</v>
      </c>
      <c r="DH15" s="1158"/>
      <c r="DI15" s="3285"/>
      <c r="DJ15" s="3285"/>
      <c r="DK15" s="3286">
        <f t="shared" si="47"/>
        <v>0</v>
      </c>
      <c r="DL15" s="3284">
        <f t="shared" si="19"/>
        <v>0</v>
      </c>
      <c r="DM15" s="1158"/>
      <c r="DN15" s="3274">
        <f t="shared" si="36"/>
        <v>0</v>
      </c>
      <c r="DO15" s="3274">
        <f t="shared" si="37"/>
        <v>0</v>
      </c>
      <c r="DP15" s="3283">
        <f t="shared" si="21"/>
        <v>0</v>
      </c>
      <c r="DQ15" s="3284">
        <f t="shared" si="4"/>
        <v>0</v>
      </c>
      <c r="DR15" s="1449"/>
    </row>
    <row r="16" spans="1:122" s="1411" customFormat="1" ht="13.8" x14ac:dyDescent="0.25">
      <c r="A16" s="3290"/>
      <c r="B16" s="3389" t="s">
        <v>21</v>
      </c>
      <c r="C16" s="3288">
        <v>0</v>
      </c>
      <c r="D16" s="3274">
        <v>0</v>
      </c>
      <c r="E16" s="3283">
        <v>0</v>
      </c>
      <c r="F16" s="3284">
        <v>0</v>
      </c>
      <c r="G16" s="2492"/>
      <c r="H16" s="3274"/>
      <c r="I16" s="3274"/>
      <c r="J16" s="3283">
        <f t="shared" si="22"/>
        <v>0</v>
      </c>
      <c r="K16" s="3284">
        <f t="shared" si="0"/>
        <v>0</v>
      </c>
      <c r="L16" s="1449"/>
      <c r="M16" s="3274"/>
      <c r="N16" s="3274"/>
      <c r="O16" s="3283">
        <f t="shared" si="23"/>
        <v>0</v>
      </c>
      <c r="P16" s="3284">
        <f t="shared" si="1"/>
        <v>0</v>
      </c>
      <c r="Q16" s="1449"/>
      <c r="R16" s="3274"/>
      <c r="S16" s="3274"/>
      <c r="T16" s="3283">
        <f t="shared" si="24"/>
        <v>0</v>
      </c>
      <c r="U16" s="3284">
        <f t="shared" si="2"/>
        <v>0</v>
      </c>
      <c r="V16" s="1449"/>
      <c r="W16" s="3274"/>
      <c r="X16" s="3274"/>
      <c r="Y16" s="3283">
        <f t="shared" si="25"/>
        <v>0</v>
      </c>
      <c r="Z16" s="3284">
        <f t="shared" si="26"/>
        <v>0</v>
      </c>
      <c r="AA16" s="1449"/>
      <c r="AB16" s="3288"/>
      <c r="AC16" s="3274"/>
      <c r="AD16" s="3283">
        <f t="shared" si="27"/>
        <v>0</v>
      </c>
      <c r="AE16" s="3284">
        <f t="shared" si="38"/>
        <v>0</v>
      </c>
      <c r="AF16" s="1449"/>
      <c r="AG16" s="3274"/>
      <c r="AH16" s="3274"/>
      <c r="AI16" s="3283">
        <f t="shared" si="28"/>
        <v>0</v>
      </c>
      <c r="AJ16" s="3284">
        <f t="shared" si="3"/>
        <v>0</v>
      </c>
      <c r="AK16" s="1449"/>
      <c r="AL16" s="3274"/>
      <c r="AM16" s="3274"/>
      <c r="AN16" s="3283">
        <f t="shared" si="29"/>
        <v>0</v>
      </c>
      <c r="AO16" s="3284">
        <f t="shared" si="30"/>
        <v>0</v>
      </c>
      <c r="AP16" s="1449"/>
      <c r="AQ16" s="3274"/>
      <c r="AR16" s="3274"/>
      <c r="AS16" s="3283">
        <f t="shared" si="31"/>
        <v>0</v>
      </c>
      <c r="AT16" s="3284">
        <f t="shared" si="5"/>
        <v>0</v>
      </c>
      <c r="AU16" s="1449"/>
      <c r="AV16" s="3274">
        <v>0</v>
      </c>
      <c r="AW16" s="3274">
        <v>0</v>
      </c>
      <c r="AX16" s="3283">
        <v>0</v>
      </c>
      <c r="AY16" s="3284">
        <v>0</v>
      </c>
      <c r="AZ16" s="1449"/>
      <c r="BA16" s="3274">
        <f t="shared" si="6"/>
        <v>0</v>
      </c>
      <c r="BB16" s="3274">
        <f t="shared" si="6"/>
        <v>0</v>
      </c>
      <c r="BC16" s="3283">
        <f t="shared" si="32"/>
        <v>0</v>
      </c>
      <c r="BD16" s="3284">
        <f t="shared" si="7"/>
        <v>0</v>
      </c>
      <c r="BE16" s="1449"/>
      <c r="BF16" s="3274"/>
      <c r="BG16" s="3274"/>
      <c r="BH16" s="3283">
        <f t="shared" si="33"/>
        <v>0</v>
      </c>
      <c r="BI16" s="3284">
        <f t="shared" si="8"/>
        <v>0</v>
      </c>
      <c r="BJ16" s="1449"/>
      <c r="BK16" s="3274"/>
      <c r="BL16" s="3274"/>
      <c r="BM16" s="3283">
        <f t="shared" si="34"/>
        <v>0</v>
      </c>
      <c r="BN16" s="3284">
        <f t="shared" si="9"/>
        <v>0</v>
      </c>
      <c r="BO16" s="1158"/>
      <c r="BP16" s="3285"/>
      <c r="BQ16" s="3285"/>
      <c r="BR16" s="3286">
        <f t="shared" si="35"/>
        <v>0</v>
      </c>
      <c r="BS16" s="3284">
        <f t="shared" si="10"/>
        <v>0</v>
      </c>
      <c r="BT16" s="1158"/>
      <c r="BU16" s="3285"/>
      <c r="BV16" s="3285"/>
      <c r="BW16" s="3286">
        <f t="shared" si="39"/>
        <v>0</v>
      </c>
      <c r="BX16" s="3284">
        <f t="shared" si="11"/>
        <v>0</v>
      </c>
      <c r="BY16" s="1158"/>
      <c r="BZ16" s="3285"/>
      <c r="CA16" s="3285"/>
      <c r="CB16" s="3286">
        <f t="shared" si="40"/>
        <v>0</v>
      </c>
      <c r="CC16" s="3284">
        <f t="shared" si="12"/>
        <v>0</v>
      </c>
      <c r="CD16" s="1158"/>
      <c r="CE16" s="3285"/>
      <c r="CF16" s="3285"/>
      <c r="CG16" s="3286">
        <f t="shared" si="41"/>
        <v>0</v>
      </c>
      <c r="CH16" s="3284">
        <f t="shared" si="13"/>
        <v>0</v>
      </c>
      <c r="CI16" s="1158"/>
      <c r="CJ16" s="3285"/>
      <c r="CK16" s="3285"/>
      <c r="CL16" s="3286">
        <f t="shared" si="42"/>
        <v>0</v>
      </c>
      <c r="CM16" s="3284">
        <f t="shared" si="14"/>
        <v>0</v>
      </c>
      <c r="CN16" s="1158"/>
      <c r="CO16" s="3285"/>
      <c r="CP16" s="3285"/>
      <c r="CQ16" s="3286">
        <f t="shared" si="43"/>
        <v>0</v>
      </c>
      <c r="CR16" s="3284">
        <f t="shared" si="15"/>
        <v>0</v>
      </c>
      <c r="CS16" s="1158"/>
      <c r="CT16" s="3285"/>
      <c r="CU16" s="3285"/>
      <c r="CV16" s="3286">
        <f t="shared" si="44"/>
        <v>0</v>
      </c>
      <c r="CW16" s="3284">
        <f t="shared" si="16"/>
        <v>0</v>
      </c>
      <c r="CX16" s="1158"/>
      <c r="CY16" s="3285"/>
      <c r="CZ16" s="3285"/>
      <c r="DA16" s="3286">
        <f t="shared" si="45"/>
        <v>0</v>
      </c>
      <c r="DB16" s="3284">
        <f t="shared" si="17"/>
        <v>0</v>
      </c>
      <c r="DC16" s="1158"/>
      <c r="DD16" s="3285"/>
      <c r="DE16" s="3285"/>
      <c r="DF16" s="3286">
        <f t="shared" si="46"/>
        <v>0</v>
      </c>
      <c r="DG16" s="3284">
        <f t="shared" si="18"/>
        <v>0</v>
      </c>
      <c r="DH16" s="1158"/>
      <c r="DI16" s="3285"/>
      <c r="DJ16" s="3285"/>
      <c r="DK16" s="3286">
        <f t="shared" si="47"/>
        <v>0</v>
      </c>
      <c r="DL16" s="3284">
        <f t="shared" si="19"/>
        <v>0</v>
      </c>
      <c r="DM16" s="1158"/>
      <c r="DN16" s="3274">
        <f t="shared" si="36"/>
        <v>0</v>
      </c>
      <c r="DO16" s="3274">
        <f t="shared" si="37"/>
        <v>0</v>
      </c>
      <c r="DP16" s="3283">
        <f t="shared" si="21"/>
        <v>0</v>
      </c>
      <c r="DQ16" s="3284">
        <f t="shared" si="4"/>
        <v>0</v>
      </c>
      <c r="DR16" s="1449"/>
    </row>
    <row r="17" spans="1:122" s="1411" customFormat="1" ht="13.8" x14ac:dyDescent="0.25">
      <c r="A17" s="1586"/>
      <c r="B17" s="3389" t="s">
        <v>22</v>
      </c>
      <c r="C17" s="3288">
        <v>0</v>
      </c>
      <c r="D17" s="3274">
        <v>0</v>
      </c>
      <c r="E17" s="3283">
        <v>0</v>
      </c>
      <c r="F17" s="3284">
        <v>0</v>
      </c>
      <c r="G17" s="2492"/>
      <c r="H17" s="3274"/>
      <c r="I17" s="3274"/>
      <c r="J17" s="3283">
        <f t="shared" si="22"/>
        <v>0</v>
      </c>
      <c r="K17" s="3284">
        <f t="shared" si="0"/>
        <v>0</v>
      </c>
      <c r="L17" s="1449"/>
      <c r="M17" s="3274"/>
      <c r="N17" s="3274"/>
      <c r="O17" s="3283">
        <f t="shared" si="23"/>
        <v>0</v>
      </c>
      <c r="P17" s="3284">
        <f t="shared" si="1"/>
        <v>0</v>
      </c>
      <c r="Q17" s="1449"/>
      <c r="R17" s="3274"/>
      <c r="S17" s="3274"/>
      <c r="T17" s="3283">
        <f t="shared" si="24"/>
        <v>0</v>
      </c>
      <c r="U17" s="3284">
        <f t="shared" si="2"/>
        <v>0</v>
      </c>
      <c r="V17" s="1449"/>
      <c r="W17" s="3274"/>
      <c r="X17" s="3274"/>
      <c r="Y17" s="3283">
        <f t="shared" si="25"/>
        <v>0</v>
      </c>
      <c r="Z17" s="3284">
        <f t="shared" si="26"/>
        <v>0</v>
      </c>
      <c r="AA17" s="1449"/>
      <c r="AB17" s="3288"/>
      <c r="AC17" s="3274"/>
      <c r="AD17" s="3283">
        <f t="shared" si="27"/>
        <v>0</v>
      </c>
      <c r="AE17" s="3284">
        <f t="shared" si="38"/>
        <v>0</v>
      </c>
      <c r="AF17" s="1449"/>
      <c r="AG17" s="3274"/>
      <c r="AH17" s="3274"/>
      <c r="AI17" s="3283">
        <f t="shared" si="28"/>
        <v>0</v>
      </c>
      <c r="AJ17" s="3284">
        <f t="shared" si="3"/>
        <v>0</v>
      </c>
      <c r="AK17" s="1449"/>
      <c r="AL17" s="3274"/>
      <c r="AM17" s="3274"/>
      <c r="AN17" s="3283">
        <f t="shared" si="29"/>
        <v>0</v>
      </c>
      <c r="AO17" s="3284">
        <f t="shared" si="30"/>
        <v>0</v>
      </c>
      <c r="AP17" s="1449"/>
      <c r="AQ17" s="3274"/>
      <c r="AR17" s="3274"/>
      <c r="AS17" s="3283">
        <f t="shared" si="31"/>
        <v>0</v>
      </c>
      <c r="AT17" s="3284">
        <f t="shared" si="5"/>
        <v>0</v>
      </c>
      <c r="AU17" s="1449"/>
      <c r="AV17" s="3274">
        <v>0</v>
      </c>
      <c r="AW17" s="3274">
        <v>0</v>
      </c>
      <c r="AX17" s="3283">
        <v>0</v>
      </c>
      <c r="AY17" s="3284">
        <v>0</v>
      </c>
      <c r="AZ17" s="1449"/>
      <c r="BA17" s="3274">
        <f t="shared" si="6"/>
        <v>0</v>
      </c>
      <c r="BB17" s="3274">
        <f t="shared" si="6"/>
        <v>0</v>
      </c>
      <c r="BC17" s="3283">
        <f t="shared" si="32"/>
        <v>0</v>
      </c>
      <c r="BD17" s="3284">
        <f t="shared" si="7"/>
        <v>0</v>
      </c>
      <c r="BE17" s="1449"/>
      <c r="BF17" s="3274"/>
      <c r="BG17" s="3274"/>
      <c r="BH17" s="3283">
        <f t="shared" si="33"/>
        <v>0</v>
      </c>
      <c r="BI17" s="3284">
        <f t="shared" si="8"/>
        <v>0</v>
      </c>
      <c r="BJ17" s="1449"/>
      <c r="BK17" s="3274"/>
      <c r="BL17" s="3274"/>
      <c r="BM17" s="3283">
        <f t="shared" si="34"/>
        <v>0</v>
      </c>
      <c r="BN17" s="3284">
        <f t="shared" si="9"/>
        <v>0</v>
      </c>
      <c r="BO17" s="1158"/>
      <c r="BP17" s="3285"/>
      <c r="BQ17" s="3285"/>
      <c r="BR17" s="3286">
        <f t="shared" si="35"/>
        <v>0</v>
      </c>
      <c r="BS17" s="3284">
        <f t="shared" si="10"/>
        <v>0</v>
      </c>
      <c r="BT17" s="1158"/>
      <c r="BU17" s="3285"/>
      <c r="BV17" s="3285"/>
      <c r="BW17" s="3286">
        <f t="shared" si="39"/>
        <v>0</v>
      </c>
      <c r="BX17" s="3284">
        <f t="shared" si="11"/>
        <v>0</v>
      </c>
      <c r="BY17" s="1158"/>
      <c r="BZ17" s="3285"/>
      <c r="CA17" s="3285"/>
      <c r="CB17" s="3286">
        <f t="shared" si="40"/>
        <v>0</v>
      </c>
      <c r="CC17" s="3284">
        <f t="shared" si="12"/>
        <v>0</v>
      </c>
      <c r="CD17" s="1158"/>
      <c r="CE17" s="3285"/>
      <c r="CF17" s="3285"/>
      <c r="CG17" s="3286">
        <f t="shared" si="41"/>
        <v>0</v>
      </c>
      <c r="CH17" s="3284">
        <f t="shared" si="13"/>
        <v>0</v>
      </c>
      <c r="CI17" s="1158"/>
      <c r="CJ17" s="3285"/>
      <c r="CK17" s="3285"/>
      <c r="CL17" s="3286">
        <f t="shared" si="42"/>
        <v>0</v>
      </c>
      <c r="CM17" s="3284">
        <f t="shared" si="14"/>
        <v>0</v>
      </c>
      <c r="CN17" s="1158"/>
      <c r="CO17" s="3285"/>
      <c r="CP17" s="3285"/>
      <c r="CQ17" s="3286">
        <f t="shared" si="43"/>
        <v>0</v>
      </c>
      <c r="CR17" s="3284">
        <f t="shared" si="15"/>
        <v>0</v>
      </c>
      <c r="CS17" s="1158"/>
      <c r="CT17" s="3285"/>
      <c r="CU17" s="3285"/>
      <c r="CV17" s="3286">
        <f t="shared" si="44"/>
        <v>0</v>
      </c>
      <c r="CW17" s="3284">
        <f t="shared" si="16"/>
        <v>0</v>
      </c>
      <c r="CX17" s="1158"/>
      <c r="CY17" s="3285"/>
      <c r="CZ17" s="3285"/>
      <c r="DA17" s="3286">
        <f t="shared" si="45"/>
        <v>0</v>
      </c>
      <c r="DB17" s="3284">
        <f t="shared" si="17"/>
        <v>0</v>
      </c>
      <c r="DC17" s="1158"/>
      <c r="DD17" s="3285"/>
      <c r="DE17" s="3285"/>
      <c r="DF17" s="3286">
        <f t="shared" si="46"/>
        <v>0</v>
      </c>
      <c r="DG17" s="3284">
        <f t="shared" si="18"/>
        <v>0</v>
      </c>
      <c r="DH17" s="1158"/>
      <c r="DI17" s="3285"/>
      <c r="DJ17" s="3285"/>
      <c r="DK17" s="3286">
        <f t="shared" si="47"/>
        <v>0</v>
      </c>
      <c r="DL17" s="3284">
        <f t="shared" si="19"/>
        <v>0</v>
      </c>
      <c r="DM17" s="1158"/>
      <c r="DN17" s="3274">
        <f t="shared" si="36"/>
        <v>0</v>
      </c>
      <c r="DO17" s="3274">
        <f t="shared" si="37"/>
        <v>0</v>
      </c>
      <c r="DP17" s="3283">
        <f t="shared" si="21"/>
        <v>0</v>
      </c>
      <c r="DQ17" s="3284">
        <f t="shared" si="4"/>
        <v>0</v>
      </c>
      <c r="DR17" s="1449"/>
    </row>
    <row r="18" spans="1:122" s="1411" customFormat="1" ht="55.2" x14ac:dyDescent="0.25">
      <c r="A18" s="1586"/>
      <c r="B18" s="3389" t="s">
        <v>0</v>
      </c>
      <c r="C18" s="3288">
        <v>4933.05</v>
      </c>
      <c r="D18" s="3274">
        <v>874.87</v>
      </c>
      <c r="E18" s="3283">
        <v>5807.92</v>
      </c>
      <c r="F18" s="3284">
        <v>9.2888342968394377E-3</v>
      </c>
      <c r="G18" s="2492"/>
      <c r="H18" s="3274">
        <f>150+674+22856.35*1.2+2520</f>
        <v>30771.62</v>
      </c>
      <c r="I18" s="3274"/>
      <c r="J18" s="3283">
        <f t="shared" si="22"/>
        <v>30771.62</v>
      </c>
      <c r="K18" s="3284">
        <f t="shared" si="0"/>
        <v>0.25548134248648025</v>
      </c>
      <c r="L18" s="3390" t="s">
        <v>1004</v>
      </c>
      <c r="M18" s="3274">
        <v>640</v>
      </c>
      <c r="N18" s="3274">
        <f>200+1700</f>
        <v>1900</v>
      </c>
      <c r="O18" s="3283">
        <f t="shared" si="23"/>
        <v>2540</v>
      </c>
      <c r="P18" s="3284">
        <f t="shared" si="1"/>
        <v>3.6941167851948205E-3</v>
      </c>
      <c r="Q18" s="1376" t="s">
        <v>1070</v>
      </c>
      <c r="R18" s="3274">
        <v>37644.82</v>
      </c>
      <c r="S18" s="3274">
        <v>5250</v>
      </c>
      <c r="T18" s="3283">
        <f t="shared" si="24"/>
        <v>42894.82</v>
      </c>
      <c r="U18" s="3284">
        <f t="shared" si="2"/>
        <v>0.13142366503476641</v>
      </c>
      <c r="V18" s="3275" t="s">
        <v>1099</v>
      </c>
      <c r="W18" s="3274"/>
      <c r="X18" s="3274"/>
      <c r="Y18" s="3283">
        <f t="shared" si="25"/>
        <v>0</v>
      </c>
      <c r="Z18" s="3284">
        <f t="shared" si="26"/>
        <v>0</v>
      </c>
      <c r="AA18" s="3275"/>
      <c r="AB18" s="3288">
        <v>160</v>
      </c>
      <c r="AC18" s="3274"/>
      <c r="AD18" s="3283">
        <f t="shared" si="27"/>
        <v>160</v>
      </c>
      <c r="AE18" s="3284">
        <f t="shared" si="38"/>
        <v>1.223182313886164E-3</v>
      </c>
      <c r="AF18" s="3275" t="s">
        <v>1270</v>
      </c>
      <c r="AG18" s="3274"/>
      <c r="AH18" s="3274"/>
      <c r="AI18" s="3283">
        <f t="shared" si="28"/>
        <v>0</v>
      </c>
      <c r="AJ18" s="3284">
        <f t="shared" si="3"/>
        <v>0</v>
      </c>
      <c r="AK18" s="3275" t="s">
        <v>1270</v>
      </c>
      <c r="AL18" s="3274"/>
      <c r="AM18" s="3274"/>
      <c r="AN18" s="3283">
        <f t="shared" si="29"/>
        <v>0</v>
      </c>
      <c r="AO18" s="3284">
        <f t="shared" si="30"/>
        <v>0</v>
      </c>
      <c r="AP18" s="3275"/>
      <c r="AQ18" s="3274">
        <v>305</v>
      </c>
      <c r="AR18" s="3274"/>
      <c r="AS18" s="3283">
        <f t="shared" si="31"/>
        <v>305</v>
      </c>
      <c r="AT18" s="3284">
        <f t="shared" si="5"/>
        <v>2.0129662688964469E-3</v>
      </c>
      <c r="AU18" s="3276" t="s">
        <v>1270</v>
      </c>
      <c r="AV18" s="3274">
        <v>26341.360000000001</v>
      </c>
      <c r="AW18" s="3274">
        <v>0</v>
      </c>
      <c r="AX18" s="3283">
        <v>26341.360000000001</v>
      </c>
      <c r="AY18" s="3284">
        <v>8.0706203527609974E-2</v>
      </c>
      <c r="AZ18" s="3275"/>
      <c r="BA18" s="3274">
        <f t="shared" si="6"/>
        <v>480</v>
      </c>
      <c r="BB18" s="3274">
        <f t="shared" si="6"/>
        <v>0</v>
      </c>
      <c r="BC18" s="3283">
        <f t="shared" si="32"/>
        <v>480</v>
      </c>
      <c r="BD18" s="3284">
        <f t="shared" si="7"/>
        <v>1.470652149063404E-3</v>
      </c>
      <c r="BE18" s="3275"/>
      <c r="BF18" s="3274">
        <v>160</v>
      </c>
      <c r="BG18" s="3274"/>
      <c r="BH18" s="3283">
        <f t="shared" si="33"/>
        <v>160</v>
      </c>
      <c r="BI18" s="3284">
        <f t="shared" si="8"/>
        <v>1.0559823049948575E-3</v>
      </c>
      <c r="BJ18" s="3276" t="s">
        <v>1270</v>
      </c>
      <c r="BK18" s="3274">
        <v>160</v>
      </c>
      <c r="BL18" s="3274"/>
      <c r="BM18" s="3283">
        <f t="shared" si="34"/>
        <v>160</v>
      </c>
      <c r="BN18" s="3284">
        <f t="shared" si="9"/>
        <v>2.5589427669360287E-4</v>
      </c>
      <c r="BO18" s="3291" t="s">
        <v>1270</v>
      </c>
      <c r="BP18" s="3285">
        <v>160</v>
      </c>
      <c r="BQ18" s="3285"/>
      <c r="BR18" s="3286">
        <f t="shared" si="35"/>
        <v>160</v>
      </c>
      <c r="BS18" s="3284">
        <f t="shared" si="10"/>
        <v>1.223182313886164E-3</v>
      </c>
      <c r="BT18" s="3291" t="s">
        <v>2196</v>
      </c>
      <c r="BU18" s="3285"/>
      <c r="BV18" s="3285"/>
      <c r="BW18" s="3286">
        <f t="shared" si="39"/>
        <v>0</v>
      </c>
      <c r="BX18" s="3284">
        <f t="shared" si="11"/>
        <v>0</v>
      </c>
      <c r="BY18" s="3291"/>
      <c r="BZ18" s="3285"/>
      <c r="CA18" s="3285"/>
      <c r="CB18" s="3286">
        <f t="shared" si="40"/>
        <v>0</v>
      </c>
      <c r="CC18" s="3284">
        <f t="shared" si="12"/>
        <v>0</v>
      </c>
      <c r="CD18" s="3291"/>
      <c r="CE18" s="3285"/>
      <c r="CF18" s="3285"/>
      <c r="CG18" s="3286">
        <f t="shared" si="41"/>
        <v>0</v>
      </c>
      <c r="CH18" s="3284">
        <f t="shared" si="13"/>
        <v>0</v>
      </c>
      <c r="CI18" s="3291"/>
      <c r="CJ18" s="3285"/>
      <c r="CK18" s="3285"/>
      <c r="CL18" s="3286">
        <f t="shared" si="42"/>
        <v>0</v>
      </c>
      <c r="CM18" s="3284">
        <f t="shared" si="14"/>
        <v>0</v>
      </c>
      <c r="CN18" s="3291"/>
      <c r="CO18" s="3285"/>
      <c r="CP18" s="3285"/>
      <c r="CQ18" s="3286">
        <f t="shared" si="43"/>
        <v>0</v>
      </c>
      <c r="CR18" s="3284">
        <f t="shared" si="15"/>
        <v>0</v>
      </c>
      <c r="CS18" s="3291"/>
      <c r="CT18" s="3285"/>
      <c r="CU18" s="3285"/>
      <c r="CV18" s="3286">
        <f t="shared" si="44"/>
        <v>0</v>
      </c>
      <c r="CW18" s="3284">
        <f t="shared" si="16"/>
        <v>0</v>
      </c>
      <c r="CX18" s="3291"/>
      <c r="CY18" s="3285"/>
      <c r="CZ18" s="3285"/>
      <c r="DA18" s="3286">
        <f t="shared" si="45"/>
        <v>0</v>
      </c>
      <c r="DB18" s="3284">
        <f t="shared" si="17"/>
        <v>0</v>
      </c>
      <c r="DC18" s="3291"/>
      <c r="DD18" s="3285"/>
      <c r="DE18" s="3285"/>
      <c r="DF18" s="3286">
        <f t="shared" si="46"/>
        <v>0</v>
      </c>
      <c r="DG18" s="3284">
        <f t="shared" si="18"/>
        <v>0</v>
      </c>
      <c r="DH18" s="3291"/>
      <c r="DI18" s="3285"/>
      <c r="DJ18" s="3285"/>
      <c r="DK18" s="3286">
        <f t="shared" si="47"/>
        <v>0</v>
      </c>
      <c r="DL18" s="3284">
        <f t="shared" si="19"/>
        <v>0</v>
      </c>
      <c r="DM18" s="3291"/>
      <c r="DN18" s="3274">
        <f t="shared" si="36"/>
        <v>64931.18</v>
      </c>
      <c r="DO18" s="3274">
        <f t="shared" si="37"/>
        <v>5250</v>
      </c>
      <c r="DP18" s="3283">
        <f t="shared" si="21"/>
        <v>70181.179999999993</v>
      </c>
      <c r="DQ18" s="3284">
        <f t="shared" si="4"/>
        <v>2.7578474615889803E-2</v>
      </c>
      <c r="DR18" s="1449"/>
    </row>
    <row r="19" spans="1:122" s="1411" customFormat="1" ht="13.8" x14ac:dyDescent="0.25">
      <c r="A19" s="1586"/>
      <c r="B19" s="3289" t="s">
        <v>53</v>
      </c>
      <c r="C19" s="3288">
        <v>0</v>
      </c>
      <c r="D19" s="3274">
        <v>0</v>
      </c>
      <c r="E19" s="3283">
        <v>0</v>
      </c>
      <c r="F19" s="3284">
        <v>0</v>
      </c>
      <c r="G19" s="2492"/>
      <c r="H19" s="3274"/>
      <c r="I19" s="3274"/>
      <c r="J19" s="3283">
        <f t="shared" si="22"/>
        <v>0</v>
      </c>
      <c r="K19" s="3284">
        <f t="shared" si="0"/>
        <v>0</v>
      </c>
      <c r="L19" s="1449"/>
      <c r="M19" s="3274"/>
      <c r="N19" s="3274"/>
      <c r="O19" s="3283">
        <f t="shared" si="23"/>
        <v>0</v>
      </c>
      <c r="P19" s="3284">
        <f t="shared" si="1"/>
        <v>0</v>
      </c>
      <c r="Q19" s="1608"/>
      <c r="R19" s="3274"/>
      <c r="S19" s="3274"/>
      <c r="T19" s="3283">
        <f t="shared" si="24"/>
        <v>0</v>
      </c>
      <c r="U19" s="3284">
        <f t="shared" si="2"/>
        <v>0</v>
      </c>
      <c r="V19" s="1409"/>
      <c r="W19" s="3274"/>
      <c r="X19" s="3274"/>
      <c r="Y19" s="3283">
        <f t="shared" si="25"/>
        <v>0</v>
      </c>
      <c r="Z19" s="3284">
        <f t="shared" si="26"/>
        <v>0</v>
      </c>
      <c r="AA19" s="1409"/>
      <c r="AB19" s="3288"/>
      <c r="AC19" s="3274"/>
      <c r="AD19" s="3283">
        <f t="shared" si="27"/>
        <v>0</v>
      </c>
      <c r="AE19" s="3284">
        <f t="shared" si="38"/>
        <v>0</v>
      </c>
      <c r="AF19" s="1409"/>
      <c r="AG19" s="3274"/>
      <c r="AH19" s="3274"/>
      <c r="AI19" s="3283">
        <f t="shared" si="28"/>
        <v>0</v>
      </c>
      <c r="AJ19" s="3284">
        <f t="shared" si="3"/>
        <v>0</v>
      </c>
      <c r="AK19" s="1409"/>
      <c r="AL19" s="3274"/>
      <c r="AM19" s="3274"/>
      <c r="AN19" s="3283">
        <f t="shared" si="29"/>
        <v>0</v>
      </c>
      <c r="AO19" s="3284">
        <f t="shared" si="30"/>
        <v>0</v>
      </c>
      <c r="AP19" s="1409"/>
      <c r="AQ19" s="3274"/>
      <c r="AR19" s="3274"/>
      <c r="AS19" s="3283">
        <f t="shared" si="31"/>
        <v>0</v>
      </c>
      <c r="AT19" s="3284">
        <f t="shared" si="5"/>
        <v>0</v>
      </c>
      <c r="AU19" s="1409"/>
      <c r="AV19" s="3274">
        <v>0</v>
      </c>
      <c r="AW19" s="3274">
        <v>0</v>
      </c>
      <c r="AX19" s="3283">
        <v>0</v>
      </c>
      <c r="AY19" s="3284">
        <v>0</v>
      </c>
      <c r="AZ19" s="1409"/>
      <c r="BA19" s="3274">
        <f t="shared" si="6"/>
        <v>0</v>
      </c>
      <c r="BB19" s="3274">
        <f t="shared" si="6"/>
        <v>0</v>
      </c>
      <c r="BC19" s="3283">
        <f t="shared" si="32"/>
        <v>0</v>
      </c>
      <c r="BD19" s="3284">
        <f t="shared" si="7"/>
        <v>0</v>
      </c>
      <c r="BE19" s="1409"/>
      <c r="BF19" s="3274"/>
      <c r="BG19" s="3274"/>
      <c r="BH19" s="3283">
        <f t="shared" si="33"/>
        <v>0</v>
      </c>
      <c r="BI19" s="3284">
        <f t="shared" si="8"/>
        <v>0</v>
      </c>
      <c r="BJ19" s="1409"/>
      <c r="BK19" s="3274"/>
      <c r="BL19" s="3274"/>
      <c r="BM19" s="3283">
        <f t="shared" si="34"/>
        <v>0</v>
      </c>
      <c r="BN19" s="3284">
        <f t="shared" si="9"/>
        <v>0</v>
      </c>
      <c r="BO19" s="1409"/>
      <c r="BP19" s="3285"/>
      <c r="BQ19" s="3285"/>
      <c r="BR19" s="3286">
        <f t="shared" si="35"/>
        <v>0</v>
      </c>
      <c r="BS19" s="3284">
        <f t="shared" si="10"/>
        <v>0</v>
      </c>
      <c r="BT19" s="1107"/>
      <c r="BU19" s="3285"/>
      <c r="BV19" s="3285"/>
      <c r="BW19" s="3286">
        <f t="shared" si="39"/>
        <v>0</v>
      </c>
      <c r="BX19" s="3284">
        <f t="shared" si="11"/>
        <v>0</v>
      </c>
      <c r="BY19" s="1107"/>
      <c r="BZ19" s="3285"/>
      <c r="CA19" s="3285"/>
      <c r="CB19" s="3286">
        <f t="shared" si="40"/>
        <v>0</v>
      </c>
      <c r="CC19" s="3284">
        <f t="shared" si="12"/>
        <v>0</v>
      </c>
      <c r="CD19" s="1107"/>
      <c r="CE19" s="3285"/>
      <c r="CF19" s="3285"/>
      <c r="CG19" s="3286">
        <f t="shared" si="41"/>
        <v>0</v>
      </c>
      <c r="CH19" s="3284">
        <f t="shared" si="13"/>
        <v>0</v>
      </c>
      <c r="CI19" s="1107"/>
      <c r="CJ19" s="3285"/>
      <c r="CK19" s="3285"/>
      <c r="CL19" s="3286">
        <f t="shared" si="42"/>
        <v>0</v>
      </c>
      <c r="CM19" s="3284">
        <f t="shared" si="14"/>
        <v>0</v>
      </c>
      <c r="CN19" s="1107"/>
      <c r="CO19" s="3285"/>
      <c r="CP19" s="3285"/>
      <c r="CQ19" s="3286">
        <f t="shared" si="43"/>
        <v>0</v>
      </c>
      <c r="CR19" s="3284">
        <f t="shared" si="15"/>
        <v>0</v>
      </c>
      <c r="CS19" s="1107"/>
      <c r="CT19" s="3285"/>
      <c r="CU19" s="3285"/>
      <c r="CV19" s="3286">
        <f t="shared" si="44"/>
        <v>0</v>
      </c>
      <c r="CW19" s="3284">
        <f t="shared" si="16"/>
        <v>0</v>
      </c>
      <c r="CX19" s="1107"/>
      <c r="CY19" s="3285"/>
      <c r="CZ19" s="3285"/>
      <c r="DA19" s="3286">
        <f t="shared" si="45"/>
        <v>0</v>
      </c>
      <c r="DB19" s="3284">
        <f t="shared" si="17"/>
        <v>0</v>
      </c>
      <c r="DC19" s="1107"/>
      <c r="DD19" s="3285"/>
      <c r="DE19" s="3285"/>
      <c r="DF19" s="3286">
        <f t="shared" si="46"/>
        <v>0</v>
      </c>
      <c r="DG19" s="3284">
        <f t="shared" si="18"/>
        <v>0</v>
      </c>
      <c r="DH19" s="1107"/>
      <c r="DI19" s="3285"/>
      <c r="DJ19" s="3285"/>
      <c r="DK19" s="3286">
        <f t="shared" si="47"/>
        <v>0</v>
      </c>
      <c r="DL19" s="3284">
        <f t="shared" si="19"/>
        <v>0</v>
      </c>
      <c r="DM19" s="1107"/>
      <c r="DN19" s="3274">
        <f t="shared" si="36"/>
        <v>0</v>
      </c>
      <c r="DO19" s="3274">
        <f t="shared" si="37"/>
        <v>0</v>
      </c>
      <c r="DP19" s="3283">
        <f t="shared" si="21"/>
        <v>0</v>
      </c>
      <c r="DQ19" s="3284">
        <f t="shared" si="4"/>
        <v>0</v>
      </c>
      <c r="DR19" s="1449"/>
    </row>
    <row r="20" spans="1:122" s="1411" customFormat="1" ht="13.8" x14ac:dyDescent="0.25">
      <c r="A20" s="1586"/>
      <c r="B20" s="3289" t="s">
        <v>57</v>
      </c>
      <c r="C20" s="3288">
        <v>0</v>
      </c>
      <c r="D20" s="3274">
        <v>0</v>
      </c>
      <c r="E20" s="3283">
        <v>0</v>
      </c>
      <c r="F20" s="3284">
        <v>0</v>
      </c>
      <c r="G20" s="2492"/>
      <c r="H20" s="3274"/>
      <c r="I20" s="3274"/>
      <c r="J20" s="3283">
        <f t="shared" si="22"/>
        <v>0</v>
      </c>
      <c r="K20" s="3284">
        <f t="shared" si="0"/>
        <v>0</v>
      </c>
      <c r="L20" s="1449"/>
      <c r="M20" s="3274"/>
      <c r="N20" s="3274"/>
      <c r="O20" s="3283">
        <f t="shared" si="23"/>
        <v>0</v>
      </c>
      <c r="P20" s="3284">
        <f t="shared" si="1"/>
        <v>0</v>
      </c>
      <c r="Q20" s="1608"/>
      <c r="R20" s="3274"/>
      <c r="S20" s="3274"/>
      <c r="T20" s="3283">
        <f t="shared" si="24"/>
        <v>0</v>
      </c>
      <c r="U20" s="3284">
        <f t="shared" si="2"/>
        <v>0</v>
      </c>
      <c r="V20" s="1608"/>
      <c r="W20" s="3274"/>
      <c r="X20" s="3274"/>
      <c r="Y20" s="3283">
        <f t="shared" si="25"/>
        <v>0</v>
      </c>
      <c r="Z20" s="3284">
        <f t="shared" si="26"/>
        <v>0</v>
      </c>
      <c r="AA20" s="1608"/>
      <c r="AB20" s="3288"/>
      <c r="AC20" s="3274"/>
      <c r="AD20" s="3283">
        <f t="shared" si="27"/>
        <v>0</v>
      </c>
      <c r="AE20" s="3284">
        <f t="shared" si="38"/>
        <v>0</v>
      </c>
      <c r="AF20" s="1608"/>
      <c r="AG20" s="3274"/>
      <c r="AH20" s="3274"/>
      <c r="AI20" s="3283">
        <f t="shared" si="28"/>
        <v>0</v>
      </c>
      <c r="AJ20" s="3284">
        <f t="shared" si="3"/>
        <v>0</v>
      </c>
      <c r="AK20" s="1608"/>
      <c r="AL20" s="3274"/>
      <c r="AM20" s="3274"/>
      <c r="AN20" s="3283">
        <f t="shared" si="29"/>
        <v>0</v>
      </c>
      <c r="AO20" s="3284">
        <f t="shared" si="30"/>
        <v>0</v>
      </c>
      <c r="AP20" s="1608"/>
      <c r="AQ20" s="3274"/>
      <c r="AR20" s="3274"/>
      <c r="AS20" s="3283">
        <f t="shared" si="31"/>
        <v>0</v>
      </c>
      <c r="AT20" s="3284">
        <f t="shared" si="5"/>
        <v>0</v>
      </c>
      <c r="AU20" s="1608"/>
      <c r="AV20" s="3274">
        <v>0</v>
      </c>
      <c r="AW20" s="3274">
        <v>0</v>
      </c>
      <c r="AX20" s="3283">
        <v>0</v>
      </c>
      <c r="AY20" s="3284">
        <v>0</v>
      </c>
      <c r="AZ20" s="1608"/>
      <c r="BA20" s="3274">
        <f t="shared" si="6"/>
        <v>0</v>
      </c>
      <c r="BB20" s="3274">
        <f t="shared" si="6"/>
        <v>0</v>
      </c>
      <c r="BC20" s="3283">
        <f t="shared" si="32"/>
        <v>0</v>
      </c>
      <c r="BD20" s="3284">
        <f t="shared" si="7"/>
        <v>0</v>
      </c>
      <c r="BE20" s="1608"/>
      <c r="BF20" s="3274"/>
      <c r="BG20" s="3274"/>
      <c r="BH20" s="3283">
        <f t="shared" si="33"/>
        <v>0</v>
      </c>
      <c r="BI20" s="3284">
        <f t="shared" si="8"/>
        <v>0</v>
      </c>
      <c r="BJ20" s="1608"/>
      <c r="BK20" s="3274"/>
      <c r="BL20" s="3274"/>
      <c r="BM20" s="3283">
        <f t="shared" si="34"/>
        <v>0</v>
      </c>
      <c r="BN20" s="3284">
        <f t="shared" si="9"/>
        <v>0</v>
      </c>
      <c r="BO20" s="1608"/>
      <c r="BP20" s="3285"/>
      <c r="BQ20" s="3285"/>
      <c r="BR20" s="3286">
        <f t="shared" si="35"/>
        <v>0</v>
      </c>
      <c r="BS20" s="3284">
        <f t="shared" si="10"/>
        <v>0</v>
      </c>
      <c r="BT20" s="1158"/>
      <c r="BU20" s="3285"/>
      <c r="BV20" s="3285"/>
      <c r="BW20" s="3286">
        <f t="shared" si="39"/>
        <v>0</v>
      </c>
      <c r="BX20" s="3284">
        <f t="shared" si="11"/>
        <v>0</v>
      </c>
      <c r="BY20" s="1158"/>
      <c r="BZ20" s="3285"/>
      <c r="CA20" s="3285"/>
      <c r="CB20" s="3286">
        <f t="shared" si="40"/>
        <v>0</v>
      </c>
      <c r="CC20" s="3284">
        <f t="shared" si="12"/>
        <v>0</v>
      </c>
      <c r="CD20" s="1158"/>
      <c r="CE20" s="3285"/>
      <c r="CF20" s="3285"/>
      <c r="CG20" s="3286">
        <f t="shared" si="41"/>
        <v>0</v>
      </c>
      <c r="CH20" s="3284">
        <f t="shared" si="13"/>
        <v>0</v>
      </c>
      <c r="CI20" s="1158"/>
      <c r="CJ20" s="3285"/>
      <c r="CK20" s="3285"/>
      <c r="CL20" s="3286">
        <f t="shared" si="42"/>
        <v>0</v>
      </c>
      <c r="CM20" s="3284">
        <f t="shared" si="14"/>
        <v>0</v>
      </c>
      <c r="CN20" s="1158"/>
      <c r="CO20" s="3285"/>
      <c r="CP20" s="3285"/>
      <c r="CQ20" s="3286">
        <f t="shared" si="43"/>
        <v>0</v>
      </c>
      <c r="CR20" s="3284">
        <f t="shared" si="15"/>
        <v>0</v>
      </c>
      <c r="CS20" s="1158"/>
      <c r="CT20" s="3285"/>
      <c r="CU20" s="3285"/>
      <c r="CV20" s="3286">
        <f t="shared" si="44"/>
        <v>0</v>
      </c>
      <c r="CW20" s="3284">
        <f t="shared" si="16"/>
        <v>0</v>
      </c>
      <c r="CX20" s="1158"/>
      <c r="CY20" s="3285"/>
      <c r="CZ20" s="3285"/>
      <c r="DA20" s="3286">
        <f t="shared" si="45"/>
        <v>0</v>
      </c>
      <c r="DB20" s="3284">
        <f t="shared" si="17"/>
        <v>0</v>
      </c>
      <c r="DC20" s="1158"/>
      <c r="DD20" s="3285"/>
      <c r="DE20" s="3285"/>
      <c r="DF20" s="3286">
        <f t="shared" si="46"/>
        <v>0</v>
      </c>
      <c r="DG20" s="3284">
        <f t="shared" si="18"/>
        <v>0</v>
      </c>
      <c r="DH20" s="1158"/>
      <c r="DI20" s="3285"/>
      <c r="DJ20" s="3285"/>
      <c r="DK20" s="3286">
        <f t="shared" si="47"/>
        <v>0</v>
      </c>
      <c r="DL20" s="3284">
        <f t="shared" si="19"/>
        <v>0</v>
      </c>
      <c r="DM20" s="1158"/>
      <c r="DN20" s="3274">
        <f t="shared" si="36"/>
        <v>0</v>
      </c>
      <c r="DO20" s="3274">
        <f t="shared" si="37"/>
        <v>0</v>
      </c>
      <c r="DP20" s="3283">
        <f t="shared" si="21"/>
        <v>0</v>
      </c>
      <c r="DQ20" s="3284">
        <f t="shared" si="4"/>
        <v>0</v>
      </c>
      <c r="DR20" s="1449"/>
    </row>
    <row r="21" spans="1:122" s="1411" customFormat="1" ht="13.8" x14ac:dyDescent="0.25">
      <c r="A21" s="1586"/>
      <c r="B21" s="3289" t="s">
        <v>58</v>
      </c>
      <c r="C21" s="3288">
        <v>0</v>
      </c>
      <c r="D21" s="3274">
        <v>0</v>
      </c>
      <c r="E21" s="3283">
        <v>0</v>
      </c>
      <c r="F21" s="3284">
        <v>0</v>
      </c>
      <c r="G21" s="2492"/>
      <c r="H21" s="3274"/>
      <c r="I21" s="3274"/>
      <c r="J21" s="3283">
        <f t="shared" si="22"/>
        <v>0</v>
      </c>
      <c r="K21" s="3284">
        <f t="shared" si="0"/>
        <v>0</v>
      </c>
      <c r="L21" s="1449"/>
      <c r="M21" s="3274"/>
      <c r="N21" s="3274"/>
      <c r="O21" s="3283">
        <f t="shared" si="23"/>
        <v>0</v>
      </c>
      <c r="P21" s="3284">
        <f t="shared" si="1"/>
        <v>0</v>
      </c>
      <c r="Q21" s="1608"/>
      <c r="R21" s="3274"/>
      <c r="S21" s="3274"/>
      <c r="T21" s="3283">
        <f t="shared" si="24"/>
        <v>0</v>
      </c>
      <c r="U21" s="3284">
        <f t="shared" si="2"/>
        <v>0</v>
      </c>
      <c r="V21" s="1608"/>
      <c r="W21" s="3274"/>
      <c r="X21" s="3274"/>
      <c r="Y21" s="3283">
        <f t="shared" si="25"/>
        <v>0</v>
      </c>
      <c r="Z21" s="3284">
        <f t="shared" si="26"/>
        <v>0</v>
      </c>
      <c r="AA21" s="1608"/>
      <c r="AB21" s="3288"/>
      <c r="AC21" s="3274"/>
      <c r="AD21" s="3283">
        <f t="shared" si="27"/>
        <v>0</v>
      </c>
      <c r="AE21" s="3284">
        <f t="shared" si="38"/>
        <v>0</v>
      </c>
      <c r="AF21" s="1608"/>
      <c r="AG21" s="3274"/>
      <c r="AH21" s="3274"/>
      <c r="AI21" s="3283">
        <f t="shared" si="28"/>
        <v>0</v>
      </c>
      <c r="AJ21" s="3284">
        <f t="shared" si="3"/>
        <v>0</v>
      </c>
      <c r="AK21" s="1608"/>
      <c r="AL21" s="3274"/>
      <c r="AM21" s="3274"/>
      <c r="AN21" s="3283">
        <f t="shared" si="29"/>
        <v>0</v>
      </c>
      <c r="AO21" s="3284">
        <f t="shared" si="30"/>
        <v>0</v>
      </c>
      <c r="AP21" s="1608"/>
      <c r="AQ21" s="3274"/>
      <c r="AR21" s="3274"/>
      <c r="AS21" s="3283">
        <f t="shared" si="31"/>
        <v>0</v>
      </c>
      <c r="AT21" s="3284">
        <f t="shared" si="5"/>
        <v>0</v>
      </c>
      <c r="AU21" s="1608"/>
      <c r="AV21" s="3274">
        <v>0</v>
      </c>
      <c r="AW21" s="3274">
        <v>0</v>
      </c>
      <c r="AX21" s="3283">
        <v>0</v>
      </c>
      <c r="AY21" s="3284">
        <v>0</v>
      </c>
      <c r="AZ21" s="1608"/>
      <c r="BA21" s="3274">
        <f t="shared" si="6"/>
        <v>0</v>
      </c>
      <c r="BB21" s="3274">
        <f t="shared" si="6"/>
        <v>0</v>
      </c>
      <c r="BC21" s="3283">
        <f t="shared" si="32"/>
        <v>0</v>
      </c>
      <c r="BD21" s="3284">
        <f t="shared" si="7"/>
        <v>0</v>
      </c>
      <c r="BE21" s="1608"/>
      <c r="BF21" s="3274"/>
      <c r="BG21" s="3274"/>
      <c r="BH21" s="3283">
        <f t="shared" si="33"/>
        <v>0</v>
      </c>
      <c r="BI21" s="3284">
        <f t="shared" si="8"/>
        <v>0</v>
      </c>
      <c r="BJ21" s="1608"/>
      <c r="BK21" s="3274"/>
      <c r="BL21" s="3274"/>
      <c r="BM21" s="3283">
        <f t="shared" si="34"/>
        <v>0</v>
      </c>
      <c r="BN21" s="3284">
        <f t="shared" si="9"/>
        <v>0</v>
      </c>
      <c r="BO21" s="1608"/>
      <c r="BP21" s="3285"/>
      <c r="BQ21" s="3285"/>
      <c r="BR21" s="3286">
        <f t="shared" si="35"/>
        <v>0</v>
      </c>
      <c r="BS21" s="3284">
        <f t="shared" si="10"/>
        <v>0</v>
      </c>
      <c r="BT21" s="1158"/>
      <c r="BU21" s="3285"/>
      <c r="BV21" s="3285"/>
      <c r="BW21" s="3286">
        <f t="shared" si="39"/>
        <v>0</v>
      </c>
      <c r="BX21" s="3284">
        <f t="shared" si="11"/>
        <v>0</v>
      </c>
      <c r="BY21" s="1158"/>
      <c r="BZ21" s="3285"/>
      <c r="CA21" s="3285"/>
      <c r="CB21" s="3286">
        <f t="shared" si="40"/>
        <v>0</v>
      </c>
      <c r="CC21" s="3284">
        <f t="shared" si="12"/>
        <v>0</v>
      </c>
      <c r="CD21" s="1158"/>
      <c r="CE21" s="3285"/>
      <c r="CF21" s="3285"/>
      <c r="CG21" s="3286">
        <f t="shared" si="41"/>
        <v>0</v>
      </c>
      <c r="CH21" s="3284">
        <f t="shared" si="13"/>
        <v>0</v>
      </c>
      <c r="CI21" s="1158"/>
      <c r="CJ21" s="3285"/>
      <c r="CK21" s="3285"/>
      <c r="CL21" s="3286">
        <f t="shared" si="42"/>
        <v>0</v>
      </c>
      <c r="CM21" s="3284">
        <f t="shared" si="14"/>
        <v>0</v>
      </c>
      <c r="CN21" s="1158"/>
      <c r="CO21" s="3285"/>
      <c r="CP21" s="3285"/>
      <c r="CQ21" s="3286">
        <f t="shared" si="43"/>
        <v>0</v>
      </c>
      <c r="CR21" s="3284">
        <f t="shared" si="15"/>
        <v>0</v>
      </c>
      <c r="CS21" s="1158"/>
      <c r="CT21" s="3285"/>
      <c r="CU21" s="3285"/>
      <c r="CV21" s="3286">
        <f t="shared" si="44"/>
        <v>0</v>
      </c>
      <c r="CW21" s="3284">
        <f t="shared" si="16"/>
        <v>0</v>
      </c>
      <c r="CX21" s="1158"/>
      <c r="CY21" s="3285"/>
      <c r="CZ21" s="3285"/>
      <c r="DA21" s="3286">
        <f t="shared" si="45"/>
        <v>0</v>
      </c>
      <c r="DB21" s="3284">
        <f t="shared" si="17"/>
        <v>0</v>
      </c>
      <c r="DC21" s="1158"/>
      <c r="DD21" s="3285"/>
      <c r="DE21" s="3285"/>
      <c r="DF21" s="3286">
        <f t="shared" si="46"/>
        <v>0</v>
      </c>
      <c r="DG21" s="3284">
        <f t="shared" si="18"/>
        <v>0</v>
      </c>
      <c r="DH21" s="1158"/>
      <c r="DI21" s="3285"/>
      <c r="DJ21" s="3285"/>
      <c r="DK21" s="3286">
        <f t="shared" si="47"/>
        <v>0</v>
      </c>
      <c r="DL21" s="3284">
        <f t="shared" si="19"/>
        <v>0</v>
      </c>
      <c r="DM21" s="1158"/>
      <c r="DN21" s="3274">
        <f t="shared" si="36"/>
        <v>0</v>
      </c>
      <c r="DO21" s="3274">
        <f t="shared" si="37"/>
        <v>0</v>
      </c>
      <c r="DP21" s="3283">
        <f t="shared" si="21"/>
        <v>0</v>
      </c>
      <c r="DQ21" s="3284">
        <f t="shared" si="4"/>
        <v>0</v>
      </c>
      <c r="DR21" s="1449"/>
    </row>
    <row r="22" spans="1:122" s="1411" customFormat="1" ht="13.8" x14ac:dyDescent="0.25">
      <c r="A22" s="1586"/>
      <c r="B22" s="3289" t="s">
        <v>621</v>
      </c>
      <c r="C22" s="3288">
        <v>0</v>
      </c>
      <c r="D22" s="3274">
        <v>0</v>
      </c>
      <c r="E22" s="3283"/>
      <c r="F22" s="3284"/>
      <c r="G22" s="2492"/>
      <c r="H22" s="3274"/>
      <c r="I22" s="3274"/>
      <c r="J22" s="3283"/>
      <c r="K22" s="3284"/>
      <c r="L22" s="1449"/>
      <c r="M22" s="3274"/>
      <c r="N22" s="3274"/>
      <c r="O22" s="3283"/>
      <c r="P22" s="3284">
        <f t="shared" si="1"/>
        <v>0</v>
      </c>
      <c r="Q22" s="1608"/>
      <c r="R22" s="3274"/>
      <c r="S22" s="3274"/>
      <c r="T22" s="3283"/>
      <c r="U22" s="3284">
        <f t="shared" si="2"/>
        <v>0</v>
      </c>
      <c r="V22" s="1608"/>
      <c r="W22" s="3274"/>
      <c r="X22" s="3274"/>
      <c r="Y22" s="3283"/>
      <c r="Z22" s="3284">
        <f t="shared" si="26"/>
        <v>0</v>
      </c>
      <c r="AA22" s="1608"/>
      <c r="AB22" s="3288"/>
      <c r="AC22" s="3274"/>
      <c r="AD22" s="3283"/>
      <c r="AE22" s="3284">
        <f t="shared" si="38"/>
        <v>0</v>
      </c>
      <c r="AF22" s="1608"/>
      <c r="AG22" s="3274"/>
      <c r="AH22" s="3274"/>
      <c r="AI22" s="3283"/>
      <c r="AJ22" s="3284">
        <f t="shared" si="3"/>
        <v>0</v>
      </c>
      <c r="AK22" s="1608"/>
      <c r="AL22" s="3274"/>
      <c r="AM22" s="3274"/>
      <c r="AN22" s="3283"/>
      <c r="AO22" s="3284">
        <f t="shared" si="30"/>
        <v>0</v>
      </c>
      <c r="AP22" s="1608"/>
      <c r="AQ22" s="3274"/>
      <c r="AR22" s="3274"/>
      <c r="AS22" s="3283"/>
      <c r="AT22" s="3284">
        <f t="shared" si="5"/>
        <v>0</v>
      </c>
      <c r="AU22" s="1608"/>
      <c r="AV22" s="3274">
        <v>0</v>
      </c>
      <c r="AW22" s="3274">
        <v>0</v>
      </c>
      <c r="AX22" s="3283"/>
      <c r="AY22" s="3284">
        <v>0</v>
      </c>
      <c r="AZ22" s="1608"/>
      <c r="BA22" s="3274">
        <f t="shared" si="6"/>
        <v>0</v>
      </c>
      <c r="BB22" s="3274">
        <f t="shared" si="6"/>
        <v>0</v>
      </c>
      <c r="BC22" s="3283"/>
      <c r="BD22" s="3284">
        <f t="shared" si="7"/>
        <v>0</v>
      </c>
      <c r="BE22" s="1608"/>
      <c r="BF22" s="3274"/>
      <c r="BG22" s="3274"/>
      <c r="BH22" s="3283"/>
      <c r="BI22" s="3284">
        <f t="shared" si="8"/>
        <v>0</v>
      </c>
      <c r="BJ22" s="1608"/>
      <c r="BK22" s="3274"/>
      <c r="BL22" s="3274"/>
      <c r="BM22" s="3283">
        <f t="shared" si="34"/>
        <v>0</v>
      </c>
      <c r="BN22" s="3284">
        <f t="shared" si="9"/>
        <v>0</v>
      </c>
      <c r="BO22" s="1608"/>
      <c r="BP22" s="3285"/>
      <c r="BQ22" s="3285"/>
      <c r="BR22" s="3286">
        <f t="shared" si="35"/>
        <v>0</v>
      </c>
      <c r="BS22" s="3284">
        <f t="shared" si="10"/>
        <v>0</v>
      </c>
      <c r="BT22" s="1158"/>
      <c r="BU22" s="3285"/>
      <c r="BV22" s="3285"/>
      <c r="BW22" s="3286">
        <f t="shared" si="39"/>
        <v>0</v>
      </c>
      <c r="BX22" s="3284">
        <f t="shared" si="11"/>
        <v>0</v>
      </c>
      <c r="BY22" s="1158"/>
      <c r="BZ22" s="3285"/>
      <c r="CA22" s="3285"/>
      <c r="CB22" s="3286">
        <f t="shared" si="40"/>
        <v>0</v>
      </c>
      <c r="CC22" s="3284">
        <f t="shared" si="12"/>
        <v>0</v>
      </c>
      <c r="CD22" s="1158"/>
      <c r="CE22" s="3285"/>
      <c r="CF22" s="3285"/>
      <c r="CG22" s="3286">
        <f t="shared" si="41"/>
        <v>0</v>
      </c>
      <c r="CH22" s="3284">
        <f t="shared" si="13"/>
        <v>0</v>
      </c>
      <c r="CI22" s="1158"/>
      <c r="CJ22" s="3285"/>
      <c r="CK22" s="3285"/>
      <c r="CL22" s="3286">
        <f t="shared" si="42"/>
        <v>0</v>
      </c>
      <c r="CM22" s="3284">
        <f t="shared" si="14"/>
        <v>0</v>
      </c>
      <c r="CN22" s="1158"/>
      <c r="CO22" s="3285"/>
      <c r="CP22" s="3285"/>
      <c r="CQ22" s="3286">
        <f t="shared" si="43"/>
        <v>0</v>
      </c>
      <c r="CR22" s="3284">
        <f t="shared" si="15"/>
        <v>0</v>
      </c>
      <c r="CS22" s="1158"/>
      <c r="CT22" s="3285"/>
      <c r="CU22" s="3285"/>
      <c r="CV22" s="3286">
        <f t="shared" si="44"/>
        <v>0</v>
      </c>
      <c r="CW22" s="3284">
        <f t="shared" si="16"/>
        <v>0</v>
      </c>
      <c r="CX22" s="1158"/>
      <c r="CY22" s="3285"/>
      <c r="CZ22" s="3285"/>
      <c r="DA22" s="3286">
        <f t="shared" si="45"/>
        <v>0</v>
      </c>
      <c r="DB22" s="3284">
        <f t="shared" si="17"/>
        <v>0</v>
      </c>
      <c r="DC22" s="1158"/>
      <c r="DD22" s="3285"/>
      <c r="DE22" s="3285"/>
      <c r="DF22" s="3286">
        <f t="shared" si="46"/>
        <v>0</v>
      </c>
      <c r="DG22" s="3284">
        <f t="shared" si="18"/>
        <v>0</v>
      </c>
      <c r="DH22" s="1158"/>
      <c r="DI22" s="3285"/>
      <c r="DJ22" s="3285"/>
      <c r="DK22" s="3286">
        <f t="shared" si="47"/>
        <v>0</v>
      </c>
      <c r="DL22" s="3284">
        <f t="shared" si="19"/>
        <v>0</v>
      </c>
      <c r="DM22" s="1158"/>
      <c r="DN22" s="3274">
        <f t="shared" si="36"/>
        <v>0</v>
      </c>
      <c r="DO22" s="3274">
        <f t="shared" si="37"/>
        <v>0</v>
      </c>
      <c r="DP22" s="3283"/>
      <c r="DQ22" s="3284"/>
      <c r="DR22" s="1449"/>
    </row>
    <row r="23" spans="1:122" s="1411" customFormat="1" ht="13.8" x14ac:dyDescent="0.25">
      <c r="A23" s="1586"/>
      <c r="B23" s="3289" t="s">
        <v>630</v>
      </c>
      <c r="C23" s="3288">
        <v>0</v>
      </c>
      <c r="D23" s="3274">
        <v>0</v>
      </c>
      <c r="E23" s="3283"/>
      <c r="F23" s="3284"/>
      <c r="G23" s="2492"/>
      <c r="H23" s="3274"/>
      <c r="I23" s="3274"/>
      <c r="J23" s="3283"/>
      <c r="K23" s="3284"/>
      <c r="L23" s="1449"/>
      <c r="M23" s="3274"/>
      <c r="N23" s="3274"/>
      <c r="O23" s="3283"/>
      <c r="P23" s="3284"/>
      <c r="Q23" s="1608"/>
      <c r="R23" s="3274"/>
      <c r="S23" s="3274"/>
      <c r="T23" s="3283"/>
      <c r="U23" s="3284">
        <f t="shared" si="2"/>
        <v>0</v>
      </c>
      <c r="V23" s="1608"/>
      <c r="W23" s="3274"/>
      <c r="X23" s="3274"/>
      <c r="Y23" s="3283"/>
      <c r="Z23" s="3284">
        <f t="shared" si="26"/>
        <v>0</v>
      </c>
      <c r="AA23" s="1608"/>
      <c r="AB23" s="3288"/>
      <c r="AC23" s="3274"/>
      <c r="AD23" s="3283"/>
      <c r="AE23" s="3284">
        <f t="shared" si="38"/>
        <v>0</v>
      </c>
      <c r="AF23" s="1608"/>
      <c r="AG23" s="3274"/>
      <c r="AH23" s="3274"/>
      <c r="AI23" s="3283"/>
      <c r="AJ23" s="3284">
        <f t="shared" si="3"/>
        <v>0</v>
      </c>
      <c r="AK23" s="1608"/>
      <c r="AL23" s="3274"/>
      <c r="AM23" s="3274"/>
      <c r="AN23" s="3283"/>
      <c r="AO23" s="3284">
        <f t="shared" si="30"/>
        <v>0</v>
      </c>
      <c r="AP23" s="1608"/>
      <c r="AQ23" s="3274"/>
      <c r="AR23" s="3274"/>
      <c r="AS23" s="3283"/>
      <c r="AT23" s="3284">
        <f t="shared" si="5"/>
        <v>0</v>
      </c>
      <c r="AU23" s="1608"/>
      <c r="AV23" s="3274">
        <v>0</v>
      </c>
      <c r="AW23" s="3274">
        <v>0</v>
      </c>
      <c r="AX23" s="3283"/>
      <c r="AY23" s="3284">
        <v>0</v>
      </c>
      <c r="AZ23" s="1608"/>
      <c r="BA23" s="3274">
        <f t="shared" si="6"/>
        <v>0</v>
      </c>
      <c r="BB23" s="3274">
        <f t="shared" si="6"/>
        <v>0</v>
      </c>
      <c r="BC23" s="3283"/>
      <c r="BD23" s="3284">
        <f t="shared" si="7"/>
        <v>0</v>
      </c>
      <c r="BE23" s="1608"/>
      <c r="BF23" s="3274"/>
      <c r="BG23" s="3274"/>
      <c r="BH23" s="3283"/>
      <c r="BI23" s="3284">
        <f t="shared" si="8"/>
        <v>0</v>
      </c>
      <c r="BJ23" s="1608"/>
      <c r="BK23" s="3274"/>
      <c r="BL23" s="3274"/>
      <c r="BM23" s="3283">
        <f t="shared" si="34"/>
        <v>0</v>
      </c>
      <c r="BN23" s="3284">
        <f t="shared" si="9"/>
        <v>0</v>
      </c>
      <c r="BO23" s="3276"/>
      <c r="BP23" s="3285"/>
      <c r="BQ23" s="3285"/>
      <c r="BR23" s="3286">
        <f t="shared" si="35"/>
        <v>0</v>
      </c>
      <c r="BS23" s="3284">
        <f t="shared" si="10"/>
        <v>0</v>
      </c>
      <c r="BT23" s="3291"/>
      <c r="BU23" s="3285"/>
      <c r="BV23" s="3285"/>
      <c r="BW23" s="3286">
        <f t="shared" si="39"/>
        <v>0</v>
      </c>
      <c r="BX23" s="3284">
        <f t="shared" si="11"/>
        <v>0</v>
      </c>
      <c r="BY23" s="3291"/>
      <c r="BZ23" s="3285"/>
      <c r="CA23" s="3285"/>
      <c r="CB23" s="3286">
        <f t="shared" si="40"/>
        <v>0</v>
      </c>
      <c r="CC23" s="3284">
        <f t="shared" si="12"/>
        <v>0</v>
      </c>
      <c r="CD23" s="3291"/>
      <c r="CE23" s="3285"/>
      <c r="CF23" s="3285"/>
      <c r="CG23" s="3286">
        <f t="shared" si="41"/>
        <v>0</v>
      </c>
      <c r="CH23" s="3284">
        <f t="shared" si="13"/>
        <v>0</v>
      </c>
      <c r="CI23" s="3291"/>
      <c r="CJ23" s="3285"/>
      <c r="CK23" s="3285"/>
      <c r="CL23" s="3286">
        <f t="shared" si="42"/>
        <v>0</v>
      </c>
      <c r="CM23" s="3284">
        <f t="shared" si="14"/>
        <v>0</v>
      </c>
      <c r="CN23" s="3291"/>
      <c r="CO23" s="3285"/>
      <c r="CP23" s="3285"/>
      <c r="CQ23" s="3286">
        <f t="shared" si="43"/>
        <v>0</v>
      </c>
      <c r="CR23" s="3284">
        <f t="shared" si="15"/>
        <v>0</v>
      </c>
      <c r="CS23" s="3291"/>
      <c r="CT23" s="3285"/>
      <c r="CU23" s="3285"/>
      <c r="CV23" s="3286">
        <f t="shared" si="44"/>
        <v>0</v>
      </c>
      <c r="CW23" s="3284">
        <f t="shared" si="16"/>
        <v>0</v>
      </c>
      <c r="CX23" s="3291"/>
      <c r="CY23" s="3285"/>
      <c r="CZ23" s="3285"/>
      <c r="DA23" s="3286">
        <f t="shared" si="45"/>
        <v>0</v>
      </c>
      <c r="DB23" s="3284">
        <f t="shared" si="17"/>
        <v>0</v>
      </c>
      <c r="DC23" s="3291"/>
      <c r="DD23" s="3285"/>
      <c r="DE23" s="3285"/>
      <c r="DF23" s="3286">
        <f t="shared" si="46"/>
        <v>0</v>
      </c>
      <c r="DG23" s="3284">
        <f t="shared" si="18"/>
        <v>0</v>
      </c>
      <c r="DH23" s="3291"/>
      <c r="DI23" s="3285"/>
      <c r="DJ23" s="3285"/>
      <c r="DK23" s="3286">
        <f t="shared" si="47"/>
        <v>0</v>
      </c>
      <c r="DL23" s="3284">
        <f t="shared" si="19"/>
        <v>0</v>
      </c>
      <c r="DM23" s="3291"/>
      <c r="DN23" s="3274">
        <f t="shared" si="36"/>
        <v>0</v>
      </c>
      <c r="DO23" s="3274">
        <f t="shared" si="37"/>
        <v>0</v>
      </c>
      <c r="DP23" s="3283"/>
      <c r="DQ23" s="3284"/>
      <c r="DR23" s="1449"/>
    </row>
    <row r="24" spans="1:122" s="1411" customFormat="1" ht="13.8" x14ac:dyDescent="0.25">
      <c r="A24" s="1586"/>
      <c r="B24" s="3289" t="s">
        <v>23</v>
      </c>
      <c r="C24" s="3288">
        <v>0</v>
      </c>
      <c r="D24" s="3274">
        <v>0</v>
      </c>
      <c r="E24" s="3283">
        <v>0</v>
      </c>
      <c r="F24" s="3284">
        <v>0</v>
      </c>
      <c r="G24" s="2492"/>
      <c r="H24" s="3274"/>
      <c r="I24" s="3274"/>
      <c r="J24" s="3283">
        <f t="shared" si="22"/>
        <v>0</v>
      </c>
      <c r="K24" s="3284">
        <f t="shared" ref="K24:K33" si="48">J24/$J$89</f>
        <v>0</v>
      </c>
      <c r="L24" s="1449"/>
      <c r="M24" s="3274"/>
      <c r="N24" s="3274"/>
      <c r="O24" s="3283">
        <f t="shared" si="23"/>
        <v>0</v>
      </c>
      <c r="P24" s="3284">
        <f t="shared" ref="P24:P33" si="49">O24/$O$89</f>
        <v>0</v>
      </c>
      <c r="Q24" s="1608"/>
      <c r="R24" s="3274"/>
      <c r="S24" s="3274"/>
      <c r="T24" s="3283">
        <f t="shared" ref="T24:T33" si="50">R24+S24*1</f>
        <v>0</v>
      </c>
      <c r="U24" s="3284">
        <f t="shared" si="2"/>
        <v>0</v>
      </c>
      <c r="V24" s="1608"/>
      <c r="W24" s="3274"/>
      <c r="X24" s="3274"/>
      <c r="Y24" s="3283">
        <f t="shared" ref="Y24:Y33" si="51">W24+X24*1</f>
        <v>0</v>
      </c>
      <c r="Z24" s="3284">
        <f t="shared" si="26"/>
        <v>0</v>
      </c>
      <c r="AA24" s="1608"/>
      <c r="AB24" s="3288"/>
      <c r="AC24" s="3274"/>
      <c r="AD24" s="3283">
        <f t="shared" ref="AD24:AD33" si="52">AB24+AC24*1</f>
        <v>0</v>
      </c>
      <c r="AE24" s="3284">
        <f t="shared" si="38"/>
        <v>0</v>
      </c>
      <c r="AF24" s="1608"/>
      <c r="AG24" s="3274"/>
      <c r="AH24" s="3274"/>
      <c r="AI24" s="3283">
        <f t="shared" ref="AI24:AI33" si="53">AG24+AH24*1</f>
        <v>0</v>
      </c>
      <c r="AJ24" s="3284">
        <f t="shared" si="3"/>
        <v>0</v>
      </c>
      <c r="AK24" s="1608"/>
      <c r="AL24" s="3274"/>
      <c r="AM24" s="3274"/>
      <c r="AN24" s="3283">
        <f t="shared" ref="AN24:AN33" si="54">AL24+AM24*1</f>
        <v>0</v>
      </c>
      <c r="AO24" s="3284">
        <f t="shared" si="30"/>
        <v>0</v>
      </c>
      <c r="AP24" s="1608"/>
      <c r="AQ24" s="3274"/>
      <c r="AR24" s="3274"/>
      <c r="AS24" s="3283">
        <f t="shared" ref="AS24:AS33" si="55">AQ24+AR24*1</f>
        <v>0</v>
      </c>
      <c r="AT24" s="3284">
        <f t="shared" si="5"/>
        <v>0</v>
      </c>
      <c r="AU24" s="1608"/>
      <c r="AV24" s="3274">
        <v>0</v>
      </c>
      <c r="AW24" s="3274">
        <v>0</v>
      </c>
      <c r="AX24" s="3283">
        <v>0</v>
      </c>
      <c r="AY24" s="3284">
        <v>0</v>
      </c>
      <c r="AZ24" s="3276"/>
      <c r="BA24" s="3274">
        <f t="shared" si="6"/>
        <v>0</v>
      </c>
      <c r="BB24" s="3274">
        <f t="shared" si="6"/>
        <v>0</v>
      </c>
      <c r="BC24" s="3283">
        <f t="shared" ref="BC24:BC33" si="56">BA24+BB24*1</f>
        <v>0</v>
      </c>
      <c r="BD24" s="3284">
        <f t="shared" si="7"/>
        <v>0</v>
      </c>
      <c r="BE24" s="3276"/>
      <c r="BF24" s="3274"/>
      <c r="BG24" s="3274"/>
      <c r="BH24" s="3283">
        <f t="shared" ref="BH24:BH33" si="57">BF24+BG24*1</f>
        <v>0</v>
      </c>
      <c r="BI24" s="3284">
        <f t="shared" si="8"/>
        <v>0</v>
      </c>
      <c r="BJ24" s="1608"/>
      <c r="BK24" s="3274"/>
      <c r="BL24" s="3274"/>
      <c r="BM24" s="3283">
        <f t="shared" si="34"/>
        <v>0</v>
      </c>
      <c r="BN24" s="3284">
        <f t="shared" si="9"/>
        <v>0</v>
      </c>
      <c r="BO24" s="3276"/>
      <c r="BP24" s="3285"/>
      <c r="BQ24" s="3285"/>
      <c r="BR24" s="3286">
        <f t="shared" si="35"/>
        <v>0</v>
      </c>
      <c r="BS24" s="3284">
        <f t="shared" si="10"/>
        <v>0</v>
      </c>
      <c r="BT24" s="3291"/>
      <c r="BU24" s="3285"/>
      <c r="BV24" s="3285"/>
      <c r="BW24" s="3286">
        <f t="shared" si="39"/>
        <v>0</v>
      </c>
      <c r="BX24" s="3284">
        <f t="shared" si="11"/>
        <v>0</v>
      </c>
      <c r="BY24" s="3291"/>
      <c r="BZ24" s="3285"/>
      <c r="CA24" s="3285"/>
      <c r="CB24" s="3286">
        <f t="shared" si="40"/>
        <v>0</v>
      </c>
      <c r="CC24" s="3284">
        <f t="shared" si="12"/>
        <v>0</v>
      </c>
      <c r="CD24" s="3291"/>
      <c r="CE24" s="3285"/>
      <c r="CF24" s="3285"/>
      <c r="CG24" s="3286">
        <f t="shared" si="41"/>
        <v>0</v>
      </c>
      <c r="CH24" s="3284">
        <f t="shared" si="13"/>
        <v>0</v>
      </c>
      <c r="CI24" s="3291"/>
      <c r="CJ24" s="3285"/>
      <c r="CK24" s="3285"/>
      <c r="CL24" s="3286">
        <f t="shared" si="42"/>
        <v>0</v>
      </c>
      <c r="CM24" s="3284">
        <f t="shared" si="14"/>
        <v>0</v>
      </c>
      <c r="CN24" s="3291"/>
      <c r="CO24" s="3285"/>
      <c r="CP24" s="3285"/>
      <c r="CQ24" s="3286">
        <f t="shared" si="43"/>
        <v>0</v>
      </c>
      <c r="CR24" s="3284">
        <f t="shared" si="15"/>
        <v>0</v>
      </c>
      <c r="CS24" s="3291"/>
      <c r="CT24" s="3285"/>
      <c r="CU24" s="3285"/>
      <c r="CV24" s="3286">
        <f t="shared" si="44"/>
        <v>0</v>
      </c>
      <c r="CW24" s="3284">
        <f t="shared" si="16"/>
        <v>0</v>
      </c>
      <c r="CX24" s="3291"/>
      <c r="CY24" s="3285"/>
      <c r="CZ24" s="3285"/>
      <c r="DA24" s="3286">
        <f t="shared" si="45"/>
        <v>0</v>
      </c>
      <c r="DB24" s="3284">
        <f t="shared" si="17"/>
        <v>0</v>
      </c>
      <c r="DC24" s="3291"/>
      <c r="DD24" s="3285"/>
      <c r="DE24" s="3285"/>
      <c r="DF24" s="3286">
        <f t="shared" si="46"/>
        <v>0</v>
      </c>
      <c r="DG24" s="3284">
        <f t="shared" si="18"/>
        <v>0</v>
      </c>
      <c r="DH24" s="3291"/>
      <c r="DI24" s="3285"/>
      <c r="DJ24" s="3285"/>
      <c r="DK24" s="3286">
        <f t="shared" si="47"/>
        <v>0</v>
      </c>
      <c r="DL24" s="3284">
        <f t="shared" si="19"/>
        <v>0</v>
      </c>
      <c r="DM24" s="3291"/>
      <c r="DN24" s="3274">
        <f t="shared" si="36"/>
        <v>0</v>
      </c>
      <c r="DO24" s="3274">
        <f t="shared" si="37"/>
        <v>0</v>
      </c>
      <c r="DP24" s="3283">
        <f t="shared" ref="DP24:DP33" si="58">DN24+DO24*1</f>
        <v>0</v>
      </c>
      <c r="DQ24" s="3284">
        <f t="shared" ref="DQ24:DQ33" si="59">DP24/$DP$89</f>
        <v>0</v>
      </c>
      <c r="DR24" s="1449"/>
    </row>
    <row r="25" spans="1:122" s="1411" customFormat="1" ht="24" customHeight="1" x14ac:dyDescent="0.25">
      <c r="A25" s="1586"/>
      <c r="B25" s="3289" t="s">
        <v>24</v>
      </c>
      <c r="C25" s="3288">
        <v>1020.01</v>
      </c>
      <c r="D25" s="3274">
        <v>1795.12</v>
      </c>
      <c r="E25" s="3283">
        <v>2815.13</v>
      </c>
      <c r="F25" s="3284">
        <v>4.5023478446778896E-3</v>
      </c>
      <c r="G25" s="2492"/>
      <c r="H25" s="3274"/>
      <c r="I25" s="3274">
        <v>150</v>
      </c>
      <c r="J25" s="3283">
        <f t="shared" si="22"/>
        <v>150</v>
      </c>
      <c r="K25" s="3284">
        <f t="shared" si="48"/>
        <v>1.245374841265167E-3</v>
      </c>
      <c r="L25" s="1449"/>
      <c r="M25" s="3274"/>
      <c r="N25" s="3274"/>
      <c r="O25" s="3283">
        <f t="shared" si="23"/>
        <v>0</v>
      </c>
      <c r="P25" s="3284">
        <f t="shared" si="49"/>
        <v>0</v>
      </c>
      <c r="Q25" s="1376"/>
      <c r="R25" s="3274"/>
      <c r="S25" s="3274">
        <v>150</v>
      </c>
      <c r="T25" s="3283">
        <f t="shared" si="50"/>
        <v>150</v>
      </c>
      <c r="U25" s="3284">
        <f t="shared" si="2"/>
        <v>4.5957879658231377E-4</v>
      </c>
      <c r="V25" s="1376"/>
      <c r="W25" s="3274"/>
      <c r="X25" s="3274"/>
      <c r="Y25" s="3283">
        <f t="shared" si="51"/>
        <v>0</v>
      </c>
      <c r="Z25" s="3284">
        <f t="shared" si="26"/>
        <v>0</v>
      </c>
      <c r="AA25" s="1376"/>
      <c r="AB25" s="3288"/>
      <c r="AC25" s="3274"/>
      <c r="AD25" s="3283">
        <f t="shared" si="52"/>
        <v>0</v>
      </c>
      <c r="AE25" s="3284">
        <f t="shared" si="38"/>
        <v>0</v>
      </c>
      <c r="AF25" s="1376"/>
      <c r="AG25" s="3274"/>
      <c r="AH25" s="3274"/>
      <c r="AI25" s="3283">
        <f t="shared" si="53"/>
        <v>0</v>
      </c>
      <c r="AJ25" s="3284">
        <f t="shared" si="3"/>
        <v>0</v>
      </c>
      <c r="AK25" s="1376"/>
      <c r="AL25" s="3274"/>
      <c r="AM25" s="3274"/>
      <c r="AN25" s="3283">
        <f t="shared" si="54"/>
        <v>0</v>
      </c>
      <c r="AO25" s="3284">
        <f t="shared" si="30"/>
        <v>0</v>
      </c>
      <c r="AP25" s="1376"/>
      <c r="AQ25" s="3274">
        <f>(2022.41+308.16/6+1529.5+160.9/6+209.1/6+154.6/6+178.94+149.51+462.45+102.14)*1.2</f>
        <v>5500.4920000000002</v>
      </c>
      <c r="AR25" s="3274">
        <v>1080</v>
      </c>
      <c r="AS25" s="3283">
        <f t="shared" si="55"/>
        <v>6580.4920000000002</v>
      </c>
      <c r="AT25" s="3284">
        <f t="shared" si="5"/>
        <v>4.3430519438501375E-2</v>
      </c>
      <c r="AU25" s="3376" t="s">
        <v>1486</v>
      </c>
      <c r="AV25" s="3274">
        <v>1656.1079999999999</v>
      </c>
      <c r="AW25" s="3274">
        <v>0</v>
      </c>
      <c r="AX25" s="3283">
        <v>1656.1079999999999</v>
      </c>
      <c r="AY25" s="3284">
        <v>5.0740808110022826E-3</v>
      </c>
      <c r="AZ25" s="1376"/>
      <c r="BA25" s="3274">
        <f t="shared" si="6"/>
        <v>0</v>
      </c>
      <c r="BB25" s="3274">
        <f t="shared" si="6"/>
        <v>0</v>
      </c>
      <c r="BC25" s="3283">
        <f t="shared" si="56"/>
        <v>0</v>
      </c>
      <c r="BD25" s="3284">
        <f t="shared" si="7"/>
        <v>0</v>
      </c>
      <c r="BE25" s="1376"/>
      <c r="BF25" s="3274"/>
      <c r="BG25" s="3274"/>
      <c r="BH25" s="3283">
        <f t="shared" si="57"/>
        <v>0</v>
      </c>
      <c r="BI25" s="3284">
        <f t="shared" si="8"/>
        <v>0</v>
      </c>
      <c r="BJ25" s="3376"/>
      <c r="BK25" s="3274"/>
      <c r="BL25" s="3274"/>
      <c r="BM25" s="3283">
        <f t="shared" si="34"/>
        <v>0</v>
      </c>
      <c r="BN25" s="3284">
        <f t="shared" si="9"/>
        <v>0</v>
      </c>
      <c r="BO25" s="3276"/>
      <c r="BP25" s="3285"/>
      <c r="BQ25" s="3285"/>
      <c r="BR25" s="3286">
        <f t="shared" si="35"/>
        <v>0</v>
      </c>
      <c r="BS25" s="3284">
        <f t="shared" si="10"/>
        <v>0</v>
      </c>
      <c r="BT25" s="3291"/>
      <c r="BU25" s="3285"/>
      <c r="BV25" s="3285"/>
      <c r="BW25" s="3286">
        <f t="shared" si="39"/>
        <v>0</v>
      </c>
      <c r="BX25" s="3284">
        <f t="shared" si="11"/>
        <v>0</v>
      </c>
      <c r="BY25" s="3291"/>
      <c r="BZ25" s="3285"/>
      <c r="CA25" s="3285"/>
      <c r="CB25" s="3286">
        <f t="shared" si="40"/>
        <v>0</v>
      </c>
      <c r="CC25" s="3284">
        <f t="shared" si="12"/>
        <v>0</v>
      </c>
      <c r="CD25" s="3291"/>
      <c r="CE25" s="3285"/>
      <c r="CF25" s="3285"/>
      <c r="CG25" s="3286">
        <f t="shared" si="41"/>
        <v>0</v>
      </c>
      <c r="CH25" s="3284">
        <f t="shared" si="13"/>
        <v>0</v>
      </c>
      <c r="CI25" s="3291"/>
      <c r="CJ25" s="3285"/>
      <c r="CK25" s="3285"/>
      <c r="CL25" s="3286">
        <f t="shared" si="42"/>
        <v>0</v>
      </c>
      <c r="CM25" s="3284">
        <f t="shared" si="14"/>
        <v>0</v>
      </c>
      <c r="CN25" s="3291"/>
      <c r="CO25" s="3285"/>
      <c r="CP25" s="3285"/>
      <c r="CQ25" s="3286">
        <f t="shared" si="43"/>
        <v>0</v>
      </c>
      <c r="CR25" s="3284">
        <f t="shared" si="15"/>
        <v>0</v>
      </c>
      <c r="CS25" s="3291"/>
      <c r="CT25" s="3285"/>
      <c r="CU25" s="3285"/>
      <c r="CV25" s="3286">
        <f t="shared" si="44"/>
        <v>0</v>
      </c>
      <c r="CW25" s="3284">
        <f t="shared" si="16"/>
        <v>0</v>
      </c>
      <c r="CX25" s="3291"/>
      <c r="CY25" s="3285"/>
      <c r="CZ25" s="3285"/>
      <c r="DA25" s="3286">
        <f t="shared" si="45"/>
        <v>0</v>
      </c>
      <c r="DB25" s="3284">
        <f t="shared" si="17"/>
        <v>0</v>
      </c>
      <c r="DC25" s="3291"/>
      <c r="DD25" s="3285"/>
      <c r="DE25" s="3285"/>
      <c r="DF25" s="3286">
        <f t="shared" si="46"/>
        <v>0</v>
      </c>
      <c r="DG25" s="3284">
        <f t="shared" si="18"/>
        <v>0</v>
      </c>
      <c r="DH25" s="3291"/>
      <c r="DI25" s="3285"/>
      <c r="DJ25" s="3285"/>
      <c r="DK25" s="3286">
        <f t="shared" si="47"/>
        <v>0</v>
      </c>
      <c r="DL25" s="3284">
        <f t="shared" si="19"/>
        <v>0</v>
      </c>
      <c r="DM25" s="3291"/>
      <c r="DN25" s="3274">
        <f t="shared" si="36"/>
        <v>7156.6</v>
      </c>
      <c r="DO25" s="3274">
        <f t="shared" si="37"/>
        <v>1230</v>
      </c>
      <c r="DP25" s="3283">
        <f t="shared" si="58"/>
        <v>8386.6</v>
      </c>
      <c r="DQ25" s="3284">
        <f t="shared" si="59"/>
        <v>3.2956076716524492E-3</v>
      </c>
      <c r="DR25" s="1449"/>
    </row>
    <row r="26" spans="1:122" s="1411" customFormat="1" ht="13.8" x14ac:dyDescent="0.25">
      <c r="A26" s="1586"/>
      <c r="B26" s="3289" t="s">
        <v>45</v>
      </c>
      <c r="C26" s="3288">
        <v>0</v>
      </c>
      <c r="D26" s="3274">
        <v>0</v>
      </c>
      <c r="E26" s="3283">
        <v>0</v>
      </c>
      <c r="F26" s="3284">
        <v>0</v>
      </c>
      <c r="G26" s="2492"/>
      <c r="H26" s="3274"/>
      <c r="I26" s="3274"/>
      <c r="J26" s="3283">
        <f t="shared" si="22"/>
        <v>0</v>
      </c>
      <c r="K26" s="3284">
        <f t="shared" si="48"/>
        <v>0</v>
      </c>
      <c r="L26" s="1449"/>
      <c r="M26" s="3274"/>
      <c r="N26" s="3274"/>
      <c r="O26" s="3283">
        <f t="shared" si="23"/>
        <v>0</v>
      </c>
      <c r="P26" s="3284">
        <f t="shared" si="49"/>
        <v>0</v>
      </c>
      <c r="Q26" s="1608"/>
      <c r="R26" s="3274"/>
      <c r="S26" s="3274"/>
      <c r="T26" s="3283">
        <f t="shared" si="50"/>
        <v>0</v>
      </c>
      <c r="U26" s="3284">
        <f t="shared" si="2"/>
        <v>0</v>
      </c>
      <c r="V26" s="1608"/>
      <c r="W26" s="3274"/>
      <c r="X26" s="3274"/>
      <c r="Y26" s="3283">
        <f t="shared" si="51"/>
        <v>0</v>
      </c>
      <c r="Z26" s="3284">
        <f t="shared" si="26"/>
        <v>0</v>
      </c>
      <c r="AA26" s="1608"/>
      <c r="AB26" s="3288"/>
      <c r="AC26" s="3274"/>
      <c r="AD26" s="3283">
        <f t="shared" si="52"/>
        <v>0</v>
      </c>
      <c r="AE26" s="3284">
        <f t="shared" si="38"/>
        <v>0</v>
      </c>
      <c r="AF26" s="1608"/>
      <c r="AG26" s="3274"/>
      <c r="AH26" s="3274"/>
      <c r="AI26" s="3283">
        <f t="shared" si="53"/>
        <v>0</v>
      </c>
      <c r="AJ26" s="3284">
        <f t="shared" si="3"/>
        <v>0</v>
      </c>
      <c r="AK26" s="1608"/>
      <c r="AL26" s="3274"/>
      <c r="AM26" s="3274"/>
      <c r="AN26" s="3283">
        <f t="shared" si="54"/>
        <v>0</v>
      </c>
      <c r="AO26" s="3284">
        <f t="shared" si="30"/>
        <v>0</v>
      </c>
      <c r="AP26" s="1608"/>
      <c r="AQ26" s="3274"/>
      <c r="AR26" s="3274"/>
      <c r="AS26" s="3283">
        <f t="shared" si="55"/>
        <v>0</v>
      </c>
      <c r="AT26" s="3284">
        <f t="shared" si="5"/>
        <v>0</v>
      </c>
      <c r="AU26" s="1608"/>
      <c r="AV26" s="3274">
        <v>0</v>
      </c>
      <c r="AW26" s="3274">
        <v>0</v>
      </c>
      <c r="AX26" s="3283">
        <v>0</v>
      </c>
      <c r="AY26" s="3284">
        <v>0</v>
      </c>
      <c r="AZ26" s="1608"/>
      <c r="BA26" s="3274">
        <f t="shared" si="6"/>
        <v>0</v>
      </c>
      <c r="BB26" s="3274">
        <f t="shared" si="6"/>
        <v>0</v>
      </c>
      <c r="BC26" s="3283">
        <f t="shared" si="56"/>
        <v>0</v>
      </c>
      <c r="BD26" s="3284">
        <f t="shared" si="7"/>
        <v>0</v>
      </c>
      <c r="BE26" s="1608"/>
      <c r="BF26" s="3274"/>
      <c r="BG26" s="3274"/>
      <c r="BH26" s="3283">
        <f t="shared" si="57"/>
        <v>0</v>
      </c>
      <c r="BI26" s="3284">
        <f t="shared" si="8"/>
        <v>0</v>
      </c>
      <c r="BJ26" s="1608"/>
      <c r="BK26" s="3274"/>
      <c r="BL26" s="3274"/>
      <c r="BM26" s="3283">
        <f t="shared" si="34"/>
        <v>0</v>
      </c>
      <c r="BN26" s="3284">
        <f t="shared" si="9"/>
        <v>0</v>
      </c>
      <c r="BO26" s="1608"/>
      <c r="BP26" s="3285"/>
      <c r="BQ26" s="3285"/>
      <c r="BR26" s="3286">
        <f t="shared" si="35"/>
        <v>0</v>
      </c>
      <c r="BS26" s="3284">
        <f t="shared" si="10"/>
        <v>0</v>
      </c>
      <c r="BT26" s="1158"/>
      <c r="BU26" s="3285"/>
      <c r="BV26" s="3285"/>
      <c r="BW26" s="3286">
        <f t="shared" si="39"/>
        <v>0</v>
      </c>
      <c r="BX26" s="3284">
        <f t="shared" si="11"/>
        <v>0</v>
      </c>
      <c r="BY26" s="1158"/>
      <c r="BZ26" s="3285"/>
      <c r="CA26" s="3285"/>
      <c r="CB26" s="3286">
        <f t="shared" si="40"/>
        <v>0</v>
      </c>
      <c r="CC26" s="3284">
        <f t="shared" si="12"/>
        <v>0</v>
      </c>
      <c r="CD26" s="1158"/>
      <c r="CE26" s="3285"/>
      <c r="CF26" s="3285"/>
      <c r="CG26" s="3286">
        <f t="shared" si="41"/>
        <v>0</v>
      </c>
      <c r="CH26" s="3284">
        <f t="shared" si="13"/>
        <v>0</v>
      </c>
      <c r="CI26" s="1158"/>
      <c r="CJ26" s="3285"/>
      <c r="CK26" s="3285"/>
      <c r="CL26" s="3286">
        <f t="shared" si="42"/>
        <v>0</v>
      </c>
      <c r="CM26" s="3284">
        <f t="shared" si="14"/>
        <v>0</v>
      </c>
      <c r="CN26" s="1158"/>
      <c r="CO26" s="3285"/>
      <c r="CP26" s="3285"/>
      <c r="CQ26" s="3286">
        <f t="shared" si="43"/>
        <v>0</v>
      </c>
      <c r="CR26" s="3284">
        <f t="shared" si="15"/>
        <v>0</v>
      </c>
      <c r="CS26" s="1158"/>
      <c r="CT26" s="3285"/>
      <c r="CU26" s="3285"/>
      <c r="CV26" s="3286">
        <f t="shared" si="44"/>
        <v>0</v>
      </c>
      <c r="CW26" s="3284">
        <f t="shared" si="16"/>
        <v>0</v>
      </c>
      <c r="CX26" s="1158"/>
      <c r="CY26" s="3285"/>
      <c r="CZ26" s="3285"/>
      <c r="DA26" s="3286">
        <f t="shared" si="45"/>
        <v>0</v>
      </c>
      <c r="DB26" s="3284">
        <f t="shared" si="17"/>
        <v>0</v>
      </c>
      <c r="DC26" s="1158"/>
      <c r="DD26" s="3285"/>
      <c r="DE26" s="3285"/>
      <c r="DF26" s="3286">
        <f t="shared" si="46"/>
        <v>0</v>
      </c>
      <c r="DG26" s="3284">
        <f t="shared" si="18"/>
        <v>0</v>
      </c>
      <c r="DH26" s="1158"/>
      <c r="DI26" s="3285"/>
      <c r="DJ26" s="3285"/>
      <c r="DK26" s="3286">
        <f t="shared" si="47"/>
        <v>0</v>
      </c>
      <c r="DL26" s="3284">
        <f t="shared" si="19"/>
        <v>0</v>
      </c>
      <c r="DM26" s="1158"/>
      <c r="DN26" s="3274">
        <f t="shared" si="36"/>
        <v>0</v>
      </c>
      <c r="DO26" s="3274">
        <f t="shared" si="37"/>
        <v>0</v>
      </c>
      <c r="DP26" s="3283">
        <f t="shared" si="58"/>
        <v>0</v>
      </c>
      <c r="DQ26" s="3284">
        <f t="shared" si="59"/>
        <v>0</v>
      </c>
      <c r="DR26" s="1449"/>
    </row>
    <row r="27" spans="1:122" s="1411" customFormat="1" ht="48" x14ac:dyDescent="0.25">
      <c r="A27" s="1586"/>
      <c r="B27" s="3289" t="s">
        <v>25</v>
      </c>
      <c r="C27" s="3288">
        <v>0</v>
      </c>
      <c r="D27" s="3274">
        <v>0</v>
      </c>
      <c r="E27" s="3283">
        <v>0</v>
      </c>
      <c r="F27" s="3284">
        <v>0</v>
      </c>
      <c r="G27" s="2492"/>
      <c r="H27" s="3274"/>
      <c r="I27" s="3274"/>
      <c r="J27" s="3283">
        <f t="shared" si="22"/>
        <v>0</v>
      </c>
      <c r="K27" s="3284">
        <f t="shared" si="48"/>
        <v>0</v>
      </c>
      <c r="L27" s="1449"/>
      <c r="M27" s="3274"/>
      <c r="N27" s="3274"/>
      <c r="O27" s="3283">
        <f t="shared" si="23"/>
        <v>0</v>
      </c>
      <c r="P27" s="3284">
        <f t="shared" si="49"/>
        <v>0</v>
      </c>
      <c r="Q27" s="1608"/>
      <c r="R27" s="3274"/>
      <c r="S27" s="3274"/>
      <c r="T27" s="3283">
        <f t="shared" si="50"/>
        <v>0</v>
      </c>
      <c r="U27" s="3284">
        <f t="shared" si="2"/>
        <v>0</v>
      </c>
      <c r="V27" s="1608"/>
      <c r="W27" s="3274"/>
      <c r="X27" s="3274"/>
      <c r="Y27" s="3283">
        <f t="shared" si="51"/>
        <v>0</v>
      </c>
      <c r="Z27" s="3284">
        <f t="shared" si="26"/>
        <v>0</v>
      </c>
      <c r="AA27" s="1608"/>
      <c r="AB27" s="3288"/>
      <c r="AC27" s="3274"/>
      <c r="AD27" s="3283">
        <f t="shared" si="52"/>
        <v>0</v>
      </c>
      <c r="AE27" s="3284">
        <f t="shared" si="38"/>
        <v>0</v>
      </c>
      <c r="AF27" s="1608"/>
      <c r="AG27" s="3274"/>
      <c r="AH27" s="3274"/>
      <c r="AI27" s="3283">
        <f t="shared" si="53"/>
        <v>0</v>
      </c>
      <c r="AJ27" s="3284">
        <f t="shared" si="3"/>
        <v>0</v>
      </c>
      <c r="AK27" s="1608"/>
      <c r="AL27" s="3274"/>
      <c r="AM27" s="3274"/>
      <c r="AN27" s="3283">
        <f t="shared" si="54"/>
        <v>0</v>
      </c>
      <c r="AO27" s="3284">
        <f t="shared" si="30"/>
        <v>0</v>
      </c>
      <c r="AP27" s="1608"/>
      <c r="AQ27" s="3292">
        <f>8625+24057.24</f>
        <v>32682.240000000002</v>
      </c>
      <c r="AR27" s="3274">
        <v>1500</v>
      </c>
      <c r="AS27" s="3283">
        <f t="shared" si="55"/>
        <v>34182.240000000005</v>
      </c>
      <c r="AT27" s="3284">
        <f t="shared" si="5"/>
        <v>0.22559900365679639</v>
      </c>
      <c r="AU27" s="3276" t="s">
        <v>1489</v>
      </c>
      <c r="AV27" s="3274">
        <v>91256.07</v>
      </c>
      <c r="AW27" s="3274">
        <v>0</v>
      </c>
      <c r="AX27" s="3283">
        <v>91256.07</v>
      </c>
      <c r="AY27" s="3284">
        <v>0.27959569887620922</v>
      </c>
      <c r="AZ27" s="1608"/>
      <c r="BA27" s="3274">
        <f t="shared" si="6"/>
        <v>43829.616000000002</v>
      </c>
      <c r="BB27" s="3274">
        <f t="shared" si="6"/>
        <v>0</v>
      </c>
      <c r="BC27" s="3283">
        <f t="shared" si="56"/>
        <v>43829.616000000002</v>
      </c>
      <c r="BD27" s="3284">
        <f t="shared" si="7"/>
        <v>0.13428774783963282</v>
      </c>
      <c r="BE27" s="1608"/>
      <c r="BF27" s="3274"/>
      <c r="BG27" s="3274"/>
      <c r="BH27" s="3283">
        <f t="shared" si="57"/>
        <v>0</v>
      </c>
      <c r="BI27" s="3284">
        <f t="shared" si="8"/>
        <v>0</v>
      </c>
      <c r="BJ27" s="3276"/>
      <c r="BK27" s="3274"/>
      <c r="BL27" s="3274"/>
      <c r="BM27" s="3283">
        <f t="shared" si="34"/>
        <v>0</v>
      </c>
      <c r="BN27" s="3284">
        <f t="shared" si="9"/>
        <v>0</v>
      </c>
      <c r="BO27" s="3291"/>
      <c r="BP27" s="3285">
        <f>(30644.68+5880)*1.2</f>
        <v>43829.616000000002</v>
      </c>
      <c r="BQ27" s="3285"/>
      <c r="BR27" s="3286">
        <f t="shared" si="35"/>
        <v>43829.616000000002</v>
      </c>
      <c r="BS27" s="3284">
        <f t="shared" si="10"/>
        <v>0.33507256947263769</v>
      </c>
      <c r="BT27" s="3291" t="s">
        <v>2197</v>
      </c>
      <c r="BU27" s="3285"/>
      <c r="BV27" s="3285"/>
      <c r="BW27" s="3286">
        <f t="shared" si="39"/>
        <v>0</v>
      </c>
      <c r="BX27" s="3284">
        <f t="shared" si="11"/>
        <v>0</v>
      </c>
      <c r="BY27" s="3291"/>
      <c r="BZ27" s="3285"/>
      <c r="CA27" s="3285"/>
      <c r="CB27" s="3286">
        <f t="shared" si="40"/>
        <v>0</v>
      </c>
      <c r="CC27" s="3284">
        <f t="shared" si="12"/>
        <v>0</v>
      </c>
      <c r="CD27" s="3291"/>
      <c r="CE27" s="3285"/>
      <c r="CF27" s="3285"/>
      <c r="CG27" s="3286">
        <f t="shared" si="41"/>
        <v>0</v>
      </c>
      <c r="CH27" s="3284">
        <f t="shared" si="13"/>
        <v>0</v>
      </c>
      <c r="CI27" s="3291"/>
      <c r="CJ27" s="3285"/>
      <c r="CK27" s="3285"/>
      <c r="CL27" s="3286">
        <f t="shared" si="42"/>
        <v>0</v>
      </c>
      <c r="CM27" s="3284">
        <f t="shared" si="14"/>
        <v>0</v>
      </c>
      <c r="CN27" s="3291"/>
      <c r="CO27" s="3285"/>
      <c r="CP27" s="3285"/>
      <c r="CQ27" s="3286">
        <f t="shared" si="43"/>
        <v>0</v>
      </c>
      <c r="CR27" s="3284">
        <f t="shared" si="15"/>
        <v>0</v>
      </c>
      <c r="CS27" s="3291"/>
      <c r="CT27" s="3285"/>
      <c r="CU27" s="3285"/>
      <c r="CV27" s="3286">
        <f t="shared" si="44"/>
        <v>0</v>
      </c>
      <c r="CW27" s="3284">
        <f t="shared" si="16"/>
        <v>0</v>
      </c>
      <c r="CX27" s="3291"/>
      <c r="CY27" s="3285"/>
      <c r="CZ27" s="3285"/>
      <c r="DA27" s="3286">
        <f t="shared" si="45"/>
        <v>0</v>
      </c>
      <c r="DB27" s="3284">
        <f t="shared" si="17"/>
        <v>0</v>
      </c>
      <c r="DC27" s="3291"/>
      <c r="DD27" s="3285"/>
      <c r="DE27" s="3285"/>
      <c r="DF27" s="3286">
        <f t="shared" si="46"/>
        <v>0</v>
      </c>
      <c r="DG27" s="3284">
        <f t="shared" si="18"/>
        <v>0</v>
      </c>
      <c r="DH27" s="3291"/>
      <c r="DI27" s="3285"/>
      <c r="DJ27" s="3285"/>
      <c r="DK27" s="3286">
        <f t="shared" si="47"/>
        <v>0</v>
      </c>
      <c r="DL27" s="3284">
        <f t="shared" si="19"/>
        <v>0</v>
      </c>
      <c r="DM27" s="3291"/>
      <c r="DN27" s="3274">
        <f t="shared" si="36"/>
        <v>167767.92600000001</v>
      </c>
      <c r="DO27" s="3274">
        <f t="shared" si="37"/>
        <v>1500</v>
      </c>
      <c r="DP27" s="3283">
        <f t="shared" si="58"/>
        <v>169267.92600000001</v>
      </c>
      <c r="DQ27" s="3284">
        <f t="shared" si="59"/>
        <v>6.6515712623744908E-2</v>
      </c>
      <c r="DR27" s="1449"/>
    </row>
    <row r="28" spans="1:122" s="1411" customFormat="1" ht="108" customHeight="1" x14ac:dyDescent="0.25">
      <c r="A28" s="1586"/>
      <c r="B28" s="3289" t="s">
        <v>52</v>
      </c>
      <c r="C28" s="3288">
        <v>132291.1298</v>
      </c>
      <c r="D28" s="3274">
        <v>10401</v>
      </c>
      <c r="E28" s="3283">
        <v>142692.1298</v>
      </c>
      <c r="F28" s="3284">
        <v>0.22821312090650434</v>
      </c>
      <c r="G28" s="2492"/>
      <c r="H28" s="3274">
        <v>45944</v>
      </c>
      <c r="I28" s="3274"/>
      <c r="J28" s="3283">
        <f t="shared" si="22"/>
        <v>45944</v>
      </c>
      <c r="K28" s="3284">
        <f t="shared" si="48"/>
        <v>0.38145001138057888</v>
      </c>
      <c r="L28" s="3390" t="s">
        <v>1012</v>
      </c>
      <c r="M28" s="3274">
        <v>486016.66215970868</v>
      </c>
      <c r="N28" s="3274">
        <f>1740+20988.22</f>
        <v>22728.22</v>
      </c>
      <c r="O28" s="3283">
        <f t="shared" si="23"/>
        <v>508744.88215970865</v>
      </c>
      <c r="P28" s="3284">
        <f t="shared" si="49"/>
        <v>0.73990669628666961</v>
      </c>
      <c r="Q28" s="3294" t="s">
        <v>1064</v>
      </c>
      <c r="R28" s="3274">
        <f>163530.72+70620</f>
        <v>234150.72</v>
      </c>
      <c r="S28" s="3274">
        <v>5658</v>
      </c>
      <c r="T28" s="3283">
        <f t="shared" si="50"/>
        <v>239808.72</v>
      </c>
      <c r="U28" s="3284">
        <f t="shared" si="2"/>
        <v>0.73474001965030022</v>
      </c>
      <c r="V28" s="3275" t="s">
        <v>1134</v>
      </c>
      <c r="W28" s="3274">
        <f>2158*53.62</f>
        <v>115711.95999999999</v>
      </c>
      <c r="X28" s="3274">
        <f>4220.45+550</f>
        <v>4770.45</v>
      </c>
      <c r="Y28" s="3283">
        <f t="shared" si="51"/>
        <v>120482.40999999999</v>
      </c>
      <c r="Z28" s="3284">
        <f t="shared" si="26"/>
        <v>0.36914107331424612</v>
      </c>
      <c r="AA28" s="3360" t="s">
        <v>1163</v>
      </c>
      <c r="AB28" s="3288">
        <v>78143</v>
      </c>
      <c r="AC28" s="3274">
        <v>600</v>
      </c>
      <c r="AD28" s="3283">
        <f t="shared" si="52"/>
        <v>78743</v>
      </c>
      <c r="AE28" s="3284">
        <f t="shared" si="38"/>
        <v>0.60198153088961381</v>
      </c>
      <c r="AF28" s="3275" t="s">
        <v>1271</v>
      </c>
      <c r="AG28" s="3274">
        <f>1021.04+629*52</f>
        <v>33729.040000000001</v>
      </c>
      <c r="AH28" s="3274"/>
      <c r="AI28" s="3283">
        <f t="shared" si="53"/>
        <v>33729.040000000001</v>
      </c>
      <c r="AJ28" s="3284">
        <f t="shared" si="3"/>
        <v>0.77387798806943242</v>
      </c>
      <c r="AK28" s="3275" t="s">
        <v>1345</v>
      </c>
      <c r="AL28" s="3274">
        <f>500+227*52.53</f>
        <v>12424.31</v>
      </c>
      <c r="AM28" s="3274">
        <v>8730</v>
      </c>
      <c r="AN28" s="3283">
        <f t="shared" si="54"/>
        <v>21154.309999999998</v>
      </c>
      <c r="AO28" s="3284">
        <f t="shared" si="30"/>
        <v>0.48536379516870543</v>
      </c>
      <c r="AP28" s="3276" t="s">
        <v>1410</v>
      </c>
      <c r="AQ28" s="3274">
        <f>20800.08+847*54+1585.08+4967.63</f>
        <v>73090.790000000008</v>
      </c>
      <c r="AR28" s="3274">
        <f>1750+6030.15+2810</f>
        <v>10590.15</v>
      </c>
      <c r="AS28" s="3283">
        <f t="shared" si="55"/>
        <v>83680.94</v>
      </c>
      <c r="AT28" s="3284">
        <f t="shared" si="5"/>
        <v>0.55228494940835227</v>
      </c>
      <c r="AU28" s="3276" t="s">
        <v>1507</v>
      </c>
      <c r="AV28" s="3274">
        <v>805690.22</v>
      </c>
      <c r="AW28" s="3274">
        <v>23573.39</v>
      </c>
      <c r="AX28" s="3283">
        <v>829263.61</v>
      </c>
      <c r="AY28" s="3284">
        <v>2.5407464795553678</v>
      </c>
      <c r="AZ28" s="3275"/>
      <c r="BA28" s="3274">
        <f>BF28+BK28+BP28+BU28+BZ28+CE28+CJ28+CO28+CT28+CY28+DD28+DI28</f>
        <v>137178.72</v>
      </c>
      <c r="BB28" s="3274">
        <f t="shared" si="6"/>
        <v>1000</v>
      </c>
      <c r="BC28" s="3283">
        <f t="shared" si="56"/>
        <v>138178.72</v>
      </c>
      <c r="BD28" s="3284">
        <f t="shared" si="7"/>
        <v>0.42336006567256323</v>
      </c>
      <c r="BE28" s="3275"/>
      <c r="BF28" s="2059">
        <f>305*51.5+1103.9</f>
        <v>16811.400000000001</v>
      </c>
      <c r="BG28" s="3274"/>
      <c r="BH28" s="3283">
        <f t="shared" si="57"/>
        <v>16811.400000000001</v>
      </c>
      <c r="BI28" s="3284">
        <f t="shared" si="8"/>
        <v>0.11095338076369093</v>
      </c>
      <c r="BJ28" s="3276" t="s">
        <v>2127</v>
      </c>
      <c r="BK28" s="3274">
        <f>1614*51.3+3418.08</f>
        <v>86216.28</v>
      </c>
      <c r="BL28" s="3274">
        <v>1000</v>
      </c>
      <c r="BM28" s="3283">
        <f t="shared" si="34"/>
        <v>87216.28</v>
      </c>
      <c r="BN28" s="3284">
        <f t="shared" si="9"/>
        <v>0.13948841804066714</v>
      </c>
      <c r="BO28" s="3291" t="s">
        <v>2176</v>
      </c>
      <c r="BP28" s="3285">
        <f>693*49.28</f>
        <v>34151.040000000001</v>
      </c>
      <c r="BQ28" s="3285"/>
      <c r="BR28" s="3286">
        <f t="shared" si="35"/>
        <v>34151.040000000001</v>
      </c>
      <c r="BS28" s="3284">
        <f t="shared" si="10"/>
        <v>0.26108092580511838</v>
      </c>
      <c r="BT28" s="3291" t="s">
        <v>2198</v>
      </c>
      <c r="BU28" s="3285"/>
      <c r="BV28" s="3285"/>
      <c r="BW28" s="3286">
        <f t="shared" si="39"/>
        <v>0</v>
      </c>
      <c r="BX28" s="3284">
        <f t="shared" si="11"/>
        <v>0</v>
      </c>
      <c r="BY28" s="3291"/>
      <c r="BZ28" s="3285"/>
      <c r="CA28" s="3285"/>
      <c r="CB28" s="3286">
        <f t="shared" si="40"/>
        <v>0</v>
      </c>
      <c r="CC28" s="3284">
        <f t="shared" si="12"/>
        <v>0</v>
      </c>
      <c r="CD28" s="3291"/>
      <c r="CE28" s="3285"/>
      <c r="CF28" s="3285"/>
      <c r="CG28" s="3286">
        <f t="shared" si="41"/>
        <v>0</v>
      </c>
      <c r="CH28" s="3284">
        <f t="shared" si="13"/>
        <v>0</v>
      </c>
      <c r="CI28" s="3291"/>
      <c r="CJ28" s="3285"/>
      <c r="CK28" s="3285"/>
      <c r="CL28" s="3286">
        <f t="shared" si="42"/>
        <v>0</v>
      </c>
      <c r="CM28" s="3284">
        <f t="shared" si="14"/>
        <v>0</v>
      </c>
      <c r="CN28" s="3291"/>
      <c r="CO28" s="3285"/>
      <c r="CP28" s="3285"/>
      <c r="CQ28" s="3286">
        <f t="shared" si="43"/>
        <v>0</v>
      </c>
      <c r="CR28" s="3284">
        <f t="shared" si="15"/>
        <v>0</v>
      </c>
      <c r="CS28" s="3291"/>
      <c r="CT28" s="3285"/>
      <c r="CU28" s="3285"/>
      <c r="CV28" s="3286">
        <f t="shared" si="44"/>
        <v>0</v>
      </c>
      <c r="CW28" s="3284">
        <f t="shared" si="16"/>
        <v>0</v>
      </c>
      <c r="CX28" s="3291"/>
      <c r="CY28" s="3285"/>
      <c r="CZ28" s="3285"/>
      <c r="DA28" s="3286">
        <f t="shared" si="45"/>
        <v>0</v>
      </c>
      <c r="DB28" s="3284">
        <f t="shared" si="17"/>
        <v>0</v>
      </c>
      <c r="DC28" s="3291"/>
      <c r="DD28" s="3285"/>
      <c r="DE28" s="3285"/>
      <c r="DF28" s="3286">
        <f t="shared" si="46"/>
        <v>0</v>
      </c>
      <c r="DG28" s="3284">
        <f t="shared" si="18"/>
        <v>0</v>
      </c>
      <c r="DH28" s="3291"/>
      <c r="DI28" s="3285"/>
      <c r="DJ28" s="3285"/>
      <c r="DK28" s="3286">
        <f t="shared" si="47"/>
        <v>0</v>
      </c>
      <c r="DL28" s="3284">
        <f t="shared" si="19"/>
        <v>0</v>
      </c>
      <c r="DM28" s="3291"/>
      <c r="DN28" s="3274">
        <f t="shared" si="36"/>
        <v>1490118.76</v>
      </c>
      <c r="DO28" s="3274">
        <f t="shared" si="37"/>
        <v>54921.99</v>
      </c>
      <c r="DP28" s="3283">
        <f t="shared" si="58"/>
        <v>1545040.75</v>
      </c>
      <c r="DQ28" s="3284">
        <f t="shared" si="59"/>
        <v>0.6071409330021289</v>
      </c>
      <c r="DR28" s="1449"/>
    </row>
    <row r="29" spans="1:122" s="1411" customFormat="1" ht="13.8" x14ac:dyDescent="0.25">
      <c r="A29" s="1586"/>
      <c r="B29" s="3289" t="s">
        <v>31</v>
      </c>
      <c r="C29" s="3288">
        <v>10100</v>
      </c>
      <c r="D29" s="3274">
        <v>1534</v>
      </c>
      <c r="E29" s="3283">
        <v>11634</v>
      </c>
      <c r="F29" s="3284">
        <v>1.8606712594083599E-2</v>
      </c>
      <c r="G29" s="2492"/>
      <c r="H29" s="3274">
        <v>2100</v>
      </c>
      <c r="I29" s="3274"/>
      <c r="J29" s="3283">
        <f t="shared" si="22"/>
        <v>2100</v>
      </c>
      <c r="K29" s="3284">
        <f t="shared" si="48"/>
        <v>1.7435247777712336E-2</v>
      </c>
      <c r="L29" s="3390"/>
      <c r="M29" s="3274"/>
      <c r="N29" s="3274"/>
      <c r="O29" s="3283">
        <f t="shared" si="23"/>
        <v>0</v>
      </c>
      <c r="P29" s="3284">
        <f t="shared" si="49"/>
        <v>0</v>
      </c>
      <c r="Q29" s="3294"/>
      <c r="R29" s="3274"/>
      <c r="S29" s="3274"/>
      <c r="T29" s="3283">
        <f t="shared" si="50"/>
        <v>0</v>
      </c>
      <c r="U29" s="3284">
        <f t="shared" si="2"/>
        <v>0</v>
      </c>
      <c r="V29" s="3294"/>
      <c r="W29" s="3274"/>
      <c r="X29" s="3274"/>
      <c r="Y29" s="3283">
        <f t="shared" si="51"/>
        <v>0</v>
      </c>
      <c r="Z29" s="3284">
        <f t="shared" si="26"/>
        <v>0</v>
      </c>
      <c r="AA29" s="3294"/>
      <c r="AB29" s="3288"/>
      <c r="AC29" s="3274"/>
      <c r="AD29" s="3283">
        <f t="shared" si="52"/>
        <v>0</v>
      </c>
      <c r="AE29" s="3284">
        <f t="shared" si="38"/>
        <v>0</v>
      </c>
      <c r="AF29" s="3294"/>
      <c r="AG29" s="3274"/>
      <c r="AH29" s="3274"/>
      <c r="AI29" s="3283">
        <f t="shared" si="53"/>
        <v>0</v>
      </c>
      <c r="AJ29" s="3284">
        <f t="shared" si="3"/>
        <v>0</v>
      </c>
      <c r="AK29" s="3294"/>
      <c r="AL29" s="3274"/>
      <c r="AM29" s="3274"/>
      <c r="AN29" s="3283">
        <f t="shared" si="54"/>
        <v>0</v>
      </c>
      <c r="AO29" s="3284">
        <f t="shared" si="30"/>
        <v>0</v>
      </c>
      <c r="AP29" s="3294"/>
      <c r="AQ29" s="3274">
        <f>11*300</f>
        <v>3300</v>
      </c>
      <c r="AR29" s="3274"/>
      <c r="AS29" s="3283">
        <f t="shared" si="55"/>
        <v>3300</v>
      </c>
      <c r="AT29" s="3284">
        <f t="shared" si="5"/>
        <v>2.1779635040518934E-2</v>
      </c>
      <c r="AU29" s="3276" t="s">
        <v>1417</v>
      </c>
      <c r="AV29" s="3274">
        <v>11100</v>
      </c>
      <c r="AW29" s="3274">
        <v>0</v>
      </c>
      <c r="AX29" s="3283">
        <v>11100</v>
      </c>
      <c r="AY29" s="3284">
        <v>3.4008830947091215E-2</v>
      </c>
      <c r="AZ29" s="3294"/>
      <c r="BA29" s="3274">
        <f t="shared" si="6"/>
        <v>0</v>
      </c>
      <c r="BB29" s="3274">
        <f t="shared" si="6"/>
        <v>0</v>
      </c>
      <c r="BC29" s="3283">
        <f t="shared" si="56"/>
        <v>0</v>
      </c>
      <c r="BD29" s="3284">
        <f t="shared" si="7"/>
        <v>0</v>
      </c>
      <c r="BE29" s="3294"/>
      <c r="BF29" s="3274"/>
      <c r="BG29" s="3274"/>
      <c r="BH29" s="3283">
        <f t="shared" si="57"/>
        <v>0</v>
      </c>
      <c r="BI29" s="3284">
        <f t="shared" si="8"/>
        <v>0</v>
      </c>
      <c r="BJ29" s="3276"/>
      <c r="BK29" s="3274"/>
      <c r="BL29" s="3274"/>
      <c r="BM29" s="3283">
        <f t="shared" si="34"/>
        <v>0</v>
      </c>
      <c r="BN29" s="3284">
        <f t="shared" si="9"/>
        <v>0</v>
      </c>
      <c r="BO29" s="3291"/>
      <c r="BP29" s="3285"/>
      <c r="BQ29" s="3285"/>
      <c r="BR29" s="3286">
        <f t="shared" si="35"/>
        <v>0</v>
      </c>
      <c r="BS29" s="3284">
        <f t="shared" si="10"/>
        <v>0</v>
      </c>
      <c r="BT29" s="3291"/>
      <c r="BU29" s="3285"/>
      <c r="BV29" s="3285"/>
      <c r="BW29" s="3286">
        <f t="shared" si="39"/>
        <v>0</v>
      </c>
      <c r="BX29" s="3284">
        <f t="shared" si="11"/>
        <v>0</v>
      </c>
      <c r="BY29" s="3291"/>
      <c r="BZ29" s="3285"/>
      <c r="CA29" s="3285"/>
      <c r="CB29" s="3286">
        <f t="shared" si="40"/>
        <v>0</v>
      </c>
      <c r="CC29" s="3284">
        <f t="shared" si="12"/>
        <v>0</v>
      </c>
      <c r="CD29" s="3291"/>
      <c r="CE29" s="3285"/>
      <c r="CF29" s="3285"/>
      <c r="CG29" s="3286">
        <f t="shared" si="41"/>
        <v>0</v>
      </c>
      <c r="CH29" s="3284">
        <f t="shared" si="13"/>
        <v>0</v>
      </c>
      <c r="CI29" s="3291"/>
      <c r="CJ29" s="3285"/>
      <c r="CK29" s="3285"/>
      <c r="CL29" s="3286">
        <f t="shared" si="42"/>
        <v>0</v>
      </c>
      <c r="CM29" s="3284">
        <f t="shared" si="14"/>
        <v>0</v>
      </c>
      <c r="CN29" s="3291"/>
      <c r="CO29" s="3285"/>
      <c r="CP29" s="3285"/>
      <c r="CQ29" s="3286">
        <f t="shared" si="43"/>
        <v>0</v>
      </c>
      <c r="CR29" s="3284">
        <f t="shared" si="15"/>
        <v>0</v>
      </c>
      <c r="CS29" s="3291"/>
      <c r="CT29" s="3285"/>
      <c r="CU29" s="3285"/>
      <c r="CV29" s="3286">
        <f t="shared" si="44"/>
        <v>0</v>
      </c>
      <c r="CW29" s="3284">
        <f t="shared" si="16"/>
        <v>0</v>
      </c>
      <c r="CX29" s="3291"/>
      <c r="CY29" s="3285"/>
      <c r="CZ29" s="3285"/>
      <c r="DA29" s="3286">
        <f t="shared" si="45"/>
        <v>0</v>
      </c>
      <c r="DB29" s="3284">
        <f t="shared" si="17"/>
        <v>0</v>
      </c>
      <c r="DC29" s="3291"/>
      <c r="DD29" s="3285"/>
      <c r="DE29" s="3285"/>
      <c r="DF29" s="3286">
        <f t="shared" si="46"/>
        <v>0</v>
      </c>
      <c r="DG29" s="3284">
        <f t="shared" si="18"/>
        <v>0</v>
      </c>
      <c r="DH29" s="3291"/>
      <c r="DI29" s="3285"/>
      <c r="DJ29" s="3285"/>
      <c r="DK29" s="3286">
        <f t="shared" si="47"/>
        <v>0</v>
      </c>
      <c r="DL29" s="3284">
        <f t="shared" si="19"/>
        <v>0</v>
      </c>
      <c r="DM29" s="3291"/>
      <c r="DN29" s="3274">
        <f t="shared" si="36"/>
        <v>14400</v>
      </c>
      <c r="DO29" s="3274">
        <f t="shared" si="37"/>
        <v>0</v>
      </c>
      <c r="DP29" s="3283">
        <f t="shared" si="58"/>
        <v>14400</v>
      </c>
      <c r="DQ29" s="3284">
        <f t="shared" si="59"/>
        <v>5.6586400295465704E-3</v>
      </c>
      <c r="DR29" s="3295"/>
    </row>
    <row r="30" spans="1:122" s="1411" customFormat="1" ht="13.8" x14ac:dyDescent="0.25">
      <c r="A30" s="1586"/>
      <c r="B30" s="3289" t="s">
        <v>62</v>
      </c>
      <c r="C30" s="3288">
        <v>0</v>
      </c>
      <c r="D30" s="3274">
        <v>0</v>
      </c>
      <c r="E30" s="3283">
        <v>0</v>
      </c>
      <c r="F30" s="3284">
        <v>0</v>
      </c>
      <c r="G30" s="2492"/>
      <c r="H30" s="3274"/>
      <c r="I30" s="3274"/>
      <c r="J30" s="3283">
        <f t="shared" si="22"/>
        <v>0</v>
      </c>
      <c r="K30" s="3284">
        <f t="shared" si="48"/>
        <v>0</v>
      </c>
      <c r="L30" s="3295"/>
      <c r="M30" s="3274"/>
      <c r="N30" s="3274"/>
      <c r="O30" s="3283">
        <f t="shared" si="23"/>
        <v>0</v>
      </c>
      <c r="P30" s="3284">
        <f t="shared" si="49"/>
        <v>0</v>
      </c>
      <c r="Q30" s="3296"/>
      <c r="R30" s="3274"/>
      <c r="S30" s="3274"/>
      <c r="T30" s="3283">
        <f t="shared" si="50"/>
        <v>0</v>
      </c>
      <c r="U30" s="3284">
        <f t="shared" si="2"/>
        <v>0</v>
      </c>
      <c r="V30" s="3296"/>
      <c r="W30" s="3274"/>
      <c r="X30" s="3274"/>
      <c r="Y30" s="3283">
        <f t="shared" si="51"/>
        <v>0</v>
      </c>
      <c r="Z30" s="3284">
        <f t="shared" si="26"/>
        <v>0</v>
      </c>
      <c r="AA30" s="3296"/>
      <c r="AB30" s="3288"/>
      <c r="AC30" s="3274"/>
      <c r="AD30" s="3283">
        <f t="shared" si="52"/>
        <v>0</v>
      </c>
      <c r="AE30" s="3284">
        <f t="shared" si="38"/>
        <v>0</v>
      </c>
      <c r="AF30" s="3296"/>
      <c r="AG30" s="3274"/>
      <c r="AH30" s="3274"/>
      <c r="AI30" s="3283">
        <f t="shared" si="53"/>
        <v>0</v>
      </c>
      <c r="AJ30" s="3284">
        <f t="shared" si="3"/>
        <v>0</v>
      </c>
      <c r="AK30" s="3296"/>
      <c r="AL30" s="3274"/>
      <c r="AM30" s="3274"/>
      <c r="AN30" s="3283">
        <f t="shared" si="54"/>
        <v>0</v>
      </c>
      <c r="AO30" s="3284">
        <f t="shared" si="30"/>
        <v>0</v>
      </c>
      <c r="AP30" s="3296"/>
      <c r="AQ30" s="3274"/>
      <c r="AR30" s="3274"/>
      <c r="AS30" s="3283">
        <f t="shared" si="55"/>
        <v>0</v>
      </c>
      <c r="AT30" s="3284">
        <f t="shared" si="5"/>
        <v>0</v>
      </c>
      <c r="AU30" s="3276"/>
      <c r="AV30" s="3274">
        <v>0</v>
      </c>
      <c r="AW30" s="3274">
        <v>0</v>
      </c>
      <c r="AX30" s="3283">
        <v>0</v>
      </c>
      <c r="AY30" s="3284">
        <v>0</v>
      </c>
      <c r="AZ30" s="3296"/>
      <c r="BA30" s="3274">
        <f t="shared" si="6"/>
        <v>0</v>
      </c>
      <c r="BB30" s="3274">
        <f t="shared" si="6"/>
        <v>0</v>
      </c>
      <c r="BC30" s="3283">
        <f t="shared" si="56"/>
        <v>0</v>
      </c>
      <c r="BD30" s="3284">
        <f t="shared" si="7"/>
        <v>0</v>
      </c>
      <c r="BE30" s="3296"/>
      <c r="BF30" s="3274"/>
      <c r="BG30" s="3274"/>
      <c r="BH30" s="3283">
        <f t="shared" si="57"/>
        <v>0</v>
      </c>
      <c r="BI30" s="3284">
        <f t="shared" si="8"/>
        <v>0</v>
      </c>
      <c r="BJ30" s="3276"/>
      <c r="BK30" s="3274"/>
      <c r="BL30" s="3274"/>
      <c r="BM30" s="3283">
        <f t="shared" si="34"/>
        <v>0</v>
      </c>
      <c r="BN30" s="3284">
        <f t="shared" si="9"/>
        <v>0</v>
      </c>
      <c r="BO30" s="3297"/>
      <c r="BP30" s="3285"/>
      <c r="BQ30" s="3285"/>
      <c r="BR30" s="3286">
        <f t="shared" si="35"/>
        <v>0</v>
      </c>
      <c r="BS30" s="3284">
        <f t="shared" si="10"/>
        <v>0</v>
      </c>
      <c r="BT30" s="3297"/>
      <c r="BU30" s="3285"/>
      <c r="BV30" s="3285"/>
      <c r="BW30" s="3286">
        <f t="shared" si="39"/>
        <v>0</v>
      </c>
      <c r="BX30" s="3284">
        <f t="shared" si="11"/>
        <v>0</v>
      </c>
      <c r="BY30" s="3297"/>
      <c r="BZ30" s="3285"/>
      <c r="CA30" s="3285"/>
      <c r="CB30" s="3286">
        <f t="shared" si="40"/>
        <v>0</v>
      </c>
      <c r="CC30" s="3284">
        <f t="shared" si="12"/>
        <v>0</v>
      </c>
      <c r="CD30" s="3297"/>
      <c r="CE30" s="3285"/>
      <c r="CF30" s="3285"/>
      <c r="CG30" s="3286">
        <f t="shared" si="41"/>
        <v>0</v>
      </c>
      <c r="CH30" s="3284">
        <f t="shared" si="13"/>
        <v>0</v>
      </c>
      <c r="CI30" s="3297"/>
      <c r="CJ30" s="3285"/>
      <c r="CK30" s="3285"/>
      <c r="CL30" s="3286">
        <f t="shared" si="42"/>
        <v>0</v>
      </c>
      <c r="CM30" s="3284">
        <f t="shared" si="14"/>
        <v>0</v>
      </c>
      <c r="CN30" s="3297"/>
      <c r="CO30" s="3285"/>
      <c r="CP30" s="3285"/>
      <c r="CQ30" s="3286">
        <f t="shared" si="43"/>
        <v>0</v>
      </c>
      <c r="CR30" s="3284">
        <f t="shared" si="15"/>
        <v>0</v>
      </c>
      <c r="CS30" s="1158"/>
      <c r="CT30" s="3285"/>
      <c r="CU30" s="3285"/>
      <c r="CV30" s="3286">
        <f t="shared" si="44"/>
        <v>0</v>
      </c>
      <c r="CW30" s="3284">
        <f t="shared" si="16"/>
        <v>0</v>
      </c>
      <c r="CX30" s="1158"/>
      <c r="CY30" s="3285"/>
      <c r="CZ30" s="3285"/>
      <c r="DA30" s="3286">
        <f t="shared" si="45"/>
        <v>0</v>
      </c>
      <c r="DB30" s="3284">
        <f t="shared" si="17"/>
        <v>0</v>
      </c>
      <c r="DC30" s="1158"/>
      <c r="DD30" s="3285"/>
      <c r="DE30" s="3285"/>
      <c r="DF30" s="3286">
        <f t="shared" si="46"/>
        <v>0</v>
      </c>
      <c r="DG30" s="3284">
        <f t="shared" si="18"/>
        <v>0</v>
      </c>
      <c r="DH30" s="1158"/>
      <c r="DI30" s="3285"/>
      <c r="DJ30" s="3285"/>
      <c r="DK30" s="3286">
        <f t="shared" si="47"/>
        <v>0</v>
      </c>
      <c r="DL30" s="3284">
        <f t="shared" si="19"/>
        <v>0</v>
      </c>
      <c r="DM30" s="1158"/>
      <c r="DN30" s="3274">
        <f t="shared" si="36"/>
        <v>0</v>
      </c>
      <c r="DO30" s="3274">
        <f t="shared" si="37"/>
        <v>0</v>
      </c>
      <c r="DP30" s="3283">
        <f t="shared" si="58"/>
        <v>0</v>
      </c>
      <c r="DQ30" s="3284">
        <f t="shared" si="59"/>
        <v>0</v>
      </c>
      <c r="DR30" s="3295"/>
    </row>
    <row r="31" spans="1:122" s="1411" customFormat="1" ht="13.8" x14ac:dyDescent="0.25">
      <c r="A31" s="1586"/>
      <c r="B31" s="3289" t="s">
        <v>34</v>
      </c>
      <c r="C31" s="3288">
        <v>81807.843499999988</v>
      </c>
      <c r="D31" s="3274">
        <v>1490</v>
      </c>
      <c r="E31" s="3283">
        <v>83297.843499999988</v>
      </c>
      <c r="F31" s="3284">
        <v>0.1332215088285589</v>
      </c>
      <c r="G31" s="2492"/>
      <c r="H31" s="3274"/>
      <c r="I31" s="3274">
        <v>1200</v>
      </c>
      <c r="J31" s="3283">
        <f t="shared" si="22"/>
        <v>1200</v>
      </c>
      <c r="K31" s="3284">
        <f t="shared" si="48"/>
        <v>9.9629987301213356E-3</v>
      </c>
      <c r="L31" s="3295"/>
      <c r="M31" s="3274"/>
      <c r="N31" s="3274"/>
      <c r="O31" s="3283">
        <f t="shared" si="23"/>
        <v>0</v>
      </c>
      <c r="P31" s="3284">
        <f t="shared" si="49"/>
        <v>0</v>
      </c>
      <c r="Q31" s="3296"/>
      <c r="R31" s="3274"/>
      <c r="S31" s="3274"/>
      <c r="T31" s="3283">
        <f t="shared" si="50"/>
        <v>0</v>
      </c>
      <c r="U31" s="3284">
        <f t="shared" si="2"/>
        <v>0</v>
      </c>
      <c r="V31" s="3296"/>
      <c r="W31" s="3274"/>
      <c r="X31" s="3274"/>
      <c r="Y31" s="3283">
        <f t="shared" si="51"/>
        <v>0</v>
      </c>
      <c r="Z31" s="3284">
        <f t="shared" si="26"/>
        <v>0</v>
      </c>
      <c r="AA31" s="3296"/>
      <c r="AB31" s="3288"/>
      <c r="AC31" s="3274"/>
      <c r="AD31" s="3283">
        <f t="shared" si="52"/>
        <v>0</v>
      </c>
      <c r="AE31" s="3284">
        <f t="shared" si="38"/>
        <v>0</v>
      </c>
      <c r="AF31" s="3296"/>
      <c r="AG31" s="3274"/>
      <c r="AH31" s="3274"/>
      <c r="AI31" s="3283">
        <f t="shared" si="53"/>
        <v>0</v>
      </c>
      <c r="AJ31" s="3284">
        <f t="shared" si="3"/>
        <v>0</v>
      </c>
      <c r="AK31" s="3296"/>
      <c r="AL31" s="3274"/>
      <c r="AM31" s="3274"/>
      <c r="AN31" s="3283">
        <f t="shared" si="54"/>
        <v>0</v>
      </c>
      <c r="AO31" s="3284">
        <f t="shared" si="30"/>
        <v>0</v>
      </c>
      <c r="AP31" s="3296"/>
      <c r="AQ31" s="3274"/>
      <c r="AR31" s="3274"/>
      <c r="AS31" s="3283">
        <f t="shared" si="55"/>
        <v>0</v>
      </c>
      <c r="AT31" s="3284">
        <f t="shared" si="5"/>
        <v>0</v>
      </c>
      <c r="AU31" s="3276"/>
      <c r="AV31" s="3274">
        <v>0</v>
      </c>
      <c r="AW31" s="3274">
        <v>0</v>
      </c>
      <c r="AX31" s="3283">
        <v>0</v>
      </c>
      <c r="AY31" s="3284">
        <v>0</v>
      </c>
      <c r="AZ31" s="3276"/>
      <c r="BA31" s="3274">
        <f t="shared" si="6"/>
        <v>0</v>
      </c>
      <c r="BB31" s="3274">
        <f t="shared" si="6"/>
        <v>0</v>
      </c>
      <c r="BC31" s="3283">
        <f t="shared" si="56"/>
        <v>0</v>
      </c>
      <c r="BD31" s="3284">
        <f t="shared" si="7"/>
        <v>0</v>
      </c>
      <c r="BE31" s="3276"/>
      <c r="BF31" s="3274"/>
      <c r="BG31" s="3274"/>
      <c r="BH31" s="3283">
        <f t="shared" si="57"/>
        <v>0</v>
      </c>
      <c r="BI31" s="3284">
        <f t="shared" si="8"/>
        <v>0</v>
      </c>
      <c r="BJ31" s="3276"/>
      <c r="BK31" s="3274"/>
      <c r="BL31" s="3274"/>
      <c r="BM31" s="3283">
        <f t="shared" si="34"/>
        <v>0</v>
      </c>
      <c r="BN31" s="3284">
        <f t="shared" si="9"/>
        <v>0</v>
      </c>
      <c r="BO31" s="3297"/>
      <c r="BP31" s="3285"/>
      <c r="BQ31" s="3285"/>
      <c r="BR31" s="3286">
        <f t="shared" si="35"/>
        <v>0</v>
      </c>
      <c r="BS31" s="3284">
        <f t="shared" si="10"/>
        <v>0</v>
      </c>
      <c r="BT31" s="3297"/>
      <c r="BU31" s="3285"/>
      <c r="BV31" s="3285"/>
      <c r="BW31" s="3286">
        <f t="shared" si="39"/>
        <v>0</v>
      </c>
      <c r="BX31" s="3284">
        <f t="shared" si="11"/>
        <v>0</v>
      </c>
      <c r="BY31" s="3297"/>
      <c r="BZ31" s="3285"/>
      <c r="CA31" s="3285"/>
      <c r="CB31" s="3286">
        <f t="shared" si="40"/>
        <v>0</v>
      </c>
      <c r="CC31" s="3284">
        <f t="shared" si="12"/>
        <v>0</v>
      </c>
      <c r="CD31" s="3297"/>
      <c r="CE31" s="3285"/>
      <c r="CF31" s="3285"/>
      <c r="CG31" s="3286">
        <f t="shared" si="41"/>
        <v>0</v>
      </c>
      <c r="CH31" s="3284">
        <f t="shared" si="13"/>
        <v>0</v>
      </c>
      <c r="CI31" s="3297"/>
      <c r="CJ31" s="3285"/>
      <c r="CK31" s="3285"/>
      <c r="CL31" s="3286">
        <f t="shared" si="42"/>
        <v>0</v>
      </c>
      <c r="CM31" s="3284">
        <f t="shared" si="14"/>
        <v>0</v>
      </c>
      <c r="CN31" s="3297"/>
      <c r="CO31" s="3285"/>
      <c r="CP31" s="3285"/>
      <c r="CQ31" s="3286">
        <f t="shared" si="43"/>
        <v>0</v>
      </c>
      <c r="CR31" s="3284">
        <f t="shared" si="15"/>
        <v>0</v>
      </c>
      <c r="CS31" s="1158"/>
      <c r="CT31" s="3285"/>
      <c r="CU31" s="3285"/>
      <c r="CV31" s="3286">
        <f t="shared" si="44"/>
        <v>0</v>
      </c>
      <c r="CW31" s="3284">
        <f t="shared" si="16"/>
        <v>0</v>
      </c>
      <c r="CX31" s="1158"/>
      <c r="CY31" s="3285"/>
      <c r="CZ31" s="3285"/>
      <c r="DA31" s="3286">
        <f t="shared" si="45"/>
        <v>0</v>
      </c>
      <c r="DB31" s="3284">
        <f t="shared" si="17"/>
        <v>0</v>
      </c>
      <c r="DC31" s="1158"/>
      <c r="DD31" s="3285"/>
      <c r="DE31" s="3285"/>
      <c r="DF31" s="3286">
        <f t="shared" si="46"/>
        <v>0</v>
      </c>
      <c r="DG31" s="3284">
        <f t="shared" si="18"/>
        <v>0</v>
      </c>
      <c r="DH31" s="1158"/>
      <c r="DI31" s="3285"/>
      <c r="DJ31" s="3285"/>
      <c r="DK31" s="3286">
        <f t="shared" si="47"/>
        <v>0</v>
      </c>
      <c r="DL31" s="3284">
        <f t="shared" si="19"/>
        <v>0</v>
      </c>
      <c r="DM31" s="1158"/>
      <c r="DN31" s="3274">
        <f t="shared" si="36"/>
        <v>0</v>
      </c>
      <c r="DO31" s="3274">
        <f t="shared" si="37"/>
        <v>0</v>
      </c>
      <c r="DP31" s="3283">
        <f t="shared" si="58"/>
        <v>0</v>
      </c>
      <c r="DQ31" s="3284">
        <f t="shared" si="59"/>
        <v>0</v>
      </c>
      <c r="DR31" s="3295"/>
    </row>
    <row r="32" spans="1:122" s="1411" customFormat="1" ht="60" x14ac:dyDescent="0.25">
      <c r="A32" s="1586"/>
      <c r="B32" s="3298" t="s">
        <v>2</v>
      </c>
      <c r="C32" s="3288">
        <v>0</v>
      </c>
      <c r="D32" s="3274">
        <v>5000</v>
      </c>
      <c r="E32" s="3283">
        <v>5000</v>
      </c>
      <c r="F32" s="3284">
        <v>7.9966961466750898E-3</v>
      </c>
      <c r="G32" s="972"/>
      <c r="H32" s="3274"/>
      <c r="I32" s="3274"/>
      <c r="J32" s="3283">
        <f t="shared" si="22"/>
        <v>0</v>
      </c>
      <c r="K32" s="3284">
        <f t="shared" si="48"/>
        <v>0</v>
      </c>
      <c r="L32" s="3390"/>
      <c r="M32" s="3274"/>
      <c r="N32" s="3274"/>
      <c r="O32" s="3283">
        <f t="shared" si="23"/>
        <v>0</v>
      </c>
      <c r="P32" s="3284">
        <f t="shared" si="49"/>
        <v>0</v>
      </c>
      <c r="Q32" s="3299"/>
      <c r="R32" s="3274">
        <v>723</v>
      </c>
      <c r="S32" s="3274"/>
      <c r="T32" s="3283">
        <f t="shared" si="50"/>
        <v>723</v>
      </c>
      <c r="U32" s="3284">
        <f t="shared" si="2"/>
        <v>2.2151697995267524E-3</v>
      </c>
      <c r="V32" s="3275" t="s">
        <v>1100</v>
      </c>
      <c r="W32" s="3274"/>
      <c r="X32" s="3274"/>
      <c r="Y32" s="3283">
        <f t="shared" si="51"/>
        <v>0</v>
      </c>
      <c r="Z32" s="3284">
        <f t="shared" si="26"/>
        <v>0</v>
      </c>
      <c r="AA32" s="3299"/>
      <c r="AB32" s="3288"/>
      <c r="AC32" s="3274"/>
      <c r="AD32" s="3283">
        <f t="shared" si="52"/>
        <v>0</v>
      </c>
      <c r="AE32" s="3284">
        <f t="shared" si="38"/>
        <v>0</v>
      </c>
      <c r="AF32" s="3299"/>
      <c r="AG32" s="3274"/>
      <c r="AH32" s="3274"/>
      <c r="AI32" s="3283">
        <f t="shared" si="53"/>
        <v>0</v>
      </c>
      <c r="AJ32" s="3284">
        <f t="shared" si="3"/>
        <v>0</v>
      </c>
      <c r="AK32" s="3299"/>
      <c r="AL32" s="3274"/>
      <c r="AM32" s="3274">
        <v>34200</v>
      </c>
      <c r="AN32" s="3283">
        <f t="shared" si="54"/>
        <v>34200</v>
      </c>
      <c r="AO32" s="3284">
        <f t="shared" si="30"/>
        <v>0.78468367887062862</v>
      </c>
      <c r="AP32" s="3386" t="s">
        <v>1411</v>
      </c>
      <c r="AQ32" s="3274">
        <f>468+123+1776+4200</f>
        <v>6567</v>
      </c>
      <c r="AR32" s="3274">
        <f>1584</f>
        <v>1584</v>
      </c>
      <c r="AS32" s="3283">
        <f t="shared" si="55"/>
        <v>8151</v>
      </c>
      <c r="AT32" s="3284">
        <f t="shared" si="5"/>
        <v>5.3795698550081768E-2</v>
      </c>
      <c r="AU32" s="3276" t="s">
        <v>1488</v>
      </c>
      <c r="AV32" s="3274">
        <v>11766.46</v>
      </c>
      <c r="AW32" s="3274">
        <v>12000</v>
      </c>
      <c r="AX32" s="3283">
        <v>23766.46</v>
      </c>
      <c r="AY32" s="3284">
        <v>7.2817073905477966E-2</v>
      </c>
      <c r="AZ32" s="3299"/>
      <c r="BA32" s="3274">
        <f t="shared" si="6"/>
        <v>4400</v>
      </c>
      <c r="BB32" s="3274">
        <f t="shared" si="6"/>
        <v>0</v>
      </c>
      <c r="BC32" s="3283">
        <f t="shared" si="56"/>
        <v>4400</v>
      </c>
      <c r="BD32" s="3284">
        <f t="shared" si="7"/>
        <v>1.3480978033081204E-2</v>
      </c>
      <c r="BE32" s="3299"/>
      <c r="BF32" s="3274">
        <v>4400</v>
      </c>
      <c r="BG32" s="3274"/>
      <c r="BH32" s="3283">
        <f t="shared" si="57"/>
        <v>4400</v>
      </c>
      <c r="BI32" s="3284">
        <f t="shared" si="8"/>
        <v>2.9039513387358582E-2</v>
      </c>
      <c r="BJ32" s="3276" t="s">
        <v>2128</v>
      </c>
      <c r="BK32" s="3274"/>
      <c r="BL32" s="3274"/>
      <c r="BM32" s="3283">
        <f t="shared" si="34"/>
        <v>0</v>
      </c>
      <c r="BN32" s="3284">
        <f t="shared" si="9"/>
        <v>0</v>
      </c>
      <c r="BO32" s="3291"/>
      <c r="BP32" s="3285"/>
      <c r="BQ32" s="3285"/>
      <c r="BR32" s="3286">
        <f t="shared" si="35"/>
        <v>0</v>
      </c>
      <c r="BS32" s="3284">
        <f t="shared" si="10"/>
        <v>0</v>
      </c>
      <c r="BT32" s="3291"/>
      <c r="BU32" s="3285"/>
      <c r="BV32" s="3285"/>
      <c r="BW32" s="3286">
        <f t="shared" si="39"/>
        <v>0</v>
      </c>
      <c r="BX32" s="3284">
        <f t="shared" si="11"/>
        <v>0</v>
      </c>
      <c r="BY32" s="3291"/>
      <c r="BZ32" s="3285"/>
      <c r="CA32" s="3285"/>
      <c r="CB32" s="3286">
        <f t="shared" si="40"/>
        <v>0</v>
      </c>
      <c r="CC32" s="3284">
        <f t="shared" si="12"/>
        <v>0</v>
      </c>
      <c r="CD32" s="3291"/>
      <c r="CE32" s="3285"/>
      <c r="CF32" s="3285"/>
      <c r="CG32" s="3286">
        <f t="shared" si="41"/>
        <v>0</v>
      </c>
      <c r="CH32" s="3284">
        <f t="shared" si="13"/>
        <v>0</v>
      </c>
      <c r="CI32" s="3291"/>
      <c r="CJ32" s="3285"/>
      <c r="CK32" s="3285"/>
      <c r="CL32" s="3286">
        <f t="shared" si="42"/>
        <v>0</v>
      </c>
      <c r="CM32" s="3284">
        <f t="shared" si="14"/>
        <v>0</v>
      </c>
      <c r="CN32" s="3291"/>
      <c r="CO32" s="3285"/>
      <c r="CP32" s="3285"/>
      <c r="CQ32" s="3286">
        <f t="shared" si="43"/>
        <v>0</v>
      </c>
      <c r="CR32" s="3284">
        <f t="shared" si="15"/>
        <v>0</v>
      </c>
      <c r="CS32" s="3291"/>
      <c r="CT32" s="3285"/>
      <c r="CU32" s="3285"/>
      <c r="CV32" s="3286">
        <f t="shared" si="44"/>
        <v>0</v>
      </c>
      <c r="CW32" s="3284">
        <f t="shared" si="16"/>
        <v>0</v>
      </c>
      <c r="CX32" s="3291"/>
      <c r="CY32" s="3285"/>
      <c r="CZ32" s="3285"/>
      <c r="DA32" s="3286">
        <f t="shared" si="45"/>
        <v>0</v>
      </c>
      <c r="DB32" s="3284">
        <f t="shared" si="17"/>
        <v>0</v>
      </c>
      <c r="DC32" s="3291"/>
      <c r="DD32" s="3285"/>
      <c r="DE32" s="3285"/>
      <c r="DF32" s="3286">
        <f t="shared" si="46"/>
        <v>0</v>
      </c>
      <c r="DG32" s="3284">
        <f t="shared" si="18"/>
        <v>0</v>
      </c>
      <c r="DH32" s="3291"/>
      <c r="DI32" s="3285"/>
      <c r="DJ32" s="3285"/>
      <c r="DK32" s="3286">
        <f t="shared" si="47"/>
        <v>0</v>
      </c>
      <c r="DL32" s="3284">
        <f t="shared" si="19"/>
        <v>0</v>
      </c>
      <c r="DM32" s="3291"/>
      <c r="DN32" s="3274">
        <f t="shared" si="36"/>
        <v>23456.46</v>
      </c>
      <c r="DO32" s="3274">
        <f t="shared" si="37"/>
        <v>47784</v>
      </c>
      <c r="DP32" s="3283">
        <f t="shared" si="58"/>
        <v>71240.459999999992</v>
      </c>
      <c r="DQ32" s="3284">
        <f t="shared" si="59"/>
        <v>2.7994730463841058E-2</v>
      </c>
      <c r="DR32" s="3295"/>
    </row>
    <row r="33" spans="1:122" s="1411" customFormat="1" ht="14.4" thickBot="1" x14ac:dyDescent="0.3">
      <c r="A33" s="1586"/>
      <c r="B33" s="3144" t="s">
        <v>75</v>
      </c>
      <c r="C33" s="3323">
        <v>0</v>
      </c>
      <c r="D33" s="3314">
        <v>0</v>
      </c>
      <c r="E33" s="3305">
        <v>0</v>
      </c>
      <c r="F33" s="2883">
        <v>0</v>
      </c>
      <c r="G33" s="973"/>
      <c r="H33" s="3314"/>
      <c r="I33" s="3314"/>
      <c r="J33" s="3305">
        <f t="shared" si="22"/>
        <v>0</v>
      </c>
      <c r="K33" s="2883">
        <f t="shared" si="48"/>
        <v>0</v>
      </c>
      <c r="L33" s="2885"/>
      <c r="M33" s="3314"/>
      <c r="N33" s="3314"/>
      <c r="O33" s="3305">
        <f t="shared" si="23"/>
        <v>0</v>
      </c>
      <c r="P33" s="2883">
        <f t="shared" si="49"/>
        <v>0</v>
      </c>
      <c r="Q33" s="2885"/>
      <c r="R33" s="3314"/>
      <c r="S33" s="3314"/>
      <c r="T33" s="3305">
        <f t="shared" si="50"/>
        <v>0</v>
      </c>
      <c r="U33" s="2883">
        <f t="shared" si="2"/>
        <v>0</v>
      </c>
      <c r="V33" s="2885"/>
      <c r="W33" s="3314"/>
      <c r="X33" s="3314"/>
      <c r="Y33" s="3305">
        <f t="shared" si="51"/>
        <v>0</v>
      </c>
      <c r="Z33" s="2883">
        <f t="shared" si="26"/>
        <v>0</v>
      </c>
      <c r="AA33" s="2885"/>
      <c r="AB33" s="3323"/>
      <c r="AC33" s="3314"/>
      <c r="AD33" s="3305">
        <f t="shared" si="52"/>
        <v>0</v>
      </c>
      <c r="AE33" s="2883">
        <f t="shared" si="38"/>
        <v>0</v>
      </c>
      <c r="AF33" s="2885"/>
      <c r="AG33" s="3314"/>
      <c r="AH33" s="3314"/>
      <c r="AI33" s="3305">
        <f t="shared" si="53"/>
        <v>0</v>
      </c>
      <c r="AJ33" s="2883">
        <f t="shared" si="3"/>
        <v>0</v>
      </c>
      <c r="AK33" s="2885"/>
      <c r="AL33" s="3314"/>
      <c r="AM33" s="3314"/>
      <c r="AN33" s="3305">
        <f t="shared" si="54"/>
        <v>0</v>
      </c>
      <c r="AO33" s="2883">
        <f t="shared" si="30"/>
        <v>0</v>
      </c>
      <c r="AP33" s="2885"/>
      <c r="AQ33" s="3314"/>
      <c r="AR33" s="3314"/>
      <c r="AS33" s="3305">
        <f t="shared" si="55"/>
        <v>0</v>
      </c>
      <c r="AT33" s="2883">
        <f t="shared" si="5"/>
        <v>0</v>
      </c>
      <c r="AU33" s="2885"/>
      <c r="AV33" s="3300">
        <v>0</v>
      </c>
      <c r="AW33" s="3301">
        <v>0</v>
      </c>
      <c r="AX33" s="3305">
        <v>0</v>
      </c>
      <c r="AY33" s="2883">
        <v>0</v>
      </c>
      <c r="AZ33" s="2885"/>
      <c r="BA33" s="3300">
        <f t="shared" si="6"/>
        <v>0</v>
      </c>
      <c r="BB33" s="3301">
        <f t="shared" si="6"/>
        <v>0</v>
      </c>
      <c r="BC33" s="3305">
        <f t="shared" si="56"/>
        <v>0</v>
      </c>
      <c r="BD33" s="2883">
        <f t="shared" si="7"/>
        <v>0</v>
      </c>
      <c r="BE33" s="2885"/>
      <c r="BF33" s="3314"/>
      <c r="BG33" s="3314"/>
      <c r="BH33" s="3305">
        <f t="shared" si="57"/>
        <v>0</v>
      </c>
      <c r="BI33" s="2883">
        <f t="shared" si="8"/>
        <v>0</v>
      </c>
      <c r="BJ33" s="2885"/>
      <c r="BK33" s="3314"/>
      <c r="BL33" s="3314"/>
      <c r="BM33" s="3305">
        <f t="shared" si="34"/>
        <v>0</v>
      </c>
      <c r="BN33" s="3026">
        <f t="shared" si="9"/>
        <v>0</v>
      </c>
      <c r="BO33" s="2885"/>
      <c r="BP33" s="3363"/>
      <c r="BQ33" s="3363"/>
      <c r="BR33" s="3364">
        <f t="shared" si="35"/>
        <v>0</v>
      </c>
      <c r="BS33" s="2883">
        <f t="shared" si="10"/>
        <v>0</v>
      </c>
      <c r="BT33" s="3216"/>
      <c r="BU33" s="3363"/>
      <c r="BV33" s="3363"/>
      <c r="BW33" s="3364">
        <f t="shared" si="39"/>
        <v>0</v>
      </c>
      <c r="BX33" s="2883">
        <f t="shared" si="11"/>
        <v>0</v>
      </c>
      <c r="BY33" s="3216"/>
      <c r="BZ33" s="3363"/>
      <c r="CA33" s="3363"/>
      <c r="CB33" s="3364">
        <f t="shared" si="40"/>
        <v>0</v>
      </c>
      <c r="CC33" s="2883">
        <f t="shared" si="12"/>
        <v>0</v>
      </c>
      <c r="CD33" s="3216"/>
      <c r="CE33" s="3363"/>
      <c r="CF33" s="3363"/>
      <c r="CG33" s="3364">
        <f t="shared" si="41"/>
        <v>0</v>
      </c>
      <c r="CH33" s="2883">
        <f t="shared" si="13"/>
        <v>0</v>
      </c>
      <c r="CI33" s="3216"/>
      <c r="CJ33" s="3363"/>
      <c r="CK33" s="3363"/>
      <c r="CL33" s="3364">
        <f t="shared" si="42"/>
        <v>0</v>
      </c>
      <c r="CM33" s="2883">
        <f t="shared" si="14"/>
        <v>0</v>
      </c>
      <c r="CN33" s="3216"/>
      <c r="CO33" s="3363"/>
      <c r="CP33" s="3363"/>
      <c r="CQ33" s="3364">
        <f t="shared" si="43"/>
        <v>0</v>
      </c>
      <c r="CR33" s="2883">
        <f t="shared" si="15"/>
        <v>0</v>
      </c>
      <c r="CS33" s="3145"/>
      <c r="CT33" s="3363"/>
      <c r="CU33" s="3363"/>
      <c r="CV33" s="3364">
        <f t="shared" si="44"/>
        <v>0</v>
      </c>
      <c r="CW33" s="2883">
        <f t="shared" si="16"/>
        <v>0</v>
      </c>
      <c r="CX33" s="3145"/>
      <c r="CY33" s="3363"/>
      <c r="CZ33" s="3363"/>
      <c r="DA33" s="3364">
        <f t="shared" si="45"/>
        <v>0</v>
      </c>
      <c r="DB33" s="2883">
        <f t="shared" si="17"/>
        <v>0</v>
      </c>
      <c r="DC33" s="3145"/>
      <c r="DD33" s="3363"/>
      <c r="DE33" s="3363"/>
      <c r="DF33" s="3364">
        <f t="shared" si="46"/>
        <v>0</v>
      </c>
      <c r="DG33" s="2883">
        <f t="shared" si="18"/>
        <v>0</v>
      </c>
      <c r="DH33" s="3145"/>
      <c r="DI33" s="3363"/>
      <c r="DJ33" s="3363"/>
      <c r="DK33" s="3364">
        <f t="shared" si="47"/>
        <v>0</v>
      </c>
      <c r="DL33" s="2883">
        <f t="shared" si="19"/>
        <v>0</v>
      </c>
      <c r="DM33" s="3145"/>
      <c r="DN33" s="3274">
        <f t="shared" si="36"/>
        <v>0</v>
      </c>
      <c r="DO33" s="3274">
        <f t="shared" si="37"/>
        <v>0</v>
      </c>
      <c r="DP33" s="3305">
        <f t="shared" si="58"/>
        <v>0</v>
      </c>
      <c r="DQ33" s="2883">
        <f t="shared" si="59"/>
        <v>0</v>
      </c>
      <c r="DR33" s="2885"/>
    </row>
    <row r="34" spans="1:122" s="1411" customFormat="1" ht="13.8" x14ac:dyDescent="0.25">
      <c r="A34" s="1586"/>
      <c r="B34" s="1631"/>
      <c r="C34" s="3288"/>
      <c r="D34" s="3274"/>
      <c r="E34" s="3306"/>
      <c r="F34" s="3306"/>
      <c r="G34" s="3143"/>
      <c r="H34" s="3274"/>
      <c r="I34" s="3274"/>
      <c r="J34" s="3306"/>
      <c r="K34" s="3306"/>
      <c r="L34" s="3306"/>
      <c r="M34" s="3274"/>
      <c r="N34" s="3274"/>
      <c r="O34" s="3306"/>
      <c r="P34" s="3306"/>
      <c r="Q34" s="3306"/>
      <c r="R34" s="3274"/>
      <c r="S34" s="3274"/>
      <c r="T34" s="3306"/>
      <c r="U34" s="3306"/>
      <c r="V34" s="3306"/>
      <c r="W34" s="3274"/>
      <c r="X34" s="3274"/>
      <c r="Y34" s="3306"/>
      <c r="Z34" s="3306"/>
      <c r="AA34" s="3306"/>
      <c r="AB34" s="3274"/>
      <c r="AC34" s="3274"/>
      <c r="AD34" s="3306"/>
      <c r="AE34" s="3306"/>
      <c r="AF34" s="3306"/>
      <c r="AG34" s="3274"/>
      <c r="AH34" s="3274"/>
      <c r="AI34" s="3306"/>
      <c r="AJ34" s="3306"/>
      <c r="AK34" s="3306"/>
      <c r="AL34" s="3274"/>
      <c r="AM34" s="3274"/>
      <c r="AN34" s="3306"/>
      <c r="AO34" s="3306"/>
      <c r="AP34" s="3306"/>
      <c r="AQ34" s="3274"/>
      <c r="AR34" s="3274"/>
      <c r="AS34" s="3306"/>
      <c r="AT34" s="3306"/>
      <c r="AU34" s="3306"/>
      <c r="AV34" s="3274"/>
      <c r="AW34" s="3274"/>
      <c r="AX34" s="3306"/>
      <c r="AY34" s="3306"/>
      <c r="AZ34" s="3306"/>
      <c r="BA34" s="3274"/>
      <c r="BB34" s="3274"/>
      <c r="BC34" s="3306"/>
      <c r="BD34" s="3306"/>
      <c r="BE34" s="3306"/>
      <c r="BF34" s="3274"/>
      <c r="BG34" s="3274"/>
      <c r="BH34" s="3306"/>
      <c r="BI34" s="3306"/>
      <c r="BJ34" s="3306"/>
      <c r="BK34" s="3274"/>
      <c r="BL34" s="3274"/>
      <c r="BM34" s="3306"/>
      <c r="BN34" s="3306"/>
      <c r="BO34" s="3306"/>
      <c r="BP34" s="3274"/>
      <c r="BQ34" s="3274"/>
      <c r="BR34" s="3306"/>
      <c r="BS34" s="3306"/>
      <c r="BT34" s="3306"/>
      <c r="BU34" s="3274"/>
      <c r="BV34" s="3274"/>
      <c r="BW34" s="3306"/>
      <c r="BX34" s="3306"/>
      <c r="BY34" s="3306"/>
      <c r="BZ34" s="3274"/>
      <c r="CA34" s="3274"/>
      <c r="CB34" s="3306"/>
      <c r="CC34" s="3306"/>
      <c r="CD34" s="3306"/>
      <c r="CE34" s="3274"/>
      <c r="CF34" s="3274"/>
      <c r="CG34" s="3306"/>
      <c r="CH34" s="3306"/>
      <c r="CI34" s="3306"/>
      <c r="CJ34" s="3274"/>
      <c r="CK34" s="3274"/>
      <c r="CL34" s="3306"/>
      <c r="CM34" s="3306"/>
      <c r="CN34" s="3306"/>
      <c r="CO34" s="3274"/>
      <c r="CP34" s="3274"/>
      <c r="CQ34" s="3306"/>
      <c r="CR34" s="3306"/>
      <c r="CS34" s="3306"/>
      <c r="CT34" s="3274"/>
      <c r="CU34" s="3274"/>
      <c r="CV34" s="3306"/>
      <c r="CW34" s="3306"/>
      <c r="CX34" s="3306"/>
      <c r="CY34" s="3274"/>
      <c r="CZ34" s="3274"/>
      <c r="DA34" s="3306"/>
      <c r="DB34" s="3306"/>
      <c r="DC34" s="3306"/>
      <c r="DD34" s="3274"/>
      <c r="DE34" s="3274"/>
      <c r="DF34" s="3306"/>
      <c r="DG34" s="3306"/>
      <c r="DH34" s="3306"/>
      <c r="DI34" s="3274"/>
      <c r="DJ34" s="3274"/>
      <c r="DK34" s="3306"/>
      <c r="DL34" s="3306"/>
      <c r="DM34" s="3306"/>
      <c r="DN34" s="3288"/>
      <c r="DO34" s="3274"/>
      <c r="DP34" s="3306"/>
      <c r="DQ34" s="3306"/>
      <c r="DR34" s="3306"/>
    </row>
    <row r="35" spans="1:122" s="2483" customFormat="1" ht="13.8" x14ac:dyDescent="0.25">
      <c r="A35" s="1586"/>
      <c r="B35" s="3307" t="s">
        <v>80</v>
      </c>
      <c r="C35" s="3308">
        <v>0</v>
      </c>
      <c r="D35" s="3308">
        <v>0</v>
      </c>
      <c r="E35" s="3309">
        <v>0</v>
      </c>
      <c r="F35" s="3309"/>
      <c r="G35" s="3391"/>
      <c r="H35" s="3392">
        <f>H36</f>
        <v>0</v>
      </c>
      <c r="I35" s="3308">
        <f>I36</f>
        <v>0</v>
      </c>
      <c r="J35" s="3309">
        <f>J36</f>
        <v>0</v>
      </c>
      <c r="K35" s="3309"/>
      <c r="L35" s="3309"/>
      <c r="M35" s="3308">
        <f>M36</f>
        <v>0</v>
      </c>
      <c r="N35" s="3308">
        <f>N36</f>
        <v>0</v>
      </c>
      <c r="O35" s="3309">
        <f>O36</f>
        <v>0</v>
      </c>
      <c r="P35" s="3309"/>
      <c r="Q35" s="3309"/>
      <c r="R35" s="3308">
        <f>R36</f>
        <v>0</v>
      </c>
      <c r="S35" s="3308">
        <f>S36</f>
        <v>0</v>
      </c>
      <c r="T35" s="3309">
        <f>T36</f>
        <v>0</v>
      </c>
      <c r="U35" s="3309">
        <f t="shared" si="2"/>
        <v>0</v>
      </c>
      <c r="V35" s="3309"/>
      <c r="W35" s="3308">
        <f>W36</f>
        <v>0</v>
      </c>
      <c r="X35" s="3308">
        <f>X36</f>
        <v>0</v>
      </c>
      <c r="Y35" s="3309">
        <f>Y36</f>
        <v>0</v>
      </c>
      <c r="Z35" s="3309">
        <f>Y35/$T$89</f>
        <v>0</v>
      </c>
      <c r="AA35" s="3309"/>
      <c r="AB35" s="3308">
        <f>AB36</f>
        <v>22524.58</v>
      </c>
      <c r="AC35" s="3308">
        <f>AC36</f>
        <v>0</v>
      </c>
      <c r="AD35" s="3309">
        <f>AD36</f>
        <v>22524.58</v>
      </c>
      <c r="AE35" s="3309"/>
      <c r="AF35" s="3309"/>
      <c r="AG35" s="3308">
        <f>AG36</f>
        <v>0</v>
      </c>
      <c r="AH35" s="3308">
        <f>AH36</f>
        <v>0</v>
      </c>
      <c r="AI35" s="3309">
        <f>AI36</f>
        <v>0</v>
      </c>
      <c r="AJ35" s="3309">
        <f t="shared" si="3"/>
        <v>0</v>
      </c>
      <c r="AK35" s="3309"/>
      <c r="AL35" s="3308">
        <f>AL36</f>
        <v>0</v>
      </c>
      <c r="AM35" s="3308">
        <f>AM36</f>
        <v>0</v>
      </c>
      <c r="AN35" s="3309">
        <f>AN36</f>
        <v>0</v>
      </c>
      <c r="AO35" s="3309">
        <f>AN35/$AI$89</f>
        <v>0</v>
      </c>
      <c r="AP35" s="3309"/>
      <c r="AQ35" s="3308">
        <f>AQ36</f>
        <v>0</v>
      </c>
      <c r="AR35" s="3308">
        <f>AR36</f>
        <v>0</v>
      </c>
      <c r="AS35" s="3309">
        <f>AS36</f>
        <v>0</v>
      </c>
      <c r="AT35" s="3309">
        <f t="shared" si="5"/>
        <v>0</v>
      </c>
      <c r="AU35" s="3309"/>
      <c r="AV35" s="3308">
        <v>0</v>
      </c>
      <c r="AW35" s="3308">
        <v>0</v>
      </c>
      <c r="AX35" s="3309">
        <v>0</v>
      </c>
      <c r="AY35" s="3309">
        <v>0</v>
      </c>
      <c r="AZ35" s="3309"/>
      <c r="BA35" s="3308">
        <f>BA36</f>
        <v>0</v>
      </c>
      <c r="BB35" s="3308">
        <f>BB36</f>
        <v>0</v>
      </c>
      <c r="BC35" s="3309">
        <f>BC36</f>
        <v>0</v>
      </c>
      <c r="BD35" s="3309">
        <f t="shared" ref="BD35:BD36" si="60">BC35/$T$89</f>
        <v>0</v>
      </c>
      <c r="BE35" s="3309"/>
      <c r="BF35" s="3308">
        <f>BF36</f>
        <v>0</v>
      </c>
      <c r="BG35" s="3308">
        <f>BG36</f>
        <v>0</v>
      </c>
      <c r="BH35" s="3309">
        <f>BH36</f>
        <v>0</v>
      </c>
      <c r="BI35" s="3309">
        <f>BH35/$AS$89</f>
        <v>0</v>
      </c>
      <c r="BJ35" s="3309"/>
      <c r="BK35" s="3308">
        <f>BK36</f>
        <v>0</v>
      </c>
      <c r="BL35" s="3308">
        <f>BL36</f>
        <v>0</v>
      </c>
      <c r="BM35" s="3309">
        <f>BM36</f>
        <v>0</v>
      </c>
      <c r="BN35" s="3309">
        <f>BM35/$E$89</f>
        <v>0</v>
      </c>
      <c r="BO35" s="3309"/>
      <c r="BP35" s="3308">
        <f>BP36</f>
        <v>0</v>
      </c>
      <c r="BQ35" s="3308">
        <f>BQ36</f>
        <v>0</v>
      </c>
      <c r="BR35" s="3309">
        <f>BR36</f>
        <v>0</v>
      </c>
      <c r="BS35" s="3309">
        <f>BR35/$AD$89</f>
        <v>0</v>
      </c>
      <c r="BT35" s="3309"/>
      <c r="BU35" s="3308">
        <f>BU36</f>
        <v>0</v>
      </c>
      <c r="BV35" s="3308">
        <f>BV36</f>
        <v>0</v>
      </c>
      <c r="BW35" s="3309">
        <f>BW36</f>
        <v>0</v>
      </c>
      <c r="BX35" s="3309">
        <f>BW35/$AD$89</f>
        <v>0</v>
      </c>
      <c r="BY35" s="3309"/>
      <c r="BZ35" s="3308">
        <f>BZ36</f>
        <v>0</v>
      </c>
      <c r="CA35" s="3308">
        <f>CA36</f>
        <v>0</v>
      </c>
      <c r="CB35" s="3309">
        <f>CB36</f>
        <v>0</v>
      </c>
      <c r="CC35" s="3309">
        <f>CB35/$AD$89</f>
        <v>0</v>
      </c>
      <c r="CD35" s="3309"/>
      <c r="CE35" s="3308">
        <f>CE36</f>
        <v>0</v>
      </c>
      <c r="CF35" s="3308">
        <f>CF36</f>
        <v>0</v>
      </c>
      <c r="CG35" s="3309">
        <f>CG36</f>
        <v>0</v>
      </c>
      <c r="CH35" s="3309">
        <f>CG35/$AD$89</f>
        <v>0</v>
      </c>
      <c r="CI35" s="3309"/>
      <c r="CJ35" s="3308">
        <f>CJ36</f>
        <v>0</v>
      </c>
      <c r="CK35" s="3308">
        <f>CK36</f>
        <v>0</v>
      </c>
      <c r="CL35" s="3309">
        <f>CL36</f>
        <v>0</v>
      </c>
      <c r="CM35" s="3309">
        <f>CL35/$AI$89</f>
        <v>0</v>
      </c>
      <c r="CN35" s="3309"/>
      <c r="CO35" s="3308">
        <f>CO36</f>
        <v>0</v>
      </c>
      <c r="CP35" s="3308">
        <f>CP36</f>
        <v>0</v>
      </c>
      <c r="CQ35" s="3309">
        <f>CQ36</f>
        <v>0</v>
      </c>
      <c r="CR35" s="3309">
        <f>CQ35/$AI$89</f>
        <v>0</v>
      </c>
      <c r="CS35" s="3308"/>
      <c r="CT35" s="3308">
        <f>CT36</f>
        <v>0</v>
      </c>
      <c r="CU35" s="3308">
        <f>CU36</f>
        <v>0</v>
      </c>
      <c r="CV35" s="3309">
        <f>CV36</f>
        <v>0</v>
      </c>
      <c r="CW35" s="3309">
        <f>CV35/$AI$89</f>
        <v>0</v>
      </c>
      <c r="CX35" s="3308"/>
      <c r="CY35" s="3308">
        <f>CY36</f>
        <v>0</v>
      </c>
      <c r="CZ35" s="3308">
        <f>CZ36</f>
        <v>0</v>
      </c>
      <c r="DA35" s="3309">
        <f>DA36</f>
        <v>0</v>
      </c>
      <c r="DB35" s="3309">
        <f>DA35/$AI$89</f>
        <v>0</v>
      </c>
      <c r="DC35" s="3308"/>
      <c r="DD35" s="3308">
        <f>DD36</f>
        <v>0</v>
      </c>
      <c r="DE35" s="3308">
        <f>DE36</f>
        <v>0</v>
      </c>
      <c r="DF35" s="3309">
        <f>DF36</f>
        <v>0</v>
      </c>
      <c r="DG35" s="3309">
        <f>DF35/$AI$89</f>
        <v>0</v>
      </c>
      <c r="DH35" s="3308"/>
      <c r="DI35" s="3308">
        <f>DI36</f>
        <v>0</v>
      </c>
      <c r="DJ35" s="3308">
        <f>DJ36</f>
        <v>0</v>
      </c>
      <c r="DK35" s="3309">
        <f>DK36</f>
        <v>0</v>
      </c>
      <c r="DL35" s="3309">
        <f>DK35/$AI$89</f>
        <v>0</v>
      </c>
      <c r="DM35" s="3308"/>
      <c r="DN35" s="3308">
        <f>DN36</f>
        <v>22524.58</v>
      </c>
      <c r="DO35" s="3308">
        <f>DO36</f>
        <v>0</v>
      </c>
      <c r="DP35" s="3309">
        <f>DP36</f>
        <v>22524.58</v>
      </c>
      <c r="DQ35" s="3309"/>
      <c r="DR35" s="3309"/>
    </row>
    <row r="36" spans="1:122" s="1411" customFormat="1" ht="24" x14ac:dyDescent="0.25">
      <c r="A36" s="1586"/>
      <c r="B36" s="3310" t="s">
        <v>81</v>
      </c>
      <c r="C36" s="3288">
        <v>0</v>
      </c>
      <c r="D36" s="3274">
        <v>0</v>
      </c>
      <c r="E36" s="2028">
        <v>0</v>
      </c>
      <c r="F36" s="3284">
        <v>0</v>
      </c>
      <c r="G36" s="3143"/>
      <c r="H36" s="3274"/>
      <c r="I36" s="3274"/>
      <c r="J36" s="2028">
        <f>H36+I36*1</f>
        <v>0</v>
      </c>
      <c r="K36" s="3284">
        <f>J36/$J$89</f>
        <v>0</v>
      </c>
      <c r="L36" s="3311"/>
      <c r="M36" s="3274"/>
      <c r="N36" s="3274"/>
      <c r="O36" s="2028">
        <f>M36+N36*1</f>
        <v>0</v>
      </c>
      <c r="P36" s="3284">
        <f>O36/$O$89</f>
        <v>0</v>
      </c>
      <c r="Q36" s="3311"/>
      <c r="R36" s="3274"/>
      <c r="S36" s="3274"/>
      <c r="T36" s="2028">
        <f>R36+S36*1</f>
        <v>0</v>
      </c>
      <c r="U36" s="3284">
        <f t="shared" si="2"/>
        <v>0</v>
      </c>
      <c r="V36" s="3311"/>
      <c r="W36" s="3274"/>
      <c r="X36" s="3274"/>
      <c r="Y36" s="2028">
        <f>W36+X36*1</f>
        <v>0</v>
      </c>
      <c r="Z36" s="3284">
        <f>Y36/$T$89</f>
        <v>0</v>
      </c>
      <c r="AA36" s="3311"/>
      <c r="AB36" s="3274">
        <v>22524.58</v>
      </c>
      <c r="AC36" s="3274"/>
      <c r="AD36" s="2028">
        <f>AB36+AC36*1</f>
        <v>22524.58</v>
      </c>
      <c r="AE36" s="3284">
        <f>AD36/$Y$89</f>
        <v>0.14123974200319533</v>
      </c>
      <c r="AF36" s="3311" t="s">
        <v>1272</v>
      </c>
      <c r="AG36" s="3274"/>
      <c r="AH36" s="3274"/>
      <c r="AI36" s="2028">
        <f>AG36+AH36*1</f>
        <v>0</v>
      </c>
      <c r="AJ36" s="3284">
        <f t="shared" si="3"/>
        <v>0</v>
      </c>
      <c r="AK36" s="3311"/>
      <c r="AL36" s="3274">
        <f>394662.16*0</f>
        <v>0</v>
      </c>
      <c r="AM36" s="3274">
        <f>639485*0</f>
        <v>0</v>
      </c>
      <c r="AN36" s="2028">
        <f>AL36+AM36*1</f>
        <v>0</v>
      </c>
      <c r="AO36" s="3284">
        <f>AN36/$AI$89</f>
        <v>0</v>
      </c>
      <c r="AP36" s="3386" t="s">
        <v>1412</v>
      </c>
      <c r="AQ36" s="3274"/>
      <c r="AR36" s="3274"/>
      <c r="AS36" s="2028">
        <f>AQ36+AR36*1</f>
        <v>0</v>
      </c>
      <c r="AT36" s="3284">
        <f t="shared" si="5"/>
        <v>0</v>
      </c>
      <c r="AU36" s="3311"/>
      <c r="AV36" s="3274">
        <v>0</v>
      </c>
      <c r="AW36" s="3274">
        <v>0</v>
      </c>
      <c r="AX36" s="2028">
        <v>0</v>
      </c>
      <c r="AY36" s="3284">
        <v>0</v>
      </c>
      <c r="AZ36" s="3311"/>
      <c r="BA36" s="3274">
        <f t="shared" ref="BA36:BB36" si="61">BF36+BK36+BP36+BU36+BZ36+CE36+CJ36+CO36+CT36+CY36+DD36+DI36</f>
        <v>0</v>
      </c>
      <c r="BB36" s="3274">
        <f t="shared" si="61"/>
        <v>0</v>
      </c>
      <c r="BC36" s="2028">
        <f>BA36+BB36*1</f>
        <v>0</v>
      </c>
      <c r="BD36" s="3284">
        <f t="shared" si="60"/>
        <v>0</v>
      </c>
      <c r="BE36" s="3311"/>
      <c r="BF36" s="3274"/>
      <c r="BG36" s="3274"/>
      <c r="BH36" s="2028">
        <f>BF36+BG36*1</f>
        <v>0</v>
      </c>
      <c r="BI36" s="3284">
        <f>BH36/$AS$89</f>
        <v>0</v>
      </c>
      <c r="BJ36" s="3311"/>
      <c r="BK36" s="3274"/>
      <c r="BL36" s="3274"/>
      <c r="BM36" s="2028">
        <f>BK36+BL36*1</f>
        <v>0</v>
      </c>
      <c r="BN36" s="3284">
        <f>BM36/$E$89</f>
        <v>0</v>
      </c>
      <c r="BO36" s="3276"/>
      <c r="BP36" s="3274"/>
      <c r="BQ36" s="3274"/>
      <c r="BR36" s="2028">
        <f>BP36+BQ36*1</f>
        <v>0</v>
      </c>
      <c r="BS36" s="3284">
        <f>BR36/$AD$89</f>
        <v>0</v>
      </c>
      <c r="BT36" s="3276"/>
      <c r="BU36" s="3274"/>
      <c r="BV36" s="3274"/>
      <c r="BW36" s="2028">
        <f>BU36+BV36*1</f>
        <v>0</v>
      </c>
      <c r="BX36" s="3284">
        <f>BW36/$AD$89</f>
        <v>0</v>
      </c>
      <c r="BY36" s="3276"/>
      <c r="BZ36" s="3274"/>
      <c r="CA36" s="3274"/>
      <c r="CB36" s="2028">
        <f>BZ36+CA36*1</f>
        <v>0</v>
      </c>
      <c r="CC36" s="3284">
        <f>CB36/$AD$89</f>
        <v>0</v>
      </c>
      <c r="CD36" s="3276"/>
      <c r="CE36" s="3274"/>
      <c r="CF36" s="3274"/>
      <c r="CG36" s="2028">
        <f>CE36+CF36*1</f>
        <v>0</v>
      </c>
      <c r="CH36" s="3284">
        <f>CG36/$AD$89</f>
        <v>0</v>
      </c>
      <c r="CI36" s="3276"/>
      <c r="CJ36" s="3274"/>
      <c r="CK36" s="3274"/>
      <c r="CL36" s="2028">
        <f>CJ36+CK36*1</f>
        <v>0</v>
      </c>
      <c r="CM36" s="3284">
        <f>CL36/$AI$89</f>
        <v>0</v>
      </c>
      <c r="CN36" s="3276"/>
      <c r="CO36" s="3274"/>
      <c r="CP36" s="3274"/>
      <c r="CQ36" s="2028">
        <f>CO36+CP36*1</f>
        <v>0</v>
      </c>
      <c r="CR36" s="3284">
        <f>CQ36/$AI$89</f>
        <v>0</v>
      </c>
      <c r="CS36" s="3276"/>
      <c r="CT36" s="3274"/>
      <c r="CU36" s="3274"/>
      <c r="CV36" s="2028">
        <f>CT36+CU36*1</f>
        <v>0</v>
      </c>
      <c r="CW36" s="3284">
        <f>CV36/$AI$89</f>
        <v>0</v>
      </c>
      <c r="CX36" s="3276"/>
      <c r="CY36" s="3274"/>
      <c r="CZ36" s="3274"/>
      <c r="DA36" s="2028">
        <f>CY36+CZ36*1</f>
        <v>0</v>
      </c>
      <c r="DB36" s="3284">
        <f>DA36/$AI$89</f>
        <v>0</v>
      </c>
      <c r="DC36" s="3276"/>
      <c r="DD36" s="3274"/>
      <c r="DE36" s="3274"/>
      <c r="DF36" s="2028">
        <f>DD36+DE36*1</f>
        <v>0</v>
      </c>
      <c r="DG36" s="3284">
        <f>DF36/$AI$89</f>
        <v>0</v>
      </c>
      <c r="DH36" s="3276"/>
      <c r="DI36" s="3274"/>
      <c r="DJ36" s="3274"/>
      <c r="DK36" s="2028">
        <f>DI36+DJ36*1</f>
        <v>0</v>
      </c>
      <c r="DL36" s="3284">
        <f>DK36/$AI$89</f>
        <v>0</v>
      </c>
      <c r="DM36" s="3276"/>
      <c r="DN36" s="3274">
        <f>R36+W36+AB36+AG36+AL36+AQ36+BF36+BK36+BP36+BU36+BZ36+CE36+CJ36+CO36+CT36+CY36+DD36+DI36+AV36</f>
        <v>22524.58</v>
      </c>
      <c r="DO36" s="3274">
        <f>S36+X36+AC36+AH36+AM36+AR36+BG36+BL36+BQ36+BV36+CA36+CF36+CK36+CP36+CU36+CZ36+DE36+DJ36+AW36</f>
        <v>0</v>
      </c>
      <c r="DP36" s="2028">
        <f>DN36+DO36*1</f>
        <v>22524.58</v>
      </c>
      <c r="DQ36" s="3284">
        <f>DP36/$DP$89</f>
        <v>8.8512840303280622E-3</v>
      </c>
      <c r="DR36" s="3311"/>
    </row>
    <row r="37" spans="1:122" s="1411" customFormat="1" ht="14.4" thickBot="1" x14ac:dyDescent="0.3">
      <c r="A37" s="1413"/>
      <c r="B37" s="3312"/>
      <c r="C37" s="3288"/>
      <c r="D37" s="3274"/>
      <c r="E37" s="3313"/>
      <c r="F37" s="3313"/>
      <c r="G37" s="976"/>
      <c r="H37" s="3274"/>
      <c r="I37" s="3274"/>
      <c r="J37" s="3313"/>
      <c r="K37" s="3313"/>
      <c r="L37" s="3313"/>
      <c r="M37" s="3274"/>
      <c r="N37" s="3274"/>
      <c r="O37" s="3313"/>
      <c r="P37" s="3313"/>
      <c r="Q37" s="3313"/>
      <c r="R37" s="3274"/>
      <c r="S37" s="3274"/>
      <c r="T37" s="3313"/>
      <c r="U37" s="3313"/>
      <c r="V37" s="3313"/>
      <c r="W37" s="3274"/>
      <c r="X37" s="3274"/>
      <c r="Y37" s="3313"/>
      <c r="Z37" s="3313"/>
      <c r="AA37" s="3313"/>
      <c r="AB37" s="3274"/>
      <c r="AC37" s="3274"/>
      <c r="AD37" s="3313"/>
      <c r="AE37" s="3313"/>
      <c r="AF37" s="3313"/>
      <c r="AG37" s="3274"/>
      <c r="AH37" s="3274"/>
      <c r="AI37" s="3313"/>
      <c r="AJ37" s="3313"/>
      <c r="AK37" s="3313"/>
      <c r="AL37" s="3274"/>
      <c r="AM37" s="3274"/>
      <c r="AN37" s="3313"/>
      <c r="AO37" s="3313"/>
      <c r="AP37" s="3313"/>
      <c r="AQ37" s="3274"/>
      <c r="AR37" s="3274"/>
      <c r="AS37" s="3313"/>
      <c r="AT37" s="3313"/>
      <c r="AU37" s="3313"/>
      <c r="AV37" s="3314"/>
      <c r="AW37" s="3314"/>
      <c r="AX37" s="3313"/>
      <c r="AY37" s="3313"/>
      <c r="AZ37" s="3313"/>
      <c r="BA37" s="3314"/>
      <c r="BB37" s="3314"/>
      <c r="BC37" s="3313"/>
      <c r="BD37" s="3313"/>
      <c r="BE37" s="3313"/>
      <c r="BF37" s="3274"/>
      <c r="BG37" s="3274"/>
      <c r="BH37" s="3313"/>
      <c r="BI37" s="3313"/>
      <c r="BJ37" s="3313"/>
      <c r="BK37" s="3274"/>
      <c r="BL37" s="3274"/>
      <c r="BM37" s="3313"/>
      <c r="BN37" s="3313"/>
      <c r="BO37" s="3313"/>
      <c r="BP37" s="3274"/>
      <c r="BQ37" s="3274"/>
      <c r="BR37" s="3313"/>
      <c r="BS37" s="3313"/>
      <c r="BT37" s="3313"/>
      <c r="BU37" s="3274"/>
      <c r="BV37" s="3274"/>
      <c r="BW37" s="3313"/>
      <c r="BX37" s="3313"/>
      <c r="BY37" s="3313"/>
      <c r="BZ37" s="3274"/>
      <c r="CA37" s="3274"/>
      <c r="CB37" s="3313"/>
      <c r="CC37" s="3313"/>
      <c r="CD37" s="3313"/>
      <c r="CE37" s="3274"/>
      <c r="CF37" s="3274"/>
      <c r="CG37" s="3313"/>
      <c r="CH37" s="3313"/>
      <c r="CI37" s="3313"/>
      <c r="CJ37" s="3274"/>
      <c r="CK37" s="3274"/>
      <c r="CL37" s="3313"/>
      <c r="CM37" s="3313"/>
      <c r="CN37" s="3313"/>
      <c r="CO37" s="3274"/>
      <c r="CP37" s="3274"/>
      <c r="CQ37" s="3313"/>
      <c r="CR37" s="3313"/>
      <c r="CS37" s="3393"/>
      <c r="CT37" s="3274"/>
      <c r="CU37" s="3274"/>
      <c r="CV37" s="3313"/>
      <c r="CW37" s="3313"/>
      <c r="CX37" s="3393"/>
      <c r="CY37" s="3274"/>
      <c r="CZ37" s="3274"/>
      <c r="DA37" s="3313"/>
      <c r="DB37" s="3313"/>
      <c r="DC37" s="3393"/>
      <c r="DD37" s="3274"/>
      <c r="DE37" s="3274"/>
      <c r="DF37" s="3313"/>
      <c r="DG37" s="3313"/>
      <c r="DH37" s="3393"/>
      <c r="DI37" s="3274"/>
      <c r="DJ37" s="3274"/>
      <c r="DK37" s="3313"/>
      <c r="DL37" s="3313"/>
      <c r="DM37" s="3393"/>
      <c r="DN37" s="3323"/>
      <c r="DO37" s="3314"/>
      <c r="DP37" s="3313"/>
      <c r="DQ37" s="3313"/>
      <c r="DR37" s="3313"/>
    </row>
    <row r="38" spans="1:122" ht="14.4" thickBot="1" x14ac:dyDescent="0.3">
      <c r="A38" s="1441"/>
      <c r="B38" s="1442" t="s">
        <v>46</v>
      </c>
      <c r="C38" s="2018">
        <v>397412.70278695651</v>
      </c>
      <c r="D38" s="2018">
        <v>-100158.78999999998</v>
      </c>
      <c r="E38" s="2018">
        <v>297253.91278695653</v>
      </c>
      <c r="F38" s="2018"/>
      <c r="G38" s="978"/>
      <c r="H38" s="1327">
        <f>(H5)-(H8)</f>
        <v>16708.380000000005</v>
      </c>
      <c r="I38" s="2018">
        <f>(I5)-(I8)</f>
        <v>-15873.25</v>
      </c>
      <c r="J38" s="2018">
        <f>(J5)-(J8)</f>
        <v>835.13000000000466</v>
      </c>
      <c r="K38" s="2018"/>
      <c r="L38" s="2018"/>
      <c r="M38" s="2018">
        <f>(M5)-(M8)</f>
        <v>-116322.41215970868</v>
      </c>
      <c r="N38" s="2018">
        <f>(N5)-(N8)</f>
        <v>-72808.75</v>
      </c>
      <c r="O38" s="2018">
        <f>(O5)-(O8)</f>
        <v>-189131.16215970868</v>
      </c>
      <c r="P38" s="2018"/>
      <c r="Q38" s="2018"/>
      <c r="R38" s="2018">
        <f>(R5)-(R8)</f>
        <v>-95620.539999999979</v>
      </c>
      <c r="S38" s="2018">
        <f>(S5)-(S8)</f>
        <v>43923.5</v>
      </c>
      <c r="T38" s="2018">
        <f>(T5)-(T8)</f>
        <v>-51697.040000000037</v>
      </c>
      <c r="U38" s="2018"/>
      <c r="V38" s="2018"/>
      <c r="W38" s="2018">
        <f>(W5)-(W8)</f>
        <v>101117.69</v>
      </c>
      <c r="X38" s="2018">
        <f>(X5)-(X8)</f>
        <v>-9151.8100000000013</v>
      </c>
      <c r="Y38" s="2018">
        <f>(Y5)-(Y8)</f>
        <v>91965.88</v>
      </c>
      <c r="Z38" s="2018"/>
      <c r="AA38" s="2018"/>
      <c r="AB38" s="2018">
        <f>(AB5)-(AB8)</f>
        <v>83869.8</v>
      </c>
      <c r="AC38" s="2018">
        <f>(AC5)-(AC8)</f>
        <v>17671.5</v>
      </c>
      <c r="AD38" s="2018">
        <f>(AD5)-(AD8)</f>
        <v>101541.3</v>
      </c>
      <c r="AE38" s="2018"/>
      <c r="AF38" s="2018"/>
      <c r="AG38" s="2018">
        <f>(AG5)-(AG8)</f>
        <v>-6449.239999999998</v>
      </c>
      <c r="AH38" s="2018">
        <f>(AH5)-(AH8)</f>
        <v>0</v>
      </c>
      <c r="AI38" s="2018">
        <f>(AI5)-(AI8)</f>
        <v>-6449.239999999998</v>
      </c>
      <c r="AJ38" s="2018"/>
      <c r="AK38" s="2018"/>
      <c r="AL38" s="2018">
        <f>(AL5)-(AL8)</f>
        <v>339773.97000000003</v>
      </c>
      <c r="AM38" s="2018">
        <f>(AM5)-(AM8)</f>
        <v>45620</v>
      </c>
      <c r="AN38" s="2018">
        <f>(AN5)-(AN8)</f>
        <v>385393.97000000003</v>
      </c>
      <c r="AO38" s="2018"/>
      <c r="AP38" s="2018"/>
      <c r="AQ38" s="2018">
        <f>(AQ5)-(AQ8)</f>
        <v>2176.5079999999871</v>
      </c>
      <c r="AR38" s="2018">
        <f>(AR5)-(AR8)</f>
        <v>-22246.65</v>
      </c>
      <c r="AS38" s="2018">
        <f>(AS5)-(AS8)</f>
        <v>-20070.142000000007</v>
      </c>
      <c r="AT38" s="2018">
        <f t="shared" si="5"/>
        <v>-0.13246071756708816</v>
      </c>
      <c r="AU38" s="2018"/>
      <c r="AV38" s="2018">
        <v>459320.23199999984</v>
      </c>
      <c r="AW38" s="2018">
        <v>-280177.34999999998</v>
      </c>
      <c r="AX38" s="2018">
        <v>179142.88199999998</v>
      </c>
      <c r="AY38" s="2018">
        <v>0.54886846750564955</v>
      </c>
      <c r="AZ38" s="2018"/>
      <c r="BA38" s="2018">
        <f>(BA5)-(BA8)</f>
        <v>90025.133999999991</v>
      </c>
      <c r="BB38" s="2018">
        <f>(BB5)-(BB8)</f>
        <v>-47793</v>
      </c>
      <c r="BC38" s="2018">
        <f>(BC5)-(BC8)</f>
        <v>42232.133999999962</v>
      </c>
      <c r="BD38" s="2018">
        <f t="shared" ref="BD38:BD48" si="62">BC38/$T$89</f>
        <v>0.12939328880548664</v>
      </c>
      <c r="BE38" s="2018"/>
      <c r="BF38" s="2018">
        <f>(BF5)-(BF8)</f>
        <v>35128.239999999998</v>
      </c>
      <c r="BG38" s="2018">
        <f>(BG5)-(BG8)</f>
        <v>-3900</v>
      </c>
      <c r="BH38" s="2018">
        <f>(BH5)-(BH8)</f>
        <v>31228.239999999998</v>
      </c>
      <c r="BI38" s="2018">
        <f t="shared" ref="BI38:BI48" si="63">BH38/$AS$89</f>
        <v>0.20610293035082877</v>
      </c>
      <c r="BJ38" s="2018"/>
      <c r="BK38" s="2018">
        <f>(BK5)-(BK8)</f>
        <v>74155.72</v>
      </c>
      <c r="BL38" s="2018">
        <f>(BL5)-(BL8)</f>
        <v>-36193</v>
      </c>
      <c r="BM38" s="2018">
        <f>(BM5)-(BM8)</f>
        <v>37962.720000000001</v>
      </c>
      <c r="BN38" s="2018">
        <f t="shared" ref="BN38:BN48" si="64">BM38/$E$89</f>
        <v>6.0715267348261076E-2</v>
      </c>
      <c r="BO38" s="2018"/>
      <c r="BP38" s="2018">
        <f>(BP5)-(BP8)</f>
        <v>-19258.826000000001</v>
      </c>
      <c r="BQ38" s="2018">
        <f>(BQ5)-(BQ8)</f>
        <v>-7700</v>
      </c>
      <c r="BR38" s="2018">
        <f>(BR5)-(BR8)</f>
        <v>-26958.826000000001</v>
      </c>
      <c r="BS38" s="2018">
        <f>BR38/$AD$89</f>
        <v>-0.20609724478959049</v>
      </c>
      <c r="BT38" s="2018"/>
      <c r="BU38" s="2018">
        <f>(BU5)-(BU8)</f>
        <v>0</v>
      </c>
      <c r="BV38" s="2018">
        <f>(BV5)-(BV8)</f>
        <v>0</v>
      </c>
      <c r="BW38" s="2018">
        <f>(BW5)-(BW8)</f>
        <v>0</v>
      </c>
      <c r="BX38" s="2018">
        <f>BW38/$AD$89</f>
        <v>0</v>
      </c>
      <c r="BY38" s="2018"/>
      <c r="BZ38" s="2018">
        <f>(BZ5)-(BZ8)</f>
        <v>0</v>
      </c>
      <c r="CA38" s="2018">
        <f>(CA5)-(CA8)</f>
        <v>0</v>
      </c>
      <c r="CB38" s="2018">
        <f>(CB5)-(CB8)</f>
        <v>0</v>
      </c>
      <c r="CC38" s="2018">
        <f>CB38/$AD$89</f>
        <v>0</v>
      </c>
      <c r="CD38" s="2018"/>
      <c r="CE38" s="2018">
        <f>(CE5)-(CE8)</f>
        <v>0</v>
      </c>
      <c r="CF38" s="2018">
        <f>(CF5)-(CF8)</f>
        <v>0</v>
      </c>
      <c r="CG38" s="2018">
        <f>(CG5)-(CG8)</f>
        <v>0</v>
      </c>
      <c r="CH38" s="2018">
        <f>CG38/$AD$89</f>
        <v>0</v>
      </c>
      <c r="CI38" s="2018"/>
      <c r="CJ38" s="2018">
        <f>(CJ5)-(CJ8)</f>
        <v>0</v>
      </c>
      <c r="CK38" s="2018">
        <f>(CK5)-(CK8)</f>
        <v>0</v>
      </c>
      <c r="CL38" s="2018">
        <f>(CL5)-(CL8)</f>
        <v>0</v>
      </c>
      <c r="CM38" s="2018">
        <f>CL38/$AI$89</f>
        <v>0</v>
      </c>
      <c r="CN38" s="2018"/>
      <c r="CO38" s="2018">
        <f>(CO5)-(CO8)</f>
        <v>0</v>
      </c>
      <c r="CP38" s="2018">
        <f>(CP5)-(CP8)</f>
        <v>0</v>
      </c>
      <c r="CQ38" s="2018">
        <f>(CQ5)-(CQ8)</f>
        <v>0</v>
      </c>
      <c r="CR38" s="2018">
        <f>CQ38/$AI$89</f>
        <v>0</v>
      </c>
      <c r="CS38" s="2018"/>
      <c r="CT38" s="2018">
        <f>(CT5)-(CT8)</f>
        <v>0</v>
      </c>
      <c r="CU38" s="2018">
        <f>(CU5)-(CU8)</f>
        <v>0</v>
      </c>
      <c r="CV38" s="2018">
        <f>(CV5)-(CV8)</f>
        <v>0</v>
      </c>
      <c r="CW38" s="2018">
        <f>CV38/$AI$89</f>
        <v>0</v>
      </c>
      <c r="CX38" s="2018"/>
      <c r="CY38" s="2018">
        <f>(CY5)-(CY8)</f>
        <v>0</v>
      </c>
      <c r="CZ38" s="2018">
        <f>(CZ5)-(CZ8)</f>
        <v>0</v>
      </c>
      <c r="DA38" s="2018">
        <f>(DA5)-(DA8)</f>
        <v>0</v>
      </c>
      <c r="DB38" s="2018">
        <f>DA38/$AI$89</f>
        <v>0</v>
      </c>
      <c r="DC38" s="2018"/>
      <c r="DD38" s="2018">
        <f>(DD5)-(DD8)</f>
        <v>0</v>
      </c>
      <c r="DE38" s="2018">
        <f>(DE5)-(DE8)</f>
        <v>0</v>
      </c>
      <c r="DF38" s="2018">
        <f>(DF5)-(DF8)</f>
        <v>0</v>
      </c>
      <c r="DG38" s="2018">
        <f>DF38/$AI$89</f>
        <v>0</v>
      </c>
      <c r="DH38" s="2018"/>
      <c r="DI38" s="2018">
        <f>(DI5)-(DI8)</f>
        <v>0</v>
      </c>
      <c r="DJ38" s="2018">
        <f>(DJ5)-(DJ8)</f>
        <v>0</v>
      </c>
      <c r="DK38" s="2018">
        <f>(DK5)-(DK8)</f>
        <v>0</v>
      </c>
      <c r="DL38" s="2018">
        <f>DK38/$AI$89</f>
        <v>0</v>
      </c>
      <c r="DM38" s="2018"/>
      <c r="DN38" s="2018">
        <f>(DN5)-(DN8)</f>
        <v>974213.55399999977</v>
      </c>
      <c r="DO38" s="2018">
        <f>(DO5)-(DO8)</f>
        <v>-252153.81</v>
      </c>
      <c r="DP38" s="2018">
        <f>(DP5)-(DP8)</f>
        <v>722059.74399999995</v>
      </c>
      <c r="DQ38" s="2018"/>
      <c r="DR38" s="2018"/>
    </row>
    <row r="39" spans="1:122" ht="13.8" x14ac:dyDescent="0.25">
      <c r="A39" s="1580"/>
      <c r="B39" s="1423" t="s">
        <v>47</v>
      </c>
      <c r="C39" s="2019">
        <v>0.58079983985249573</v>
      </c>
      <c r="D39" s="2019">
        <v>-2.2149223794781068</v>
      </c>
      <c r="E39" s="2020">
        <v>0.40749259526397785</v>
      </c>
      <c r="F39" s="2020"/>
      <c r="G39" s="979"/>
      <c r="H39" s="1331">
        <f>H38/(H5)</f>
        <v>0.15706021695399602</v>
      </c>
      <c r="I39" s="2019" t="e">
        <f>I38/(I5)</f>
        <v>#DIV/0!</v>
      </c>
      <c r="J39" s="2020">
        <f>J38/(J5)</f>
        <v>7.8502942227068918E-3</v>
      </c>
      <c r="K39" s="2020"/>
      <c r="L39" s="2020"/>
      <c r="M39" s="2019">
        <f>M38/(M5)</f>
        <v>-0.26817723528585152</v>
      </c>
      <c r="N39" s="2019" t="e">
        <f>N38/(N5)</f>
        <v>#DIV/0!</v>
      </c>
      <c r="O39" s="2020">
        <f>O38/(O5)</f>
        <v>-0.43603525092612527</v>
      </c>
      <c r="P39" s="2020"/>
      <c r="Q39" s="2020"/>
      <c r="R39" s="2019">
        <f>R38/(R5)</f>
        <v>-0.5086198936170212</v>
      </c>
      <c r="S39" s="2019">
        <f>S38/(S5)</f>
        <v>0.60246756096891885</v>
      </c>
      <c r="T39" s="2020">
        <f>T38/(T5)</f>
        <v>-0.19814431251101944</v>
      </c>
      <c r="U39" s="2020"/>
      <c r="V39" s="2020"/>
      <c r="W39" s="2019">
        <f>W38/(W5)</f>
        <v>0.44388801580333626</v>
      </c>
      <c r="X39" s="2019">
        <f>X38/(X5)</f>
        <v>-0.79580956521739143</v>
      </c>
      <c r="Y39" s="2020">
        <f>Y38/(Y5)</f>
        <v>0.38431207689093189</v>
      </c>
      <c r="Z39" s="2020"/>
      <c r="AA39" s="2020"/>
      <c r="AB39" s="2019">
        <f>AB38/(AB5)</f>
        <v>0.49497060975897644</v>
      </c>
      <c r="AC39" s="2019">
        <f>AC38/(AC5)</f>
        <v>0.47504032258064516</v>
      </c>
      <c r="AD39" s="2020">
        <f>AD38/(AD5)</f>
        <v>0.4913827645612745</v>
      </c>
      <c r="AE39" s="2020"/>
      <c r="AF39" s="2020"/>
      <c r="AG39" s="2019">
        <f>AG38/(AG5)</f>
        <v>-0.22238758620689647</v>
      </c>
      <c r="AH39" s="2019" t="e">
        <f>AH38/(AH5)</f>
        <v>#DIV/0!</v>
      </c>
      <c r="AI39" s="2020">
        <f>AI38/(AI5)</f>
        <v>-0.22238758620689647</v>
      </c>
      <c r="AJ39" s="2020"/>
      <c r="AK39" s="2020"/>
      <c r="AL39" s="2019">
        <f>AL38/(AL5)</f>
        <v>0.9481033800940184</v>
      </c>
      <c r="AM39" s="2019">
        <f>AM38/(AM5)</f>
        <v>0.51518915866741954</v>
      </c>
      <c r="AN39" s="2020">
        <f>AN38/(AN5)</f>
        <v>0.86232883713024999</v>
      </c>
      <c r="AO39" s="2020"/>
      <c r="AP39" s="2020"/>
      <c r="AQ39" s="2019">
        <f>AQ38/(AQ5)</f>
        <v>1.6935932610098035E-2</v>
      </c>
      <c r="AR39" s="2019" t="e">
        <f>AR38/(AR5)</f>
        <v>#DIV/0!</v>
      </c>
      <c r="AS39" s="2020">
        <f>AS38/(AS5)</f>
        <v>-0.15617060556960982</v>
      </c>
      <c r="AT39" s="2020">
        <f t="shared" si="5"/>
        <v>-1.0307087252614957E-6</v>
      </c>
      <c r="AU39" s="2020"/>
      <c r="AV39" s="2019">
        <v>0.30398190213965037</v>
      </c>
      <c r="AW39" s="2019">
        <v>-21.552103846153845</v>
      </c>
      <c r="AX39" s="2020">
        <v>0.11754691500840575</v>
      </c>
      <c r="AY39" s="2020">
        <v>3.6014713161017752E-7</v>
      </c>
      <c r="AZ39" s="2020"/>
      <c r="BA39" s="2019">
        <f>BA38/(BA5)</f>
        <v>0.29261240980302927</v>
      </c>
      <c r="BB39" s="2019">
        <f>BB38/(BB5)</f>
        <v>-7.3527692307692307</v>
      </c>
      <c r="BC39" s="2020">
        <f>BC38/(BC5)</f>
        <v>0.13442874331550789</v>
      </c>
      <c r="BD39" s="2020">
        <f t="shared" si="62"/>
        <v>4.1187066719342578E-7</v>
      </c>
      <c r="BE39" s="2020"/>
      <c r="BF39" s="2019">
        <f>BF38/(BF5)</f>
        <v>0.54176804441702653</v>
      </c>
      <c r="BG39" s="2019" t="e">
        <f>BG38/(BG5)</f>
        <v>#DIV/0!</v>
      </c>
      <c r="BH39" s="2020">
        <f>BH38/(BH5)</f>
        <v>0.48161998766193703</v>
      </c>
      <c r="BI39" s="2020">
        <f t="shared" si="63"/>
        <v>3.1786386543927944E-6</v>
      </c>
      <c r="BJ39" s="2020"/>
      <c r="BK39" s="2019">
        <f>BK38/(BK5)</f>
        <v>0.4311379069767442</v>
      </c>
      <c r="BL39" s="2019">
        <f>BL38/(BL5)</f>
        <v>-5.5681538461538462</v>
      </c>
      <c r="BM39" s="2020">
        <f>BM38/(BM5)</f>
        <v>0.21267630252100841</v>
      </c>
      <c r="BN39" s="2020">
        <f t="shared" si="64"/>
        <v>3.4014155377177073E-7</v>
      </c>
      <c r="BO39" s="2020"/>
      <c r="BP39" s="2019">
        <f>BP38/(BP5)</f>
        <v>-0.27194049703473594</v>
      </c>
      <c r="BQ39" s="2019" t="e">
        <f>BQ38/(BQ5)</f>
        <v>#DIV/0!</v>
      </c>
      <c r="BR39" s="2020">
        <f>BR38/(BR5)</f>
        <v>-0.38066684552386332</v>
      </c>
      <c r="BS39" s="2020">
        <f>BR39/$AD$89</f>
        <v>-2.9101559557976629E-6</v>
      </c>
      <c r="BT39" s="2020"/>
      <c r="BU39" s="2019" t="e">
        <f>BU38/(BU5)</f>
        <v>#DIV/0!</v>
      </c>
      <c r="BV39" s="2019" t="e">
        <f>BV38/(BV5)</f>
        <v>#DIV/0!</v>
      </c>
      <c r="BW39" s="2020" t="e">
        <f>BW38/(BW5)</f>
        <v>#DIV/0!</v>
      </c>
      <c r="BX39" s="2020" t="e">
        <f>BW39/$AD$89</f>
        <v>#DIV/0!</v>
      </c>
      <c r="BY39" s="2020"/>
      <c r="BZ39" s="2019" t="e">
        <f>BZ38/(BZ5)</f>
        <v>#DIV/0!</v>
      </c>
      <c r="CA39" s="2019" t="e">
        <f>CA38/(CA5)</f>
        <v>#DIV/0!</v>
      </c>
      <c r="CB39" s="2020" t="e">
        <f>CB38/(CB5)</f>
        <v>#DIV/0!</v>
      </c>
      <c r="CC39" s="2020" t="e">
        <f>CB39/$AD$89</f>
        <v>#DIV/0!</v>
      </c>
      <c r="CD39" s="2020"/>
      <c r="CE39" s="2019" t="e">
        <f>CE38/(CE5)</f>
        <v>#DIV/0!</v>
      </c>
      <c r="CF39" s="2019" t="e">
        <f>CF38/(CF5)</f>
        <v>#DIV/0!</v>
      </c>
      <c r="CG39" s="2020" t="e">
        <f>CG38/(CG5)</f>
        <v>#DIV/0!</v>
      </c>
      <c r="CH39" s="2020" t="e">
        <f>CG39/$AD$89</f>
        <v>#DIV/0!</v>
      </c>
      <c r="CI39" s="2020"/>
      <c r="CJ39" s="2019" t="e">
        <f>CJ38/(CJ5)</f>
        <v>#DIV/0!</v>
      </c>
      <c r="CK39" s="2019" t="e">
        <f>CK38/(CK5)</f>
        <v>#DIV/0!</v>
      </c>
      <c r="CL39" s="2020" t="e">
        <f>CL38/(CL5)</f>
        <v>#DIV/0!</v>
      </c>
      <c r="CM39" s="2020" t="e">
        <f>CL39/$AI$89</f>
        <v>#DIV/0!</v>
      </c>
      <c r="CN39" s="2020"/>
      <c r="CO39" s="2019" t="e">
        <f>CO38/(CO5)</f>
        <v>#DIV/0!</v>
      </c>
      <c r="CP39" s="2019" t="e">
        <f>CP38/(CP5)</f>
        <v>#DIV/0!</v>
      </c>
      <c r="CQ39" s="2020" t="e">
        <f>CQ38/(CQ5)</f>
        <v>#DIV/0!</v>
      </c>
      <c r="CR39" s="2020" t="e">
        <f>CQ39/$AI$89</f>
        <v>#DIV/0!</v>
      </c>
      <c r="CS39" s="2019"/>
      <c r="CT39" s="2019" t="e">
        <f>CT38/(CT5)</f>
        <v>#DIV/0!</v>
      </c>
      <c r="CU39" s="2019" t="e">
        <f>CU38/(CU5)</f>
        <v>#DIV/0!</v>
      </c>
      <c r="CV39" s="2020" t="e">
        <f>CV38/(CV5)</f>
        <v>#DIV/0!</v>
      </c>
      <c r="CW39" s="2020" t="e">
        <f>CV39/$AI$89</f>
        <v>#DIV/0!</v>
      </c>
      <c r="CX39" s="2019"/>
      <c r="CY39" s="2019" t="e">
        <f>CY38/(CY5)</f>
        <v>#DIV/0!</v>
      </c>
      <c r="CZ39" s="2019" t="e">
        <f>CZ38/(CZ5)</f>
        <v>#DIV/0!</v>
      </c>
      <c r="DA39" s="2020" t="e">
        <f>DA38/(DA5)</f>
        <v>#DIV/0!</v>
      </c>
      <c r="DB39" s="2020" t="e">
        <f>DA39/$AI$89</f>
        <v>#DIV/0!</v>
      </c>
      <c r="DC39" s="2019"/>
      <c r="DD39" s="2019" t="e">
        <f>DD38/(DD5)</f>
        <v>#DIV/0!</v>
      </c>
      <c r="DE39" s="2019" t="e">
        <f>DE38/(DE5)</f>
        <v>#DIV/0!</v>
      </c>
      <c r="DF39" s="2020" t="e">
        <f>DF38/(DF5)</f>
        <v>#DIV/0!</v>
      </c>
      <c r="DG39" s="2020" t="e">
        <f>DF39/$AI$89</f>
        <v>#DIV/0!</v>
      </c>
      <c r="DH39" s="2019"/>
      <c r="DI39" s="2019" t="e">
        <f>DI38/(DI5)</f>
        <v>#DIV/0!</v>
      </c>
      <c r="DJ39" s="2019" t="e">
        <f>DJ38/(DJ5)</f>
        <v>#DIV/0!</v>
      </c>
      <c r="DK39" s="2020" t="e">
        <f>DK38/(DK5)</f>
        <v>#DIV/0!</v>
      </c>
      <c r="DL39" s="2020" t="e">
        <f>DK39/$AI$89</f>
        <v>#DIV/0!</v>
      </c>
      <c r="DM39" s="2019"/>
      <c r="DN39" s="2019">
        <f>DN38/(DN5)</f>
        <v>0.33365737377023602</v>
      </c>
      <c r="DO39" s="2019">
        <f>DO38/(DO5)</f>
        <v>-1.0979630839168146</v>
      </c>
      <c r="DP39" s="2020">
        <f>DP38/(DP5)</f>
        <v>0.22926474472470068</v>
      </c>
      <c r="DQ39" s="2020"/>
      <c r="DR39" s="2020"/>
    </row>
    <row r="40" spans="1:122" ht="14.4" thickBot="1" x14ac:dyDescent="0.3">
      <c r="A40" s="1582"/>
      <c r="B40" s="3316"/>
      <c r="C40" s="3394"/>
      <c r="D40" s="3317"/>
      <c r="E40" s="3317"/>
      <c r="F40" s="3317"/>
      <c r="G40" s="3395"/>
      <c r="H40" s="3317"/>
      <c r="I40" s="3317"/>
      <c r="J40" s="3317"/>
      <c r="K40" s="3317"/>
      <c r="L40" s="3317"/>
      <c r="M40" s="3317"/>
      <c r="N40" s="3317"/>
      <c r="O40" s="3317"/>
      <c r="P40" s="3317"/>
      <c r="Q40" s="3317"/>
      <c r="R40" s="3317"/>
      <c r="S40" s="3317"/>
      <c r="T40" s="3317"/>
      <c r="U40" s="3317"/>
      <c r="V40" s="3317"/>
      <c r="W40" s="3317"/>
      <c r="X40" s="3317"/>
      <c r="Y40" s="3317"/>
      <c r="Z40" s="3317"/>
      <c r="AA40" s="3317"/>
      <c r="AB40" s="3317"/>
      <c r="AC40" s="3317"/>
      <c r="AD40" s="3317"/>
      <c r="AE40" s="3317"/>
      <c r="AF40" s="3317"/>
      <c r="AG40" s="3317"/>
      <c r="AH40" s="3317"/>
      <c r="AI40" s="3317"/>
      <c r="AJ40" s="3317"/>
      <c r="AK40" s="3317"/>
      <c r="AL40" s="3317"/>
      <c r="AM40" s="3317"/>
      <c r="AN40" s="3317"/>
      <c r="AO40" s="3317"/>
      <c r="AP40" s="3317"/>
      <c r="AQ40" s="3317"/>
      <c r="AR40" s="3317"/>
      <c r="AS40" s="3317"/>
      <c r="AT40" s="3317">
        <f t="shared" si="5"/>
        <v>0</v>
      </c>
      <c r="AU40" s="3317"/>
      <c r="AV40" s="3317"/>
      <c r="AW40" s="3317"/>
      <c r="AX40" s="3317"/>
      <c r="AY40" s="3317">
        <v>0</v>
      </c>
      <c r="AZ40" s="3317"/>
      <c r="BA40" s="3317"/>
      <c r="BB40" s="3317"/>
      <c r="BC40" s="3317"/>
      <c r="BD40" s="3317">
        <f t="shared" si="62"/>
        <v>0</v>
      </c>
      <c r="BE40" s="3317"/>
      <c r="BF40" s="3317"/>
      <c r="BG40" s="3317"/>
      <c r="BH40" s="3317"/>
      <c r="BI40" s="3317">
        <f t="shared" si="63"/>
        <v>0</v>
      </c>
      <c r="BJ40" s="3317"/>
      <c r="BK40" s="3317"/>
      <c r="BL40" s="3317"/>
      <c r="BM40" s="3317"/>
      <c r="BN40" s="3317">
        <f t="shared" si="64"/>
        <v>0</v>
      </c>
      <c r="BO40" s="3317"/>
      <c r="BP40" s="3317"/>
      <c r="BQ40" s="3317"/>
      <c r="BR40" s="3317"/>
      <c r="BS40" s="3317"/>
      <c r="BT40" s="3317"/>
      <c r="BU40" s="3317"/>
      <c r="BV40" s="3317"/>
      <c r="BW40" s="3317"/>
      <c r="BX40" s="3317"/>
      <c r="BY40" s="3317"/>
      <c r="BZ40" s="3317"/>
      <c r="CA40" s="3317"/>
      <c r="CB40" s="3317"/>
      <c r="CC40" s="3317"/>
      <c r="CD40" s="3317"/>
      <c r="CE40" s="3317"/>
      <c r="CF40" s="3317"/>
      <c r="CG40" s="3317"/>
      <c r="CH40" s="3317"/>
      <c r="CI40" s="3317"/>
      <c r="CJ40" s="3317"/>
      <c r="CK40" s="3317"/>
      <c r="CL40" s="3317"/>
      <c r="CM40" s="3317"/>
      <c r="CN40" s="3317"/>
      <c r="CO40" s="3317"/>
      <c r="CP40" s="3317"/>
      <c r="CQ40" s="3317"/>
      <c r="CR40" s="3317"/>
      <c r="CS40" s="3317"/>
      <c r="CT40" s="3317"/>
      <c r="CU40" s="3317"/>
      <c r="CV40" s="3317"/>
      <c r="CW40" s="3317"/>
      <c r="CX40" s="3317"/>
      <c r="CY40" s="3317"/>
      <c r="CZ40" s="3317"/>
      <c r="DA40" s="3317"/>
      <c r="DB40" s="3317"/>
      <c r="DC40" s="3317"/>
      <c r="DD40" s="3317"/>
      <c r="DE40" s="3317"/>
      <c r="DF40" s="3317"/>
      <c r="DG40" s="3317"/>
      <c r="DH40" s="3317"/>
      <c r="DI40" s="3317"/>
      <c r="DJ40" s="3317"/>
      <c r="DK40" s="3317"/>
      <c r="DL40" s="3317"/>
      <c r="DM40" s="3317"/>
      <c r="DN40" s="3317"/>
      <c r="DO40" s="3317"/>
      <c r="DP40" s="3317"/>
      <c r="DQ40" s="3317"/>
      <c r="DR40" s="3317"/>
    </row>
    <row r="41" spans="1:122" ht="13.8" x14ac:dyDescent="0.25">
      <c r="A41" s="1420"/>
      <c r="B41" s="1430" t="s">
        <v>26</v>
      </c>
      <c r="C41" s="2029">
        <v>0</v>
      </c>
      <c r="D41" s="2029">
        <v>47</v>
      </c>
      <c r="E41" s="2030">
        <v>47</v>
      </c>
      <c r="F41" s="3318">
        <v>7.5168943778745838E-5</v>
      </c>
      <c r="G41" s="3396"/>
      <c r="H41" s="3397">
        <f>SUM(H42:H48)</f>
        <v>0</v>
      </c>
      <c r="I41" s="2029">
        <f>SUM(I42:I48)</f>
        <v>0</v>
      </c>
      <c r="J41" s="2030">
        <f>SUM(J42:J48)</f>
        <v>0</v>
      </c>
      <c r="K41" s="3318">
        <f t="shared" ref="K41:K49" si="65">J41/$J$89</f>
        <v>0</v>
      </c>
      <c r="L41" s="2022"/>
      <c r="M41" s="2029">
        <f>SUM(M42:M48)</f>
        <v>0</v>
      </c>
      <c r="N41" s="2029">
        <f>SUM(N42:N48)</f>
        <v>0</v>
      </c>
      <c r="O41" s="2030">
        <f>SUM(O42:O48)</f>
        <v>0</v>
      </c>
      <c r="P41" s="3318">
        <f>O41/$O$89</f>
        <v>0</v>
      </c>
      <c r="Q41" s="2022"/>
      <c r="R41" s="2029">
        <f>SUM(R42:R48)</f>
        <v>0</v>
      </c>
      <c r="S41" s="2029">
        <f>SUM(S42:S48)</f>
        <v>0</v>
      </c>
      <c r="T41" s="2030">
        <f>SUM(T42:T48)</f>
        <v>0</v>
      </c>
      <c r="U41" s="3318">
        <f t="shared" ref="U41:U48" si="66">T41/$T$89</f>
        <v>0</v>
      </c>
      <c r="V41" s="2022"/>
      <c r="W41" s="2029">
        <f>SUM(W42:W48)</f>
        <v>0</v>
      </c>
      <c r="X41" s="2029">
        <f>SUM(X42:X48)</f>
        <v>0</v>
      </c>
      <c r="Y41" s="2030">
        <f>SUM(Y42:Y48)</f>
        <v>0</v>
      </c>
      <c r="Z41" s="3318">
        <f t="shared" ref="Z41:Z48" si="67">Y41/$T$89</f>
        <v>0</v>
      </c>
      <c r="AA41" s="2022"/>
      <c r="AB41" s="2029">
        <f>SUM(AB42:AB48)</f>
        <v>0</v>
      </c>
      <c r="AC41" s="2029">
        <f>SUM(AC42:AC48)</f>
        <v>0</v>
      </c>
      <c r="AD41" s="2030">
        <f>SUM(AD42:AD48)</f>
        <v>0</v>
      </c>
      <c r="AE41" s="3318">
        <f t="shared" ref="AE41:AE52" si="68">AD41/$AD$89</f>
        <v>0</v>
      </c>
      <c r="AF41" s="2022"/>
      <c r="AG41" s="2029">
        <f>SUM(AG42:AG48)</f>
        <v>0</v>
      </c>
      <c r="AH41" s="2029">
        <f>SUM(AH42:AH48)</f>
        <v>0</v>
      </c>
      <c r="AI41" s="2030">
        <f>SUM(AI42:AI48)</f>
        <v>0</v>
      </c>
      <c r="AJ41" s="3318">
        <f t="shared" ref="AJ41:AJ48" si="69">AI41/$AI$89</f>
        <v>0</v>
      </c>
      <c r="AK41" s="2022"/>
      <c r="AL41" s="2029">
        <f>SUM(AL42:AL48)</f>
        <v>0</v>
      </c>
      <c r="AM41" s="2029">
        <f>SUM(AM42:AM48)</f>
        <v>0</v>
      </c>
      <c r="AN41" s="2030">
        <f>SUM(AN42:AN48)</f>
        <v>0</v>
      </c>
      <c r="AO41" s="3318">
        <f t="shared" ref="AO41:AO48" si="70">AN41/$AI$89</f>
        <v>0</v>
      </c>
      <c r="AP41" s="2022"/>
      <c r="AQ41" s="2029">
        <f>SUM(AQ42:AQ48)</f>
        <v>0</v>
      </c>
      <c r="AR41" s="2029">
        <f>SUM(AR42:AR48)</f>
        <v>0</v>
      </c>
      <c r="AS41" s="2030">
        <f>SUM(AS42:AS48)</f>
        <v>0</v>
      </c>
      <c r="AT41" s="3318">
        <f t="shared" si="5"/>
        <v>0</v>
      </c>
      <c r="AU41" s="2022"/>
      <c r="AV41" s="2029">
        <v>0</v>
      </c>
      <c r="AW41" s="2029">
        <v>0</v>
      </c>
      <c r="AX41" s="2030">
        <v>0</v>
      </c>
      <c r="AY41" s="3318">
        <v>0</v>
      </c>
      <c r="AZ41" s="2022"/>
      <c r="BA41" s="2029">
        <f>SUM(BA42:BA48)</f>
        <v>0</v>
      </c>
      <c r="BB41" s="2029">
        <f>SUM(BB42:BB48)</f>
        <v>0</v>
      </c>
      <c r="BC41" s="2030">
        <f>SUM(BC42:BC48)</f>
        <v>0</v>
      </c>
      <c r="BD41" s="3318">
        <f t="shared" si="62"/>
        <v>0</v>
      </c>
      <c r="BE41" s="2022"/>
      <c r="BF41" s="2029">
        <f>SUM(BF42:BF48)</f>
        <v>0</v>
      </c>
      <c r="BG41" s="2029">
        <f>SUM(BG42:BG48)</f>
        <v>0</v>
      </c>
      <c r="BH41" s="2030">
        <f>SUM(BH42:BH48)</f>
        <v>0</v>
      </c>
      <c r="BI41" s="3318">
        <f t="shared" si="63"/>
        <v>0</v>
      </c>
      <c r="BJ41" s="2022"/>
      <c r="BK41" s="2029">
        <f>SUM(BK42:BK48)</f>
        <v>0</v>
      </c>
      <c r="BL41" s="2029">
        <f>SUM(BL42:BL48)</f>
        <v>0</v>
      </c>
      <c r="BM41" s="2030">
        <f>SUM(BM42:BM48)</f>
        <v>0</v>
      </c>
      <c r="BN41" s="3318">
        <f t="shared" si="64"/>
        <v>0</v>
      </c>
      <c r="BO41" s="2022"/>
      <c r="BP41" s="2029">
        <f>SUM(BP42:BP48)</f>
        <v>0</v>
      </c>
      <c r="BQ41" s="2029">
        <f>SUM(BQ42:BQ48)</f>
        <v>0</v>
      </c>
      <c r="BR41" s="2030">
        <f>SUM(BR42:BR48)</f>
        <v>0</v>
      </c>
      <c r="BS41" s="3318">
        <f t="shared" ref="BS41:BS52" si="71">BR41/$AD$89</f>
        <v>0</v>
      </c>
      <c r="BT41" s="2022"/>
      <c r="BU41" s="2029">
        <f>SUM(BU42:BU48)</f>
        <v>0</v>
      </c>
      <c r="BV41" s="2029">
        <f>SUM(BV42:BV48)</f>
        <v>0</v>
      </c>
      <c r="BW41" s="2030">
        <f>SUM(BW42:BW48)</f>
        <v>0</v>
      </c>
      <c r="BX41" s="3318">
        <f t="shared" ref="BX41:BX52" si="72">BW41/$AD$89</f>
        <v>0</v>
      </c>
      <c r="BY41" s="2022"/>
      <c r="BZ41" s="2029">
        <f>SUM(BZ42:BZ48)</f>
        <v>0</v>
      </c>
      <c r="CA41" s="2029">
        <f>SUM(CA42:CA48)</f>
        <v>0</v>
      </c>
      <c r="CB41" s="2030">
        <f>SUM(CB42:CB48)</f>
        <v>0</v>
      </c>
      <c r="CC41" s="3318">
        <f t="shared" ref="CC41:CC52" si="73">CB41/$AD$89</f>
        <v>0</v>
      </c>
      <c r="CD41" s="2022"/>
      <c r="CE41" s="2029">
        <f>SUM(CE42:CE48)</f>
        <v>0</v>
      </c>
      <c r="CF41" s="2029">
        <f>SUM(CF42:CF48)</f>
        <v>0</v>
      </c>
      <c r="CG41" s="2030">
        <f>SUM(CG42:CG48)</f>
        <v>0</v>
      </c>
      <c r="CH41" s="3318">
        <f t="shared" ref="CH41:CH52" si="74">CG41/$AD$89</f>
        <v>0</v>
      </c>
      <c r="CI41" s="2022"/>
      <c r="CJ41" s="2029">
        <f>SUM(CJ42:CJ48)</f>
        <v>0</v>
      </c>
      <c r="CK41" s="2029">
        <f>SUM(CK42:CK48)</f>
        <v>0</v>
      </c>
      <c r="CL41" s="2030">
        <f>SUM(CL42:CL48)</f>
        <v>0</v>
      </c>
      <c r="CM41" s="3318">
        <f t="shared" ref="CM41:CM52" si="75">CL41/$AI$89</f>
        <v>0</v>
      </c>
      <c r="CN41" s="2022"/>
      <c r="CO41" s="2029">
        <f>SUM(CO42:CO48)</f>
        <v>0</v>
      </c>
      <c r="CP41" s="2029">
        <f>SUM(CP42:CP48)</f>
        <v>0</v>
      </c>
      <c r="CQ41" s="2030">
        <f>SUM(CQ42:CQ48)</f>
        <v>0</v>
      </c>
      <c r="CR41" s="3318">
        <f t="shared" ref="CR41:CR52" si="76">CQ41/$AI$89</f>
        <v>0</v>
      </c>
      <c r="CS41" s="1329"/>
      <c r="CT41" s="2029">
        <f>SUM(CT42:CT48)</f>
        <v>0</v>
      </c>
      <c r="CU41" s="2029">
        <f>SUM(CU42:CU48)</f>
        <v>0</v>
      </c>
      <c r="CV41" s="2030">
        <f>SUM(CV42:CV48)</f>
        <v>0</v>
      </c>
      <c r="CW41" s="3318">
        <f t="shared" ref="CW41:CW52" si="77">CV41/$AI$89</f>
        <v>0</v>
      </c>
      <c r="CX41" s="1329"/>
      <c r="CY41" s="2029">
        <f>SUM(CY42:CY48)</f>
        <v>0</v>
      </c>
      <c r="CZ41" s="2029">
        <f>SUM(CZ42:CZ48)</f>
        <v>0</v>
      </c>
      <c r="DA41" s="2030">
        <f>SUM(DA42:DA48)</f>
        <v>0</v>
      </c>
      <c r="DB41" s="3318">
        <f t="shared" ref="DB41:DB52" si="78">DA41/$AI$89</f>
        <v>0</v>
      </c>
      <c r="DC41" s="1329"/>
      <c r="DD41" s="2029">
        <f>SUM(DD42:DD48)</f>
        <v>0</v>
      </c>
      <c r="DE41" s="2029">
        <f>SUM(DE42:DE48)</f>
        <v>0</v>
      </c>
      <c r="DF41" s="2030">
        <f>SUM(DF42:DF48)</f>
        <v>0</v>
      </c>
      <c r="DG41" s="3318">
        <f t="shared" ref="DG41:DG52" si="79">DF41/$AI$89</f>
        <v>0</v>
      </c>
      <c r="DH41" s="1329"/>
      <c r="DI41" s="2029">
        <f>SUM(DI42:DI48)</f>
        <v>0</v>
      </c>
      <c r="DJ41" s="2029">
        <f>SUM(DJ42:DJ48)</f>
        <v>0</v>
      </c>
      <c r="DK41" s="2030">
        <f>SUM(DK42:DK48)</f>
        <v>0</v>
      </c>
      <c r="DL41" s="3318">
        <f t="shared" ref="DL41:DL52" si="80">DK41/$AI$89</f>
        <v>0</v>
      </c>
      <c r="DM41" s="1329"/>
      <c r="DN41" s="2029">
        <f>SUM(DN42:DN48)</f>
        <v>0</v>
      </c>
      <c r="DO41" s="2029">
        <f>SUM(DO42:DO48)</f>
        <v>0</v>
      </c>
      <c r="DP41" s="2030">
        <f>SUM(DP42:DP48)</f>
        <v>0</v>
      </c>
      <c r="DQ41" s="3318">
        <f t="shared" ref="DQ41:DQ71" si="81">DP41/$DP$89</f>
        <v>0</v>
      </c>
      <c r="DR41" s="2022"/>
    </row>
    <row r="42" spans="1:122" ht="13.8" x14ac:dyDescent="0.25">
      <c r="A42" s="4015"/>
      <c r="B42" s="3319" t="s">
        <v>7</v>
      </c>
      <c r="C42" s="3288">
        <v>0</v>
      </c>
      <c r="D42" s="3274">
        <v>0</v>
      </c>
      <c r="E42" s="2028">
        <v>0</v>
      </c>
      <c r="F42" s="3284">
        <v>0</v>
      </c>
      <c r="G42" s="2492"/>
      <c r="H42" s="3274"/>
      <c r="I42" s="3274"/>
      <c r="J42" s="2028">
        <f t="shared" ref="J42:J48" si="82">H42+I42*1</f>
        <v>0</v>
      </c>
      <c r="K42" s="3284">
        <f t="shared" si="65"/>
        <v>0</v>
      </c>
      <c r="L42" s="3295"/>
      <c r="M42" s="3274"/>
      <c r="N42" s="3274"/>
      <c r="O42" s="2028">
        <f t="shared" ref="O42:O48" si="83">M42+N42*1</f>
        <v>0</v>
      </c>
      <c r="P42" s="3284">
        <f t="shared" ref="P42:P49" si="84">O42/$O$89</f>
        <v>0</v>
      </c>
      <c r="Q42" s="3295"/>
      <c r="R42" s="3274"/>
      <c r="S42" s="3274"/>
      <c r="T42" s="2028">
        <f t="shared" ref="T42:T48" si="85">R42+S42*1</f>
        <v>0</v>
      </c>
      <c r="U42" s="3284">
        <f t="shared" si="66"/>
        <v>0</v>
      </c>
      <c r="V42" s="3295"/>
      <c r="W42" s="3274"/>
      <c r="X42" s="3274"/>
      <c r="Y42" s="2028">
        <f t="shared" ref="Y42:Y48" si="86">W42+X42*1</f>
        <v>0</v>
      </c>
      <c r="Z42" s="3284">
        <f t="shared" si="67"/>
        <v>0</v>
      </c>
      <c r="AA42" s="3295"/>
      <c r="AB42" s="3274"/>
      <c r="AC42" s="3274"/>
      <c r="AD42" s="2028">
        <f t="shared" ref="AD42:AD48" si="87">AB42+AC42*1</f>
        <v>0</v>
      </c>
      <c r="AE42" s="3284">
        <f t="shared" si="68"/>
        <v>0</v>
      </c>
      <c r="AF42" s="3295"/>
      <c r="AG42" s="3274"/>
      <c r="AH42" s="3274"/>
      <c r="AI42" s="2028">
        <f t="shared" ref="AI42:AI48" si="88">AG42+AH42*1</f>
        <v>0</v>
      </c>
      <c r="AJ42" s="3284">
        <f t="shared" si="69"/>
        <v>0</v>
      </c>
      <c r="AK42" s="3295"/>
      <c r="AL42" s="3274"/>
      <c r="AM42" s="3274"/>
      <c r="AN42" s="2028">
        <f t="shared" ref="AN42:AN48" si="89">AL42+AM42*1</f>
        <v>0</v>
      </c>
      <c r="AO42" s="3284">
        <f t="shared" si="70"/>
        <v>0</v>
      </c>
      <c r="AP42" s="3295"/>
      <c r="AQ42" s="3274"/>
      <c r="AR42" s="3274"/>
      <c r="AS42" s="2028">
        <f t="shared" ref="AS42:AS48" si="90">AQ42+AR42*1</f>
        <v>0</v>
      </c>
      <c r="AT42" s="3284">
        <f t="shared" si="5"/>
        <v>0</v>
      </c>
      <c r="AU42" s="3295"/>
      <c r="AV42" s="3274">
        <v>0</v>
      </c>
      <c r="AW42" s="3274">
        <v>0</v>
      </c>
      <c r="AX42" s="2028">
        <v>0</v>
      </c>
      <c r="AY42" s="3284">
        <v>0</v>
      </c>
      <c r="AZ42" s="3276"/>
      <c r="BA42" s="3274">
        <f t="shared" ref="BA42:BB48" si="91">BF42+BK42+BP42+BU42+BZ42+CE42+CJ42+CO42+CT42+CY42+DD42+DI42</f>
        <v>0</v>
      </c>
      <c r="BB42" s="3274">
        <f t="shared" si="91"/>
        <v>0</v>
      </c>
      <c r="BC42" s="2028">
        <f t="shared" ref="BC42:BC48" si="92">BA42+BB42*1</f>
        <v>0</v>
      </c>
      <c r="BD42" s="3284">
        <f t="shared" si="62"/>
        <v>0</v>
      </c>
      <c r="BE42" s="3276"/>
      <c r="BF42" s="3274"/>
      <c r="BG42" s="3274"/>
      <c r="BH42" s="2028">
        <f t="shared" ref="BH42:BH48" si="93">BF42+BG42*1</f>
        <v>0</v>
      </c>
      <c r="BI42" s="3284">
        <f t="shared" si="63"/>
        <v>0</v>
      </c>
      <c r="BJ42" s="3295"/>
      <c r="BK42" s="3274"/>
      <c r="BL42" s="3274"/>
      <c r="BM42" s="2028">
        <f t="shared" ref="BM42:BM48" si="94">BK42+BL42*1</f>
        <v>0</v>
      </c>
      <c r="BN42" s="3284">
        <f t="shared" si="64"/>
        <v>0</v>
      </c>
      <c r="BO42" s="3295"/>
      <c r="BP42" s="3274"/>
      <c r="BQ42" s="3274"/>
      <c r="BR42" s="2028">
        <f t="shared" ref="BR42:BR48" si="95">BP42+BQ42*1</f>
        <v>0</v>
      </c>
      <c r="BS42" s="3284">
        <f t="shared" si="71"/>
        <v>0</v>
      </c>
      <c r="BT42" s="3295"/>
      <c r="BU42" s="3274"/>
      <c r="BV42" s="3274"/>
      <c r="BW42" s="2028">
        <f t="shared" ref="BW42:BW48" si="96">BU42+BV42*1</f>
        <v>0</v>
      </c>
      <c r="BX42" s="3284">
        <f t="shared" si="72"/>
        <v>0</v>
      </c>
      <c r="BY42" s="3295"/>
      <c r="BZ42" s="3274"/>
      <c r="CA42" s="3274"/>
      <c r="CB42" s="2028">
        <f t="shared" ref="CB42:CB48" si="97">BZ42+CA42*1</f>
        <v>0</v>
      </c>
      <c r="CC42" s="3284">
        <f t="shared" si="73"/>
        <v>0</v>
      </c>
      <c r="CD42" s="3295"/>
      <c r="CE42" s="3274"/>
      <c r="CF42" s="3274"/>
      <c r="CG42" s="2028">
        <f t="shared" ref="CG42:CG48" si="98">CE42+CF42*1</f>
        <v>0</v>
      </c>
      <c r="CH42" s="3284">
        <f t="shared" si="74"/>
        <v>0</v>
      </c>
      <c r="CI42" s="3295"/>
      <c r="CJ42" s="3274"/>
      <c r="CK42" s="3274"/>
      <c r="CL42" s="2028">
        <f t="shared" ref="CL42:CL48" si="99">CJ42+CK42*1</f>
        <v>0</v>
      </c>
      <c r="CM42" s="3284">
        <f t="shared" si="75"/>
        <v>0</v>
      </c>
      <c r="CN42" s="3295"/>
      <c r="CO42" s="3274"/>
      <c r="CP42" s="3274"/>
      <c r="CQ42" s="2028">
        <f t="shared" ref="CQ42:CQ48" si="100">CO42+CP42*1</f>
        <v>0</v>
      </c>
      <c r="CR42" s="3284">
        <f t="shared" si="76"/>
        <v>0</v>
      </c>
      <c r="CS42" s="1449"/>
      <c r="CT42" s="3274"/>
      <c r="CU42" s="3274"/>
      <c r="CV42" s="2028">
        <f t="shared" ref="CV42:CV48" si="101">CT42+CU42*1</f>
        <v>0</v>
      </c>
      <c r="CW42" s="3284">
        <f t="shared" si="77"/>
        <v>0</v>
      </c>
      <c r="CX42" s="1449"/>
      <c r="CY42" s="3274"/>
      <c r="CZ42" s="3274"/>
      <c r="DA42" s="2028">
        <f t="shared" ref="DA42:DA48" si="102">CY42+CZ42*1</f>
        <v>0</v>
      </c>
      <c r="DB42" s="3284">
        <f t="shared" si="78"/>
        <v>0</v>
      </c>
      <c r="DC42" s="1449"/>
      <c r="DD42" s="3274"/>
      <c r="DE42" s="3274"/>
      <c r="DF42" s="2028">
        <f t="shared" ref="DF42:DF48" si="103">DD42+DE42*1</f>
        <v>0</v>
      </c>
      <c r="DG42" s="3284">
        <f t="shared" si="79"/>
        <v>0</v>
      </c>
      <c r="DH42" s="1449"/>
      <c r="DI42" s="3274"/>
      <c r="DJ42" s="3274"/>
      <c r="DK42" s="2028">
        <f t="shared" ref="DK42:DK48" si="104">DI42+DJ42*1</f>
        <v>0</v>
      </c>
      <c r="DL42" s="3284">
        <f t="shared" si="80"/>
        <v>0</v>
      </c>
      <c r="DM42" s="1449"/>
      <c r="DN42" s="3274">
        <f t="shared" ref="DN42:DO48" si="105">R42+W42+AB42+AG42+AL42+AQ42+BF42+BK42+BP42+BU42+BZ42+CE42+CJ42+CO42+CT42+CY42+DD42+DI42+AV42</f>
        <v>0</v>
      </c>
      <c r="DO42" s="3274">
        <f t="shared" si="105"/>
        <v>0</v>
      </c>
      <c r="DP42" s="2028">
        <f t="shared" ref="DP42:DP48" si="106">DN42+DO42*1</f>
        <v>0</v>
      </c>
      <c r="DQ42" s="3284">
        <f t="shared" si="81"/>
        <v>0</v>
      </c>
      <c r="DR42" s="3295"/>
    </row>
    <row r="43" spans="1:122" ht="13.8" x14ac:dyDescent="0.25">
      <c r="A43" s="4015"/>
      <c r="B43" s="3319" t="s">
        <v>27</v>
      </c>
      <c r="C43" s="3288">
        <v>0</v>
      </c>
      <c r="D43" s="3274">
        <v>0</v>
      </c>
      <c r="E43" s="2028">
        <v>0</v>
      </c>
      <c r="F43" s="3284">
        <v>0</v>
      </c>
      <c r="G43" s="2492"/>
      <c r="H43" s="3274"/>
      <c r="I43" s="3274"/>
      <c r="J43" s="2028">
        <f t="shared" si="82"/>
        <v>0</v>
      </c>
      <c r="K43" s="3284">
        <f t="shared" si="65"/>
        <v>0</v>
      </c>
      <c r="L43" s="3295"/>
      <c r="M43" s="3274"/>
      <c r="N43" s="3274"/>
      <c r="O43" s="2028">
        <f t="shared" si="83"/>
        <v>0</v>
      </c>
      <c r="P43" s="3284">
        <f t="shared" si="84"/>
        <v>0</v>
      </c>
      <c r="Q43" s="3295"/>
      <c r="R43" s="3274"/>
      <c r="S43" s="3274"/>
      <c r="T43" s="2028">
        <f t="shared" si="85"/>
        <v>0</v>
      </c>
      <c r="U43" s="3284">
        <f t="shared" si="66"/>
        <v>0</v>
      </c>
      <c r="V43" s="3295"/>
      <c r="W43" s="3274"/>
      <c r="X43" s="3274"/>
      <c r="Y43" s="2028">
        <f t="shared" si="86"/>
        <v>0</v>
      </c>
      <c r="Z43" s="3284">
        <f t="shared" si="67"/>
        <v>0</v>
      </c>
      <c r="AA43" s="3295"/>
      <c r="AB43" s="3274"/>
      <c r="AC43" s="3274"/>
      <c r="AD43" s="2028">
        <f t="shared" si="87"/>
        <v>0</v>
      </c>
      <c r="AE43" s="3284">
        <f t="shared" si="68"/>
        <v>0</v>
      </c>
      <c r="AF43" s="3295"/>
      <c r="AG43" s="3274"/>
      <c r="AH43" s="3274"/>
      <c r="AI43" s="2028">
        <f t="shared" si="88"/>
        <v>0</v>
      </c>
      <c r="AJ43" s="3284">
        <f t="shared" si="69"/>
        <v>0</v>
      </c>
      <c r="AK43" s="3295"/>
      <c r="AL43" s="3274"/>
      <c r="AM43" s="3274"/>
      <c r="AN43" s="2028">
        <f t="shared" si="89"/>
        <v>0</v>
      </c>
      <c r="AO43" s="3284">
        <f t="shared" si="70"/>
        <v>0</v>
      </c>
      <c r="AP43" s="3295"/>
      <c r="AQ43" s="3274"/>
      <c r="AR43" s="3274"/>
      <c r="AS43" s="2028">
        <f t="shared" si="90"/>
        <v>0</v>
      </c>
      <c r="AT43" s="3284">
        <f t="shared" si="5"/>
        <v>0</v>
      </c>
      <c r="AU43" s="3295"/>
      <c r="AV43" s="3274">
        <v>0</v>
      </c>
      <c r="AW43" s="3274">
        <v>0</v>
      </c>
      <c r="AX43" s="2028">
        <v>0</v>
      </c>
      <c r="AY43" s="3284">
        <v>0</v>
      </c>
      <c r="AZ43" s="3276"/>
      <c r="BA43" s="3274">
        <f t="shared" si="91"/>
        <v>0</v>
      </c>
      <c r="BB43" s="3274">
        <f t="shared" si="91"/>
        <v>0</v>
      </c>
      <c r="BC43" s="2028">
        <f t="shared" si="92"/>
        <v>0</v>
      </c>
      <c r="BD43" s="3284">
        <f t="shared" si="62"/>
        <v>0</v>
      </c>
      <c r="BE43" s="3276"/>
      <c r="BF43" s="3274"/>
      <c r="BG43" s="3274"/>
      <c r="BH43" s="2028">
        <f t="shared" si="93"/>
        <v>0</v>
      </c>
      <c r="BI43" s="3284">
        <f t="shared" si="63"/>
        <v>0</v>
      </c>
      <c r="BJ43" s="3295"/>
      <c r="BK43" s="3274"/>
      <c r="BL43" s="3274"/>
      <c r="BM43" s="2028">
        <f t="shared" si="94"/>
        <v>0</v>
      </c>
      <c r="BN43" s="3284">
        <f t="shared" si="64"/>
        <v>0</v>
      </c>
      <c r="BO43" s="3295"/>
      <c r="BP43" s="3274"/>
      <c r="BQ43" s="3274"/>
      <c r="BR43" s="2028">
        <f t="shared" si="95"/>
        <v>0</v>
      </c>
      <c r="BS43" s="3284">
        <f t="shared" si="71"/>
        <v>0</v>
      </c>
      <c r="BT43" s="3295"/>
      <c r="BU43" s="3274"/>
      <c r="BV43" s="3274"/>
      <c r="BW43" s="2028">
        <f t="shared" si="96"/>
        <v>0</v>
      </c>
      <c r="BX43" s="3284">
        <f t="shared" si="72"/>
        <v>0</v>
      </c>
      <c r="BY43" s="3295"/>
      <c r="BZ43" s="3274"/>
      <c r="CA43" s="3274"/>
      <c r="CB43" s="2028">
        <f t="shared" si="97"/>
        <v>0</v>
      </c>
      <c r="CC43" s="3284">
        <f t="shared" si="73"/>
        <v>0</v>
      </c>
      <c r="CD43" s="3295"/>
      <c r="CE43" s="3274"/>
      <c r="CF43" s="3274"/>
      <c r="CG43" s="2028">
        <f t="shared" si="98"/>
        <v>0</v>
      </c>
      <c r="CH43" s="3284">
        <f t="shared" si="74"/>
        <v>0</v>
      </c>
      <c r="CI43" s="3295"/>
      <c r="CJ43" s="3274"/>
      <c r="CK43" s="3274"/>
      <c r="CL43" s="2028">
        <f t="shared" si="99"/>
        <v>0</v>
      </c>
      <c r="CM43" s="3284">
        <f t="shared" si="75"/>
        <v>0</v>
      </c>
      <c r="CN43" s="3295"/>
      <c r="CO43" s="3274"/>
      <c r="CP43" s="3274"/>
      <c r="CQ43" s="2028">
        <f t="shared" si="100"/>
        <v>0</v>
      </c>
      <c r="CR43" s="3284">
        <f t="shared" si="76"/>
        <v>0</v>
      </c>
      <c r="CS43" s="1449"/>
      <c r="CT43" s="3274"/>
      <c r="CU43" s="3274"/>
      <c r="CV43" s="2028">
        <f t="shared" si="101"/>
        <v>0</v>
      </c>
      <c r="CW43" s="3284">
        <f t="shared" si="77"/>
        <v>0</v>
      </c>
      <c r="CX43" s="1449"/>
      <c r="CY43" s="3274"/>
      <c r="CZ43" s="3274"/>
      <c r="DA43" s="2028">
        <f t="shared" si="102"/>
        <v>0</v>
      </c>
      <c r="DB43" s="3284">
        <f t="shared" si="78"/>
        <v>0</v>
      </c>
      <c r="DC43" s="1449"/>
      <c r="DD43" s="3274"/>
      <c r="DE43" s="3274"/>
      <c r="DF43" s="2028">
        <f t="shared" si="103"/>
        <v>0</v>
      </c>
      <c r="DG43" s="3284">
        <f t="shared" si="79"/>
        <v>0</v>
      </c>
      <c r="DH43" s="1449"/>
      <c r="DI43" s="3274"/>
      <c r="DJ43" s="3274"/>
      <c r="DK43" s="2028">
        <f t="shared" si="104"/>
        <v>0</v>
      </c>
      <c r="DL43" s="3284">
        <f t="shared" si="80"/>
        <v>0</v>
      </c>
      <c r="DM43" s="1449"/>
      <c r="DN43" s="3274">
        <f t="shared" si="105"/>
        <v>0</v>
      </c>
      <c r="DO43" s="3274">
        <f t="shared" si="105"/>
        <v>0</v>
      </c>
      <c r="DP43" s="2028">
        <f t="shared" si="106"/>
        <v>0</v>
      </c>
      <c r="DQ43" s="3284">
        <f t="shared" si="81"/>
        <v>0</v>
      </c>
      <c r="DR43" s="3295"/>
    </row>
    <row r="44" spans="1:122" ht="13.8" x14ac:dyDescent="0.25">
      <c r="A44" s="4015"/>
      <c r="B44" s="3310" t="s">
        <v>28</v>
      </c>
      <c r="C44" s="3288">
        <v>0</v>
      </c>
      <c r="D44" s="3274">
        <v>0</v>
      </c>
      <c r="E44" s="2028">
        <v>0</v>
      </c>
      <c r="F44" s="3284">
        <v>0</v>
      </c>
      <c r="G44" s="3143"/>
      <c r="H44" s="3274"/>
      <c r="I44" s="3274"/>
      <c r="J44" s="2028">
        <f t="shared" si="82"/>
        <v>0</v>
      </c>
      <c r="K44" s="3284">
        <f t="shared" si="65"/>
        <v>0</v>
      </c>
      <c r="L44" s="3295"/>
      <c r="M44" s="3274"/>
      <c r="N44" s="3274"/>
      <c r="O44" s="2028">
        <f t="shared" si="83"/>
        <v>0</v>
      </c>
      <c r="P44" s="3284">
        <f t="shared" si="84"/>
        <v>0</v>
      </c>
      <c r="Q44" s="3295"/>
      <c r="R44" s="3274"/>
      <c r="S44" s="3274"/>
      <c r="T44" s="2028">
        <f t="shared" si="85"/>
        <v>0</v>
      </c>
      <c r="U44" s="3284">
        <f t="shared" si="66"/>
        <v>0</v>
      </c>
      <c r="V44" s="3295"/>
      <c r="W44" s="3274"/>
      <c r="X44" s="3274"/>
      <c r="Y44" s="2028">
        <f t="shared" si="86"/>
        <v>0</v>
      </c>
      <c r="Z44" s="3284">
        <f t="shared" si="67"/>
        <v>0</v>
      </c>
      <c r="AA44" s="3295"/>
      <c r="AB44" s="3274"/>
      <c r="AC44" s="3274"/>
      <c r="AD44" s="2028">
        <f t="shared" si="87"/>
        <v>0</v>
      </c>
      <c r="AE44" s="3284">
        <f t="shared" si="68"/>
        <v>0</v>
      </c>
      <c r="AF44" s="3295"/>
      <c r="AG44" s="3274"/>
      <c r="AH44" s="3274"/>
      <c r="AI44" s="2028">
        <f t="shared" si="88"/>
        <v>0</v>
      </c>
      <c r="AJ44" s="3284">
        <f t="shared" si="69"/>
        <v>0</v>
      </c>
      <c r="AK44" s="3295"/>
      <c r="AL44" s="3274"/>
      <c r="AM44" s="3274"/>
      <c r="AN44" s="2028">
        <f t="shared" si="89"/>
        <v>0</v>
      </c>
      <c r="AO44" s="3284">
        <f t="shared" si="70"/>
        <v>0</v>
      </c>
      <c r="AP44" s="3295"/>
      <c r="AQ44" s="3274"/>
      <c r="AR44" s="3274"/>
      <c r="AS44" s="2028">
        <f t="shared" si="90"/>
        <v>0</v>
      </c>
      <c r="AT44" s="3284">
        <f t="shared" si="5"/>
        <v>0</v>
      </c>
      <c r="AU44" s="3295"/>
      <c r="AV44" s="3274">
        <v>0</v>
      </c>
      <c r="AW44" s="3274">
        <v>0</v>
      </c>
      <c r="AX44" s="2028">
        <v>0</v>
      </c>
      <c r="AY44" s="3284">
        <v>0</v>
      </c>
      <c r="AZ44" s="3276"/>
      <c r="BA44" s="3274">
        <f t="shared" si="91"/>
        <v>0</v>
      </c>
      <c r="BB44" s="3274">
        <f t="shared" si="91"/>
        <v>0</v>
      </c>
      <c r="BC44" s="2028">
        <f t="shared" si="92"/>
        <v>0</v>
      </c>
      <c r="BD44" s="3284">
        <f t="shared" si="62"/>
        <v>0</v>
      </c>
      <c r="BE44" s="3276"/>
      <c r="BF44" s="3274"/>
      <c r="BG44" s="3274"/>
      <c r="BH44" s="2028">
        <f t="shared" si="93"/>
        <v>0</v>
      </c>
      <c r="BI44" s="3284">
        <f t="shared" si="63"/>
        <v>0</v>
      </c>
      <c r="BJ44" s="3295"/>
      <c r="BK44" s="3274"/>
      <c r="BL44" s="3274"/>
      <c r="BM44" s="2028">
        <f t="shared" si="94"/>
        <v>0</v>
      </c>
      <c r="BN44" s="3284">
        <f t="shared" si="64"/>
        <v>0</v>
      </c>
      <c r="BO44" s="3295"/>
      <c r="BP44" s="3274"/>
      <c r="BQ44" s="3274"/>
      <c r="BR44" s="2028">
        <f t="shared" si="95"/>
        <v>0</v>
      </c>
      <c r="BS44" s="3284">
        <f t="shared" si="71"/>
        <v>0</v>
      </c>
      <c r="BT44" s="3295"/>
      <c r="BU44" s="3274"/>
      <c r="BV44" s="3274"/>
      <c r="BW44" s="2028">
        <f t="shared" si="96"/>
        <v>0</v>
      </c>
      <c r="BX44" s="3284">
        <f t="shared" si="72"/>
        <v>0</v>
      </c>
      <c r="BY44" s="3295"/>
      <c r="BZ44" s="3274"/>
      <c r="CA44" s="3274"/>
      <c r="CB44" s="2028">
        <f t="shared" si="97"/>
        <v>0</v>
      </c>
      <c r="CC44" s="3284">
        <f t="shared" si="73"/>
        <v>0</v>
      </c>
      <c r="CD44" s="3295"/>
      <c r="CE44" s="3274"/>
      <c r="CF44" s="3274"/>
      <c r="CG44" s="2028">
        <f t="shared" si="98"/>
        <v>0</v>
      </c>
      <c r="CH44" s="3284">
        <f t="shared" si="74"/>
        <v>0</v>
      </c>
      <c r="CI44" s="3295"/>
      <c r="CJ44" s="3274"/>
      <c r="CK44" s="3274"/>
      <c r="CL44" s="2028">
        <f t="shared" si="99"/>
        <v>0</v>
      </c>
      <c r="CM44" s="3284">
        <f t="shared" si="75"/>
        <v>0</v>
      </c>
      <c r="CN44" s="3295"/>
      <c r="CO44" s="3274"/>
      <c r="CP44" s="3274"/>
      <c r="CQ44" s="2028">
        <f t="shared" si="100"/>
        <v>0</v>
      </c>
      <c r="CR44" s="3284">
        <f t="shared" si="76"/>
        <v>0</v>
      </c>
      <c r="CS44" s="1449"/>
      <c r="CT44" s="3274"/>
      <c r="CU44" s="3274"/>
      <c r="CV44" s="2028">
        <f t="shared" si="101"/>
        <v>0</v>
      </c>
      <c r="CW44" s="3284">
        <f t="shared" si="77"/>
        <v>0</v>
      </c>
      <c r="CX44" s="1449"/>
      <c r="CY44" s="3274"/>
      <c r="CZ44" s="3274"/>
      <c r="DA44" s="2028">
        <f t="shared" si="102"/>
        <v>0</v>
      </c>
      <c r="DB44" s="3284">
        <f t="shared" si="78"/>
        <v>0</v>
      </c>
      <c r="DC44" s="1449"/>
      <c r="DD44" s="3274"/>
      <c r="DE44" s="3274"/>
      <c r="DF44" s="2028">
        <f t="shared" si="103"/>
        <v>0</v>
      </c>
      <c r="DG44" s="3284">
        <f t="shared" si="79"/>
        <v>0</v>
      </c>
      <c r="DH44" s="1449"/>
      <c r="DI44" s="3274"/>
      <c r="DJ44" s="3274"/>
      <c r="DK44" s="2028">
        <f t="shared" si="104"/>
        <v>0</v>
      </c>
      <c r="DL44" s="3284">
        <f t="shared" si="80"/>
        <v>0</v>
      </c>
      <c r="DM44" s="1449"/>
      <c r="DN44" s="3274">
        <f t="shared" si="105"/>
        <v>0</v>
      </c>
      <c r="DO44" s="3274">
        <f t="shared" si="105"/>
        <v>0</v>
      </c>
      <c r="DP44" s="2028">
        <f t="shared" si="106"/>
        <v>0</v>
      </c>
      <c r="DQ44" s="3284">
        <f t="shared" si="81"/>
        <v>0</v>
      </c>
      <c r="DR44" s="3295"/>
    </row>
    <row r="45" spans="1:122" ht="13.8" x14ac:dyDescent="0.25">
      <c r="A45" s="4015"/>
      <c r="B45" s="3319" t="s">
        <v>8</v>
      </c>
      <c r="C45" s="3288">
        <v>0</v>
      </c>
      <c r="D45" s="3274">
        <v>0</v>
      </c>
      <c r="E45" s="2028">
        <v>0</v>
      </c>
      <c r="F45" s="3284">
        <v>0</v>
      </c>
      <c r="G45" s="2492"/>
      <c r="H45" s="3274"/>
      <c r="I45" s="3274"/>
      <c r="J45" s="2028">
        <f t="shared" si="82"/>
        <v>0</v>
      </c>
      <c r="K45" s="3284">
        <f t="shared" si="65"/>
        <v>0</v>
      </c>
      <c r="L45" s="3295"/>
      <c r="M45" s="3274"/>
      <c r="N45" s="3274"/>
      <c r="O45" s="2028">
        <f t="shared" si="83"/>
        <v>0</v>
      </c>
      <c r="P45" s="3284">
        <f t="shared" si="84"/>
        <v>0</v>
      </c>
      <c r="Q45" s="3295"/>
      <c r="R45" s="3274"/>
      <c r="S45" s="3274"/>
      <c r="T45" s="2028">
        <f t="shared" si="85"/>
        <v>0</v>
      </c>
      <c r="U45" s="3284">
        <f t="shared" si="66"/>
        <v>0</v>
      </c>
      <c r="V45" s="3295"/>
      <c r="W45" s="3274"/>
      <c r="X45" s="3274"/>
      <c r="Y45" s="2028">
        <f t="shared" si="86"/>
        <v>0</v>
      </c>
      <c r="Z45" s="3284">
        <f t="shared" si="67"/>
        <v>0</v>
      </c>
      <c r="AA45" s="3295"/>
      <c r="AB45" s="3274"/>
      <c r="AC45" s="3274"/>
      <c r="AD45" s="2028">
        <f t="shared" si="87"/>
        <v>0</v>
      </c>
      <c r="AE45" s="3284">
        <f t="shared" si="68"/>
        <v>0</v>
      </c>
      <c r="AF45" s="3295"/>
      <c r="AG45" s="3274"/>
      <c r="AH45" s="3274"/>
      <c r="AI45" s="2028">
        <f t="shared" si="88"/>
        <v>0</v>
      </c>
      <c r="AJ45" s="3284">
        <f t="shared" si="69"/>
        <v>0</v>
      </c>
      <c r="AK45" s="3295"/>
      <c r="AL45" s="3274"/>
      <c r="AM45" s="3274"/>
      <c r="AN45" s="2028">
        <f t="shared" si="89"/>
        <v>0</v>
      </c>
      <c r="AO45" s="3284">
        <f t="shared" si="70"/>
        <v>0</v>
      </c>
      <c r="AP45" s="3295"/>
      <c r="AQ45" s="3274"/>
      <c r="AR45" s="3274"/>
      <c r="AS45" s="2028">
        <f t="shared" si="90"/>
        <v>0</v>
      </c>
      <c r="AT45" s="3284">
        <f t="shared" si="5"/>
        <v>0</v>
      </c>
      <c r="AU45" s="3295"/>
      <c r="AV45" s="3274">
        <v>0</v>
      </c>
      <c r="AW45" s="3274">
        <v>0</v>
      </c>
      <c r="AX45" s="2028">
        <v>0</v>
      </c>
      <c r="AY45" s="3284">
        <v>0</v>
      </c>
      <c r="AZ45" s="3295"/>
      <c r="BA45" s="3274">
        <f t="shared" si="91"/>
        <v>0</v>
      </c>
      <c r="BB45" s="3274">
        <f t="shared" si="91"/>
        <v>0</v>
      </c>
      <c r="BC45" s="2028">
        <f t="shared" si="92"/>
        <v>0</v>
      </c>
      <c r="BD45" s="3284">
        <f t="shared" si="62"/>
        <v>0</v>
      </c>
      <c r="BE45" s="3295"/>
      <c r="BF45" s="3274"/>
      <c r="BG45" s="3274"/>
      <c r="BH45" s="2028">
        <f t="shared" si="93"/>
        <v>0</v>
      </c>
      <c r="BI45" s="3284">
        <f t="shared" si="63"/>
        <v>0</v>
      </c>
      <c r="BJ45" s="3295"/>
      <c r="BK45" s="3274"/>
      <c r="BL45" s="3274"/>
      <c r="BM45" s="2028">
        <f t="shared" si="94"/>
        <v>0</v>
      </c>
      <c r="BN45" s="3284">
        <f t="shared" si="64"/>
        <v>0</v>
      </c>
      <c r="BO45" s="3295"/>
      <c r="BP45" s="3274"/>
      <c r="BQ45" s="3274"/>
      <c r="BR45" s="2028">
        <f t="shared" si="95"/>
        <v>0</v>
      </c>
      <c r="BS45" s="3284">
        <f t="shared" si="71"/>
        <v>0</v>
      </c>
      <c r="BT45" s="3295"/>
      <c r="BU45" s="3274"/>
      <c r="BV45" s="3274"/>
      <c r="BW45" s="2028">
        <f t="shared" si="96"/>
        <v>0</v>
      </c>
      <c r="BX45" s="3284">
        <f t="shared" si="72"/>
        <v>0</v>
      </c>
      <c r="BY45" s="3295"/>
      <c r="BZ45" s="3274"/>
      <c r="CA45" s="3274"/>
      <c r="CB45" s="2028">
        <f t="shared" si="97"/>
        <v>0</v>
      </c>
      <c r="CC45" s="3284">
        <f t="shared" si="73"/>
        <v>0</v>
      </c>
      <c r="CD45" s="3295"/>
      <c r="CE45" s="3274"/>
      <c r="CF45" s="3274"/>
      <c r="CG45" s="2028">
        <f t="shared" si="98"/>
        <v>0</v>
      </c>
      <c r="CH45" s="3284">
        <f t="shared" si="74"/>
        <v>0</v>
      </c>
      <c r="CI45" s="3295"/>
      <c r="CJ45" s="3274"/>
      <c r="CK45" s="3274"/>
      <c r="CL45" s="2028">
        <f t="shared" si="99"/>
        <v>0</v>
      </c>
      <c r="CM45" s="3284">
        <f t="shared" si="75"/>
        <v>0</v>
      </c>
      <c r="CN45" s="3295"/>
      <c r="CO45" s="3274"/>
      <c r="CP45" s="3274"/>
      <c r="CQ45" s="2028">
        <f t="shared" si="100"/>
        <v>0</v>
      </c>
      <c r="CR45" s="3284">
        <f t="shared" si="76"/>
        <v>0</v>
      </c>
      <c r="CS45" s="1449"/>
      <c r="CT45" s="3274"/>
      <c r="CU45" s="3274"/>
      <c r="CV45" s="2028">
        <f t="shared" si="101"/>
        <v>0</v>
      </c>
      <c r="CW45" s="3284">
        <f t="shared" si="77"/>
        <v>0</v>
      </c>
      <c r="CX45" s="1449"/>
      <c r="CY45" s="3274"/>
      <c r="CZ45" s="3274"/>
      <c r="DA45" s="2028">
        <f t="shared" si="102"/>
        <v>0</v>
      </c>
      <c r="DB45" s="3284">
        <f t="shared" si="78"/>
        <v>0</v>
      </c>
      <c r="DC45" s="1449"/>
      <c r="DD45" s="3274"/>
      <c r="DE45" s="3274"/>
      <c r="DF45" s="2028">
        <f t="shared" si="103"/>
        <v>0</v>
      </c>
      <c r="DG45" s="3284">
        <f t="shared" si="79"/>
        <v>0</v>
      </c>
      <c r="DH45" s="1449"/>
      <c r="DI45" s="3274"/>
      <c r="DJ45" s="3274"/>
      <c r="DK45" s="2028">
        <f t="shared" si="104"/>
        <v>0</v>
      </c>
      <c r="DL45" s="3284">
        <f t="shared" si="80"/>
        <v>0</v>
      </c>
      <c r="DM45" s="1449"/>
      <c r="DN45" s="3274">
        <f t="shared" si="105"/>
        <v>0</v>
      </c>
      <c r="DO45" s="3274">
        <f t="shared" si="105"/>
        <v>0</v>
      </c>
      <c r="DP45" s="2028">
        <f t="shared" si="106"/>
        <v>0</v>
      </c>
      <c r="DQ45" s="3284">
        <f t="shared" si="81"/>
        <v>0</v>
      </c>
      <c r="DR45" s="3295"/>
    </row>
    <row r="46" spans="1:122" ht="13.8" x14ac:dyDescent="0.25">
      <c r="A46" s="4015"/>
      <c r="B46" s="3319" t="s">
        <v>29</v>
      </c>
      <c r="C46" s="3288">
        <v>0</v>
      </c>
      <c r="D46" s="3274">
        <v>0</v>
      </c>
      <c r="E46" s="2028">
        <v>0</v>
      </c>
      <c r="F46" s="3284">
        <v>0</v>
      </c>
      <c r="G46" s="2492"/>
      <c r="H46" s="3274"/>
      <c r="I46" s="3274"/>
      <c r="J46" s="2028">
        <f t="shared" si="82"/>
        <v>0</v>
      </c>
      <c r="K46" s="3284">
        <f t="shared" si="65"/>
        <v>0</v>
      </c>
      <c r="L46" s="3295"/>
      <c r="M46" s="3274"/>
      <c r="N46" s="3274"/>
      <c r="O46" s="2028">
        <f t="shared" si="83"/>
        <v>0</v>
      </c>
      <c r="P46" s="3284">
        <f t="shared" si="84"/>
        <v>0</v>
      </c>
      <c r="Q46" s="3295"/>
      <c r="R46" s="3274"/>
      <c r="S46" s="3274"/>
      <c r="T46" s="2028">
        <f t="shared" si="85"/>
        <v>0</v>
      </c>
      <c r="U46" s="3284">
        <f t="shared" si="66"/>
        <v>0</v>
      </c>
      <c r="V46" s="3295"/>
      <c r="W46" s="3274"/>
      <c r="X46" s="3274"/>
      <c r="Y46" s="2028">
        <f t="shared" si="86"/>
        <v>0</v>
      </c>
      <c r="Z46" s="3284">
        <f t="shared" si="67"/>
        <v>0</v>
      </c>
      <c r="AA46" s="3295"/>
      <c r="AB46" s="3274"/>
      <c r="AC46" s="3274"/>
      <c r="AD46" s="2028">
        <f t="shared" si="87"/>
        <v>0</v>
      </c>
      <c r="AE46" s="3284">
        <f t="shared" si="68"/>
        <v>0</v>
      </c>
      <c r="AF46" s="3295"/>
      <c r="AG46" s="3274"/>
      <c r="AH46" s="3274"/>
      <c r="AI46" s="2028">
        <f t="shared" si="88"/>
        <v>0</v>
      </c>
      <c r="AJ46" s="3284">
        <f t="shared" si="69"/>
        <v>0</v>
      </c>
      <c r="AK46" s="3295"/>
      <c r="AL46" s="3274"/>
      <c r="AM46" s="3274"/>
      <c r="AN46" s="2028">
        <f t="shared" si="89"/>
        <v>0</v>
      </c>
      <c r="AO46" s="3284">
        <f t="shared" si="70"/>
        <v>0</v>
      </c>
      <c r="AP46" s="3295"/>
      <c r="AQ46" s="3274"/>
      <c r="AR46" s="3274"/>
      <c r="AS46" s="2028">
        <f t="shared" si="90"/>
        <v>0</v>
      </c>
      <c r="AT46" s="3284">
        <f t="shared" si="5"/>
        <v>0</v>
      </c>
      <c r="AU46" s="3295"/>
      <c r="AV46" s="3274">
        <v>0</v>
      </c>
      <c r="AW46" s="3274">
        <v>0</v>
      </c>
      <c r="AX46" s="2028">
        <v>0</v>
      </c>
      <c r="AY46" s="3284">
        <v>0</v>
      </c>
      <c r="AZ46" s="3295"/>
      <c r="BA46" s="3274">
        <f t="shared" si="91"/>
        <v>0</v>
      </c>
      <c r="BB46" s="3274">
        <f t="shared" si="91"/>
        <v>0</v>
      </c>
      <c r="BC46" s="2028">
        <f t="shared" si="92"/>
        <v>0</v>
      </c>
      <c r="BD46" s="3284">
        <f t="shared" si="62"/>
        <v>0</v>
      </c>
      <c r="BE46" s="3295"/>
      <c r="BF46" s="3274"/>
      <c r="BG46" s="3274"/>
      <c r="BH46" s="2028">
        <f t="shared" si="93"/>
        <v>0</v>
      </c>
      <c r="BI46" s="3284">
        <f t="shared" si="63"/>
        <v>0</v>
      </c>
      <c r="BJ46" s="3295"/>
      <c r="BK46" s="3274"/>
      <c r="BL46" s="3274"/>
      <c r="BM46" s="2028">
        <f t="shared" si="94"/>
        <v>0</v>
      </c>
      <c r="BN46" s="3284">
        <f t="shared" si="64"/>
        <v>0</v>
      </c>
      <c r="BO46" s="3295"/>
      <c r="BP46" s="3274"/>
      <c r="BQ46" s="3274"/>
      <c r="BR46" s="2028">
        <f t="shared" si="95"/>
        <v>0</v>
      </c>
      <c r="BS46" s="3284">
        <f t="shared" si="71"/>
        <v>0</v>
      </c>
      <c r="BT46" s="3295"/>
      <c r="BU46" s="3274"/>
      <c r="BV46" s="3274"/>
      <c r="BW46" s="2028">
        <f t="shared" si="96"/>
        <v>0</v>
      </c>
      <c r="BX46" s="3284">
        <f t="shared" si="72"/>
        <v>0</v>
      </c>
      <c r="BY46" s="3295"/>
      <c r="BZ46" s="3274"/>
      <c r="CA46" s="3274"/>
      <c r="CB46" s="2028">
        <f t="shared" si="97"/>
        <v>0</v>
      </c>
      <c r="CC46" s="3284">
        <f t="shared" si="73"/>
        <v>0</v>
      </c>
      <c r="CD46" s="3295"/>
      <c r="CE46" s="3274"/>
      <c r="CF46" s="3274"/>
      <c r="CG46" s="2028">
        <f t="shared" si="98"/>
        <v>0</v>
      </c>
      <c r="CH46" s="3284">
        <f t="shared" si="74"/>
        <v>0</v>
      </c>
      <c r="CI46" s="3295"/>
      <c r="CJ46" s="3274"/>
      <c r="CK46" s="3274"/>
      <c r="CL46" s="2028">
        <f t="shared" si="99"/>
        <v>0</v>
      </c>
      <c r="CM46" s="3284">
        <f t="shared" si="75"/>
        <v>0</v>
      </c>
      <c r="CN46" s="3295"/>
      <c r="CO46" s="3274"/>
      <c r="CP46" s="3274"/>
      <c r="CQ46" s="2028">
        <f t="shared" si="100"/>
        <v>0</v>
      </c>
      <c r="CR46" s="3284">
        <f t="shared" si="76"/>
        <v>0</v>
      </c>
      <c r="CS46" s="1449"/>
      <c r="CT46" s="3274"/>
      <c r="CU46" s="3274"/>
      <c r="CV46" s="2028">
        <f t="shared" si="101"/>
        <v>0</v>
      </c>
      <c r="CW46" s="3284">
        <f t="shared" si="77"/>
        <v>0</v>
      </c>
      <c r="CX46" s="1449"/>
      <c r="CY46" s="3274"/>
      <c r="CZ46" s="3274"/>
      <c r="DA46" s="2028">
        <f t="shared" si="102"/>
        <v>0</v>
      </c>
      <c r="DB46" s="3284">
        <f t="shared" si="78"/>
        <v>0</v>
      </c>
      <c r="DC46" s="1449"/>
      <c r="DD46" s="3274"/>
      <c r="DE46" s="3274"/>
      <c r="DF46" s="2028">
        <f t="shared" si="103"/>
        <v>0</v>
      </c>
      <c r="DG46" s="3284">
        <f t="shared" si="79"/>
        <v>0</v>
      </c>
      <c r="DH46" s="1449"/>
      <c r="DI46" s="3274"/>
      <c r="DJ46" s="3274"/>
      <c r="DK46" s="2028">
        <f t="shared" si="104"/>
        <v>0</v>
      </c>
      <c r="DL46" s="3284">
        <f t="shared" si="80"/>
        <v>0</v>
      </c>
      <c r="DM46" s="1449"/>
      <c r="DN46" s="3274">
        <f t="shared" si="105"/>
        <v>0</v>
      </c>
      <c r="DO46" s="3274">
        <f t="shared" si="105"/>
        <v>0</v>
      </c>
      <c r="DP46" s="2028">
        <f t="shared" si="106"/>
        <v>0</v>
      </c>
      <c r="DQ46" s="3284">
        <f t="shared" si="81"/>
        <v>0</v>
      </c>
      <c r="DR46" s="3295"/>
    </row>
    <row r="47" spans="1:122" ht="13.8" x14ac:dyDescent="0.25">
      <c r="A47" s="4015"/>
      <c r="B47" s="3319" t="s">
        <v>30</v>
      </c>
      <c r="C47" s="3288">
        <v>0</v>
      </c>
      <c r="D47" s="3274">
        <v>47</v>
      </c>
      <c r="E47" s="2028">
        <v>47</v>
      </c>
      <c r="F47" s="3284">
        <v>7.5168943778745838E-5</v>
      </c>
      <c r="G47" s="2492"/>
      <c r="H47" s="3274"/>
      <c r="I47" s="3274"/>
      <c r="J47" s="2028">
        <f t="shared" si="82"/>
        <v>0</v>
      </c>
      <c r="K47" s="3284">
        <f t="shared" si="65"/>
        <v>0</v>
      </c>
      <c r="L47" s="3295"/>
      <c r="M47" s="3274"/>
      <c r="N47" s="3274"/>
      <c r="O47" s="2028">
        <f t="shared" si="83"/>
        <v>0</v>
      </c>
      <c r="P47" s="3284">
        <f t="shared" si="84"/>
        <v>0</v>
      </c>
      <c r="Q47" s="3295"/>
      <c r="R47" s="3274"/>
      <c r="S47" s="3274"/>
      <c r="T47" s="2028">
        <f t="shared" si="85"/>
        <v>0</v>
      </c>
      <c r="U47" s="3284">
        <f t="shared" si="66"/>
        <v>0</v>
      </c>
      <c r="V47" s="3295"/>
      <c r="W47" s="3274"/>
      <c r="X47" s="3274"/>
      <c r="Y47" s="2028">
        <f t="shared" si="86"/>
        <v>0</v>
      </c>
      <c r="Z47" s="3284">
        <f t="shared" si="67"/>
        <v>0</v>
      </c>
      <c r="AA47" s="3295"/>
      <c r="AB47" s="3274"/>
      <c r="AC47" s="3274"/>
      <c r="AD47" s="2028">
        <f t="shared" si="87"/>
        <v>0</v>
      </c>
      <c r="AE47" s="3284">
        <f t="shared" si="68"/>
        <v>0</v>
      </c>
      <c r="AF47" s="3295"/>
      <c r="AG47" s="3274"/>
      <c r="AH47" s="3274"/>
      <c r="AI47" s="2028">
        <f t="shared" si="88"/>
        <v>0</v>
      </c>
      <c r="AJ47" s="3284">
        <f t="shared" si="69"/>
        <v>0</v>
      </c>
      <c r="AK47" s="3295"/>
      <c r="AL47" s="3274"/>
      <c r="AM47" s="3274"/>
      <c r="AN47" s="2028">
        <f t="shared" si="89"/>
        <v>0</v>
      </c>
      <c r="AO47" s="3284">
        <f t="shared" si="70"/>
        <v>0</v>
      </c>
      <c r="AP47" s="3295"/>
      <c r="AQ47" s="3274"/>
      <c r="AR47" s="3274"/>
      <c r="AS47" s="2028">
        <f t="shared" si="90"/>
        <v>0</v>
      </c>
      <c r="AT47" s="3284">
        <f t="shared" si="5"/>
        <v>0</v>
      </c>
      <c r="AU47" s="3295"/>
      <c r="AV47" s="3274">
        <v>0</v>
      </c>
      <c r="AW47" s="3274">
        <v>0</v>
      </c>
      <c r="AX47" s="2028">
        <v>0</v>
      </c>
      <c r="AY47" s="3284">
        <v>0</v>
      </c>
      <c r="AZ47" s="3276"/>
      <c r="BA47" s="3274">
        <f t="shared" si="91"/>
        <v>0</v>
      </c>
      <c r="BB47" s="3274">
        <f t="shared" si="91"/>
        <v>0</v>
      </c>
      <c r="BC47" s="2028">
        <f t="shared" si="92"/>
        <v>0</v>
      </c>
      <c r="BD47" s="3284">
        <f t="shared" si="62"/>
        <v>0</v>
      </c>
      <c r="BE47" s="3276"/>
      <c r="BF47" s="3274"/>
      <c r="BG47" s="3274"/>
      <c r="BH47" s="2028">
        <f t="shared" si="93"/>
        <v>0</v>
      </c>
      <c r="BI47" s="3284">
        <f t="shared" si="63"/>
        <v>0</v>
      </c>
      <c r="BJ47" s="3295"/>
      <c r="BK47" s="3274"/>
      <c r="BL47" s="3274"/>
      <c r="BM47" s="2028">
        <f t="shared" si="94"/>
        <v>0</v>
      </c>
      <c r="BN47" s="3284">
        <f t="shared" si="64"/>
        <v>0</v>
      </c>
      <c r="BO47" s="3295"/>
      <c r="BP47" s="3274"/>
      <c r="BQ47" s="3274"/>
      <c r="BR47" s="2028">
        <f t="shared" si="95"/>
        <v>0</v>
      </c>
      <c r="BS47" s="3284">
        <f t="shared" si="71"/>
        <v>0</v>
      </c>
      <c r="BT47" s="3295"/>
      <c r="BU47" s="3274"/>
      <c r="BV47" s="3274"/>
      <c r="BW47" s="2028">
        <f t="shared" si="96"/>
        <v>0</v>
      </c>
      <c r="BX47" s="3284">
        <f t="shared" si="72"/>
        <v>0</v>
      </c>
      <c r="BY47" s="3295"/>
      <c r="BZ47" s="3274"/>
      <c r="CA47" s="3274"/>
      <c r="CB47" s="2028">
        <f t="shared" si="97"/>
        <v>0</v>
      </c>
      <c r="CC47" s="3284">
        <f t="shared" si="73"/>
        <v>0</v>
      </c>
      <c r="CD47" s="3295"/>
      <c r="CE47" s="3274"/>
      <c r="CF47" s="3274"/>
      <c r="CG47" s="2028">
        <f t="shared" si="98"/>
        <v>0</v>
      </c>
      <c r="CH47" s="3284">
        <f t="shared" si="74"/>
        <v>0</v>
      </c>
      <c r="CI47" s="3295"/>
      <c r="CJ47" s="3274"/>
      <c r="CK47" s="3274"/>
      <c r="CL47" s="2028">
        <f t="shared" si="99"/>
        <v>0</v>
      </c>
      <c r="CM47" s="3284">
        <f t="shared" si="75"/>
        <v>0</v>
      </c>
      <c r="CN47" s="3295"/>
      <c r="CO47" s="3274"/>
      <c r="CP47" s="3274"/>
      <c r="CQ47" s="2028">
        <f t="shared" si="100"/>
        <v>0</v>
      </c>
      <c r="CR47" s="3284">
        <f t="shared" si="76"/>
        <v>0</v>
      </c>
      <c r="CS47" s="1449"/>
      <c r="CT47" s="3274"/>
      <c r="CU47" s="3274"/>
      <c r="CV47" s="2028">
        <f t="shared" si="101"/>
        <v>0</v>
      </c>
      <c r="CW47" s="3284">
        <f t="shared" si="77"/>
        <v>0</v>
      </c>
      <c r="CX47" s="1449"/>
      <c r="CY47" s="3274"/>
      <c r="CZ47" s="3274"/>
      <c r="DA47" s="2028">
        <f t="shared" si="102"/>
        <v>0</v>
      </c>
      <c r="DB47" s="3284">
        <f t="shared" si="78"/>
        <v>0</v>
      </c>
      <c r="DC47" s="1449"/>
      <c r="DD47" s="3274"/>
      <c r="DE47" s="3274"/>
      <c r="DF47" s="2028">
        <f t="shared" si="103"/>
        <v>0</v>
      </c>
      <c r="DG47" s="3284">
        <f t="shared" si="79"/>
        <v>0</v>
      </c>
      <c r="DH47" s="1449"/>
      <c r="DI47" s="3274"/>
      <c r="DJ47" s="3274"/>
      <c r="DK47" s="2028">
        <f t="shared" si="104"/>
        <v>0</v>
      </c>
      <c r="DL47" s="3284">
        <f t="shared" si="80"/>
        <v>0</v>
      </c>
      <c r="DM47" s="1449"/>
      <c r="DN47" s="3274">
        <f t="shared" si="105"/>
        <v>0</v>
      </c>
      <c r="DO47" s="3274">
        <f t="shared" si="105"/>
        <v>0</v>
      </c>
      <c r="DP47" s="2028">
        <f t="shared" si="106"/>
        <v>0</v>
      </c>
      <c r="DQ47" s="3284">
        <f t="shared" si="81"/>
        <v>0</v>
      </c>
      <c r="DR47" s="3295"/>
    </row>
    <row r="48" spans="1:122" ht="13.8" x14ac:dyDescent="0.25">
      <c r="A48" s="4015"/>
      <c r="B48" s="3319" t="s">
        <v>15</v>
      </c>
      <c r="C48" s="3288">
        <v>0</v>
      </c>
      <c r="D48" s="3274">
        <v>0</v>
      </c>
      <c r="E48" s="2028">
        <v>0</v>
      </c>
      <c r="F48" s="3284">
        <v>0</v>
      </c>
      <c r="G48" s="2492"/>
      <c r="H48" s="3274"/>
      <c r="I48" s="3274"/>
      <c r="J48" s="2028">
        <f t="shared" si="82"/>
        <v>0</v>
      </c>
      <c r="K48" s="3284">
        <f t="shared" si="65"/>
        <v>0</v>
      </c>
      <c r="L48" s="3295"/>
      <c r="M48" s="3274"/>
      <c r="N48" s="3274"/>
      <c r="O48" s="2028">
        <f t="shared" si="83"/>
        <v>0</v>
      </c>
      <c r="P48" s="3284">
        <f t="shared" si="84"/>
        <v>0</v>
      </c>
      <c r="Q48" s="3295"/>
      <c r="R48" s="3274"/>
      <c r="S48" s="3274"/>
      <c r="T48" s="2028">
        <f t="shared" si="85"/>
        <v>0</v>
      </c>
      <c r="U48" s="3284">
        <f t="shared" si="66"/>
        <v>0</v>
      </c>
      <c r="V48" s="3295"/>
      <c r="W48" s="3274"/>
      <c r="X48" s="3274"/>
      <c r="Y48" s="2028">
        <f t="shared" si="86"/>
        <v>0</v>
      </c>
      <c r="Z48" s="3284">
        <f t="shared" si="67"/>
        <v>0</v>
      </c>
      <c r="AA48" s="3295"/>
      <c r="AB48" s="3274"/>
      <c r="AC48" s="3274"/>
      <c r="AD48" s="2028">
        <f t="shared" si="87"/>
        <v>0</v>
      </c>
      <c r="AE48" s="3284">
        <f t="shared" si="68"/>
        <v>0</v>
      </c>
      <c r="AF48" s="3295"/>
      <c r="AG48" s="3274"/>
      <c r="AH48" s="3274"/>
      <c r="AI48" s="2028">
        <f t="shared" si="88"/>
        <v>0</v>
      </c>
      <c r="AJ48" s="3284">
        <f t="shared" si="69"/>
        <v>0</v>
      </c>
      <c r="AK48" s="3295"/>
      <c r="AL48" s="3274"/>
      <c r="AM48" s="3274"/>
      <c r="AN48" s="2028">
        <f t="shared" si="89"/>
        <v>0</v>
      </c>
      <c r="AO48" s="3284">
        <f t="shared" si="70"/>
        <v>0</v>
      </c>
      <c r="AP48" s="3295"/>
      <c r="AQ48" s="3274"/>
      <c r="AR48" s="3274"/>
      <c r="AS48" s="2028">
        <f t="shared" si="90"/>
        <v>0</v>
      </c>
      <c r="AT48" s="3284">
        <f t="shared" si="5"/>
        <v>0</v>
      </c>
      <c r="AU48" s="3295"/>
      <c r="AV48" s="3274">
        <v>0</v>
      </c>
      <c r="AW48" s="3274">
        <v>0</v>
      </c>
      <c r="AX48" s="2028">
        <v>0</v>
      </c>
      <c r="AY48" s="3284">
        <v>0</v>
      </c>
      <c r="AZ48" s="3295"/>
      <c r="BA48" s="3274">
        <f t="shared" si="91"/>
        <v>0</v>
      </c>
      <c r="BB48" s="3274">
        <f t="shared" si="91"/>
        <v>0</v>
      </c>
      <c r="BC48" s="2028">
        <f t="shared" si="92"/>
        <v>0</v>
      </c>
      <c r="BD48" s="3284">
        <f t="shared" si="62"/>
        <v>0</v>
      </c>
      <c r="BE48" s="3295"/>
      <c r="BF48" s="3274"/>
      <c r="BG48" s="3274"/>
      <c r="BH48" s="2028">
        <f t="shared" si="93"/>
        <v>0</v>
      </c>
      <c r="BI48" s="3284">
        <f t="shared" si="63"/>
        <v>0</v>
      </c>
      <c r="BJ48" s="3295"/>
      <c r="BK48" s="3274"/>
      <c r="BL48" s="3274"/>
      <c r="BM48" s="2028">
        <f t="shared" si="94"/>
        <v>0</v>
      </c>
      <c r="BN48" s="3284">
        <f t="shared" si="64"/>
        <v>0</v>
      </c>
      <c r="BO48" s="3295"/>
      <c r="BP48" s="3274"/>
      <c r="BQ48" s="3274"/>
      <c r="BR48" s="2028">
        <f t="shared" si="95"/>
        <v>0</v>
      </c>
      <c r="BS48" s="3284">
        <f t="shared" si="71"/>
        <v>0</v>
      </c>
      <c r="BT48" s="3295"/>
      <c r="BU48" s="3274"/>
      <c r="BV48" s="3274"/>
      <c r="BW48" s="2028">
        <f t="shared" si="96"/>
        <v>0</v>
      </c>
      <c r="BX48" s="3284">
        <f t="shared" si="72"/>
        <v>0</v>
      </c>
      <c r="BY48" s="3295"/>
      <c r="BZ48" s="3274"/>
      <c r="CA48" s="3274"/>
      <c r="CB48" s="2028">
        <f t="shared" si="97"/>
        <v>0</v>
      </c>
      <c r="CC48" s="3284">
        <f t="shared" si="73"/>
        <v>0</v>
      </c>
      <c r="CD48" s="3295"/>
      <c r="CE48" s="3274"/>
      <c r="CF48" s="3274"/>
      <c r="CG48" s="2028">
        <f t="shared" si="98"/>
        <v>0</v>
      </c>
      <c r="CH48" s="3284">
        <f t="shared" si="74"/>
        <v>0</v>
      </c>
      <c r="CI48" s="3295"/>
      <c r="CJ48" s="3274"/>
      <c r="CK48" s="3274"/>
      <c r="CL48" s="2028">
        <f t="shared" si="99"/>
        <v>0</v>
      </c>
      <c r="CM48" s="3284">
        <f t="shared" si="75"/>
        <v>0</v>
      </c>
      <c r="CN48" s="3295"/>
      <c r="CO48" s="3274"/>
      <c r="CP48" s="3274"/>
      <c r="CQ48" s="2028">
        <f t="shared" si="100"/>
        <v>0</v>
      </c>
      <c r="CR48" s="3284">
        <f t="shared" si="76"/>
        <v>0</v>
      </c>
      <c r="CS48" s="1449"/>
      <c r="CT48" s="3274"/>
      <c r="CU48" s="3274"/>
      <c r="CV48" s="2028">
        <f t="shared" si="101"/>
        <v>0</v>
      </c>
      <c r="CW48" s="3284">
        <f t="shared" si="77"/>
        <v>0</v>
      </c>
      <c r="CX48" s="1449"/>
      <c r="CY48" s="3274"/>
      <c r="CZ48" s="3274"/>
      <c r="DA48" s="2028">
        <f t="shared" si="102"/>
        <v>0</v>
      </c>
      <c r="DB48" s="3284">
        <f t="shared" si="78"/>
        <v>0</v>
      </c>
      <c r="DC48" s="1449"/>
      <c r="DD48" s="3274"/>
      <c r="DE48" s="3274"/>
      <c r="DF48" s="2028">
        <f t="shared" si="103"/>
        <v>0</v>
      </c>
      <c r="DG48" s="3284">
        <f t="shared" si="79"/>
        <v>0</v>
      </c>
      <c r="DH48" s="1449"/>
      <c r="DI48" s="3274"/>
      <c r="DJ48" s="3274"/>
      <c r="DK48" s="2028">
        <f t="shared" si="104"/>
        <v>0</v>
      </c>
      <c r="DL48" s="3284">
        <f t="shared" si="80"/>
        <v>0</v>
      </c>
      <c r="DM48" s="1449"/>
      <c r="DN48" s="3274">
        <f t="shared" si="105"/>
        <v>0</v>
      </c>
      <c r="DO48" s="3274">
        <f t="shared" si="105"/>
        <v>0</v>
      </c>
      <c r="DP48" s="2028">
        <f t="shared" si="106"/>
        <v>0</v>
      </c>
      <c r="DQ48" s="3284">
        <f t="shared" si="81"/>
        <v>0</v>
      </c>
      <c r="DR48" s="3295"/>
    </row>
    <row r="49" spans="1:122" s="1411" customFormat="1" ht="14.4" thickBot="1" x14ac:dyDescent="0.3">
      <c r="A49" s="1420"/>
      <c r="B49" s="3320"/>
      <c r="C49" s="3288">
        <v>0</v>
      </c>
      <c r="D49" s="3274">
        <v>0</v>
      </c>
      <c r="E49" s="3313"/>
      <c r="F49" s="3284">
        <v>0</v>
      </c>
      <c r="G49" s="972"/>
      <c r="H49" s="3274"/>
      <c r="I49" s="3274"/>
      <c r="J49" s="3313"/>
      <c r="K49" s="3284">
        <f t="shared" si="65"/>
        <v>0</v>
      </c>
      <c r="L49" s="3313"/>
      <c r="M49" s="3274"/>
      <c r="N49" s="3274"/>
      <c r="O49" s="3313"/>
      <c r="P49" s="3284">
        <f t="shared" si="84"/>
        <v>0</v>
      </c>
      <c r="Q49" s="3313"/>
      <c r="R49" s="3274"/>
      <c r="S49" s="3274"/>
      <c r="T49" s="3313"/>
      <c r="U49" s="3284"/>
      <c r="V49" s="3313"/>
      <c r="W49" s="3274"/>
      <c r="X49" s="3274"/>
      <c r="Y49" s="3313"/>
      <c r="Z49" s="3284"/>
      <c r="AA49" s="3313"/>
      <c r="AB49" s="3274"/>
      <c r="AC49" s="3274"/>
      <c r="AD49" s="3313"/>
      <c r="AE49" s="3284"/>
      <c r="AF49" s="3313"/>
      <c r="AG49" s="3274"/>
      <c r="AH49" s="3274"/>
      <c r="AI49" s="3313"/>
      <c r="AJ49" s="3284"/>
      <c r="AK49" s="3313"/>
      <c r="AL49" s="3274"/>
      <c r="AM49" s="3274"/>
      <c r="AN49" s="3313"/>
      <c r="AO49" s="3284"/>
      <c r="AP49" s="3313"/>
      <c r="AQ49" s="3274"/>
      <c r="AR49" s="3274"/>
      <c r="AS49" s="3313"/>
      <c r="AT49" s="3284"/>
      <c r="AU49" s="3313"/>
      <c r="AV49" s="3274"/>
      <c r="AW49" s="3274"/>
      <c r="AX49" s="3313"/>
      <c r="AY49" s="3284"/>
      <c r="AZ49" s="3313"/>
      <c r="BA49" s="3274"/>
      <c r="BB49" s="3274"/>
      <c r="BC49" s="3313"/>
      <c r="BD49" s="3284"/>
      <c r="BE49" s="3313"/>
      <c r="BF49" s="3274"/>
      <c r="BG49" s="3274"/>
      <c r="BH49" s="3313"/>
      <c r="BI49" s="3284"/>
      <c r="BJ49" s="3313"/>
      <c r="BK49" s="3274"/>
      <c r="BL49" s="3274"/>
      <c r="BM49" s="3313"/>
      <c r="BN49" s="3284"/>
      <c r="BO49" s="3313"/>
      <c r="BP49" s="3274"/>
      <c r="BQ49" s="3274"/>
      <c r="BR49" s="3313"/>
      <c r="BS49" s="3284">
        <f t="shared" si="71"/>
        <v>0</v>
      </c>
      <c r="BT49" s="3313"/>
      <c r="BU49" s="3274"/>
      <c r="BV49" s="3274"/>
      <c r="BW49" s="3313"/>
      <c r="BX49" s="3284">
        <f t="shared" si="72"/>
        <v>0</v>
      </c>
      <c r="BY49" s="3313"/>
      <c r="BZ49" s="3274"/>
      <c r="CA49" s="3274"/>
      <c r="CB49" s="3313"/>
      <c r="CC49" s="3284">
        <f t="shared" si="73"/>
        <v>0</v>
      </c>
      <c r="CD49" s="3313"/>
      <c r="CE49" s="3274"/>
      <c r="CF49" s="3274"/>
      <c r="CG49" s="3313"/>
      <c r="CH49" s="3284">
        <f t="shared" si="74"/>
        <v>0</v>
      </c>
      <c r="CI49" s="3313"/>
      <c r="CJ49" s="3274"/>
      <c r="CK49" s="3274"/>
      <c r="CL49" s="3313"/>
      <c r="CM49" s="3284">
        <f t="shared" si="75"/>
        <v>0</v>
      </c>
      <c r="CN49" s="3313"/>
      <c r="CO49" s="3274"/>
      <c r="CP49" s="3274"/>
      <c r="CQ49" s="3313"/>
      <c r="CR49" s="3284">
        <f t="shared" si="76"/>
        <v>0</v>
      </c>
      <c r="CS49" s="3315"/>
      <c r="CT49" s="3274"/>
      <c r="CU49" s="3274"/>
      <c r="CV49" s="3313"/>
      <c r="CW49" s="3284">
        <f t="shared" si="77"/>
        <v>0</v>
      </c>
      <c r="CX49" s="3315"/>
      <c r="CY49" s="3274"/>
      <c r="CZ49" s="3274"/>
      <c r="DA49" s="3313"/>
      <c r="DB49" s="3284">
        <f t="shared" si="78"/>
        <v>0</v>
      </c>
      <c r="DC49" s="3315"/>
      <c r="DD49" s="3274"/>
      <c r="DE49" s="3274"/>
      <c r="DF49" s="3313"/>
      <c r="DG49" s="3284">
        <f t="shared" si="79"/>
        <v>0</v>
      </c>
      <c r="DH49" s="3315"/>
      <c r="DI49" s="3274"/>
      <c r="DJ49" s="3274"/>
      <c r="DK49" s="3313"/>
      <c r="DL49" s="3284">
        <f t="shared" si="80"/>
        <v>0</v>
      </c>
      <c r="DM49" s="3315"/>
      <c r="DN49" s="3274"/>
      <c r="DO49" s="3274"/>
      <c r="DP49" s="3313"/>
      <c r="DQ49" s="3284">
        <f t="shared" si="81"/>
        <v>0</v>
      </c>
      <c r="DR49" s="3313"/>
    </row>
    <row r="50" spans="1:122" s="1411" customFormat="1" ht="13.8" x14ac:dyDescent="0.25">
      <c r="A50" s="1580"/>
      <c r="B50" s="1425" t="s">
        <v>59</v>
      </c>
      <c r="C50" s="2031">
        <v>0</v>
      </c>
      <c r="D50" s="2031">
        <v>200</v>
      </c>
      <c r="E50" s="2031">
        <v>200</v>
      </c>
      <c r="F50" s="2022"/>
      <c r="G50" s="980"/>
      <c r="H50" s="309">
        <f>H52+H51</f>
        <v>0</v>
      </c>
      <c r="I50" s="2031">
        <f>I52+I51</f>
        <v>0</v>
      </c>
      <c r="J50" s="2031">
        <f>SUM(J51:J52)</f>
        <v>0</v>
      </c>
      <c r="K50" s="2022"/>
      <c r="L50" s="2022"/>
      <c r="M50" s="2031">
        <f>M52+M51</f>
        <v>0</v>
      </c>
      <c r="N50" s="2031">
        <f>N52+N51</f>
        <v>499</v>
      </c>
      <c r="O50" s="2031">
        <f>SUM(O51:O52)</f>
        <v>499</v>
      </c>
      <c r="P50" s="2022"/>
      <c r="Q50" s="2022"/>
      <c r="R50" s="2031">
        <f>R52+R51</f>
        <v>0</v>
      </c>
      <c r="S50" s="2031">
        <f>S52+S51</f>
        <v>0</v>
      </c>
      <c r="T50" s="2031">
        <f>SUM(T51:T52)</f>
        <v>0</v>
      </c>
      <c r="U50" s="2022">
        <f>T50/$T$89</f>
        <v>0</v>
      </c>
      <c r="V50" s="2022"/>
      <c r="W50" s="2031">
        <f>W52+W51</f>
        <v>0</v>
      </c>
      <c r="X50" s="2031">
        <f>X52+X51</f>
        <v>0</v>
      </c>
      <c r="Y50" s="2031">
        <f>SUM(Y51:Y52)</f>
        <v>0</v>
      </c>
      <c r="Z50" s="2022">
        <f>Y50/$T$89</f>
        <v>0</v>
      </c>
      <c r="AA50" s="2022"/>
      <c r="AB50" s="2031">
        <f>AB52+AB51</f>
        <v>0</v>
      </c>
      <c r="AC50" s="2031">
        <f>AC52+AC51</f>
        <v>0</v>
      </c>
      <c r="AD50" s="2031">
        <f>SUM(AD51:AD52)</f>
        <v>0</v>
      </c>
      <c r="AE50" s="2022">
        <f t="shared" si="68"/>
        <v>0</v>
      </c>
      <c r="AF50" s="2022"/>
      <c r="AG50" s="2031">
        <f>AG52+AG51</f>
        <v>0</v>
      </c>
      <c r="AH50" s="2031">
        <f>AH52+AH51</f>
        <v>0</v>
      </c>
      <c r="AI50" s="2031">
        <f>SUM(AI51:AI52)</f>
        <v>0</v>
      </c>
      <c r="AJ50" s="2022">
        <f>AI50/$AI$89</f>
        <v>0</v>
      </c>
      <c r="AK50" s="2022"/>
      <c r="AL50" s="2031">
        <f>AL52+AL51</f>
        <v>0</v>
      </c>
      <c r="AM50" s="2031">
        <f>AM52+AM51</f>
        <v>0</v>
      </c>
      <c r="AN50" s="2031">
        <f>SUM(AN51:AN52)</f>
        <v>0</v>
      </c>
      <c r="AO50" s="2022">
        <f>AN50/$AI$89</f>
        <v>0</v>
      </c>
      <c r="AP50" s="2022"/>
      <c r="AQ50" s="2031">
        <f>AQ52+AQ51</f>
        <v>0</v>
      </c>
      <c r="AR50" s="2031">
        <f>AR52+AR51</f>
        <v>0</v>
      </c>
      <c r="AS50" s="2031">
        <f>SUM(AS51:AS52)</f>
        <v>0</v>
      </c>
      <c r="AT50" s="2022">
        <f t="shared" si="5"/>
        <v>0</v>
      </c>
      <c r="AU50" s="2022"/>
      <c r="AV50" s="2031">
        <v>0</v>
      </c>
      <c r="AW50" s="2031">
        <v>0</v>
      </c>
      <c r="AX50" s="2031">
        <v>0</v>
      </c>
      <c r="AY50" s="2022">
        <v>0</v>
      </c>
      <c r="AZ50" s="2022"/>
      <c r="BA50" s="2031">
        <f>BA52+BA51</f>
        <v>0</v>
      </c>
      <c r="BB50" s="2031">
        <f>BB52+BB51</f>
        <v>0</v>
      </c>
      <c r="BC50" s="2031">
        <f>SUM(BC51:BC52)</f>
        <v>0</v>
      </c>
      <c r="BD50" s="2022">
        <f t="shared" ref="BD50:BD52" si="107">BC50/$T$89</f>
        <v>0</v>
      </c>
      <c r="BE50" s="2022"/>
      <c r="BF50" s="2031">
        <f>BF52+BF51</f>
        <v>0</v>
      </c>
      <c r="BG50" s="2031">
        <f>BG52+BG51</f>
        <v>0</v>
      </c>
      <c r="BH50" s="2031">
        <f>SUM(BH51:BH52)</f>
        <v>0</v>
      </c>
      <c r="BI50" s="2022">
        <f>BH50/$AS$89</f>
        <v>0</v>
      </c>
      <c r="BJ50" s="2022"/>
      <c r="BK50" s="2031">
        <f>BK52+BK51</f>
        <v>0</v>
      </c>
      <c r="BL50" s="2031">
        <f>BL52+BL51</f>
        <v>0</v>
      </c>
      <c r="BM50" s="2031">
        <f>SUM(BM51:BM52)</f>
        <v>0</v>
      </c>
      <c r="BN50" s="2022">
        <f>BM50/$E$89</f>
        <v>0</v>
      </c>
      <c r="BO50" s="2022"/>
      <c r="BP50" s="2031">
        <f>BP52+BP51</f>
        <v>0</v>
      </c>
      <c r="BQ50" s="2031">
        <f>BQ52+BQ51</f>
        <v>0</v>
      </c>
      <c r="BR50" s="2031">
        <f>SUM(BR51:BR52)</f>
        <v>0</v>
      </c>
      <c r="BS50" s="2022">
        <f t="shared" si="71"/>
        <v>0</v>
      </c>
      <c r="BT50" s="2022"/>
      <c r="BU50" s="2031">
        <f>BU52+BU51</f>
        <v>0</v>
      </c>
      <c r="BV50" s="2031">
        <f>BV52+BV51</f>
        <v>0</v>
      </c>
      <c r="BW50" s="2031">
        <f>SUM(BW51:BW52)</f>
        <v>0</v>
      </c>
      <c r="BX50" s="2022">
        <f t="shared" si="72"/>
        <v>0</v>
      </c>
      <c r="BY50" s="2022"/>
      <c r="BZ50" s="2031">
        <f>BZ52+BZ51</f>
        <v>0</v>
      </c>
      <c r="CA50" s="2031">
        <f>CA52+CA51</f>
        <v>0</v>
      </c>
      <c r="CB50" s="2031">
        <f>SUM(CB51:CB52)</f>
        <v>0</v>
      </c>
      <c r="CC50" s="2022">
        <f t="shared" si="73"/>
        <v>0</v>
      </c>
      <c r="CD50" s="2022"/>
      <c r="CE50" s="2031">
        <f>CE52+CE51</f>
        <v>0</v>
      </c>
      <c r="CF50" s="2031">
        <f>CF52+CF51</f>
        <v>0</v>
      </c>
      <c r="CG50" s="2031">
        <f>SUM(CG51:CG52)</f>
        <v>0</v>
      </c>
      <c r="CH50" s="2022">
        <f t="shared" si="74"/>
        <v>0</v>
      </c>
      <c r="CI50" s="2022"/>
      <c r="CJ50" s="2031">
        <f>CJ52+CJ51</f>
        <v>0</v>
      </c>
      <c r="CK50" s="2031">
        <f>CK52+CK51</f>
        <v>0</v>
      </c>
      <c r="CL50" s="2031">
        <f>SUM(CL51:CL52)</f>
        <v>0</v>
      </c>
      <c r="CM50" s="2022">
        <f t="shared" si="75"/>
        <v>0</v>
      </c>
      <c r="CN50" s="2022"/>
      <c r="CO50" s="2031">
        <f>CO52+CO51</f>
        <v>0</v>
      </c>
      <c r="CP50" s="2031">
        <f>CP52+CP51</f>
        <v>0</v>
      </c>
      <c r="CQ50" s="2031">
        <f>SUM(CQ51:CQ52)</f>
        <v>0</v>
      </c>
      <c r="CR50" s="2022">
        <f t="shared" si="76"/>
        <v>0</v>
      </c>
      <c r="CS50" s="1460"/>
      <c r="CT50" s="2031">
        <f>CT52+CT51</f>
        <v>0</v>
      </c>
      <c r="CU50" s="2031">
        <f>CU52+CU51</f>
        <v>0</v>
      </c>
      <c r="CV50" s="2031">
        <f>SUM(CV51:CV52)</f>
        <v>0</v>
      </c>
      <c r="CW50" s="2022">
        <f t="shared" si="77"/>
        <v>0</v>
      </c>
      <c r="CX50" s="1460"/>
      <c r="CY50" s="2031">
        <f>CY52+CY51</f>
        <v>0</v>
      </c>
      <c r="CZ50" s="2031">
        <f>CZ52+CZ51</f>
        <v>0</v>
      </c>
      <c r="DA50" s="2031">
        <f>SUM(DA51:DA52)</f>
        <v>0</v>
      </c>
      <c r="DB50" s="2022">
        <f t="shared" si="78"/>
        <v>0</v>
      </c>
      <c r="DC50" s="1460"/>
      <c r="DD50" s="2031">
        <f>DD52+DD51</f>
        <v>0</v>
      </c>
      <c r="DE50" s="2031">
        <f>DE52+DE51</f>
        <v>0</v>
      </c>
      <c r="DF50" s="2031">
        <f>SUM(DF51:DF52)</f>
        <v>0</v>
      </c>
      <c r="DG50" s="2022">
        <f t="shared" si="79"/>
        <v>0</v>
      </c>
      <c r="DH50" s="1460"/>
      <c r="DI50" s="2031">
        <f>DI52+DI51</f>
        <v>0</v>
      </c>
      <c r="DJ50" s="2031">
        <f>DJ52+DJ51</f>
        <v>0</v>
      </c>
      <c r="DK50" s="2031">
        <f>SUM(DK51:DK52)</f>
        <v>0</v>
      </c>
      <c r="DL50" s="2022">
        <f t="shared" si="80"/>
        <v>0</v>
      </c>
      <c r="DM50" s="1460"/>
      <c r="DN50" s="2031">
        <f>DN52+DN51</f>
        <v>0</v>
      </c>
      <c r="DO50" s="2031">
        <f>DO52+DO51</f>
        <v>0</v>
      </c>
      <c r="DP50" s="2031">
        <f>SUM(DP51:DP52)</f>
        <v>0</v>
      </c>
      <c r="DQ50" s="2022"/>
      <c r="DR50" s="2022"/>
    </row>
    <row r="51" spans="1:122" s="1411" customFormat="1" ht="13.8" x14ac:dyDescent="0.25">
      <c r="A51" s="1581"/>
      <c r="B51" s="3319" t="s">
        <v>60</v>
      </c>
      <c r="C51" s="3288">
        <v>0</v>
      </c>
      <c r="D51" s="3274">
        <v>0</v>
      </c>
      <c r="E51" s="2028">
        <v>0</v>
      </c>
      <c r="F51" s="3284">
        <v>0</v>
      </c>
      <c r="G51" s="2492"/>
      <c r="H51" s="3274"/>
      <c r="I51" s="3274"/>
      <c r="J51" s="2028">
        <f>H51+I51*1</f>
        <v>0</v>
      </c>
      <c r="K51" s="3284">
        <f>J51/$J$89</f>
        <v>0</v>
      </c>
      <c r="L51" s="3311"/>
      <c r="M51" s="3274"/>
      <c r="N51" s="3274">
        <v>499</v>
      </c>
      <c r="O51" s="2028">
        <f>M51+N51*1</f>
        <v>499</v>
      </c>
      <c r="P51" s="3284">
        <f>O51/$O$89</f>
        <v>7.2573396685520299E-4</v>
      </c>
      <c r="Q51" s="3311"/>
      <c r="R51" s="3274"/>
      <c r="S51" s="3274"/>
      <c r="T51" s="2028">
        <f>R51+S51*1</f>
        <v>0</v>
      </c>
      <c r="U51" s="3284">
        <f>T51/$T$89</f>
        <v>0</v>
      </c>
      <c r="V51" s="3311"/>
      <c r="W51" s="3274"/>
      <c r="X51" s="3274"/>
      <c r="Y51" s="2028">
        <f>W51+X51*1</f>
        <v>0</v>
      </c>
      <c r="Z51" s="3284">
        <f>Y51/$T$89</f>
        <v>0</v>
      </c>
      <c r="AA51" s="3311"/>
      <c r="AB51" s="3274"/>
      <c r="AC51" s="3274"/>
      <c r="AD51" s="2028">
        <f>AB51+AC51*1</f>
        <v>0</v>
      </c>
      <c r="AE51" s="3284">
        <f t="shared" si="68"/>
        <v>0</v>
      </c>
      <c r="AF51" s="3311"/>
      <c r="AG51" s="3274"/>
      <c r="AH51" s="3274"/>
      <c r="AI51" s="2028">
        <f>AG51+AH51*1</f>
        <v>0</v>
      </c>
      <c r="AJ51" s="3284">
        <f>AI51/$AI$89</f>
        <v>0</v>
      </c>
      <c r="AK51" s="3311"/>
      <c r="AL51" s="3274"/>
      <c r="AM51" s="3274"/>
      <c r="AN51" s="2028">
        <f>AL51+AM51*1</f>
        <v>0</v>
      </c>
      <c r="AO51" s="3284">
        <f>AN51/$AI$89</f>
        <v>0</v>
      </c>
      <c r="AP51" s="3311"/>
      <c r="AQ51" s="3274"/>
      <c r="AR51" s="3274"/>
      <c r="AS51" s="2028">
        <f>AQ51+AR51*1</f>
        <v>0</v>
      </c>
      <c r="AT51" s="3284">
        <f t="shared" si="5"/>
        <v>0</v>
      </c>
      <c r="AU51" s="3311"/>
      <c r="AV51" s="3274">
        <v>0</v>
      </c>
      <c r="AW51" s="3274">
        <v>0</v>
      </c>
      <c r="AX51" s="2028">
        <v>0</v>
      </c>
      <c r="AY51" s="3284">
        <v>0</v>
      </c>
      <c r="AZ51" s="3311"/>
      <c r="BA51" s="3274">
        <f t="shared" ref="BA51:BB52" si="108">BF51+BK51+BP51+BU51+BZ51+CE51+CJ51+CO51+CT51+CY51+DD51+DI51</f>
        <v>0</v>
      </c>
      <c r="BB51" s="3274">
        <f t="shared" si="108"/>
        <v>0</v>
      </c>
      <c r="BC51" s="2028">
        <f>BA51+BB51*1</f>
        <v>0</v>
      </c>
      <c r="BD51" s="3284">
        <f t="shared" si="107"/>
        <v>0</v>
      </c>
      <c r="BE51" s="3311"/>
      <c r="BF51" s="3274"/>
      <c r="BG51" s="3274"/>
      <c r="BH51" s="2028">
        <f>BF51+BG51*1</f>
        <v>0</v>
      </c>
      <c r="BI51" s="3284">
        <f>BH51/$AS$89</f>
        <v>0</v>
      </c>
      <c r="BJ51" s="3311"/>
      <c r="BK51" s="3274"/>
      <c r="BL51" s="3274"/>
      <c r="BM51" s="2028">
        <f>BK51+BL51*1</f>
        <v>0</v>
      </c>
      <c r="BN51" s="3284">
        <f>BM51/$E$89</f>
        <v>0</v>
      </c>
      <c r="BO51" s="3311"/>
      <c r="BP51" s="3274"/>
      <c r="BQ51" s="3274"/>
      <c r="BR51" s="2028">
        <f>BP51+BQ51*1</f>
        <v>0</v>
      </c>
      <c r="BS51" s="3284">
        <f t="shared" si="71"/>
        <v>0</v>
      </c>
      <c r="BT51" s="3311"/>
      <c r="BU51" s="3274"/>
      <c r="BV51" s="3274"/>
      <c r="BW51" s="2028">
        <f>BU51+BV51*1</f>
        <v>0</v>
      </c>
      <c r="BX51" s="3284">
        <f t="shared" si="72"/>
        <v>0</v>
      </c>
      <c r="BY51" s="3311"/>
      <c r="BZ51" s="3274"/>
      <c r="CA51" s="3274"/>
      <c r="CB51" s="2028">
        <f>BZ51+CA51*1</f>
        <v>0</v>
      </c>
      <c r="CC51" s="3284">
        <f t="shared" si="73"/>
        <v>0</v>
      </c>
      <c r="CD51" s="3311"/>
      <c r="CE51" s="3274"/>
      <c r="CF51" s="3274"/>
      <c r="CG51" s="2028">
        <f>CE51+CF51*1</f>
        <v>0</v>
      </c>
      <c r="CH51" s="3284">
        <f t="shared" si="74"/>
        <v>0</v>
      </c>
      <c r="CI51" s="3311"/>
      <c r="CJ51" s="3274"/>
      <c r="CK51" s="3274"/>
      <c r="CL51" s="2028">
        <f>CJ51+CK51*1</f>
        <v>0</v>
      </c>
      <c r="CM51" s="3284">
        <f t="shared" si="75"/>
        <v>0</v>
      </c>
      <c r="CN51" s="3311"/>
      <c r="CO51" s="3274"/>
      <c r="CP51" s="3274"/>
      <c r="CQ51" s="2028">
        <f>CO51+CP51*1</f>
        <v>0</v>
      </c>
      <c r="CR51" s="3284">
        <f t="shared" si="76"/>
        <v>0</v>
      </c>
      <c r="CS51" s="3321"/>
      <c r="CT51" s="3274"/>
      <c r="CU51" s="3274"/>
      <c r="CV51" s="2028">
        <f>CT51+CU51*1</f>
        <v>0</v>
      </c>
      <c r="CW51" s="3284">
        <f t="shared" si="77"/>
        <v>0</v>
      </c>
      <c r="CX51" s="3321"/>
      <c r="CY51" s="3274"/>
      <c r="CZ51" s="3274"/>
      <c r="DA51" s="2028">
        <f>CY51+CZ51*1</f>
        <v>0</v>
      </c>
      <c r="DB51" s="3284">
        <f t="shared" si="78"/>
        <v>0</v>
      </c>
      <c r="DC51" s="3321"/>
      <c r="DD51" s="3274"/>
      <c r="DE51" s="3274"/>
      <c r="DF51" s="2028">
        <f>DD51+DE51*1</f>
        <v>0</v>
      </c>
      <c r="DG51" s="3284">
        <f t="shared" si="79"/>
        <v>0</v>
      </c>
      <c r="DH51" s="3321"/>
      <c r="DI51" s="3274"/>
      <c r="DJ51" s="3274"/>
      <c r="DK51" s="2028">
        <f>DI51+DJ51*1</f>
        <v>0</v>
      </c>
      <c r="DL51" s="3284">
        <f t="shared" si="80"/>
        <v>0</v>
      </c>
      <c r="DM51" s="3321"/>
      <c r="DN51" s="3274">
        <f t="shared" ref="DN51:DO52" si="109">R51+W51+AB51+AG51+AL51+AQ51+BF51+BK51+BP51+BU51+BZ51+CE51+CJ51+CO51+CT51+CY51+DD51+DI51+AV51</f>
        <v>0</v>
      </c>
      <c r="DO51" s="3274">
        <f t="shared" si="109"/>
        <v>0</v>
      </c>
      <c r="DP51" s="2028">
        <f>DN51+DO51*1</f>
        <v>0</v>
      </c>
      <c r="DQ51" s="3284">
        <f t="shared" si="81"/>
        <v>0</v>
      </c>
      <c r="DR51" s="3311"/>
    </row>
    <row r="52" spans="1:122" ht="13.8" x14ac:dyDescent="0.25">
      <c r="A52" s="1581"/>
      <c r="B52" s="3319" t="s">
        <v>61</v>
      </c>
      <c r="C52" s="3288">
        <v>0</v>
      </c>
      <c r="D52" s="3274">
        <v>200</v>
      </c>
      <c r="E52" s="2028">
        <v>200</v>
      </c>
      <c r="F52" s="3284">
        <v>3.198678458670036E-4</v>
      </c>
      <c r="G52" s="2492"/>
      <c r="H52" s="3274"/>
      <c r="I52" s="3274"/>
      <c r="J52" s="2028">
        <f>H52+I52*1</f>
        <v>0</v>
      </c>
      <c r="K52" s="3284">
        <f>J52/$J$89</f>
        <v>0</v>
      </c>
      <c r="L52" s="3311"/>
      <c r="M52" s="3274"/>
      <c r="N52" s="3274"/>
      <c r="O52" s="2028">
        <f>M52+N52*1</f>
        <v>0</v>
      </c>
      <c r="P52" s="3284">
        <f>O52/$O$89</f>
        <v>0</v>
      </c>
      <c r="Q52" s="3311"/>
      <c r="R52" s="3274"/>
      <c r="S52" s="3274"/>
      <c r="T52" s="2028">
        <f>R52+S52*1</f>
        <v>0</v>
      </c>
      <c r="U52" s="3284">
        <f>T52/$T$89</f>
        <v>0</v>
      </c>
      <c r="V52" s="3311"/>
      <c r="W52" s="3274"/>
      <c r="X52" s="3274"/>
      <c r="Y52" s="2028">
        <f>W52+X52*1</f>
        <v>0</v>
      </c>
      <c r="Z52" s="3284">
        <f>Y52/$T$89</f>
        <v>0</v>
      </c>
      <c r="AA52" s="3311"/>
      <c r="AB52" s="3274"/>
      <c r="AC52" s="3274"/>
      <c r="AD52" s="2028">
        <f>AB52+AC52*1</f>
        <v>0</v>
      </c>
      <c r="AE52" s="3284">
        <f t="shared" si="68"/>
        <v>0</v>
      </c>
      <c r="AF52" s="3311"/>
      <c r="AG52" s="3274"/>
      <c r="AH52" s="3274"/>
      <c r="AI52" s="2028">
        <f>AG52+AH52*1</f>
        <v>0</v>
      </c>
      <c r="AJ52" s="3284">
        <f>AI52/$AI$89</f>
        <v>0</v>
      </c>
      <c r="AK52" s="3311"/>
      <c r="AL52" s="3274"/>
      <c r="AM52" s="3274"/>
      <c r="AN52" s="2028">
        <f>AL52+AM52*1</f>
        <v>0</v>
      </c>
      <c r="AO52" s="3284">
        <f>AN52/$AI$89</f>
        <v>0</v>
      </c>
      <c r="AP52" s="3311"/>
      <c r="AQ52" s="3274"/>
      <c r="AR52" s="3274"/>
      <c r="AS52" s="2028">
        <f>AQ52+AR52*1</f>
        <v>0</v>
      </c>
      <c r="AT52" s="3284">
        <f t="shared" si="5"/>
        <v>0</v>
      </c>
      <c r="AU52" s="3311"/>
      <c r="AV52" s="3274">
        <v>0</v>
      </c>
      <c r="AW52" s="3274">
        <v>0</v>
      </c>
      <c r="AX52" s="2028">
        <v>0</v>
      </c>
      <c r="AY52" s="3284">
        <v>0</v>
      </c>
      <c r="AZ52" s="3311"/>
      <c r="BA52" s="3274">
        <f t="shared" si="108"/>
        <v>0</v>
      </c>
      <c r="BB52" s="3274">
        <f t="shared" si="108"/>
        <v>0</v>
      </c>
      <c r="BC52" s="2028">
        <f>BA52+BB52*1</f>
        <v>0</v>
      </c>
      <c r="BD52" s="3284">
        <f t="shared" si="107"/>
        <v>0</v>
      </c>
      <c r="BE52" s="3311"/>
      <c r="BF52" s="3274"/>
      <c r="BG52" s="3274"/>
      <c r="BH52" s="2028">
        <f>BF52+BG52*1</f>
        <v>0</v>
      </c>
      <c r="BI52" s="3284">
        <f>BH52/$AS$89</f>
        <v>0</v>
      </c>
      <c r="BJ52" s="3311"/>
      <c r="BK52" s="3274"/>
      <c r="BL52" s="3274"/>
      <c r="BM52" s="2028">
        <f>BK52+BL52*1</f>
        <v>0</v>
      </c>
      <c r="BN52" s="3284">
        <f>BM52/$E$89</f>
        <v>0</v>
      </c>
      <c r="BO52" s="3311"/>
      <c r="BP52" s="3274"/>
      <c r="BQ52" s="3274"/>
      <c r="BR52" s="2028">
        <f>BP52+BQ52*1</f>
        <v>0</v>
      </c>
      <c r="BS52" s="3284">
        <f t="shared" si="71"/>
        <v>0</v>
      </c>
      <c r="BT52" s="3311"/>
      <c r="BU52" s="3274"/>
      <c r="BV52" s="3274"/>
      <c r="BW52" s="2028">
        <f>BU52+BV52*1</f>
        <v>0</v>
      </c>
      <c r="BX52" s="3284">
        <f t="shared" si="72"/>
        <v>0</v>
      </c>
      <c r="BY52" s="3311"/>
      <c r="BZ52" s="3274"/>
      <c r="CA52" s="3274"/>
      <c r="CB52" s="2028">
        <f>BZ52+CA52*1</f>
        <v>0</v>
      </c>
      <c r="CC52" s="3284">
        <f t="shared" si="73"/>
        <v>0</v>
      </c>
      <c r="CD52" s="3311"/>
      <c r="CE52" s="3274"/>
      <c r="CF52" s="3274"/>
      <c r="CG52" s="2028">
        <f>CE52+CF52*1</f>
        <v>0</v>
      </c>
      <c r="CH52" s="3284">
        <f t="shared" si="74"/>
        <v>0</v>
      </c>
      <c r="CI52" s="3311"/>
      <c r="CJ52" s="3274"/>
      <c r="CK52" s="3274"/>
      <c r="CL52" s="2028">
        <f>CJ52+CK52*1</f>
        <v>0</v>
      </c>
      <c r="CM52" s="3284">
        <f t="shared" si="75"/>
        <v>0</v>
      </c>
      <c r="CN52" s="3311"/>
      <c r="CO52" s="3274"/>
      <c r="CP52" s="3274"/>
      <c r="CQ52" s="2028">
        <f>CO52+CP52*1</f>
        <v>0</v>
      </c>
      <c r="CR52" s="3284">
        <f t="shared" si="76"/>
        <v>0</v>
      </c>
      <c r="CS52" s="3321"/>
      <c r="CT52" s="3274"/>
      <c r="CU52" s="3274"/>
      <c r="CV52" s="2028">
        <f>CT52+CU52*1</f>
        <v>0</v>
      </c>
      <c r="CW52" s="3284">
        <f t="shared" si="77"/>
        <v>0</v>
      </c>
      <c r="CX52" s="3321"/>
      <c r="CY52" s="3274"/>
      <c r="CZ52" s="3274"/>
      <c r="DA52" s="2028">
        <f>CY52+CZ52*1</f>
        <v>0</v>
      </c>
      <c r="DB52" s="3284">
        <f t="shared" si="78"/>
        <v>0</v>
      </c>
      <c r="DC52" s="3321"/>
      <c r="DD52" s="3274"/>
      <c r="DE52" s="3274"/>
      <c r="DF52" s="2028">
        <f>DD52+DE52*1</f>
        <v>0</v>
      </c>
      <c r="DG52" s="3284">
        <f t="shared" si="79"/>
        <v>0</v>
      </c>
      <c r="DH52" s="3321"/>
      <c r="DI52" s="3274"/>
      <c r="DJ52" s="3274"/>
      <c r="DK52" s="2028">
        <f>DI52+DJ52*1</f>
        <v>0</v>
      </c>
      <c r="DL52" s="3284">
        <f t="shared" si="80"/>
        <v>0</v>
      </c>
      <c r="DM52" s="3321"/>
      <c r="DN52" s="3274">
        <f t="shared" si="109"/>
        <v>0</v>
      </c>
      <c r="DO52" s="3274">
        <f t="shared" si="109"/>
        <v>0</v>
      </c>
      <c r="DP52" s="2028">
        <f>DN52+DO52*1</f>
        <v>0</v>
      </c>
      <c r="DQ52" s="3284">
        <f t="shared" si="81"/>
        <v>0</v>
      </c>
      <c r="DR52" s="3311"/>
    </row>
    <row r="53" spans="1:122" ht="14.4" thickBot="1" x14ac:dyDescent="0.3">
      <c r="A53" s="1428"/>
      <c r="B53" s="3322"/>
      <c r="C53" s="3288"/>
      <c r="D53" s="3274"/>
      <c r="E53" s="3227"/>
      <c r="F53" s="3227"/>
      <c r="G53" s="972"/>
      <c r="H53" s="3274"/>
      <c r="I53" s="3274"/>
      <c r="J53" s="3227"/>
      <c r="K53" s="3227"/>
      <c r="L53" s="3227"/>
      <c r="M53" s="3274"/>
      <c r="N53" s="3274"/>
      <c r="O53" s="3227"/>
      <c r="P53" s="3227"/>
      <c r="Q53" s="3227"/>
      <c r="R53" s="3274"/>
      <c r="S53" s="3274"/>
      <c r="T53" s="3227"/>
      <c r="U53" s="3227"/>
      <c r="V53" s="3227"/>
      <c r="W53" s="3274"/>
      <c r="X53" s="3274"/>
      <c r="Y53" s="3227"/>
      <c r="Z53" s="3227"/>
      <c r="AA53" s="3227"/>
      <c r="AB53" s="3274"/>
      <c r="AC53" s="3274"/>
      <c r="AD53" s="3227"/>
      <c r="AE53" s="3227"/>
      <c r="AF53" s="3227"/>
      <c r="AG53" s="3274"/>
      <c r="AH53" s="3274"/>
      <c r="AI53" s="3227"/>
      <c r="AJ53" s="3227"/>
      <c r="AK53" s="3227"/>
      <c r="AL53" s="3274"/>
      <c r="AM53" s="3274"/>
      <c r="AN53" s="3227"/>
      <c r="AO53" s="3227"/>
      <c r="AP53" s="3227"/>
      <c r="AQ53" s="3274"/>
      <c r="AR53" s="3274"/>
      <c r="AS53" s="3227"/>
      <c r="AT53" s="3227"/>
      <c r="AU53" s="3227"/>
      <c r="AV53" s="3274"/>
      <c r="AW53" s="3274"/>
      <c r="AX53" s="3227"/>
      <c r="AY53" s="3227"/>
      <c r="AZ53" s="3227"/>
      <c r="BA53" s="3274"/>
      <c r="BB53" s="3274"/>
      <c r="BC53" s="3227"/>
      <c r="BD53" s="3227"/>
      <c r="BE53" s="3227"/>
      <c r="BF53" s="3274"/>
      <c r="BG53" s="3274"/>
      <c r="BH53" s="3227"/>
      <c r="BI53" s="3227"/>
      <c r="BJ53" s="3227"/>
      <c r="BK53" s="3274"/>
      <c r="BL53" s="3274"/>
      <c r="BM53" s="3227"/>
      <c r="BN53" s="3227"/>
      <c r="BO53" s="3227"/>
      <c r="BP53" s="3274"/>
      <c r="BQ53" s="3274"/>
      <c r="BR53" s="3227"/>
      <c r="BS53" s="3227"/>
      <c r="BT53" s="3227"/>
      <c r="BU53" s="3274"/>
      <c r="BV53" s="3274"/>
      <c r="BW53" s="3227"/>
      <c r="BX53" s="3227"/>
      <c r="BY53" s="3227"/>
      <c r="BZ53" s="3274"/>
      <c r="CA53" s="3274"/>
      <c r="CB53" s="3227"/>
      <c r="CC53" s="3227"/>
      <c r="CD53" s="3227"/>
      <c r="CE53" s="3274"/>
      <c r="CF53" s="3274"/>
      <c r="CG53" s="3227"/>
      <c r="CH53" s="3227"/>
      <c r="CI53" s="3227"/>
      <c r="CJ53" s="3274"/>
      <c r="CK53" s="3274"/>
      <c r="CL53" s="3227"/>
      <c r="CM53" s="3227"/>
      <c r="CN53" s="3227"/>
      <c r="CO53" s="3274"/>
      <c r="CP53" s="3274"/>
      <c r="CQ53" s="3227"/>
      <c r="CR53" s="3227"/>
      <c r="CS53" s="1328"/>
      <c r="CT53" s="3274"/>
      <c r="CU53" s="3274"/>
      <c r="CV53" s="3227"/>
      <c r="CW53" s="3227"/>
      <c r="CX53" s="1328"/>
      <c r="CY53" s="3274"/>
      <c r="CZ53" s="3274"/>
      <c r="DA53" s="3227"/>
      <c r="DB53" s="3227"/>
      <c r="DC53" s="1328"/>
      <c r="DD53" s="3274"/>
      <c r="DE53" s="3274"/>
      <c r="DF53" s="3227"/>
      <c r="DG53" s="3227"/>
      <c r="DH53" s="1328"/>
      <c r="DI53" s="3274"/>
      <c r="DJ53" s="3274"/>
      <c r="DK53" s="3227"/>
      <c r="DL53" s="3227"/>
      <c r="DM53" s="1328"/>
      <c r="DN53" s="3274"/>
      <c r="DO53" s="3274"/>
      <c r="DP53" s="3227"/>
      <c r="DQ53" s="3227"/>
      <c r="DR53" s="3227"/>
    </row>
    <row r="54" spans="1:122" ht="13.8" x14ac:dyDescent="0.25">
      <c r="A54" s="1585"/>
      <c r="B54" s="1425" t="s">
        <v>1</v>
      </c>
      <c r="C54" s="2031">
        <v>889.38</v>
      </c>
      <c r="D54" s="2031">
        <v>2149.83</v>
      </c>
      <c r="E54" s="2031">
        <v>3039.21</v>
      </c>
      <c r="F54" s="3318">
        <v>4.8607277791872803E-3</v>
      </c>
      <c r="G54" s="980"/>
      <c r="H54" s="309">
        <f>SUM(H55:H72)</f>
        <v>0</v>
      </c>
      <c r="I54" s="2031">
        <f>SUM(I55:I72)</f>
        <v>323.97000000000003</v>
      </c>
      <c r="J54" s="2031">
        <f>SUM(J55:J72)</f>
        <v>323.97000000000003</v>
      </c>
      <c r="K54" s="3318">
        <f t="shared" ref="K54:K72" si="110">J54/$J$89</f>
        <v>2.6897605821645078E-3</v>
      </c>
      <c r="L54" s="2022"/>
      <c r="M54" s="2031">
        <f>SUM(M55:M72)</f>
        <v>0</v>
      </c>
      <c r="N54" s="2031">
        <f>SUM(N55:N72)</f>
        <v>313.23</v>
      </c>
      <c r="O54" s="2031">
        <f>SUM(O55:O72)</f>
        <v>313.23</v>
      </c>
      <c r="P54" s="3318">
        <f>O54/$O$89</f>
        <v>4.5555440969550148E-4</v>
      </c>
      <c r="Q54" s="2022"/>
      <c r="R54" s="2031">
        <f>SUM(R55:R72)</f>
        <v>252.52</v>
      </c>
      <c r="S54" s="2031">
        <f>SUM(S55:S72)</f>
        <v>41</v>
      </c>
      <c r="T54" s="2031">
        <f>SUM(T55:T72)</f>
        <v>293.52</v>
      </c>
      <c r="U54" s="3318">
        <f t="shared" ref="U54:U71" si="111">T54/$T$89</f>
        <v>8.9930378915227148E-4</v>
      </c>
      <c r="V54" s="2022"/>
      <c r="W54" s="2031">
        <f>SUM(W55:W72)</f>
        <v>0</v>
      </c>
      <c r="X54" s="2031">
        <f>SUM(X55:X72)</f>
        <v>0</v>
      </c>
      <c r="Y54" s="2031">
        <f>SUM(Y55:Y72)</f>
        <v>0</v>
      </c>
      <c r="Z54" s="3318">
        <f t="shared" ref="Z54:Z71" si="112">Y54/$T$89</f>
        <v>0</v>
      </c>
      <c r="AA54" s="2022"/>
      <c r="AB54" s="2031">
        <f>SUM(AB55:AB72)</f>
        <v>0</v>
      </c>
      <c r="AC54" s="2031">
        <f>SUM(AC55:AC72)</f>
        <v>0</v>
      </c>
      <c r="AD54" s="2031">
        <f>SUM(AD55:AD72)</f>
        <v>0</v>
      </c>
      <c r="AE54" s="3318">
        <f t="shared" ref="AE54:AE71" si="113">AD54/$AD$89</f>
        <v>0</v>
      </c>
      <c r="AF54" s="2022"/>
      <c r="AG54" s="2031">
        <f>SUM(AG55:AG72)</f>
        <v>0</v>
      </c>
      <c r="AH54" s="2031">
        <f>SUM(AH55:AH72)</f>
        <v>366</v>
      </c>
      <c r="AI54" s="2031">
        <f>SUM(AI55:AI72)</f>
        <v>366</v>
      </c>
      <c r="AJ54" s="3318">
        <f t="shared" ref="AJ54:AJ71" si="114">AI54/$AI$89</f>
        <v>8.3974920019488329E-3</v>
      </c>
      <c r="AK54" s="2022"/>
      <c r="AL54" s="2031">
        <f>SUM(AL55:AL72)</f>
        <v>0</v>
      </c>
      <c r="AM54" s="2031">
        <f>SUM(AM55:AM72)</f>
        <v>1800</v>
      </c>
      <c r="AN54" s="2031">
        <f>SUM(AN55:AN72)</f>
        <v>1800</v>
      </c>
      <c r="AO54" s="3318">
        <f t="shared" ref="AO54:AO71" si="115">AN54/$AI$89</f>
        <v>4.1299140993190979E-2</v>
      </c>
      <c r="AP54" s="2022"/>
      <c r="AQ54" s="2031">
        <f>SUM(AQ55:AQ72)</f>
        <v>0</v>
      </c>
      <c r="AR54" s="2031">
        <f>SUM(AR55:AR72)</f>
        <v>0</v>
      </c>
      <c r="AS54" s="2031">
        <f>SUM(AS55:AS72)</f>
        <v>0</v>
      </c>
      <c r="AT54" s="3318">
        <f t="shared" si="5"/>
        <v>0</v>
      </c>
      <c r="AU54" s="2022"/>
      <c r="AV54" s="2031">
        <v>447</v>
      </c>
      <c r="AW54" s="2031">
        <v>363</v>
      </c>
      <c r="AX54" s="2031">
        <v>810</v>
      </c>
      <c r="AY54" s="3318">
        <v>2.481725501544494E-3</v>
      </c>
      <c r="AZ54" s="2022"/>
      <c r="BA54" s="2031">
        <f>SUM(BA55:BA72)</f>
        <v>50</v>
      </c>
      <c r="BB54" s="2031">
        <f>SUM(BB55:BB72)</f>
        <v>0</v>
      </c>
      <c r="BC54" s="2031">
        <f>SUM(BC55:BC72)</f>
        <v>50</v>
      </c>
      <c r="BD54" s="3318">
        <f t="shared" ref="BD54:BD71" si="116">BC54/$T$89</f>
        <v>1.5319293219410459E-4</v>
      </c>
      <c r="BE54" s="2022"/>
      <c r="BF54" s="2031">
        <f>SUM(BF55:BF72)</f>
        <v>0</v>
      </c>
      <c r="BG54" s="2031">
        <f>SUM(BG55:BG72)</f>
        <v>0</v>
      </c>
      <c r="BH54" s="2031">
        <f>SUM(BH55:BH72)</f>
        <v>0</v>
      </c>
      <c r="BI54" s="3318">
        <f t="shared" ref="BI54:BI71" si="117">BH54/$AS$89</f>
        <v>0</v>
      </c>
      <c r="BJ54" s="2022"/>
      <c r="BK54" s="2031">
        <f>SUM(BK55:BK72)</f>
        <v>0</v>
      </c>
      <c r="BL54" s="2031">
        <f>SUM(BL55:BL72)</f>
        <v>0</v>
      </c>
      <c r="BM54" s="2031">
        <f>SUM(BM55:BM72)</f>
        <v>0</v>
      </c>
      <c r="BN54" s="3318">
        <f t="shared" ref="BN54:BN71" si="118">BM54/$E$89</f>
        <v>0</v>
      </c>
      <c r="BO54" s="2022"/>
      <c r="BP54" s="2031">
        <f>SUM(BP55:BP72)</f>
        <v>50</v>
      </c>
      <c r="BQ54" s="2031">
        <f>SUM(BQ55:BQ72)</f>
        <v>0</v>
      </c>
      <c r="BR54" s="2031">
        <f>SUM(BR55:BR72)</f>
        <v>50</v>
      </c>
      <c r="BS54" s="3318">
        <f t="shared" ref="BS54:BS71" si="119">BR54/$AD$89</f>
        <v>3.822444730894262E-4</v>
      </c>
      <c r="BT54" s="2022"/>
      <c r="BU54" s="2031">
        <f>SUM(BU55:BU72)</f>
        <v>0</v>
      </c>
      <c r="BV54" s="2031">
        <f>SUM(BV55:BV72)</f>
        <v>0</v>
      </c>
      <c r="BW54" s="2031">
        <f>SUM(BW55:BW72)</f>
        <v>0</v>
      </c>
      <c r="BX54" s="3318">
        <f t="shared" ref="BX54:BX71" si="120">BW54/$AD$89</f>
        <v>0</v>
      </c>
      <c r="BY54" s="2022"/>
      <c r="BZ54" s="2031">
        <f>SUM(BZ55:BZ72)</f>
        <v>0</v>
      </c>
      <c r="CA54" s="2031">
        <f>SUM(CA55:CA72)</f>
        <v>0</v>
      </c>
      <c r="CB54" s="2031">
        <f>SUM(CB55:CB72)</f>
        <v>0</v>
      </c>
      <c r="CC54" s="3318">
        <f t="shared" ref="CC54:CC71" si="121">CB54/$AD$89</f>
        <v>0</v>
      </c>
      <c r="CD54" s="2022"/>
      <c r="CE54" s="2031">
        <f>SUM(CE55:CE72)</f>
        <v>0</v>
      </c>
      <c r="CF54" s="2031">
        <f>SUM(CF55:CF72)</f>
        <v>0</v>
      </c>
      <c r="CG54" s="2031">
        <f>SUM(CG55:CG72)</f>
        <v>0</v>
      </c>
      <c r="CH54" s="3318">
        <f t="shared" ref="CH54:CH71" si="122">CG54/$AD$89</f>
        <v>0</v>
      </c>
      <c r="CI54" s="2022"/>
      <c r="CJ54" s="2031">
        <f>SUM(CJ55:CJ72)</f>
        <v>0</v>
      </c>
      <c r="CK54" s="2031">
        <f>SUM(CK55:CK72)</f>
        <v>0</v>
      </c>
      <c r="CL54" s="2031">
        <f>SUM(CL55:CL72)</f>
        <v>0</v>
      </c>
      <c r="CM54" s="3318">
        <f t="shared" ref="CM54:CM71" si="123">CL54/$AI$89</f>
        <v>0</v>
      </c>
      <c r="CN54" s="2022"/>
      <c r="CO54" s="2031">
        <f>SUM(CO55:CO72)</f>
        <v>0</v>
      </c>
      <c r="CP54" s="2031">
        <f>SUM(CP55:CP72)</f>
        <v>0</v>
      </c>
      <c r="CQ54" s="2031">
        <f>SUM(CQ55:CQ72)</f>
        <v>0</v>
      </c>
      <c r="CR54" s="3318">
        <f t="shared" ref="CR54:CR71" si="124">CQ54/$AI$89</f>
        <v>0</v>
      </c>
      <c r="CS54" s="1460"/>
      <c r="CT54" s="2031">
        <f>SUM(CT55:CT72)</f>
        <v>0</v>
      </c>
      <c r="CU54" s="2031">
        <f>SUM(CU55:CU72)</f>
        <v>0</v>
      </c>
      <c r="CV54" s="2031">
        <f>SUM(CV55:CV72)</f>
        <v>0</v>
      </c>
      <c r="CW54" s="3318">
        <f t="shared" ref="CW54:CW71" si="125">CV54/$AI$89</f>
        <v>0</v>
      </c>
      <c r="CX54" s="1460"/>
      <c r="CY54" s="2031">
        <f>SUM(CY55:CY72)</f>
        <v>0</v>
      </c>
      <c r="CZ54" s="2031">
        <f>SUM(CZ55:CZ72)</f>
        <v>0</v>
      </c>
      <c r="DA54" s="2031">
        <f>SUM(DA55:DA72)</f>
        <v>0</v>
      </c>
      <c r="DB54" s="3318">
        <f t="shared" ref="DB54:DB71" si="126">DA54/$AI$89</f>
        <v>0</v>
      </c>
      <c r="DC54" s="1460"/>
      <c r="DD54" s="2031">
        <f>SUM(DD55:DD72)</f>
        <v>0</v>
      </c>
      <c r="DE54" s="2031">
        <f>SUM(DE55:DE72)</f>
        <v>0</v>
      </c>
      <c r="DF54" s="2031">
        <f>SUM(DF55:DF72)</f>
        <v>0</v>
      </c>
      <c r="DG54" s="3318">
        <f t="shared" ref="DG54:DG71" si="127">DF54/$AI$89</f>
        <v>0</v>
      </c>
      <c r="DH54" s="1460"/>
      <c r="DI54" s="2031">
        <f>SUM(DI55:DI72)</f>
        <v>0</v>
      </c>
      <c r="DJ54" s="2031">
        <f>SUM(DJ55:DJ72)</f>
        <v>0</v>
      </c>
      <c r="DK54" s="2031">
        <f>SUM(DK55:DK72)</f>
        <v>0</v>
      </c>
      <c r="DL54" s="3318">
        <f t="shared" ref="DL54:DL71" si="128">DK54/$AI$89</f>
        <v>0</v>
      </c>
      <c r="DM54" s="1460"/>
      <c r="DN54" s="2031">
        <f>SUM(DN55:DN72)</f>
        <v>749.52</v>
      </c>
      <c r="DO54" s="2031">
        <f>SUM(DO55:DO72)</f>
        <v>2570</v>
      </c>
      <c r="DP54" s="2031">
        <f>SUM(DP55:DP72)</f>
        <v>3319.52</v>
      </c>
      <c r="DQ54" s="3318">
        <f t="shared" si="81"/>
        <v>1.3044422743666967E-3</v>
      </c>
      <c r="DR54" s="2022"/>
    </row>
    <row r="55" spans="1:122" ht="13.8" x14ac:dyDescent="0.25">
      <c r="A55" s="1586"/>
      <c r="B55" s="3310" t="s">
        <v>77</v>
      </c>
      <c r="C55" s="3398">
        <v>0</v>
      </c>
      <c r="D55" s="3283">
        <v>0</v>
      </c>
      <c r="E55" s="2028">
        <v>0</v>
      </c>
      <c r="F55" s="3284">
        <v>0</v>
      </c>
      <c r="G55" s="3143"/>
      <c r="H55" s="3283"/>
      <c r="I55" s="3283"/>
      <c r="J55" s="2028">
        <f t="shared" ref="J55:J71" si="129">H55+I55*1</f>
        <v>0</v>
      </c>
      <c r="K55" s="3284">
        <f t="shared" si="110"/>
        <v>0</v>
      </c>
      <c r="L55" s="3295"/>
      <c r="M55" s="3283"/>
      <c r="N55" s="3283"/>
      <c r="O55" s="2028">
        <f t="shared" ref="O55:O71" si="130">M55+N55*1</f>
        <v>0</v>
      </c>
      <c r="P55" s="3284">
        <f>O55/$O$89</f>
        <v>0</v>
      </c>
      <c r="Q55" s="3295"/>
      <c r="R55" s="3283"/>
      <c r="S55" s="3283"/>
      <c r="T55" s="2028">
        <f t="shared" ref="T55:T71" si="131">R55+S55*1</f>
        <v>0</v>
      </c>
      <c r="U55" s="3284">
        <f t="shared" si="111"/>
        <v>0</v>
      </c>
      <c r="V55" s="3295"/>
      <c r="W55" s="3283"/>
      <c r="X55" s="3283"/>
      <c r="Y55" s="2028">
        <f t="shared" ref="Y55:Y71" si="132">W55+X55*1</f>
        <v>0</v>
      </c>
      <c r="Z55" s="3284">
        <f t="shared" si="112"/>
        <v>0</v>
      </c>
      <c r="AA55" s="3295"/>
      <c r="AB55" s="3283"/>
      <c r="AC55" s="3283"/>
      <c r="AD55" s="2028">
        <f t="shared" ref="AD55:AD71" si="133">AB55+AC55*1</f>
        <v>0</v>
      </c>
      <c r="AE55" s="3284">
        <f t="shared" si="113"/>
        <v>0</v>
      </c>
      <c r="AF55" s="3295"/>
      <c r="AG55" s="3283"/>
      <c r="AH55" s="3283"/>
      <c r="AI55" s="2028">
        <f t="shared" ref="AI55:AI71" si="134">AG55+AH55*1</f>
        <v>0</v>
      </c>
      <c r="AJ55" s="3284">
        <f t="shared" si="114"/>
        <v>0</v>
      </c>
      <c r="AK55" s="3275"/>
      <c r="AL55" s="3283"/>
      <c r="AM55" s="3283"/>
      <c r="AN55" s="2028">
        <f t="shared" ref="AN55:AN71" si="135">AL55+AM55*1</f>
        <v>0</v>
      </c>
      <c r="AO55" s="3284">
        <f t="shared" si="115"/>
        <v>0</v>
      </c>
      <c r="AP55" s="3295"/>
      <c r="AQ55" s="3283"/>
      <c r="AR55" s="3283"/>
      <c r="AS55" s="2028">
        <f t="shared" ref="AS55:AS71" si="136">AQ55+AR55*1</f>
        <v>0</v>
      </c>
      <c r="AT55" s="3284">
        <f t="shared" si="5"/>
        <v>0</v>
      </c>
      <c r="AU55" s="3295"/>
      <c r="AV55" s="3274">
        <v>0</v>
      </c>
      <c r="AW55" s="3274">
        <v>0</v>
      </c>
      <c r="AX55" s="2028">
        <v>0</v>
      </c>
      <c r="AY55" s="3284">
        <v>0</v>
      </c>
      <c r="AZ55" s="3295"/>
      <c r="BA55" s="3274">
        <f t="shared" ref="BA55:BB71" si="137">BF55+BK55+BP55+BU55+BZ55+CE55+CJ55+CO55+CT55+CY55+DD55+DI55</f>
        <v>0</v>
      </c>
      <c r="BB55" s="3274">
        <f t="shared" si="137"/>
        <v>0</v>
      </c>
      <c r="BC55" s="2028">
        <f t="shared" ref="BC55:BC71" si="138">BA55+BB55*1</f>
        <v>0</v>
      </c>
      <c r="BD55" s="3284">
        <f t="shared" si="116"/>
        <v>0</v>
      </c>
      <c r="BE55" s="3295"/>
      <c r="BF55" s="3283"/>
      <c r="BG55" s="3283"/>
      <c r="BH55" s="2028">
        <f t="shared" ref="BH55:BH71" si="139">BF55+BG55*1</f>
        <v>0</v>
      </c>
      <c r="BI55" s="3284">
        <f t="shared" si="117"/>
        <v>0</v>
      </c>
      <c r="BJ55" s="3295"/>
      <c r="BK55" s="3283"/>
      <c r="BL55" s="3283"/>
      <c r="BM55" s="2028">
        <f t="shared" ref="BM55:BM71" si="140">BK55+BL55*1</f>
        <v>0</v>
      </c>
      <c r="BN55" s="3284">
        <f t="shared" si="118"/>
        <v>0</v>
      </c>
      <c r="BO55" s="3295"/>
      <c r="BP55" s="3283"/>
      <c r="BQ55" s="3283"/>
      <c r="BR55" s="2028">
        <f t="shared" ref="BR55:BR71" si="141">BP55+BQ55*1</f>
        <v>0</v>
      </c>
      <c r="BS55" s="3284">
        <f t="shared" si="119"/>
        <v>0</v>
      </c>
      <c r="BT55" s="3295"/>
      <c r="BU55" s="3283"/>
      <c r="BV55" s="3283"/>
      <c r="BW55" s="2028">
        <f t="shared" ref="BW55:BW71" si="142">BU55+BV55*1</f>
        <v>0</v>
      </c>
      <c r="BX55" s="3284">
        <f t="shared" si="120"/>
        <v>0</v>
      </c>
      <c r="BY55" s="3295"/>
      <c r="BZ55" s="3283"/>
      <c r="CA55" s="3283"/>
      <c r="CB55" s="2028">
        <f t="shared" ref="CB55:CB71" si="143">BZ55+CA55*1</f>
        <v>0</v>
      </c>
      <c r="CC55" s="3284">
        <f t="shared" si="121"/>
        <v>0</v>
      </c>
      <c r="CD55" s="3295"/>
      <c r="CE55" s="3283"/>
      <c r="CF55" s="3283"/>
      <c r="CG55" s="2028">
        <f t="shared" ref="CG55:CG71" si="144">CE55+CF55*1</f>
        <v>0</v>
      </c>
      <c r="CH55" s="3284">
        <f t="shared" si="122"/>
        <v>0</v>
      </c>
      <c r="CI55" s="3295"/>
      <c r="CJ55" s="3283"/>
      <c r="CK55" s="3283"/>
      <c r="CL55" s="2028">
        <f t="shared" ref="CL55:CL71" si="145">CJ55+CK55*1</f>
        <v>0</v>
      </c>
      <c r="CM55" s="3284">
        <f t="shared" si="123"/>
        <v>0</v>
      </c>
      <c r="CN55" s="3295"/>
      <c r="CO55" s="3283"/>
      <c r="CP55" s="3283"/>
      <c r="CQ55" s="2028">
        <f t="shared" ref="CQ55:CQ71" si="146">CO55+CP55*1</f>
        <v>0</v>
      </c>
      <c r="CR55" s="3284">
        <f t="shared" si="124"/>
        <v>0</v>
      </c>
      <c r="CS55" s="1449"/>
      <c r="CT55" s="3283"/>
      <c r="CU55" s="3283"/>
      <c r="CV55" s="2028">
        <f t="shared" ref="CV55:CV71" si="147">CT55+CU55*1</f>
        <v>0</v>
      </c>
      <c r="CW55" s="3284">
        <f t="shared" si="125"/>
        <v>0</v>
      </c>
      <c r="CX55" s="1449"/>
      <c r="CY55" s="3283"/>
      <c r="CZ55" s="3283"/>
      <c r="DA55" s="2028">
        <f t="shared" ref="DA55:DA71" si="148">CY55+CZ55*1</f>
        <v>0</v>
      </c>
      <c r="DB55" s="3284">
        <f t="shared" si="126"/>
        <v>0</v>
      </c>
      <c r="DC55" s="1449"/>
      <c r="DD55" s="3283"/>
      <c r="DE55" s="3283"/>
      <c r="DF55" s="2028">
        <f t="shared" ref="DF55:DF71" si="149">DD55+DE55*1</f>
        <v>0</v>
      </c>
      <c r="DG55" s="3284">
        <f t="shared" si="127"/>
        <v>0</v>
      </c>
      <c r="DH55" s="1449"/>
      <c r="DI55" s="3283"/>
      <c r="DJ55" s="3283"/>
      <c r="DK55" s="2028">
        <f t="shared" ref="DK55:DK71" si="150">DI55+DJ55*1</f>
        <v>0</v>
      </c>
      <c r="DL55" s="3284">
        <f t="shared" si="128"/>
        <v>0</v>
      </c>
      <c r="DM55" s="1449"/>
      <c r="DN55" s="3274">
        <f t="shared" ref="DN55:DO71" si="151">R55+W55+AB55+AG55+AL55+AQ55+BF55+BK55+BP55+BU55+BZ55+CE55+CJ55+CO55+CT55+CY55+DD55+DI55+AV55</f>
        <v>0</v>
      </c>
      <c r="DO55" s="3274">
        <f t="shared" si="151"/>
        <v>0</v>
      </c>
      <c r="DP55" s="2028">
        <f t="shared" ref="DP55:DP71" si="152">DN55+DO55*1</f>
        <v>0</v>
      </c>
      <c r="DQ55" s="3284">
        <f t="shared" si="81"/>
        <v>0</v>
      </c>
      <c r="DR55" s="3295"/>
    </row>
    <row r="56" spans="1:122" ht="13.8" x14ac:dyDescent="0.25">
      <c r="A56" s="1586"/>
      <c r="B56" s="3310" t="s">
        <v>76</v>
      </c>
      <c r="C56" s="3398">
        <v>0</v>
      </c>
      <c r="D56" s="3283">
        <v>0</v>
      </c>
      <c r="E56" s="2028">
        <v>0</v>
      </c>
      <c r="F56" s="3284">
        <v>0</v>
      </c>
      <c r="G56" s="3143"/>
      <c r="H56" s="3283"/>
      <c r="I56" s="3283"/>
      <c r="J56" s="2028">
        <f t="shared" si="129"/>
        <v>0</v>
      </c>
      <c r="K56" s="3284">
        <f t="shared" si="110"/>
        <v>0</v>
      </c>
      <c r="L56" s="3295"/>
      <c r="M56" s="3283"/>
      <c r="N56" s="3283"/>
      <c r="O56" s="2028">
        <f t="shared" si="130"/>
        <v>0</v>
      </c>
      <c r="P56" s="3284">
        <f t="shared" ref="P56:P72" si="153">O56/$O$89</f>
        <v>0</v>
      </c>
      <c r="Q56" s="3295"/>
      <c r="R56" s="3283"/>
      <c r="S56" s="3283"/>
      <c r="T56" s="2028">
        <f t="shared" si="131"/>
        <v>0</v>
      </c>
      <c r="U56" s="3284">
        <f t="shared" si="111"/>
        <v>0</v>
      </c>
      <c r="V56" s="3295"/>
      <c r="W56" s="3283"/>
      <c r="X56" s="3283"/>
      <c r="Y56" s="2028">
        <f t="shared" si="132"/>
        <v>0</v>
      </c>
      <c r="Z56" s="3284">
        <f t="shared" si="112"/>
        <v>0</v>
      </c>
      <c r="AA56" s="3295"/>
      <c r="AB56" s="3283"/>
      <c r="AC56" s="3283"/>
      <c r="AD56" s="2028">
        <f t="shared" si="133"/>
        <v>0</v>
      </c>
      <c r="AE56" s="3284">
        <f t="shared" si="113"/>
        <v>0</v>
      </c>
      <c r="AF56" s="3295"/>
      <c r="AG56" s="3283"/>
      <c r="AH56" s="3283"/>
      <c r="AI56" s="2028">
        <f t="shared" si="134"/>
        <v>0</v>
      </c>
      <c r="AJ56" s="3284">
        <f t="shared" si="114"/>
        <v>0</v>
      </c>
      <c r="AK56" s="3295"/>
      <c r="AL56" s="3283"/>
      <c r="AM56" s="3283"/>
      <c r="AN56" s="2028">
        <f t="shared" si="135"/>
        <v>0</v>
      </c>
      <c r="AO56" s="3284">
        <f t="shared" si="115"/>
        <v>0</v>
      </c>
      <c r="AP56" s="3295"/>
      <c r="AQ56" s="3283"/>
      <c r="AR56" s="3283"/>
      <c r="AS56" s="2028">
        <f t="shared" si="136"/>
        <v>0</v>
      </c>
      <c r="AT56" s="3284">
        <f t="shared" si="5"/>
        <v>0</v>
      </c>
      <c r="AU56" s="3295"/>
      <c r="AV56" s="3274">
        <v>0</v>
      </c>
      <c r="AW56" s="3274">
        <v>0</v>
      </c>
      <c r="AX56" s="2028">
        <v>0</v>
      </c>
      <c r="AY56" s="3284">
        <v>0</v>
      </c>
      <c r="AZ56" s="3295"/>
      <c r="BA56" s="3274">
        <f t="shared" si="137"/>
        <v>0</v>
      </c>
      <c r="BB56" s="3274">
        <f t="shared" si="137"/>
        <v>0</v>
      </c>
      <c r="BC56" s="2028">
        <f t="shared" si="138"/>
        <v>0</v>
      </c>
      <c r="BD56" s="3284">
        <f t="shared" si="116"/>
        <v>0</v>
      </c>
      <c r="BE56" s="3295"/>
      <c r="BF56" s="3283"/>
      <c r="BG56" s="3283"/>
      <c r="BH56" s="2028">
        <f t="shared" si="139"/>
        <v>0</v>
      </c>
      <c r="BI56" s="3284">
        <f t="shared" si="117"/>
        <v>0</v>
      </c>
      <c r="BJ56" s="3295"/>
      <c r="BK56" s="3283"/>
      <c r="BL56" s="3283"/>
      <c r="BM56" s="2028">
        <f t="shared" si="140"/>
        <v>0</v>
      </c>
      <c r="BN56" s="3284">
        <f t="shared" si="118"/>
        <v>0</v>
      </c>
      <c r="BO56" s="3295"/>
      <c r="BP56" s="3283"/>
      <c r="BQ56" s="3283"/>
      <c r="BR56" s="2028">
        <f t="shared" si="141"/>
        <v>0</v>
      </c>
      <c r="BS56" s="3284">
        <f t="shared" si="119"/>
        <v>0</v>
      </c>
      <c r="BT56" s="3295"/>
      <c r="BU56" s="3283"/>
      <c r="BV56" s="3283"/>
      <c r="BW56" s="2028">
        <f t="shared" si="142"/>
        <v>0</v>
      </c>
      <c r="BX56" s="3284">
        <f t="shared" si="120"/>
        <v>0</v>
      </c>
      <c r="BY56" s="3295"/>
      <c r="BZ56" s="3283"/>
      <c r="CA56" s="3283"/>
      <c r="CB56" s="2028">
        <f t="shared" si="143"/>
        <v>0</v>
      </c>
      <c r="CC56" s="3284">
        <f t="shared" si="121"/>
        <v>0</v>
      </c>
      <c r="CD56" s="3295"/>
      <c r="CE56" s="3283"/>
      <c r="CF56" s="3283"/>
      <c r="CG56" s="2028">
        <f t="shared" si="144"/>
        <v>0</v>
      </c>
      <c r="CH56" s="3284">
        <f t="shared" si="122"/>
        <v>0</v>
      </c>
      <c r="CI56" s="3295"/>
      <c r="CJ56" s="3283"/>
      <c r="CK56" s="3283"/>
      <c r="CL56" s="2028">
        <f t="shared" si="145"/>
        <v>0</v>
      </c>
      <c r="CM56" s="3284">
        <f t="shared" si="123"/>
        <v>0</v>
      </c>
      <c r="CN56" s="3295"/>
      <c r="CO56" s="3283"/>
      <c r="CP56" s="3283"/>
      <c r="CQ56" s="2028">
        <f t="shared" si="146"/>
        <v>0</v>
      </c>
      <c r="CR56" s="3284">
        <f t="shared" si="124"/>
        <v>0</v>
      </c>
      <c r="CS56" s="1449"/>
      <c r="CT56" s="3283"/>
      <c r="CU56" s="3283"/>
      <c r="CV56" s="2028">
        <f t="shared" si="147"/>
        <v>0</v>
      </c>
      <c r="CW56" s="3284">
        <f t="shared" si="125"/>
        <v>0</v>
      </c>
      <c r="CX56" s="1449"/>
      <c r="CY56" s="3283"/>
      <c r="CZ56" s="3283"/>
      <c r="DA56" s="2028">
        <f t="shared" si="148"/>
        <v>0</v>
      </c>
      <c r="DB56" s="3284">
        <f t="shared" si="126"/>
        <v>0</v>
      </c>
      <c r="DC56" s="1449"/>
      <c r="DD56" s="3283"/>
      <c r="DE56" s="3283"/>
      <c r="DF56" s="2028">
        <f t="shared" si="149"/>
        <v>0</v>
      </c>
      <c r="DG56" s="3284">
        <f t="shared" si="127"/>
        <v>0</v>
      </c>
      <c r="DH56" s="1449"/>
      <c r="DI56" s="3283"/>
      <c r="DJ56" s="3283"/>
      <c r="DK56" s="2028">
        <f t="shared" si="150"/>
        <v>0</v>
      </c>
      <c r="DL56" s="3284">
        <f t="shared" si="128"/>
        <v>0</v>
      </c>
      <c r="DM56" s="1449"/>
      <c r="DN56" s="3274">
        <f t="shared" si="151"/>
        <v>0</v>
      </c>
      <c r="DO56" s="3274">
        <f t="shared" si="151"/>
        <v>0</v>
      </c>
      <c r="DP56" s="2028">
        <f t="shared" si="152"/>
        <v>0</v>
      </c>
      <c r="DQ56" s="3284">
        <f t="shared" si="81"/>
        <v>0</v>
      </c>
      <c r="DR56" s="3295"/>
    </row>
    <row r="57" spans="1:122" ht="13.8" x14ac:dyDescent="0.25">
      <c r="A57" s="1586"/>
      <c r="B57" s="3310" t="s">
        <v>68</v>
      </c>
      <c r="C57" s="3398">
        <v>0</v>
      </c>
      <c r="D57" s="3283">
        <v>0</v>
      </c>
      <c r="E57" s="2028">
        <v>0</v>
      </c>
      <c r="F57" s="3284">
        <v>0</v>
      </c>
      <c r="G57" s="3143"/>
      <c r="H57" s="3283"/>
      <c r="I57" s="3283"/>
      <c r="J57" s="2028">
        <f t="shared" si="129"/>
        <v>0</v>
      </c>
      <c r="K57" s="3284">
        <f t="shared" si="110"/>
        <v>0</v>
      </c>
      <c r="L57" s="3295"/>
      <c r="M57" s="3283"/>
      <c r="N57" s="3283"/>
      <c r="O57" s="2028">
        <f t="shared" si="130"/>
        <v>0</v>
      </c>
      <c r="P57" s="3284">
        <f t="shared" si="153"/>
        <v>0</v>
      </c>
      <c r="Q57" s="3295"/>
      <c r="R57" s="3283"/>
      <c r="S57" s="3283"/>
      <c r="T57" s="2028">
        <f t="shared" si="131"/>
        <v>0</v>
      </c>
      <c r="U57" s="3284">
        <f t="shared" si="111"/>
        <v>0</v>
      </c>
      <c r="V57" s="3295"/>
      <c r="W57" s="3283"/>
      <c r="X57" s="3283"/>
      <c r="Y57" s="2028">
        <f t="shared" si="132"/>
        <v>0</v>
      </c>
      <c r="Z57" s="3284">
        <f t="shared" si="112"/>
        <v>0</v>
      </c>
      <c r="AA57" s="3295"/>
      <c r="AB57" s="3283"/>
      <c r="AC57" s="3283"/>
      <c r="AD57" s="2028">
        <f t="shared" si="133"/>
        <v>0</v>
      </c>
      <c r="AE57" s="3284">
        <f t="shared" si="113"/>
        <v>0</v>
      </c>
      <c r="AF57" s="3295"/>
      <c r="AG57" s="3283"/>
      <c r="AH57" s="3283"/>
      <c r="AI57" s="2028">
        <f t="shared" si="134"/>
        <v>0</v>
      </c>
      <c r="AJ57" s="3284">
        <f t="shared" si="114"/>
        <v>0</v>
      </c>
      <c r="AK57" s="3295"/>
      <c r="AL57" s="3283"/>
      <c r="AM57" s="3283"/>
      <c r="AN57" s="2028">
        <f t="shared" si="135"/>
        <v>0</v>
      </c>
      <c r="AO57" s="3284">
        <f t="shared" si="115"/>
        <v>0</v>
      </c>
      <c r="AP57" s="3295"/>
      <c r="AQ57" s="3283"/>
      <c r="AR57" s="3283"/>
      <c r="AS57" s="2028">
        <f t="shared" si="136"/>
        <v>0</v>
      </c>
      <c r="AT57" s="3284">
        <f t="shared" si="5"/>
        <v>0</v>
      </c>
      <c r="AU57" s="3295"/>
      <c r="AV57" s="3274">
        <v>0</v>
      </c>
      <c r="AW57" s="3274">
        <v>0</v>
      </c>
      <c r="AX57" s="2028">
        <v>0</v>
      </c>
      <c r="AY57" s="3284">
        <v>0</v>
      </c>
      <c r="AZ57" s="3295"/>
      <c r="BA57" s="3274">
        <f t="shared" si="137"/>
        <v>0</v>
      </c>
      <c r="BB57" s="3274">
        <f t="shared" si="137"/>
        <v>0</v>
      </c>
      <c r="BC57" s="2028">
        <f t="shared" si="138"/>
        <v>0</v>
      </c>
      <c r="BD57" s="3284">
        <f t="shared" si="116"/>
        <v>0</v>
      </c>
      <c r="BE57" s="3295"/>
      <c r="BF57" s="3283"/>
      <c r="BG57" s="3283"/>
      <c r="BH57" s="2028">
        <f t="shared" si="139"/>
        <v>0</v>
      </c>
      <c r="BI57" s="3284">
        <f t="shared" si="117"/>
        <v>0</v>
      </c>
      <c r="BJ57" s="3295"/>
      <c r="BK57" s="3283"/>
      <c r="BL57" s="3283"/>
      <c r="BM57" s="2028">
        <f t="shared" si="140"/>
        <v>0</v>
      </c>
      <c r="BN57" s="3284">
        <f t="shared" si="118"/>
        <v>0</v>
      </c>
      <c r="BO57" s="3295"/>
      <c r="BP57" s="3283"/>
      <c r="BQ57" s="3283"/>
      <c r="BR57" s="2028">
        <f t="shared" si="141"/>
        <v>0</v>
      </c>
      <c r="BS57" s="3284">
        <f t="shared" si="119"/>
        <v>0</v>
      </c>
      <c r="BT57" s="3295"/>
      <c r="BU57" s="3283"/>
      <c r="BV57" s="3283"/>
      <c r="BW57" s="2028">
        <f t="shared" si="142"/>
        <v>0</v>
      </c>
      <c r="BX57" s="3284">
        <f t="shared" si="120"/>
        <v>0</v>
      </c>
      <c r="BY57" s="3295"/>
      <c r="BZ57" s="3283"/>
      <c r="CA57" s="3283"/>
      <c r="CB57" s="2028">
        <f t="shared" si="143"/>
        <v>0</v>
      </c>
      <c r="CC57" s="3284">
        <f t="shared" si="121"/>
        <v>0</v>
      </c>
      <c r="CD57" s="3295"/>
      <c r="CE57" s="3283"/>
      <c r="CF57" s="3283"/>
      <c r="CG57" s="2028">
        <f t="shared" si="144"/>
        <v>0</v>
      </c>
      <c r="CH57" s="3284">
        <f t="shared" si="122"/>
        <v>0</v>
      </c>
      <c r="CI57" s="3295"/>
      <c r="CJ57" s="3283"/>
      <c r="CK57" s="3283"/>
      <c r="CL57" s="2028">
        <f t="shared" si="145"/>
        <v>0</v>
      </c>
      <c r="CM57" s="3284">
        <f t="shared" si="123"/>
        <v>0</v>
      </c>
      <c r="CN57" s="3295"/>
      <c r="CO57" s="3283"/>
      <c r="CP57" s="3283"/>
      <c r="CQ57" s="2028">
        <f t="shared" si="146"/>
        <v>0</v>
      </c>
      <c r="CR57" s="3284">
        <f t="shared" si="124"/>
        <v>0</v>
      </c>
      <c r="CS57" s="1449"/>
      <c r="CT57" s="3283"/>
      <c r="CU57" s="3283"/>
      <c r="CV57" s="2028">
        <f t="shared" si="147"/>
        <v>0</v>
      </c>
      <c r="CW57" s="3284">
        <f t="shared" si="125"/>
        <v>0</v>
      </c>
      <c r="CX57" s="1449"/>
      <c r="CY57" s="3283"/>
      <c r="CZ57" s="3283"/>
      <c r="DA57" s="2028">
        <f t="shared" si="148"/>
        <v>0</v>
      </c>
      <c r="DB57" s="3284">
        <f t="shared" si="126"/>
        <v>0</v>
      </c>
      <c r="DC57" s="1449"/>
      <c r="DD57" s="3283"/>
      <c r="DE57" s="3283"/>
      <c r="DF57" s="2028">
        <f t="shared" si="149"/>
        <v>0</v>
      </c>
      <c r="DG57" s="3284">
        <f t="shared" si="127"/>
        <v>0</v>
      </c>
      <c r="DH57" s="1449"/>
      <c r="DI57" s="3283"/>
      <c r="DJ57" s="3283"/>
      <c r="DK57" s="2028">
        <f t="shared" si="150"/>
        <v>0</v>
      </c>
      <c r="DL57" s="3284">
        <f t="shared" si="128"/>
        <v>0</v>
      </c>
      <c r="DM57" s="1449"/>
      <c r="DN57" s="3274">
        <f t="shared" si="151"/>
        <v>0</v>
      </c>
      <c r="DO57" s="3274">
        <f t="shared" si="151"/>
        <v>0</v>
      </c>
      <c r="DP57" s="2028">
        <f t="shared" si="152"/>
        <v>0</v>
      </c>
      <c r="DQ57" s="3284">
        <f t="shared" si="81"/>
        <v>0</v>
      </c>
      <c r="DR57" s="3295"/>
    </row>
    <row r="58" spans="1:122" ht="13.8" x14ac:dyDescent="0.25">
      <c r="A58" s="1586"/>
      <c r="B58" s="3310" t="s">
        <v>67</v>
      </c>
      <c r="C58" s="3398">
        <v>0</v>
      </c>
      <c r="D58" s="3283">
        <v>0</v>
      </c>
      <c r="E58" s="2028">
        <v>0</v>
      </c>
      <c r="F58" s="3284">
        <v>0</v>
      </c>
      <c r="G58" s="3143"/>
      <c r="H58" s="3283"/>
      <c r="I58" s="3283"/>
      <c r="J58" s="2028">
        <f t="shared" si="129"/>
        <v>0</v>
      </c>
      <c r="K58" s="3284">
        <f t="shared" si="110"/>
        <v>0</v>
      </c>
      <c r="L58" s="3295"/>
      <c r="M58" s="3283"/>
      <c r="N58" s="3283"/>
      <c r="O58" s="2028">
        <f t="shared" si="130"/>
        <v>0</v>
      </c>
      <c r="P58" s="3284">
        <f t="shared" si="153"/>
        <v>0</v>
      </c>
      <c r="Q58" s="3295"/>
      <c r="R58" s="3283"/>
      <c r="S58" s="3283"/>
      <c r="T58" s="2028">
        <f t="shared" si="131"/>
        <v>0</v>
      </c>
      <c r="U58" s="3284">
        <f t="shared" si="111"/>
        <v>0</v>
      </c>
      <c r="V58" s="3295"/>
      <c r="W58" s="3283"/>
      <c r="X58" s="3283"/>
      <c r="Y58" s="2028">
        <f t="shared" si="132"/>
        <v>0</v>
      </c>
      <c r="Z58" s="3284">
        <f t="shared" si="112"/>
        <v>0</v>
      </c>
      <c r="AA58" s="3295"/>
      <c r="AB58" s="3283"/>
      <c r="AC58" s="3283"/>
      <c r="AD58" s="2028">
        <f t="shared" si="133"/>
        <v>0</v>
      </c>
      <c r="AE58" s="3284">
        <f t="shared" si="113"/>
        <v>0</v>
      </c>
      <c r="AF58" s="3295"/>
      <c r="AG58" s="3283"/>
      <c r="AH58" s="3283"/>
      <c r="AI58" s="2028">
        <f t="shared" si="134"/>
        <v>0</v>
      </c>
      <c r="AJ58" s="3284">
        <f t="shared" si="114"/>
        <v>0</v>
      </c>
      <c r="AK58" s="3275"/>
      <c r="AL58" s="3283"/>
      <c r="AM58" s="3283"/>
      <c r="AN58" s="2028">
        <f t="shared" si="135"/>
        <v>0</v>
      </c>
      <c r="AO58" s="3284">
        <f t="shared" si="115"/>
        <v>0</v>
      </c>
      <c r="AP58" s="3295"/>
      <c r="AQ58" s="3283"/>
      <c r="AR58" s="3283"/>
      <c r="AS58" s="2028">
        <f t="shared" si="136"/>
        <v>0</v>
      </c>
      <c r="AT58" s="3284">
        <f t="shared" si="5"/>
        <v>0</v>
      </c>
      <c r="AU58" s="3295"/>
      <c r="AV58" s="3274">
        <v>0</v>
      </c>
      <c r="AW58" s="3274">
        <v>0</v>
      </c>
      <c r="AX58" s="2028">
        <v>0</v>
      </c>
      <c r="AY58" s="3284">
        <v>0</v>
      </c>
      <c r="AZ58" s="3295"/>
      <c r="BA58" s="3274">
        <f t="shared" si="137"/>
        <v>0</v>
      </c>
      <c r="BB58" s="3274">
        <f t="shared" si="137"/>
        <v>0</v>
      </c>
      <c r="BC58" s="2028">
        <f t="shared" si="138"/>
        <v>0</v>
      </c>
      <c r="BD58" s="3284">
        <f t="shared" si="116"/>
        <v>0</v>
      </c>
      <c r="BE58" s="3295"/>
      <c r="BF58" s="3283"/>
      <c r="BG58" s="3283"/>
      <c r="BH58" s="2028">
        <f t="shared" si="139"/>
        <v>0</v>
      </c>
      <c r="BI58" s="3284">
        <f t="shared" si="117"/>
        <v>0</v>
      </c>
      <c r="BJ58" s="3295"/>
      <c r="BK58" s="3283"/>
      <c r="BL58" s="3283"/>
      <c r="BM58" s="2028">
        <f t="shared" si="140"/>
        <v>0</v>
      </c>
      <c r="BN58" s="3284">
        <f t="shared" si="118"/>
        <v>0</v>
      </c>
      <c r="BO58" s="3295"/>
      <c r="BP58" s="3283"/>
      <c r="BQ58" s="3283"/>
      <c r="BR58" s="2028">
        <f t="shared" si="141"/>
        <v>0</v>
      </c>
      <c r="BS58" s="3284">
        <f t="shared" si="119"/>
        <v>0</v>
      </c>
      <c r="BT58" s="3295"/>
      <c r="BU58" s="3283"/>
      <c r="BV58" s="3283"/>
      <c r="BW58" s="2028">
        <f t="shared" si="142"/>
        <v>0</v>
      </c>
      <c r="BX58" s="3284">
        <f t="shared" si="120"/>
        <v>0</v>
      </c>
      <c r="BY58" s="3295"/>
      <c r="BZ58" s="3283"/>
      <c r="CA58" s="3283"/>
      <c r="CB58" s="2028">
        <f t="shared" si="143"/>
        <v>0</v>
      </c>
      <c r="CC58" s="3284">
        <f t="shared" si="121"/>
        <v>0</v>
      </c>
      <c r="CD58" s="3295"/>
      <c r="CE58" s="3283"/>
      <c r="CF58" s="3283"/>
      <c r="CG58" s="2028">
        <f t="shared" si="144"/>
        <v>0</v>
      </c>
      <c r="CH58" s="3284">
        <f t="shared" si="122"/>
        <v>0</v>
      </c>
      <c r="CI58" s="3295"/>
      <c r="CJ58" s="3283"/>
      <c r="CK58" s="3283"/>
      <c r="CL58" s="2028">
        <f t="shared" si="145"/>
        <v>0</v>
      </c>
      <c r="CM58" s="3284">
        <f t="shared" si="123"/>
        <v>0</v>
      </c>
      <c r="CN58" s="3295"/>
      <c r="CO58" s="3283"/>
      <c r="CP58" s="3283"/>
      <c r="CQ58" s="2028">
        <f t="shared" si="146"/>
        <v>0</v>
      </c>
      <c r="CR58" s="3284">
        <f t="shared" si="124"/>
        <v>0</v>
      </c>
      <c r="CS58" s="1449"/>
      <c r="CT58" s="3283"/>
      <c r="CU58" s="3283"/>
      <c r="CV58" s="2028">
        <f t="shared" si="147"/>
        <v>0</v>
      </c>
      <c r="CW58" s="3284">
        <f t="shared" si="125"/>
        <v>0</v>
      </c>
      <c r="CX58" s="1449"/>
      <c r="CY58" s="3283"/>
      <c r="CZ58" s="3283"/>
      <c r="DA58" s="2028">
        <f t="shared" si="148"/>
        <v>0</v>
      </c>
      <c r="DB58" s="3284">
        <f t="shared" si="126"/>
        <v>0</v>
      </c>
      <c r="DC58" s="1449"/>
      <c r="DD58" s="3283"/>
      <c r="DE58" s="3283"/>
      <c r="DF58" s="2028">
        <f t="shared" si="149"/>
        <v>0</v>
      </c>
      <c r="DG58" s="3284">
        <f t="shared" si="127"/>
        <v>0</v>
      </c>
      <c r="DH58" s="1449"/>
      <c r="DI58" s="3283"/>
      <c r="DJ58" s="3283"/>
      <c r="DK58" s="2028">
        <f t="shared" si="150"/>
        <v>0</v>
      </c>
      <c r="DL58" s="3284">
        <f t="shared" si="128"/>
        <v>0</v>
      </c>
      <c r="DM58" s="1449"/>
      <c r="DN58" s="3274">
        <f t="shared" si="151"/>
        <v>0</v>
      </c>
      <c r="DO58" s="3274">
        <f t="shared" si="151"/>
        <v>0</v>
      </c>
      <c r="DP58" s="2028">
        <f t="shared" si="152"/>
        <v>0</v>
      </c>
      <c r="DQ58" s="3284">
        <f t="shared" si="81"/>
        <v>0</v>
      </c>
      <c r="DR58" s="3295"/>
    </row>
    <row r="59" spans="1:122" ht="13.8" x14ac:dyDescent="0.25">
      <c r="A59" s="1586"/>
      <c r="B59" s="3310" t="s">
        <v>66</v>
      </c>
      <c r="C59" s="3398">
        <v>0</v>
      </c>
      <c r="D59" s="3283">
        <v>0</v>
      </c>
      <c r="E59" s="2028">
        <v>0</v>
      </c>
      <c r="F59" s="3284">
        <v>0</v>
      </c>
      <c r="G59" s="3143"/>
      <c r="H59" s="3283"/>
      <c r="I59" s="3283"/>
      <c r="J59" s="2028">
        <f t="shared" si="129"/>
        <v>0</v>
      </c>
      <c r="K59" s="3284">
        <f t="shared" si="110"/>
        <v>0</v>
      </c>
      <c r="L59" s="3295"/>
      <c r="M59" s="3283"/>
      <c r="N59" s="3283"/>
      <c r="O59" s="2028">
        <f t="shared" si="130"/>
        <v>0</v>
      </c>
      <c r="P59" s="3284">
        <f t="shared" si="153"/>
        <v>0</v>
      </c>
      <c r="Q59" s="3295"/>
      <c r="R59" s="3283"/>
      <c r="S59" s="3283"/>
      <c r="T59" s="2028">
        <f t="shared" si="131"/>
        <v>0</v>
      </c>
      <c r="U59" s="3284">
        <f t="shared" si="111"/>
        <v>0</v>
      </c>
      <c r="V59" s="3295"/>
      <c r="W59" s="3283"/>
      <c r="X59" s="3283"/>
      <c r="Y59" s="2028">
        <f t="shared" si="132"/>
        <v>0</v>
      </c>
      <c r="Z59" s="3284">
        <f t="shared" si="112"/>
        <v>0</v>
      </c>
      <c r="AA59" s="3295"/>
      <c r="AB59" s="3283"/>
      <c r="AC59" s="3283"/>
      <c r="AD59" s="2028">
        <f t="shared" si="133"/>
        <v>0</v>
      </c>
      <c r="AE59" s="3284">
        <f t="shared" si="113"/>
        <v>0</v>
      </c>
      <c r="AF59" s="3295"/>
      <c r="AG59" s="3283"/>
      <c r="AH59" s="3283"/>
      <c r="AI59" s="2028">
        <f t="shared" si="134"/>
        <v>0</v>
      </c>
      <c r="AJ59" s="3284">
        <f t="shared" si="114"/>
        <v>0</v>
      </c>
      <c r="AK59" s="3275"/>
      <c r="AL59" s="3283"/>
      <c r="AM59" s="3283"/>
      <c r="AN59" s="2028">
        <f t="shared" si="135"/>
        <v>0</v>
      </c>
      <c r="AO59" s="3284">
        <f t="shared" si="115"/>
        <v>0</v>
      </c>
      <c r="AP59" s="3295"/>
      <c r="AQ59" s="3283"/>
      <c r="AR59" s="3283"/>
      <c r="AS59" s="2028">
        <f t="shared" si="136"/>
        <v>0</v>
      </c>
      <c r="AT59" s="3284">
        <f t="shared" si="5"/>
        <v>0</v>
      </c>
      <c r="AU59" s="3295"/>
      <c r="AV59" s="3274">
        <v>0</v>
      </c>
      <c r="AW59" s="3274">
        <v>0</v>
      </c>
      <c r="AX59" s="2028">
        <v>0</v>
      </c>
      <c r="AY59" s="3284">
        <v>0</v>
      </c>
      <c r="AZ59" s="3295"/>
      <c r="BA59" s="3274">
        <f t="shared" si="137"/>
        <v>0</v>
      </c>
      <c r="BB59" s="3274">
        <f t="shared" si="137"/>
        <v>0</v>
      </c>
      <c r="BC59" s="2028">
        <f t="shared" si="138"/>
        <v>0</v>
      </c>
      <c r="BD59" s="3284">
        <f t="shared" si="116"/>
        <v>0</v>
      </c>
      <c r="BE59" s="3295"/>
      <c r="BF59" s="3283"/>
      <c r="BG59" s="3283"/>
      <c r="BH59" s="2028">
        <f t="shared" si="139"/>
        <v>0</v>
      </c>
      <c r="BI59" s="3284">
        <f t="shared" si="117"/>
        <v>0</v>
      </c>
      <c r="BJ59" s="3295"/>
      <c r="BK59" s="3283"/>
      <c r="BL59" s="3283"/>
      <c r="BM59" s="2028">
        <f t="shared" si="140"/>
        <v>0</v>
      </c>
      <c r="BN59" s="3284">
        <f t="shared" si="118"/>
        <v>0</v>
      </c>
      <c r="BO59" s="3295"/>
      <c r="BP59" s="3283"/>
      <c r="BQ59" s="3283"/>
      <c r="BR59" s="2028">
        <f t="shared" si="141"/>
        <v>0</v>
      </c>
      <c r="BS59" s="3284">
        <f t="shared" si="119"/>
        <v>0</v>
      </c>
      <c r="BT59" s="3295"/>
      <c r="BU59" s="3283"/>
      <c r="BV59" s="3283"/>
      <c r="BW59" s="2028">
        <f t="shared" si="142"/>
        <v>0</v>
      </c>
      <c r="BX59" s="3284">
        <f t="shared" si="120"/>
        <v>0</v>
      </c>
      <c r="BY59" s="3295"/>
      <c r="BZ59" s="3283"/>
      <c r="CA59" s="3283"/>
      <c r="CB59" s="2028">
        <f t="shared" si="143"/>
        <v>0</v>
      </c>
      <c r="CC59" s="3284">
        <f t="shared" si="121"/>
        <v>0</v>
      </c>
      <c r="CD59" s="3295"/>
      <c r="CE59" s="3283"/>
      <c r="CF59" s="3283"/>
      <c r="CG59" s="2028">
        <f t="shared" si="144"/>
        <v>0</v>
      </c>
      <c r="CH59" s="3284">
        <f t="shared" si="122"/>
        <v>0</v>
      </c>
      <c r="CI59" s="3295"/>
      <c r="CJ59" s="3283"/>
      <c r="CK59" s="3283"/>
      <c r="CL59" s="2028">
        <f t="shared" si="145"/>
        <v>0</v>
      </c>
      <c r="CM59" s="3284">
        <f t="shared" si="123"/>
        <v>0</v>
      </c>
      <c r="CN59" s="3295"/>
      <c r="CO59" s="3283"/>
      <c r="CP59" s="3283"/>
      <c r="CQ59" s="2028">
        <f t="shared" si="146"/>
        <v>0</v>
      </c>
      <c r="CR59" s="3284">
        <f t="shared" si="124"/>
        <v>0</v>
      </c>
      <c r="CS59" s="1449"/>
      <c r="CT59" s="3283"/>
      <c r="CU59" s="3283"/>
      <c r="CV59" s="2028">
        <f t="shared" si="147"/>
        <v>0</v>
      </c>
      <c r="CW59" s="3284">
        <f t="shared" si="125"/>
        <v>0</v>
      </c>
      <c r="CX59" s="1449"/>
      <c r="CY59" s="3283"/>
      <c r="CZ59" s="3283"/>
      <c r="DA59" s="2028">
        <f t="shared" si="148"/>
        <v>0</v>
      </c>
      <c r="DB59" s="3284">
        <f t="shared" si="126"/>
        <v>0</v>
      </c>
      <c r="DC59" s="1449"/>
      <c r="DD59" s="3283"/>
      <c r="DE59" s="3283"/>
      <c r="DF59" s="2028">
        <f t="shared" si="149"/>
        <v>0</v>
      </c>
      <c r="DG59" s="3284">
        <f t="shared" si="127"/>
        <v>0</v>
      </c>
      <c r="DH59" s="1449"/>
      <c r="DI59" s="3283"/>
      <c r="DJ59" s="3283"/>
      <c r="DK59" s="2028">
        <f t="shared" si="150"/>
        <v>0</v>
      </c>
      <c r="DL59" s="3284">
        <f t="shared" si="128"/>
        <v>0</v>
      </c>
      <c r="DM59" s="1449"/>
      <c r="DN59" s="3274">
        <f t="shared" si="151"/>
        <v>0</v>
      </c>
      <c r="DO59" s="3274">
        <f t="shared" si="151"/>
        <v>0</v>
      </c>
      <c r="DP59" s="2028">
        <f t="shared" si="152"/>
        <v>0</v>
      </c>
      <c r="DQ59" s="3284">
        <f t="shared" si="81"/>
        <v>0</v>
      </c>
      <c r="DR59" s="3295"/>
    </row>
    <row r="60" spans="1:122" ht="13.8" x14ac:dyDescent="0.25">
      <c r="A60" s="1586"/>
      <c r="B60" s="3310" t="s">
        <v>65</v>
      </c>
      <c r="C60" s="3398">
        <v>0</v>
      </c>
      <c r="D60" s="3283">
        <v>0</v>
      </c>
      <c r="E60" s="2028">
        <v>0</v>
      </c>
      <c r="F60" s="3284">
        <v>0</v>
      </c>
      <c r="G60" s="3143"/>
      <c r="H60" s="3283"/>
      <c r="I60" s="3283"/>
      <c r="J60" s="2028">
        <f t="shared" si="129"/>
        <v>0</v>
      </c>
      <c r="K60" s="3284">
        <f t="shared" si="110"/>
        <v>0</v>
      </c>
      <c r="L60" s="3295"/>
      <c r="M60" s="3283"/>
      <c r="N60" s="3283"/>
      <c r="O60" s="2028">
        <f t="shared" si="130"/>
        <v>0</v>
      </c>
      <c r="P60" s="3284">
        <f t="shared" si="153"/>
        <v>0</v>
      </c>
      <c r="Q60" s="3295"/>
      <c r="R60" s="3283"/>
      <c r="S60" s="3283"/>
      <c r="T60" s="2028">
        <f t="shared" si="131"/>
        <v>0</v>
      </c>
      <c r="U60" s="3284">
        <f t="shared" si="111"/>
        <v>0</v>
      </c>
      <c r="V60" s="3295"/>
      <c r="W60" s="3283"/>
      <c r="X60" s="3283"/>
      <c r="Y60" s="2028">
        <f t="shared" si="132"/>
        <v>0</v>
      </c>
      <c r="Z60" s="3284">
        <f t="shared" si="112"/>
        <v>0</v>
      </c>
      <c r="AA60" s="3295"/>
      <c r="AB60" s="3283"/>
      <c r="AC60" s="3283"/>
      <c r="AD60" s="2028">
        <f t="shared" si="133"/>
        <v>0</v>
      </c>
      <c r="AE60" s="3284">
        <f t="shared" si="113"/>
        <v>0</v>
      </c>
      <c r="AF60" s="3295"/>
      <c r="AG60" s="3283"/>
      <c r="AH60" s="3283"/>
      <c r="AI60" s="2028">
        <f t="shared" si="134"/>
        <v>0</v>
      </c>
      <c r="AJ60" s="3284">
        <f t="shared" si="114"/>
        <v>0</v>
      </c>
      <c r="AK60" s="3275"/>
      <c r="AL60" s="3283"/>
      <c r="AM60" s="3283"/>
      <c r="AN60" s="2028">
        <f t="shared" si="135"/>
        <v>0</v>
      </c>
      <c r="AO60" s="3284">
        <f t="shared" si="115"/>
        <v>0</v>
      </c>
      <c r="AP60" s="3295"/>
      <c r="AQ60" s="3283"/>
      <c r="AR60" s="3283"/>
      <c r="AS60" s="2028">
        <f t="shared" si="136"/>
        <v>0</v>
      </c>
      <c r="AT60" s="3284">
        <f t="shared" si="5"/>
        <v>0</v>
      </c>
      <c r="AU60" s="3295"/>
      <c r="AV60" s="3274">
        <v>0</v>
      </c>
      <c r="AW60" s="3274">
        <v>0</v>
      </c>
      <c r="AX60" s="2028">
        <v>0</v>
      </c>
      <c r="AY60" s="3284">
        <v>0</v>
      </c>
      <c r="AZ60" s="3295"/>
      <c r="BA60" s="3274">
        <f t="shared" si="137"/>
        <v>0</v>
      </c>
      <c r="BB60" s="3274">
        <f t="shared" si="137"/>
        <v>0</v>
      </c>
      <c r="BC60" s="2028">
        <f t="shared" si="138"/>
        <v>0</v>
      </c>
      <c r="BD60" s="3284">
        <f t="shared" si="116"/>
        <v>0</v>
      </c>
      <c r="BE60" s="3295"/>
      <c r="BF60" s="3283"/>
      <c r="BG60" s="3283"/>
      <c r="BH60" s="2028">
        <f t="shared" si="139"/>
        <v>0</v>
      </c>
      <c r="BI60" s="3284">
        <f t="shared" si="117"/>
        <v>0</v>
      </c>
      <c r="BJ60" s="3295"/>
      <c r="BK60" s="3283"/>
      <c r="BL60" s="3283"/>
      <c r="BM60" s="2028">
        <f t="shared" si="140"/>
        <v>0</v>
      </c>
      <c r="BN60" s="3284">
        <f t="shared" si="118"/>
        <v>0</v>
      </c>
      <c r="BO60" s="3295"/>
      <c r="BP60" s="3283"/>
      <c r="BQ60" s="3283"/>
      <c r="BR60" s="2028">
        <f t="shared" si="141"/>
        <v>0</v>
      </c>
      <c r="BS60" s="3284">
        <f t="shared" si="119"/>
        <v>0</v>
      </c>
      <c r="BT60" s="3295"/>
      <c r="BU60" s="3283"/>
      <c r="BV60" s="3283"/>
      <c r="BW60" s="2028">
        <f t="shared" si="142"/>
        <v>0</v>
      </c>
      <c r="BX60" s="3284">
        <f t="shared" si="120"/>
        <v>0</v>
      </c>
      <c r="BY60" s="3295"/>
      <c r="BZ60" s="3283"/>
      <c r="CA60" s="3283"/>
      <c r="CB60" s="2028">
        <f t="shared" si="143"/>
        <v>0</v>
      </c>
      <c r="CC60" s="3284">
        <f t="shared" si="121"/>
        <v>0</v>
      </c>
      <c r="CD60" s="3295"/>
      <c r="CE60" s="3283"/>
      <c r="CF60" s="3283"/>
      <c r="CG60" s="2028">
        <f t="shared" si="144"/>
        <v>0</v>
      </c>
      <c r="CH60" s="3284">
        <f t="shared" si="122"/>
        <v>0</v>
      </c>
      <c r="CI60" s="3295"/>
      <c r="CJ60" s="3283"/>
      <c r="CK60" s="3283"/>
      <c r="CL60" s="2028">
        <f t="shared" si="145"/>
        <v>0</v>
      </c>
      <c r="CM60" s="3284">
        <f t="shared" si="123"/>
        <v>0</v>
      </c>
      <c r="CN60" s="3295"/>
      <c r="CO60" s="3283"/>
      <c r="CP60" s="3283"/>
      <c r="CQ60" s="2028">
        <f t="shared" si="146"/>
        <v>0</v>
      </c>
      <c r="CR60" s="3284">
        <f t="shared" si="124"/>
        <v>0</v>
      </c>
      <c r="CS60" s="1449"/>
      <c r="CT60" s="3283"/>
      <c r="CU60" s="3283"/>
      <c r="CV60" s="2028">
        <f t="shared" si="147"/>
        <v>0</v>
      </c>
      <c r="CW60" s="3284">
        <f t="shared" si="125"/>
        <v>0</v>
      </c>
      <c r="CX60" s="1449"/>
      <c r="CY60" s="3283"/>
      <c r="CZ60" s="3283"/>
      <c r="DA60" s="2028">
        <f t="shared" si="148"/>
        <v>0</v>
      </c>
      <c r="DB60" s="3284">
        <f t="shared" si="126"/>
        <v>0</v>
      </c>
      <c r="DC60" s="1449"/>
      <c r="DD60" s="3283"/>
      <c r="DE60" s="3283"/>
      <c r="DF60" s="2028">
        <f t="shared" si="149"/>
        <v>0</v>
      </c>
      <c r="DG60" s="3284">
        <f t="shared" si="127"/>
        <v>0</v>
      </c>
      <c r="DH60" s="1449"/>
      <c r="DI60" s="3283"/>
      <c r="DJ60" s="3283"/>
      <c r="DK60" s="2028">
        <f t="shared" si="150"/>
        <v>0</v>
      </c>
      <c r="DL60" s="3284">
        <f t="shared" si="128"/>
        <v>0</v>
      </c>
      <c r="DM60" s="1449"/>
      <c r="DN60" s="3274">
        <f t="shared" si="151"/>
        <v>0</v>
      </c>
      <c r="DO60" s="3274">
        <f t="shared" si="151"/>
        <v>0</v>
      </c>
      <c r="DP60" s="2028">
        <f t="shared" si="152"/>
        <v>0</v>
      </c>
      <c r="DQ60" s="3284">
        <f t="shared" si="81"/>
        <v>0</v>
      </c>
      <c r="DR60" s="3295"/>
    </row>
    <row r="61" spans="1:122" ht="13.8" x14ac:dyDescent="0.25">
      <c r="A61" s="1586"/>
      <c r="B61" s="3310" t="s">
        <v>32</v>
      </c>
      <c r="C61" s="3398">
        <v>0</v>
      </c>
      <c r="D61" s="3283">
        <v>0</v>
      </c>
      <c r="E61" s="2028">
        <v>0</v>
      </c>
      <c r="F61" s="3284">
        <v>0</v>
      </c>
      <c r="G61" s="3143"/>
      <c r="H61" s="3283"/>
      <c r="I61" s="3283"/>
      <c r="J61" s="2028">
        <f t="shared" si="129"/>
        <v>0</v>
      </c>
      <c r="K61" s="3284">
        <f t="shared" si="110"/>
        <v>0</v>
      </c>
      <c r="L61" s="3295"/>
      <c r="M61" s="3283"/>
      <c r="N61" s="3283"/>
      <c r="O61" s="2028">
        <f t="shared" si="130"/>
        <v>0</v>
      </c>
      <c r="P61" s="3284">
        <f t="shared" si="153"/>
        <v>0</v>
      </c>
      <c r="Q61" s="3295"/>
      <c r="R61" s="3283"/>
      <c r="S61" s="3283"/>
      <c r="T61" s="2028">
        <f t="shared" si="131"/>
        <v>0</v>
      </c>
      <c r="U61" s="3284">
        <f t="shared" si="111"/>
        <v>0</v>
      </c>
      <c r="V61" s="3295"/>
      <c r="W61" s="3283"/>
      <c r="X61" s="3283"/>
      <c r="Y61" s="2028">
        <f t="shared" si="132"/>
        <v>0</v>
      </c>
      <c r="Z61" s="3284">
        <f t="shared" si="112"/>
        <v>0</v>
      </c>
      <c r="AA61" s="3295"/>
      <c r="AB61" s="3283"/>
      <c r="AC61" s="3283"/>
      <c r="AD61" s="2028">
        <f t="shared" si="133"/>
        <v>0</v>
      </c>
      <c r="AE61" s="3284">
        <f t="shared" si="113"/>
        <v>0</v>
      </c>
      <c r="AF61" s="3295"/>
      <c r="AG61" s="3283"/>
      <c r="AH61" s="3283"/>
      <c r="AI61" s="2028">
        <f t="shared" si="134"/>
        <v>0</v>
      </c>
      <c r="AJ61" s="3284">
        <f t="shared" si="114"/>
        <v>0</v>
      </c>
      <c r="AK61" s="3275"/>
      <c r="AL61" s="3283"/>
      <c r="AM61" s="3283"/>
      <c r="AN61" s="2028">
        <f t="shared" si="135"/>
        <v>0</v>
      </c>
      <c r="AO61" s="3284">
        <f t="shared" si="115"/>
        <v>0</v>
      </c>
      <c r="AP61" s="3295"/>
      <c r="AQ61" s="3283"/>
      <c r="AR61" s="3283"/>
      <c r="AS61" s="2028">
        <f t="shared" si="136"/>
        <v>0</v>
      </c>
      <c r="AT61" s="3284">
        <f t="shared" si="5"/>
        <v>0</v>
      </c>
      <c r="AU61" s="3295"/>
      <c r="AV61" s="3274">
        <v>0</v>
      </c>
      <c r="AW61" s="3274">
        <v>0</v>
      </c>
      <c r="AX61" s="2028">
        <v>0</v>
      </c>
      <c r="AY61" s="3284">
        <v>0</v>
      </c>
      <c r="AZ61" s="3276"/>
      <c r="BA61" s="3274">
        <f t="shared" si="137"/>
        <v>0</v>
      </c>
      <c r="BB61" s="3274">
        <f t="shared" si="137"/>
        <v>0</v>
      </c>
      <c r="BC61" s="2028">
        <f t="shared" si="138"/>
        <v>0</v>
      </c>
      <c r="BD61" s="3284">
        <f t="shared" si="116"/>
        <v>0</v>
      </c>
      <c r="BE61" s="3276"/>
      <c r="BF61" s="3283"/>
      <c r="BG61" s="3283"/>
      <c r="BH61" s="2028">
        <f t="shared" si="139"/>
        <v>0</v>
      </c>
      <c r="BI61" s="3284">
        <f t="shared" si="117"/>
        <v>0</v>
      </c>
      <c r="BJ61" s="3295"/>
      <c r="BK61" s="3283"/>
      <c r="BL61" s="3283"/>
      <c r="BM61" s="2028">
        <f t="shared" si="140"/>
        <v>0</v>
      </c>
      <c r="BN61" s="3284">
        <f t="shared" si="118"/>
        <v>0</v>
      </c>
      <c r="BO61" s="3295"/>
      <c r="BP61" s="3283"/>
      <c r="BQ61" s="3283"/>
      <c r="BR61" s="2028">
        <f t="shared" si="141"/>
        <v>0</v>
      </c>
      <c r="BS61" s="3284">
        <f t="shared" si="119"/>
        <v>0</v>
      </c>
      <c r="BT61" s="3295"/>
      <c r="BU61" s="3283"/>
      <c r="BV61" s="3283"/>
      <c r="BW61" s="2028">
        <f t="shared" si="142"/>
        <v>0</v>
      </c>
      <c r="BX61" s="3284">
        <f t="shared" si="120"/>
        <v>0</v>
      </c>
      <c r="BY61" s="3295"/>
      <c r="BZ61" s="3283"/>
      <c r="CA61" s="3283"/>
      <c r="CB61" s="2028">
        <f t="shared" si="143"/>
        <v>0</v>
      </c>
      <c r="CC61" s="3284">
        <f t="shared" si="121"/>
        <v>0</v>
      </c>
      <c r="CD61" s="3295"/>
      <c r="CE61" s="3283"/>
      <c r="CF61" s="3283"/>
      <c r="CG61" s="2028">
        <f t="shared" si="144"/>
        <v>0</v>
      </c>
      <c r="CH61" s="3284">
        <f t="shared" si="122"/>
        <v>0</v>
      </c>
      <c r="CI61" s="3295"/>
      <c r="CJ61" s="3283"/>
      <c r="CK61" s="3283"/>
      <c r="CL61" s="2028">
        <f t="shared" si="145"/>
        <v>0</v>
      </c>
      <c r="CM61" s="3284">
        <f t="shared" si="123"/>
        <v>0</v>
      </c>
      <c r="CN61" s="3295"/>
      <c r="CO61" s="3283"/>
      <c r="CP61" s="3283"/>
      <c r="CQ61" s="2028">
        <f t="shared" si="146"/>
        <v>0</v>
      </c>
      <c r="CR61" s="3284">
        <f t="shared" si="124"/>
        <v>0</v>
      </c>
      <c r="CS61" s="1449"/>
      <c r="CT61" s="3283"/>
      <c r="CU61" s="3283"/>
      <c r="CV61" s="2028">
        <f t="shared" si="147"/>
        <v>0</v>
      </c>
      <c r="CW61" s="3284">
        <f t="shared" si="125"/>
        <v>0</v>
      </c>
      <c r="CX61" s="1449"/>
      <c r="CY61" s="3283"/>
      <c r="CZ61" s="3283"/>
      <c r="DA61" s="2028">
        <f t="shared" si="148"/>
        <v>0</v>
      </c>
      <c r="DB61" s="3284">
        <f t="shared" si="126"/>
        <v>0</v>
      </c>
      <c r="DC61" s="1449"/>
      <c r="DD61" s="3283"/>
      <c r="DE61" s="3283"/>
      <c r="DF61" s="2028">
        <f t="shared" si="149"/>
        <v>0</v>
      </c>
      <c r="DG61" s="3284">
        <f t="shared" si="127"/>
        <v>0</v>
      </c>
      <c r="DH61" s="1449"/>
      <c r="DI61" s="3283"/>
      <c r="DJ61" s="3283"/>
      <c r="DK61" s="2028">
        <f t="shared" si="150"/>
        <v>0</v>
      </c>
      <c r="DL61" s="3284">
        <f t="shared" si="128"/>
        <v>0</v>
      </c>
      <c r="DM61" s="1449"/>
      <c r="DN61" s="3274">
        <f t="shared" si="151"/>
        <v>0</v>
      </c>
      <c r="DO61" s="3274">
        <f t="shared" si="151"/>
        <v>0</v>
      </c>
      <c r="DP61" s="2028">
        <f t="shared" si="152"/>
        <v>0</v>
      </c>
      <c r="DQ61" s="3284">
        <f t="shared" si="81"/>
        <v>0</v>
      </c>
      <c r="DR61" s="3295"/>
    </row>
    <row r="62" spans="1:122" ht="13.8" x14ac:dyDescent="0.25">
      <c r="A62" s="1586"/>
      <c r="B62" s="3310" t="s">
        <v>33</v>
      </c>
      <c r="C62" s="3398">
        <v>0</v>
      </c>
      <c r="D62" s="3283">
        <v>0</v>
      </c>
      <c r="E62" s="2028">
        <v>0</v>
      </c>
      <c r="F62" s="3284">
        <v>0</v>
      </c>
      <c r="G62" s="3143"/>
      <c r="H62" s="3283"/>
      <c r="I62" s="3283"/>
      <c r="J62" s="2028">
        <f t="shared" si="129"/>
        <v>0</v>
      </c>
      <c r="K62" s="3284">
        <f t="shared" si="110"/>
        <v>0</v>
      </c>
      <c r="L62" s="3295"/>
      <c r="M62" s="3283"/>
      <c r="N62" s="3283"/>
      <c r="O62" s="2028">
        <f t="shared" si="130"/>
        <v>0</v>
      </c>
      <c r="P62" s="3284">
        <f t="shared" si="153"/>
        <v>0</v>
      </c>
      <c r="Q62" s="3295"/>
      <c r="R62" s="3283"/>
      <c r="S62" s="3283"/>
      <c r="T62" s="2028">
        <f t="shared" si="131"/>
        <v>0</v>
      </c>
      <c r="U62" s="3284">
        <f t="shared" si="111"/>
        <v>0</v>
      </c>
      <c r="V62" s="3295"/>
      <c r="W62" s="3283"/>
      <c r="X62" s="3283"/>
      <c r="Y62" s="2028">
        <f t="shared" si="132"/>
        <v>0</v>
      </c>
      <c r="Z62" s="3284">
        <f t="shared" si="112"/>
        <v>0</v>
      </c>
      <c r="AA62" s="3295"/>
      <c r="AB62" s="3283"/>
      <c r="AC62" s="3283"/>
      <c r="AD62" s="2028">
        <f t="shared" si="133"/>
        <v>0</v>
      </c>
      <c r="AE62" s="3284">
        <f t="shared" si="113"/>
        <v>0</v>
      </c>
      <c r="AF62" s="3295"/>
      <c r="AG62" s="3283"/>
      <c r="AH62" s="3283"/>
      <c r="AI62" s="2028">
        <f t="shared" si="134"/>
        <v>0</v>
      </c>
      <c r="AJ62" s="3284">
        <f t="shared" si="114"/>
        <v>0</v>
      </c>
      <c r="AK62" s="3275" t="s">
        <v>1318</v>
      </c>
      <c r="AL62" s="3283"/>
      <c r="AM62" s="3283"/>
      <c r="AN62" s="2028">
        <f t="shared" si="135"/>
        <v>0</v>
      </c>
      <c r="AO62" s="3284">
        <f t="shared" si="115"/>
        <v>0</v>
      </c>
      <c r="AP62" s="3295"/>
      <c r="AQ62" s="3283"/>
      <c r="AR62" s="3283"/>
      <c r="AS62" s="2028">
        <f t="shared" si="136"/>
        <v>0</v>
      </c>
      <c r="AT62" s="3284">
        <f t="shared" si="5"/>
        <v>0</v>
      </c>
      <c r="AU62" s="3295"/>
      <c r="AV62" s="3274">
        <v>0</v>
      </c>
      <c r="AW62" s="3274">
        <v>0</v>
      </c>
      <c r="AX62" s="2028">
        <v>0</v>
      </c>
      <c r="AY62" s="3284">
        <v>0</v>
      </c>
      <c r="AZ62" s="3276"/>
      <c r="BA62" s="3274">
        <f t="shared" si="137"/>
        <v>0</v>
      </c>
      <c r="BB62" s="3274">
        <f t="shared" si="137"/>
        <v>0</v>
      </c>
      <c r="BC62" s="2028">
        <f t="shared" si="138"/>
        <v>0</v>
      </c>
      <c r="BD62" s="3284">
        <f t="shared" si="116"/>
        <v>0</v>
      </c>
      <c r="BE62" s="3276"/>
      <c r="BF62" s="3283"/>
      <c r="BG62" s="3283"/>
      <c r="BH62" s="2028">
        <f t="shared" si="139"/>
        <v>0</v>
      </c>
      <c r="BI62" s="3284">
        <f t="shared" si="117"/>
        <v>0</v>
      </c>
      <c r="BJ62" s="3295"/>
      <c r="BK62" s="3283"/>
      <c r="BL62" s="3283"/>
      <c r="BM62" s="2028">
        <f t="shared" si="140"/>
        <v>0</v>
      </c>
      <c r="BN62" s="3284">
        <f t="shared" si="118"/>
        <v>0</v>
      </c>
      <c r="BO62" s="3295"/>
      <c r="BP62" s="3283"/>
      <c r="BQ62" s="3283"/>
      <c r="BR62" s="2028">
        <f t="shared" si="141"/>
        <v>0</v>
      </c>
      <c r="BS62" s="3284">
        <f t="shared" si="119"/>
        <v>0</v>
      </c>
      <c r="BT62" s="3295"/>
      <c r="BU62" s="3283"/>
      <c r="BV62" s="3283"/>
      <c r="BW62" s="2028">
        <f t="shared" si="142"/>
        <v>0</v>
      </c>
      <c r="BX62" s="3284">
        <f t="shared" si="120"/>
        <v>0</v>
      </c>
      <c r="BY62" s="3295"/>
      <c r="BZ62" s="3283"/>
      <c r="CA62" s="3283"/>
      <c r="CB62" s="2028">
        <f t="shared" si="143"/>
        <v>0</v>
      </c>
      <c r="CC62" s="3284">
        <f t="shared" si="121"/>
        <v>0</v>
      </c>
      <c r="CD62" s="3295"/>
      <c r="CE62" s="3283"/>
      <c r="CF62" s="3283"/>
      <c r="CG62" s="2028">
        <f t="shared" si="144"/>
        <v>0</v>
      </c>
      <c r="CH62" s="3284">
        <f t="shared" si="122"/>
        <v>0</v>
      </c>
      <c r="CI62" s="3295"/>
      <c r="CJ62" s="3283"/>
      <c r="CK62" s="3283"/>
      <c r="CL62" s="2028">
        <f t="shared" si="145"/>
        <v>0</v>
      </c>
      <c r="CM62" s="3284">
        <f t="shared" si="123"/>
        <v>0</v>
      </c>
      <c r="CN62" s="3295"/>
      <c r="CO62" s="3283"/>
      <c r="CP62" s="3283"/>
      <c r="CQ62" s="2028">
        <f t="shared" si="146"/>
        <v>0</v>
      </c>
      <c r="CR62" s="3284">
        <f t="shared" si="124"/>
        <v>0</v>
      </c>
      <c r="CS62" s="1449"/>
      <c r="CT62" s="3283"/>
      <c r="CU62" s="3283"/>
      <c r="CV62" s="2028">
        <f t="shared" si="147"/>
        <v>0</v>
      </c>
      <c r="CW62" s="3284">
        <f t="shared" si="125"/>
        <v>0</v>
      </c>
      <c r="CX62" s="1449"/>
      <c r="CY62" s="3283"/>
      <c r="CZ62" s="3283"/>
      <c r="DA62" s="2028">
        <f t="shared" si="148"/>
        <v>0</v>
      </c>
      <c r="DB62" s="3284">
        <f t="shared" si="126"/>
        <v>0</v>
      </c>
      <c r="DC62" s="1449"/>
      <c r="DD62" s="3283"/>
      <c r="DE62" s="3283"/>
      <c r="DF62" s="2028">
        <f t="shared" si="149"/>
        <v>0</v>
      </c>
      <c r="DG62" s="3284">
        <f t="shared" si="127"/>
        <v>0</v>
      </c>
      <c r="DH62" s="1449"/>
      <c r="DI62" s="3283"/>
      <c r="DJ62" s="3283"/>
      <c r="DK62" s="2028">
        <f t="shared" si="150"/>
        <v>0</v>
      </c>
      <c r="DL62" s="3284">
        <f t="shared" si="128"/>
        <v>0</v>
      </c>
      <c r="DM62" s="1449"/>
      <c r="DN62" s="3274">
        <f t="shared" si="151"/>
        <v>0</v>
      </c>
      <c r="DO62" s="3274">
        <f t="shared" si="151"/>
        <v>0</v>
      </c>
      <c r="DP62" s="2028">
        <f t="shared" si="152"/>
        <v>0</v>
      </c>
      <c r="DQ62" s="3284">
        <f t="shared" si="81"/>
        <v>0</v>
      </c>
      <c r="DR62" s="3295"/>
    </row>
    <row r="63" spans="1:122" ht="13.8" x14ac:dyDescent="0.25">
      <c r="A63" s="1586"/>
      <c r="B63" s="3310" t="s">
        <v>35</v>
      </c>
      <c r="C63" s="3398">
        <v>0</v>
      </c>
      <c r="D63" s="3283">
        <v>0</v>
      </c>
      <c r="E63" s="2028">
        <v>0</v>
      </c>
      <c r="F63" s="3284">
        <v>0</v>
      </c>
      <c r="G63" s="3143"/>
      <c r="H63" s="3283"/>
      <c r="I63" s="3283"/>
      <c r="J63" s="2028">
        <f t="shared" si="129"/>
        <v>0</v>
      </c>
      <c r="K63" s="3284">
        <f t="shared" si="110"/>
        <v>0</v>
      </c>
      <c r="L63" s="3295"/>
      <c r="M63" s="3283"/>
      <c r="N63" s="3283"/>
      <c r="O63" s="2028">
        <f t="shared" si="130"/>
        <v>0</v>
      </c>
      <c r="P63" s="3284">
        <f t="shared" si="153"/>
        <v>0</v>
      </c>
      <c r="Q63" s="3295"/>
      <c r="R63" s="3283"/>
      <c r="S63" s="3283"/>
      <c r="T63" s="2028">
        <f t="shared" si="131"/>
        <v>0</v>
      </c>
      <c r="U63" s="3284">
        <f t="shared" si="111"/>
        <v>0</v>
      </c>
      <c r="V63" s="3295"/>
      <c r="W63" s="3283"/>
      <c r="X63" s="3283"/>
      <c r="Y63" s="2028">
        <f t="shared" si="132"/>
        <v>0</v>
      </c>
      <c r="Z63" s="3284">
        <f t="shared" si="112"/>
        <v>0</v>
      </c>
      <c r="AA63" s="3295"/>
      <c r="AB63" s="3283"/>
      <c r="AC63" s="3283"/>
      <c r="AD63" s="2028">
        <f t="shared" si="133"/>
        <v>0</v>
      </c>
      <c r="AE63" s="3284">
        <f t="shared" si="113"/>
        <v>0</v>
      </c>
      <c r="AF63" s="3295"/>
      <c r="AG63" s="3283"/>
      <c r="AH63" s="3283"/>
      <c r="AI63" s="2028">
        <f t="shared" si="134"/>
        <v>0</v>
      </c>
      <c r="AJ63" s="3284">
        <f t="shared" si="114"/>
        <v>0</v>
      </c>
      <c r="AK63" s="3275"/>
      <c r="AL63" s="3283"/>
      <c r="AM63" s="3283"/>
      <c r="AN63" s="2028">
        <f t="shared" si="135"/>
        <v>0</v>
      </c>
      <c r="AO63" s="3284">
        <f t="shared" si="115"/>
        <v>0</v>
      </c>
      <c r="AP63" s="3295"/>
      <c r="AQ63" s="3283"/>
      <c r="AR63" s="3283"/>
      <c r="AS63" s="2028">
        <f t="shared" si="136"/>
        <v>0</v>
      </c>
      <c r="AT63" s="3284">
        <f t="shared" si="5"/>
        <v>0</v>
      </c>
      <c r="AU63" s="3295"/>
      <c r="AV63" s="3274">
        <v>0</v>
      </c>
      <c r="AW63" s="3274">
        <v>0</v>
      </c>
      <c r="AX63" s="2028">
        <v>0</v>
      </c>
      <c r="AY63" s="3284">
        <v>0</v>
      </c>
      <c r="AZ63" s="3276"/>
      <c r="BA63" s="3274">
        <f t="shared" si="137"/>
        <v>0</v>
      </c>
      <c r="BB63" s="3274">
        <f t="shared" si="137"/>
        <v>0</v>
      </c>
      <c r="BC63" s="2028">
        <f t="shared" si="138"/>
        <v>0</v>
      </c>
      <c r="BD63" s="3284">
        <f t="shared" si="116"/>
        <v>0</v>
      </c>
      <c r="BE63" s="3276"/>
      <c r="BF63" s="3283"/>
      <c r="BG63" s="3283"/>
      <c r="BH63" s="2028">
        <f t="shared" si="139"/>
        <v>0</v>
      </c>
      <c r="BI63" s="3284">
        <f t="shared" si="117"/>
        <v>0</v>
      </c>
      <c r="BJ63" s="3295"/>
      <c r="BK63" s="3283"/>
      <c r="BL63" s="3283"/>
      <c r="BM63" s="2028">
        <f t="shared" si="140"/>
        <v>0</v>
      </c>
      <c r="BN63" s="3284">
        <f t="shared" si="118"/>
        <v>0</v>
      </c>
      <c r="BO63" s="3295"/>
      <c r="BP63" s="3283"/>
      <c r="BQ63" s="3283"/>
      <c r="BR63" s="2028">
        <f t="shared" si="141"/>
        <v>0</v>
      </c>
      <c r="BS63" s="3284">
        <f t="shared" si="119"/>
        <v>0</v>
      </c>
      <c r="BT63" s="3295"/>
      <c r="BU63" s="3283"/>
      <c r="BV63" s="3283"/>
      <c r="BW63" s="2028">
        <f t="shared" si="142"/>
        <v>0</v>
      </c>
      <c r="BX63" s="3284">
        <f t="shared" si="120"/>
        <v>0</v>
      </c>
      <c r="BY63" s="3295"/>
      <c r="BZ63" s="3283"/>
      <c r="CA63" s="3283"/>
      <c r="CB63" s="2028">
        <f t="shared" si="143"/>
        <v>0</v>
      </c>
      <c r="CC63" s="3284">
        <f t="shared" si="121"/>
        <v>0</v>
      </c>
      <c r="CD63" s="3295"/>
      <c r="CE63" s="3283"/>
      <c r="CF63" s="3283"/>
      <c r="CG63" s="2028">
        <f t="shared" si="144"/>
        <v>0</v>
      </c>
      <c r="CH63" s="3284">
        <f t="shared" si="122"/>
        <v>0</v>
      </c>
      <c r="CI63" s="3295"/>
      <c r="CJ63" s="3283"/>
      <c r="CK63" s="3283"/>
      <c r="CL63" s="2028">
        <f t="shared" si="145"/>
        <v>0</v>
      </c>
      <c r="CM63" s="3284">
        <f t="shared" si="123"/>
        <v>0</v>
      </c>
      <c r="CN63" s="3295"/>
      <c r="CO63" s="3283"/>
      <c r="CP63" s="3283"/>
      <c r="CQ63" s="2028">
        <f t="shared" si="146"/>
        <v>0</v>
      </c>
      <c r="CR63" s="3284">
        <f t="shared" si="124"/>
        <v>0</v>
      </c>
      <c r="CS63" s="1449"/>
      <c r="CT63" s="3283"/>
      <c r="CU63" s="3283"/>
      <c r="CV63" s="2028">
        <f t="shared" si="147"/>
        <v>0</v>
      </c>
      <c r="CW63" s="3284">
        <f t="shared" si="125"/>
        <v>0</v>
      </c>
      <c r="CX63" s="1449"/>
      <c r="CY63" s="3283"/>
      <c r="CZ63" s="3283"/>
      <c r="DA63" s="2028">
        <f t="shared" si="148"/>
        <v>0</v>
      </c>
      <c r="DB63" s="3284">
        <f t="shared" si="126"/>
        <v>0</v>
      </c>
      <c r="DC63" s="1449"/>
      <c r="DD63" s="3283"/>
      <c r="DE63" s="3283"/>
      <c r="DF63" s="2028">
        <f t="shared" si="149"/>
        <v>0</v>
      </c>
      <c r="DG63" s="3284">
        <f t="shared" si="127"/>
        <v>0</v>
      </c>
      <c r="DH63" s="1449"/>
      <c r="DI63" s="3283"/>
      <c r="DJ63" s="3283"/>
      <c r="DK63" s="2028">
        <f t="shared" si="150"/>
        <v>0</v>
      </c>
      <c r="DL63" s="3284">
        <f t="shared" si="128"/>
        <v>0</v>
      </c>
      <c r="DM63" s="1449"/>
      <c r="DN63" s="3274">
        <f t="shared" si="151"/>
        <v>0</v>
      </c>
      <c r="DO63" s="3274">
        <f t="shared" si="151"/>
        <v>0</v>
      </c>
      <c r="DP63" s="2028">
        <f t="shared" si="152"/>
        <v>0</v>
      </c>
      <c r="DQ63" s="3284">
        <f t="shared" si="81"/>
        <v>0</v>
      </c>
      <c r="DR63" s="3295"/>
    </row>
    <row r="64" spans="1:122" ht="13.8" x14ac:dyDescent="0.25">
      <c r="A64" s="1586"/>
      <c r="B64" s="3310" t="s">
        <v>63</v>
      </c>
      <c r="C64" s="3398">
        <v>0</v>
      </c>
      <c r="D64" s="3283">
        <v>0</v>
      </c>
      <c r="E64" s="2028">
        <v>0</v>
      </c>
      <c r="F64" s="3284">
        <v>0</v>
      </c>
      <c r="G64" s="3143"/>
      <c r="H64" s="3283"/>
      <c r="I64" s="3283"/>
      <c r="J64" s="2028">
        <f t="shared" si="129"/>
        <v>0</v>
      </c>
      <c r="K64" s="3284">
        <f t="shared" si="110"/>
        <v>0</v>
      </c>
      <c r="L64" s="3295"/>
      <c r="M64" s="3283"/>
      <c r="N64" s="3283"/>
      <c r="O64" s="2028">
        <f t="shared" si="130"/>
        <v>0</v>
      </c>
      <c r="P64" s="3284">
        <f t="shared" si="153"/>
        <v>0</v>
      </c>
      <c r="Q64" s="3295"/>
      <c r="R64" s="3283"/>
      <c r="S64" s="3283"/>
      <c r="T64" s="2028">
        <f t="shared" si="131"/>
        <v>0</v>
      </c>
      <c r="U64" s="3284">
        <f t="shared" si="111"/>
        <v>0</v>
      </c>
      <c r="V64" s="3295"/>
      <c r="W64" s="3283"/>
      <c r="X64" s="3283"/>
      <c r="Y64" s="2028">
        <f t="shared" si="132"/>
        <v>0</v>
      </c>
      <c r="Z64" s="3284">
        <f t="shared" si="112"/>
        <v>0</v>
      </c>
      <c r="AA64" s="3295"/>
      <c r="AB64" s="3283"/>
      <c r="AC64" s="3283"/>
      <c r="AD64" s="2028">
        <f t="shared" si="133"/>
        <v>0</v>
      </c>
      <c r="AE64" s="3284">
        <f t="shared" si="113"/>
        <v>0</v>
      </c>
      <c r="AF64" s="3295"/>
      <c r="AG64" s="3283"/>
      <c r="AH64" s="3283"/>
      <c r="AI64" s="2028">
        <f t="shared" si="134"/>
        <v>0</v>
      </c>
      <c r="AJ64" s="3284">
        <f t="shared" si="114"/>
        <v>0</v>
      </c>
      <c r="AK64" s="3275"/>
      <c r="AL64" s="3283"/>
      <c r="AM64" s="3283"/>
      <c r="AN64" s="2028">
        <f t="shared" si="135"/>
        <v>0</v>
      </c>
      <c r="AO64" s="3284">
        <f t="shared" si="115"/>
        <v>0</v>
      </c>
      <c r="AP64" s="3295"/>
      <c r="AQ64" s="3283"/>
      <c r="AR64" s="3283"/>
      <c r="AS64" s="2028">
        <f t="shared" si="136"/>
        <v>0</v>
      </c>
      <c r="AT64" s="3284">
        <f t="shared" si="5"/>
        <v>0</v>
      </c>
      <c r="AU64" s="3295"/>
      <c r="AV64" s="3274">
        <v>0</v>
      </c>
      <c r="AW64" s="3274">
        <v>0</v>
      </c>
      <c r="AX64" s="2028">
        <v>0</v>
      </c>
      <c r="AY64" s="3284">
        <v>0</v>
      </c>
      <c r="AZ64" s="3276"/>
      <c r="BA64" s="3274">
        <f t="shared" si="137"/>
        <v>0</v>
      </c>
      <c r="BB64" s="3274">
        <f t="shared" si="137"/>
        <v>0</v>
      </c>
      <c r="BC64" s="2028">
        <f t="shared" si="138"/>
        <v>0</v>
      </c>
      <c r="BD64" s="3284">
        <f t="shared" si="116"/>
        <v>0</v>
      </c>
      <c r="BE64" s="3276"/>
      <c r="BF64" s="3283"/>
      <c r="BG64" s="3283"/>
      <c r="BH64" s="2028">
        <f t="shared" si="139"/>
        <v>0</v>
      </c>
      <c r="BI64" s="3284">
        <f t="shared" si="117"/>
        <v>0</v>
      </c>
      <c r="BJ64" s="3295"/>
      <c r="BK64" s="3283"/>
      <c r="BL64" s="3283"/>
      <c r="BM64" s="2028">
        <f t="shared" si="140"/>
        <v>0</v>
      </c>
      <c r="BN64" s="3284">
        <f t="shared" si="118"/>
        <v>0</v>
      </c>
      <c r="BO64" s="3295"/>
      <c r="BP64" s="3283"/>
      <c r="BQ64" s="3283"/>
      <c r="BR64" s="2028">
        <f t="shared" si="141"/>
        <v>0</v>
      </c>
      <c r="BS64" s="3284">
        <f t="shared" si="119"/>
        <v>0</v>
      </c>
      <c r="BT64" s="3295"/>
      <c r="BU64" s="3283"/>
      <c r="BV64" s="3283"/>
      <c r="BW64" s="2028">
        <f t="shared" si="142"/>
        <v>0</v>
      </c>
      <c r="BX64" s="3284">
        <f t="shared" si="120"/>
        <v>0</v>
      </c>
      <c r="BY64" s="3295"/>
      <c r="BZ64" s="3283"/>
      <c r="CA64" s="3283"/>
      <c r="CB64" s="2028">
        <f t="shared" si="143"/>
        <v>0</v>
      </c>
      <c r="CC64" s="3284">
        <f t="shared" si="121"/>
        <v>0</v>
      </c>
      <c r="CD64" s="3295"/>
      <c r="CE64" s="3283"/>
      <c r="CF64" s="3283"/>
      <c r="CG64" s="2028">
        <f t="shared" si="144"/>
        <v>0</v>
      </c>
      <c r="CH64" s="3284">
        <f t="shared" si="122"/>
        <v>0</v>
      </c>
      <c r="CI64" s="3295"/>
      <c r="CJ64" s="3283"/>
      <c r="CK64" s="3283"/>
      <c r="CL64" s="2028">
        <f t="shared" si="145"/>
        <v>0</v>
      </c>
      <c r="CM64" s="3284">
        <f t="shared" si="123"/>
        <v>0</v>
      </c>
      <c r="CN64" s="3295"/>
      <c r="CO64" s="3283"/>
      <c r="CP64" s="3283"/>
      <c r="CQ64" s="2028">
        <f t="shared" si="146"/>
        <v>0</v>
      </c>
      <c r="CR64" s="3284">
        <f t="shared" si="124"/>
        <v>0</v>
      </c>
      <c r="CS64" s="1449"/>
      <c r="CT64" s="3283"/>
      <c r="CU64" s="3283"/>
      <c r="CV64" s="2028">
        <f t="shared" si="147"/>
        <v>0</v>
      </c>
      <c r="CW64" s="3284">
        <f t="shared" si="125"/>
        <v>0</v>
      </c>
      <c r="CX64" s="1449"/>
      <c r="CY64" s="3283"/>
      <c r="CZ64" s="3283"/>
      <c r="DA64" s="2028">
        <f t="shared" si="148"/>
        <v>0</v>
      </c>
      <c r="DB64" s="3284">
        <f t="shared" si="126"/>
        <v>0</v>
      </c>
      <c r="DC64" s="1449"/>
      <c r="DD64" s="3283"/>
      <c r="DE64" s="3283"/>
      <c r="DF64" s="2028">
        <f t="shared" si="149"/>
        <v>0</v>
      </c>
      <c r="DG64" s="3284">
        <f t="shared" si="127"/>
        <v>0</v>
      </c>
      <c r="DH64" s="1449"/>
      <c r="DI64" s="3283"/>
      <c r="DJ64" s="3283"/>
      <c r="DK64" s="2028">
        <f t="shared" si="150"/>
        <v>0</v>
      </c>
      <c r="DL64" s="3284">
        <f t="shared" si="128"/>
        <v>0</v>
      </c>
      <c r="DM64" s="1449"/>
      <c r="DN64" s="3274">
        <f t="shared" si="151"/>
        <v>0</v>
      </c>
      <c r="DO64" s="3274">
        <f t="shared" si="151"/>
        <v>0</v>
      </c>
      <c r="DP64" s="2028">
        <f t="shared" si="152"/>
        <v>0</v>
      </c>
      <c r="DQ64" s="3284">
        <f t="shared" si="81"/>
        <v>0</v>
      </c>
      <c r="DR64" s="3295"/>
    </row>
    <row r="65" spans="1:122" ht="24" x14ac:dyDescent="0.25">
      <c r="A65" s="1586"/>
      <c r="B65" s="3310" t="s">
        <v>36</v>
      </c>
      <c r="C65" s="3288">
        <v>0</v>
      </c>
      <c r="D65" s="3274">
        <v>0</v>
      </c>
      <c r="E65" s="2028">
        <v>0</v>
      </c>
      <c r="F65" s="3284">
        <v>0</v>
      </c>
      <c r="G65" s="3143"/>
      <c r="H65" s="3274"/>
      <c r="I65" s="3274"/>
      <c r="J65" s="2028">
        <f t="shared" si="129"/>
        <v>0</v>
      </c>
      <c r="K65" s="3284">
        <f>J65/$J$89</f>
        <v>0</v>
      </c>
      <c r="L65" s="3295"/>
      <c r="M65" s="3274"/>
      <c r="N65" s="3274"/>
      <c r="O65" s="2028">
        <f t="shared" si="130"/>
        <v>0</v>
      </c>
      <c r="P65" s="3284">
        <f t="shared" si="153"/>
        <v>0</v>
      </c>
      <c r="Q65" s="3295"/>
      <c r="R65" s="3274"/>
      <c r="S65" s="3274"/>
      <c r="T65" s="2028">
        <f t="shared" si="131"/>
        <v>0</v>
      </c>
      <c r="U65" s="3284">
        <f t="shared" si="111"/>
        <v>0</v>
      </c>
      <c r="V65" s="3295"/>
      <c r="W65" s="3274"/>
      <c r="X65" s="3274"/>
      <c r="Y65" s="2028">
        <f t="shared" si="132"/>
        <v>0</v>
      </c>
      <c r="Z65" s="3284">
        <f t="shared" si="112"/>
        <v>0</v>
      </c>
      <c r="AA65" s="3295"/>
      <c r="AB65" s="3274"/>
      <c r="AC65" s="3274"/>
      <c r="AD65" s="2028">
        <f t="shared" si="133"/>
        <v>0</v>
      </c>
      <c r="AE65" s="3284">
        <f t="shared" si="113"/>
        <v>0</v>
      </c>
      <c r="AF65" s="3295"/>
      <c r="AG65" s="3274"/>
      <c r="AH65" s="3274">
        <v>366</v>
      </c>
      <c r="AI65" s="2028">
        <f t="shared" si="134"/>
        <v>366</v>
      </c>
      <c r="AJ65" s="3284">
        <f t="shared" si="114"/>
        <v>8.3974920019488329E-3</v>
      </c>
      <c r="AK65" s="3275" t="s">
        <v>1317</v>
      </c>
      <c r="AL65" s="3274"/>
      <c r="AM65" s="3274">
        <v>1800</v>
      </c>
      <c r="AN65" s="2028">
        <f t="shared" si="135"/>
        <v>1800</v>
      </c>
      <c r="AO65" s="3284">
        <f t="shared" si="115"/>
        <v>4.1299140993190979E-2</v>
      </c>
      <c r="AP65" s="3276" t="s">
        <v>1413</v>
      </c>
      <c r="AQ65" s="3274"/>
      <c r="AR65" s="3274"/>
      <c r="AS65" s="2028">
        <f t="shared" si="136"/>
        <v>0</v>
      </c>
      <c r="AT65" s="3284">
        <f t="shared" si="5"/>
        <v>0</v>
      </c>
      <c r="AU65" s="3295"/>
      <c r="AV65" s="3274">
        <v>0</v>
      </c>
      <c r="AW65" s="3274">
        <v>0</v>
      </c>
      <c r="AX65" s="2028">
        <v>0</v>
      </c>
      <c r="AY65" s="3284">
        <v>0</v>
      </c>
      <c r="AZ65" s="3276"/>
      <c r="BA65" s="3274">
        <f t="shared" si="137"/>
        <v>0</v>
      </c>
      <c r="BB65" s="3274">
        <f t="shared" si="137"/>
        <v>0</v>
      </c>
      <c r="BC65" s="2028">
        <f t="shared" si="138"/>
        <v>0</v>
      </c>
      <c r="BD65" s="3284">
        <f t="shared" si="116"/>
        <v>0</v>
      </c>
      <c r="BE65" s="3276"/>
      <c r="BF65" s="3274"/>
      <c r="BG65" s="3274"/>
      <c r="BH65" s="2028">
        <f t="shared" si="139"/>
        <v>0</v>
      </c>
      <c r="BI65" s="3284">
        <f t="shared" si="117"/>
        <v>0</v>
      </c>
      <c r="BJ65" s="3295"/>
      <c r="BK65" s="3274"/>
      <c r="BL65" s="3274"/>
      <c r="BM65" s="2028">
        <f t="shared" si="140"/>
        <v>0</v>
      </c>
      <c r="BN65" s="3284">
        <f t="shared" si="118"/>
        <v>0</v>
      </c>
      <c r="BO65" s="3295"/>
      <c r="BP65" s="3274"/>
      <c r="BQ65" s="3274"/>
      <c r="BR65" s="2028">
        <f t="shared" si="141"/>
        <v>0</v>
      </c>
      <c r="BS65" s="3284">
        <f t="shared" si="119"/>
        <v>0</v>
      </c>
      <c r="BT65" s="3295"/>
      <c r="BU65" s="3274"/>
      <c r="BV65" s="3274"/>
      <c r="BW65" s="2028">
        <f t="shared" si="142"/>
        <v>0</v>
      </c>
      <c r="BX65" s="3284">
        <f t="shared" si="120"/>
        <v>0</v>
      </c>
      <c r="BY65" s="3295"/>
      <c r="BZ65" s="3274"/>
      <c r="CA65" s="3274"/>
      <c r="CB65" s="2028">
        <f t="shared" si="143"/>
        <v>0</v>
      </c>
      <c r="CC65" s="3284">
        <f t="shared" si="121"/>
        <v>0</v>
      </c>
      <c r="CD65" s="3295"/>
      <c r="CE65" s="3274"/>
      <c r="CF65" s="3274"/>
      <c r="CG65" s="2028">
        <f t="shared" si="144"/>
        <v>0</v>
      </c>
      <c r="CH65" s="3284">
        <f t="shared" si="122"/>
        <v>0</v>
      </c>
      <c r="CI65" s="3295"/>
      <c r="CJ65" s="3274"/>
      <c r="CK65" s="3274"/>
      <c r="CL65" s="2028">
        <f t="shared" si="145"/>
        <v>0</v>
      </c>
      <c r="CM65" s="3284">
        <f t="shared" si="123"/>
        <v>0</v>
      </c>
      <c r="CN65" s="3295"/>
      <c r="CO65" s="3274"/>
      <c r="CP65" s="3274"/>
      <c r="CQ65" s="2028">
        <f t="shared" si="146"/>
        <v>0</v>
      </c>
      <c r="CR65" s="3284">
        <f t="shared" si="124"/>
        <v>0</v>
      </c>
      <c r="CS65" s="1449"/>
      <c r="CT65" s="3274"/>
      <c r="CU65" s="3274"/>
      <c r="CV65" s="2028">
        <f t="shared" si="147"/>
        <v>0</v>
      </c>
      <c r="CW65" s="3284">
        <f t="shared" si="125"/>
        <v>0</v>
      </c>
      <c r="CX65" s="1449"/>
      <c r="CY65" s="3274"/>
      <c r="CZ65" s="3274"/>
      <c r="DA65" s="2028">
        <f t="shared" si="148"/>
        <v>0</v>
      </c>
      <c r="DB65" s="3284">
        <f t="shared" si="126"/>
        <v>0</v>
      </c>
      <c r="DC65" s="1449"/>
      <c r="DD65" s="3274"/>
      <c r="DE65" s="3274"/>
      <c r="DF65" s="2028">
        <f t="shared" si="149"/>
        <v>0</v>
      </c>
      <c r="DG65" s="3284">
        <f t="shared" si="127"/>
        <v>0</v>
      </c>
      <c r="DH65" s="1449"/>
      <c r="DI65" s="3274"/>
      <c r="DJ65" s="3274"/>
      <c r="DK65" s="2028">
        <f t="shared" si="150"/>
        <v>0</v>
      </c>
      <c r="DL65" s="3284">
        <f t="shared" si="128"/>
        <v>0</v>
      </c>
      <c r="DM65" s="1449"/>
      <c r="DN65" s="3274">
        <f t="shared" si="151"/>
        <v>0</v>
      </c>
      <c r="DO65" s="3274">
        <f t="shared" si="151"/>
        <v>2166</v>
      </c>
      <c r="DP65" s="2028">
        <f t="shared" si="152"/>
        <v>2166</v>
      </c>
      <c r="DQ65" s="3284">
        <f t="shared" si="81"/>
        <v>8.5115377111096328E-4</v>
      </c>
      <c r="DR65" s="3295"/>
    </row>
    <row r="66" spans="1:122" s="1411" customFormat="1" ht="13.8" x14ac:dyDescent="0.25">
      <c r="A66" s="1586"/>
      <c r="B66" s="3310" t="s">
        <v>37</v>
      </c>
      <c r="C66" s="3288">
        <v>0</v>
      </c>
      <c r="D66" s="3274">
        <v>0</v>
      </c>
      <c r="E66" s="2028">
        <v>0</v>
      </c>
      <c r="F66" s="3284">
        <v>0</v>
      </c>
      <c r="G66" s="3143"/>
      <c r="H66" s="3274"/>
      <c r="I66" s="3274"/>
      <c r="J66" s="2028">
        <f t="shared" si="129"/>
        <v>0</v>
      </c>
      <c r="K66" s="3284">
        <f t="shared" si="110"/>
        <v>0</v>
      </c>
      <c r="L66" s="3295"/>
      <c r="M66" s="3274"/>
      <c r="N66" s="3274"/>
      <c r="O66" s="2028">
        <f t="shared" si="130"/>
        <v>0</v>
      </c>
      <c r="P66" s="3284">
        <f t="shared" si="153"/>
        <v>0</v>
      </c>
      <c r="Q66" s="3295"/>
      <c r="R66" s="3274"/>
      <c r="S66" s="3274"/>
      <c r="T66" s="2028">
        <f t="shared" si="131"/>
        <v>0</v>
      </c>
      <c r="U66" s="3284">
        <f t="shared" si="111"/>
        <v>0</v>
      </c>
      <c r="V66" s="3295"/>
      <c r="W66" s="3274"/>
      <c r="X66" s="3274"/>
      <c r="Y66" s="2028">
        <f t="shared" si="132"/>
        <v>0</v>
      </c>
      <c r="Z66" s="3284">
        <f t="shared" si="112"/>
        <v>0</v>
      </c>
      <c r="AA66" s="3295"/>
      <c r="AB66" s="3274"/>
      <c r="AC66" s="3274"/>
      <c r="AD66" s="2028">
        <f t="shared" si="133"/>
        <v>0</v>
      </c>
      <c r="AE66" s="3284">
        <f t="shared" si="113"/>
        <v>0</v>
      </c>
      <c r="AF66" s="3295"/>
      <c r="AG66" s="3274"/>
      <c r="AH66" s="3274"/>
      <c r="AI66" s="2028">
        <f t="shared" si="134"/>
        <v>0</v>
      </c>
      <c r="AJ66" s="3284">
        <f t="shared" si="114"/>
        <v>0</v>
      </c>
      <c r="AK66" s="3275"/>
      <c r="AL66" s="3274"/>
      <c r="AM66" s="3274"/>
      <c r="AN66" s="2028">
        <f t="shared" si="135"/>
        <v>0</v>
      </c>
      <c r="AO66" s="3284">
        <f t="shared" si="115"/>
        <v>0</v>
      </c>
      <c r="AP66" s="3295"/>
      <c r="AQ66" s="3274"/>
      <c r="AR66" s="3274"/>
      <c r="AS66" s="2028">
        <f t="shared" si="136"/>
        <v>0</v>
      </c>
      <c r="AT66" s="3284">
        <f t="shared" si="5"/>
        <v>0</v>
      </c>
      <c r="AU66" s="3295"/>
      <c r="AV66" s="3274">
        <v>0</v>
      </c>
      <c r="AW66" s="3274">
        <v>0</v>
      </c>
      <c r="AX66" s="2028">
        <v>0</v>
      </c>
      <c r="AY66" s="3284">
        <v>0</v>
      </c>
      <c r="AZ66" s="3276"/>
      <c r="BA66" s="3274">
        <f t="shared" si="137"/>
        <v>0</v>
      </c>
      <c r="BB66" s="3274">
        <f t="shared" si="137"/>
        <v>0</v>
      </c>
      <c r="BC66" s="2028">
        <f t="shared" si="138"/>
        <v>0</v>
      </c>
      <c r="BD66" s="3284">
        <f t="shared" si="116"/>
        <v>0</v>
      </c>
      <c r="BE66" s="3276"/>
      <c r="BF66" s="3274"/>
      <c r="BG66" s="3274"/>
      <c r="BH66" s="2028">
        <f t="shared" si="139"/>
        <v>0</v>
      </c>
      <c r="BI66" s="3284">
        <f t="shared" si="117"/>
        <v>0</v>
      </c>
      <c r="BJ66" s="3295"/>
      <c r="BK66" s="3274"/>
      <c r="BL66" s="3274"/>
      <c r="BM66" s="2028">
        <f t="shared" si="140"/>
        <v>0</v>
      </c>
      <c r="BN66" s="3284">
        <f t="shared" si="118"/>
        <v>0</v>
      </c>
      <c r="BO66" s="3295"/>
      <c r="BP66" s="3274"/>
      <c r="BQ66" s="3274"/>
      <c r="BR66" s="2028">
        <f t="shared" si="141"/>
        <v>0</v>
      </c>
      <c r="BS66" s="3284">
        <f t="shared" si="119"/>
        <v>0</v>
      </c>
      <c r="BT66" s="3295"/>
      <c r="BU66" s="3274"/>
      <c r="BV66" s="3274"/>
      <c r="BW66" s="2028">
        <f t="shared" si="142"/>
        <v>0</v>
      </c>
      <c r="BX66" s="3284">
        <f t="shared" si="120"/>
        <v>0</v>
      </c>
      <c r="BY66" s="3295"/>
      <c r="BZ66" s="3274"/>
      <c r="CA66" s="3274"/>
      <c r="CB66" s="2028">
        <f t="shared" si="143"/>
        <v>0</v>
      </c>
      <c r="CC66" s="3284">
        <f t="shared" si="121"/>
        <v>0</v>
      </c>
      <c r="CD66" s="3295"/>
      <c r="CE66" s="3274"/>
      <c r="CF66" s="3274"/>
      <c r="CG66" s="2028">
        <f t="shared" si="144"/>
        <v>0</v>
      </c>
      <c r="CH66" s="3284">
        <f t="shared" si="122"/>
        <v>0</v>
      </c>
      <c r="CI66" s="3295"/>
      <c r="CJ66" s="3274"/>
      <c r="CK66" s="3274"/>
      <c r="CL66" s="2028">
        <f t="shared" si="145"/>
        <v>0</v>
      </c>
      <c r="CM66" s="3284">
        <f t="shared" si="123"/>
        <v>0</v>
      </c>
      <c r="CN66" s="3295"/>
      <c r="CO66" s="3274"/>
      <c r="CP66" s="3274"/>
      <c r="CQ66" s="2028">
        <f t="shared" si="146"/>
        <v>0</v>
      </c>
      <c r="CR66" s="3284">
        <f t="shared" si="124"/>
        <v>0</v>
      </c>
      <c r="CS66" s="1449"/>
      <c r="CT66" s="3274"/>
      <c r="CU66" s="3274"/>
      <c r="CV66" s="2028">
        <f t="shared" si="147"/>
        <v>0</v>
      </c>
      <c r="CW66" s="3284">
        <f t="shared" si="125"/>
        <v>0</v>
      </c>
      <c r="CX66" s="1449"/>
      <c r="CY66" s="3274"/>
      <c r="CZ66" s="3274"/>
      <c r="DA66" s="2028">
        <f t="shared" si="148"/>
        <v>0</v>
      </c>
      <c r="DB66" s="3284">
        <f t="shared" si="126"/>
        <v>0</v>
      </c>
      <c r="DC66" s="1449"/>
      <c r="DD66" s="3274"/>
      <c r="DE66" s="3274"/>
      <c r="DF66" s="2028">
        <f t="shared" si="149"/>
        <v>0</v>
      </c>
      <c r="DG66" s="3284">
        <f t="shared" si="127"/>
        <v>0</v>
      </c>
      <c r="DH66" s="1449"/>
      <c r="DI66" s="3274"/>
      <c r="DJ66" s="3274"/>
      <c r="DK66" s="2028">
        <f t="shared" si="150"/>
        <v>0</v>
      </c>
      <c r="DL66" s="3284">
        <f t="shared" si="128"/>
        <v>0</v>
      </c>
      <c r="DM66" s="1449"/>
      <c r="DN66" s="3274">
        <f t="shared" si="151"/>
        <v>0</v>
      </c>
      <c r="DO66" s="3274">
        <f t="shared" si="151"/>
        <v>0</v>
      </c>
      <c r="DP66" s="2028">
        <f t="shared" si="152"/>
        <v>0</v>
      </c>
      <c r="DQ66" s="3284">
        <f t="shared" si="81"/>
        <v>0</v>
      </c>
      <c r="DR66" s="3295"/>
    </row>
    <row r="67" spans="1:122" s="1411" customFormat="1" ht="13.8" x14ac:dyDescent="0.25">
      <c r="A67" s="1586"/>
      <c r="B67" s="3310" t="s">
        <v>3</v>
      </c>
      <c r="C67" s="3288">
        <v>0</v>
      </c>
      <c r="D67" s="3274">
        <v>0</v>
      </c>
      <c r="E67" s="2028">
        <v>0</v>
      </c>
      <c r="F67" s="3284">
        <v>0</v>
      </c>
      <c r="G67" s="3143"/>
      <c r="H67" s="3274"/>
      <c r="I67" s="3274"/>
      <c r="J67" s="2028">
        <f t="shared" si="129"/>
        <v>0</v>
      </c>
      <c r="K67" s="3284">
        <f t="shared" si="110"/>
        <v>0</v>
      </c>
      <c r="L67" s="3295"/>
      <c r="M67" s="3274"/>
      <c r="N67" s="3274"/>
      <c r="O67" s="2028">
        <f t="shared" si="130"/>
        <v>0</v>
      </c>
      <c r="P67" s="3284">
        <f t="shared" si="153"/>
        <v>0</v>
      </c>
      <c r="Q67" s="3295"/>
      <c r="R67" s="3274"/>
      <c r="S67" s="3274"/>
      <c r="T67" s="2028">
        <f t="shared" si="131"/>
        <v>0</v>
      </c>
      <c r="U67" s="3284">
        <f t="shared" si="111"/>
        <v>0</v>
      </c>
      <c r="V67" s="3295"/>
      <c r="W67" s="3274"/>
      <c r="X67" s="3274"/>
      <c r="Y67" s="2028">
        <f t="shared" si="132"/>
        <v>0</v>
      </c>
      <c r="Z67" s="3284">
        <f t="shared" si="112"/>
        <v>0</v>
      </c>
      <c r="AA67" s="3295"/>
      <c r="AB67" s="3274"/>
      <c r="AC67" s="3274"/>
      <c r="AD67" s="2028">
        <f t="shared" si="133"/>
        <v>0</v>
      </c>
      <c r="AE67" s="3284">
        <f t="shared" si="113"/>
        <v>0</v>
      </c>
      <c r="AF67" s="3295"/>
      <c r="AG67" s="3274"/>
      <c r="AH67" s="3274"/>
      <c r="AI67" s="2028">
        <f t="shared" si="134"/>
        <v>0</v>
      </c>
      <c r="AJ67" s="3284">
        <f t="shared" si="114"/>
        <v>0</v>
      </c>
      <c r="AK67" s="3295"/>
      <c r="AL67" s="3274"/>
      <c r="AM67" s="3274"/>
      <c r="AN67" s="2028">
        <f t="shared" si="135"/>
        <v>0</v>
      </c>
      <c r="AO67" s="3284">
        <f t="shared" si="115"/>
        <v>0</v>
      </c>
      <c r="AP67" s="3295"/>
      <c r="AQ67" s="3274"/>
      <c r="AR67" s="3274"/>
      <c r="AS67" s="2028">
        <f t="shared" si="136"/>
        <v>0</v>
      </c>
      <c r="AT67" s="3284">
        <f t="shared" si="5"/>
        <v>0</v>
      </c>
      <c r="AU67" s="3295"/>
      <c r="AV67" s="3274">
        <v>0</v>
      </c>
      <c r="AW67" s="3274">
        <v>0</v>
      </c>
      <c r="AX67" s="2028">
        <v>0</v>
      </c>
      <c r="AY67" s="3284">
        <v>0</v>
      </c>
      <c r="AZ67" s="3276"/>
      <c r="BA67" s="3274">
        <f t="shared" si="137"/>
        <v>0</v>
      </c>
      <c r="BB67" s="3274">
        <f t="shared" si="137"/>
        <v>0</v>
      </c>
      <c r="BC67" s="2028">
        <f t="shared" si="138"/>
        <v>0</v>
      </c>
      <c r="BD67" s="3284">
        <f t="shared" si="116"/>
        <v>0</v>
      </c>
      <c r="BE67" s="3276"/>
      <c r="BF67" s="3274"/>
      <c r="BG67" s="3274"/>
      <c r="BH67" s="2028">
        <f t="shared" si="139"/>
        <v>0</v>
      </c>
      <c r="BI67" s="3284">
        <f t="shared" si="117"/>
        <v>0</v>
      </c>
      <c r="BJ67" s="3295"/>
      <c r="BK67" s="3274"/>
      <c r="BL67" s="3274"/>
      <c r="BM67" s="2028">
        <f t="shared" si="140"/>
        <v>0</v>
      </c>
      <c r="BN67" s="3284">
        <f t="shared" si="118"/>
        <v>0</v>
      </c>
      <c r="BO67" s="3295"/>
      <c r="BP67" s="3274"/>
      <c r="BQ67" s="3274"/>
      <c r="BR67" s="2028">
        <f t="shared" si="141"/>
        <v>0</v>
      </c>
      <c r="BS67" s="3284">
        <f t="shared" si="119"/>
        <v>0</v>
      </c>
      <c r="BT67" s="3295"/>
      <c r="BU67" s="3274"/>
      <c r="BV67" s="3274"/>
      <c r="BW67" s="2028">
        <f t="shared" si="142"/>
        <v>0</v>
      </c>
      <c r="BX67" s="3284">
        <f t="shared" si="120"/>
        <v>0</v>
      </c>
      <c r="BY67" s="3295"/>
      <c r="BZ67" s="3274"/>
      <c r="CA67" s="3274"/>
      <c r="CB67" s="2028">
        <f t="shared" si="143"/>
        <v>0</v>
      </c>
      <c r="CC67" s="3284">
        <f t="shared" si="121"/>
        <v>0</v>
      </c>
      <c r="CD67" s="3295"/>
      <c r="CE67" s="3274"/>
      <c r="CF67" s="3274"/>
      <c r="CG67" s="2028">
        <f t="shared" si="144"/>
        <v>0</v>
      </c>
      <c r="CH67" s="3284">
        <f t="shared" si="122"/>
        <v>0</v>
      </c>
      <c r="CI67" s="3295"/>
      <c r="CJ67" s="3274"/>
      <c r="CK67" s="3274"/>
      <c r="CL67" s="2028">
        <f t="shared" si="145"/>
        <v>0</v>
      </c>
      <c r="CM67" s="3284">
        <f t="shared" si="123"/>
        <v>0</v>
      </c>
      <c r="CN67" s="3295"/>
      <c r="CO67" s="3274"/>
      <c r="CP67" s="3274"/>
      <c r="CQ67" s="2028">
        <f t="shared" si="146"/>
        <v>0</v>
      </c>
      <c r="CR67" s="3284">
        <f t="shared" si="124"/>
        <v>0</v>
      </c>
      <c r="CS67" s="1449"/>
      <c r="CT67" s="3274"/>
      <c r="CU67" s="3274"/>
      <c r="CV67" s="2028">
        <f t="shared" si="147"/>
        <v>0</v>
      </c>
      <c r="CW67" s="3284">
        <f t="shared" si="125"/>
        <v>0</v>
      </c>
      <c r="CX67" s="1449"/>
      <c r="CY67" s="3274"/>
      <c r="CZ67" s="3274"/>
      <c r="DA67" s="2028">
        <f t="shared" si="148"/>
        <v>0</v>
      </c>
      <c r="DB67" s="3284">
        <f t="shared" si="126"/>
        <v>0</v>
      </c>
      <c r="DC67" s="1449"/>
      <c r="DD67" s="3274"/>
      <c r="DE67" s="3274"/>
      <c r="DF67" s="2028">
        <f t="shared" si="149"/>
        <v>0</v>
      </c>
      <c r="DG67" s="3284">
        <f t="shared" si="127"/>
        <v>0</v>
      </c>
      <c r="DH67" s="1449"/>
      <c r="DI67" s="3274"/>
      <c r="DJ67" s="3274"/>
      <c r="DK67" s="2028">
        <f t="shared" si="150"/>
        <v>0</v>
      </c>
      <c r="DL67" s="3284">
        <f t="shared" si="128"/>
        <v>0</v>
      </c>
      <c r="DM67" s="1449"/>
      <c r="DN67" s="3274">
        <f t="shared" si="151"/>
        <v>0</v>
      </c>
      <c r="DO67" s="3274">
        <f t="shared" si="151"/>
        <v>0</v>
      </c>
      <c r="DP67" s="2028">
        <f t="shared" si="152"/>
        <v>0</v>
      </c>
      <c r="DQ67" s="3284">
        <f t="shared" si="81"/>
        <v>0</v>
      </c>
      <c r="DR67" s="3295"/>
    </row>
    <row r="68" spans="1:122" s="1411" customFormat="1" ht="13.8" x14ac:dyDescent="0.25">
      <c r="A68" s="1586"/>
      <c r="B68" s="3310" t="s">
        <v>5</v>
      </c>
      <c r="C68" s="3288">
        <v>0</v>
      </c>
      <c r="D68" s="3274">
        <v>1149.8300000000002</v>
      </c>
      <c r="E68" s="2028">
        <v>1149.8300000000002</v>
      </c>
      <c r="F68" s="3284">
        <v>1.8389682260662838E-3</v>
      </c>
      <c r="G68" s="3143"/>
      <c r="H68" s="3274"/>
      <c r="I68" s="3274">
        <v>23.97</v>
      </c>
      <c r="J68" s="2028">
        <f t="shared" si="129"/>
        <v>23.97</v>
      </c>
      <c r="K68" s="3284">
        <f t="shared" si="110"/>
        <v>1.9901089963417367E-4</v>
      </c>
      <c r="L68" s="3295"/>
      <c r="M68" s="3274"/>
      <c r="N68" s="3274">
        <v>313.23</v>
      </c>
      <c r="O68" s="2028">
        <f t="shared" si="130"/>
        <v>313.23</v>
      </c>
      <c r="P68" s="3284">
        <f t="shared" si="153"/>
        <v>4.5555440969550148E-4</v>
      </c>
      <c r="Q68" s="3274"/>
      <c r="R68" s="3274"/>
      <c r="S68" s="3274">
        <v>41</v>
      </c>
      <c r="T68" s="2028">
        <f t="shared" si="131"/>
        <v>41</v>
      </c>
      <c r="U68" s="3284">
        <f t="shared" si="111"/>
        <v>1.2561820439916575E-4</v>
      </c>
      <c r="V68" s="3274" t="s">
        <v>546</v>
      </c>
      <c r="W68" s="3274"/>
      <c r="X68" s="3274"/>
      <c r="Y68" s="2028">
        <f t="shared" si="132"/>
        <v>0</v>
      </c>
      <c r="Z68" s="3284">
        <f t="shared" si="112"/>
        <v>0</v>
      </c>
      <c r="AA68" s="3274" t="s">
        <v>546</v>
      </c>
      <c r="AB68" s="3274"/>
      <c r="AC68" s="3274"/>
      <c r="AD68" s="2028">
        <f t="shared" si="133"/>
        <v>0</v>
      </c>
      <c r="AE68" s="3284">
        <f t="shared" si="113"/>
        <v>0</v>
      </c>
      <c r="AF68" s="3274"/>
      <c r="AG68" s="3274"/>
      <c r="AH68" s="3274"/>
      <c r="AI68" s="2028">
        <f t="shared" si="134"/>
        <v>0</v>
      </c>
      <c r="AJ68" s="3284">
        <f t="shared" si="114"/>
        <v>0</v>
      </c>
      <c r="AK68" s="3274" t="s">
        <v>546</v>
      </c>
      <c r="AL68" s="3274"/>
      <c r="AM68" s="3274"/>
      <c r="AN68" s="2028">
        <f t="shared" si="135"/>
        <v>0</v>
      </c>
      <c r="AO68" s="3284">
        <f t="shared" si="115"/>
        <v>0</v>
      </c>
      <c r="AP68" s="3274" t="s">
        <v>546</v>
      </c>
      <c r="AQ68" s="3274"/>
      <c r="AR68" s="3274"/>
      <c r="AS68" s="2028">
        <f t="shared" si="136"/>
        <v>0</v>
      </c>
      <c r="AT68" s="3284">
        <f t="shared" si="5"/>
        <v>0</v>
      </c>
      <c r="AU68" s="3274"/>
      <c r="AV68" s="3274">
        <v>447</v>
      </c>
      <c r="AW68" s="3274">
        <v>363</v>
      </c>
      <c r="AX68" s="2028">
        <v>810</v>
      </c>
      <c r="AY68" s="3284">
        <v>2.481725501544494E-3</v>
      </c>
      <c r="AZ68" s="3276"/>
      <c r="BA68" s="3274">
        <f t="shared" si="137"/>
        <v>50</v>
      </c>
      <c r="BB68" s="3274">
        <f t="shared" si="137"/>
        <v>0</v>
      </c>
      <c r="BC68" s="2028">
        <f t="shared" si="138"/>
        <v>50</v>
      </c>
      <c r="BD68" s="3284">
        <f t="shared" si="116"/>
        <v>1.5319293219410459E-4</v>
      </c>
      <c r="BE68" s="3276"/>
      <c r="BF68" s="3274"/>
      <c r="BG68" s="3274"/>
      <c r="BH68" s="2028">
        <f t="shared" si="139"/>
        <v>0</v>
      </c>
      <c r="BI68" s="3284">
        <f t="shared" si="117"/>
        <v>0</v>
      </c>
      <c r="BJ68" s="3274"/>
      <c r="BK68" s="3274"/>
      <c r="BL68" s="3274"/>
      <c r="BM68" s="2028">
        <f t="shared" si="140"/>
        <v>0</v>
      </c>
      <c r="BN68" s="3284">
        <f t="shared" si="118"/>
        <v>0</v>
      </c>
      <c r="BO68" s="3274"/>
      <c r="BP68" s="3274">
        <v>50</v>
      </c>
      <c r="BQ68" s="3274"/>
      <c r="BR68" s="2028">
        <f t="shared" si="141"/>
        <v>50</v>
      </c>
      <c r="BS68" s="3284">
        <f t="shared" si="119"/>
        <v>3.822444730894262E-4</v>
      </c>
      <c r="BT68" s="3274"/>
      <c r="BU68" s="3274"/>
      <c r="BV68" s="3274"/>
      <c r="BW68" s="2028">
        <f t="shared" si="142"/>
        <v>0</v>
      </c>
      <c r="BX68" s="3284">
        <f t="shared" si="120"/>
        <v>0</v>
      </c>
      <c r="BY68" s="3274"/>
      <c r="BZ68" s="3274"/>
      <c r="CA68" s="3274"/>
      <c r="CB68" s="2028">
        <f t="shared" si="143"/>
        <v>0</v>
      </c>
      <c r="CC68" s="3284">
        <f t="shared" si="121"/>
        <v>0</v>
      </c>
      <c r="CD68" s="3274"/>
      <c r="CE68" s="3274"/>
      <c r="CF68" s="3274"/>
      <c r="CG68" s="2028">
        <f t="shared" si="144"/>
        <v>0</v>
      </c>
      <c r="CH68" s="3284">
        <f t="shared" si="122"/>
        <v>0</v>
      </c>
      <c r="CI68" s="3274"/>
      <c r="CJ68" s="3274"/>
      <c r="CK68" s="3274"/>
      <c r="CL68" s="2028">
        <f t="shared" si="145"/>
        <v>0</v>
      </c>
      <c r="CM68" s="3284">
        <f t="shared" si="123"/>
        <v>0</v>
      </c>
      <c r="CN68" s="3274"/>
      <c r="CO68" s="3274"/>
      <c r="CP68" s="3274"/>
      <c r="CQ68" s="2028">
        <f t="shared" si="146"/>
        <v>0</v>
      </c>
      <c r="CR68" s="3284">
        <f t="shared" si="124"/>
        <v>0</v>
      </c>
      <c r="CS68" s="3274"/>
      <c r="CT68" s="3274"/>
      <c r="CU68" s="3274"/>
      <c r="CV68" s="2028">
        <f t="shared" si="147"/>
        <v>0</v>
      </c>
      <c r="CW68" s="3284">
        <f t="shared" si="125"/>
        <v>0</v>
      </c>
      <c r="CX68" s="3274"/>
      <c r="CY68" s="3274"/>
      <c r="CZ68" s="3274"/>
      <c r="DA68" s="2028">
        <f t="shared" si="148"/>
        <v>0</v>
      </c>
      <c r="DB68" s="3284">
        <f t="shared" si="126"/>
        <v>0</v>
      </c>
      <c r="DC68" s="3274"/>
      <c r="DD68" s="3274"/>
      <c r="DE68" s="3274"/>
      <c r="DF68" s="2028">
        <f t="shared" si="149"/>
        <v>0</v>
      </c>
      <c r="DG68" s="3284">
        <f t="shared" si="127"/>
        <v>0</v>
      </c>
      <c r="DH68" s="3274"/>
      <c r="DI68" s="3274"/>
      <c r="DJ68" s="3274"/>
      <c r="DK68" s="2028">
        <f t="shared" si="150"/>
        <v>0</v>
      </c>
      <c r="DL68" s="3284">
        <f t="shared" si="128"/>
        <v>0</v>
      </c>
      <c r="DM68" s="3274"/>
      <c r="DN68" s="3274">
        <f t="shared" si="151"/>
        <v>497</v>
      </c>
      <c r="DO68" s="3274">
        <f t="shared" si="151"/>
        <v>404</v>
      </c>
      <c r="DP68" s="2028">
        <f t="shared" si="152"/>
        <v>901</v>
      </c>
      <c r="DQ68" s="3284">
        <f t="shared" si="81"/>
        <v>3.540579629598236E-4</v>
      </c>
      <c r="DR68" s="3295"/>
    </row>
    <row r="69" spans="1:122" s="1411" customFormat="1" ht="13.8" x14ac:dyDescent="0.25">
      <c r="A69" s="1586"/>
      <c r="B69" s="3310" t="s">
        <v>42</v>
      </c>
      <c r="C69" s="3288">
        <v>700</v>
      </c>
      <c r="D69" s="3274">
        <v>0</v>
      </c>
      <c r="E69" s="2028">
        <v>700</v>
      </c>
      <c r="F69" s="3284">
        <v>1.1195374605345125E-3</v>
      </c>
      <c r="G69" s="3143"/>
      <c r="H69" s="3274"/>
      <c r="I69" s="3274"/>
      <c r="J69" s="2028">
        <f t="shared" si="129"/>
        <v>0</v>
      </c>
      <c r="K69" s="3284">
        <f t="shared" si="110"/>
        <v>0</v>
      </c>
      <c r="L69" s="3295"/>
      <c r="M69" s="3274"/>
      <c r="N69" s="3274"/>
      <c r="O69" s="2028">
        <f t="shared" si="130"/>
        <v>0</v>
      </c>
      <c r="P69" s="3284">
        <f t="shared" si="153"/>
        <v>0</v>
      </c>
      <c r="Q69" s="3274"/>
      <c r="R69" s="3274"/>
      <c r="S69" s="3274"/>
      <c r="T69" s="2028">
        <f t="shared" si="131"/>
        <v>0</v>
      </c>
      <c r="U69" s="3284">
        <f t="shared" si="111"/>
        <v>0</v>
      </c>
      <c r="V69" s="3274"/>
      <c r="W69" s="3274"/>
      <c r="X69" s="3274"/>
      <c r="Y69" s="2028">
        <f t="shared" si="132"/>
        <v>0</v>
      </c>
      <c r="Z69" s="3284">
        <f t="shared" si="112"/>
        <v>0</v>
      </c>
      <c r="AA69" s="3274"/>
      <c r="AB69" s="3274"/>
      <c r="AC69" s="3274"/>
      <c r="AD69" s="2028">
        <f t="shared" si="133"/>
        <v>0</v>
      </c>
      <c r="AE69" s="3284">
        <f t="shared" si="113"/>
        <v>0</v>
      </c>
      <c r="AF69" s="3274"/>
      <c r="AG69" s="3274"/>
      <c r="AH69" s="3274"/>
      <c r="AI69" s="2028">
        <f t="shared" si="134"/>
        <v>0</v>
      </c>
      <c r="AJ69" s="3284">
        <f t="shared" si="114"/>
        <v>0</v>
      </c>
      <c r="AK69" s="3274"/>
      <c r="AL69" s="3274"/>
      <c r="AM69" s="3274"/>
      <c r="AN69" s="2028">
        <f t="shared" si="135"/>
        <v>0</v>
      </c>
      <c r="AO69" s="3284">
        <f t="shared" si="115"/>
        <v>0</v>
      </c>
      <c r="AP69" s="3274"/>
      <c r="AQ69" s="3274"/>
      <c r="AR69" s="3274"/>
      <c r="AS69" s="2028">
        <f t="shared" si="136"/>
        <v>0</v>
      </c>
      <c r="AT69" s="3284">
        <f t="shared" si="5"/>
        <v>0</v>
      </c>
      <c r="AU69" s="3274"/>
      <c r="AV69" s="3274">
        <v>0</v>
      </c>
      <c r="AW69" s="3274">
        <v>0</v>
      </c>
      <c r="AX69" s="2028">
        <v>0</v>
      </c>
      <c r="AY69" s="3284">
        <v>0</v>
      </c>
      <c r="AZ69" s="3276"/>
      <c r="BA69" s="3274">
        <f t="shared" si="137"/>
        <v>0</v>
      </c>
      <c r="BB69" s="3274">
        <f t="shared" si="137"/>
        <v>0</v>
      </c>
      <c r="BC69" s="2028">
        <f t="shared" si="138"/>
        <v>0</v>
      </c>
      <c r="BD69" s="3284">
        <f t="shared" si="116"/>
        <v>0</v>
      </c>
      <c r="BE69" s="3276"/>
      <c r="BF69" s="3274"/>
      <c r="BG69" s="3274"/>
      <c r="BH69" s="2028">
        <f t="shared" si="139"/>
        <v>0</v>
      </c>
      <c r="BI69" s="3284">
        <f t="shared" si="117"/>
        <v>0</v>
      </c>
      <c r="BJ69" s="3274"/>
      <c r="BK69" s="3274"/>
      <c r="BL69" s="3274"/>
      <c r="BM69" s="2028">
        <f t="shared" si="140"/>
        <v>0</v>
      </c>
      <c r="BN69" s="3284">
        <f t="shared" si="118"/>
        <v>0</v>
      </c>
      <c r="BO69" s="3274"/>
      <c r="BP69" s="3274"/>
      <c r="BQ69" s="3274"/>
      <c r="BR69" s="2028">
        <f t="shared" si="141"/>
        <v>0</v>
      </c>
      <c r="BS69" s="3284">
        <f t="shared" si="119"/>
        <v>0</v>
      </c>
      <c r="BT69" s="3274"/>
      <c r="BU69" s="3274"/>
      <c r="BV69" s="3274"/>
      <c r="BW69" s="2028">
        <f t="shared" si="142"/>
        <v>0</v>
      </c>
      <c r="BX69" s="3284">
        <f t="shared" si="120"/>
        <v>0</v>
      </c>
      <c r="BY69" s="3274"/>
      <c r="BZ69" s="3274"/>
      <c r="CA69" s="3274"/>
      <c r="CB69" s="2028">
        <f t="shared" si="143"/>
        <v>0</v>
      </c>
      <c r="CC69" s="3284">
        <f t="shared" si="121"/>
        <v>0</v>
      </c>
      <c r="CD69" s="3274"/>
      <c r="CE69" s="3274"/>
      <c r="CF69" s="3274"/>
      <c r="CG69" s="2028">
        <f t="shared" si="144"/>
        <v>0</v>
      </c>
      <c r="CH69" s="3284">
        <f t="shared" si="122"/>
        <v>0</v>
      </c>
      <c r="CI69" s="3274"/>
      <c r="CJ69" s="3274"/>
      <c r="CK69" s="3274"/>
      <c r="CL69" s="2028">
        <f t="shared" si="145"/>
        <v>0</v>
      </c>
      <c r="CM69" s="3284">
        <f t="shared" si="123"/>
        <v>0</v>
      </c>
      <c r="CN69" s="3274"/>
      <c r="CO69" s="3274"/>
      <c r="CP69" s="3274"/>
      <c r="CQ69" s="2028">
        <f t="shared" si="146"/>
        <v>0</v>
      </c>
      <c r="CR69" s="3284">
        <f t="shared" si="124"/>
        <v>0</v>
      </c>
      <c r="CS69" s="3274"/>
      <c r="CT69" s="3274"/>
      <c r="CU69" s="3274"/>
      <c r="CV69" s="2028">
        <f t="shared" si="147"/>
        <v>0</v>
      </c>
      <c r="CW69" s="3284">
        <f t="shared" si="125"/>
        <v>0</v>
      </c>
      <c r="CX69" s="3274"/>
      <c r="CY69" s="3274"/>
      <c r="CZ69" s="3274"/>
      <c r="DA69" s="2028">
        <f t="shared" si="148"/>
        <v>0</v>
      </c>
      <c r="DB69" s="3284">
        <f t="shared" si="126"/>
        <v>0</v>
      </c>
      <c r="DC69" s="3274"/>
      <c r="DD69" s="3274"/>
      <c r="DE69" s="3274"/>
      <c r="DF69" s="2028">
        <f t="shared" si="149"/>
        <v>0</v>
      </c>
      <c r="DG69" s="3284">
        <f t="shared" si="127"/>
        <v>0</v>
      </c>
      <c r="DH69" s="3274"/>
      <c r="DI69" s="3274"/>
      <c r="DJ69" s="3274"/>
      <c r="DK69" s="2028">
        <f t="shared" si="150"/>
        <v>0</v>
      </c>
      <c r="DL69" s="3284">
        <f t="shared" si="128"/>
        <v>0</v>
      </c>
      <c r="DM69" s="3274"/>
      <c r="DN69" s="3274">
        <f t="shared" si="151"/>
        <v>0</v>
      </c>
      <c r="DO69" s="3274">
        <f t="shared" si="151"/>
        <v>0</v>
      </c>
      <c r="DP69" s="2028">
        <f t="shared" si="152"/>
        <v>0</v>
      </c>
      <c r="DQ69" s="3284">
        <f t="shared" si="81"/>
        <v>0</v>
      </c>
      <c r="DR69" s="3295"/>
    </row>
    <row r="70" spans="1:122" s="1411" customFormat="1" ht="13.8" x14ac:dyDescent="0.25">
      <c r="A70" s="1586"/>
      <c r="B70" s="3310" t="s">
        <v>6</v>
      </c>
      <c r="C70" s="3288">
        <v>0</v>
      </c>
      <c r="D70" s="3274">
        <v>0</v>
      </c>
      <c r="E70" s="2028">
        <v>0</v>
      </c>
      <c r="F70" s="3284">
        <v>0</v>
      </c>
      <c r="G70" s="3143"/>
      <c r="H70" s="3274"/>
      <c r="I70" s="3274"/>
      <c r="J70" s="2028">
        <f t="shared" si="129"/>
        <v>0</v>
      </c>
      <c r="K70" s="3284">
        <f t="shared" si="110"/>
        <v>0</v>
      </c>
      <c r="L70" s="3295"/>
      <c r="M70" s="3274"/>
      <c r="N70" s="3274"/>
      <c r="O70" s="2028">
        <f t="shared" si="130"/>
        <v>0</v>
      </c>
      <c r="P70" s="3284">
        <f t="shared" si="153"/>
        <v>0</v>
      </c>
      <c r="Q70" s="3295"/>
      <c r="R70" s="3274"/>
      <c r="S70" s="3274"/>
      <c r="T70" s="2028">
        <f t="shared" si="131"/>
        <v>0</v>
      </c>
      <c r="U70" s="3284">
        <f t="shared" si="111"/>
        <v>0</v>
      </c>
      <c r="V70" s="3295"/>
      <c r="W70" s="3274"/>
      <c r="X70" s="3274"/>
      <c r="Y70" s="2028">
        <f t="shared" si="132"/>
        <v>0</v>
      </c>
      <c r="Z70" s="3284">
        <f t="shared" si="112"/>
        <v>0</v>
      </c>
      <c r="AA70" s="3295"/>
      <c r="AB70" s="3274"/>
      <c r="AC70" s="3274"/>
      <c r="AD70" s="2028">
        <f t="shared" si="133"/>
        <v>0</v>
      </c>
      <c r="AE70" s="3284">
        <f t="shared" si="113"/>
        <v>0</v>
      </c>
      <c r="AF70" s="3295"/>
      <c r="AG70" s="3274"/>
      <c r="AH70" s="3274"/>
      <c r="AI70" s="2028">
        <f t="shared" si="134"/>
        <v>0</v>
      </c>
      <c r="AJ70" s="3284">
        <f t="shared" si="114"/>
        <v>0</v>
      </c>
      <c r="AK70" s="3295"/>
      <c r="AL70" s="3274"/>
      <c r="AM70" s="3274"/>
      <c r="AN70" s="2028">
        <f t="shared" si="135"/>
        <v>0</v>
      </c>
      <c r="AO70" s="3284">
        <f t="shared" si="115"/>
        <v>0</v>
      </c>
      <c r="AP70" s="3295"/>
      <c r="AQ70" s="3274"/>
      <c r="AR70" s="3274"/>
      <c r="AS70" s="2028">
        <f t="shared" si="136"/>
        <v>0</v>
      </c>
      <c r="AT70" s="3284">
        <f t="shared" si="5"/>
        <v>0</v>
      </c>
      <c r="AU70" s="3295"/>
      <c r="AV70" s="3274">
        <v>0</v>
      </c>
      <c r="AW70" s="3274">
        <v>0</v>
      </c>
      <c r="AX70" s="2028">
        <v>0</v>
      </c>
      <c r="AY70" s="3284">
        <v>0</v>
      </c>
      <c r="AZ70" s="3276"/>
      <c r="BA70" s="3274">
        <f t="shared" si="137"/>
        <v>0</v>
      </c>
      <c r="BB70" s="3274">
        <f t="shared" si="137"/>
        <v>0</v>
      </c>
      <c r="BC70" s="2028">
        <f t="shared" si="138"/>
        <v>0</v>
      </c>
      <c r="BD70" s="3284">
        <f t="shared" si="116"/>
        <v>0</v>
      </c>
      <c r="BE70" s="3276"/>
      <c r="BF70" s="3274"/>
      <c r="BG70" s="3274"/>
      <c r="BH70" s="2028">
        <f t="shared" si="139"/>
        <v>0</v>
      </c>
      <c r="BI70" s="3284">
        <f t="shared" si="117"/>
        <v>0</v>
      </c>
      <c r="BJ70" s="3295"/>
      <c r="BK70" s="3274"/>
      <c r="BL70" s="3274"/>
      <c r="BM70" s="2028">
        <f t="shared" si="140"/>
        <v>0</v>
      </c>
      <c r="BN70" s="3284">
        <f t="shared" si="118"/>
        <v>0</v>
      </c>
      <c r="BO70" s="3295"/>
      <c r="BP70" s="3274"/>
      <c r="BQ70" s="3274"/>
      <c r="BR70" s="2028">
        <f t="shared" si="141"/>
        <v>0</v>
      </c>
      <c r="BS70" s="3284">
        <f t="shared" si="119"/>
        <v>0</v>
      </c>
      <c r="BT70" s="3295"/>
      <c r="BU70" s="3274"/>
      <c r="BV70" s="3274"/>
      <c r="BW70" s="2028">
        <f t="shared" si="142"/>
        <v>0</v>
      </c>
      <c r="BX70" s="3284">
        <f t="shared" si="120"/>
        <v>0</v>
      </c>
      <c r="BY70" s="3295"/>
      <c r="BZ70" s="3274"/>
      <c r="CA70" s="3274"/>
      <c r="CB70" s="2028">
        <f t="shared" si="143"/>
        <v>0</v>
      </c>
      <c r="CC70" s="3284">
        <f t="shared" si="121"/>
        <v>0</v>
      </c>
      <c r="CD70" s="3295"/>
      <c r="CE70" s="3274"/>
      <c r="CF70" s="3274"/>
      <c r="CG70" s="2028">
        <f t="shared" si="144"/>
        <v>0</v>
      </c>
      <c r="CH70" s="3284">
        <f t="shared" si="122"/>
        <v>0</v>
      </c>
      <c r="CI70" s="3295"/>
      <c r="CJ70" s="3274"/>
      <c r="CK70" s="3274"/>
      <c r="CL70" s="2028">
        <f t="shared" si="145"/>
        <v>0</v>
      </c>
      <c r="CM70" s="3284">
        <f t="shared" si="123"/>
        <v>0</v>
      </c>
      <c r="CN70" s="3295"/>
      <c r="CO70" s="3274"/>
      <c r="CP70" s="3274"/>
      <c r="CQ70" s="2028">
        <f t="shared" si="146"/>
        <v>0</v>
      </c>
      <c r="CR70" s="3284">
        <f t="shared" si="124"/>
        <v>0</v>
      </c>
      <c r="CS70" s="1449"/>
      <c r="CT70" s="3274"/>
      <c r="CU70" s="3274"/>
      <c r="CV70" s="2028">
        <f t="shared" si="147"/>
        <v>0</v>
      </c>
      <c r="CW70" s="3284">
        <f t="shared" si="125"/>
        <v>0</v>
      </c>
      <c r="CX70" s="1449"/>
      <c r="CY70" s="3274"/>
      <c r="CZ70" s="3274"/>
      <c r="DA70" s="2028">
        <f t="shared" si="148"/>
        <v>0</v>
      </c>
      <c r="DB70" s="3284">
        <f t="shared" si="126"/>
        <v>0</v>
      </c>
      <c r="DC70" s="1449"/>
      <c r="DD70" s="3274"/>
      <c r="DE70" s="3274"/>
      <c r="DF70" s="2028">
        <f t="shared" si="149"/>
        <v>0</v>
      </c>
      <c r="DG70" s="3284">
        <f t="shared" si="127"/>
        <v>0</v>
      </c>
      <c r="DH70" s="1449"/>
      <c r="DI70" s="3274"/>
      <c r="DJ70" s="3274"/>
      <c r="DK70" s="2028">
        <f t="shared" si="150"/>
        <v>0</v>
      </c>
      <c r="DL70" s="3284">
        <f t="shared" si="128"/>
        <v>0</v>
      </c>
      <c r="DM70" s="1449"/>
      <c r="DN70" s="3274">
        <f t="shared" si="151"/>
        <v>0</v>
      </c>
      <c r="DO70" s="3274">
        <f t="shared" si="151"/>
        <v>0</v>
      </c>
      <c r="DP70" s="2028">
        <f t="shared" si="152"/>
        <v>0</v>
      </c>
      <c r="DQ70" s="3284">
        <f t="shared" si="81"/>
        <v>0</v>
      </c>
      <c r="DR70" s="3295"/>
    </row>
    <row r="71" spans="1:122" s="1411" customFormat="1" ht="13.8" x14ac:dyDescent="0.25">
      <c r="A71" s="1586"/>
      <c r="B71" s="3310" t="s">
        <v>78</v>
      </c>
      <c r="C71" s="3288">
        <v>189.38</v>
      </c>
      <c r="D71" s="3274">
        <v>1000</v>
      </c>
      <c r="E71" s="2028">
        <v>1189.3800000000001</v>
      </c>
      <c r="F71" s="3284">
        <v>1.9022220925864839E-3</v>
      </c>
      <c r="G71" s="3143"/>
      <c r="H71" s="3274"/>
      <c r="I71" s="3274">
        <v>300</v>
      </c>
      <c r="J71" s="2028">
        <f t="shared" si="129"/>
        <v>300</v>
      </c>
      <c r="K71" s="3284">
        <f t="shared" si="110"/>
        <v>2.4907496825303339E-3</v>
      </c>
      <c r="L71" s="3295"/>
      <c r="M71" s="3274"/>
      <c r="N71" s="3274"/>
      <c r="O71" s="2028">
        <f t="shared" si="130"/>
        <v>0</v>
      </c>
      <c r="P71" s="3284">
        <f t="shared" si="153"/>
        <v>0</v>
      </c>
      <c r="Q71" s="3295"/>
      <c r="R71" s="3274">
        <v>252.52</v>
      </c>
      <c r="S71" s="3274"/>
      <c r="T71" s="2028">
        <f t="shared" si="131"/>
        <v>252.52</v>
      </c>
      <c r="U71" s="3284">
        <f t="shared" si="111"/>
        <v>7.7368558475310583E-4</v>
      </c>
      <c r="V71" s="3274" t="s">
        <v>1101</v>
      </c>
      <c r="W71" s="3274"/>
      <c r="X71" s="3274"/>
      <c r="Y71" s="2028">
        <f t="shared" si="132"/>
        <v>0</v>
      </c>
      <c r="Z71" s="3284">
        <f t="shared" si="112"/>
        <v>0</v>
      </c>
      <c r="AA71" s="3274"/>
      <c r="AB71" s="3274"/>
      <c r="AC71" s="3274"/>
      <c r="AD71" s="2028">
        <f t="shared" si="133"/>
        <v>0</v>
      </c>
      <c r="AE71" s="3284">
        <f t="shared" si="113"/>
        <v>0</v>
      </c>
      <c r="AF71" s="3274"/>
      <c r="AG71" s="3274"/>
      <c r="AH71" s="3274"/>
      <c r="AI71" s="2028">
        <f t="shared" si="134"/>
        <v>0</v>
      </c>
      <c r="AJ71" s="3284">
        <f t="shared" si="114"/>
        <v>0</v>
      </c>
      <c r="AK71" s="3274"/>
      <c r="AL71" s="3274"/>
      <c r="AM71" s="3274"/>
      <c r="AN71" s="2028">
        <f t="shared" si="135"/>
        <v>0</v>
      </c>
      <c r="AO71" s="3284">
        <f t="shared" si="115"/>
        <v>0</v>
      </c>
      <c r="AP71" s="3274"/>
      <c r="AQ71" s="3274"/>
      <c r="AR71" s="3274"/>
      <c r="AS71" s="2028">
        <f t="shared" si="136"/>
        <v>0</v>
      </c>
      <c r="AT71" s="3284">
        <f t="shared" si="5"/>
        <v>0</v>
      </c>
      <c r="AU71" s="3274"/>
      <c r="AV71" s="3274">
        <v>0</v>
      </c>
      <c r="AW71" s="3274">
        <v>0</v>
      </c>
      <c r="AX71" s="2028">
        <v>0</v>
      </c>
      <c r="AY71" s="3284">
        <v>0</v>
      </c>
      <c r="AZ71" s="3276"/>
      <c r="BA71" s="3274">
        <f t="shared" si="137"/>
        <v>0</v>
      </c>
      <c r="BB71" s="3274">
        <f t="shared" si="137"/>
        <v>0</v>
      </c>
      <c r="BC71" s="2028">
        <f t="shared" si="138"/>
        <v>0</v>
      </c>
      <c r="BD71" s="3284">
        <f t="shared" si="116"/>
        <v>0</v>
      </c>
      <c r="BE71" s="3276"/>
      <c r="BF71" s="3274"/>
      <c r="BG71" s="3274"/>
      <c r="BH71" s="2028">
        <f t="shared" si="139"/>
        <v>0</v>
      </c>
      <c r="BI71" s="3284">
        <f t="shared" si="117"/>
        <v>0</v>
      </c>
      <c r="BJ71" s="3274"/>
      <c r="BK71" s="3274"/>
      <c r="BL71" s="3274"/>
      <c r="BM71" s="2028">
        <f t="shared" si="140"/>
        <v>0</v>
      </c>
      <c r="BN71" s="3284">
        <f t="shared" si="118"/>
        <v>0</v>
      </c>
      <c r="BO71" s="3274"/>
      <c r="BP71" s="3274"/>
      <c r="BQ71" s="3274"/>
      <c r="BR71" s="2028">
        <f t="shared" si="141"/>
        <v>0</v>
      </c>
      <c r="BS71" s="3284">
        <f t="shared" si="119"/>
        <v>0</v>
      </c>
      <c r="BT71" s="3274"/>
      <c r="BU71" s="3274"/>
      <c r="BV71" s="3274"/>
      <c r="BW71" s="2028">
        <f t="shared" si="142"/>
        <v>0</v>
      </c>
      <c r="BX71" s="3284">
        <f t="shared" si="120"/>
        <v>0</v>
      </c>
      <c r="BY71" s="3274"/>
      <c r="BZ71" s="3274"/>
      <c r="CA71" s="3274"/>
      <c r="CB71" s="2028">
        <f t="shared" si="143"/>
        <v>0</v>
      </c>
      <c r="CC71" s="3284">
        <f t="shared" si="121"/>
        <v>0</v>
      </c>
      <c r="CD71" s="3274"/>
      <c r="CE71" s="3274"/>
      <c r="CF71" s="3274"/>
      <c r="CG71" s="2028">
        <f t="shared" si="144"/>
        <v>0</v>
      </c>
      <c r="CH71" s="3284">
        <f t="shared" si="122"/>
        <v>0</v>
      </c>
      <c r="CI71" s="3274"/>
      <c r="CJ71" s="3274"/>
      <c r="CK71" s="3274"/>
      <c r="CL71" s="2028">
        <f t="shared" si="145"/>
        <v>0</v>
      </c>
      <c r="CM71" s="3284">
        <f t="shared" si="123"/>
        <v>0</v>
      </c>
      <c r="CN71" s="3274"/>
      <c r="CO71" s="3274"/>
      <c r="CP71" s="3274"/>
      <c r="CQ71" s="2028">
        <f t="shared" si="146"/>
        <v>0</v>
      </c>
      <c r="CR71" s="3284">
        <f t="shared" si="124"/>
        <v>0</v>
      </c>
      <c r="CS71" s="3274"/>
      <c r="CT71" s="3274"/>
      <c r="CU71" s="3274"/>
      <c r="CV71" s="2028">
        <f t="shared" si="147"/>
        <v>0</v>
      </c>
      <c r="CW71" s="3284">
        <f t="shared" si="125"/>
        <v>0</v>
      </c>
      <c r="CX71" s="3274"/>
      <c r="CY71" s="3274"/>
      <c r="CZ71" s="3274"/>
      <c r="DA71" s="2028">
        <f t="shared" si="148"/>
        <v>0</v>
      </c>
      <c r="DB71" s="3284">
        <f t="shared" si="126"/>
        <v>0</v>
      </c>
      <c r="DC71" s="3274"/>
      <c r="DD71" s="3274"/>
      <c r="DE71" s="3274"/>
      <c r="DF71" s="2028">
        <f t="shared" si="149"/>
        <v>0</v>
      </c>
      <c r="DG71" s="3284">
        <f t="shared" si="127"/>
        <v>0</v>
      </c>
      <c r="DH71" s="3274"/>
      <c r="DI71" s="3274"/>
      <c r="DJ71" s="3274"/>
      <c r="DK71" s="2028">
        <f t="shared" si="150"/>
        <v>0</v>
      </c>
      <c r="DL71" s="3284">
        <f t="shared" si="128"/>
        <v>0</v>
      </c>
      <c r="DM71" s="3274"/>
      <c r="DN71" s="3274">
        <f t="shared" si="151"/>
        <v>252.52</v>
      </c>
      <c r="DO71" s="3274">
        <f t="shared" si="151"/>
        <v>0</v>
      </c>
      <c r="DP71" s="2028">
        <f t="shared" si="152"/>
        <v>252.52</v>
      </c>
      <c r="DQ71" s="3284">
        <f t="shared" si="81"/>
        <v>9.9230540295909721E-5</v>
      </c>
      <c r="DR71" s="3295"/>
    </row>
    <row r="72" spans="1:122" s="1411" customFormat="1" ht="14.4" thickBot="1" x14ac:dyDescent="0.3">
      <c r="A72" s="1586"/>
      <c r="B72" s="3310"/>
      <c r="C72" s="3288"/>
      <c r="D72" s="3274"/>
      <c r="E72" s="2028"/>
      <c r="F72" s="3284">
        <v>0</v>
      </c>
      <c r="G72" s="3143"/>
      <c r="H72" s="3274"/>
      <c r="I72" s="3274"/>
      <c r="J72" s="2028"/>
      <c r="K72" s="3284">
        <f t="shared" si="110"/>
        <v>0</v>
      </c>
      <c r="L72" s="3295"/>
      <c r="M72" s="3274"/>
      <c r="N72" s="3274"/>
      <c r="O72" s="2028"/>
      <c r="P72" s="3284">
        <f t="shared" si="153"/>
        <v>0</v>
      </c>
      <c r="Q72" s="3295"/>
      <c r="R72" s="3274"/>
      <c r="S72" s="3274"/>
      <c r="T72" s="2028"/>
      <c r="U72" s="3284"/>
      <c r="V72" s="3295"/>
      <c r="W72" s="3274"/>
      <c r="X72" s="3274"/>
      <c r="Y72" s="2028"/>
      <c r="Z72" s="3284"/>
      <c r="AA72" s="3295"/>
      <c r="AB72" s="3278"/>
      <c r="AC72" s="3278"/>
      <c r="AD72" s="2046"/>
      <c r="AE72" s="3228"/>
      <c r="AF72" s="3229"/>
      <c r="AG72" s="3278"/>
      <c r="AH72" s="3278"/>
      <c r="AI72" s="2046"/>
      <c r="AJ72" s="3228"/>
      <c r="AK72" s="3229"/>
      <c r="AL72" s="3278"/>
      <c r="AM72" s="3278"/>
      <c r="AN72" s="2046"/>
      <c r="AO72" s="3228"/>
      <c r="AP72" s="3229"/>
      <c r="AQ72" s="3278"/>
      <c r="AR72" s="3278"/>
      <c r="AS72" s="2046"/>
      <c r="AT72" s="3228"/>
      <c r="AU72" s="3229"/>
      <c r="AV72" s="3278"/>
      <c r="AW72" s="3278"/>
      <c r="AX72" s="2046"/>
      <c r="AY72" s="3228"/>
      <c r="AZ72" s="3229"/>
      <c r="BA72" s="3278"/>
      <c r="BB72" s="3278"/>
      <c r="BC72" s="2046"/>
      <c r="BD72" s="3228"/>
      <c r="BE72" s="3229"/>
      <c r="BF72" s="3278"/>
      <c r="BG72" s="3278"/>
      <c r="BH72" s="2046"/>
      <c r="BI72" s="3228"/>
      <c r="BJ72" s="3229"/>
      <c r="BK72" s="3278"/>
      <c r="BL72" s="3278"/>
      <c r="BM72" s="2046"/>
      <c r="BN72" s="3228"/>
      <c r="BO72" s="3229"/>
      <c r="BP72" s="3278"/>
      <c r="BQ72" s="3278"/>
      <c r="BR72" s="2046"/>
      <c r="BS72" s="3228"/>
      <c r="BT72" s="3229"/>
      <c r="BU72" s="3278"/>
      <c r="BV72" s="3278"/>
      <c r="BW72" s="2046"/>
      <c r="BX72" s="3228"/>
      <c r="BY72" s="3229"/>
      <c r="BZ72" s="3278"/>
      <c r="CA72" s="3278"/>
      <c r="CB72" s="2046"/>
      <c r="CC72" s="3228"/>
      <c r="CD72" s="3229"/>
      <c r="CE72" s="3278"/>
      <c r="CF72" s="3278"/>
      <c r="CG72" s="2046"/>
      <c r="CH72" s="3228"/>
      <c r="CI72" s="3229"/>
      <c r="CJ72" s="3278"/>
      <c r="CK72" s="3278"/>
      <c r="CL72" s="2046"/>
      <c r="CM72" s="3228"/>
      <c r="CN72" s="3229"/>
      <c r="CO72" s="3278"/>
      <c r="CP72" s="3278"/>
      <c r="CQ72" s="2046"/>
      <c r="CR72" s="3228"/>
      <c r="CS72" s="1325"/>
      <c r="CT72" s="3278"/>
      <c r="CU72" s="3278"/>
      <c r="CV72" s="2046"/>
      <c r="CW72" s="3228"/>
      <c r="CX72" s="1325"/>
      <c r="CY72" s="3278"/>
      <c r="CZ72" s="3278"/>
      <c r="DA72" s="2046"/>
      <c r="DB72" s="3228"/>
      <c r="DC72" s="1325"/>
      <c r="DD72" s="3278"/>
      <c r="DE72" s="3278"/>
      <c r="DF72" s="2046"/>
      <c r="DG72" s="3228"/>
      <c r="DH72" s="1325"/>
      <c r="DI72" s="3399"/>
      <c r="DJ72" s="3278"/>
      <c r="DK72" s="2046"/>
      <c r="DL72" s="3228"/>
      <c r="DM72" s="1325"/>
      <c r="DN72" s="3278"/>
      <c r="DO72" s="3278"/>
      <c r="DP72" s="2046"/>
      <c r="DQ72" s="3228">
        <f>DP72/$DP$89</f>
        <v>0</v>
      </c>
      <c r="DR72" s="3229"/>
    </row>
    <row r="73" spans="1:122" s="1411" customFormat="1" ht="14.4" thickBot="1" x14ac:dyDescent="0.3">
      <c r="A73" s="1586"/>
      <c r="B73" s="3324" t="s">
        <v>4</v>
      </c>
      <c r="C73" s="2865">
        <v>0</v>
      </c>
      <c r="D73" s="3325">
        <v>0</v>
      </c>
      <c r="E73" s="2022">
        <v>0</v>
      </c>
      <c r="F73" s="3325"/>
      <c r="G73" s="3400"/>
      <c r="H73" s="3401">
        <f>H74</f>
        <v>0</v>
      </c>
      <c r="I73" s="3325">
        <f>I74</f>
        <v>0</v>
      </c>
      <c r="J73" s="2022">
        <f>J74</f>
        <v>0</v>
      </c>
      <c r="K73" s="3325"/>
      <c r="L73" s="3325"/>
      <c r="M73" s="2865">
        <f>M74</f>
        <v>0</v>
      </c>
      <c r="N73" s="3325">
        <f>N74</f>
        <v>0</v>
      </c>
      <c r="O73" s="2022">
        <f>O74</f>
        <v>0</v>
      </c>
      <c r="P73" s="3325"/>
      <c r="Q73" s="3325"/>
      <c r="R73" s="2865">
        <f>R74</f>
        <v>0</v>
      </c>
      <c r="S73" s="3325">
        <f>S74</f>
        <v>0</v>
      </c>
      <c r="T73" s="2022">
        <f>T74</f>
        <v>0</v>
      </c>
      <c r="U73" s="3325"/>
      <c r="V73" s="3325"/>
      <c r="W73" s="2865">
        <f>W74</f>
        <v>0</v>
      </c>
      <c r="X73" s="3325">
        <f>X74</f>
        <v>0</v>
      </c>
      <c r="Y73" s="2022">
        <f>Y74</f>
        <v>0</v>
      </c>
      <c r="Z73" s="3325"/>
      <c r="AA73" s="3325"/>
      <c r="AB73" s="1599">
        <f>AB74</f>
        <v>0</v>
      </c>
      <c r="AC73" s="1704">
        <f>AC74</f>
        <v>0</v>
      </c>
      <c r="AD73" s="1703">
        <f>AD74</f>
        <v>0</v>
      </c>
      <c r="AE73" s="1704"/>
      <c r="AF73" s="1704"/>
      <c r="AG73" s="1599">
        <f>AG74</f>
        <v>0</v>
      </c>
      <c r="AH73" s="1704">
        <f>AH74</f>
        <v>0</v>
      </c>
      <c r="AI73" s="1703">
        <f>AI74</f>
        <v>0</v>
      </c>
      <c r="AJ73" s="1704"/>
      <c r="AK73" s="1704"/>
      <c r="AL73" s="1599">
        <f>AL74</f>
        <v>0</v>
      </c>
      <c r="AM73" s="1704">
        <f>AM74</f>
        <v>0</v>
      </c>
      <c r="AN73" s="1703">
        <f>AN74</f>
        <v>0</v>
      </c>
      <c r="AO73" s="1704"/>
      <c r="AP73" s="1704"/>
      <c r="AQ73" s="1599">
        <f>AQ74</f>
        <v>0</v>
      </c>
      <c r="AR73" s="1704">
        <f>AR74</f>
        <v>0</v>
      </c>
      <c r="AS73" s="1703">
        <f>AS74</f>
        <v>0</v>
      </c>
      <c r="AT73" s="1704"/>
      <c r="AU73" s="1704"/>
      <c r="AV73" s="1599">
        <v>0</v>
      </c>
      <c r="AW73" s="1704">
        <v>0</v>
      </c>
      <c r="AX73" s="1703">
        <v>0</v>
      </c>
      <c r="AY73" s="1704"/>
      <c r="AZ73" s="1704"/>
      <c r="BA73" s="1599">
        <f>BA74</f>
        <v>0</v>
      </c>
      <c r="BB73" s="1704">
        <f>BB74</f>
        <v>0</v>
      </c>
      <c r="BC73" s="1703">
        <f>BC74</f>
        <v>0</v>
      </c>
      <c r="BD73" s="1704"/>
      <c r="BE73" s="1704"/>
      <c r="BF73" s="1599">
        <f>BF74</f>
        <v>0</v>
      </c>
      <c r="BG73" s="1704">
        <f>BG74</f>
        <v>0</v>
      </c>
      <c r="BH73" s="1703">
        <f>BH74</f>
        <v>0</v>
      </c>
      <c r="BI73" s="1704"/>
      <c r="BJ73" s="1704"/>
      <c r="BK73" s="1599">
        <f>BK74</f>
        <v>0</v>
      </c>
      <c r="BL73" s="1704">
        <f>BL74</f>
        <v>0</v>
      </c>
      <c r="BM73" s="1703">
        <f>BM74</f>
        <v>0</v>
      </c>
      <c r="BN73" s="1704"/>
      <c r="BO73" s="1704"/>
      <c r="BP73" s="1599">
        <f>BP74</f>
        <v>0</v>
      </c>
      <c r="BQ73" s="1704">
        <f>BQ74</f>
        <v>0</v>
      </c>
      <c r="BR73" s="1703">
        <f>BR74</f>
        <v>0</v>
      </c>
      <c r="BS73" s="1704"/>
      <c r="BT73" s="1704"/>
      <c r="BU73" s="1599">
        <f>BU74</f>
        <v>0</v>
      </c>
      <c r="BV73" s="1704">
        <f>BV74</f>
        <v>0</v>
      </c>
      <c r="BW73" s="1703">
        <f>BW74</f>
        <v>0</v>
      </c>
      <c r="BX73" s="1704"/>
      <c r="BY73" s="1704"/>
      <c r="BZ73" s="1599">
        <f>BZ74</f>
        <v>0</v>
      </c>
      <c r="CA73" s="1704">
        <f>CA74</f>
        <v>0</v>
      </c>
      <c r="CB73" s="1703">
        <f>CB74</f>
        <v>0</v>
      </c>
      <c r="CC73" s="1704"/>
      <c r="CD73" s="1704"/>
      <c r="CE73" s="1599">
        <f>CE74</f>
        <v>0</v>
      </c>
      <c r="CF73" s="1704">
        <f>CF74</f>
        <v>0</v>
      </c>
      <c r="CG73" s="1703">
        <f>CG74</f>
        <v>0</v>
      </c>
      <c r="CH73" s="1704"/>
      <c r="CI73" s="1704"/>
      <c r="CJ73" s="1599">
        <f>CJ74</f>
        <v>0</v>
      </c>
      <c r="CK73" s="1704">
        <f>CK74</f>
        <v>0</v>
      </c>
      <c r="CL73" s="1703">
        <f>CL74</f>
        <v>0</v>
      </c>
      <c r="CM73" s="1704"/>
      <c r="CN73" s="1704"/>
      <c r="CO73" s="1599">
        <f>CO74</f>
        <v>0</v>
      </c>
      <c r="CP73" s="1704">
        <f>CP74</f>
        <v>0</v>
      </c>
      <c r="CQ73" s="1703">
        <f>CQ74</f>
        <v>0</v>
      </c>
      <c r="CR73" s="1704"/>
      <c r="CS73" s="1719"/>
      <c r="CT73" s="1599">
        <f>CT74</f>
        <v>0</v>
      </c>
      <c r="CU73" s="1704">
        <f>CU74</f>
        <v>0</v>
      </c>
      <c r="CV73" s="1703">
        <f>CV74</f>
        <v>0</v>
      </c>
      <c r="CW73" s="1704"/>
      <c r="CX73" s="1719"/>
      <c r="CY73" s="1599">
        <f>CY74</f>
        <v>0</v>
      </c>
      <c r="CZ73" s="1704">
        <f>CZ74</f>
        <v>0</v>
      </c>
      <c r="DA73" s="1703">
        <f>DA74</f>
        <v>0</v>
      </c>
      <c r="DB73" s="1704"/>
      <c r="DC73" s="1719"/>
      <c r="DD73" s="1599">
        <f>DD74</f>
        <v>0</v>
      </c>
      <c r="DE73" s="1704">
        <f>DE74</f>
        <v>0</v>
      </c>
      <c r="DF73" s="1703">
        <f>DF74</f>
        <v>0</v>
      </c>
      <c r="DG73" s="1704"/>
      <c r="DH73" s="1719"/>
      <c r="DI73" s="1599">
        <f>DI74</f>
        <v>0</v>
      </c>
      <c r="DJ73" s="1704">
        <f>DJ74</f>
        <v>0</v>
      </c>
      <c r="DK73" s="1703">
        <f>DK74</f>
        <v>0</v>
      </c>
      <c r="DL73" s="1704"/>
      <c r="DM73" s="1719"/>
      <c r="DN73" s="1599">
        <f>DN74</f>
        <v>0</v>
      </c>
      <c r="DO73" s="1704">
        <f>DO74</f>
        <v>0</v>
      </c>
      <c r="DP73" s="1703">
        <f>DP74</f>
        <v>0</v>
      </c>
      <c r="DQ73" s="1704"/>
      <c r="DR73" s="1704"/>
    </row>
    <row r="74" spans="1:122" s="1411" customFormat="1" ht="14.4" thickBot="1" x14ac:dyDescent="0.3">
      <c r="A74" s="1428"/>
      <c r="B74" s="3289" t="s">
        <v>64</v>
      </c>
      <c r="C74" s="3288">
        <v>0</v>
      </c>
      <c r="D74" s="3274">
        <v>0</v>
      </c>
      <c r="E74" s="3328">
        <v>0</v>
      </c>
      <c r="F74" s="3328"/>
      <c r="G74" s="2492"/>
      <c r="H74" s="3274"/>
      <c r="I74" s="3274"/>
      <c r="J74" s="3328"/>
      <c r="K74" s="3328"/>
      <c r="L74" s="3328"/>
      <c r="M74" s="3274"/>
      <c r="N74" s="3274"/>
      <c r="O74" s="3328"/>
      <c r="P74" s="3328"/>
      <c r="Q74" s="3328"/>
      <c r="R74" s="3274"/>
      <c r="S74" s="3274"/>
      <c r="T74" s="2028">
        <f>R74+S74*1</f>
        <v>0</v>
      </c>
      <c r="U74" s="3328"/>
      <c r="V74" s="3328"/>
      <c r="W74" s="3274"/>
      <c r="X74" s="3274"/>
      <c r="Y74" s="3326">
        <f>W74+X74*1</f>
        <v>0</v>
      </c>
      <c r="Z74" s="3328"/>
      <c r="AA74" s="3328"/>
      <c r="AB74" s="3274"/>
      <c r="AC74" s="3274"/>
      <c r="AD74" s="3327">
        <f>AB74+AC74*1</f>
        <v>0</v>
      </c>
      <c r="AE74" s="3327"/>
      <c r="AF74" s="3327"/>
      <c r="AG74" s="3274"/>
      <c r="AH74" s="3274"/>
      <c r="AI74" s="3329">
        <f>AG74+AH74*1</f>
        <v>0</v>
      </c>
      <c r="AJ74" s="3327"/>
      <c r="AK74" s="3327"/>
      <c r="AL74" s="3274"/>
      <c r="AM74" s="3274"/>
      <c r="AN74" s="3329">
        <f>AL74+AM74*1</f>
        <v>0</v>
      </c>
      <c r="AO74" s="3327"/>
      <c r="AP74" s="3327"/>
      <c r="AQ74" s="3274"/>
      <c r="AR74" s="3274"/>
      <c r="AS74" s="3329">
        <f>AQ74+AR74*1</f>
        <v>0</v>
      </c>
      <c r="AT74" s="3327"/>
      <c r="AU74" s="3327"/>
      <c r="AV74" s="3274">
        <v>0</v>
      </c>
      <c r="AW74" s="3274">
        <v>0</v>
      </c>
      <c r="AX74" s="2028">
        <v>0</v>
      </c>
      <c r="AY74" s="3327"/>
      <c r="AZ74" s="3276"/>
      <c r="BA74" s="3274">
        <f t="shared" ref="BA74:BB74" si="154">BF74+BK74+BP74+BU74+BZ74+CE74+CJ74+CO74+CT74+CY74+DD74+DI74</f>
        <v>0</v>
      </c>
      <c r="BB74" s="3274">
        <f t="shared" si="154"/>
        <v>0</v>
      </c>
      <c r="BC74" s="2028">
        <f>BA74+BB74*1</f>
        <v>0</v>
      </c>
      <c r="BD74" s="3327"/>
      <c r="BE74" s="3276"/>
      <c r="BF74" s="3274"/>
      <c r="BG74" s="3274"/>
      <c r="BH74" s="3329">
        <f>BF74+BG74*1</f>
        <v>0</v>
      </c>
      <c r="BI74" s="3327"/>
      <c r="BJ74" s="3327"/>
      <c r="BK74" s="3274"/>
      <c r="BL74" s="3274"/>
      <c r="BM74" s="3329">
        <f>BK74+BL74*1</f>
        <v>0</v>
      </c>
      <c r="BN74" s="3327"/>
      <c r="BO74" s="3327"/>
      <c r="BP74" s="3274"/>
      <c r="BQ74" s="3274"/>
      <c r="BR74" s="3329">
        <f>BP74+BQ74*1</f>
        <v>0</v>
      </c>
      <c r="BS74" s="3327"/>
      <c r="BT74" s="3327"/>
      <c r="BU74" s="3274"/>
      <c r="BV74" s="3274"/>
      <c r="BW74" s="3329">
        <f>BU74+BV74*1</f>
        <v>0</v>
      </c>
      <c r="BX74" s="3327"/>
      <c r="BY74" s="3327"/>
      <c r="BZ74" s="3274"/>
      <c r="CA74" s="3274"/>
      <c r="CB74" s="3329">
        <f>BZ74+CA74*1</f>
        <v>0</v>
      </c>
      <c r="CC74" s="3327"/>
      <c r="CD74" s="3327"/>
      <c r="CE74" s="3274"/>
      <c r="CF74" s="3274"/>
      <c r="CG74" s="3329">
        <f>CE74+CF74*1</f>
        <v>0</v>
      </c>
      <c r="CH74" s="3327"/>
      <c r="CI74" s="3327"/>
      <c r="CJ74" s="3274"/>
      <c r="CK74" s="3274"/>
      <c r="CL74" s="3329">
        <f>CJ74+CK74*1</f>
        <v>0</v>
      </c>
      <c r="CM74" s="3327"/>
      <c r="CN74" s="3327"/>
      <c r="CO74" s="3274"/>
      <c r="CP74" s="3274"/>
      <c r="CQ74" s="3329">
        <f>CO74+CP74*1</f>
        <v>0</v>
      </c>
      <c r="CR74" s="3327"/>
      <c r="CS74" s="3330"/>
      <c r="CT74" s="3274"/>
      <c r="CU74" s="3274"/>
      <c r="CV74" s="3329">
        <f>CT74+CU74*1</f>
        <v>0</v>
      </c>
      <c r="CW74" s="3327"/>
      <c r="CX74" s="3330"/>
      <c r="CY74" s="3274"/>
      <c r="CZ74" s="3274"/>
      <c r="DA74" s="3329">
        <f>CY74+CZ74*1</f>
        <v>0</v>
      </c>
      <c r="DB74" s="3327"/>
      <c r="DC74" s="3330"/>
      <c r="DD74" s="3274"/>
      <c r="DE74" s="3274"/>
      <c r="DF74" s="3329">
        <f>DD74+DE74*1</f>
        <v>0</v>
      </c>
      <c r="DG74" s="3327"/>
      <c r="DH74" s="3330"/>
      <c r="DI74" s="3288"/>
      <c r="DJ74" s="3274"/>
      <c r="DK74" s="3329">
        <f>DI74+DJ74*1</f>
        <v>0</v>
      </c>
      <c r="DL74" s="3327"/>
      <c r="DM74" s="3330"/>
      <c r="DN74" s="3274">
        <f>R74+W74+AB74+AG74+AL74+AQ74+BF74+BK74+BP74+BU74+BZ74+CE74+CJ74+CO74+CT74+CY74+DD74+DI74+AV74</f>
        <v>0</v>
      </c>
      <c r="DO74" s="3274">
        <f>S74+X74+AC74+AH74+AM74+AR74+BG74+BL74+BQ74+BV74+CA74+CF74+CK74+CP74+CU74+CZ74+DE74+DJ74+AW74</f>
        <v>0</v>
      </c>
      <c r="DP74" s="2028">
        <f>DN74+DO74*1</f>
        <v>0</v>
      </c>
      <c r="DQ74" s="3327"/>
      <c r="DR74" s="3327"/>
    </row>
    <row r="75" spans="1:122" s="1411" customFormat="1" ht="14.4" thickBot="1" x14ac:dyDescent="0.3">
      <c r="A75" s="1414"/>
      <c r="B75" s="1431" t="s">
        <v>48</v>
      </c>
      <c r="C75" s="1465">
        <v>396523.3227869565</v>
      </c>
      <c r="D75" s="1465">
        <v>-102555.61999999998</v>
      </c>
      <c r="E75" s="1523">
        <v>293967.70278695651</v>
      </c>
      <c r="F75" s="1969"/>
      <c r="G75" s="981"/>
      <c r="H75" s="1330">
        <f>H38-H41-H50-H54</f>
        <v>16708.380000000005</v>
      </c>
      <c r="I75" s="1465">
        <f>I38-I41-I50-I54</f>
        <v>-16197.22</v>
      </c>
      <c r="J75" s="1523">
        <f>J38-J41-J50-J54</f>
        <v>511.16000000000463</v>
      </c>
      <c r="K75" s="1969"/>
      <c r="L75" s="1969"/>
      <c r="M75" s="1465">
        <f>M38-M41-M50-M54</f>
        <v>-116322.41215970868</v>
      </c>
      <c r="N75" s="1465">
        <f>N38-N41-N50-N54</f>
        <v>-73620.98</v>
      </c>
      <c r="O75" s="1523">
        <f>O38-O41-O50-O54</f>
        <v>-189943.39215970869</v>
      </c>
      <c r="P75" s="1969"/>
      <c r="Q75" s="1969"/>
      <c r="R75" s="1465">
        <f>R38-R41-R50-R54</f>
        <v>-95873.059999999983</v>
      </c>
      <c r="S75" s="1465">
        <f>S38-S41-S50-S54</f>
        <v>43882.5</v>
      </c>
      <c r="T75" s="1523">
        <f>T38-T41-T50-T54</f>
        <v>-51990.560000000034</v>
      </c>
      <c r="U75" s="1969"/>
      <c r="V75" s="1969"/>
      <c r="W75" s="1465">
        <f>W38-W41-W50-W54</f>
        <v>101117.69</v>
      </c>
      <c r="X75" s="1465">
        <f>X38-X41-X50-X54</f>
        <v>-9151.8100000000013</v>
      </c>
      <c r="Y75" s="1523">
        <f>Y38-Y41-Y50-Y54</f>
        <v>91965.88</v>
      </c>
      <c r="Z75" s="1969"/>
      <c r="AA75" s="1969"/>
      <c r="AB75" s="1465">
        <f>AB38-AB41-AB50-AB54</f>
        <v>83869.8</v>
      </c>
      <c r="AC75" s="1465">
        <f>AC38-AC41-AC50-AC54</f>
        <v>17671.5</v>
      </c>
      <c r="AD75" s="1523">
        <f>AD38-AD41-AD50-AD54</f>
        <v>101541.3</v>
      </c>
      <c r="AE75" s="1969"/>
      <c r="AF75" s="1969"/>
      <c r="AG75" s="1465">
        <f>AG38-AG41-AG50-AG54</f>
        <v>-6449.239999999998</v>
      </c>
      <c r="AH75" s="1465">
        <f>AH38-AH41-AH50-AH54</f>
        <v>-366</v>
      </c>
      <c r="AI75" s="1523">
        <f>AI38-AI41-AI50-AI54</f>
        <v>-6815.239999999998</v>
      </c>
      <c r="AJ75" s="1969"/>
      <c r="AK75" s="1969"/>
      <c r="AL75" s="1465">
        <f>AL38-AL41-AL50-AL54</f>
        <v>339773.97000000003</v>
      </c>
      <c r="AM75" s="1465">
        <f>AM38-AM41-AM50-AM54</f>
        <v>43820</v>
      </c>
      <c r="AN75" s="1523">
        <f>AN38-AN41-AN50-AN54</f>
        <v>383593.97000000003</v>
      </c>
      <c r="AO75" s="1969"/>
      <c r="AP75" s="1969"/>
      <c r="AQ75" s="1465">
        <f>AQ38-AQ41-AQ50-AQ54</f>
        <v>2176.5079999999871</v>
      </c>
      <c r="AR75" s="1465">
        <f>AR38-AR41-AR50-AR54</f>
        <v>-22246.65</v>
      </c>
      <c r="AS75" s="1523">
        <f>AS38-AS41-AS50-AS54</f>
        <v>-20070.142000000007</v>
      </c>
      <c r="AT75" s="1969"/>
      <c r="AU75" s="1969"/>
      <c r="AV75" s="1465">
        <v>458873.23199999984</v>
      </c>
      <c r="AW75" s="1465">
        <v>-280540.34999999998</v>
      </c>
      <c r="AX75" s="1523">
        <v>178332.88199999998</v>
      </c>
      <c r="AY75" s="1969"/>
      <c r="AZ75" s="1969"/>
      <c r="BA75" s="1465">
        <f>BA38-BA41-BA50-BA54</f>
        <v>89975.133999999991</v>
      </c>
      <c r="BB75" s="1465">
        <f>BB38-BB41-BB50-BB54</f>
        <v>-47793</v>
      </c>
      <c r="BC75" s="1523">
        <f>BC38-BC41-BC50-BC54</f>
        <v>42182.133999999962</v>
      </c>
      <c r="BD75" s="1969"/>
      <c r="BE75" s="1969"/>
      <c r="BF75" s="1465">
        <f>BF38-BF41-BF50-BF54</f>
        <v>35128.239999999998</v>
      </c>
      <c r="BG75" s="1465">
        <f>BG38-BG41-BG50-BG54</f>
        <v>-3900</v>
      </c>
      <c r="BH75" s="1523">
        <f>BH38-BH41-BH50-BH54</f>
        <v>31228.239999999998</v>
      </c>
      <c r="BI75" s="1969"/>
      <c r="BJ75" s="1969"/>
      <c r="BK75" s="1465">
        <f>BK38-BK41-BK50-BK54</f>
        <v>74155.72</v>
      </c>
      <c r="BL75" s="1465">
        <f>BL38-BL41-BL50-BL54</f>
        <v>-36193</v>
      </c>
      <c r="BM75" s="1523">
        <f>BM38-BM41-BM50-BM54</f>
        <v>37962.720000000001</v>
      </c>
      <c r="BN75" s="1969"/>
      <c r="BO75" s="1969"/>
      <c r="BP75" s="1465">
        <f>BP38-BP41-BP50-BP54</f>
        <v>-19308.826000000001</v>
      </c>
      <c r="BQ75" s="1465">
        <f>BQ38-BQ41-BQ50-BQ54</f>
        <v>-7700</v>
      </c>
      <c r="BR75" s="1523">
        <f>BR38-BR41-BR50-BR54</f>
        <v>-27008.826000000001</v>
      </c>
      <c r="BS75" s="1969"/>
      <c r="BT75" s="1969"/>
      <c r="BU75" s="1465">
        <f>BU38-BU41-BU50-BU54</f>
        <v>0</v>
      </c>
      <c r="BV75" s="1465">
        <f>BV38-BV41-BV50-BV54</f>
        <v>0</v>
      </c>
      <c r="BW75" s="1523">
        <f>BW38-BW41-BW50-BW54</f>
        <v>0</v>
      </c>
      <c r="BX75" s="1969"/>
      <c r="BY75" s="1969"/>
      <c r="BZ75" s="1465">
        <f>BZ38-BZ41-BZ50-BZ54</f>
        <v>0</v>
      </c>
      <c r="CA75" s="1465">
        <f>CA38-CA41-CA50-CA54</f>
        <v>0</v>
      </c>
      <c r="CB75" s="1523">
        <f>CB38-CB41-CB50-CB54</f>
        <v>0</v>
      </c>
      <c r="CC75" s="1969"/>
      <c r="CD75" s="1969"/>
      <c r="CE75" s="1465">
        <f>CE38-CE41-CE50-CE54</f>
        <v>0</v>
      </c>
      <c r="CF75" s="1465">
        <f>CF38-CF41-CF50-CF54</f>
        <v>0</v>
      </c>
      <c r="CG75" s="1523">
        <f>CG38-CG41-CG50-CG54</f>
        <v>0</v>
      </c>
      <c r="CH75" s="1969"/>
      <c r="CI75" s="1969"/>
      <c r="CJ75" s="1465">
        <f>CJ38-CJ41-CJ50-CJ54</f>
        <v>0</v>
      </c>
      <c r="CK75" s="1465">
        <f>CK38-CK41-CK50-CK54</f>
        <v>0</v>
      </c>
      <c r="CL75" s="1523">
        <f>CL38-CL41-CL50-CL54</f>
        <v>0</v>
      </c>
      <c r="CM75" s="1969"/>
      <c r="CN75" s="1969"/>
      <c r="CO75" s="1465">
        <f>CO38-CO41-CO50-CO54</f>
        <v>0</v>
      </c>
      <c r="CP75" s="1465">
        <f>CP38-CP41-CP50-CP54</f>
        <v>0</v>
      </c>
      <c r="CQ75" s="1523">
        <f>CQ38-CQ41-CQ50-CQ54</f>
        <v>0</v>
      </c>
      <c r="CR75" s="1969"/>
      <c r="CS75" s="1465"/>
      <c r="CT75" s="1465">
        <f>CT38-CT41-CT50-CT54</f>
        <v>0</v>
      </c>
      <c r="CU75" s="1465">
        <f>CU38-CU41-CU50-CU54</f>
        <v>0</v>
      </c>
      <c r="CV75" s="1523">
        <f>CV38-CV41-CV50-CV54</f>
        <v>0</v>
      </c>
      <c r="CW75" s="1969"/>
      <c r="CX75" s="1465"/>
      <c r="CY75" s="1465">
        <f>CY38-CY41-CY50-CY54</f>
        <v>0</v>
      </c>
      <c r="CZ75" s="1465">
        <f>CZ38-CZ41-CZ50-CZ54</f>
        <v>0</v>
      </c>
      <c r="DA75" s="1523">
        <f>DA38-DA41-DA50-DA54</f>
        <v>0</v>
      </c>
      <c r="DB75" s="1969"/>
      <c r="DC75" s="1465"/>
      <c r="DD75" s="1465">
        <f>DD38-DD41-DD50-DD54</f>
        <v>0</v>
      </c>
      <c r="DE75" s="1465">
        <f>DE38-DE41-DE50-DE54</f>
        <v>0</v>
      </c>
      <c r="DF75" s="1523">
        <f>DF38-DF41-DF50-DF54</f>
        <v>0</v>
      </c>
      <c r="DG75" s="1969"/>
      <c r="DH75" s="1465"/>
      <c r="DI75" s="1465">
        <f>DI38-DI41-DI50-DI54</f>
        <v>0</v>
      </c>
      <c r="DJ75" s="1465">
        <f>DJ38-DJ41-DJ50-DJ54</f>
        <v>0</v>
      </c>
      <c r="DK75" s="1523">
        <f>DK38-DK41-DK50-DK54</f>
        <v>0</v>
      </c>
      <c r="DL75" s="1969"/>
      <c r="DM75" s="1465"/>
      <c r="DN75" s="1465">
        <f>DN38-DN41-DN50-DN54</f>
        <v>973464.03399999975</v>
      </c>
      <c r="DO75" s="1465">
        <f>DO38-DO41-DO50-DO54</f>
        <v>-254723.81</v>
      </c>
      <c r="DP75" s="1523">
        <f>DP38-DP41-DP50-DP54</f>
        <v>718740.22399999993</v>
      </c>
      <c r="DQ75" s="1969"/>
      <c r="DR75" s="1969"/>
    </row>
    <row r="76" spans="1:122" s="1411" customFormat="1" ht="13.8" x14ac:dyDescent="0.25">
      <c r="A76" s="1581"/>
      <c r="B76" s="1444" t="s">
        <v>49</v>
      </c>
      <c r="C76" s="2019">
        <v>0.579500053112048</v>
      </c>
      <c r="D76" s="2019">
        <v>-2.2679261388766028</v>
      </c>
      <c r="E76" s="2020">
        <v>0.40298767141309416</v>
      </c>
      <c r="F76" s="2020"/>
      <c r="G76" s="982"/>
      <c r="H76" s="1331">
        <f>H75/H5</f>
        <v>0.15706021695399602</v>
      </c>
      <c r="I76" s="2019" t="e">
        <f>I75/I5</f>
        <v>#DIV/0!</v>
      </c>
      <c r="J76" s="2020">
        <f>J75/J5</f>
        <v>4.8049482055235347E-3</v>
      </c>
      <c r="K76" s="2020"/>
      <c r="L76" s="2020"/>
      <c r="M76" s="2019">
        <f>M75/M5</f>
        <v>-0.26817723528585152</v>
      </c>
      <c r="N76" s="2019" t="e">
        <f>N75/N5</f>
        <v>#DIV/0!</v>
      </c>
      <c r="O76" s="2020">
        <f>O75/O5</f>
        <v>-0.43790781866068329</v>
      </c>
      <c r="P76" s="2020"/>
      <c r="Q76" s="2020"/>
      <c r="R76" s="2019">
        <f>R75/R5</f>
        <v>-0.50996308510638289</v>
      </c>
      <c r="S76" s="2019">
        <f>S75/S5</f>
        <v>0.60190519298823142</v>
      </c>
      <c r="T76" s="2020">
        <f>T75/T5</f>
        <v>-0.19926931538561793</v>
      </c>
      <c r="U76" s="2020"/>
      <c r="V76" s="2020"/>
      <c r="W76" s="2019">
        <f>W75/W5</f>
        <v>0.44388801580333626</v>
      </c>
      <c r="X76" s="2019">
        <f>X75/X5</f>
        <v>-0.79580956521739143</v>
      </c>
      <c r="Y76" s="2020">
        <f>Y75/Y5</f>
        <v>0.38431207689093189</v>
      </c>
      <c r="Z76" s="2020"/>
      <c r="AA76" s="2020"/>
      <c r="AB76" s="2019">
        <f>AB75/AB5</f>
        <v>0.49497060975897644</v>
      </c>
      <c r="AC76" s="2019">
        <f>AC75/AC5</f>
        <v>0.47504032258064516</v>
      </c>
      <c r="AD76" s="2020">
        <f>AD75/AD5</f>
        <v>0.4913827645612745</v>
      </c>
      <c r="AE76" s="2020"/>
      <c r="AF76" s="2020"/>
      <c r="AG76" s="2019">
        <f>AG75/AG5</f>
        <v>-0.22238758620689647</v>
      </c>
      <c r="AH76" s="2019" t="e">
        <f>AH75/AH5</f>
        <v>#DIV/0!</v>
      </c>
      <c r="AI76" s="2020">
        <f>AI75/AI5</f>
        <v>-0.2350082758620689</v>
      </c>
      <c r="AJ76" s="2020"/>
      <c r="AK76" s="2020"/>
      <c r="AL76" s="2019">
        <f>AL75/AL5</f>
        <v>0.9481033800940184</v>
      </c>
      <c r="AM76" s="2019">
        <f>AM75/AM5</f>
        <v>0.49486166007905136</v>
      </c>
      <c r="AN76" s="2020">
        <f>AN75/AN5</f>
        <v>0.85830129122226806</v>
      </c>
      <c r="AO76" s="2020"/>
      <c r="AP76" s="2020"/>
      <c r="AQ76" s="2019">
        <f>AQ75/AQ5</f>
        <v>1.6935932610098035E-2</v>
      </c>
      <c r="AR76" s="2019" t="e">
        <f>AR75/AR5</f>
        <v>#DIV/0!</v>
      </c>
      <c r="AS76" s="2020">
        <f>AS75/AS5</f>
        <v>-0.15617060556960982</v>
      </c>
      <c r="AT76" s="2020"/>
      <c r="AU76" s="2020"/>
      <c r="AV76" s="2019">
        <v>0.30368607386823987</v>
      </c>
      <c r="AW76" s="2019">
        <v>-21.580026923076922</v>
      </c>
      <c r="AX76" s="2020">
        <v>0.11701542305017763</v>
      </c>
      <c r="AY76" s="2020"/>
      <c r="AZ76" s="2020"/>
      <c r="BA76" s="2019">
        <f>BA75/BA5</f>
        <v>0.29244989273873756</v>
      </c>
      <c r="BB76" s="2019">
        <f>BB75/BB5</f>
        <v>-7.3527692307692307</v>
      </c>
      <c r="BC76" s="2020">
        <f>BC75/BC5</f>
        <v>0.13426958874458864</v>
      </c>
      <c r="BD76" s="2020"/>
      <c r="BE76" s="2020"/>
      <c r="BF76" s="2019">
        <f>BF75/BF5</f>
        <v>0.54176804441702653</v>
      </c>
      <c r="BG76" s="2019" t="e">
        <f>BG75/BG5</f>
        <v>#DIV/0!</v>
      </c>
      <c r="BH76" s="2020">
        <f>BH75/BH5</f>
        <v>0.48161998766193703</v>
      </c>
      <c r="BI76" s="2020"/>
      <c r="BJ76" s="2020"/>
      <c r="BK76" s="2019">
        <f>BK75/BK5</f>
        <v>0.4311379069767442</v>
      </c>
      <c r="BL76" s="2019">
        <f>BL75/BL5</f>
        <v>-5.5681538461538462</v>
      </c>
      <c r="BM76" s="2020">
        <f>BM75/BM5</f>
        <v>0.21267630252100841</v>
      </c>
      <c r="BN76" s="2020"/>
      <c r="BO76" s="2020"/>
      <c r="BP76" s="2019">
        <f>BP75/BP5</f>
        <v>-0.27264651228466535</v>
      </c>
      <c r="BQ76" s="2019" t="e">
        <f>BQ75/BQ5</f>
        <v>#DIV/0!</v>
      </c>
      <c r="BR76" s="2020">
        <f>BR75/BR5</f>
        <v>-0.38137286077379273</v>
      </c>
      <c r="BS76" s="2020"/>
      <c r="BT76" s="2020"/>
      <c r="BU76" s="2019" t="e">
        <f>BU75/BU5</f>
        <v>#DIV/0!</v>
      </c>
      <c r="BV76" s="2019" t="e">
        <f>BV75/BV5</f>
        <v>#DIV/0!</v>
      </c>
      <c r="BW76" s="2020" t="e">
        <f>BW75/BW5</f>
        <v>#DIV/0!</v>
      </c>
      <c r="BX76" s="2020"/>
      <c r="BY76" s="2020"/>
      <c r="BZ76" s="2019" t="e">
        <f>BZ75/BZ5</f>
        <v>#DIV/0!</v>
      </c>
      <c r="CA76" s="2019" t="e">
        <f>CA75/CA5</f>
        <v>#DIV/0!</v>
      </c>
      <c r="CB76" s="2020" t="e">
        <f>CB75/CB5</f>
        <v>#DIV/0!</v>
      </c>
      <c r="CC76" s="2020"/>
      <c r="CD76" s="2020"/>
      <c r="CE76" s="2019" t="e">
        <f>CE75/CE5</f>
        <v>#DIV/0!</v>
      </c>
      <c r="CF76" s="2019" t="e">
        <f>CF75/CF5</f>
        <v>#DIV/0!</v>
      </c>
      <c r="CG76" s="2020" t="e">
        <f>CG75/CG5</f>
        <v>#DIV/0!</v>
      </c>
      <c r="CH76" s="2020"/>
      <c r="CI76" s="2020"/>
      <c r="CJ76" s="2019" t="e">
        <f>CJ75/CJ5</f>
        <v>#DIV/0!</v>
      </c>
      <c r="CK76" s="2019" t="e">
        <f>CK75/CK5</f>
        <v>#DIV/0!</v>
      </c>
      <c r="CL76" s="2020" t="e">
        <f>CL75/CL5</f>
        <v>#DIV/0!</v>
      </c>
      <c r="CM76" s="2020"/>
      <c r="CN76" s="2020"/>
      <c r="CO76" s="2019" t="e">
        <f>CO75/CO5</f>
        <v>#DIV/0!</v>
      </c>
      <c r="CP76" s="2019" t="e">
        <f>CP75/CP5</f>
        <v>#DIV/0!</v>
      </c>
      <c r="CQ76" s="2020" t="e">
        <f>CQ75/CQ5</f>
        <v>#DIV/0!</v>
      </c>
      <c r="CR76" s="2020"/>
      <c r="CS76" s="2019"/>
      <c r="CT76" s="2019" t="e">
        <f>CT75/CT5</f>
        <v>#DIV/0!</v>
      </c>
      <c r="CU76" s="2019" t="e">
        <f>CU75/CU5</f>
        <v>#DIV/0!</v>
      </c>
      <c r="CV76" s="2020" t="e">
        <f>CV75/CV5</f>
        <v>#DIV/0!</v>
      </c>
      <c r="CW76" s="2020"/>
      <c r="CX76" s="2019"/>
      <c r="CY76" s="2019" t="e">
        <f>CY75/CY5</f>
        <v>#DIV/0!</v>
      </c>
      <c r="CZ76" s="2019" t="e">
        <f>CZ75/CZ5</f>
        <v>#DIV/0!</v>
      </c>
      <c r="DA76" s="2020" t="e">
        <f>DA75/DA5</f>
        <v>#DIV/0!</v>
      </c>
      <c r="DB76" s="2020"/>
      <c r="DC76" s="2019"/>
      <c r="DD76" s="2019" t="e">
        <f>DD75/DD5</f>
        <v>#DIV/0!</v>
      </c>
      <c r="DE76" s="2019" t="e">
        <f>DE75/DE5</f>
        <v>#DIV/0!</v>
      </c>
      <c r="DF76" s="2020" t="e">
        <f>DF75/DF5</f>
        <v>#DIV/0!</v>
      </c>
      <c r="DG76" s="2020"/>
      <c r="DH76" s="2019"/>
      <c r="DI76" s="2019" t="e">
        <f>DI75/DI5</f>
        <v>#DIV/0!</v>
      </c>
      <c r="DJ76" s="2019" t="e">
        <f>DJ75/DJ5</f>
        <v>#DIV/0!</v>
      </c>
      <c r="DK76" s="2020" t="e">
        <f>DK75/DK5</f>
        <v>#DIV/0!</v>
      </c>
      <c r="DL76" s="2020"/>
      <c r="DM76" s="2019"/>
      <c r="DN76" s="2019">
        <f>DN75/DN5</f>
        <v>0.33340067145505936</v>
      </c>
      <c r="DO76" s="2019">
        <f>DO75/DO5</f>
        <v>-1.1091537342808375</v>
      </c>
      <c r="DP76" s="2020">
        <f>DP75/DP5</f>
        <v>0.22821074758425278</v>
      </c>
      <c r="DQ76" s="2020"/>
      <c r="DR76" s="2020"/>
    </row>
    <row r="77" spans="1:122" s="1411" customFormat="1" ht="14.4" thickBot="1" x14ac:dyDescent="0.3">
      <c r="A77" s="1581"/>
      <c r="B77" s="3331" t="s">
        <v>9</v>
      </c>
      <c r="C77" s="2865">
        <v>-182261.68000000002</v>
      </c>
      <c r="D77" s="2865">
        <v>0</v>
      </c>
      <c r="E77" s="2866">
        <v>-189755.21296816567</v>
      </c>
      <c r="F77" s="2868"/>
      <c r="G77" s="2864"/>
      <c r="H77" s="3401">
        <f>H78-H79</f>
        <v>-12154.55</v>
      </c>
      <c r="I77" s="2865">
        <f>I78-I79</f>
        <v>0</v>
      </c>
      <c r="J77" s="2866">
        <f>J78-J79</f>
        <v>-14574.824252873563</v>
      </c>
      <c r="K77" s="2868"/>
      <c r="L77" s="2868"/>
      <c r="M77" s="2865">
        <f>M78-M79</f>
        <v>-52883.55</v>
      </c>
      <c r="N77" s="2865">
        <f>N78-N79</f>
        <v>0</v>
      </c>
      <c r="O77" s="2866">
        <f>O78-O79</f>
        <v>-63884.386091954024</v>
      </c>
      <c r="P77" s="2868"/>
      <c r="Q77" s="2868"/>
      <c r="R77" s="2865">
        <f>R78-R79</f>
        <v>-13489.254827586206</v>
      </c>
      <c r="S77" s="2865">
        <f>S78-S79</f>
        <v>0</v>
      </c>
      <c r="T77" s="2866">
        <f>T78-T79</f>
        <v>-13489.254827586206</v>
      </c>
      <c r="U77" s="2868"/>
      <c r="V77" s="2868"/>
      <c r="W77" s="2865">
        <f>W78-W79</f>
        <v>-12143.514839423733</v>
      </c>
      <c r="X77" s="2865">
        <f>X78-X79</f>
        <v>0</v>
      </c>
      <c r="Y77" s="2866">
        <f>Y78-Y79</f>
        <v>-12143.514839423733</v>
      </c>
      <c r="Z77" s="2868"/>
      <c r="AA77" s="2868"/>
      <c r="AB77" s="2865">
        <f>AB78-AB79</f>
        <v>-3179.0586656279597</v>
      </c>
      <c r="AC77" s="2865">
        <f>AC78-AC79</f>
        <v>0</v>
      </c>
      <c r="AD77" s="2866">
        <f>AD78-AD79</f>
        <v>-3179.0586656279597</v>
      </c>
      <c r="AE77" s="2868"/>
      <c r="AF77" s="2868"/>
      <c r="AG77" s="2865">
        <f>AG78-AG79</f>
        <v>-7769.2016303178652</v>
      </c>
      <c r="AH77" s="2865">
        <f>AH78-AH79</f>
        <v>0</v>
      </c>
      <c r="AI77" s="2866">
        <f>AI78-AI79</f>
        <v>-7769.2016303178652</v>
      </c>
      <c r="AJ77" s="2868"/>
      <c r="AK77" s="2868"/>
      <c r="AL77" s="2865">
        <f>AL78-AL79</f>
        <v>-5528.4269662921351</v>
      </c>
      <c r="AM77" s="2865">
        <f>AM78-AM79</f>
        <v>0</v>
      </c>
      <c r="AN77" s="2866">
        <f>AN78-AN79</f>
        <v>-5528.4269662921351</v>
      </c>
      <c r="AO77" s="2868"/>
      <c r="AP77" s="2868"/>
      <c r="AQ77" s="2865">
        <f>AQ78-AQ79</f>
        <v>-2933.3384415828782</v>
      </c>
      <c r="AR77" s="2865">
        <f>AR78-AR79</f>
        <v>0</v>
      </c>
      <c r="AS77" s="2866">
        <f>AS78-AS79</f>
        <v>-2933.3384415828782</v>
      </c>
      <c r="AT77" s="2868"/>
      <c r="AU77" s="2868"/>
      <c r="AV77" s="2865">
        <v>-38073.338883483193</v>
      </c>
      <c r="AW77" s="2865">
        <v>0</v>
      </c>
      <c r="AX77" s="2866">
        <v>-38073.338883483193</v>
      </c>
      <c r="AY77" s="2868"/>
      <c r="AZ77" s="2868"/>
      <c r="BA77" s="2865">
        <f>BA78-BA79</f>
        <v>-8422.3145970367423</v>
      </c>
      <c r="BB77" s="2865">
        <f>BB78-BB79</f>
        <v>0</v>
      </c>
      <c r="BC77" s="2866">
        <f>BC78-BC79</f>
        <v>-8422.3145970367423</v>
      </c>
      <c r="BD77" s="2868"/>
      <c r="BE77" s="2868"/>
      <c r="BF77" s="2865">
        <f>BF78-BF79</f>
        <v>-608.67052023121391</v>
      </c>
      <c r="BG77" s="2865">
        <f>BG78-BG79</f>
        <v>0</v>
      </c>
      <c r="BH77" s="2866">
        <f>BH78-BH79</f>
        <v>-608.67052023121391</v>
      </c>
      <c r="BI77" s="2868"/>
      <c r="BJ77" s="2868"/>
      <c r="BK77" s="2865">
        <f>BK78-BK79</f>
        <v>-6663.06936416185</v>
      </c>
      <c r="BL77" s="2865">
        <f>BL78-BL79</f>
        <v>0</v>
      </c>
      <c r="BM77" s="2866">
        <f>BM78-BM79</f>
        <v>-6663.06936416185</v>
      </c>
      <c r="BN77" s="2868"/>
      <c r="BO77" s="2868"/>
      <c r="BP77" s="2865">
        <f>BP78-BP79</f>
        <v>-1150.5747126436781</v>
      </c>
      <c r="BQ77" s="2865">
        <f>BQ78-BQ79</f>
        <v>0</v>
      </c>
      <c r="BR77" s="2866">
        <f>BR78-BR79</f>
        <v>-1150.5747126436781</v>
      </c>
      <c r="BS77" s="2868"/>
      <c r="BT77" s="2868"/>
      <c r="BU77" s="2865">
        <f>BU78-BU79</f>
        <v>0</v>
      </c>
      <c r="BV77" s="2865">
        <f>BV78-BV79</f>
        <v>0</v>
      </c>
      <c r="BW77" s="2866">
        <f>BW78-BW79</f>
        <v>0</v>
      </c>
      <c r="BX77" s="2868"/>
      <c r="BY77" s="2868"/>
      <c r="BZ77" s="2865">
        <f>BZ78-BZ79</f>
        <v>0</v>
      </c>
      <c r="CA77" s="2865">
        <f>CA78-CA79</f>
        <v>0</v>
      </c>
      <c r="CB77" s="2866">
        <f>CB78-CB79</f>
        <v>0</v>
      </c>
      <c r="CC77" s="2868"/>
      <c r="CD77" s="2868"/>
      <c r="CE77" s="2865">
        <f>CE78-CE79</f>
        <v>0</v>
      </c>
      <c r="CF77" s="2865">
        <f>CF78-CF79</f>
        <v>0</v>
      </c>
      <c r="CG77" s="2866">
        <f>CG78-CG79</f>
        <v>0</v>
      </c>
      <c r="CH77" s="2868"/>
      <c r="CI77" s="2868"/>
      <c r="CJ77" s="2865">
        <f>CJ78-CJ79</f>
        <v>0</v>
      </c>
      <c r="CK77" s="2865">
        <f>CK78-CK79</f>
        <v>0</v>
      </c>
      <c r="CL77" s="2866">
        <f>CL78-CL79</f>
        <v>0</v>
      </c>
      <c r="CM77" s="2868"/>
      <c r="CN77" s="2868"/>
      <c r="CO77" s="2865">
        <f>CO78-CO79</f>
        <v>0</v>
      </c>
      <c r="CP77" s="2865">
        <f>CP78-CP79</f>
        <v>0</v>
      </c>
      <c r="CQ77" s="2866">
        <f>CQ78-CQ79</f>
        <v>0</v>
      </c>
      <c r="CR77" s="2868"/>
      <c r="CS77" s="3138"/>
      <c r="CT77" s="2865">
        <f>CT78-CT79</f>
        <v>0</v>
      </c>
      <c r="CU77" s="2865">
        <f>CU78-CU79</f>
        <v>0</v>
      </c>
      <c r="CV77" s="2866">
        <f>CV78-CV79</f>
        <v>0</v>
      </c>
      <c r="CW77" s="2868"/>
      <c r="CX77" s="3138"/>
      <c r="CY77" s="2865">
        <f>CY78-CY79</f>
        <v>0</v>
      </c>
      <c r="CZ77" s="2865">
        <f>CZ78-CZ79</f>
        <v>0</v>
      </c>
      <c r="DA77" s="2866">
        <f>DA78-DA79</f>
        <v>0</v>
      </c>
      <c r="DB77" s="2868"/>
      <c r="DC77" s="3138"/>
      <c r="DD77" s="2865">
        <f>DD78-DD79</f>
        <v>0</v>
      </c>
      <c r="DE77" s="2865">
        <f>DE78-DE79</f>
        <v>0</v>
      </c>
      <c r="DF77" s="2866">
        <f>DF78-DF79</f>
        <v>0</v>
      </c>
      <c r="DG77" s="2868"/>
      <c r="DH77" s="3138"/>
      <c r="DI77" s="2865">
        <f>DI78-DI79</f>
        <v>0</v>
      </c>
      <c r="DJ77" s="2865">
        <f>DJ78-DJ79</f>
        <v>0</v>
      </c>
      <c r="DK77" s="2866">
        <f>DK78-DK79</f>
        <v>0</v>
      </c>
      <c r="DL77" s="2868"/>
      <c r="DM77" s="3138"/>
      <c r="DN77" s="2865">
        <f>DN78-DN79</f>
        <v>-91538.448851350709</v>
      </c>
      <c r="DO77" s="2865">
        <f>DO78-DO79</f>
        <v>0</v>
      </c>
      <c r="DP77" s="2866">
        <f>DP78-DP79</f>
        <v>-91538.448851350709</v>
      </c>
      <c r="DQ77" s="2868"/>
      <c r="DR77" s="2868"/>
    </row>
    <row r="78" spans="1:122" s="1411" customFormat="1" ht="14.4" thickBot="1" x14ac:dyDescent="0.3">
      <c r="A78" s="1420"/>
      <c r="B78" s="1415" t="s">
        <v>43</v>
      </c>
      <c r="C78" s="3288">
        <v>0</v>
      </c>
      <c r="D78" s="3274">
        <v>0</v>
      </c>
      <c r="E78" s="3333">
        <v>0</v>
      </c>
      <c r="F78" s="3333"/>
      <c r="G78" s="2492"/>
      <c r="H78" s="3274"/>
      <c r="I78" s="3274"/>
      <c r="J78" s="3333"/>
      <c r="K78" s="3333"/>
      <c r="L78" s="3333"/>
      <c r="M78" s="3274"/>
      <c r="N78" s="3274"/>
      <c r="O78" s="3333">
        <f>M78+N78*1.15</f>
        <v>0</v>
      </c>
      <c r="P78" s="3333"/>
      <c r="Q78" s="3333"/>
      <c r="R78" s="3274"/>
      <c r="S78" s="3274"/>
      <c r="T78" s="2028">
        <f>R78+S78*1.15</f>
        <v>0</v>
      </c>
      <c r="U78" s="3333"/>
      <c r="V78" s="3333"/>
      <c r="W78" s="3274"/>
      <c r="X78" s="3274"/>
      <c r="Y78" s="3402">
        <f>W78+X78*1.15</f>
        <v>0</v>
      </c>
      <c r="Z78" s="3333"/>
      <c r="AA78" s="3333"/>
      <c r="AB78" s="3274"/>
      <c r="AC78" s="3274"/>
      <c r="AD78" s="3402">
        <f>AB78+AC78*1.15</f>
        <v>0</v>
      </c>
      <c r="AE78" s="3333"/>
      <c r="AF78" s="3333"/>
      <c r="AG78" s="3274"/>
      <c r="AH78" s="3274"/>
      <c r="AI78" s="3402">
        <f>AG78+AH78*1.15</f>
        <v>0</v>
      </c>
      <c r="AJ78" s="3333"/>
      <c r="AK78" s="3333"/>
      <c r="AL78" s="3274"/>
      <c r="AM78" s="3274"/>
      <c r="AN78" s="1184">
        <f>AL78+AM78</f>
        <v>0</v>
      </c>
      <c r="AO78" s="3333"/>
      <c r="AP78" s="3276"/>
      <c r="AQ78" s="3274"/>
      <c r="AR78" s="3274"/>
      <c r="AS78" s="1184">
        <f>AQ78+AR78</f>
        <v>0</v>
      </c>
      <c r="AT78" s="3333"/>
      <c r="AU78" s="3333"/>
      <c r="AV78" s="3274">
        <v>0</v>
      </c>
      <c r="AW78" s="3274">
        <v>0</v>
      </c>
      <c r="AX78" s="3274">
        <v>0</v>
      </c>
      <c r="AY78" s="3333"/>
      <c r="AZ78" s="3333"/>
      <c r="BA78" s="3274">
        <f t="shared" ref="BA78:BB79" si="155">BF78+BK78+BP78+BU78+BZ78+CE78+CJ78+CO78+CT78+CY78+DD78+DI78</f>
        <v>0</v>
      </c>
      <c r="BB78" s="3274">
        <f t="shared" si="155"/>
        <v>0</v>
      </c>
      <c r="BC78" s="3274">
        <f>BA78+BB78</f>
        <v>0</v>
      </c>
      <c r="BD78" s="3333"/>
      <c r="BE78" s="3333"/>
      <c r="BF78" s="3274"/>
      <c r="BG78" s="3274"/>
      <c r="BH78" s="1184">
        <f>BF78+BG78</f>
        <v>0</v>
      </c>
      <c r="BI78" s="3333"/>
      <c r="BJ78" s="3333"/>
      <c r="BK78" s="3274"/>
      <c r="BL78" s="3274"/>
      <c r="BM78" s="1184">
        <f>BK78+BL78</f>
        <v>0</v>
      </c>
      <c r="BN78" s="3333"/>
      <c r="BO78" s="3333"/>
      <c r="BP78" s="3274"/>
      <c r="BQ78" s="3274"/>
      <c r="BR78" s="3332">
        <f>BP78+BQ78*1.15</f>
        <v>0</v>
      </c>
      <c r="BS78" s="3333"/>
      <c r="BT78" s="3333"/>
      <c r="BU78" s="3274"/>
      <c r="BV78" s="3274"/>
      <c r="BW78" s="3332">
        <f>BU78+BV78*1.15</f>
        <v>0</v>
      </c>
      <c r="BX78" s="3333"/>
      <c r="BY78" s="3333"/>
      <c r="BZ78" s="3274"/>
      <c r="CA78" s="3274"/>
      <c r="CB78" s="3332">
        <f>BZ78+CA78*1.15</f>
        <v>0</v>
      </c>
      <c r="CC78" s="3333"/>
      <c r="CD78" s="3333"/>
      <c r="CE78" s="3274"/>
      <c r="CF78" s="3274"/>
      <c r="CG78" s="3332">
        <f>CE78+CF78*1.15</f>
        <v>0</v>
      </c>
      <c r="CH78" s="3333"/>
      <c r="CI78" s="3333"/>
      <c r="CJ78" s="3274"/>
      <c r="CK78" s="3274"/>
      <c r="CL78" s="3332">
        <f>CJ78+CK78*1.15</f>
        <v>0</v>
      </c>
      <c r="CM78" s="3333"/>
      <c r="CN78" s="3333"/>
      <c r="CO78" s="3274"/>
      <c r="CP78" s="3274"/>
      <c r="CQ78" s="3332">
        <f>CO78+CP78*1.15</f>
        <v>0</v>
      </c>
      <c r="CR78" s="3333"/>
      <c r="CS78" s="3334"/>
      <c r="CT78" s="3274"/>
      <c r="CU78" s="3274"/>
      <c r="CV78" s="3332">
        <f>CT78+CU78*1.15</f>
        <v>0</v>
      </c>
      <c r="CW78" s="3333"/>
      <c r="CX78" s="3334"/>
      <c r="CY78" s="3274"/>
      <c r="CZ78" s="3274"/>
      <c r="DA78" s="3332">
        <f>CY78+CZ78*1.15</f>
        <v>0</v>
      </c>
      <c r="DB78" s="3333"/>
      <c r="DC78" s="3334"/>
      <c r="DD78" s="3274"/>
      <c r="DE78" s="3274"/>
      <c r="DF78" s="3332">
        <f>DD78+DE78*1.15</f>
        <v>0</v>
      </c>
      <c r="DG78" s="3333"/>
      <c r="DH78" s="3334"/>
      <c r="DI78" s="3288"/>
      <c r="DJ78" s="3274"/>
      <c r="DK78" s="3332">
        <f>DI78+DJ78*1.15</f>
        <v>0</v>
      </c>
      <c r="DL78" s="3333"/>
      <c r="DM78" s="3334"/>
      <c r="DN78" s="3274">
        <f t="shared" ref="DN78:DO79" si="156">R78+W78+AB78+AG78+AL78+AQ78+BF78+BK78+BP78+BU78+BZ78+CE78+CJ78+CO78+CT78+CY78+DD78+DI78+AV78</f>
        <v>0</v>
      </c>
      <c r="DO78" s="3274">
        <f t="shared" si="156"/>
        <v>0</v>
      </c>
      <c r="DP78" s="2028">
        <f>DN78+DO78*1.15</f>
        <v>0</v>
      </c>
      <c r="DQ78" s="3333"/>
      <c r="DR78" s="3333"/>
    </row>
    <row r="79" spans="1:122" s="1411" customFormat="1" ht="13.8" x14ac:dyDescent="0.25">
      <c r="A79" s="1420"/>
      <c r="B79" s="3289" t="s">
        <v>79</v>
      </c>
      <c r="C79" s="3288">
        <v>182261.68000000002</v>
      </c>
      <c r="D79" s="3274">
        <v>0</v>
      </c>
      <c r="E79" s="2028">
        <v>189755.21296816567</v>
      </c>
      <c r="F79" s="3311"/>
      <c r="G79" s="2492"/>
      <c r="H79" s="3274">
        <v>12154.55</v>
      </c>
      <c r="I79" s="3274"/>
      <c r="J79" s="2028">
        <f>(I8+I41+I50+I54)/(1-'расчет 2022'!E4)*'расчет 2022'!E4+(H79)</f>
        <v>14574.824252873563</v>
      </c>
      <c r="K79" s="3311"/>
      <c r="L79" s="3311" t="s">
        <v>1007</v>
      </c>
      <c r="M79" s="3274">
        <f>11672.77+41210.78</f>
        <v>52883.55</v>
      </c>
      <c r="N79" s="3274"/>
      <c r="O79" s="2028">
        <f>(N8+N41+N50+N54)/(1-'расчет 2022'!E5)*'расчет 2022'!E5+(M79)</f>
        <v>63884.386091954024</v>
      </c>
      <c r="P79" s="3311"/>
      <c r="Q79" s="3311" t="s">
        <v>1037</v>
      </c>
      <c r="R79" s="3274">
        <f>(S8+S41+S50+S54)/(1-'расчет 2022'!E6)*'расчет 2022'!E6+9152.41</f>
        <v>13489.254827586206</v>
      </c>
      <c r="S79" s="3274"/>
      <c r="T79" s="2028">
        <f>R79+S79*1.15</f>
        <v>13489.254827586206</v>
      </c>
      <c r="U79" s="3311"/>
      <c r="V79" s="3274" t="s">
        <v>965</v>
      </c>
      <c r="W79" s="3274">
        <f>(X8+X41+X50+X54)/(1-'расчет 2022'!I7)*'расчет 2022'!I7+8781.61</f>
        <v>12143.514839423733</v>
      </c>
      <c r="X79" s="3274"/>
      <c r="Y79" s="3402">
        <f>W79+X79*1.15</f>
        <v>12143.514839423733</v>
      </c>
      <c r="Z79" s="3311"/>
      <c r="AA79" s="3311" t="s">
        <v>1164</v>
      </c>
      <c r="AB79" s="3274">
        <f>(AC8+AC41+AC50+AC54)/(1-'расчет 2022'!I8)*'расчет 2022'!I8</f>
        <v>3179.0586656279597</v>
      </c>
      <c r="AC79" s="3274"/>
      <c r="AD79" s="3402">
        <f>AB79+AC79*1.15</f>
        <v>3179.0586656279597</v>
      </c>
      <c r="AE79" s="3311"/>
      <c r="AF79" s="3311"/>
      <c r="AG79" s="3274">
        <f>(AH8+AH41+AH50+AH54)/(1-'расчет 2022'!I9)*'расчет 2022'!I9+7753.5</f>
        <v>7769.2016303178652</v>
      </c>
      <c r="AH79" s="3274"/>
      <c r="AI79" s="3402">
        <f>AG79+AH79*1.15</f>
        <v>7769.2016303178652</v>
      </c>
      <c r="AJ79" s="3311"/>
      <c r="AK79" s="3311" t="s">
        <v>965</v>
      </c>
      <c r="AL79" s="3274">
        <f>(AM8+AM41+AM50+AM54)/(1-'расчет 2022'!I10)*'расчет 2022'!I10</f>
        <v>5528.4269662921351</v>
      </c>
      <c r="AM79" s="3274"/>
      <c r="AN79" s="1184">
        <f>AL79+AM79</f>
        <v>5528.4269662921351</v>
      </c>
      <c r="AO79" s="3311"/>
      <c r="AP79" s="3276"/>
      <c r="AQ79" s="3274">
        <f>(AR8+AR41+AR50+AR54)/(1-'расчет 2022'!I11)*'расчет 2022'!I11</f>
        <v>2933.3384415828782</v>
      </c>
      <c r="AR79" s="3274"/>
      <c r="AS79" s="1184">
        <f>AQ79+AR79</f>
        <v>2933.3384415828782</v>
      </c>
      <c r="AT79" s="3311"/>
      <c r="AU79" s="3311"/>
      <c r="AV79" s="3274">
        <v>38073.338883483193</v>
      </c>
      <c r="AW79" s="3274">
        <v>0</v>
      </c>
      <c r="AX79" s="3274">
        <v>38073.338883483193</v>
      </c>
      <c r="AY79" s="3311"/>
      <c r="AZ79" s="3276"/>
      <c r="BA79" s="3274">
        <f t="shared" si="155"/>
        <v>8422.3145970367423</v>
      </c>
      <c r="BB79" s="3274">
        <f t="shared" si="155"/>
        <v>0</v>
      </c>
      <c r="BC79" s="3274">
        <f>BA79+BB79</f>
        <v>8422.3145970367423</v>
      </c>
      <c r="BD79" s="3311"/>
      <c r="BE79" s="3276"/>
      <c r="BF79" s="3274">
        <f>(BG8+BG41+BG50+BG54)/(1-'расчет 2022'!I24)*'расчет 2022'!I24</f>
        <v>608.67052023121391</v>
      </c>
      <c r="BG79" s="3274"/>
      <c r="BH79" s="1184">
        <f>BF79+BG79</f>
        <v>608.67052023121391</v>
      </c>
      <c r="BI79" s="3311"/>
      <c r="BJ79" s="3311"/>
      <c r="BK79" s="2059">
        <f>(BL8+BL41+BL50+BL54)/(1-'расчет 2022'!I25)*'расчет 2022'!I25</f>
        <v>6663.06936416185</v>
      </c>
      <c r="BL79" s="3274"/>
      <c r="BM79" s="3274">
        <f>BK79+BL79</f>
        <v>6663.06936416185</v>
      </c>
      <c r="BN79" s="3311"/>
      <c r="BO79" s="3276"/>
      <c r="BP79" s="2059">
        <f>(BQ8+BQ41+BQ50+BQ54)/(1-'расчет 2022'!I26)*'расчет 2022'!I26</f>
        <v>1150.5747126436781</v>
      </c>
      <c r="BQ79" s="3274"/>
      <c r="BR79" s="3274">
        <f>BP79+BQ79*1.15</f>
        <v>1150.5747126436781</v>
      </c>
      <c r="BS79" s="3311"/>
      <c r="BT79" s="3276"/>
      <c r="BU79" s="3274">
        <f>(BV8+BV41+BV50+BV54)/(1-'расчет 2022'!I15)*'расчет 2022'!I15</f>
        <v>0</v>
      </c>
      <c r="BV79" s="3274"/>
      <c r="BW79" s="3274">
        <f>BU79+BV79*1.15</f>
        <v>0</v>
      </c>
      <c r="BX79" s="3311"/>
      <c r="BY79" s="3276"/>
      <c r="BZ79" s="3274">
        <f>(CA8+CA41+CA50+CA54)/(1-'расчет 2022'!I15)*'расчет 2022'!I15</f>
        <v>0</v>
      </c>
      <c r="CA79" s="3274"/>
      <c r="CB79" s="3274">
        <f>BZ79+CA79*1.15</f>
        <v>0</v>
      </c>
      <c r="CC79" s="3311"/>
      <c r="CD79" s="3276"/>
      <c r="CE79" s="3274">
        <f>(CF8+CF41+CF50+CF54)/(1-'расчет 2022'!I17)*'расчет 2022'!I17</f>
        <v>0</v>
      </c>
      <c r="CF79" s="3274"/>
      <c r="CG79" s="3274">
        <f>CE79+CF79*1.15</f>
        <v>0</v>
      </c>
      <c r="CH79" s="3311"/>
      <c r="CI79" s="3276"/>
      <c r="CJ79" s="3274">
        <f>(CK8+CK41+CK50+CK54)/(1-'расчет 2022'!I18)*'расчет 2022'!I18</f>
        <v>0</v>
      </c>
      <c r="CK79" s="3274"/>
      <c r="CL79" s="3274">
        <f>CJ79+CK79*1.15</f>
        <v>0</v>
      </c>
      <c r="CM79" s="3311"/>
      <c r="CN79" s="3276"/>
      <c r="CO79" s="3274"/>
      <c r="CP79" s="3274"/>
      <c r="CQ79" s="3274">
        <f>CO79+CP79*1.15</f>
        <v>0</v>
      </c>
      <c r="CR79" s="3311"/>
      <c r="CS79" s="3276"/>
      <c r="CT79" s="3274"/>
      <c r="CU79" s="3274"/>
      <c r="CV79" s="3274">
        <f>CT79+CU79*1.15</f>
        <v>0</v>
      </c>
      <c r="CW79" s="3311"/>
      <c r="CX79" s="3276"/>
      <c r="CY79" s="3274"/>
      <c r="CZ79" s="3274"/>
      <c r="DA79" s="3274">
        <f>CY79+CZ79*1.15</f>
        <v>0</v>
      </c>
      <c r="DB79" s="3311"/>
      <c r="DC79" s="3276"/>
      <c r="DD79" s="3274">
        <f>(DE8+DE41+DE50+DE54)/(1-'расчет 2022'!$I$23)*'расчет 2022'!$I$23</f>
        <v>0</v>
      </c>
      <c r="DE79" s="3274"/>
      <c r="DF79" s="3274">
        <f>DD79+DE79*1.15</f>
        <v>0</v>
      </c>
      <c r="DG79" s="3311"/>
      <c r="DH79" s="3276"/>
      <c r="DI79" s="3274"/>
      <c r="DJ79" s="3274"/>
      <c r="DK79" s="3274">
        <f>DI79+DJ79*1.15</f>
        <v>0</v>
      </c>
      <c r="DL79" s="3311"/>
      <c r="DM79" s="3276"/>
      <c r="DN79" s="3274">
        <f t="shared" si="156"/>
        <v>91538.448851350709</v>
      </c>
      <c r="DO79" s="3274">
        <f t="shared" si="156"/>
        <v>0</v>
      </c>
      <c r="DP79" s="2028">
        <f t="shared" ref="DP79" si="157">DN79+DO79*1</f>
        <v>91538.448851350709</v>
      </c>
      <c r="DQ79" s="3311"/>
      <c r="DR79" s="3311"/>
    </row>
    <row r="80" spans="1:122" ht="13.8" x14ac:dyDescent="0.25">
      <c r="A80" s="1412"/>
      <c r="B80" s="3335"/>
      <c r="C80" s="3288"/>
      <c r="D80" s="3274"/>
      <c r="E80" s="3336"/>
      <c r="F80" s="3336"/>
      <c r="G80" s="3143"/>
      <c r="H80" s="3274"/>
      <c r="I80" s="3274"/>
      <c r="J80" s="3336"/>
      <c r="K80" s="3336"/>
      <c r="L80" s="3336"/>
      <c r="M80" s="3274"/>
      <c r="N80" s="3274"/>
      <c r="O80" s="3336"/>
      <c r="P80" s="3336"/>
      <c r="Q80" s="3336"/>
      <c r="R80" s="3274"/>
      <c r="S80" s="3274"/>
      <c r="T80" s="3336"/>
      <c r="U80" s="3336"/>
      <c r="V80" s="3336"/>
      <c r="W80" s="3274"/>
      <c r="X80" s="3274"/>
      <c r="Y80" s="3336"/>
      <c r="Z80" s="3336"/>
      <c r="AA80" s="3336"/>
      <c r="AB80" s="3274"/>
      <c r="AC80" s="3274"/>
      <c r="AD80" s="3336"/>
      <c r="AE80" s="3336"/>
      <c r="AF80" s="3336"/>
      <c r="AG80" s="3274"/>
      <c r="AH80" s="3274"/>
      <c r="AI80" s="3336"/>
      <c r="AJ80" s="3336"/>
      <c r="AK80" s="3336"/>
      <c r="AL80" s="3274"/>
      <c r="AM80" s="3274"/>
      <c r="AN80" s="3336"/>
      <c r="AO80" s="3336"/>
      <c r="AP80" s="3336"/>
      <c r="AQ80" s="3274"/>
      <c r="AR80" s="3274"/>
      <c r="AS80" s="3336"/>
      <c r="AT80" s="3336"/>
      <c r="AU80" s="3336"/>
      <c r="AV80" s="3274"/>
      <c r="AW80" s="3274"/>
      <c r="AX80" s="3336"/>
      <c r="AY80" s="3336"/>
      <c r="AZ80" s="3336"/>
      <c r="BA80" s="3274"/>
      <c r="BB80" s="3274"/>
      <c r="BC80" s="3336"/>
      <c r="BD80" s="3336"/>
      <c r="BE80" s="3336"/>
      <c r="BF80" s="3274"/>
      <c r="BG80" s="3274"/>
      <c r="BH80" s="3336"/>
      <c r="BI80" s="3336"/>
      <c r="BJ80" s="3336"/>
      <c r="BK80" s="3274"/>
      <c r="BL80" s="3274"/>
      <c r="BM80" s="3336"/>
      <c r="BN80" s="3336"/>
      <c r="BO80" s="3336"/>
      <c r="BP80" s="3274"/>
      <c r="BQ80" s="3274"/>
      <c r="BR80" s="3336"/>
      <c r="BS80" s="3336"/>
      <c r="BT80" s="3336"/>
      <c r="BU80" s="3274"/>
      <c r="BV80" s="3274"/>
      <c r="BW80" s="3336"/>
      <c r="BX80" s="3336"/>
      <c r="BY80" s="3336"/>
      <c r="BZ80" s="3274"/>
      <c r="CA80" s="3274"/>
      <c r="CB80" s="3336"/>
      <c r="CC80" s="3336"/>
      <c r="CD80" s="3336"/>
      <c r="CE80" s="3274"/>
      <c r="CF80" s="3274"/>
      <c r="CG80" s="3336"/>
      <c r="CH80" s="3336"/>
      <c r="CI80" s="3336"/>
      <c r="CJ80" s="3274"/>
      <c r="CK80" s="3274"/>
      <c r="CL80" s="3336"/>
      <c r="CM80" s="3336"/>
      <c r="CN80" s="3336"/>
      <c r="CO80" s="3274"/>
      <c r="CP80" s="3274"/>
      <c r="CQ80" s="3336"/>
      <c r="CR80" s="3336"/>
      <c r="CS80" s="3306"/>
      <c r="CT80" s="3274"/>
      <c r="CU80" s="3274"/>
      <c r="CV80" s="3336"/>
      <c r="CW80" s="3336"/>
      <c r="CX80" s="3306"/>
      <c r="CY80" s="3274"/>
      <c r="CZ80" s="3274"/>
      <c r="DA80" s="3336"/>
      <c r="DB80" s="3336"/>
      <c r="DC80" s="3306"/>
      <c r="DD80" s="3274"/>
      <c r="DE80" s="3274"/>
      <c r="DF80" s="3336"/>
      <c r="DG80" s="3336"/>
      <c r="DH80" s="3306"/>
      <c r="DI80" s="3288"/>
      <c r="DJ80" s="3274"/>
      <c r="DK80" s="3336"/>
      <c r="DL80" s="3336"/>
      <c r="DM80" s="3306"/>
      <c r="DN80" s="3274"/>
      <c r="DO80" s="3274"/>
      <c r="DP80" s="3336"/>
      <c r="DQ80" s="3336"/>
      <c r="DR80" s="3336"/>
    </row>
    <row r="81" spans="1:122" s="1411" customFormat="1" ht="14.4" thickBot="1" x14ac:dyDescent="0.3">
      <c r="A81" s="1434"/>
      <c r="B81" s="3331" t="s">
        <v>12</v>
      </c>
      <c r="C81" s="2865">
        <v>214261.64278695648</v>
      </c>
      <c r="D81" s="2865">
        <v>-102555.61999999998</v>
      </c>
      <c r="E81" s="2866">
        <v>104212.48981879084</v>
      </c>
      <c r="F81" s="2868"/>
      <c r="G81" s="2864"/>
      <c r="H81" s="3401">
        <f>(H75+H78)-H79</f>
        <v>4553.8300000000054</v>
      </c>
      <c r="I81" s="2865">
        <f>(I75+I78)-I79</f>
        <v>-16197.22</v>
      </c>
      <c r="J81" s="2866">
        <f>(J75+J78)-J79</f>
        <v>-14063.664252873557</v>
      </c>
      <c r="K81" s="2868"/>
      <c r="L81" s="2868"/>
      <c r="M81" s="2865">
        <f>(M75+M78)-M79</f>
        <v>-169205.96215970867</v>
      </c>
      <c r="N81" s="2865">
        <f>(N75+N78)-N79</f>
        <v>-73620.98</v>
      </c>
      <c r="O81" s="2866">
        <f>(O75+O78)-O79</f>
        <v>-253827.7782516627</v>
      </c>
      <c r="P81" s="2868"/>
      <c r="Q81" s="2868"/>
      <c r="R81" s="2865">
        <f>(R75+R78)-R79</f>
        <v>-109362.31482758619</v>
      </c>
      <c r="S81" s="2865">
        <f>(S75+S78)-S79</f>
        <v>43882.5</v>
      </c>
      <c r="T81" s="2866">
        <f>(T75+T78)-T79</f>
        <v>-65479.81482758624</v>
      </c>
      <c r="U81" s="2868"/>
      <c r="V81" s="2868"/>
      <c r="W81" s="2865">
        <f>(W75+W78)-W79</f>
        <v>88974.175160576269</v>
      </c>
      <c r="X81" s="2865">
        <f>(X75+X78)-X79</f>
        <v>-9151.8100000000013</v>
      </c>
      <c r="Y81" s="2866">
        <f>(Y75+Y78)-Y79</f>
        <v>79822.365160576272</v>
      </c>
      <c r="Z81" s="2868"/>
      <c r="AA81" s="2868"/>
      <c r="AB81" s="2865">
        <f>(AB75+AB78)-AB79</f>
        <v>80690.74133437204</v>
      </c>
      <c r="AC81" s="2865">
        <f>(AC75+AC78)-AC79</f>
        <v>17671.5</v>
      </c>
      <c r="AD81" s="2866">
        <f>(AD75+AD78)-AD79</f>
        <v>98362.24133437204</v>
      </c>
      <c r="AE81" s="2868"/>
      <c r="AF81" s="2868"/>
      <c r="AG81" s="2865">
        <f>(AG75+AG78)-AG79</f>
        <v>-14218.441630317862</v>
      </c>
      <c r="AH81" s="2865">
        <f>(AH75+AH78)-AH79</f>
        <v>-366</v>
      </c>
      <c r="AI81" s="2866">
        <f>(AI75+AI78)-AI79</f>
        <v>-14584.441630317862</v>
      </c>
      <c r="AJ81" s="2868"/>
      <c r="AK81" s="2868"/>
      <c r="AL81" s="2865">
        <f>(AL75+AL78)-AL79</f>
        <v>334245.54303370789</v>
      </c>
      <c r="AM81" s="2865">
        <f>(AM75+AM78)-AM79</f>
        <v>43820</v>
      </c>
      <c r="AN81" s="2866">
        <f>(AN75+AN78)-AN79</f>
        <v>378065.54303370789</v>
      </c>
      <c r="AO81" s="2868"/>
      <c r="AP81" s="2868"/>
      <c r="AQ81" s="2865">
        <f>(AQ75+AQ78)-AQ79</f>
        <v>-756.83044158289113</v>
      </c>
      <c r="AR81" s="2865">
        <f>(AR75+AR78)-AR79</f>
        <v>-22246.65</v>
      </c>
      <c r="AS81" s="2866">
        <f>(AS75+AS78)-AS79</f>
        <v>-23003.480441582884</v>
      </c>
      <c r="AT81" s="2868"/>
      <c r="AU81" s="2868"/>
      <c r="AV81" s="2865">
        <v>420799.89311651664</v>
      </c>
      <c r="AW81" s="2865">
        <v>-280540.34999999998</v>
      </c>
      <c r="AX81" s="2866">
        <v>140259.54311651678</v>
      </c>
      <c r="AY81" s="2868"/>
      <c r="AZ81" s="2868"/>
      <c r="BA81" s="2865">
        <f>(BA75+BA78)-BA79</f>
        <v>81552.819402963243</v>
      </c>
      <c r="BB81" s="2865">
        <f>(BB75+BB78)-BB79</f>
        <v>-47793</v>
      </c>
      <c r="BC81" s="2866">
        <f>(BC75+BC78)-BC79</f>
        <v>33759.819402963221</v>
      </c>
      <c r="BD81" s="2868"/>
      <c r="BE81" s="2868"/>
      <c r="BF81" s="2865">
        <f>(BF75+BF78)-BF79</f>
        <v>34519.569479768783</v>
      </c>
      <c r="BG81" s="2865">
        <f>(BG75+BG78)-BG79</f>
        <v>-3900</v>
      </c>
      <c r="BH81" s="2866">
        <f>(BH75+BH78)-BH79</f>
        <v>30619.569479768783</v>
      </c>
      <c r="BI81" s="2868"/>
      <c r="BJ81" s="2868"/>
      <c r="BK81" s="2865">
        <f>(BK75+BK78)-BK79</f>
        <v>67492.650635838145</v>
      </c>
      <c r="BL81" s="2865">
        <f>(BL75+BL78)-BL79</f>
        <v>-36193</v>
      </c>
      <c r="BM81" s="2866">
        <f>(BM75+BM78)-BM79</f>
        <v>31299.650635838152</v>
      </c>
      <c r="BN81" s="2868"/>
      <c r="BO81" s="2868"/>
      <c r="BP81" s="2865">
        <f>(BP75+BP78)-BP79</f>
        <v>-20459.400712643677</v>
      </c>
      <c r="BQ81" s="2865">
        <f>(BQ75+BQ78)-BQ79</f>
        <v>-7700</v>
      </c>
      <c r="BR81" s="2866">
        <f>(BR75+BR78)-BR79</f>
        <v>-28159.400712643677</v>
      </c>
      <c r="BS81" s="2868"/>
      <c r="BT81" s="2868"/>
      <c r="BU81" s="2865">
        <f>(BU75+BU78)-BU79</f>
        <v>0</v>
      </c>
      <c r="BV81" s="2865">
        <f>(BV75+BV78)-BV79</f>
        <v>0</v>
      </c>
      <c r="BW81" s="2866">
        <f>(BW75+BW78)-BW79</f>
        <v>0</v>
      </c>
      <c r="BX81" s="2868"/>
      <c r="BY81" s="2868"/>
      <c r="BZ81" s="2865">
        <f>(BZ75+BZ78)-BZ79</f>
        <v>0</v>
      </c>
      <c r="CA81" s="2865">
        <f>(CA75+CA78)-CA79</f>
        <v>0</v>
      </c>
      <c r="CB81" s="2866">
        <f>(CB75+CB78)-CB79</f>
        <v>0</v>
      </c>
      <c r="CC81" s="2868"/>
      <c r="CD81" s="2868"/>
      <c r="CE81" s="2865">
        <f>(CE75+CE78)-CE79</f>
        <v>0</v>
      </c>
      <c r="CF81" s="2865">
        <f>(CF75+CF78)-CF79</f>
        <v>0</v>
      </c>
      <c r="CG81" s="2866">
        <f>(CG75+CG78)-CG79</f>
        <v>0</v>
      </c>
      <c r="CH81" s="2868"/>
      <c r="CI81" s="2868"/>
      <c r="CJ81" s="2865">
        <f>(CJ75+CJ78)-CJ79</f>
        <v>0</v>
      </c>
      <c r="CK81" s="2865">
        <f>(CK75+CK78)-CK79</f>
        <v>0</v>
      </c>
      <c r="CL81" s="2866">
        <f>(CL75+CL78)-CL79</f>
        <v>0</v>
      </c>
      <c r="CM81" s="2868"/>
      <c r="CN81" s="2868"/>
      <c r="CO81" s="2865">
        <f>(CO75+CO78)-CO79</f>
        <v>0</v>
      </c>
      <c r="CP81" s="2865">
        <f>(CP75+CP78)-CP79</f>
        <v>0</v>
      </c>
      <c r="CQ81" s="2866">
        <f>(CQ75+CQ78)-CQ79</f>
        <v>0</v>
      </c>
      <c r="CR81" s="2868"/>
      <c r="CS81" s="3138"/>
      <c r="CT81" s="2865">
        <f>(CT75+CT78)-CT79</f>
        <v>0</v>
      </c>
      <c r="CU81" s="2865">
        <f>(CU75+CU78)-CU79</f>
        <v>0</v>
      </c>
      <c r="CV81" s="2866">
        <f>(CV75+CV78)-CV79</f>
        <v>0</v>
      </c>
      <c r="CW81" s="2868"/>
      <c r="CX81" s="3138"/>
      <c r="CY81" s="2865">
        <f>(CY75+CY78)-CY79</f>
        <v>0</v>
      </c>
      <c r="CZ81" s="2865">
        <f>(CZ75+CZ78)-CZ79</f>
        <v>0</v>
      </c>
      <c r="DA81" s="2866">
        <f>(DA75+DA78)-DA79</f>
        <v>0</v>
      </c>
      <c r="DB81" s="2868"/>
      <c r="DC81" s="3138"/>
      <c r="DD81" s="2865">
        <f>(DD75+DD78)-DD79</f>
        <v>0</v>
      </c>
      <c r="DE81" s="2865">
        <f>(DE75+DE78)-DE79</f>
        <v>0</v>
      </c>
      <c r="DF81" s="2866">
        <f>(DF75+DF78)-DF79</f>
        <v>0</v>
      </c>
      <c r="DG81" s="2868"/>
      <c r="DH81" s="3138"/>
      <c r="DI81" s="2865">
        <f>(DI75+DI78)-DI79</f>
        <v>0</v>
      </c>
      <c r="DJ81" s="2865">
        <f>(DJ75+DJ78)-DJ79</f>
        <v>0</v>
      </c>
      <c r="DK81" s="2866">
        <f>(DK75+DK78)-DK79</f>
        <v>0</v>
      </c>
      <c r="DL81" s="2868"/>
      <c r="DM81" s="3138"/>
      <c r="DN81" s="2865">
        <f>(DN75+DN78)-DN79</f>
        <v>881925.58514864906</v>
      </c>
      <c r="DO81" s="2865">
        <f>(DO75+DO78)-DO79</f>
        <v>-254723.81</v>
      </c>
      <c r="DP81" s="2866">
        <f>(DP75+DP78)-DP79</f>
        <v>627201.77514864923</v>
      </c>
      <c r="DQ81" s="2868"/>
      <c r="DR81" s="2868"/>
    </row>
    <row r="82" spans="1:122" s="1411" customFormat="1" ht="13.8" x14ac:dyDescent="0.25">
      <c r="A82" s="1580"/>
      <c r="B82" s="1415" t="s">
        <v>38</v>
      </c>
      <c r="C82" s="3288">
        <v>0</v>
      </c>
      <c r="D82" s="3274">
        <v>0</v>
      </c>
      <c r="E82" s="3332">
        <v>0</v>
      </c>
      <c r="F82" s="3321"/>
      <c r="G82" s="2492"/>
      <c r="H82" s="3274"/>
      <c r="I82" s="3274"/>
      <c r="J82" s="3332">
        <f>H82+I82</f>
        <v>0</v>
      </c>
      <c r="K82" s="3321"/>
      <c r="L82" s="3321"/>
      <c r="M82" s="3274"/>
      <c r="N82" s="3274"/>
      <c r="O82" s="3332">
        <f>M82+N82</f>
        <v>0</v>
      </c>
      <c r="P82" s="3321"/>
      <c r="Q82" s="3321"/>
      <c r="R82" s="3274"/>
      <c r="S82" s="3274"/>
      <c r="T82" s="3332">
        <f>R82+S82</f>
        <v>0</v>
      </c>
      <c r="U82" s="3321"/>
      <c r="V82" s="3321"/>
      <c r="W82" s="3274"/>
      <c r="X82" s="3274"/>
      <c r="Y82" s="3332">
        <f>W82+X82</f>
        <v>0</v>
      </c>
      <c r="Z82" s="3321"/>
      <c r="AA82" s="3321"/>
      <c r="AB82" s="3274"/>
      <c r="AC82" s="3274"/>
      <c r="AD82" s="3332">
        <f>AB82+AC82</f>
        <v>0</v>
      </c>
      <c r="AE82" s="3321"/>
      <c r="AF82" s="3321"/>
      <c r="AG82" s="3274"/>
      <c r="AH82" s="3274"/>
      <c r="AI82" s="3332">
        <f>AG82+AH82</f>
        <v>0</v>
      </c>
      <c r="AJ82" s="3321"/>
      <c r="AK82" s="3321"/>
      <c r="AL82" s="3274"/>
      <c r="AM82" s="3274"/>
      <c r="AN82" s="3332">
        <f>AL82+AM82</f>
        <v>0</v>
      </c>
      <c r="AO82" s="3321"/>
      <c r="AP82" s="3321"/>
      <c r="AQ82" s="3274"/>
      <c r="AR82" s="3274"/>
      <c r="AS82" s="3332">
        <f>AQ82+AR82</f>
        <v>0</v>
      </c>
      <c r="AT82" s="3321"/>
      <c r="AU82" s="3321"/>
      <c r="AV82" s="3274">
        <v>0</v>
      </c>
      <c r="AW82" s="3274">
        <v>0</v>
      </c>
      <c r="AX82" s="3332">
        <v>0</v>
      </c>
      <c r="AY82" s="3321"/>
      <c r="AZ82" s="3321"/>
      <c r="BA82" s="3274">
        <f t="shared" ref="BA82:BB82" si="158">BF82+BK82+BP82+BU82+BZ82+CE82+CJ82+CO82+CT82+CY82+DD82+DI82</f>
        <v>0</v>
      </c>
      <c r="BB82" s="3274">
        <f t="shared" si="158"/>
        <v>0</v>
      </c>
      <c r="BC82" s="3332">
        <f>BA82+BB82</f>
        <v>0</v>
      </c>
      <c r="BD82" s="3321"/>
      <c r="BE82" s="3321"/>
      <c r="BF82" s="3274"/>
      <c r="BG82" s="3274"/>
      <c r="BH82" s="3332">
        <f>BF82+BG82</f>
        <v>0</v>
      </c>
      <c r="BI82" s="3321"/>
      <c r="BJ82" s="3321"/>
      <c r="BK82" s="3274"/>
      <c r="BL82" s="3274"/>
      <c r="BM82" s="3332">
        <f>BK82+BL82</f>
        <v>0</v>
      </c>
      <c r="BN82" s="3321"/>
      <c r="BO82" s="3321"/>
      <c r="BP82" s="3274"/>
      <c r="BQ82" s="3274"/>
      <c r="BR82" s="3332">
        <f>BP82+BQ82</f>
        <v>0</v>
      </c>
      <c r="BS82" s="3321"/>
      <c r="BT82" s="3321"/>
      <c r="BU82" s="3274"/>
      <c r="BV82" s="3274"/>
      <c r="BW82" s="3332">
        <f>BU82+BV82</f>
        <v>0</v>
      </c>
      <c r="BX82" s="3321"/>
      <c r="BY82" s="3321"/>
      <c r="BZ82" s="3274"/>
      <c r="CA82" s="3274"/>
      <c r="CB82" s="3332">
        <f>BZ82+CA82</f>
        <v>0</v>
      </c>
      <c r="CC82" s="3321"/>
      <c r="CD82" s="3321"/>
      <c r="CE82" s="3274"/>
      <c r="CF82" s="3274"/>
      <c r="CG82" s="3332">
        <f>CE82+CF82</f>
        <v>0</v>
      </c>
      <c r="CH82" s="3321"/>
      <c r="CI82" s="3321"/>
      <c r="CJ82" s="3274"/>
      <c r="CK82" s="3274"/>
      <c r="CL82" s="3332">
        <f>CJ82+CK82</f>
        <v>0</v>
      </c>
      <c r="CM82" s="3321"/>
      <c r="CN82" s="3321"/>
      <c r="CO82" s="3274"/>
      <c r="CP82" s="3274"/>
      <c r="CQ82" s="3332">
        <f>CO82+CP82</f>
        <v>0</v>
      </c>
      <c r="CR82" s="3321"/>
      <c r="CS82" s="3321"/>
      <c r="CT82" s="3274"/>
      <c r="CU82" s="3274"/>
      <c r="CV82" s="3332">
        <f>CT82+CU82</f>
        <v>0</v>
      </c>
      <c r="CW82" s="3321"/>
      <c r="CX82" s="3321"/>
      <c r="CY82" s="3274"/>
      <c r="CZ82" s="3274"/>
      <c r="DA82" s="3332">
        <f>CY82+CZ82</f>
        <v>0</v>
      </c>
      <c r="DB82" s="3321"/>
      <c r="DC82" s="3321"/>
      <c r="DD82" s="3274"/>
      <c r="DE82" s="3274"/>
      <c r="DF82" s="3332">
        <f>DD82+DE82</f>
        <v>0</v>
      </c>
      <c r="DG82" s="3321"/>
      <c r="DH82" s="3321"/>
      <c r="DI82" s="3288"/>
      <c r="DJ82" s="3274"/>
      <c r="DK82" s="3332">
        <f>DI82+DJ82</f>
        <v>0</v>
      </c>
      <c r="DL82" s="3321"/>
      <c r="DM82" s="3321"/>
      <c r="DN82" s="3274">
        <f>R82+W82+AB82+AG82+AL82+AQ82+BF82+BK82+BP82+BU82+BZ82+CE82+CJ82+CO82+CT82+CY82+DD82+DI82+AV82</f>
        <v>0</v>
      </c>
      <c r="DO82" s="3274">
        <f>S82+X82+AC82+AH82+AM82+AR82+BG82+BL82+BQ82+BV82+CA82+CF82+CK82+CP82+CU82+CZ82+DE82+DJ82+AW82</f>
        <v>0</v>
      </c>
      <c r="DP82" s="3332">
        <f>DN82+DO82</f>
        <v>0</v>
      </c>
      <c r="DQ82" s="3321"/>
      <c r="DR82" s="3321"/>
    </row>
    <row r="83" spans="1:122" s="1411" customFormat="1" ht="14.4" thickBot="1" x14ac:dyDescent="0.3">
      <c r="A83" s="1420"/>
      <c r="B83" s="3337" t="s">
        <v>13</v>
      </c>
      <c r="C83" s="3338">
        <v>214261.64278695648</v>
      </c>
      <c r="D83" s="3338">
        <v>-102555.61999999998</v>
      </c>
      <c r="E83" s="3339">
        <v>104212.48981879084</v>
      </c>
      <c r="F83" s="3340"/>
      <c r="G83" s="3403"/>
      <c r="H83" s="3404">
        <f>(H81+H7)-H36</f>
        <v>4553.8300000000054</v>
      </c>
      <c r="I83" s="3338">
        <f>(I81+I7)-I36</f>
        <v>-16197.22</v>
      </c>
      <c r="J83" s="3339">
        <f>(J81+J7)-J36</f>
        <v>-14063.664252873557</v>
      </c>
      <c r="K83" s="3340"/>
      <c r="L83" s="3340"/>
      <c r="M83" s="3338">
        <f>(M81+M7)-M36</f>
        <v>264546.03784029133</v>
      </c>
      <c r="N83" s="3338">
        <f>(N81+N7)-N36</f>
        <v>-73620.98</v>
      </c>
      <c r="O83" s="3339">
        <f>(O81+O7)-O36</f>
        <v>179924.2217483373</v>
      </c>
      <c r="P83" s="3340"/>
      <c r="Q83" s="3340"/>
      <c r="R83" s="3338">
        <f>(R81+R7)-R36</f>
        <v>-109362.31482758619</v>
      </c>
      <c r="S83" s="3338">
        <f>(S81+S7)-S36</f>
        <v>43882.5</v>
      </c>
      <c r="T83" s="3339">
        <f>(T81+T7)-T36</f>
        <v>-65479.81482758624</v>
      </c>
      <c r="U83" s="3340"/>
      <c r="V83" s="3340"/>
      <c r="W83" s="3338">
        <f>(W81+W7)-W36</f>
        <v>88974.175160576269</v>
      </c>
      <c r="X83" s="3338">
        <f>(X81+X7)-X36</f>
        <v>-9151.8100000000013</v>
      </c>
      <c r="Y83" s="3339">
        <f>(Y81+Y7)-Y36</f>
        <v>79822.365160576272</v>
      </c>
      <c r="Z83" s="3340"/>
      <c r="AA83" s="3340"/>
      <c r="AB83" s="3338">
        <f>(AB81+AB7)-AB36</f>
        <v>58166.161334372038</v>
      </c>
      <c r="AC83" s="3338">
        <f>(AC81+AC7)-AC36</f>
        <v>17671.5</v>
      </c>
      <c r="AD83" s="3339">
        <f>(AD81+AD7)-AD36</f>
        <v>75837.661334372038</v>
      </c>
      <c r="AE83" s="3340"/>
      <c r="AF83" s="3340"/>
      <c r="AG83" s="3338">
        <f>(AG81+AG7)-AG36</f>
        <v>-14218.441630317862</v>
      </c>
      <c r="AH83" s="3338">
        <f>(AH81+AH7)-AH36</f>
        <v>-366</v>
      </c>
      <c r="AI83" s="3339">
        <f>(AI81+AI7)-AI36</f>
        <v>-14584.441630317862</v>
      </c>
      <c r="AJ83" s="3340"/>
      <c r="AK83" s="3340"/>
      <c r="AL83" s="3338">
        <f>(AL81+AL7)-AL36</f>
        <v>692617.82303370791</v>
      </c>
      <c r="AM83" s="3338">
        <f>(AM81+AM7)-AM36</f>
        <v>132370</v>
      </c>
      <c r="AN83" s="3339">
        <f>(AN81)-AN36</f>
        <v>378065.54303370789</v>
      </c>
      <c r="AO83" s="3340"/>
      <c r="AP83" s="3340"/>
      <c r="AQ83" s="3338">
        <f>(AQ81+AQ7)-AQ36</f>
        <v>-756.83044158289113</v>
      </c>
      <c r="AR83" s="3338">
        <f>(AR81+AR7)-AR36</f>
        <v>-22246.65</v>
      </c>
      <c r="AS83" s="3339">
        <f>(AS81+AS7)-AS36</f>
        <v>-23003.480441582884</v>
      </c>
      <c r="AT83" s="3340"/>
      <c r="AU83" s="3340"/>
      <c r="AV83" s="3338">
        <v>420799.89311651664</v>
      </c>
      <c r="AW83" s="3338">
        <v>-280540.34999999998</v>
      </c>
      <c r="AX83" s="3338">
        <v>140259.54311651678</v>
      </c>
      <c r="AY83" s="3340"/>
      <c r="AZ83" s="3340"/>
      <c r="BA83" s="3338">
        <f>BA81-BA36</f>
        <v>81552.819402963243</v>
      </c>
      <c r="BB83" s="3338">
        <f>BB81-BB36</f>
        <v>-47793</v>
      </c>
      <c r="BC83" s="3338">
        <f>BC81-BC36</f>
        <v>33759.819402963221</v>
      </c>
      <c r="BD83" s="3340"/>
      <c r="BE83" s="3340"/>
      <c r="BF83" s="3338">
        <f>(BF81+BF7)-BF36</f>
        <v>34519.569479768783</v>
      </c>
      <c r="BG83" s="3338">
        <f>(BG81+BG7)-BG36</f>
        <v>-3900</v>
      </c>
      <c r="BH83" s="3339">
        <f>(BH81+BH7)-BH36</f>
        <v>30619.569479768783</v>
      </c>
      <c r="BI83" s="3340"/>
      <c r="BJ83" s="3340"/>
      <c r="BK83" s="3338">
        <f>(BK81+BK7)-BK36</f>
        <v>67492.650635838145</v>
      </c>
      <c r="BL83" s="3338">
        <f>(BL81+BL7)-BL36</f>
        <v>-36193</v>
      </c>
      <c r="BM83" s="3339">
        <f>(BM81)-BM36</f>
        <v>31299.650635838152</v>
      </c>
      <c r="BN83" s="3340"/>
      <c r="BO83" s="3340"/>
      <c r="BP83" s="3338">
        <f>(BP81+BP7)-BP36</f>
        <v>-20459.400712643677</v>
      </c>
      <c r="BQ83" s="3338">
        <f>(BQ81+BQ7)-BQ36</f>
        <v>-7700</v>
      </c>
      <c r="BR83" s="3339">
        <f>(BR81+BR7)-BR36</f>
        <v>-28159.400712643677</v>
      </c>
      <c r="BS83" s="3340"/>
      <c r="BT83" s="3340"/>
      <c r="BU83" s="3338">
        <f>(BU81+BU7)-BU36</f>
        <v>0</v>
      </c>
      <c r="BV83" s="3338">
        <f>(BV81+BV7)-BV36</f>
        <v>0</v>
      </c>
      <c r="BW83" s="3339">
        <f>(BW81+BW7)-BW36</f>
        <v>0</v>
      </c>
      <c r="BX83" s="3340"/>
      <c r="BY83" s="3340"/>
      <c r="BZ83" s="3338">
        <f>(BZ81+BZ7)-BZ36</f>
        <v>0</v>
      </c>
      <c r="CA83" s="3338">
        <f>(CA81+CA7)-CA36</f>
        <v>0</v>
      </c>
      <c r="CB83" s="3339">
        <f>(CB81+CB7)-CB36</f>
        <v>0</v>
      </c>
      <c r="CC83" s="3340"/>
      <c r="CD83" s="3340"/>
      <c r="CE83" s="3338">
        <f>(CE81+CE7)-CE36</f>
        <v>0</v>
      </c>
      <c r="CF83" s="3338">
        <f>(CF81+CF7)-CF36</f>
        <v>0</v>
      </c>
      <c r="CG83" s="3339">
        <f>(CG81+CG7)-CG36</f>
        <v>0</v>
      </c>
      <c r="CH83" s="3340"/>
      <c r="CI83" s="3340"/>
      <c r="CJ83" s="3338">
        <f>(CJ81+CJ7)-CJ36</f>
        <v>0</v>
      </c>
      <c r="CK83" s="3338">
        <f>(CK81+CK7)-CK36</f>
        <v>0</v>
      </c>
      <c r="CL83" s="3339">
        <f>(CL81+CL7)-CL36</f>
        <v>0</v>
      </c>
      <c r="CM83" s="3340"/>
      <c r="CN83" s="3340"/>
      <c r="CO83" s="3338">
        <f>(CO81+CO7)-CO36</f>
        <v>0</v>
      </c>
      <c r="CP83" s="3338">
        <f>(CP81+CP7)-CP36</f>
        <v>0</v>
      </c>
      <c r="CQ83" s="3339">
        <f>(CQ81+CQ7)-CQ36</f>
        <v>0</v>
      </c>
      <c r="CR83" s="3340"/>
      <c r="CS83" s="3341"/>
      <c r="CT83" s="3338">
        <f>(CT81+CT7)-CT36</f>
        <v>0</v>
      </c>
      <c r="CU83" s="3338">
        <f>(CU81+CU7)-CU36</f>
        <v>0</v>
      </c>
      <c r="CV83" s="3339">
        <f>(CV81+CV7)-CV36</f>
        <v>0</v>
      </c>
      <c r="CW83" s="3340"/>
      <c r="CX83" s="3341"/>
      <c r="CY83" s="3338">
        <f>(CY81+CY7)-CY36</f>
        <v>0</v>
      </c>
      <c r="CZ83" s="3338">
        <f>(CZ81+CZ7)-CZ36</f>
        <v>0</v>
      </c>
      <c r="DA83" s="3339">
        <f>(DA81+DA7)-DA36</f>
        <v>0</v>
      </c>
      <c r="DB83" s="3340"/>
      <c r="DC83" s="3341"/>
      <c r="DD83" s="3338">
        <f>(DD81+DD7)-DD36</f>
        <v>0</v>
      </c>
      <c r="DE83" s="3338">
        <f>(DE81+DE7)-DE36</f>
        <v>0</v>
      </c>
      <c r="DF83" s="3339">
        <f>(DF81+DF7)-DF36</f>
        <v>0</v>
      </c>
      <c r="DG83" s="3340"/>
      <c r="DH83" s="3341"/>
      <c r="DI83" s="3338">
        <f>(DI81+DI7)-DI36</f>
        <v>0</v>
      </c>
      <c r="DJ83" s="3338">
        <f>(DJ81+DJ7)-DJ36</f>
        <v>0</v>
      </c>
      <c r="DK83" s="3339">
        <f>(DK81+DK7)-DK36</f>
        <v>0</v>
      </c>
      <c r="DL83" s="3340"/>
      <c r="DM83" s="3341"/>
      <c r="DN83" s="3338">
        <f>(DN81)-DN36</f>
        <v>859401.0051486491</v>
      </c>
      <c r="DO83" s="3338">
        <f>(DO81)-DO36</f>
        <v>-254723.81</v>
      </c>
      <c r="DP83" s="3339">
        <f>(DP81)-DP36</f>
        <v>604677.19514864928</v>
      </c>
      <c r="DQ83" s="3340"/>
      <c r="DR83" s="3340"/>
    </row>
    <row r="84" spans="1:122" s="1411" customFormat="1" ht="14.4" thickBot="1" x14ac:dyDescent="0.3">
      <c r="A84" s="1420"/>
      <c r="B84" s="3146" t="s">
        <v>14</v>
      </c>
      <c r="C84" s="2873">
        <v>214261.64278695648</v>
      </c>
      <c r="D84" s="2873">
        <v>-102555.61999999998</v>
      </c>
      <c r="E84" s="2873">
        <v>104212.48981879084</v>
      </c>
      <c r="F84" s="2874"/>
      <c r="G84" s="2870"/>
      <c r="H84" s="3405">
        <f>H83-H73-H82</f>
        <v>4553.8300000000054</v>
      </c>
      <c r="I84" s="2873">
        <f>I83-I73-I82</f>
        <v>-16197.22</v>
      </c>
      <c r="J84" s="2873">
        <f>J83-J73-J82</f>
        <v>-14063.664252873557</v>
      </c>
      <c r="K84" s="2874"/>
      <c r="L84" s="2874"/>
      <c r="M84" s="2873">
        <f>M83-M73-M82</f>
        <v>264546.03784029133</v>
      </c>
      <c r="N84" s="2873">
        <f>N83-N73-N82</f>
        <v>-73620.98</v>
      </c>
      <c r="O84" s="2873">
        <f>O83-O73-O82</f>
        <v>179924.2217483373</v>
      </c>
      <c r="P84" s="2874"/>
      <c r="Q84" s="2874"/>
      <c r="R84" s="2873">
        <f>R83-R73-R82</f>
        <v>-109362.31482758619</v>
      </c>
      <c r="S84" s="2873">
        <f>S83-S73-S82</f>
        <v>43882.5</v>
      </c>
      <c r="T84" s="2873">
        <f>T83-T73-T82</f>
        <v>-65479.81482758624</v>
      </c>
      <c r="U84" s="2874"/>
      <c r="V84" s="2874"/>
      <c r="W84" s="2873">
        <f>W83-W73-W82</f>
        <v>88974.175160576269</v>
      </c>
      <c r="X84" s="2873">
        <f>X83-X73-X82</f>
        <v>-9151.8100000000013</v>
      </c>
      <c r="Y84" s="2873">
        <f>Y83-Y73-Y82</f>
        <v>79822.365160576272</v>
      </c>
      <c r="Z84" s="2874"/>
      <c r="AA84" s="2874"/>
      <c r="AB84" s="2873">
        <f>AB83-AB73-AB82</f>
        <v>58166.161334372038</v>
      </c>
      <c r="AC84" s="2873">
        <f>AC83-AC73-AC82</f>
        <v>17671.5</v>
      </c>
      <c r="AD84" s="2873">
        <f>AD83-AD73-AD82</f>
        <v>75837.661334372038</v>
      </c>
      <c r="AE84" s="2874"/>
      <c r="AF84" s="2874"/>
      <c r="AG84" s="2873">
        <f>AG83-AG73-AG82</f>
        <v>-14218.441630317862</v>
      </c>
      <c r="AH84" s="2873">
        <f>AH83-AH73-AH82</f>
        <v>-366</v>
      </c>
      <c r="AI84" s="2873">
        <f>AI83-AI73-AI82</f>
        <v>-14584.441630317862</v>
      </c>
      <c r="AJ84" s="2874"/>
      <c r="AK84" s="2874"/>
      <c r="AL84" s="2873">
        <f>AL83-AL73-AL82</f>
        <v>692617.82303370791</v>
      </c>
      <c r="AM84" s="2873">
        <f>AM83-AM73-AM82</f>
        <v>132370</v>
      </c>
      <c r="AN84" s="2873">
        <f>AN83-AN73-AN82</f>
        <v>378065.54303370789</v>
      </c>
      <c r="AO84" s="2874"/>
      <c r="AP84" s="2874"/>
      <c r="AQ84" s="2873">
        <f>AQ83-AQ73-AQ82</f>
        <v>-756.83044158289113</v>
      </c>
      <c r="AR84" s="2873">
        <f>AR83-AR73-AR82</f>
        <v>-22246.65</v>
      </c>
      <c r="AS84" s="2873">
        <f>AS83-AS73-AS82</f>
        <v>-23003.480441582884</v>
      </c>
      <c r="AT84" s="2874"/>
      <c r="AU84" s="2874"/>
      <c r="AV84" s="2873">
        <v>420799.89311651664</v>
      </c>
      <c r="AW84" s="2873">
        <v>-280540.34999999998</v>
      </c>
      <c r="AX84" s="2873">
        <v>140259.54311651678</v>
      </c>
      <c r="AY84" s="2874"/>
      <c r="AZ84" s="2874"/>
      <c r="BA84" s="2873">
        <f>BA83-BA73-BA82</f>
        <v>81552.819402963243</v>
      </c>
      <c r="BB84" s="2873">
        <f>BB83-BB73-BB82</f>
        <v>-47793</v>
      </c>
      <c r="BC84" s="2873">
        <f>BC83-BC73-BC82</f>
        <v>33759.819402963221</v>
      </c>
      <c r="BD84" s="2874"/>
      <c r="BE84" s="2874"/>
      <c r="BF84" s="2873">
        <f>BF83-BF73-BF82</f>
        <v>34519.569479768783</v>
      </c>
      <c r="BG84" s="2873">
        <f>BG83-BG73-BG82</f>
        <v>-3900</v>
      </c>
      <c r="BH84" s="2873">
        <f>BH83-BH73-BH82</f>
        <v>30619.569479768783</v>
      </c>
      <c r="BI84" s="2874"/>
      <c r="BJ84" s="2874"/>
      <c r="BK84" s="2873">
        <f>BK83-BK73-BK82</f>
        <v>67492.650635838145</v>
      </c>
      <c r="BL84" s="2873">
        <f>BL83-BL73-BL82</f>
        <v>-36193</v>
      </c>
      <c r="BM84" s="2873">
        <f>BM83-BM73-BM82</f>
        <v>31299.650635838152</v>
      </c>
      <c r="BN84" s="2874"/>
      <c r="BO84" s="2874"/>
      <c r="BP84" s="2873">
        <f>BP83-BP73-BP82</f>
        <v>-20459.400712643677</v>
      </c>
      <c r="BQ84" s="2873">
        <f>BQ83-BQ73-BQ82</f>
        <v>-7700</v>
      </c>
      <c r="BR84" s="2873">
        <f>BR83-BR73-BR82</f>
        <v>-28159.400712643677</v>
      </c>
      <c r="BS84" s="2874"/>
      <c r="BT84" s="2874"/>
      <c r="BU84" s="2873">
        <f>BU83-BU73-BU82</f>
        <v>0</v>
      </c>
      <c r="BV84" s="2873">
        <f>BV83-BV73-BV82</f>
        <v>0</v>
      </c>
      <c r="BW84" s="2873">
        <f>BW83-BW73-BW82</f>
        <v>0</v>
      </c>
      <c r="BX84" s="2874"/>
      <c r="BY84" s="2874"/>
      <c r="BZ84" s="2873">
        <f>BZ83-BZ73-BZ82</f>
        <v>0</v>
      </c>
      <c r="CA84" s="2873">
        <f>CA83-CA73-CA82</f>
        <v>0</v>
      </c>
      <c r="CB84" s="2873">
        <f>CB83-CB73-CB82</f>
        <v>0</v>
      </c>
      <c r="CC84" s="2874"/>
      <c r="CD84" s="2874"/>
      <c r="CE84" s="2873">
        <f>CE83-CE73-CE82</f>
        <v>0</v>
      </c>
      <c r="CF84" s="2873">
        <f>CF83-CF73-CF82</f>
        <v>0</v>
      </c>
      <c r="CG84" s="2873">
        <f>CG83-CG73-CG82</f>
        <v>0</v>
      </c>
      <c r="CH84" s="2874"/>
      <c r="CI84" s="2874"/>
      <c r="CJ84" s="2873">
        <f>CJ83-CJ73-CJ82</f>
        <v>0</v>
      </c>
      <c r="CK84" s="2873">
        <f>CK83-CK73-CK82</f>
        <v>0</v>
      </c>
      <c r="CL84" s="2873">
        <f>CL83-CL73-CL82</f>
        <v>0</v>
      </c>
      <c r="CM84" s="2874"/>
      <c r="CN84" s="3342"/>
      <c r="CO84" s="2873">
        <f>CO83-CO73-CO82</f>
        <v>0</v>
      </c>
      <c r="CP84" s="2873">
        <f>CP83-CP73-CP82</f>
        <v>0</v>
      </c>
      <c r="CQ84" s="2873">
        <f>CQ83-CQ73-CQ82</f>
        <v>0</v>
      </c>
      <c r="CR84" s="2874"/>
      <c r="CS84" s="3343"/>
      <c r="CT84" s="2873">
        <f>CT83-CT73-CT82</f>
        <v>0</v>
      </c>
      <c r="CU84" s="2873">
        <f>CU83-CU73-CU82</f>
        <v>0</v>
      </c>
      <c r="CV84" s="2873">
        <f>CV83-CV73-CV82</f>
        <v>0</v>
      </c>
      <c r="CW84" s="2874"/>
      <c r="CX84" s="3343"/>
      <c r="CY84" s="2873">
        <f>CY83-CY73-CY82</f>
        <v>0</v>
      </c>
      <c r="CZ84" s="2873">
        <f>CZ83-CZ73-CZ82</f>
        <v>0</v>
      </c>
      <c r="DA84" s="2873">
        <f>DA83-DA73-DA82</f>
        <v>0</v>
      </c>
      <c r="DB84" s="2874"/>
      <c r="DC84" s="3343"/>
      <c r="DD84" s="2873">
        <f>DD83-DD73-DD82</f>
        <v>0</v>
      </c>
      <c r="DE84" s="2873">
        <f>DE83-DE73-DE82</f>
        <v>0</v>
      </c>
      <c r="DF84" s="2873">
        <f>DF83-DF73-DF82</f>
        <v>0</v>
      </c>
      <c r="DG84" s="2874"/>
      <c r="DH84" s="3343"/>
      <c r="DI84" s="2873">
        <f>DI83-DI73-DI82</f>
        <v>0</v>
      </c>
      <c r="DJ84" s="2873">
        <f>DJ83-DJ73-DJ82</f>
        <v>0</v>
      </c>
      <c r="DK84" s="2873">
        <f>DK83-DK73-DK82</f>
        <v>0</v>
      </c>
      <c r="DL84" s="2874"/>
      <c r="DM84" s="3343"/>
      <c r="DN84" s="2873">
        <f>DN83-DN73-DN82</f>
        <v>859401.0051486491</v>
      </c>
      <c r="DO84" s="2873">
        <f>DO83-DO73-DO82</f>
        <v>-254723.81</v>
      </c>
      <c r="DP84" s="2873">
        <f>DP83-DP73-DP82</f>
        <v>604677.19514864928</v>
      </c>
      <c r="DQ84" s="3345"/>
      <c r="DR84" s="3345"/>
    </row>
    <row r="85" spans="1:122" s="1411" customFormat="1" ht="13.8" x14ac:dyDescent="0.25">
      <c r="A85" s="1580"/>
      <c r="B85" s="1061" t="s">
        <v>44</v>
      </c>
      <c r="C85" s="3288"/>
      <c r="D85" s="3274"/>
      <c r="E85" s="2028">
        <v>0</v>
      </c>
      <c r="F85" s="3321"/>
      <c r="G85" s="2492"/>
      <c r="H85" s="3274"/>
      <c r="I85" s="3274"/>
      <c r="J85" s="2028">
        <f>H85+I85*1.15</f>
        <v>0</v>
      </c>
      <c r="K85" s="3321"/>
      <c r="L85" s="3321"/>
      <c r="M85" s="3274"/>
      <c r="N85" s="3274"/>
      <c r="O85" s="2028">
        <f>M85+N85*1.15</f>
        <v>0</v>
      </c>
      <c r="P85" s="3321"/>
      <c r="Q85" s="3321"/>
      <c r="R85" s="3274"/>
      <c r="S85" s="3274"/>
      <c r="T85" s="2028">
        <f>R85+S85*1.15</f>
        <v>0</v>
      </c>
      <c r="U85" s="3321"/>
      <c r="V85" s="3321"/>
      <c r="W85" s="3274"/>
      <c r="X85" s="3274"/>
      <c r="Y85" s="2028">
        <f>W85+X85*1.15</f>
        <v>0</v>
      </c>
      <c r="Z85" s="3321"/>
      <c r="AA85" s="3321"/>
      <c r="AB85" s="3274"/>
      <c r="AC85" s="3274"/>
      <c r="AD85" s="2028">
        <f>AB85+AC85*1.15</f>
        <v>0</v>
      </c>
      <c r="AE85" s="3321"/>
      <c r="AF85" s="3321"/>
      <c r="AG85" s="3274"/>
      <c r="AH85" s="3274"/>
      <c r="AI85" s="2028">
        <f>AG85+AH85*1.15</f>
        <v>0</v>
      </c>
      <c r="AJ85" s="3321"/>
      <c r="AK85" s="3321"/>
      <c r="AL85" s="3274"/>
      <c r="AM85" s="3274"/>
      <c r="AN85" s="2028">
        <f>AL85+AM85*1.15</f>
        <v>0</v>
      </c>
      <c r="AO85" s="3321"/>
      <c r="AP85" s="3321"/>
      <c r="AQ85" s="3274"/>
      <c r="AR85" s="3274"/>
      <c r="AS85" s="2028">
        <f>AQ85+AR85*1.15</f>
        <v>0</v>
      </c>
      <c r="AT85" s="3321"/>
      <c r="AU85" s="3321"/>
      <c r="AV85" s="3274">
        <v>0</v>
      </c>
      <c r="AW85" s="3274">
        <v>0</v>
      </c>
      <c r="AX85" s="2028">
        <v>0</v>
      </c>
      <c r="AY85" s="3321"/>
      <c r="AZ85" s="3321"/>
      <c r="BA85" s="3274">
        <f t="shared" ref="BA85:BB85" si="159">BF85+BK85+BP85+BU85+BZ85+CE85+CJ85+CO85+CT85+CY85+DD85+DI85</f>
        <v>0</v>
      </c>
      <c r="BB85" s="3274">
        <f t="shared" si="159"/>
        <v>0</v>
      </c>
      <c r="BC85" s="2028">
        <f>BA85+BB85*1.15</f>
        <v>0</v>
      </c>
      <c r="BD85" s="3321"/>
      <c r="BE85" s="3321"/>
      <c r="BF85" s="3274"/>
      <c r="BG85" s="3274"/>
      <c r="BH85" s="2028">
        <f>BF85+BG85*1.15</f>
        <v>0</v>
      </c>
      <c r="BI85" s="3321"/>
      <c r="BJ85" s="3321"/>
      <c r="BK85" s="3274"/>
      <c r="BL85" s="3274"/>
      <c r="BM85" s="2028">
        <v>0</v>
      </c>
      <c r="BN85" s="3321"/>
      <c r="BO85" s="3347"/>
      <c r="BP85" s="3274"/>
      <c r="BQ85" s="3274"/>
      <c r="BR85" s="2028"/>
      <c r="BS85" s="3321"/>
      <c r="BT85" s="3348"/>
      <c r="BU85" s="3274"/>
      <c r="BV85" s="3349">
        <f>(BW38/2*0.885+BR38)*0</f>
        <v>0</v>
      </c>
      <c r="BW85" s="1873"/>
      <c r="BX85" s="3350"/>
      <c r="BY85" s="3347"/>
      <c r="BZ85" s="3274"/>
      <c r="CA85" s="3406">
        <f>(CB38/2*0.885+BW38)*0</f>
        <v>0</v>
      </c>
      <c r="CB85" s="1873"/>
      <c r="CC85" s="3350"/>
      <c r="CD85" s="3347"/>
      <c r="CE85" s="3274"/>
      <c r="CF85" s="3406">
        <f>(CG38/2*0.885+CB38)*0</f>
        <v>0</v>
      </c>
      <c r="CG85" s="1873"/>
      <c r="CH85" s="3350"/>
      <c r="CI85" s="3347"/>
      <c r="CJ85" s="3274"/>
      <c r="CK85" s="3349"/>
      <c r="CL85" s="2049">
        <f>CJ85+CK85</f>
        <v>0</v>
      </c>
      <c r="CM85" s="3351"/>
      <c r="CN85" s="3321"/>
      <c r="CO85" s="3274"/>
      <c r="CP85" s="3274"/>
      <c r="CQ85" s="3332">
        <f>CO85+CP85</f>
        <v>0</v>
      </c>
      <c r="CR85" s="3321"/>
      <c r="CS85" s="3321"/>
      <c r="CT85" s="3274"/>
      <c r="CU85" s="3349"/>
      <c r="CV85" s="2049">
        <f>CT85+CU85</f>
        <v>0</v>
      </c>
      <c r="CW85" s="3351"/>
      <c r="CY85" s="3274"/>
      <c r="CZ85" s="3349"/>
      <c r="DA85" s="2049">
        <f>CY85+CZ85</f>
        <v>0</v>
      </c>
      <c r="DB85" s="3351"/>
      <c r="DD85" s="3274"/>
      <c r="DE85" s="3349"/>
      <c r="DF85" s="2049">
        <f>DD85+DE85</f>
        <v>0</v>
      </c>
      <c r="DG85" s="3351"/>
      <c r="DI85" s="3288"/>
      <c r="DJ85" s="3349"/>
      <c r="DK85" s="2049">
        <f>DI85+DJ85</f>
        <v>0</v>
      </c>
      <c r="DL85" s="3351"/>
      <c r="DN85" s="3274">
        <f>R85+W85+AB85+AG85+AL85+AQ85+BF85+BK85+BP85+BU85+BZ85+CE85+CJ85+CO85+CT85+CY85+DD85+DI85+AV85</f>
        <v>0</v>
      </c>
      <c r="DO85" s="3274">
        <f>S85+X85+AC85+AH85+AM85+AR85+BG85+BL85+BQ85+BV85+CA85+CF85+CK85+CP85+CU85+CZ85+DE85+DJ85+AW85</f>
        <v>0</v>
      </c>
      <c r="DP85" s="2028">
        <f>DN85+DO85*1.15</f>
        <v>0</v>
      </c>
      <c r="DQ85" s="3352"/>
      <c r="DR85" s="3352"/>
    </row>
    <row r="86" spans="1:122" s="1411" customFormat="1" ht="27.6" x14ac:dyDescent="0.25">
      <c r="A86" s="1420"/>
      <c r="B86" s="3353" t="s">
        <v>50</v>
      </c>
      <c r="C86" s="3354">
        <v>214261.64278695648</v>
      </c>
      <c r="D86" s="3354">
        <v>-102555.61999999998</v>
      </c>
      <c r="E86" s="3354">
        <v>104212.48981879084</v>
      </c>
      <c r="F86" s="3355"/>
      <c r="G86" s="3407"/>
      <c r="H86" s="3408">
        <f>H84-H85</f>
        <v>4553.8300000000054</v>
      </c>
      <c r="I86" s="3354">
        <f>I84-I85</f>
        <v>-16197.22</v>
      </c>
      <c r="J86" s="3354">
        <f>J84-J85</f>
        <v>-14063.664252873557</v>
      </c>
      <c r="K86" s="3355"/>
      <c r="L86" s="3355"/>
      <c r="M86" s="3354">
        <f>M84-M85</f>
        <v>264546.03784029133</v>
      </c>
      <c r="N86" s="3354">
        <f>N84-N85</f>
        <v>-73620.98</v>
      </c>
      <c r="O86" s="3354">
        <f>O84-O85</f>
        <v>179924.2217483373</v>
      </c>
      <c r="P86" s="3355"/>
      <c r="Q86" s="3355"/>
      <c r="R86" s="3354">
        <f>R84-R85</f>
        <v>-109362.31482758619</v>
      </c>
      <c r="S86" s="3354">
        <f>S84-S85</f>
        <v>43882.5</v>
      </c>
      <c r="T86" s="3354">
        <f>T84-T85</f>
        <v>-65479.81482758624</v>
      </c>
      <c r="U86" s="3355"/>
      <c r="V86" s="3355"/>
      <c r="W86" s="3354">
        <f>W84-W85</f>
        <v>88974.175160576269</v>
      </c>
      <c r="X86" s="3354">
        <f>X84-X85</f>
        <v>-9151.8100000000013</v>
      </c>
      <c r="Y86" s="3354">
        <f>Y84-Y85</f>
        <v>79822.365160576272</v>
      </c>
      <c r="Z86" s="3355"/>
      <c r="AA86" s="3355"/>
      <c r="AB86" s="3354">
        <f>AB84-AB85</f>
        <v>58166.161334372038</v>
      </c>
      <c r="AC86" s="3354">
        <f>AC84-AC85</f>
        <v>17671.5</v>
      </c>
      <c r="AD86" s="3354">
        <f>AD84-AD85</f>
        <v>75837.661334372038</v>
      </c>
      <c r="AE86" s="3355"/>
      <c r="AF86" s="3355"/>
      <c r="AG86" s="3354">
        <f>AG84-AG85</f>
        <v>-14218.441630317862</v>
      </c>
      <c r="AH86" s="3354">
        <f>AH84-AH85</f>
        <v>-366</v>
      </c>
      <c r="AI86" s="3354">
        <f>AI84-AI85</f>
        <v>-14584.441630317862</v>
      </c>
      <c r="AJ86" s="3355"/>
      <c r="AK86" s="3355"/>
      <c r="AL86" s="3354">
        <f>AL84-AL85</f>
        <v>692617.82303370791</v>
      </c>
      <c r="AM86" s="3354">
        <f>AM84-AM85</f>
        <v>132370</v>
      </c>
      <c r="AN86" s="3354">
        <f>AN84-AN85</f>
        <v>378065.54303370789</v>
      </c>
      <c r="AO86" s="3355"/>
      <c r="AP86" s="3355"/>
      <c r="AQ86" s="3354">
        <f>AQ84-AQ85</f>
        <v>-756.83044158289113</v>
      </c>
      <c r="AR86" s="3354">
        <f>AR84-AR85</f>
        <v>-22246.65</v>
      </c>
      <c r="AS86" s="3354">
        <f>AS84-AS85</f>
        <v>-23003.480441582884</v>
      </c>
      <c r="AT86" s="3355"/>
      <c r="AU86" s="3355"/>
      <c r="AV86" s="3354">
        <v>420799.89311651664</v>
      </c>
      <c r="AW86" s="3354">
        <v>-280540.34999999998</v>
      </c>
      <c r="AX86" s="3354">
        <v>140259.54311651678</v>
      </c>
      <c r="AY86" s="3355"/>
      <c r="AZ86" s="3355"/>
      <c r="BA86" s="3354">
        <f>BA84-BA85</f>
        <v>81552.819402963243</v>
      </c>
      <c r="BB86" s="3354">
        <f>BB84-BB85</f>
        <v>-47793</v>
      </c>
      <c r="BC86" s="3354">
        <f>BC84-BC85</f>
        <v>33759.819402963221</v>
      </c>
      <c r="BD86" s="3355"/>
      <c r="BE86" s="3355"/>
      <c r="BF86" s="3354">
        <f>BF84-BF85</f>
        <v>34519.569479768783</v>
      </c>
      <c r="BG86" s="3354">
        <f>BG84-BG85</f>
        <v>-3900</v>
      </c>
      <c r="BH86" s="3354">
        <f>BH84-BH85</f>
        <v>30619.569479768783</v>
      </c>
      <c r="BI86" s="3355"/>
      <c r="BJ86" s="3355"/>
      <c r="BK86" s="3354">
        <f>BK84-BK85</f>
        <v>67492.650635838145</v>
      </c>
      <c r="BL86" s="3354">
        <f>BL84-BL85</f>
        <v>-36193</v>
      </c>
      <c r="BM86" s="3354">
        <f>BM84-BM85</f>
        <v>31299.650635838152</v>
      </c>
      <c r="BN86" s="3355"/>
      <c r="BO86" s="3355"/>
      <c r="BP86" s="3354">
        <f>BP84-BP85</f>
        <v>-20459.400712643677</v>
      </c>
      <c r="BQ86" s="3354">
        <f>BQ84-BQ85</f>
        <v>-7700</v>
      </c>
      <c r="BR86" s="3354">
        <f>BR84</f>
        <v>-28159.400712643677</v>
      </c>
      <c r="BS86" s="3355"/>
      <c r="BT86" s="3355"/>
      <c r="BU86" s="3354">
        <f>BU84-BU85</f>
        <v>0</v>
      </c>
      <c r="BV86" s="3354">
        <f>BV84-BV85</f>
        <v>0</v>
      </c>
      <c r="BW86" s="3354">
        <f>BW84</f>
        <v>0</v>
      </c>
      <c r="BX86" s="3355"/>
      <c r="BY86" s="3355"/>
      <c r="BZ86" s="3354">
        <f>BZ84-BZ85</f>
        <v>0</v>
      </c>
      <c r="CA86" s="3354">
        <f>CA84-CA85</f>
        <v>0</v>
      </c>
      <c r="CB86" s="3354">
        <f>CB84</f>
        <v>0</v>
      </c>
      <c r="CC86" s="3355"/>
      <c r="CD86" s="3355"/>
      <c r="CE86" s="3354">
        <f>CE84-CE85</f>
        <v>0</v>
      </c>
      <c r="CF86" s="3354">
        <f>CF84-CF85</f>
        <v>0</v>
      </c>
      <c r="CG86" s="3354">
        <f>CG84</f>
        <v>0</v>
      </c>
      <c r="CH86" s="3355"/>
      <c r="CI86" s="3355"/>
      <c r="CJ86" s="3354">
        <f>CJ84-CJ85</f>
        <v>0</v>
      </c>
      <c r="CK86" s="3354">
        <f>CK84-CK85</f>
        <v>0</v>
      </c>
      <c r="CL86" s="3354">
        <f>CL84-CL85</f>
        <v>0</v>
      </c>
      <c r="CM86" s="3355"/>
      <c r="CN86" s="3355"/>
      <c r="CO86" s="3354">
        <f>CO84-CO85</f>
        <v>0</v>
      </c>
      <c r="CP86" s="3354">
        <f>CP84-CP85</f>
        <v>0</v>
      </c>
      <c r="CQ86" s="3354">
        <f>CQ84-CQ85</f>
        <v>0</v>
      </c>
      <c r="CR86" s="3355"/>
      <c r="CS86" s="3355"/>
      <c r="CT86" s="3354">
        <f>CT84-CT85</f>
        <v>0</v>
      </c>
      <c r="CU86" s="3354">
        <f>CU84-CU85</f>
        <v>0</v>
      </c>
      <c r="CV86" s="3354">
        <f>CV84-CV85</f>
        <v>0</v>
      </c>
      <c r="CW86" s="3355"/>
      <c r="CX86" s="3355"/>
      <c r="CY86" s="3354">
        <f>CY84-CY85</f>
        <v>0</v>
      </c>
      <c r="CZ86" s="3354">
        <f>CZ84-CZ85</f>
        <v>0</v>
      </c>
      <c r="DA86" s="3354">
        <f>DA84-DA85</f>
        <v>0</v>
      </c>
      <c r="DB86" s="3355"/>
      <c r="DC86" s="3355"/>
      <c r="DD86" s="3354">
        <f>DD84-DD85</f>
        <v>0</v>
      </c>
      <c r="DE86" s="3354">
        <f>DE84-DE85</f>
        <v>0</v>
      </c>
      <c r="DF86" s="3354">
        <f>DF84-DF85</f>
        <v>0</v>
      </c>
      <c r="DG86" s="3355"/>
      <c r="DH86" s="3355"/>
      <c r="DI86" s="3354">
        <f>DI84-DI85</f>
        <v>0</v>
      </c>
      <c r="DJ86" s="3354">
        <f>DJ84-DJ85</f>
        <v>0</v>
      </c>
      <c r="DK86" s="3354">
        <f>DK84-DK85</f>
        <v>0</v>
      </c>
      <c r="DL86" s="3355"/>
      <c r="DM86" s="3355"/>
      <c r="DN86" s="3354">
        <f>DN84-DN85</f>
        <v>859401.0051486491</v>
      </c>
      <c r="DO86" s="3354">
        <f>DO84-DO85</f>
        <v>-254723.81</v>
      </c>
      <c r="DP86" s="3354">
        <f>DP84-DP85</f>
        <v>604677.19514864928</v>
      </c>
      <c r="DQ86" s="3355"/>
      <c r="DR86" s="3355"/>
    </row>
    <row r="87" spans="1:122" s="1411" customFormat="1" ht="14.4" thickBot="1" x14ac:dyDescent="0.3">
      <c r="A87" s="1582"/>
      <c r="B87" s="3356" t="s">
        <v>51</v>
      </c>
      <c r="C87" s="2877">
        <v>0.31313324145028143</v>
      </c>
      <c r="D87" s="2878">
        <v>-2.2679261388766028</v>
      </c>
      <c r="E87" s="2879">
        <v>0.14286041699849861</v>
      </c>
      <c r="F87" s="2881"/>
      <c r="G87" s="3409"/>
      <c r="H87" s="3410">
        <f>H86/H5</f>
        <v>4.2806395818841582E-2</v>
      </c>
      <c r="I87" s="2878" t="e">
        <f>I86/I5</f>
        <v>#DIV/0!</v>
      </c>
      <c r="J87" s="2879">
        <f>J86/J5</f>
        <v>-0.13219966021388541</v>
      </c>
      <c r="K87" s="2881"/>
      <c r="L87" s="2881"/>
      <c r="M87" s="2877">
        <f>M86/M5</f>
        <v>0.60990159778004793</v>
      </c>
      <c r="N87" s="2878" t="e">
        <f>N86/N5</f>
        <v>#DIV/0!</v>
      </c>
      <c r="O87" s="2879">
        <f>O86/O5</f>
        <v>0.4148089732112758</v>
      </c>
      <c r="P87" s="2881"/>
      <c r="Q87" s="2881"/>
      <c r="R87" s="2877">
        <f>R86/R5</f>
        <v>-0.58171444057226696</v>
      </c>
      <c r="S87" s="2878">
        <f>S86/S5</f>
        <v>0.60190519298823142</v>
      </c>
      <c r="T87" s="2879">
        <f>T86/T5</f>
        <v>-0.25097090456940907</v>
      </c>
      <c r="U87" s="2881"/>
      <c r="V87" s="2881"/>
      <c r="W87" s="2877">
        <f>W86/W5</f>
        <v>0.39058022458549724</v>
      </c>
      <c r="X87" s="2878">
        <f>X86/X5</f>
        <v>-0.79580956521739143</v>
      </c>
      <c r="Y87" s="2879">
        <f>Y86/Y5</f>
        <v>0.33356608926275083</v>
      </c>
      <c r="Z87" s="2881"/>
      <c r="AA87" s="2881"/>
      <c r="AB87" s="2877">
        <f>AB86/AB5</f>
        <v>0.34327660663329501</v>
      </c>
      <c r="AC87" s="2878">
        <f>AC86/AC5</f>
        <v>0.47504032258064516</v>
      </c>
      <c r="AD87" s="2879">
        <f>AD86/AD5</f>
        <v>0.36699667705992933</v>
      </c>
      <c r="AE87" s="2881"/>
      <c r="AF87" s="2881"/>
      <c r="AG87" s="2877">
        <f>AG86/AG5</f>
        <v>-0.49029109070061594</v>
      </c>
      <c r="AH87" s="2878" t="e">
        <f>AH86/AH5</f>
        <v>#DIV/0!</v>
      </c>
      <c r="AI87" s="2879">
        <f>AI86/AI5</f>
        <v>-0.50291178035578832</v>
      </c>
      <c r="AJ87" s="2881"/>
      <c r="AK87" s="2881"/>
      <c r="AL87" s="2877">
        <f>AL86/AL5</f>
        <v>1.9326768884962526</v>
      </c>
      <c r="AM87" s="2878">
        <f>AM86/AM5</f>
        <v>1.4948616600790514</v>
      </c>
      <c r="AN87" s="2879">
        <f>AN86/AN5</f>
        <v>0.84593129488578611</v>
      </c>
      <c r="AO87" s="2881"/>
      <c r="AP87" s="2881"/>
      <c r="AQ87" s="2877">
        <f>AQ86/AQ5</f>
        <v>-5.8890798269147912E-3</v>
      </c>
      <c r="AR87" s="2878" t="e">
        <f>AR86/AR5</f>
        <v>#DIV/0!</v>
      </c>
      <c r="AS87" s="2879">
        <f>AS86/AS5</f>
        <v>-0.17899561800662264</v>
      </c>
      <c r="AT87" s="2881"/>
      <c r="AU87" s="2881"/>
      <c r="AV87" s="2877">
        <v>0.27848882548182713</v>
      </c>
      <c r="AW87" s="2878">
        <v>-21.580026923076922</v>
      </c>
      <c r="AX87" s="2879">
        <v>9.2033110161948942E-2</v>
      </c>
      <c r="AY87" s="2881"/>
      <c r="AZ87" s="2881"/>
      <c r="BA87" s="2877">
        <f>BA86/BA5</f>
        <v>0.26507449588169812</v>
      </c>
      <c r="BB87" s="2878">
        <f>BB86/BB5</f>
        <v>-7.3527692307692307</v>
      </c>
      <c r="BC87" s="2879">
        <f>BC86/BC5</f>
        <v>0.10746059142781773</v>
      </c>
      <c r="BD87" s="2881"/>
      <c r="BE87" s="2881"/>
      <c r="BF87" s="2877">
        <f>BF86/BF5</f>
        <v>0.53238077544368878</v>
      </c>
      <c r="BG87" s="2878" t="e">
        <f>BG86/BG5</f>
        <v>#DIV/0!</v>
      </c>
      <c r="BH87" s="2879">
        <f>BH86/BH5</f>
        <v>0.47223271868859934</v>
      </c>
      <c r="BI87" s="2881"/>
      <c r="BJ87" s="2881"/>
      <c r="BK87" s="2877">
        <f>BK86/BK5</f>
        <v>0.39239913160371015</v>
      </c>
      <c r="BL87" s="2878">
        <f>BL86/BL5</f>
        <v>-5.5681538461538462</v>
      </c>
      <c r="BM87" s="2879">
        <f>BM86/BM5</f>
        <v>0.17534818283382719</v>
      </c>
      <c r="BN87" s="2881"/>
      <c r="BO87" s="2881"/>
      <c r="BP87" s="2877">
        <f>BP86/BP5</f>
        <v>-0.28889297815085679</v>
      </c>
      <c r="BQ87" s="2878" t="e">
        <f>BQ86/BQ5</f>
        <v>#DIV/0!</v>
      </c>
      <c r="BR87" s="2879">
        <f>BR86/BR5</f>
        <v>-0.39761932663998417</v>
      </c>
      <c r="BS87" s="2881"/>
      <c r="BT87" s="2881"/>
      <c r="BU87" s="2877" t="e">
        <f>BU86/BU5</f>
        <v>#DIV/0!</v>
      </c>
      <c r="BV87" s="2878" t="e">
        <f>BV86/BV5</f>
        <v>#DIV/0!</v>
      </c>
      <c r="BW87" s="2879" t="e">
        <f>BW86/BW5</f>
        <v>#DIV/0!</v>
      </c>
      <c r="BX87" s="2881"/>
      <c r="BY87" s="2881"/>
      <c r="BZ87" s="2877" t="e">
        <f>BZ86/BZ5</f>
        <v>#DIV/0!</v>
      </c>
      <c r="CA87" s="2878" t="e">
        <f>CA86/CA5</f>
        <v>#DIV/0!</v>
      </c>
      <c r="CB87" s="2879" t="e">
        <f>CB86/CB5</f>
        <v>#DIV/0!</v>
      </c>
      <c r="CC87" s="2881"/>
      <c r="CD87" s="2881"/>
      <c r="CE87" s="2877" t="e">
        <f>CE86/CE5</f>
        <v>#DIV/0!</v>
      </c>
      <c r="CF87" s="2878" t="e">
        <f>CF86/CF5</f>
        <v>#DIV/0!</v>
      </c>
      <c r="CG87" s="2879" t="e">
        <f>CG86/CG5</f>
        <v>#DIV/0!</v>
      </c>
      <c r="CH87" s="2881"/>
      <c r="CI87" s="2881"/>
      <c r="CJ87" s="2877" t="e">
        <f>CJ86/CJ5</f>
        <v>#DIV/0!</v>
      </c>
      <c r="CK87" s="2878" t="e">
        <f>CK86/CK5</f>
        <v>#DIV/0!</v>
      </c>
      <c r="CL87" s="2879" t="e">
        <f>CL86/CL5</f>
        <v>#DIV/0!</v>
      </c>
      <c r="CM87" s="2881"/>
      <c r="CN87" s="2881"/>
      <c r="CO87" s="2877" t="e">
        <f>CO86/CO5</f>
        <v>#DIV/0!</v>
      </c>
      <c r="CP87" s="2878" t="e">
        <f>CP86/CP5</f>
        <v>#DIV/0!</v>
      </c>
      <c r="CQ87" s="2879" t="e">
        <f>CQ86/CQ5</f>
        <v>#DIV/0!</v>
      </c>
      <c r="CR87" s="2881"/>
      <c r="CS87" s="3139"/>
      <c r="CT87" s="2877" t="e">
        <f>CT86/CT5</f>
        <v>#DIV/0!</v>
      </c>
      <c r="CU87" s="2878" t="e">
        <f>CU86/CU5</f>
        <v>#DIV/0!</v>
      </c>
      <c r="CV87" s="2879" t="e">
        <f>CV86/CV5</f>
        <v>#DIV/0!</v>
      </c>
      <c r="CW87" s="2881"/>
      <c r="CX87" s="3139"/>
      <c r="CY87" s="2877" t="e">
        <f>CY86/CY5</f>
        <v>#DIV/0!</v>
      </c>
      <c r="CZ87" s="2878" t="e">
        <f>CZ86/CZ5</f>
        <v>#DIV/0!</v>
      </c>
      <c r="DA87" s="2879" t="e">
        <f>DA86/DA5</f>
        <v>#DIV/0!</v>
      </c>
      <c r="DB87" s="2881"/>
      <c r="DC87" s="3139"/>
      <c r="DD87" s="2877" t="e">
        <f>DD86/DD5</f>
        <v>#DIV/0!</v>
      </c>
      <c r="DE87" s="2878" t="e">
        <f>DE86/DE5</f>
        <v>#DIV/0!</v>
      </c>
      <c r="DF87" s="2879" t="e">
        <f>DF86/DF5</f>
        <v>#DIV/0!</v>
      </c>
      <c r="DG87" s="2881"/>
      <c r="DH87" s="3139"/>
      <c r="DI87" s="2877" t="e">
        <f>DI86/DI5</f>
        <v>#DIV/0!</v>
      </c>
      <c r="DJ87" s="2878" t="e">
        <f>DJ86/DJ5</f>
        <v>#DIV/0!</v>
      </c>
      <c r="DK87" s="2879" t="e">
        <f>DK86/DK5</f>
        <v>#DIV/0!</v>
      </c>
      <c r="DL87" s="2881"/>
      <c r="DM87" s="3139"/>
      <c r="DN87" s="2877">
        <f>DN86/DN5</f>
        <v>0.29433534486977525</v>
      </c>
      <c r="DO87" s="2878">
        <f>DO86/DO5</f>
        <v>-1.1091537342808375</v>
      </c>
      <c r="DP87" s="2879">
        <f>DP86/DP5</f>
        <v>0.19199403364966308</v>
      </c>
      <c r="DQ87" s="2881"/>
      <c r="DR87" s="2881"/>
    </row>
    <row r="88" spans="1:122" ht="13.8" x14ac:dyDescent="0.25">
      <c r="A88" s="1438"/>
      <c r="B88" s="1438"/>
      <c r="C88" s="1970"/>
      <c r="D88" s="1970"/>
      <c r="E88" s="1970"/>
      <c r="F88" s="1970"/>
      <c r="G88" s="1438"/>
      <c r="H88" s="1970"/>
      <c r="I88" s="1970"/>
      <c r="J88" s="1970"/>
      <c r="K88" s="1970"/>
      <c r="L88" s="1970"/>
      <c r="M88" s="1970"/>
      <c r="N88" s="1970"/>
      <c r="O88" s="1970"/>
      <c r="P88" s="1970"/>
      <c r="Q88" s="1970"/>
      <c r="R88" s="1970"/>
      <c r="S88" s="1970"/>
      <c r="T88" s="1970"/>
      <c r="U88" s="1970"/>
      <c r="V88" s="1970"/>
      <c r="W88" s="1970"/>
      <c r="X88" s="1970"/>
      <c r="Y88" s="1970"/>
      <c r="Z88" s="1970"/>
      <c r="AA88" s="1970"/>
      <c r="AB88" s="1970"/>
      <c r="AC88" s="1970"/>
      <c r="AD88" s="1970"/>
      <c r="AE88" s="1970"/>
      <c r="AF88" s="1970"/>
      <c r="AG88" s="1970"/>
      <c r="AH88" s="1970"/>
      <c r="AI88" s="1970"/>
      <c r="AJ88" s="1970"/>
      <c r="AK88" s="1970"/>
      <c r="AL88" s="1970"/>
      <c r="AM88" s="1970"/>
      <c r="AN88" s="1970"/>
      <c r="AO88" s="1970"/>
      <c r="AP88" s="1970"/>
      <c r="AQ88" s="1970"/>
      <c r="AR88" s="1970"/>
      <c r="AS88" s="1970"/>
      <c r="AT88" s="1970"/>
      <c r="AU88" s="1970"/>
      <c r="AV88" s="1970"/>
      <c r="AW88" s="1970"/>
      <c r="AX88" s="1970"/>
      <c r="AY88" s="1970"/>
      <c r="AZ88" s="1970"/>
      <c r="BA88" s="1970"/>
      <c r="BB88" s="1970"/>
      <c r="BC88" s="1970"/>
      <c r="BD88" s="1970"/>
      <c r="BE88" s="1970"/>
      <c r="BF88" s="1970"/>
      <c r="BG88" s="1970"/>
      <c r="BH88" s="1970"/>
      <c r="BI88" s="1970"/>
      <c r="BJ88" s="1970"/>
      <c r="BK88" s="1970"/>
      <c r="BL88" s="1970"/>
      <c r="BM88" s="1970"/>
      <c r="BN88" s="1970"/>
      <c r="BO88" s="1970"/>
      <c r="BP88" s="1970"/>
      <c r="BQ88" s="1970"/>
      <c r="BR88" s="1970"/>
      <c r="BS88" s="1970"/>
      <c r="BT88" s="1970"/>
      <c r="BU88" s="1970"/>
      <c r="BV88" s="1970"/>
      <c r="BW88" s="1970"/>
      <c r="BX88" s="1970"/>
      <c r="BY88" s="1970"/>
      <c r="BZ88" s="1970"/>
      <c r="CA88" s="1970"/>
      <c r="CB88" s="1970"/>
      <c r="CC88" s="1970"/>
      <c r="CD88" s="1970"/>
      <c r="CE88" s="1970"/>
      <c r="CF88" s="1970"/>
      <c r="CG88" s="1970"/>
      <c r="CH88" s="1970"/>
      <c r="CI88" s="1970"/>
      <c r="CJ88" s="1970"/>
      <c r="CK88" s="1970"/>
      <c r="CL88" s="1970"/>
      <c r="CM88" s="1970"/>
      <c r="CN88" s="1970"/>
      <c r="CO88" s="1970"/>
      <c r="CP88" s="1970"/>
      <c r="CQ88" s="1970"/>
      <c r="CR88" s="1970"/>
      <c r="CS88" s="1970"/>
      <c r="CT88" s="1970"/>
      <c r="CU88" s="1970"/>
      <c r="CV88" s="1970"/>
      <c r="CW88" s="1970"/>
      <c r="CX88" s="1970"/>
      <c r="CY88" s="1970"/>
      <c r="CZ88" s="1970"/>
      <c r="DA88" s="1970"/>
      <c r="DB88" s="1970"/>
      <c r="DC88" s="1970"/>
      <c r="DD88" s="1970"/>
      <c r="DE88" s="1970"/>
      <c r="DF88" s="1970"/>
      <c r="DG88" s="1970"/>
      <c r="DH88" s="1970"/>
      <c r="DI88" s="1970"/>
      <c r="DJ88" s="1970"/>
      <c r="DK88" s="1970"/>
      <c r="DL88" s="1970"/>
      <c r="DM88" s="1970"/>
      <c r="DN88" s="1970"/>
      <c r="DO88" s="1970"/>
      <c r="DP88" s="1970"/>
      <c r="DQ88" s="1970"/>
      <c r="DR88" s="1970"/>
    </row>
    <row r="89" spans="1:122" x14ac:dyDescent="0.25">
      <c r="B89" s="1577" t="s">
        <v>56</v>
      </c>
      <c r="C89" s="1968"/>
      <c r="D89" s="1968"/>
      <c r="E89" s="1976">
        <v>625258.22018120915</v>
      </c>
      <c r="F89" s="1968"/>
      <c r="G89" s="1577"/>
      <c r="J89" s="1976">
        <f>J8+J36+J41+J50+J54+J73+J79+J82+J85</f>
        <v>120445.66425287355</v>
      </c>
      <c r="O89" s="1976">
        <f>O8+O36+O41+O50+O54+O73+O79+O82+O85</f>
        <v>687579.77825166273</v>
      </c>
      <c r="T89" s="1976">
        <f>T8+T36+T41+T50+T54+T73+T79+T82+T85</f>
        <v>326385.81482758629</v>
      </c>
      <c r="Y89" s="1976">
        <f>Y8+Y36+Y41+Y50+Y54+Y73+Y79+Y82+Y85</f>
        <v>159477.63483942373</v>
      </c>
      <c r="AD89" s="1976">
        <f>AD8+AD36+AD41+AD50+AD54+AD73+AD79+AD82+AD85</f>
        <v>130806.33866562796</v>
      </c>
      <c r="AI89" s="1976">
        <f>AI8+AI36+AI41+AI50+AI54+AI73+AI79+AI82+AI85</f>
        <v>43584.441630317866</v>
      </c>
      <c r="AN89" s="1976">
        <f>AN8+AN36+AN41+AN50+AN54+AN73+AN79+AN82+AN85</f>
        <v>68856.736966292126</v>
      </c>
      <c r="AS89" s="1976">
        <f>AS8+AS36+AS41+AS50+AS54+AS73+AS79+AS82+AS85</f>
        <v>151517.6904415829</v>
      </c>
      <c r="AX89" s="1976">
        <f>AX8+AX36+AX41+AX50+AX54+AX73+AX79+AX82+AX85</f>
        <v>1383752.2268834829</v>
      </c>
      <c r="BC89" s="1976">
        <f>BC8+BC36+BC41+BC50+BC54+BC73+BC79+BC82+BC85</f>
        <v>280400.18059703679</v>
      </c>
      <c r="BH89" s="1976">
        <f>BH8+BH36+BH41+BH50+BH54+BH73+BH79+BH82+BH85</f>
        <v>34220.430520231217</v>
      </c>
      <c r="BM89" s="1976">
        <f>BM8+BM36+BM41+BM50+BM54+BM73+BM79+BM82+BM85</f>
        <v>147200.34936416184</v>
      </c>
      <c r="BR89" s="1976">
        <f>BR8+BR36+BR41+BR50+BR54+BR73+BR79+BR82+BR85</f>
        <v>98979.400712643677</v>
      </c>
      <c r="BW89" s="1976">
        <f>BW8+BW36+BW41+BW50+BW54+BW73+BW79+BW82+BW85</f>
        <v>0</v>
      </c>
      <c r="CB89" s="1976">
        <f>CB8+CB36+CB41+CB50+CB54+CB73+CB79+CB82+CB85</f>
        <v>0</v>
      </c>
      <c r="CG89" s="1976">
        <f>CG8+CG36+CG41+CG50+CG54+CG73+CG79+CG82+CG85</f>
        <v>0</v>
      </c>
      <c r="CL89" s="1976">
        <f>CL8+CL36+CL41+CL50+CL54+CL73+CL79+CL82+CL85</f>
        <v>0</v>
      </c>
      <c r="CQ89" s="1976">
        <f>CQ8+CQ36+CQ41+CQ50+CQ54+CQ73+CQ79+CQ82+CQ85</f>
        <v>0</v>
      </c>
      <c r="CV89" s="1976">
        <f>CV8+CV36+CV41+CV50+CV54+CV73+CV79+CV82+CV85</f>
        <v>0</v>
      </c>
      <c r="DA89" s="1976">
        <f>DA8+DA36+DA41+DA50+DA54+DA73+DA79+DA82+DA85</f>
        <v>0</v>
      </c>
      <c r="DF89" s="1976">
        <f>DF8+DF36+DF41+DF50+DF54+DF73+DF79+DF82+DF85</f>
        <v>0</v>
      </c>
      <c r="DK89" s="1976">
        <f>DK8+DK36+DK41+DK50+DK54+DK73+DK79+DK82+DK85</f>
        <v>0</v>
      </c>
      <c r="DP89" s="1976">
        <f>DP8+DP36+DP41+DP50+DP54+DP73+DP79+DP82+DP85</f>
        <v>2544781.0648513506</v>
      </c>
    </row>
    <row r="90" spans="1:122" x14ac:dyDescent="0.25">
      <c r="C90" s="1968"/>
      <c r="D90" s="1968"/>
      <c r="E90" s="1968" t="b">
        <v>1</v>
      </c>
      <c r="F90" s="1968"/>
      <c r="DP90" s="1607" t="b">
        <f>(T89+Y89+AD89+AI89+AN89+AS89+BH89+BM89+BR89+BW89+CB89+CG89+CL89+CQ89+CV89+DA89+DF89+DK89+AX89)=DP89</f>
        <v>1</v>
      </c>
    </row>
    <row r="91" spans="1:122" s="1411" customFormat="1" x14ac:dyDescent="0.25">
      <c r="A91" s="1417"/>
      <c r="B91" s="1417"/>
      <c r="C91" s="1968"/>
      <c r="D91" s="1968"/>
      <c r="E91" s="1968"/>
      <c r="F91" s="1968"/>
      <c r="G91" s="1417"/>
      <c r="H91" s="1968"/>
      <c r="I91" s="1968"/>
      <c r="J91" s="1968"/>
      <c r="K91" s="1968"/>
      <c r="L91" s="1968"/>
      <c r="M91" s="1968"/>
      <c r="N91" s="1968"/>
      <c r="O91" s="1968"/>
      <c r="P91" s="1968"/>
      <c r="Q91" s="1968"/>
      <c r="R91" s="1968"/>
      <c r="S91" s="1968"/>
      <c r="T91" s="1968"/>
      <c r="U91" s="1968"/>
      <c r="V91" s="1968"/>
      <c r="W91" s="1968"/>
      <c r="X91" s="1968"/>
      <c r="Y91" s="1968"/>
      <c r="Z91" s="1968"/>
      <c r="AA91" s="1968"/>
      <c r="AB91" s="1968"/>
      <c r="AC91" s="1968"/>
      <c r="AD91" s="1968"/>
      <c r="AE91" s="1968"/>
      <c r="AF91" s="1968"/>
      <c r="AG91" s="1968"/>
      <c r="AH91" s="1968"/>
      <c r="AI91" s="1968"/>
      <c r="AJ91" s="1968"/>
      <c r="AK91" s="1968"/>
      <c r="AL91" s="1968"/>
      <c r="AM91" s="1968"/>
      <c r="AN91" s="1968"/>
      <c r="AO91" s="1968"/>
      <c r="AP91" s="1968"/>
      <c r="AQ91" s="1968"/>
      <c r="AR91" s="1968"/>
      <c r="AS91" s="1968"/>
      <c r="AT91" s="1968"/>
      <c r="AU91" s="1968"/>
      <c r="AV91" s="1968"/>
      <c r="AW91" s="1968"/>
      <c r="AX91" s="1968">
        <f>AX5-AX89</f>
        <v>140259.5431165169</v>
      </c>
      <c r="AY91" s="1968"/>
      <c r="AZ91" s="1968"/>
      <c r="BA91" s="1968"/>
      <c r="BB91" s="1968"/>
      <c r="BC91" s="1185">
        <f>BC5-BC89</f>
        <v>33759.819402963214</v>
      </c>
      <c r="BD91" s="1968"/>
      <c r="BE91" s="1968"/>
      <c r="BF91" s="1968"/>
      <c r="BG91" s="1968"/>
      <c r="BH91" s="1968"/>
      <c r="BI91" s="1968"/>
      <c r="BJ91" s="1968"/>
      <c r="BK91" s="1968"/>
      <c r="BL91" s="1968"/>
      <c r="BM91" s="1185">
        <f>BM5-BM89</f>
        <v>31299.650635838159</v>
      </c>
      <c r="BN91" s="1968"/>
      <c r="BO91" s="1968"/>
      <c r="BP91" s="1968"/>
      <c r="BQ91" s="1968"/>
      <c r="BR91" s="1185">
        <f>BR5-BR89</f>
        <v>-28159.400712643677</v>
      </c>
      <c r="BS91" s="1968"/>
      <c r="BT91" s="1968"/>
      <c r="BU91" s="1968"/>
      <c r="BV91" s="1968"/>
      <c r="BW91" s="1185">
        <f>BW5-BW89</f>
        <v>0</v>
      </c>
      <c r="BX91" s="1968"/>
      <c r="BY91" s="1968"/>
      <c r="BZ91" s="1968"/>
      <c r="CA91" s="1968"/>
      <c r="CB91" s="1185">
        <f>CB5-CB89</f>
        <v>0</v>
      </c>
      <c r="CC91" s="1968"/>
      <c r="CD91" s="1968"/>
      <c r="CE91" s="1968"/>
      <c r="CF91" s="1968"/>
      <c r="CG91" s="1185">
        <f>CG5-CG89</f>
        <v>0</v>
      </c>
      <c r="CH91" s="1968"/>
      <c r="CI91" s="1968"/>
      <c r="CJ91" s="1968"/>
      <c r="CK91" s="1968"/>
      <c r="CL91" s="1185">
        <f>CL5-CL89</f>
        <v>0</v>
      </c>
      <c r="CM91" s="1968"/>
      <c r="CN91" s="1968"/>
      <c r="CO91" s="1968"/>
      <c r="CP91" s="1968"/>
      <c r="CQ91" s="1185">
        <f>CQ5-CQ89</f>
        <v>0</v>
      </c>
      <c r="CR91" s="1968"/>
      <c r="CS91" s="1968"/>
      <c r="CT91" s="1968"/>
      <c r="CU91" s="1968"/>
      <c r="CV91" s="1185">
        <f>CV5-CV89</f>
        <v>0</v>
      </c>
      <c r="CW91" s="1968"/>
      <c r="CX91" s="1968"/>
      <c r="CY91" s="1968"/>
      <c r="CZ91" s="1968"/>
      <c r="DA91" s="1185">
        <f>DA5-DA89</f>
        <v>0</v>
      </c>
      <c r="DB91" s="1968"/>
      <c r="DC91" s="1968"/>
      <c r="DD91" s="1968"/>
      <c r="DE91" s="1968"/>
      <c r="DF91" s="1185">
        <f>DF5-DF89</f>
        <v>0</v>
      </c>
      <c r="DG91" s="1968"/>
      <c r="DH91" s="1968"/>
      <c r="DI91" s="1968"/>
      <c r="DJ91" s="1968"/>
      <c r="DK91" s="1185">
        <f>DK5-DK89</f>
        <v>0</v>
      </c>
      <c r="DL91" s="1968"/>
      <c r="DM91" s="1968"/>
      <c r="DN91" s="1968"/>
      <c r="DO91" s="1968"/>
      <c r="DP91" s="1968"/>
      <c r="DQ91" s="1968"/>
      <c r="DR91" s="1968"/>
    </row>
    <row r="92" spans="1:122" x14ac:dyDescent="0.25">
      <c r="C92" s="1968"/>
      <c r="D92" s="1968"/>
      <c r="E92" s="1185">
        <f>E5-E89</f>
        <v>104212.48981879081</v>
      </c>
      <c r="F92" s="1968"/>
      <c r="J92" s="1185">
        <f>J5-J89</f>
        <v>-14063.664252873554</v>
      </c>
      <c r="O92" s="1185">
        <f>O5-O89</f>
        <v>-253827.77825166273</v>
      </c>
      <c r="T92" s="1185">
        <f>T5-T89</f>
        <v>-65479.814827586291</v>
      </c>
      <c r="Y92" s="1185">
        <f>Y5-Y89</f>
        <v>79822.365160576272</v>
      </c>
      <c r="AD92" s="1185">
        <f>AD5-AD89</f>
        <v>75837.661334372038</v>
      </c>
      <c r="AI92" s="1185">
        <f>AI5-AI89</f>
        <v>-14584.441630317866</v>
      </c>
      <c r="AN92" s="1185">
        <f>AN5+AN78-AN89</f>
        <v>378065.54303370789</v>
      </c>
      <c r="AS92" s="1185">
        <f>AS5+AS78-AS89</f>
        <v>-23003.480441582898</v>
      </c>
      <c r="DP92" s="1185">
        <f>DP5+DP78-DP89</f>
        <v>604677.19514864916</v>
      </c>
    </row>
    <row r="93" spans="1:122" s="1411" customFormat="1" x14ac:dyDescent="0.25">
      <c r="A93" s="1417"/>
      <c r="B93" s="1417"/>
      <c r="C93" s="1417"/>
      <c r="D93" s="1417"/>
      <c r="E93" s="1417"/>
      <c r="F93" s="1417"/>
      <c r="G93" s="1417"/>
      <c r="H93" s="1968"/>
      <c r="I93" s="1968"/>
      <c r="J93" s="1968"/>
      <c r="K93" s="1968"/>
      <c r="L93" s="1968"/>
      <c r="M93" s="1968"/>
      <c r="N93" s="1968"/>
      <c r="O93" s="1968"/>
      <c r="P93" s="1968"/>
      <c r="Q93" s="1968"/>
      <c r="R93" s="1968"/>
      <c r="S93" s="1968"/>
      <c r="T93" s="1968"/>
      <c r="U93" s="1968"/>
      <c r="V93" s="1968"/>
      <c r="W93" s="1968"/>
      <c r="X93" s="1968"/>
      <c r="Y93" s="1968"/>
      <c r="Z93" s="1968"/>
      <c r="AA93" s="1968"/>
      <c r="AB93" s="1968"/>
      <c r="AC93" s="1968"/>
      <c r="AD93" s="1968"/>
      <c r="AE93" s="1968"/>
      <c r="AF93" s="1968"/>
      <c r="AG93" s="1968"/>
      <c r="AH93" s="1968"/>
      <c r="AI93" s="1968"/>
      <c r="AJ93" s="1968"/>
      <c r="AK93" s="1968"/>
      <c r="AL93" s="1968"/>
      <c r="AM93" s="1968"/>
      <c r="AN93" s="1968"/>
      <c r="AO93" s="1968"/>
      <c r="AP93" s="1968"/>
      <c r="AQ93" s="1968"/>
      <c r="AR93" s="1968"/>
      <c r="AS93" s="1968"/>
      <c r="AT93" s="1968"/>
      <c r="AU93" s="1968"/>
      <c r="AV93" s="1968"/>
      <c r="AW93" s="1968"/>
      <c r="AX93" s="1968"/>
      <c r="AY93" s="1968"/>
      <c r="AZ93" s="1968"/>
      <c r="BA93" s="1968"/>
      <c r="BB93" s="1968"/>
      <c r="BC93" s="1968"/>
      <c r="BD93" s="1968"/>
      <c r="BE93" s="1968"/>
      <c r="BF93" s="1968"/>
      <c r="BG93" s="1968"/>
      <c r="BH93" s="1968"/>
      <c r="BI93" s="1968"/>
      <c r="BJ93" s="1968"/>
      <c r="BK93" s="1968"/>
      <c r="BL93" s="1968"/>
      <c r="BM93" s="1968"/>
      <c r="BN93" s="1968"/>
      <c r="BO93" s="1968"/>
      <c r="BP93" s="1968"/>
      <c r="BQ93" s="1968"/>
      <c r="BR93" s="1968"/>
      <c r="BS93" s="1968"/>
      <c r="BT93" s="1968"/>
      <c r="BU93" s="1968"/>
      <c r="BV93" s="1968"/>
      <c r="BW93" s="1968"/>
      <c r="BX93" s="1968"/>
      <c r="BY93" s="1968"/>
      <c r="BZ93" s="1968"/>
      <c r="CA93" s="1968"/>
      <c r="CB93" s="1968"/>
      <c r="CC93" s="1968"/>
      <c r="CD93" s="1968"/>
      <c r="CE93" s="1968"/>
      <c r="CF93" s="1968"/>
      <c r="CG93" s="1968"/>
      <c r="CH93" s="1968"/>
      <c r="CI93" s="1968"/>
      <c r="CJ93" s="1968"/>
      <c r="CK93" s="1968"/>
      <c r="CL93" s="1968"/>
      <c r="CM93" s="1968"/>
      <c r="CN93" s="1968"/>
      <c r="CO93" s="1968"/>
      <c r="CP93" s="1968"/>
      <c r="CQ93" s="1968"/>
      <c r="CR93" s="1968"/>
      <c r="CS93" s="1968"/>
      <c r="CT93" s="1968"/>
      <c r="CU93" s="1968"/>
      <c r="CV93" s="1968"/>
      <c r="CW93" s="1968"/>
      <c r="CX93" s="1968"/>
      <c r="CY93" s="1968"/>
      <c r="CZ93" s="1968"/>
      <c r="DA93" s="1968"/>
      <c r="DB93" s="1968"/>
      <c r="DC93" s="1968"/>
      <c r="DD93" s="1968"/>
      <c r="DE93" s="1968"/>
      <c r="DF93" s="1968"/>
      <c r="DG93" s="1968"/>
      <c r="DH93" s="1968"/>
      <c r="DI93" s="1968"/>
      <c r="DJ93" s="1968"/>
      <c r="DK93" s="1968"/>
      <c r="DL93" s="1968"/>
      <c r="DM93" s="1968"/>
      <c r="DN93" s="1968"/>
      <c r="DO93" s="1968"/>
      <c r="DP93" s="1968"/>
      <c r="DQ93" s="1968"/>
      <c r="DR93" s="1968"/>
    </row>
    <row r="94" spans="1:122" s="1411" customFormat="1" x14ac:dyDescent="0.25">
      <c r="A94" s="1417"/>
      <c r="B94" s="1417"/>
      <c r="C94" s="1417"/>
      <c r="D94" s="1417"/>
      <c r="E94" s="1417"/>
      <c r="F94" s="1417"/>
      <c r="G94" s="1417"/>
      <c r="H94" s="1968"/>
      <c r="I94" s="1968"/>
      <c r="J94" s="1968"/>
      <c r="K94" s="1968"/>
      <c r="L94" s="1968"/>
      <c r="M94" s="1968"/>
      <c r="N94" s="1968"/>
      <c r="O94" s="1968"/>
      <c r="P94" s="1968"/>
      <c r="Q94" s="1968"/>
      <c r="R94" s="1968"/>
      <c r="S94" s="1968"/>
      <c r="T94" s="1968"/>
      <c r="U94" s="1968"/>
      <c r="V94" s="1968"/>
      <c r="W94" s="1669"/>
      <c r="X94" s="1968"/>
      <c r="Y94" s="1968"/>
      <c r="Z94" s="1968"/>
      <c r="AA94" s="1968"/>
      <c r="AB94" s="1968"/>
      <c r="AC94" s="1968"/>
      <c r="AD94" s="1968"/>
      <c r="AE94" s="1968"/>
      <c r="AF94" s="1968"/>
      <c r="AG94" s="1968"/>
      <c r="AH94" s="1968"/>
      <c r="AI94" s="1968"/>
      <c r="AJ94" s="1968"/>
      <c r="AK94" s="1968"/>
      <c r="AL94" s="1968"/>
      <c r="AM94" s="1968"/>
      <c r="AN94" s="1968"/>
      <c r="AO94" s="1968"/>
      <c r="AP94" s="1968"/>
      <c r="AQ94" s="1968"/>
      <c r="AR94" s="1968"/>
      <c r="AS94" s="1968"/>
      <c r="AT94" s="1968"/>
      <c r="AU94" s="1968"/>
      <c r="AV94" s="1968"/>
      <c r="AW94" s="1968"/>
      <c r="AX94" s="1968"/>
      <c r="AY94" s="1968"/>
      <c r="AZ94" s="1968"/>
      <c r="BA94" s="1968"/>
      <c r="BB94" s="1968"/>
      <c r="BC94" s="1968"/>
      <c r="BD94" s="1968"/>
      <c r="BE94" s="1968"/>
      <c r="BF94" s="1968"/>
      <c r="BG94" s="1968"/>
      <c r="BH94" s="1968"/>
      <c r="BI94" s="1968"/>
      <c r="BJ94" s="1968"/>
      <c r="BK94" s="1968"/>
      <c r="BL94" s="1968"/>
      <c r="BM94" s="1968"/>
      <c r="BN94" s="1968"/>
      <c r="BO94" s="1968"/>
      <c r="BP94" s="1968"/>
      <c r="BQ94" s="1968"/>
      <c r="BR94" s="1968"/>
      <c r="BS94" s="1968"/>
      <c r="BT94" s="1968"/>
      <c r="BU94" s="1968"/>
      <c r="BV94" s="1968"/>
      <c r="BW94" s="1968"/>
      <c r="BX94" s="1968"/>
      <c r="BY94" s="1968"/>
      <c r="BZ94" s="1968"/>
      <c r="CA94" s="1968"/>
      <c r="CB94" s="1968"/>
      <c r="CC94" s="1968"/>
      <c r="CD94" s="1968"/>
      <c r="CE94" s="1968"/>
      <c r="CF94" s="1968"/>
      <c r="CG94" s="1968"/>
      <c r="CH94" s="1968"/>
      <c r="CI94" s="1968"/>
      <c r="CJ94" s="1968"/>
      <c r="CK94" s="1968"/>
      <c r="CL94" s="1968"/>
      <c r="CM94" s="1968"/>
      <c r="CN94" s="1968"/>
      <c r="CO94" s="1968"/>
      <c r="CP94" s="1968"/>
      <c r="CQ94" s="1968"/>
      <c r="CR94" s="1968"/>
      <c r="CS94" s="1968"/>
      <c r="CT94" s="1968"/>
      <c r="CU94" s="1968"/>
      <c r="CV94" s="1968"/>
      <c r="CW94" s="1968"/>
      <c r="CX94" s="1968"/>
      <c r="CY94" s="1968"/>
      <c r="CZ94" s="1968"/>
      <c r="DA94" s="1968"/>
      <c r="DB94" s="1968"/>
      <c r="DC94" s="1968"/>
      <c r="DD94" s="1968"/>
      <c r="DE94" s="1968"/>
      <c r="DF94" s="1968"/>
      <c r="DG94" s="1968"/>
      <c r="DH94" s="1968"/>
      <c r="DI94" s="1968"/>
      <c r="DJ94" s="1968"/>
      <c r="DK94" s="1968"/>
      <c r="DL94" s="1968"/>
      <c r="DM94" s="1968"/>
      <c r="DN94" s="1968"/>
      <c r="DO94" s="1968"/>
      <c r="DP94" s="1968"/>
      <c r="DQ94" s="1968"/>
      <c r="DR94" s="1968"/>
    </row>
    <row r="95" spans="1:122" s="1411" customFormat="1" x14ac:dyDescent="0.25">
      <c r="A95" s="1417"/>
      <c r="B95" s="1417"/>
      <c r="C95" s="1417"/>
      <c r="D95" s="1417"/>
      <c r="E95" s="1417"/>
      <c r="F95" s="1417"/>
      <c r="G95" s="1417"/>
      <c r="H95" s="1968"/>
      <c r="I95" s="1968"/>
      <c r="J95" s="1968"/>
      <c r="K95" s="1968"/>
      <c r="L95" s="1968"/>
      <c r="M95" s="1968"/>
      <c r="N95" s="1968"/>
      <c r="O95" s="1968"/>
      <c r="P95" s="1968"/>
      <c r="Q95" s="1968"/>
      <c r="R95" s="1968"/>
      <c r="S95" s="1968"/>
      <c r="T95" s="1968"/>
      <c r="U95" s="1968"/>
      <c r="V95" s="1968"/>
      <c r="W95" s="1968"/>
      <c r="X95" s="1968"/>
      <c r="Y95" s="1968"/>
      <c r="Z95" s="1968"/>
      <c r="AA95" s="1968"/>
      <c r="AB95" s="1968"/>
      <c r="AC95" s="1968"/>
      <c r="AD95" s="1968"/>
      <c r="AE95" s="1968"/>
      <c r="AF95" s="1968"/>
      <c r="AG95" s="1968"/>
      <c r="AH95" s="1968"/>
      <c r="AI95" s="1968"/>
      <c r="AJ95" s="1968"/>
      <c r="AK95" s="1968"/>
      <c r="AL95" s="1968"/>
      <c r="AM95" s="1968"/>
      <c r="AN95" s="1968"/>
      <c r="AO95" s="1968"/>
      <c r="AP95" s="1968"/>
      <c r="AQ95" s="1968"/>
      <c r="AR95" s="1968"/>
      <c r="AS95" s="1968"/>
      <c r="AT95" s="1968"/>
      <c r="AU95" s="1968"/>
      <c r="AV95" s="1968"/>
      <c r="AW95" s="1968"/>
      <c r="AX95" s="1968"/>
      <c r="AY95" s="1968"/>
      <c r="AZ95" s="1968"/>
      <c r="BA95" s="1968"/>
      <c r="BB95" s="1968"/>
      <c r="BC95" s="1968"/>
      <c r="BD95" s="1968"/>
      <c r="BE95" s="1968"/>
      <c r="BF95" s="1968"/>
      <c r="BG95" s="1968"/>
      <c r="BH95" s="1968"/>
      <c r="BI95" s="1968"/>
      <c r="BJ95" s="1968"/>
      <c r="BK95" s="1968"/>
      <c r="BL95" s="1968"/>
      <c r="BM95" s="1968"/>
      <c r="BN95" s="1968"/>
      <c r="BO95" s="1968"/>
      <c r="BP95" s="1968"/>
      <c r="BQ95" s="1968"/>
      <c r="BR95" s="1968"/>
      <c r="BS95" s="1968"/>
      <c r="BT95" s="1968"/>
      <c r="BU95" s="1968"/>
      <c r="BV95" s="1968"/>
      <c r="BW95" s="1968"/>
      <c r="BX95" s="1968"/>
      <c r="BY95" s="1968"/>
      <c r="BZ95" s="1968"/>
      <c r="CA95" s="1968"/>
      <c r="CB95" s="1968"/>
      <c r="CC95" s="1968"/>
      <c r="CD95" s="1968"/>
      <c r="CE95" s="1968"/>
      <c r="CF95" s="1968"/>
      <c r="CG95" s="1968"/>
      <c r="CH95" s="1968"/>
      <c r="CI95" s="1968"/>
      <c r="CJ95" s="1968"/>
      <c r="CK95" s="1968"/>
      <c r="CL95" s="1968"/>
      <c r="CM95" s="1968"/>
      <c r="CN95" s="1968"/>
      <c r="CO95" s="1968"/>
      <c r="CP95" s="1968"/>
      <c r="CQ95" s="1968"/>
      <c r="CR95" s="1968"/>
      <c r="CS95" s="1968"/>
      <c r="CT95" s="1968"/>
      <c r="CU95" s="1968"/>
      <c r="CV95" s="1968"/>
      <c r="CW95" s="1968"/>
      <c r="CX95" s="1968"/>
      <c r="CY95" s="1968"/>
      <c r="CZ95" s="1968"/>
      <c r="DA95" s="1968"/>
      <c r="DB95" s="1968"/>
      <c r="DC95" s="1968"/>
      <c r="DD95" s="1968"/>
      <c r="DE95" s="1968"/>
      <c r="DF95" s="1968"/>
      <c r="DG95" s="1968"/>
      <c r="DH95" s="1968"/>
      <c r="DI95" s="1968"/>
      <c r="DJ95" s="1968"/>
      <c r="DK95" s="1968"/>
      <c r="DL95" s="1968"/>
      <c r="DM95" s="1968"/>
      <c r="DN95" s="1968"/>
      <c r="DO95" s="1968"/>
      <c r="DP95" s="1968"/>
      <c r="DQ95" s="1968"/>
      <c r="DR95" s="1968"/>
    </row>
    <row r="96" spans="1:122" s="1411" customFormat="1" x14ac:dyDescent="0.25">
      <c r="A96" s="1417"/>
      <c r="B96" s="1417"/>
      <c r="C96" s="1417"/>
      <c r="D96" s="1417"/>
      <c r="E96" s="1417"/>
      <c r="F96" s="1417"/>
      <c r="G96" s="1417"/>
      <c r="H96" s="1968"/>
      <c r="I96" s="1968"/>
      <c r="J96" s="1968"/>
      <c r="K96" s="1968"/>
      <c r="L96" s="1968"/>
      <c r="M96" s="1968"/>
      <c r="N96" s="1968"/>
      <c r="O96" s="1968"/>
      <c r="P96" s="1968"/>
      <c r="Q96" s="1968"/>
      <c r="R96" s="1968"/>
      <c r="S96" s="1968"/>
      <c r="T96" s="1968"/>
      <c r="U96" s="1968"/>
      <c r="V96" s="1968"/>
      <c r="W96" s="1968"/>
      <c r="X96" s="1968"/>
      <c r="Y96" s="1968"/>
      <c r="Z96" s="1968"/>
      <c r="AA96" s="1968"/>
      <c r="AB96" s="1968"/>
      <c r="AC96" s="1968"/>
      <c r="AD96" s="1968"/>
      <c r="AE96" s="1968"/>
      <c r="AF96" s="1968"/>
      <c r="AG96" s="1968"/>
      <c r="AH96" s="1968"/>
      <c r="AI96" s="1968"/>
      <c r="AJ96" s="1968"/>
      <c r="AK96" s="1968"/>
      <c r="AL96" s="1968"/>
      <c r="AM96" s="1968"/>
      <c r="AN96" s="1968"/>
      <c r="AO96" s="1968"/>
      <c r="AP96" s="1968"/>
      <c r="AQ96" s="1968"/>
      <c r="AR96" s="1968"/>
      <c r="AS96" s="1968"/>
      <c r="AT96" s="1968"/>
      <c r="AU96" s="1968"/>
      <c r="AV96" s="1968"/>
      <c r="AW96" s="1968"/>
      <c r="AX96" s="1968"/>
      <c r="AY96" s="1968"/>
      <c r="AZ96" s="1968"/>
      <c r="BA96" s="1968"/>
      <c r="BB96" s="1968"/>
      <c r="BC96" s="1968"/>
      <c r="BD96" s="1968"/>
      <c r="BE96" s="1968"/>
      <c r="BF96" s="1968"/>
      <c r="BG96" s="1968"/>
      <c r="BH96" s="1968"/>
      <c r="BI96" s="1968"/>
      <c r="BJ96" s="1968"/>
      <c r="BK96" s="1968"/>
      <c r="BL96" s="1968"/>
      <c r="BM96" s="1968"/>
      <c r="BN96" s="1968"/>
      <c r="BO96" s="1968"/>
      <c r="BP96" s="1968"/>
      <c r="BQ96" s="1968"/>
      <c r="BR96" s="1968"/>
      <c r="BS96" s="1968"/>
      <c r="BT96" s="1968"/>
      <c r="BU96" s="1968"/>
      <c r="BV96" s="1968"/>
      <c r="BW96" s="1968"/>
      <c r="BX96" s="1968"/>
      <c r="BY96" s="1968"/>
      <c r="BZ96" s="1968"/>
      <c r="CA96" s="1968"/>
      <c r="CB96" s="1968"/>
      <c r="CC96" s="1968"/>
      <c r="CD96" s="1968"/>
      <c r="CE96" s="1968"/>
      <c r="CF96" s="1968"/>
      <c r="CG96" s="1968"/>
      <c r="CH96" s="1968"/>
      <c r="CI96" s="1968"/>
      <c r="CJ96" s="1968"/>
      <c r="CK96" s="1968"/>
      <c r="CL96" s="1968"/>
      <c r="CM96" s="1968"/>
      <c r="CN96" s="1968"/>
      <c r="CO96" s="1968"/>
      <c r="CP96" s="1968"/>
      <c r="CQ96" s="1968"/>
      <c r="CR96" s="1968"/>
      <c r="CS96" s="1968"/>
      <c r="CT96" s="1968"/>
      <c r="CU96" s="1968"/>
      <c r="CV96" s="1968"/>
      <c r="CW96" s="1968"/>
      <c r="CX96" s="1968"/>
      <c r="CY96" s="1968"/>
      <c r="CZ96" s="1968"/>
      <c r="DA96" s="1968"/>
      <c r="DB96" s="1968"/>
      <c r="DC96" s="1968"/>
      <c r="DD96" s="1968"/>
      <c r="DE96" s="1968"/>
      <c r="DF96" s="1968"/>
      <c r="DG96" s="1968"/>
      <c r="DH96" s="1968"/>
      <c r="DI96" s="1968"/>
      <c r="DJ96" s="1968"/>
      <c r="DK96" s="1968"/>
      <c r="DL96" s="1968"/>
      <c r="DM96" s="1968"/>
      <c r="DN96" s="1968"/>
      <c r="DO96" s="1968"/>
      <c r="DP96" s="1968"/>
      <c r="DQ96" s="1968"/>
      <c r="DR96" s="1968"/>
    </row>
    <row r="98" spans="1:122" s="1411" customFormat="1" x14ac:dyDescent="0.25">
      <c r="A98" s="1417"/>
      <c r="B98" s="1417"/>
      <c r="C98" s="1417"/>
      <c r="D98" s="1417"/>
      <c r="E98" s="1417"/>
      <c r="F98" s="1417"/>
      <c r="G98" s="1417"/>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O98" s="1968"/>
      <c r="CP98" s="1968"/>
      <c r="CQ98" s="1968"/>
      <c r="CR98" s="1968"/>
      <c r="CS98" s="1968"/>
      <c r="CT98" s="1968"/>
      <c r="CU98" s="1968"/>
      <c r="CV98" s="1968"/>
      <c r="CW98" s="1968"/>
      <c r="CX98" s="1968"/>
      <c r="CY98" s="1968"/>
      <c r="CZ98" s="1968"/>
      <c r="DA98" s="1968"/>
      <c r="DB98" s="1968"/>
      <c r="DC98" s="1968"/>
      <c r="DD98" s="1968"/>
      <c r="DE98" s="1968"/>
      <c r="DF98" s="1968"/>
      <c r="DG98" s="1968"/>
      <c r="DH98" s="1968"/>
      <c r="DI98" s="1968"/>
      <c r="DJ98" s="1968"/>
      <c r="DK98" s="1968"/>
      <c r="DL98" s="1968"/>
      <c r="DM98" s="1968"/>
      <c r="DN98" s="1968"/>
      <c r="DO98" s="1968"/>
      <c r="DP98" s="1968"/>
      <c r="DQ98" s="1968"/>
      <c r="DR98" s="1968"/>
    </row>
  </sheetData>
  <mergeCells count="27">
    <mergeCell ref="AG2:AJ3"/>
    <mergeCell ref="AQ2:AU3"/>
    <mergeCell ref="A42:A48"/>
    <mergeCell ref="M2:P3"/>
    <mergeCell ref="W2:Z3"/>
    <mergeCell ref="AB2:AE3"/>
    <mergeCell ref="C2:G3"/>
    <mergeCell ref="R2:V3"/>
    <mergeCell ref="H2:L3"/>
    <mergeCell ref="A2:B2"/>
    <mergeCell ref="A3:B3"/>
    <mergeCell ref="AL2:AP3"/>
    <mergeCell ref="DN2:DR3"/>
    <mergeCell ref="DI2:DM3"/>
    <mergeCell ref="AV2:AZ3"/>
    <mergeCell ref="BK2:BO3"/>
    <mergeCell ref="BP2:BT3"/>
    <mergeCell ref="BZ2:CD3"/>
    <mergeCell ref="BF2:BJ3"/>
    <mergeCell ref="BA2:BE3"/>
    <mergeCell ref="BU2:BY3"/>
    <mergeCell ref="CE2:CI3"/>
    <mergeCell ref="CJ2:CN3"/>
    <mergeCell ref="CO2:CS3"/>
    <mergeCell ref="CT2:CX3"/>
    <mergeCell ref="CY2:DC3"/>
    <mergeCell ref="DD2:DH3"/>
  </mergeCells>
  <pageMargins left="0.7" right="0.7" top="0.75" bottom="0.75" header="0.3" footer="0.3"/>
  <pageSetup paperSize="9" orientation="portrait" r:id="rId1"/>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6" tint="0.59999389629810485"/>
  </sheetPr>
  <dimension ref="A1:DC98"/>
  <sheetViews>
    <sheetView topLeftCell="B1" zoomScale="70" zoomScaleNormal="70" workbookViewId="0">
      <pane xSplit="1" ySplit="4" topLeftCell="AL41" activePane="bottomRight" state="frozen"/>
      <selection activeCell="CJ2" sqref="CJ2:CS3"/>
      <selection pane="topRight" activeCell="CJ2" sqref="CJ2:CS3"/>
      <selection pane="bottomLeft" activeCell="CJ2" sqref="CJ2:CS3"/>
      <selection pane="bottomRight" activeCell="BA71" sqref="BA71"/>
    </sheetView>
  </sheetViews>
  <sheetFormatPr defaultColWidth="7.44140625" defaultRowHeight="13.2" outlineLevelCol="1" x14ac:dyDescent="0.25"/>
  <cols>
    <col min="1" max="1" width="5.5546875" style="1417" customWidth="1"/>
    <col min="2" max="2" width="47.44140625" style="1417" customWidth="1"/>
    <col min="3" max="5" width="21.44140625" style="1968" hidden="1" customWidth="1" outlineLevel="1"/>
    <col min="6" max="6" width="16" style="1968" hidden="1" customWidth="1" outlineLevel="1"/>
    <col min="7" max="7" width="35.33203125" style="1968" hidden="1" customWidth="1" outlineLevel="1"/>
    <col min="8" max="15" width="21.44140625" style="1968" hidden="1" customWidth="1" outlineLevel="1"/>
    <col min="16" max="16" width="15.5546875" style="1968" hidden="1" customWidth="1" outlineLevel="1"/>
    <col min="17" max="17" width="38.109375" style="1968" hidden="1" customWidth="1" outlineLevel="1"/>
    <col min="18" max="26" width="21.44140625" style="1968" hidden="1" customWidth="1" outlineLevel="1"/>
    <col min="27" max="27" width="29.44140625" style="1968" hidden="1" customWidth="1" outlineLevel="1"/>
    <col min="28" max="28" width="19.88671875" style="1968" hidden="1" customWidth="1" outlineLevel="1"/>
    <col min="29" max="29" width="20.44140625" style="1968" hidden="1" customWidth="1" outlineLevel="1"/>
    <col min="30" max="31" width="21.44140625" style="1968" hidden="1" customWidth="1" outlineLevel="1"/>
    <col min="32" max="32" width="29.44140625" style="1968" hidden="1" customWidth="1" outlineLevel="1"/>
    <col min="33" max="33" width="12.88671875" style="1968" hidden="1" customWidth="1" outlineLevel="1" collapsed="1"/>
    <col min="34" max="37" width="12.88671875" style="1968" hidden="1" customWidth="1" outlineLevel="1"/>
    <col min="38" max="38" width="12.88671875" style="1968" customWidth="1" collapsed="1"/>
    <col min="39" max="42" width="12.88671875" style="1968" customWidth="1"/>
    <col min="43" max="45" width="13.33203125" style="1968" hidden="1" customWidth="1" outlineLevel="1"/>
    <col min="46" max="46" width="8" style="1968" hidden="1" customWidth="1" outlineLevel="1"/>
    <col min="47" max="47" width="31.5546875" style="1968" hidden="1" customWidth="1" outlineLevel="1"/>
    <col min="48" max="48" width="13.88671875" style="1968" hidden="1" customWidth="1" outlineLevel="1" collapsed="1"/>
    <col min="49" max="51" width="13.88671875" style="1968" hidden="1" customWidth="1" outlineLevel="1"/>
    <col min="52" max="52" width="31.88671875" style="1968" hidden="1" customWidth="1" outlineLevel="1"/>
    <col min="53" max="53" width="13.88671875" style="1968" customWidth="1" collapsed="1"/>
    <col min="54" max="56" width="13.88671875" style="1968" customWidth="1"/>
    <col min="57" max="57" width="19.33203125" style="1968" customWidth="1"/>
    <col min="58" max="61" width="13.88671875" style="1968" hidden="1" customWidth="1" outlineLevel="1"/>
    <col min="62" max="62" width="24.5546875" style="1968" hidden="1" customWidth="1" outlineLevel="1"/>
    <col min="63" max="66" width="13.88671875" style="1968" hidden="1" customWidth="1" outlineLevel="1"/>
    <col min="67" max="67" width="23.33203125" style="1968" hidden="1" customWidth="1" outlineLevel="1"/>
    <col min="68" max="71" width="13.88671875" style="1968" hidden="1" customWidth="1" outlineLevel="1"/>
    <col min="72" max="72" width="23.33203125" style="1968" hidden="1" customWidth="1" outlineLevel="1"/>
    <col min="73" max="73" width="13.88671875" style="1968" hidden="1" customWidth="1" outlineLevel="1" collapsed="1"/>
    <col min="74" max="76" width="13.88671875" style="1968" hidden="1" customWidth="1" outlineLevel="1"/>
    <col min="77" max="77" width="19.109375" style="1968" hidden="1" customWidth="1" outlineLevel="1"/>
    <col min="78" max="81" width="13.88671875" style="1968" hidden="1" customWidth="1" outlineLevel="1"/>
    <col min="82" max="82" width="19.33203125" style="1968" hidden="1" customWidth="1" outlineLevel="1"/>
    <col min="83" max="87" width="13.88671875" style="1968" hidden="1" customWidth="1" outlineLevel="1"/>
    <col min="88" max="88" width="13.88671875" style="1968" hidden="1" customWidth="1" outlineLevel="1" collapsed="1"/>
    <col min="89" max="92" width="13.88671875" style="1968" hidden="1" customWidth="1" outlineLevel="1"/>
    <col min="93" max="93" width="13.88671875" style="1968" hidden="1" customWidth="1" outlineLevel="1" collapsed="1"/>
    <col min="94" max="96" width="13.88671875" style="1968" hidden="1" customWidth="1" outlineLevel="1"/>
    <col min="97" max="97" width="21.33203125" style="1968" hidden="1" customWidth="1" outlineLevel="1"/>
    <col min="98" max="101" width="13.88671875" style="1968" hidden="1" customWidth="1" outlineLevel="1"/>
    <col min="102" max="102" width="19.5546875" style="1968" hidden="1" customWidth="1" outlineLevel="1"/>
    <col min="103" max="103" width="16.33203125" style="1968" customWidth="1" collapsed="1"/>
    <col min="104" max="105" width="16.33203125" style="1968" customWidth="1"/>
    <col min="106" max="106" width="11.88671875" style="1968" bestFit="1" customWidth="1"/>
    <col min="107" max="107" width="16.33203125" style="1968" customWidth="1"/>
    <col min="108" max="16384" width="7.44140625" style="1410"/>
  </cols>
  <sheetData>
    <row r="1" spans="1:107" ht="13.8" thickBot="1" x14ac:dyDescent="0.3"/>
    <row r="2" spans="1:107" ht="14.4" customHeight="1" x14ac:dyDescent="0.25">
      <c r="A2" s="4016" t="s">
        <v>1102</v>
      </c>
      <c r="B2" s="4017"/>
      <c r="C2" s="4053" t="s">
        <v>1075</v>
      </c>
      <c r="D2" s="4054"/>
      <c r="E2" s="4054"/>
      <c r="F2" s="4054"/>
      <c r="G2" s="3271"/>
      <c r="H2" s="4368" t="s">
        <v>1079</v>
      </c>
      <c r="I2" s="4369"/>
      <c r="J2" s="4369"/>
      <c r="K2" s="4369"/>
      <c r="L2" s="4370"/>
      <c r="M2" s="4172" t="s">
        <v>1161</v>
      </c>
      <c r="N2" s="4173"/>
      <c r="O2" s="4173"/>
      <c r="P2" s="4173"/>
      <c r="Q2" s="4174"/>
      <c r="R2" s="4071" t="s">
        <v>1303</v>
      </c>
      <c r="S2" s="4072"/>
      <c r="T2" s="4072"/>
      <c r="U2" s="4072"/>
      <c r="V2" s="4073"/>
      <c r="W2" s="4077" t="s">
        <v>1385</v>
      </c>
      <c r="X2" s="4078"/>
      <c r="Y2" s="4078"/>
      <c r="Z2" s="4078"/>
      <c r="AA2" s="4079"/>
      <c r="AB2" s="4053" t="s">
        <v>1470</v>
      </c>
      <c r="AC2" s="4054"/>
      <c r="AD2" s="4054"/>
      <c r="AE2" s="4054"/>
      <c r="AF2" s="4055"/>
      <c r="AG2" s="4059" t="s">
        <v>1668</v>
      </c>
      <c r="AH2" s="4060"/>
      <c r="AI2" s="4060"/>
      <c r="AJ2" s="4060"/>
      <c r="AK2" s="4061"/>
      <c r="AL2" s="4083">
        <v>2024</v>
      </c>
      <c r="AM2" s="4084"/>
      <c r="AN2" s="4084"/>
      <c r="AO2" s="4084"/>
      <c r="AP2" s="4085"/>
      <c r="AQ2" s="4256">
        <v>45292</v>
      </c>
      <c r="AR2" s="4024"/>
      <c r="AS2" s="4024"/>
      <c r="AT2" s="4024"/>
      <c r="AU2" s="4025"/>
      <c r="AV2" s="4269">
        <v>45323</v>
      </c>
      <c r="AW2" s="4270"/>
      <c r="AX2" s="4270"/>
      <c r="AY2" s="4270"/>
      <c r="AZ2" s="4271"/>
      <c r="BA2" s="4276">
        <v>45352</v>
      </c>
      <c r="BB2" s="4204"/>
      <c r="BC2" s="4204"/>
      <c r="BD2" s="4204"/>
      <c r="BE2" s="4205"/>
      <c r="BF2" s="4277">
        <v>45383</v>
      </c>
      <c r="BG2" s="4278"/>
      <c r="BH2" s="4278"/>
      <c r="BI2" s="4278"/>
      <c r="BJ2" s="4279"/>
      <c r="BK2" s="4290">
        <v>45413</v>
      </c>
      <c r="BL2" s="4291"/>
      <c r="BM2" s="4291"/>
      <c r="BN2" s="4291"/>
      <c r="BO2" s="4292"/>
      <c r="BP2" s="4283">
        <v>45444</v>
      </c>
      <c r="BQ2" s="4072"/>
      <c r="BR2" s="4072"/>
      <c r="BS2" s="4072"/>
      <c r="BT2" s="4073"/>
      <c r="BU2" s="4376">
        <v>45474</v>
      </c>
      <c r="BV2" s="4054"/>
      <c r="BW2" s="4054"/>
      <c r="BX2" s="4054"/>
      <c r="BY2" s="4055"/>
      <c r="BZ2" s="4356">
        <v>45505</v>
      </c>
      <c r="CA2" s="4357"/>
      <c r="CB2" s="4357"/>
      <c r="CC2" s="4357"/>
      <c r="CD2" s="4358"/>
      <c r="CE2" s="4362">
        <v>45536</v>
      </c>
      <c r="CF2" s="4363"/>
      <c r="CG2" s="4363"/>
      <c r="CH2" s="4363"/>
      <c r="CI2" s="4364"/>
      <c r="CJ2" s="4095">
        <v>45566</v>
      </c>
      <c r="CK2" s="4096"/>
      <c r="CL2" s="4096"/>
      <c r="CM2" s="4096"/>
      <c r="CN2" s="4097"/>
      <c r="CO2" s="4244">
        <v>45597</v>
      </c>
      <c r="CP2" s="4245"/>
      <c r="CQ2" s="4245"/>
      <c r="CR2" s="4245"/>
      <c r="CS2" s="4246"/>
      <c r="CT2" s="4250">
        <v>45627</v>
      </c>
      <c r="CU2" s="4251"/>
      <c r="CV2" s="4251"/>
      <c r="CW2" s="4251"/>
      <c r="CX2" s="4252"/>
      <c r="CY2" s="4089" t="s">
        <v>2201</v>
      </c>
      <c r="CZ2" s="4090"/>
      <c r="DA2" s="4090"/>
      <c r="DB2" s="4090"/>
      <c r="DC2" s="4091"/>
    </row>
    <row r="3" spans="1:107" ht="15" customHeight="1" thickBot="1" x14ac:dyDescent="0.3">
      <c r="A3" s="4035" t="s">
        <v>54</v>
      </c>
      <c r="B3" s="4036"/>
      <c r="C3" s="4056"/>
      <c r="D3" s="4057"/>
      <c r="E3" s="4057"/>
      <c r="F3" s="4057"/>
      <c r="G3" s="3272"/>
      <c r="H3" s="4371"/>
      <c r="I3" s="4372"/>
      <c r="J3" s="4372"/>
      <c r="K3" s="4372"/>
      <c r="L3" s="4373"/>
      <c r="M3" s="4175"/>
      <c r="N3" s="4176"/>
      <c r="O3" s="4176"/>
      <c r="P3" s="4176"/>
      <c r="Q3" s="4177"/>
      <c r="R3" s="4074"/>
      <c r="S3" s="4075"/>
      <c r="T3" s="4075"/>
      <c r="U3" s="4075"/>
      <c r="V3" s="4076"/>
      <c r="W3" s="4080"/>
      <c r="X3" s="4081"/>
      <c r="Y3" s="4081"/>
      <c r="Z3" s="4081"/>
      <c r="AA3" s="4082"/>
      <c r="AB3" s="4056"/>
      <c r="AC3" s="4057"/>
      <c r="AD3" s="4057"/>
      <c r="AE3" s="4057"/>
      <c r="AF3" s="4058"/>
      <c r="AG3" s="4062"/>
      <c r="AH3" s="4063"/>
      <c r="AI3" s="4063"/>
      <c r="AJ3" s="4063"/>
      <c r="AK3" s="4064"/>
      <c r="AL3" s="4086"/>
      <c r="AM3" s="4087"/>
      <c r="AN3" s="4087"/>
      <c r="AO3" s="4087"/>
      <c r="AP3" s="4088"/>
      <c r="AQ3" s="4026"/>
      <c r="AR3" s="4027"/>
      <c r="AS3" s="4027"/>
      <c r="AT3" s="4027"/>
      <c r="AU3" s="4028"/>
      <c r="AV3" s="4272"/>
      <c r="AW3" s="4273"/>
      <c r="AX3" s="4273"/>
      <c r="AY3" s="4273"/>
      <c r="AZ3" s="4274"/>
      <c r="BA3" s="4206"/>
      <c r="BB3" s="4207"/>
      <c r="BC3" s="4207"/>
      <c r="BD3" s="4207"/>
      <c r="BE3" s="4208"/>
      <c r="BF3" s="4280"/>
      <c r="BG3" s="4281"/>
      <c r="BH3" s="4281"/>
      <c r="BI3" s="4281"/>
      <c r="BJ3" s="4282"/>
      <c r="BK3" s="4293"/>
      <c r="BL3" s="4294"/>
      <c r="BM3" s="4294"/>
      <c r="BN3" s="4294"/>
      <c r="BO3" s="4295"/>
      <c r="BP3" s="4074"/>
      <c r="BQ3" s="4075"/>
      <c r="BR3" s="4075"/>
      <c r="BS3" s="4075"/>
      <c r="BT3" s="4076"/>
      <c r="BU3" s="4056"/>
      <c r="BV3" s="4057"/>
      <c r="BW3" s="4057"/>
      <c r="BX3" s="4057"/>
      <c r="BY3" s="4058"/>
      <c r="BZ3" s="4359"/>
      <c r="CA3" s="4360"/>
      <c r="CB3" s="4360"/>
      <c r="CC3" s="4360"/>
      <c r="CD3" s="4361"/>
      <c r="CE3" s="4365"/>
      <c r="CF3" s="4366"/>
      <c r="CG3" s="4366"/>
      <c r="CH3" s="4366"/>
      <c r="CI3" s="4367"/>
      <c r="CJ3" s="4098"/>
      <c r="CK3" s="4099"/>
      <c r="CL3" s="4099"/>
      <c r="CM3" s="4099"/>
      <c r="CN3" s="4100"/>
      <c r="CO3" s="4247"/>
      <c r="CP3" s="4248"/>
      <c r="CQ3" s="4248"/>
      <c r="CR3" s="4248"/>
      <c r="CS3" s="4249"/>
      <c r="CT3" s="4253"/>
      <c r="CU3" s="4254"/>
      <c r="CV3" s="4254"/>
      <c r="CW3" s="4254"/>
      <c r="CX3" s="4255"/>
      <c r="CY3" s="4092"/>
      <c r="CZ3" s="4093"/>
      <c r="DA3" s="4093"/>
      <c r="DB3" s="4093"/>
      <c r="DC3" s="4094"/>
    </row>
    <row r="4" spans="1:107" ht="41.4" thickBot="1" x14ac:dyDescent="0.3">
      <c r="A4" s="1486"/>
      <c r="B4" s="1487" t="s">
        <v>11</v>
      </c>
      <c r="C4" s="1972" t="s">
        <v>55</v>
      </c>
      <c r="D4" s="1972" t="s">
        <v>18</v>
      </c>
      <c r="E4" s="1489" t="s">
        <v>39</v>
      </c>
      <c r="F4" s="1978" t="s">
        <v>40</v>
      </c>
      <c r="G4" s="1489" t="s">
        <v>19</v>
      </c>
      <c r="H4" s="1972"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968</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O4" s="1972" t="s">
        <v>55</v>
      </c>
      <c r="CP4" s="1972" t="s">
        <v>18</v>
      </c>
      <c r="CQ4" s="1489" t="s">
        <v>39</v>
      </c>
      <c r="CR4" s="1978" t="s">
        <v>40</v>
      </c>
      <c r="CS4" s="1489" t="s">
        <v>19</v>
      </c>
      <c r="CT4" s="1972" t="s">
        <v>55</v>
      </c>
      <c r="CU4" s="1972" t="s">
        <v>18</v>
      </c>
      <c r="CV4" s="1489" t="s">
        <v>39</v>
      </c>
      <c r="CW4" s="1978" t="s">
        <v>40</v>
      </c>
      <c r="CX4" s="1489" t="s">
        <v>19</v>
      </c>
      <c r="CY4" s="1972" t="s">
        <v>55</v>
      </c>
      <c r="CZ4" s="1972" t="s">
        <v>18</v>
      </c>
      <c r="DA4" s="1489" t="s">
        <v>39</v>
      </c>
      <c r="DB4" s="1978" t="s">
        <v>40</v>
      </c>
      <c r="DC4" s="1489" t="s">
        <v>19</v>
      </c>
    </row>
    <row r="5" spans="1:107" s="2483" customFormat="1" ht="14.4" thickBot="1" x14ac:dyDescent="0.3">
      <c r="A5" s="1477"/>
      <c r="B5" s="1478" t="s">
        <v>10</v>
      </c>
      <c r="C5" s="1481">
        <f>C6+C7</f>
        <v>319297</v>
      </c>
      <c r="D5" s="1481">
        <f>D6+D7</f>
        <v>0</v>
      </c>
      <c r="E5" s="1481">
        <f>E6</f>
        <v>319297</v>
      </c>
      <c r="F5" s="1481"/>
      <c r="G5" s="1481"/>
      <c r="H5" s="1481">
        <f>H6+H7</f>
        <v>360716.29</v>
      </c>
      <c r="I5" s="1481">
        <f>I6+I7</f>
        <v>0</v>
      </c>
      <c r="J5" s="1481">
        <f>J6</f>
        <v>360716.29</v>
      </c>
      <c r="K5" s="1481"/>
      <c r="L5" s="1481"/>
      <c r="M5" s="1481">
        <f>M6+M7</f>
        <v>325495</v>
      </c>
      <c r="N5" s="1481">
        <f>N6+N7</f>
        <v>0</v>
      </c>
      <c r="O5" s="1481">
        <f>O6</f>
        <v>325495</v>
      </c>
      <c r="P5" s="1481"/>
      <c r="Q5" s="1481"/>
      <c r="R5" s="1481">
        <f>R6+R7</f>
        <v>431345.86</v>
      </c>
      <c r="S5" s="1481">
        <f>S6+S7</f>
        <v>166254</v>
      </c>
      <c r="T5" s="1481">
        <f>T6</f>
        <v>597599.86</v>
      </c>
      <c r="U5" s="1481"/>
      <c r="V5" s="1481"/>
      <c r="W5" s="1481">
        <f>W6+W7</f>
        <v>346311.84</v>
      </c>
      <c r="X5" s="1481">
        <f>X6+X7</f>
        <v>0</v>
      </c>
      <c r="Y5" s="1481">
        <f>Y6</f>
        <v>346311.84</v>
      </c>
      <c r="Z5" s="1481"/>
      <c r="AA5" s="1481"/>
      <c r="AB5" s="1481">
        <f>AB6+AB7</f>
        <v>277920</v>
      </c>
      <c r="AC5" s="1481">
        <f>AC6+AC7</f>
        <v>0</v>
      </c>
      <c r="AD5" s="1481">
        <f>AD6</f>
        <v>277920</v>
      </c>
      <c r="AE5" s="1481"/>
      <c r="AF5" s="1481"/>
      <c r="AG5" s="1481">
        <v>1697070.26</v>
      </c>
      <c r="AH5" s="1481">
        <v>0</v>
      </c>
      <c r="AI5" s="1481">
        <v>1697070.26</v>
      </c>
      <c r="AJ5" s="1481"/>
      <c r="AK5" s="1481"/>
      <c r="AL5" s="1481">
        <f>AL6+AL7</f>
        <v>0</v>
      </c>
      <c r="AM5" s="1481">
        <f>AM6+AM7</f>
        <v>0</v>
      </c>
      <c r="AN5" s="1481">
        <f>AN6+AN7</f>
        <v>0</v>
      </c>
      <c r="AO5" s="1481"/>
      <c r="AP5" s="1481"/>
      <c r="AQ5" s="1481">
        <f>AQ6+AQ7</f>
        <v>0</v>
      </c>
      <c r="AR5" s="1481">
        <f>AR6+AR7</f>
        <v>0</v>
      </c>
      <c r="AS5" s="1481">
        <f>AS6</f>
        <v>0</v>
      </c>
      <c r="AT5" s="1481"/>
      <c r="AU5" s="1481"/>
      <c r="AV5" s="1481">
        <f>AV6+AV7</f>
        <v>0</v>
      </c>
      <c r="AW5" s="1481">
        <f>AW6+AW7</f>
        <v>0</v>
      </c>
      <c r="AX5" s="1481">
        <f>AX6+AX7</f>
        <v>0</v>
      </c>
      <c r="AY5" s="1481"/>
      <c r="AZ5" s="1481"/>
      <c r="BA5" s="1481">
        <f>BA6+BA7</f>
        <v>0</v>
      </c>
      <c r="BB5" s="1481">
        <f>BB6+BB7</f>
        <v>0</v>
      </c>
      <c r="BC5" s="1481">
        <f>BC6+BC7</f>
        <v>0</v>
      </c>
      <c r="BD5" s="1481"/>
      <c r="BE5" s="1481"/>
      <c r="BF5" s="1481">
        <f>BF6</f>
        <v>0</v>
      </c>
      <c r="BG5" s="1481">
        <f>BG6</f>
        <v>0</v>
      </c>
      <c r="BH5" s="1481">
        <f>BH6+BH7</f>
        <v>0</v>
      </c>
      <c r="BI5" s="1481"/>
      <c r="BJ5" s="1481"/>
      <c r="BK5" s="1481">
        <f>BK6</f>
        <v>0</v>
      </c>
      <c r="BL5" s="1481">
        <f>BL6</f>
        <v>0</v>
      </c>
      <c r="BM5" s="1481">
        <f>BM6+BM7</f>
        <v>0</v>
      </c>
      <c r="BN5" s="1481"/>
      <c r="BO5" s="1481"/>
      <c r="BP5" s="1481">
        <f>BP6</f>
        <v>0</v>
      </c>
      <c r="BQ5" s="1481">
        <f>BQ6</f>
        <v>0</v>
      </c>
      <c r="BR5" s="1481">
        <f>BR6+BR7</f>
        <v>0</v>
      </c>
      <c r="BS5" s="1481"/>
      <c r="BT5" s="1481"/>
      <c r="BU5" s="1481">
        <f>BU6</f>
        <v>0</v>
      </c>
      <c r="BV5" s="1481">
        <f>BV6</f>
        <v>0</v>
      </c>
      <c r="BW5" s="1481">
        <f>BW6+BW7</f>
        <v>0</v>
      </c>
      <c r="BX5" s="1481"/>
      <c r="BY5" s="1481"/>
      <c r="BZ5" s="1481">
        <f>BZ6</f>
        <v>0</v>
      </c>
      <c r="CA5" s="1481">
        <f>CA6</f>
        <v>0</v>
      </c>
      <c r="CB5" s="1481">
        <f>CB6+CB7</f>
        <v>0</v>
      </c>
      <c r="CC5" s="1481"/>
      <c r="CD5" s="1481"/>
      <c r="CE5" s="1481">
        <f>CE6</f>
        <v>0</v>
      </c>
      <c r="CF5" s="1481">
        <f>CF6</f>
        <v>0</v>
      </c>
      <c r="CG5" s="1481">
        <f>CG6+CG7</f>
        <v>0</v>
      </c>
      <c r="CH5" s="1481"/>
      <c r="CI5" s="1481"/>
      <c r="CJ5" s="1481">
        <f>CJ6</f>
        <v>0</v>
      </c>
      <c r="CK5" s="1481">
        <f>CK6</f>
        <v>0</v>
      </c>
      <c r="CL5" s="1481">
        <f>CL6+CL7</f>
        <v>0</v>
      </c>
      <c r="CM5" s="1481"/>
      <c r="CN5" s="1481"/>
      <c r="CO5" s="1481">
        <f>CO6</f>
        <v>0</v>
      </c>
      <c r="CP5" s="1481">
        <f>CP6</f>
        <v>0</v>
      </c>
      <c r="CQ5" s="1481">
        <f>CQ6+CQ7</f>
        <v>0</v>
      </c>
      <c r="CR5" s="1481"/>
      <c r="CS5" s="1481"/>
      <c r="CT5" s="1481">
        <f>CT6</f>
        <v>0</v>
      </c>
      <c r="CU5" s="1481">
        <f>CU6</f>
        <v>0</v>
      </c>
      <c r="CV5" s="1481">
        <f>CV6+CV7</f>
        <v>0</v>
      </c>
      <c r="CW5" s="1481"/>
      <c r="CX5" s="1481"/>
      <c r="CY5" s="1481">
        <f>CY6+CY7</f>
        <v>3758156.25</v>
      </c>
      <c r="CZ5" s="1481">
        <f>CZ6+CZ7</f>
        <v>166254</v>
      </c>
      <c r="DA5" s="1481">
        <f>DA6+DA7</f>
        <v>3924410.25</v>
      </c>
      <c r="DB5" s="1481"/>
      <c r="DC5" s="1481"/>
    </row>
    <row r="6" spans="1:107" s="1411" customFormat="1" ht="110.4" x14ac:dyDescent="0.25">
      <c r="A6" s="3273">
        <v>0</v>
      </c>
      <c r="B6" s="1418" t="s">
        <v>17</v>
      </c>
      <c r="C6" s="3274">
        <v>319297</v>
      </c>
      <c r="D6" s="3274"/>
      <c r="E6" s="2028">
        <f>C6+D6</f>
        <v>319297</v>
      </c>
      <c r="F6" s="3274"/>
      <c r="G6" s="3275" t="s">
        <v>1103</v>
      </c>
      <c r="H6" s="3274">
        <v>360716.29</v>
      </c>
      <c r="I6" s="3274"/>
      <c r="J6" s="2028">
        <f>H6+I6</f>
        <v>360716.29</v>
      </c>
      <c r="K6" s="3274"/>
      <c r="L6" s="3275"/>
      <c r="M6" s="3274">
        <f>31122+98196+196177</f>
        <v>325495</v>
      </c>
      <c r="N6" s="3274"/>
      <c r="O6" s="2028">
        <f>M6+N6</f>
        <v>325495</v>
      </c>
      <c r="P6" s="3274"/>
      <c r="Q6" s="3275" t="s">
        <v>1263</v>
      </c>
      <c r="R6" s="3274">
        <f>41174+41990+348181.86</f>
        <v>431345.86</v>
      </c>
      <c r="S6" s="3274">
        <f>46500+119754</f>
        <v>166254</v>
      </c>
      <c r="T6" s="2028">
        <f>R6+S6</f>
        <v>597599.86</v>
      </c>
      <c r="U6" s="3274"/>
      <c r="V6" s="3275" t="s">
        <v>1331</v>
      </c>
      <c r="W6" s="3274">
        <v>346311.84</v>
      </c>
      <c r="X6" s="3274"/>
      <c r="Y6" s="2028">
        <f>W6+X6</f>
        <v>346311.84</v>
      </c>
      <c r="Z6" s="3274"/>
      <c r="AA6" s="3275" t="s">
        <v>1414</v>
      </c>
      <c r="AB6" s="3274">
        <v>277920</v>
      </c>
      <c r="AC6" s="3274"/>
      <c r="AD6" s="2028">
        <f>AB6+AC6</f>
        <v>277920</v>
      </c>
      <c r="AE6" s="3274"/>
      <c r="AF6" s="3275" t="s">
        <v>1472</v>
      </c>
      <c r="AG6" s="3274">
        <v>1697070.26</v>
      </c>
      <c r="AH6" s="3274">
        <v>0</v>
      </c>
      <c r="AI6" s="2028">
        <v>1697070.26</v>
      </c>
      <c r="AJ6" s="3274"/>
      <c r="AK6" s="3276"/>
      <c r="AL6" s="3274">
        <f>AQ6+AV6+BA6+BF6+BK6+BP6+BU6+BZ6+CE6+CJ6+CO6+CT6</f>
        <v>0</v>
      </c>
      <c r="AM6" s="3274">
        <f>AR6+AW6+BB6+BG6+BL6+BQ6+BV6+CA6+CF6+CK6+CP6+CU6</f>
        <v>0</v>
      </c>
      <c r="AN6" s="2028">
        <f>AL6+AM6</f>
        <v>0</v>
      </c>
      <c r="AO6" s="3274"/>
      <c r="AP6" s="3276"/>
      <c r="AQ6" s="3274"/>
      <c r="AR6" s="3274"/>
      <c r="AS6" s="2028">
        <f>AQ6+AR6</f>
        <v>0</v>
      </c>
      <c r="AT6" s="3274"/>
      <c r="AU6" s="3275"/>
      <c r="AV6" s="3274"/>
      <c r="AW6" s="3274"/>
      <c r="AX6" s="2028">
        <f>AV6+AW6</f>
        <v>0</v>
      </c>
      <c r="AY6" s="3274"/>
      <c r="AZ6" s="3374"/>
      <c r="BA6" s="3274"/>
      <c r="BB6" s="3274"/>
      <c r="BC6" s="2028">
        <f>BA6+BB6</f>
        <v>0</v>
      </c>
      <c r="BD6" s="3274"/>
      <c r="BE6" s="3276"/>
      <c r="BF6" s="3274"/>
      <c r="BG6" s="3274"/>
      <c r="BH6" s="2028">
        <f>BF6+BG6</f>
        <v>0</v>
      </c>
      <c r="BI6" s="3274"/>
      <c r="BJ6" s="3276"/>
      <c r="BK6" s="3274"/>
      <c r="BL6" s="3274"/>
      <c r="BM6" s="2028">
        <f>BK6+BL6</f>
        <v>0</v>
      </c>
      <c r="BN6" s="3274"/>
      <c r="BO6" s="3276"/>
      <c r="BP6" s="3274"/>
      <c r="BQ6" s="3274"/>
      <c r="BR6" s="2028">
        <f>BP6+BQ6</f>
        <v>0</v>
      </c>
      <c r="BS6" s="3274"/>
      <c r="BT6" s="3276"/>
      <c r="BU6" s="3274"/>
      <c r="BV6" s="3274"/>
      <c r="BW6" s="2028">
        <f>BU6+BV6</f>
        <v>0</v>
      </c>
      <c r="BX6" s="3274"/>
      <c r="BY6" s="3276"/>
      <c r="BZ6" s="3274"/>
      <c r="CA6" s="3274"/>
      <c r="CB6" s="2028">
        <f>BZ6+CA6</f>
        <v>0</v>
      </c>
      <c r="CC6" s="3274"/>
      <c r="CD6" s="3276"/>
      <c r="CE6" s="3274"/>
      <c r="CF6" s="3274"/>
      <c r="CG6" s="2028">
        <f>CE6+CF6</f>
        <v>0</v>
      </c>
      <c r="CH6" s="3274"/>
      <c r="CI6" s="3276"/>
      <c r="CJ6" s="3274"/>
      <c r="CK6" s="3274"/>
      <c r="CL6" s="2028">
        <f>CJ6+CK6</f>
        <v>0</v>
      </c>
      <c r="CM6" s="3274"/>
      <c r="CN6" s="3276"/>
      <c r="CO6" s="3274"/>
      <c r="CP6" s="3274"/>
      <c r="CQ6" s="2028">
        <f>CO6+CP6</f>
        <v>0</v>
      </c>
      <c r="CR6" s="3274"/>
      <c r="CS6" s="3276"/>
      <c r="CT6" s="3274"/>
      <c r="CU6" s="3274"/>
      <c r="CV6" s="2028">
        <f>CT6+CU6</f>
        <v>0</v>
      </c>
      <c r="CW6" s="3274"/>
      <c r="CX6" s="3276"/>
      <c r="CY6" s="3274">
        <f>C6+H6+M6+R6+W6+AB6+AQ6+AV6+BA6+BF6+BK6+BP6+BU6+BZ6+CE6+CJ6+CO6+CT6+AG6</f>
        <v>3758156.25</v>
      </c>
      <c r="CZ6" s="3274">
        <f>D6+I6+N6+S6+X6+AC6+AR6+AW6+BB6+BG6+BL6+BQ6+BV6+CA6+CF6+CK6+CP6+CU6+AH6</f>
        <v>166254</v>
      </c>
      <c r="DA6" s="2028">
        <f>CY6+CZ6</f>
        <v>3924410.25</v>
      </c>
      <c r="DB6" s="3274"/>
      <c r="DC6" s="3274"/>
    </row>
    <row r="7" spans="1:107" s="1411" customFormat="1" ht="15" customHeight="1" thickBot="1" x14ac:dyDescent="0.3">
      <c r="A7" s="1586"/>
      <c r="B7" s="3231" t="s">
        <v>41</v>
      </c>
      <c r="C7" s="3274"/>
      <c r="D7" s="3274"/>
      <c r="E7" s="2028">
        <f>C7+D7</f>
        <v>0</v>
      </c>
      <c r="F7" s="3277"/>
      <c r="G7" s="3277"/>
      <c r="H7" s="3274"/>
      <c r="I7" s="3274"/>
      <c r="J7" s="2028">
        <f>H7+I7</f>
        <v>0</v>
      </c>
      <c r="K7" s="3277"/>
      <c r="L7" s="3277"/>
      <c r="M7" s="3274"/>
      <c r="N7" s="3274"/>
      <c r="O7" s="2028">
        <f>M7+N7</f>
        <v>0</v>
      </c>
      <c r="P7" s="3277"/>
      <c r="Q7" s="3277"/>
      <c r="R7" s="3274"/>
      <c r="S7" s="3274"/>
      <c r="T7" s="2028">
        <f>R7+S7</f>
        <v>0</v>
      </c>
      <c r="U7" s="3277"/>
      <c r="V7" s="3277"/>
      <c r="W7" s="3274"/>
      <c r="X7" s="3274"/>
      <c r="Y7" s="2028">
        <f>W7+X7</f>
        <v>0</v>
      </c>
      <c r="Z7" s="3277"/>
      <c r="AA7" s="3277"/>
      <c r="AB7" s="3274"/>
      <c r="AC7" s="3274"/>
      <c r="AD7" s="2028">
        <f>AB7+AC7</f>
        <v>0</v>
      </c>
      <c r="AE7" s="3277"/>
      <c r="AF7" s="3277"/>
      <c r="AG7" s="3274">
        <v>0</v>
      </c>
      <c r="AH7" s="3274">
        <v>0</v>
      </c>
      <c r="AI7" s="2028">
        <v>0</v>
      </c>
      <c r="AJ7" s="3277"/>
      <c r="AK7" s="3276"/>
      <c r="AL7" s="3274">
        <f>AQ7+AV7+BA7+BF7+BK7+BP7+BU7+BZ7+CE7+CJ7+CO7+CT7</f>
        <v>0</v>
      </c>
      <c r="AM7" s="3274">
        <f>AR7+AW7+BB7+BG7+BL7+BQ7+BV7+CA7+CF7+CK7+CP7+CU7</f>
        <v>0</v>
      </c>
      <c r="AN7" s="2028">
        <f>AL7+AM7</f>
        <v>0</v>
      </c>
      <c r="AO7" s="3277"/>
      <c r="AP7" s="3276"/>
      <c r="AQ7" s="3274"/>
      <c r="AR7" s="3274"/>
      <c r="AS7" s="2028">
        <f>AQ7+AR7</f>
        <v>0</v>
      </c>
      <c r="AT7" s="3277"/>
      <c r="AU7" s="3277"/>
      <c r="AV7" s="3274"/>
      <c r="AW7" s="3274"/>
      <c r="AX7" s="2028">
        <f>AV7+AW7</f>
        <v>0</v>
      </c>
      <c r="AY7" s="3277"/>
      <c r="AZ7" s="3277"/>
      <c r="BA7" s="3274"/>
      <c r="BB7" s="3274"/>
      <c r="BC7" s="2028">
        <f>BA7+BB7</f>
        <v>0</v>
      </c>
      <c r="BD7" s="3277"/>
      <c r="BE7" s="3277"/>
      <c r="BF7" s="3274"/>
      <c r="BG7" s="3274"/>
      <c r="BH7" s="2028">
        <f>BF7+BG7</f>
        <v>0</v>
      </c>
      <c r="BI7" s="3277"/>
      <c r="BJ7" s="3277"/>
      <c r="BK7" s="3274"/>
      <c r="BL7" s="3274"/>
      <c r="BM7" s="2028">
        <f>BK7+BL7</f>
        <v>0</v>
      </c>
      <c r="BN7" s="3277"/>
      <c r="BO7" s="3277"/>
      <c r="BP7" s="3274"/>
      <c r="BQ7" s="3274"/>
      <c r="BR7" s="2028">
        <f>BP7+BQ7</f>
        <v>0</v>
      </c>
      <c r="BS7" s="3277"/>
      <c r="BT7" s="3277"/>
      <c r="BU7" s="3274"/>
      <c r="BV7" s="3274"/>
      <c r="BW7" s="2028">
        <f>BU7+BV7</f>
        <v>0</v>
      </c>
      <c r="BX7" s="3277"/>
      <c r="BY7" s="3277"/>
      <c r="BZ7" s="3274"/>
      <c r="CA7" s="3274"/>
      <c r="CB7" s="2028">
        <f>BZ7+CA7</f>
        <v>0</v>
      </c>
      <c r="CC7" s="3277"/>
      <c r="CD7" s="3278"/>
      <c r="CE7" s="3274"/>
      <c r="CF7" s="3274"/>
      <c r="CG7" s="2028">
        <f>CE7+CF7</f>
        <v>0</v>
      </c>
      <c r="CH7" s="3277"/>
      <c r="CI7" s="3278"/>
      <c r="CJ7" s="3274"/>
      <c r="CK7" s="3274"/>
      <c r="CL7" s="2028">
        <f>CJ7+CK7</f>
        <v>0</v>
      </c>
      <c r="CM7" s="3277"/>
      <c r="CN7" s="3278"/>
      <c r="CO7" s="3274"/>
      <c r="CP7" s="3274"/>
      <c r="CQ7" s="2028">
        <f>CO7+CP7</f>
        <v>0</v>
      </c>
      <c r="CR7" s="3277"/>
      <c r="CS7" s="3278"/>
      <c r="CT7" s="3274"/>
      <c r="CU7" s="3274"/>
      <c r="CV7" s="2028">
        <f>CT7+CU7</f>
        <v>0</v>
      </c>
      <c r="CW7" s="3277"/>
      <c r="CX7" s="3278"/>
      <c r="CY7" s="3274">
        <f>C7+H7+M7+R7+W7+AB7+AQ7+AV7+BA7+BF7+BK7+BP7+BU7+BZ7+CE7+CJ7+CO7+CT7+AG7</f>
        <v>0</v>
      </c>
      <c r="CZ7" s="3274">
        <f>D7+I7+N7+S7+X7+AC7+AR7+AW7+BB7+BG7+BL7+BQ7+BV7+CA7+CF7+CK7+CP7+CU7+AH7</f>
        <v>0</v>
      </c>
      <c r="DA7" s="2028">
        <f>CY7+CZ7</f>
        <v>0</v>
      </c>
      <c r="DB7" s="3277"/>
      <c r="DC7" s="3277"/>
    </row>
    <row r="8" spans="1:107" s="2483" customFormat="1" ht="14.4" thickBot="1" x14ac:dyDescent="0.3">
      <c r="A8" s="1586"/>
      <c r="B8" s="1478" t="s">
        <v>16</v>
      </c>
      <c r="C8" s="1973">
        <f>SUM(C9:C33)</f>
        <v>116543.58</v>
      </c>
      <c r="D8" s="1973">
        <f>SUM(D9:D33)</f>
        <v>34847.380000000005</v>
      </c>
      <c r="E8" s="1499">
        <f>SUM(E9:E33)</f>
        <v>151390.96000000002</v>
      </c>
      <c r="F8" s="1543">
        <f t="shared" ref="F8:F36" si="0">E8/$E$89</f>
        <v>0.89610743779254887</v>
      </c>
      <c r="G8" s="1481"/>
      <c r="H8" s="1973">
        <f>SUM(H9:H33)</f>
        <v>119817.936</v>
      </c>
      <c r="I8" s="1973">
        <f>SUM(I9:I33)</f>
        <v>43309.03</v>
      </c>
      <c r="J8" s="1499">
        <f>SUM(J9:J33)</f>
        <v>163126.96600000001</v>
      </c>
      <c r="K8" s="1543">
        <f>J8/$T$89</f>
        <v>0.90510516208232716</v>
      </c>
      <c r="L8" s="1481"/>
      <c r="M8" s="1973">
        <f>SUM(M9:M33)</f>
        <v>142427.1</v>
      </c>
      <c r="N8" s="1973">
        <f>SUM(N9:N33)</f>
        <v>40536</v>
      </c>
      <c r="O8" s="1499">
        <f>SUM(O9:O33)</f>
        <v>182963.1</v>
      </c>
      <c r="P8" s="1543">
        <f>O8/$O$89</f>
        <v>0.96518877548432847</v>
      </c>
      <c r="Q8" s="1481"/>
      <c r="R8" s="1973">
        <f>SUM(R9:R33)</f>
        <v>127202.94</v>
      </c>
      <c r="S8" s="1973">
        <f>SUM(S9:S33)</f>
        <v>50538.96</v>
      </c>
      <c r="T8" s="1499">
        <f>SUM(T9:T33)</f>
        <v>177741.9</v>
      </c>
      <c r="U8" s="1543">
        <f>T8/$O$89</f>
        <v>0.93764527827336741</v>
      </c>
      <c r="V8" s="1481"/>
      <c r="W8" s="1973">
        <f>SUM(W9:W33)</f>
        <v>130129.34</v>
      </c>
      <c r="X8" s="1973">
        <f>SUM(X9:X33)</f>
        <v>48277.9</v>
      </c>
      <c r="Y8" s="1499">
        <f>SUM(Y9:Y33)</f>
        <v>178407.24</v>
      </c>
      <c r="Z8" s="1543">
        <f>Y8/$O$89</f>
        <v>0.94115515922685333</v>
      </c>
      <c r="AA8" s="1481"/>
      <c r="AB8" s="1973">
        <f>SUM(AB9:AB33)</f>
        <v>144388.14959999998</v>
      </c>
      <c r="AC8" s="1973">
        <f>SUM(AC9:AC33)</f>
        <v>63551</v>
      </c>
      <c r="AD8" s="1499">
        <f>SUM(AD9:AD33)</f>
        <v>207939.1496</v>
      </c>
      <c r="AE8" s="1543">
        <f>AD8/$O$89</f>
        <v>1.0969454123682676</v>
      </c>
      <c r="AF8" s="1481"/>
      <c r="AG8" s="1973">
        <v>1159717.142</v>
      </c>
      <c r="AH8" s="1973">
        <v>257018.26</v>
      </c>
      <c r="AI8" s="1499">
        <v>1416735.402</v>
      </c>
      <c r="AJ8" s="1543">
        <v>7.8607146144983826</v>
      </c>
      <c r="AK8" s="1481"/>
      <c r="AL8" s="1973">
        <f>SUM(AL9:AL33)</f>
        <v>0</v>
      </c>
      <c r="AM8" s="1973">
        <f>SUM(AM9:AM33)</f>
        <v>0</v>
      </c>
      <c r="AN8" s="1499">
        <f>SUM(AN9:AN33)</f>
        <v>0</v>
      </c>
      <c r="AO8" s="1543">
        <f>AN8/$T$89</f>
        <v>0</v>
      </c>
      <c r="AP8" s="1481"/>
      <c r="AQ8" s="1973">
        <f>SUM(AQ9:AQ33)</f>
        <v>0</v>
      </c>
      <c r="AR8" s="1973">
        <f>SUM(AR9:AR33)</f>
        <v>0</v>
      </c>
      <c r="AS8" s="1499">
        <f>SUM(AS9:AS33)</f>
        <v>0</v>
      </c>
      <c r="AT8" s="1543">
        <f>AS8/$O$89</f>
        <v>0</v>
      </c>
      <c r="AU8" s="1481"/>
      <c r="AV8" s="1973">
        <f>SUM(AV9:AV33)</f>
        <v>0</v>
      </c>
      <c r="AW8" s="1973">
        <f>SUM(AW9:AW33)</f>
        <v>0</v>
      </c>
      <c r="AX8" s="1499">
        <f>SUM(AX9:AX33)</f>
        <v>0</v>
      </c>
      <c r="AY8" s="1543">
        <f>AX8/$E$89</f>
        <v>0</v>
      </c>
      <c r="AZ8" s="1481"/>
      <c r="BA8" s="1973">
        <f>SUM(BA9:BA33)</f>
        <v>0</v>
      </c>
      <c r="BB8" s="1973">
        <f>SUM(BB9:BB33)</f>
        <v>0</v>
      </c>
      <c r="BC8" s="1499">
        <f>SUM(BC9:BC33)</f>
        <v>0</v>
      </c>
      <c r="BD8" s="1543">
        <f>BC8/$AD$89</f>
        <v>0</v>
      </c>
      <c r="BE8" s="1481"/>
      <c r="BF8" s="1973">
        <f>SUM(BF9:BF33)</f>
        <v>0</v>
      </c>
      <c r="BG8" s="1973">
        <f>SUM(BG9:BG33)</f>
        <v>0</v>
      </c>
      <c r="BH8" s="1499">
        <f>SUM(BH9:BH33)</f>
        <v>0</v>
      </c>
      <c r="BI8" s="1543">
        <f>BH8/$AD$89</f>
        <v>0</v>
      </c>
      <c r="BJ8" s="1481"/>
      <c r="BK8" s="1973">
        <f>SUM(BK9:BK33)</f>
        <v>0</v>
      </c>
      <c r="BL8" s="1973">
        <f>SUM(BL9:BL33)</f>
        <v>0</v>
      </c>
      <c r="BM8" s="1499">
        <f>SUM(BM9:BM33)</f>
        <v>0</v>
      </c>
      <c r="BN8" s="1543">
        <f>BM8/$AD$89</f>
        <v>0</v>
      </c>
      <c r="BO8" s="1481"/>
      <c r="BP8" s="1973">
        <f>SUM(BP9:BP33)</f>
        <v>0</v>
      </c>
      <c r="BQ8" s="1973">
        <f>SUM(BQ9:BQ33)</f>
        <v>0</v>
      </c>
      <c r="BR8" s="1499">
        <f>SUM(BR9:BR33)</f>
        <v>0</v>
      </c>
      <c r="BS8" s="1543">
        <f>BR8/$AD$89</f>
        <v>0</v>
      </c>
      <c r="BT8" s="1481"/>
      <c r="BU8" s="1973">
        <f>SUM(BU9:BU33)</f>
        <v>0</v>
      </c>
      <c r="BV8" s="1973">
        <f>SUM(BV9:BV33)</f>
        <v>0</v>
      </c>
      <c r="BW8" s="1499">
        <f>SUM(BW9:BW33)</f>
        <v>0</v>
      </c>
      <c r="BX8" s="1543" t="e">
        <f>BW8/$AN$89</f>
        <v>#DIV/0!</v>
      </c>
      <c r="BY8" s="1481"/>
      <c r="BZ8" s="1973">
        <f>SUM(BZ9:BZ33)</f>
        <v>0</v>
      </c>
      <c r="CA8" s="1973">
        <f>SUM(CA9:CA33)</f>
        <v>0</v>
      </c>
      <c r="CB8" s="1499">
        <f>SUM(CB9:CB33)</f>
        <v>0</v>
      </c>
      <c r="CC8" s="1543" t="e">
        <f>CB8/$AN$89</f>
        <v>#DIV/0!</v>
      </c>
      <c r="CD8" s="1982"/>
      <c r="CE8" s="1973">
        <f>SUM(CE9:CE33)</f>
        <v>0</v>
      </c>
      <c r="CF8" s="1973">
        <f>SUM(CF9:CF33)</f>
        <v>0</v>
      </c>
      <c r="CG8" s="1499">
        <f>SUM(CG9:CG33)</f>
        <v>0</v>
      </c>
      <c r="CH8" s="1543" t="e">
        <f>CG8/$AN$89</f>
        <v>#DIV/0!</v>
      </c>
      <c r="CI8" s="1982"/>
      <c r="CJ8" s="1973">
        <f>SUM(CJ9:CJ33)</f>
        <v>0</v>
      </c>
      <c r="CK8" s="1973">
        <f>SUM(CK9:CK33)</f>
        <v>0</v>
      </c>
      <c r="CL8" s="1499">
        <f>SUM(CL9:CL33)</f>
        <v>0</v>
      </c>
      <c r="CM8" s="1543" t="e">
        <f>CL8/$AN$89</f>
        <v>#DIV/0!</v>
      </c>
      <c r="CN8" s="1982"/>
      <c r="CO8" s="1973">
        <f>SUM(CO9:CO33)</f>
        <v>0</v>
      </c>
      <c r="CP8" s="1973">
        <f>SUM(CP9:CP33)</f>
        <v>0</v>
      </c>
      <c r="CQ8" s="1499">
        <f>SUM(CQ9:CQ33)</f>
        <v>0</v>
      </c>
      <c r="CR8" s="1543" t="e">
        <f>CQ8/$AN$89</f>
        <v>#DIV/0!</v>
      </c>
      <c r="CS8" s="1982"/>
      <c r="CT8" s="1973">
        <f>SUM(CT9:CT33)</f>
        <v>0</v>
      </c>
      <c r="CU8" s="1973">
        <f>SUM(CU9:CU33)</f>
        <v>0</v>
      </c>
      <c r="CV8" s="1499">
        <f>SUM(CV9:CV33)</f>
        <v>0</v>
      </c>
      <c r="CW8" s="1543" t="e">
        <f>CV8/$AN$89</f>
        <v>#DIV/0!</v>
      </c>
      <c r="CX8" s="1982"/>
      <c r="CY8" s="1973">
        <f>SUM(CY9:CY33)</f>
        <v>1940226.1876000001</v>
      </c>
      <c r="CZ8" s="1973">
        <f>SUM(CZ9:CZ33)</f>
        <v>538078.53</v>
      </c>
      <c r="DA8" s="1499">
        <f>SUM(DA9:DA33)</f>
        <v>2478304.7176000001</v>
      </c>
      <c r="DB8" s="1543">
        <f t="shared" ref="DB8:DB33" si="1">DA8/$DA$89</f>
        <v>0.96814439353390569</v>
      </c>
      <c r="DC8" s="1481"/>
    </row>
    <row r="9" spans="1:107" s="1411" customFormat="1" ht="51.6" x14ac:dyDescent="0.25">
      <c r="A9" s="1586"/>
      <c r="B9" s="1415" t="s">
        <v>74</v>
      </c>
      <c r="C9" s="3280">
        <v>9069.67</v>
      </c>
      <c r="D9" s="3280">
        <f>22937+5593.38</f>
        <v>28530.38</v>
      </c>
      <c r="E9" s="3281">
        <f>C9+D9*1</f>
        <v>37600.050000000003</v>
      </c>
      <c r="F9" s="1574">
        <f>E9/$E$89</f>
        <v>0.22256074250649921</v>
      </c>
      <c r="G9" s="3282" t="s">
        <v>1120</v>
      </c>
      <c r="H9" s="3280">
        <f>2338.05+7325.5+3300</f>
        <v>12963.55</v>
      </c>
      <c r="I9" s="3280">
        <f>1564.75+26742.88</f>
        <v>28307.63</v>
      </c>
      <c r="J9" s="3281">
        <f>H9+I9*1</f>
        <v>41271.18</v>
      </c>
      <c r="K9" s="1574">
        <f>J9/$T$89</f>
        <v>0.22899192560982773</v>
      </c>
      <c r="L9" s="3380" t="s">
        <v>1165</v>
      </c>
      <c r="M9" s="3280">
        <v>10171.92</v>
      </c>
      <c r="N9" s="3280">
        <f>37055+3251</f>
        <v>40306</v>
      </c>
      <c r="O9" s="3281">
        <f>M9+N9*1</f>
        <v>50477.919999999998</v>
      </c>
      <c r="P9" s="1574">
        <f t="shared" ref="P9:P71" si="2">O9/$O$89</f>
        <v>0.26628714639069784</v>
      </c>
      <c r="Q9" s="3282" t="s">
        <v>1264</v>
      </c>
      <c r="R9" s="3280">
        <v>7567</v>
      </c>
      <c r="S9" s="3280">
        <f>12851+6699+2634</f>
        <v>22184</v>
      </c>
      <c r="T9" s="3281">
        <f>R9+S9*1</f>
        <v>29751</v>
      </c>
      <c r="U9" s="1574">
        <f t="shared" ref="U9:U33" si="3">T9/$O$89</f>
        <v>0.15694602496041143</v>
      </c>
      <c r="V9" s="3282" t="s">
        <v>1337</v>
      </c>
      <c r="W9" s="3280">
        <v>7567</v>
      </c>
      <c r="X9" s="3280">
        <v>18956.5</v>
      </c>
      <c r="Y9" s="3281">
        <f>W9+X9*1</f>
        <v>26523.5</v>
      </c>
      <c r="Z9" s="1574">
        <f t="shared" ref="Z9:Z33" si="4">Y9/$O$89</f>
        <v>0.13991993186909593</v>
      </c>
      <c r="AA9" s="3282" t="s">
        <v>1337</v>
      </c>
      <c r="AB9" s="3280">
        <v>7567</v>
      </c>
      <c r="AC9" s="3280">
        <f>33551+20*1000+10000</f>
        <v>63551</v>
      </c>
      <c r="AD9" s="3281">
        <f>AB9+AC9*1</f>
        <v>71118</v>
      </c>
      <c r="AE9" s="1574">
        <f t="shared" ref="AE9:AE33" si="5">AD9/$O$89</f>
        <v>0.37517015909161172</v>
      </c>
      <c r="AF9" s="3275" t="s">
        <v>1484</v>
      </c>
      <c r="AG9" s="3274">
        <v>72649.399999999994</v>
      </c>
      <c r="AH9" s="3274">
        <v>214869</v>
      </c>
      <c r="AI9" s="3283">
        <v>287518.40000000002</v>
      </c>
      <c r="AJ9" s="3284">
        <v>1.5952873667352543</v>
      </c>
      <c r="AK9" s="3275"/>
      <c r="AL9" s="3274">
        <f t="shared" ref="AL9:AM33" si="6">AQ9+AV9+BA9+BF9+BK9+BP9+BU9+BZ9+CE9+CJ9+CO9+CT9</f>
        <v>0</v>
      </c>
      <c r="AM9" s="3274">
        <f t="shared" si="6"/>
        <v>0</v>
      </c>
      <c r="AN9" s="3283">
        <f>AL9+AM9*1</f>
        <v>0</v>
      </c>
      <c r="AO9" s="3284">
        <f t="shared" ref="AO9:AO33" si="7">AN9/$T$89</f>
        <v>0</v>
      </c>
      <c r="AP9" s="3275"/>
      <c r="AQ9" s="3280"/>
      <c r="AR9" s="3280"/>
      <c r="AS9" s="3281">
        <f>AQ9+AR9*1</f>
        <v>0</v>
      </c>
      <c r="AT9" s="1574">
        <f t="shared" ref="AT9:AT33" si="8">AS9/$O$89</f>
        <v>0</v>
      </c>
      <c r="AU9" s="3275"/>
      <c r="AV9" s="3283"/>
      <c r="AW9" s="3274"/>
      <c r="AX9" s="3283">
        <f>AV9+AW9*1</f>
        <v>0</v>
      </c>
      <c r="AY9" s="3284">
        <f t="shared" ref="AY9:AY33" si="9">AX9/$E$89</f>
        <v>0</v>
      </c>
      <c r="AZ9" s="3287"/>
      <c r="BA9" s="3285"/>
      <c r="BB9" s="3285"/>
      <c r="BC9" s="3286">
        <f>BA9+BB9*1</f>
        <v>0</v>
      </c>
      <c r="BD9" s="3284">
        <f t="shared" ref="BD9:BD33" si="10">BC9/$AD$89</f>
        <v>0</v>
      </c>
      <c r="BE9" s="3287"/>
      <c r="BF9" s="3285"/>
      <c r="BG9" s="3285"/>
      <c r="BH9" s="3286">
        <f>BF9+BG9*1</f>
        <v>0</v>
      </c>
      <c r="BI9" s="3284">
        <f t="shared" ref="BI9:BI33" si="11">BH9/$AD$89</f>
        <v>0</v>
      </c>
      <c r="BJ9" s="3287"/>
      <c r="BK9" s="3285"/>
      <c r="BL9" s="3285"/>
      <c r="BM9" s="3286">
        <f>BK9+BL9*1</f>
        <v>0</v>
      </c>
      <c r="BN9" s="3284">
        <f t="shared" ref="BN9:BN33" si="12">BM9/$AD$89</f>
        <v>0</v>
      </c>
      <c r="BO9" s="3287"/>
      <c r="BP9" s="3286"/>
      <c r="BQ9" s="3285"/>
      <c r="BR9" s="3286">
        <f>BP9+BQ9*1</f>
        <v>0</v>
      </c>
      <c r="BS9" s="3284">
        <f t="shared" ref="BS9:BS33" si="13">BR9/$AD$89</f>
        <v>0</v>
      </c>
      <c r="BT9" s="3287"/>
      <c r="BU9" s="3285"/>
      <c r="BV9" s="3285"/>
      <c r="BW9" s="3286">
        <f>BU9+BV9*1</f>
        <v>0</v>
      </c>
      <c r="BX9" s="3284" t="e">
        <f t="shared" ref="BX9:BX33" si="14">BW9/$AN$89</f>
        <v>#DIV/0!</v>
      </c>
      <c r="BY9" s="3287"/>
      <c r="BZ9" s="3285"/>
      <c r="CA9" s="3285"/>
      <c r="CB9" s="3286">
        <f>BZ9+CA9*1</f>
        <v>0</v>
      </c>
      <c r="CC9" s="3284" t="e">
        <f t="shared" ref="CC9:CC33" si="15">CB9/$AN$89</f>
        <v>#DIV/0!</v>
      </c>
      <c r="CD9" s="3287"/>
      <c r="CE9" s="3285"/>
      <c r="CF9" s="3285"/>
      <c r="CG9" s="3286">
        <f>CE9+CF9*1</f>
        <v>0</v>
      </c>
      <c r="CH9" s="3284" t="e">
        <f t="shared" ref="CH9:CH33" si="16">CG9/$AN$89</f>
        <v>#DIV/0!</v>
      </c>
      <c r="CI9" s="3287"/>
      <c r="CJ9" s="3285"/>
      <c r="CK9" s="3285"/>
      <c r="CL9" s="3286">
        <f>CJ9+CK9*1</f>
        <v>0</v>
      </c>
      <c r="CM9" s="3284" t="e">
        <f t="shared" ref="CM9:CM33" si="17">CL9/$AN$89</f>
        <v>#DIV/0!</v>
      </c>
      <c r="CN9" s="3287"/>
      <c r="CO9" s="3285"/>
      <c r="CP9" s="3285"/>
      <c r="CQ9" s="3286">
        <f>CO9+CP9*1</f>
        <v>0</v>
      </c>
      <c r="CR9" s="3284" t="e">
        <f t="shared" ref="CR9:CR33" si="18">CQ9/$AN$89</f>
        <v>#DIV/0!</v>
      </c>
      <c r="CS9" s="3287"/>
      <c r="CT9" s="3285"/>
      <c r="CU9" s="3285"/>
      <c r="CV9" s="3286">
        <f>CT9+CU9*1</f>
        <v>0</v>
      </c>
      <c r="CW9" s="3284" t="e">
        <f t="shared" ref="CW9:CW33" si="19">CV9/$AN$89</f>
        <v>#DIV/0!</v>
      </c>
      <c r="CX9" s="3287"/>
      <c r="CY9" s="3274">
        <f t="shared" ref="CY9:CZ9" si="20">C9+H9+M9+R9+W9+AB9+AQ9+AV9+BA9+BF9+BK9+BP9+BU9+BZ9+CE9+CJ9+CO9+CT9+AG9</f>
        <v>127555.54</v>
      </c>
      <c r="CZ9" s="3274">
        <f t="shared" si="20"/>
        <v>416704.51</v>
      </c>
      <c r="DA9" s="3281">
        <f>CY9+CZ9*1</f>
        <v>544260.05000000005</v>
      </c>
      <c r="DB9" s="1574">
        <f t="shared" si="1"/>
        <v>0.21261401485054543</v>
      </c>
      <c r="DC9" s="1595"/>
    </row>
    <row r="10" spans="1:107" s="1411" customFormat="1" ht="13.8" x14ac:dyDescent="0.25">
      <c r="A10" s="1586"/>
      <c r="B10" s="1061" t="s">
        <v>72</v>
      </c>
      <c r="C10" s="3274">
        <v>2197</v>
      </c>
      <c r="D10" s="3274"/>
      <c r="E10" s="3283">
        <f t="shared" ref="E10:E21" si="21">C10+D10*1</f>
        <v>2197</v>
      </c>
      <c r="F10" s="3284">
        <f t="shared" si="0"/>
        <v>1.3004396304972434E-2</v>
      </c>
      <c r="G10" s="1449"/>
      <c r="H10" s="3274">
        <v>2340.86</v>
      </c>
      <c r="I10" s="3274"/>
      <c r="J10" s="3283">
        <f t="shared" ref="J10:J21" si="22">H10+I10*1</f>
        <v>2340.86</v>
      </c>
      <c r="K10" s="3284">
        <f t="shared" ref="K10:K33" si="23">J10/$T$89</f>
        <v>1.2988192704522171E-2</v>
      </c>
      <c r="L10" s="1449"/>
      <c r="M10" s="3274">
        <v>2464.0100000000002</v>
      </c>
      <c r="N10" s="3274"/>
      <c r="O10" s="3283">
        <f t="shared" ref="O10:O21" si="24">M10+N10*1</f>
        <v>2464.0100000000002</v>
      </c>
      <c r="P10" s="3284">
        <f t="shared" si="2"/>
        <v>1.2998439546996855E-2</v>
      </c>
      <c r="Q10" s="1449"/>
      <c r="R10" s="3274">
        <v>1833</v>
      </c>
      <c r="S10" s="3274"/>
      <c r="T10" s="3283">
        <f t="shared" ref="T10:T21" si="25">R10+S10*1</f>
        <v>1833</v>
      </c>
      <c r="U10" s="3284">
        <f t="shared" si="3"/>
        <v>9.6696603056177673E-3</v>
      </c>
      <c r="V10" s="1449"/>
      <c r="W10" s="3274">
        <v>1833</v>
      </c>
      <c r="X10" s="3274"/>
      <c r="Y10" s="3283">
        <f t="shared" ref="Y10:Y21" si="26">W10+X10*1</f>
        <v>1833</v>
      </c>
      <c r="Z10" s="3284">
        <f t="shared" si="4"/>
        <v>9.6696603056177673E-3</v>
      </c>
      <c r="AA10" s="1449"/>
      <c r="AB10" s="3274">
        <v>1833</v>
      </c>
      <c r="AC10" s="3274"/>
      <c r="AD10" s="3283">
        <f t="shared" ref="AD10:AD21" si="27">AB10+AC10*1</f>
        <v>1833</v>
      </c>
      <c r="AE10" s="3284">
        <f t="shared" si="5"/>
        <v>9.6696603056177673E-3</v>
      </c>
      <c r="AF10" s="1449"/>
      <c r="AG10" s="3274">
        <v>16615.490000000002</v>
      </c>
      <c r="AH10" s="3274">
        <v>0</v>
      </c>
      <c r="AI10" s="3283">
        <v>16615.490000000002</v>
      </c>
      <c r="AJ10" s="3284">
        <v>9.2190556462181036E-2</v>
      </c>
      <c r="AK10" s="1449"/>
      <c r="AL10" s="3274">
        <f t="shared" si="6"/>
        <v>0</v>
      </c>
      <c r="AM10" s="3274">
        <f t="shared" si="6"/>
        <v>0</v>
      </c>
      <c r="AN10" s="3283">
        <f t="shared" ref="AN10:AN21" si="28">AL10+AM10*1</f>
        <v>0</v>
      </c>
      <c r="AO10" s="3284">
        <f t="shared" si="7"/>
        <v>0</v>
      </c>
      <c r="AP10" s="1449"/>
      <c r="AQ10" s="3274"/>
      <c r="AR10" s="3274"/>
      <c r="AS10" s="3283">
        <f t="shared" ref="AS10:AS21" si="29">AQ10+AR10*1</f>
        <v>0</v>
      </c>
      <c r="AT10" s="3284">
        <f t="shared" si="8"/>
        <v>0</v>
      </c>
      <c r="AU10" s="1449"/>
      <c r="AV10" s="3283"/>
      <c r="AW10" s="3274"/>
      <c r="AX10" s="3283">
        <f t="shared" ref="AX10:AX33" si="30">AV10+AW10*1</f>
        <v>0</v>
      </c>
      <c r="AY10" s="3284">
        <f t="shared" si="9"/>
        <v>0</v>
      </c>
      <c r="AZ10" s="1449"/>
      <c r="BA10" s="3285"/>
      <c r="BB10" s="3285"/>
      <c r="BC10" s="3286">
        <f t="shared" ref="BC10:BC33" si="31">BA10+BB10*1</f>
        <v>0</v>
      </c>
      <c r="BD10" s="3284">
        <f t="shared" si="10"/>
        <v>0</v>
      </c>
      <c r="BE10" s="1158"/>
      <c r="BF10" s="3285"/>
      <c r="BG10" s="3285"/>
      <c r="BH10" s="3286">
        <f>BF10+BG10*1</f>
        <v>0</v>
      </c>
      <c r="BI10" s="3284">
        <f t="shared" si="11"/>
        <v>0</v>
      </c>
      <c r="BJ10" s="1158"/>
      <c r="BK10" s="3285"/>
      <c r="BL10" s="3285"/>
      <c r="BM10" s="3286">
        <f>BK10+BL10*1</f>
        <v>0</v>
      </c>
      <c r="BN10" s="3284">
        <f t="shared" si="12"/>
        <v>0</v>
      </c>
      <c r="BO10" s="1158"/>
      <c r="BP10" s="3286"/>
      <c r="BQ10" s="3285"/>
      <c r="BR10" s="3286">
        <f>BP10+BQ10*1</f>
        <v>0</v>
      </c>
      <c r="BS10" s="3284">
        <f t="shared" si="13"/>
        <v>0</v>
      </c>
      <c r="BT10" s="1158"/>
      <c r="BU10" s="3285"/>
      <c r="BV10" s="3285"/>
      <c r="BW10" s="3286">
        <f>BU10+BV10*1</f>
        <v>0</v>
      </c>
      <c r="BX10" s="3284" t="e">
        <f t="shared" si="14"/>
        <v>#DIV/0!</v>
      </c>
      <c r="BY10" s="1158"/>
      <c r="BZ10" s="3285"/>
      <c r="CA10" s="3285"/>
      <c r="CB10" s="3286">
        <f>BZ10+CA10*1</f>
        <v>0</v>
      </c>
      <c r="CC10" s="3284" t="e">
        <f t="shared" si="15"/>
        <v>#DIV/0!</v>
      </c>
      <c r="CD10" s="1158"/>
      <c r="CE10" s="3285"/>
      <c r="CF10" s="3285"/>
      <c r="CG10" s="3286">
        <f>CE10+CF10*1</f>
        <v>0</v>
      </c>
      <c r="CH10" s="3284" t="e">
        <f t="shared" si="16"/>
        <v>#DIV/0!</v>
      </c>
      <c r="CI10" s="1158"/>
      <c r="CJ10" s="3285"/>
      <c r="CK10" s="3285"/>
      <c r="CL10" s="3286">
        <f>CJ10+CK10*1</f>
        <v>0</v>
      </c>
      <c r="CM10" s="3284" t="e">
        <f t="shared" si="17"/>
        <v>#DIV/0!</v>
      </c>
      <c r="CN10" s="1158"/>
      <c r="CO10" s="3285"/>
      <c r="CP10" s="3285"/>
      <c r="CQ10" s="3286">
        <f>CO10+CP10*1</f>
        <v>0</v>
      </c>
      <c r="CR10" s="3284" t="e">
        <f t="shared" si="18"/>
        <v>#DIV/0!</v>
      </c>
      <c r="CS10" s="1158"/>
      <c r="CT10" s="3285"/>
      <c r="CU10" s="3285"/>
      <c r="CV10" s="3286">
        <f>CT10+CU10*1</f>
        <v>0</v>
      </c>
      <c r="CW10" s="3284" t="e">
        <f t="shared" si="19"/>
        <v>#DIV/0!</v>
      </c>
      <c r="CX10" s="1158"/>
      <c r="CY10" s="3274">
        <f t="shared" ref="CY10:CY32" si="32">C10+H10+M10+R10+W10+AB10+AQ10+AV10+BA10+BF10+BK10+BP10+BU10+BZ10+CE10+CJ10+CO10+CT10+AG10</f>
        <v>29116.36</v>
      </c>
      <c r="CZ10" s="3274">
        <f t="shared" ref="CZ10:CZ32" si="33">D10+I10+N10+S10+X10+AC10+AR10+AW10+BB10+BG10+BL10+BQ10+BV10+CA10+CF10+CK10+CP10+CU10+AH10</f>
        <v>0</v>
      </c>
      <c r="DA10" s="3283">
        <f t="shared" ref="DA10:DA33" si="34">CY10+CZ10*1</f>
        <v>29116.36</v>
      </c>
      <c r="DB10" s="3284">
        <f t="shared" si="1"/>
        <v>1.137424324536373E-2</v>
      </c>
      <c r="DC10" s="1449"/>
    </row>
    <row r="11" spans="1:107" s="1411" customFormat="1" ht="13.8" x14ac:dyDescent="0.25">
      <c r="A11" s="1586"/>
      <c r="B11" s="1061" t="s">
        <v>69</v>
      </c>
      <c r="C11" s="3274">
        <v>2478.67</v>
      </c>
      <c r="D11" s="3274"/>
      <c r="E11" s="3283">
        <f t="shared" si="21"/>
        <v>2478.67</v>
      </c>
      <c r="F11" s="3284">
        <f t="shared" si="0"/>
        <v>1.4671646331017762E-2</v>
      </c>
      <c r="G11" s="1449"/>
      <c r="H11" s="3274">
        <v>2640.97</v>
      </c>
      <c r="I11" s="3274"/>
      <c r="J11" s="3283">
        <f t="shared" si="22"/>
        <v>2640.97</v>
      </c>
      <c r="K11" s="3284">
        <f t="shared" si="23"/>
        <v>1.4653344192673596E-2</v>
      </c>
      <c r="L11" s="1449"/>
      <c r="M11" s="3274">
        <v>2779.9</v>
      </c>
      <c r="N11" s="3274"/>
      <c r="O11" s="3283">
        <f t="shared" si="24"/>
        <v>2779.9</v>
      </c>
      <c r="P11" s="3284">
        <f t="shared" si="2"/>
        <v>1.466486016562293E-2</v>
      </c>
      <c r="Q11" s="1449"/>
      <c r="R11" s="3274">
        <v>2068</v>
      </c>
      <c r="S11" s="3274"/>
      <c r="T11" s="3283">
        <f t="shared" si="25"/>
        <v>2068</v>
      </c>
      <c r="U11" s="3284">
        <f t="shared" si="3"/>
        <v>1.0909360344799531E-2</v>
      </c>
      <c r="V11" s="1449"/>
      <c r="W11" s="3274">
        <v>2068</v>
      </c>
      <c r="X11" s="3274"/>
      <c r="Y11" s="3283">
        <f t="shared" si="26"/>
        <v>2068</v>
      </c>
      <c r="Z11" s="3284">
        <f t="shared" si="4"/>
        <v>1.0909360344799531E-2</v>
      </c>
      <c r="AA11" s="1449"/>
      <c r="AB11" s="3274">
        <v>2068</v>
      </c>
      <c r="AC11" s="3274"/>
      <c r="AD11" s="3283">
        <f t="shared" si="27"/>
        <v>2068</v>
      </c>
      <c r="AE11" s="3284">
        <f t="shared" si="5"/>
        <v>1.0909360344799531E-2</v>
      </c>
      <c r="AF11" s="1449"/>
      <c r="AG11" s="3274">
        <v>18245.539999999997</v>
      </c>
      <c r="AH11" s="3274">
        <v>0</v>
      </c>
      <c r="AI11" s="3283">
        <v>18245.539999999997</v>
      </c>
      <c r="AJ11" s="3284">
        <v>0.10123484083544826</v>
      </c>
      <c r="AK11" s="1449"/>
      <c r="AL11" s="3274">
        <f t="shared" si="6"/>
        <v>0</v>
      </c>
      <c r="AM11" s="3274">
        <f t="shared" si="6"/>
        <v>0</v>
      </c>
      <c r="AN11" s="3283">
        <f t="shared" si="28"/>
        <v>0</v>
      </c>
      <c r="AO11" s="3284">
        <f t="shared" si="7"/>
        <v>0</v>
      </c>
      <c r="AP11" s="1449"/>
      <c r="AQ11" s="3274"/>
      <c r="AR11" s="3274"/>
      <c r="AS11" s="3283">
        <f t="shared" si="29"/>
        <v>0</v>
      </c>
      <c r="AT11" s="3284">
        <f t="shared" si="8"/>
        <v>0</v>
      </c>
      <c r="AU11" s="1449"/>
      <c r="AV11" s="3283"/>
      <c r="AW11" s="3274"/>
      <c r="AX11" s="3283">
        <f t="shared" si="30"/>
        <v>0</v>
      </c>
      <c r="AY11" s="3284">
        <f t="shared" si="9"/>
        <v>0</v>
      </c>
      <c r="AZ11" s="1449"/>
      <c r="BA11" s="3285"/>
      <c r="BB11" s="3285"/>
      <c r="BC11" s="3286">
        <f t="shared" si="31"/>
        <v>0</v>
      </c>
      <c r="BD11" s="3284">
        <f t="shared" si="10"/>
        <v>0</v>
      </c>
      <c r="BE11" s="1158"/>
      <c r="BF11" s="3285"/>
      <c r="BG11" s="3285"/>
      <c r="BH11" s="3286">
        <f>BF11+BG11*1</f>
        <v>0</v>
      </c>
      <c r="BI11" s="3284">
        <f t="shared" si="11"/>
        <v>0</v>
      </c>
      <c r="BJ11" s="1158"/>
      <c r="BK11" s="3285"/>
      <c r="BL11" s="3285"/>
      <c r="BM11" s="3286">
        <f>BK11+BL11*1</f>
        <v>0</v>
      </c>
      <c r="BN11" s="3284">
        <f t="shared" si="12"/>
        <v>0</v>
      </c>
      <c r="BO11" s="1158"/>
      <c r="BP11" s="3286"/>
      <c r="BQ11" s="3285"/>
      <c r="BR11" s="3286">
        <f>BP11+BQ11*1</f>
        <v>0</v>
      </c>
      <c r="BS11" s="3284">
        <f t="shared" si="13"/>
        <v>0</v>
      </c>
      <c r="BT11" s="1158"/>
      <c r="BU11" s="3285"/>
      <c r="BV11" s="3285"/>
      <c r="BW11" s="3286">
        <f>BU11+BV11*1</f>
        <v>0</v>
      </c>
      <c r="BX11" s="3284" t="e">
        <f t="shared" si="14"/>
        <v>#DIV/0!</v>
      </c>
      <c r="BY11" s="1158"/>
      <c r="BZ11" s="3285"/>
      <c r="CA11" s="3285"/>
      <c r="CB11" s="3286">
        <f>BZ11+CA11*1</f>
        <v>0</v>
      </c>
      <c r="CC11" s="3284" t="e">
        <f t="shared" si="15"/>
        <v>#DIV/0!</v>
      </c>
      <c r="CD11" s="1158"/>
      <c r="CE11" s="3285"/>
      <c r="CF11" s="3285"/>
      <c r="CG11" s="3286">
        <f>CE11+CF11*1</f>
        <v>0</v>
      </c>
      <c r="CH11" s="3284" t="e">
        <f t="shared" si="16"/>
        <v>#DIV/0!</v>
      </c>
      <c r="CI11" s="1158"/>
      <c r="CJ11" s="3285"/>
      <c r="CK11" s="3285"/>
      <c r="CL11" s="3286">
        <f>CJ11+CK11*1</f>
        <v>0</v>
      </c>
      <c r="CM11" s="3284" t="e">
        <f t="shared" si="17"/>
        <v>#DIV/0!</v>
      </c>
      <c r="CN11" s="1158"/>
      <c r="CO11" s="3285"/>
      <c r="CP11" s="3285"/>
      <c r="CQ11" s="3286">
        <f>CO11+CP11*1</f>
        <v>0</v>
      </c>
      <c r="CR11" s="3284" t="e">
        <f t="shared" si="18"/>
        <v>#DIV/0!</v>
      </c>
      <c r="CS11" s="1158"/>
      <c r="CT11" s="3285"/>
      <c r="CU11" s="3285"/>
      <c r="CV11" s="3286">
        <f>CT11+CU11*1</f>
        <v>0</v>
      </c>
      <c r="CW11" s="3284" t="e">
        <f t="shared" si="19"/>
        <v>#DIV/0!</v>
      </c>
      <c r="CX11" s="1158"/>
      <c r="CY11" s="3274">
        <f t="shared" si="32"/>
        <v>32349.079999999994</v>
      </c>
      <c r="CZ11" s="3274">
        <f t="shared" si="33"/>
        <v>0</v>
      </c>
      <c r="DA11" s="3283">
        <f t="shared" si="34"/>
        <v>32349.079999999994</v>
      </c>
      <c r="DB11" s="3284">
        <f t="shared" si="1"/>
        <v>1.2637098342091212E-2</v>
      </c>
      <c r="DC11" s="1449"/>
    </row>
    <row r="12" spans="1:107" s="1411" customFormat="1" ht="13.8" x14ac:dyDescent="0.25">
      <c r="A12" s="1586"/>
      <c r="B12" s="1061" t="s">
        <v>73</v>
      </c>
      <c r="C12" s="3288"/>
      <c r="D12" s="3274"/>
      <c r="E12" s="3283">
        <f t="shared" si="21"/>
        <v>0</v>
      </c>
      <c r="F12" s="3284">
        <f t="shared" si="0"/>
        <v>0</v>
      </c>
      <c r="G12" s="1449"/>
      <c r="H12" s="3274"/>
      <c r="I12" s="3274"/>
      <c r="J12" s="3283">
        <f t="shared" si="22"/>
        <v>0</v>
      </c>
      <c r="K12" s="3284">
        <f t="shared" si="23"/>
        <v>0</v>
      </c>
      <c r="L12" s="1449"/>
      <c r="M12" s="3274"/>
      <c r="N12" s="3274"/>
      <c r="O12" s="3283">
        <f t="shared" si="24"/>
        <v>0</v>
      </c>
      <c r="P12" s="3284">
        <f t="shared" si="2"/>
        <v>0</v>
      </c>
      <c r="Q12" s="1449"/>
      <c r="R12" s="3274"/>
      <c r="S12" s="3274"/>
      <c r="T12" s="3283">
        <f t="shared" si="25"/>
        <v>0</v>
      </c>
      <c r="U12" s="3284">
        <f t="shared" si="3"/>
        <v>0</v>
      </c>
      <c r="V12" s="1449"/>
      <c r="W12" s="3274"/>
      <c r="X12" s="3274"/>
      <c r="Y12" s="3283">
        <f t="shared" si="26"/>
        <v>0</v>
      </c>
      <c r="Z12" s="3284">
        <f t="shared" si="4"/>
        <v>0</v>
      </c>
      <c r="AA12" s="1449"/>
      <c r="AB12" s="3274"/>
      <c r="AC12" s="3274"/>
      <c r="AD12" s="3283">
        <f t="shared" si="27"/>
        <v>0</v>
      </c>
      <c r="AE12" s="3284">
        <f t="shared" si="5"/>
        <v>0</v>
      </c>
      <c r="AF12" s="1449"/>
      <c r="AG12" s="3274">
        <v>0</v>
      </c>
      <c r="AH12" s="3274">
        <v>0</v>
      </c>
      <c r="AI12" s="3283">
        <v>0</v>
      </c>
      <c r="AJ12" s="3284">
        <v>0</v>
      </c>
      <c r="AK12" s="1449"/>
      <c r="AL12" s="3274">
        <f t="shared" si="6"/>
        <v>0</v>
      </c>
      <c r="AM12" s="3274">
        <f t="shared" si="6"/>
        <v>0</v>
      </c>
      <c r="AN12" s="3283">
        <f t="shared" si="28"/>
        <v>0</v>
      </c>
      <c r="AO12" s="3284">
        <f t="shared" si="7"/>
        <v>0</v>
      </c>
      <c r="AP12" s="1449"/>
      <c r="AQ12" s="3274"/>
      <c r="AR12" s="3274"/>
      <c r="AS12" s="3283">
        <f t="shared" si="29"/>
        <v>0</v>
      </c>
      <c r="AT12" s="3284">
        <f t="shared" si="8"/>
        <v>0</v>
      </c>
      <c r="AU12" s="1449"/>
      <c r="AV12" s="3274"/>
      <c r="AW12" s="3274"/>
      <c r="AX12" s="3283">
        <f t="shared" si="30"/>
        <v>0</v>
      </c>
      <c r="AY12" s="3284">
        <f t="shared" si="9"/>
        <v>0</v>
      </c>
      <c r="AZ12" s="1449"/>
      <c r="BA12" s="3285"/>
      <c r="BB12" s="3285"/>
      <c r="BC12" s="3286">
        <f t="shared" si="31"/>
        <v>0</v>
      </c>
      <c r="BD12" s="3284">
        <f t="shared" si="10"/>
        <v>0</v>
      </c>
      <c r="BE12" s="1158"/>
      <c r="BF12" s="3285"/>
      <c r="BG12" s="3285"/>
      <c r="BH12" s="3286">
        <f>BF12+BG12*1</f>
        <v>0</v>
      </c>
      <c r="BI12" s="3284">
        <f t="shared" si="11"/>
        <v>0</v>
      </c>
      <c r="BJ12" s="1158"/>
      <c r="BK12" s="3285"/>
      <c r="BL12" s="3285"/>
      <c r="BM12" s="3286">
        <f>BK12+BL12*1</f>
        <v>0</v>
      </c>
      <c r="BN12" s="3284">
        <f t="shared" si="12"/>
        <v>0</v>
      </c>
      <c r="BO12" s="1158"/>
      <c r="BP12" s="3286"/>
      <c r="BQ12" s="3285"/>
      <c r="BR12" s="3286">
        <f>BP12+BQ12*1</f>
        <v>0</v>
      </c>
      <c r="BS12" s="3284">
        <f t="shared" si="13"/>
        <v>0</v>
      </c>
      <c r="BT12" s="1158"/>
      <c r="BU12" s="3285"/>
      <c r="BV12" s="3285"/>
      <c r="BW12" s="3286">
        <f>BU12+BV12*1</f>
        <v>0</v>
      </c>
      <c r="BX12" s="3284" t="e">
        <f t="shared" si="14"/>
        <v>#DIV/0!</v>
      </c>
      <c r="BY12" s="1158"/>
      <c r="BZ12" s="3285"/>
      <c r="CA12" s="3285"/>
      <c r="CB12" s="3286">
        <f>BZ12+CA12*1</f>
        <v>0</v>
      </c>
      <c r="CC12" s="3284" t="e">
        <f t="shared" si="15"/>
        <v>#DIV/0!</v>
      </c>
      <c r="CD12" s="1158"/>
      <c r="CE12" s="3285"/>
      <c r="CF12" s="3285"/>
      <c r="CG12" s="3286">
        <f>CE12+CF12*1</f>
        <v>0</v>
      </c>
      <c r="CH12" s="3284" t="e">
        <f t="shared" si="16"/>
        <v>#DIV/0!</v>
      </c>
      <c r="CI12" s="1158"/>
      <c r="CJ12" s="3285"/>
      <c r="CK12" s="3285"/>
      <c r="CL12" s="3286">
        <f>CJ12+CK12*1</f>
        <v>0</v>
      </c>
      <c r="CM12" s="3284" t="e">
        <f t="shared" si="17"/>
        <v>#DIV/0!</v>
      </c>
      <c r="CN12" s="1158"/>
      <c r="CO12" s="3285"/>
      <c r="CP12" s="3285"/>
      <c r="CQ12" s="3286">
        <f>CO12+CP12*1</f>
        <v>0</v>
      </c>
      <c r="CR12" s="3284" t="e">
        <f t="shared" si="18"/>
        <v>#DIV/0!</v>
      </c>
      <c r="CS12" s="1158"/>
      <c r="CT12" s="3285"/>
      <c r="CU12" s="3285"/>
      <c r="CV12" s="3286">
        <f>CT12+CU12*1</f>
        <v>0</v>
      </c>
      <c r="CW12" s="3284" t="e">
        <f t="shared" si="19"/>
        <v>#DIV/0!</v>
      </c>
      <c r="CX12" s="1158"/>
      <c r="CY12" s="3274">
        <f t="shared" si="32"/>
        <v>0</v>
      </c>
      <c r="CZ12" s="3274">
        <f t="shared" si="33"/>
        <v>0</v>
      </c>
      <c r="DA12" s="3283">
        <f>CY12+CZ12*1</f>
        <v>0</v>
      </c>
      <c r="DB12" s="3284">
        <f t="shared" si="1"/>
        <v>0</v>
      </c>
      <c r="DC12" s="1449"/>
    </row>
    <row r="13" spans="1:107" s="1411" customFormat="1" ht="13.8" x14ac:dyDescent="0.25">
      <c r="A13" s="1586"/>
      <c r="B13" s="1061" t="s">
        <v>71</v>
      </c>
      <c r="C13" s="3288"/>
      <c r="D13" s="3274"/>
      <c r="E13" s="3283">
        <f t="shared" si="21"/>
        <v>0</v>
      </c>
      <c r="F13" s="3284">
        <f t="shared" si="0"/>
        <v>0</v>
      </c>
      <c r="G13" s="1449"/>
      <c r="H13" s="3274"/>
      <c r="I13" s="3274"/>
      <c r="J13" s="3283">
        <f t="shared" si="22"/>
        <v>0</v>
      </c>
      <c r="K13" s="3284">
        <f t="shared" si="23"/>
        <v>0</v>
      </c>
      <c r="L13" s="1449"/>
      <c r="M13" s="3274"/>
      <c r="N13" s="3274"/>
      <c r="O13" s="3283">
        <f t="shared" si="24"/>
        <v>0</v>
      </c>
      <c r="P13" s="3284">
        <f t="shared" si="2"/>
        <v>0</v>
      </c>
      <c r="Q13" s="1449"/>
      <c r="R13" s="3274"/>
      <c r="S13" s="3274"/>
      <c r="T13" s="3283">
        <f t="shared" si="25"/>
        <v>0</v>
      </c>
      <c r="U13" s="3284">
        <f t="shared" si="3"/>
        <v>0</v>
      </c>
      <c r="V13" s="1449"/>
      <c r="W13" s="3274"/>
      <c r="X13" s="3274"/>
      <c r="Y13" s="3283">
        <f t="shared" si="26"/>
        <v>0</v>
      </c>
      <c r="Z13" s="3284">
        <f t="shared" si="4"/>
        <v>0</v>
      </c>
      <c r="AA13" s="1449"/>
      <c r="AB13" s="3274"/>
      <c r="AC13" s="3274"/>
      <c r="AD13" s="3283">
        <f t="shared" si="27"/>
        <v>0</v>
      </c>
      <c r="AE13" s="3284">
        <f t="shared" si="5"/>
        <v>0</v>
      </c>
      <c r="AF13" s="1449"/>
      <c r="AG13" s="3274">
        <v>0</v>
      </c>
      <c r="AH13" s="3274">
        <v>0</v>
      </c>
      <c r="AI13" s="3283">
        <v>0</v>
      </c>
      <c r="AJ13" s="3284">
        <v>0</v>
      </c>
      <c r="AK13" s="1449"/>
      <c r="AL13" s="3274">
        <f t="shared" si="6"/>
        <v>0</v>
      </c>
      <c r="AM13" s="3274">
        <f t="shared" si="6"/>
        <v>0</v>
      </c>
      <c r="AN13" s="3283">
        <f t="shared" si="28"/>
        <v>0</v>
      </c>
      <c r="AO13" s="3284">
        <f t="shared" si="7"/>
        <v>0</v>
      </c>
      <c r="AP13" s="1449"/>
      <c r="AQ13" s="3274"/>
      <c r="AR13" s="3274"/>
      <c r="AS13" s="3283">
        <f t="shared" si="29"/>
        <v>0</v>
      </c>
      <c r="AT13" s="3284">
        <f t="shared" si="8"/>
        <v>0</v>
      </c>
      <c r="AU13" s="1449"/>
      <c r="AV13" s="3274"/>
      <c r="AW13" s="3274"/>
      <c r="AX13" s="3283">
        <f t="shared" si="30"/>
        <v>0</v>
      </c>
      <c r="AY13" s="3284">
        <f t="shared" si="9"/>
        <v>0</v>
      </c>
      <c r="AZ13" s="1449"/>
      <c r="BA13" s="3285"/>
      <c r="BB13" s="3285"/>
      <c r="BC13" s="3286">
        <f>BA13+BB13*1</f>
        <v>0</v>
      </c>
      <c r="BD13" s="3284">
        <f t="shared" si="10"/>
        <v>0</v>
      </c>
      <c r="BE13" s="1158"/>
      <c r="BF13" s="3285"/>
      <c r="BG13" s="3285"/>
      <c r="BH13" s="3286">
        <f>BF13+BG13*1</f>
        <v>0</v>
      </c>
      <c r="BI13" s="3284">
        <f t="shared" si="11"/>
        <v>0</v>
      </c>
      <c r="BJ13" s="1158"/>
      <c r="BK13" s="3285"/>
      <c r="BL13" s="3285"/>
      <c r="BM13" s="3286">
        <f>BK13+BL13*1</f>
        <v>0</v>
      </c>
      <c r="BN13" s="3284">
        <f t="shared" si="12"/>
        <v>0</v>
      </c>
      <c r="BO13" s="1158"/>
      <c r="BP13" s="3285"/>
      <c r="BQ13" s="3285"/>
      <c r="BR13" s="3286">
        <f>BP13+BQ13*1</f>
        <v>0</v>
      </c>
      <c r="BS13" s="3284">
        <f t="shared" si="13"/>
        <v>0</v>
      </c>
      <c r="BT13" s="1158"/>
      <c r="BU13" s="3285"/>
      <c r="BV13" s="3285"/>
      <c r="BW13" s="3286">
        <f>BU13+BV13*1</f>
        <v>0</v>
      </c>
      <c r="BX13" s="3284" t="e">
        <f t="shared" si="14"/>
        <v>#DIV/0!</v>
      </c>
      <c r="BY13" s="1158"/>
      <c r="BZ13" s="3285"/>
      <c r="CA13" s="3285"/>
      <c r="CB13" s="3286">
        <f>BZ13+CA13*1</f>
        <v>0</v>
      </c>
      <c r="CC13" s="3284" t="e">
        <f t="shared" si="15"/>
        <v>#DIV/0!</v>
      </c>
      <c r="CD13" s="1158"/>
      <c r="CE13" s="3285"/>
      <c r="CF13" s="3285"/>
      <c r="CG13" s="3286">
        <f>CE13+CF13*1</f>
        <v>0</v>
      </c>
      <c r="CH13" s="3284" t="e">
        <f t="shared" si="16"/>
        <v>#DIV/0!</v>
      </c>
      <c r="CI13" s="1158"/>
      <c r="CJ13" s="3285"/>
      <c r="CK13" s="3285"/>
      <c r="CL13" s="3286">
        <f>CJ13+CK13*1</f>
        <v>0</v>
      </c>
      <c r="CM13" s="3284" t="e">
        <f t="shared" si="17"/>
        <v>#DIV/0!</v>
      </c>
      <c r="CN13" s="1158"/>
      <c r="CO13" s="3285"/>
      <c r="CP13" s="3285"/>
      <c r="CQ13" s="3286">
        <f>CO13+CP13*1</f>
        <v>0</v>
      </c>
      <c r="CR13" s="3284" t="e">
        <f t="shared" si="18"/>
        <v>#DIV/0!</v>
      </c>
      <c r="CS13" s="1158"/>
      <c r="CT13" s="3285"/>
      <c r="CU13" s="3285"/>
      <c r="CV13" s="3286">
        <f>CT13+CU13*1</f>
        <v>0</v>
      </c>
      <c r="CW13" s="3284" t="e">
        <f t="shared" si="19"/>
        <v>#DIV/0!</v>
      </c>
      <c r="CX13" s="1158"/>
      <c r="CY13" s="3274">
        <f t="shared" si="32"/>
        <v>0</v>
      </c>
      <c r="CZ13" s="3274">
        <f t="shared" si="33"/>
        <v>0</v>
      </c>
      <c r="DA13" s="3283">
        <f t="shared" si="34"/>
        <v>0</v>
      </c>
      <c r="DB13" s="3284">
        <f t="shared" si="1"/>
        <v>0</v>
      </c>
      <c r="DC13" s="1449"/>
    </row>
    <row r="14" spans="1:107" s="1411" customFormat="1" ht="13.8" x14ac:dyDescent="0.25">
      <c r="A14" s="1586"/>
      <c r="B14" s="1061" t="s">
        <v>70</v>
      </c>
      <c r="C14" s="3288"/>
      <c r="D14" s="3274"/>
      <c r="E14" s="3283">
        <f t="shared" si="21"/>
        <v>0</v>
      </c>
      <c r="F14" s="3284">
        <f t="shared" si="0"/>
        <v>0</v>
      </c>
      <c r="G14" s="1449"/>
      <c r="H14" s="3274"/>
      <c r="I14" s="3274"/>
      <c r="J14" s="3283">
        <f t="shared" si="22"/>
        <v>0</v>
      </c>
      <c r="K14" s="3284">
        <f t="shared" si="23"/>
        <v>0</v>
      </c>
      <c r="L14" s="1449"/>
      <c r="M14" s="3274"/>
      <c r="N14" s="3274"/>
      <c r="O14" s="3283">
        <f t="shared" si="24"/>
        <v>0</v>
      </c>
      <c r="P14" s="3284">
        <f t="shared" si="2"/>
        <v>0</v>
      </c>
      <c r="Q14" s="1449"/>
      <c r="R14" s="3274"/>
      <c r="S14" s="3274"/>
      <c r="T14" s="3283">
        <f t="shared" si="25"/>
        <v>0</v>
      </c>
      <c r="U14" s="3284">
        <f t="shared" si="3"/>
        <v>0</v>
      </c>
      <c r="V14" s="1449"/>
      <c r="W14" s="3274"/>
      <c r="X14" s="3274"/>
      <c r="Y14" s="3283">
        <f t="shared" si="26"/>
        <v>0</v>
      </c>
      <c r="Z14" s="3284">
        <f t="shared" si="4"/>
        <v>0</v>
      </c>
      <c r="AA14" s="1449"/>
      <c r="AB14" s="3274"/>
      <c r="AC14" s="3274"/>
      <c r="AD14" s="3283">
        <f t="shared" si="27"/>
        <v>0</v>
      </c>
      <c r="AE14" s="3284">
        <f t="shared" si="5"/>
        <v>0</v>
      </c>
      <c r="AF14" s="1449"/>
      <c r="AG14" s="3274">
        <v>0</v>
      </c>
      <c r="AH14" s="3274">
        <v>0</v>
      </c>
      <c r="AI14" s="3283">
        <v>0</v>
      </c>
      <c r="AJ14" s="3284">
        <v>0</v>
      </c>
      <c r="AK14" s="1449"/>
      <c r="AL14" s="3274">
        <f t="shared" si="6"/>
        <v>0</v>
      </c>
      <c r="AM14" s="3274">
        <f t="shared" si="6"/>
        <v>0</v>
      </c>
      <c r="AN14" s="3283">
        <f t="shared" si="28"/>
        <v>0</v>
      </c>
      <c r="AO14" s="3284">
        <f t="shared" si="7"/>
        <v>0</v>
      </c>
      <c r="AP14" s="1449"/>
      <c r="AQ14" s="3274"/>
      <c r="AR14" s="3274"/>
      <c r="AS14" s="3283">
        <f t="shared" si="29"/>
        <v>0</v>
      </c>
      <c r="AT14" s="3284">
        <f t="shared" si="8"/>
        <v>0</v>
      </c>
      <c r="AU14" s="1449"/>
      <c r="AV14" s="3274"/>
      <c r="AW14" s="3274"/>
      <c r="AX14" s="3283">
        <f t="shared" si="30"/>
        <v>0</v>
      </c>
      <c r="AY14" s="3284">
        <f t="shared" si="9"/>
        <v>0</v>
      </c>
      <c r="AZ14" s="1449"/>
      <c r="BA14" s="3285"/>
      <c r="BB14" s="3285"/>
      <c r="BC14" s="3286">
        <f t="shared" si="31"/>
        <v>0</v>
      </c>
      <c r="BD14" s="3284">
        <f t="shared" si="10"/>
        <v>0</v>
      </c>
      <c r="BE14" s="1158"/>
      <c r="BF14" s="3285"/>
      <c r="BG14" s="3285"/>
      <c r="BH14" s="3286">
        <f t="shared" ref="BH14:BH33" si="35">BF14+BG14*1</f>
        <v>0</v>
      </c>
      <c r="BI14" s="3284">
        <f t="shared" si="11"/>
        <v>0</v>
      </c>
      <c r="BJ14" s="1158"/>
      <c r="BK14" s="3285"/>
      <c r="BL14" s="3285"/>
      <c r="BM14" s="3286">
        <f t="shared" ref="BM14:BM33" si="36">BK14+BL14*1</f>
        <v>0</v>
      </c>
      <c r="BN14" s="3284">
        <f t="shared" si="12"/>
        <v>0</v>
      </c>
      <c r="BO14" s="1158"/>
      <c r="BP14" s="3285"/>
      <c r="BQ14" s="3285"/>
      <c r="BR14" s="3286">
        <f t="shared" ref="BR14:BR33" si="37">BP14+BQ14*1</f>
        <v>0</v>
      </c>
      <c r="BS14" s="3284">
        <f t="shared" si="13"/>
        <v>0</v>
      </c>
      <c r="BT14" s="1158"/>
      <c r="BU14" s="3285"/>
      <c r="BV14" s="3285"/>
      <c r="BW14" s="3286">
        <f t="shared" ref="BW14:BW33" si="38">BU14+BV14*1</f>
        <v>0</v>
      </c>
      <c r="BX14" s="3284" t="e">
        <f t="shared" si="14"/>
        <v>#DIV/0!</v>
      </c>
      <c r="BY14" s="1158"/>
      <c r="BZ14" s="3285"/>
      <c r="CA14" s="3285"/>
      <c r="CB14" s="3286">
        <f t="shared" ref="CB14:CB33" si="39">BZ14+CA14*1</f>
        <v>0</v>
      </c>
      <c r="CC14" s="3284" t="e">
        <f t="shared" si="15"/>
        <v>#DIV/0!</v>
      </c>
      <c r="CD14" s="1158"/>
      <c r="CE14" s="3285"/>
      <c r="CF14" s="3285"/>
      <c r="CG14" s="3286">
        <f t="shared" ref="CG14:CG33" si="40">CE14+CF14*1</f>
        <v>0</v>
      </c>
      <c r="CH14" s="3284" t="e">
        <f t="shared" si="16"/>
        <v>#DIV/0!</v>
      </c>
      <c r="CI14" s="1158"/>
      <c r="CJ14" s="3285"/>
      <c r="CK14" s="3285"/>
      <c r="CL14" s="3286">
        <f t="shared" ref="CL14:CL33" si="41">CJ14+CK14*1</f>
        <v>0</v>
      </c>
      <c r="CM14" s="3284" t="e">
        <f t="shared" si="17"/>
        <v>#DIV/0!</v>
      </c>
      <c r="CN14" s="1158"/>
      <c r="CO14" s="3285"/>
      <c r="CP14" s="3285"/>
      <c r="CQ14" s="3286">
        <f t="shared" ref="CQ14:CQ33" si="42">CO14+CP14*1</f>
        <v>0</v>
      </c>
      <c r="CR14" s="3284" t="e">
        <f t="shared" si="18"/>
        <v>#DIV/0!</v>
      </c>
      <c r="CS14" s="1158"/>
      <c r="CT14" s="3285"/>
      <c r="CU14" s="3285"/>
      <c r="CV14" s="3286">
        <f t="shared" ref="CV14:CV33" si="43">CT14+CU14*1</f>
        <v>0</v>
      </c>
      <c r="CW14" s="3284" t="e">
        <f t="shared" si="19"/>
        <v>#DIV/0!</v>
      </c>
      <c r="CX14" s="1158"/>
      <c r="CY14" s="3274">
        <f t="shared" si="32"/>
        <v>0</v>
      </c>
      <c r="CZ14" s="3274">
        <f t="shared" si="33"/>
        <v>0</v>
      </c>
      <c r="DA14" s="3283">
        <f t="shared" si="34"/>
        <v>0</v>
      </c>
      <c r="DB14" s="3284">
        <f t="shared" si="1"/>
        <v>0</v>
      </c>
      <c r="DC14" s="1449"/>
    </row>
    <row r="15" spans="1:107" s="1411" customFormat="1" ht="13.8" x14ac:dyDescent="0.25">
      <c r="A15" s="1586"/>
      <c r="B15" s="3289" t="s">
        <v>20</v>
      </c>
      <c r="C15" s="3288"/>
      <c r="D15" s="3274"/>
      <c r="E15" s="3283">
        <f t="shared" si="21"/>
        <v>0</v>
      </c>
      <c r="F15" s="3284">
        <f t="shared" si="0"/>
        <v>0</v>
      </c>
      <c r="G15" s="1449"/>
      <c r="H15" s="3274"/>
      <c r="I15" s="3274"/>
      <c r="J15" s="3283">
        <f t="shared" si="22"/>
        <v>0</v>
      </c>
      <c r="K15" s="3284">
        <f t="shared" si="23"/>
        <v>0</v>
      </c>
      <c r="L15" s="1449"/>
      <c r="M15" s="3274"/>
      <c r="N15" s="3274"/>
      <c r="O15" s="3283">
        <f t="shared" si="24"/>
        <v>0</v>
      </c>
      <c r="P15" s="3284">
        <f t="shared" si="2"/>
        <v>0</v>
      </c>
      <c r="Q15" s="1449"/>
      <c r="R15" s="3274"/>
      <c r="S15" s="3274"/>
      <c r="T15" s="3283">
        <f t="shared" si="25"/>
        <v>0</v>
      </c>
      <c r="U15" s="3284">
        <f t="shared" si="3"/>
        <v>0</v>
      </c>
      <c r="V15" s="1449"/>
      <c r="W15" s="3274"/>
      <c r="X15" s="3274"/>
      <c r="Y15" s="3283">
        <f t="shared" si="26"/>
        <v>0</v>
      </c>
      <c r="Z15" s="3284">
        <f t="shared" si="4"/>
        <v>0</v>
      </c>
      <c r="AA15" s="1449"/>
      <c r="AB15" s="3274"/>
      <c r="AC15" s="3274"/>
      <c r="AD15" s="3283">
        <f t="shared" si="27"/>
        <v>0</v>
      </c>
      <c r="AE15" s="3284">
        <f t="shared" si="5"/>
        <v>0</v>
      </c>
      <c r="AF15" s="1449"/>
      <c r="AG15" s="3274">
        <v>0</v>
      </c>
      <c r="AH15" s="3274">
        <v>0</v>
      </c>
      <c r="AI15" s="3283">
        <v>0</v>
      </c>
      <c r="AJ15" s="3284">
        <v>0</v>
      </c>
      <c r="AK15" s="1449"/>
      <c r="AL15" s="3274">
        <f t="shared" si="6"/>
        <v>0</v>
      </c>
      <c r="AM15" s="3274">
        <f t="shared" si="6"/>
        <v>0</v>
      </c>
      <c r="AN15" s="3283">
        <f t="shared" si="28"/>
        <v>0</v>
      </c>
      <c r="AO15" s="3284">
        <f t="shared" si="7"/>
        <v>0</v>
      </c>
      <c r="AP15" s="1449"/>
      <c r="AQ15" s="3274"/>
      <c r="AR15" s="3274"/>
      <c r="AS15" s="3283">
        <f t="shared" si="29"/>
        <v>0</v>
      </c>
      <c r="AT15" s="3284">
        <f t="shared" si="8"/>
        <v>0</v>
      </c>
      <c r="AU15" s="1449"/>
      <c r="AV15" s="3274"/>
      <c r="AW15" s="3274"/>
      <c r="AX15" s="3283">
        <f t="shared" si="30"/>
        <v>0</v>
      </c>
      <c r="AY15" s="3284">
        <f t="shared" si="9"/>
        <v>0</v>
      </c>
      <c r="AZ15" s="1449"/>
      <c r="BA15" s="3285"/>
      <c r="BB15" s="3285"/>
      <c r="BC15" s="3286">
        <f t="shared" si="31"/>
        <v>0</v>
      </c>
      <c r="BD15" s="3284">
        <f t="shared" si="10"/>
        <v>0</v>
      </c>
      <c r="BE15" s="1158"/>
      <c r="BF15" s="3285"/>
      <c r="BG15" s="3285"/>
      <c r="BH15" s="3286">
        <f t="shared" si="35"/>
        <v>0</v>
      </c>
      <c r="BI15" s="3284">
        <f t="shared" si="11"/>
        <v>0</v>
      </c>
      <c r="BJ15" s="1158"/>
      <c r="BK15" s="3285"/>
      <c r="BL15" s="3285"/>
      <c r="BM15" s="3286">
        <f t="shared" si="36"/>
        <v>0</v>
      </c>
      <c r="BN15" s="3284">
        <f t="shared" si="12"/>
        <v>0</v>
      </c>
      <c r="BO15" s="1158"/>
      <c r="BP15" s="3285"/>
      <c r="BQ15" s="3285"/>
      <c r="BR15" s="3286">
        <f t="shared" si="37"/>
        <v>0</v>
      </c>
      <c r="BS15" s="3284">
        <f t="shared" si="13"/>
        <v>0</v>
      </c>
      <c r="BT15" s="1158"/>
      <c r="BU15" s="3285"/>
      <c r="BV15" s="3285"/>
      <c r="BW15" s="3286">
        <f t="shared" si="38"/>
        <v>0</v>
      </c>
      <c r="BX15" s="3284" t="e">
        <f t="shared" si="14"/>
        <v>#DIV/0!</v>
      </c>
      <c r="BY15" s="1158"/>
      <c r="BZ15" s="3285"/>
      <c r="CA15" s="3285"/>
      <c r="CB15" s="3286">
        <f t="shared" si="39"/>
        <v>0</v>
      </c>
      <c r="CC15" s="3284" t="e">
        <f t="shared" si="15"/>
        <v>#DIV/0!</v>
      </c>
      <c r="CD15" s="1158"/>
      <c r="CE15" s="3285"/>
      <c r="CF15" s="3285"/>
      <c r="CG15" s="3286">
        <f t="shared" si="40"/>
        <v>0</v>
      </c>
      <c r="CH15" s="3284" t="e">
        <f t="shared" si="16"/>
        <v>#DIV/0!</v>
      </c>
      <c r="CI15" s="1158"/>
      <c r="CJ15" s="3285"/>
      <c r="CK15" s="3285"/>
      <c r="CL15" s="3286">
        <f t="shared" si="41"/>
        <v>0</v>
      </c>
      <c r="CM15" s="3284" t="e">
        <f t="shared" si="17"/>
        <v>#DIV/0!</v>
      </c>
      <c r="CN15" s="1158"/>
      <c r="CO15" s="3285"/>
      <c r="CP15" s="3285"/>
      <c r="CQ15" s="3286">
        <f t="shared" si="42"/>
        <v>0</v>
      </c>
      <c r="CR15" s="3284" t="e">
        <f t="shared" si="18"/>
        <v>#DIV/0!</v>
      </c>
      <c r="CS15" s="1158"/>
      <c r="CT15" s="3285"/>
      <c r="CU15" s="3285"/>
      <c r="CV15" s="3286">
        <f t="shared" si="43"/>
        <v>0</v>
      </c>
      <c r="CW15" s="3284" t="e">
        <f t="shared" si="19"/>
        <v>#DIV/0!</v>
      </c>
      <c r="CX15" s="1158"/>
      <c r="CY15" s="3274">
        <f t="shared" si="32"/>
        <v>0</v>
      </c>
      <c r="CZ15" s="3274">
        <f t="shared" si="33"/>
        <v>0</v>
      </c>
      <c r="DA15" s="3283">
        <f t="shared" si="34"/>
        <v>0</v>
      </c>
      <c r="DB15" s="3284">
        <f t="shared" si="1"/>
        <v>0</v>
      </c>
      <c r="DC15" s="1449"/>
    </row>
    <row r="16" spans="1:107" s="1411" customFormat="1" ht="13.8" x14ac:dyDescent="0.25">
      <c r="A16" s="3290"/>
      <c r="B16" s="3289" t="s">
        <v>21</v>
      </c>
      <c r="C16" s="3288"/>
      <c r="D16" s="3274"/>
      <c r="E16" s="3283">
        <f t="shared" si="21"/>
        <v>0</v>
      </c>
      <c r="F16" s="3284">
        <f t="shared" si="0"/>
        <v>0</v>
      </c>
      <c r="G16" s="1449"/>
      <c r="H16" s="3274"/>
      <c r="I16" s="3274"/>
      <c r="J16" s="3283">
        <f t="shared" si="22"/>
        <v>0</v>
      </c>
      <c r="K16" s="3284">
        <f t="shared" si="23"/>
        <v>0</v>
      </c>
      <c r="L16" s="1449"/>
      <c r="M16" s="3274"/>
      <c r="N16" s="3274"/>
      <c r="O16" s="3283">
        <f t="shared" si="24"/>
        <v>0</v>
      </c>
      <c r="P16" s="3284">
        <f t="shared" si="2"/>
        <v>0</v>
      </c>
      <c r="Q16" s="1449"/>
      <c r="R16" s="3274"/>
      <c r="S16" s="3274"/>
      <c r="T16" s="3283">
        <f t="shared" si="25"/>
        <v>0</v>
      </c>
      <c r="U16" s="3284">
        <f t="shared" si="3"/>
        <v>0</v>
      </c>
      <c r="V16" s="1449"/>
      <c r="W16" s="3274"/>
      <c r="X16" s="3274"/>
      <c r="Y16" s="3283">
        <f t="shared" si="26"/>
        <v>0</v>
      </c>
      <c r="Z16" s="3284">
        <f t="shared" si="4"/>
        <v>0</v>
      </c>
      <c r="AA16" s="1449"/>
      <c r="AB16" s="3274"/>
      <c r="AC16" s="3274"/>
      <c r="AD16" s="3283">
        <f t="shared" si="27"/>
        <v>0</v>
      </c>
      <c r="AE16" s="3284">
        <f t="shared" si="5"/>
        <v>0</v>
      </c>
      <c r="AF16" s="1449"/>
      <c r="AG16" s="3274">
        <v>0</v>
      </c>
      <c r="AH16" s="3274">
        <v>0</v>
      </c>
      <c r="AI16" s="3283">
        <v>0</v>
      </c>
      <c r="AJ16" s="3284">
        <v>0</v>
      </c>
      <c r="AK16" s="1449"/>
      <c r="AL16" s="3274">
        <f t="shared" si="6"/>
        <v>0</v>
      </c>
      <c r="AM16" s="3274">
        <f t="shared" si="6"/>
        <v>0</v>
      </c>
      <c r="AN16" s="3283">
        <f t="shared" si="28"/>
        <v>0</v>
      </c>
      <c r="AO16" s="3284">
        <f t="shared" si="7"/>
        <v>0</v>
      </c>
      <c r="AP16" s="1449"/>
      <c r="AQ16" s="3274"/>
      <c r="AR16" s="3274"/>
      <c r="AS16" s="3283">
        <f t="shared" si="29"/>
        <v>0</v>
      </c>
      <c r="AT16" s="3284">
        <f t="shared" si="8"/>
        <v>0</v>
      </c>
      <c r="AU16" s="1449"/>
      <c r="AV16" s="3274"/>
      <c r="AW16" s="3274"/>
      <c r="AX16" s="3283">
        <f t="shared" si="30"/>
        <v>0</v>
      </c>
      <c r="AY16" s="3284">
        <f t="shared" si="9"/>
        <v>0</v>
      </c>
      <c r="AZ16" s="1449"/>
      <c r="BA16" s="3285"/>
      <c r="BB16" s="3285"/>
      <c r="BC16" s="3286">
        <f t="shared" si="31"/>
        <v>0</v>
      </c>
      <c r="BD16" s="3284">
        <f t="shared" si="10"/>
        <v>0</v>
      </c>
      <c r="BE16" s="1158"/>
      <c r="BF16" s="3285"/>
      <c r="BG16" s="3285"/>
      <c r="BH16" s="3286">
        <f t="shared" si="35"/>
        <v>0</v>
      </c>
      <c r="BI16" s="3284">
        <f t="shared" si="11"/>
        <v>0</v>
      </c>
      <c r="BJ16" s="1158"/>
      <c r="BK16" s="3285"/>
      <c r="BL16" s="3285"/>
      <c r="BM16" s="3286">
        <f t="shared" si="36"/>
        <v>0</v>
      </c>
      <c r="BN16" s="3284">
        <f t="shared" si="12"/>
        <v>0</v>
      </c>
      <c r="BO16" s="1158"/>
      <c r="BP16" s="3285"/>
      <c r="BQ16" s="3285"/>
      <c r="BR16" s="3286">
        <f t="shared" si="37"/>
        <v>0</v>
      </c>
      <c r="BS16" s="3284">
        <f t="shared" si="13"/>
        <v>0</v>
      </c>
      <c r="BT16" s="1158"/>
      <c r="BU16" s="3285"/>
      <c r="BV16" s="3285"/>
      <c r="BW16" s="3286">
        <f t="shared" si="38"/>
        <v>0</v>
      </c>
      <c r="BX16" s="3284" t="e">
        <f t="shared" si="14"/>
        <v>#DIV/0!</v>
      </c>
      <c r="BY16" s="1158"/>
      <c r="BZ16" s="3285"/>
      <c r="CA16" s="3285"/>
      <c r="CB16" s="3286">
        <f t="shared" si="39"/>
        <v>0</v>
      </c>
      <c r="CC16" s="3284" t="e">
        <f t="shared" si="15"/>
        <v>#DIV/0!</v>
      </c>
      <c r="CD16" s="1158"/>
      <c r="CE16" s="3285"/>
      <c r="CF16" s="3285"/>
      <c r="CG16" s="3286">
        <f t="shared" si="40"/>
        <v>0</v>
      </c>
      <c r="CH16" s="3284" t="e">
        <f t="shared" si="16"/>
        <v>#DIV/0!</v>
      </c>
      <c r="CI16" s="1158"/>
      <c r="CJ16" s="3285"/>
      <c r="CK16" s="3285"/>
      <c r="CL16" s="3286">
        <f t="shared" si="41"/>
        <v>0</v>
      </c>
      <c r="CM16" s="3284" t="e">
        <f t="shared" si="17"/>
        <v>#DIV/0!</v>
      </c>
      <c r="CN16" s="1158"/>
      <c r="CO16" s="3285"/>
      <c r="CP16" s="3285"/>
      <c r="CQ16" s="3286">
        <f t="shared" si="42"/>
        <v>0</v>
      </c>
      <c r="CR16" s="3284" t="e">
        <f t="shared" si="18"/>
        <v>#DIV/0!</v>
      </c>
      <c r="CS16" s="1158"/>
      <c r="CT16" s="3285"/>
      <c r="CU16" s="3285"/>
      <c r="CV16" s="3286">
        <f t="shared" si="43"/>
        <v>0</v>
      </c>
      <c r="CW16" s="3284" t="e">
        <f t="shared" si="19"/>
        <v>#DIV/0!</v>
      </c>
      <c r="CX16" s="1158"/>
      <c r="CY16" s="3274">
        <f t="shared" si="32"/>
        <v>0</v>
      </c>
      <c r="CZ16" s="3274">
        <f t="shared" si="33"/>
        <v>0</v>
      </c>
      <c r="DA16" s="3283">
        <f t="shared" si="34"/>
        <v>0</v>
      </c>
      <c r="DB16" s="3284">
        <f t="shared" si="1"/>
        <v>0</v>
      </c>
      <c r="DC16" s="1449"/>
    </row>
    <row r="17" spans="1:107" s="1411" customFormat="1" ht="13.8" x14ac:dyDescent="0.25">
      <c r="A17" s="1586"/>
      <c r="B17" s="3289" t="s">
        <v>22</v>
      </c>
      <c r="C17" s="3288"/>
      <c r="D17" s="3274"/>
      <c r="E17" s="3283">
        <f t="shared" si="21"/>
        <v>0</v>
      </c>
      <c r="F17" s="3284">
        <f t="shared" si="0"/>
        <v>0</v>
      </c>
      <c r="G17" s="1449"/>
      <c r="H17" s="3274"/>
      <c r="I17" s="3274"/>
      <c r="J17" s="3283">
        <f t="shared" si="22"/>
        <v>0</v>
      </c>
      <c r="K17" s="3284">
        <f t="shared" si="23"/>
        <v>0</v>
      </c>
      <c r="L17" s="1449"/>
      <c r="M17" s="3274"/>
      <c r="N17" s="3274"/>
      <c r="O17" s="3283">
        <f t="shared" si="24"/>
        <v>0</v>
      </c>
      <c r="P17" s="3284">
        <f t="shared" si="2"/>
        <v>0</v>
      </c>
      <c r="Q17" s="1449"/>
      <c r="R17" s="3274"/>
      <c r="S17" s="3274"/>
      <c r="T17" s="3283">
        <f t="shared" si="25"/>
        <v>0</v>
      </c>
      <c r="U17" s="3284">
        <f t="shared" si="3"/>
        <v>0</v>
      </c>
      <c r="V17" s="1449"/>
      <c r="W17" s="3274"/>
      <c r="X17" s="3274"/>
      <c r="Y17" s="3283">
        <f t="shared" si="26"/>
        <v>0</v>
      </c>
      <c r="Z17" s="3284">
        <f t="shared" si="4"/>
        <v>0</v>
      </c>
      <c r="AA17" s="1449"/>
      <c r="AB17" s="3274"/>
      <c r="AC17" s="3274"/>
      <c r="AD17" s="3283">
        <f t="shared" si="27"/>
        <v>0</v>
      </c>
      <c r="AE17" s="3284">
        <f t="shared" si="5"/>
        <v>0</v>
      </c>
      <c r="AF17" s="1449" t="s">
        <v>1480</v>
      </c>
      <c r="AG17" s="3274">
        <v>0</v>
      </c>
      <c r="AH17" s="3274">
        <v>0</v>
      </c>
      <c r="AI17" s="3283">
        <v>0</v>
      </c>
      <c r="AJ17" s="3284">
        <v>0</v>
      </c>
      <c r="AK17" s="1449"/>
      <c r="AL17" s="3274">
        <f t="shared" si="6"/>
        <v>0</v>
      </c>
      <c r="AM17" s="3274">
        <f t="shared" si="6"/>
        <v>0</v>
      </c>
      <c r="AN17" s="3283">
        <f t="shared" si="28"/>
        <v>0</v>
      </c>
      <c r="AO17" s="3284">
        <f t="shared" si="7"/>
        <v>0</v>
      </c>
      <c r="AP17" s="1449"/>
      <c r="AQ17" s="3274"/>
      <c r="AR17" s="3274"/>
      <c r="AS17" s="3283">
        <f t="shared" si="29"/>
        <v>0</v>
      </c>
      <c r="AT17" s="3284">
        <f t="shared" si="8"/>
        <v>0</v>
      </c>
      <c r="AU17" s="1449"/>
      <c r="AV17" s="3274"/>
      <c r="AW17" s="3274"/>
      <c r="AX17" s="3283">
        <f t="shared" si="30"/>
        <v>0</v>
      </c>
      <c r="AY17" s="3284">
        <f t="shared" si="9"/>
        <v>0</v>
      </c>
      <c r="AZ17" s="1449"/>
      <c r="BA17" s="3285"/>
      <c r="BB17" s="3285"/>
      <c r="BC17" s="3286">
        <f t="shared" si="31"/>
        <v>0</v>
      </c>
      <c r="BD17" s="3284">
        <f t="shared" si="10"/>
        <v>0</v>
      </c>
      <c r="BE17" s="1158"/>
      <c r="BF17" s="3285"/>
      <c r="BG17" s="3285"/>
      <c r="BH17" s="3286">
        <f t="shared" si="35"/>
        <v>0</v>
      </c>
      <c r="BI17" s="3284">
        <f t="shared" si="11"/>
        <v>0</v>
      </c>
      <c r="BJ17" s="1158"/>
      <c r="BK17" s="3285"/>
      <c r="BL17" s="3285"/>
      <c r="BM17" s="3286">
        <f t="shared" si="36"/>
        <v>0</v>
      </c>
      <c r="BN17" s="3284">
        <f t="shared" si="12"/>
        <v>0</v>
      </c>
      <c r="BO17" s="1158"/>
      <c r="BP17" s="3285"/>
      <c r="BQ17" s="3285"/>
      <c r="BR17" s="3286">
        <f t="shared" si="37"/>
        <v>0</v>
      </c>
      <c r="BS17" s="3284">
        <f t="shared" si="13"/>
        <v>0</v>
      </c>
      <c r="BT17" s="1158"/>
      <c r="BU17" s="3285"/>
      <c r="BV17" s="3285"/>
      <c r="BW17" s="3286">
        <f t="shared" si="38"/>
        <v>0</v>
      </c>
      <c r="BX17" s="3284" t="e">
        <f t="shared" si="14"/>
        <v>#DIV/0!</v>
      </c>
      <c r="BY17" s="1158"/>
      <c r="BZ17" s="3285"/>
      <c r="CA17" s="3285"/>
      <c r="CB17" s="3286">
        <f t="shared" si="39"/>
        <v>0</v>
      </c>
      <c r="CC17" s="3284" t="e">
        <f t="shared" si="15"/>
        <v>#DIV/0!</v>
      </c>
      <c r="CD17" s="1158"/>
      <c r="CE17" s="3285"/>
      <c r="CF17" s="3285"/>
      <c r="CG17" s="3286">
        <f t="shared" si="40"/>
        <v>0</v>
      </c>
      <c r="CH17" s="3284" t="e">
        <f t="shared" si="16"/>
        <v>#DIV/0!</v>
      </c>
      <c r="CI17" s="1158"/>
      <c r="CJ17" s="3285"/>
      <c r="CK17" s="3285"/>
      <c r="CL17" s="3286">
        <f t="shared" si="41"/>
        <v>0</v>
      </c>
      <c r="CM17" s="3284" t="e">
        <f t="shared" si="17"/>
        <v>#DIV/0!</v>
      </c>
      <c r="CN17" s="1158"/>
      <c r="CO17" s="3285"/>
      <c r="CP17" s="3285"/>
      <c r="CQ17" s="3286">
        <f t="shared" si="42"/>
        <v>0</v>
      </c>
      <c r="CR17" s="3284" t="e">
        <f t="shared" si="18"/>
        <v>#DIV/0!</v>
      </c>
      <c r="CS17" s="1158"/>
      <c r="CT17" s="3285"/>
      <c r="CU17" s="3285"/>
      <c r="CV17" s="3286">
        <f t="shared" si="43"/>
        <v>0</v>
      </c>
      <c r="CW17" s="3284" t="e">
        <f t="shared" si="19"/>
        <v>#DIV/0!</v>
      </c>
      <c r="CX17" s="1158"/>
      <c r="CY17" s="3274">
        <f t="shared" si="32"/>
        <v>0</v>
      </c>
      <c r="CZ17" s="3274">
        <f t="shared" si="33"/>
        <v>0</v>
      </c>
      <c r="DA17" s="3283">
        <f t="shared" si="34"/>
        <v>0</v>
      </c>
      <c r="DB17" s="3284">
        <f t="shared" si="1"/>
        <v>0</v>
      </c>
      <c r="DC17" s="1449"/>
    </row>
    <row r="18" spans="1:107" s="1411" customFormat="1" ht="27.6" x14ac:dyDescent="0.25">
      <c r="A18" s="1586"/>
      <c r="B18" s="3289" t="s">
        <v>0</v>
      </c>
      <c r="C18" s="3288"/>
      <c r="D18" s="3274"/>
      <c r="E18" s="3283">
        <f t="shared" si="21"/>
        <v>0</v>
      </c>
      <c r="F18" s="3284">
        <f t="shared" si="0"/>
        <v>0</v>
      </c>
      <c r="G18" s="3275"/>
      <c r="H18" s="3274"/>
      <c r="I18" s="3274"/>
      <c r="J18" s="3283">
        <f t="shared" si="22"/>
        <v>0</v>
      </c>
      <c r="K18" s="3284">
        <f t="shared" si="23"/>
        <v>0</v>
      </c>
      <c r="L18" s="3275"/>
      <c r="M18" s="3274">
        <f>160+6452</f>
        <v>6612</v>
      </c>
      <c r="N18" s="3274"/>
      <c r="O18" s="3283">
        <f t="shared" si="24"/>
        <v>6612</v>
      </c>
      <c r="P18" s="3284">
        <f t="shared" si="2"/>
        <v>3.4880411315190762E-2</v>
      </c>
      <c r="Q18" s="3275" t="s">
        <v>1265</v>
      </c>
      <c r="R18" s="3274"/>
      <c r="S18" s="3274"/>
      <c r="T18" s="3283">
        <f t="shared" si="25"/>
        <v>0</v>
      </c>
      <c r="U18" s="3284">
        <f t="shared" si="3"/>
        <v>0</v>
      </c>
      <c r="V18" s="3275"/>
      <c r="W18" s="3274">
        <f>6000+3900+2825</f>
        <v>12725</v>
      </c>
      <c r="X18" s="3274">
        <v>6316.5</v>
      </c>
      <c r="Y18" s="3283">
        <f t="shared" si="26"/>
        <v>19041.5</v>
      </c>
      <c r="Z18" s="3284">
        <f t="shared" si="4"/>
        <v>0.1004499927492748</v>
      </c>
      <c r="AA18" s="3275" t="s">
        <v>1415</v>
      </c>
      <c r="AB18" s="3274">
        <v>305</v>
      </c>
      <c r="AC18" s="3274"/>
      <c r="AD18" s="3283">
        <f t="shared" si="27"/>
        <v>305</v>
      </c>
      <c r="AE18" s="3284">
        <f t="shared" si="5"/>
        <v>1.6089723912784608E-3</v>
      </c>
      <c r="AF18" s="3276" t="s">
        <v>1270</v>
      </c>
      <c r="AG18" s="3274">
        <v>35981.25</v>
      </c>
      <c r="AH18" s="3274">
        <v>0</v>
      </c>
      <c r="AI18" s="3283">
        <v>35981.25</v>
      </c>
      <c r="AJ18" s="3284">
        <v>0.19964090494501524</v>
      </c>
      <c r="AK18" s="3275"/>
      <c r="AL18" s="3274">
        <f t="shared" si="6"/>
        <v>0</v>
      </c>
      <c r="AM18" s="3274">
        <f t="shared" si="6"/>
        <v>0</v>
      </c>
      <c r="AN18" s="3283">
        <f t="shared" si="28"/>
        <v>0</v>
      </c>
      <c r="AO18" s="3284">
        <f t="shared" si="7"/>
        <v>0</v>
      </c>
      <c r="AP18" s="3275"/>
      <c r="AQ18" s="3274"/>
      <c r="AR18" s="3274"/>
      <c r="AS18" s="3283">
        <f t="shared" si="29"/>
        <v>0</v>
      </c>
      <c r="AT18" s="3284">
        <f t="shared" si="8"/>
        <v>0</v>
      </c>
      <c r="AU18" s="3276"/>
      <c r="AV18" s="3274"/>
      <c r="AW18" s="3274"/>
      <c r="AX18" s="3283">
        <f t="shared" si="30"/>
        <v>0</v>
      </c>
      <c r="AY18" s="3284">
        <f t="shared" si="9"/>
        <v>0</v>
      </c>
      <c r="AZ18" s="3381"/>
      <c r="BA18" s="3285"/>
      <c r="BB18" s="3285"/>
      <c r="BC18" s="3286">
        <f t="shared" si="31"/>
        <v>0</v>
      </c>
      <c r="BD18" s="3284">
        <f t="shared" si="10"/>
        <v>0</v>
      </c>
      <c r="BE18" s="3291"/>
      <c r="BF18" s="3285"/>
      <c r="BG18" s="3285"/>
      <c r="BH18" s="3286">
        <f t="shared" si="35"/>
        <v>0</v>
      </c>
      <c r="BI18" s="3284">
        <f t="shared" si="11"/>
        <v>0</v>
      </c>
      <c r="BJ18" s="3291"/>
      <c r="BK18" s="3285"/>
      <c r="BL18" s="3285"/>
      <c r="BM18" s="3286">
        <f t="shared" si="36"/>
        <v>0</v>
      </c>
      <c r="BN18" s="3284">
        <f t="shared" si="12"/>
        <v>0</v>
      </c>
      <c r="BO18" s="3291"/>
      <c r="BP18" s="3285"/>
      <c r="BQ18" s="3285"/>
      <c r="BR18" s="3286">
        <f t="shared" si="37"/>
        <v>0</v>
      </c>
      <c r="BS18" s="3284">
        <f t="shared" si="13"/>
        <v>0</v>
      </c>
      <c r="BT18" s="3291"/>
      <c r="BU18" s="3285"/>
      <c r="BV18" s="3285"/>
      <c r="BW18" s="3286">
        <f t="shared" si="38"/>
        <v>0</v>
      </c>
      <c r="BX18" s="3284" t="e">
        <f t="shared" si="14"/>
        <v>#DIV/0!</v>
      </c>
      <c r="BY18" s="3291"/>
      <c r="BZ18" s="3285"/>
      <c r="CA18" s="3285"/>
      <c r="CB18" s="3286">
        <f t="shared" si="39"/>
        <v>0</v>
      </c>
      <c r="CC18" s="3284" t="e">
        <f t="shared" si="15"/>
        <v>#DIV/0!</v>
      </c>
      <c r="CD18" s="3291"/>
      <c r="CE18" s="3285"/>
      <c r="CF18" s="3285"/>
      <c r="CG18" s="3286">
        <f t="shared" si="40"/>
        <v>0</v>
      </c>
      <c r="CH18" s="3284" t="e">
        <f t="shared" si="16"/>
        <v>#DIV/0!</v>
      </c>
      <c r="CI18" s="3291"/>
      <c r="CJ18" s="3285"/>
      <c r="CK18" s="3285"/>
      <c r="CL18" s="3286">
        <f t="shared" si="41"/>
        <v>0</v>
      </c>
      <c r="CM18" s="3284" t="e">
        <f t="shared" si="17"/>
        <v>#DIV/0!</v>
      </c>
      <c r="CN18" s="3291"/>
      <c r="CO18" s="3285"/>
      <c r="CP18" s="3285"/>
      <c r="CQ18" s="3286">
        <f t="shared" si="42"/>
        <v>0</v>
      </c>
      <c r="CR18" s="3284" t="e">
        <f t="shared" si="18"/>
        <v>#DIV/0!</v>
      </c>
      <c r="CS18" s="3291"/>
      <c r="CT18" s="3285"/>
      <c r="CU18" s="3285"/>
      <c r="CV18" s="3286">
        <f t="shared" si="43"/>
        <v>0</v>
      </c>
      <c r="CW18" s="3284" t="e">
        <f t="shared" si="19"/>
        <v>#DIV/0!</v>
      </c>
      <c r="CX18" s="3291"/>
      <c r="CY18" s="3274">
        <f t="shared" si="32"/>
        <v>55623.25</v>
      </c>
      <c r="CZ18" s="3274">
        <f t="shared" si="33"/>
        <v>6316.5</v>
      </c>
      <c r="DA18" s="3283">
        <f t="shared" si="34"/>
        <v>61939.75</v>
      </c>
      <c r="DB18" s="3284">
        <f t="shared" si="1"/>
        <v>2.4196629766118364E-2</v>
      </c>
      <c r="DC18" s="1449"/>
    </row>
    <row r="19" spans="1:107" s="1411" customFormat="1" ht="13.8" x14ac:dyDescent="0.25">
      <c r="A19" s="1586"/>
      <c r="B19" s="3289" t="s">
        <v>53</v>
      </c>
      <c r="C19" s="3288"/>
      <c r="D19" s="3274"/>
      <c r="E19" s="3283">
        <f t="shared" si="21"/>
        <v>0</v>
      </c>
      <c r="F19" s="3284">
        <f t="shared" si="0"/>
        <v>0</v>
      </c>
      <c r="G19" s="1409"/>
      <c r="H19" s="3274"/>
      <c r="I19" s="3274"/>
      <c r="J19" s="3283">
        <f t="shared" si="22"/>
        <v>0</v>
      </c>
      <c r="K19" s="3284">
        <f t="shared" si="23"/>
        <v>0</v>
      </c>
      <c r="L19" s="1409"/>
      <c r="M19" s="3274"/>
      <c r="N19" s="3274"/>
      <c r="O19" s="3283">
        <f t="shared" si="24"/>
        <v>0</v>
      </c>
      <c r="P19" s="3284">
        <f t="shared" si="2"/>
        <v>0</v>
      </c>
      <c r="Q19" s="1409"/>
      <c r="R19" s="3274"/>
      <c r="S19" s="3274"/>
      <c r="T19" s="3283">
        <f t="shared" si="25"/>
        <v>0</v>
      </c>
      <c r="U19" s="3284">
        <f t="shared" si="3"/>
        <v>0</v>
      </c>
      <c r="V19" s="1409"/>
      <c r="W19" s="3274"/>
      <c r="X19" s="3274"/>
      <c r="Y19" s="3283">
        <f t="shared" si="26"/>
        <v>0</v>
      </c>
      <c r="Z19" s="3284">
        <f t="shared" si="4"/>
        <v>0</v>
      </c>
      <c r="AA19" s="1409"/>
      <c r="AB19" s="3274"/>
      <c r="AC19" s="3274"/>
      <c r="AD19" s="3283">
        <f t="shared" si="27"/>
        <v>0</v>
      </c>
      <c r="AE19" s="3284">
        <f t="shared" si="5"/>
        <v>0</v>
      </c>
      <c r="AF19" s="1409"/>
      <c r="AG19" s="3274">
        <v>0</v>
      </c>
      <c r="AH19" s="3274">
        <v>0</v>
      </c>
      <c r="AI19" s="3283">
        <v>0</v>
      </c>
      <c r="AJ19" s="3284">
        <v>0</v>
      </c>
      <c r="AK19" s="1409"/>
      <c r="AL19" s="3274">
        <f t="shared" si="6"/>
        <v>0</v>
      </c>
      <c r="AM19" s="3274">
        <f t="shared" si="6"/>
        <v>0</v>
      </c>
      <c r="AN19" s="3283">
        <f t="shared" si="28"/>
        <v>0</v>
      </c>
      <c r="AO19" s="3284">
        <f t="shared" si="7"/>
        <v>0</v>
      </c>
      <c r="AP19" s="1409"/>
      <c r="AQ19" s="3274"/>
      <c r="AR19" s="3274"/>
      <c r="AS19" s="3283">
        <f t="shared" si="29"/>
        <v>0</v>
      </c>
      <c r="AT19" s="3284">
        <f t="shared" si="8"/>
        <v>0</v>
      </c>
      <c r="AU19" s="1409"/>
      <c r="AV19" s="3274"/>
      <c r="AW19" s="3274"/>
      <c r="AX19" s="3283">
        <f t="shared" si="30"/>
        <v>0</v>
      </c>
      <c r="AY19" s="3284">
        <f t="shared" si="9"/>
        <v>0</v>
      </c>
      <c r="AZ19" s="1409"/>
      <c r="BA19" s="3285"/>
      <c r="BB19" s="3285"/>
      <c r="BC19" s="3286">
        <f t="shared" si="31"/>
        <v>0</v>
      </c>
      <c r="BD19" s="3284">
        <f t="shared" si="10"/>
        <v>0</v>
      </c>
      <c r="BE19" s="1107"/>
      <c r="BF19" s="3285"/>
      <c r="BG19" s="3285"/>
      <c r="BH19" s="3286">
        <f t="shared" si="35"/>
        <v>0</v>
      </c>
      <c r="BI19" s="3284">
        <f t="shared" si="11"/>
        <v>0</v>
      </c>
      <c r="BJ19" s="1107"/>
      <c r="BK19" s="3285"/>
      <c r="BL19" s="3285"/>
      <c r="BM19" s="3286">
        <f t="shared" si="36"/>
        <v>0</v>
      </c>
      <c r="BN19" s="3284">
        <f t="shared" si="12"/>
        <v>0</v>
      </c>
      <c r="BO19" s="1107"/>
      <c r="BP19" s="3285"/>
      <c r="BQ19" s="3285"/>
      <c r="BR19" s="3286">
        <f t="shared" si="37"/>
        <v>0</v>
      </c>
      <c r="BS19" s="3284">
        <f t="shared" si="13"/>
        <v>0</v>
      </c>
      <c r="BT19" s="1107"/>
      <c r="BU19" s="3285"/>
      <c r="BV19" s="3285"/>
      <c r="BW19" s="3286">
        <f t="shared" si="38"/>
        <v>0</v>
      </c>
      <c r="BX19" s="3284" t="e">
        <f t="shared" si="14"/>
        <v>#DIV/0!</v>
      </c>
      <c r="BY19" s="1107"/>
      <c r="BZ19" s="3285"/>
      <c r="CA19" s="3285"/>
      <c r="CB19" s="3286">
        <f t="shared" si="39"/>
        <v>0</v>
      </c>
      <c r="CC19" s="3284" t="e">
        <f t="shared" si="15"/>
        <v>#DIV/0!</v>
      </c>
      <c r="CD19" s="1107"/>
      <c r="CE19" s="3285"/>
      <c r="CF19" s="3285"/>
      <c r="CG19" s="3286">
        <f t="shared" si="40"/>
        <v>0</v>
      </c>
      <c r="CH19" s="3284" t="e">
        <f t="shared" si="16"/>
        <v>#DIV/0!</v>
      </c>
      <c r="CI19" s="1107"/>
      <c r="CJ19" s="3285"/>
      <c r="CK19" s="3285"/>
      <c r="CL19" s="3286">
        <f t="shared" si="41"/>
        <v>0</v>
      </c>
      <c r="CM19" s="3284" t="e">
        <f t="shared" si="17"/>
        <v>#DIV/0!</v>
      </c>
      <c r="CN19" s="1107"/>
      <c r="CO19" s="3285"/>
      <c r="CP19" s="3285"/>
      <c r="CQ19" s="3286">
        <f t="shared" si="42"/>
        <v>0</v>
      </c>
      <c r="CR19" s="3284" t="e">
        <f t="shared" si="18"/>
        <v>#DIV/0!</v>
      </c>
      <c r="CS19" s="1107"/>
      <c r="CT19" s="3285"/>
      <c r="CU19" s="3285"/>
      <c r="CV19" s="3286">
        <f t="shared" si="43"/>
        <v>0</v>
      </c>
      <c r="CW19" s="3284" t="e">
        <f t="shared" si="19"/>
        <v>#DIV/0!</v>
      </c>
      <c r="CX19" s="1107"/>
      <c r="CY19" s="3274">
        <f t="shared" si="32"/>
        <v>0</v>
      </c>
      <c r="CZ19" s="3274">
        <f t="shared" si="33"/>
        <v>0</v>
      </c>
      <c r="DA19" s="3283">
        <f t="shared" si="34"/>
        <v>0</v>
      </c>
      <c r="DB19" s="3284">
        <f t="shared" si="1"/>
        <v>0</v>
      </c>
      <c r="DC19" s="1449"/>
    </row>
    <row r="20" spans="1:107" s="1411" customFormat="1" ht="13.8" x14ac:dyDescent="0.25">
      <c r="A20" s="1586"/>
      <c r="B20" s="3289" t="s">
        <v>57</v>
      </c>
      <c r="C20" s="3288"/>
      <c r="D20" s="3274"/>
      <c r="E20" s="3283">
        <f t="shared" si="21"/>
        <v>0</v>
      </c>
      <c r="F20" s="3284">
        <f t="shared" si="0"/>
        <v>0</v>
      </c>
      <c r="G20" s="1608"/>
      <c r="H20" s="3274"/>
      <c r="I20" s="3274"/>
      <c r="J20" s="3283">
        <f t="shared" si="22"/>
        <v>0</v>
      </c>
      <c r="K20" s="3284">
        <f t="shared" si="23"/>
        <v>0</v>
      </c>
      <c r="L20" s="1608"/>
      <c r="M20" s="3274"/>
      <c r="N20" s="3274"/>
      <c r="O20" s="3283">
        <f t="shared" si="24"/>
        <v>0</v>
      </c>
      <c r="P20" s="3284">
        <f t="shared" si="2"/>
        <v>0</v>
      </c>
      <c r="Q20" s="1608"/>
      <c r="R20" s="3274"/>
      <c r="S20" s="3274"/>
      <c r="T20" s="3283">
        <f t="shared" si="25"/>
        <v>0</v>
      </c>
      <c r="U20" s="3284">
        <f t="shared" si="3"/>
        <v>0</v>
      </c>
      <c r="V20" s="1608"/>
      <c r="W20" s="3274"/>
      <c r="X20" s="3274"/>
      <c r="Y20" s="3283">
        <f t="shared" si="26"/>
        <v>0</v>
      </c>
      <c r="Z20" s="3284">
        <f t="shared" si="4"/>
        <v>0</v>
      </c>
      <c r="AA20" s="1608"/>
      <c r="AB20" s="3274"/>
      <c r="AC20" s="3274"/>
      <c r="AD20" s="3283">
        <f t="shared" si="27"/>
        <v>0</v>
      </c>
      <c r="AE20" s="3284">
        <f t="shared" si="5"/>
        <v>0</v>
      </c>
      <c r="AF20" s="1608"/>
      <c r="AG20" s="3274">
        <v>0</v>
      </c>
      <c r="AH20" s="3274">
        <v>0</v>
      </c>
      <c r="AI20" s="3283">
        <v>0</v>
      </c>
      <c r="AJ20" s="3284">
        <v>0</v>
      </c>
      <c r="AK20" s="1608"/>
      <c r="AL20" s="3274">
        <f t="shared" si="6"/>
        <v>0</v>
      </c>
      <c r="AM20" s="3274">
        <f t="shared" si="6"/>
        <v>0</v>
      </c>
      <c r="AN20" s="3283">
        <f t="shared" si="28"/>
        <v>0</v>
      </c>
      <c r="AO20" s="3284">
        <f t="shared" si="7"/>
        <v>0</v>
      </c>
      <c r="AP20" s="1608"/>
      <c r="AQ20" s="3274"/>
      <c r="AR20" s="3274"/>
      <c r="AS20" s="3283">
        <f t="shared" si="29"/>
        <v>0</v>
      </c>
      <c r="AT20" s="3284">
        <f t="shared" si="8"/>
        <v>0</v>
      </c>
      <c r="AU20" s="1608"/>
      <c r="AV20" s="3274"/>
      <c r="AW20" s="3274"/>
      <c r="AX20" s="3283">
        <f t="shared" si="30"/>
        <v>0</v>
      </c>
      <c r="AY20" s="3284">
        <f t="shared" si="9"/>
        <v>0</v>
      </c>
      <c r="AZ20" s="1608"/>
      <c r="BA20" s="3285"/>
      <c r="BB20" s="3285"/>
      <c r="BC20" s="3286">
        <f t="shared" si="31"/>
        <v>0</v>
      </c>
      <c r="BD20" s="3284">
        <f t="shared" si="10"/>
        <v>0</v>
      </c>
      <c r="BE20" s="1158"/>
      <c r="BF20" s="3285"/>
      <c r="BG20" s="3285"/>
      <c r="BH20" s="3286">
        <f t="shared" si="35"/>
        <v>0</v>
      </c>
      <c r="BI20" s="3284">
        <f t="shared" si="11"/>
        <v>0</v>
      </c>
      <c r="BJ20" s="1158"/>
      <c r="BK20" s="3285"/>
      <c r="BL20" s="3285"/>
      <c r="BM20" s="3286">
        <f t="shared" si="36"/>
        <v>0</v>
      </c>
      <c r="BN20" s="3284">
        <f t="shared" si="12"/>
        <v>0</v>
      </c>
      <c r="BO20" s="1158"/>
      <c r="BP20" s="3285"/>
      <c r="BQ20" s="3285"/>
      <c r="BR20" s="3286">
        <f t="shared" si="37"/>
        <v>0</v>
      </c>
      <c r="BS20" s="3284">
        <f t="shared" si="13"/>
        <v>0</v>
      </c>
      <c r="BT20" s="1158"/>
      <c r="BU20" s="3285"/>
      <c r="BV20" s="3285"/>
      <c r="BW20" s="3286">
        <f t="shared" si="38"/>
        <v>0</v>
      </c>
      <c r="BX20" s="3284" t="e">
        <f t="shared" si="14"/>
        <v>#DIV/0!</v>
      </c>
      <c r="BY20" s="1158"/>
      <c r="BZ20" s="3285"/>
      <c r="CA20" s="3285"/>
      <c r="CB20" s="3286">
        <f t="shared" si="39"/>
        <v>0</v>
      </c>
      <c r="CC20" s="3284" t="e">
        <f t="shared" si="15"/>
        <v>#DIV/0!</v>
      </c>
      <c r="CD20" s="1158"/>
      <c r="CE20" s="3285"/>
      <c r="CF20" s="3285"/>
      <c r="CG20" s="3286">
        <f t="shared" si="40"/>
        <v>0</v>
      </c>
      <c r="CH20" s="3284" t="e">
        <f t="shared" si="16"/>
        <v>#DIV/0!</v>
      </c>
      <c r="CI20" s="1158"/>
      <c r="CJ20" s="3285"/>
      <c r="CK20" s="3285"/>
      <c r="CL20" s="3286">
        <f t="shared" si="41"/>
        <v>0</v>
      </c>
      <c r="CM20" s="3284" t="e">
        <f t="shared" si="17"/>
        <v>#DIV/0!</v>
      </c>
      <c r="CN20" s="1158"/>
      <c r="CO20" s="3285"/>
      <c r="CP20" s="3285"/>
      <c r="CQ20" s="3286">
        <f t="shared" si="42"/>
        <v>0</v>
      </c>
      <c r="CR20" s="3284" t="e">
        <f t="shared" si="18"/>
        <v>#DIV/0!</v>
      </c>
      <c r="CS20" s="1158"/>
      <c r="CT20" s="3285"/>
      <c r="CU20" s="3285"/>
      <c r="CV20" s="3286">
        <f t="shared" si="43"/>
        <v>0</v>
      </c>
      <c r="CW20" s="3284" t="e">
        <f t="shared" si="19"/>
        <v>#DIV/0!</v>
      </c>
      <c r="CX20" s="1158"/>
      <c r="CY20" s="3274">
        <f t="shared" si="32"/>
        <v>0</v>
      </c>
      <c r="CZ20" s="3274">
        <f t="shared" si="33"/>
        <v>0</v>
      </c>
      <c r="DA20" s="3283">
        <f t="shared" si="34"/>
        <v>0</v>
      </c>
      <c r="DB20" s="3284">
        <f t="shared" si="1"/>
        <v>0</v>
      </c>
      <c r="DC20" s="1449"/>
    </row>
    <row r="21" spans="1:107" s="1411" customFormat="1" ht="13.8" x14ac:dyDescent="0.25">
      <c r="A21" s="1586"/>
      <c r="B21" s="3289" t="s">
        <v>58</v>
      </c>
      <c r="C21" s="3288"/>
      <c r="D21" s="3274"/>
      <c r="E21" s="3283">
        <f t="shared" si="21"/>
        <v>0</v>
      </c>
      <c r="F21" s="3284">
        <f t="shared" si="0"/>
        <v>0</v>
      </c>
      <c r="G21" s="1608"/>
      <c r="H21" s="3274"/>
      <c r="I21" s="3274"/>
      <c r="J21" s="3283">
        <f t="shared" si="22"/>
        <v>0</v>
      </c>
      <c r="K21" s="3284">
        <f t="shared" si="23"/>
        <v>0</v>
      </c>
      <c r="L21" s="1608"/>
      <c r="M21" s="3274"/>
      <c r="N21" s="3274"/>
      <c r="O21" s="3283">
        <f t="shared" si="24"/>
        <v>0</v>
      </c>
      <c r="P21" s="3284">
        <f t="shared" si="2"/>
        <v>0</v>
      </c>
      <c r="Q21" s="1608"/>
      <c r="R21" s="3274"/>
      <c r="S21" s="3274"/>
      <c r="T21" s="3283">
        <f t="shared" si="25"/>
        <v>0</v>
      </c>
      <c r="U21" s="3284">
        <f t="shared" si="3"/>
        <v>0</v>
      </c>
      <c r="V21" s="1608"/>
      <c r="W21" s="3274"/>
      <c r="X21" s="3274"/>
      <c r="Y21" s="3283">
        <f t="shared" si="26"/>
        <v>0</v>
      </c>
      <c r="Z21" s="3284">
        <f t="shared" si="4"/>
        <v>0</v>
      </c>
      <c r="AA21" s="1608"/>
      <c r="AB21" s="3274"/>
      <c r="AC21" s="3274"/>
      <c r="AD21" s="3283">
        <f t="shared" si="27"/>
        <v>0</v>
      </c>
      <c r="AE21" s="3284">
        <f t="shared" si="5"/>
        <v>0</v>
      </c>
      <c r="AF21" s="1608"/>
      <c r="AG21" s="3274">
        <v>560</v>
      </c>
      <c r="AH21" s="3274">
        <v>0</v>
      </c>
      <c r="AI21" s="3283">
        <v>560</v>
      </c>
      <c r="AJ21" s="3284">
        <v>3.10714349193562E-3</v>
      </c>
      <c r="AK21" s="1608"/>
      <c r="AL21" s="3274">
        <f t="shared" si="6"/>
        <v>0</v>
      </c>
      <c r="AM21" s="3274">
        <f t="shared" si="6"/>
        <v>0</v>
      </c>
      <c r="AN21" s="3283">
        <f t="shared" si="28"/>
        <v>0</v>
      </c>
      <c r="AO21" s="3284">
        <f t="shared" si="7"/>
        <v>0</v>
      </c>
      <c r="AP21" s="1608"/>
      <c r="AQ21" s="3274"/>
      <c r="AR21" s="3274"/>
      <c r="AS21" s="3283">
        <f t="shared" si="29"/>
        <v>0</v>
      </c>
      <c r="AT21" s="3284">
        <f t="shared" si="8"/>
        <v>0</v>
      </c>
      <c r="AU21" s="1608"/>
      <c r="AV21" s="3274"/>
      <c r="AW21" s="3274"/>
      <c r="AX21" s="3283">
        <f t="shared" si="30"/>
        <v>0</v>
      </c>
      <c r="AY21" s="3284">
        <f t="shared" si="9"/>
        <v>0</v>
      </c>
      <c r="AZ21" s="1608"/>
      <c r="BA21" s="3285"/>
      <c r="BB21" s="3285"/>
      <c r="BC21" s="3286">
        <f t="shared" si="31"/>
        <v>0</v>
      </c>
      <c r="BD21" s="3284">
        <f t="shared" si="10"/>
        <v>0</v>
      </c>
      <c r="BE21" s="1158"/>
      <c r="BF21" s="3285"/>
      <c r="BG21" s="3285"/>
      <c r="BH21" s="3286">
        <f t="shared" si="35"/>
        <v>0</v>
      </c>
      <c r="BI21" s="3284">
        <f t="shared" si="11"/>
        <v>0</v>
      </c>
      <c r="BJ21" s="1158"/>
      <c r="BK21" s="3285"/>
      <c r="BL21" s="3285"/>
      <c r="BM21" s="3286">
        <f t="shared" si="36"/>
        <v>0</v>
      </c>
      <c r="BN21" s="3284">
        <f t="shared" si="12"/>
        <v>0</v>
      </c>
      <c r="BO21" s="1158"/>
      <c r="BP21" s="3285"/>
      <c r="BQ21" s="3285"/>
      <c r="BR21" s="3286">
        <f t="shared" si="37"/>
        <v>0</v>
      </c>
      <c r="BS21" s="3284">
        <f t="shared" si="13"/>
        <v>0</v>
      </c>
      <c r="BT21" s="1158"/>
      <c r="BU21" s="3285"/>
      <c r="BV21" s="3285"/>
      <c r="BW21" s="3286">
        <f t="shared" si="38"/>
        <v>0</v>
      </c>
      <c r="BX21" s="3284" t="e">
        <f t="shared" si="14"/>
        <v>#DIV/0!</v>
      </c>
      <c r="BY21" s="1158"/>
      <c r="BZ21" s="3285"/>
      <c r="CA21" s="3285"/>
      <c r="CB21" s="3286">
        <f t="shared" si="39"/>
        <v>0</v>
      </c>
      <c r="CC21" s="3284" t="e">
        <f t="shared" si="15"/>
        <v>#DIV/0!</v>
      </c>
      <c r="CD21" s="1158"/>
      <c r="CE21" s="3285"/>
      <c r="CF21" s="3285"/>
      <c r="CG21" s="3286">
        <f t="shared" si="40"/>
        <v>0</v>
      </c>
      <c r="CH21" s="3284" t="e">
        <f t="shared" si="16"/>
        <v>#DIV/0!</v>
      </c>
      <c r="CI21" s="1158"/>
      <c r="CJ21" s="3285"/>
      <c r="CK21" s="3285"/>
      <c r="CL21" s="3286">
        <f t="shared" si="41"/>
        <v>0</v>
      </c>
      <c r="CM21" s="3284" t="e">
        <f t="shared" si="17"/>
        <v>#DIV/0!</v>
      </c>
      <c r="CN21" s="1158"/>
      <c r="CO21" s="3285"/>
      <c r="CP21" s="3285"/>
      <c r="CQ21" s="3286">
        <f t="shared" si="42"/>
        <v>0</v>
      </c>
      <c r="CR21" s="3284" t="e">
        <f t="shared" si="18"/>
        <v>#DIV/0!</v>
      </c>
      <c r="CS21" s="1158"/>
      <c r="CT21" s="3285"/>
      <c r="CU21" s="3285"/>
      <c r="CV21" s="3286">
        <f t="shared" si="43"/>
        <v>0</v>
      </c>
      <c r="CW21" s="3284" t="e">
        <f t="shared" si="19"/>
        <v>#DIV/0!</v>
      </c>
      <c r="CX21" s="1158"/>
      <c r="CY21" s="3274">
        <f t="shared" si="32"/>
        <v>560</v>
      </c>
      <c r="CZ21" s="3274">
        <f t="shared" si="33"/>
        <v>0</v>
      </c>
      <c r="DA21" s="3283">
        <f t="shared" si="34"/>
        <v>560</v>
      </c>
      <c r="DB21" s="3284">
        <f t="shared" si="1"/>
        <v>2.187627923752725E-4</v>
      </c>
      <c r="DC21" s="1449"/>
    </row>
    <row r="22" spans="1:107" s="1411" customFormat="1" ht="13.8" x14ac:dyDescent="0.25">
      <c r="A22" s="1586"/>
      <c r="B22" s="3289" t="s">
        <v>621</v>
      </c>
      <c r="C22" s="3288"/>
      <c r="D22" s="3274"/>
      <c r="E22" s="3283"/>
      <c r="F22" s="3284">
        <f t="shared" si="0"/>
        <v>0</v>
      </c>
      <c r="G22" s="1608"/>
      <c r="H22" s="3274"/>
      <c r="I22" s="3274"/>
      <c r="J22" s="3283"/>
      <c r="K22" s="3284">
        <f t="shared" si="23"/>
        <v>0</v>
      </c>
      <c r="L22" s="1608"/>
      <c r="M22" s="3274"/>
      <c r="N22" s="3274"/>
      <c r="O22" s="3283"/>
      <c r="P22" s="3284">
        <f t="shared" si="2"/>
        <v>0</v>
      </c>
      <c r="Q22" s="1608"/>
      <c r="R22" s="3274"/>
      <c r="S22" s="3274"/>
      <c r="T22" s="3283"/>
      <c r="U22" s="3284">
        <f t="shared" si="3"/>
        <v>0</v>
      </c>
      <c r="V22" s="1608"/>
      <c r="W22" s="3274"/>
      <c r="X22" s="3274"/>
      <c r="Y22" s="3283"/>
      <c r="Z22" s="3284">
        <f t="shared" si="4"/>
        <v>0</v>
      </c>
      <c r="AA22" s="1608"/>
      <c r="AB22" s="3274"/>
      <c r="AC22" s="3274"/>
      <c r="AD22" s="3283"/>
      <c r="AE22" s="3284">
        <f t="shared" si="5"/>
        <v>0</v>
      </c>
      <c r="AF22" s="1608"/>
      <c r="AG22" s="3274">
        <v>0</v>
      </c>
      <c r="AH22" s="3274">
        <v>0</v>
      </c>
      <c r="AI22" s="3283"/>
      <c r="AJ22" s="3284">
        <v>0</v>
      </c>
      <c r="AK22" s="1608"/>
      <c r="AL22" s="3274">
        <f t="shared" si="6"/>
        <v>0</v>
      </c>
      <c r="AM22" s="3274">
        <f t="shared" si="6"/>
        <v>0</v>
      </c>
      <c r="AN22" s="3283"/>
      <c r="AO22" s="3284">
        <f t="shared" si="7"/>
        <v>0</v>
      </c>
      <c r="AP22" s="1608"/>
      <c r="AQ22" s="3274"/>
      <c r="AR22" s="3274"/>
      <c r="AS22" s="3283"/>
      <c r="AT22" s="3284">
        <f t="shared" si="8"/>
        <v>0</v>
      </c>
      <c r="AU22" s="1608"/>
      <c r="AV22" s="3274"/>
      <c r="AW22" s="3274"/>
      <c r="AX22" s="3283">
        <f t="shared" si="30"/>
        <v>0</v>
      </c>
      <c r="AY22" s="3284">
        <f t="shared" si="9"/>
        <v>0</v>
      </c>
      <c r="AZ22" s="1608"/>
      <c r="BA22" s="3285"/>
      <c r="BB22" s="3285"/>
      <c r="BC22" s="3286">
        <f t="shared" si="31"/>
        <v>0</v>
      </c>
      <c r="BD22" s="3284">
        <f t="shared" si="10"/>
        <v>0</v>
      </c>
      <c r="BE22" s="1158"/>
      <c r="BF22" s="3285"/>
      <c r="BG22" s="3285"/>
      <c r="BH22" s="3286">
        <f t="shared" si="35"/>
        <v>0</v>
      </c>
      <c r="BI22" s="3284">
        <f t="shared" si="11"/>
        <v>0</v>
      </c>
      <c r="BJ22" s="1158"/>
      <c r="BK22" s="3285"/>
      <c r="BL22" s="3285"/>
      <c r="BM22" s="3286">
        <f t="shared" si="36"/>
        <v>0</v>
      </c>
      <c r="BN22" s="3284">
        <f t="shared" si="12"/>
        <v>0</v>
      </c>
      <c r="BO22" s="1158"/>
      <c r="BP22" s="3285"/>
      <c r="BQ22" s="3285"/>
      <c r="BR22" s="3286">
        <f t="shared" si="37"/>
        <v>0</v>
      </c>
      <c r="BS22" s="3284">
        <f t="shared" si="13"/>
        <v>0</v>
      </c>
      <c r="BT22" s="1158"/>
      <c r="BU22" s="3285"/>
      <c r="BV22" s="3285"/>
      <c r="BW22" s="3286">
        <f t="shared" si="38"/>
        <v>0</v>
      </c>
      <c r="BX22" s="3284" t="e">
        <f t="shared" si="14"/>
        <v>#DIV/0!</v>
      </c>
      <c r="BY22" s="1158"/>
      <c r="BZ22" s="3285"/>
      <c r="CA22" s="3285"/>
      <c r="CB22" s="3286">
        <f t="shared" si="39"/>
        <v>0</v>
      </c>
      <c r="CC22" s="3284" t="e">
        <f t="shared" si="15"/>
        <v>#DIV/0!</v>
      </c>
      <c r="CD22" s="1158"/>
      <c r="CE22" s="3285"/>
      <c r="CF22" s="3285"/>
      <c r="CG22" s="3286">
        <f t="shared" si="40"/>
        <v>0</v>
      </c>
      <c r="CH22" s="3284" t="e">
        <f t="shared" si="16"/>
        <v>#DIV/0!</v>
      </c>
      <c r="CI22" s="1158"/>
      <c r="CJ22" s="3285"/>
      <c r="CK22" s="3285"/>
      <c r="CL22" s="3286">
        <f t="shared" si="41"/>
        <v>0</v>
      </c>
      <c r="CM22" s="3284" t="e">
        <f t="shared" si="17"/>
        <v>#DIV/0!</v>
      </c>
      <c r="CN22" s="1158"/>
      <c r="CO22" s="3285"/>
      <c r="CP22" s="3285"/>
      <c r="CQ22" s="3286">
        <f t="shared" si="42"/>
        <v>0</v>
      </c>
      <c r="CR22" s="3284" t="e">
        <f t="shared" si="18"/>
        <v>#DIV/0!</v>
      </c>
      <c r="CS22" s="1158"/>
      <c r="CT22" s="3285"/>
      <c r="CU22" s="3285"/>
      <c r="CV22" s="3286">
        <f t="shared" si="43"/>
        <v>0</v>
      </c>
      <c r="CW22" s="3284" t="e">
        <f t="shared" si="19"/>
        <v>#DIV/0!</v>
      </c>
      <c r="CX22" s="1158"/>
      <c r="CY22" s="3274">
        <f t="shared" si="32"/>
        <v>0</v>
      </c>
      <c r="CZ22" s="3274">
        <f t="shared" si="33"/>
        <v>0</v>
      </c>
      <c r="DA22" s="3283">
        <f t="shared" si="34"/>
        <v>0</v>
      </c>
      <c r="DB22" s="3284">
        <f t="shared" si="1"/>
        <v>0</v>
      </c>
      <c r="DC22" s="1449"/>
    </row>
    <row r="23" spans="1:107" s="1411" customFormat="1" ht="13.8" x14ac:dyDescent="0.25">
      <c r="A23" s="1586"/>
      <c r="B23" s="3289" t="s">
        <v>630</v>
      </c>
      <c r="C23" s="3288"/>
      <c r="D23" s="3274"/>
      <c r="E23" s="3283"/>
      <c r="F23" s="3284">
        <f t="shared" si="0"/>
        <v>0</v>
      </c>
      <c r="G23" s="1608"/>
      <c r="H23" s="3274"/>
      <c r="I23" s="3274"/>
      <c r="J23" s="3283"/>
      <c r="K23" s="3284">
        <f t="shared" si="23"/>
        <v>0</v>
      </c>
      <c r="L23" s="1608"/>
      <c r="M23" s="3274"/>
      <c r="N23" s="3274"/>
      <c r="O23" s="3283"/>
      <c r="P23" s="3284">
        <f t="shared" si="2"/>
        <v>0</v>
      </c>
      <c r="Q23" s="1608"/>
      <c r="R23" s="3274"/>
      <c r="S23" s="3274"/>
      <c r="T23" s="3283"/>
      <c r="U23" s="3284">
        <f t="shared" si="3"/>
        <v>0</v>
      </c>
      <c r="V23" s="1608"/>
      <c r="W23" s="3274"/>
      <c r="X23" s="3274"/>
      <c r="Y23" s="3283"/>
      <c r="Z23" s="3284">
        <f t="shared" si="4"/>
        <v>0</v>
      </c>
      <c r="AA23" s="1608"/>
      <c r="AB23" s="3274"/>
      <c r="AC23" s="3274"/>
      <c r="AD23" s="3283"/>
      <c r="AE23" s="3284">
        <f t="shared" si="5"/>
        <v>0</v>
      </c>
      <c r="AF23" s="1608"/>
      <c r="AG23" s="3274">
        <v>0</v>
      </c>
      <c r="AH23" s="3274">
        <v>0</v>
      </c>
      <c r="AI23" s="3283"/>
      <c r="AJ23" s="3284">
        <v>0</v>
      </c>
      <c r="AK23" s="1608"/>
      <c r="AL23" s="3274">
        <f t="shared" si="6"/>
        <v>0</v>
      </c>
      <c r="AM23" s="3274">
        <f t="shared" si="6"/>
        <v>0</v>
      </c>
      <c r="AN23" s="3283"/>
      <c r="AO23" s="3284">
        <f t="shared" si="7"/>
        <v>0</v>
      </c>
      <c r="AP23" s="1608"/>
      <c r="AQ23" s="3274"/>
      <c r="AR23" s="3274"/>
      <c r="AS23" s="3283"/>
      <c r="AT23" s="3284">
        <f t="shared" si="8"/>
        <v>0</v>
      </c>
      <c r="AU23" s="1608"/>
      <c r="AV23" s="3274"/>
      <c r="AW23" s="3274"/>
      <c r="AX23" s="3283">
        <f t="shared" si="30"/>
        <v>0</v>
      </c>
      <c r="AY23" s="3284">
        <f t="shared" si="9"/>
        <v>0</v>
      </c>
      <c r="AZ23" s="3276"/>
      <c r="BA23" s="3285"/>
      <c r="BB23" s="3285"/>
      <c r="BC23" s="3286">
        <f t="shared" si="31"/>
        <v>0</v>
      </c>
      <c r="BD23" s="3284">
        <f t="shared" si="10"/>
        <v>0</v>
      </c>
      <c r="BE23" s="3291"/>
      <c r="BF23" s="3285"/>
      <c r="BG23" s="3285"/>
      <c r="BH23" s="3286">
        <f t="shared" si="35"/>
        <v>0</v>
      </c>
      <c r="BI23" s="3284">
        <f t="shared" si="11"/>
        <v>0</v>
      </c>
      <c r="BJ23" s="3291"/>
      <c r="BK23" s="3285"/>
      <c r="BL23" s="3285"/>
      <c r="BM23" s="3286">
        <f t="shared" si="36"/>
        <v>0</v>
      </c>
      <c r="BN23" s="3284">
        <f t="shared" si="12"/>
        <v>0</v>
      </c>
      <c r="BO23" s="3291"/>
      <c r="BP23" s="3285"/>
      <c r="BQ23" s="3285"/>
      <c r="BR23" s="3286">
        <f t="shared" si="37"/>
        <v>0</v>
      </c>
      <c r="BS23" s="3284">
        <f t="shared" si="13"/>
        <v>0</v>
      </c>
      <c r="BT23" s="3291"/>
      <c r="BU23" s="3285"/>
      <c r="BV23" s="3285"/>
      <c r="BW23" s="3286">
        <f t="shared" si="38"/>
        <v>0</v>
      </c>
      <c r="BX23" s="3284" t="e">
        <f t="shared" si="14"/>
        <v>#DIV/0!</v>
      </c>
      <c r="BY23" s="3291"/>
      <c r="BZ23" s="3285"/>
      <c r="CA23" s="3285"/>
      <c r="CB23" s="3286">
        <f t="shared" si="39"/>
        <v>0</v>
      </c>
      <c r="CC23" s="3284" t="e">
        <f t="shared" si="15"/>
        <v>#DIV/0!</v>
      </c>
      <c r="CD23" s="3291"/>
      <c r="CE23" s="3285"/>
      <c r="CF23" s="3285"/>
      <c r="CG23" s="3286">
        <f t="shared" si="40"/>
        <v>0</v>
      </c>
      <c r="CH23" s="3284" t="e">
        <f t="shared" si="16"/>
        <v>#DIV/0!</v>
      </c>
      <c r="CI23" s="3291"/>
      <c r="CJ23" s="3285"/>
      <c r="CK23" s="3285"/>
      <c r="CL23" s="3286">
        <f t="shared" si="41"/>
        <v>0</v>
      </c>
      <c r="CM23" s="3284" t="e">
        <f t="shared" si="17"/>
        <v>#DIV/0!</v>
      </c>
      <c r="CN23" s="3291"/>
      <c r="CO23" s="3285"/>
      <c r="CP23" s="3285"/>
      <c r="CQ23" s="3286">
        <f t="shared" si="42"/>
        <v>0</v>
      </c>
      <c r="CR23" s="3284" t="e">
        <f t="shared" si="18"/>
        <v>#DIV/0!</v>
      </c>
      <c r="CS23" s="3291"/>
      <c r="CT23" s="3285"/>
      <c r="CU23" s="3285"/>
      <c r="CV23" s="3286">
        <f t="shared" si="43"/>
        <v>0</v>
      </c>
      <c r="CW23" s="3284" t="e">
        <f t="shared" si="19"/>
        <v>#DIV/0!</v>
      </c>
      <c r="CX23" s="3291"/>
      <c r="CY23" s="3274">
        <f t="shared" si="32"/>
        <v>0</v>
      </c>
      <c r="CZ23" s="3274">
        <f t="shared" si="33"/>
        <v>0</v>
      </c>
      <c r="DA23" s="3283">
        <f t="shared" si="34"/>
        <v>0</v>
      </c>
      <c r="DB23" s="3284">
        <f t="shared" si="1"/>
        <v>0</v>
      </c>
      <c r="DC23" s="1449"/>
    </row>
    <row r="24" spans="1:107" s="1411" customFormat="1" ht="13.8" x14ac:dyDescent="0.25">
      <c r="A24" s="1586"/>
      <c r="B24" s="3289" t="s">
        <v>23</v>
      </c>
      <c r="C24" s="3288"/>
      <c r="D24" s="3274"/>
      <c r="E24" s="3283">
        <f t="shared" ref="E24:E33" si="44">C24+D24*1</f>
        <v>0</v>
      </c>
      <c r="F24" s="3284">
        <f t="shared" si="0"/>
        <v>0</v>
      </c>
      <c r="G24" s="1608"/>
      <c r="H24" s="3274"/>
      <c r="I24" s="3274"/>
      <c r="J24" s="3283">
        <f t="shared" ref="J24:J33" si="45">H24+I24*1</f>
        <v>0</v>
      </c>
      <c r="K24" s="3284">
        <f t="shared" si="23"/>
        <v>0</v>
      </c>
      <c r="L24" s="1608"/>
      <c r="M24" s="3274"/>
      <c r="N24" s="3274"/>
      <c r="O24" s="3283">
        <f t="shared" ref="O24:O33" si="46">M24+N24*1</f>
        <v>0</v>
      </c>
      <c r="P24" s="3284">
        <f t="shared" si="2"/>
        <v>0</v>
      </c>
      <c r="Q24" s="1608"/>
      <c r="R24" s="3274"/>
      <c r="S24" s="3274"/>
      <c r="T24" s="3283">
        <f t="shared" ref="T24:T33" si="47">R24+S24*1</f>
        <v>0</v>
      </c>
      <c r="U24" s="3284">
        <f t="shared" si="3"/>
        <v>0</v>
      </c>
      <c r="V24" s="1608"/>
      <c r="W24" s="3274"/>
      <c r="X24" s="3274"/>
      <c r="Y24" s="3283">
        <f t="shared" ref="Y24:Y33" si="48">W24+X24*1</f>
        <v>0</v>
      </c>
      <c r="Z24" s="3284">
        <f t="shared" si="4"/>
        <v>0</v>
      </c>
      <c r="AA24" s="1608"/>
      <c r="AB24" s="3274"/>
      <c r="AC24" s="3274"/>
      <c r="AD24" s="3283">
        <f t="shared" ref="AD24:AD33" si="49">AB24+AC24*1</f>
        <v>0</v>
      </c>
      <c r="AE24" s="3284">
        <f t="shared" si="5"/>
        <v>0</v>
      </c>
      <c r="AF24" s="1608"/>
      <c r="AG24" s="3274">
        <v>0</v>
      </c>
      <c r="AH24" s="3274">
        <v>0</v>
      </c>
      <c r="AI24" s="3283">
        <v>0</v>
      </c>
      <c r="AJ24" s="3284">
        <v>0</v>
      </c>
      <c r="AK24" s="3276"/>
      <c r="AL24" s="3274">
        <f t="shared" si="6"/>
        <v>0</v>
      </c>
      <c r="AM24" s="3274">
        <f t="shared" si="6"/>
        <v>0</v>
      </c>
      <c r="AN24" s="3283">
        <f t="shared" ref="AN24:AN33" si="50">AL24+AM24*1</f>
        <v>0</v>
      </c>
      <c r="AO24" s="3284">
        <f t="shared" si="7"/>
        <v>0</v>
      </c>
      <c r="AP24" s="3276"/>
      <c r="AQ24" s="3274"/>
      <c r="AR24" s="3274"/>
      <c r="AS24" s="3283">
        <f t="shared" ref="AS24:AS33" si="51">AQ24+AR24*1</f>
        <v>0</v>
      </c>
      <c r="AT24" s="3284">
        <f t="shared" si="8"/>
        <v>0</v>
      </c>
      <c r="AU24" s="1608"/>
      <c r="AV24" s="3274"/>
      <c r="AW24" s="3274"/>
      <c r="AX24" s="3283">
        <f t="shared" si="30"/>
        <v>0</v>
      </c>
      <c r="AY24" s="3284">
        <f t="shared" si="9"/>
        <v>0</v>
      </c>
      <c r="AZ24" s="3276"/>
      <c r="BA24" s="3285"/>
      <c r="BB24" s="3285"/>
      <c r="BC24" s="3286">
        <f t="shared" si="31"/>
        <v>0</v>
      </c>
      <c r="BD24" s="3284">
        <f t="shared" si="10"/>
        <v>0</v>
      </c>
      <c r="BE24" s="3291"/>
      <c r="BF24" s="3285"/>
      <c r="BG24" s="3285"/>
      <c r="BH24" s="3286">
        <f t="shared" si="35"/>
        <v>0</v>
      </c>
      <c r="BI24" s="3284">
        <f t="shared" si="11"/>
        <v>0</v>
      </c>
      <c r="BJ24" s="3291"/>
      <c r="BK24" s="3285"/>
      <c r="BL24" s="3285"/>
      <c r="BM24" s="3286">
        <f t="shared" si="36"/>
        <v>0</v>
      </c>
      <c r="BN24" s="3284">
        <f t="shared" si="12"/>
        <v>0</v>
      </c>
      <c r="BO24" s="3291"/>
      <c r="BP24" s="3285"/>
      <c r="BQ24" s="3285"/>
      <c r="BR24" s="3286">
        <f t="shared" si="37"/>
        <v>0</v>
      </c>
      <c r="BS24" s="3284">
        <f t="shared" si="13"/>
        <v>0</v>
      </c>
      <c r="BT24" s="3291"/>
      <c r="BU24" s="3285"/>
      <c r="BV24" s="3285"/>
      <c r="BW24" s="3286">
        <f t="shared" si="38"/>
        <v>0</v>
      </c>
      <c r="BX24" s="3284" t="e">
        <f t="shared" si="14"/>
        <v>#DIV/0!</v>
      </c>
      <c r="BY24" s="3291"/>
      <c r="BZ24" s="3285"/>
      <c r="CA24" s="3285"/>
      <c r="CB24" s="3286">
        <f t="shared" si="39"/>
        <v>0</v>
      </c>
      <c r="CC24" s="3284" t="e">
        <f t="shared" si="15"/>
        <v>#DIV/0!</v>
      </c>
      <c r="CD24" s="3291"/>
      <c r="CE24" s="3285"/>
      <c r="CF24" s="3285"/>
      <c r="CG24" s="3286">
        <f t="shared" si="40"/>
        <v>0</v>
      </c>
      <c r="CH24" s="3284" t="e">
        <f t="shared" si="16"/>
        <v>#DIV/0!</v>
      </c>
      <c r="CI24" s="3291"/>
      <c r="CJ24" s="3285"/>
      <c r="CK24" s="3285"/>
      <c r="CL24" s="3286">
        <f t="shared" si="41"/>
        <v>0</v>
      </c>
      <c r="CM24" s="3284" t="e">
        <f t="shared" si="17"/>
        <v>#DIV/0!</v>
      </c>
      <c r="CN24" s="3291"/>
      <c r="CO24" s="3285"/>
      <c r="CP24" s="3285"/>
      <c r="CQ24" s="3286">
        <f t="shared" si="42"/>
        <v>0</v>
      </c>
      <c r="CR24" s="3284" t="e">
        <f t="shared" si="18"/>
        <v>#DIV/0!</v>
      </c>
      <c r="CS24" s="3291"/>
      <c r="CT24" s="3285"/>
      <c r="CU24" s="3285"/>
      <c r="CV24" s="3286">
        <f t="shared" si="43"/>
        <v>0</v>
      </c>
      <c r="CW24" s="3284" t="e">
        <f t="shared" si="19"/>
        <v>#DIV/0!</v>
      </c>
      <c r="CX24" s="3291"/>
      <c r="CY24" s="3274">
        <f t="shared" si="32"/>
        <v>0</v>
      </c>
      <c r="CZ24" s="3274">
        <f t="shared" si="33"/>
        <v>0</v>
      </c>
      <c r="DA24" s="3283">
        <f t="shared" si="34"/>
        <v>0</v>
      </c>
      <c r="DB24" s="3284">
        <f t="shared" si="1"/>
        <v>0</v>
      </c>
      <c r="DC24" s="1449"/>
    </row>
    <row r="25" spans="1:107" s="1411" customFormat="1" ht="84" x14ac:dyDescent="0.25">
      <c r="A25" s="1586"/>
      <c r="B25" s="3289" t="s">
        <v>24</v>
      </c>
      <c r="C25" s="3288"/>
      <c r="D25" s="3274">
        <v>1217</v>
      </c>
      <c r="E25" s="3283">
        <f t="shared" si="44"/>
        <v>1217</v>
      </c>
      <c r="F25" s="3284">
        <f t="shared" si="0"/>
        <v>7.2036187087626087E-3</v>
      </c>
      <c r="G25" s="1376"/>
      <c r="H25" s="3274"/>
      <c r="I25" s="3274"/>
      <c r="J25" s="3283">
        <f t="shared" si="45"/>
        <v>0</v>
      </c>
      <c r="K25" s="3284">
        <f t="shared" si="23"/>
        <v>0</v>
      </c>
      <c r="L25" s="1376"/>
      <c r="M25" s="3274"/>
      <c r="N25" s="3274"/>
      <c r="O25" s="3283">
        <f t="shared" si="46"/>
        <v>0</v>
      </c>
      <c r="P25" s="3284">
        <f t="shared" si="2"/>
        <v>0</v>
      </c>
      <c r="Q25" s="1376"/>
      <c r="R25" s="3274"/>
      <c r="S25" s="3274"/>
      <c r="T25" s="3283">
        <f t="shared" si="47"/>
        <v>0</v>
      </c>
      <c r="U25" s="3284">
        <f t="shared" si="3"/>
        <v>0</v>
      </c>
      <c r="V25" s="1376"/>
      <c r="W25" s="3274"/>
      <c r="X25" s="3274"/>
      <c r="Y25" s="3283">
        <f t="shared" si="48"/>
        <v>0</v>
      </c>
      <c r="Z25" s="3284">
        <f t="shared" si="4"/>
        <v>0</v>
      </c>
      <c r="AA25" s="1376"/>
      <c r="AB25" s="3274">
        <f>(196.32/5+770.5/6+613.19+2005.95+1529.5+160.9/6+209.1/6+154.6/6+178.94+149.51+462.45+102.14+308.16/6+1558.88+1336.24/5+1617.76/5+989.12/5)*1.2</f>
        <v>9234.7895999999982</v>
      </c>
      <c r="AC25" s="3274"/>
      <c r="AD25" s="3283">
        <f t="shared" si="49"/>
        <v>9234.7895999999982</v>
      </c>
      <c r="AE25" s="3284">
        <f t="shared" si="5"/>
        <v>4.8716463953001506E-2</v>
      </c>
      <c r="AF25" s="3376" t="s">
        <v>1485</v>
      </c>
      <c r="AG25" s="3274">
        <v>5574.5279999999993</v>
      </c>
      <c r="AH25" s="3274">
        <v>0</v>
      </c>
      <c r="AI25" s="3283">
        <v>5574.5279999999993</v>
      </c>
      <c r="AJ25" s="3284">
        <v>3.0930104278237298E-2</v>
      </c>
      <c r="AK25" s="1376"/>
      <c r="AL25" s="3274">
        <f t="shared" si="6"/>
        <v>0</v>
      </c>
      <c r="AM25" s="3274">
        <f t="shared" si="6"/>
        <v>0</v>
      </c>
      <c r="AN25" s="3283">
        <f t="shared" si="50"/>
        <v>0</v>
      </c>
      <c r="AO25" s="3284">
        <f t="shared" si="7"/>
        <v>0</v>
      </c>
      <c r="AP25" s="1376"/>
      <c r="AQ25" s="3274"/>
      <c r="AR25" s="3274"/>
      <c r="AS25" s="3283">
        <f t="shared" si="51"/>
        <v>0</v>
      </c>
      <c r="AT25" s="3284">
        <f t="shared" si="8"/>
        <v>0</v>
      </c>
      <c r="AU25" s="3376"/>
      <c r="AV25" s="3274"/>
      <c r="AW25" s="3274"/>
      <c r="AX25" s="3283">
        <f t="shared" si="30"/>
        <v>0</v>
      </c>
      <c r="AY25" s="3284">
        <f t="shared" si="9"/>
        <v>0</v>
      </c>
      <c r="AZ25" s="3276"/>
      <c r="BA25" s="3285"/>
      <c r="BB25" s="3285"/>
      <c r="BC25" s="3286">
        <f t="shared" si="31"/>
        <v>0</v>
      </c>
      <c r="BD25" s="3284">
        <f t="shared" si="10"/>
        <v>0</v>
      </c>
      <c r="BE25" s="3291"/>
      <c r="BF25" s="3285"/>
      <c r="BG25" s="3285"/>
      <c r="BH25" s="3286">
        <f t="shared" si="35"/>
        <v>0</v>
      </c>
      <c r="BI25" s="3284">
        <f t="shared" si="11"/>
        <v>0</v>
      </c>
      <c r="BJ25" s="3291"/>
      <c r="BK25" s="3285"/>
      <c r="BL25" s="3285"/>
      <c r="BM25" s="3286">
        <f t="shared" si="36"/>
        <v>0</v>
      </c>
      <c r="BN25" s="3284">
        <f t="shared" si="12"/>
        <v>0</v>
      </c>
      <c r="BO25" s="3291"/>
      <c r="BP25" s="3285"/>
      <c r="BQ25" s="3285"/>
      <c r="BR25" s="3286">
        <f t="shared" si="37"/>
        <v>0</v>
      </c>
      <c r="BS25" s="3284">
        <f t="shared" si="13"/>
        <v>0</v>
      </c>
      <c r="BT25" s="3291"/>
      <c r="BU25" s="3285"/>
      <c r="BV25" s="3285"/>
      <c r="BW25" s="3286">
        <f t="shared" si="38"/>
        <v>0</v>
      </c>
      <c r="BX25" s="3284" t="e">
        <f t="shared" si="14"/>
        <v>#DIV/0!</v>
      </c>
      <c r="BY25" s="3291"/>
      <c r="BZ25" s="3285"/>
      <c r="CA25" s="3285"/>
      <c r="CB25" s="3286">
        <f t="shared" si="39"/>
        <v>0</v>
      </c>
      <c r="CC25" s="3284" t="e">
        <f t="shared" si="15"/>
        <v>#DIV/0!</v>
      </c>
      <c r="CD25" s="3291"/>
      <c r="CE25" s="3285"/>
      <c r="CF25" s="3285"/>
      <c r="CG25" s="3286">
        <f t="shared" si="40"/>
        <v>0</v>
      </c>
      <c r="CH25" s="3284" t="e">
        <f t="shared" si="16"/>
        <v>#DIV/0!</v>
      </c>
      <c r="CI25" s="3291"/>
      <c r="CJ25" s="3285"/>
      <c r="CK25" s="3285"/>
      <c r="CL25" s="3286">
        <f t="shared" si="41"/>
        <v>0</v>
      </c>
      <c r="CM25" s="3284" t="e">
        <f t="shared" si="17"/>
        <v>#DIV/0!</v>
      </c>
      <c r="CN25" s="3291"/>
      <c r="CO25" s="3285"/>
      <c r="CP25" s="3285"/>
      <c r="CQ25" s="3286">
        <f t="shared" si="42"/>
        <v>0</v>
      </c>
      <c r="CR25" s="3284" t="e">
        <f t="shared" si="18"/>
        <v>#DIV/0!</v>
      </c>
      <c r="CS25" s="3291"/>
      <c r="CT25" s="3285"/>
      <c r="CU25" s="3285"/>
      <c r="CV25" s="3286">
        <f t="shared" si="43"/>
        <v>0</v>
      </c>
      <c r="CW25" s="3284" t="e">
        <f t="shared" si="19"/>
        <v>#DIV/0!</v>
      </c>
      <c r="CX25" s="3291"/>
      <c r="CY25" s="3274">
        <f t="shared" si="32"/>
        <v>14809.317599999998</v>
      </c>
      <c r="CZ25" s="3274">
        <f t="shared" si="33"/>
        <v>1217</v>
      </c>
      <c r="DA25" s="3283">
        <f t="shared" si="34"/>
        <v>16026.317599999998</v>
      </c>
      <c r="DB25" s="3284">
        <f t="shared" si="1"/>
        <v>6.2606464101231697E-3</v>
      </c>
      <c r="DC25" s="1449"/>
    </row>
    <row r="26" spans="1:107" s="1411" customFormat="1" ht="13.8" x14ac:dyDescent="0.25">
      <c r="A26" s="1586"/>
      <c r="B26" s="3289" t="s">
        <v>45</v>
      </c>
      <c r="C26" s="3288"/>
      <c r="D26" s="3274"/>
      <c r="E26" s="3283">
        <f t="shared" si="44"/>
        <v>0</v>
      </c>
      <c r="F26" s="3284">
        <f t="shared" si="0"/>
        <v>0</v>
      </c>
      <c r="G26" s="1608"/>
      <c r="H26" s="3274"/>
      <c r="I26" s="3274"/>
      <c r="J26" s="3283">
        <f t="shared" si="45"/>
        <v>0</v>
      </c>
      <c r="K26" s="3284">
        <f t="shared" si="23"/>
        <v>0</v>
      </c>
      <c r="L26" s="1608"/>
      <c r="M26" s="3274"/>
      <c r="N26" s="3274"/>
      <c r="O26" s="3283">
        <f t="shared" si="46"/>
        <v>0</v>
      </c>
      <c r="P26" s="3284">
        <f t="shared" si="2"/>
        <v>0</v>
      </c>
      <c r="Q26" s="1608"/>
      <c r="R26" s="3274"/>
      <c r="S26" s="3274"/>
      <c r="T26" s="3283">
        <f t="shared" si="47"/>
        <v>0</v>
      </c>
      <c r="U26" s="3284">
        <f t="shared" si="3"/>
        <v>0</v>
      </c>
      <c r="V26" s="1608"/>
      <c r="W26" s="3274"/>
      <c r="X26" s="3274"/>
      <c r="Y26" s="3283">
        <f t="shared" si="48"/>
        <v>0</v>
      </c>
      <c r="Z26" s="3284">
        <f t="shared" si="4"/>
        <v>0</v>
      </c>
      <c r="AA26" s="1608"/>
      <c r="AB26" s="3274"/>
      <c r="AC26" s="3274"/>
      <c r="AD26" s="3283">
        <f t="shared" si="49"/>
        <v>0</v>
      </c>
      <c r="AE26" s="3284">
        <f t="shared" si="5"/>
        <v>0</v>
      </c>
      <c r="AF26" s="1608"/>
      <c r="AG26" s="3274">
        <v>0</v>
      </c>
      <c r="AH26" s="3274">
        <v>0</v>
      </c>
      <c r="AI26" s="3283">
        <v>0</v>
      </c>
      <c r="AJ26" s="3284">
        <v>0</v>
      </c>
      <c r="AK26" s="1608"/>
      <c r="AL26" s="3274">
        <f t="shared" si="6"/>
        <v>0</v>
      </c>
      <c r="AM26" s="3274">
        <f t="shared" si="6"/>
        <v>0</v>
      </c>
      <c r="AN26" s="3283">
        <f t="shared" si="50"/>
        <v>0</v>
      </c>
      <c r="AO26" s="3284">
        <f t="shared" si="7"/>
        <v>0</v>
      </c>
      <c r="AP26" s="1608"/>
      <c r="AQ26" s="3274"/>
      <c r="AR26" s="3274"/>
      <c r="AS26" s="3283">
        <f t="shared" si="51"/>
        <v>0</v>
      </c>
      <c r="AT26" s="3284">
        <f t="shared" si="8"/>
        <v>0</v>
      </c>
      <c r="AU26" s="1608"/>
      <c r="AV26" s="3274"/>
      <c r="AW26" s="3274"/>
      <c r="AX26" s="3283">
        <f t="shared" si="30"/>
        <v>0</v>
      </c>
      <c r="AY26" s="3284">
        <f t="shared" si="9"/>
        <v>0</v>
      </c>
      <c r="AZ26" s="1608"/>
      <c r="BA26" s="3285"/>
      <c r="BB26" s="3285"/>
      <c r="BC26" s="3286">
        <f t="shared" si="31"/>
        <v>0</v>
      </c>
      <c r="BD26" s="3284">
        <f t="shared" si="10"/>
        <v>0</v>
      </c>
      <c r="BE26" s="1158"/>
      <c r="BF26" s="3285"/>
      <c r="BG26" s="3285"/>
      <c r="BH26" s="3286">
        <f t="shared" si="35"/>
        <v>0</v>
      </c>
      <c r="BI26" s="3284">
        <f t="shared" si="11"/>
        <v>0</v>
      </c>
      <c r="BJ26" s="1158"/>
      <c r="BK26" s="3285"/>
      <c r="BL26" s="3285"/>
      <c r="BM26" s="3286">
        <f t="shared" si="36"/>
        <v>0</v>
      </c>
      <c r="BN26" s="3284">
        <f t="shared" si="12"/>
        <v>0</v>
      </c>
      <c r="BO26" s="1158"/>
      <c r="BP26" s="3285"/>
      <c r="BQ26" s="3285"/>
      <c r="BR26" s="3286">
        <f t="shared" si="37"/>
        <v>0</v>
      </c>
      <c r="BS26" s="3284">
        <f t="shared" si="13"/>
        <v>0</v>
      </c>
      <c r="BT26" s="1158"/>
      <c r="BU26" s="3285"/>
      <c r="BV26" s="3285"/>
      <c r="BW26" s="3286">
        <f t="shared" si="38"/>
        <v>0</v>
      </c>
      <c r="BX26" s="3284" t="e">
        <f t="shared" si="14"/>
        <v>#DIV/0!</v>
      </c>
      <c r="BY26" s="1158"/>
      <c r="BZ26" s="3285"/>
      <c r="CA26" s="3285"/>
      <c r="CB26" s="3286">
        <f t="shared" si="39"/>
        <v>0</v>
      </c>
      <c r="CC26" s="3284" t="e">
        <f t="shared" si="15"/>
        <v>#DIV/0!</v>
      </c>
      <c r="CD26" s="1158"/>
      <c r="CE26" s="3285"/>
      <c r="CF26" s="3285"/>
      <c r="CG26" s="3286">
        <f t="shared" si="40"/>
        <v>0</v>
      </c>
      <c r="CH26" s="3284" t="e">
        <f t="shared" si="16"/>
        <v>#DIV/0!</v>
      </c>
      <c r="CI26" s="1158"/>
      <c r="CJ26" s="3285"/>
      <c r="CK26" s="3285"/>
      <c r="CL26" s="3286">
        <f t="shared" si="41"/>
        <v>0</v>
      </c>
      <c r="CM26" s="3284" t="e">
        <f t="shared" si="17"/>
        <v>#DIV/0!</v>
      </c>
      <c r="CN26" s="1158"/>
      <c r="CO26" s="3285"/>
      <c r="CP26" s="3285"/>
      <c r="CQ26" s="3286">
        <f t="shared" si="42"/>
        <v>0</v>
      </c>
      <c r="CR26" s="3284" t="e">
        <f t="shared" si="18"/>
        <v>#DIV/0!</v>
      </c>
      <c r="CS26" s="1158"/>
      <c r="CT26" s="3285"/>
      <c r="CU26" s="3285"/>
      <c r="CV26" s="3286">
        <f t="shared" si="43"/>
        <v>0</v>
      </c>
      <c r="CW26" s="3284" t="e">
        <f t="shared" si="19"/>
        <v>#DIV/0!</v>
      </c>
      <c r="CX26" s="1158"/>
      <c r="CY26" s="3274">
        <f t="shared" si="32"/>
        <v>0</v>
      </c>
      <c r="CZ26" s="3274">
        <f t="shared" si="33"/>
        <v>0</v>
      </c>
      <c r="DA26" s="3283">
        <f t="shared" si="34"/>
        <v>0</v>
      </c>
      <c r="DB26" s="3284">
        <f t="shared" si="1"/>
        <v>0</v>
      </c>
      <c r="DC26" s="1449"/>
    </row>
    <row r="27" spans="1:107" s="1411" customFormat="1" ht="41.4" x14ac:dyDescent="0.25">
      <c r="A27" s="1586"/>
      <c r="B27" s="3289" t="s">
        <v>25</v>
      </c>
      <c r="C27" s="3288"/>
      <c r="D27" s="3274"/>
      <c r="E27" s="3283">
        <f t="shared" si="44"/>
        <v>0</v>
      </c>
      <c r="F27" s="3284">
        <f t="shared" si="0"/>
        <v>0</v>
      </c>
      <c r="G27" s="1608"/>
      <c r="H27" s="3274"/>
      <c r="I27" s="3274"/>
      <c r="J27" s="3283">
        <f t="shared" si="45"/>
        <v>0</v>
      </c>
      <c r="K27" s="3284">
        <f t="shared" si="23"/>
        <v>0</v>
      </c>
      <c r="L27" s="1608"/>
      <c r="M27" s="3274">
        <f>5519.69+3500</f>
        <v>9019.6899999999987</v>
      </c>
      <c r="N27" s="3274"/>
      <c r="O27" s="3283">
        <f t="shared" si="46"/>
        <v>9019.6899999999987</v>
      </c>
      <c r="P27" s="3284">
        <f t="shared" si="2"/>
        <v>4.7581744878329238E-2</v>
      </c>
      <c r="Q27" s="3275" t="s">
        <v>1266</v>
      </c>
      <c r="R27" s="3274"/>
      <c r="S27" s="3274"/>
      <c r="T27" s="3283">
        <f t="shared" si="47"/>
        <v>0</v>
      </c>
      <c r="U27" s="3284">
        <f t="shared" si="3"/>
        <v>0</v>
      </c>
      <c r="V27" s="1608"/>
      <c r="W27" s="3274">
        <v>2370</v>
      </c>
      <c r="X27" s="3274">
        <v>14738.5</v>
      </c>
      <c r="Y27" s="3283">
        <f t="shared" si="48"/>
        <v>17108.5</v>
      </c>
      <c r="Z27" s="3284">
        <f t="shared" si="4"/>
        <v>9.0252800512090323E-2</v>
      </c>
      <c r="AA27" s="3275" t="s">
        <v>1416</v>
      </c>
      <c r="AB27" s="3274"/>
      <c r="AC27" s="3274"/>
      <c r="AD27" s="3283">
        <f t="shared" si="49"/>
        <v>0</v>
      </c>
      <c r="AE27" s="3284">
        <f t="shared" si="5"/>
        <v>0</v>
      </c>
      <c r="AF27" s="3275"/>
      <c r="AG27" s="3274">
        <v>146016.86599999998</v>
      </c>
      <c r="AH27" s="3274">
        <v>0</v>
      </c>
      <c r="AI27" s="3283">
        <v>146016.86599999998</v>
      </c>
      <c r="AJ27" s="3284">
        <v>0.81017027661559904</v>
      </c>
      <c r="AK27" s="1608"/>
      <c r="AL27" s="3274">
        <f t="shared" si="6"/>
        <v>0</v>
      </c>
      <c r="AM27" s="3274">
        <f t="shared" si="6"/>
        <v>0</v>
      </c>
      <c r="AN27" s="3283">
        <f t="shared" si="50"/>
        <v>0</v>
      </c>
      <c r="AO27" s="3284">
        <f t="shared" si="7"/>
        <v>0</v>
      </c>
      <c r="AP27" s="1608"/>
      <c r="AQ27" s="3274"/>
      <c r="AR27" s="3274"/>
      <c r="AS27" s="3283">
        <f t="shared" si="51"/>
        <v>0</v>
      </c>
      <c r="AT27" s="3284">
        <f t="shared" si="8"/>
        <v>0</v>
      </c>
      <c r="AU27" s="3275"/>
      <c r="AV27" s="3274"/>
      <c r="AW27" s="3274"/>
      <c r="AX27" s="3283">
        <f t="shared" si="30"/>
        <v>0</v>
      </c>
      <c r="AY27" s="3284">
        <f t="shared" si="9"/>
        <v>0</v>
      </c>
      <c r="AZ27" s="3291"/>
      <c r="BA27" s="3285"/>
      <c r="BB27" s="3285"/>
      <c r="BC27" s="3286">
        <f t="shared" si="31"/>
        <v>0</v>
      </c>
      <c r="BD27" s="3284">
        <f t="shared" si="10"/>
        <v>0</v>
      </c>
      <c r="BE27" s="3291"/>
      <c r="BF27" s="3285"/>
      <c r="BG27" s="3285"/>
      <c r="BH27" s="3286">
        <f t="shared" si="35"/>
        <v>0</v>
      </c>
      <c r="BI27" s="3284">
        <f t="shared" si="11"/>
        <v>0</v>
      </c>
      <c r="BJ27" s="3291"/>
      <c r="BK27" s="3285"/>
      <c r="BL27" s="3285"/>
      <c r="BM27" s="3286">
        <f t="shared" si="36"/>
        <v>0</v>
      </c>
      <c r="BN27" s="3284">
        <f t="shared" si="12"/>
        <v>0</v>
      </c>
      <c r="BO27" s="3291"/>
      <c r="BP27" s="3285"/>
      <c r="BQ27" s="3285"/>
      <c r="BR27" s="3286">
        <f t="shared" si="37"/>
        <v>0</v>
      </c>
      <c r="BS27" s="3284">
        <f t="shared" si="13"/>
        <v>0</v>
      </c>
      <c r="BT27" s="3291"/>
      <c r="BU27" s="3285"/>
      <c r="BV27" s="3285"/>
      <c r="BW27" s="3286">
        <f t="shared" si="38"/>
        <v>0</v>
      </c>
      <c r="BX27" s="3284" t="e">
        <f t="shared" si="14"/>
        <v>#DIV/0!</v>
      </c>
      <c r="BY27" s="3291"/>
      <c r="BZ27" s="3285"/>
      <c r="CA27" s="3285"/>
      <c r="CB27" s="3286">
        <f t="shared" si="39"/>
        <v>0</v>
      </c>
      <c r="CC27" s="3284" t="e">
        <f t="shared" si="15"/>
        <v>#DIV/0!</v>
      </c>
      <c r="CD27" s="3291"/>
      <c r="CE27" s="3285"/>
      <c r="CF27" s="3285"/>
      <c r="CG27" s="3286">
        <f t="shared" si="40"/>
        <v>0</v>
      </c>
      <c r="CH27" s="3284" t="e">
        <f t="shared" si="16"/>
        <v>#DIV/0!</v>
      </c>
      <c r="CI27" s="3291"/>
      <c r="CJ27" s="3285"/>
      <c r="CK27" s="3285"/>
      <c r="CL27" s="3286">
        <f t="shared" si="41"/>
        <v>0</v>
      </c>
      <c r="CM27" s="3284" t="e">
        <f t="shared" si="17"/>
        <v>#DIV/0!</v>
      </c>
      <c r="CN27" s="3291"/>
      <c r="CO27" s="3285"/>
      <c r="CP27" s="3285"/>
      <c r="CQ27" s="3286">
        <f t="shared" si="42"/>
        <v>0</v>
      </c>
      <c r="CR27" s="3284" t="e">
        <f t="shared" si="18"/>
        <v>#DIV/0!</v>
      </c>
      <c r="CS27" s="3291"/>
      <c r="CT27" s="3285"/>
      <c r="CU27" s="3285"/>
      <c r="CV27" s="3286">
        <f t="shared" si="43"/>
        <v>0</v>
      </c>
      <c r="CW27" s="3284" t="e">
        <f t="shared" si="19"/>
        <v>#DIV/0!</v>
      </c>
      <c r="CX27" s="3291"/>
      <c r="CY27" s="3274">
        <f t="shared" si="32"/>
        <v>157406.55599999998</v>
      </c>
      <c r="CZ27" s="3274">
        <f t="shared" si="33"/>
        <v>14738.5</v>
      </c>
      <c r="DA27" s="3283">
        <f t="shared" si="34"/>
        <v>172145.05599999998</v>
      </c>
      <c r="DB27" s="3284">
        <f t="shared" si="1"/>
        <v>6.7248094900281524E-2</v>
      </c>
      <c r="DC27" s="1449"/>
    </row>
    <row r="28" spans="1:107" s="1411" customFormat="1" ht="96.6" x14ac:dyDescent="0.25">
      <c r="A28" s="1586"/>
      <c r="B28" s="3289" t="s">
        <v>52</v>
      </c>
      <c r="C28" s="3288">
        <v>100434.24000000001</v>
      </c>
      <c r="D28" s="3274">
        <v>3600</v>
      </c>
      <c r="E28" s="3283">
        <f t="shared" si="44"/>
        <v>104034.24000000001</v>
      </c>
      <c r="F28" s="3284">
        <f t="shared" si="0"/>
        <v>0.61579539656195514</v>
      </c>
      <c r="G28" s="3275" t="s">
        <v>1135</v>
      </c>
      <c r="H28" s="3274">
        <f>1850*53.62</f>
        <v>99197</v>
      </c>
      <c r="I28" s="3274">
        <f>9169.99+5831.41</f>
        <v>15001.4</v>
      </c>
      <c r="J28" s="3283">
        <f t="shared" si="45"/>
        <v>114198.39999999999</v>
      </c>
      <c r="K28" s="3284">
        <f t="shared" si="23"/>
        <v>0.63362645598117984</v>
      </c>
      <c r="L28" s="3360" t="s">
        <v>1166</v>
      </c>
      <c r="M28" s="3274">
        <f>1991*52.2+4338.47</f>
        <v>108268.67000000001</v>
      </c>
      <c r="N28" s="3274">
        <v>230</v>
      </c>
      <c r="O28" s="3283">
        <f t="shared" si="46"/>
        <v>108498.67000000001</v>
      </c>
      <c r="P28" s="3284">
        <f t="shared" si="2"/>
        <v>0.57236512957518892</v>
      </c>
      <c r="Q28" s="3275" t="s">
        <v>1267</v>
      </c>
      <c r="R28" s="3274">
        <f>346.94+2219*52</f>
        <v>115734.94</v>
      </c>
      <c r="S28" s="3274">
        <v>28354.959999999999</v>
      </c>
      <c r="T28" s="3283">
        <f t="shared" si="47"/>
        <v>144089.9</v>
      </c>
      <c r="U28" s="3284">
        <f t="shared" si="3"/>
        <v>0.7601202326625387</v>
      </c>
      <c r="V28" s="3275" t="s">
        <v>1344</v>
      </c>
      <c r="W28" s="3274">
        <f>31000+1635.33+500+14159.8+957*52.53</f>
        <v>97566.34</v>
      </c>
      <c r="X28" s="3274">
        <v>8266.4</v>
      </c>
      <c r="Y28" s="3283">
        <f t="shared" si="48"/>
        <v>105832.73999999999</v>
      </c>
      <c r="Z28" s="3284">
        <f t="shared" si="4"/>
        <v>0.55830149755197245</v>
      </c>
      <c r="AA28" s="3275" t="s">
        <v>1457</v>
      </c>
      <c r="AB28" s="3274">
        <f>7374.4+1815*54+8695.96</f>
        <v>114080.35999999999</v>
      </c>
      <c r="AC28" s="3274"/>
      <c r="AD28" s="3283">
        <f t="shared" si="49"/>
        <v>114080.35999999999</v>
      </c>
      <c r="AE28" s="3284">
        <f t="shared" si="5"/>
        <v>0.60181032664625456</v>
      </c>
      <c r="AF28" s="3276" t="s">
        <v>1506</v>
      </c>
      <c r="AG28" s="3274">
        <v>825292.33799999999</v>
      </c>
      <c r="AH28" s="3274">
        <v>42149.26</v>
      </c>
      <c r="AI28" s="3283">
        <v>867441.598</v>
      </c>
      <c r="AJ28" s="3284">
        <v>4.8129741354641684</v>
      </c>
      <c r="AK28" s="3275"/>
      <c r="AL28" s="3274">
        <f t="shared" si="6"/>
        <v>0</v>
      </c>
      <c r="AM28" s="3274">
        <f t="shared" si="6"/>
        <v>0</v>
      </c>
      <c r="AN28" s="3283">
        <f t="shared" si="50"/>
        <v>0</v>
      </c>
      <c r="AO28" s="3284">
        <f t="shared" si="7"/>
        <v>0</v>
      </c>
      <c r="AP28" s="3275"/>
      <c r="AQ28" s="3274"/>
      <c r="AR28" s="3274"/>
      <c r="AS28" s="3283">
        <f t="shared" si="51"/>
        <v>0</v>
      </c>
      <c r="AT28" s="3284">
        <f t="shared" si="8"/>
        <v>0</v>
      </c>
      <c r="AU28" s="3276"/>
      <c r="AV28" s="3274"/>
      <c r="AW28" s="3274"/>
      <c r="AX28" s="3283">
        <f t="shared" si="30"/>
        <v>0</v>
      </c>
      <c r="AY28" s="3284">
        <f t="shared" si="9"/>
        <v>0</v>
      </c>
      <c r="AZ28" s="3291"/>
      <c r="BA28" s="3285"/>
      <c r="BB28" s="3285"/>
      <c r="BC28" s="3286">
        <f t="shared" si="31"/>
        <v>0</v>
      </c>
      <c r="BD28" s="3284">
        <f t="shared" si="10"/>
        <v>0</v>
      </c>
      <c r="BE28" s="3291"/>
      <c r="BF28" s="3285"/>
      <c r="BG28" s="3285"/>
      <c r="BH28" s="3286">
        <f t="shared" si="35"/>
        <v>0</v>
      </c>
      <c r="BI28" s="3284">
        <f t="shared" si="11"/>
        <v>0</v>
      </c>
      <c r="BJ28" s="3291"/>
      <c r="BK28" s="3285"/>
      <c r="BL28" s="3285"/>
      <c r="BM28" s="3286">
        <f t="shared" si="36"/>
        <v>0</v>
      </c>
      <c r="BN28" s="3284">
        <f t="shared" si="12"/>
        <v>0</v>
      </c>
      <c r="BO28" s="3291"/>
      <c r="BP28" s="3285"/>
      <c r="BQ28" s="3285"/>
      <c r="BR28" s="3286">
        <f t="shared" si="37"/>
        <v>0</v>
      </c>
      <c r="BS28" s="3284">
        <f t="shared" si="13"/>
        <v>0</v>
      </c>
      <c r="BT28" s="3291"/>
      <c r="BU28" s="3285"/>
      <c r="BV28" s="3285"/>
      <c r="BW28" s="3286">
        <f t="shared" si="38"/>
        <v>0</v>
      </c>
      <c r="BX28" s="3284" t="e">
        <f t="shared" si="14"/>
        <v>#DIV/0!</v>
      </c>
      <c r="BY28" s="3291"/>
      <c r="BZ28" s="3285"/>
      <c r="CA28" s="3285"/>
      <c r="CB28" s="3286">
        <f t="shared" si="39"/>
        <v>0</v>
      </c>
      <c r="CC28" s="3284" t="e">
        <f t="shared" si="15"/>
        <v>#DIV/0!</v>
      </c>
      <c r="CD28" s="3291"/>
      <c r="CE28" s="3285"/>
      <c r="CF28" s="3285"/>
      <c r="CG28" s="3286">
        <f t="shared" si="40"/>
        <v>0</v>
      </c>
      <c r="CH28" s="3284" t="e">
        <f t="shared" si="16"/>
        <v>#DIV/0!</v>
      </c>
      <c r="CI28" s="3291"/>
      <c r="CJ28" s="3285"/>
      <c r="CK28" s="3285"/>
      <c r="CL28" s="3286">
        <f t="shared" si="41"/>
        <v>0</v>
      </c>
      <c r="CM28" s="3284" t="e">
        <f t="shared" si="17"/>
        <v>#DIV/0!</v>
      </c>
      <c r="CN28" s="3291"/>
      <c r="CO28" s="3285"/>
      <c r="CP28" s="3285"/>
      <c r="CQ28" s="3286">
        <f t="shared" si="42"/>
        <v>0</v>
      </c>
      <c r="CR28" s="3284" t="e">
        <f t="shared" si="18"/>
        <v>#DIV/0!</v>
      </c>
      <c r="CS28" s="3291"/>
      <c r="CT28" s="3285"/>
      <c r="CU28" s="3285"/>
      <c r="CV28" s="3286">
        <f t="shared" si="43"/>
        <v>0</v>
      </c>
      <c r="CW28" s="3284" t="e">
        <f t="shared" si="19"/>
        <v>#DIV/0!</v>
      </c>
      <c r="CX28" s="3291"/>
      <c r="CY28" s="3274">
        <f t="shared" si="32"/>
        <v>1460573.888</v>
      </c>
      <c r="CZ28" s="3274">
        <f t="shared" si="33"/>
        <v>97602.02</v>
      </c>
      <c r="DA28" s="3283">
        <f t="shared" si="34"/>
        <v>1558175.9080000001</v>
      </c>
      <c r="DB28" s="3284">
        <f t="shared" si="1"/>
        <v>0.60869805829634949</v>
      </c>
      <c r="DC28" s="1449"/>
    </row>
    <row r="29" spans="1:107" s="1411" customFormat="1" ht="13.8" x14ac:dyDescent="0.25">
      <c r="A29" s="1586"/>
      <c r="B29" s="3289" t="s">
        <v>31</v>
      </c>
      <c r="C29" s="3288"/>
      <c r="D29" s="3274"/>
      <c r="E29" s="3283">
        <f t="shared" si="44"/>
        <v>0</v>
      </c>
      <c r="F29" s="3284">
        <f t="shared" si="0"/>
        <v>0</v>
      </c>
      <c r="G29" s="3294"/>
      <c r="H29" s="3274"/>
      <c r="I29" s="3274"/>
      <c r="J29" s="3283">
        <f t="shared" si="45"/>
        <v>0</v>
      </c>
      <c r="K29" s="3284">
        <f t="shared" si="23"/>
        <v>0</v>
      </c>
      <c r="L29" s="3294"/>
      <c r="M29" s="3274"/>
      <c r="N29" s="3274"/>
      <c r="O29" s="3283">
        <f t="shared" si="46"/>
        <v>0</v>
      </c>
      <c r="P29" s="3284">
        <f t="shared" si="2"/>
        <v>0</v>
      </c>
      <c r="Q29" s="3294"/>
      <c r="R29" s="3274"/>
      <c r="S29" s="3274"/>
      <c r="T29" s="3283">
        <f t="shared" si="47"/>
        <v>0</v>
      </c>
      <c r="U29" s="3284">
        <f t="shared" si="3"/>
        <v>0</v>
      </c>
      <c r="V29" s="3294"/>
      <c r="W29" s="3274">
        <v>6000</v>
      </c>
      <c r="X29" s="3274"/>
      <c r="Y29" s="3283">
        <f t="shared" si="48"/>
        <v>6000</v>
      </c>
      <c r="Z29" s="3284">
        <f t="shared" si="4"/>
        <v>3.1651915894002507E-2</v>
      </c>
      <c r="AA29" s="3275" t="s">
        <v>1417</v>
      </c>
      <c r="AB29" s="3274">
        <f>11*300+20*300</f>
        <v>9300</v>
      </c>
      <c r="AC29" s="3274"/>
      <c r="AD29" s="3283">
        <f t="shared" si="49"/>
        <v>9300</v>
      </c>
      <c r="AE29" s="3284">
        <f t="shared" si="5"/>
        <v>4.9060469635703888E-2</v>
      </c>
      <c r="AF29" s="3276" t="s">
        <v>1482</v>
      </c>
      <c r="AG29" s="3274">
        <v>20270.73</v>
      </c>
      <c r="AH29" s="3274">
        <v>0</v>
      </c>
      <c r="AI29" s="3283">
        <v>20270.73</v>
      </c>
      <c r="AJ29" s="3284">
        <v>0.11247154785050738</v>
      </c>
      <c r="AK29" s="3294"/>
      <c r="AL29" s="3274">
        <f t="shared" si="6"/>
        <v>0</v>
      </c>
      <c r="AM29" s="3274">
        <f t="shared" si="6"/>
        <v>0</v>
      </c>
      <c r="AN29" s="3283">
        <f t="shared" si="50"/>
        <v>0</v>
      </c>
      <c r="AO29" s="3284">
        <f t="shared" si="7"/>
        <v>0</v>
      </c>
      <c r="AP29" s="3294"/>
      <c r="AQ29" s="3274"/>
      <c r="AR29" s="3274"/>
      <c r="AS29" s="3283">
        <f t="shared" si="51"/>
        <v>0</v>
      </c>
      <c r="AT29" s="3284">
        <f t="shared" si="8"/>
        <v>0</v>
      </c>
      <c r="AU29" s="3276"/>
      <c r="AV29" s="3274"/>
      <c r="AW29" s="3274"/>
      <c r="AX29" s="3283">
        <f t="shared" si="30"/>
        <v>0</v>
      </c>
      <c r="AY29" s="3284">
        <f t="shared" si="9"/>
        <v>0</v>
      </c>
      <c r="AZ29" s="3293"/>
      <c r="BA29" s="3285"/>
      <c r="BB29" s="3285"/>
      <c r="BC29" s="3286">
        <f t="shared" si="31"/>
        <v>0</v>
      </c>
      <c r="BD29" s="3284">
        <f t="shared" si="10"/>
        <v>0</v>
      </c>
      <c r="BE29" s="3291"/>
      <c r="BF29" s="3285"/>
      <c r="BG29" s="3285"/>
      <c r="BH29" s="3286">
        <f t="shared" si="35"/>
        <v>0</v>
      </c>
      <c r="BI29" s="3284">
        <f t="shared" si="11"/>
        <v>0</v>
      </c>
      <c r="BJ29" s="3291"/>
      <c r="BK29" s="3285"/>
      <c r="BL29" s="3285"/>
      <c r="BM29" s="3286">
        <f t="shared" si="36"/>
        <v>0</v>
      </c>
      <c r="BN29" s="3284">
        <f t="shared" si="12"/>
        <v>0</v>
      </c>
      <c r="BO29" s="3291"/>
      <c r="BP29" s="3285"/>
      <c r="BQ29" s="3285"/>
      <c r="BR29" s="3286">
        <f t="shared" si="37"/>
        <v>0</v>
      </c>
      <c r="BS29" s="3284">
        <f t="shared" si="13"/>
        <v>0</v>
      </c>
      <c r="BT29" s="3291"/>
      <c r="BU29" s="3285"/>
      <c r="BV29" s="3285"/>
      <c r="BW29" s="3286">
        <f t="shared" si="38"/>
        <v>0</v>
      </c>
      <c r="BX29" s="3284" t="e">
        <f t="shared" si="14"/>
        <v>#DIV/0!</v>
      </c>
      <c r="BY29" s="3291"/>
      <c r="BZ29" s="3285"/>
      <c r="CA29" s="3285"/>
      <c r="CB29" s="3286">
        <f t="shared" si="39"/>
        <v>0</v>
      </c>
      <c r="CC29" s="3284" t="e">
        <f t="shared" si="15"/>
        <v>#DIV/0!</v>
      </c>
      <c r="CD29" s="3291"/>
      <c r="CE29" s="3285"/>
      <c r="CF29" s="3285"/>
      <c r="CG29" s="3286">
        <f t="shared" si="40"/>
        <v>0</v>
      </c>
      <c r="CH29" s="3284" t="e">
        <f t="shared" si="16"/>
        <v>#DIV/0!</v>
      </c>
      <c r="CI29" s="3291"/>
      <c r="CJ29" s="3285"/>
      <c r="CK29" s="3285"/>
      <c r="CL29" s="3286">
        <f t="shared" si="41"/>
        <v>0</v>
      </c>
      <c r="CM29" s="3284" t="e">
        <f t="shared" si="17"/>
        <v>#DIV/0!</v>
      </c>
      <c r="CN29" s="3291"/>
      <c r="CO29" s="3285"/>
      <c r="CP29" s="3285"/>
      <c r="CQ29" s="3286">
        <f t="shared" si="42"/>
        <v>0</v>
      </c>
      <c r="CR29" s="3284" t="e">
        <f t="shared" si="18"/>
        <v>#DIV/0!</v>
      </c>
      <c r="CS29" s="3291"/>
      <c r="CT29" s="3285"/>
      <c r="CU29" s="3285"/>
      <c r="CV29" s="3286">
        <f t="shared" si="43"/>
        <v>0</v>
      </c>
      <c r="CW29" s="3284" t="e">
        <f t="shared" si="19"/>
        <v>#DIV/0!</v>
      </c>
      <c r="CX29" s="3291"/>
      <c r="CY29" s="3274">
        <f t="shared" si="32"/>
        <v>35570.729999999996</v>
      </c>
      <c r="CZ29" s="3274">
        <f t="shared" si="33"/>
        <v>0</v>
      </c>
      <c r="DA29" s="3283">
        <f t="shared" si="34"/>
        <v>35570.729999999996</v>
      </c>
      <c r="DB29" s="3284">
        <f t="shared" si="1"/>
        <v>1.389562896719085E-2</v>
      </c>
      <c r="DC29" s="3295"/>
    </row>
    <row r="30" spans="1:107" s="1411" customFormat="1" ht="13.8" x14ac:dyDescent="0.25">
      <c r="A30" s="1586"/>
      <c r="B30" s="3289" t="s">
        <v>62</v>
      </c>
      <c r="C30" s="3288"/>
      <c r="D30" s="3274"/>
      <c r="E30" s="3283">
        <f t="shared" si="44"/>
        <v>0</v>
      </c>
      <c r="F30" s="3284">
        <f t="shared" si="0"/>
        <v>0</v>
      </c>
      <c r="G30" s="3296"/>
      <c r="H30" s="3274"/>
      <c r="I30" s="3274"/>
      <c r="J30" s="3283">
        <f t="shared" si="45"/>
        <v>0</v>
      </c>
      <c r="K30" s="3284">
        <f t="shared" si="23"/>
        <v>0</v>
      </c>
      <c r="L30" s="3296"/>
      <c r="M30" s="3274"/>
      <c r="N30" s="3274"/>
      <c r="O30" s="3283">
        <f t="shared" si="46"/>
        <v>0</v>
      </c>
      <c r="P30" s="3284">
        <f t="shared" si="2"/>
        <v>0</v>
      </c>
      <c r="Q30" s="3296"/>
      <c r="R30" s="3274"/>
      <c r="S30" s="3274"/>
      <c r="T30" s="3283">
        <f t="shared" si="47"/>
        <v>0</v>
      </c>
      <c r="U30" s="3284">
        <f t="shared" si="3"/>
        <v>0</v>
      </c>
      <c r="V30" s="3296"/>
      <c r="W30" s="3274"/>
      <c r="X30" s="3274"/>
      <c r="Y30" s="3283">
        <f t="shared" si="48"/>
        <v>0</v>
      </c>
      <c r="Z30" s="3284">
        <f t="shared" si="4"/>
        <v>0</v>
      </c>
      <c r="AA30" s="3296"/>
      <c r="AB30" s="3274"/>
      <c r="AC30" s="3274"/>
      <c r="AD30" s="3283">
        <f t="shared" si="49"/>
        <v>0</v>
      </c>
      <c r="AE30" s="3284">
        <f t="shared" si="5"/>
        <v>0</v>
      </c>
      <c r="AF30" s="3296"/>
      <c r="AG30" s="3274">
        <v>0</v>
      </c>
      <c r="AH30" s="3274">
        <v>0</v>
      </c>
      <c r="AI30" s="3283">
        <v>0</v>
      </c>
      <c r="AJ30" s="3284">
        <v>0</v>
      </c>
      <c r="AK30" s="3296"/>
      <c r="AL30" s="3274">
        <f t="shared" si="6"/>
        <v>0</v>
      </c>
      <c r="AM30" s="3274">
        <f t="shared" si="6"/>
        <v>0</v>
      </c>
      <c r="AN30" s="3283">
        <f t="shared" si="50"/>
        <v>0</v>
      </c>
      <c r="AO30" s="3284">
        <f t="shared" si="7"/>
        <v>0</v>
      </c>
      <c r="AP30" s="3296"/>
      <c r="AQ30" s="3274"/>
      <c r="AR30" s="3274"/>
      <c r="AS30" s="3283">
        <f t="shared" si="51"/>
        <v>0</v>
      </c>
      <c r="AT30" s="3284">
        <f t="shared" si="8"/>
        <v>0</v>
      </c>
      <c r="AU30" s="3296"/>
      <c r="AV30" s="3274"/>
      <c r="AW30" s="3274"/>
      <c r="AX30" s="3283">
        <f t="shared" si="30"/>
        <v>0</v>
      </c>
      <c r="AY30" s="3284">
        <f t="shared" si="9"/>
        <v>0</v>
      </c>
      <c r="AZ30" s="3296"/>
      <c r="BA30" s="3285"/>
      <c r="BB30" s="3285"/>
      <c r="BC30" s="3286">
        <f t="shared" si="31"/>
        <v>0</v>
      </c>
      <c r="BD30" s="3284">
        <f t="shared" si="10"/>
        <v>0</v>
      </c>
      <c r="BE30" s="3297"/>
      <c r="BF30" s="3285"/>
      <c r="BG30" s="3285"/>
      <c r="BH30" s="3286">
        <f t="shared" si="35"/>
        <v>0</v>
      </c>
      <c r="BI30" s="3284">
        <f t="shared" si="11"/>
        <v>0</v>
      </c>
      <c r="BJ30" s="3297"/>
      <c r="BK30" s="3285"/>
      <c r="BL30" s="3285"/>
      <c r="BM30" s="3286">
        <f t="shared" si="36"/>
        <v>0</v>
      </c>
      <c r="BN30" s="3284">
        <f t="shared" si="12"/>
        <v>0</v>
      </c>
      <c r="BO30" s="3297"/>
      <c r="BP30" s="3285"/>
      <c r="BQ30" s="3285"/>
      <c r="BR30" s="3286">
        <f t="shared" si="37"/>
        <v>0</v>
      </c>
      <c r="BS30" s="3284">
        <f t="shared" si="13"/>
        <v>0</v>
      </c>
      <c r="BT30" s="3297"/>
      <c r="BU30" s="3285"/>
      <c r="BV30" s="3285"/>
      <c r="BW30" s="3286">
        <f t="shared" si="38"/>
        <v>0</v>
      </c>
      <c r="BX30" s="3284" t="e">
        <f t="shared" si="14"/>
        <v>#DIV/0!</v>
      </c>
      <c r="BY30" s="3297"/>
      <c r="BZ30" s="3285"/>
      <c r="CA30" s="3285"/>
      <c r="CB30" s="3286">
        <f t="shared" si="39"/>
        <v>0</v>
      </c>
      <c r="CC30" s="3284" t="e">
        <f t="shared" si="15"/>
        <v>#DIV/0!</v>
      </c>
      <c r="CD30" s="1158"/>
      <c r="CE30" s="3285"/>
      <c r="CF30" s="3285"/>
      <c r="CG30" s="3286">
        <f t="shared" si="40"/>
        <v>0</v>
      </c>
      <c r="CH30" s="3284" t="e">
        <f t="shared" si="16"/>
        <v>#DIV/0!</v>
      </c>
      <c r="CI30" s="1158"/>
      <c r="CJ30" s="3285"/>
      <c r="CK30" s="3285"/>
      <c r="CL30" s="3286">
        <f t="shared" si="41"/>
        <v>0</v>
      </c>
      <c r="CM30" s="3284" t="e">
        <f t="shared" si="17"/>
        <v>#DIV/0!</v>
      </c>
      <c r="CN30" s="1158"/>
      <c r="CO30" s="3285"/>
      <c r="CP30" s="3285"/>
      <c r="CQ30" s="3286">
        <f t="shared" si="42"/>
        <v>0</v>
      </c>
      <c r="CR30" s="3284" t="e">
        <f t="shared" si="18"/>
        <v>#DIV/0!</v>
      </c>
      <c r="CS30" s="1158"/>
      <c r="CT30" s="3285"/>
      <c r="CU30" s="3285"/>
      <c r="CV30" s="3286">
        <f t="shared" si="43"/>
        <v>0</v>
      </c>
      <c r="CW30" s="3284" t="e">
        <f t="shared" si="19"/>
        <v>#DIV/0!</v>
      </c>
      <c r="CX30" s="1158"/>
      <c r="CY30" s="3274">
        <f t="shared" si="32"/>
        <v>0</v>
      </c>
      <c r="CZ30" s="3274">
        <f t="shared" si="33"/>
        <v>0</v>
      </c>
      <c r="DA30" s="3283">
        <f t="shared" si="34"/>
        <v>0</v>
      </c>
      <c r="DB30" s="3284">
        <f t="shared" si="1"/>
        <v>0</v>
      </c>
      <c r="DC30" s="3295"/>
    </row>
    <row r="31" spans="1:107" s="1411" customFormat="1" ht="13.8" x14ac:dyDescent="0.25">
      <c r="A31" s="1586"/>
      <c r="B31" s="3289" t="s">
        <v>34</v>
      </c>
      <c r="C31" s="3288"/>
      <c r="D31" s="3274"/>
      <c r="E31" s="3283">
        <f t="shared" si="44"/>
        <v>0</v>
      </c>
      <c r="F31" s="3284">
        <f t="shared" si="0"/>
        <v>0</v>
      </c>
      <c r="G31" s="3296"/>
      <c r="H31" s="3274"/>
      <c r="I31" s="3274"/>
      <c r="J31" s="3283">
        <f t="shared" si="45"/>
        <v>0</v>
      </c>
      <c r="K31" s="3284">
        <f t="shared" si="23"/>
        <v>0</v>
      </c>
      <c r="L31" s="3296"/>
      <c r="M31" s="3274"/>
      <c r="N31" s="3274"/>
      <c r="O31" s="3283">
        <f t="shared" si="46"/>
        <v>0</v>
      </c>
      <c r="P31" s="3284">
        <f t="shared" si="2"/>
        <v>0</v>
      </c>
      <c r="Q31" s="3275"/>
      <c r="R31" s="3274"/>
      <c r="S31" s="3274"/>
      <c r="T31" s="3283">
        <f t="shared" si="47"/>
        <v>0</v>
      </c>
      <c r="U31" s="3284">
        <f t="shared" si="3"/>
        <v>0</v>
      </c>
      <c r="V31" s="3296"/>
      <c r="W31" s="3274"/>
      <c r="X31" s="3274"/>
      <c r="Y31" s="3283">
        <f t="shared" si="48"/>
        <v>0</v>
      </c>
      <c r="Z31" s="3284">
        <f t="shared" si="4"/>
        <v>0</v>
      </c>
      <c r="AA31" s="3296"/>
      <c r="AB31" s="3274"/>
      <c r="AC31" s="3274"/>
      <c r="AD31" s="3283">
        <f t="shared" si="49"/>
        <v>0</v>
      </c>
      <c r="AE31" s="3284">
        <f t="shared" si="5"/>
        <v>0</v>
      </c>
      <c r="AF31" s="3296"/>
      <c r="AG31" s="3274">
        <v>0</v>
      </c>
      <c r="AH31" s="3274">
        <v>0</v>
      </c>
      <c r="AI31" s="3283">
        <v>0</v>
      </c>
      <c r="AJ31" s="3284">
        <v>0</v>
      </c>
      <c r="AK31" s="3276"/>
      <c r="AL31" s="3274">
        <f t="shared" si="6"/>
        <v>0</v>
      </c>
      <c r="AM31" s="3274">
        <f t="shared" si="6"/>
        <v>0</v>
      </c>
      <c r="AN31" s="3283">
        <f t="shared" si="50"/>
        <v>0</v>
      </c>
      <c r="AO31" s="3284">
        <f t="shared" si="7"/>
        <v>0</v>
      </c>
      <c r="AP31" s="3276"/>
      <c r="AQ31" s="3274"/>
      <c r="AR31" s="3274"/>
      <c r="AS31" s="3283">
        <f t="shared" si="51"/>
        <v>0</v>
      </c>
      <c r="AT31" s="3284">
        <f t="shared" si="8"/>
        <v>0</v>
      </c>
      <c r="AU31" s="3296"/>
      <c r="AV31" s="3274"/>
      <c r="AW31" s="3274"/>
      <c r="AX31" s="3283">
        <f t="shared" si="30"/>
        <v>0</v>
      </c>
      <c r="AY31" s="3284">
        <f t="shared" si="9"/>
        <v>0</v>
      </c>
      <c r="AZ31" s="3296"/>
      <c r="BA31" s="3285"/>
      <c r="BB31" s="3285"/>
      <c r="BC31" s="3286">
        <f t="shared" si="31"/>
        <v>0</v>
      </c>
      <c r="BD31" s="3284">
        <f t="shared" si="10"/>
        <v>0</v>
      </c>
      <c r="BE31" s="3297"/>
      <c r="BF31" s="3285"/>
      <c r="BG31" s="3285"/>
      <c r="BH31" s="3286">
        <f t="shared" si="35"/>
        <v>0</v>
      </c>
      <c r="BI31" s="3284">
        <f t="shared" si="11"/>
        <v>0</v>
      </c>
      <c r="BJ31" s="3297"/>
      <c r="BK31" s="3285"/>
      <c r="BL31" s="3285"/>
      <c r="BM31" s="3286">
        <f t="shared" si="36"/>
        <v>0</v>
      </c>
      <c r="BN31" s="3284">
        <f t="shared" si="12"/>
        <v>0</v>
      </c>
      <c r="BO31" s="3297"/>
      <c r="BP31" s="3285"/>
      <c r="BQ31" s="3285"/>
      <c r="BR31" s="3286">
        <f t="shared" si="37"/>
        <v>0</v>
      </c>
      <c r="BS31" s="3284">
        <f t="shared" si="13"/>
        <v>0</v>
      </c>
      <c r="BT31" s="3297"/>
      <c r="BU31" s="3285"/>
      <c r="BV31" s="3285"/>
      <c r="BW31" s="3286">
        <f t="shared" si="38"/>
        <v>0</v>
      </c>
      <c r="BX31" s="3284" t="e">
        <f t="shared" si="14"/>
        <v>#DIV/0!</v>
      </c>
      <c r="BY31" s="3297"/>
      <c r="BZ31" s="3285"/>
      <c r="CA31" s="3285"/>
      <c r="CB31" s="3286">
        <f t="shared" si="39"/>
        <v>0</v>
      </c>
      <c r="CC31" s="3284" t="e">
        <f t="shared" si="15"/>
        <v>#DIV/0!</v>
      </c>
      <c r="CD31" s="1158"/>
      <c r="CE31" s="3285"/>
      <c r="CF31" s="3285"/>
      <c r="CG31" s="3286">
        <f t="shared" si="40"/>
        <v>0</v>
      </c>
      <c r="CH31" s="3284" t="e">
        <f t="shared" si="16"/>
        <v>#DIV/0!</v>
      </c>
      <c r="CI31" s="1158"/>
      <c r="CJ31" s="3285"/>
      <c r="CK31" s="3285"/>
      <c r="CL31" s="3286">
        <f t="shared" si="41"/>
        <v>0</v>
      </c>
      <c r="CM31" s="3284" t="e">
        <f t="shared" si="17"/>
        <v>#DIV/0!</v>
      </c>
      <c r="CN31" s="1158"/>
      <c r="CO31" s="3285"/>
      <c r="CP31" s="3285"/>
      <c r="CQ31" s="3286">
        <f t="shared" si="42"/>
        <v>0</v>
      </c>
      <c r="CR31" s="3284" t="e">
        <f t="shared" si="18"/>
        <v>#DIV/0!</v>
      </c>
      <c r="CS31" s="1158"/>
      <c r="CT31" s="3285"/>
      <c r="CU31" s="3285"/>
      <c r="CV31" s="3286">
        <f t="shared" si="43"/>
        <v>0</v>
      </c>
      <c r="CW31" s="3284" t="e">
        <f t="shared" si="19"/>
        <v>#DIV/0!</v>
      </c>
      <c r="CX31" s="1158"/>
      <c r="CY31" s="3274">
        <f t="shared" si="32"/>
        <v>0</v>
      </c>
      <c r="CZ31" s="3274">
        <f t="shared" si="33"/>
        <v>0</v>
      </c>
      <c r="DA31" s="3283">
        <f t="shared" si="34"/>
        <v>0</v>
      </c>
      <c r="DB31" s="3284">
        <f t="shared" si="1"/>
        <v>0</v>
      </c>
      <c r="DC31" s="3295"/>
    </row>
    <row r="32" spans="1:107" s="1411" customFormat="1" ht="13.8" x14ac:dyDescent="0.25">
      <c r="A32" s="1586"/>
      <c r="B32" s="3298" t="s">
        <v>2</v>
      </c>
      <c r="C32" s="3288">
        <f>588+1776</f>
        <v>2364</v>
      </c>
      <c r="D32" s="3274">
        <v>1500</v>
      </c>
      <c r="E32" s="3283">
        <f t="shared" si="44"/>
        <v>3864</v>
      </c>
      <c r="F32" s="3284">
        <f t="shared" si="0"/>
        <v>2.2871637379341593E-2</v>
      </c>
      <c r="G32" s="3275" t="s">
        <v>1104</v>
      </c>
      <c r="H32" s="3274">
        <f>(1943+286.63)*1.2</f>
        <v>2675.556</v>
      </c>
      <c r="I32" s="3274"/>
      <c r="J32" s="3283">
        <f t="shared" si="45"/>
        <v>2675.556</v>
      </c>
      <c r="K32" s="3284">
        <f t="shared" si="23"/>
        <v>1.4845243594123749E-2</v>
      </c>
      <c r="L32" s="3299"/>
      <c r="M32" s="3274">
        <v>3110.91</v>
      </c>
      <c r="N32" s="3274"/>
      <c r="O32" s="3283">
        <f t="shared" si="46"/>
        <v>3110.91</v>
      </c>
      <c r="P32" s="3284">
        <f t="shared" si="2"/>
        <v>1.641104361230189E-2</v>
      </c>
      <c r="Q32" s="3275" t="s">
        <v>1253</v>
      </c>
      <c r="R32" s="3274"/>
      <c r="S32" s="3274"/>
      <c r="T32" s="3283">
        <f t="shared" si="47"/>
        <v>0</v>
      </c>
      <c r="U32" s="3284">
        <f t="shared" si="3"/>
        <v>0</v>
      </c>
      <c r="V32" s="3299"/>
      <c r="W32" s="3274"/>
      <c r="X32" s="3274"/>
      <c r="Y32" s="3283">
        <f t="shared" si="48"/>
        <v>0</v>
      </c>
      <c r="Z32" s="3284">
        <f t="shared" si="4"/>
        <v>0</v>
      </c>
      <c r="AA32" s="3299"/>
      <c r="AB32" s="3274"/>
      <c r="AC32" s="3274"/>
      <c r="AD32" s="3283">
        <f t="shared" si="49"/>
        <v>0</v>
      </c>
      <c r="AE32" s="3284">
        <f t="shared" si="5"/>
        <v>0</v>
      </c>
      <c r="AF32" s="3299"/>
      <c r="AG32" s="3274">
        <v>18511</v>
      </c>
      <c r="AH32" s="3274">
        <v>0</v>
      </c>
      <c r="AI32" s="3283">
        <v>18511</v>
      </c>
      <c r="AJ32" s="3284">
        <v>0.10270773782003619</v>
      </c>
      <c r="AK32" s="3299"/>
      <c r="AL32" s="3274">
        <f t="shared" si="6"/>
        <v>0</v>
      </c>
      <c r="AM32" s="3274">
        <f t="shared" si="6"/>
        <v>0</v>
      </c>
      <c r="AN32" s="3283">
        <f t="shared" si="50"/>
        <v>0</v>
      </c>
      <c r="AO32" s="3284">
        <f t="shared" si="7"/>
        <v>0</v>
      </c>
      <c r="AP32" s="3299"/>
      <c r="AQ32" s="3274"/>
      <c r="AR32" s="3274"/>
      <c r="AS32" s="3283">
        <f t="shared" si="51"/>
        <v>0</v>
      </c>
      <c r="AT32" s="3284">
        <f t="shared" si="8"/>
        <v>0</v>
      </c>
      <c r="AU32" s="3299"/>
      <c r="AV32" s="3274"/>
      <c r="AW32" s="3274"/>
      <c r="AX32" s="3283">
        <f t="shared" si="30"/>
        <v>0</v>
      </c>
      <c r="AY32" s="3284">
        <f t="shared" si="9"/>
        <v>0</v>
      </c>
      <c r="AZ32" s="3291"/>
      <c r="BA32" s="3285"/>
      <c r="BB32" s="3285"/>
      <c r="BC32" s="3286">
        <f t="shared" si="31"/>
        <v>0</v>
      </c>
      <c r="BD32" s="3284">
        <f t="shared" si="10"/>
        <v>0</v>
      </c>
      <c r="BE32" s="3291"/>
      <c r="BF32" s="3285"/>
      <c r="BG32" s="3285"/>
      <c r="BH32" s="3286">
        <f t="shared" si="35"/>
        <v>0</v>
      </c>
      <c r="BI32" s="3284">
        <f t="shared" si="11"/>
        <v>0</v>
      </c>
      <c r="BJ32" s="3291"/>
      <c r="BK32" s="3285"/>
      <c r="BL32" s="3285"/>
      <c r="BM32" s="3286">
        <f t="shared" si="36"/>
        <v>0</v>
      </c>
      <c r="BN32" s="3284">
        <f t="shared" si="12"/>
        <v>0</v>
      </c>
      <c r="BO32" s="3291"/>
      <c r="BP32" s="3285"/>
      <c r="BQ32" s="3285"/>
      <c r="BR32" s="3286">
        <f t="shared" si="37"/>
        <v>0</v>
      </c>
      <c r="BS32" s="3284">
        <f t="shared" si="13"/>
        <v>0</v>
      </c>
      <c r="BT32" s="3291"/>
      <c r="BU32" s="3285"/>
      <c r="BV32" s="3285"/>
      <c r="BW32" s="3286">
        <f t="shared" si="38"/>
        <v>0</v>
      </c>
      <c r="BX32" s="3284" t="e">
        <f t="shared" si="14"/>
        <v>#DIV/0!</v>
      </c>
      <c r="BY32" s="3291"/>
      <c r="BZ32" s="3285"/>
      <c r="CA32" s="3285"/>
      <c r="CB32" s="3286">
        <f t="shared" si="39"/>
        <v>0</v>
      </c>
      <c r="CC32" s="3284" t="e">
        <f t="shared" si="15"/>
        <v>#DIV/0!</v>
      </c>
      <c r="CD32" s="3291"/>
      <c r="CE32" s="3285"/>
      <c r="CF32" s="3285"/>
      <c r="CG32" s="3286">
        <f t="shared" si="40"/>
        <v>0</v>
      </c>
      <c r="CH32" s="3284" t="e">
        <f t="shared" si="16"/>
        <v>#DIV/0!</v>
      </c>
      <c r="CI32" s="3291"/>
      <c r="CJ32" s="3285"/>
      <c r="CK32" s="3285"/>
      <c r="CL32" s="3286">
        <f t="shared" si="41"/>
        <v>0</v>
      </c>
      <c r="CM32" s="3284" t="e">
        <f t="shared" si="17"/>
        <v>#DIV/0!</v>
      </c>
      <c r="CN32" s="3291"/>
      <c r="CO32" s="3285"/>
      <c r="CP32" s="3285"/>
      <c r="CQ32" s="3286">
        <f t="shared" si="42"/>
        <v>0</v>
      </c>
      <c r="CR32" s="3284" t="e">
        <f t="shared" si="18"/>
        <v>#DIV/0!</v>
      </c>
      <c r="CS32" s="3291"/>
      <c r="CT32" s="3285"/>
      <c r="CU32" s="3285"/>
      <c r="CV32" s="3286">
        <f t="shared" si="43"/>
        <v>0</v>
      </c>
      <c r="CW32" s="3284" t="e">
        <f t="shared" si="19"/>
        <v>#DIV/0!</v>
      </c>
      <c r="CX32" s="3291"/>
      <c r="CY32" s="3274">
        <f t="shared" si="32"/>
        <v>26661.466</v>
      </c>
      <c r="CZ32" s="3274">
        <f t="shared" si="33"/>
        <v>1500</v>
      </c>
      <c r="DA32" s="3283">
        <f t="shared" si="34"/>
        <v>28161.466</v>
      </c>
      <c r="DB32" s="3284">
        <f t="shared" si="1"/>
        <v>1.10012159634666E-2</v>
      </c>
      <c r="DC32" s="3295"/>
    </row>
    <row r="33" spans="1:107" s="1411" customFormat="1" ht="14.4" thickBot="1" x14ac:dyDescent="0.3">
      <c r="A33" s="1586"/>
      <c r="B33" s="3144" t="s">
        <v>75</v>
      </c>
      <c r="C33" s="3323"/>
      <c r="D33" s="3314"/>
      <c r="E33" s="3305">
        <f t="shared" si="44"/>
        <v>0</v>
      </c>
      <c r="F33" s="2883">
        <f t="shared" si="0"/>
        <v>0</v>
      </c>
      <c r="G33" s="2885"/>
      <c r="H33" s="3314"/>
      <c r="I33" s="3314"/>
      <c r="J33" s="3305">
        <f t="shared" si="45"/>
        <v>0</v>
      </c>
      <c r="K33" s="2883">
        <f t="shared" si="23"/>
        <v>0</v>
      </c>
      <c r="L33" s="2885"/>
      <c r="M33" s="3314"/>
      <c r="N33" s="3314"/>
      <c r="O33" s="3305">
        <f t="shared" si="46"/>
        <v>0</v>
      </c>
      <c r="P33" s="2883">
        <f t="shared" si="2"/>
        <v>0</v>
      </c>
      <c r="Q33" s="2885"/>
      <c r="R33" s="3314"/>
      <c r="S33" s="3314"/>
      <c r="T33" s="3305">
        <f t="shared" si="47"/>
        <v>0</v>
      </c>
      <c r="U33" s="2883">
        <f t="shared" si="3"/>
        <v>0</v>
      </c>
      <c r="V33" s="2885"/>
      <c r="W33" s="3314"/>
      <c r="X33" s="3314"/>
      <c r="Y33" s="3305">
        <f t="shared" si="48"/>
        <v>0</v>
      </c>
      <c r="Z33" s="2883">
        <f t="shared" si="4"/>
        <v>0</v>
      </c>
      <c r="AA33" s="2885"/>
      <c r="AB33" s="3314"/>
      <c r="AC33" s="3314"/>
      <c r="AD33" s="3305">
        <f t="shared" si="49"/>
        <v>0</v>
      </c>
      <c r="AE33" s="2883">
        <f t="shared" si="5"/>
        <v>0</v>
      </c>
      <c r="AF33" s="2885"/>
      <c r="AG33" s="3274">
        <v>0</v>
      </c>
      <c r="AH33" s="3274">
        <v>0</v>
      </c>
      <c r="AI33" s="3362">
        <v>0</v>
      </c>
      <c r="AJ33" s="3228">
        <v>0</v>
      </c>
      <c r="AK33" s="3229"/>
      <c r="AL33" s="3274">
        <f t="shared" si="6"/>
        <v>0</v>
      </c>
      <c r="AM33" s="3274">
        <f t="shared" si="6"/>
        <v>0</v>
      </c>
      <c r="AN33" s="3362">
        <f t="shared" si="50"/>
        <v>0</v>
      </c>
      <c r="AO33" s="3228">
        <f t="shared" si="7"/>
        <v>0</v>
      </c>
      <c r="AP33" s="3229"/>
      <c r="AQ33" s="3314"/>
      <c r="AR33" s="3314"/>
      <c r="AS33" s="3305">
        <f t="shared" si="51"/>
        <v>0</v>
      </c>
      <c r="AT33" s="2883">
        <f t="shared" si="8"/>
        <v>0</v>
      </c>
      <c r="AU33" s="2885"/>
      <c r="AV33" s="3314"/>
      <c r="AW33" s="3314"/>
      <c r="AX33" s="3305">
        <f t="shared" si="30"/>
        <v>0</v>
      </c>
      <c r="AY33" s="3026">
        <f t="shared" si="9"/>
        <v>0</v>
      </c>
      <c r="AZ33" s="2885"/>
      <c r="BA33" s="3363"/>
      <c r="BB33" s="3363"/>
      <c r="BC33" s="3364">
        <f t="shared" si="31"/>
        <v>0</v>
      </c>
      <c r="BD33" s="3228">
        <f t="shared" si="10"/>
        <v>0</v>
      </c>
      <c r="BE33" s="3216"/>
      <c r="BF33" s="3363"/>
      <c r="BG33" s="3363"/>
      <c r="BH33" s="3364">
        <f t="shared" si="35"/>
        <v>0</v>
      </c>
      <c r="BI33" s="3228">
        <f t="shared" si="11"/>
        <v>0</v>
      </c>
      <c r="BJ33" s="3216"/>
      <c r="BK33" s="3363"/>
      <c r="BL33" s="3363"/>
      <c r="BM33" s="3364">
        <f t="shared" si="36"/>
        <v>0</v>
      </c>
      <c r="BN33" s="3228">
        <f t="shared" si="12"/>
        <v>0</v>
      </c>
      <c r="BO33" s="3216"/>
      <c r="BP33" s="3363"/>
      <c r="BQ33" s="3363"/>
      <c r="BR33" s="3364">
        <f t="shared" si="37"/>
        <v>0</v>
      </c>
      <c r="BS33" s="3228">
        <f t="shared" si="13"/>
        <v>0</v>
      </c>
      <c r="BT33" s="3216"/>
      <c r="BU33" s="3363"/>
      <c r="BV33" s="3363"/>
      <c r="BW33" s="3364">
        <f t="shared" si="38"/>
        <v>0</v>
      </c>
      <c r="BX33" s="3228" t="e">
        <f t="shared" si="14"/>
        <v>#DIV/0!</v>
      </c>
      <c r="BY33" s="3216"/>
      <c r="BZ33" s="3363"/>
      <c r="CA33" s="3363"/>
      <c r="CB33" s="3364">
        <f t="shared" si="39"/>
        <v>0</v>
      </c>
      <c r="CC33" s="3228" t="e">
        <f t="shared" si="15"/>
        <v>#DIV/0!</v>
      </c>
      <c r="CD33" s="3216"/>
      <c r="CE33" s="3363"/>
      <c r="CF33" s="3363"/>
      <c r="CG33" s="3364">
        <f t="shared" si="40"/>
        <v>0</v>
      </c>
      <c r="CH33" s="3228" t="e">
        <f t="shared" si="16"/>
        <v>#DIV/0!</v>
      </c>
      <c r="CI33" s="3216"/>
      <c r="CJ33" s="3363"/>
      <c r="CK33" s="3363"/>
      <c r="CL33" s="3364">
        <f t="shared" si="41"/>
        <v>0</v>
      </c>
      <c r="CM33" s="3228" t="e">
        <f t="shared" si="17"/>
        <v>#DIV/0!</v>
      </c>
      <c r="CN33" s="3216"/>
      <c r="CO33" s="3363"/>
      <c r="CP33" s="3363"/>
      <c r="CQ33" s="3364">
        <f t="shared" si="42"/>
        <v>0</v>
      </c>
      <c r="CR33" s="3228" t="e">
        <f t="shared" si="18"/>
        <v>#DIV/0!</v>
      </c>
      <c r="CS33" s="3216"/>
      <c r="CT33" s="3363"/>
      <c r="CU33" s="3363"/>
      <c r="CV33" s="3364">
        <f t="shared" si="43"/>
        <v>0</v>
      </c>
      <c r="CW33" s="3228" t="e">
        <f t="shared" si="19"/>
        <v>#DIV/0!</v>
      </c>
      <c r="CX33" s="3216"/>
      <c r="CY33" s="3274">
        <f t="shared" ref="CY33:CZ33" si="52">C33+H33+M33+R33+W33+AB33+AQ33+AV33+BA33+BF33+BK33+BP33+BU33+BZ33+CE33+CJ33+CO33+CT33+AG33</f>
        <v>0</v>
      </c>
      <c r="CZ33" s="3274">
        <f t="shared" si="52"/>
        <v>0</v>
      </c>
      <c r="DA33" s="3305">
        <f t="shared" si="34"/>
        <v>0</v>
      </c>
      <c r="DB33" s="2883">
        <f t="shared" si="1"/>
        <v>0</v>
      </c>
      <c r="DC33" s="2885"/>
    </row>
    <row r="34" spans="1:107" s="1411" customFormat="1" ht="13.8" x14ac:dyDescent="0.25">
      <c r="A34" s="1586"/>
      <c r="B34" s="1631"/>
      <c r="C34" s="3274"/>
      <c r="D34" s="3274"/>
      <c r="E34" s="3306"/>
      <c r="F34" s="3306"/>
      <c r="G34" s="3306"/>
      <c r="H34" s="3274"/>
      <c r="I34" s="3274"/>
      <c r="J34" s="3306"/>
      <c r="K34" s="3306"/>
      <c r="L34" s="3306"/>
      <c r="M34" s="3274"/>
      <c r="N34" s="3274"/>
      <c r="O34" s="3306"/>
      <c r="P34" s="3306"/>
      <c r="Q34" s="3306"/>
      <c r="R34" s="3274"/>
      <c r="S34" s="3274"/>
      <c r="T34" s="3306"/>
      <c r="U34" s="3306"/>
      <c r="V34" s="3306"/>
      <c r="W34" s="3274"/>
      <c r="X34" s="3274"/>
      <c r="Y34" s="3306"/>
      <c r="Z34" s="3306"/>
      <c r="AA34" s="3306"/>
      <c r="AB34" s="3274"/>
      <c r="AC34" s="3274"/>
      <c r="AD34" s="3306"/>
      <c r="AE34" s="3306"/>
      <c r="AF34" s="3306"/>
      <c r="AG34" s="3280"/>
      <c r="AH34" s="3280"/>
      <c r="AI34" s="3365"/>
      <c r="AJ34" s="3365"/>
      <c r="AK34" s="3365"/>
      <c r="AL34" s="3280"/>
      <c r="AM34" s="3280"/>
      <c r="AN34" s="3365"/>
      <c r="AO34" s="3365"/>
      <c r="AP34" s="3365"/>
      <c r="AQ34" s="3274"/>
      <c r="AR34" s="3274"/>
      <c r="AS34" s="3306"/>
      <c r="AT34" s="3306"/>
      <c r="AU34" s="3306"/>
      <c r="AV34" s="3274"/>
      <c r="AW34" s="3274"/>
      <c r="AX34" s="3306"/>
      <c r="AY34" s="3306"/>
      <c r="AZ34" s="3306"/>
      <c r="BA34" s="3274"/>
      <c r="BB34" s="3274"/>
      <c r="BC34" s="3306"/>
      <c r="BD34" s="3365"/>
      <c r="BE34" s="3306"/>
      <c r="BF34" s="3274"/>
      <c r="BG34" s="3274"/>
      <c r="BH34" s="3306"/>
      <c r="BI34" s="3365"/>
      <c r="BJ34" s="3306"/>
      <c r="BK34" s="3274"/>
      <c r="BL34" s="3274"/>
      <c r="BM34" s="3306"/>
      <c r="BN34" s="3365"/>
      <c r="BO34" s="3306"/>
      <c r="BP34" s="3274"/>
      <c r="BQ34" s="3274"/>
      <c r="BR34" s="3306"/>
      <c r="BS34" s="3365"/>
      <c r="BT34" s="3306"/>
      <c r="BU34" s="3274"/>
      <c r="BV34" s="3274"/>
      <c r="BW34" s="3306"/>
      <c r="BX34" s="3365"/>
      <c r="BY34" s="3306"/>
      <c r="BZ34" s="3274"/>
      <c r="CA34" s="3274"/>
      <c r="CB34" s="3306"/>
      <c r="CC34" s="3365"/>
      <c r="CD34" s="3306"/>
      <c r="CE34" s="3274"/>
      <c r="CF34" s="3274"/>
      <c r="CG34" s="3306"/>
      <c r="CH34" s="3365"/>
      <c r="CI34" s="3306"/>
      <c r="CJ34" s="3274"/>
      <c r="CK34" s="3274"/>
      <c r="CL34" s="3306"/>
      <c r="CM34" s="3365"/>
      <c r="CN34" s="3306"/>
      <c r="CO34" s="3274"/>
      <c r="CP34" s="3274"/>
      <c r="CQ34" s="3306"/>
      <c r="CR34" s="3365"/>
      <c r="CS34" s="3306"/>
      <c r="CT34" s="3274"/>
      <c r="CU34" s="3274"/>
      <c r="CV34" s="3306"/>
      <c r="CW34" s="3365"/>
      <c r="CX34" s="3306"/>
      <c r="CY34" s="3274"/>
      <c r="CZ34" s="3274"/>
      <c r="DA34" s="3306"/>
      <c r="DB34" s="3306"/>
      <c r="DC34" s="3306"/>
    </row>
    <row r="35" spans="1:107" s="2483" customFormat="1" ht="13.8" x14ac:dyDescent="0.25">
      <c r="A35" s="1586"/>
      <c r="B35" s="3307" t="s">
        <v>80</v>
      </c>
      <c r="C35" s="3308">
        <f>C36</f>
        <v>0</v>
      </c>
      <c r="D35" s="3308">
        <f>D36</f>
        <v>0</v>
      </c>
      <c r="E35" s="3309">
        <f>E36</f>
        <v>0</v>
      </c>
      <c r="F35" s="3309">
        <f t="shared" si="0"/>
        <v>0</v>
      </c>
      <c r="G35" s="3309"/>
      <c r="H35" s="3308">
        <f>H36</f>
        <v>0</v>
      </c>
      <c r="I35" s="3308">
        <f>I36</f>
        <v>0</v>
      </c>
      <c r="J35" s="3309">
        <f>J36</f>
        <v>0</v>
      </c>
      <c r="K35" s="3309">
        <f>J35/$T$89</f>
        <v>0</v>
      </c>
      <c r="L35" s="3309"/>
      <c r="M35" s="3308">
        <f>M36</f>
        <v>0</v>
      </c>
      <c r="N35" s="3308">
        <f>N36</f>
        <v>0</v>
      </c>
      <c r="O35" s="3309">
        <f>O36</f>
        <v>0</v>
      </c>
      <c r="P35" s="3309">
        <f t="shared" si="2"/>
        <v>0</v>
      </c>
      <c r="Q35" s="3309"/>
      <c r="R35" s="3308">
        <f>R36</f>
        <v>0</v>
      </c>
      <c r="S35" s="3308">
        <f>S36</f>
        <v>0</v>
      </c>
      <c r="T35" s="3309">
        <f>T36</f>
        <v>0</v>
      </c>
      <c r="U35" s="3309">
        <f>T35/$O$89</f>
        <v>0</v>
      </c>
      <c r="V35" s="3309"/>
      <c r="W35" s="3308">
        <f>W36</f>
        <v>0</v>
      </c>
      <c r="X35" s="3308">
        <f>X36</f>
        <v>0</v>
      </c>
      <c r="Y35" s="3309">
        <f>Y36</f>
        <v>0</v>
      </c>
      <c r="Z35" s="3309">
        <f>Y35/$O$89</f>
        <v>0</v>
      </c>
      <c r="AA35" s="3309"/>
      <c r="AB35" s="3308">
        <f>AB36</f>
        <v>0</v>
      </c>
      <c r="AC35" s="3308">
        <f>AC36</f>
        <v>0</v>
      </c>
      <c r="AD35" s="3309">
        <f>AD36</f>
        <v>0</v>
      </c>
      <c r="AE35" s="3309">
        <f>AD35/$O$89</f>
        <v>0</v>
      </c>
      <c r="AF35" s="3309"/>
      <c r="AG35" s="3308">
        <v>0</v>
      </c>
      <c r="AH35" s="3308">
        <v>0</v>
      </c>
      <c r="AI35" s="3309">
        <v>0</v>
      </c>
      <c r="AJ35" s="3309">
        <v>0</v>
      </c>
      <c r="AK35" s="3309"/>
      <c r="AL35" s="3308">
        <f>AL36</f>
        <v>0</v>
      </c>
      <c r="AM35" s="3308">
        <f>AM36</f>
        <v>0</v>
      </c>
      <c r="AN35" s="3309">
        <f>AN36</f>
        <v>0</v>
      </c>
      <c r="AO35" s="3309">
        <f t="shared" ref="AO35:AO36" si="53">AN35/$T$89</f>
        <v>0</v>
      </c>
      <c r="AP35" s="3309"/>
      <c r="AQ35" s="3308">
        <f>AQ36</f>
        <v>0</v>
      </c>
      <c r="AR35" s="3308">
        <f>AR36</f>
        <v>0</v>
      </c>
      <c r="AS35" s="3309">
        <f>AS36</f>
        <v>0</v>
      </c>
      <c r="AT35" s="3309">
        <f>AS35/$O$89</f>
        <v>0</v>
      </c>
      <c r="AU35" s="3309"/>
      <c r="AV35" s="3308">
        <f>AV36</f>
        <v>0</v>
      </c>
      <c r="AW35" s="3308">
        <f>AW36</f>
        <v>0</v>
      </c>
      <c r="AX35" s="3309">
        <f>AX36</f>
        <v>0</v>
      </c>
      <c r="AY35" s="3309">
        <f>AX35/$E$89</f>
        <v>0</v>
      </c>
      <c r="AZ35" s="3309"/>
      <c r="BA35" s="3308">
        <f>BA36</f>
        <v>0</v>
      </c>
      <c r="BB35" s="3308">
        <f>BB36</f>
        <v>0</v>
      </c>
      <c r="BC35" s="3309">
        <f>BC36</f>
        <v>0</v>
      </c>
      <c r="BD35" s="3309">
        <f>BC35/$AD$89</f>
        <v>0</v>
      </c>
      <c r="BE35" s="3309"/>
      <c r="BF35" s="3308">
        <f>BF36</f>
        <v>0</v>
      </c>
      <c r="BG35" s="3308">
        <f>BG36</f>
        <v>0</v>
      </c>
      <c r="BH35" s="3309">
        <f>BH36</f>
        <v>0</v>
      </c>
      <c r="BI35" s="3309">
        <f>BH35/$AD$89</f>
        <v>0</v>
      </c>
      <c r="BJ35" s="3309"/>
      <c r="BK35" s="3308">
        <f>BK36</f>
        <v>0</v>
      </c>
      <c r="BL35" s="3308">
        <f>BL36</f>
        <v>0</v>
      </c>
      <c r="BM35" s="3309">
        <f>BM36</f>
        <v>0</v>
      </c>
      <c r="BN35" s="3309">
        <f>BM35/$AD$89</f>
        <v>0</v>
      </c>
      <c r="BO35" s="3309"/>
      <c r="BP35" s="3308">
        <f>BP36</f>
        <v>0</v>
      </c>
      <c r="BQ35" s="3308">
        <f>BQ36</f>
        <v>0</v>
      </c>
      <c r="BR35" s="3309">
        <f>BR36</f>
        <v>0</v>
      </c>
      <c r="BS35" s="3309">
        <f>BR35/$AD$89</f>
        <v>0</v>
      </c>
      <c r="BT35" s="3309"/>
      <c r="BU35" s="3308">
        <f>BU36</f>
        <v>0</v>
      </c>
      <c r="BV35" s="3308">
        <f>BV36</f>
        <v>0</v>
      </c>
      <c r="BW35" s="3309">
        <f>BW36</f>
        <v>0</v>
      </c>
      <c r="BX35" s="3309" t="e">
        <f>BW35/$AN$89</f>
        <v>#DIV/0!</v>
      </c>
      <c r="BY35" s="3309"/>
      <c r="BZ35" s="3308">
        <f>BZ36</f>
        <v>0</v>
      </c>
      <c r="CA35" s="3308">
        <f>CA36</f>
        <v>0</v>
      </c>
      <c r="CB35" s="3309">
        <f>CB36</f>
        <v>0</v>
      </c>
      <c r="CC35" s="3309" t="e">
        <f>CB35/$AN$89</f>
        <v>#DIV/0!</v>
      </c>
      <c r="CD35" s="3308"/>
      <c r="CE35" s="3308">
        <f>CE36</f>
        <v>0</v>
      </c>
      <c r="CF35" s="3308">
        <f>CF36</f>
        <v>0</v>
      </c>
      <c r="CG35" s="3309">
        <f>CG36</f>
        <v>0</v>
      </c>
      <c r="CH35" s="3309" t="e">
        <f>CG35/$AN$89</f>
        <v>#DIV/0!</v>
      </c>
      <c r="CI35" s="3308"/>
      <c r="CJ35" s="3308">
        <f>CJ36</f>
        <v>0</v>
      </c>
      <c r="CK35" s="3308">
        <f>CK36</f>
        <v>0</v>
      </c>
      <c r="CL35" s="3309">
        <f>CL36</f>
        <v>0</v>
      </c>
      <c r="CM35" s="3309" t="e">
        <f>CL35/$AN$89</f>
        <v>#DIV/0!</v>
      </c>
      <c r="CN35" s="3308"/>
      <c r="CO35" s="3308">
        <f>CO36</f>
        <v>0</v>
      </c>
      <c r="CP35" s="3308">
        <f>CP36</f>
        <v>0</v>
      </c>
      <c r="CQ35" s="3309">
        <f>CQ36</f>
        <v>0</v>
      </c>
      <c r="CR35" s="3309" t="e">
        <f>CQ35/$AN$89</f>
        <v>#DIV/0!</v>
      </c>
      <c r="CS35" s="3308"/>
      <c r="CT35" s="3308">
        <f>CT36</f>
        <v>0</v>
      </c>
      <c r="CU35" s="3308">
        <f>CU36</f>
        <v>0</v>
      </c>
      <c r="CV35" s="3309">
        <f>CV36</f>
        <v>0</v>
      </c>
      <c r="CW35" s="3309" t="e">
        <f>CV35/$AN$89</f>
        <v>#DIV/0!</v>
      </c>
      <c r="CX35" s="3308"/>
      <c r="CY35" s="3308">
        <f>CY36</f>
        <v>0</v>
      </c>
      <c r="CZ35" s="3308">
        <f>CZ36</f>
        <v>0</v>
      </c>
      <c r="DA35" s="3309">
        <f>DA36</f>
        <v>0</v>
      </c>
      <c r="DB35" s="3309"/>
      <c r="DC35" s="3309"/>
    </row>
    <row r="36" spans="1:107" s="1411" customFormat="1" ht="13.8" x14ac:dyDescent="0.25">
      <c r="A36" s="1586"/>
      <c r="B36" s="3310" t="s">
        <v>81</v>
      </c>
      <c r="C36" s="3274"/>
      <c r="D36" s="3274"/>
      <c r="E36" s="2028">
        <f>C36+D36*1</f>
        <v>0</v>
      </c>
      <c r="F36" s="3284">
        <f t="shared" si="0"/>
        <v>0</v>
      </c>
      <c r="G36" s="3311"/>
      <c r="H36" s="3274"/>
      <c r="I36" s="3274"/>
      <c r="J36" s="2028">
        <f>H36+I36*1</f>
        <v>0</v>
      </c>
      <c r="K36" s="3284">
        <f>J36/$T$89</f>
        <v>0</v>
      </c>
      <c r="L36" s="3311"/>
      <c r="M36" s="3274"/>
      <c r="N36" s="3274"/>
      <c r="O36" s="2028">
        <f>M36+N36*1</f>
        <v>0</v>
      </c>
      <c r="P36" s="3284">
        <f t="shared" si="2"/>
        <v>0</v>
      </c>
      <c r="Q36" s="3311"/>
      <c r="R36" s="3274"/>
      <c r="S36" s="3274"/>
      <c r="T36" s="2028">
        <f>R36+S36*1</f>
        <v>0</v>
      </c>
      <c r="U36" s="3284">
        <f>T36/$O$89</f>
        <v>0</v>
      </c>
      <c r="V36" s="3311"/>
      <c r="W36" s="3274"/>
      <c r="X36" s="3274"/>
      <c r="Y36" s="2028">
        <f>W36+X36*1</f>
        <v>0</v>
      </c>
      <c r="Z36" s="3284">
        <f>Y36/$O$89</f>
        <v>0</v>
      </c>
      <c r="AA36" s="3311"/>
      <c r="AB36" s="3274"/>
      <c r="AC36" s="3274"/>
      <c r="AD36" s="2028">
        <f>AB36+AC36*1</f>
        <v>0</v>
      </c>
      <c r="AE36" s="3284">
        <f>AD36/$O$89</f>
        <v>0</v>
      </c>
      <c r="AF36" s="3311"/>
      <c r="AG36" s="3274">
        <v>0</v>
      </c>
      <c r="AH36" s="3274">
        <v>0</v>
      </c>
      <c r="AI36" s="2028">
        <v>0</v>
      </c>
      <c r="AJ36" s="3284">
        <v>0</v>
      </c>
      <c r="AK36" s="3311"/>
      <c r="AL36" s="3274">
        <f>AQ36+AV36+BA36+BF36+BK36+BP36+BU36+BZ36+CE36+CJ36+CO36+CT36</f>
        <v>0</v>
      </c>
      <c r="AM36" s="3274">
        <f>AR36+AW36+BB36+BG36+BL36+BQ36+BV36+CA36+CF36+CK36+CP36+CU36</f>
        <v>0</v>
      </c>
      <c r="AN36" s="2028">
        <f>AL36+AM36*1</f>
        <v>0</v>
      </c>
      <c r="AO36" s="3284">
        <f t="shared" si="53"/>
        <v>0</v>
      </c>
      <c r="AP36" s="3311"/>
      <c r="AQ36" s="3274"/>
      <c r="AR36" s="3274"/>
      <c r="AS36" s="2028">
        <f>AQ36+AR36*1</f>
        <v>0</v>
      </c>
      <c r="AT36" s="3284">
        <f>AS36/$O$89</f>
        <v>0</v>
      </c>
      <c r="AU36" s="3311"/>
      <c r="AV36" s="3274"/>
      <c r="AW36" s="3274"/>
      <c r="AX36" s="2028">
        <f>AV36+AW36*1</f>
        <v>0</v>
      </c>
      <c r="AY36" s="3284">
        <f>AX36/$E$89</f>
        <v>0</v>
      </c>
      <c r="AZ36" s="3276"/>
      <c r="BA36" s="3274"/>
      <c r="BB36" s="3274"/>
      <c r="BC36" s="2028">
        <f>BA36+BB36*1</f>
        <v>0</v>
      </c>
      <c r="BD36" s="3284">
        <f>BC36/$AD$89</f>
        <v>0</v>
      </c>
      <c r="BE36" s="3276"/>
      <c r="BF36" s="3274"/>
      <c r="BG36" s="3274"/>
      <c r="BH36" s="2028">
        <f>BF36+BG36*1</f>
        <v>0</v>
      </c>
      <c r="BI36" s="3284">
        <f>BH36/$AD$89</f>
        <v>0</v>
      </c>
      <c r="BJ36" s="3276"/>
      <c r="BK36" s="3274"/>
      <c r="BL36" s="3274"/>
      <c r="BM36" s="2028">
        <f>BK36+BL36*1</f>
        <v>0</v>
      </c>
      <c r="BN36" s="3284">
        <f>BM36/$AD$89</f>
        <v>0</v>
      </c>
      <c r="BO36" s="3276"/>
      <c r="BP36" s="3274"/>
      <c r="BQ36" s="3274"/>
      <c r="BR36" s="2028">
        <f>BP36+BQ36*1</f>
        <v>0</v>
      </c>
      <c r="BS36" s="3284">
        <f>BR36/$AD$89</f>
        <v>0</v>
      </c>
      <c r="BT36" s="3276"/>
      <c r="BU36" s="3274"/>
      <c r="BV36" s="3274"/>
      <c r="BW36" s="2028">
        <f>BU36+BV36*1</f>
        <v>0</v>
      </c>
      <c r="BX36" s="3284" t="e">
        <f>BW36/$AN$89</f>
        <v>#DIV/0!</v>
      </c>
      <c r="BY36" s="3276"/>
      <c r="BZ36" s="3274"/>
      <c r="CA36" s="3274"/>
      <c r="CB36" s="2028">
        <f>BZ36+CA36*1</f>
        <v>0</v>
      </c>
      <c r="CC36" s="3284" t="e">
        <f>CB36/$AN$89</f>
        <v>#DIV/0!</v>
      </c>
      <c r="CD36" s="3276"/>
      <c r="CE36" s="3274"/>
      <c r="CF36" s="3274"/>
      <c r="CG36" s="2028">
        <f>CE36+CF36*1</f>
        <v>0</v>
      </c>
      <c r="CH36" s="3284" t="e">
        <f>CG36/$AN$89</f>
        <v>#DIV/0!</v>
      </c>
      <c r="CI36" s="3276"/>
      <c r="CJ36" s="3274"/>
      <c r="CK36" s="3274"/>
      <c r="CL36" s="2028">
        <f>CJ36+CK36*1</f>
        <v>0</v>
      </c>
      <c r="CM36" s="3284" t="e">
        <f>CL36/$AN$89</f>
        <v>#DIV/0!</v>
      </c>
      <c r="CN36" s="3276"/>
      <c r="CO36" s="3274"/>
      <c r="CP36" s="3274"/>
      <c r="CQ36" s="2028">
        <f>CO36+CP36*1</f>
        <v>0</v>
      </c>
      <c r="CR36" s="3284" t="e">
        <f>CQ36/$AN$89</f>
        <v>#DIV/0!</v>
      </c>
      <c r="CS36" s="3276"/>
      <c r="CT36" s="3274"/>
      <c r="CU36" s="3274"/>
      <c r="CV36" s="2028">
        <f>CT36+CU36*1</f>
        <v>0</v>
      </c>
      <c r="CW36" s="3284" t="e">
        <f>CV36/$AN$89</f>
        <v>#DIV/0!</v>
      </c>
      <c r="CX36" s="3276"/>
      <c r="CY36" s="3274">
        <f>C36+H36+M36+R36+W36+AB36+AQ36+AV36+BA36+BF36+BK36+BP36+BU36+BZ36+CE36+CJ36+CO36+CT36+AG36</f>
        <v>0</v>
      </c>
      <c r="CZ36" s="3274">
        <f>D36+I36+N36+S36+X36+AC36+AR36+AW36+BB36+BG36+BL36+BQ36+BV36+CA36+CF36+CK36+CP36+CU36+AH36</f>
        <v>0</v>
      </c>
      <c r="DA36" s="2028">
        <f>CY36+CZ36*1</f>
        <v>0</v>
      </c>
      <c r="DB36" s="3284">
        <f>DA36/$DA$89</f>
        <v>0</v>
      </c>
      <c r="DC36" s="3311"/>
    </row>
    <row r="37" spans="1:107" s="1411" customFormat="1" ht="14.4" thickBot="1" x14ac:dyDescent="0.3">
      <c r="A37" s="1413"/>
      <c r="B37" s="3312"/>
      <c r="C37" s="3274"/>
      <c r="D37" s="3274"/>
      <c r="E37" s="3313"/>
      <c r="F37" s="3313"/>
      <c r="G37" s="3313"/>
      <c r="H37" s="3274"/>
      <c r="I37" s="3274"/>
      <c r="J37" s="3313"/>
      <c r="K37" s="3313"/>
      <c r="L37" s="3313"/>
      <c r="M37" s="3274"/>
      <c r="N37" s="3274"/>
      <c r="O37" s="3313"/>
      <c r="P37" s="3313"/>
      <c r="Q37" s="3313"/>
      <c r="R37" s="3274"/>
      <c r="S37" s="3274"/>
      <c r="T37" s="3313"/>
      <c r="U37" s="3313"/>
      <c r="V37" s="3313"/>
      <c r="W37" s="3274"/>
      <c r="X37" s="3274"/>
      <c r="Y37" s="3313"/>
      <c r="Z37" s="3313"/>
      <c r="AA37" s="3313"/>
      <c r="AB37" s="3274"/>
      <c r="AC37" s="3274"/>
      <c r="AD37" s="3313"/>
      <c r="AE37" s="3313"/>
      <c r="AF37" s="3313"/>
      <c r="AG37" s="3314"/>
      <c r="AH37" s="3314"/>
      <c r="AI37" s="3313"/>
      <c r="AJ37" s="3313"/>
      <c r="AK37" s="3313"/>
      <c r="AL37" s="3314"/>
      <c r="AM37" s="3314"/>
      <c r="AN37" s="3313"/>
      <c r="AO37" s="3313"/>
      <c r="AP37" s="3313"/>
      <c r="AQ37" s="3274"/>
      <c r="AR37" s="3274"/>
      <c r="AS37" s="3313"/>
      <c r="AT37" s="3313"/>
      <c r="AU37" s="3313"/>
      <c r="AV37" s="3274"/>
      <c r="AW37" s="3274"/>
      <c r="AX37" s="3313"/>
      <c r="AY37" s="3313"/>
      <c r="AZ37" s="3313"/>
      <c r="BA37" s="3274"/>
      <c r="BB37" s="3274"/>
      <c r="BC37" s="3313"/>
      <c r="BD37" s="3313"/>
      <c r="BE37" s="3313"/>
      <c r="BF37" s="3274"/>
      <c r="BG37" s="3274"/>
      <c r="BH37" s="3313"/>
      <c r="BI37" s="3313"/>
      <c r="BJ37" s="3313"/>
      <c r="BK37" s="3274"/>
      <c r="BL37" s="3274"/>
      <c r="BM37" s="3313"/>
      <c r="BN37" s="3313"/>
      <c r="BO37" s="3313"/>
      <c r="BP37" s="3274"/>
      <c r="BQ37" s="3274"/>
      <c r="BR37" s="3313"/>
      <c r="BS37" s="3313"/>
      <c r="BT37" s="3313"/>
      <c r="BU37" s="3274"/>
      <c r="BV37" s="3274"/>
      <c r="BW37" s="3313"/>
      <c r="BX37" s="3313"/>
      <c r="BY37" s="3313"/>
      <c r="BZ37" s="3274"/>
      <c r="CA37" s="3274"/>
      <c r="CB37" s="3313"/>
      <c r="CC37" s="3313"/>
      <c r="CD37" s="3315"/>
      <c r="CE37" s="3274"/>
      <c r="CF37" s="3274"/>
      <c r="CG37" s="3313"/>
      <c r="CH37" s="3313"/>
      <c r="CI37" s="3315"/>
      <c r="CJ37" s="3274"/>
      <c r="CK37" s="3274"/>
      <c r="CL37" s="3313"/>
      <c r="CM37" s="3313"/>
      <c r="CN37" s="3315"/>
      <c r="CO37" s="3274"/>
      <c r="CP37" s="3274"/>
      <c r="CQ37" s="3313"/>
      <c r="CR37" s="3313"/>
      <c r="CS37" s="3315"/>
      <c r="CT37" s="3274"/>
      <c r="CU37" s="3274"/>
      <c r="CV37" s="3313"/>
      <c r="CW37" s="3313"/>
      <c r="CX37" s="3315"/>
      <c r="CY37" s="3274"/>
      <c r="CZ37" s="3274"/>
      <c r="DA37" s="3313"/>
      <c r="DB37" s="3313"/>
      <c r="DC37" s="3313"/>
    </row>
    <row r="38" spans="1:107" ht="14.4" thickBot="1" x14ac:dyDescent="0.3">
      <c r="A38" s="1441"/>
      <c r="B38" s="1442" t="s">
        <v>46</v>
      </c>
      <c r="C38" s="2018">
        <f>(C5)-(C8)</f>
        <v>202753.41999999998</v>
      </c>
      <c r="D38" s="2018">
        <f>(D5)-(D8)</f>
        <v>-34847.380000000005</v>
      </c>
      <c r="E38" s="2018">
        <f>(E5)-(E8)</f>
        <v>167906.03999999998</v>
      </c>
      <c r="F38" s="2018"/>
      <c r="G38" s="2018"/>
      <c r="H38" s="2018">
        <f>(H5)-(H8)</f>
        <v>240898.35399999999</v>
      </c>
      <c r="I38" s="2018">
        <f>(I5)-(I8)</f>
        <v>-43309.03</v>
      </c>
      <c r="J38" s="2018">
        <f>(J5)-(J8)</f>
        <v>197589.32399999996</v>
      </c>
      <c r="K38" s="2018"/>
      <c r="L38" s="2018"/>
      <c r="M38" s="2018">
        <f>(M5)-(M8)</f>
        <v>183067.9</v>
      </c>
      <c r="N38" s="2018">
        <f>(N5)-(N8)</f>
        <v>-40536</v>
      </c>
      <c r="O38" s="2018">
        <f>(O5)-(O8)</f>
        <v>142531.9</v>
      </c>
      <c r="P38" s="2018">
        <f t="shared" si="2"/>
        <v>0.75190128516872934</v>
      </c>
      <c r="Q38" s="2018"/>
      <c r="R38" s="2018">
        <f>(R5)-(R8)</f>
        <v>304142.92</v>
      </c>
      <c r="S38" s="2018">
        <f>(S5)-(S8)</f>
        <v>115715.04000000001</v>
      </c>
      <c r="T38" s="2018">
        <f>(T5)-(T8)</f>
        <v>419857.95999999996</v>
      </c>
      <c r="U38" s="2018">
        <f t="shared" ref="U38:U48" si="54">T38/$O$89</f>
        <v>2.2148848062245783</v>
      </c>
      <c r="V38" s="2018"/>
      <c r="W38" s="2018">
        <f>(W5)-(W8)</f>
        <v>216182.50000000003</v>
      </c>
      <c r="X38" s="2018">
        <f>(X5)-(X8)</f>
        <v>-48277.9</v>
      </c>
      <c r="Y38" s="2018">
        <f>(Y5)-(Y8)</f>
        <v>167904.60000000003</v>
      </c>
      <c r="Z38" s="2018">
        <f t="shared" ref="Z38:Z48" si="55">Y38/$O$89</f>
        <v>0.88575037956935576</v>
      </c>
      <c r="AA38" s="2018"/>
      <c r="AB38" s="2018">
        <f>(AB5)-(AB8)</f>
        <v>133531.85040000002</v>
      </c>
      <c r="AC38" s="2018">
        <f>(AC5)-(AC8)</f>
        <v>-63551</v>
      </c>
      <c r="AD38" s="2018">
        <f>(AD5)-(AD8)</f>
        <v>69980.850399999996</v>
      </c>
      <c r="AE38" s="2018">
        <f t="shared" ref="AE38:AE48" si="56">AD38/$O$89</f>
        <v>0.36917133184192863</v>
      </c>
      <c r="AF38" s="2018"/>
      <c r="AG38" s="2018">
        <v>537353.11800000002</v>
      </c>
      <c r="AH38" s="2018">
        <v>-257018.26</v>
      </c>
      <c r="AI38" s="2018">
        <v>280334.85800000001</v>
      </c>
      <c r="AJ38" s="2018">
        <v>1.5554296957096361</v>
      </c>
      <c r="AK38" s="2018"/>
      <c r="AL38" s="2018">
        <f>(AL5)-(AL8)</f>
        <v>0</v>
      </c>
      <c r="AM38" s="2018">
        <f>(AM5)-(AM8)</f>
        <v>0</v>
      </c>
      <c r="AN38" s="2018">
        <f>(AN5)-(AN8)</f>
        <v>0</v>
      </c>
      <c r="AO38" s="2018">
        <f t="shared" ref="AO38:AO48" si="57">AN38/$T$89</f>
        <v>0</v>
      </c>
      <c r="AP38" s="2018"/>
      <c r="AQ38" s="2018">
        <f>(AQ5)-(AQ8)</f>
        <v>0</v>
      </c>
      <c r="AR38" s="2018">
        <f>(AR5)-(AR8)</f>
        <v>0</v>
      </c>
      <c r="AS38" s="2018">
        <f>(AS5)-(AS8)</f>
        <v>0</v>
      </c>
      <c r="AT38" s="2018">
        <f t="shared" ref="AT38:AT48" si="58">AS38/$O$89</f>
        <v>0</v>
      </c>
      <c r="AU38" s="2018"/>
      <c r="AV38" s="2018">
        <f>(AV5)-(AV8)</f>
        <v>0</v>
      </c>
      <c r="AW38" s="2018">
        <f>(AW5)-(AW8)</f>
        <v>0</v>
      </c>
      <c r="AX38" s="2018">
        <f>(AX5)-(AX8)</f>
        <v>0</v>
      </c>
      <c r="AY38" s="2018">
        <f t="shared" ref="AY38:AY48" si="59">AX38/$E$89</f>
        <v>0</v>
      </c>
      <c r="AZ38" s="2018"/>
      <c r="BA38" s="2018">
        <f>(BA5)-(BA8)</f>
        <v>0</v>
      </c>
      <c r="BB38" s="2018">
        <f>(BB5)-(BB8)</f>
        <v>0</v>
      </c>
      <c r="BC38" s="2018">
        <f>(BC5)-(BC8)</f>
        <v>0</v>
      </c>
      <c r="BD38" s="2018">
        <f>BC38/$AD$89</f>
        <v>0</v>
      </c>
      <c r="BE38" s="2018"/>
      <c r="BF38" s="2018">
        <f>(BF5)-(BF8)</f>
        <v>0</v>
      </c>
      <c r="BG38" s="2018">
        <f>(BG5)-(BG8)</f>
        <v>0</v>
      </c>
      <c r="BH38" s="2018">
        <f>(BH5)-(BH8)</f>
        <v>0</v>
      </c>
      <c r="BI38" s="2018">
        <f>BH38/$AD$89</f>
        <v>0</v>
      </c>
      <c r="BJ38" s="2018"/>
      <c r="BK38" s="2018">
        <f>(BK5)-(BK8)</f>
        <v>0</v>
      </c>
      <c r="BL38" s="2018">
        <f>(BL5)-(BL8)</f>
        <v>0</v>
      </c>
      <c r="BM38" s="2018">
        <f>(BM5)-(BM8)</f>
        <v>0</v>
      </c>
      <c r="BN38" s="2018">
        <f>BM38/$AD$89</f>
        <v>0</v>
      </c>
      <c r="BO38" s="2018"/>
      <c r="BP38" s="2018">
        <f>(BP5)-(BP8)</f>
        <v>0</v>
      </c>
      <c r="BQ38" s="2018">
        <f>(BQ5)-(BQ8)</f>
        <v>0</v>
      </c>
      <c r="BR38" s="2018">
        <f>(BR5)-(BR8)</f>
        <v>0</v>
      </c>
      <c r="BS38" s="2018">
        <f>BR38/$AD$89</f>
        <v>0</v>
      </c>
      <c r="BT38" s="2018"/>
      <c r="BU38" s="2018">
        <f>(BU5)-(BU8)</f>
        <v>0</v>
      </c>
      <c r="BV38" s="2018">
        <f>(BV5)-(BV8)</f>
        <v>0</v>
      </c>
      <c r="BW38" s="2018">
        <f>(BW5)-(BW8)</f>
        <v>0</v>
      </c>
      <c r="BX38" s="2018" t="e">
        <f>BW38/$AN$89</f>
        <v>#DIV/0!</v>
      </c>
      <c r="BY38" s="2018"/>
      <c r="BZ38" s="2018">
        <f>(BZ5)-(BZ8)</f>
        <v>0</v>
      </c>
      <c r="CA38" s="2018">
        <f>(CA5)-(CA8)</f>
        <v>0</v>
      </c>
      <c r="CB38" s="2018">
        <f>(CB5)-(CB8)</f>
        <v>0</v>
      </c>
      <c r="CC38" s="2018" t="e">
        <f>CB38/$AN$89</f>
        <v>#DIV/0!</v>
      </c>
      <c r="CD38" s="2018"/>
      <c r="CE38" s="2018">
        <f>(CE5)-(CE8)</f>
        <v>0</v>
      </c>
      <c r="CF38" s="2018">
        <f>(CF5)-(CF8)</f>
        <v>0</v>
      </c>
      <c r="CG38" s="2018">
        <f>(CG5)-(CG8)</f>
        <v>0</v>
      </c>
      <c r="CH38" s="2018" t="e">
        <f>CG38/$AN$89</f>
        <v>#DIV/0!</v>
      </c>
      <c r="CI38" s="2018"/>
      <c r="CJ38" s="2018">
        <f>(CJ5)-(CJ8)</f>
        <v>0</v>
      </c>
      <c r="CK38" s="2018">
        <f>(CK5)-(CK8)</f>
        <v>0</v>
      </c>
      <c r="CL38" s="2018">
        <f>(CL5)-(CL8)</f>
        <v>0</v>
      </c>
      <c r="CM38" s="2018" t="e">
        <f>CL38/$AN$89</f>
        <v>#DIV/0!</v>
      </c>
      <c r="CN38" s="2018"/>
      <c r="CO38" s="2018">
        <f>(CO5)-(CO8)</f>
        <v>0</v>
      </c>
      <c r="CP38" s="2018">
        <f>(CP5)-(CP8)</f>
        <v>0</v>
      </c>
      <c r="CQ38" s="2018">
        <f>(CQ5)-(CQ8)</f>
        <v>0</v>
      </c>
      <c r="CR38" s="2018" t="e">
        <f>CQ38/$AN$89</f>
        <v>#DIV/0!</v>
      </c>
      <c r="CS38" s="2018"/>
      <c r="CT38" s="2018">
        <f>(CT5)-(CT8)</f>
        <v>0</v>
      </c>
      <c r="CU38" s="2018">
        <f>(CU5)-(CU8)</f>
        <v>0</v>
      </c>
      <c r="CV38" s="2018">
        <f>(CV5)-(CV8)</f>
        <v>0</v>
      </c>
      <c r="CW38" s="2018" t="e">
        <f>CV38/$AN$89</f>
        <v>#DIV/0!</v>
      </c>
      <c r="CX38" s="2018"/>
      <c r="CY38" s="2018">
        <f>(CY5)-(CY8)</f>
        <v>1817930.0623999999</v>
      </c>
      <c r="CZ38" s="2018">
        <f>(CZ5)-(CZ8)</f>
        <v>-371824.53</v>
      </c>
      <c r="DA38" s="2018">
        <f>(DA5)-(DA8)</f>
        <v>1446105.5323999999</v>
      </c>
      <c r="DB38" s="2018"/>
      <c r="DC38" s="2018"/>
    </row>
    <row r="39" spans="1:107" ht="13.8" x14ac:dyDescent="0.25">
      <c r="A39" s="1580"/>
      <c r="B39" s="1423" t="s">
        <v>47</v>
      </c>
      <c r="C39" s="2019">
        <f>C38/(C5)</f>
        <v>0.63499945192093876</v>
      </c>
      <c r="D39" s="2019" t="e">
        <f>D38/(D5)</f>
        <v>#DIV/0!</v>
      </c>
      <c r="E39" s="2020">
        <f>E38/(E5)</f>
        <v>0.52586162726239205</v>
      </c>
      <c r="F39" s="2020"/>
      <c r="G39" s="2020"/>
      <c r="H39" s="2019">
        <f>H38/(H5)</f>
        <v>0.6678333102172902</v>
      </c>
      <c r="I39" s="2019" t="e">
        <f>I38/(I5)</f>
        <v>#DIV/0!</v>
      </c>
      <c r="J39" s="2020">
        <f>J38/(J5)</f>
        <v>0.54776933972125286</v>
      </c>
      <c r="K39" s="2020"/>
      <c r="L39" s="2020"/>
      <c r="M39" s="2019">
        <f>M38/(M5)</f>
        <v>0.56242922318315181</v>
      </c>
      <c r="N39" s="2019" t="e">
        <f>N38/(N5)</f>
        <v>#DIV/0!</v>
      </c>
      <c r="O39" s="2020">
        <f>O38/(O5)</f>
        <v>0.43789274796847877</v>
      </c>
      <c r="P39" s="2020">
        <f t="shared" si="2"/>
        <v>2.3100240715486547E-6</v>
      </c>
      <c r="Q39" s="2020"/>
      <c r="R39" s="2019">
        <f>R38/(R5)</f>
        <v>0.7051022119465804</v>
      </c>
      <c r="S39" s="2019">
        <f>S38/(S5)</f>
        <v>0.6960135695983255</v>
      </c>
      <c r="T39" s="2020">
        <f>T38/(T5)</f>
        <v>0.70257372550254604</v>
      </c>
      <c r="U39" s="2020">
        <f t="shared" si="54"/>
        <v>3.7063007448237655E-6</v>
      </c>
      <c r="V39" s="2020"/>
      <c r="W39" s="2019">
        <f>W38/(W5)</f>
        <v>0.62424230138940673</v>
      </c>
      <c r="X39" s="2019" t="e">
        <f>X38/(X5)</f>
        <v>#DIV/0!</v>
      </c>
      <c r="Y39" s="2020">
        <f>Y38/(Y5)</f>
        <v>0.48483644105266521</v>
      </c>
      <c r="Z39" s="2020">
        <f t="shared" si="55"/>
        <v>2.5576670424244107E-6</v>
      </c>
      <c r="AA39" s="2020"/>
      <c r="AB39" s="2019">
        <f>AB38/(AB5)</f>
        <v>0.48046866148531958</v>
      </c>
      <c r="AC39" s="2019" t="e">
        <f>AC38/(AC5)</f>
        <v>#DIV/0!</v>
      </c>
      <c r="AD39" s="2020">
        <f>AD38/(AD5)</f>
        <v>0.25180213874496254</v>
      </c>
      <c r="AE39" s="2020">
        <f t="shared" si="56"/>
        <v>1.3283366862475841E-6</v>
      </c>
      <c r="AF39" s="2020"/>
      <c r="AG39" s="2019">
        <v>0.31663575201653704</v>
      </c>
      <c r="AH39" s="2019" t="e">
        <v>#DIV/0!</v>
      </c>
      <c r="AI39" s="2020">
        <v>0.16518753796321903</v>
      </c>
      <c r="AJ39" s="2020">
        <v>9.1653818487729315E-7</v>
      </c>
      <c r="AK39" s="2020"/>
      <c r="AL39" s="2019" t="e">
        <f>AL38/(AL5)</f>
        <v>#DIV/0!</v>
      </c>
      <c r="AM39" s="2019" t="e">
        <f>AM38/(AM5)</f>
        <v>#DIV/0!</v>
      </c>
      <c r="AN39" s="2020" t="e">
        <f>AN38/(AN5)</f>
        <v>#DIV/0!</v>
      </c>
      <c r="AO39" s="2020" t="e">
        <f t="shared" si="57"/>
        <v>#DIV/0!</v>
      </c>
      <c r="AP39" s="2020"/>
      <c r="AQ39" s="2019" t="e">
        <f>AQ38/(AQ5)</f>
        <v>#DIV/0!</v>
      </c>
      <c r="AR39" s="2019" t="e">
        <f>AR38/(AR5)</f>
        <v>#DIV/0!</v>
      </c>
      <c r="AS39" s="2020" t="e">
        <f>AS38/(AS5)</f>
        <v>#DIV/0!</v>
      </c>
      <c r="AT39" s="2020" t="e">
        <f t="shared" si="58"/>
        <v>#DIV/0!</v>
      </c>
      <c r="AU39" s="2020"/>
      <c r="AV39" s="2019" t="e">
        <f>AV38/(AV5)</f>
        <v>#DIV/0!</v>
      </c>
      <c r="AW39" s="2019" t="e">
        <f>AW38/(AW5)</f>
        <v>#DIV/0!</v>
      </c>
      <c r="AX39" s="2020" t="e">
        <f>AX38/(AX5)</f>
        <v>#DIV/0!</v>
      </c>
      <c r="AY39" s="2020" t="e">
        <f t="shared" si="59"/>
        <v>#DIV/0!</v>
      </c>
      <c r="AZ39" s="2020"/>
      <c r="BA39" s="2019" t="e">
        <f>BA38/(BA5)</f>
        <v>#DIV/0!</v>
      </c>
      <c r="BB39" s="2019" t="e">
        <f>BB38/(BB5)</f>
        <v>#DIV/0!</v>
      </c>
      <c r="BC39" s="2020" t="e">
        <f>BC38/(BC5)</f>
        <v>#DIV/0!</v>
      </c>
      <c r="BD39" s="2020" t="e">
        <f>BC39/$AD$89</f>
        <v>#DIV/0!</v>
      </c>
      <c r="BE39" s="2020"/>
      <c r="BF39" s="2019" t="e">
        <f>BF38/(BF5)</f>
        <v>#DIV/0!</v>
      </c>
      <c r="BG39" s="2019" t="e">
        <f>BG38/(BG5)</f>
        <v>#DIV/0!</v>
      </c>
      <c r="BH39" s="2020" t="e">
        <f>BH38/(BH5)</f>
        <v>#DIV/0!</v>
      </c>
      <c r="BI39" s="2020" t="e">
        <f>BH39/$AD$89</f>
        <v>#DIV/0!</v>
      </c>
      <c r="BJ39" s="2020"/>
      <c r="BK39" s="2019" t="e">
        <f>BK38/(BK5)</f>
        <v>#DIV/0!</v>
      </c>
      <c r="BL39" s="2019" t="e">
        <f>BL38/(BL5)</f>
        <v>#DIV/0!</v>
      </c>
      <c r="BM39" s="2020" t="e">
        <f>BM38/(BM5)</f>
        <v>#DIV/0!</v>
      </c>
      <c r="BN39" s="2020" t="e">
        <f>BM39/$AD$89</f>
        <v>#DIV/0!</v>
      </c>
      <c r="BO39" s="2020"/>
      <c r="BP39" s="2019" t="e">
        <f>BP38/(BP5)</f>
        <v>#DIV/0!</v>
      </c>
      <c r="BQ39" s="2019" t="e">
        <f>BQ38/(BQ5)</f>
        <v>#DIV/0!</v>
      </c>
      <c r="BR39" s="2020" t="e">
        <f>BR38/(BR5)</f>
        <v>#DIV/0!</v>
      </c>
      <c r="BS39" s="2020" t="e">
        <f>BR39/$AD$89</f>
        <v>#DIV/0!</v>
      </c>
      <c r="BT39" s="2020"/>
      <c r="BU39" s="2019" t="e">
        <f>BU38/(BU5)</f>
        <v>#DIV/0!</v>
      </c>
      <c r="BV39" s="2019" t="e">
        <f>BV38/(BV5)</f>
        <v>#DIV/0!</v>
      </c>
      <c r="BW39" s="2020" t="e">
        <f>BW38/(BW5)</f>
        <v>#DIV/0!</v>
      </c>
      <c r="BX39" s="2020" t="e">
        <f>BW39/$AN$89</f>
        <v>#DIV/0!</v>
      </c>
      <c r="BY39" s="2020"/>
      <c r="BZ39" s="2019" t="e">
        <f>BZ38/(BZ5)</f>
        <v>#DIV/0!</v>
      </c>
      <c r="CA39" s="2019" t="e">
        <f>CA38/(CA5)</f>
        <v>#DIV/0!</v>
      </c>
      <c r="CB39" s="2020" t="e">
        <f>CB38/(CB5)</f>
        <v>#DIV/0!</v>
      </c>
      <c r="CC39" s="2020" t="e">
        <f>CB39/$AN$89</f>
        <v>#DIV/0!</v>
      </c>
      <c r="CD39" s="2019"/>
      <c r="CE39" s="2019" t="e">
        <f>CE38/(CE5)</f>
        <v>#DIV/0!</v>
      </c>
      <c r="CF39" s="2019" t="e">
        <f>CF38/(CF5)</f>
        <v>#DIV/0!</v>
      </c>
      <c r="CG39" s="2020" t="e">
        <f>CG38/(CG5)</f>
        <v>#DIV/0!</v>
      </c>
      <c r="CH39" s="2020" t="e">
        <f>CG39/$AN$89</f>
        <v>#DIV/0!</v>
      </c>
      <c r="CI39" s="2019"/>
      <c r="CJ39" s="2019" t="e">
        <f>CJ38/(CJ5)</f>
        <v>#DIV/0!</v>
      </c>
      <c r="CK39" s="2019" t="e">
        <f>CK38/(CK5)</f>
        <v>#DIV/0!</v>
      </c>
      <c r="CL39" s="2020" t="e">
        <f>CL38/(CL5)</f>
        <v>#DIV/0!</v>
      </c>
      <c r="CM39" s="2020" t="e">
        <f>CL39/$AN$89</f>
        <v>#DIV/0!</v>
      </c>
      <c r="CN39" s="2019"/>
      <c r="CO39" s="2019" t="e">
        <f>CO38/(CO5)</f>
        <v>#DIV/0!</v>
      </c>
      <c r="CP39" s="2019" t="e">
        <f>CP38/(CP5)</f>
        <v>#DIV/0!</v>
      </c>
      <c r="CQ39" s="2020" t="e">
        <f>CQ38/(CQ5)</f>
        <v>#DIV/0!</v>
      </c>
      <c r="CR39" s="2020" t="e">
        <f>CQ39/$AN$89</f>
        <v>#DIV/0!</v>
      </c>
      <c r="CS39" s="2019"/>
      <c r="CT39" s="2019" t="e">
        <f>CT38/(CT5)</f>
        <v>#DIV/0!</v>
      </c>
      <c r="CU39" s="2019" t="e">
        <f>CU38/(CU5)</f>
        <v>#DIV/0!</v>
      </c>
      <c r="CV39" s="2020" t="e">
        <f>CV38/(CV5)</f>
        <v>#DIV/0!</v>
      </c>
      <c r="CW39" s="2020" t="e">
        <f>CV39/$AN$89</f>
        <v>#DIV/0!</v>
      </c>
      <c r="CX39" s="2019"/>
      <c r="CY39" s="2019">
        <f>CY38/(CY5)</f>
        <v>0.48372923887877201</v>
      </c>
      <c r="CZ39" s="2019">
        <f>CZ38/(CZ5)</f>
        <v>-2.2364847161572055</v>
      </c>
      <c r="DA39" s="2020">
        <f>DA38/(DA5)</f>
        <v>0.36848989791523451</v>
      </c>
      <c r="DB39" s="2020"/>
      <c r="DC39" s="2020"/>
    </row>
    <row r="40" spans="1:107" ht="14.4" thickBot="1" x14ac:dyDescent="0.3">
      <c r="A40" s="1582"/>
      <c r="B40" s="3316"/>
      <c r="C40" s="3317"/>
      <c r="D40" s="3317"/>
      <c r="E40" s="3317"/>
      <c r="F40" s="3317"/>
      <c r="G40" s="3317"/>
      <c r="H40" s="3317"/>
      <c r="I40" s="3317"/>
      <c r="J40" s="3317"/>
      <c r="K40" s="3317"/>
      <c r="L40" s="3317"/>
      <c r="M40" s="3317"/>
      <c r="N40" s="3317"/>
      <c r="O40" s="3317"/>
      <c r="P40" s="3317">
        <f t="shared" si="2"/>
        <v>0</v>
      </c>
      <c r="Q40" s="3317"/>
      <c r="R40" s="3317"/>
      <c r="S40" s="3317"/>
      <c r="T40" s="3317"/>
      <c r="U40" s="3317">
        <f t="shared" si="54"/>
        <v>0</v>
      </c>
      <c r="V40" s="3317"/>
      <c r="W40" s="3317"/>
      <c r="X40" s="3317"/>
      <c r="Y40" s="3317"/>
      <c r="Z40" s="3317">
        <f t="shared" si="55"/>
        <v>0</v>
      </c>
      <c r="AA40" s="3317"/>
      <c r="AB40" s="3317"/>
      <c r="AC40" s="3317"/>
      <c r="AD40" s="3317"/>
      <c r="AE40" s="3317">
        <f t="shared" si="56"/>
        <v>0</v>
      </c>
      <c r="AF40" s="3317"/>
      <c r="AG40" s="3317"/>
      <c r="AH40" s="3317"/>
      <c r="AI40" s="3317"/>
      <c r="AJ40" s="3317">
        <v>0</v>
      </c>
      <c r="AK40" s="3317"/>
      <c r="AL40" s="3317"/>
      <c r="AM40" s="3317"/>
      <c r="AN40" s="3317"/>
      <c r="AO40" s="3317">
        <f t="shared" si="57"/>
        <v>0</v>
      </c>
      <c r="AP40" s="3317"/>
      <c r="AQ40" s="3317"/>
      <c r="AR40" s="3317"/>
      <c r="AS40" s="3317"/>
      <c r="AT40" s="3317">
        <f t="shared" si="58"/>
        <v>0</v>
      </c>
      <c r="AU40" s="3317"/>
      <c r="AV40" s="3317"/>
      <c r="AW40" s="3317"/>
      <c r="AX40" s="3317"/>
      <c r="AY40" s="3317">
        <f t="shared" si="59"/>
        <v>0</v>
      </c>
      <c r="AZ40" s="3317"/>
      <c r="BA40" s="3317"/>
      <c r="BB40" s="3317"/>
      <c r="BC40" s="3317"/>
      <c r="BD40" s="3317"/>
      <c r="BE40" s="3317"/>
      <c r="BF40" s="3317"/>
      <c r="BG40" s="3317"/>
      <c r="BH40" s="3317"/>
      <c r="BI40" s="3317"/>
      <c r="BJ40" s="3317"/>
      <c r="BK40" s="3317"/>
      <c r="BL40" s="3317"/>
      <c r="BM40" s="3317"/>
      <c r="BN40" s="3317"/>
      <c r="BO40" s="3317"/>
      <c r="BP40" s="3317"/>
      <c r="BQ40" s="3317"/>
      <c r="BR40" s="3317"/>
      <c r="BS40" s="3317"/>
      <c r="BT40" s="3317"/>
      <c r="BU40" s="3317"/>
      <c r="BV40" s="3317"/>
      <c r="BW40" s="3317"/>
      <c r="BX40" s="3317"/>
      <c r="BY40" s="3317"/>
      <c r="BZ40" s="3317"/>
      <c r="CA40" s="3317"/>
      <c r="CB40" s="3317"/>
      <c r="CC40" s="3317"/>
      <c r="CD40" s="3317"/>
      <c r="CE40" s="3317"/>
      <c r="CF40" s="3317"/>
      <c r="CG40" s="3317"/>
      <c r="CH40" s="3317"/>
      <c r="CI40" s="3317"/>
      <c r="CJ40" s="3317"/>
      <c r="CK40" s="3317"/>
      <c r="CL40" s="3317"/>
      <c r="CM40" s="3317"/>
      <c r="CN40" s="3317"/>
      <c r="CO40" s="3317"/>
      <c r="CP40" s="3317"/>
      <c r="CQ40" s="3317"/>
      <c r="CR40" s="3317"/>
      <c r="CS40" s="3317"/>
      <c r="CT40" s="3317"/>
      <c r="CU40" s="3317"/>
      <c r="CV40" s="3317"/>
      <c r="CW40" s="3317"/>
      <c r="CX40" s="3317"/>
      <c r="CY40" s="3317"/>
      <c r="CZ40" s="3317"/>
      <c r="DA40" s="3317"/>
      <c r="DB40" s="3317"/>
      <c r="DC40" s="3317"/>
    </row>
    <row r="41" spans="1:107" ht="13.8" x14ac:dyDescent="0.25">
      <c r="A41" s="1420"/>
      <c r="B41" s="1430" t="s">
        <v>26</v>
      </c>
      <c r="C41" s="2029">
        <f>SUM(C42:C48)</f>
        <v>0</v>
      </c>
      <c r="D41" s="2029">
        <f>SUM(D42:D48)</f>
        <v>0</v>
      </c>
      <c r="E41" s="2030">
        <f>SUM(E42:E48)</f>
        <v>0</v>
      </c>
      <c r="F41" s="3318">
        <f t="shared" ref="F41:F48" si="60">E41/$E$89</f>
        <v>0</v>
      </c>
      <c r="G41" s="2022"/>
      <c r="H41" s="2029">
        <f>SUM(H42:H48)</f>
        <v>0</v>
      </c>
      <c r="I41" s="2029">
        <f>SUM(I42:I48)</f>
        <v>0</v>
      </c>
      <c r="J41" s="2030">
        <f>SUM(J42:J48)</f>
        <v>0</v>
      </c>
      <c r="K41" s="3318">
        <f t="shared" ref="K41:K48" si="61">J41/$T$89</f>
        <v>0</v>
      </c>
      <c r="L41" s="2022"/>
      <c r="M41" s="2029">
        <f>SUM(M42:M48)</f>
        <v>0</v>
      </c>
      <c r="N41" s="2029">
        <f>SUM(N42:N48)</f>
        <v>0</v>
      </c>
      <c r="O41" s="2030">
        <f>SUM(O42:O48)</f>
        <v>0</v>
      </c>
      <c r="P41" s="3318">
        <f t="shared" si="2"/>
        <v>0</v>
      </c>
      <c r="Q41" s="2022"/>
      <c r="R41" s="2029">
        <f>SUM(R42:R48)</f>
        <v>0</v>
      </c>
      <c r="S41" s="2029">
        <f>SUM(S42:S48)</f>
        <v>0</v>
      </c>
      <c r="T41" s="2030">
        <f>SUM(T42:T48)</f>
        <v>0</v>
      </c>
      <c r="U41" s="3318">
        <f t="shared" si="54"/>
        <v>0</v>
      </c>
      <c r="V41" s="2022"/>
      <c r="W41" s="2029">
        <f>SUM(W42:W48)</f>
        <v>0</v>
      </c>
      <c r="X41" s="2029">
        <f>SUM(X42:X48)</f>
        <v>0</v>
      </c>
      <c r="Y41" s="2030">
        <f>SUM(Y42:Y48)</f>
        <v>0</v>
      </c>
      <c r="Z41" s="3318">
        <f t="shared" si="55"/>
        <v>0</v>
      </c>
      <c r="AA41" s="2022"/>
      <c r="AB41" s="2029">
        <f>SUM(AB42:AB48)</f>
        <v>0</v>
      </c>
      <c r="AC41" s="2029">
        <f>SUM(AC42:AC48)</f>
        <v>0</v>
      </c>
      <c r="AD41" s="2030">
        <f>SUM(AD42:AD48)</f>
        <v>0</v>
      </c>
      <c r="AE41" s="3318">
        <f t="shared" si="56"/>
        <v>0</v>
      </c>
      <c r="AF41" s="2022"/>
      <c r="AG41" s="2029">
        <v>0</v>
      </c>
      <c r="AH41" s="2029">
        <v>0</v>
      </c>
      <c r="AI41" s="2030">
        <v>0</v>
      </c>
      <c r="AJ41" s="3318">
        <v>0</v>
      </c>
      <c r="AK41" s="2022"/>
      <c r="AL41" s="2029">
        <f>SUM(AL42:AL48)</f>
        <v>0</v>
      </c>
      <c r="AM41" s="2029">
        <f>SUM(AM42:AM48)</f>
        <v>0</v>
      </c>
      <c r="AN41" s="2030">
        <f>SUM(AN42:AN48)</f>
        <v>0</v>
      </c>
      <c r="AO41" s="3318">
        <f t="shared" si="57"/>
        <v>0</v>
      </c>
      <c r="AP41" s="2022"/>
      <c r="AQ41" s="2029">
        <f>SUM(AQ42:AQ48)</f>
        <v>0</v>
      </c>
      <c r="AR41" s="2029">
        <f>SUM(AR42:AR48)</f>
        <v>0</v>
      </c>
      <c r="AS41" s="2030">
        <f>SUM(AS42:AS48)</f>
        <v>0</v>
      </c>
      <c r="AT41" s="3318">
        <f t="shared" si="58"/>
        <v>0</v>
      </c>
      <c r="AU41" s="2022"/>
      <c r="AV41" s="2029">
        <f>SUM(AV42:AV48)</f>
        <v>0</v>
      </c>
      <c r="AW41" s="2029">
        <f>SUM(AW42:AW48)</f>
        <v>0</v>
      </c>
      <c r="AX41" s="2030">
        <f>SUM(AX42:AX48)</f>
        <v>0</v>
      </c>
      <c r="AY41" s="3318">
        <f t="shared" si="59"/>
        <v>0</v>
      </c>
      <c r="AZ41" s="2022"/>
      <c r="BA41" s="2029">
        <f>SUM(BA42:BA48)</f>
        <v>0</v>
      </c>
      <c r="BB41" s="2029">
        <f>SUM(BB42:BB48)</f>
        <v>0</v>
      </c>
      <c r="BC41" s="2030">
        <f>SUM(BC42:BC48)</f>
        <v>0</v>
      </c>
      <c r="BD41" s="3318">
        <f t="shared" ref="BD41:BD52" si="62">BC41/$AD$89</f>
        <v>0</v>
      </c>
      <c r="BE41" s="2022"/>
      <c r="BF41" s="2029">
        <f>SUM(BF42:BF48)</f>
        <v>0</v>
      </c>
      <c r="BG41" s="2029">
        <f>SUM(BG42:BG48)</f>
        <v>0</v>
      </c>
      <c r="BH41" s="2030">
        <f>SUM(BH42:BH48)</f>
        <v>0</v>
      </c>
      <c r="BI41" s="3318">
        <f t="shared" ref="BI41:BI52" si="63">BH41/$AD$89</f>
        <v>0</v>
      </c>
      <c r="BJ41" s="2022"/>
      <c r="BK41" s="2029">
        <f>SUM(BK42:BK48)</f>
        <v>0</v>
      </c>
      <c r="BL41" s="2029">
        <f>SUM(BL42:BL48)</f>
        <v>0</v>
      </c>
      <c r="BM41" s="2030">
        <f>SUM(BM42:BM48)</f>
        <v>0</v>
      </c>
      <c r="BN41" s="3318">
        <f t="shared" ref="BN41:BN52" si="64">BM41/$AD$89</f>
        <v>0</v>
      </c>
      <c r="BO41" s="2022"/>
      <c r="BP41" s="2029">
        <f>SUM(BP42:BP48)</f>
        <v>0</v>
      </c>
      <c r="BQ41" s="2029">
        <f>SUM(BQ42:BQ48)</f>
        <v>0</v>
      </c>
      <c r="BR41" s="2030">
        <f>SUM(BR42:BR48)</f>
        <v>0</v>
      </c>
      <c r="BS41" s="3318">
        <f t="shared" ref="BS41:BS52" si="65">BR41/$AD$89</f>
        <v>0</v>
      </c>
      <c r="BT41" s="2022"/>
      <c r="BU41" s="2029">
        <f>SUM(BU42:BU48)</f>
        <v>0</v>
      </c>
      <c r="BV41" s="2029">
        <f>SUM(BV42:BV48)</f>
        <v>0</v>
      </c>
      <c r="BW41" s="2030">
        <f>SUM(BW42:BW48)</f>
        <v>0</v>
      </c>
      <c r="BX41" s="3318" t="e">
        <f t="shared" ref="BX41:BX52" si="66">BW41/$AN$89</f>
        <v>#DIV/0!</v>
      </c>
      <c r="BY41" s="2022"/>
      <c r="BZ41" s="2029">
        <f>SUM(BZ42:BZ48)</f>
        <v>0</v>
      </c>
      <c r="CA41" s="2029">
        <f>SUM(CA42:CA48)</f>
        <v>0</v>
      </c>
      <c r="CB41" s="2030">
        <f>SUM(CB42:CB48)</f>
        <v>0</v>
      </c>
      <c r="CC41" s="3318" t="e">
        <f t="shared" ref="CC41:CC52" si="67">CB41/$AN$89</f>
        <v>#DIV/0!</v>
      </c>
      <c r="CD41" s="1329"/>
      <c r="CE41" s="2029">
        <f>SUM(CE42:CE48)</f>
        <v>0</v>
      </c>
      <c r="CF41" s="2029">
        <f>SUM(CF42:CF48)</f>
        <v>0</v>
      </c>
      <c r="CG41" s="2030">
        <f>SUM(CG42:CG48)</f>
        <v>0</v>
      </c>
      <c r="CH41" s="3318" t="e">
        <f t="shared" ref="CH41:CH52" si="68">CG41/$AN$89</f>
        <v>#DIV/0!</v>
      </c>
      <c r="CI41" s="1329"/>
      <c r="CJ41" s="2029">
        <f>SUM(CJ42:CJ48)</f>
        <v>0</v>
      </c>
      <c r="CK41" s="2029">
        <f>SUM(CK42:CK48)</f>
        <v>0</v>
      </c>
      <c r="CL41" s="2030">
        <f>SUM(CL42:CL48)</f>
        <v>0</v>
      </c>
      <c r="CM41" s="3318" t="e">
        <f t="shared" ref="CM41:CM52" si="69">CL41/$AN$89</f>
        <v>#DIV/0!</v>
      </c>
      <c r="CN41" s="1329"/>
      <c r="CO41" s="2029">
        <f>SUM(CO42:CO48)</f>
        <v>0</v>
      </c>
      <c r="CP41" s="2029">
        <f>SUM(CP42:CP48)</f>
        <v>0</v>
      </c>
      <c r="CQ41" s="2030">
        <f>SUM(CQ42:CQ48)</f>
        <v>0</v>
      </c>
      <c r="CR41" s="3318" t="e">
        <f t="shared" ref="CR41:CR52" si="70">CQ41/$AN$89</f>
        <v>#DIV/0!</v>
      </c>
      <c r="CS41" s="1329"/>
      <c r="CT41" s="2029">
        <f>SUM(CT42:CT48)</f>
        <v>0</v>
      </c>
      <c r="CU41" s="2029">
        <f>SUM(CU42:CU48)</f>
        <v>0</v>
      </c>
      <c r="CV41" s="2030">
        <f>SUM(CV42:CV48)</f>
        <v>0</v>
      </c>
      <c r="CW41" s="3318" t="e">
        <f t="shared" ref="CW41:CW52" si="71">CV41/$AN$89</f>
        <v>#DIV/0!</v>
      </c>
      <c r="CX41" s="1329"/>
      <c r="CY41" s="3274">
        <f t="shared" ref="CY41:CZ48" si="72">C41+H41+M41+R41+W41+AB41+AQ41+AV41+BA41+BF41+BK41+BP41+BU41+BZ41+CE41+CJ41+CO41+CT41+AG41</f>
        <v>0</v>
      </c>
      <c r="CZ41" s="3274">
        <f t="shared" si="72"/>
        <v>0</v>
      </c>
      <c r="DA41" s="2030">
        <f>SUM(DA42:DA48)</f>
        <v>0</v>
      </c>
      <c r="DB41" s="3318">
        <f t="shared" ref="DB41:DB71" si="73">DA41/$DA$89</f>
        <v>0</v>
      </c>
      <c r="DC41" s="2022"/>
    </row>
    <row r="42" spans="1:107" ht="13.8" x14ac:dyDescent="0.25">
      <c r="A42" s="4015"/>
      <c r="B42" s="3319" t="s">
        <v>7</v>
      </c>
      <c r="C42" s="3274"/>
      <c r="D42" s="3274"/>
      <c r="E42" s="2028">
        <f t="shared" ref="E42:E48" si="74">C42+D42*1</f>
        <v>0</v>
      </c>
      <c r="F42" s="3284">
        <f t="shared" si="60"/>
        <v>0</v>
      </c>
      <c r="G42" s="3295"/>
      <c r="H42" s="3274"/>
      <c r="I42" s="3274"/>
      <c r="J42" s="2028">
        <f t="shared" ref="J42:J48" si="75">H42+I42*1</f>
        <v>0</v>
      </c>
      <c r="K42" s="3284">
        <f t="shared" si="61"/>
        <v>0</v>
      </c>
      <c r="L42" s="3295"/>
      <c r="M42" s="3274"/>
      <c r="N42" s="3274"/>
      <c r="O42" s="2028">
        <f t="shared" ref="O42:O48" si="76">M42+N42*1</f>
        <v>0</v>
      </c>
      <c r="P42" s="3284">
        <f t="shared" si="2"/>
        <v>0</v>
      </c>
      <c r="Q42" s="3295"/>
      <c r="R42" s="3274"/>
      <c r="S42" s="3274"/>
      <c r="T42" s="2028">
        <f t="shared" ref="T42:T48" si="77">R42+S42*1</f>
        <v>0</v>
      </c>
      <c r="U42" s="3284">
        <f t="shared" si="54"/>
        <v>0</v>
      </c>
      <c r="V42" s="3295"/>
      <c r="W42" s="3274"/>
      <c r="X42" s="3274"/>
      <c r="Y42" s="2028">
        <f t="shared" ref="Y42:Y48" si="78">W42+X42*1</f>
        <v>0</v>
      </c>
      <c r="Z42" s="3284">
        <f t="shared" si="55"/>
        <v>0</v>
      </c>
      <c r="AA42" s="3295"/>
      <c r="AB42" s="3274"/>
      <c r="AC42" s="3274"/>
      <c r="AD42" s="2028">
        <f t="shared" ref="AD42:AD48" si="79">AB42+AC42*1</f>
        <v>0</v>
      </c>
      <c r="AE42" s="3284">
        <f t="shared" si="56"/>
        <v>0</v>
      </c>
      <c r="AF42" s="3295"/>
      <c r="AG42" s="3274">
        <v>0</v>
      </c>
      <c r="AH42" s="3274">
        <v>0</v>
      </c>
      <c r="AI42" s="2028">
        <v>0</v>
      </c>
      <c r="AJ42" s="3284">
        <v>0</v>
      </c>
      <c r="AK42" s="3276"/>
      <c r="AL42" s="3274">
        <f t="shared" ref="AL42:AM48" si="80">AQ42+AV42+BA42+BF42+BK42+BP42+BU42+BZ42+CE42+CJ42+CO42+CT42</f>
        <v>0</v>
      </c>
      <c r="AM42" s="3274">
        <f t="shared" si="80"/>
        <v>0</v>
      </c>
      <c r="AN42" s="2028">
        <f t="shared" ref="AN42:AN48" si="81">AL42+AM42*1</f>
        <v>0</v>
      </c>
      <c r="AO42" s="3284">
        <f t="shared" si="57"/>
        <v>0</v>
      </c>
      <c r="AP42" s="3276"/>
      <c r="AQ42" s="3274"/>
      <c r="AR42" s="3274"/>
      <c r="AS42" s="2028">
        <f t="shared" ref="AS42:AS48" si="82">AQ42+AR42*1</f>
        <v>0</v>
      </c>
      <c r="AT42" s="3284">
        <f t="shared" si="58"/>
        <v>0</v>
      </c>
      <c r="AU42" s="3295"/>
      <c r="AV42" s="3274"/>
      <c r="AW42" s="3274"/>
      <c r="AX42" s="2028">
        <f t="shared" ref="AX42:AX48" si="83">AV42+AW42*1</f>
        <v>0</v>
      </c>
      <c r="AY42" s="3284">
        <f t="shared" si="59"/>
        <v>0</v>
      </c>
      <c r="AZ42" s="3295"/>
      <c r="BA42" s="3274"/>
      <c r="BB42" s="3274"/>
      <c r="BC42" s="2028">
        <f t="shared" ref="BC42:BC48" si="84">BA42+BB42*1</f>
        <v>0</v>
      </c>
      <c r="BD42" s="3284">
        <f t="shared" si="62"/>
        <v>0</v>
      </c>
      <c r="BE42" s="3295"/>
      <c r="BF42" s="3274"/>
      <c r="BG42" s="3274"/>
      <c r="BH42" s="2028">
        <f t="shared" ref="BH42:BH48" si="85">BF42+BG42*1</f>
        <v>0</v>
      </c>
      <c r="BI42" s="3284">
        <f t="shared" si="63"/>
        <v>0</v>
      </c>
      <c r="BJ42" s="3295"/>
      <c r="BK42" s="3274"/>
      <c r="BL42" s="3274"/>
      <c r="BM42" s="2028">
        <f t="shared" ref="BM42:BM48" si="86">BK42+BL42*1</f>
        <v>0</v>
      </c>
      <c r="BN42" s="3284">
        <f t="shared" si="64"/>
        <v>0</v>
      </c>
      <c r="BO42" s="3295"/>
      <c r="BP42" s="3274"/>
      <c r="BQ42" s="3274"/>
      <c r="BR42" s="2028">
        <f t="shared" ref="BR42:BR48" si="87">BP42+BQ42*1</f>
        <v>0</v>
      </c>
      <c r="BS42" s="3284">
        <f t="shared" si="65"/>
        <v>0</v>
      </c>
      <c r="BT42" s="3295"/>
      <c r="BU42" s="3274"/>
      <c r="BV42" s="3274"/>
      <c r="BW42" s="2028">
        <f t="shared" ref="BW42:BW48" si="88">BU42+BV42*1</f>
        <v>0</v>
      </c>
      <c r="BX42" s="3284" t="e">
        <f t="shared" si="66"/>
        <v>#DIV/0!</v>
      </c>
      <c r="BY42" s="3295"/>
      <c r="BZ42" s="3274"/>
      <c r="CA42" s="3274"/>
      <c r="CB42" s="2028">
        <f t="shared" ref="CB42:CB48" si="89">BZ42+CA42*1</f>
        <v>0</v>
      </c>
      <c r="CC42" s="3284" t="e">
        <f t="shared" si="67"/>
        <v>#DIV/0!</v>
      </c>
      <c r="CD42" s="1449"/>
      <c r="CE42" s="3274"/>
      <c r="CF42" s="3274"/>
      <c r="CG42" s="2028">
        <f t="shared" ref="CG42:CG48" si="90">CE42+CF42*1</f>
        <v>0</v>
      </c>
      <c r="CH42" s="3284" t="e">
        <f t="shared" si="68"/>
        <v>#DIV/0!</v>
      </c>
      <c r="CI42" s="1449"/>
      <c r="CJ42" s="3274"/>
      <c r="CK42" s="3274"/>
      <c r="CL42" s="2028">
        <f t="shared" ref="CL42:CL48" si="91">CJ42+CK42*1</f>
        <v>0</v>
      </c>
      <c r="CM42" s="3284" t="e">
        <f t="shared" si="69"/>
        <v>#DIV/0!</v>
      </c>
      <c r="CN42" s="1449"/>
      <c r="CO42" s="3274"/>
      <c r="CP42" s="3274"/>
      <c r="CQ42" s="2028">
        <f t="shared" ref="CQ42:CQ48" si="92">CO42+CP42*1</f>
        <v>0</v>
      </c>
      <c r="CR42" s="3284" t="e">
        <f t="shared" si="70"/>
        <v>#DIV/0!</v>
      </c>
      <c r="CS42" s="1449"/>
      <c r="CT42" s="3274"/>
      <c r="CU42" s="3274"/>
      <c r="CV42" s="2028">
        <f t="shared" ref="CV42:CV48" si="93">CT42+CU42*1</f>
        <v>0</v>
      </c>
      <c r="CW42" s="3284" t="e">
        <f t="shared" si="71"/>
        <v>#DIV/0!</v>
      </c>
      <c r="CX42" s="1449"/>
      <c r="CY42" s="3274">
        <f t="shared" si="72"/>
        <v>0</v>
      </c>
      <c r="CZ42" s="3274">
        <f t="shared" si="72"/>
        <v>0</v>
      </c>
      <c r="DA42" s="2028">
        <f t="shared" ref="DA42:DA48" si="94">CY42+CZ42*1</f>
        <v>0</v>
      </c>
      <c r="DB42" s="3284">
        <f t="shared" si="73"/>
        <v>0</v>
      </c>
      <c r="DC42" s="3295"/>
    </row>
    <row r="43" spans="1:107" ht="13.8" x14ac:dyDescent="0.25">
      <c r="A43" s="4015"/>
      <c r="B43" s="3319" t="s">
        <v>27</v>
      </c>
      <c r="C43" s="3274"/>
      <c r="D43" s="3274"/>
      <c r="E43" s="2028">
        <f t="shared" si="74"/>
        <v>0</v>
      </c>
      <c r="F43" s="3284">
        <f t="shared" si="60"/>
        <v>0</v>
      </c>
      <c r="G43" s="3295"/>
      <c r="H43" s="3274"/>
      <c r="I43" s="3274"/>
      <c r="J43" s="2028">
        <f t="shared" si="75"/>
        <v>0</v>
      </c>
      <c r="K43" s="3284">
        <f t="shared" si="61"/>
        <v>0</v>
      </c>
      <c r="L43" s="3295"/>
      <c r="M43" s="3274"/>
      <c r="N43" s="3274"/>
      <c r="O43" s="2028">
        <f t="shared" si="76"/>
        <v>0</v>
      </c>
      <c r="P43" s="3284">
        <f t="shared" si="2"/>
        <v>0</v>
      </c>
      <c r="Q43" s="3295"/>
      <c r="R43" s="3274"/>
      <c r="S43" s="3274"/>
      <c r="T43" s="2028">
        <f t="shared" si="77"/>
        <v>0</v>
      </c>
      <c r="U43" s="3284">
        <f t="shared" si="54"/>
        <v>0</v>
      </c>
      <c r="V43" s="3295"/>
      <c r="W43" s="3274"/>
      <c r="X43" s="3274"/>
      <c r="Y43" s="2028">
        <f t="shared" si="78"/>
        <v>0</v>
      </c>
      <c r="Z43" s="3284">
        <f t="shared" si="55"/>
        <v>0</v>
      </c>
      <c r="AA43" s="3295"/>
      <c r="AB43" s="3274"/>
      <c r="AC43" s="3274"/>
      <c r="AD43" s="2028">
        <f t="shared" si="79"/>
        <v>0</v>
      </c>
      <c r="AE43" s="3284">
        <f t="shared" si="56"/>
        <v>0</v>
      </c>
      <c r="AF43" s="3295"/>
      <c r="AG43" s="3274">
        <v>0</v>
      </c>
      <c r="AH43" s="3274">
        <v>0</v>
      </c>
      <c r="AI43" s="2028">
        <v>0</v>
      </c>
      <c r="AJ43" s="3284">
        <v>0</v>
      </c>
      <c r="AK43" s="3276"/>
      <c r="AL43" s="3274">
        <f t="shared" si="80"/>
        <v>0</v>
      </c>
      <c r="AM43" s="3274">
        <f t="shared" si="80"/>
        <v>0</v>
      </c>
      <c r="AN43" s="2028">
        <f t="shared" si="81"/>
        <v>0</v>
      </c>
      <c r="AO43" s="3284">
        <f t="shared" si="57"/>
        <v>0</v>
      </c>
      <c r="AP43" s="3276"/>
      <c r="AQ43" s="3274"/>
      <c r="AR43" s="3274"/>
      <c r="AS43" s="2028">
        <f t="shared" si="82"/>
        <v>0</v>
      </c>
      <c r="AT43" s="3284">
        <f t="shared" si="58"/>
        <v>0</v>
      </c>
      <c r="AU43" s="3295"/>
      <c r="AV43" s="3274"/>
      <c r="AW43" s="3274"/>
      <c r="AX43" s="2028">
        <f t="shared" si="83"/>
        <v>0</v>
      </c>
      <c r="AY43" s="3284">
        <f t="shared" si="59"/>
        <v>0</v>
      </c>
      <c r="AZ43" s="3295"/>
      <c r="BA43" s="3274"/>
      <c r="BB43" s="3274"/>
      <c r="BC43" s="2028">
        <f t="shared" si="84"/>
        <v>0</v>
      </c>
      <c r="BD43" s="3284">
        <f t="shared" si="62"/>
        <v>0</v>
      </c>
      <c r="BE43" s="3295"/>
      <c r="BF43" s="3274"/>
      <c r="BG43" s="3274"/>
      <c r="BH43" s="2028">
        <f t="shared" si="85"/>
        <v>0</v>
      </c>
      <c r="BI43" s="3284">
        <f t="shared" si="63"/>
        <v>0</v>
      </c>
      <c r="BJ43" s="3295"/>
      <c r="BK43" s="3274"/>
      <c r="BL43" s="3274"/>
      <c r="BM43" s="2028">
        <f t="shared" si="86"/>
        <v>0</v>
      </c>
      <c r="BN43" s="3284">
        <f t="shared" si="64"/>
        <v>0</v>
      </c>
      <c r="BO43" s="3295"/>
      <c r="BP43" s="3274"/>
      <c r="BQ43" s="3274"/>
      <c r="BR43" s="2028">
        <f t="shared" si="87"/>
        <v>0</v>
      </c>
      <c r="BS43" s="3284">
        <f t="shared" si="65"/>
        <v>0</v>
      </c>
      <c r="BT43" s="3295"/>
      <c r="BU43" s="3274"/>
      <c r="BV43" s="3274"/>
      <c r="BW43" s="2028">
        <f t="shared" si="88"/>
        <v>0</v>
      </c>
      <c r="BX43" s="3284" t="e">
        <f t="shared" si="66"/>
        <v>#DIV/0!</v>
      </c>
      <c r="BY43" s="3295"/>
      <c r="BZ43" s="3274"/>
      <c r="CA43" s="3274"/>
      <c r="CB43" s="2028">
        <f t="shared" si="89"/>
        <v>0</v>
      </c>
      <c r="CC43" s="3284" t="e">
        <f t="shared" si="67"/>
        <v>#DIV/0!</v>
      </c>
      <c r="CD43" s="1449"/>
      <c r="CE43" s="3274"/>
      <c r="CF43" s="3274"/>
      <c r="CG43" s="2028">
        <f t="shared" si="90"/>
        <v>0</v>
      </c>
      <c r="CH43" s="3284" t="e">
        <f t="shared" si="68"/>
        <v>#DIV/0!</v>
      </c>
      <c r="CI43" s="1449"/>
      <c r="CJ43" s="3274"/>
      <c r="CK43" s="3274"/>
      <c r="CL43" s="2028">
        <f t="shared" si="91"/>
        <v>0</v>
      </c>
      <c r="CM43" s="3284" t="e">
        <f t="shared" si="69"/>
        <v>#DIV/0!</v>
      </c>
      <c r="CN43" s="1449"/>
      <c r="CO43" s="3274"/>
      <c r="CP43" s="3274"/>
      <c r="CQ43" s="2028">
        <f t="shared" si="92"/>
        <v>0</v>
      </c>
      <c r="CR43" s="3284" t="e">
        <f t="shared" si="70"/>
        <v>#DIV/0!</v>
      </c>
      <c r="CS43" s="1449"/>
      <c r="CT43" s="3274"/>
      <c r="CU43" s="3274"/>
      <c r="CV43" s="2028">
        <f t="shared" si="93"/>
        <v>0</v>
      </c>
      <c r="CW43" s="3284" t="e">
        <f t="shared" si="71"/>
        <v>#DIV/0!</v>
      </c>
      <c r="CX43" s="1449"/>
      <c r="CY43" s="3274">
        <f t="shared" si="72"/>
        <v>0</v>
      </c>
      <c r="CZ43" s="3274">
        <f t="shared" si="72"/>
        <v>0</v>
      </c>
      <c r="DA43" s="2028">
        <f t="shared" si="94"/>
        <v>0</v>
      </c>
      <c r="DB43" s="3284">
        <f t="shared" si="73"/>
        <v>0</v>
      </c>
      <c r="DC43" s="3295"/>
    </row>
    <row r="44" spans="1:107" ht="13.8" x14ac:dyDescent="0.25">
      <c r="A44" s="4015"/>
      <c r="B44" s="3310" t="s">
        <v>28</v>
      </c>
      <c r="C44" s="3274"/>
      <c r="D44" s="3274"/>
      <c r="E44" s="2028">
        <f t="shared" si="74"/>
        <v>0</v>
      </c>
      <c r="F44" s="3284">
        <f t="shared" si="60"/>
        <v>0</v>
      </c>
      <c r="G44" s="3295"/>
      <c r="H44" s="3274"/>
      <c r="I44" s="3274"/>
      <c r="J44" s="2028">
        <f t="shared" si="75"/>
        <v>0</v>
      </c>
      <c r="K44" s="3284">
        <f t="shared" si="61"/>
        <v>0</v>
      </c>
      <c r="L44" s="3295"/>
      <c r="M44" s="3274"/>
      <c r="N44" s="3274"/>
      <c r="O44" s="2028">
        <f t="shared" si="76"/>
        <v>0</v>
      </c>
      <c r="P44" s="3284">
        <f t="shared" si="2"/>
        <v>0</v>
      </c>
      <c r="Q44" s="3295"/>
      <c r="R44" s="3274"/>
      <c r="S44" s="3274"/>
      <c r="T44" s="2028">
        <f t="shared" si="77"/>
        <v>0</v>
      </c>
      <c r="U44" s="3284">
        <f t="shared" si="54"/>
        <v>0</v>
      </c>
      <c r="V44" s="3295"/>
      <c r="W44" s="3274"/>
      <c r="X44" s="3274"/>
      <c r="Y44" s="2028">
        <f t="shared" si="78"/>
        <v>0</v>
      </c>
      <c r="Z44" s="3284">
        <f t="shared" si="55"/>
        <v>0</v>
      </c>
      <c r="AA44" s="3295"/>
      <c r="AB44" s="3274"/>
      <c r="AC44" s="3274"/>
      <c r="AD44" s="2028">
        <f t="shared" si="79"/>
        <v>0</v>
      </c>
      <c r="AE44" s="3284">
        <f t="shared" si="56"/>
        <v>0</v>
      </c>
      <c r="AF44" s="3295"/>
      <c r="AG44" s="3274">
        <v>0</v>
      </c>
      <c r="AH44" s="3274">
        <v>0</v>
      </c>
      <c r="AI44" s="2028">
        <v>0</v>
      </c>
      <c r="AJ44" s="3284">
        <v>0</v>
      </c>
      <c r="AK44" s="3276"/>
      <c r="AL44" s="3274">
        <f t="shared" si="80"/>
        <v>0</v>
      </c>
      <c r="AM44" s="3274">
        <f t="shared" si="80"/>
        <v>0</v>
      </c>
      <c r="AN44" s="2028">
        <f t="shared" si="81"/>
        <v>0</v>
      </c>
      <c r="AO44" s="3284">
        <f t="shared" si="57"/>
        <v>0</v>
      </c>
      <c r="AP44" s="3276"/>
      <c r="AQ44" s="2059"/>
      <c r="AR44" s="3274"/>
      <c r="AS44" s="2028">
        <f t="shared" si="82"/>
        <v>0</v>
      </c>
      <c r="AT44" s="3284">
        <f t="shared" si="58"/>
        <v>0</v>
      </c>
      <c r="AU44" s="3295"/>
      <c r="AV44" s="3274"/>
      <c r="AW44" s="3274"/>
      <c r="AX44" s="2028">
        <f t="shared" si="83"/>
        <v>0</v>
      </c>
      <c r="AY44" s="3284">
        <f t="shared" si="59"/>
        <v>0</v>
      </c>
      <c r="AZ44" s="3295"/>
      <c r="BA44" s="3274"/>
      <c r="BB44" s="3274"/>
      <c r="BC44" s="2028">
        <f t="shared" si="84"/>
        <v>0</v>
      </c>
      <c r="BD44" s="3284">
        <f t="shared" si="62"/>
        <v>0</v>
      </c>
      <c r="BE44" s="3295"/>
      <c r="BF44" s="3274"/>
      <c r="BG44" s="3274"/>
      <c r="BH44" s="2028">
        <f t="shared" si="85"/>
        <v>0</v>
      </c>
      <c r="BI44" s="3284">
        <f t="shared" si="63"/>
        <v>0</v>
      </c>
      <c r="BJ44" s="3295"/>
      <c r="BK44" s="3274"/>
      <c r="BL44" s="3274"/>
      <c r="BM44" s="2028">
        <f t="shared" si="86"/>
        <v>0</v>
      </c>
      <c r="BN44" s="3284">
        <f t="shared" si="64"/>
        <v>0</v>
      </c>
      <c r="BO44" s="3295"/>
      <c r="BP44" s="3274"/>
      <c r="BQ44" s="3274"/>
      <c r="BR44" s="2028">
        <f t="shared" si="87"/>
        <v>0</v>
      </c>
      <c r="BS44" s="3284">
        <f t="shared" si="65"/>
        <v>0</v>
      </c>
      <c r="BT44" s="3295"/>
      <c r="BU44" s="3274"/>
      <c r="BV44" s="3274"/>
      <c r="BW44" s="2028">
        <f t="shared" si="88"/>
        <v>0</v>
      </c>
      <c r="BX44" s="3284" t="e">
        <f t="shared" si="66"/>
        <v>#DIV/0!</v>
      </c>
      <c r="BY44" s="3295"/>
      <c r="BZ44" s="3274"/>
      <c r="CA44" s="3274"/>
      <c r="CB44" s="2028">
        <f t="shared" si="89"/>
        <v>0</v>
      </c>
      <c r="CC44" s="3284" t="e">
        <f t="shared" si="67"/>
        <v>#DIV/0!</v>
      </c>
      <c r="CD44" s="1449"/>
      <c r="CE44" s="3274"/>
      <c r="CF44" s="3274"/>
      <c r="CG44" s="2028">
        <f t="shared" si="90"/>
        <v>0</v>
      </c>
      <c r="CH44" s="3284" t="e">
        <f t="shared" si="68"/>
        <v>#DIV/0!</v>
      </c>
      <c r="CI44" s="1449"/>
      <c r="CJ44" s="3274"/>
      <c r="CK44" s="3274"/>
      <c r="CL44" s="2028">
        <f t="shared" si="91"/>
        <v>0</v>
      </c>
      <c r="CM44" s="3284" t="e">
        <f t="shared" si="69"/>
        <v>#DIV/0!</v>
      </c>
      <c r="CN44" s="1449"/>
      <c r="CO44" s="3274"/>
      <c r="CP44" s="3274"/>
      <c r="CQ44" s="2028">
        <f t="shared" si="92"/>
        <v>0</v>
      </c>
      <c r="CR44" s="3284" t="e">
        <f t="shared" si="70"/>
        <v>#DIV/0!</v>
      </c>
      <c r="CS44" s="1449"/>
      <c r="CT44" s="3274"/>
      <c r="CU44" s="3274"/>
      <c r="CV44" s="2028">
        <f t="shared" si="93"/>
        <v>0</v>
      </c>
      <c r="CW44" s="3284" t="e">
        <f t="shared" si="71"/>
        <v>#DIV/0!</v>
      </c>
      <c r="CX44" s="1449"/>
      <c r="CY44" s="3274">
        <f t="shared" si="72"/>
        <v>0</v>
      </c>
      <c r="CZ44" s="3274">
        <f t="shared" si="72"/>
        <v>0</v>
      </c>
      <c r="DA44" s="2028">
        <f t="shared" si="94"/>
        <v>0</v>
      </c>
      <c r="DB44" s="3284">
        <f t="shared" si="73"/>
        <v>0</v>
      </c>
      <c r="DC44" s="3295"/>
    </row>
    <row r="45" spans="1:107" ht="13.8" x14ac:dyDescent="0.25">
      <c r="A45" s="4015"/>
      <c r="B45" s="3319" t="s">
        <v>8</v>
      </c>
      <c r="C45" s="3274"/>
      <c r="D45" s="3274"/>
      <c r="E45" s="2028">
        <f t="shared" si="74"/>
        <v>0</v>
      </c>
      <c r="F45" s="3284">
        <f t="shared" si="60"/>
        <v>0</v>
      </c>
      <c r="G45" s="3295"/>
      <c r="H45" s="3274"/>
      <c r="I45" s="3274"/>
      <c r="J45" s="2028">
        <f t="shared" si="75"/>
        <v>0</v>
      </c>
      <c r="K45" s="3284">
        <f t="shared" si="61"/>
        <v>0</v>
      </c>
      <c r="L45" s="3295"/>
      <c r="M45" s="3274"/>
      <c r="N45" s="3274"/>
      <c r="O45" s="2028">
        <f t="shared" si="76"/>
        <v>0</v>
      </c>
      <c r="P45" s="3284">
        <f t="shared" si="2"/>
        <v>0</v>
      </c>
      <c r="Q45" s="3295"/>
      <c r="R45" s="3274"/>
      <c r="S45" s="3274"/>
      <c r="T45" s="2028">
        <f t="shared" si="77"/>
        <v>0</v>
      </c>
      <c r="U45" s="3284">
        <f t="shared" si="54"/>
        <v>0</v>
      </c>
      <c r="V45" s="3295"/>
      <c r="W45" s="3274"/>
      <c r="X45" s="3274"/>
      <c r="Y45" s="2028">
        <f t="shared" si="78"/>
        <v>0</v>
      </c>
      <c r="Z45" s="3284">
        <f t="shared" si="55"/>
        <v>0</v>
      </c>
      <c r="AA45" s="3295"/>
      <c r="AB45" s="3274"/>
      <c r="AC45" s="3274"/>
      <c r="AD45" s="2028">
        <f t="shared" si="79"/>
        <v>0</v>
      </c>
      <c r="AE45" s="3284">
        <f t="shared" si="56"/>
        <v>0</v>
      </c>
      <c r="AF45" s="3295"/>
      <c r="AG45" s="3274">
        <v>0</v>
      </c>
      <c r="AH45" s="3274">
        <v>0</v>
      </c>
      <c r="AI45" s="2028">
        <v>0</v>
      </c>
      <c r="AJ45" s="3284">
        <v>0</v>
      </c>
      <c r="AK45" s="3295"/>
      <c r="AL45" s="3274">
        <f t="shared" si="80"/>
        <v>0</v>
      </c>
      <c r="AM45" s="3274">
        <f t="shared" si="80"/>
        <v>0</v>
      </c>
      <c r="AN45" s="2028">
        <f t="shared" si="81"/>
        <v>0</v>
      </c>
      <c r="AO45" s="3284">
        <f t="shared" si="57"/>
        <v>0</v>
      </c>
      <c r="AP45" s="3295"/>
      <c r="AQ45" s="3274"/>
      <c r="AR45" s="3274"/>
      <c r="AS45" s="2028">
        <f t="shared" si="82"/>
        <v>0</v>
      </c>
      <c r="AT45" s="3284">
        <f t="shared" si="58"/>
        <v>0</v>
      </c>
      <c r="AU45" s="3295"/>
      <c r="AV45" s="3274"/>
      <c r="AW45" s="3274"/>
      <c r="AX45" s="2028">
        <f t="shared" si="83"/>
        <v>0</v>
      </c>
      <c r="AY45" s="3284">
        <f t="shared" si="59"/>
        <v>0</v>
      </c>
      <c r="AZ45" s="3295"/>
      <c r="BA45" s="3274"/>
      <c r="BB45" s="3274"/>
      <c r="BC45" s="2028">
        <f t="shared" si="84"/>
        <v>0</v>
      </c>
      <c r="BD45" s="3284">
        <f t="shared" si="62"/>
        <v>0</v>
      </c>
      <c r="BE45" s="3295"/>
      <c r="BF45" s="3274"/>
      <c r="BG45" s="3274"/>
      <c r="BH45" s="2028">
        <f t="shared" si="85"/>
        <v>0</v>
      </c>
      <c r="BI45" s="3284">
        <f t="shared" si="63"/>
        <v>0</v>
      </c>
      <c r="BJ45" s="3295"/>
      <c r="BK45" s="3274"/>
      <c r="BL45" s="3274"/>
      <c r="BM45" s="2028">
        <f t="shared" si="86"/>
        <v>0</v>
      </c>
      <c r="BN45" s="3284">
        <f t="shared" si="64"/>
        <v>0</v>
      </c>
      <c r="BO45" s="3295"/>
      <c r="BP45" s="3274"/>
      <c r="BQ45" s="3274"/>
      <c r="BR45" s="2028">
        <f t="shared" si="87"/>
        <v>0</v>
      </c>
      <c r="BS45" s="3284">
        <f t="shared" si="65"/>
        <v>0</v>
      </c>
      <c r="BT45" s="3295"/>
      <c r="BU45" s="3274"/>
      <c r="BV45" s="3274"/>
      <c r="BW45" s="2028">
        <f t="shared" si="88"/>
        <v>0</v>
      </c>
      <c r="BX45" s="3284" t="e">
        <f t="shared" si="66"/>
        <v>#DIV/0!</v>
      </c>
      <c r="BY45" s="3295"/>
      <c r="BZ45" s="3274"/>
      <c r="CA45" s="3274"/>
      <c r="CB45" s="2028">
        <f t="shared" si="89"/>
        <v>0</v>
      </c>
      <c r="CC45" s="3284" t="e">
        <f t="shared" si="67"/>
        <v>#DIV/0!</v>
      </c>
      <c r="CD45" s="1449"/>
      <c r="CE45" s="3274"/>
      <c r="CF45" s="3274"/>
      <c r="CG45" s="2028">
        <f t="shared" si="90"/>
        <v>0</v>
      </c>
      <c r="CH45" s="3284" t="e">
        <f t="shared" si="68"/>
        <v>#DIV/0!</v>
      </c>
      <c r="CI45" s="1449"/>
      <c r="CJ45" s="3274"/>
      <c r="CK45" s="3274"/>
      <c r="CL45" s="2028">
        <f t="shared" si="91"/>
        <v>0</v>
      </c>
      <c r="CM45" s="3284" t="e">
        <f t="shared" si="69"/>
        <v>#DIV/0!</v>
      </c>
      <c r="CN45" s="1449"/>
      <c r="CO45" s="3274"/>
      <c r="CP45" s="3274"/>
      <c r="CQ45" s="2028">
        <f t="shared" si="92"/>
        <v>0</v>
      </c>
      <c r="CR45" s="3284" t="e">
        <f t="shared" si="70"/>
        <v>#DIV/0!</v>
      </c>
      <c r="CS45" s="1449"/>
      <c r="CT45" s="3274"/>
      <c r="CU45" s="3274"/>
      <c r="CV45" s="2028">
        <f t="shared" si="93"/>
        <v>0</v>
      </c>
      <c r="CW45" s="3284" t="e">
        <f t="shared" si="71"/>
        <v>#DIV/0!</v>
      </c>
      <c r="CX45" s="1449"/>
      <c r="CY45" s="3274">
        <f t="shared" si="72"/>
        <v>0</v>
      </c>
      <c r="CZ45" s="3274">
        <f t="shared" si="72"/>
        <v>0</v>
      </c>
      <c r="DA45" s="2028">
        <f t="shared" si="94"/>
        <v>0</v>
      </c>
      <c r="DB45" s="3284">
        <f t="shared" si="73"/>
        <v>0</v>
      </c>
      <c r="DC45" s="3295"/>
    </row>
    <row r="46" spans="1:107" ht="13.8" x14ac:dyDescent="0.25">
      <c r="A46" s="4015"/>
      <c r="B46" s="3319" t="s">
        <v>29</v>
      </c>
      <c r="C46" s="3274"/>
      <c r="D46" s="3274"/>
      <c r="E46" s="2028">
        <f t="shared" si="74"/>
        <v>0</v>
      </c>
      <c r="F46" s="3284">
        <f t="shared" si="60"/>
        <v>0</v>
      </c>
      <c r="G46" s="3295"/>
      <c r="H46" s="3274"/>
      <c r="I46" s="3274"/>
      <c r="J46" s="2028">
        <f t="shared" si="75"/>
        <v>0</v>
      </c>
      <c r="K46" s="3284">
        <f t="shared" si="61"/>
        <v>0</v>
      </c>
      <c r="L46" s="3295"/>
      <c r="M46" s="3274"/>
      <c r="N46" s="3274"/>
      <c r="O46" s="2028">
        <f t="shared" si="76"/>
        <v>0</v>
      </c>
      <c r="P46" s="3284">
        <f t="shared" si="2"/>
        <v>0</v>
      </c>
      <c r="Q46" s="3295"/>
      <c r="R46" s="3274"/>
      <c r="S46" s="3274"/>
      <c r="T46" s="2028">
        <f t="shared" si="77"/>
        <v>0</v>
      </c>
      <c r="U46" s="3284">
        <f t="shared" si="54"/>
        <v>0</v>
      </c>
      <c r="V46" s="3295"/>
      <c r="W46" s="3274"/>
      <c r="X46" s="3274"/>
      <c r="Y46" s="2028">
        <f t="shared" si="78"/>
        <v>0</v>
      </c>
      <c r="Z46" s="3284">
        <f t="shared" si="55"/>
        <v>0</v>
      </c>
      <c r="AA46" s="3295"/>
      <c r="AB46" s="3274"/>
      <c r="AC46" s="3274"/>
      <c r="AD46" s="2028">
        <f t="shared" si="79"/>
        <v>0</v>
      </c>
      <c r="AE46" s="3284">
        <f t="shared" si="56"/>
        <v>0</v>
      </c>
      <c r="AF46" s="3295"/>
      <c r="AG46" s="3274">
        <v>0</v>
      </c>
      <c r="AH46" s="3274">
        <v>0</v>
      </c>
      <c r="AI46" s="2028">
        <v>0</v>
      </c>
      <c r="AJ46" s="3284">
        <v>0</v>
      </c>
      <c r="AK46" s="3295"/>
      <c r="AL46" s="3274">
        <f t="shared" si="80"/>
        <v>0</v>
      </c>
      <c r="AM46" s="3274">
        <f t="shared" si="80"/>
        <v>0</v>
      </c>
      <c r="AN46" s="2028">
        <f t="shared" si="81"/>
        <v>0</v>
      </c>
      <c r="AO46" s="3284">
        <f t="shared" si="57"/>
        <v>0</v>
      </c>
      <c r="AP46" s="3295"/>
      <c r="AQ46" s="3274"/>
      <c r="AR46" s="3274"/>
      <c r="AS46" s="2028">
        <f t="shared" si="82"/>
        <v>0</v>
      </c>
      <c r="AT46" s="3284">
        <f t="shared" si="58"/>
        <v>0</v>
      </c>
      <c r="AU46" s="3295"/>
      <c r="AV46" s="3274"/>
      <c r="AW46" s="3274"/>
      <c r="AX46" s="2028">
        <f t="shared" si="83"/>
        <v>0</v>
      </c>
      <c r="AY46" s="3284">
        <f t="shared" si="59"/>
        <v>0</v>
      </c>
      <c r="AZ46" s="3295"/>
      <c r="BA46" s="3274"/>
      <c r="BB46" s="3274"/>
      <c r="BC46" s="2028">
        <f t="shared" si="84"/>
        <v>0</v>
      </c>
      <c r="BD46" s="3284">
        <f t="shared" si="62"/>
        <v>0</v>
      </c>
      <c r="BE46" s="3295"/>
      <c r="BF46" s="3274"/>
      <c r="BG46" s="3274"/>
      <c r="BH46" s="2028">
        <f t="shared" si="85"/>
        <v>0</v>
      </c>
      <c r="BI46" s="3284">
        <f t="shared" si="63"/>
        <v>0</v>
      </c>
      <c r="BJ46" s="3295"/>
      <c r="BK46" s="3274"/>
      <c r="BL46" s="3274"/>
      <c r="BM46" s="2028">
        <f t="shared" si="86"/>
        <v>0</v>
      </c>
      <c r="BN46" s="3284">
        <f t="shared" si="64"/>
        <v>0</v>
      </c>
      <c r="BO46" s="3295"/>
      <c r="BP46" s="3274"/>
      <c r="BQ46" s="3274"/>
      <c r="BR46" s="2028">
        <f t="shared" si="87"/>
        <v>0</v>
      </c>
      <c r="BS46" s="3284">
        <f t="shared" si="65"/>
        <v>0</v>
      </c>
      <c r="BT46" s="3295"/>
      <c r="BU46" s="3274"/>
      <c r="BV46" s="3274"/>
      <c r="BW46" s="2028">
        <f t="shared" si="88"/>
        <v>0</v>
      </c>
      <c r="BX46" s="3284" t="e">
        <f t="shared" si="66"/>
        <v>#DIV/0!</v>
      </c>
      <c r="BY46" s="3295"/>
      <c r="BZ46" s="3274"/>
      <c r="CA46" s="3274"/>
      <c r="CB46" s="2028">
        <f t="shared" si="89"/>
        <v>0</v>
      </c>
      <c r="CC46" s="3284" t="e">
        <f t="shared" si="67"/>
        <v>#DIV/0!</v>
      </c>
      <c r="CD46" s="1449"/>
      <c r="CE46" s="3274"/>
      <c r="CF46" s="3274"/>
      <c r="CG46" s="2028">
        <f t="shared" si="90"/>
        <v>0</v>
      </c>
      <c r="CH46" s="3284" t="e">
        <f t="shared" si="68"/>
        <v>#DIV/0!</v>
      </c>
      <c r="CI46" s="1449"/>
      <c r="CJ46" s="3274"/>
      <c r="CK46" s="3274"/>
      <c r="CL46" s="2028">
        <f t="shared" si="91"/>
        <v>0</v>
      </c>
      <c r="CM46" s="3284" t="e">
        <f t="shared" si="69"/>
        <v>#DIV/0!</v>
      </c>
      <c r="CN46" s="1449"/>
      <c r="CO46" s="3274"/>
      <c r="CP46" s="3274"/>
      <c r="CQ46" s="2028">
        <f t="shared" si="92"/>
        <v>0</v>
      </c>
      <c r="CR46" s="3284" t="e">
        <f t="shared" si="70"/>
        <v>#DIV/0!</v>
      </c>
      <c r="CS46" s="1449"/>
      <c r="CT46" s="3274"/>
      <c r="CU46" s="3274"/>
      <c r="CV46" s="2028">
        <f t="shared" si="93"/>
        <v>0</v>
      </c>
      <c r="CW46" s="3284" t="e">
        <f t="shared" si="71"/>
        <v>#DIV/0!</v>
      </c>
      <c r="CX46" s="1449"/>
      <c r="CY46" s="3274">
        <f t="shared" si="72"/>
        <v>0</v>
      </c>
      <c r="CZ46" s="3274">
        <f t="shared" si="72"/>
        <v>0</v>
      </c>
      <c r="DA46" s="2028">
        <f t="shared" si="94"/>
        <v>0</v>
      </c>
      <c r="DB46" s="3284">
        <f t="shared" si="73"/>
        <v>0</v>
      </c>
      <c r="DC46" s="3295"/>
    </row>
    <row r="47" spans="1:107" ht="13.8" x14ac:dyDescent="0.25">
      <c r="A47" s="4015"/>
      <c r="B47" s="3319" t="s">
        <v>30</v>
      </c>
      <c r="C47" s="3274"/>
      <c r="D47" s="3274"/>
      <c r="E47" s="2028">
        <f t="shared" si="74"/>
        <v>0</v>
      </c>
      <c r="F47" s="3284">
        <f t="shared" si="60"/>
        <v>0</v>
      </c>
      <c r="G47" s="3295"/>
      <c r="H47" s="3274"/>
      <c r="I47" s="3274"/>
      <c r="J47" s="2028">
        <f t="shared" si="75"/>
        <v>0</v>
      </c>
      <c r="K47" s="3284">
        <f t="shared" si="61"/>
        <v>0</v>
      </c>
      <c r="L47" s="3295"/>
      <c r="M47" s="3274"/>
      <c r="N47" s="3274"/>
      <c r="O47" s="2028">
        <f t="shared" si="76"/>
        <v>0</v>
      </c>
      <c r="P47" s="3284">
        <f t="shared" si="2"/>
        <v>0</v>
      </c>
      <c r="Q47" s="3295"/>
      <c r="R47" s="3274"/>
      <c r="S47" s="3274"/>
      <c r="T47" s="2028">
        <f t="shared" si="77"/>
        <v>0</v>
      </c>
      <c r="U47" s="3284">
        <f t="shared" si="54"/>
        <v>0</v>
      </c>
      <c r="V47" s="3295"/>
      <c r="W47" s="3274"/>
      <c r="X47" s="3274"/>
      <c r="Y47" s="2028">
        <f t="shared" si="78"/>
        <v>0</v>
      </c>
      <c r="Z47" s="3284">
        <f t="shared" si="55"/>
        <v>0</v>
      </c>
      <c r="AA47" s="3295"/>
      <c r="AB47" s="3274"/>
      <c r="AC47" s="3274"/>
      <c r="AD47" s="2028">
        <f t="shared" si="79"/>
        <v>0</v>
      </c>
      <c r="AE47" s="3284">
        <f t="shared" si="56"/>
        <v>0</v>
      </c>
      <c r="AF47" s="3295"/>
      <c r="AG47" s="3274">
        <v>0</v>
      </c>
      <c r="AH47" s="3274">
        <v>0</v>
      </c>
      <c r="AI47" s="2028">
        <v>0</v>
      </c>
      <c r="AJ47" s="3284">
        <v>0</v>
      </c>
      <c r="AK47" s="3276"/>
      <c r="AL47" s="3274">
        <f t="shared" si="80"/>
        <v>0</v>
      </c>
      <c r="AM47" s="3274">
        <f t="shared" si="80"/>
        <v>0</v>
      </c>
      <c r="AN47" s="2028">
        <f t="shared" si="81"/>
        <v>0</v>
      </c>
      <c r="AO47" s="3284">
        <f t="shared" si="57"/>
        <v>0</v>
      </c>
      <c r="AP47" s="3276"/>
      <c r="AQ47" s="3274"/>
      <c r="AR47" s="3274"/>
      <c r="AS47" s="2028">
        <f t="shared" si="82"/>
        <v>0</v>
      </c>
      <c r="AT47" s="3284">
        <f t="shared" si="58"/>
        <v>0</v>
      </c>
      <c r="AU47" s="3295"/>
      <c r="AV47" s="3274"/>
      <c r="AW47" s="3274"/>
      <c r="AX47" s="2028">
        <f t="shared" si="83"/>
        <v>0</v>
      </c>
      <c r="AY47" s="3284">
        <f t="shared" si="59"/>
        <v>0</v>
      </c>
      <c r="AZ47" s="3295"/>
      <c r="BA47" s="3274"/>
      <c r="BB47" s="3274"/>
      <c r="BC47" s="2028">
        <f t="shared" si="84"/>
        <v>0</v>
      </c>
      <c r="BD47" s="3284">
        <f t="shared" si="62"/>
        <v>0</v>
      </c>
      <c r="BE47" s="3295"/>
      <c r="BF47" s="3274"/>
      <c r="BG47" s="3274"/>
      <c r="BH47" s="2028">
        <f t="shared" si="85"/>
        <v>0</v>
      </c>
      <c r="BI47" s="3284">
        <f t="shared" si="63"/>
        <v>0</v>
      </c>
      <c r="BJ47" s="3295"/>
      <c r="BK47" s="3274"/>
      <c r="BL47" s="3274"/>
      <c r="BM47" s="2028">
        <f t="shared" si="86"/>
        <v>0</v>
      </c>
      <c r="BN47" s="3284">
        <f t="shared" si="64"/>
        <v>0</v>
      </c>
      <c r="BO47" s="3295"/>
      <c r="BP47" s="3274"/>
      <c r="BQ47" s="3274"/>
      <c r="BR47" s="2028">
        <f t="shared" si="87"/>
        <v>0</v>
      </c>
      <c r="BS47" s="3284">
        <f t="shared" si="65"/>
        <v>0</v>
      </c>
      <c r="BT47" s="3295"/>
      <c r="BU47" s="3274"/>
      <c r="BV47" s="3274"/>
      <c r="BW47" s="2028">
        <f t="shared" si="88"/>
        <v>0</v>
      </c>
      <c r="BX47" s="3284" t="e">
        <f t="shared" si="66"/>
        <v>#DIV/0!</v>
      </c>
      <c r="BY47" s="3295"/>
      <c r="BZ47" s="3274"/>
      <c r="CA47" s="3274"/>
      <c r="CB47" s="2028">
        <f t="shared" si="89"/>
        <v>0</v>
      </c>
      <c r="CC47" s="3284" t="e">
        <f t="shared" si="67"/>
        <v>#DIV/0!</v>
      </c>
      <c r="CD47" s="1449"/>
      <c r="CE47" s="3274"/>
      <c r="CF47" s="3274"/>
      <c r="CG47" s="2028">
        <f t="shared" si="90"/>
        <v>0</v>
      </c>
      <c r="CH47" s="3284" t="e">
        <f t="shared" si="68"/>
        <v>#DIV/0!</v>
      </c>
      <c r="CI47" s="1449"/>
      <c r="CJ47" s="3274"/>
      <c r="CK47" s="3274"/>
      <c r="CL47" s="2028">
        <f t="shared" si="91"/>
        <v>0</v>
      </c>
      <c r="CM47" s="3284" t="e">
        <f t="shared" si="69"/>
        <v>#DIV/0!</v>
      </c>
      <c r="CN47" s="1449"/>
      <c r="CO47" s="3274"/>
      <c r="CP47" s="3274"/>
      <c r="CQ47" s="2028">
        <f t="shared" si="92"/>
        <v>0</v>
      </c>
      <c r="CR47" s="3284" t="e">
        <f t="shared" si="70"/>
        <v>#DIV/0!</v>
      </c>
      <c r="CS47" s="1449"/>
      <c r="CT47" s="3274"/>
      <c r="CU47" s="3274"/>
      <c r="CV47" s="2028">
        <f t="shared" si="93"/>
        <v>0</v>
      </c>
      <c r="CW47" s="3284" t="e">
        <f t="shared" si="71"/>
        <v>#DIV/0!</v>
      </c>
      <c r="CX47" s="1449"/>
      <c r="CY47" s="3274">
        <f t="shared" si="72"/>
        <v>0</v>
      </c>
      <c r="CZ47" s="3274">
        <f t="shared" si="72"/>
        <v>0</v>
      </c>
      <c r="DA47" s="2028">
        <f t="shared" si="94"/>
        <v>0</v>
      </c>
      <c r="DB47" s="3284">
        <f t="shared" si="73"/>
        <v>0</v>
      </c>
      <c r="DC47" s="3295"/>
    </row>
    <row r="48" spans="1:107" ht="13.8" x14ac:dyDescent="0.25">
      <c r="A48" s="4015"/>
      <c r="B48" s="3319" t="s">
        <v>15</v>
      </c>
      <c r="C48" s="3274"/>
      <c r="D48" s="3274"/>
      <c r="E48" s="2028">
        <f t="shared" si="74"/>
        <v>0</v>
      </c>
      <c r="F48" s="3284">
        <f t="shared" si="60"/>
        <v>0</v>
      </c>
      <c r="G48" s="3295"/>
      <c r="H48" s="3274"/>
      <c r="I48" s="3274"/>
      <c r="J48" s="2028">
        <f t="shared" si="75"/>
        <v>0</v>
      </c>
      <c r="K48" s="3284">
        <f t="shared" si="61"/>
        <v>0</v>
      </c>
      <c r="L48" s="3295"/>
      <c r="M48" s="3274"/>
      <c r="N48" s="3274"/>
      <c r="O48" s="2028">
        <f t="shared" si="76"/>
        <v>0</v>
      </c>
      <c r="P48" s="3284">
        <f t="shared" si="2"/>
        <v>0</v>
      </c>
      <c r="Q48" s="3295"/>
      <c r="R48" s="3274"/>
      <c r="S48" s="3274"/>
      <c r="T48" s="2028">
        <f t="shared" si="77"/>
        <v>0</v>
      </c>
      <c r="U48" s="3284">
        <f t="shared" si="54"/>
        <v>0</v>
      </c>
      <c r="V48" s="3295"/>
      <c r="W48" s="3274"/>
      <c r="X48" s="3274"/>
      <c r="Y48" s="2028">
        <f t="shared" si="78"/>
        <v>0</v>
      </c>
      <c r="Z48" s="3284">
        <f t="shared" si="55"/>
        <v>0</v>
      </c>
      <c r="AA48" s="3295"/>
      <c r="AB48" s="3274"/>
      <c r="AC48" s="3274"/>
      <c r="AD48" s="2028">
        <f t="shared" si="79"/>
        <v>0</v>
      </c>
      <c r="AE48" s="3284">
        <f t="shared" si="56"/>
        <v>0</v>
      </c>
      <c r="AF48" s="3295"/>
      <c r="AG48" s="3274">
        <v>0</v>
      </c>
      <c r="AH48" s="3274">
        <v>0</v>
      </c>
      <c r="AI48" s="2028">
        <v>0</v>
      </c>
      <c r="AJ48" s="3284">
        <v>0</v>
      </c>
      <c r="AK48" s="3295"/>
      <c r="AL48" s="3274">
        <f t="shared" si="80"/>
        <v>0</v>
      </c>
      <c r="AM48" s="3274">
        <f t="shared" si="80"/>
        <v>0</v>
      </c>
      <c r="AN48" s="2028">
        <f t="shared" si="81"/>
        <v>0</v>
      </c>
      <c r="AO48" s="3284">
        <f t="shared" si="57"/>
        <v>0</v>
      </c>
      <c r="AP48" s="3295"/>
      <c r="AQ48" s="3274"/>
      <c r="AR48" s="3274"/>
      <c r="AS48" s="2028">
        <f t="shared" si="82"/>
        <v>0</v>
      </c>
      <c r="AT48" s="3284">
        <f t="shared" si="58"/>
        <v>0</v>
      </c>
      <c r="AU48" s="3295"/>
      <c r="AV48" s="3274"/>
      <c r="AW48" s="3274"/>
      <c r="AX48" s="2028">
        <f t="shared" si="83"/>
        <v>0</v>
      </c>
      <c r="AY48" s="3284">
        <f t="shared" si="59"/>
        <v>0</v>
      </c>
      <c r="AZ48" s="3295"/>
      <c r="BA48" s="3274"/>
      <c r="BB48" s="3274"/>
      <c r="BC48" s="2028">
        <f t="shared" si="84"/>
        <v>0</v>
      </c>
      <c r="BD48" s="3284">
        <f t="shared" si="62"/>
        <v>0</v>
      </c>
      <c r="BE48" s="3295"/>
      <c r="BF48" s="3274"/>
      <c r="BG48" s="3274"/>
      <c r="BH48" s="2028">
        <f t="shared" si="85"/>
        <v>0</v>
      </c>
      <c r="BI48" s="3284">
        <f t="shared" si="63"/>
        <v>0</v>
      </c>
      <c r="BJ48" s="3295"/>
      <c r="BK48" s="3274"/>
      <c r="BL48" s="3274"/>
      <c r="BM48" s="2028">
        <f t="shared" si="86"/>
        <v>0</v>
      </c>
      <c r="BN48" s="3284">
        <f t="shared" si="64"/>
        <v>0</v>
      </c>
      <c r="BO48" s="3295"/>
      <c r="BP48" s="3274"/>
      <c r="BQ48" s="3274"/>
      <c r="BR48" s="2028">
        <f t="shared" si="87"/>
        <v>0</v>
      </c>
      <c r="BS48" s="3284">
        <f t="shared" si="65"/>
        <v>0</v>
      </c>
      <c r="BT48" s="3295"/>
      <c r="BU48" s="3274"/>
      <c r="BV48" s="3274"/>
      <c r="BW48" s="2028">
        <f t="shared" si="88"/>
        <v>0</v>
      </c>
      <c r="BX48" s="3284" t="e">
        <f t="shared" si="66"/>
        <v>#DIV/0!</v>
      </c>
      <c r="BY48" s="3295"/>
      <c r="BZ48" s="3274"/>
      <c r="CA48" s="3274"/>
      <c r="CB48" s="2028">
        <f t="shared" si="89"/>
        <v>0</v>
      </c>
      <c r="CC48" s="3284" t="e">
        <f t="shared" si="67"/>
        <v>#DIV/0!</v>
      </c>
      <c r="CD48" s="1449"/>
      <c r="CE48" s="3274"/>
      <c r="CF48" s="3274"/>
      <c r="CG48" s="2028">
        <f t="shared" si="90"/>
        <v>0</v>
      </c>
      <c r="CH48" s="3284" t="e">
        <f t="shared" si="68"/>
        <v>#DIV/0!</v>
      </c>
      <c r="CI48" s="1449"/>
      <c r="CJ48" s="3274"/>
      <c r="CK48" s="3274"/>
      <c r="CL48" s="2028">
        <f t="shared" si="91"/>
        <v>0</v>
      </c>
      <c r="CM48" s="3284" t="e">
        <f t="shared" si="69"/>
        <v>#DIV/0!</v>
      </c>
      <c r="CN48" s="1449"/>
      <c r="CO48" s="3274"/>
      <c r="CP48" s="3274"/>
      <c r="CQ48" s="2028">
        <f t="shared" si="92"/>
        <v>0</v>
      </c>
      <c r="CR48" s="3284" t="e">
        <f t="shared" si="70"/>
        <v>#DIV/0!</v>
      </c>
      <c r="CS48" s="1449"/>
      <c r="CT48" s="3274"/>
      <c r="CU48" s="3274"/>
      <c r="CV48" s="2028">
        <f t="shared" si="93"/>
        <v>0</v>
      </c>
      <c r="CW48" s="3284" t="e">
        <f t="shared" si="71"/>
        <v>#DIV/0!</v>
      </c>
      <c r="CX48" s="1449"/>
      <c r="CY48" s="3274">
        <f t="shared" si="72"/>
        <v>0</v>
      </c>
      <c r="CZ48" s="3274">
        <f t="shared" si="72"/>
        <v>0</v>
      </c>
      <c r="DA48" s="2028">
        <f t="shared" si="94"/>
        <v>0</v>
      </c>
      <c r="DB48" s="3284">
        <f t="shared" si="73"/>
        <v>0</v>
      </c>
      <c r="DC48" s="3295"/>
    </row>
    <row r="49" spans="1:107" s="1411" customFormat="1" ht="14.4" thickBot="1" x14ac:dyDescent="0.3">
      <c r="A49" s="1420"/>
      <c r="B49" s="3320"/>
      <c r="C49" s="3274"/>
      <c r="D49" s="3274"/>
      <c r="E49" s="3313"/>
      <c r="F49" s="3284"/>
      <c r="G49" s="3313"/>
      <c r="H49" s="3274"/>
      <c r="I49" s="3274"/>
      <c r="J49" s="3313"/>
      <c r="K49" s="3284"/>
      <c r="L49" s="3313"/>
      <c r="M49" s="3274"/>
      <c r="N49" s="3274"/>
      <c r="O49" s="3313"/>
      <c r="P49" s="3284"/>
      <c r="Q49" s="3313"/>
      <c r="R49" s="3274"/>
      <c r="S49" s="3274"/>
      <c r="T49" s="3313"/>
      <c r="U49" s="3284"/>
      <c r="V49" s="3313"/>
      <c r="W49" s="3274"/>
      <c r="X49" s="3274"/>
      <c r="Y49" s="3313"/>
      <c r="Z49" s="3284"/>
      <c r="AA49" s="3313"/>
      <c r="AB49" s="3274"/>
      <c r="AC49" s="3274"/>
      <c r="AD49" s="3313"/>
      <c r="AE49" s="3284"/>
      <c r="AF49" s="3313"/>
      <c r="AG49" s="3274"/>
      <c r="AH49" s="3274"/>
      <c r="AI49" s="3313"/>
      <c r="AJ49" s="3284"/>
      <c r="AK49" s="3313"/>
      <c r="AL49" s="3274"/>
      <c r="AM49" s="3274"/>
      <c r="AN49" s="3313"/>
      <c r="AO49" s="3284"/>
      <c r="AP49" s="3313"/>
      <c r="AQ49" s="3274"/>
      <c r="AR49" s="3274"/>
      <c r="AS49" s="3313"/>
      <c r="AT49" s="3284"/>
      <c r="AU49" s="3313"/>
      <c r="AV49" s="3274"/>
      <c r="AW49" s="3274"/>
      <c r="AX49" s="3313"/>
      <c r="AY49" s="3284"/>
      <c r="AZ49" s="3313"/>
      <c r="BA49" s="3274"/>
      <c r="BB49" s="3274"/>
      <c r="BC49" s="3313"/>
      <c r="BD49" s="3284">
        <f t="shared" si="62"/>
        <v>0</v>
      </c>
      <c r="BE49" s="3313"/>
      <c r="BF49" s="3274"/>
      <c r="BG49" s="3274"/>
      <c r="BH49" s="3313"/>
      <c r="BI49" s="3284">
        <f t="shared" si="63"/>
        <v>0</v>
      </c>
      <c r="BJ49" s="3313"/>
      <c r="BK49" s="3274"/>
      <c r="BL49" s="3274"/>
      <c r="BM49" s="3313"/>
      <c r="BN49" s="3284">
        <f t="shared" si="64"/>
        <v>0</v>
      </c>
      <c r="BO49" s="3313"/>
      <c r="BP49" s="3274"/>
      <c r="BQ49" s="3274"/>
      <c r="BR49" s="3313"/>
      <c r="BS49" s="3284">
        <f t="shared" si="65"/>
        <v>0</v>
      </c>
      <c r="BT49" s="3313"/>
      <c r="BU49" s="3274"/>
      <c r="BV49" s="3274"/>
      <c r="BW49" s="3313"/>
      <c r="BX49" s="3284" t="e">
        <f t="shared" si="66"/>
        <v>#DIV/0!</v>
      </c>
      <c r="BY49" s="3313"/>
      <c r="BZ49" s="3274"/>
      <c r="CA49" s="3274"/>
      <c r="CB49" s="3313"/>
      <c r="CC49" s="3284" t="e">
        <f t="shared" si="67"/>
        <v>#DIV/0!</v>
      </c>
      <c r="CD49" s="3315"/>
      <c r="CE49" s="3274"/>
      <c r="CF49" s="3274"/>
      <c r="CG49" s="3313"/>
      <c r="CH49" s="3284" t="e">
        <f t="shared" si="68"/>
        <v>#DIV/0!</v>
      </c>
      <c r="CI49" s="3315"/>
      <c r="CJ49" s="3274"/>
      <c r="CK49" s="3274"/>
      <c r="CL49" s="3313"/>
      <c r="CM49" s="3284" t="e">
        <f t="shared" si="69"/>
        <v>#DIV/0!</v>
      </c>
      <c r="CN49" s="3315"/>
      <c r="CO49" s="3274"/>
      <c r="CP49" s="3274"/>
      <c r="CQ49" s="3313"/>
      <c r="CR49" s="3284" t="e">
        <f t="shared" si="70"/>
        <v>#DIV/0!</v>
      </c>
      <c r="CS49" s="3315"/>
      <c r="CT49" s="3274"/>
      <c r="CU49" s="3274"/>
      <c r="CV49" s="3313"/>
      <c r="CW49" s="3284" t="e">
        <f t="shared" si="71"/>
        <v>#DIV/0!</v>
      </c>
      <c r="CX49" s="3315"/>
      <c r="CY49" s="3274"/>
      <c r="CZ49" s="3274"/>
      <c r="DA49" s="3313"/>
      <c r="DB49" s="3284">
        <f t="shared" si="73"/>
        <v>0</v>
      </c>
      <c r="DC49" s="3313"/>
    </row>
    <row r="50" spans="1:107" s="1411" customFormat="1" ht="13.8" x14ac:dyDescent="0.25">
      <c r="A50" s="1580"/>
      <c r="B50" s="1425" t="s">
        <v>59</v>
      </c>
      <c r="C50" s="2031">
        <f>C52+C51</f>
        <v>0</v>
      </c>
      <c r="D50" s="2031">
        <f>D52+D51</f>
        <v>0</v>
      </c>
      <c r="E50" s="2031">
        <f>SUM(E51:E52)</f>
        <v>0</v>
      </c>
      <c r="F50" s="2022">
        <f>E50/$E$89</f>
        <v>0</v>
      </c>
      <c r="G50" s="2022"/>
      <c r="H50" s="2031">
        <f>H52+H51</f>
        <v>0</v>
      </c>
      <c r="I50" s="2031">
        <f>I52+I51</f>
        <v>0</v>
      </c>
      <c r="J50" s="2031">
        <f>SUM(J51:J52)</f>
        <v>0</v>
      </c>
      <c r="K50" s="2022">
        <f>J50/$T$89</f>
        <v>0</v>
      </c>
      <c r="L50" s="2022"/>
      <c r="M50" s="2031">
        <f>M52+M51</f>
        <v>0</v>
      </c>
      <c r="N50" s="2031">
        <f>N52+N51</f>
        <v>0</v>
      </c>
      <c r="O50" s="2031">
        <f>SUM(O51:O52)</f>
        <v>0</v>
      </c>
      <c r="P50" s="2022">
        <f t="shared" si="2"/>
        <v>0</v>
      </c>
      <c r="Q50" s="2022"/>
      <c r="R50" s="2031">
        <f>R52+R51</f>
        <v>0</v>
      </c>
      <c r="S50" s="2031">
        <f>S52+S51</f>
        <v>0</v>
      </c>
      <c r="T50" s="2031">
        <f>SUM(T51:T52)</f>
        <v>0</v>
      </c>
      <c r="U50" s="2022">
        <f>T50/$O$89</f>
        <v>0</v>
      </c>
      <c r="V50" s="2022"/>
      <c r="W50" s="2031">
        <f>W52+W51</f>
        <v>0</v>
      </c>
      <c r="X50" s="2031">
        <f>X52+X51</f>
        <v>0</v>
      </c>
      <c r="Y50" s="2031">
        <f>SUM(Y51:Y52)</f>
        <v>0</v>
      </c>
      <c r="Z50" s="2022">
        <f>Y50/$O$89</f>
        <v>0</v>
      </c>
      <c r="AA50" s="2022"/>
      <c r="AB50" s="2031">
        <f>AB52+AB51</f>
        <v>0</v>
      </c>
      <c r="AC50" s="2031">
        <f>AC52+AC51</f>
        <v>0</v>
      </c>
      <c r="AD50" s="2031">
        <f>SUM(AD51:AD52)</f>
        <v>0</v>
      </c>
      <c r="AE50" s="2022">
        <f>AD50/$O$89</f>
        <v>0</v>
      </c>
      <c r="AF50" s="2022"/>
      <c r="AG50" s="2031">
        <v>0</v>
      </c>
      <c r="AH50" s="2031">
        <v>0</v>
      </c>
      <c r="AI50" s="2031">
        <v>0</v>
      </c>
      <c r="AJ50" s="2022">
        <v>0</v>
      </c>
      <c r="AK50" s="2022"/>
      <c r="AL50" s="2031">
        <f>AL52+AL51</f>
        <v>0</v>
      </c>
      <c r="AM50" s="2031">
        <f>AM52+AM51</f>
        <v>0</v>
      </c>
      <c r="AN50" s="2031">
        <f>SUM(AN51:AN52)</f>
        <v>0</v>
      </c>
      <c r="AO50" s="2022">
        <f t="shared" ref="AO50:AO52" si="95">AN50/$T$89</f>
        <v>0</v>
      </c>
      <c r="AP50" s="2022"/>
      <c r="AQ50" s="2031">
        <f>AQ52+AQ51</f>
        <v>0</v>
      </c>
      <c r="AR50" s="2031">
        <f>AR52+AR51</f>
        <v>0</v>
      </c>
      <c r="AS50" s="2031">
        <f>SUM(AS51:AS52)</f>
        <v>0</v>
      </c>
      <c r="AT50" s="2022">
        <f>AS50/$O$89</f>
        <v>0</v>
      </c>
      <c r="AU50" s="2022"/>
      <c r="AV50" s="2031">
        <f>AV52+AV51</f>
        <v>0</v>
      </c>
      <c r="AW50" s="2031">
        <f>AW52+AW51</f>
        <v>0</v>
      </c>
      <c r="AX50" s="2031">
        <f>SUM(AX51:AX52)</f>
        <v>0</v>
      </c>
      <c r="AY50" s="2022">
        <f>AX50/$E$89</f>
        <v>0</v>
      </c>
      <c r="AZ50" s="2022"/>
      <c r="BA50" s="2031">
        <f>BA52+BA51</f>
        <v>0</v>
      </c>
      <c r="BB50" s="2031">
        <f>BB52+BB51</f>
        <v>0</v>
      </c>
      <c r="BC50" s="2031">
        <f>SUM(BC51:BC52)</f>
        <v>0</v>
      </c>
      <c r="BD50" s="2022">
        <f t="shared" si="62"/>
        <v>0</v>
      </c>
      <c r="BE50" s="2022"/>
      <c r="BF50" s="2031">
        <f>BF52+BF51</f>
        <v>0</v>
      </c>
      <c r="BG50" s="2031">
        <f>BG52+BG51</f>
        <v>0</v>
      </c>
      <c r="BH50" s="2031">
        <f>SUM(BH51:BH52)</f>
        <v>0</v>
      </c>
      <c r="BI50" s="2022">
        <f t="shared" si="63"/>
        <v>0</v>
      </c>
      <c r="BJ50" s="2022"/>
      <c r="BK50" s="2031">
        <f>BK52+BK51</f>
        <v>0</v>
      </c>
      <c r="BL50" s="2031">
        <f>BL52+BL51</f>
        <v>0</v>
      </c>
      <c r="BM50" s="2031">
        <f>SUM(BM51:BM52)</f>
        <v>0</v>
      </c>
      <c r="BN50" s="2022">
        <f t="shared" si="64"/>
        <v>0</v>
      </c>
      <c r="BO50" s="2022"/>
      <c r="BP50" s="2031">
        <f>BP52+BP51</f>
        <v>0</v>
      </c>
      <c r="BQ50" s="2031">
        <f>BQ52+BQ51</f>
        <v>0</v>
      </c>
      <c r="BR50" s="2031">
        <f>SUM(BR51:BR52)</f>
        <v>0</v>
      </c>
      <c r="BS50" s="2022">
        <f t="shared" si="65"/>
        <v>0</v>
      </c>
      <c r="BT50" s="2022"/>
      <c r="BU50" s="2031">
        <f>BU52+BU51</f>
        <v>0</v>
      </c>
      <c r="BV50" s="2031">
        <f>BV52+BV51</f>
        <v>0</v>
      </c>
      <c r="BW50" s="2031">
        <f>SUM(BW51:BW52)</f>
        <v>0</v>
      </c>
      <c r="BX50" s="2022" t="e">
        <f t="shared" si="66"/>
        <v>#DIV/0!</v>
      </c>
      <c r="BY50" s="2022"/>
      <c r="BZ50" s="2031">
        <f>BZ52+BZ51</f>
        <v>0</v>
      </c>
      <c r="CA50" s="2031">
        <f>CA52+CA51</f>
        <v>0</v>
      </c>
      <c r="CB50" s="2031">
        <f>SUM(CB51:CB52)</f>
        <v>0</v>
      </c>
      <c r="CC50" s="2022" t="e">
        <f t="shared" si="67"/>
        <v>#DIV/0!</v>
      </c>
      <c r="CD50" s="1460"/>
      <c r="CE50" s="2031">
        <f>CE52+CE51</f>
        <v>0</v>
      </c>
      <c r="CF50" s="2031">
        <f>CF52+CF51</f>
        <v>0</v>
      </c>
      <c r="CG50" s="2031">
        <f>SUM(CG51:CG52)</f>
        <v>0</v>
      </c>
      <c r="CH50" s="2022" t="e">
        <f t="shared" si="68"/>
        <v>#DIV/0!</v>
      </c>
      <c r="CI50" s="1460"/>
      <c r="CJ50" s="2031">
        <f>CJ52+CJ51</f>
        <v>0</v>
      </c>
      <c r="CK50" s="2031">
        <f>CK52+CK51</f>
        <v>0</v>
      </c>
      <c r="CL50" s="2031">
        <f>SUM(CL51:CL52)</f>
        <v>0</v>
      </c>
      <c r="CM50" s="2022" t="e">
        <f t="shared" si="69"/>
        <v>#DIV/0!</v>
      </c>
      <c r="CN50" s="1460"/>
      <c r="CO50" s="2031">
        <f>CO52+CO51</f>
        <v>0</v>
      </c>
      <c r="CP50" s="2031">
        <f>CP52+CP51</f>
        <v>0</v>
      </c>
      <c r="CQ50" s="2031">
        <f>SUM(CQ51:CQ52)</f>
        <v>0</v>
      </c>
      <c r="CR50" s="2022" t="e">
        <f t="shared" si="70"/>
        <v>#DIV/0!</v>
      </c>
      <c r="CS50" s="1460"/>
      <c r="CT50" s="2031">
        <f>CT52+CT51</f>
        <v>0</v>
      </c>
      <c r="CU50" s="2031">
        <f>CU52+CU51</f>
        <v>0</v>
      </c>
      <c r="CV50" s="2031">
        <f>SUM(CV51:CV52)</f>
        <v>0</v>
      </c>
      <c r="CW50" s="2022" t="e">
        <f t="shared" si="71"/>
        <v>#DIV/0!</v>
      </c>
      <c r="CX50" s="1460"/>
      <c r="CY50" s="2031">
        <f>CY52+CY51</f>
        <v>0</v>
      </c>
      <c r="CZ50" s="2031">
        <f>CZ52+CZ51</f>
        <v>0</v>
      </c>
      <c r="DA50" s="2031">
        <f>SUM(DA51:DA52)</f>
        <v>0</v>
      </c>
      <c r="DB50" s="2022"/>
      <c r="DC50" s="2022"/>
    </row>
    <row r="51" spans="1:107" s="1411" customFormat="1" ht="13.8" x14ac:dyDescent="0.25">
      <c r="A51" s="1581"/>
      <c r="B51" s="3319" t="s">
        <v>60</v>
      </c>
      <c r="C51" s="3274"/>
      <c r="D51" s="3274"/>
      <c r="E51" s="2028">
        <f>C51+D51*1</f>
        <v>0</v>
      </c>
      <c r="F51" s="3284">
        <f>E51/$E$89</f>
        <v>0</v>
      </c>
      <c r="G51" s="3311"/>
      <c r="H51" s="3274"/>
      <c r="I51" s="3274"/>
      <c r="J51" s="2028">
        <f>H51+I51*1</f>
        <v>0</v>
      </c>
      <c r="K51" s="3284">
        <f>J51/$T$89</f>
        <v>0</v>
      </c>
      <c r="L51" s="3311"/>
      <c r="M51" s="3274"/>
      <c r="N51" s="3274"/>
      <c r="O51" s="2028">
        <f>M51+N51*1</f>
        <v>0</v>
      </c>
      <c r="P51" s="3284">
        <f t="shared" si="2"/>
        <v>0</v>
      </c>
      <c r="Q51" s="3311"/>
      <c r="R51" s="3274"/>
      <c r="S51" s="3274"/>
      <c r="T51" s="2028">
        <f>R51+S51*1</f>
        <v>0</v>
      </c>
      <c r="U51" s="3284">
        <f>T51/$O$89</f>
        <v>0</v>
      </c>
      <c r="V51" s="3311"/>
      <c r="W51" s="3274"/>
      <c r="X51" s="3274"/>
      <c r="Y51" s="2028">
        <f>W51+X51*1</f>
        <v>0</v>
      </c>
      <c r="Z51" s="3284">
        <f>Y51/$O$89</f>
        <v>0</v>
      </c>
      <c r="AA51" s="3311"/>
      <c r="AB51" s="3274"/>
      <c r="AC51" s="3274"/>
      <c r="AD51" s="2028">
        <f>AB51+AC51*1</f>
        <v>0</v>
      </c>
      <c r="AE51" s="3284">
        <f>AD51/$O$89</f>
        <v>0</v>
      </c>
      <c r="AF51" s="3311"/>
      <c r="AG51" s="3274">
        <v>0</v>
      </c>
      <c r="AH51" s="3274">
        <v>0</v>
      </c>
      <c r="AI51" s="2028">
        <v>0</v>
      </c>
      <c r="AJ51" s="3284">
        <v>0</v>
      </c>
      <c r="AK51" s="3311"/>
      <c r="AL51" s="3274">
        <f t="shared" ref="AL51:AM52" si="96">AQ51+AV51+BA51+BF51+BK51+BP51+BU51+BZ51+CE51+CJ51+CO51+CT51</f>
        <v>0</v>
      </c>
      <c r="AM51" s="3274">
        <f t="shared" si="96"/>
        <v>0</v>
      </c>
      <c r="AN51" s="2028">
        <f>AL51+AM51*1</f>
        <v>0</v>
      </c>
      <c r="AO51" s="3284">
        <f t="shared" si="95"/>
        <v>0</v>
      </c>
      <c r="AP51" s="3311"/>
      <c r="AQ51" s="3274"/>
      <c r="AR51" s="3274"/>
      <c r="AS51" s="2028">
        <f>AQ51+AR51*1</f>
        <v>0</v>
      </c>
      <c r="AT51" s="3284">
        <f>AS51/$O$89</f>
        <v>0</v>
      </c>
      <c r="AU51" s="3311"/>
      <c r="AV51" s="3274"/>
      <c r="AW51" s="3274"/>
      <c r="AX51" s="2028">
        <f>AV51+AW51*1</f>
        <v>0</v>
      </c>
      <c r="AY51" s="3284">
        <f>AX51/$E$89</f>
        <v>0</v>
      </c>
      <c r="AZ51" s="3311"/>
      <c r="BA51" s="3274"/>
      <c r="BB51" s="3274"/>
      <c r="BC51" s="2028">
        <f>BA51+BB51*1</f>
        <v>0</v>
      </c>
      <c r="BD51" s="3284">
        <f t="shared" si="62"/>
        <v>0</v>
      </c>
      <c r="BE51" s="3311"/>
      <c r="BF51" s="3274"/>
      <c r="BG51" s="3274"/>
      <c r="BH51" s="2028">
        <f>BF51+BG51*1</f>
        <v>0</v>
      </c>
      <c r="BI51" s="3284">
        <f t="shared" si="63"/>
        <v>0</v>
      </c>
      <c r="BJ51" s="3311"/>
      <c r="BK51" s="3274"/>
      <c r="BL51" s="3274"/>
      <c r="BM51" s="2028">
        <f>BK51+BL51*1</f>
        <v>0</v>
      </c>
      <c r="BN51" s="3284">
        <f t="shared" si="64"/>
        <v>0</v>
      </c>
      <c r="BO51" s="3311"/>
      <c r="BP51" s="3274"/>
      <c r="BQ51" s="3274"/>
      <c r="BR51" s="2028">
        <f>BP51+BQ51*1</f>
        <v>0</v>
      </c>
      <c r="BS51" s="3284">
        <f t="shared" si="65"/>
        <v>0</v>
      </c>
      <c r="BT51" s="3311"/>
      <c r="BU51" s="3274"/>
      <c r="BV51" s="3274"/>
      <c r="BW51" s="2028">
        <f>BU51+BV51*1</f>
        <v>0</v>
      </c>
      <c r="BX51" s="3284" t="e">
        <f t="shared" si="66"/>
        <v>#DIV/0!</v>
      </c>
      <c r="BY51" s="3311"/>
      <c r="BZ51" s="3274"/>
      <c r="CA51" s="3274"/>
      <c r="CB51" s="2028">
        <f>BZ51+CA51*1</f>
        <v>0</v>
      </c>
      <c r="CC51" s="3284" t="e">
        <f t="shared" si="67"/>
        <v>#DIV/0!</v>
      </c>
      <c r="CD51" s="3321"/>
      <c r="CE51" s="3274"/>
      <c r="CF51" s="3274"/>
      <c r="CG51" s="2028">
        <f>CE51+CF51*1</f>
        <v>0</v>
      </c>
      <c r="CH51" s="3284" t="e">
        <f t="shared" si="68"/>
        <v>#DIV/0!</v>
      </c>
      <c r="CI51" s="3321"/>
      <c r="CJ51" s="3274"/>
      <c r="CK51" s="3274"/>
      <c r="CL51" s="2028">
        <f>CJ51+CK51*1</f>
        <v>0</v>
      </c>
      <c r="CM51" s="3284" t="e">
        <f t="shared" si="69"/>
        <v>#DIV/0!</v>
      </c>
      <c r="CN51" s="3321"/>
      <c r="CO51" s="3274"/>
      <c r="CP51" s="3274"/>
      <c r="CQ51" s="2028">
        <f>CO51+CP51*1</f>
        <v>0</v>
      </c>
      <c r="CR51" s="3284" t="e">
        <f t="shared" si="70"/>
        <v>#DIV/0!</v>
      </c>
      <c r="CS51" s="3321"/>
      <c r="CT51" s="3274"/>
      <c r="CU51" s="3274"/>
      <c r="CV51" s="2028">
        <f>CT51+CU51*1</f>
        <v>0</v>
      </c>
      <c r="CW51" s="3284" t="e">
        <f t="shared" si="71"/>
        <v>#DIV/0!</v>
      </c>
      <c r="CX51" s="3321"/>
      <c r="CY51" s="3274">
        <f t="shared" ref="CY51:CZ52" si="97">C51+H51+M51+R51+W51+AB51+AQ51+AV51+BA51+BF51+BK51+BP51+BU51+BZ51+CE51+CJ51+CO51+CT51+AG51</f>
        <v>0</v>
      </c>
      <c r="CZ51" s="3274">
        <f t="shared" si="97"/>
        <v>0</v>
      </c>
      <c r="DA51" s="2028">
        <f>CY51+CZ51*1</f>
        <v>0</v>
      </c>
      <c r="DB51" s="3284">
        <f t="shared" si="73"/>
        <v>0</v>
      </c>
      <c r="DC51" s="3311"/>
    </row>
    <row r="52" spans="1:107" ht="13.8" x14ac:dyDescent="0.25">
      <c r="A52" s="1581"/>
      <c r="B52" s="3319" t="s">
        <v>61</v>
      </c>
      <c r="C52" s="3274"/>
      <c r="D52" s="3274"/>
      <c r="E52" s="2028">
        <f>C52+D52*1</f>
        <v>0</v>
      </c>
      <c r="F52" s="3284">
        <f>E52/$E$89</f>
        <v>0</v>
      </c>
      <c r="G52" s="3311"/>
      <c r="H52" s="3274"/>
      <c r="I52" s="3274"/>
      <c r="J52" s="2028">
        <f>H52+I52*1</f>
        <v>0</v>
      </c>
      <c r="K52" s="3284">
        <f>J52/$T$89</f>
        <v>0</v>
      </c>
      <c r="L52" s="3311"/>
      <c r="M52" s="3274"/>
      <c r="N52" s="3274"/>
      <c r="O52" s="2028">
        <f>M52+N52*1</f>
        <v>0</v>
      </c>
      <c r="P52" s="3284">
        <f t="shared" si="2"/>
        <v>0</v>
      </c>
      <c r="Q52" s="3311"/>
      <c r="R52" s="3274"/>
      <c r="S52" s="3274"/>
      <c r="T52" s="2028">
        <f>R52+S52*1</f>
        <v>0</v>
      </c>
      <c r="U52" s="3284">
        <f>T52/$O$89</f>
        <v>0</v>
      </c>
      <c r="V52" s="3311"/>
      <c r="W52" s="3274"/>
      <c r="X52" s="3274"/>
      <c r="Y52" s="2028">
        <f>W52+X52*1</f>
        <v>0</v>
      </c>
      <c r="Z52" s="3284">
        <f>Y52/$O$89</f>
        <v>0</v>
      </c>
      <c r="AA52" s="3311"/>
      <c r="AB52" s="3274"/>
      <c r="AC52" s="3274"/>
      <c r="AD52" s="2028">
        <f>AB52+AC52*1</f>
        <v>0</v>
      </c>
      <c r="AE52" s="3284">
        <f>AD52/$O$89</f>
        <v>0</v>
      </c>
      <c r="AF52" s="3311"/>
      <c r="AG52" s="3274">
        <v>0</v>
      </c>
      <c r="AH52" s="3274">
        <v>0</v>
      </c>
      <c r="AI52" s="2028">
        <v>0</v>
      </c>
      <c r="AJ52" s="3284">
        <v>0</v>
      </c>
      <c r="AK52" s="3311"/>
      <c r="AL52" s="3274">
        <f t="shared" si="96"/>
        <v>0</v>
      </c>
      <c r="AM52" s="3274">
        <f t="shared" si="96"/>
        <v>0</v>
      </c>
      <c r="AN52" s="2028">
        <f>AL52+AM52*1</f>
        <v>0</v>
      </c>
      <c r="AO52" s="3284">
        <f t="shared" si="95"/>
        <v>0</v>
      </c>
      <c r="AP52" s="3311"/>
      <c r="AQ52" s="3274"/>
      <c r="AR52" s="3274"/>
      <c r="AS52" s="2028">
        <f>AQ52+AR52*1</f>
        <v>0</v>
      </c>
      <c r="AT52" s="3284">
        <f>AS52/$O$89</f>
        <v>0</v>
      </c>
      <c r="AU52" s="3311"/>
      <c r="AV52" s="3274"/>
      <c r="AW52" s="3274"/>
      <c r="AX52" s="2028">
        <f>AV52+AW52*1</f>
        <v>0</v>
      </c>
      <c r="AY52" s="3284">
        <f>AX52/$E$89</f>
        <v>0</v>
      </c>
      <c r="AZ52" s="3311"/>
      <c r="BA52" s="3274"/>
      <c r="BB52" s="3274"/>
      <c r="BC52" s="2028">
        <f>BA52+BB52*1</f>
        <v>0</v>
      </c>
      <c r="BD52" s="3284">
        <f t="shared" si="62"/>
        <v>0</v>
      </c>
      <c r="BE52" s="3311"/>
      <c r="BF52" s="3274"/>
      <c r="BG52" s="3274"/>
      <c r="BH52" s="2028">
        <f>BF52+BG52*1</f>
        <v>0</v>
      </c>
      <c r="BI52" s="3284">
        <f t="shared" si="63"/>
        <v>0</v>
      </c>
      <c r="BJ52" s="3311"/>
      <c r="BK52" s="3274"/>
      <c r="BL52" s="3274"/>
      <c r="BM52" s="2028">
        <f>BK52+BL52*1</f>
        <v>0</v>
      </c>
      <c r="BN52" s="3284">
        <f t="shared" si="64"/>
        <v>0</v>
      </c>
      <c r="BO52" s="3311"/>
      <c r="BP52" s="3274"/>
      <c r="BQ52" s="3274"/>
      <c r="BR52" s="2028">
        <f>BP52+BQ52*1</f>
        <v>0</v>
      </c>
      <c r="BS52" s="3284">
        <f t="shared" si="65"/>
        <v>0</v>
      </c>
      <c r="BT52" s="3311"/>
      <c r="BU52" s="3274"/>
      <c r="BV52" s="3274"/>
      <c r="BW52" s="2028">
        <f>BU52+BV52*1</f>
        <v>0</v>
      </c>
      <c r="BX52" s="3284" t="e">
        <f t="shared" si="66"/>
        <v>#DIV/0!</v>
      </c>
      <c r="BY52" s="3311"/>
      <c r="BZ52" s="3274"/>
      <c r="CA52" s="3274"/>
      <c r="CB52" s="2028">
        <f>BZ52+CA52*1</f>
        <v>0</v>
      </c>
      <c r="CC52" s="3284" t="e">
        <f t="shared" si="67"/>
        <v>#DIV/0!</v>
      </c>
      <c r="CD52" s="3321"/>
      <c r="CE52" s="3274"/>
      <c r="CF52" s="3274"/>
      <c r="CG52" s="2028">
        <f>CE52+CF52*1</f>
        <v>0</v>
      </c>
      <c r="CH52" s="3284" t="e">
        <f t="shared" si="68"/>
        <v>#DIV/0!</v>
      </c>
      <c r="CI52" s="3321"/>
      <c r="CJ52" s="3274"/>
      <c r="CK52" s="3274"/>
      <c r="CL52" s="2028">
        <f>CJ52+CK52*1</f>
        <v>0</v>
      </c>
      <c r="CM52" s="3284" t="e">
        <f t="shared" si="69"/>
        <v>#DIV/0!</v>
      </c>
      <c r="CN52" s="3321"/>
      <c r="CO52" s="3274"/>
      <c r="CP52" s="3274"/>
      <c r="CQ52" s="2028">
        <f>CO52+CP52*1</f>
        <v>0</v>
      </c>
      <c r="CR52" s="3284" t="e">
        <f t="shared" si="70"/>
        <v>#DIV/0!</v>
      </c>
      <c r="CS52" s="3321"/>
      <c r="CT52" s="3274"/>
      <c r="CU52" s="3274"/>
      <c r="CV52" s="2028">
        <f>CT52+CU52*1</f>
        <v>0</v>
      </c>
      <c r="CW52" s="3284" t="e">
        <f t="shared" si="71"/>
        <v>#DIV/0!</v>
      </c>
      <c r="CX52" s="3321"/>
      <c r="CY52" s="3274">
        <f t="shared" si="97"/>
        <v>0</v>
      </c>
      <c r="CZ52" s="3274">
        <f t="shared" si="97"/>
        <v>0</v>
      </c>
      <c r="DA52" s="2028">
        <f>CY52+CZ52*1</f>
        <v>0</v>
      </c>
      <c r="DB52" s="3284">
        <f t="shared" si="73"/>
        <v>0</v>
      </c>
      <c r="DC52" s="3311"/>
    </row>
    <row r="53" spans="1:107" ht="14.4" thickBot="1" x14ac:dyDescent="0.3">
      <c r="A53" s="1428"/>
      <c r="B53" s="3322"/>
      <c r="C53" s="3274"/>
      <c r="D53" s="3274"/>
      <c r="E53" s="3227"/>
      <c r="F53" s="3227"/>
      <c r="G53" s="3227"/>
      <c r="H53" s="3274"/>
      <c r="I53" s="3274"/>
      <c r="J53" s="3227"/>
      <c r="K53" s="3227"/>
      <c r="L53" s="3227"/>
      <c r="M53" s="3274"/>
      <c r="N53" s="3274"/>
      <c r="O53" s="3227"/>
      <c r="P53" s="3227"/>
      <c r="Q53" s="3227"/>
      <c r="R53" s="3274"/>
      <c r="S53" s="3274"/>
      <c r="T53" s="3227"/>
      <c r="U53" s="3227"/>
      <c r="V53" s="3227"/>
      <c r="W53" s="3274"/>
      <c r="X53" s="3274"/>
      <c r="Y53" s="3227"/>
      <c r="Z53" s="3227"/>
      <c r="AA53" s="3227"/>
      <c r="AB53" s="3274"/>
      <c r="AC53" s="3274"/>
      <c r="AD53" s="3227"/>
      <c r="AE53" s="3227"/>
      <c r="AF53" s="3227"/>
      <c r="AG53" s="3274"/>
      <c r="AH53" s="3274"/>
      <c r="AI53" s="3227"/>
      <c r="AJ53" s="3227"/>
      <c r="AK53" s="3227"/>
      <c r="AL53" s="3274"/>
      <c r="AM53" s="3274"/>
      <c r="AN53" s="3227"/>
      <c r="AO53" s="3227"/>
      <c r="AP53" s="3227"/>
      <c r="AQ53" s="3274"/>
      <c r="AR53" s="3274"/>
      <c r="AS53" s="3227"/>
      <c r="AT53" s="3227"/>
      <c r="AU53" s="3227"/>
      <c r="AV53" s="3274"/>
      <c r="AW53" s="3274"/>
      <c r="AX53" s="3227"/>
      <c r="AY53" s="3227"/>
      <c r="AZ53" s="3227"/>
      <c r="BA53" s="3274"/>
      <c r="BB53" s="3274"/>
      <c r="BC53" s="3227"/>
      <c r="BD53" s="3227"/>
      <c r="BE53" s="3227"/>
      <c r="BF53" s="3274"/>
      <c r="BG53" s="3274"/>
      <c r="BH53" s="3227"/>
      <c r="BI53" s="3227"/>
      <c r="BJ53" s="3227"/>
      <c r="BK53" s="3274"/>
      <c r="BL53" s="3274"/>
      <c r="BM53" s="3227"/>
      <c r="BN53" s="3227"/>
      <c r="BO53" s="3227"/>
      <c r="BP53" s="3274"/>
      <c r="BQ53" s="3274"/>
      <c r="BR53" s="3227"/>
      <c r="BS53" s="3227"/>
      <c r="BT53" s="3227"/>
      <c r="BU53" s="3274"/>
      <c r="BV53" s="3274"/>
      <c r="BW53" s="3227"/>
      <c r="BX53" s="3227"/>
      <c r="BY53" s="3227"/>
      <c r="BZ53" s="3274"/>
      <c r="CA53" s="3274"/>
      <c r="CB53" s="3227"/>
      <c r="CC53" s="3227"/>
      <c r="CD53" s="1328"/>
      <c r="CE53" s="3274"/>
      <c r="CF53" s="3274"/>
      <c r="CG53" s="3227"/>
      <c r="CH53" s="3227"/>
      <c r="CI53" s="1328"/>
      <c r="CJ53" s="3274"/>
      <c r="CK53" s="3274"/>
      <c r="CL53" s="3227"/>
      <c r="CM53" s="3227"/>
      <c r="CN53" s="1328"/>
      <c r="CO53" s="3274"/>
      <c r="CP53" s="3274"/>
      <c r="CQ53" s="3227"/>
      <c r="CR53" s="3227"/>
      <c r="CS53" s="1328"/>
      <c r="CT53" s="3274"/>
      <c r="CU53" s="3274"/>
      <c r="CV53" s="3227"/>
      <c r="CW53" s="3227"/>
      <c r="CX53" s="1328"/>
      <c r="CY53" s="3274"/>
      <c r="CZ53" s="3274"/>
      <c r="DA53" s="3227"/>
      <c r="DB53" s="3227"/>
      <c r="DC53" s="3227"/>
    </row>
    <row r="54" spans="1:107" ht="13.8" x14ac:dyDescent="0.25">
      <c r="A54" s="1585"/>
      <c r="B54" s="1425" t="s">
        <v>1</v>
      </c>
      <c r="C54" s="2031">
        <f>SUM(C55:C72)</f>
        <v>0</v>
      </c>
      <c r="D54" s="2031">
        <f>SUM(D55:D72)</f>
        <v>10740</v>
      </c>
      <c r="E54" s="2031">
        <f>SUM(E55:E72)</f>
        <v>10740</v>
      </c>
      <c r="F54" s="3318">
        <f t="shared" ref="F54:F71" si="98">E54/$E$89</f>
        <v>6.3571787125809714E-2</v>
      </c>
      <c r="G54" s="2022"/>
      <c r="H54" s="2031">
        <f>SUM(H55:H72)</f>
        <v>0</v>
      </c>
      <c r="I54" s="2031">
        <f>SUM(I55:I72)</f>
        <v>0</v>
      </c>
      <c r="J54" s="2031">
        <f>SUM(J55:J72)</f>
        <v>0</v>
      </c>
      <c r="K54" s="3318">
        <f t="shared" ref="K54:K71" si="99">J54/$T$89</f>
        <v>0</v>
      </c>
      <c r="L54" s="2022"/>
      <c r="M54" s="2031">
        <f>SUM(M55:M72)</f>
        <v>0</v>
      </c>
      <c r="N54" s="2031">
        <f>SUM(N55:N72)</f>
        <v>0</v>
      </c>
      <c r="O54" s="2031">
        <f>SUM(O55:O72)</f>
        <v>0</v>
      </c>
      <c r="P54" s="3318">
        <f t="shared" si="2"/>
        <v>0</v>
      </c>
      <c r="Q54" s="2022"/>
      <c r="R54" s="2031">
        <f>SUM(R55:R72)</f>
        <v>0</v>
      </c>
      <c r="S54" s="2031">
        <f>SUM(S55:S72)</f>
        <v>306.64</v>
      </c>
      <c r="T54" s="2031">
        <f>SUM(T55:T72)</f>
        <v>306.64</v>
      </c>
      <c r="U54" s="3318">
        <f t="shared" ref="U54:U71" si="100">T54/$O$89</f>
        <v>1.6176239149561548E-3</v>
      </c>
      <c r="V54" s="2022"/>
      <c r="W54" s="2031">
        <f>SUM(W55:W72)</f>
        <v>0</v>
      </c>
      <c r="X54" s="2031">
        <f>SUM(X55:X72)</f>
        <v>0</v>
      </c>
      <c r="Y54" s="2031">
        <f>SUM(Y55:Y72)</f>
        <v>0</v>
      </c>
      <c r="Z54" s="3318">
        <f t="shared" ref="Z54:Z71" si="101">Y54/$O$89</f>
        <v>0</v>
      </c>
      <c r="AA54" s="2022"/>
      <c r="AB54" s="2031">
        <f>SUM(AB55:AB72)</f>
        <v>0</v>
      </c>
      <c r="AC54" s="2031">
        <f>SUM(AC55:AC72)</f>
        <v>0</v>
      </c>
      <c r="AD54" s="2031">
        <f>SUM(AD55:AD72)</f>
        <v>0</v>
      </c>
      <c r="AE54" s="3318">
        <f t="shared" ref="AE54:AE71" si="102">AD54/$O$89</f>
        <v>0</v>
      </c>
      <c r="AF54" s="2022"/>
      <c r="AG54" s="2031">
        <v>0</v>
      </c>
      <c r="AH54" s="2031">
        <v>32</v>
      </c>
      <c r="AI54" s="2031">
        <v>32</v>
      </c>
      <c r="AJ54" s="3318">
        <v>1.7755105668203544E-4</v>
      </c>
      <c r="AK54" s="2022"/>
      <c r="AL54" s="2031">
        <f>SUM(AL55:AL72)</f>
        <v>0</v>
      </c>
      <c r="AM54" s="2031">
        <f>SUM(AM55:AM72)</f>
        <v>0</v>
      </c>
      <c r="AN54" s="2031">
        <f>SUM(AN55:AN72)</f>
        <v>0</v>
      </c>
      <c r="AO54" s="3318">
        <f t="shared" ref="AO54:AO71" si="103">AN54/$T$89</f>
        <v>0</v>
      </c>
      <c r="AP54" s="2022"/>
      <c r="AQ54" s="2031">
        <f>SUM(AQ55:AQ72)</f>
        <v>0</v>
      </c>
      <c r="AR54" s="2031">
        <f>SUM(AR55:AR72)</f>
        <v>0</v>
      </c>
      <c r="AS54" s="2031">
        <f>SUM(AS55:AS72)</f>
        <v>0</v>
      </c>
      <c r="AT54" s="3318">
        <f t="shared" ref="AT54:AT71" si="104">AS54/$O$89</f>
        <v>0</v>
      </c>
      <c r="AU54" s="2022"/>
      <c r="AV54" s="2031">
        <f>SUM(AV55:AV72)</f>
        <v>0</v>
      </c>
      <c r="AW54" s="2031">
        <f>SUM(AW55:AW72)</f>
        <v>0</v>
      </c>
      <c r="AX54" s="2031">
        <f>SUM(AX55:AX72)</f>
        <v>0</v>
      </c>
      <c r="AY54" s="3318">
        <f t="shared" ref="AY54:AY71" si="105">AX54/$E$89</f>
        <v>0</v>
      </c>
      <c r="AZ54" s="2022"/>
      <c r="BA54" s="2031">
        <f>SUM(BA55:BA72)</f>
        <v>0</v>
      </c>
      <c r="BB54" s="2031">
        <f>SUM(BB55:BB72)</f>
        <v>0</v>
      </c>
      <c r="BC54" s="2031">
        <f>SUM(BC55:BC72)</f>
        <v>0</v>
      </c>
      <c r="BD54" s="3318">
        <f t="shared" ref="BD54:BD71" si="106">BC54/$AD$89</f>
        <v>0</v>
      </c>
      <c r="BE54" s="2022"/>
      <c r="BF54" s="2031">
        <f>SUM(BF55:BF72)</f>
        <v>0</v>
      </c>
      <c r="BG54" s="2031">
        <f>SUM(BG55:BG72)</f>
        <v>0</v>
      </c>
      <c r="BH54" s="2031">
        <f>SUM(BH55:BH72)</f>
        <v>0</v>
      </c>
      <c r="BI54" s="3318">
        <f t="shared" ref="BI54:BI71" si="107">BH54/$AD$89</f>
        <v>0</v>
      </c>
      <c r="BJ54" s="2022"/>
      <c r="BK54" s="2031">
        <f>SUM(BK55:BK72)</f>
        <v>0</v>
      </c>
      <c r="BL54" s="2031">
        <f>SUM(BL55:BL72)</f>
        <v>0</v>
      </c>
      <c r="BM54" s="2031">
        <f>SUM(BM55:BM72)</f>
        <v>0</v>
      </c>
      <c r="BN54" s="3318">
        <f t="shared" ref="BN54:BN71" si="108">BM54/$AD$89</f>
        <v>0</v>
      </c>
      <c r="BO54" s="2022"/>
      <c r="BP54" s="2031">
        <f>SUM(BP55:BP72)</f>
        <v>0</v>
      </c>
      <c r="BQ54" s="2031">
        <f>SUM(BQ55:BQ72)</f>
        <v>0</v>
      </c>
      <c r="BR54" s="2031">
        <f>SUM(BR55:BR72)</f>
        <v>0</v>
      </c>
      <c r="BS54" s="3318">
        <f t="shared" ref="BS54:BS71" si="109">BR54/$AD$89</f>
        <v>0</v>
      </c>
      <c r="BT54" s="2022"/>
      <c r="BU54" s="2031">
        <f>SUM(BU55:BU72)</f>
        <v>0</v>
      </c>
      <c r="BV54" s="2031">
        <f>SUM(BV55:BV72)</f>
        <v>0</v>
      </c>
      <c r="BW54" s="2031">
        <f>SUM(BW55:BW72)</f>
        <v>0</v>
      </c>
      <c r="BX54" s="3318" t="e">
        <f t="shared" ref="BX54:BX71" si="110">BW54/$AN$89</f>
        <v>#DIV/0!</v>
      </c>
      <c r="BY54" s="2022"/>
      <c r="BZ54" s="2031">
        <f>SUM(BZ55:BZ72)</f>
        <v>0</v>
      </c>
      <c r="CA54" s="2031">
        <f>SUM(CA55:CA72)</f>
        <v>0</v>
      </c>
      <c r="CB54" s="2031">
        <f>SUM(CB55:CB72)</f>
        <v>0</v>
      </c>
      <c r="CC54" s="3318" t="e">
        <f t="shared" ref="CC54:CC71" si="111">CB54/$AN$89</f>
        <v>#DIV/0!</v>
      </c>
      <c r="CD54" s="1460"/>
      <c r="CE54" s="2031">
        <f>SUM(CE55:CE72)</f>
        <v>0</v>
      </c>
      <c r="CF54" s="2031">
        <f>SUM(CF55:CF72)</f>
        <v>0</v>
      </c>
      <c r="CG54" s="2031">
        <f>SUM(CG55:CG72)</f>
        <v>0</v>
      </c>
      <c r="CH54" s="3318" t="e">
        <f t="shared" ref="CH54:CH71" si="112">CG54/$AN$89</f>
        <v>#DIV/0!</v>
      </c>
      <c r="CI54" s="1460"/>
      <c r="CJ54" s="2031">
        <f>SUM(CJ55:CJ72)</f>
        <v>0</v>
      </c>
      <c r="CK54" s="2031">
        <f>SUM(CK55:CK72)</f>
        <v>0</v>
      </c>
      <c r="CL54" s="2031">
        <f>SUM(CL55:CL72)</f>
        <v>0</v>
      </c>
      <c r="CM54" s="3318" t="e">
        <f t="shared" ref="CM54:CM71" si="113">CL54/$AN$89</f>
        <v>#DIV/0!</v>
      </c>
      <c r="CN54" s="1460"/>
      <c r="CO54" s="2031">
        <f>SUM(CO55:CO72)</f>
        <v>0</v>
      </c>
      <c r="CP54" s="2031">
        <f>SUM(CP55:CP72)</f>
        <v>0</v>
      </c>
      <c r="CQ54" s="2031">
        <f>SUM(CQ55:CQ72)</f>
        <v>0</v>
      </c>
      <c r="CR54" s="3318" t="e">
        <f t="shared" ref="CR54:CR71" si="114">CQ54/$AN$89</f>
        <v>#DIV/0!</v>
      </c>
      <c r="CS54" s="1460"/>
      <c r="CT54" s="2031">
        <f>SUM(CT55:CT72)</f>
        <v>0</v>
      </c>
      <c r="CU54" s="2031">
        <f>SUM(CU55:CU72)</f>
        <v>0</v>
      </c>
      <c r="CV54" s="2031">
        <f>SUM(CV55:CV72)</f>
        <v>0</v>
      </c>
      <c r="CW54" s="3318" t="e">
        <f t="shared" ref="CW54:CW71" si="115">CV54/$AN$89</f>
        <v>#DIV/0!</v>
      </c>
      <c r="CX54" s="1460"/>
      <c r="CY54" s="2031">
        <f>SUM(CY55:CY72)</f>
        <v>0</v>
      </c>
      <c r="CZ54" s="2031">
        <f>SUM(CZ55:CZ72)</f>
        <v>11078.64</v>
      </c>
      <c r="DA54" s="2031">
        <f>SUM(DA55:DA72)</f>
        <v>11078.64</v>
      </c>
      <c r="DB54" s="3318">
        <f t="shared" si="73"/>
        <v>4.3278468252149803E-3</v>
      </c>
      <c r="DC54" s="2022"/>
    </row>
    <row r="55" spans="1:107" ht="13.8" x14ac:dyDescent="0.25">
      <c r="A55" s="1586"/>
      <c r="B55" s="3310" t="s">
        <v>77</v>
      </c>
      <c r="C55" s="3283"/>
      <c r="D55" s="3283"/>
      <c r="E55" s="2028">
        <f t="shared" ref="E55:E71" si="116">C55+D55*1</f>
        <v>0</v>
      </c>
      <c r="F55" s="3284">
        <f t="shared" si="98"/>
        <v>0</v>
      </c>
      <c r="G55" s="3295"/>
      <c r="H55" s="3283"/>
      <c r="I55" s="3283"/>
      <c r="J55" s="2028">
        <f t="shared" ref="J55:J71" si="117">H55+I55*1</f>
        <v>0</v>
      </c>
      <c r="K55" s="3284">
        <f t="shared" si="99"/>
        <v>0</v>
      </c>
      <c r="L55" s="3295"/>
      <c r="M55" s="3283"/>
      <c r="N55" s="3283"/>
      <c r="O55" s="2028">
        <f t="shared" ref="O55:O71" si="118">M55+N55*1</f>
        <v>0</v>
      </c>
      <c r="P55" s="3284">
        <f t="shared" si="2"/>
        <v>0</v>
      </c>
      <c r="Q55" s="3295"/>
      <c r="R55" s="3283"/>
      <c r="S55" s="3283"/>
      <c r="T55" s="2028">
        <f t="shared" ref="T55:T71" si="119">R55+S55*1</f>
        <v>0</v>
      </c>
      <c r="U55" s="3284">
        <f t="shared" si="100"/>
        <v>0</v>
      </c>
      <c r="V55" s="3295"/>
      <c r="W55" s="3283"/>
      <c r="X55" s="3283"/>
      <c r="Y55" s="2028">
        <f t="shared" ref="Y55:Y71" si="120">W55+X55*1</f>
        <v>0</v>
      </c>
      <c r="Z55" s="3284">
        <f t="shared" si="101"/>
        <v>0</v>
      </c>
      <c r="AA55" s="3295"/>
      <c r="AB55" s="3283"/>
      <c r="AC55" s="3283"/>
      <c r="AD55" s="2028">
        <f t="shared" ref="AD55:AD71" si="121">AB55+AC55*1</f>
        <v>0</v>
      </c>
      <c r="AE55" s="3284">
        <f t="shared" si="102"/>
        <v>0</v>
      </c>
      <c r="AF55" s="3295"/>
      <c r="AG55" s="3274">
        <v>0</v>
      </c>
      <c r="AH55" s="3274">
        <v>0</v>
      </c>
      <c r="AI55" s="2028">
        <v>0</v>
      </c>
      <c r="AJ55" s="3284">
        <v>0</v>
      </c>
      <c r="AK55" s="3295"/>
      <c r="AL55" s="3274">
        <f t="shared" ref="AL55:AM71" si="122">AQ55+AV55+BA55+BF55+BK55+BP55+BU55+BZ55+CE55+CJ55+CO55+CT55</f>
        <v>0</v>
      </c>
      <c r="AM55" s="3274">
        <f t="shared" si="122"/>
        <v>0</v>
      </c>
      <c r="AN55" s="2028">
        <f t="shared" ref="AN55:AN71" si="123">AL55+AM55*1</f>
        <v>0</v>
      </c>
      <c r="AO55" s="3284">
        <f t="shared" si="103"/>
        <v>0</v>
      </c>
      <c r="AP55" s="3295"/>
      <c r="AQ55" s="3283"/>
      <c r="AR55" s="3283"/>
      <c r="AS55" s="2028">
        <f t="shared" ref="AS55:AS71" si="124">AQ55+AR55*1</f>
        <v>0</v>
      </c>
      <c r="AT55" s="3284">
        <f t="shared" si="104"/>
        <v>0</v>
      </c>
      <c r="AU55" s="3295"/>
      <c r="AV55" s="3283"/>
      <c r="AW55" s="3283"/>
      <c r="AX55" s="2028">
        <f t="shared" ref="AX55:AX71" si="125">AV55+AW55*1</f>
        <v>0</v>
      </c>
      <c r="AY55" s="3284">
        <f t="shared" si="105"/>
        <v>0</v>
      </c>
      <c r="AZ55" s="3295"/>
      <c r="BA55" s="3283"/>
      <c r="BB55" s="3283"/>
      <c r="BC55" s="2028">
        <f t="shared" ref="BC55:BC71" si="126">BA55+BB55*1</f>
        <v>0</v>
      </c>
      <c r="BD55" s="3284">
        <f t="shared" si="106"/>
        <v>0</v>
      </c>
      <c r="BE55" s="3295"/>
      <c r="BF55" s="3283"/>
      <c r="BG55" s="3283"/>
      <c r="BH55" s="2028">
        <f t="shared" ref="BH55:BH71" si="127">BF55+BG55*1</f>
        <v>0</v>
      </c>
      <c r="BI55" s="3284">
        <f t="shared" si="107"/>
        <v>0</v>
      </c>
      <c r="BJ55" s="3295"/>
      <c r="BK55" s="3283"/>
      <c r="BL55" s="3283"/>
      <c r="BM55" s="2028">
        <f t="shared" ref="BM55:BM71" si="128">BK55+BL55*1</f>
        <v>0</v>
      </c>
      <c r="BN55" s="3284">
        <f t="shared" si="108"/>
        <v>0</v>
      </c>
      <c r="BO55" s="3295"/>
      <c r="BP55" s="3283"/>
      <c r="BQ55" s="3283"/>
      <c r="BR55" s="2028">
        <f t="shared" ref="BR55:BR71" si="129">BP55+BQ55*1</f>
        <v>0</v>
      </c>
      <c r="BS55" s="3284">
        <f t="shared" si="109"/>
        <v>0</v>
      </c>
      <c r="BT55" s="3295"/>
      <c r="BU55" s="3283"/>
      <c r="BV55" s="3283"/>
      <c r="BW55" s="2028">
        <f t="shared" ref="BW55:BW71" si="130">BU55+BV55*1</f>
        <v>0</v>
      </c>
      <c r="BX55" s="3284" t="e">
        <f t="shared" si="110"/>
        <v>#DIV/0!</v>
      </c>
      <c r="BY55" s="3295"/>
      <c r="BZ55" s="3283"/>
      <c r="CA55" s="3283"/>
      <c r="CB55" s="2028">
        <f t="shared" ref="CB55:CB71" si="131">BZ55+CA55*1</f>
        <v>0</v>
      </c>
      <c r="CC55" s="3284" t="e">
        <f t="shared" si="111"/>
        <v>#DIV/0!</v>
      </c>
      <c r="CD55" s="1449"/>
      <c r="CE55" s="3283"/>
      <c r="CF55" s="3283"/>
      <c r="CG55" s="2028">
        <f t="shared" ref="CG55:CG71" si="132">CE55+CF55*1</f>
        <v>0</v>
      </c>
      <c r="CH55" s="3284" t="e">
        <f t="shared" si="112"/>
        <v>#DIV/0!</v>
      </c>
      <c r="CI55" s="1449"/>
      <c r="CJ55" s="3283"/>
      <c r="CK55" s="3283"/>
      <c r="CL55" s="2028">
        <f t="shared" ref="CL55:CL71" si="133">CJ55+CK55*1</f>
        <v>0</v>
      </c>
      <c r="CM55" s="3284" t="e">
        <f t="shared" si="113"/>
        <v>#DIV/0!</v>
      </c>
      <c r="CN55" s="1449"/>
      <c r="CO55" s="3283"/>
      <c r="CP55" s="3283"/>
      <c r="CQ55" s="2028">
        <f t="shared" ref="CQ55:CQ71" si="134">CO55+CP55*1</f>
        <v>0</v>
      </c>
      <c r="CR55" s="3284" t="e">
        <f t="shared" si="114"/>
        <v>#DIV/0!</v>
      </c>
      <c r="CS55" s="1449"/>
      <c r="CT55" s="3283"/>
      <c r="CU55" s="3283"/>
      <c r="CV55" s="2028">
        <f t="shared" ref="CV55:CV71" si="135">CT55+CU55*1</f>
        <v>0</v>
      </c>
      <c r="CW55" s="3284" t="e">
        <f t="shared" si="115"/>
        <v>#DIV/0!</v>
      </c>
      <c r="CX55" s="1449"/>
      <c r="CY55" s="3274">
        <f t="shared" ref="CY55:CZ71" si="136">C55+H55+M55+R55+W55+AB55+AQ55+AV55+BA55+BF55+BK55+BP55+BU55+BZ55+CE55+CJ55+CO55+CT55+AG55</f>
        <v>0</v>
      </c>
      <c r="CZ55" s="3274">
        <f t="shared" si="136"/>
        <v>0</v>
      </c>
      <c r="DA55" s="2028">
        <f t="shared" ref="DA55:DA71" si="137">CY55+CZ55*1</f>
        <v>0</v>
      </c>
      <c r="DB55" s="3284">
        <f t="shared" si="73"/>
        <v>0</v>
      </c>
      <c r="DC55" s="3295"/>
    </row>
    <row r="56" spans="1:107" ht="13.8" x14ac:dyDescent="0.25">
      <c r="A56" s="1586"/>
      <c r="B56" s="3310" t="s">
        <v>76</v>
      </c>
      <c r="C56" s="3283"/>
      <c r="D56" s="3283"/>
      <c r="E56" s="2028">
        <f t="shared" si="116"/>
        <v>0</v>
      </c>
      <c r="F56" s="3284">
        <f t="shared" si="98"/>
        <v>0</v>
      </c>
      <c r="G56" s="3295"/>
      <c r="H56" s="3283"/>
      <c r="I56" s="3283"/>
      <c r="J56" s="2028">
        <f t="shared" si="117"/>
        <v>0</v>
      </c>
      <c r="K56" s="3284">
        <f t="shared" si="99"/>
        <v>0</v>
      </c>
      <c r="L56" s="3295"/>
      <c r="M56" s="3283"/>
      <c r="N56" s="3283"/>
      <c r="O56" s="2028">
        <f t="shared" si="118"/>
        <v>0</v>
      </c>
      <c r="P56" s="3284">
        <f t="shared" si="2"/>
        <v>0</v>
      </c>
      <c r="Q56" s="3295"/>
      <c r="R56" s="3283"/>
      <c r="S56" s="3283"/>
      <c r="T56" s="2028">
        <f t="shared" si="119"/>
        <v>0</v>
      </c>
      <c r="U56" s="3284">
        <f t="shared" si="100"/>
        <v>0</v>
      </c>
      <c r="V56" s="3295"/>
      <c r="W56" s="3283"/>
      <c r="X56" s="3283"/>
      <c r="Y56" s="2028">
        <f t="shared" si="120"/>
        <v>0</v>
      </c>
      <c r="Z56" s="3284">
        <f t="shared" si="101"/>
        <v>0</v>
      </c>
      <c r="AA56" s="3295"/>
      <c r="AB56" s="3283"/>
      <c r="AC56" s="3283"/>
      <c r="AD56" s="2028">
        <f t="shared" si="121"/>
        <v>0</v>
      </c>
      <c r="AE56" s="3284">
        <f t="shared" si="102"/>
        <v>0</v>
      </c>
      <c r="AF56" s="3295"/>
      <c r="AG56" s="3274">
        <v>0</v>
      </c>
      <c r="AH56" s="3274">
        <v>0</v>
      </c>
      <c r="AI56" s="2028">
        <v>0</v>
      </c>
      <c r="AJ56" s="3284">
        <v>0</v>
      </c>
      <c r="AK56" s="3295"/>
      <c r="AL56" s="3274">
        <f t="shared" si="122"/>
        <v>0</v>
      </c>
      <c r="AM56" s="3274">
        <f t="shared" si="122"/>
        <v>0</v>
      </c>
      <c r="AN56" s="2028">
        <f t="shared" si="123"/>
        <v>0</v>
      </c>
      <c r="AO56" s="3284">
        <f t="shared" si="103"/>
        <v>0</v>
      </c>
      <c r="AP56" s="3295"/>
      <c r="AQ56" s="3283"/>
      <c r="AR56" s="3283"/>
      <c r="AS56" s="2028">
        <f t="shared" si="124"/>
        <v>0</v>
      </c>
      <c r="AT56" s="3284">
        <f t="shared" si="104"/>
        <v>0</v>
      </c>
      <c r="AU56" s="3295"/>
      <c r="AV56" s="3283"/>
      <c r="AW56" s="3283"/>
      <c r="AX56" s="2028">
        <f t="shared" si="125"/>
        <v>0</v>
      </c>
      <c r="AY56" s="3284">
        <f t="shared" si="105"/>
        <v>0</v>
      </c>
      <c r="AZ56" s="3295"/>
      <c r="BA56" s="3283"/>
      <c r="BB56" s="3283"/>
      <c r="BC56" s="2028">
        <f t="shared" si="126"/>
        <v>0</v>
      </c>
      <c r="BD56" s="3284">
        <f t="shared" si="106"/>
        <v>0</v>
      </c>
      <c r="BE56" s="3295"/>
      <c r="BF56" s="3283"/>
      <c r="BG56" s="3283"/>
      <c r="BH56" s="2028">
        <f t="shared" si="127"/>
        <v>0</v>
      </c>
      <c r="BI56" s="3284">
        <f t="shared" si="107"/>
        <v>0</v>
      </c>
      <c r="BJ56" s="3295"/>
      <c r="BK56" s="3283"/>
      <c r="BL56" s="3283"/>
      <c r="BM56" s="2028">
        <f t="shared" si="128"/>
        <v>0</v>
      </c>
      <c r="BN56" s="3284">
        <f t="shared" si="108"/>
        <v>0</v>
      </c>
      <c r="BO56" s="3295"/>
      <c r="BP56" s="3283"/>
      <c r="BQ56" s="3283"/>
      <c r="BR56" s="2028">
        <f t="shared" si="129"/>
        <v>0</v>
      </c>
      <c r="BS56" s="3284">
        <f t="shared" si="109"/>
        <v>0</v>
      </c>
      <c r="BT56" s="3295"/>
      <c r="BU56" s="3283"/>
      <c r="BV56" s="3283"/>
      <c r="BW56" s="2028">
        <f t="shared" si="130"/>
        <v>0</v>
      </c>
      <c r="BX56" s="3284" t="e">
        <f t="shared" si="110"/>
        <v>#DIV/0!</v>
      </c>
      <c r="BY56" s="3295"/>
      <c r="BZ56" s="3283"/>
      <c r="CA56" s="3283"/>
      <c r="CB56" s="2028">
        <f t="shared" si="131"/>
        <v>0</v>
      </c>
      <c r="CC56" s="3284" t="e">
        <f t="shared" si="111"/>
        <v>#DIV/0!</v>
      </c>
      <c r="CD56" s="1449"/>
      <c r="CE56" s="3283"/>
      <c r="CF56" s="3283"/>
      <c r="CG56" s="2028">
        <f t="shared" si="132"/>
        <v>0</v>
      </c>
      <c r="CH56" s="3284" t="e">
        <f t="shared" si="112"/>
        <v>#DIV/0!</v>
      </c>
      <c r="CI56" s="1449"/>
      <c r="CJ56" s="3283"/>
      <c r="CK56" s="3283"/>
      <c r="CL56" s="2028">
        <f t="shared" si="133"/>
        <v>0</v>
      </c>
      <c r="CM56" s="3284" t="e">
        <f t="shared" si="113"/>
        <v>#DIV/0!</v>
      </c>
      <c r="CN56" s="1449"/>
      <c r="CO56" s="3283"/>
      <c r="CP56" s="3283"/>
      <c r="CQ56" s="2028">
        <f t="shared" si="134"/>
        <v>0</v>
      </c>
      <c r="CR56" s="3284" t="e">
        <f t="shared" si="114"/>
        <v>#DIV/0!</v>
      </c>
      <c r="CS56" s="1449"/>
      <c r="CT56" s="3283"/>
      <c r="CU56" s="3283"/>
      <c r="CV56" s="2028">
        <f t="shared" si="135"/>
        <v>0</v>
      </c>
      <c r="CW56" s="3284" t="e">
        <f t="shared" si="115"/>
        <v>#DIV/0!</v>
      </c>
      <c r="CX56" s="1449"/>
      <c r="CY56" s="3274">
        <f t="shared" si="136"/>
        <v>0</v>
      </c>
      <c r="CZ56" s="3274">
        <f t="shared" si="136"/>
        <v>0</v>
      </c>
      <c r="DA56" s="2028">
        <f t="shared" si="137"/>
        <v>0</v>
      </c>
      <c r="DB56" s="3284">
        <f t="shared" si="73"/>
        <v>0</v>
      </c>
      <c r="DC56" s="3295"/>
    </row>
    <row r="57" spans="1:107" ht="13.8" x14ac:dyDescent="0.25">
      <c r="A57" s="1586"/>
      <c r="B57" s="3310" t="s">
        <v>68</v>
      </c>
      <c r="C57" s="3283"/>
      <c r="D57" s="3283"/>
      <c r="E57" s="2028">
        <f t="shared" si="116"/>
        <v>0</v>
      </c>
      <c r="F57" s="3284">
        <f t="shared" si="98"/>
        <v>0</v>
      </c>
      <c r="G57" s="3295"/>
      <c r="H57" s="3283"/>
      <c r="I57" s="3283"/>
      <c r="J57" s="2028">
        <f t="shared" si="117"/>
        <v>0</v>
      </c>
      <c r="K57" s="3284">
        <f t="shared" si="99"/>
        <v>0</v>
      </c>
      <c r="L57" s="3295"/>
      <c r="M57" s="3283"/>
      <c r="N57" s="3283"/>
      <c r="O57" s="2028">
        <f t="shared" si="118"/>
        <v>0</v>
      </c>
      <c r="P57" s="3284">
        <f t="shared" si="2"/>
        <v>0</v>
      </c>
      <c r="Q57" s="3295"/>
      <c r="R57" s="3283"/>
      <c r="S57" s="3283"/>
      <c r="T57" s="2028">
        <f t="shared" si="119"/>
        <v>0</v>
      </c>
      <c r="U57" s="3284">
        <f t="shared" si="100"/>
        <v>0</v>
      </c>
      <c r="V57" s="3295"/>
      <c r="W57" s="3283"/>
      <c r="X57" s="3283"/>
      <c r="Y57" s="2028">
        <f t="shared" si="120"/>
        <v>0</v>
      </c>
      <c r="Z57" s="3284">
        <f t="shared" si="101"/>
        <v>0</v>
      </c>
      <c r="AA57" s="3295"/>
      <c r="AB57" s="3283"/>
      <c r="AC57" s="3283"/>
      <c r="AD57" s="2028">
        <f t="shared" si="121"/>
        <v>0</v>
      </c>
      <c r="AE57" s="3284">
        <f t="shared" si="102"/>
        <v>0</v>
      </c>
      <c r="AF57" s="3295"/>
      <c r="AG57" s="3274">
        <v>0</v>
      </c>
      <c r="AH57" s="3274">
        <v>0</v>
      </c>
      <c r="AI57" s="2028">
        <v>0</v>
      </c>
      <c r="AJ57" s="3284">
        <v>0</v>
      </c>
      <c r="AK57" s="3295"/>
      <c r="AL57" s="3274">
        <f t="shared" si="122"/>
        <v>0</v>
      </c>
      <c r="AM57" s="3274">
        <f t="shared" si="122"/>
        <v>0</v>
      </c>
      <c r="AN57" s="2028">
        <f t="shared" si="123"/>
        <v>0</v>
      </c>
      <c r="AO57" s="3284">
        <f t="shared" si="103"/>
        <v>0</v>
      </c>
      <c r="AP57" s="3295"/>
      <c r="AQ57" s="3283"/>
      <c r="AR57" s="3283"/>
      <c r="AS57" s="2028">
        <f t="shared" si="124"/>
        <v>0</v>
      </c>
      <c r="AT57" s="3284">
        <f t="shared" si="104"/>
        <v>0</v>
      </c>
      <c r="AU57" s="3295"/>
      <c r="AV57" s="3283"/>
      <c r="AW57" s="3283"/>
      <c r="AX57" s="2028">
        <f t="shared" si="125"/>
        <v>0</v>
      </c>
      <c r="AY57" s="3284">
        <f t="shared" si="105"/>
        <v>0</v>
      </c>
      <c r="AZ57" s="3295"/>
      <c r="BA57" s="3283"/>
      <c r="BB57" s="3283"/>
      <c r="BC57" s="2028">
        <f t="shared" si="126"/>
        <v>0</v>
      </c>
      <c r="BD57" s="3284">
        <f t="shared" si="106"/>
        <v>0</v>
      </c>
      <c r="BE57" s="3295"/>
      <c r="BF57" s="3283"/>
      <c r="BG57" s="3283"/>
      <c r="BH57" s="2028">
        <f t="shared" si="127"/>
        <v>0</v>
      </c>
      <c r="BI57" s="3284">
        <f t="shared" si="107"/>
        <v>0</v>
      </c>
      <c r="BJ57" s="3295"/>
      <c r="BK57" s="3283"/>
      <c r="BL57" s="3283"/>
      <c r="BM57" s="2028">
        <f t="shared" si="128"/>
        <v>0</v>
      </c>
      <c r="BN57" s="3284">
        <f t="shared" si="108"/>
        <v>0</v>
      </c>
      <c r="BO57" s="3295"/>
      <c r="BP57" s="3283"/>
      <c r="BQ57" s="3283"/>
      <c r="BR57" s="2028">
        <f t="shared" si="129"/>
        <v>0</v>
      </c>
      <c r="BS57" s="3284">
        <f t="shared" si="109"/>
        <v>0</v>
      </c>
      <c r="BT57" s="3295"/>
      <c r="BU57" s="3283"/>
      <c r="BV57" s="3283"/>
      <c r="BW57" s="2028">
        <f t="shared" si="130"/>
        <v>0</v>
      </c>
      <c r="BX57" s="3284" t="e">
        <f t="shared" si="110"/>
        <v>#DIV/0!</v>
      </c>
      <c r="BY57" s="3295"/>
      <c r="BZ57" s="3283"/>
      <c r="CA57" s="3283"/>
      <c r="CB57" s="2028">
        <f t="shared" si="131"/>
        <v>0</v>
      </c>
      <c r="CC57" s="3284" t="e">
        <f t="shared" si="111"/>
        <v>#DIV/0!</v>
      </c>
      <c r="CD57" s="1449"/>
      <c r="CE57" s="3283"/>
      <c r="CF57" s="3283"/>
      <c r="CG57" s="2028">
        <f t="shared" si="132"/>
        <v>0</v>
      </c>
      <c r="CH57" s="3284" t="e">
        <f t="shared" si="112"/>
        <v>#DIV/0!</v>
      </c>
      <c r="CI57" s="1449"/>
      <c r="CJ57" s="3283"/>
      <c r="CK57" s="3283"/>
      <c r="CL57" s="2028">
        <f t="shared" si="133"/>
        <v>0</v>
      </c>
      <c r="CM57" s="3284" t="e">
        <f t="shared" si="113"/>
        <v>#DIV/0!</v>
      </c>
      <c r="CN57" s="1449"/>
      <c r="CO57" s="3283"/>
      <c r="CP57" s="3283"/>
      <c r="CQ57" s="2028">
        <f t="shared" si="134"/>
        <v>0</v>
      </c>
      <c r="CR57" s="3284" t="e">
        <f t="shared" si="114"/>
        <v>#DIV/0!</v>
      </c>
      <c r="CS57" s="1449"/>
      <c r="CT57" s="3283"/>
      <c r="CU57" s="3283"/>
      <c r="CV57" s="2028">
        <f t="shared" si="135"/>
        <v>0</v>
      </c>
      <c r="CW57" s="3284" t="e">
        <f t="shared" si="115"/>
        <v>#DIV/0!</v>
      </c>
      <c r="CX57" s="1449"/>
      <c r="CY57" s="3274">
        <f t="shared" si="136"/>
        <v>0</v>
      </c>
      <c r="CZ57" s="3274">
        <f t="shared" si="136"/>
        <v>0</v>
      </c>
      <c r="DA57" s="2028">
        <f t="shared" si="137"/>
        <v>0</v>
      </c>
      <c r="DB57" s="3284">
        <f t="shared" si="73"/>
        <v>0</v>
      </c>
      <c r="DC57" s="3295"/>
    </row>
    <row r="58" spans="1:107" ht="13.8" x14ac:dyDescent="0.25">
      <c r="A58" s="1586"/>
      <c r="B58" s="3310" t="s">
        <v>67</v>
      </c>
      <c r="C58" s="3283"/>
      <c r="D58" s="3283"/>
      <c r="E58" s="2028">
        <f t="shared" si="116"/>
        <v>0</v>
      </c>
      <c r="F58" s="3284">
        <f t="shared" si="98"/>
        <v>0</v>
      </c>
      <c r="G58" s="3295"/>
      <c r="H58" s="3283"/>
      <c r="I58" s="3283"/>
      <c r="J58" s="2028">
        <f t="shared" si="117"/>
        <v>0</v>
      </c>
      <c r="K58" s="3284">
        <f t="shared" si="99"/>
        <v>0</v>
      </c>
      <c r="L58" s="3295"/>
      <c r="M58" s="3283"/>
      <c r="N58" s="3283"/>
      <c r="O58" s="2028">
        <f t="shared" si="118"/>
        <v>0</v>
      </c>
      <c r="P58" s="3284">
        <f t="shared" si="2"/>
        <v>0</v>
      </c>
      <c r="Q58" s="3295"/>
      <c r="R58" s="3283"/>
      <c r="S58" s="3283"/>
      <c r="T58" s="2028">
        <f t="shared" si="119"/>
        <v>0</v>
      </c>
      <c r="U58" s="3284">
        <f t="shared" si="100"/>
        <v>0</v>
      </c>
      <c r="V58" s="3295"/>
      <c r="W58" s="3283"/>
      <c r="X58" s="3283"/>
      <c r="Y58" s="2028">
        <f t="shared" si="120"/>
        <v>0</v>
      </c>
      <c r="Z58" s="3284">
        <f t="shared" si="101"/>
        <v>0</v>
      </c>
      <c r="AA58" s="3295"/>
      <c r="AB58" s="3283"/>
      <c r="AC58" s="3283"/>
      <c r="AD58" s="2028">
        <f t="shared" si="121"/>
        <v>0</v>
      </c>
      <c r="AE58" s="3284">
        <f t="shared" si="102"/>
        <v>0</v>
      </c>
      <c r="AF58" s="3295"/>
      <c r="AG58" s="3274">
        <v>0</v>
      </c>
      <c r="AH58" s="3274">
        <v>0</v>
      </c>
      <c r="AI58" s="2028">
        <v>0</v>
      </c>
      <c r="AJ58" s="3284">
        <v>0</v>
      </c>
      <c r="AK58" s="3295"/>
      <c r="AL58" s="3274">
        <f t="shared" si="122"/>
        <v>0</v>
      </c>
      <c r="AM58" s="3274">
        <f t="shared" si="122"/>
        <v>0</v>
      </c>
      <c r="AN58" s="2028">
        <f t="shared" si="123"/>
        <v>0</v>
      </c>
      <c r="AO58" s="3284">
        <f t="shared" si="103"/>
        <v>0</v>
      </c>
      <c r="AP58" s="3295"/>
      <c r="AQ58" s="3283"/>
      <c r="AR58" s="3283"/>
      <c r="AS58" s="2028">
        <f t="shared" si="124"/>
        <v>0</v>
      </c>
      <c r="AT58" s="3284">
        <f t="shared" si="104"/>
        <v>0</v>
      </c>
      <c r="AU58" s="3295"/>
      <c r="AV58" s="3283"/>
      <c r="AW58" s="3283"/>
      <c r="AX58" s="2028">
        <f t="shared" si="125"/>
        <v>0</v>
      </c>
      <c r="AY58" s="3284">
        <f t="shared" si="105"/>
        <v>0</v>
      </c>
      <c r="AZ58" s="3295"/>
      <c r="BA58" s="3283"/>
      <c r="BB58" s="3283"/>
      <c r="BC58" s="2028">
        <f t="shared" si="126"/>
        <v>0</v>
      </c>
      <c r="BD58" s="3284">
        <f t="shared" si="106"/>
        <v>0</v>
      </c>
      <c r="BE58" s="3295"/>
      <c r="BF58" s="3283"/>
      <c r="BG58" s="3283"/>
      <c r="BH58" s="2028">
        <f t="shared" si="127"/>
        <v>0</v>
      </c>
      <c r="BI58" s="3284">
        <f t="shared" si="107"/>
        <v>0</v>
      </c>
      <c r="BJ58" s="3295"/>
      <c r="BK58" s="3283"/>
      <c r="BL58" s="3283"/>
      <c r="BM58" s="2028">
        <f t="shared" si="128"/>
        <v>0</v>
      </c>
      <c r="BN58" s="3284">
        <f t="shared" si="108"/>
        <v>0</v>
      </c>
      <c r="BO58" s="3295"/>
      <c r="BP58" s="3283"/>
      <c r="BQ58" s="3283"/>
      <c r="BR58" s="2028">
        <f t="shared" si="129"/>
        <v>0</v>
      </c>
      <c r="BS58" s="3284">
        <f t="shared" si="109"/>
        <v>0</v>
      </c>
      <c r="BT58" s="3295"/>
      <c r="BU58" s="3283"/>
      <c r="BV58" s="3283"/>
      <c r="BW58" s="2028">
        <f t="shared" si="130"/>
        <v>0</v>
      </c>
      <c r="BX58" s="3284" t="e">
        <f t="shared" si="110"/>
        <v>#DIV/0!</v>
      </c>
      <c r="BY58" s="3295"/>
      <c r="BZ58" s="3283"/>
      <c r="CA58" s="3283"/>
      <c r="CB58" s="2028">
        <f t="shared" si="131"/>
        <v>0</v>
      </c>
      <c r="CC58" s="3284" t="e">
        <f t="shared" si="111"/>
        <v>#DIV/0!</v>
      </c>
      <c r="CD58" s="1449"/>
      <c r="CE58" s="3283"/>
      <c r="CF58" s="3283"/>
      <c r="CG58" s="2028">
        <f t="shared" si="132"/>
        <v>0</v>
      </c>
      <c r="CH58" s="3284" t="e">
        <f t="shared" si="112"/>
        <v>#DIV/0!</v>
      </c>
      <c r="CI58" s="1449"/>
      <c r="CJ58" s="3283"/>
      <c r="CK58" s="3283"/>
      <c r="CL58" s="2028">
        <f t="shared" si="133"/>
        <v>0</v>
      </c>
      <c r="CM58" s="3284" t="e">
        <f t="shared" si="113"/>
        <v>#DIV/0!</v>
      </c>
      <c r="CN58" s="1449"/>
      <c r="CO58" s="3283"/>
      <c r="CP58" s="3283"/>
      <c r="CQ58" s="2028">
        <f t="shared" si="134"/>
        <v>0</v>
      </c>
      <c r="CR58" s="3284" t="e">
        <f t="shared" si="114"/>
        <v>#DIV/0!</v>
      </c>
      <c r="CS58" s="1449"/>
      <c r="CT58" s="3283"/>
      <c r="CU58" s="3283"/>
      <c r="CV58" s="2028">
        <f t="shared" si="135"/>
        <v>0</v>
      </c>
      <c r="CW58" s="3284" t="e">
        <f t="shared" si="115"/>
        <v>#DIV/0!</v>
      </c>
      <c r="CX58" s="1449"/>
      <c r="CY58" s="3274">
        <f t="shared" si="136"/>
        <v>0</v>
      </c>
      <c r="CZ58" s="3274">
        <f t="shared" si="136"/>
        <v>0</v>
      </c>
      <c r="DA58" s="2028">
        <f t="shared" si="137"/>
        <v>0</v>
      </c>
      <c r="DB58" s="3284">
        <f t="shared" si="73"/>
        <v>0</v>
      </c>
      <c r="DC58" s="3295"/>
    </row>
    <row r="59" spans="1:107" ht="13.8" x14ac:dyDescent="0.25">
      <c r="A59" s="1586"/>
      <c r="B59" s="3310" t="s">
        <v>66</v>
      </c>
      <c r="C59" s="3283"/>
      <c r="D59" s="3283"/>
      <c r="E59" s="2028">
        <f t="shared" si="116"/>
        <v>0</v>
      </c>
      <c r="F59" s="3284">
        <f t="shared" si="98"/>
        <v>0</v>
      </c>
      <c r="G59" s="3295"/>
      <c r="H59" s="3283"/>
      <c r="I59" s="3283"/>
      <c r="J59" s="2028">
        <f t="shared" si="117"/>
        <v>0</v>
      </c>
      <c r="K59" s="3284">
        <f t="shared" si="99"/>
        <v>0</v>
      </c>
      <c r="L59" s="3295"/>
      <c r="M59" s="3283"/>
      <c r="N59" s="3283"/>
      <c r="O59" s="2028">
        <f t="shared" si="118"/>
        <v>0</v>
      </c>
      <c r="P59" s="3284">
        <f t="shared" si="2"/>
        <v>0</v>
      </c>
      <c r="Q59" s="3295"/>
      <c r="R59" s="3283"/>
      <c r="S59" s="3283"/>
      <c r="T59" s="2028">
        <f t="shared" si="119"/>
        <v>0</v>
      </c>
      <c r="U59" s="3284">
        <f t="shared" si="100"/>
        <v>0</v>
      </c>
      <c r="V59" s="3295"/>
      <c r="W59" s="3283"/>
      <c r="X59" s="3283"/>
      <c r="Y59" s="2028">
        <f t="shared" si="120"/>
        <v>0</v>
      </c>
      <c r="Z59" s="3284">
        <f t="shared" si="101"/>
        <v>0</v>
      </c>
      <c r="AA59" s="3295"/>
      <c r="AB59" s="3283"/>
      <c r="AC59" s="3283"/>
      <c r="AD59" s="2028">
        <f t="shared" si="121"/>
        <v>0</v>
      </c>
      <c r="AE59" s="3284">
        <f t="shared" si="102"/>
        <v>0</v>
      </c>
      <c r="AF59" s="3295"/>
      <c r="AG59" s="3274">
        <v>0</v>
      </c>
      <c r="AH59" s="3274">
        <v>0</v>
      </c>
      <c r="AI59" s="2028">
        <v>0</v>
      </c>
      <c r="AJ59" s="3284">
        <v>0</v>
      </c>
      <c r="AK59" s="3295"/>
      <c r="AL59" s="3274">
        <f t="shared" si="122"/>
        <v>0</v>
      </c>
      <c r="AM59" s="3274">
        <f t="shared" si="122"/>
        <v>0</v>
      </c>
      <c r="AN59" s="2028">
        <f t="shared" si="123"/>
        <v>0</v>
      </c>
      <c r="AO59" s="3284">
        <f t="shared" si="103"/>
        <v>0</v>
      </c>
      <c r="AP59" s="3295"/>
      <c r="AQ59" s="3283"/>
      <c r="AR59" s="3283"/>
      <c r="AS59" s="2028">
        <f t="shared" si="124"/>
        <v>0</v>
      </c>
      <c r="AT59" s="3284">
        <f t="shared" si="104"/>
        <v>0</v>
      </c>
      <c r="AU59" s="3295"/>
      <c r="AV59" s="3283"/>
      <c r="AW59" s="3283"/>
      <c r="AX59" s="2028">
        <f t="shared" si="125"/>
        <v>0</v>
      </c>
      <c r="AY59" s="3284">
        <f t="shared" si="105"/>
        <v>0</v>
      </c>
      <c r="AZ59" s="3295"/>
      <c r="BA59" s="3283"/>
      <c r="BB59" s="3283"/>
      <c r="BC59" s="2028">
        <f t="shared" si="126"/>
        <v>0</v>
      </c>
      <c r="BD59" s="3284">
        <f t="shared" si="106"/>
        <v>0</v>
      </c>
      <c r="BE59" s="3295"/>
      <c r="BF59" s="3283"/>
      <c r="BG59" s="3283"/>
      <c r="BH59" s="2028">
        <f t="shared" si="127"/>
        <v>0</v>
      </c>
      <c r="BI59" s="3284">
        <f t="shared" si="107"/>
        <v>0</v>
      </c>
      <c r="BJ59" s="3295"/>
      <c r="BK59" s="3283"/>
      <c r="BL59" s="3283"/>
      <c r="BM59" s="2028">
        <f t="shared" si="128"/>
        <v>0</v>
      </c>
      <c r="BN59" s="3284">
        <f t="shared" si="108"/>
        <v>0</v>
      </c>
      <c r="BO59" s="3295"/>
      <c r="BP59" s="3283"/>
      <c r="BQ59" s="3283"/>
      <c r="BR59" s="2028">
        <f t="shared" si="129"/>
        <v>0</v>
      </c>
      <c r="BS59" s="3284">
        <f t="shared" si="109"/>
        <v>0</v>
      </c>
      <c r="BT59" s="3295"/>
      <c r="BU59" s="3283"/>
      <c r="BV59" s="3283"/>
      <c r="BW59" s="2028">
        <f t="shared" si="130"/>
        <v>0</v>
      </c>
      <c r="BX59" s="3284" t="e">
        <f t="shared" si="110"/>
        <v>#DIV/0!</v>
      </c>
      <c r="BY59" s="3295"/>
      <c r="BZ59" s="3283"/>
      <c r="CA59" s="3283"/>
      <c r="CB59" s="2028">
        <f t="shared" si="131"/>
        <v>0</v>
      </c>
      <c r="CC59" s="3284" t="e">
        <f t="shared" si="111"/>
        <v>#DIV/0!</v>
      </c>
      <c r="CD59" s="1449"/>
      <c r="CE59" s="3283"/>
      <c r="CF59" s="3283"/>
      <c r="CG59" s="2028">
        <f t="shared" si="132"/>
        <v>0</v>
      </c>
      <c r="CH59" s="3284" t="e">
        <f t="shared" si="112"/>
        <v>#DIV/0!</v>
      </c>
      <c r="CI59" s="1449"/>
      <c r="CJ59" s="3283"/>
      <c r="CK59" s="3283"/>
      <c r="CL59" s="2028">
        <f t="shared" si="133"/>
        <v>0</v>
      </c>
      <c r="CM59" s="3284" t="e">
        <f t="shared" si="113"/>
        <v>#DIV/0!</v>
      </c>
      <c r="CN59" s="1449"/>
      <c r="CO59" s="3283"/>
      <c r="CP59" s="3283"/>
      <c r="CQ59" s="2028">
        <f t="shared" si="134"/>
        <v>0</v>
      </c>
      <c r="CR59" s="3284" t="e">
        <f t="shared" si="114"/>
        <v>#DIV/0!</v>
      </c>
      <c r="CS59" s="1449"/>
      <c r="CT59" s="3283"/>
      <c r="CU59" s="3283"/>
      <c r="CV59" s="2028">
        <f t="shared" si="135"/>
        <v>0</v>
      </c>
      <c r="CW59" s="3284" t="e">
        <f t="shared" si="115"/>
        <v>#DIV/0!</v>
      </c>
      <c r="CX59" s="1449"/>
      <c r="CY59" s="3274">
        <f t="shared" si="136"/>
        <v>0</v>
      </c>
      <c r="CZ59" s="3274">
        <f t="shared" si="136"/>
        <v>0</v>
      </c>
      <c r="DA59" s="2028">
        <f t="shared" si="137"/>
        <v>0</v>
      </c>
      <c r="DB59" s="3284">
        <f t="shared" si="73"/>
        <v>0</v>
      </c>
      <c r="DC59" s="3295"/>
    </row>
    <row r="60" spans="1:107" ht="13.8" x14ac:dyDescent="0.25">
      <c r="A60" s="1586"/>
      <c r="B60" s="3382" t="s">
        <v>65</v>
      </c>
      <c r="C60" s="3283"/>
      <c r="D60" s="3283"/>
      <c r="E60" s="2028">
        <f t="shared" si="116"/>
        <v>0</v>
      </c>
      <c r="F60" s="3284">
        <f t="shared" si="98"/>
        <v>0</v>
      </c>
      <c r="G60" s="3295"/>
      <c r="H60" s="3283"/>
      <c r="I60" s="3283"/>
      <c r="J60" s="2028">
        <f t="shared" si="117"/>
        <v>0</v>
      </c>
      <c r="K60" s="3284">
        <f t="shared" si="99"/>
        <v>0</v>
      </c>
      <c r="L60" s="3295"/>
      <c r="M60" s="3283"/>
      <c r="N60" s="3283"/>
      <c r="O60" s="2028">
        <f t="shared" si="118"/>
        <v>0</v>
      </c>
      <c r="P60" s="3284">
        <f t="shared" si="2"/>
        <v>0</v>
      </c>
      <c r="Q60" s="3295"/>
      <c r="R60" s="3283"/>
      <c r="S60" s="3283"/>
      <c r="T60" s="2028">
        <f t="shared" si="119"/>
        <v>0</v>
      </c>
      <c r="U60" s="3284">
        <f t="shared" si="100"/>
        <v>0</v>
      </c>
      <c r="V60" s="3295"/>
      <c r="W60" s="3283"/>
      <c r="X60" s="3283"/>
      <c r="Y60" s="2028">
        <f t="shared" si="120"/>
        <v>0</v>
      </c>
      <c r="Z60" s="3284">
        <f t="shared" si="101"/>
        <v>0</v>
      </c>
      <c r="AA60" s="3295"/>
      <c r="AB60" s="3283"/>
      <c r="AC60" s="3283"/>
      <c r="AD60" s="2028">
        <f t="shared" si="121"/>
        <v>0</v>
      </c>
      <c r="AE60" s="3284">
        <f t="shared" si="102"/>
        <v>0</v>
      </c>
      <c r="AF60" s="3295"/>
      <c r="AG60" s="3274">
        <v>0</v>
      </c>
      <c r="AH60" s="3274">
        <v>0</v>
      </c>
      <c r="AI60" s="2028">
        <v>0</v>
      </c>
      <c r="AJ60" s="3284">
        <v>0</v>
      </c>
      <c r="AK60" s="3295"/>
      <c r="AL60" s="3274">
        <f t="shared" si="122"/>
        <v>0</v>
      </c>
      <c r="AM60" s="3274">
        <f t="shared" si="122"/>
        <v>0</v>
      </c>
      <c r="AN60" s="2028">
        <f t="shared" si="123"/>
        <v>0</v>
      </c>
      <c r="AO60" s="3284">
        <f t="shared" si="103"/>
        <v>0</v>
      </c>
      <c r="AP60" s="3295"/>
      <c r="AQ60" s="3283"/>
      <c r="AR60" s="3283"/>
      <c r="AS60" s="2028">
        <f t="shared" si="124"/>
        <v>0</v>
      </c>
      <c r="AT60" s="3284">
        <f t="shared" si="104"/>
        <v>0</v>
      </c>
      <c r="AU60" s="3295"/>
      <c r="AV60" s="3283"/>
      <c r="AW60" s="3283"/>
      <c r="AX60" s="2028">
        <f t="shared" si="125"/>
        <v>0</v>
      </c>
      <c r="AY60" s="3284">
        <f t="shared" si="105"/>
        <v>0</v>
      </c>
      <c r="AZ60" s="3295"/>
      <c r="BA60" s="3283"/>
      <c r="BB60" s="3283"/>
      <c r="BC60" s="2028">
        <f t="shared" si="126"/>
        <v>0</v>
      </c>
      <c r="BD60" s="3284">
        <f t="shared" si="106"/>
        <v>0</v>
      </c>
      <c r="BE60" s="3295"/>
      <c r="BF60" s="3283"/>
      <c r="BG60" s="3283"/>
      <c r="BH60" s="2028">
        <f t="shared" si="127"/>
        <v>0</v>
      </c>
      <c r="BI60" s="3284">
        <f t="shared" si="107"/>
        <v>0</v>
      </c>
      <c r="BJ60" s="3295"/>
      <c r="BK60" s="3283"/>
      <c r="BL60" s="3283"/>
      <c r="BM60" s="2028">
        <f t="shared" si="128"/>
        <v>0</v>
      </c>
      <c r="BN60" s="3284">
        <f t="shared" si="108"/>
        <v>0</v>
      </c>
      <c r="BO60" s="3295"/>
      <c r="BP60" s="3283"/>
      <c r="BQ60" s="3283"/>
      <c r="BR60" s="2028">
        <f t="shared" si="129"/>
        <v>0</v>
      </c>
      <c r="BS60" s="3284">
        <f t="shared" si="109"/>
        <v>0</v>
      </c>
      <c r="BT60" s="3295"/>
      <c r="BU60" s="3283"/>
      <c r="BV60" s="3283"/>
      <c r="BW60" s="2028">
        <f t="shared" si="130"/>
        <v>0</v>
      </c>
      <c r="BX60" s="3284" t="e">
        <f t="shared" si="110"/>
        <v>#DIV/0!</v>
      </c>
      <c r="BY60" s="3295"/>
      <c r="BZ60" s="3283"/>
      <c r="CA60" s="3283"/>
      <c r="CB60" s="2028">
        <f t="shared" si="131"/>
        <v>0</v>
      </c>
      <c r="CC60" s="3284" t="e">
        <f t="shared" si="111"/>
        <v>#DIV/0!</v>
      </c>
      <c r="CD60" s="1449"/>
      <c r="CE60" s="3283"/>
      <c r="CF60" s="3283"/>
      <c r="CG60" s="2028">
        <f t="shared" si="132"/>
        <v>0</v>
      </c>
      <c r="CH60" s="3284" t="e">
        <f t="shared" si="112"/>
        <v>#DIV/0!</v>
      </c>
      <c r="CI60" s="1449"/>
      <c r="CJ60" s="3283"/>
      <c r="CK60" s="3283"/>
      <c r="CL60" s="2028">
        <f t="shared" si="133"/>
        <v>0</v>
      </c>
      <c r="CM60" s="3284" t="e">
        <f t="shared" si="113"/>
        <v>#DIV/0!</v>
      </c>
      <c r="CN60" s="1449"/>
      <c r="CO60" s="3283"/>
      <c r="CP60" s="3283"/>
      <c r="CQ60" s="2028">
        <f t="shared" si="134"/>
        <v>0</v>
      </c>
      <c r="CR60" s="3284" t="e">
        <f t="shared" si="114"/>
        <v>#DIV/0!</v>
      </c>
      <c r="CS60" s="1449"/>
      <c r="CT60" s="3283"/>
      <c r="CU60" s="3283"/>
      <c r="CV60" s="2028">
        <f t="shared" si="135"/>
        <v>0</v>
      </c>
      <c r="CW60" s="3284" t="e">
        <f t="shared" si="115"/>
        <v>#DIV/0!</v>
      </c>
      <c r="CX60" s="1449"/>
      <c r="CY60" s="3274">
        <f t="shared" si="136"/>
        <v>0</v>
      </c>
      <c r="CZ60" s="3274">
        <f t="shared" si="136"/>
        <v>0</v>
      </c>
      <c r="DA60" s="2028">
        <f t="shared" si="137"/>
        <v>0</v>
      </c>
      <c r="DB60" s="3284">
        <f t="shared" si="73"/>
        <v>0</v>
      </c>
      <c r="DC60" s="3295"/>
    </row>
    <row r="61" spans="1:107" ht="13.8" x14ac:dyDescent="0.25">
      <c r="A61" s="1586"/>
      <c r="B61" s="3382" t="s">
        <v>32</v>
      </c>
      <c r="C61" s="3283"/>
      <c r="D61" s="3283"/>
      <c r="E61" s="2028">
        <f t="shared" si="116"/>
        <v>0</v>
      </c>
      <c r="F61" s="3284">
        <f t="shared" si="98"/>
        <v>0</v>
      </c>
      <c r="G61" s="3295"/>
      <c r="H61" s="3283"/>
      <c r="I61" s="3283"/>
      <c r="J61" s="2028">
        <f t="shared" si="117"/>
        <v>0</v>
      </c>
      <c r="K61" s="3284">
        <f t="shared" si="99"/>
        <v>0</v>
      </c>
      <c r="L61" s="3295"/>
      <c r="M61" s="3283"/>
      <c r="N61" s="3283"/>
      <c r="O61" s="2028">
        <f t="shared" si="118"/>
        <v>0</v>
      </c>
      <c r="P61" s="3284">
        <f t="shared" si="2"/>
        <v>0</v>
      </c>
      <c r="Q61" s="3295"/>
      <c r="R61" s="3283"/>
      <c r="S61" s="3283"/>
      <c r="T61" s="2028">
        <f t="shared" si="119"/>
        <v>0</v>
      </c>
      <c r="U61" s="3284">
        <f t="shared" si="100"/>
        <v>0</v>
      </c>
      <c r="V61" s="3295"/>
      <c r="W61" s="3283"/>
      <c r="X61" s="3283"/>
      <c r="Y61" s="2028">
        <f t="shared" si="120"/>
        <v>0</v>
      </c>
      <c r="Z61" s="3284">
        <f t="shared" si="101"/>
        <v>0</v>
      </c>
      <c r="AA61" s="3295"/>
      <c r="AB61" s="3283"/>
      <c r="AC61" s="3283"/>
      <c r="AD61" s="2028">
        <f t="shared" si="121"/>
        <v>0</v>
      </c>
      <c r="AE61" s="3284">
        <f t="shared" si="102"/>
        <v>0</v>
      </c>
      <c r="AF61" s="3295"/>
      <c r="AG61" s="3274">
        <v>0</v>
      </c>
      <c r="AH61" s="3274">
        <v>0</v>
      </c>
      <c r="AI61" s="2028">
        <v>0</v>
      </c>
      <c r="AJ61" s="3284">
        <v>0</v>
      </c>
      <c r="AK61" s="3276"/>
      <c r="AL61" s="3274">
        <f t="shared" si="122"/>
        <v>0</v>
      </c>
      <c r="AM61" s="3274">
        <f t="shared" si="122"/>
        <v>0</v>
      </c>
      <c r="AN61" s="2028">
        <f t="shared" si="123"/>
        <v>0</v>
      </c>
      <c r="AO61" s="3284">
        <f t="shared" si="103"/>
        <v>0</v>
      </c>
      <c r="AP61" s="3276"/>
      <c r="AQ61" s="3283"/>
      <c r="AR61" s="3283"/>
      <c r="AS61" s="2028">
        <f t="shared" si="124"/>
        <v>0</v>
      </c>
      <c r="AT61" s="3284">
        <f t="shared" si="104"/>
        <v>0</v>
      </c>
      <c r="AU61" s="3295"/>
      <c r="AV61" s="3283"/>
      <c r="AW61" s="3283"/>
      <c r="AX61" s="2028">
        <f t="shared" si="125"/>
        <v>0</v>
      </c>
      <c r="AY61" s="3284">
        <f t="shared" si="105"/>
        <v>0</v>
      </c>
      <c r="AZ61" s="3295"/>
      <c r="BA61" s="3283"/>
      <c r="BB61" s="3283"/>
      <c r="BC61" s="2028">
        <f t="shared" si="126"/>
        <v>0</v>
      </c>
      <c r="BD61" s="3284">
        <f t="shared" si="106"/>
        <v>0</v>
      </c>
      <c r="BE61" s="3295"/>
      <c r="BF61" s="3283"/>
      <c r="BG61" s="3283"/>
      <c r="BH61" s="2028">
        <f t="shared" si="127"/>
        <v>0</v>
      </c>
      <c r="BI61" s="3284">
        <f t="shared" si="107"/>
        <v>0</v>
      </c>
      <c r="BJ61" s="3295"/>
      <c r="BK61" s="3283"/>
      <c r="BL61" s="3283"/>
      <c r="BM61" s="2028">
        <f t="shared" si="128"/>
        <v>0</v>
      </c>
      <c r="BN61" s="3284">
        <f t="shared" si="108"/>
        <v>0</v>
      </c>
      <c r="BO61" s="3295"/>
      <c r="BP61" s="3283"/>
      <c r="BQ61" s="3283"/>
      <c r="BR61" s="2028">
        <f t="shared" si="129"/>
        <v>0</v>
      </c>
      <c r="BS61" s="3284">
        <f t="shared" si="109"/>
        <v>0</v>
      </c>
      <c r="BT61" s="3295"/>
      <c r="BU61" s="3283"/>
      <c r="BV61" s="3283"/>
      <c r="BW61" s="2028">
        <f t="shared" si="130"/>
        <v>0</v>
      </c>
      <c r="BX61" s="3284" t="e">
        <f t="shared" si="110"/>
        <v>#DIV/0!</v>
      </c>
      <c r="BY61" s="3295"/>
      <c r="BZ61" s="3283"/>
      <c r="CA61" s="3283"/>
      <c r="CB61" s="2028">
        <f t="shared" si="131"/>
        <v>0</v>
      </c>
      <c r="CC61" s="3284" t="e">
        <f t="shared" si="111"/>
        <v>#DIV/0!</v>
      </c>
      <c r="CD61" s="1449"/>
      <c r="CE61" s="3283"/>
      <c r="CF61" s="3283"/>
      <c r="CG61" s="2028">
        <f t="shared" si="132"/>
        <v>0</v>
      </c>
      <c r="CH61" s="3284" t="e">
        <f t="shared" si="112"/>
        <v>#DIV/0!</v>
      </c>
      <c r="CI61" s="1449"/>
      <c r="CJ61" s="3283"/>
      <c r="CK61" s="3283"/>
      <c r="CL61" s="2028">
        <f t="shared" si="133"/>
        <v>0</v>
      </c>
      <c r="CM61" s="3284" t="e">
        <f t="shared" si="113"/>
        <v>#DIV/0!</v>
      </c>
      <c r="CN61" s="1449"/>
      <c r="CO61" s="3283"/>
      <c r="CP61" s="3283"/>
      <c r="CQ61" s="2028">
        <f t="shared" si="134"/>
        <v>0</v>
      </c>
      <c r="CR61" s="3284" t="e">
        <f t="shared" si="114"/>
        <v>#DIV/0!</v>
      </c>
      <c r="CS61" s="1449"/>
      <c r="CT61" s="3283"/>
      <c r="CU61" s="3283"/>
      <c r="CV61" s="2028">
        <f t="shared" si="135"/>
        <v>0</v>
      </c>
      <c r="CW61" s="3284" t="e">
        <f t="shared" si="115"/>
        <v>#DIV/0!</v>
      </c>
      <c r="CX61" s="1449"/>
      <c r="CY61" s="3274">
        <f t="shared" si="136"/>
        <v>0</v>
      </c>
      <c r="CZ61" s="3274">
        <f t="shared" si="136"/>
        <v>0</v>
      </c>
      <c r="DA61" s="2028">
        <f t="shared" si="137"/>
        <v>0</v>
      </c>
      <c r="DB61" s="3284">
        <f t="shared" si="73"/>
        <v>0</v>
      </c>
      <c r="DC61" s="3295"/>
    </row>
    <row r="62" spans="1:107" ht="13.8" x14ac:dyDescent="0.25">
      <c r="A62" s="1586"/>
      <c r="B62" s="3382" t="s">
        <v>33</v>
      </c>
      <c r="C62" s="3283"/>
      <c r="D62" s="3283"/>
      <c r="E62" s="2028">
        <f t="shared" si="116"/>
        <v>0</v>
      </c>
      <c r="F62" s="3284">
        <f t="shared" si="98"/>
        <v>0</v>
      </c>
      <c r="G62" s="3295"/>
      <c r="H62" s="3283"/>
      <c r="I62" s="3283"/>
      <c r="J62" s="2028">
        <f t="shared" si="117"/>
        <v>0</v>
      </c>
      <c r="K62" s="3284">
        <f t="shared" si="99"/>
        <v>0</v>
      </c>
      <c r="L62" s="3295"/>
      <c r="M62" s="3283"/>
      <c r="N62" s="3283"/>
      <c r="O62" s="2028">
        <f t="shared" si="118"/>
        <v>0</v>
      </c>
      <c r="P62" s="3284">
        <f t="shared" si="2"/>
        <v>0</v>
      </c>
      <c r="Q62" s="3295"/>
      <c r="R62" s="3283"/>
      <c r="S62" s="3283"/>
      <c r="T62" s="2028">
        <f t="shared" si="119"/>
        <v>0</v>
      </c>
      <c r="U62" s="3284">
        <f t="shared" si="100"/>
        <v>0</v>
      </c>
      <c r="V62" s="3295"/>
      <c r="W62" s="3283"/>
      <c r="X62" s="3283"/>
      <c r="Y62" s="2028">
        <f t="shared" si="120"/>
        <v>0</v>
      </c>
      <c r="Z62" s="3284">
        <f t="shared" si="101"/>
        <v>0</v>
      </c>
      <c r="AA62" s="3295"/>
      <c r="AB62" s="3283"/>
      <c r="AC62" s="3283"/>
      <c r="AD62" s="2028">
        <f t="shared" si="121"/>
        <v>0</v>
      </c>
      <c r="AE62" s="3284">
        <f t="shared" si="102"/>
        <v>0</v>
      </c>
      <c r="AF62" s="3295"/>
      <c r="AG62" s="3274">
        <v>0</v>
      </c>
      <c r="AH62" s="3274">
        <v>0</v>
      </c>
      <c r="AI62" s="2028">
        <v>0</v>
      </c>
      <c r="AJ62" s="3284">
        <v>0</v>
      </c>
      <c r="AK62" s="3276"/>
      <c r="AL62" s="3274">
        <f t="shared" si="122"/>
        <v>0</v>
      </c>
      <c r="AM62" s="3274">
        <f t="shared" si="122"/>
        <v>0</v>
      </c>
      <c r="AN62" s="2028">
        <f t="shared" si="123"/>
        <v>0</v>
      </c>
      <c r="AO62" s="3284">
        <f t="shared" si="103"/>
        <v>0</v>
      </c>
      <c r="AP62" s="3276"/>
      <c r="AQ62" s="3283"/>
      <c r="AR62" s="3283"/>
      <c r="AS62" s="2028">
        <f t="shared" si="124"/>
        <v>0</v>
      </c>
      <c r="AT62" s="3284">
        <f t="shared" si="104"/>
        <v>0</v>
      </c>
      <c r="AU62" s="3295"/>
      <c r="AV62" s="3283"/>
      <c r="AW62" s="3283"/>
      <c r="AX62" s="2028">
        <f t="shared" si="125"/>
        <v>0</v>
      </c>
      <c r="AY62" s="3284">
        <f t="shared" si="105"/>
        <v>0</v>
      </c>
      <c r="AZ62" s="3295"/>
      <c r="BA62" s="3283"/>
      <c r="BB62" s="3283"/>
      <c r="BC62" s="2028">
        <f t="shared" si="126"/>
        <v>0</v>
      </c>
      <c r="BD62" s="3284">
        <f t="shared" si="106"/>
        <v>0</v>
      </c>
      <c r="BE62" s="3295"/>
      <c r="BF62" s="3283"/>
      <c r="BG62" s="3283"/>
      <c r="BH62" s="2028">
        <f t="shared" si="127"/>
        <v>0</v>
      </c>
      <c r="BI62" s="3284">
        <f t="shared" si="107"/>
        <v>0</v>
      </c>
      <c r="BJ62" s="3295"/>
      <c r="BK62" s="3283"/>
      <c r="BL62" s="3283"/>
      <c r="BM62" s="2028">
        <f t="shared" si="128"/>
        <v>0</v>
      </c>
      <c r="BN62" s="3284">
        <f t="shared" si="108"/>
        <v>0</v>
      </c>
      <c r="BO62" s="3295"/>
      <c r="BP62" s="3283"/>
      <c r="BQ62" s="3283"/>
      <c r="BR62" s="2028">
        <f t="shared" si="129"/>
        <v>0</v>
      </c>
      <c r="BS62" s="3284">
        <f t="shared" si="109"/>
        <v>0</v>
      </c>
      <c r="BT62" s="3295"/>
      <c r="BU62" s="3283"/>
      <c r="BV62" s="3283"/>
      <c r="BW62" s="2028">
        <f t="shared" si="130"/>
        <v>0</v>
      </c>
      <c r="BX62" s="3284" t="e">
        <f t="shared" si="110"/>
        <v>#DIV/0!</v>
      </c>
      <c r="BY62" s="3295"/>
      <c r="BZ62" s="3283"/>
      <c r="CA62" s="3283"/>
      <c r="CB62" s="2028">
        <f t="shared" si="131"/>
        <v>0</v>
      </c>
      <c r="CC62" s="3284" t="e">
        <f t="shared" si="111"/>
        <v>#DIV/0!</v>
      </c>
      <c r="CD62" s="1449"/>
      <c r="CE62" s="3283"/>
      <c r="CF62" s="3283"/>
      <c r="CG62" s="2028">
        <f t="shared" si="132"/>
        <v>0</v>
      </c>
      <c r="CH62" s="3284" t="e">
        <f t="shared" si="112"/>
        <v>#DIV/0!</v>
      </c>
      <c r="CI62" s="1449"/>
      <c r="CJ62" s="3283"/>
      <c r="CK62" s="3283"/>
      <c r="CL62" s="2028">
        <f t="shared" si="133"/>
        <v>0</v>
      </c>
      <c r="CM62" s="3284" t="e">
        <f t="shared" si="113"/>
        <v>#DIV/0!</v>
      </c>
      <c r="CN62" s="1449"/>
      <c r="CO62" s="3283"/>
      <c r="CP62" s="3283"/>
      <c r="CQ62" s="2028">
        <f t="shared" si="134"/>
        <v>0</v>
      </c>
      <c r="CR62" s="3284" t="e">
        <f t="shared" si="114"/>
        <v>#DIV/0!</v>
      </c>
      <c r="CS62" s="1449"/>
      <c r="CT62" s="3283"/>
      <c r="CU62" s="3283"/>
      <c r="CV62" s="2028">
        <f t="shared" si="135"/>
        <v>0</v>
      </c>
      <c r="CW62" s="3284" t="e">
        <f t="shared" si="115"/>
        <v>#DIV/0!</v>
      </c>
      <c r="CX62" s="1449"/>
      <c r="CY62" s="3274">
        <f t="shared" si="136"/>
        <v>0</v>
      </c>
      <c r="CZ62" s="3274">
        <f t="shared" si="136"/>
        <v>0</v>
      </c>
      <c r="DA62" s="2028">
        <f t="shared" si="137"/>
        <v>0</v>
      </c>
      <c r="DB62" s="3284">
        <f t="shared" si="73"/>
        <v>0</v>
      </c>
      <c r="DC62" s="3295"/>
    </row>
    <row r="63" spans="1:107" ht="13.8" x14ac:dyDescent="0.25">
      <c r="A63" s="1586"/>
      <c r="B63" s="3382" t="s">
        <v>35</v>
      </c>
      <c r="C63" s="3283"/>
      <c r="D63" s="3283"/>
      <c r="E63" s="2028">
        <f t="shared" si="116"/>
        <v>0</v>
      </c>
      <c r="F63" s="3284">
        <f t="shared" si="98"/>
        <v>0</v>
      </c>
      <c r="G63" s="3295"/>
      <c r="H63" s="3283"/>
      <c r="I63" s="3283"/>
      <c r="J63" s="2028">
        <f t="shared" si="117"/>
        <v>0</v>
      </c>
      <c r="K63" s="3284">
        <f t="shared" si="99"/>
        <v>0</v>
      </c>
      <c r="L63" s="3295"/>
      <c r="M63" s="3283"/>
      <c r="N63" s="3283"/>
      <c r="O63" s="2028">
        <f t="shared" si="118"/>
        <v>0</v>
      </c>
      <c r="P63" s="3284">
        <f t="shared" si="2"/>
        <v>0</v>
      </c>
      <c r="Q63" s="3295"/>
      <c r="R63" s="3283"/>
      <c r="S63" s="3283"/>
      <c r="T63" s="2028">
        <f t="shared" si="119"/>
        <v>0</v>
      </c>
      <c r="U63" s="3284">
        <f t="shared" si="100"/>
        <v>0</v>
      </c>
      <c r="V63" s="3295"/>
      <c r="W63" s="3283"/>
      <c r="X63" s="3283"/>
      <c r="Y63" s="2028">
        <f t="shared" si="120"/>
        <v>0</v>
      </c>
      <c r="Z63" s="3284">
        <f t="shared" si="101"/>
        <v>0</v>
      </c>
      <c r="AA63" s="3295"/>
      <c r="AB63" s="3283"/>
      <c r="AC63" s="3283"/>
      <c r="AD63" s="2028">
        <f t="shared" si="121"/>
        <v>0</v>
      </c>
      <c r="AE63" s="3284">
        <f t="shared" si="102"/>
        <v>0</v>
      </c>
      <c r="AF63" s="3295"/>
      <c r="AG63" s="3274">
        <v>0</v>
      </c>
      <c r="AH63" s="3274">
        <v>0</v>
      </c>
      <c r="AI63" s="2028">
        <v>0</v>
      </c>
      <c r="AJ63" s="3284">
        <v>0</v>
      </c>
      <c r="AK63" s="3276"/>
      <c r="AL63" s="3274">
        <f t="shared" si="122"/>
        <v>0</v>
      </c>
      <c r="AM63" s="3274">
        <f t="shared" si="122"/>
        <v>0</v>
      </c>
      <c r="AN63" s="2028">
        <f t="shared" si="123"/>
        <v>0</v>
      </c>
      <c r="AO63" s="3284">
        <f t="shared" si="103"/>
        <v>0</v>
      </c>
      <c r="AP63" s="3276"/>
      <c r="AQ63" s="3283"/>
      <c r="AR63" s="3283"/>
      <c r="AS63" s="2028">
        <f t="shared" si="124"/>
        <v>0</v>
      </c>
      <c r="AT63" s="3284">
        <f t="shared" si="104"/>
        <v>0</v>
      </c>
      <c r="AU63" s="3295"/>
      <c r="AV63" s="3283"/>
      <c r="AW63" s="3283"/>
      <c r="AX63" s="2028">
        <f t="shared" si="125"/>
        <v>0</v>
      </c>
      <c r="AY63" s="3284">
        <f t="shared" si="105"/>
        <v>0</v>
      </c>
      <c r="AZ63" s="3295"/>
      <c r="BA63" s="3283"/>
      <c r="BB63" s="3283"/>
      <c r="BC63" s="2028">
        <f t="shared" si="126"/>
        <v>0</v>
      </c>
      <c r="BD63" s="3284">
        <f t="shared" si="106"/>
        <v>0</v>
      </c>
      <c r="BE63" s="3295"/>
      <c r="BF63" s="3283"/>
      <c r="BG63" s="3283"/>
      <c r="BH63" s="2028">
        <f t="shared" si="127"/>
        <v>0</v>
      </c>
      <c r="BI63" s="3284">
        <f t="shared" si="107"/>
        <v>0</v>
      </c>
      <c r="BJ63" s="3295"/>
      <c r="BK63" s="3283"/>
      <c r="BL63" s="3283"/>
      <c r="BM63" s="2028">
        <f t="shared" si="128"/>
        <v>0</v>
      </c>
      <c r="BN63" s="3284">
        <f t="shared" si="108"/>
        <v>0</v>
      </c>
      <c r="BO63" s="3295"/>
      <c r="BP63" s="3283"/>
      <c r="BQ63" s="3283"/>
      <c r="BR63" s="2028">
        <f t="shared" si="129"/>
        <v>0</v>
      </c>
      <c r="BS63" s="3284">
        <f t="shared" si="109"/>
        <v>0</v>
      </c>
      <c r="BT63" s="3295"/>
      <c r="BU63" s="3283"/>
      <c r="BV63" s="3283"/>
      <c r="BW63" s="2028">
        <f t="shared" si="130"/>
        <v>0</v>
      </c>
      <c r="BX63" s="3284" t="e">
        <f t="shared" si="110"/>
        <v>#DIV/0!</v>
      </c>
      <c r="BY63" s="3295"/>
      <c r="BZ63" s="3283"/>
      <c r="CA63" s="3283"/>
      <c r="CB63" s="2028">
        <f t="shared" si="131"/>
        <v>0</v>
      </c>
      <c r="CC63" s="3284" t="e">
        <f t="shared" si="111"/>
        <v>#DIV/0!</v>
      </c>
      <c r="CD63" s="1449"/>
      <c r="CE63" s="3283"/>
      <c r="CF63" s="3283"/>
      <c r="CG63" s="2028">
        <f t="shared" si="132"/>
        <v>0</v>
      </c>
      <c r="CH63" s="3284" t="e">
        <f t="shared" si="112"/>
        <v>#DIV/0!</v>
      </c>
      <c r="CI63" s="1449"/>
      <c r="CJ63" s="3283"/>
      <c r="CK63" s="3283"/>
      <c r="CL63" s="2028">
        <f t="shared" si="133"/>
        <v>0</v>
      </c>
      <c r="CM63" s="3284" t="e">
        <f t="shared" si="113"/>
        <v>#DIV/0!</v>
      </c>
      <c r="CN63" s="1449"/>
      <c r="CO63" s="3283"/>
      <c r="CP63" s="3283"/>
      <c r="CQ63" s="2028">
        <f t="shared" si="134"/>
        <v>0</v>
      </c>
      <c r="CR63" s="3284" t="e">
        <f t="shared" si="114"/>
        <v>#DIV/0!</v>
      </c>
      <c r="CS63" s="1449"/>
      <c r="CT63" s="3283"/>
      <c r="CU63" s="3283"/>
      <c r="CV63" s="2028">
        <f t="shared" si="135"/>
        <v>0</v>
      </c>
      <c r="CW63" s="3284" t="e">
        <f t="shared" si="115"/>
        <v>#DIV/0!</v>
      </c>
      <c r="CX63" s="1449"/>
      <c r="CY63" s="3274">
        <f t="shared" si="136"/>
        <v>0</v>
      </c>
      <c r="CZ63" s="3274">
        <f t="shared" si="136"/>
        <v>0</v>
      </c>
      <c r="DA63" s="2028">
        <f t="shared" si="137"/>
        <v>0</v>
      </c>
      <c r="DB63" s="3284">
        <f t="shared" si="73"/>
        <v>0</v>
      </c>
      <c r="DC63" s="3295"/>
    </row>
    <row r="64" spans="1:107" ht="13.8" x14ac:dyDescent="0.25">
      <c r="A64" s="1586"/>
      <c r="B64" s="3382" t="s">
        <v>63</v>
      </c>
      <c r="C64" s="3283"/>
      <c r="D64" s="3283"/>
      <c r="E64" s="2028">
        <f t="shared" si="116"/>
        <v>0</v>
      </c>
      <c r="F64" s="3284">
        <f t="shared" si="98"/>
        <v>0</v>
      </c>
      <c r="G64" s="3295"/>
      <c r="H64" s="3283"/>
      <c r="I64" s="3283"/>
      <c r="J64" s="2028">
        <f t="shared" si="117"/>
        <v>0</v>
      </c>
      <c r="K64" s="3284">
        <f t="shared" si="99"/>
        <v>0</v>
      </c>
      <c r="L64" s="3295"/>
      <c r="M64" s="3283"/>
      <c r="N64" s="3283"/>
      <c r="O64" s="2028">
        <f t="shared" si="118"/>
        <v>0</v>
      </c>
      <c r="P64" s="3284">
        <f t="shared" si="2"/>
        <v>0</v>
      </c>
      <c r="Q64" s="3295"/>
      <c r="R64" s="3283"/>
      <c r="S64" s="3283"/>
      <c r="T64" s="2028">
        <f t="shared" si="119"/>
        <v>0</v>
      </c>
      <c r="U64" s="3284">
        <f t="shared" si="100"/>
        <v>0</v>
      </c>
      <c r="V64" s="3295"/>
      <c r="W64" s="3283"/>
      <c r="X64" s="3283"/>
      <c r="Y64" s="2028">
        <f t="shared" si="120"/>
        <v>0</v>
      </c>
      <c r="Z64" s="3284">
        <f t="shared" si="101"/>
        <v>0</v>
      </c>
      <c r="AA64" s="3295"/>
      <c r="AB64" s="3283"/>
      <c r="AC64" s="3283"/>
      <c r="AD64" s="2028">
        <f t="shared" si="121"/>
        <v>0</v>
      </c>
      <c r="AE64" s="3284">
        <f t="shared" si="102"/>
        <v>0</v>
      </c>
      <c r="AF64" s="3295"/>
      <c r="AG64" s="3274">
        <v>0</v>
      </c>
      <c r="AH64" s="3274">
        <v>0</v>
      </c>
      <c r="AI64" s="2028">
        <v>0</v>
      </c>
      <c r="AJ64" s="3284">
        <v>0</v>
      </c>
      <c r="AK64" s="3276"/>
      <c r="AL64" s="3274">
        <f t="shared" si="122"/>
        <v>0</v>
      </c>
      <c r="AM64" s="3274">
        <f t="shared" si="122"/>
        <v>0</v>
      </c>
      <c r="AN64" s="2028">
        <f t="shared" si="123"/>
        <v>0</v>
      </c>
      <c r="AO64" s="3284">
        <f t="shared" si="103"/>
        <v>0</v>
      </c>
      <c r="AP64" s="3276"/>
      <c r="AQ64" s="3283"/>
      <c r="AR64" s="3283"/>
      <c r="AS64" s="2028">
        <f t="shared" si="124"/>
        <v>0</v>
      </c>
      <c r="AT64" s="3284">
        <f t="shared" si="104"/>
        <v>0</v>
      </c>
      <c r="AU64" s="3295"/>
      <c r="AV64" s="3283"/>
      <c r="AW64" s="3283"/>
      <c r="AX64" s="2028">
        <f t="shared" si="125"/>
        <v>0</v>
      </c>
      <c r="AY64" s="3284">
        <f t="shared" si="105"/>
        <v>0</v>
      </c>
      <c r="AZ64" s="3295"/>
      <c r="BA64" s="3283"/>
      <c r="BB64" s="3283"/>
      <c r="BC64" s="2028">
        <f t="shared" si="126"/>
        <v>0</v>
      </c>
      <c r="BD64" s="3284">
        <f t="shared" si="106"/>
        <v>0</v>
      </c>
      <c r="BE64" s="3295"/>
      <c r="BF64" s="3283"/>
      <c r="BG64" s="3283"/>
      <c r="BH64" s="2028">
        <f t="shared" si="127"/>
        <v>0</v>
      </c>
      <c r="BI64" s="3284">
        <f t="shared" si="107"/>
        <v>0</v>
      </c>
      <c r="BJ64" s="3295"/>
      <c r="BK64" s="3283"/>
      <c r="BL64" s="3283"/>
      <c r="BM64" s="2028">
        <f t="shared" si="128"/>
        <v>0</v>
      </c>
      <c r="BN64" s="3284">
        <f t="shared" si="108"/>
        <v>0</v>
      </c>
      <c r="BO64" s="3295"/>
      <c r="BP64" s="3283"/>
      <c r="BQ64" s="3283"/>
      <c r="BR64" s="2028">
        <f t="shared" si="129"/>
        <v>0</v>
      </c>
      <c r="BS64" s="3284">
        <f t="shared" si="109"/>
        <v>0</v>
      </c>
      <c r="BT64" s="3295"/>
      <c r="BU64" s="3283"/>
      <c r="BV64" s="3283"/>
      <c r="BW64" s="2028">
        <f t="shared" si="130"/>
        <v>0</v>
      </c>
      <c r="BX64" s="3284" t="e">
        <f t="shared" si="110"/>
        <v>#DIV/0!</v>
      </c>
      <c r="BY64" s="3295"/>
      <c r="BZ64" s="3283"/>
      <c r="CA64" s="3283"/>
      <c r="CB64" s="2028">
        <f t="shared" si="131"/>
        <v>0</v>
      </c>
      <c r="CC64" s="3284" t="e">
        <f t="shared" si="111"/>
        <v>#DIV/0!</v>
      </c>
      <c r="CD64" s="1449"/>
      <c r="CE64" s="3283"/>
      <c r="CF64" s="3283"/>
      <c r="CG64" s="2028">
        <f t="shared" si="132"/>
        <v>0</v>
      </c>
      <c r="CH64" s="3284" t="e">
        <f t="shared" si="112"/>
        <v>#DIV/0!</v>
      </c>
      <c r="CI64" s="1449"/>
      <c r="CJ64" s="3283"/>
      <c r="CK64" s="3283"/>
      <c r="CL64" s="2028">
        <f t="shared" si="133"/>
        <v>0</v>
      </c>
      <c r="CM64" s="3284" t="e">
        <f t="shared" si="113"/>
        <v>#DIV/0!</v>
      </c>
      <c r="CN64" s="1449"/>
      <c r="CO64" s="3283"/>
      <c r="CP64" s="3283"/>
      <c r="CQ64" s="2028">
        <f t="shared" si="134"/>
        <v>0</v>
      </c>
      <c r="CR64" s="3284" t="e">
        <f t="shared" si="114"/>
        <v>#DIV/0!</v>
      </c>
      <c r="CS64" s="1449"/>
      <c r="CT64" s="3283"/>
      <c r="CU64" s="3283"/>
      <c r="CV64" s="2028">
        <f t="shared" si="135"/>
        <v>0</v>
      </c>
      <c r="CW64" s="3284" t="e">
        <f t="shared" si="115"/>
        <v>#DIV/0!</v>
      </c>
      <c r="CX64" s="1449"/>
      <c r="CY64" s="3274">
        <f t="shared" si="136"/>
        <v>0</v>
      </c>
      <c r="CZ64" s="3274">
        <f t="shared" si="136"/>
        <v>0</v>
      </c>
      <c r="DA64" s="2028">
        <f t="shared" si="137"/>
        <v>0</v>
      </c>
      <c r="DB64" s="3284">
        <f t="shared" si="73"/>
        <v>0</v>
      </c>
      <c r="DC64" s="3295"/>
    </row>
    <row r="65" spans="1:107" ht="27.6" x14ac:dyDescent="0.25">
      <c r="A65" s="1586"/>
      <c r="B65" s="3382" t="s">
        <v>36</v>
      </c>
      <c r="C65" s="3274"/>
      <c r="D65" s="3274">
        <v>10385</v>
      </c>
      <c r="E65" s="2028">
        <f t="shared" si="116"/>
        <v>10385</v>
      </c>
      <c r="F65" s="3284">
        <f t="shared" si="98"/>
        <v>6.1470485037386766E-2</v>
      </c>
      <c r="G65" s="3295" t="s">
        <v>1119</v>
      </c>
      <c r="H65" s="3274"/>
      <c r="I65" s="3274"/>
      <c r="J65" s="2028">
        <f t="shared" si="117"/>
        <v>0</v>
      </c>
      <c r="K65" s="3284">
        <f t="shared" si="99"/>
        <v>0</v>
      </c>
      <c r="L65" s="3295"/>
      <c r="M65" s="3274"/>
      <c r="N65" s="3274"/>
      <c r="O65" s="2028">
        <f t="shared" si="118"/>
        <v>0</v>
      </c>
      <c r="P65" s="3284">
        <f t="shared" si="2"/>
        <v>0</v>
      </c>
      <c r="Q65" s="3295"/>
      <c r="R65" s="3274"/>
      <c r="S65" s="3274"/>
      <c r="T65" s="2028">
        <f t="shared" si="119"/>
        <v>0</v>
      </c>
      <c r="U65" s="3284">
        <f t="shared" si="100"/>
        <v>0</v>
      </c>
      <c r="V65" s="3295"/>
      <c r="W65" s="3274"/>
      <c r="X65" s="3274"/>
      <c r="Y65" s="2028">
        <f t="shared" si="120"/>
        <v>0</v>
      </c>
      <c r="Z65" s="3284">
        <f t="shared" si="101"/>
        <v>0</v>
      </c>
      <c r="AA65" s="3295"/>
      <c r="AB65" s="3274"/>
      <c r="AC65" s="3274"/>
      <c r="AD65" s="2028">
        <f t="shared" si="121"/>
        <v>0</v>
      </c>
      <c r="AE65" s="3284">
        <f t="shared" si="102"/>
        <v>0</v>
      </c>
      <c r="AF65" s="3295"/>
      <c r="AG65" s="3274">
        <v>0</v>
      </c>
      <c r="AH65" s="3274">
        <v>0</v>
      </c>
      <c r="AI65" s="2028">
        <v>0</v>
      </c>
      <c r="AJ65" s="3284">
        <v>0</v>
      </c>
      <c r="AK65" s="3276"/>
      <c r="AL65" s="3274">
        <f t="shared" si="122"/>
        <v>0</v>
      </c>
      <c r="AM65" s="3274">
        <f t="shared" si="122"/>
        <v>0</v>
      </c>
      <c r="AN65" s="2028">
        <f t="shared" si="123"/>
        <v>0</v>
      </c>
      <c r="AO65" s="3284">
        <f t="shared" si="103"/>
        <v>0</v>
      </c>
      <c r="AP65" s="3276"/>
      <c r="AQ65" s="3274"/>
      <c r="AR65" s="3274"/>
      <c r="AS65" s="2028">
        <f t="shared" si="124"/>
        <v>0</v>
      </c>
      <c r="AT65" s="3284">
        <f t="shared" si="104"/>
        <v>0</v>
      </c>
      <c r="AU65" s="3295"/>
      <c r="AV65" s="3274"/>
      <c r="AW65" s="3274"/>
      <c r="AX65" s="2028">
        <f t="shared" si="125"/>
        <v>0</v>
      </c>
      <c r="AY65" s="3284">
        <f t="shared" si="105"/>
        <v>0</v>
      </c>
      <c r="AZ65" s="3295"/>
      <c r="BA65" s="3274"/>
      <c r="BB65" s="3274"/>
      <c r="BC65" s="2028">
        <f t="shared" si="126"/>
        <v>0</v>
      </c>
      <c r="BD65" s="3284">
        <f t="shared" si="106"/>
        <v>0</v>
      </c>
      <c r="BE65" s="3295"/>
      <c r="BF65" s="3274"/>
      <c r="BG65" s="3274"/>
      <c r="BH65" s="2028">
        <f t="shared" si="127"/>
        <v>0</v>
      </c>
      <c r="BI65" s="3284">
        <f t="shared" si="107"/>
        <v>0</v>
      </c>
      <c r="BJ65" s="3295"/>
      <c r="BK65" s="3274"/>
      <c r="BL65" s="3274"/>
      <c r="BM65" s="2028">
        <f t="shared" si="128"/>
        <v>0</v>
      </c>
      <c r="BN65" s="3284">
        <f t="shared" si="108"/>
        <v>0</v>
      </c>
      <c r="BO65" s="3295"/>
      <c r="BP65" s="3274"/>
      <c r="BQ65" s="3274"/>
      <c r="BR65" s="2028">
        <f t="shared" si="129"/>
        <v>0</v>
      </c>
      <c r="BS65" s="3284">
        <f t="shared" si="109"/>
        <v>0</v>
      </c>
      <c r="BT65" s="3295"/>
      <c r="BU65" s="3274"/>
      <c r="BV65" s="3274"/>
      <c r="BW65" s="2028">
        <f t="shared" si="130"/>
        <v>0</v>
      </c>
      <c r="BX65" s="3284" t="e">
        <f t="shared" si="110"/>
        <v>#DIV/0!</v>
      </c>
      <c r="BY65" s="3295"/>
      <c r="BZ65" s="3274"/>
      <c r="CA65" s="3274"/>
      <c r="CB65" s="2028">
        <f t="shared" si="131"/>
        <v>0</v>
      </c>
      <c r="CC65" s="3284" t="e">
        <f t="shared" si="111"/>
        <v>#DIV/0!</v>
      </c>
      <c r="CD65" s="1449"/>
      <c r="CE65" s="3274"/>
      <c r="CF65" s="3274"/>
      <c r="CG65" s="2028">
        <f t="shared" si="132"/>
        <v>0</v>
      </c>
      <c r="CH65" s="3284" t="e">
        <f t="shared" si="112"/>
        <v>#DIV/0!</v>
      </c>
      <c r="CI65" s="1449"/>
      <c r="CJ65" s="3274"/>
      <c r="CK65" s="3274"/>
      <c r="CL65" s="2028">
        <f t="shared" si="133"/>
        <v>0</v>
      </c>
      <c r="CM65" s="3284" t="e">
        <f t="shared" si="113"/>
        <v>#DIV/0!</v>
      </c>
      <c r="CN65" s="1449"/>
      <c r="CO65" s="3274"/>
      <c r="CP65" s="3274"/>
      <c r="CQ65" s="2028">
        <f t="shared" si="134"/>
        <v>0</v>
      </c>
      <c r="CR65" s="3284" t="e">
        <f t="shared" si="114"/>
        <v>#DIV/0!</v>
      </c>
      <c r="CS65" s="1449"/>
      <c r="CT65" s="3274"/>
      <c r="CU65" s="3274"/>
      <c r="CV65" s="2028">
        <f t="shared" si="135"/>
        <v>0</v>
      </c>
      <c r="CW65" s="3284" t="e">
        <f t="shared" si="115"/>
        <v>#DIV/0!</v>
      </c>
      <c r="CX65" s="1449"/>
      <c r="CY65" s="3274">
        <f t="shared" si="136"/>
        <v>0</v>
      </c>
      <c r="CZ65" s="3274">
        <f t="shared" si="136"/>
        <v>10385</v>
      </c>
      <c r="DA65" s="2028">
        <f t="shared" si="137"/>
        <v>10385</v>
      </c>
      <c r="DB65" s="3284">
        <f t="shared" si="73"/>
        <v>4.0568778550307228E-3</v>
      </c>
      <c r="DC65" s="3295"/>
    </row>
    <row r="66" spans="1:107" s="1411" customFormat="1" ht="13.8" x14ac:dyDescent="0.25">
      <c r="A66" s="1586"/>
      <c r="B66" s="3382" t="s">
        <v>37</v>
      </c>
      <c r="C66" s="3274"/>
      <c r="D66" s="3274"/>
      <c r="E66" s="2028">
        <f t="shared" si="116"/>
        <v>0</v>
      </c>
      <c r="F66" s="3284">
        <f t="shared" si="98"/>
        <v>0</v>
      </c>
      <c r="G66" s="3295"/>
      <c r="H66" s="3274"/>
      <c r="I66" s="3274"/>
      <c r="J66" s="2028">
        <f t="shared" si="117"/>
        <v>0</v>
      </c>
      <c r="K66" s="3284">
        <f t="shared" si="99"/>
        <v>0</v>
      </c>
      <c r="L66" s="3295"/>
      <c r="M66" s="3274"/>
      <c r="N66" s="3274"/>
      <c r="O66" s="2028">
        <f t="shared" si="118"/>
        <v>0</v>
      </c>
      <c r="P66" s="3284">
        <f t="shared" si="2"/>
        <v>0</v>
      </c>
      <c r="Q66" s="3295"/>
      <c r="R66" s="3274"/>
      <c r="S66" s="3274"/>
      <c r="T66" s="2028">
        <f t="shared" si="119"/>
        <v>0</v>
      </c>
      <c r="U66" s="3284">
        <f t="shared" si="100"/>
        <v>0</v>
      </c>
      <c r="V66" s="3295"/>
      <c r="W66" s="3274"/>
      <c r="X66" s="3274"/>
      <c r="Y66" s="2028">
        <f t="shared" si="120"/>
        <v>0</v>
      </c>
      <c r="Z66" s="3284">
        <f t="shared" si="101"/>
        <v>0</v>
      </c>
      <c r="AA66" s="3295"/>
      <c r="AB66" s="3274"/>
      <c r="AC66" s="3274"/>
      <c r="AD66" s="2028">
        <f t="shared" si="121"/>
        <v>0</v>
      </c>
      <c r="AE66" s="3284">
        <f t="shared" si="102"/>
        <v>0</v>
      </c>
      <c r="AF66" s="3295"/>
      <c r="AG66" s="3274">
        <v>0</v>
      </c>
      <c r="AH66" s="3274">
        <v>0</v>
      </c>
      <c r="AI66" s="2028">
        <v>0</v>
      </c>
      <c r="AJ66" s="3284">
        <v>0</v>
      </c>
      <c r="AK66" s="3276"/>
      <c r="AL66" s="3274">
        <f t="shared" si="122"/>
        <v>0</v>
      </c>
      <c r="AM66" s="3274">
        <f t="shared" si="122"/>
        <v>0</v>
      </c>
      <c r="AN66" s="2028">
        <f t="shared" si="123"/>
        <v>0</v>
      </c>
      <c r="AO66" s="3284">
        <f t="shared" si="103"/>
        <v>0</v>
      </c>
      <c r="AP66" s="3276"/>
      <c r="AQ66" s="3274"/>
      <c r="AR66" s="3274"/>
      <c r="AS66" s="2028">
        <f t="shared" si="124"/>
        <v>0</v>
      </c>
      <c r="AT66" s="3284">
        <f t="shared" si="104"/>
        <v>0</v>
      </c>
      <c r="AU66" s="3295"/>
      <c r="AV66" s="3274"/>
      <c r="AW66" s="3274"/>
      <c r="AX66" s="2028">
        <f t="shared" si="125"/>
        <v>0</v>
      </c>
      <c r="AY66" s="3284">
        <f t="shared" si="105"/>
        <v>0</v>
      </c>
      <c r="AZ66" s="3295"/>
      <c r="BA66" s="3274"/>
      <c r="BB66" s="3274"/>
      <c r="BC66" s="2028">
        <f t="shared" si="126"/>
        <v>0</v>
      </c>
      <c r="BD66" s="3284">
        <f t="shared" si="106"/>
        <v>0</v>
      </c>
      <c r="BE66" s="3295"/>
      <c r="BF66" s="3274"/>
      <c r="BG66" s="3274"/>
      <c r="BH66" s="2028">
        <f t="shared" si="127"/>
        <v>0</v>
      </c>
      <c r="BI66" s="3284">
        <f t="shared" si="107"/>
        <v>0</v>
      </c>
      <c r="BJ66" s="3295"/>
      <c r="BK66" s="3274"/>
      <c r="BL66" s="3274"/>
      <c r="BM66" s="2028">
        <f t="shared" si="128"/>
        <v>0</v>
      </c>
      <c r="BN66" s="3284">
        <f t="shared" si="108"/>
        <v>0</v>
      </c>
      <c r="BO66" s="3295"/>
      <c r="BP66" s="3274"/>
      <c r="BQ66" s="3274"/>
      <c r="BR66" s="2028">
        <f t="shared" si="129"/>
        <v>0</v>
      </c>
      <c r="BS66" s="3284">
        <f t="shared" si="109"/>
        <v>0</v>
      </c>
      <c r="BT66" s="3295"/>
      <c r="BU66" s="3274"/>
      <c r="BV66" s="3274"/>
      <c r="BW66" s="2028">
        <f t="shared" si="130"/>
        <v>0</v>
      </c>
      <c r="BX66" s="3284" t="e">
        <f t="shared" si="110"/>
        <v>#DIV/0!</v>
      </c>
      <c r="BY66" s="3295"/>
      <c r="BZ66" s="3274"/>
      <c r="CA66" s="3274"/>
      <c r="CB66" s="2028">
        <f t="shared" si="131"/>
        <v>0</v>
      </c>
      <c r="CC66" s="3284" t="e">
        <f t="shared" si="111"/>
        <v>#DIV/0!</v>
      </c>
      <c r="CD66" s="1449"/>
      <c r="CE66" s="3274"/>
      <c r="CF66" s="3274"/>
      <c r="CG66" s="2028">
        <f t="shared" si="132"/>
        <v>0</v>
      </c>
      <c r="CH66" s="3284" t="e">
        <f t="shared" si="112"/>
        <v>#DIV/0!</v>
      </c>
      <c r="CI66" s="1449"/>
      <c r="CJ66" s="3274"/>
      <c r="CK66" s="3274"/>
      <c r="CL66" s="2028">
        <f t="shared" si="133"/>
        <v>0</v>
      </c>
      <c r="CM66" s="3284" t="e">
        <f t="shared" si="113"/>
        <v>#DIV/0!</v>
      </c>
      <c r="CN66" s="1449"/>
      <c r="CO66" s="3274"/>
      <c r="CP66" s="3274"/>
      <c r="CQ66" s="2028">
        <f t="shared" si="134"/>
        <v>0</v>
      </c>
      <c r="CR66" s="3284" t="e">
        <f t="shared" si="114"/>
        <v>#DIV/0!</v>
      </c>
      <c r="CS66" s="1449"/>
      <c r="CT66" s="3274"/>
      <c r="CU66" s="3274"/>
      <c r="CV66" s="2028">
        <f t="shared" si="135"/>
        <v>0</v>
      </c>
      <c r="CW66" s="3284" t="e">
        <f t="shared" si="115"/>
        <v>#DIV/0!</v>
      </c>
      <c r="CX66" s="1449"/>
      <c r="CY66" s="3274">
        <f t="shared" si="136"/>
        <v>0</v>
      </c>
      <c r="CZ66" s="3274">
        <f t="shared" si="136"/>
        <v>0</v>
      </c>
      <c r="DA66" s="2028">
        <f t="shared" si="137"/>
        <v>0</v>
      </c>
      <c r="DB66" s="3284">
        <f t="shared" si="73"/>
        <v>0</v>
      </c>
      <c r="DC66" s="3295"/>
    </row>
    <row r="67" spans="1:107" s="1411" customFormat="1" ht="13.8" x14ac:dyDescent="0.25">
      <c r="A67" s="1586"/>
      <c r="B67" s="3382" t="s">
        <v>3</v>
      </c>
      <c r="C67" s="3274"/>
      <c r="D67" s="3274"/>
      <c r="E67" s="2028">
        <f t="shared" si="116"/>
        <v>0</v>
      </c>
      <c r="F67" s="3284">
        <f t="shared" si="98"/>
        <v>0</v>
      </c>
      <c r="G67" s="3295"/>
      <c r="H67" s="3274"/>
      <c r="I67" s="3274"/>
      <c r="J67" s="2028">
        <f t="shared" si="117"/>
        <v>0</v>
      </c>
      <c r="K67" s="3284">
        <f t="shared" si="99"/>
        <v>0</v>
      </c>
      <c r="L67" s="3295"/>
      <c r="M67" s="3274"/>
      <c r="N67" s="3274"/>
      <c r="O67" s="2028">
        <f t="shared" si="118"/>
        <v>0</v>
      </c>
      <c r="P67" s="3284">
        <f t="shared" si="2"/>
        <v>0</v>
      </c>
      <c r="Q67" s="3295"/>
      <c r="R67" s="3274"/>
      <c r="S67" s="3274"/>
      <c r="T67" s="2028">
        <f t="shared" si="119"/>
        <v>0</v>
      </c>
      <c r="U67" s="3284">
        <f t="shared" si="100"/>
        <v>0</v>
      </c>
      <c r="V67" s="3295"/>
      <c r="W67" s="3274"/>
      <c r="X67" s="3274"/>
      <c r="Y67" s="2028">
        <f t="shared" si="120"/>
        <v>0</v>
      </c>
      <c r="Z67" s="3284">
        <f t="shared" si="101"/>
        <v>0</v>
      </c>
      <c r="AA67" s="3295"/>
      <c r="AB67" s="3274"/>
      <c r="AC67" s="3274"/>
      <c r="AD67" s="2028">
        <f t="shared" si="121"/>
        <v>0</v>
      </c>
      <c r="AE67" s="3284">
        <f t="shared" si="102"/>
        <v>0</v>
      </c>
      <c r="AF67" s="3274"/>
      <c r="AG67" s="3274">
        <v>0</v>
      </c>
      <c r="AH67" s="3274">
        <v>0</v>
      </c>
      <c r="AI67" s="2028">
        <v>0</v>
      </c>
      <c r="AJ67" s="3284">
        <v>0</v>
      </c>
      <c r="AK67" s="3276"/>
      <c r="AL67" s="3274">
        <f t="shared" si="122"/>
        <v>0</v>
      </c>
      <c r="AM67" s="3274">
        <f t="shared" si="122"/>
        <v>0</v>
      </c>
      <c r="AN67" s="2028">
        <f t="shared" si="123"/>
        <v>0</v>
      </c>
      <c r="AO67" s="3284">
        <f t="shared" si="103"/>
        <v>0</v>
      </c>
      <c r="AP67" s="3276"/>
      <c r="AQ67" s="3274"/>
      <c r="AR67" s="3274"/>
      <c r="AS67" s="2028">
        <f t="shared" si="124"/>
        <v>0</v>
      </c>
      <c r="AT67" s="3284">
        <f t="shared" si="104"/>
        <v>0</v>
      </c>
      <c r="AU67" s="3295"/>
      <c r="AV67" s="3274"/>
      <c r="AW67" s="3274"/>
      <c r="AX67" s="2028">
        <f t="shared" si="125"/>
        <v>0</v>
      </c>
      <c r="AY67" s="3284">
        <f t="shared" si="105"/>
        <v>0</v>
      </c>
      <c r="AZ67" s="3295"/>
      <c r="BA67" s="3274"/>
      <c r="BB67" s="3274"/>
      <c r="BC67" s="2028">
        <f t="shared" si="126"/>
        <v>0</v>
      </c>
      <c r="BD67" s="3284">
        <f t="shared" si="106"/>
        <v>0</v>
      </c>
      <c r="BE67" s="3295"/>
      <c r="BF67" s="3274"/>
      <c r="BG67" s="3274"/>
      <c r="BH67" s="2028">
        <f t="shared" si="127"/>
        <v>0</v>
      </c>
      <c r="BI67" s="3284">
        <f t="shared" si="107"/>
        <v>0</v>
      </c>
      <c r="BJ67" s="3295"/>
      <c r="BK67" s="3274"/>
      <c r="BL67" s="3274"/>
      <c r="BM67" s="2028">
        <f t="shared" si="128"/>
        <v>0</v>
      </c>
      <c r="BN67" s="3284">
        <f t="shared" si="108"/>
        <v>0</v>
      </c>
      <c r="BO67" s="3295"/>
      <c r="BP67" s="3274"/>
      <c r="BQ67" s="3274"/>
      <c r="BR67" s="2028">
        <f t="shared" si="129"/>
        <v>0</v>
      </c>
      <c r="BS67" s="3284">
        <f t="shared" si="109"/>
        <v>0</v>
      </c>
      <c r="BT67" s="3295"/>
      <c r="BU67" s="3274"/>
      <c r="BV67" s="3274"/>
      <c r="BW67" s="2028">
        <f t="shared" si="130"/>
        <v>0</v>
      </c>
      <c r="BX67" s="3284" t="e">
        <f t="shared" si="110"/>
        <v>#DIV/0!</v>
      </c>
      <c r="BY67" s="3295"/>
      <c r="BZ67" s="3274"/>
      <c r="CA67" s="3274"/>
      <c r="CB67" s="2028">
        <f t="shared" si="131"/>
        <v>0</v>
      </c>
      <c r="CC67" s="3284" t="e">
        <f t="shared" si="111"/>
        <v>#DIV/0!</v>
      </c>
      <c r="CD67" s="1449"/>
      <c r="CE67" s="3274"/>
      <c r="CF67" s="3274"/>
      <c r="CG67" s="2028">
        <f t="shared" si="132"/>
        <v>0</v>
      </c>
      <c r="CH67" s="3284" t="e">
        <f t="shared" si="112"/>
        <v>#DIV/0!</v>
      </c>
      <c r="CI67" s="1449"/>
      <c r="CJ67" s="3274"/>
      <c r="CK67" s="3274"/>
      <c r="CL67" s="2028">
        <f t="shared" si="133"/>
        <v>0</v>
      </c>
      <c r="CM67" s="3284" t="e">
        <f t="shared" si="113"/>
        <v>#DIV/0!</v>
      </c>
      <c r="CN67" s="1449"/>
      <c r="CO67" s="3274"/>
      <c r="CP67" s="3274"/>
      <c r="CQ67" s="2028">
        <f t="shared" si="134"/>
        <v>0</v>
      </c>
      <c r="CR67" s="3284" t="e">
        <f t="shared" si="114"/>
        <v>#DIV/0!</v>
      </c>
      <c r="CS67" s="1449"/>
      <c r="CT67" s="3274"/>
      <c r="CU67" s="3274"/>
      <c r="CV67" s="2028">
        <f t="shared" si="135"/>
        <v>0</v>
      </c>
      <c r="CW67" s="3284" t="e">
        <f t="shared" si="115"/>
        <v>#DIV/0!</v>
      </c>
      <c r="CX67" s="1449"/>
      <c r="CY67" s="3274">
        <f t="shared" si="136"/>
        <v>0</v>
      </c>
      <c r="CZ67" s="3274">
        <f t="shared" si="136"/>
        <v>0</v>
      </c>
      <c r="DA67" s="2028">
        <f t="shared" si="137"/>
        <v>0</v>
      </c>
      <c r="DB67" s="3284">
        <f t="shared" si="73"/>
        <v>0</v>
      </c>
      <c r="DC67" s="3295"/>
    </row>
    <row r="68" spans="1:107" s="1411" customFormat="1" ht="27.6" x14ac:dyDescent="0.25">
      <c r="A68" s="1586"/>
      <c r="B68" s="3382" t="s">
        <v>5</v>
      </c>
      <c r="C68" s="3274"/>
      <c r="D68" s="3274">
        <v>355</v>
      </c>
      <c r="E68" s="2028">
        <f t="shared" si="116"/>
        <v>355</v>
      </c>
      <c r="F68" s="3284">
        <f t="shared" si="98"/>
        <v>2.1013020884229467E-3</v>
      </c>
      <c r="G68" s="3274" t="s">
        <v>546</v>
      </c>
      <c r="H68" s="3274"/>
      <c r="I68" s="3274"/>
      <c r="J68" s="2028">
        <f t="shared" si="117"/>
        <v>0</v>
      </c>
      <c r="K68" s="3284">
        <f t="shared" si="99"/>
        <v>0</v>
      </c>
      <c r="L68" s="3274" t="s">
        <v>546</v>
      </c>
      <c r="M68" s="3274"/>
      <c r="N68" s="3274"/>
      <c r="O68" s="2028">
        <f t="shared" si="118"/>
        <v>0</v>
      </c>
      <c r="P68" s="3284">
        <f t="shared" si="2"/>
        <v>0</v>
      </c>
      <c r="Q68" s="3274"/>
      <c r="R68" s="3274"/>
      <c r="S68" s="3274">
        <v>306.64</v>
      </c>
      <c r="T68" s="2028">
        <f t="shared" si="119"/>
        <v>306.64</v>
      </c>
      <c r="U68" s="3284">
        <f t="shared" si="100"/>
        <v>1.6176239149561548E-3</v>
      </c>
      <c r="V68" s="3275" t="s">
        <v>1316</v>
      </c>
      <c r="W68" s="3274"/>
      <c r="X68" s="3274"/>
      <c r="Y68" s="2028">
        <f t="shared" si="120"/>
        <v>0</v>
      </c>
      <c r="Z68" s="3284">
        <f t="shared" si="101"/>
        <v>0</v>
      </c>
      <c r="AA68" s="3274"/>
      <c r="AB68" s="3274"/>
      <c r="AC68" s="3274"/>
      <c r="AD68" s="2028">
        <f t="shared" si="121"/>
        <v>0</v>
      </c>
      <c r="AE68" s="3284">
        <f t="shared" si="102"/>
        <v>0</v>
      </c>
      <c r="AF68" s="3274"/>
      <c r="AG68" s="3274">
        <v>0</v>
      </c>
      <c r="AH68" s="3274">
        <v>32</v>
      </c>
      <c r="AI68" s="2028">
        <v>32</v>
      </c>
      <c r="AJ68" s="3284">
        <v>1.7755105668203544E-4</v>
      </c>
      <c r="AK68" s="3276"/>
      <c r="AL68" s="3274">
        <f t="shared" si="122"/>
        <v>0</v>
      </c>
      <c r="AM68" s="3274">
        <f t="shared" si="122"/>
        <v>0</v>
      </c>
      <c r="AN68" s="2028">
        <f t="shared" si="123"/>
        <v>0</v>
      </c>
      <c r="AO68" s="3284">
        <f t="shared" si="103"/>
        <v>0</v>
      </c>
      <c r="AP68" s="3276"/>
      <c r="AQ68" s="3274"/>
      <c r="AR68" s="3274"/>
      <c r="AS68" s="2028">
        <f t="shared" si="124"/>
        <v>0</v>
      </c>
      <c r="AT68" s="3284">
        <f t="shared" si="104"/>
        <v>0</v>
      </c>
      <c r="AU68" s="3274"/>
      <c r="AV68" s="3274"/>
      <c r="AW68" s="3274"/>
      <c r="AX68" s="2028">
        <f t="shared" si="125"/>
        <v>0</v>
      </c>
      <c r="AY68" s="3284">
        <f t="shared" si="105"/>
        <v>0</v>
      </c>
      <c r="AZ68" s="3274"/>
      <c r="BA68" s="3274"/>
      <c r="BB68" s="3274"/>
      <c r="BC68" s="2028">
        <f t="shared" si="126"/>
        <v>0</v>
      </c>
      <c r="BD68" s="3284">
        <f t="shared" si="106"/>
        <v>0</v>
      </c>
      <c r="BE68" s="3274"/>
      <c r="BF68" s="3274"/>
      <c r="BG68" s="3274"/>
      <c r="BH68" s="2028">
        <f t="shared" si="127"/>
        <v>0</v>
      </c>
      <c r="BI68" s="3284">
        <f t="shared" si="107"/>
        <v>0</v>
      </c>
      <c r="BJ68" s="3274"/>
      <c r="BK68" s="3274"/>
      <c r="BL68" s="3274"/>
      <c r="BM68" s="2028">
        <f t="shared" si="128"/>
        <v>0</v>
      </c>
      <c r="BN68" s="3284">
        <f t="shared" si="108"/>
        <v>0</v>
      </c>
      <c r="BO68" s="3274"/>
      <c r="BP68" s="3274"/>
      <c r="BQ68" s="3274"/>
      <c r="BR68" s="2028">
        <f t="shared" si="129"/>
        <v>0</v>
      </c>
      <c r="BS68" s="3284">
        <f t="shared" si="109"/>
        <v>0</v>
      </c>
      <c r="BT68" s="3274"/>
      <c r="BU68" s="3274"/>
      <c r="BV68" s="3274"/>
      <c r="BW68" s="2028">
        <f t="shared" si="130"/>
        <v>0</v>
      </c>
      <c r="BX68" s="3284" t="e">
        <f t="shared" si="110"/>
        <v>#DIV/0!</v>
      </c>
      <c r="BY68" s="3274"/>
      <c r="BZ68" s="3274"/>
      <c r="CA68" s="3274"/>
      <c r="CB68" s="2028">
        <f t="shared" si="131"/>
        <v>0</v>
      </c>
      <c r="CC68" s="3284" t="e">
        <f t="shared" si="111"/>
        <v>#DIV/0!</v>
      </c>
      <c r="CD68" s="3274"/>
      <c r="CE68" s="3274"/>
      <c r="CF68" s="3274"/>
      <c r="CG68" s="2028">
        <f t="shared" si="132"/>
        <v>0</v>
      </c>
      <c r="CH68" s="3284" t="e">
        <f t="shared" si="112"/>
        <v>#DIV/0!</v>
      </c>
      <c r="CI68" s="3274"/>
      <c r="CJ68" s="3274"/>
      <c r="CK68" s="3274"/>
      <c r="CL68" s="2028">
        <f t="shared" si="133"/>
        <v>0</v>
      </c>
      <c r="CM68" s="3284" t="e">
        <f t="shared" si="113"/>
        <v>#DIV/0!</v>
      </c>
      <c r="CN68" s="3274"/>
      <c r="CO68" s="3274"/>
      <c r="CP68" s="3274"/>
      <c r="CQ68" s="2028">
        <f t="shared" si="134"/>
        <v>0</v>
      </c>
      <c r="CR68" s="3284" t="e">
        <f t="shared" si="114"/>
        <v>#DIV/0!</v>
      </c>
      <c r="CS68" s="3274"/>
      <c r="CT68" s="3274"/>
      <c r="CU68" s="3274"/>
      <c r="CV68" s="2028">
        <f t="shared" si="135"/>
        <v>0</v>
      </c>
      <c r="CW68" s="3284" t="e">
        <f t="shared" si="115"/>
        <v>#DIV/0!</v>
      </c>
      <c r="CX68" s="3274"/>
      <c r="CY68" s="3274">
        <f t="shared" si="136"/>
        <v>0</v>
      </c>
      <c r="CZ68" s="3274">
        <f t="shared" si="136"/>
        <v>693.64</v>
      </c>
      <c r="DA68" s="2028">
        <f t="shared" si="137"/>
        <v>693.64</v>
      </c>
      <c r="DB68" s="3284">
        <f t="shared" si="73"/>
        <v>2.7096897018425716E-4</v>
      </c>
      <c r="DC68" s="3295"/>
    </row>
    <row r="69" spans="1:107" s="1411" customFormat="1" ht="13.8" x14ac:dyDescent="0.25">
      <c r="A69" s="1586"/>
      <c r="B69" s="3310" t="s">
        <v>42</v>
      </c>
      <c r="C69" s="3274"/>
      <c r="D69" s="3274"/>
      <c r="E69" s="2028">
        <f t="shared" si="116"/>
        <v>0</v>
      </c>
      <c r="F69" s="3284">
        <f t="shared" si="98"/>
        <v>0</v>
      </c>
      <c r="G69" s="3274"/>
      <c r="H69" s="3274"/>
      <c r="I69" s="3274"/>
      <c r="J69" s="2028">
        <f t="shared" si="117"/>
        <v>0</v>
      </c>
      <c r="K69" s="3284">
        <f t="shared" si="99"/>
        <v>0</v>
      </c>
      <c r="L69" s="3274"/>
      <c r="M69" s="3274"/>
      <c r="N69" s="3274"/>
      <c r="O69" s="2028">
        <f t="shared" si="118"/>
        <v>0</v>
      </c>
      <c r="P69" s="3284">
        <f t="shared" si="2"/>
        <v>0</v>
      </c>
      <c r="Q69" s="3274"/>
      <c r="R69" s="3274"/>
      <c r="S69" s="3274"/>
      <c r="T69" s="2028">
        <f t="shared" si="119"/>
        <v>0</v>
      </c>
      <c r="U69" s="3284">
        <f t="shared" si="100"/>
        <v>0</v>
      </c>
      <c r="V69" s="3274"/>
      <c r="W69" s="3274"/>
      <c r="X69" s="3274"/>
      <c r="Y69" s="2028">
        <f t="shared" si="120"/>
        <v>0</v>
      </c>
      <c r="Z69" s="3284">
        <f t="shared" si="101"/>
        <v>0</v>
      </c>
      <c r="AA69" s="3274"/>
      <c r="AB69" s="3274"/>
      <c r="AC69" s="3274"/>
      <c r="AD69" s="2028">
        <f t="shared" si="121"/>
        <v>0</v>
      </c>
      <c r="AE69" s="3284">
        <f t="shared" si="102"/>
        <v>0</v>
      </c>
      <c r="AF69" s="3295"/>
      <c r="AG69" s="3274">
        <v>0</v>
      </c>
      <c r="AH69" s="3274">
        <v>0</v>
      </c>
      <c r="AI69" s="2028">
        <v>0</v>
      </c>
      <c r="AJ69" s="3284">
        <v>0</v>
      </c>
      <c r="AK69" s="3276"/>
      <c r="AL69" s="3274">
        <f t="shared" si="122"/>
        <v>0</v>
      </c>
      <c r="AM69" s="3274">
        <f t="shared" si="122"/>
        <v>0</v>
      </c>
      <c r="AN69" s="2028">
        <f t="shared" si="123"/>
        <v>0</v>
      </c>
      <c r="AO69" s="3284">
        <f t="shared" si="103"/>
        <v>0</v>
      </c>
      <c r="AP69" s="3276"/>
      <c r="AQ69" s="3274"/>
      <c r="AR69" s="3274"/>
      <c r="AS69" s="2028">
        <f t="shared" si="124"/>
        <v>0</v>
      </c>
      <c r="AT69" s="3284">
        <f t="shared" si="104"/>
        <v>0</v>
      </c>
      <c r="AU69" s="3274"/>
      <c r="AV69" s="3274"/>
      <c r="AW69" s="3274"/>
      <c r="AX69" s="2028">
        <f t="shared" si="125"/>
        <v>0</v>
      </c>
      <c r="AY69" s="3284">
        <f t="shared" si="105"/>
        <v>0</v>
      </c>
      <c r="AZ69" s="3274"/>
      <c r="BA69" s="3274"/>
      <c r="BB69" s="3274"/>
      <c r="BC69" s="2028">
        <f t="shared" si="126"/>
        <v>0</v>
      </c>
      <c r="BD69" s="3284">
        <f t="shared" si="106"/>
        <v>0</v>
      </c>
      <c r="BE69" s="3274"/>
      <c r="BF69" s="3274"/>
      <c r="BG69" s="3274"/>
      <c r="BH69" s="2028">
        <f t="shared" si="127"/>
        <v>0</v>
      </c>
      <c r="BI69" s="3284">
        <f t="shared" si="107"/>
        <v>0</v>
      </c>
      <c r="BJ69" s="3274"/>
      <c r="BK69" s="3274"/>
      <c r="BL69" s="3274"/>
      <c r="BM69" s="2028">
        <f t="shared" si="128"/>
        <v>0</v>
      </c>
      <c r="BN69" s="3284">
        <f t="shared" si="108"/>
        <v>0</v>
      </c>
      <c r="BO69" s="3274"/>
      <c r="BP69" s="3274"/>
      <c r="BQ69" s="3274"/>
      <c r="BR69" s="2028">
        <f t="shared" si="129"/>
        <v>0</v>
      </c>
      <c r="BS69" s="3284">
        <f t="shared" si="109"/>
        <v>0</v>
      </c>
      <c r="BT69" s="3274"/>
      <c r="BU69" s="3274"/>
      <c r="BV69" s="3274"/>
      <c r="BW69" s="2028">
        <f t="shared" si="130"/>
        <v>0</v>
      </c>
      <c r="BX69" s="3284" t="e">
        <f t="shared" si="110"/>
        <v>#DIV/0!</v>
      </c>
      <c r="BY69" s="3274"/>
      <c r="BZ69" s="3274"/>
      <c r="CA69" s="3274"/>
      <c r="CB69" s="2028">
        <f t="shared" si="131"/>
        <v>0</v>
      </c>
      <c r="CC69" s="3284" t="e">
        <f t="shared" si="111"/>
        <v>#DIV/0!</v>
      </c>
      <c r="CD69" s="3274"/>
      <c r="CE69" s="3274"/>
      <c r="CF69" s="3274"/>
      <c r="CG69" s="2028">
        <f t="shared" si="132"/>
        <v>0</v>
      </c>
      <c r="CH69" s="3284" t="e">
        <f t="shared" si="112"/>
        <v>#DIV/0!</v>
      </c>
      <c r="CI69" s="3274"/>
      <c r="CJ69" s="3274"/>
      <c r="CK69" s="3274"/>
      <c r="CL69" s="2028">
        <f t="shared" si="133"/>
        <v>0</v>
      </c>
      <c r="CM69" s="3284" t="e">
        <f t="shared" si="113"/>
        <v>#DIV/0!</v>
      </c>
      <c r="CN69" s="3274"/>
      <c r="CO69" s="3274"/>
      <c r="CP69" s="3274"/>
      <c r="CQ69" s="2028">
        <f t="shared" si="134"/>
        <v>0</v>
      </c>
      <c r="CR69" s="3284" t="e">
        <f t="shared" si="114"/>
        <v>#DIV/0!</v>
      </c>
      <c r="CS69" s="3274"/>
      <c r="CT69" s="3274"/>
      <c r="CU69" s="3274"/>
      <c r="CV69" s="2028">
        <f t="shared" si="135"/>
        <v>0</v>
      </c>
      <c r="CW69" s="3284" t="e">
        <f t="shared" si="115"/>
        <v>#DIV/0!</v>
      </c>
      <c r="CX69" s="3274"/>
      <c r="CY69" s="3274">
        <f t="shared" si="136"/>
        <v>0</v>
      </c>
      <c r="CZ69" s="3274">
        <f t="shared" si="136"/>
        <v>0</v>
      </c>
      <c r="DA69" s="2028">
        <f t="shared" si="137"/>
        <v>0</v>
      </c>
      <c r="DB69" s="3284">
        <f t="shared" si="73"/>
        <v>0</v>
      </c>
      <c r="DC69" s="3295"/>
    </row>
    <row r="70" spans="1:107" s="1411" customFormat="1" ht="13.8" x14ac:dyDescent="0.25">
      <c r="A70" s="1586"/>
      <c r="B70" s="3310" t="s">
        <v>6</v>
      </c>
      <c r="C70" s="3274"/>
      <c r="D70" s="3274"/>
      <c r="E70" s="2028">
        <f t="shared" si="116"/>
        <v>0</v>
      </c>
      <c r="F70" s="3284">
        <f t="shared" si="98"/>
        <v>0</v>
      </c>
      <c r="G70" s="3295"/>
      <c r="H70" s="3274"/>
      <c r="I70" s="3274"/>
      <c r="J70" s="2028">
        <f t="shared" si="117"/>
        <v>0</v>
      </c>
      <c r="K70" s="3284">
        <f t="shared" si="99"/>
        <v>0</v>
      </c>
      <c r="L70" s="3295"/>
      <c r="M70" s="3274"/>
      <c r="N70" s="3274"/>
      <c r="O70" s="2028">
        <f t="shared" si="118"/>
        <v>0</v>
      </c>
      <c r="P70" s="3284">
        <f t="shared" si="2"/>
        <v>0</v>
      </c>
      <c r="Q70" s="3295"/>
      <c r="R70" s="3274"/>
      <c r="S70" s="3274"/>
      <c r="T70" s="2028">
        <f t="shared" si="119"/>
        <v>0</v>
      </c>
      <c r="U70" s="3284">
        <f t="shared" si="100"/>
        <v>0</v>
      </c>
      <c r="V70" s="3295"/>
      <c r="W70" s="3274"/>
      <c r="X70" s="3274"/>
      <c r="Y70" s="2028">
        <f t="shared" si="120"/>
        <v>0</v>
      </c>
      <c r="Z70" s="3284">
        <f t="shared" si="101"/>
        <v>0</v>
      </c>
      <c r="AA70" s="3295"/>
      <c r="AB70" s="3274"/>
      <c r="AC70" s="3274"/>
      <c r="AD70" s="2028">
        <f t="shared" si="121"/>
        <v>0</v>
      </c>
      <c r="AE70" s="3284">
        <f t="shared" si="102"/>
        <v>0</v>
      </c>
      <c r="AF70" s="3274"/>
      <c r="AG70" s="3274">
        <v>0</v>
      </c>
      <c r="AH70" s="3274">
        <v>0</v>
      </c>
      <c r="AI70" s="2028">
        <v>0</v>
      </c>
      <c r="AJ70" s="3284">
        <v>0</v>
      </c>
      <c r="AK70" s="3276"/>
      <c r="AL70" s="3274">
        <f t="shared" si="122"/>
        <v>0</v>
      </c>
      <c r="AM70" s="3274">
        <f t="shared" si="122"/>
        <v>0</v>
      </c>
      <c r="AN70" s="2028">
        <f t="shared" si="123"/>
        <v>0</v>
      </c>
      <c r="AO70" s="3284">
        <f t="shared" si="103"/>
        <v>0</v>
      </c>
      <c r="AP70" s="3276"/>
      <c r="AQ70" s="3274"/>
      <c r="AR70" s="3274"/>
      <c r="AS70" s="2028">
        <f t="shared" si="124"/>
        <v>0</v>
      </c>
      <c r="AT70" s="3284">
        <f t="shared" si="104"/>
        <v>0</v>
      </c>
      <c r="AU70" s="3295"/>
      <c r="AV70" s="3274"/>
      <c r="AW70" s="3274"/>
      <c r="AX70" s="2028">
        <f t="shared" si="125"/>
        <v>0</v>
      </c>
      <c r="AY70" s="3284">
        <f t="shared" si="105"/>
        <v>0</v>
      </c>
      <c r="AZ70" s="3295"/>
      <c r="BA70" s="3274"/>
      <c r="BB70" s="3274"/>
      <c r="BC70" s="2028">
        <f t="shared" si="126"/>
        <v>0</v>
      </c>
      <c r="BD70" s="3284">
        <f t="shared" si="106"/>
        <v>0</v>
      </c>
      <c r="BE70" s="3295"/>
      <c r="BF70" s="3274"/>
      <c r="BG70" s="3274"/>
      <c r="BH70" s="2028">
        <f t="shared" si="127"/>
        <v>0</v>
      </c>
      <c r="BI70" s="3284">
        <f t="shared" si="107"/>
        <v>0</v>
      </c>
      <c r="BJ70" s="3295"/>
      <c r="BK70" s="3274"/>
      <c r="BL70" s="3274"/>
      <c r="BM70" s="2028">
        <f t="shared" si="128"/>
        <v>0</v>
      </c>
      <c r="BN70" s="3284">
        <f t="shared" si="108"/>
        <v>0</v>
      </c>
      <c r="BO70" s="3295"/>
      <c r="BP70" s="3274"/>
      <c r="BQ70" s="3274"/>
      <c r="BR70" s="2028">
        <f t="shared" si="129"/>
        <v>0</v>
      </c>
      <c r="BS70" s="3284">
        <f t="shared" si="109"/>
        <v>0</v>
      </c>
      <c r="BT70" s="3295"/>
      <c r="BU70" s="3274"/>
      <c r="BV70" s="3274"/>
      <c r="BW70" s="2028">
        <f t="shared" si="130"/>
        <v>0</v>
      </c>
      <c r="BX70" s="3284" t="e">
        <f t="shared" si="110"/>
        <v>#DIV/0!</v>
      </c>
      <c r="BY70" s="3295"/>
      <c r="BZ70" s="3274"/>
      <c r="CA70" s="3274"/>
      <c r="CB70" s="2028">
        <f t="shared" si="131"/>
        <v>0</v>
      </c>
      <c r="CC70" s="3284" t="e">
        <f t="shared" si="111"/>
        <v>#DIV/0!</v>
      </c>
      <c r="CD70" s="1449"/>
      <c r="CE70" s="3274"/>
      <c r="CF70" s="3274"/>
      <c r="CG70" s="2028">
        <f t="shared" si="132"/>
        <v>0</v>
      </c>
      <c r="CH70" s="3284" t="e">
        <f t="shared" si="112"/>
        <v>#DIV/0!</v>
      </c>
      <c r="CI70" s="1449"/>
      <c r="CJ70" s="3274"/>
      <c r="CK70" s="3274"/>
      <c r="CL70" s="2028">
        <f t="shared" si="133"/>
        <v>0</v>
      </c>
      <c r="CM70" s="3284" t="e">
        <f t="shared" si="113"/>
        <v>#DIV/0!</v>
      </c>
      <c r="CN70" s="1449"/>
      <c r="CO70" s="3274"/>
      <c r="CP70" s="3274"/>
      <c r="CQ70" s="2028">
        <f t="shared" si="134"/>
        <v>0</v>
      </c>
      <c r="CR70" s="3284" t="e">
        <f t="shared" si="114"/>
        <v>#DIV/0!</v>
      </c>
      <c r="CS70" s="1449"/>
      <c r="CT70" s="3274"/>
      <c r="CU70" s="3274"/>
      <c r="CV70" s="2028">
        <f t="shared" si="135"/>
        <v>0</v>
      </c>
      <c r="CW70" s="3284" t="e">
        <f t="shared" si="115"/>
        <v>#DIV/0!</v>
      </c>
      <c r="CX70" s="1449"/>
      <c r="CY70" s="3274">
        <f t="shared" si="136"/>
        <v>0</v>
      </c>
      <c r="CZ70" s="3274">
        <f t="shared" si="136"/>
        <v>0</v>
      </c>
      <c r="DA70" s="2028">
        <f t="shared" si="137"/>
        <v>0</v>
      </c>
      <c r="DB70" s="3284">
        <f t="shared" si="73"/>
        <v>0</v>
      </c>
      <c r="DC70" s="3295"/>
    </row>
    <row r="71" spans="1:107" s="1411" customFormat="1" ht="13.8" x14ac:dyDescent="0.25">
      <c r="A71" s="1586"/>
      <c r="B71" s="3310" t="s">
        <v>78</v>
      </c>
      <c r="C71" s="3274"/>
      <c r="D71" s="3274"/>
      <c r="E71" s="2028">
        <f t="shared" si="116"/>
        <v>0</v>
      </c>
      <c r="F71" s="3284">
        <f t="shared" si="98"/>
        <v>0</v>
      </c>
      <c r="G71" s="3274"/>
      <c r="H71" s="3274"/>
      <c r="I71" s="3274"/>
      <c r="J71" s="2028">
        <f t="shared" si="117"/>
        <v>0</v>
      </c>
      <c r="K71" s="3284">
        <f t="shared" si="99"/>
        <v>0</v>
      </c>
      <c r="L71" s="3274"/>
      <c r="M71" s="3274"/>
      <c r="N71" s="3274"/>
      <c r="O71" s="2028">
        <f t="shared" si="118"/>
        <v>0</v>
      </c>
      <c r="P71" s="3284">
        <f t="shared" si="2"/>
        <v>0</v>
      </c>
      <c r="Q71" s="3274"/>
      <c r="R71" s="3274"/>
      <c r="S71" s="3274"/>
      <c r="T71" s="2028">
        <f t="shared" si="119"/>
        <v>0</v>
      </c>
      <c r="U71" s="3284">
        <f t="shared" si="100"/>
        <v>0</v>
      </c>
      <c r="V71" s="3274"/>
      <c r="W71" s="3274"/>
      <c r="X71" s="3274"/>
      <c r="Y71" s="2028">
        <f t="shared" si="120"/>
        <v>0</v>
      </c>
      <c r="Z71" s="3284">
        <f t="shared" si="101"/>
        <v>0</v>
      </c>
      <c r="AA71" s="3274"/>
      <c r="AB71" s="3274"/>
      <c r="AC71" s="3274"/>
      <c r="AD71" s="2028">
        <f t="shared" si="121"/>
        <v>0</v>
      </c>
      <c r="AE71" s="3284">
        <f t="shared" si="102"/>
        <v>0</v>
      </c>
      <c r="AF71" s="3278"/>
      <c r="AG71" s="3274">
        <v>0</v>
      </c>
      <c r="AH71" s="3274">
        <v>0</v>
      </c>
      <c r="AI71" s="2028">
        <v>0</v>
      </c>
      <c r="AJ71" s="3284">
        <v>0</v>
      </c>
      <c r="AK71" s="3276"/>
      <c r="AL71" s="3274">
        <f t="shared" si="122"/>
        <v>0</v>
      </c>
      <c r="AM71" s="3274">
        <f t="shared" si="122"/>
        <v>0</v>
      </c>
      <c r="AN71" s="2028">
        <f t="shared" si="123"/>
        <v>0</v>
      </c>
      <c r="AO71" s="3284">
        <f t="shared" si="103"/>
        <v>0</v>
      </c>
      <c r="AP71" s="3276"/>
      <c r="AQ71" s="3274"/>
      <c r="AR71" s="3274"/>
      <c r="AS71" s="2028">
        <f t="shared" si="124"/>
        <v>0</v>
      </c>
      <c r="AT71" s="3284">
        <f t="shared" si="104"/>
        <v>0</v>
      </c>
      <c r="AU71" s="3274"/>
      <c r="AV71" s="3274"/>
      <c r="AW71" s="3274"/>
      <c r="AX71" s="2028">
        <f t="shared" si="125"/>
        <v>0</v>
      </c>
      <c r="AY71" s="3284">
        <f t="shared" si="105"/>
        <v>0</v>
      </c>
      <c r="AZ71" s="3274"/>
      <c r="BA71" s="3274"/>
      <c r="BB71" s="3274"/>
      <c r="BC71" s="2028">
        <f t="shared" si="126"/>
        <v>0</v>
      </c>
      <c r="BD71" s="3284">
        <f t="shared" si="106"/>
        <v>0</v>
      </c>
      <c r="BE71" s="3274"/>
      <c r="BF71" s="3274"/>
      <c r="BG71" s="3274"/>
      <c r="BH71" s="2028">
        <f t="shared" si="127"/>
        <v>0</v>
      </c>
      <c r="BI71" s="3284">
        <f t="shared" si="107"/>
        <v>0</v>
      </c>
      <c r="BJ71" s="3274"/>
      <c r="BK71" s="3274"/>
      <c r="BL71" s="3274"/>
      <c r="BM71" s="2028">
        <f t="shared" si="128"/>
        <v>0</v>
      </c>
      <c r="BN71" s="3284">
        <f t="shared" si="108"/>
        <v>0</v>
      </c>
      <c r="BO71" s="3274"/>
      <c r="BP71" s="3274"/>
      <c r="BQ71" s="3274"/>
      <c r="BR71" s="2028">
        <f t="shared" si="129"/>
        <v>0</v>
      </c>
      <c r="BS71" s="3284">
        <f t="shared" si="109"/>
        <v>0</v>
      </c>
      <c r="BT71" s="3274"/>
      <c r="BU71" s="3274"/>
      <c r="BV71" s="3274"/>
      <c r="BW71" s="2028">
        <f t="shared" si="130"/>
        <v>0</v>
      </c>
      <c r="BX71" s="3284" t="e">
        <f t="shared" si="110"/>
        <v>#DIV/0!</v>
      </c>
      <c r="BY71" s="3274"/>
      <c r="BZ71" s="3274"/>
      <c r="CA71" s="3274"/>
      <c r="CB71" s="2028">
        <f t="shared" si="131"/>
        <v>0</v>
      </c>
      <c r="CC71" s="3284" t="e">
        <f t="shared" si="111"/>
        <v>#DIV/0!</v>
      </c>
      <c r="CD71" s="3274"/>
      <c r="CE71" s="3274"/>
      <c r="CF71" s="3274"/>
      <c r="CG71" s="2028">
        <f t="shared" si="132"/>
        <v>0</v>
      </c>
      <c r="CH71" s="3284" t="e">
        <f t="shared" si="112"/>
        <v>#DIV/0!</v>
      </c>
      <c r="CI71" s="3274"/>
      <c r="CJ71" s="3274"/>
      <c r="CK71" s="3274"/>
      <c r="CL71" s="2028">
        <f t="shared" si="133"/>
        <v>0</v>
      </c>
      <c r="CM71" s="3284" t="e">
        <f t="shared" si="113"/>
        <v>#DIV/0!</v>
      </c>
      <c r="CN71" s="3274"/>
      <c r="CO71" s="3274"/>
      <c r="CP71" s="3274"/>
      <c r="CQ71" s="2028">
        <f t="shared" si="134"/>
        <v>0</v>
      </c>
      <c r="CR71" s="3284" t="e">
        <f t="shared" si="114"/>
        <v>#DIV/0!</v>
      </c>
      <c r="CS71" s="3274"/>
      <c r="CT71" s="3274"/>
      <c r="CU71" s="3274"/>
      <c r="CV71" s="2028">
        <f t="shared" si="135"/>
        <v>0</v>
      </c>
      <c r="CW71" s="3284" t="e">
        <f t="shared" si="115"/>
        <v>#DIV/0!</v>
      </c>
      <c r="CX71" s="3274"/>
      <c r="CY71" s="3274">
        <f t="shared" si="136"/>
        <v>0</v>
      </c>
      <c r="CZ71" s="3274">
        <f t="shared" si="136"/>
        <v>0</v>
      </c>
      <c r="DA71" s="2028">
        <f t="shared" si="137"/>
        <v>0</v>
      </c>
      <c r="DB71" s="3284">
        <f t="shared" si="73"/>
        <v>0</v>
      </c>
      <c r="DC71" s="3295"/>
    </row>
    <row r="72" spans="1:107" s="1411" customFormat="1" ht="14.4" thickBot="1" x14ac:dyDescent="0.3">
      <c r="A72" s="1586"/>
      <c r="B72" s="3310"/>
      <c r="C72" s="3274"/>
      <c r="D72" s="3274"/>
      <c r="E72" s="2028"/>
      <c r="F72" s="3284"/>
      <c r="G72" s="3295"/>
      <c r="H72" s="3274"/>
      <c r="I72" s="3274"/>
      <c r="J72" s="2028"/>
      <c r="K72" s="3284"/>
      <c r="L72" s="3295"/>
      <c r="M72" s="3278"/>
      <c r="N72" s="3278"/>
      <c r="O72" s="2046"/>
      <c r="P72" s="3228"/>
      <c r="Q72" s="3229"/>
      <c r="R72" s="3278"/>
      <c r="S72" s="3278"/>
      <c r="T72" s="2046"/>
      <c r="U72" s="3228"/>
      <c r="V72" s="3229"/>
      <c r="W72" s="3278"/>
      <c r="X72" s="3278"/>
      <c r="Y72" s="2046"/>
      <c r="Z72" s="3228"/>
      <c r="AA72" s="3229"/>
      <c r="AB72" s="3278"/>
      <c r="AC72" s="3278"/>
      <c r="AD72" s="2046"/>
      <c r="AE72" s="3228"/>
      <c r="AF72" s="3229"/>
      <c r="AG72" s="3278"/>
      <c r="AH72" s="3278"/>
      <c r="AI72" s="2046"/>
      <c r="AJ72" s="3228"/>
      <c r="AK72" s="3229"/>
      <c r="AL72" s="3278"/>
      <c r="AM72" s="3278"/>
      <c r="AN72" s="2046"/>
      <c r="AO72" s="3228"/>
      <c r="AP72" s="3229"/>
      <c r="AQ72" s="3278"/>
      <c r="AR72" s="3278"/>
      <c r="AS72" s="2046"/>
      <c r="AT72" s="3228"/>
      <c r="AU72" s="3229"/>
      <c r="AV72" s="3278"/>
      <c r="AW72" s="3278"/>
      <c r="AX72" s="2046"/>
      <c r="AY72" s="3228"/>
      <c r="AZ72" s="3229"/>
      <c r="BA72" s="3278"/>
      <c r="BB72" s="3278"/>
      <c r="BC72" s="2046"/>
      <c r="BD72" s="3228"/>
      <c r="BE72" s="3229"/>
      <c r="BF72" s="3278"/>
      <c r="BG72" s="3278"/>
      <c r="BH72" s="2046"/>
      <c r="BI72" s="3228"/>
      <c r="BJ72" s="3229"/>
      <c r="BK72" s="3278"/>
      <c r="BL72" s="3278"/>
      <c r="BM72" s="2046"/>
      <c r="BN72" s="3228"/>
      <c r="BO72" s="3229"/>
      <c r="BP72" s="3278"/>
      <c r="BQ72" s="3278"/>
      <c r="BR72" s="2046"/>
      <c r="BS72" s="3228"/>
      <c r="BT72" s="3229"/>
      <c r="BU72" s="3278"/>
      <c r="BV72" s="3278"/>
      <c r="BW72" s="2046"/>
      <c r="BX72" s="3228"/>
      <c r="BY72" s="3229"/>
      <c r="BZ72" s="3278"/>
      <c r="CA72" s="3278"/>
      <c r="CB72" s="2046"/>
      <c r="CC72" s="3228"/>
      <c r="CD72" s="1325"/>
      <c r="CE72" s="3278"/>
      <c r="CF72" s="3278"/>
      <c r="CG72" s="2046"/>
      <c r="CH72" s="3228"/>
      <c r="CI72" s="1325"/>
      <c r="CJ72" s="3278"/>
      <c r="CK72" s="3278"/>
      <c r="CL72" s="2046"/>
      <c r="CM72" s="3228"/>
      <c r="CN72" s="1325"/>
      <c r="CO72" s="3278"/>
      <c r="CP72" s="3278"/>
      <c r="CQ72" s="2046"/>
      <c r="CR72" s="3228"/>
      <c r="CS72" s="1325"/>
      <c r="CT72" s="3278"/>
      <c r="CU72" s="3278"/>
      <c r="CV72" s="2046"/>
      <c r="CW72" s="3228"/>
      <c r="CX72" s="1325"/>
      <c r="CY72" s="3278"/>
      <c r="CZ72" s="3278"/>
      <c r="DA72" s="2046"/>
      <c r="DB72" s="3228">
        <f>DA72/$DA$89</f>
        <v>0</v>
      </c>
      <c r="DC72" s="3229"/>
    </row>
    <row r="73" spans="1:107" s="1411" customFormat="1" ht="14.4" thickBot="1" x14ac:dyDescent="0.3">
      <c r="A73" s="1586"/>
      <c r="B73" s="3324" t="s">
        <v>4</v>
      </c>
      <c r="C73" s="2865">
        <f>C74</f>
        <v>0</v>
      </c>
      <c r="D73" s="3325">
        <f>D74</f>
        <v>0</v>
      </c>
      <c r="E73" s="2022">
        <f>E74</f>
        <v>0</v>
      </c>
      <c r="F73" s="3325"/>
      <c r="G73" s="3325"/>
      <c r="H73" s="2865">
        <f>H74</f>
        <v>0</v>
      </c>
      <c r="I73" s="3325">
        <f>I74</f>
        <v>0</v>
      </c>
      <c r="J73" s="2022">
        <f>J74</f>
        <v>0</v>
      </c>
      <c r="K73" s="3325"/>
      <c r="L73" s="3325"/>
      <c r="M73" s="1599">
        <f>M74</f>
        <v>0</v>
      </c>
      <c r="N73" s="1704">
        <f>N74</f>
        <v>0</v>
      </c>
      <c r="O73" s="1703">
        <f>O74</f>
        <v>0</v>
      </c>
      <c r="P73" s="1704"/>
      <c r="Q73" s="1704"/>
      <c r="R73" s="1599">
        <f>R74</f>
        <v>0</v>
      </c>
      <c r="S73" s="1704">
        <f>S74</f>
        <v>0</v>
      </c>
      <c r="T73" s="1703">
        <f>T74</f>
        <v>0</v>
      </c>
      <c r="U73" s="1704"/>
      <c r="V73" s="1704"/>
      <c r="W73" s="1599">
        <f>W74</f>
        <v>0</v>
      </c>
      <c r="X73" s="1704">
        <f>X74</f>
        <v>0</v>
      </c>
      <c r="Y73" s="1703">
        <f>Y74</f>
        <v>0</v>
      </c>
      <c r="Z73" s="1704"/>
      <c r="AA73" s="1704"/>
      <c r="AB73" s="1599">
        <f>AB74</f>
        <v>0</v>
      </c>
      <c r="AC73" s="1704">
        <f>AC74</f>
        <v>0</v>
      </c>
      <c r="AD73" s="1703">
        <f>AD74</f>
        <v>0</v>
      </c>
      <c r="AE73" s="1704"/>
      <c r="AF73" s="1704"/>
      <c r="AG73" s="1599">
        <v>0</v>
      </c>
      <c r="AH73" s="1704">
        <v>0</v>
      </c>
      <c r="AI73" s="1703">
        <v>0</v>
      </c>
      <c r="AJ73" s="1704"/>
      <c r="AK73" s="1704"/>
      <c r="AL73" s="1599">
        <f>AL74</f>
        <v>0</v>
      </c>
      <c r="AM73" s="1704">
        <f>AM74</f>
        <v>0</v>
      </c>
      <c r="AN73" s="1703">
        <f>AN74</f>
        <v>0</v>
      </c>
      <c r="AO73" s="1704"/>
      <c r="AP73" s="1704"/>
      <c r="AQ73" s="1599">
        <f>AQ74</f>
        <v>0</v>
      </c>
      <c r="AR73" s="1704">
        <f>AR74</f>
        <v>0</v>
      </c>
      <c r="AS73" s="1703">
        <f>AS74</f>
        <v>0</v>
      </c>
      <c r="AT73" s="1704"/>
      <c r="AU73" s="1704"/>
      <c r="AV73" s="1599">
        <f>AV74</f>
        <v>0</v>
      </c>
      <c r="AW73" s="1704">
        <f>AW74</f>
        <v>0</v>
      </c>
      <c r="AX73" s="1703">
        <f>AX74</f>
        <v>0</v>
      </c>
      <c r="AY73" s="1704"/>
      <c r="AZ73" s="1704"/>
      <c r="BA73" s="1599">
        <f>BA74</f>
        <v>0</v>
      </c>
      <c r="BB73" s="1704">
        <f>BB74</f>
        <v>0</v>
      </c>
      <c r="BC73" s="1703">
        <f>BC74</f>
        <v>0</v>
      </c>
      <c r="BD73" s="1704"/>
      <c r="BE73" s="1704"/>
      <c r="BF73" s="1599">
        <f>BF74</f>
        <v>0</v>
      </c>
      <c r="BG73" s="1704">
        <f>BG74</f>
        <v>0</v>
      </c>
      <c r="BH73" s="1703">
        <f>BH74</f>
        <v>0</v>
      </c>
      <c r="BI73" s="1704"/>
      <c r="BJ73" s="1704"/>
      <c r="BK73" s="1599">
        <f>BK74</f>
        <v>0</v>
      </c>
      <c r="BL73" s="1704">
        <f>BL74</f>
        <v>0</v>
      </c>
      <c r="BM73" s="1703">
        <f>BM74</f>
        <v>0</v>
      </c>
      <c r="BN73" s="1704"/>
      <c r="BO73" s="1704"/>
      <c r="BP73" s="1599">
        <f>BP74</f>
        <v>0</v>
      </c>
      <c r="BQ73" s="1704">
        <f>BQ74</f>
        <v>0</v>
      </c>
      <c r="BR73" s="1703">
        <f>BR74</f>
        <v>0</v>
      </c>
      <c r="BS73" s="1704"/>
      <c r="BT73" s="1704"/>
      <c r="BU73" s="1599">
        <f>BU74</f>
        <v>0</v>
      </c>
      <c r="BV73" s="1704">
        <f>BV74</f>
        <v>0</v>
      </c>
      <c r="BW73" s="1703">
        <f>BW74</f>
        <v>0</v>
      </c>
      <c r="BX73" s="1704"/>
      <c r="BY73" s="1704"/>
      <c r="BZ73" s="1599">
        <f>BZ74</f>
        <v>0</v>
      </c>
      <c r="CA73" s="1704">
        <f>CA74</f>
        <v>0</v>
      </c>
      <c r="CB73" s="1703">
        <f>CB74</f>
        <v>0</v>
      </c>
      <c r="CC73" s="1704"/>
      <c r="CD73" s="1719"/>
      <c r="CE73" s="1599">
        <f>CE74</f>
        <v>0</v>
      </c>
      <c r="CF73" s="1704">
        <f>CF74</f>
        <v>0</v>
      </c>
      <c r="CG73" s="1703">
        <f>CG74</f>
        <v>0</v>
      </c>
      <c r="CH73" s="1704"/>
      <c r="CI73" s="1719"/>
      <c r="CJ73" s="1599">
        <f>CJ74</f>
        <v>0</v>
      </c>
      <c r="CK73" s="1704">
        <f>CK74</f>
        <v>0</v>
      </c>
      <c r="CL73" s="1703">
        <f>CL74</f>
        <v>0</v>
      </c>
      <c r="CM73" s="1704"/>
      <c r="CN73" s="1719"/>
      <c r="CO73" s="1599">
        <f>CO74</f>
        <v>0</v>
      </c>
      <c r="CP73" s="1704">
        <f>CP74</f>
        <v>0</v>
      </c>
      <c r="CQ73" s="1703">
        <f>CQ74</f>
        <v>0</v>
      </c>
      <c r="CR73" s="1704"/>
      <c r="CS73" s="1719"/>
      <c r="CT73" s="1599">
        <f>CT74</f>
        <v>0</v>
      </c>
      <c r="CU73" s="1704">
        <f>CU74</f>
        <v>0</v>
      </c>
      <c r="CV73" s="1703">
        <f>CV74</f>
        <v>0</v>
      </c>
      <c r="CW73" s="1704"/>
      <c r="CX73" s="1719"/>
      <c r="CY73" s="1599">
        <f>CY74</f>
        <v>0</v>
      </c>
      <c r="CZ73" s="1704">
        <f>CZ74</f>
        <v>0</v>
      </c>
      <c r="DA73" s="1703">
        <f>DA74</f>
        <v>0</v>
      </c>
      <c r="DB73" s="1704"/>
      <c r="DC73" s="1704"/>
    </row>
    <row r="74" spans="1:107" s="1411" customFormat="1" ht="14.4" thickBot="1" x14ac:dyDescent="0.3">
      <c r="A74" s="1428"/>
      <c r="B74" s="3289" t="s">
        <v>64</v>
      </c>
      <c r="C74" s="3274"/>
      <c r="D74" s="3274"/>
      <c r="E74" s="2028">
        <f>C74+D74*1</f>
        <v>0</v>
      </c>
      <c r="F74" s="3328"/>
      <c r="G74" s="3328"/>
      <c r="H74" s="3274"/>
      <c r="I74" s="3274"/>
      <c r="J74" s="3326">
        <f>H74+I74*1</f>
        <v>0</v>
      </c>
      <c r="K74" s="3328"/>
      <c r="L74" s="3328"/>
      <c r="M74" s="3274"/>
      <c r="N74" s="3274"/>
      <c r="O74" s="3329">
        <f>M74+N74*1</f>
        <v>0</v>
      </c>
      <c r="P74" s="3327"/>
      <c r="Q74" s="3327"/>
      <c r="R74" s="3274"/>
      <c r="S74" s="3274"/>
      <c r="T74" s="3329">
        <f>R74+S74*1</f>
        <v>0</v>
      </c>
      <c r="U74" s="3327"/>
      <c r="V74" s="3327"/>
      <c r="W74" s="3274"/>
      <c r="X74" s="3274"/>
      <c r="Y74" s="3329">
        <f>W74+X74*1</f>
        <v>0</v>
      </c>
      <c r="Z74" s="3327"/>
      <c r="AA74" s="3327"/>
      <c r="AB74" s="3274"/>
      <c r="AC74" s="3274"/>
      <c r="AD74" s="3329">
        <f>AB74+AC74*1</f>
        <v>0</v>
      </c>
      <c r="AE74" s="3327"/>
      <c r="AF74" s="3327"/>
      <c r="AG74" s="3274">
        <v>0</v>
      </c>
      <c r="AH74" s="3274">
        <v>0</v>
      </c>
      <c r="AI74" s="2028">
        <v>0</v>
      </c>
      <c r="AJ74" s="3327"/>
      <c r="AK74" s="3276"/>
      <c r="AL74" s="3274">
        <f>AQ74+AV74+BA74+BF74+BK74+BP74+BU74+BZ74+CE74+CJ74+CO74+CT74</f>
        <v>0</v>
      </c>
      <c r="AM74" s="3274">
        <f>AR74+AW74+BB74+BG74+BL74+BQ74+BV74+CA74+CF74+CK74+CP74+CU74</f>
        <v>0</v>
      </c>
      <c r="AN74" s="2028">
        <f>AL74+AM74*1</f>
        <v>0</v>
      </c>
      <c r="AO74" s="3327"/>
      <c r="AP74" s="3276"/>
      <c r="AQ74" s="3274"/>
      <c r="AR74" s="3274"/>
      <c r="AS74" s="3329">
        <f>AQ74+AR74*1</f>
        <v>0</v>
      </c>
      <c r="AT74" s="3327"/>
      <c r="AU74" s="3327"/>
      <c r="AV74" s="3274"/>
      <c r="AW74" s="3274"/>
      <c r="AX74" s="3329">
        <f>AV74+AW74*1</f>
        <v>0</v>
      </c>
      <c r="AY74" s="3327"/>
      <c r="AZ74" s="3327"/>
      <c r="BA74" s="3274"/>
      <c r="BB74" s="3274"/>
      <c r="BC74" s="3329">
        <f>BA74+BB74*1</f>
        <v>0</v>
      </c>
      <c r="BD74" s="3327"/>
      <c r="BE74" s="3327"/>
      <c r="BF74" s="3274"/>
      <c r="BG74" s="3274"/>
      <c r="BH74" s="3329">
        <f>BF74+BG74*1</f>
        <v>0</v>
      </c>
      <c r="BI74" s="3327"/>
      <c r="BJ74" s="3327"/>
      <c r="BK74" s="3274"/>
      <c r="BL74" s="3274"/>
      <c r="BM74" s="3329">
        <f>BK74+BL74*1</f>
        <v>0</v>
      </c>
      <c r="BN74" s="3327"/>
      <c r="BO74" s="3327"/>
      <c r="BP74" s="3274"/>
      <c r="BQ74" s="3274"/>
      <c r="BR74" s="3329">
        <f>BP74+BQ74*1</f>
        <v>0</v>
      </c>
      <c r="BS74" s="3327"/>
      <c r="BT74" s="3327"/>
      <c r="BU74" s="3274"/>
      <c r="BV74" s="3274"/>
      <c r="BW74" s="3329">
        <f>BU74+BV74*1</f>
        <v>0</v>
      </c>
      <c r="BX74" s="3327"/>
      <c r="BY74" s="3327"/>
      <c r="BZ74" s="3274"/>
      <c r="CA74" s="3274"/>
      <c r="CB74" s="3329">
        <f>BZ74+CA74*1</f>
        <v>0</v>
      </c>
      <c r="CC74" s="3327"/>
      <c r="CD74" s="3330"/>
      <c r="CE74" s="3274"/>
      <c r="CF74" s="3274"/>
      <c r="CG74" s="3329">
        <f>CE74+CF74*1</f>
        <v>0</v>
      </c>
      <c r="CH74" s="3327"/>
      <c r="CI74" s="3330"/>
      <c r="CJ74" s="3274"/>
      <c r="CK74" s="3274"/>
      <c r="CL74" s="3329">
        <f>CJ74+CK74*1</f>
        <v>0</v>
      </c>
      <c r="CM74" s="3327"/>
      <c r="CN74" s="3330"/>
      <c r="CO74" s="3274"/>
      <c r="CP74" s="3274"/>
      <c r="CQ74" s="3329">
        <f>CO74+CP74*1</f>
        <v>0</v>
      </c>
      <c r="CR74" s="3327"/>
      <c r="CS74" s="3330"/>
      <c r="CT74" s="3274"/>
      <c r="CU74" s="3274"/>
      <c r="CV74" s="3329">
        <f>CT74+CU74*1</f>
        <v>0</v>
      </c>
      <c r="CW74" s="3327"/>
      <c r="CX74" s="3330"/>
      <c r="CY74" s="3274">
        <f>C74+H74+M74+R74+W74+AB74+AQ74+AV74+BA74+BF74+BK74+BP74+BU74+BZ74+CE74+CJ74+CO74+CT74+AG74</f>
        <v>0</v>
      </c>
      <c r="CZ74" s="3274">
        <f>D74+I74+N74+S74+X74+AC74+AR74+AW74+BB74+BG74+BL74+BQ74+BV74+CA74+CF74+CK74+CP74+CU74+AH74</f>
        <v>0</v>
      </c>
      <c r="DA74" s="2028">
        <f>CY74+CZ74*1</f>
        <v>0</v>
      </c>
      <c r="DB74" s="3327"/>
      <c r="DC74" s="3327"/>
    </row>
    <row r="75" spans="1:107" s="1411" customFormat="1" ht="14.4" thickBot="1" x14ac:dyDescent="0.3">
      <c r="A75" s="1414"/>
      <c r="B75" s="1431" t="s">
        <v>48</v>
      </c>
      <c r="C75" s="1465">
        <f>C38-C41-C50-C54</f>
        <v>202753.41999999998</v>
      </c>
      <c r="D75" s="1465">
        <f>D38-D41-D50-D54</f>
        <v>-45587.380000000005</v>
      </c>
      <c r="E75" s="1523">
        <f>E38-E41-E50-E54</f>
        <v>157166.03999999998</v>
      </c>
      <c r="F75" s="1969"/>
      <c r="G75" s="1969"/>
      <c r="H75" s="1465">
        <f>H38-H41-H50-H54</f>
        <v>240898.35399999999</v>
      </c>
      <c r="I75" s="1465">
        <f>I38-I41-I50-I54</f>
        <v>-43309.03</v>
      </c>
      <c r="J75" s="1523">
        <f>J38-J41-J50-J54</f>
        <v>197589.32399999996</v>
      </c>
      <c r="K75" s="1969"/>
      <c r="L75" s="1969"/>
      <c r="M75" s="1465">
        <f>M38-M41-M50-M54</f>
        <v>183067.9</v>
      </c>
      <c r="N75" s="1465">
        <f>N38-N41-N50-N54</f>
        <v>-40536</v>
      </c>
      <c r="O75" s="1523">
        <f>O38-O41-O50-O54</f>
        <v>142531.9</v>
      </c>
      <c r="P75" s="1969"/>
      <c r="Q75" s="1969"/>
      <c r="R75" s="1465">
        <f>R38-R41-R50-R54</f>
        <v>304142.92</v>
      </c>
      <c r="S75" s="1465">
        <f>S38-S41-S50-S54</f>
        <v>115408.40000000001</v>
      </c>
      <c r="T75" s="1523">
        <f>T38-T41-T50-T54</f>
        <v>419551.31999999995</v>
      </c>
      <c r="U75" s="1969"/>
      <c r="V75" s="1969"/>
      <c r="W75" s="1465">
        <f>W38-W41-W50-W54</f>
        <v>216182.50000000003</v>
      </c>
      <c r="X75" s="1465">
        <f>X38-X41-X50-X54</f>
        <v>-48277.9</v>
      </c>
      <c r="Y75" s="1523">
        <f>Y38-Y41-Y50-Y54</f>
        <v>167904.60000000003</v>
      </c>
      <c r="Z75" s="1969"/>
      <c r="AA75" s="1969"/>
      <c r="AB75" s="1465">
        <f>AB38-AB41-AB50-AB54</f>
        <v>133531.85040000002</v>
      </c>
      <c r="AC75" s="1465">
        <f>AC38-AC41-AC50-AC54</f>
        <v>-63551</v>
      </c>
      <c r="AD75" s="1523">
        <f>AD38-AD41-AD50-AD54</f>
        <v>69980.850399999996</v>
      </c>
      <c r="AE75" s="1969"/>
      <c r="AF75" s="1969"/>
      <c r="AG75" s="1465">
        <v>537353.11800000002</v>
      </c>
      <c r="AH75" s="1465">
        <v>-257050.26</v>
      </c>
      <c r="AI75" s="1523">
        <v>280302.85800000001</v>
      </c>
      <c r="AJ75" s="1969"/>
      <c r="AK75" s="1969"/>
      <c r="AL75" s="1465">
        <f>AL38-AL41-AL50-AL54</f>
        <v>0</v>
      </c>
      <c r="AM75" s="1465">
        <f>AM38-AM41-AM50-AM54</f>
        <v>0</v>
      </c>
      <c r="AN75" s="1523">
        <f>AN38-AN41-AN50-AN54</f>
        <v>0</v>
      </c>
      <c r="AO75" s="1969"/>
      <c r="AP75" s="1969"/>
      <c r="AQ75" s="1465">
        <f>AQ38-AQ41-AQ50-AQ54</f>
        <v>0</v>
      </c>
      <c r="AR75" s="1465">
        <f>AR38-AR41-AR50-AR54</f>
        <v>0</v>
      </c>
      <c r="AS75" s="1523">
        <f>AS38-AS41-AS50-AS54</f>
        <v>0</v>
      </c>
      <c r="AT75" s="1969"/>
      <c r="AU75" s="1969"/>
      <c r="AV75" s="1465">
        <f>AV38-AV41-AV50-AV54</f>
        <v>0</v>
      </c>
      <c r="AW75" s="1465">
        <f>AW38-AW41-AW50-AW54</f>
        <v>0</v>
      </c>
      <c r="AX75" s="1523">
        <f>AX38-AX41-AX50-AX54</f>
        <v>0</v>
      </c>
      <c r="AY75" s="1969"/>
      <c r="AZ75" s="1969"/>
      <c r="BA75" s="1465">
        <f>BA38-BA41-BA50-BA54</f>
        <v>0</v>
      </c>
      <c r="BB75" s="1465">
        <f>BB38-BB41-BB50-BB54</f>
        <v>0</v>
      </c>
      <c r="BC75" s="1523">
        <f>BC38-BC41-BC50-BC54</f>
        <v>0</v>
      </c>
      <c r="BD75" s="1969"/>
      <c r="BE75" s="1969"/>
      <c r="BF75" s="1465">
        <f>BF38-BF41-BF50-BF54</f>
        <v>0</v>
      </c>
      <c r="BG75" s="1465">
        <f>BG38-BG41-BG50-BG54</f>
        <v>0</v>
      </c>
      <c r="BH75" s="1523">
        <f>BH38-BH41-BH50-BH54</f>
        <v>0</v>
      </c>
      <c r="BI75" s="1969"/>
      <c r="BJ75" s="1969"/>
      <c r="BK75" s="1465">
        <f>BK38-BK41-BK50-BK54</f>
        <v>0</v>
      </c>
      <c r="BL75" s="1465">
        <f>BL38-BL41-BL50-BL54</f>
        <v>0</v>
      </c>
      <c r="BM75" s="1523">
        <f>BM38-BM41-BM50-BM54</f>
        <v>0</v>
      </c>
      <c r="BN75" s="1969"/>
      <c r="BO75" s="1969"/>
      <c r="BP75" s="1465">
        <f>BP38-BP41-BP50-BP54</f>
        <v>0</v>
      </c>
      <c r="BQ75" s="1465">
        <f>BQ38-BQ41-BQ50-BQ54</f>
        <v>0</v>
      </c>
      <c r="BR75" s="1523">
        <f>BR38-BR41-BR50-BR54</f>
        <v>0</v>
      </c>
      <c r="BS75" s="1969"/>
      <c r="BT75" s="1969"/>
      <c r="BU75" s="1465">
        <f>BU38-BU41-BU50-BU54</f>
        <v>0</v>
      </c>
      <c r="BV75" s="1465">
        <f>BV38-BV41-BV50-BV54</f>
        <v>0</v>
      </c>
      <c r="BW75" s="1523">
        <f>BW38-BW41-BW50-BW54</f>
        <v>0</v>
      </c>
      <c r="BX75" s="1969"/>
      <c r="BY75" s="1969"/>
      <c r="BZ75" s="1465">
        <f>BZ38-BZ41-BZ50-BZ54</f>
        <v>0</v>
      </c>
      <c r="CA75" s="1465">
        <f>CA38-CA41-CA50-CA54</f>
        <v>0</v>
      </c>
      <c r="CB75" s="1523">
        <f>CB38-CB41-CB50-CB54</f>
        <v>0</v>
      </c>
      <c r="CC75" s="1969"/>
      <c r="CD75" s="1465"/>
      <c r="CE75" s="1465">
        <f>CE38-CE41-CE50-CE54</f>
        <v>0</v>
      </c>
      <c r="CF75" s="1465">
        <f>CF38-CF41-CF50-CF54</f>
        <v>0</v>
      </c>
      <c r="CG75" s="1523">
        <f>CG38-CG41-CG50-CG54</f>
        <v>0</v>
      </c>
      <c r="CH75" s="1969"/>
      <c r="CI75" s="1465"/>
      <c r="CJ75" s="1465">
        <f>CJ38-CJ41-CJ50-CJ54</f>
        <v>0</v>
      </c>
      <c r="CK75" s="1465">
        <f>CK38-CK41-CK50-CK54</f>
        <v>0</v>
      </c>
      <c r="CL75" s="1523">
        <f>CL38-CL41-CL50-CL54</f>
        <v>0</v>
      </c>
      <c r="CM75" s="1969"/>
      <c r="CN75" s="1465"/>
      <c r="CO75" s="1465">
        <f>CO38-CO41-CO50-CO54</f>
        <v>0</v>
      </c>
      <c r="CP75" s="1465">
        <f>CP38-CP41-CP50-CP54</f>
        <v>0</v>
      </c>
      <c r="CQ75" s="1523">
        <f>CQ38-CQ41-CQ50-CQ54</f>
        <v>0</v>
      </c>
      <c r="CR75" s="1969"/>
      <c r="CS75" s="1465"/>
      <c r="CT75" s="1465">
        <f>CT38-CT41-CT50-CT54</f>
        <v>0</v>
      </c>
      <c r="CU75" s="1465">
        <f>CU38-CU41-CU50-CU54</f>
        <v>0</v>
      </c>
      <c r="CV75" s="1523">
        <f>CV38-CV41-CV50-CV54</f>
        <v>0</v>
      </c>
      <c r="CW75" s="1969"/>
      <c r="CX75" s="1465"/>
      <c r="CY75" s="1465">
        <f>CY38-CY41-CY50-CY54</f>
        <v>1817930.0623999999</v>
      </c>
      <c r="CZ75" s="1465">
        <f>CZ38-CZ41-CZ50-CZ54</f>
        <v>-382903.17000000004</v>
      </c>
      <c r="DA75" s="1523">
        <f>DA38-DA41-DA50-DA54</f>
        <v>1435026.8924</v>
      </c>
      <c r="DB75" s="1969"/>
      <c r="DC75" s="1969"/>
    </row>
    <row r="76" spans="1:107" s="1411" customFormat="1" ht="13.8" x14ac:dyDescent="0.25">
      <c r="A76" s="1581"/>
      <c r="B76" s="1444" t="s">
        <v>49</v>
      </c>
      <c r="C76" s="2019">
        <f>C75/C5</f>
        <v>0.63499945192093876</v>
      </c>
      <c r="D76" s="2019" t="e">
        <f>D75/D5</f>
        <v>#DIV/0!</v>
      </c>
      <c r="E76" s="2020">
        <f>E75/E5</f>
        <v>0.49222523230722487</v>
      </c>
      <c r="F76" s="2020"/>
      <c r="G76" s="2020"/>
      <c r="H76" s="2019">
        <f>H75/H5</f>
        <v>0.6678333102172902</v>
      </c>
      <c r="I76" s="2019" t="e">
        <f>I75/I5</f>
        <v>#DIV/0!</v>
      </c>
      <c r="J76" s="2020">
        <f>J75/J5</f>
        <v>0.54776933972125286</v>
      </c>
      <c r="K76" s="2020"/>
      <c r="L76" s="2020"/>
      <c r="M76" s="2019">
        <f>M75/M5</f>
        <v>0.56242922318315181</v>
      </c>
      <c r="N76" s="2019" t="e">
        <f>N75/N5</f>
        <v>#DIV/0!</v>
      </c>
      <c r="O76" s="2020">
        <f>O75/O5</f>
        <v>0.43789274796847877</v>
      </c>
      <c r="P76" s="2020"/>
      <c r="Q76" s="2020"/>
      <c r="R76" s="2019">
        <f>R75/R5</f>
        <v>0.7051022119465804</v>
      </c>
      <c r="S76" s="2019">
        <f>S75/S5</f>
        <v>0.69416916284720975</v>
      </c>
      <c r="T76" s="2020">
        <f>T75/T5</f>
        <v>0.70206060623909783</v>
      </c>
      <c r="U76" s="2020"/>
      <c r="V76" s="2020"/>
      <c r="W76" s="2019">
        <f>W75/W5</f>
        <v>0.62424230138940673</v>
      </c>
      <c r="X76" s="2019" t="e">
        <f>X75/X5</f>
        <v>#DIV/0!</v>
      </c>
      <c r="Y76" s="2020">
        <f>Y75/Y5</f>
        <v>0.48483644105266521</v>
      </c>
      <c r="Z76" s="2020"/>
      <c r="AA76" s="2020"/>
      <c r="AB76" s="2019">
        <f>AB75/AB5</f>
        <v>0.48046866148531958</v>
      </c>
      <c r="AC76" s="2019" t="e">
        <f>AC75/AC5</f>
        <v>#DIV/0!</v>
      </c>
      <c r="AD76" s="2020">
        <f>AD75/AD5</f>
        <v>0.25180213874496254</v>
      </c>
      <c r="AE76" s="2020"/>
      <c r="AF76" s="2020"/>
      <c r="AG76" s="2019">
        <v>0.31663575201653704</v>
      </c>
      <c r="AH76" s="2019" t="e">
        <v>#DIV/0!</v>
      </c>
      <c r="AI76" s="2020">
        <v>0.1651686819377767</v>
      </c>
      <c r="AJ76" s="2020"/>
      <c r="AK76" s="2020"/>
      <c r="AL76" s="2019" t="e">
        <f>AL75/AL5</f>
        <v>#DIV/0!</v>
      </c>
      <c r="AM76" s="2019" t="e">
        <f>AM75/AM5</f>
        <v>#DIV/0!</v>
      </c>
      <c r="AN76" s="2020" t="e">
        <f>AN75/AN5</f>
        <v>#DIV/0!</v>
      </c>
      <c r="AO76" s="2020"/>
      <c r="AP76" s="2020"/>
      <c r="AQ76" s="2019" t="e">
        <f>AQ75/AQ5</f>
        <v>#DIV/0!</v>
      </c>
      <c r="AR76" s="2019" t="e">
        <f>AR75/AR5</f>
        <v>#DIV/0!</v>
      </c>
      <c r="AS76" s="2020" t="e">
        <f>AS75/AS5</f>
        <v>#DIV/0!</v>
      </c>
      <c r="AT76" s="2020"/>
      <c r="AU76" s="2020"/>
      <c r="AV76" s="2019" t="e">
        <f>AV75/AV5</f>
        <v>#DIV/0!</v>
      </c>
      <c r="AW76" s="2019" t="e">
        <f>AW75/AW5</f>
        <v>#DIV/0!</v>
      </c>
      <c r="AX76" s="2020" t="e">
        <f>AX75/AX5</f>
        <v>#DIV/0!</v>
      </c>
      <c r="AY76" s="2020"/>
      <c r="AZ76" s="2020"/>
      <c r="BA76" s="2019" t="e">
        <f>BA75/BA5</f>
        <v>#DIV/0!</v>
      </c>
      <c r="BB76" s="2019" t="e">
        <f>BB75/BB5</f>
        <v>#DIV/0!</v>
      </c>
      <c r="BC76" s="2020" t="e">
        <f>BC75/BC5</f>
        <v>#DIV/0!</v>
      </c>
      <c r="BD76" s="2020"/>
      <c r="BE76" s="2020"/>
      <c r="BF76" s="2019" t="e">
        <f>BF75/BF5</f>
        <v>#DIV/0!</v>
      </c>
      <c r="BG76" s="2019" t="e">
        <f>BG75/BG5</f>
        <v>#DIV/0!</v>
      </c>
      <c r="BH76" s="2020" t="e">
        <f>BH75/BH5</f>
        <v>#DIV/0!</v>
      </c>
      <c r="BI76" s="2020"/>
      <c r="BJ76" s="2020"/>
      <c r="BK76" s="2019" t="e">
        <f>BK75/BK5</f>
        <v>#DIV/0!</v>
      </c>
      <c r="BL76" s="2019" t="e">
        <f>BL75/BL5</f>
        <v>#DIV/0!</v>
      </c>
      <c r="BM76" s="2020" t="e">
        <f>BM75/BM5</f>
        <v>#DIV/0!</v>
      </c>
      <c r="BN76" s="2020"/>
      <c r="BO76" s="2020"/>
      <c r="BP76" s="2019" t="e">
        <f>BP75/BP5</f>
        <v>#DIV/0!</v>
      </c>
      <c r="BQ76" s="2019" t="e">
        <f>BQ75/BQ5</f>
        <v>#DIV/0!</v>
      </c>
      <c r="BR76" s="2020" t="e">
        <f>BR75/BR5</f>
        <v>#DIV/0!</v>
      </c>
      <c r="BS76" s="2020"/>
      <c r="BT76" s="2020"/>
      <c r="BU76" s="2019" t="e">
        <f>BU75/BU5</f>
        <v>#DIV/0!</v>
      </c>
      <c r="BV76" s="2019" t="e">
        <f>BV75/BV5</f>
        <v>#DIV/0!</v>
      </c>
      <c r="BW76" s="2020" t="e">
        <f>BW75/BW5</f>
        <v>#DIV/0!</v>
      </c>
      <c r="BX76" s="2020"/>
      <c r="BY76" s="2020"/>
      <c r="BZ76" s="2019" t="e">
        <f>BZ75/BZ5</f>
        <v>#DIV/0!</v>
      </c>
      <c r="CA76" s="2019" t="e">
        <f>CA75/CA5</f>
        <v>#DIV/0!</v>
      </c>
      <c r="CB76" s="2020" t="e">
        <f>CB75/CB5</f>
        <v>#DIV/0!</v>
      </c>
      <c r="CC76" s="2020"/>
      <c r="CD76" s="2019"/>
      <c r="CE76" s="2019" t="e">
        <f>CE75/CE5</f>
        <v>#DIV/0!</v>
      </c>
      <c r="CF76" s="2019" t="e">
        <f>CF75/CF5</f>
        <v>#DIV/0!</v>
      </c>
      <c r="CG76" s="2020" t="e">
        <f>CG75/CG5</f>
        <v>#DIV/0!</v>
      </c>
      <c r="CH76" s="2020"/>
      <c r="CI76" s="2019"/>
      <c r="CJ76" s="2019" t="e">
        <f>CJ75/CJ5</f>
        <v>#DIV/0!</v>
      </c>
      <c r="CK76" s="2019" t="e">
        <f>CK75/CK5</f>
        <v>#DIV/0!</v>
      </c>
      <c r="CL76" s="2020" t="e">
        <f>CL75/CL5</f>
        <v>#DIV/0!</v>
      </c>
      <c r="CM76" s="2020"/>
      <c r="CN76" s="2019"/>
      <c r="CO76" s="2019" t="e">
        <f>CO75/CO5</f>
        <v>#DIV/0!</v>
      </c>
      <c r="CP76" s="2019" t="e">
        <f>CP75/CP5</f>
        <v>#DIV/0!</v>
      </c>
      <c r="CQ76" s="2020" t="e">
        <f>CQ75/CQ5</f>
        <v>#DIV/0!</v>
      </c>
      <c r="CR76" s="2020"/>
      <c r="CS76" s="2019"/>
      <c r="CT76" s="2019" t="e">
        <f>CT75/CT5</f>
        <v>#DIV/0!</v>
      </c>
      <c r="CU76" s="2019" t="e">
        <f>CU75/CU5</f>
        <v>#DIV/0!</v>
      </c>
      <c r="CV76" s="2020" t="e">
        <f>CV75/CV5</f>
        <v>#DIV/0!</v>
      </c>
      <c r="CW76" s="2020"/>
      <c r="CX76" s="2019"/>
      <c r="CY76" s="2019">
        <f>CY75/CY5</f>
        <v>0.48372923887877201</v>
      </c>
      <c r="CZ76" s="2019">
        <f>CZ75/CZ5</f>
        <v>-2.3031215489552133</v>
      </c>
      <c r="DA76" s="2020">
        <f>DA75/DA5</f>
        <v>0.36566689030536498</v>
      </c>
      <c r="DB76" s="2020"/>
      <c r="DC76" s="2020"/>
    </row>
    <row r="77" spans="1:107" s="1411" customFormat="1" ht="14.4" thickBot="1" x14ac:dyDescent="0.3">
      <c r="A77" s="1581"/>
      <c r="B77" s="3331" t="s">
        <v>9</v>
      </c>
      <c r="C77" s="2865">
        <f>C78-C79</f>
        <v>-6811.9073563218399</v>
      </c>
      <c r="D77" s="2865">
        <f>D78-D79</f>
        <v>0</v>
      </c>
      <c r="E77" s="2866">
        <f>E78-E79</f>
        <v>-6811.9073563218399</v>
      </c>
      <c r="F77" s="2868"/>
      <c r="G77" s="2868"/>
      <c r="H77" s="2865">
        <f>H78-H79</f>
        <v>-7050.2700512811052</v>
      </c>
      <c r="I77" s="2865">
        <f>I78-I79</f>
        <v>0</v>
      </c>
      <c r="J77" s="2866">
        <f>J78-J79</f>
        <v>-7050.2700512811052</v>
      </c>
      <c r="K77" s="2868"/>
      <c r="L77" s="2868"/>
      <c r="M77" s="2865">
        <f>M78-M79</f>
        <v>-6598.8848129602866</v>
      </c>
      <c r="N77" s="2865">
        <f>N78-N79</f>
        <v>0</v>
      </c>
      <c r="O77" s="2866">
        <f>O78-O79</f>
        <v>-6598.8848129602866</v>
      </c>
      <c r="P77" s="2868"/>
      <c r="Q77" s="2868"/>
      <c r="R77" s="2865">
        <f>R78-R79</f>
        <v>-2181.3082363115668</v>
      </c>
      <c r="S77" s="2865">
        <f>S78-S79</f>
        <v>0</v>
      </c>
      <c r="T77" s="2866">
        <f>T78-T79</f>
        <v>-2181.3082363115668</v>
      </c>
      <c r="U77" s="2868"/>
      <c r="V77" s="2868"/>
      <c r="W77" s="2865">
        <f>W78-W79</f>
        <v>-5966.9314606741573</v>
      </c>
      <c r="X77" s="2865">
        <f>X78-X79</f>
        <v>0</v>
      </c>
      <c r="Y77" s="2866">
        <f>Y78-Y79</f>
        <v>-5966.9314606741573</v>
      </c>
      <c r="Z77" s="2868"/>
      <c r="AA77" s="2868"/>
      <c r="AB77" s="2865">
        <f>AB78-AB79</f>
        <v>-8379.53540425338</v>
      </c>
      <c r="AC77" s="2865">
        <f>AC78-AC79</f>
        <v>0</v>
      </c>
      <c r="AD77" s="2866">
        <f>AD78-AD79</f>
        <v>-8379.53540425338</v>
      </c>
      <c r="AE77" s="2868"/>
      <c r="AF77" s="2868"/>
      <c r="AG77" s="2865">
        <v>-33478.106492153318</v>
      </c>
      <c r="AH77" s="2865">
        <v>0</v>
      </c>
      <c r="AI77" s="2866">
        <v>-33478.106492153318</v>
      </c>
      <c r="AJ77" s="2868"/>
      <c r="AK77" s="2868"/>
      <c r="AL77" s="2865">
        <f>AL78-AL79</f>
        <v>0</v>
      </c>
      <c r="AM77" s="2865">
        <f>AM78-AM79</f>
        <v>0</v>
      </c>
      <c r="AN77" s="2866">
        <f>AN78-AN79</f>
        <v>0</v>
      </c>
      <c r="AO77" s="2868"/>
      <c r="AP77" s="2868"/>
      <c r="AQ77" s="2865">
        <f>AQ78-AQ79</f>
        <v>0</v>
      </c>
      <c r="AR77" s="2865">
        <f>AR78-AR79</f>
        <v>0</v>
      </c>
      <c r="AS77" s="2866">
        <f>AS78-AS79</f>
        <v>0</v>
      </c>
      <c r="AT77" s="2868"/>
      <c r="AU77" s="2868"/>
      <c r="AV77" s="2865">
        <f>AV78-AV79</f>
        <v>0</v>
      </c>
      <c r="AW77" s="2865">
        <f>AW78-AW79</f>
        <v>0</v>
      </c>
      <c r="AX77" s="2866">
        <f>AX78-AX79</f>
        <v>0</v>
      </c>
      <c r="AY77" s="2868"/>
      <c r="AZ77" s="2868"/>
      <c r="BA77" s="2865">
        <f>BA78-BA79</f>
        <v>0</v>
      </c>
      <c r="BB77" s="2865">
        <f>BB78-BB79</f>
        <v>0</v>
      </c>
      <c r="BC77" s="2866">
        <f>BC78-BC79</f>
        <v>0</v>
      </c>
      <c r="BD77" s="2868"/>
      <c r="BE77" s="2868"/>
      <c r="BF77" s="2865">
        <f>BF78-BF79</f>
        <v>0</v>
      </c>
      <c r="BG77" s="2865">
        <f>BG78-BG79</f>
        <v>0</v>
      </c>
      <c r="BH77" s="2866">
        <f>BH78-BH79</f>
        <v>0</v>
      </c>
      <c r="BI77" s="2868"/>
      <c r="BJ77" s="2868"/>
      <c r="BK77" s="2865">
        <f>BK78-BK79</f>
        <v>0</v>
      </c>
      <c r="BL77" s="2865">
        <f>BL78-BL79</f>
        <v>0</v>
      </c>
      <c r="BM77" s="2866">
        <f>BM78-BM79</f>
        <v>0</v>
      </c>
      <c r="BN77" s="2868"/>
      <c r="BO77" s="2868"/>
      <c r="BP77" s="2865">
        <f>BP78-BP79</f>
        <v>0</v>
      </c>
      <c r="BQ77" s="2865">
        <f>BQ78-BQ79</f>
        <v>0</v>
      </c>
      <c r="BR77" s="2866">
        <f>BR78-BR79</f>
        <v>0</v>
      </c>
      <c r="BS77" s="2868"/>
      <c r="BT77" s="2868"/>
      <c r="BU77" s="2865">
        <f>BU78-BU79</f>
        <v>0</v>
      </c>
      <c r="BV77" s="2865">
        <f>BV78-BV79</f>
        <v>0</v>
      </c>
      <c r="BW77" s="2866">
        <f>BW78-BW79</f>
        <v>0</v>
      </c>
      <c r="BX77" s="2868"/>
      <c r="BY77" s="2868"/>
      <c r="BZ77" s="2865">
        <f>BZ78-BZ79</f>
        <v>0</v>
      </c>
      <c r="CA77" s="2865">
        <f>CA78-CA79</f>
        <v>0</v>
      </c>
      <c r="CB77" s="2866">
        <f>CB78-CB79</f>
        <v>0</v>
      </c>
      <c r="CC77" s="2868"/>
      <c r="CD77" s="3138"/>
      <c r="CE77" s="2865">
        <f>CE78-CE79</f>
        <v>0</v>
      </c>
      <c r="CF77" s="2865">
        <f>CF78-CF79</f>
        <v>0</v>
      </c>
      <c r="CG77" s="2866">
        <f>CG78-CG79</f>
        <v>0</v>
      </c>
      <c r="CH77" s="2868"/>
      <c r="CI77" s="3138"/>
      <c r="CJ77" s="2865">
        <f>CJ78-CJ79</f>
        <v>0</v>
      </c>
      <c r="CK77" s="2865">
        <f>CK78-CK79</f>
        <v>0</v>
      </c>
      <c r="CL77" s="2866">
        <f>CL78-CL79</f>
        <v>0</v>
      </c>
      <c r="CM77" s="2868"/>
      <c r="CN77" s="3138"/>
      <c r="CO77" s="2865">
        <f>CO78-CO79</f>
        <v>0</v>
      </c>
      <c r="CP77" s="2865">
        <f>CP78-CP79</f>
        <v>0</v>
      </c>
      <c r="CQ77" s="2866">
        <f>CQ78-CQ79</f>
        <v>0</v>
      </c>
      <c r="CR77" s="2868"/>
      <c r="CS77" s="3138"/>
      <c r="CT77" s="2865">
        <f>CT78-CT79</f>
        <v>0</v>
      </c>
      <c r="CU77" s="2865">
        <f>CU78-CU79</f>
        <v>0</v>
      </c>
      <c r="CV77" s="2866">
        <f>CV78-CV79</f>
        <v>0</v>
      </c>
      <c r="CW77" s="2868"/>
      <c r="CX77" s="3138"/>
      <c r="CY77" s="2865">
        <f>CY78-CY79</f>
        <v>-70466.943813955644</v>
      </c>
      <c r="CZ77" s="2865">
        <f>CZ78-CZ79</f>
        <v>0</v>
      </c>
      <c r="DA77" s="2866">
        <f>DA78-DA79</f>
        <v>-70466.943813955644</v>
      </c>
      <c r="DB77" s="2868"/>
      <c r="DC77" s="2868"/>
    </row>
    <row r="78" spans="1:107" s="1411" customFormat="1" ht="14.4" thickBot="1" x14ac:dyDescent="0.3">
      <c r="A78" s="1420"/>
      <c r="B78" s="1415" t="s">
        <v>43</v>
      </c>
      <c r="C78" s="3274"/>
      <c r="D78" s="3274"/>
      <c r="E78" s="2028">
        <f>C78+D78*1</f>
        <v>0</v>
      </c>
      <c r="F78" s="3333"/>
      <c r="G78" s="3333"/>
      <c r="H78" s="3274"/>
      <c r="I78" s="3274"/>
      <c r="J78" s="2028">
        <f>H78+I78*1</f>
        <v>0</v>
      </c>
      <c r="K78" s="3333"/>
      <c r="L78" s="3333"/>
      <c r="M78" s="3274"/>
      <c r="N78" s="3274"/>
      <c r="O78" s="2028">
        <f>M78+N78*1</f>
        <v>0</v>
      </c>
      <c r="P78" s="3333"/>
      <c r="Q78" s="3333"/>
      <c r="R78" s="3274"/>
      <c r="S78" s="3274"/>
      <c r="T78" s="2028">
        <f>R78+S78*1</f>
        <v>0</v>
      </c>
      <c r="U78" s="3333"/>
      <c r="V78" s="3333"/>
      <c r="W78" s="3274"/>
      <c r="X78" s="3274"/>
      <c r="Y78" s="2028">
        <f>W78+X78*1</f>
        <v>0</v>
      </c>
      <c r="Z78" s="3333"/>
      <c r="AA78" s="3333"/>
      <c r="AB78" s="3274"/>
      <c r="AC78" s="3274"/>
      <c r="AD78" s="2028">
        <f>AB78+AC78*1</f>
        <v>0</v>
      </c>
      <c r="AE78" s="3333"/>
      <c r="AF78" s="3333"/>
      <c r="AG78" s="3274">
        <v>0</v>
      </c>
      <c r="AH78" s="3274">
        <v>0</v>
      </c>
      <c r="AI78" s="3274">
        <v>0</v>
      </c>
      <c r="AJ78" s="3333"/>
      <c r="AK78" s="3333"/>
      <c r="AL78" s="3274">
        <f t="shared" ref="AL78:AM79" si="138">AQ78+AV78+BA78+BF78+BK78+BP78+BU78+BZ78+CE78+CJ78+CO78+CT78</f>
        <v>0</v>
      </c>
      <c r="AM78" s="3274">
        <f t="shared" si="138"/>
        <v>0</v>
      </c>
      <c r="AN78" s="3274">
        <f>AL78+AM78</f>
        <v>0</v>
      </c>
      <c r="AO78" s="3333"/>
      <c r="AP78" s="3333"/>
      <c r="AQ78" s="3274"/>
      <c r="AR78" s="3274"/>
      <c r="AS78" s="2028">
        <f>AQ78+AR78*1</f>
        <v>0</v>
      </c>
      <c r="AT78" s="3333"/>
      <c r="AU78" s="3333"/>
      <c r="AV78" s="3274"/>
      <c r="AW78" s="3274"/>
      <c r="AX78" s="2028">
        <f>AV78+AW78*1</f>
        <v>0</v>
      </c>
      <c r="AY78" s="3333"/>
      <c r="AZ78" s="3333"/>
      <c r="BA78" s="3274"/>
      <c r="BB78" s="3274"/>
      <c r="BC78" s="3332">
        <f>BA78+BB78*1.15</f>
        <v>0</v>
      </c>
      <c r="BD78" s="3333"/>
      <c r="BE78" s="3333"/>
      <c r="BF78" s="3274"/>
      <c r="BG78" s="3274"/>
      <c r="BH78" s="3332">
        <f>BF78+BG78*1.15</f>
        <v>0</v>
      </c>
      <c r="BI78" s="3333"/>
      <c r="BJ78" s="3333"/>
      <c r="BK78" s="3274"/>
      <c r="BL78" s="3274"/>
      <c r="BM78" s="3377">
        <f>BK78+BL78*1.15</f>
        <v>0</v>
      </c>
      <c r="BN78" s="3333"/>
      <c r="BO78" s="3333"/>
      <c r="BP78" s="3274"/>
      <c r="BQ78" s="3274"/>
      <c r="BR78" s="3377">
        <f>BP78+BQ78*1.15</f>
        <v>0</v>
      </c>
      <c r="BS78" s="3333"/>
      <c r="BT78" s="3333"/>
      <c r="BU78" s="3274"/>
      <c r="BV78" s="3274"/>
      <c r="BW78" s="3332">
        <f>BU78+BV78*1.15</f>
        <v>0</v>
      </c>
      <c r="BX78" s="3333"/>
      <c r="BY78" s="3333"/>
      <c r="BZ78" s="3274"/>
      <c r="CA78" s="3274"/>
      <c r="CB78" s="3332">
        <f>BZ78+CA78*1.15</f>
        <v>0</v>
      </c>
      <c r="CC78" s="3333"/>
      <c r="CD78" s="3334"/>
      <c r="CE78" s="3274"/>
      <c r="CF78" s="3274"/>
      <c r="CG78" s="3332">
        <f>CE78+CF78*1.15</f>
        <v>0</v>
      </c>
      <c r="CH78" s="3333"/>
      <c r="CI78" s="3334"/>
      <c r="CJ78" s="3274"/>
      <c r="CK78" s="3274"/>
      <c r="CL78" s="3332">
        <f>CJ78+CK78*1.15</f>
        <v>0</v>
      </c>
      <c r="CM78" s="3333"/>
      <c r="CN78" s="3334"/>
      <c r="CO78" s="3274"/>
      <c r="CP78" s="3274"/>
      <c r="CQ78" s="3332">
        <f>CO78+CP78*1.15</f>
        <v>0</v>
      </c>
      <c r="CR78" s="3333"/>
      <c r="CS78" s="3334"/>
      <c r="CT78" s="3274"/>
      <c r="CU78" s="3274"/>
      <c r="CV78" s="3332">
        <f>CT78+CU78*1.15</f>
        <v>0</v>
      </c>
      <c r="CW78" s="3333"/>
      <c r="CX78" s="3334"/>
      <c r="CY78" s="3274">
        <f t="shared" ref="CY78:CZ79" si="139">C78+H78+M78+R78+W78+AB78+AQ78+AV78+BA78+BF78+BK78+BP78+BU78+BZ78+CE78+CJ78+CO78+CT78+AG78</f>
        <v>0</v>
      </c>
      <c r="CZ78" s="3274">
        <f t="shared" si="139"/>
        <v>0</v>
      </c>
      <c r="DA78" s="2028">
        <f>CY78+CZ78*1</f>
        <v>0</v>
      </c>
      <c r="DB78" s="3333"/>
      <c r="DC78" s="3333"/>
    </row>
    <row r="79" spans="1:107" s="1411" customFormat="1" ht="13.8" x14ac:dyDescent="0.25">
      <c r="A79" s="1420"/>
      <c r="B79" s="3289" t="s">
        <v>79</v>
      </c>
      <c r="C79" s="3274">
        <f>(D8+D41+D50+D54)/(1-'расчет 2022'!E6)*'расчет 2022'!E6</f>
        <v>6811.9073563218399</v>
      </c>
      <c r="D79" s="3274"/>
      <c r="E79" s="2028">
        <f>C79+D79*1</f>
        <v>6811.9073563218399</v>
      </c>
      <c r="F79" s="3311"/>
      <c r="G79" s="3311"/>
      <c r="H79" s="3274">
        <f>(I8+I41+I50+I54)/(1-'расчет 2022'!I7)*'расчет 2022'!I7</f>
        <v>7050.2700512811052</v>
      </c>
      <c r="I79" s="3274"/>
      <c r="J79" s="2028">
        <f>H79+I79*1</f>
        <v>7050.2700512811052</v>
      </c>
      <c r="K79" s="3311"/>
      <c r="L79" s="3311"/>
      <c r="M79" s="3274">
        <f>(N8+N41+N50+N54)/(1-'расчет 2022'!I8)*'расчет 2022'!I8</f>
        <v>6598.8848129602866</v>
      </c>
      <c r="N79" s="3274"/>
      <c r="O79" s="2028">
        <f>M79+N79*1</f>
        <v>6598.8848129602866</v>
      </c>
      <c r="P79" s="3311"/>
      <c r="Q79" s="3311"/>
      <c r="R79" s="3274">
        <f>(S8+S41+S50+S54)/(1-'расчет 2022'!I9)*'расчет 2022'!I9</f>
        <v>2181.3082363115668</v>
      </c>
      <c r="S79" s="3274"/>
      <c r="T79" s="2028">
        <f>R79+S79*1</f>
        <v>2181.3082363115668</v>
      </c>
      <c r="U79" s="3311"/>
      <c r="V79" s="3311"/>
      <c r="W79" s="3274">
        <f>(X8+X41+X50+X54)/(1-'расчет 2022'!I10)*'расчет 2022'!I10</f>
        <v>5966.9314606741573</v>
      </c>
      <c r="X79" s="3274"/>
      <c r="Y79" s="2028">
        <f>W79+X79*1</f>
        <v>5966.9314606741573</v>
      </c>
      <c r="Z79" s="3311"/>
      <c r="AA79" s="3311"/>
      <c r="AB79" s="3274">
        <f>(AC8+AC41+AC50+AC54)/(1-'расчет 2022'!I11)*'расчет 2022'!I11</f>
        <v>8379.53540425338</v>
      </c>
      <c r="AC79" s="3274"/>
      <c r="AD79" s="2028">
        <f>AB79+AC79*1</f>
        <v>8379.53540425338</v>
      </c>
      <c r="AE79" s="3311"/>
      <c r="AF79" s="3311"/>
      <c r="AG79" s="3274">
        <v>33478.106492153318</v>
      </c>
      <c r="AH79" s="3274">
        <v>0</v>
      </c>
      <c r="AI79" s="3274">
        <v>33478.106492153318</v>
      </c>
      <c r="AJ79" s="3311"/>
      <c r="AK79" s="3276"/>
      <c r="AL79" s="3274">
        <f t="shared" si="138"/>
        <v>0</v>
      </c>
      <c r="AM79" s="3274">
        <f t="shared" si="138"/>
        <v>0</v>
      </c>
      <c r="AN79" s="3274">
        <f>AL79+AM79</f>
        <v>0</v>
      </c>
      <c r="AO79" s="3311"/>
      <c r="AP79" s="3276"/>
      <c r="AQ79" s="3274"/>
      <c r="AR79" s="3274"/>
      <c r="AS79" s="2028">
        <f>AQ79+AR79*1</f>
        <v>0</v>
      </c>
      <c r="AT79" s="3311"/>
      <c r="AU79" s="3311"/>
      <c r="AV79" s="3274">
        <f>(AW8+AW41+AW50+AW54)/(1-'расчет 2022'!I13)*'расчет 2022'!I13</f>
        <v>0</v>
      </c>
      <c r="AW79" s="3274"/>
      <c r="AX79" s="2028">
        <f>AV79+AW79*1</f>
        <v>0</v>
      </c>
      <c r="AY79" s="3311"/>
      <c r="AZ79" s="3276"/>
      <c r="BA79" s="3274"/>
      <c r="BB79" s="3274"/>
      <c r="BC79" s="2028">
        <f>BA79+BB79*1.15</f>
        <v>0</v>
      </c>
      <c r="BD79" s="3311"/>
      <c r="BE79" s="3276"/>
      <c r="BF79" s="3274"/>
      <c r="BG79" s="3274"/>
      <c r="BH79" s="3332">
        <f>BF79+BG79*1.15</f>
        <v>0</v>
      </c>
      <c r="BI79" s="3311"/>
      <c r="BJ79" s="3276"/>
      <c r="BK79" s="3274">
        <f>(BL8+BL41+BL50+BL54)/(1-'расчет 2022'!I15)*'расчет 2022'!I15</f>
        <v>0</v>
      </c>
      <c r="BL79" s="3274"/>
      <c r="BM79" s="3378">
        <f>BK79+BL79*1.15</f>
        <v>0</v>
      </c>
      <c r="BN79" s="3311"/>
      <c r="BO79" s="3276"/>
      <c r="BP79" s="3274"/>
      <c r="BQ79" s="3274"/>
      <c r="BR79" s="3378">
        <f>BP79+BQ79*1.15</f>
        <v>0</v>
      </c>
      <c r="BS79" s="3311"/>
      <c r="BT79" s="3276"/>
      <c r="BU79" s="3274"/>
      <c r="BV79" s="3274"/>
      <c r="BW79" s="3274">
        <f>BU79+BV79*1.15</f>
        <v>0</v>
      </c>
      <c r="BX79" s="3311"/>
      <c r="BY79" s="3276"/>
      <c r="BZ79" s="3274"/>
      <c r="CA79" s="3274"/>
      <c r="CB79" s="3274">
        <f>BZ79+CA79*1.15</f>
        <v>0</v>
      </c>
      <c r="CC79" s="3311"/>
      <c r="CD79" s="3276"/>
      <c r="CE79" s="3274"/>
      <c r="CF79" s="3274"/>
      <c r="CG79" s="3274">
        <f>CE79+CF79*1.15</f>
        <v>0</v>
      </c>
      <c r="CH79" s="3311"/>
      <c r="CI79" s="3276"/>
      <c r="CJ79" s="3274"/>
      <c r="CK79" s="3274"/>
      <c r="CL79" s="3274">
        <f>CJ79+CK79*1.15</f>
        <v>0</v>
      </c>
      <c r="CM79" s="3311"/>
      <c r="CN79" s="3276"/>
      <c r="CO79" s="3274">
        <f>(CP8+CP41+CP50+CP54)/(1-'расчет 2022'!$I$23)*'расчет 2022'!$I$23</f>
        <v>0</v>
      </c>
      <c r="CP79" s="3274"/>
      <c r="CQ79" s="3274">
        <f>CO79+CP79*1.15</f>
        <v>0</v>
      </c>
      <c r="CR79" s="3311"/>
      <c r="CS79" s="3276"/>
      <c r="CT79" s="3274">
        <f>(CU8+CU41+CU50+CU54)/(1-'расчет 2022'!$I$23)*'расчет 2022'!$I$23</f>
        <v>0</v>
      </c>
      <c r="CU79" s="3274"/>
      <c r="CV79" s="3274">
        <f>CT79+CU79*1.15</f>
        <v>0</v>
      </c>
      <c r="CW79" s="3311"/>
      <c r="CX79" s="3276"/>
      <c r="CY79" s="3274">
        <f t="shared" si="139"/>
        <v>70466.943813955644</v>
      </c>
      <c r="CZ79" s="3274">
        <f t="shared" si="139"/>
        <v>0</v>
      </c>
      <c r="DA79" s="2028">
        <f>CY79+CZ79*1</f>
        <v>70466.943813955644</v>
      </c>
      <c r="DB79" s="3311"/>
      <c r="DC79" s="3311"/>
    </row>
    <row r="80" spans="1:107" ht="13.8" x14ac:dyDescent="0.25">
      <c r="A80" s="1412"/>
      <c r="B80" s="3335"/>
      <c r="C80" s="3274"/>
      <c r="D80" s="3274"/>
      <c r="E80" s="3336"/>
      <c r="F80" s="3336"/>
      <c r="G80" s="3336"/>
      <c r="H80" s="3274"/>
      <c r="I80" s="3274"/>
      <c r="J80" s="3336"/>
      <c r="K80" s="3336"/>
      <c r="L80" s="3336"/>
      <c r="M80" s="3274"/>
      <c r="N80" s="3274"/>
      <c r="O80" s="3336"/>
      <c r="P80" s="3336"/>
      <c r="Q80" s="3336"/>
      <c r="R80" s="3274"/>
      <c r="S80" s="3274"/>
      <c r="T80" s="3336"/>
      <c r="U80" s="3336"/>
      <c r="V80" s="3336"/>
      <c r="W80" s="3274"/>
      <c r="X80" s="3274"/>
      <c r="Y80" s="3336"/>
      <c r="Z80" s="3336"/>
      <c r="AA80" s="3336"/>
      <c r="AB80" s="3274"/>
      <c r="AC80" s="3274"/>
      <c r="AD80" s="3336"/>
      <c r="AE80" s="3336"/>
      <c r="AF80" s="3336"/>
      <c r="AG80" s="3274"/>
      <c r="AH80" s="3274"/>
      <c r="AI80" s="3336"/>
      <c r="AJ80" s="3336"/>
      <c r="AK80" s="3336"/>
      <c r="AL80" s="3274"/>
      <c r="AM80" s="3274"/>
      <c r="AN80" s="3336"/>
      <c r="AO80" s="3336"/>
      <c r="AP80" s="3336"/>
      <c r="AQ80" s="3274"/>
      <c r="AR80" s="3274"/>
      <c r="AS80" s="3336"/>
      <c r="AT80" s="3336"/>
      <c r="AU80" s="3336"/>
      <c r="AV80" s="3274"/>
      <c r="AW80" s="3274"/>
      <c r="AX80" s="3336"/>
      <c r="AY80" s="3336"/>
      <c r="AZ80" s="3336"/>
      <c r="BA80" s="3274"/>
      <c r="BB80" s="3274"/>
      <c r="BC80" s="3336"/>
      <c r="BD80" s="3336"/>
      <c r="BE80" s="3336"/>
      <c r="BF80" s="3274"/>
      <c r="BG80" s="3274"/>
      <c r="BH80" s="3336"/>
      <c r="BI80" s="3336"/>
      <c r="BJ80" s="3336"/>
      <c r="BK80" s="3274"/>
      <c r="BL80" s="3274"/>
      <c r="BM80" s="3336"/>
      <c r="BN80" s="3336"/>
      <c r="BO80" s="3336"/>
      <c r="BP80" s="3274"/>
      <c r="BQ80" s="3274"/>
      <c r="BR80" s="3336"/>
      <c r="BS80" s="3336"/>
      <c r="BT80" s="3336"/>
      <c r="BU80" s="3274"/>
      <c r="BV80" s="3274"/>
      <c r="BW80" s="3336"/>
      <c r="BX80" s="3336"/>
      <c r="BY80" s="3336"/>
      <c r="BZ80" s="3274"/>
      <c r="CA80" s="3274"/>
      <c r="CB80" s="3336"/>
      <c r="CC80" s="3336"/>
      <c r="CD80" s="3306"/>
      <c r="CE80" s="3274"/>
      <c r="CF80" s="3274"/>
      <c r="CG80" s="3336"/>
      <c r="CH80" s="3336"/>
      <c r="CI80" s="3306"/>
      <c r="CJ80" s="3274"/>
      <c r="CK80" s="3274"/>
      <c r="CL80" s="3336"/>
      <c r="CM80" s="3336"/>
      <c r="CN80" s="3306"/>
      <c r="CO80" s="3274"/>
      <c r="CP80" s="3274"/>
      <c r="CQ80" s="3336"/>
      <c r="CR80" s="3336"/>
      <c r="CS80" s="3306"/>
      <c r="CT80" s="3274"/>
      <c r="CU80" s="3274"/>
      <c r="CV80" s="3336"/>
      <c r="CW80" s="3336"/>
      <c r="CX80" s="3306"/>
      <c r="CY80" s="3274"/>
      <c r="CZ80" s="3274"/>
      <c r="DA80" s="3336"/>
      <c r="DB80" s="3336"/>
      <c r="DC80" s="3336"/>
    </row>
    <row r="81" spans="1:107" s="1411" customFormat="1" ht="14.4" thickBot="1" x14ac:dyDescent="0.3">
      <c r="A81" s="1434"/>
      <c r="B81" s="3331" t="s">
        <v>12</v>
      </c>
      <c r="C81" s="2865">
        <f>(C75+C78)-C79</f>
        <v>195941.51264367814</v>
      </c>
      <c r="D81" s="2865">
        <f>(D75+D78)-D79</f>
        <v>-45587.380000000005</v>
      </c>
      <c r="E81" s="2866">
        <f>(E75+E78)-E79</f>
        <v>150354.13264367814</v>
      </c>
      <c r="F81" s="2868"/>
      <c r="G81" s="2868"/>
      <c r="H81" s="2865">
        <f>(H75+H78)-H79</f>
        <v>233848.08394871888</v>
      </c>
      <c r="I81" s="2865">
        <f>(I75+I78)-I79</f>
        <v>-43309.03</v>
      </c>
      <c r="J81" s="2866">
        <f>(J75+J78)-J79</f>
        <v>190539.05394871885</v>
      </c>
      <c r="K81" s="2868"/>
      <c r="L81" s="2868"/>
      <c r="M81" s="2865">
        <f>(M75+M78)-M79</f>
        <v>176469.01518703971</v>
      </c>
      <c r="N81" s="2865">
        <f>(N75+N78)-N79</f>
        <v>-40536</v>
      </c>
      <c r="O81" s="2866">
        <f>(O75+O78)-O79</f>
        <v>135933.01518703971</v>
      </c>
      <c r="P81" s="2868"/>
      <c r="Q81" s="2868"/>
      <c r="R81" s="2865">
        <f>(R75+R78)-R79</f>
        <v>301961.61176368844</v>
      </c>
      <c r="S81" s="2865">
        <f>(S75+S78)-S79</f>
        <v>115408.40000000001</v>
      </c>
      <c r="T81" s="2866">
        <f>(T75+T78)-T79</f>
        <v>417370.01176368841</v>
      </c>
      <c r="U81" s="2868"/>
      <c r="V81" s="2868"/>
      <c r="W81" s="2865">
        <f>(W75+W78)-W79</f>
        <v>210215.56853932588</v>
      </c>
      <c r="X81" s="2865">
        <f>(X75+X78)-X79</f>
        <v>-48277.9</v>
      </c>
      <c r="Y81" s="2866">
        <f>(Y75+Y78)-Y79</f>
        <v>161937.66853932588</v>
      </c>
      <c r="Z81" s="2868"/>
      <c r="AA81" s="2868"/>
      <c r="AB81" s="2865">
        <f>(AB75+AB78)-AB79</f>
        <v>125152.31499574665</v>
      </c>
      <c r="AC81" s="2865">
        <f>(AC75+AC78)-AC79</f>
        <v>-63551</v>
      </c>
      <c r="AD81" s="2866">
        <f>(AD75+AD78)-AD79</f>
        <v>61601.314995746616</v>
      </c>
      <c r="AE81" s="2868"/>
      <c r="AF81" s="2868"/>
      <c r="AG81" s="2865">
        <v>503875.01150784671</v>
      </c>
      <c r="AH81" s="2865">
        <v>-257050.26</v>
      </c>
      <c r="AI81" s="2866">
        <v>246824.7515078467</v>
      </c>
      <c r="AJ81" s="2868"/>
      <c r="AK81" s="2868"/>
      <c r="AL81" s="2865">
        <f>(AL75+AL78)-AL79</f>
        <v>0</v>
      </c>
      <c r="AM81" s="2865">
        <f>(AM75+AM78)-AM79</f>
        <v>0</v>
      </c>
      <c r="AN81" s="2866">
        <f>(AN75+AN78)-AN79</f>
        <v>0</v>
      </c>
      <c r="AO81" s="2868"/>
      <c r="AP81" s="2868"/>
      <c r="AQ81" s="2865">
        <f>(AQ75+AQ78)-AQ79</f>
        <v>0</v>
      </c>
      <c r="AR81" s="2865">
        <f>(AR75+AR78)-AR79</f>
        <v>0</v>
      </c>
      <c r="AS81" s="2866">
        <f>(AS75+AS78)-AS79</f>
        <v>0</v>
      </c>
      <c r="AT81" s="2868"/>
      <c r="AU81" s="2868"/>
      <c r="AV81" s="2865">
        <f>(AV75+AV78)-AV79</f>
        <v>0</v>
      </c>
      <c r="AW81" s="2865">
        <f>(AW75+AW78)-AW79</f>
        <v>0</v>
      </c>
      <c r="AX81" s="2866">
        <f>(AX75+AX78)-AX79</f>
        <v>0</v>
      </c>
      <c r="AY81" s="2868"/>
      <c r="AZ81" s="2868"/>
      <c r="BA81" s="2865">
        <f>(BA75+BA78)-BA79</f>
        <v>0</v>
      </c>
      <c r="BB81" s="2865">
        <f>(BB75+BB78)-BB79</f>
        <v>0</v>
      </c>
      <c r="BC81" s="2866">
        <f>(BC75+BC78)-BC79</f>
        <v>0</v>
      </c>
      <c r="BD81" s="2868"/>
      <c r="BE81" s="2868"/>
      <c r="BF81" s="2865">
        <f>(BF75+BF78)-BF79</f>
        <v>0</v>
      </c>
      <c r="BG81" s="2865">
        <f>(BG75+BG78)-BG79</f>
        <v>0</v>
      </c>
      <c r="BH81" s="2866">
        <f>(BH75+BH78)-BH79</f>
        <v>0</v>
      </c>
      <c r="BI81" s="2868"/>
      <c r="BJ81" s="2868"/>
      <c r="BK81" s="2865">
        <f>(BK75+BK78)-BK79</f>
        <v>0</v>
      </c>
      <c r="BL81" s="2865">
        <f>(BL75+BL78)-BL79</f>
        <v>0</v>
      </c>
      <c r="BM81" s="2866">
        <f>(BM75+BM78)-BM79</f>
        <v>0</v>
      </c>
      <c r="BN81" s="2868"/>
      <c r="BO81" s="2868"/>
      <c r="BP81" s="2865">
        <f>(BP75+BP78)-BP79</f>
        <v>0</v>
      </c>
      <c r="BQ81" s="2865">
        <f>(BQ75+BQ78)-BQ79</f>
        <v>0</v>
      </c>
      <c r="BR81" s="2866">
        <f>(BR75+BR78)-BR79</f>
        <v>0</v>
      </c>
      <c r="BS81" s="2868"/>
      <c r="BT81" s="2868"/>
      <c r="BU81" s="2865">
        <f>(BU75+BU78)-BU79</f>
        <v>0</v>
      </c>
      <c r="BV81" s="2865">
        <f>(BV75+BV78)-BV79</f>
        <v>0</v>
      </c>
      <c r="BW81" s="2866">
        <f>(BW75+BW78)-BW79</f>
        <v>0</v>
      </c>
      <c r="BX81" s="2868"/>
      <c r="BY81" s="2868"/>
      <c r="BZ81" s="2865">
        <f>(BZ75+BZ78)-BZ79</f>
        <v>0</v>
      </c>
      <c r="CA81" s="2865">
        <f>(CA75+CA78)-CA79</f>
        <v>0</v>
      </c>
      <c r="CB81" s="2866">
        <f>(CB75+CB78)-CB79</f>
        <v>0</v>
      </c>
      <c r="CC81" s="2868"/>
      <c r="CD81" s="3138"/>
      <c r="CE81" s="2865">
        <f>(CE75+CE78)-CE79</f>
        <v>0</v>
      </c>
      <c r="CF81" s="2865">
        <f>(CF75+CF78)-CF79</f>
        <v>0</v>
      </c>
      <c r="CG81" s="2866">
        <f>(CG75+CG78)-CG79</f>
        <v>0</v>
      </c>
      <c r="CH81" s="2868"/>
      <c r="CI81" s="3138"/>
      <c r="CJ81" s="2865">
        <f>(CJ75+CJ78)-CJ79</f>
        <v>0</v>
      </c>
      <c r="CK81" s="2865">
        <f>(CK75+CK78)-CK79</f>
        <v>0</v>
      </c>
      <c r="CL81" s="2866">
        <f>(CL75+CL78)-CL79</f>
        <v>0</v>
      </c>
      <c r="CM81" s="2868"/>
      <c r="CN81" s="3138"/>
      <c r="CO81" s="2865">
        <f>(CO75+CO78)-CO79</f>
        <v>0</v>
      </c>
      <c r="CP81" s="2865">
        <f>(CP75+CP78)-CP79</f>
        <v>0</v>
      </c>
      <c r="CQ81" s="2866">
        <f>(CQ75+CQ78)-CQ79</f>
        <v>0</v>
      </c>
      <c r="CR81" s="2868"/>
      <c r="CS81" s="3138"/>
      <c r="CT81" s="2865">
        <f>(CT75+CT78)-CT79</f>
        <v>0</v>
      </c>
      <c r="CU81" s="2865">
        <f>(CU75+CU78)-CU79</f>
        <v>0</v>
      </c>
      <c r="CV81" s="2866">
        <f>(CV75+CV78)-CV79</f>
        <v>0</v>
      </c>
      <c r="CW81" s="2868"/>
      <c r="CX81" s="3138"/>
      <c r="CY81" s="2865">
        <f>(CY75+CY78)-CY79</f>
        <v>1747463.1185860443</v>
      </c>
      <c r="CZ81" s="2865">
        <f>(CZ75+CZ78)-CZ79</f>
        <v>-382903.17000000004</v>
      </c>
      <c r="DA81" s="2866">
        <f>(DA75+DA78)-DA79</f>
        <v>1364559.9485860444</v>
      </c>
      <c r="DB81" s="2868"/>
      <c r="DC81" s="2868"/>
    </row>
    <row r="82" spans="1:107" s="1411" customFormat="1" ht="13.8" x14ac:dyDescent="0.25">
      <c r="A82" s="1580"/>
      <c r="B82" s="1415" t="s">
        <v>38</v>
      </c>
      <c r="C82" s="3274"/>
      <c r="D82" s="3274"/>
      <c r="E82" s="3332">
        <f>C82+D82</f>
        <v>0</v>
      </c>
      <c r="F82" s="3321"/>
      <c r="G82" s="3321"/>
      <c r="H82" s="3274"/>
      <c r="I82" s="3274"/>
      <c r="J82" s="3332">
        <f>H82+I82</f>
        <v>0</v>
      </c>
      <c r="K82" s="3321"/>
      <c r="L82" s="3321"/>
      <c r="M82" s="3274"/>
      <c r="N82" s="3274"/>
      <c r="O82" s="3332">
        <f>M82+N82</f>
        <v>0</v>
      </c>
      <c r="P82" s="3321"/>
      <c r="Q82" s="3321"/>
      <c r="R82" s="3274"/>
      <c r="S82" s="3274"/>
      <c r="T82" s="3332">
        <f>R82+S82</f>
        <v>0</v>
      </c>
      <c r="U82" s="3321"/>
      <c r="V82" s="3321"/>
      <c r="W82" s="3274"/>
      <c r="X82" s="3274"/>
      <c r="Y82" s="3332">
        <f>W82+X82</f>
        <v>0</v>
      </c>
      <c r="Z82" s="3321"/>
      <c r="AA82" s="3321"/>
      <c r="AB82" s="3274"/>
      <c r="AC82" s="3274"/>
      <c r="AD82" s="3332">
        <f>AB82+AC82</f>
        <v>0</v>
      </c>
      <c r="AE82" s="3321"/>
      <c r="AF82" s="3321"/>
      <c r="AG82" s="3274">
        <v>0</v>
      </c>
      <c r="AH82" s="3274">
        <v>0</v>
      </c>
      <c r="AI82" s="3332">
        <v>0</v>
      </c>
      <c r="AJ82" s="3321"/>
      <c r="AK82" s="3321"/>
      <c r="AL82" s="3274">
        <f>AQ82+AV82+BA82+BF82+BK82+BP82+BU82+BZ82+CE82+CJ82+CO82+CT82</f>
        <v>0</v>
      </c>
      <c r="AM82" s="3274">
        <f>AR82+AW82+BB82+BG82+BL82+BQ82+BV82+CA82+CF82+CK82+CP82+CU82</f>
        <v>0</v>
      </c>
      <c r="AN82" s="3332">
        <f>AL82+AM82</f>
        <v>0</v>
      </c>
      <c r="AO82" s="3321"/>
      <c r="AP82" s="3321"/>
      <c r="AQ82" s="3274"/>
      <c r="AR82" s="3274"/>
      <c r="AS82" s="3332">
        <f>AQ82+AR82</f>
        <v>0</v>
      </c>
      <c r="AT82" s="3321"/>
      <c r="AU82" s="3321"/>
      <c r="AV82" s="3274"/>
      <c r="AW82" s="3274"/>
      <c r="AX82" s="3332">
        <f>AV82+AW82</f>
        <v>0</v>
      </c>
      <c r="AY82" s="3321"/>
      <c r="AZ82" s="3321"/>
      <c r="BA82" s="3274"/>
      <c r="BB82" s="3274"/>
      <c r="BC82" s="3332">
        <f>BA82+BB82</f>
        <v>0</v>
      </c>
      <c r="BD82" s="3321"/>
      <c r="BE82" s="3321"/>
      <c r="BF82" s="3274"/>
      <c r="BG82" s="3274"/>
      <c r="BH82" s="3332">
        <f>BF82+BG82</f>
        <v>0</v>
      </c>
      <c r="BI82" s="3321"/>
      <c r="BJ82" s="3321"/>
      <c r="BK82" s="3274"/>
      <c r="BL82" s="3274"/>
      <c r="BM82" s="3332">
        <f>BK82+BL82</f>
        <v>0</v>
      </c>
      <c r="BN82" s="3321"/>
      <c r="BO82" s="3321"/>
      <c r="BP82" s="3274"/>
      <c r="BQ82" s="3274"/>
      <c r="BR82" s="3332">
        <f>BP82+BQ82</f>
        <v>0</v>
      </c>
      <c r="BS82" s="3321"/>
      <c r="BT82" s="3321"/>
      <c r="BU82" s="3274"/>
      <c r="BV82" s="3274"/>
      <c r="BW82" s="3332">
        <f>BU82+BV82</f>
        <v>0</v>
      </c>
      <c r="BX82" s="3321"/>
      <c r="BY82" s="3321"/>
      <c r="BZ82" s="3274"/>
      <c r="CA82" s="3274"/>
      <c r="CB82" s="3332">
        <f>BZ82+CA82</f>
        <v>0</v>
      </c>
      <c r="CC82" s="3321"/>
      <c r="CD82" s="3321"/>
      <c r="CE82" s="3274"/>
      <c r="CF82" s="3274"/>
      <c r="CG82" s="3332">
        <f>CE82+CF82</f>
        <v>0</v>
      </c>
      <c r="CH82" s="3321"/>
      <c r="CI82" s="3321"/>
      <c r="CJ82" s="3274"/>
      <c r="CK82" s="3274"/>
      <c r="CL82" s="3332">
        <f>CJ82+CK82</f>
        <v>0</v>
      </c>
      <c r="CM82" s="3321"/>
      <c r="CN82" s="3321"/>
      <c r="CO82" s="3274"/>
      <c r="CP82" s="3274"/>
      <c r="CQ82" s="3332">
        <f>CO82+CP82</f>
        <v>0</v>
      </c>
      <c r="CR82" s="3321"/>
      <c r="CS82" s="3321"/>
      <c r="CT82" s="3274"/>
      <c r="CU82" s="3274"/>
      <c r="CV82" s="3332">
        <f>CT82+CU82</f>
        <v>0</v>
      </c>
      <c r="CW82" s="3321"/>
      <c r="CX82" s="3321"/>
      <c r="CY82" s="3274">
        <f>C82+H82+M82+R82+W82+AB82+AQ82+AV82+BA82+BF82+BK82+BP82+BU82+BZ82+CE82+CJ82+CO82+CT82+AG82</f>
        <v>0</v>
      </c>
      <c r="CZ82" s="3274">
        <f>D82+I82+N82+S82+X82+AC82+AR82+AW82+BB82+BG82+BL82+BQ82+BV82+CA82+CF82+CK82+CP82+CU82+AH82</f>
        <v>0</v>
      </c>
      <c r="DA82" s="3332">
        <f>CY82+CZ82*1</f>
        <v>0</v>
      </c>
      <c r="DB82" s="3321"/>
      <c r="DC82" s="3321"/>
    </row>
    <row r="83" spans="1:107" s="1411" customFormat="1" ht="14.4" thickBot="1" x14ac:dyDescent="0.3">
      <c r="A83" s="1420"/>
      <c r="B83" s="3337" t="s">
        <v>13</v>
      </c>
      <c r="C83" s="3338">
        <f>(C81+C7)-C36</f>
        <v>195941.51264367814</v>
      </c>
      <c r="D83" s="3338">
        <f>(D81+D7)-D36</f>
        <v>-45587.380000000005</v>
      </c>
      <c r="E83" s="3339">
        <f>(E81+E7)-E36</f>
        <v>150354.13264367814</v>
      </c>
      <c r="F83" s="3340"/>
      <c r="G83" s="3340"/>
      <c r="H83" s="3338">
        <f>(H81+H7)-H36</f>
        <v>233848.08394871888</v>
      </c>
      <c r="I83" s="3338">
        <f>(I81+I7)-I36</f>
        <v>-43309.03</v>
      </c>
      <c r="J83" s="3339">
        <f>(J81+J7)-J36</f>
        <v>190539.05394871885</v>
      </c>
      <c r="K83" s="3340"/>
      <c r="L83" s="3340"/>
      <c r="M83" s="3338">
        <f>(M81+M7)-M36</f>
        <v>176469.01518703971</v>
      </c>
      <c r="N83" s="3338">
        <f>(N81+N7)-N36</f>
        <v>-40536</v>
      </c>
      <c r="O83" s="3339">
        <f>(O81+O7)-O36</f>
        <v>135933.01518703971</v>
      </c>
      <c r="P83" s="3340"/>
      <c r="Q83" s="3340"/>
      <c r="R83" s="3338">
        <f>(R81+R7)-R36</f>
        <v>301961.61176368844</v>
      </c>
      <c r="S83" s="3338">
        <f>(S81+S7)-S36</f>
        <v>115408.40000000001</v>
      </c>
      <c r="T83" s="3339">
        <f>(T81+T7)-T36</f>
        <v>417370.01176368841</v>
      </c>
      <c r="U83" s="3340"/>
      <c r="V83" s="3340"/>
      <c r="W83" s="3338">
        <f>(W81+W7)-W36</f>
        <v>210215.56853932588</v>
      </c>
      <c r="X83" s="3338">
        <f>(X81+X7)-X36</f>
        <v>-48277.9</v>
      </c>
      <c r="Y83" s="3339">
        <f>(Y81+Y7)-Y36</f>
        <v>161937.66853932588</v>
      </c>
      <c r="Z83" s="3340"/>
      <c r="AA83" s="3340"/>
      <c r="AB83" s="3338">
        <f>(AB81+AB7)-AB36</f>
        <v>125152.31499574665</v>
      </c>
      <c r="AC83" s="3338">
        <f>(AC81+AC7)-AC36</f>
        <v>-63551</v>
      </c>
      <c r="AD83" s="3339">
        <f>(AD81+AD7)-AD36</f>
        <v>61601.314995746616</v>
      </c>
      <c r="AE83" s="3340"/>
      <c r="AF83" s="3340"/>
      <c r="AG83" s="3338">
        <v>503875.01150784671</v>
      </c>
      <c r="AH83" s="3338">
        <v>-257050.26</v>
      </c>
      <c r="AI83" s="3338">
        <v>246824.7515078467</v>
      </c>
      <c r="AJ83" s="3340"/>
      <c r="AK83" s="3340"/>
      <c r="AL83" s="3338">
        <f>AL81-AL36</f>
        <v>0</v>
      </c>
      <c r="AM83" s="3338">
        <f>AM81-AM36</f>
        <v>0</v>
      </c>
      <c r="AN83" s="3338">
        <f>AN81-AN36</f>
        <v>0</v>
      </c>
      <c r="AO83" s="3340"/>
      <c r="AP83" s="3340"/>
      <c r="AQ83" s="3338">
        <f>(AQ81+AQ7)-AQ36</f>
        <v>0</v>
      </c>
      <c r="AR83" s="3338">
        <f>(AR81+AR7)-AR36</f>
        <v>0</v>
      </c>
      <c r="AS83" s="3339">
        <f>(AS81+AS7)-AS36</f>
        <v>0</v>
      </c>
      <c r="AT83" s="3340"/>
      <c r="AU83" s="3340"/>
      <c r="AV83" s="3338">
        <f>(AV81+AV7)-AV36</f>
        <v>0</v>
      </c>
      <c r="AW83" s="3338">
        <f>(AW81+AW7)-AW36</f>
        <v>0</v>
      </c>
      <c r="AX83" s="3339">
        <f>(AX81+AX7)-AX36</f>
        <v>0</v>
      </c>
      <c r="AY83" s="3340"/>
      <c r="AZ83" s="3340"/>
      <c r="BA83" s="3338">
        <f>(BA81+BA7)-BA36</f>
        <v>0</v>
      </c>
      <c r="BB83" s="3338">
        <f>(BB81+BB7)-BB36</f>
        <v>0</v>
      </c>
      <c r="BC83" s="3339">
        <f>(BC81+BC7)-BC36</f>
        <v>0</v>
      </c>
      <c r="BD83" s="3340"/>
      <c r="BE83" s="3340"/>
      <c r="BF83" s="3338">
        <f>(BF81+BF7)-BF36</f>
        <v>0</v>
      </c>
      <c r="BG83" s="3338">
        <f>(BG81+BG7)-BG36</f>
        <v>0</v>
      </c>
      <c r="BH83" s="3339">
        <f>(BH81+BH7)-BH36</f>
        <v>0</v>
      </c>
      <c r="BI83" s="3340"/>
      <c r="BJ83" s="3340"/>
      <c r="BK83" s="3338">
        <f>(BK81+BK7)-BK36</f>
        <v>0</v>
      </c>
      <c r="BL83" s="3338">
        <f>(BL81+BL7)-BL36</f>
        <v>0</v>
      </c>
      <c r="BM83" s="3339">
        <f>(BM81+BM7)-BM36</f>
        <v>0</v>
      </c>
      <c r="BN83" s="3340"/>
      <c r="BO83" s="3340"/>
      <c r="BP83" s="3338">
        <f>(BP81+BP7)-BP36</f>
        <v>0</v>
      </c>
      <c r="BQ83" s="3338">
        <f>(BQ81+BQ7)-BQ36</f>
        <v>0</v>
      </c>
      <c r="BR83" s="3339">
        <f>(BR81+BR7)-BR36</f>
        <v>0</v>
      </c>
      <c r="BS83" s="3340"/>
      <c r="BT83" s="3340"/>
      <c r="BU83" s="3338">
        <f>(BU81+BU7)-BU36</f>
        <v>0</v>
      </c>
      <c r="BV83" s="3338">
        <f>(BV81+BV7)-BV36</f>
        <v>0</v>
      </c>
      <c r="BW83" s="3339">
        <f>(BW81+BW7)-BW36</f>
        <v>0</v>
      </c>
      <c r="BX83" s="3340"/>
      <c r="BY83" s="3340"/>
      <c r="BZ83" s="3338">
        <f>(BZ81+BZ7)-BZ36</f>
        <v>0</v>
      </c>
      <c r="CA83" s="3338">
        <f>(CA81+CA7)-CA36</f>
        <v>0</v>
      </c>
      <c r="CB83" s="3339">
        <f>(CB81+CB7)-CB36</f>
        <v>0</v>
      </c>
      <c r="CC83" s="3340"/>
      <c r="CD83" s="3341"/>
      <c r="CE83" s="3338">
        <f>(CE81+CE7)-CE36</f>
        <v>0</v>
      </c>
      <c r="CF83" s="3338">
        <f>(CF81+CF7)-CF36</f>
        <v>0</v>
      </c>
      <c r="CG83" s="3339">
        <f>(CG81+CG7)-CG36</f>
        <v>0</v>
      </c>
      <c r="CH83" s="3340"/>
      <c r="CI83" s="3341"/>
      <c r="CJ83" s="3338">
        <f>(CJ81+CJ7)-CJ36</f>
        <v>0</v>
      </c>
      <c r="CK83" s="3338">
        <f>(CK81+CK7)-CK36</f>
        <v>0</v>
      </c>
      <c r="CL83" s="3339">
        <f>(CL81+CL7)-CL36</f>
        <v>0</v>
      </c>
      <c r="CM83" s="3340"/>
      <c r="CN83" s="3341"/>
      <c r="CO83" s="3338">
        <f>(CO81+CO7)-CO36</f>
        <v>0</v>
      </c>
      <c r="CP83" s="3338">
        <f>(CP81+CP7)-CP36</f>
        <v>0</v>
      </c>
      <c r="CQ83" s="3339">
        <f>(CQ81+CQ7)-CQ36</f>
        <v>0</v>
      </c>
      <c r="CR83" s="3340"/>
      <c r="CS83" s="3341"/>
      <c r="CT83" s="3338">
        <f>(CT81+CT7)-CT36</f>
        <v>0</v>
      </c>
      <c r="CU83" s="3338">
        <f>(CU81+CU7)-CU36</f>
        <v>0</v>
      </c>
      <c r="CV83" s="3339">
        <f>(CV81+CV7)-CV36</f>
        <v>0</v>
      </c>
      <c r="CW83" s="3340"/>
      <c r="CX83" s="3341"/>
      <c r="CY83" s="3338">
        <f>(CY81)-CY36</f>
        <v>1747463.1185860443</v>
      </c>
      <c r="CZ83" s="3338">
        <f>(CZ81)-CZ36</f>
        <v>-382903.17000000004</v>
      </c>
      <c r="DA83" s="3339">
        <f>(DA81)-DA36</f>
        <v>1364559.9485860444</v>
      </c>
      <c r="DB83" s="3340"/>
      <c r="DC83" s="3340"/>
    </row>
    <row r="84" spans="1:107" s="1411" customFormat="1" ht="14.4" thickBot="1" x14ac:dyDescent="0.3">
      <c r="A84" s="1420"/>
      <c r="B84" s="3368" t="s">
        <v>14</v>
      </c>
      <c r="C84" s="3344">
        <f>C83-C73-C82</f>
        <v>195941.51264367814</v>
      </c>
      <c r="D84" s="3344">
        <f>D83-D73-D82</f>
        <v>-45587.380000000005</v>
      </c>
      <c r="E84" s="3344">
        <f>E83-E73-E82</f>
        <v>150354.13264367814</v>
      </c>
      <c r="F84" s="3345"/>
      <c r="G84" s="3345"/>
      <c r="H84" s="3344">
        <f>H83-H73-H82</f>
        <v>233848.08394871888</v>
      </c>
      <c r="I84" s="3344">
        <f>I83-I73-I82</f>
        <v>-43309.03</v>
      </c>
      <c r="J84" s="3344">
        <f>J83-J73-J82</f>
        <v>190539.05394871885</v>
      </c>
      <c r="K84" s="3345"/>
      <c r="L84" s="3345"/>
      <c r="M84" s="3344">
        <f>M83-M73-M82</f>
        <v>176469.01518703971</v>
      </c>
      <c r="N84" s="3344">
        <f>N83-N73-N82</f>
        <v>-40536</v>
      </c>
      <c r="O84" s="3344">
        <f>O83-O73-O82</f>
        <v>135933.01518703971</v>
      </c>
      <c r="P84" s="3345"/>
      <c r="Q84" s="3345"/>
      <c r="R84" s="3344">
        <f>R83-R73-R82</f>
        <v>301961.61176368844</v>
      </c>
      <c r="S84" s="3344">
        <f>S83-S73-S82</f>
        <v>115408.40000000001</v>
      </c>
      <c r="T84" s="3344">
        <f>T83-T73-T82</f>
        <v>417370.01176368841</v>
      </c>
      <c r="U84" s="3345"/>
      <c r="V84" s="3345"/>
      <c r="W84" s="3344">
        <f>W83-W73-W82</f>
        <v>210215.56853932588</v>
      </c>
      <c r="X84" s="3344">
        <f>X83-X73-X82</f>
        <v>-48277.9</v>
      </c>
      <c r="Y84" s="3344">
        <f>Y83-Y73-Y82</f>
        <v>161937.66853932588</v>
      </c>
      <c r="Z84" s="3345"/>
      <c r="AA84" s="3345"/>
      <c r="AB84" s="3344">
        <f>AB83-AB73-AB82</f>
        <v>125152.31499574665</v>
      </c>
      <c r="AC84" s="3344">
        <f>AC83-AC73-AC82</f>
        <v>-63551</v>
      </c>
      <c r="AD84" s="3344">
        <f>AD83-AD73-AD82</f>
        <v>61601.314995746616</v>
      </c>
      <c r="AE84" s="3345"/>
      <c r="AF84" s="3345"/>
      <c r="AG84" s="2873">
        <v>503875.01150784671</v>
      </c>
      <c r="AH84" s="2873">
        <v>-257050.26</v>
      </c>
      <c r="AI84" s="3344">
        <v>246824.7515078467</v>
      </c>
      <c r="AJ84" s="3345"/>
      <c r="AK84" s="3345"/>
      <c r="AL84" s="2873">
        <f>AL83-AL73-AL82</f>
        <v>0</v>
      </c>
      <c r="AM84" s="2873">
        <f>AM83-AM73-AM82</f>
        <v>0</v>
      </c>
      <c r="AN84" s="3344">
        <f>AN83-AN73-AN82</f>
        <v>0</v>
      </c>
      <c r="AO84" s="3345"/>
      <c r="AP84" s="3345"/>
      <c r="AQ84" s="3344">
        <f>AQ83-AQ73-AQ82</f>
        <v>0</v>
      </c>
      <c r="AR84" s="3344">
        <f>AR83-AR73-AR82</f>
        <v>0</v>
      </c>
      <c r="AS84" s="3344">
        <f>AS83-AS73-AS82</f>
        <v>0</v>
      </c>
      <c r="AT84" s="3345"/>
      <c r="AU84" s="3345"/>
      <c r="AV84" s="3344">
        <f>AV83-AV73-AV82</f>
        <v>0</v>
      </c>
      <c r="AW84" s="3344">
        <f>AW83-AW73-AW82</f>
        <v>0</v>
      </c>
      <c r="AX84" s="3344">
        <f>AX83-AX73-AX82</f>
        <v>0</v>
      </c>
      <c r="AY84" s="3345"/>
      <c r="AZ84" s="3345"/>
      <c r="BA84" s="3344">
        <f>BA83-BA73-BA82</f>
        <v>0</v>
      </c>
      <c r="BB84" s="3344">
        <f>BB83-BB73-BB82</f>
        <v>0</v>
      </c>
      <c r="BC84" s="3344">
        <f>BC83-BC73-BC82</f>
        <v>0</v>
      </c>
      <c r="BD84" s="3345"/>
      <c r="BE84" s="3345"/>
      <c r="BF84" s="3344">
        <f>BF83-BF73-BF82</f>
        <v>0</v>
      </c>
      <c r="BG84" s="3344">
        <f>BG83-BG73-BG82</f>
        <v>0</v>
      </c>
      <c r="BH84" s="3344">
        <f>BH83-BH73-BH82</f>
        <v>0</v>
      </c>
      <c r="BI84" s="3345"/>
      <c r="BJ84" s="3345"/>
      <c r="BK84" s="3344">
        <f>BK83-BK73-BK82</f>
        <v>0</v>
      </c>
      <c r="BL84" s="3344">
        <f>BL83-BL73-BL82</f>
        <v>0</v>
      </c>
      <c r="BM84" s="3344">
        <f>BM83-BM73-BM82</f>
        <v>0</v>
      </c>
      <c r="BN84" s="3345"/>
      <c r="BO84" s="3345"/>
      <c r="BP84" s="3344">
        <f>BP83-BP73-BP82</f>
        <v>0</v>
      </c>
      <c r="BQ84" s="3344">
        <f>BQ83-BQ73-BQ82</f>
        <v>0</v>
      </c>
      <c r="BR84" s="3344">
        <f>BR83-BR73-BR82</f>
        <v>0</v>
      </c>
      <c r="BS84" s="3345"/>
      <c r="BT84" s="3345"/>
      <c r="BU84" s="3344">
        <f>BU83-BU73-BU82</f>
        <v>0</v>
      </c>
      <c r="BV84" s="3344">
        <f>BV83-BV73-BV82</f>
        <v>0</v>
      </c>
      <c r="BW84" s="3344">
        <f>BW83-BW73-BW82</f>
        <v>0</v>
      </c>
      <c r="BX84" s="2874"/>
      <c r="BY84" s="3342"/>
      <c r="BZ84" s="3344">
        <f>BZ83-BZ73-BZ82</f>
        <v>0</v>
      </c>
      <c r="CA84" s="3344">
        <f>CA83-CA73-CA82</f>
        <v>0</v>
      </c>
      <c r="CB84" s="3344">
        <f>CB83-CB73-CB82</f>
        <v>0</v>
      </c>
      <c r="CC84" s="2874"/>
      <c r="CD84" s="3343"/>
      <c r="CE84" s="3344">
        <f>CE83-CE73-CE82</f>
        <v>0</v>
      </c>
      <c r="CF84" s="3344">
        <f>CF83-CF73-CF82</f>
        <v>0</v>
      </c>
      <c r="CG84" s="3344">
        <f>CG83-CG73-CG82</f>
        <v>0</v>
      </c>
      <c r="CH84" s="2874"/>
      <c r="CI84" s="3343"/>
      <c r="CJ84" s="3344">
        <f>CJ83-CJ73-CJ82</f>
        <v>0</v>
      </c>
      <c r="CK84" s="3344">
        <f>CK83-CK73-CK82</f>
        <v>0</v>
      </c>
      <c r="CL84" s="3344">
        <f>CL83-CL73-CL82</f>
        <v>0</v>
      </c>
      <c r="CM84" s="2874"/>
      <c r="CN84" s="3343"/>
      <c r="CO84" s="3344">
        <f>CO83-CO73-CO82</f>
        <v>0</v>
      </c>
      <c r="CP84" s="3344">
        <f>CP83-CP73-CP82</f>
        <v>0</v>
      </c>
      <c r="CQ84" s="3344">
        <f>CQ83-CQ73-CQ82</f>
        <v>0</v>
      </c>
      <c r="CR84" s="2874"/>
      <c r="CS84" s="3343"/>
      <c r="CT84" s="3344">
        <f>CT83-CT73-CT82</f>
        <v>0</v>
      </c>
      <c r="CU84" s="3344">
        <f>CU83-CU73-CU82</f>
        <v>0</v>
      </c>
      <c r="CV84" s="3344">
        <f>CV83-CV73-CV82</f>
        <v>0</v>
      </c>
      <c r="CW84" s="2874"/>
      <c r="CX84" s="3343"/>
      <c r="CY84" s="2873">
        <f>CY83-CY73-CY82</f>
        <v>1747463.1185860443</v>
      </c>
      <c r="CZ84" s="2873">
        <f>CZ83-CZ73-CZ82</f>
        <v>-382903.17000000004</v>
      </c>
      <c r="DA84" s="3344">
        <f>DA83-DA73-DA82</f>
        <v>1364559.9485860444</v>
      </c>
      <c r="DB84" s="3345"/>
      <c r="DC84" s="3345"/>
    </row>
    <row r="85" spans="1:107" s="1411" customFormat="1" ht="13.8" x14ac:dyDescent="0.25">
      <c r="A85" s="1580"/>
      <c r="B85" s="1415" t="s">
        <v>44</v>
      </c>
      <c r="C85" s="3280"/>
      <c r="D85" s="3280"/>
      <c r="E85" s="2141">
        <f>C85+D85*1.15</f>
        <v>0</v>
      </c>
      <c r="F85" s="3352"/>
      <c r="G85" s="3352"/>
      <c r="H85" s="3280"/>
      <c r="I85" s="3280"/>
      <c r="J85" s="2141">
        <f>H85+I85*1.15</f>
        <v>0</v>
      </c>
      <c r="K85" s="3352"/>
      <c r="L85" s="3352"/>
      <c r="M85" s="3280"/>
      <c r="N85" s="3280"/>
      <c r="O85" s="2141">
        <f>M85+N85*1.15</f>
        <v>0</v>
      </c>
      <c r="P85" s="3352"/>
      <c r="Q85" s="3352"/>
      <c r="R85" s="3280"/>
      <c r="S85" s="3280"/>
      <c r="T85" s="2141">
        <f>R85+S85*1.15</f>
        <v>0</v>
      </c>
      <c r="U85" s="3352"/>
      <c r="V85" s="3352"/>
      <c r="W85" s="3280"/>
      <c r="X85" s="3280"/>
      <c r="Y85" s="2141">
        <f>W85+X85*1.15</f>
        <v>0</v>
      </c>
      <c r="Z85" s="3352"/>
      <c r="AA85" s="3352"/>
      <c r="AB85" s="3280"/>
      <c r="AC85" s="3280"/>
      <c r="AD85" s="2141">
        <f>AB85+AC85*1.15</f>
        <v>0</v>
      </c>
      <c r="AE85" s="3352"/>
      <c r="AF85" s="3352"/>
      <c r="AG85" s="3274">
        <v>0</v>
      </c>
      <c r="AH85" s="3274">
        <v>0</v>
      </c>
      <c r="AI85" s="2141">
        <v>0</v>
      </c>
      <c r="AJ85" s="3352"/>
      <c r="AK85" s="3352"/>
      <c r="AL85" s="3274">
        <f>AQ85+AV85+BA85+BF85+BK85+BP85+BU85+BZ85+CE85+CJ85+CO85+CT85</f>
        <v>0</v>
      </c>
      <c r="AM85" s="3274">
        <f>AR85+AW85+BB85+BG85+BL85+BQ85+BV85+CA85+CF85+CK85+CP85+CU85</f>
        <v>0</v>
      </c>
      <c r="AN85" s="2141">
        <f>AL85+AM85*1.15</f>
        <v>0</v>
      </c>
      <c r="AO85" s="3352"/>
      <c r="AP85" s="3352"/>
      <c r="AQ85" s="3280"/>
      <c r="AR85" s="3280"/>
      <c r="AS85" s="2141">
        <f>AQ85+AR85*1.15</f>
        <v>0</v>
      </c>
      <c r="AT85" s="3352"/>
      <c r="AU85" s="3352"/>
      <c r="AV85" s="3280"/>
      <c r="AW85" s="3280"/>
      <c r="AX85" s="2141">
        <v>0</v>
      </c>
      <c r="AY85" s="3352"/>
      <c r="AZ85" s="3369"/>
      <c r="BA85" s="3280"/>
      <c r="BB85" s="3280"/>
      <c r="BC85" s="2141"/>
      <c r="BD85" s="3352"/>
      <c r="BE85" s="3370"/>
      <c r="BF85" s="3280"/>
      <c r="BG85" s="3383"/>
      <c r="BH85" s="1358"/>
      <c r="BI85" s="3372"/>
      <c r="BJ85" s="3369"/>
      <c r="BK85" s="3280"/>
      <c r="BL85" s="3371">
        <f>(BM38/2*0.885+BH38)*0</f>
        <v>0</v>
      </c>
      <c r="BM85" s="1358"/>
      <c r="BN85" s="3372"/>
      <c r="BO85" s="3369"/>
      <c r="BP85" s="3280"/>
      <c r="BQ85" s="3371">
        <f>(BR38/2*0.885+BM38)*0</f>
        <v>0</v>
      </c>
      <c r="BR85" s="1358"/>
      <c r="BS85" s="3372"/>
      <c r="BT85" s="3369"/>
      <c r="BU85" s="3280"/>
      <c r="BV85" s="3373"/>
      <c r="BW85" s="1874">
        <f>BU85+BV85</f>
        <v>0</v>
      </c>
      <c r="BX85" s="3351"/>
      <c r="BZ85" s="3280"/>
      <c r="CA85" s="3373"/>
      <c r="CB85" s="1874">
        <f>BZ85+CA85</f>
        <v>0</v>
      </c>
      <c r="CC85" s="3351"/>
      <c r="CE85" s="3280"/>
      <c r="CF85" s="3373"/>
      <c r="CG85" s="1874">
        <f>CE85+CF85</f>
        <v>0</v>
      </c>
      <c r="CH85" s="3351"/>
      <c r="CJ85" s="3280"/>
      <c r="CK85" s="3373"/>
      <c r="CL85" s="1874">
        <f>CJ85+CK85</f>
        <v>0</v>
      </c>
      <c r="CM85" s="3351"/>
      <c r="CO85" s="3280"/>
      <c r="CP85" s="3373"/>
      <c r="CQ85" s="1874">
        <f>CO85+CP85</f>
        <v>0</v>
      </c>
      <c r="CR85" s="3351"/>
      <c r="CT85" s="3280"/>
      <c r="CU85" s="3373"/>
      <c r="CV85" s="1874">
        <f>CT85+CU85</f>
        <v>0</v>
      </c>
      <c r="CW85" s="3351"/>
      <c r="CY85" s="3274">
        <f>C85+H85+M85+R85+W85+AB85+AQ85+AV85+BA85+BF85+BK85+BP85+BU85+BZ85+CE85+CJ85+CO85+CT85+AG85</f>
        <v>0</v>
      </c>
      <c r="CZ85" s="3274">
        <f>D85+I85+N85+S85+X85+AC85+AR85+AW85+BB85+BG85+BL85+BQ85+BV85+CA85+CF85+CK85+CP85+CU85+AH85</f>
        <v>0</v>
      </c>
      <c r="DA85" s="2141">
        <f>CY85+CZ85*1.15</f>
        <v>0</v>
      </c>
      <c r="DB85" s="3352"/>
      <c r="DC85" s="3352"/>
    </row>
    <row r="86" spans="1:107" s="1411" customFormat="1" ht="27.6" x14ac:dyDescent="0.25">
      <c r="A86" s="1420"/>
      <c r="B86" s="3353" t="s">
        <v>50</v>
      </c>
      <c r="C86" s="3354">
        <f>C84-C85</f>
        <v>195941.51264367814</v>
      </c>
      <c r="D86" s="3354">
        <f>D84-D85</f>
        <v>-45587.380000000005</v>
      </c>
      <c r="E86" s="3354">
        <f>E84-E85</f>
        <v>150354.13264367814</v>
      </c>
      <c r="F86" s="3355"/>
      <c r="G86" s="3355"/>
      <c r="H86" s="3354">
        <f>H84-H85</f>
        <v>233848.08394871888</v>
      </c>
      <c r="I86" s="3354">
        <f>I84-I85</f>
        <v>-43309.03</v>
      </c>
      <c r="J86" s="3354">
        <f>J84-J85</f>
        <v>190539.05394871885</v>
      </c>
      <c r="K86" s="3355"/>
      <c r="L86" s="3355"/>
      <c r="M86" s="3354">
        <f>M84-M85</f>
        <v>176469.01518703971</v>
      </c>
      <c r="N86" s="3354">
        <f>N84-N85</f>
        <v>-40536</v>
      </c>
      <c r="O86" s="3354">
        <f>O84-O85</f>
        <v>135933.01518703971</v>
      </c>
      <c r="P86" s="3355"/>
      <c r="Q86" s="3355"/>
      <c r="R86" s="3354">
        <f>R84-R85</f>
        <v>301961.61176368844</v>
      </c>
      <c r="S86" s="3354">
        <f>S84-S85</f>
        <v>115408.40000000001</v>
      </c>
      <c r="T86" s="3354">
        <f>T84-T85</f>
        <v>417370.01176368841</v>
      </c>
      <c r="U86" s="3355"/>
      <c r="V86" s="3355"/>
      <c r="W86" s="3354">
        <f>W84-W85</f>
        <v>210215.56853932588</v>
      </c>
      <c r="X86" s="3354">
        <f>X84-X85</f>
        <v>-48277.9</v>
      </c>
      <c r="Y86" s="3354">
        <f>Y84-Y85</f>
        <v>161937.66853932588</v>
      </c>
      <c r="Z86" s="3355"/>
      <c r="AA86" s="3355"/>
      <c r="AB86" s="3354">
        <f>AB84-AB85</f>
        <v>125152.31499574665</v>
      </c>
      <c r="AC86" s="3354">
        <f>AC84-AC85</f>
        <v>-63551</v>
      </c>
      <c r="AD86" s="3354">
        <f>AD84-AD85</f>
        <v>61601.314995746616</v>
      </c>
      <c r="AE86" s="3355"/>
      <c r="AF86" s="3355"/>
      <c r="AG86" s="3354">
        <v>503875.01150784671</v>
      </c>
      <c r="AH86" s="3354">
        <v>-257050.26</v>
      </c>
      <c r="AI86" s="3354">
        <v>246824.7515078467</v>
      </c>
      <c r="AJ86" s="3355"/>
      <c r="AK86" s="3355"/>
      <c r="AL86" s="3354">
        <f>AL84-AL85</f>
        <v>0</v>
      </c>
      <c r="AM86" s="3354">
        <f>AM84-AM85</f>
        <v>0</v>
      </c>
      <c r="AN86" s="3354">
        <f>AN84-AN85</f>
        <v>0</v>
      </c>
      <c r="AO86" s="3355"/>
      <c r="AP86" s="3355"/>
      <c r="AQ86" s="3354">
        <f>AQ84-AQ85</f>
        <v>0</v>
      </c>
      <c r="AR86" s="3354">
        <f>AR84-AR85</f>
        <v>0</v>
      </c>
      <c r="AS86" s="3354">
        <f>AS84-AS85</f>
        <v>0</v>
      </c>
      <c r="AT86" s="3355"/>
      <c r="AU86" s="3355"/>
      <c r="AV86" s="3354">
        <f>AV84-AV85</f>
        <v>0</v>
      </c>
      <c r="AW86" s="3354">
        <f>AW84-AW85</f>
        <v>0</v>
      </c>
      <c r="AX86" s="3354">
        <f>AX84-AX85</f>
        <v>0</v>
      </c>
      <c r="AY86" s="3355"/>
      <c r="AZ86" s="3355"/>
      <c r="BA86" s="3354">
        <f>BA84-BA85</f>
        <v>0</v>
      </c>
      <c r="BB86" s="3354">
        <f>BB84-BB85</f>
        <v>0</v>
      </c>
      <c r="BC86" s="3354">
        <f>BC84</f>
        <v>0</v>
      </c>
      <c r="BD86" s="3355"/>
      <c r="BE86" s="3355"/>
      <c r="BF86" s="3354">
        <f>BF84-BF85</f>
        <v>0</v>
      </c>
      <c r="BG86" s="3354">
        <f>BG84-BG85</f>
        <v>0</v>
      </c>
      <c r="BH86" s="3354">
        <f>BH84</f>
        <v>0</v>
      </c>
      <c r="BI86" s="3355"/>
      <c r="BJ86" s="3355"/>
      <c r="BK86" s="3354">
        <f>BK84-BK85</f>
        <v>0</v>
      </c>
      <c r="BL86" s="3354">
        <f>BL84-BL85</f>
        <v>0</v>
      </c>
      <c r="BM86" s="3354">
        <f>BM84</f>
        <v>0</v>
      </c>
      <c r="BN86" s="3355"/>
      <c r="BO86" s="3355"/>
      <c r="BP86" s="3354">
        <f>BP84-BP85</f>
        <v>0</v>
      </c>
      <c r="BQ86" s="3354">
        <f>BQ84-BQ85</f>
        <v>0</v>
      </c>
      <c r="BR86" s="3354">
        <f>BR84</f>
        <v>0</v>
      </c>
      <c r="BS86" s="3355"/>
      <c r="BT86" s="3355"/>
      <c r="BU86" s="3354">
        <f>BU84-BU85</f>
        <v>0</v>
      </c>
      <c r="BV86" s="3354">
        <f>BV84-BV85</f>
        <v>0</v>
      </c>
      <c r="BW86" s="3354">
        <f>BW84-BW85</f>
        <v>0</v>
      </c>
      <c r="BX86" s="3355"/>
      <c r="BY86" s="3355"/>
      <c r="BZ86" s="3354">
        <f>BZ84-BZ85</f>
        <v>0</v>
      </c>
      <c r="CA86" s="3354">
        <f>CA84-CA85</f>
        <v>0</v>
      </c>
      <c r="CB86" s="3354">
        <f>CB84-CB85</f>
        <v>0</v>
      </c>
      <c r="CC86" s="3355"/>
      <c r="CD86" s="3355"/>
      <c r="CE86" s="3354">
        <f>CE84-CE85</f>
        <v>0</v>
      </c>
      <c r="CF86" s="3354">
        <f>CF84-CF85</f>
        <v>0</v>
      </c>
      <c r="CG86" s="3354">
        <f>CG84-CG85</f>
        <v>0</v>
      </c>
      <c r="CH86" s="3355"/>
      <c r="CI86" s="3355"/>
      <c r="CJ86" s="3354">
        <f>CJ84-CJ85</f>
        <v>0</v>
      </c>
      <c r="CK86" s="3354">
        <f>CK84-CK85</f>
        <v>0</v>
      </c>
      <c r="CL86" s="3354">
        <f>CL84-CL85</f>
        <v>0</v>
      </c>
      <c r="CM86" s="3355"/>
      <c r="CN86" s="3355"/>
      <c r="CO86" s="3354">
        <f>CO84-CO85</f>
        <v>0</v>
      </c>
      <c r="CP86" s="3354">
        <f>CP84-CP85</f>
        <v>0</v>
      </c>
      <c r="CQ86" s="3354">
        <f>CQ84-CQ85</f>
        <v>0</v>
      </c>
      <c r="CR86" s="3355"/>
      <c r="CS86" s="3355"/>
      <c r="CT86" s="3354">
        <f>CT84-CT85</f>
        <v>0</v>
      </c>
      <c r="CU86" s="3354">
        <f>CU84-CU85</f>
        <v>0</v>
      </c>
      <c r="CV86" s="3354">
        <f>CV84-CV85</f>
        <v>0</v>
      </c>
      <c r="CW86" s="3355"/>
      <c r="CX86" s="3355"/>
      <c r="CY86" s="3354">
        <f>CY84-CY85</f>
        <v>1747463.1185860443</v>
      </c>
      <c r="CZ86" s="3354">
        <f>CZ84-CZ85</f>
        <v>-382903.17000000004</v>
      </c>
      <c r="DA86" s="3354">
        <f>DA84-DA85</f>
        <v>1364559.9485860444</v>
      </c>
      <c r="DB86" s="3355"/>
      <c r="DC86" s="3355"/>
    </row>
    <row r="87" spans="1:107" s="1411" customFormat="1" ht="14.4" thickBot="1" x14ac:dyDescent="0.3">
      <c r="A87" s="1582"/>
      <c r="B87" s="3356" t="s">
        <v>51</v>
      </c>
      <c r="C87" s="2877">
        <f>C86/C5</f>
        <v>0.613665373128085</v>
      </c>
      <c r="D87" s="2878" t="e">
        <f>D86/D5</f>
        <v>#DIV/0!</v>
      </c>
      <c r="E87" s="2879">
        <f>E86/E5</f>
        <v>0.47089115351437105</v>
      </c>
      <c r="F87" s="2881"/>
      <c r="G87" s="2881"/>
      <c r="H87" s="2877">
        <f>H86/H5</f>
        <v>0.64828811570644307</v>
      </c>
      <c r="I87" s="2878" t="e">
        <f>I86/I5</f>
        <v>#DIV/0!</v>
      </c>
      <c r="J87" s="2879">
        <f>J86/J5</f>
        <v>0.52822414521040584</v>
      </c>
      <c r="K87" s="2881"/>
      <c r="L87" s="2881"/>
      <c r="M87" s="2877">
        <f>M86/M5</f>
        <v>0.54215584014205964</v>
      </c>
      <c r="N87" s="2878" t="e">
        <f>N86/N5</f>
        <v>#DIV/0!</v>
      </c>
      <c r="O87" s="2879">
        <f>O86/O5</f>
        <v>0.4176193649273866</v>
      </c>
      <c r="P87" s="2881"/>
      <c r="Q87" s="2881"/>
      <c r="R87" s="2877">
        <f>R86/R5</f>
        <v>0.70004522997783836</v>
      </c>
      <c r="S87" s="2878">
        <f>S86/S5</f>
        <v>0.69416916284720975</v>
      </c>
      <c r="T87" s="2879">
        <f>T86/T5</f>
        <v>0.69841049120006227</v>
      </c>
      <c r="U87" s="2881"/>
      <c r="V87" s="2881"/>
      <c r="W87" s="2877">
        <f>W86/W5</f>
        <v>0.60701236359497801</v>
      </c>
      <c r="X87" s="2878" t="e">
        <f>X86/X5</f>
        <v>#DIV/0!</v>
      </c>
      <c r="Y87" s="2879">
        <f>Y86/Y5</f>
        <v>0.46760650325823649</v>
      </c>
      <c r="Z87" s="2881"/>
      <c r="AA87" s="2881"/>
      <c r="AB87" s="2877">
        <f>AB86/AB5</f>
        <v>0.45031777128578965</v>
      </c>
      <c r="AC87" s="2878" t="e">
        <f>AC86/AC5</f>
        <v>#DIV/0!</v>
      </c>
      <c r="AD87" s="2879">
        <f>AD86/AD5</f>
        <v>0.22165124854543256</v>
      </c>
      <c r="AE87" s="2881"/>
      <c r="AF87" s="2881"/>
      <c r="AG87" s="2877">
        <v>0.29690875114849208</v>
      </c>
      <c r="AH87" s="2878" t="e">
        <v>#DIV/0!</v>
      </c>
      <c r="AI87" s="2879">
        <v>0.14544168106973174</v>
      </c>
      <c r="AJ87" s="2881"/>
      <c r="AK87" s="2881"/>
      <c r="AL87" s="2877" t="e">
        <f>AL86/AL5</f>
        <v>#DIV/0!</v>
      </c>
      <c r="AM87" s="2878" t="e">
        <f>AM86/AM5</f>
        <v>#DIV/0!</v>
      </c>
      <c r="AN87" s="2879" t="e">
        <f>AN86/AN5</f>
        <v>#DIV/0!</v>
      </c>
      <c r="AO87" s="2881"/>
      <c r="AP87" s="2881"/>
      <c r="AQ87" s="2877" t="e">
        <f>AQ86/AQ5</f>
        <v>#DIV/0!</v>
      </c>
      <c r="AR87" s="2878" t="e">
        <f>AR86/AR5</f>
        <v>#DIV/0!</v>
      </c>
      <c r="AS87" s="2879" t="e">
        <f>AS86/AS5</f>
        <v>#DIV/0!</v>
      </c>
      <c r="AT87" s="2881"/>
      <c r="AU87" s="2881"/>
      <c r="AV87" s="2877" t="e">
        <f>AV86/AV5</f>
        <v>#DIV/0!</v>
      </c>
      <c r="AW87" s="2878" t="e">
        <f>AW86/AW5</f>
        <v>#DIV/0!</v>
      </c>
      <c r="AX87" s="2879" t="e">
        <f>AX86/AX5</f>
        <v>#DIV/0!</v>
      </c>
      <c r="AY87" s="2881"/>
      <c r="AZ87" s="2881"/>
      <c r="BA87" s="2877" t="e">
        <f>BA86/BA5</f>
        <v>#DIV/0!</v>
      </c>
      <c r="BB87" s="2878" t="e">
        <f>BB86/BB5</f>
        <v>#DIV/0!</v>
      </c>
      <c r="BC87" s="2879" t="e">
        <f>BC86/BC5</f>
        <v>#DIV/0!</v>
      </c>
      <c r="BD87" s="2881"/>
      <c r="BE87" s="2881"/>
      <c r="BF87" s="2877" t="e">
        <f>BF86/BF5</f>
        <v>#DIV/0!</v>
      </c>
      <c r="BG87" s="2878" t="e">
        <f>BG86/BG5</f>
        <v>#DIV/0!</v>
      </c>
      <c r="BH87" s="2879" t="e">
        <f>BH86/BH5</f>
        <v>#DIV/0!</v>
      </c>
      <c r="BI87" s="2881"/>
      <c r="BJ87" s="2881"/>
      <c r="BK87" s="2877" t="e">
        <f>BK86/BK5</f>
        <v>#DIV/0!</v>
      </c>
      <c r="BL87" s="2878" t="e">
        <f>BL86/BL5</f>
        <v>#DIV/0!</v>
      </c>
      <c r="BM87" s="2879" t="e">
        <f>BM86/BM5</f>
        <v>#DIV/0!</v>
      </c>
      <c r="BN87" s="2881"/>
      <c r="BO87" s="2881"/>
      <c r="BP87" s="2877" t="e">
        <f>BP86/BP5</f>
        <v>#DIV/0!</v>
      </c>
      <c r="BQ87" s="2878" t="e">
        <f>BQ86/BQ5</f>
        <v>#DIV/0!</v>
      </c>
      <c r="BR87" s="2879" t="e">
        <f>BR86/BR5</f>
        <v>#DIV/0!</v>
      </c>
      <c r="BS87" s="2881"/>
      <c r="BT87" s="2881"/>
      <c r="BU87" s="2877" t="e">
        <f>BU86/BU5</f>
        <v>#DIV/0!</v>
      </c>
      <c r="BV87" s="2878" t="e">
        <f>BV86/BV5</f>
        <v>#DIV/0!</v>
      </c>
      <c r="BW87" s="2879" t="e">
        <f>BW86/BW5</f>
        <v>#DIV/0!</v>
      </c>
      <c r="BX87" s="2881"/>
      <c r="BY87" s="2881"/>
      <c r="BZ87" s="2877" t="e">
        <f>BZ86/BZ5</f>
        <v>#DIV/0!</v>
      </c>
      <c r="CA87" s="2878" t="e">
        <f>CA86/CA5</f>
        <v>#DIV/0!</v>
      </c>
      <c r="CB87" s="2879" t="e">
        <f>CB86/CB5</f>
        <v>#DIV/0!</v>
      </c>
      <c r="CC87" s="2881"/>
      <c r="CD87" s="3139"/>
      <c r="CE87" s="2877" t="e">
        <f>CE86/CE5</f>
        <v>#DIV/0!</v>
      </c>
      <c r="CF87" s="2878" t="e">
        <f>CF86/CF5</f>
        <v>#DIV/0!</v>
      </c>
      <c r="CG87" s="2879" t="e">
        <f>CG86/CG5</f>
        <v>#DIV/0!</v>
      </c>
      <c r="CH87" s="2881"/>
      <c r="CI87" s="3139"/>
      <c r="CJ87" s="2877" t="e">
        <f>CJ86/CJ5</f>
        <v>#DIV/0!</v>
      </c>
      <c r="CK87" s="2878" t="e">
        <f>CK86/CK5</f>
        <v>#DIV/0!</v>
      </c>
      <c r="CL87" s="2879" t="e">
        <f>CL86/CL5</f>
        <v>#DIV/0!</v>
      </c>
      <c r="CM87" s="2881"/>
      <c r="CN87" s="3139"/>
      <c r="CO87" s="2877" t="e">
        <f>CO86/CO5</f>
        <v>#DIV/0!</v>
      </c>
      <c r="CP87" s="2878" t="e">
        <f>CP86/CP5</f>
        <v>#DIV/0!</v>
      </c>
      <c r="CQ87" s="2879" t="e">
        <f>CQ86/CQ5</f>
        <v>#DIV/0!</v>
      </c>
      <c r="CR87" s="2881"/>
      <c r="CS87" s="3139"/>
      <c r="CT87" s="2877" t="e">
        <f>CT86/CT5</f>
        <v>#DIV/0!</v>
      </c>
      <c r="CU87" s="2878" t="e">
        <f>CU86/CU5</f>
        <v>#DIV/0!</v>
      </c>
      <c r="CV87" s="2879" t="e">
        <f>CV86/CV5</f>
        <v>#DIV/0!</v>
      </c>
      <c r="CW87" s="2881"/>
      <c r="CX87" s="3139"/>
      <c r="CY87" s="2877">
        <f>CY86/CY5</f>
        <v>0.46497883598800455</v>
      </c>
      <c r="CZ87" s="2878">
        <f>CZ86/CZ5</f>
        <v>-2.3031215489552133</v>
      </c>
      <c r="DA87" s="2879">
        <f>DA86/DA5</f>
        <v>0.34771083084039045</v>
      </c>
      <c r="DB87" s="2881"/>
      <c r="DC87" s="2881"/>
    </row>
    <row r="88" spans="1:107" ht="13.8" x14ac:dyDescent="0.25">
      <c r="A88" s="1438"/>
      <c r="B88" s="1438"/>
      <c r="C88" s="1970"/>
      <c r="D88" s="1970"/>
      <c r="E88" s="1970"/>
      <c r="F88" s="1970"/>
      <c r="G88" s="1970"/>
      <c r="H88" s="1970"/>
      <c r="I88" s="1970"/>
      <c r="J88" s="1970"/>
      <c r="K88" s="1970"/>
      <c r="L88" s="1970"/>
      <c r="M88" s="1970"/>
      <c r="N88" s="1970"/>
      <c r="O88" s="1970"/>
      <c r="P88" s="1970"/>
      <c r="Q88" s="1970"/>
      <c r="R88" s="1970"/>
      <c r="S88" s="1970"/>
      <c r="T88" s="1970"/>
      <c r="U88" s="1970"/>
      <c r="V88" s="1970"/>
      <c r="W88" s="1970"/>
      <c r="X88" s="1970"/>
      <c r="Y88" s="1970"/>
      <c r="Z88" s="1970"/>
      <c r="AA88" s="1970"/>
      <c r="AB88" s="1970"/>
      <c r="AC88" s="1970"/>
      <c r="AD88" s="1970"/>
      <c r="AE88" s="1970"/>
      <c r="AF88" s="1970"/>
      <c r="AG88" s="1970"/>
      <c r="AH88" s="1970"/>
      <c r="AI88" s="1970"/>
      <c r="AJ88" s="1970"/>
      <c r="AK88" s="1970"/>
      <c r="AL88" s="1970"/>
      <c r="AM88" s="1970"/>
      <c r="AN88" s="1970"/>
      <c r="AO88" s="1970"/>
      <c r="AP88" s="1970"/>
      <c r="AQ88" s="1970"/>
      <c r="AR88" s="1970"/>
      <c r="AS88" s="1970"/>
      <c r="AT88" s="1970"/>
      <c r="AU88" s="1970"/>
      <c r="AV88" s="1970"/>
      <c r="AW88" s="1970"/>
      <c r="AX88" s="1970"/>
      <c r="AY88" s="1970"/>
      <c r="AZ88" s="1970"/>
      <c r="BA88" s="1970"/>
      <c r="BB88" s="1970"/>
      <c r="BC88" s="1970"/>
      <c r="BD88" s="1970"/>
      <c r="BE88" s="1970"/>
      <c r="BF88" s="1970"/>
      <c r="BG88" s="1970"/>
      <c r="BH88" s="1970"/>
      <c r="BI88" s="1970"/>
      <c r="BJ88" s="1970"/>
      <c r="BK88" s="1970"/>
      <c r="BL88" s="1970"/>
      <c r="BM88" s="1970"/>
      <c r="BN88" s="1970"/>
      <c r="BO88" s="1970"/>
      <c r="BP88" s="1970"/>
      <c r="BQ88" s="1970"/>
      <c r="BR88" s="1970"/>
      <c r="BS88" s="1970"/>
      <c r="BT88" s="1970"/>
      <c r="BU88" s="1970"/>
      <c r="BV88" s="1970"/>
      <c r="BW88" s="1970"/>
      <c r="BX88" s="1970"/>
      <c r="BY88" s="1970"/>
      <c r="BZ88" s="1970"/>
      <c r="CA88" s="1970"/>
      <c r="CB88" s="1970"/>
      <c r="CC88" s="1970"/>
      <c r="CD88" s="1970"/>
      <c r="CE88" s="1970"/>
      <c r="CF88" s="1970"/>
      <c r="CG88" s="1970"/>
      <c r="CH88" s="1970"/>
      <c r="CI88" s="1970"/>
      <c r="CJ88" s="1970"/>
      <c r="CK88" s="1970"/>
      <c r="CL88" s="1970"/>
      <c r="CM88" s="1970"/>
      <c r="CN88" s="1970"/>
      <c r="CO88" s="1970"/>
      <c r="CP88" s="1970"/>
      <c r="CQ88" s="1970"/>
      <c r="CR88" s="1970"/>
      <c r="CS88" s="1970"/>
      <c r="CT88" s="1970"/>
      <c r="CU88" s="1970"/>
      <c r="CV88" s="1970"/>
      <c r="CW88" s="1970"/>
      <c r="CX88" s="1970"/>
      <c r="CY88" s="1970"/>
      <c r="CZ88" s="1970"/>
      <c r="DA88" s="1970"/>
      <c r="DB88" s="1970"/>
      <c r="DC88" s="1970"/>
    </row>
    <row r="89" spans="1:107" x14ac:dyDescent="0.25">
      <c r="B89" s="1577" t="s">
        <v>56</v>
      </c>
      <c r="E89" s="1976">
        <f>E8+E36+E41+E50+E54+E73+E79+E82+E85</f>
        <v>168942.86735632186</v>
      </c>
      <c r="J89" s="1976">
        <f>J8+J36+J41+J50+J54+J73+J79+J82+J85</f>
        <v>170177.23605128113</v>
      </c>
      <c r="O89" s="1976">
        <f>O8+O36+O41+O50+O54+O73+O79+O82+O85</f>
        <v>189561.98481296029</v>
      </c>
      <c r="T89" s="1976">
        <f>T8+T36+T41+T50+T54+T73+T79+T82+T85</f>
        <v>180229.84823631158</v>
      </c>
      <c r="Y89" s="1976">
        <f>Y8+Y36+Y41+Y50+Y54+Y73+Y79+Y82+Y85</f>
        <v>184374.17146067414</v>
      </c>
      <c r="AD89" s="1976">
        <f>AD8+AD36+AD41+AD50+AD54+AD73+AD79+AD82+AD85</f>
        <v>216318.68500425338</v>
      </c>
      <c r="AI89" s="1976">
        <f>AI8+AI36+AI41+AI50+AI54+AI73+AI79+AI82+AI85</f>
        <v>1450245.5084921534</v>
      </c>
      <c r="AN89" s="1976">
        <f>AN8+AN36+AN41+AN50+AN54+AN73+AN79+AN82+AN85</f>
        <v>0</v>
      </c>
      <c r="AS89" s="1976">
        <f>AS8+AS36+AS41+AS50+AS54+AS73+AS79+AS82+AS85</f>
        <v>0</v>
      </c>
      <c r="AX89" s="1976">
        <f>AX8+AX36+AX41+AX50+AX54+AX73+AX79+AX82+AX85</f>
        <v>0</v>
      </c>
      <c r="BC89" s="1976">
        <f>BC8+BC36+BC41+BC50+BC54+BC73+BC79+BC82+BC85</f>
        <v>0</v>
      </c>
      <c r="BH89" s="1976">
        <f>BH8+BH36+BH41+BH50+BH54+BH73+BH79+BH82+BH85</f>
        <v>0</v>
      </c>
      <c r="BM89" s="1976">
        <f>BM8+BM36+BM41+BM50+BM54+BM73+BM79+BM82+BM85</f>
        <v>0</v>
      </c>
      <c r="BR89" s="1976">
        <f>BR8+BR36+BR41+BR50+BR54+BR73+BR79+BR82+BR85</f>
        <v>0</v>
      </c>
      <c r="BW89" s="1976">
        <f>BW8+BW36+BW41+BW50+BW54+BW73+BW79+BW82+BW85</f>
        <v>0</v>
      </c>
      <c r="CB89" s="1976">
        <f>CB8+CB36+CB41+CB50+CB54+CB73+CB79+CB82+CB85</f>
        <v>0</v>
      </c>
      <c r="CG89" s="1976">
        <f>CG8+CG36+CG41+CG50+CG54+CG73+CG79+CG82+CG85</f>
        <v>0</v>
      </c>
      <c r="CL89" s="1976">
        <f>CL8+CL36+CL41+CL50+CL54+CL73+CL79+CL82+CL85</f>
        <v>0</v>
      </c>
      <c r="CQ89" s="1976">
        <f>CQ8+CQ36+CQ41+CQ50+CQ54+CQ73+CQ79+CQ82+CQ85</f>
        <v>0</v>
      </c>
      <c r="CV89" s="1976">
        <f>CV8+CV36+CV41+CV50+CV54+CV73+CV79+CV82+CV85</f>
        <v>0</v>
      </c>
      <c r="DA89" s="1976">
        <f>DA8+DA36+DA41+DA50+DA54+DA73+DA79+DA82+DA85</f>
        <v>2559850.3014139561</v>
      </c>
    </row>
    <row r="90" spans="1:107" x14ac:dyDescent="0.25">
      <c r="DA90" s="1607" t="b">
        <f>(E89+J89+O89+T89+Y89+AD89+AS89+AX89+BC89+BH89+BM89+BR89+BW89+CB89+CG89+CL89+CQ89+CV89+AI89)=DA89</f>
        <v>1</v>
      </c>
    </row>
    <row r="91" spans="1:107" s="1411" customFormat="1" x14ac:dyDescent="0.25">
      <c r="A91" s="1417"/>
      <c r="B91" s="1417"/>
      <c r="C91" s="1968"/>
      <c r="D91" s="1968"/>
      <c r="E91" s="1968"/>
      <c r="F91" s="1968"/>
      <c r="G91" s="1968"/>
      <c r="H91" s="1968"/>
      <c r="I91" s="1968"/>
      <c r="J91" s="1968"/>
      <c r="K91" s="1968"/>
      <c r="L91" s="1968"/>
      <c r="M91" s="1968"/>
      <c r="N91" s="1968"/>
      <c r="O91" s="1968"/>
      <c r="P91" s="1968"/>
      <c r="Q91" s="1968"/>
      <c r="R91" s="1968"/>
      <c r="S91" s="1968"/>
      <c r="T91" s="1968"/>
      <c r="U91" s="1968"/>
      <c r="V91" s="1968"/>
      <c r="W91" s="1968"/>
      <c r="X91" s="1968"/>
      <c r="Y91" s="1185">
        <f>Y5-Y89</f>
        <v>161937.66853932588</v>
      </c>
      <c r="Z91" s="1968"/>
      <c r="AA91" s="1968"/>
      <c r="AB91" s="1968"/>
      <c r="AC91" s="1968"/>
      <c r="AD91" s="1185">
        <f>AD5-AD89</f>
        <v>61601.314995746623</v>
      </c>
      <c r="AE91" s="1968"/>
      <c r="AF91" s="1968"/>
      <c r="AG91" s="1968"/>
      <c r="AH91" s="1968"/>
      <c r="AI91" s="1968">
        <f>AI5-AI89</f>
        <v>246824.75150784664</v>
      </c>
      <c r="AJ91" s="1968"/>
      <c r="AK91" s="1968"/>
      <c r="AL91" s="1968"/>
      <c r="AM91" s="1968"/>
      <c r="AN91" s="1185">
        <f>AN5-AN89</f>
        <v>0</v>
      </c>
      <c r="AO91" s="1968"/>
      <c r="AP91" s="1968"/>
      <c r="AQ91" s="1968"/>
      <c r="AR91" s="1968"/>
      <c r="AS91" s="1185">
        <f>AS5-AS89</f>
        <v>0</v>
      </c>
      <c r="AT91" s="1968"/>
      <c r="AU91" s="1968"/>
      <c r="AV91" s="1968"/>
      <c r="AW91" s="1968"/>
      <c r="AX91" s="1185">
        <f>AX5-AX89</f>
        <v>0</v>
      </c>
      <c r="AY91" s="1968"/>
      <c r="AZ91" s="1968"/>
      <c r="BA91" s="1968"/>
      <c r="BB91" s="1968"/>
      <c r="BC91" s="1185">
        <f>BC5-BC89</f>
        <v>0</v>
      </c>
      <c r="BD91" s="1968"/>
      <c r="BE91" s="1968"/>
      <c r="BF91" s="1968"/>
      <c r="BG91" s="1968"/>
      <c r="BH91" s="1185">
        <f>BH5-BH89</f>
        <v>0</v>
      </c>
      <c r="BI91" s="1968"/>
      <c r="BJ91" s="1968"/>
      <c r="BK91" s="1968"/>
      <c r="BL91" s="1968"/>
      <c r="BM91" s="1185">
        <f>BM5-BM89</f>
        <v>0</v>
      </c>
      <c r="BN91" s="1968"/>
      <c r="BO91" s="1968"/>
      <c r="BP91" s="1968"/>
      <c r="BQ91" s="1968"/>
      <c r="BR91" s="1185">
        <f>BR5-BR89</f>
        <v>0</v>
      </c>
      <c r="BS91" s="1968"/>
      <c r="BT91" s="1968"/>
      <c r="BU91" s="1968"/>
      <c r="BV91" s="1968"/>
      <c r="BW91" s="1185">
        <f>BW5-BW89</f>
        <v>0</v>
      </c>
      <c r="BX91" s="1968"/>
      <c r="BY91" s="1968"/>
      <c r="BZ91" s="1968"/>
      <c r="CA91" s="1968"/>
      <c r="CB91" s="1185">
        <f>CB5-CB89</f>
        <v>0</v>
      </c>
      <c r="CC91" s="1968"/>
      <c r="CD91" s="1968"/>
      <c r="CE91" s="1968"/>
      <c r="CF91" s="1968"/>
      <c r="CG91" s="1185">
        <f>CG5-CG89</f>
        <v>0</v>
      </c>
      <c r="CH91" s="1968"/>
      <c r="CI91" s="1968"/>
      <c r="CJ91" s="1968"/>
      <c r="CK91" s="1968"/>
      <c r="CL91" s="1185">
        <f>CL5-CL89</f>
        <v>0</v>
      </c>
      <c r="CM91" s="1968"/>
      <c r="CN91" s="1968"/>
      <c r="CO91" s="1968"/>
      <c r="CP91" s="1968"/>
      <c r="CQ91" s="1185">
        <f>CQ5-CQ89</f>
        <v>0</v>
      </c>
      <c r="CR91" s="1968"/>
      <c r="CS91" s="1968"/>
      <c r="CT91" s="1968"/>
      <c r="CU91" s="1968"/>
      <c r="CV91" s="1185">
        <f>CV5-CV89</f>
        <v>0</v>
      </c>
      <c r="CW91" s="1968"/>
      <c r="CX91" s="1968"/>
      <c r="CY91" s="1968"/>
      <c r="CZ91" s="1968"/>
      <c r="DA91" s="1968"/>
      <c r="DB91" s="1968"/>
      <c r="DC91" s="1968"/>
    </row>
    <row r="92" spans="1:107" x14ac:dyDescent="0.25">
      <c r="DA92" s="1185">
        <f>DA5-DA89</f>
        <v>1364559.9485860439</v>
      </c>
    </row>
    <row r="93" spans="1:107" s="1411" customFormat="1" x14ac:dyDescent="0.25">
      <c r="A93" s="1417"/>
      <c r="B93" s="1417"/>
      <c r="C93" s="1968"/>
      <c r="D93" s="1968"/>
      <c r="E93" s="1968"/>
      <c r="F93" s="1968"/>
      <c r="G93" s="1968"/>
      <c r="H93" s="1968"/>
      <c r="I93" s="1968"/>
      <c r="J93" s="1968"/>
      <c r="K93" s="1968"/>
      <c r="L93" s="1968"/>
      <c r="M93" s="1968"/>
      <c r="N93" s="1968"/>
      <c r="O93" s="1968"/>
      <c r="P93" s="1968"/>
      <c r="Q93" s="1968"/>
      <c r="R93" s="1968"/>
      <c r="S93" s="1968"/>
      <c r="T93" s="1968"/>
      <c r="U93" s="1968"/>
      <c r="V93" s="1968"/>
      <c r="W93" s="1968"/>
      <c r="X93" s="1968"/>
      <c r="Y93" s="1968"/>
      <c r="Z93" s="1968"/>
      <c r="AA93" s="1968"/>
      <c r="AB93" s="1968"/>
      <c r="AC93" s="1968"/>
      <c r="AD93" s="1968"/>
      <c r="AE93" s="1968"/>
      <c r="AF93" s="1968"/>
      <c r="AG93" s="1968"/>
      <c r="AH93" s="1968"/>
      <c r="AI93" s="1968"/>
      <c r="AJ93" s="1968"/>
      <c r="AK93" s="1968"/>
      <c r="AL93" s="1968"/>
      <c r="AM93" s="1968"/>
      <c r="AN93" s="1968"/>
      <c r="AO93" s="1968"/>
      <c r="AP93" s="1968"/>
      <c r="AQ93" s="1968"/>
      <c r="AR93" s="1968"/>
      <c r="AS93" s="1968"/>
      <c r="AT93" s="1968"/>
      <c r="AU93" s="1968"/>
      <c r="AV93" s="1968"/>
      <c r="AW93" s="1968"/>
      <c r="AX93" s="1968"/>
      <c r="AY93" s="1968"/>
      <c r="AZ93" s="1968"/>
      <c r="BA93" s="1968"/>
      <c r="BB93" s="1968"/>
      <c r="BC93" s="1968"/>
      <c r="BD93" s="1968"/>
      <c r="BE93" s="1968"/>
      <c r="BF93" s="1968"/>
      <c r="BG93" s="1968"/>
      <c r="BH93" s="1968"/>
      <c r="BI93" s="1968"/>
      <c r="BJ93" s="1968"/>
      <c r="BK93" s="1968"/>
      <c r="BL93" s="1968"/>
      <c r="BM93" s="1968"/>
      <c r="BN93" s="1968"/>
      <c r="BO93" s="1968"/>
      <c r="BP93" s="1968"/>
      <c r="BQ93" s="1968"/>
      <c r="BR93" s="1968"/>
      <c r="BS93" s="1968"/>
      <c r="BT93" s="1968"/>
      <c r="BU93" s="1968"/>
      <c r="BV93" s="1968"/>
      <c r="BW93" s="1968"/>
      <c r="BX93" s="1968"/>
      <c r="BY93" s="1968"/>
      <c r="BZ93" s="1968"/>
      <c r="CA93" s="1968"/>
      <c r="CB93" s="1968"/>
      <c r="CC93" s="1968"/>
      <c r="CD93" s="1968"/>
      <c r="CE93" s="1968"/>
      <c r="CF93" s="1968"/>
      <c r="CG93" s="1968"/>
      <c r="CH93" s="1968"/>
      <c r="CI93" s="1968"/>
      <c r="CJ93" s="1968"/>
      <c r="CK93" s="1968"/>
      <c r="CL93" s="1968"/>
      <c r="CM93" s="1968"/>
      <c r="CN93" s="1968"/>
      <c r="CO93" s="1968"/>
      <c r="CP93" s="1968"/>
      <c r="CQ93" s="1968"/>
      <c r="CR93" s="1968"/>
      <c r="CS93" s="1968"/>
      <c r="CT93" s="1968"/>
      <c r="CU93" s="1968"/>
      <c r="CV93" s="1968"/>
      <c r="CW93" s="1968"/>
      <c r="CX93" s="1968"/>
      <c r="CY93" s="1968"/>
      <c r="CZ93" s="1968"/>
      <c r="DA93" s="1968"/>
      <c r="DB93" s="1968"/>
      <c r="DC93" s="1968"/>
    </row>
    <row r="94" spans="1:107" s="1411" customFormat="1" x14ac:dyDescent="0.25">
      <c r="A94" s="1417"/>
      <c r="B94" s="1417"/>
      <c r="C94" s="1968"/>
      <c r="D94" s="1968"/>
      <c r="E94" s="1968"/>
      <c r="F94" s="1968"/>
      <c r="G94" s="1968"/>
      <c r="H94" s="1968"/>
      <c r="I94" s="1968"/>
      <c r="J94" s="1968"/>
      <c r="K94" s="1968"/>
      <c r="L94" s="1968"/>
      <c r="M94" s="1968"/>
      <c r="N94" s="1968"/>
      <c r="O94" s="1968"/>
      <c r="P94" s="1968"/>
      <c r="Q94" s="1968"/>
      <c r="R94" s="1968"/>
      <c r="S94" s="1968"/>
      <c r="T94" s="1968"/>
      <c r="U94" s="1968"/>
      <c r="V94" s="1968"/>
      <c r="W94" s="1968"/>
      <c r="X94" s="1968"/>
      <c r="Y94" s="1968"/>
      <c r="Z94" s="1968"/>
      <c r="AA94" s="1968"/>
      <c r="AB94" s="1968"/>
      <c r="AC94" s="1968"/>
      <c r="AD94" s="1968"/>
      <c r="AE94" s="1968"/>
      <c r="AF94" s="1968"/>
      <c r="AG94" s="1968"/>
      <c r="AH94" s="1968"/>
      <c r="AI94" s="1968"/>
      <c r="AJ94" s="1968"/>
      <c r="AK94" s="1968"/>
      <c r="AL94" s="1968"/>
      <c r="AM94" s="1968"/>
      <c r="AN94" s="1968"/>
      <c r="AO94" s="1968"/>
      <c r="AP94" s="1968"/>
      <c r="AQ94" s="1968"/>
      <c r="AR94" s="1968"/>
      <c r="AS94" s="1968"/>
      <c r="AT94" s="1968"/>
      <c r="AU94" s="1968"/>
      <c r="AV94" s="1968"/>
      <c r="AW94" s="1968"/>
      <c r="AX94" s="1968"/>
      <c r="AY94" s="1968"/>
      <c r="AZ94" s="1968"/>
      <c r="BA94" s="1968"/>
      <c r="BB94" s="1968"/>
      <c r="BC94" s="1968"/>
      <c r="BD94" s="1968"/>
      <c r="BE94" s="1968"/>
      <c r="BF94" s="1968"/>
      <c r="BG94" s="1968"/>
      <c r="BH94" s="1968"/>
      <c r="BI94" s="1968"/>
      <c r="BJ94" s="1968"/>
      <c r="BK94" s="1968"/>
      <c r="BL94" s="1968"/>
      <c r="BM94" s="1968"/>
      <c r="BN94" s="1968"/>
      <c r="BO94" s="1968"/>
      <c r="BP94" s="1968"/>
      <c r="BQ94" s="1968"/>
      <c r="BR94" s="1968"/>
      <c r="BS94" s="1968"/>
      <c r="BT94" s="1968"/>
      <c r="BU94" s="1968"/>
      <c r="BV94" s="1968"/>
      <c r="BW94" s="1968"/>
      <c r="BX94" s="1968"/>
      <c r="BY94" s="1968"/>
      <c r="BZ94" s="1968"/>
      <c r="CA94" s="1968"/>
      <c r="CB94" s="1968"/>
      <c r="CC94" s="1968"/>
      <c r="CD94" s="1968"/>
      <c r="CE94" s="1968"/>
      <c r="CF94" s="1968"/>
      <c r="CG94" s="1968"/>
      <c r="CH94" s="1968"/>
      <c r="CI94" s="1968"/>
      <c r="CJ94" s="1968"/>
      <c r="CK94" s="1968"/>
      <c r="CL94" s="1968"/>
      <c r="CM94" s="1968"/>
      <c r="CN94" s="1968"/>
      <c r="CO94" s="1968"/>
      <c r="CP94" s="1968"/>
      <c r="CQ94" s="1968"/>
      <c r="CR94" s="1968"/>
      <c r="CS94" s="1968"/>
      <c r="CT94" s="1968"/>
      <c r="CU94" s="1968"/>
      <c r="CV94" s="1968"/>
      <c r="CW94" s="1968"/>
      <c r="CX94" s="1968"/>
      <c r="CY94" s="1968"/>
      <c r="CZ94" s="1968"/>
      <c r="DA94" s="1968"/>
      <c r="DB94" s="1968"/>
      <c r="DC94" s="1968"/>
    </row>
    <row r="95" spans="1:107" s="1411" customFormat="1" x14ac:dyDescent="0.25">
      <c r="A95" s="1417"/>
      <c r="B95" s="1417"/>
      <c r="C95" s="1968"/>
      <c r="D95" s="1968"/>
      <c r="E95" s="1968"/>
      <c r="F95" s="1968"/>
      <c r="G95" s="1968"/>
      <c r="H95" s="1968"/>
      <c r="I95" s="1968"/>
      <c r="J95" s="1968"/>
      <c r="K95" s="1968"/>
      <c r="L95" s="1968"/>
      <c r="M95" s="1968"/>
      <c r="N95" s="1968"/>
      <c r="O95" s="1968"/>
      <c r="P95" s="1968"/>
      <c r="Q95" s="1968"/>
      <c r="R95" s="1968"/>
      <c r="S95" s="1968"/>
      <c r="T95" s="1968"/>
      <c r="U95" s="1968"/>
      <c r="V95" s="1968"/>
      <c r="W95" s="1968"/>
      <c r="X95" s="1968"/>
      <c r="Y95" s="1968"/>
      <c r="Z95" s="1968"/>
      <c r="AA95" s="1968"/>
      <c r="AB95" s="1968"/>
      <c r="AC95" s="1968"/>
      <c r="AD95" s="1968"/>
      <c r="AE95" s="1968"/>
      <c r="AF95" s="1968"/>
      <c r="AG95" s="1968"/>
      <c r="AH95" s="1968"/>
      <c r="AI95" s="1968"/>
      <c r="AJ95" s="1968"/>
      <c r="AK95" s="1968"/>
      <c r="AL95" s="1968"/>
      <c r="AM95" s="1968"/>
      <c r="AN95" s="1968"/>
      <c r="AO95" s="1968"/>
      <c r="AP95" s="1968"/>
      <c r="AQ95" s="1968"/>
      <c r="AR95" s="1968"/>
      <c r="AS95" s="1968"/>
      <c r="AT95" s="1968"/>
      <c r="AU95" s="1968"/>
      <c r="AV95" s="1968"/>
      <c r="AW95" s="1968"/>
      <c r="AX95" s="1968"/>
      <c r="AY95" s="1968"/>
      <c r="AZ95" s="1968"/>
      <c r="BA95" s="1968"/>
      <c r="BB95" s="1968"/>
      <c r="BC95" s="1968"/>
      <c r="BD95" s="1968"/>
      <c r="BE95" s="1968"/>
      <c r="BF95" s="1968"/>
      <c r="BG95" s="1968"/>
      <c r="BH95" s="1968"/>
      <c r="BI95" s="1968"/>
      <c r="BJ95" s="1968"/>
      <c r="BK95" s="1968"/>
      <c r="BL95" s="1968"/>
      <c r="BM95" s="1968"/>
      <c r="BN95" s="1968"/>
      <c r="BO95" s="1968"/>
      <c r="BP95" s="1968"/>
      <c r="BQ95" s="1968"/>
      <c r="BR95" s="1968"/>
      <c r="BS95" s="1968"/>
      <c r="BT95" s="1968"/>
      <c r="BU95" s="1968"/>
      <c r="BV95" s="1968"/>
      <c r="BW95" s="1968"/>
      <c r="BX95" s="1968"/>
      <c r="BY95" s="1968"/>
      <c r="BZ95" s="1968"/>
      <c r="CA95" s="1968"/>
      <c r="CB95" s="1968"/>
      <c r="CC95" s="1968"/>
      <c r="CD95" s="1968"/>
      <c r="CE95" s="1968"/>
      <c r="CF95" s="1968"/>
      <c r="CG95" s="1968"/>
      <c r="CH95" s="1968"/>
      <c r="CI95" s="1968"/>
      <c r="CJ95" s="1968"/>
      <c r="CK95" s="1968"/>
      <c r="CL95" s="1968"/>
      <c r="CM95" s="1968"/>
      <c r="CN95" s="1968"/>
      <c r="CO95" s="1968"/>
      <c r="CP95" s="1968"/>
      <c r="CQ95" s="1968"/>
      <c r="CR95" s="1968"/>
      <c r="CS95" s="1968"/>
      <c r="CT95" s="1968"/>
      <c r="CU95" s="1968"/>
      <c r="CV95" s="1968"/>
      <c r="CW95" s="1968"/>
      <c r="CX95" s="1968"/>
      <c r="CY95" s="1968"/>
      <c r="CZ95" s="1968"/>
      <c r="DA95" s="1968"/>
      <c r="DB95" s="1968"/>
      <c r="DC95" s="1968"/>
    </row>
    <row r="96" spans="1:107" s="1411" customFormat="1" x14ac:dyDescent="0.25">
      <c r="A96" s="1417"/>
      <c r="B96" s="1417"/>
      <c r="C96" s="1968"/>
      <c r="D96" s="1968"/>
      <c r="E96" s="1968"/>
      <c r="F96" s="1968"/>
      <c r="G96" s="1968"/>
      <c r="H96" s="1968"/>
      <c r="I96" s="1968"/>
      <c r="J96" s="1968"/>
      <c r="K96" s="1968"/>
      <c r="L96" s="1968"/>
      <c r="M96" s="1968"/>
      <c r="N96" s="1968"/>
      <c r="O96" s="1968"/>
      <c r="P96" s="1968"/>
      <c r="Q96" s="1968"/>
      <c r="R96" s="1968"/>
      <c r="S96" s="1968"/>
      <c r="T96" s="1968"/>
      <c r="U96" s="1968"/>
      <c r="V96" s="1968"/>
      <c r="W96" s="1968"/>
      <c r="X96" s="1968"/>
      <c r="Y96" s="1968"/>
      <c r="Z96" s="1968"/>
      <c r="AA96" s="1968"/>
      <c r="AB96" s="1968"/>
      <c r="AC96" s="1968"/>
      <c r="AD96" s="1968"/>
      <c r="AE96" s="1968"/>
      <c r="AF96" s="1968"/>
      <c r="AG96" s="1968"/>
      <c r="AH96" s="1968"/>
      <c r="AI96" s="1968"/>
      <c r="AJ96" s="1968"/>
      <c r="AK96" s="1968"/>
      <c r="AL96" s="1968"/>
      <c r="AM96" s="1968"/>
      <c r="AN96" s="1968"/>
      <c r="AO96" s="1968"/>
      <c r="AP96" s="1968"/>
      <c r="AQ96" s="1968"/>
      <c r="AR96" s="1968"/>
      <c r="AS96" s="1968"/>
      <c r="AT96" s="1968"/>
      <c r="AU96" s="1968"/>
      <c r="AV96" s="1968"/>
      <c r="AW96" s="1968"/>
      <c r="AX96" s="1968"/>
      <c r="AY96" s="1968"/>
      <c r="AZ96" s="1968"/>
      <c r="BA96" s="1968"/>
      <c r="BB96" s="1968"/>
      <c r="BC96" s="1968"/>
      <c r="BD96" s="1968"/>
      <c r="BE96" s="1968"/>
      <c r="BF96" s="1968"/>
      <c r="BG96" s="1968"/>
      <c r="BH96" s="1968"/>
      <c r="BI96" s="1968"/>
      <c r="BJ96" s="1968"/>
      <c r="BK96" s="1968"/>
      <c r="BL96" s="1968"/>
      <c r="BM96" s="1968"/>
      <c r="BN96" s="1968"/>
      <c r="BO96" s="1968"/>
      <c r="BP96" s="1968"/>
      <c r="BQ96" s="1968"/>
      <c r="BR96" s="1968"/>
      <c r="BS96" s="1968"/>
      <c r="BT96" s="1968"/>
      <c r="BU96" s="1968"/>
      <c r="BV96" s="1968"/>
      <c r="BW96" s="1968"/>
      <c r="BX96" s="1968"/>
      <c r="BY96" s="1968"/>
      <c r="BZ96" s="1968"/>
      <c r="CA96" s="1968"/>
      <c r="CB96" s="1968"/>
      <c r="CC96" s="1968"/>
      <c r="CD96" s="1968"/>
      <c r="CE96" s="1968"/>
      <c r="CF96" s="1968"/>
      <c r="CG96" s="1968"/>
      <c r="CH96" s="1968"/>
      <c r="CI96" s="1968"/>
      <c r="CJ96" s="1968"/>
      <c r="CK96" s="1968"/>
      <c r="CL96" s="1968"/>
      <c r="CM96" s="1968"/>
      <c r="CN96" s="1968"/>
      <c r="CO96" s="1968"/>
      <c r="CP96" s="1968"/>
      <c r="CQ96" s="1968"/>
      <c r="CR96" s="1968"/>
      <c r="CS96" s="1968"/>
      <c r="CT96" s="1968"/>
      <c r="CU96" s="1968"/>
      <c r="CV96" s="1968"/>
      <c r="CW96" s="1968"/>
      <c r="CX96" s="1968"/>
      <c r="CY96" s="1968"/>
      <c r="CZ96" s="1968"/>
      <c r="DA96" s="1968"/>
      <c r="DB96" s="1968"/>
      <c r="DC96" s="1968"/>
    </row>
    <row r="98" spans="1:107" s="1411" customFormat="1" x14ac:dyDescent="0.25">
      <c r="A98" s="1417"/>
      <c r="B98" s="1417"/>
      <c r="C98" s="1968"/>
      <c r="D98" s="1968"/>
      <c r="E98" s="1968"/>
      <c r="F98" s="1968"/>
      <c r="G98" s="1968"/>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O98" s="1968"/>
      <c r="CP98" s="1968"/>
      <c r="CQ98" s="1968"/>
      <c r="CR98" s="1968"/>
      <c r="CS98" s="1968"/>
      <c r="CT98" s="1968"/>
      <c r="CU98" s="1968"/>
      <c r="CV98" s="1968"/>
      <c r="CW98" s="1968"/>
      <c r="CX98" s="1968"/>
      <c r="CY98" s="1968"/>
      <c r="CZ98" s="1968"/>
      <c r="DA98" s="1968"/>
      <c r="DB98" s="1968"/>
      <c r="DC98" s="1968"/>
    </row>
  </sheetData>
  <mergeCells count="24">
    <mergeCell ref="A42:A48"/>
    <mergeCell ref="A2:B2"/>
    <mergeCell ref="C2:F3"/>
    <mergeCell ref="M2:Q3"/>
    <mergeCell ref="H2:L3"/>
    <mergeCell ref="A3:B3"/>
    <mergeCell ref="AB2:AF3"/>
    <mergeCell ref="BK2:BO3"/>
    <mergeCell ref="AQ2:AU3"/>
    <mergeCell ref="R2:V3"/>
    <mergeCell ref="W2:AA3"/>
    <mergeCell ref="AL2:AP3"/>
    <mergeCell ref="AV2:AZ3"/>
    <mergeCell ref="BA2:BE3"/>
    <mergeCell ref="CY2:DC3"/>
    <mergeCell ref="CJ2:CN3"/>
    <mergeCell ref="CO2:CS3"/>
    <mergeCell ref="BF2:BJ3"/>
    <mergeCell ref="AG2:AK3"/>
    <mergeCell ref="CT2:CX3"/>
    <mergeCell ref="BP2:BT3"/>
    <mergeCell ref="BU2:BY3"/>
    <mergeCell ref="BZ2:CD3"/>
    <mergeCell ref="CE2:CI3"/>
  </mergeCells>
  <pageMargins left="0.7" right="0.7" top="0.75" bottom="0.75" header="0.3" footer="0.3"/>
  <pageSetup paperSize="9" orientation="portrait" r:id="rId1"/>
  <legacy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6" tint="0.59999389629810485"/>
  </sheetPr>
  <dimension ref="A1:DC98"/>
  <sheetViews>
    <sheetView topLeftCell="B1" zoomScale="85" zoomScaleNormal="85" workbookViewId="0">
      <pane xSplit="1" ySplit="4" topLeftCell="AN40" activePane="bottomRight" state="frozen"/>
      <selection activeCell="CJ2" sqref="CJ2:CS3"/>
      <selection pane="topRight" activeCell="CJ2" sqref="CJ2:CS3"/>
      <selection pane="bottomLeft" activeCell="CJ2" sqref="CJ2:CS3"/>
      <selection pane="bottomRight" activeCell="AO85" sqref="AO85"/>
    </sheetView>
  </sheetViews>
  <sheetFormatPr defaultColWidth="7.44140625" defaultRowHeight="13.2" outlineLevelCol="1" x14ac:dyDescent="0.25"/>
  <cols>
    <col min="1" max="1" width="5.5546875" style="1417" customWidth="1"/>
    <col min="2" max="2" width="47.44140625" style="1417" customWidth="1"/>
    <col min="3" max="6" width="16.44140625" style="1968" hidden="1" customWidth="1" outlineLevel="1"/>
    <col min="7" max="7" width="33.6640625" style="1968" hidden="1" customWidth="1" outlineLevel="1"/>
    <col min="8" max="15" width="21.44140625" style="1968" hidden="1" customWidth="1" outlineLevel="1"/>
    <col min="16" max="16" width="10.33203125" style="1968" hidden="1" customWidth="1" outlineLevel="1"/>
    <col min="17" max="17" width="41.6640625" style="1968" hidden="1" customWidth="1" outlineLevel="1"/>
    <col min="18" max="27" width="21.44140625" style="1968" hidden="1" customWidth="1" outlineLevel="1"/>
    <col min="28" max="32" width="16.88671875" style="1968" hidden="1" customWidth="1" outlineLevel="1"/>
    <col min="33" max="33" width="13.33203125" style="1968" hidden="1" customWidth="1" outlineLevel="1" collapsed="1"/>
    <col min="34" max="37" width="13.33203125" style="1968" hidden="1" customWidth="1" outlineLevel="1"/>
    <col min="38" max="38" width="13.33203125" style="1968" customWidth="1" collapsed="1"/>
    <col min="39" max="42" width="13.33203125" style="1968" customWidth="1"/>
    <col min="43" max="43" width="14.109375" style="1968" hidden="1" customWidth="1" outlineLevel="1"/>
    <col min="44" max="44" width="12.88671875" style="1968" hidden="1" customWidth="1" outlineLevel="1"/>
    <col min="45" max="45" width="12.44140625" style="1968" hidden="1" customWidth="1" outlineLevel="1"/>
    <col min="46" max="46" width="7.109375" style="1968" hidden="1" customWidth="1" outlineLevel="1"/>
    <col min="47" max="47" width="29.109375" style="1968" hidden="1" customWidth="1" outlineLevel="1"/>
    <col min="48" max="48" width="13.88671875" style="1968" hidden="1" customWidth="1" outlineLevel="1" collapsed="1"/>
    <col min="49" max="51" width="13.88671875" style="1968" hidden="1" customWidth="1" outlineLevel="1"/>
    <col min="52" max="52" width="31.88671875" style="1968" hidden="1" customWidth="1" outlineLevel="1"/>
    <col min="53" max="53" width="13.88671875" style="1968" customWidth="1" collapsed="1"/>
    <col min="54" max="56" width="13.88671875" style="1968" customWidth="1"/>
    <col min="57" max="57" width="15.5546875" style="1968" customWidth="1"/>
    <col min="58" max="61" width="13.88671875" style="1968" hidden="1" customWidth="1" outlineLevel="1"/>
    <col min="62" max="62" width="40.6640625" style="1968" hidden="1" customWidth="1" outlineLevel="1"/>
    <col min="63" max="66" width="13.88671875" style="1968" hidden="1" customWidth="1" outlineLevel="1"/>
    <col min="67" max="67" width="36.109375" style="1968" hidden="1" customWidth="1" outlineLevel="1"/>
    <col min="68" max="71" width="13.88671875" style="1968" hidden="1" customWidth="1" outlineLevel="1"/>
    <col min="72" max="72" width="36.109375" style="1968" hidden="1" customWidth="1" outlineLevel="1"/>
    <col min="73" max="73" width="13.88671875" style="1968" hidden="1" customWidth="1" outlineLevel="1" collapsed="1"/>
    <col min="74" max="76" width="13.88671875" style="1968" hidden="1" customWidth="1" outlineLevel="1"/>
    <col min="77" max="77" width="19.109375" style="1968" hidden="1" customWidth="1" outlineLevel="1"/>
    <col min="78" max="82" width="13.88671875" style="1968" hidden="1" customWidth="1" outlineLevel="1"/>
    <col min="83" max="83" width="13.88671875" style="1968" hidden="1" customWidth="1" outlineLevel="1" collapsed="1"/>
    <col min="84" max="87" width="13.88671875" style="1968" hidden="1" customWidth="1" outlineLevel="1"/>
    <col min="88" max="88" width="13.88671875" style="1968" hidden="1" customWidth="1" outlineLevel="1" collapsed="1"/>
    <col min="89" max="92" width="13.88671875" style="1968" hidden="1" customWidth="1" outlineLevel="1"/>
    <col min="93" max="93" width="13.88671875" style="1968" hidden="1" customWidth="1" outlineLevel="1" collapsed="1"/>
    <col min="94" max="102" width="13.88671875" style="1968" hidden="1" customWidth="1" outlineLevel="1"/>
    <col min="103" max="103" width="16.33203125" style="1968" customWidth="1" collapsed="1"/>
    <col min="104" max="105" width="16.33203125" style="1968" customWidth="1"/>
    <col min="106" max="106" width="11.88671875" style="1968" bestFit="1" customWidth="1"/>
    <col min="107" max="107" width="16.33203125" style="1968" customWidth="1"/>
    <col min="108" max="16384" width="7.44140625" style="1410"/>
  </cols>
  <sheetData>
    <row r="1" spans="1:107" ht="13.8" thickBot="1" x14ac:dyDescent="0.3"/>
    <row r="2" spans="1:107" ht="14.4" customHeight="1" x14ac:dyDescent="0.25">
      <c r="A2" s="4016" t="s">
        <v>1105</v>
      </c>
      <c r="B2" s="4017"/>
      <c r="C2" s="4053" t="s">
        <v>1075</v>
      </c>
      <c r="D2" s="4054"/>
      <c r="E2" s="4054"/>
      <c r="F2" s="4054"/>
      <c r="G2" s="3271"/>
      <c r="H2" s="4368" t="s">
        <v>1079</v>
      </c>
      <c r="I2" s="4369"/>
      <c r="J2" s="4369"/>
      <c r="K2" s="4369"/>
      <c r="L2" s="4370"/>
      <c r="M2" s="4172" t="s">
        <v>1161</v>
      </c>
      <c r="N2" s="4173"/>
      <c r="O2" s="4173"/>
      <c r="P2" s="4173"/>
      <c r="Q2" s="4174"/>
      <c r="R2" s="4071" t="s">
        <v>1303</v>
      </c>
      <c r="S2" s="4072"/>
      <c r="T2" s="4072"/>
      <c r="U2" s="4072"/>
      <c r="V2" s="4073"/>
      <c r="W2" s="4077" t="s">
        <v>1383</v>
      </c>
      <c r="X2" s="4078"/>
      <c r="Y2" s="4078"/>
      <c r="Z2" s="4078"/>
      <c r="AA2" s="4079"/>
      <c r="AB2" s="4053" t="s">
        <v>1470</v>
      </c>
      <c r="AC2" s="4054"/>
      <c r="AD2" s="4054"/>
      <c r="AE2" s="4054"/>
      <c r="AF2" s="4055"/>
      <c r="AG2" s="4059" t="s">
        <v>1668</v>
      </c>
      <c r="AH2" s="4060"/>
      <c r="AI2" s="4060"/>
      <c r="AJ2" s="4060"/>
      <c r="AK2" s="4061"/>
      <c r="AL2" s="4083">
        <v>2024</v>
      </c>
      <c r="AM2" s="4084"/>
      <c r="AN2" s="4084"/>
      <c r="AO2" s="4084"/>
      <c r="AP2" s="4085"/>
      <c r="AQ2" s="4256">
        <v>45292</v>
      </c>
      <c r="AR2" s="4024"/>
      <c r="AS2" s="4024"/>
      <c r="AT2" s="4024"/>
      <c r="AU2" s="4025"/>
      <c r="AV2" s="4269">
        <v>45323</v>
      </c>
      <c r="AW2" s="4270"/>
      <c r="AX2" s="4270"/>
      <c r="AY2" s="4270"/>
      <c r="AZ2" s="4271"/>
      <c r="BA2" s="4276">
        <v>45352</v>
      </c>
      <c r="BB2" s="4204"/>
      <c r="BC2" s="4204"/>
      <c r="BD2" s="4204"/>
      <c r="BE2" s="4205"/>
      <c r="BF2" s="4277">
        <v>45383</v>
      </c>
      <c r="BG2" s="4278"/>
      <c r="BH2" s="4278"/>
      <c r="BI2" s="4278"/>
      <c r="BJ2" s="4279"/>
      <c r="BK2" s="4290">
        <v>45413</v>
      </c>
      <c r="BL2" s="4291"/>
      <c r="BM2" s="4291"/>
      <c r="BN2" s="4291"/>
      <c r="BO2" s="4292"/>
      <c r="BP2" s="4283">
        <v>45444</v>
      </c>
      <c r="BQ2" s="4072"/>
      <c r="BR2" s="4072"/>
      <c r="BS2" s="4072"/>
      <c r="BT2" s="4073"/>
      <c r="BU2" s="4376">
        <v>45474</v>
      </c>
      <c r="BV2" s="4054"/>
      <c r="BW2" s="4054"/>
      <c r="BX2" s="4054"/>
      <c r="BY2" s="4055"/>
      <c r="BZ2" s="4356">
        <v>45505</v>
      </c>
      <c r="CA2" s="4357"/>
      <c r="CB2" s="4357"/>
      <c r="CC2" s="4357"/>
      <c r="CD2" s="4358"/>
      <c r="CE2" s="4362">
        <v>45536</v>
      </c>
      <c r="CF2" s="4363"/>
      <c r="CG2" s="4363"/>
      <c r="CH2" s="4363"/>
      <c r="CI2" s="4364"/>
      <c r="CJ2" s="4095">
        <v>45566</v>
      </c>
      <c r="CK2" s="4096"/>
      <c r="CL2" s="4096"/>
      <c r="CM2" s="4096"/>
      <c r="CN2" s="4097"/>
      <c r="CO2" s="4244">
        <v>45597</v>
      </c>
      <c r="CP2" s="4245"/>
      <c r="CQ2" s="4245"/>
      <c r="CR2" s="4245"/>
      <c r="CS2" s="4246"/>
      <c r="CT2" s="4250">
        <v>45627</v>
      </c>
      <c r="CU2" s="4251"/>
      <c r="CV2" s="4251"/>
      <c r="CW2" s="4251"/>
      <c r="CX2" s="4252"/>
      <c r="CY2" s="4089" t="s">
        <v>2201</v>
      </c>
      <c r="CZ2" s="4090"/>
      <c r="DA2" s="4090"/>
      <c r="DB2" s="4090"/>
      <c r="DC2" s="4091"/>
    </row>
    <row r="3" spans="1:107" ht="15" customHeight="1" thickBot="1" x14ac:dyDescent="0.3">
      <c r="A3" s="4035" t="s">
        <v>54</v>
      </c>
      <c r="B3" s="4036"/>
      <c r="C3" s="4056"/>
      <c r="D3" s="4057"/>
      <c r="E3" s="4057"/>
      <c r="F3" s="4057"/>
      <c r="G3" s="3272"/>
      <c r="H3" s="4371"/>
      <c r="I3" s="4372"/>
      <c r="J3" s="4372"/>
      <c r="K3" s="4372"/>
      <c r="L3" s="4373"/>
      <c r="M3" s="4175"/>
      <c r="N3" s="4176"/>
      <c r="O3" s="4176"/>
      <c r="P3" s="4176"/>
      <c r="Q3" s="4177"/>
      <c r="R3" s="4074"/>
      <c r="S3" s="4075"/>
      <c r="T3" s="4075"/>
      <c r="U3" s="4075"/>
      <c r="V3" s="4076"/>
      <c r="W3" s="4080"/>
      <c r="X3" s="4081"/>
      <c r="Y3" s="4081"/>
      <c r="Z3" s="4081"/>
      <c r="AA3" s="4082"/>
      <c r="AB3" s="4056"/>
      <c r="AC3" s="4057"/>
      <c r="AD3" s="4057"/>
      <c r="AE3" s="4057"/>
      <c r="AF3" s="4058"/>
      <c r="AG3" s="4062"/>
      <c r="AH3" s="4063"/>
      <c r="AI3" s="4063"/>
      <c r="AJ3" s="4063"/>
      <c r="AK3" s="4064"/>
      <c r="AL3" s="4086"/>
      <c r="AM3" s="4087"/>
      <c r="AN3" s="4087"/>
      <c r="AO3" s="4087"/>
      <c r="AP3" s="4088"/>
      <c r="AQ3" s="4026"/>
      <c r="AR3" s="4027"/>
      <c r="AS3" s="4027"/>
      <c r="AT3" s="4027"/>
      <c r="AU3" s="4028"/>
      <c r="AV3" s="4272"/>
      <c r="AW3" s="4273"/>
      <c r="AX3" s="4273"/>
      <c r="AY3" s="4273"/>
      <c r="AZ3" s="4274"/>
      <c r="BA3" s="4206"/>
      <c r="BB3" s="4207"/>
      <c r="BC3" s="4207"/>
      <c r="BD3" s="4207"/>
      <c r="BE3" s="4208"/>
      <c r="BF3" s="4280"/>
      <c r="BG3" s="4281"/>
      <c r="BH3" s="4281"/>
      <c r="BI3" s="4281"/>
      <c r="BJ3" s="4282"/>
      <c r="BK3" s="4293"/>
      <c r="BL3" s="4294"/>
      <c r="BM3" s="4294"/>
      <c r="BN3" s="4294"/>
      <c r="BO3" s="4295"/>
      <c r="BP3" s="4074"/>
      <c r="BQ3" s="4075"/>
      <c r="BR3" s="4075"/>
      <c r="BS3" s="4075"/>
      <c r="BT3" s="4076"/>
      <c r="BU3" s="4056"/>
      <c r="BV3" s="4057"/>
      <c r="BW3" s="4057"/>
      <c r="BX3" s="4057"/>
      <c r="BY3" s="4058"/>
      <c r="BZ3" s="4359"/>
      <c r="CA3" s="4360"/>
      <c r="CB3" s="4360"/>
      <c r="CC3" s="4360"/>
      <c r="CD3" s="4361"/>
      <c r="CE3" s="4365"/>
      <c r="CF3" s="4366"/>
      <c r="CG3" s="4366"/>
      <c r="CH3" s="4366"/>
      <c r="CI3" s="4367"/>
      <c r="CJ3" s="4098"/>
      <c r="CK3" s="4099"/>
      <c r="CL3" s="4099"/>
      <c r="CM3" s="4099"/>
      <c r="CN3" s="4100"/>
      <c r="CO3" s="4247"/>
      <c r="CP3" s="4248"/>
      <c r="CQ3" s="4248"/>
      <c r="CR3" s="4248"/>
      <c r="CS3" s="4249"/>
      <c r="CT3" s="4253"/>
      <c r="CU3" s="4254"/>
      <c r="CV3" s="4254"/>
      <c r="CW3" s="4254"/>
      <c r="CX3" s="4255"/>
      <c r="CY3" s="4092"/>
      <c r="CZ3" s="4093"/>
      <c r="DA3" s="4093"/>
      <c r="DB3" s="4093"/>
      <c r="DC3" s="4094"/>
    </row>
    <row r="4" spans="1:107" ht="51.6" thickBot="1" x14ac:dyDescent="0.3">
      <c r="A4" s="1486"/>
      <c r="B4" s="1487" t="s">
        <v>11</v>
      </c>
      <c r="C4" s="1972" t="s">
        <v>55</v>
      </c>
      <c r="D4" s="1972" t="s">
        <v>18</v>
      </c>
      <c r="E4" s="1489" t="s">
        <v>39</v>
      </c>
      <c r="F4" s="1978" t="s">
        <v>40</v>
      </c>
      <c r="G4" s="1489" t="s">
        <v>19</v>
      </c>
      <c r="H4" s="1972"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968</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O4" s="1972" t="s">
        <v>55</v>
      </c>
      <c r="CP4" s="1972" t="s">
        <v>18</v>
      </c>
      <c r="CQ4" s="1489" t="s">
        <v>39</v>
      </c>
      <c r="CR4" s="1978" t="s">
        <v>40</v>
      </c>
      <c r="CS4" s="1489" t="s">
        <v>19</v>
      </c>
      <c r="CT4" s="1972" t="s">
        <v>55</v>
      </c>
      <c r="CU4" s="1972" t="s">
        <v>18</v>
      </c>
      <c r="CV4" s="1489" t="s">
        <v>39</v>
      </c>
      <c r="CW4" s="1978" t="s">
        <v>40</v>
      </c>
      <c r="CX4" s="1489" t="s">
        <v>19</v>
      </c>
      <c r="CY4" s="1972" t="s">
        <v>55</v>
      </c>
      <c r="CZ4" s="1972" t="s">
        <v>18</v>
      </c>
      <c r="DA4" s="1489" t="s">
        <v>39</v>
      </c>
      <c r="DB4" s="1978" t="s">
        <v>40</v>
      </c>
      <c r="DC4" s="1489" t="s">
        <v>19</v>
      </c>
    </row>
    <row r="5" spans="1:107" s="2483" customFormat="1" ht="14.4" thickBot="1" x14ac:dyDescent="0.3">
      <c r="A5" s="1477"/>
      <c r="B5" s="1478" t="s">
        <v>10</v>
      </c>
      <c r="C5" s="1481">
        <f>C6+C7</f>
        <v>315280</v>
      </c>
      <c r="D5" s="1481">
        <f>D6+D7</f>
        <v>0</v>
      </c>
      <c r="E5" s="1481">
        <f>E6</f>
        <v>315280</v>
      </c>
      <c r="F5" s="1481"/>
      <c r="G5" s="1481"/>
      <c r="H5" s="1481">
        <f>H6</f>
        <v>311416</v>
      </c>
      <c r="I5" s="1481">
        <f>I6</f>
        <v>142463.6</v>
      </c>
      <c r="J5" s="1481">
        <f>J6</f>
        <v>453879.6</v>
      </c>
      <c r="K5" s="1481"/>
      <c r="L5" s="1481"/>
      <c r="M5" s="1481">
        <f>M6</f>
        <v>487733.37</v>
      </c>
      <c r="N5" s="1481">
        <f>N6</f>
        <v>0</v>
      </c>
      <c r="O5" s="1481">
        <f>O6</f>
        <v>487733.37</v>
      </c>
      <c r="P5" s="1481"/>
      <c r="Q5" s="1481"/>
      <c r="R5" s="1481">
        <f>R6</f>
        <v>122641.9</v>
      </c>
      <c r="S5" s="1481">
        <f>S6</f>
        <v>166354</v>
      </c>
      <c r="T5" s="1481">
        <f>T6</f>
        <v>288995.90000000002</v>
      </c>
      <c r="U5" s="1481"/>
      <c r="V5" s="1481"/>
      <c r="W5" s="1481">
        <f>W6</f>
        <v>336772.55</v>
      </c>
      <c r="X5" s="1481">
        <f>X6</f>
        <v>0</v>
      </c>
      <c r="Y5" s="1481">
        <f>Y6</f>
        <v>336772.55</v>
      </c>
      <c r="Z5" s="1481"/>
      <c r="AA5" s="1481"/>
      <c r="AB5" s="1481">
        <f>AB6</f>
        <v>277920</v>
      </c>
      <c r="AC5" s="1481">
        <f>AC6</f>
        <v>0</v>
      </c>
      <c r="AD5" s="1481">
        <f>AD6</f>
        <v>277920</v>
      </c>
      <c r="AE5" s="1481"/>
      <c r="AF5" s="1481"/>
      <c r="AG5" s="1481">
        <v>1399590.9</v>
      </c>
      <c r="AH5" s="1481">
        <v>34265</v>
      </c>
      <c r="AI5" s="1481">
        <v>1433855.9</v>
      </c>
      <c r="AJ5" s="1481"/>
      <c r="AK5" s="1481"/>
      <c r="AL5" s="1481">
        <f>AL6+AL7</f>
        <v>0</v>
      </c>
      <c r="AM5" s="1481">
        <f>AM6+AM7</f>
        <v>0</v>
      </c>
      <c r="AN5" s="1481">
        <f>AN6+AN7</f>
        <v>0</v>
      </c>
      <c r="AO5" s="1481"/>
      <c r="AP5" s="1481"/>
      <c r="AQ5" s="1481">
        <f>AQ6</f>
        <v>0</v>
      </c>
      <c r="AR5" s="1481">
        <f>AR6</f>
        <v>0</v>
      </c>
      <c r="AS5" s="1481">
        <f>AS6</f>
        <v>0</v>
      </c>
      <c r="AT5" s="1481"/>
      <c r="AU5" s="1481"/>
      <c r="AV5" s="1481">
        <f>AV6</f>
        <v>0</v>
      </c>
      <c r="AW5" s="1481">
        <f>AW6</f>
        <v>0</v>
      </c>
      <c r="AX5" s="1481">
        <f>AX6+AX7</f>
        <v>0</v>
      </c>
      <c r="AY5" s="1481"/>
      <c r="AZ5" s="1481"/>
      <c r="BA5" s="1481">
        <f>BA6</f>
        <v>0</v>
      </c>
      <c r="BB5" s="1481">
        <f>BB6</f>
        <v>0</v>
      </c>
      <c r="BC5" s="1481">
        <f>BC6+BC7</f>
        <v>0</v>
      </c>
      <c r="BD5" s="1481"/>
      <c r="BE5" s="1481"/>
      <c r="BF5" s="1481">
        <f>BF6</f>
        <v>0</v>
      </c>
      <c r="BG5" s="1481">
        <f>BG6</f>
        <v>0</v>
      </c>
      <c r="BH5" s="1481">
        <f>BH6+BH7</f>
        <v>0</v>
      </c>
      <c r="BI5" s="1481"/>
      <c r="BJ5" s="1481"/>
      <c r="BK5" s="1481">
        <f>BK6</f>
        <v>0</v>
      </c>
      <c r="BL5" s="1481">
        <f>BL6</f>
        <v>0</v>
      </c>
      <c r="BM5" s="1481">
        <f>BM6+BM7</f>
        <v>0</v>
      </c>
      <c r="BN5" s="1481"/>
      <c r="BO5" s="1481"/>
      <c r="BP5" s="1481">
        <f>BP6</f>
        <v>0</v>
      </c>
      <c r="BQ5" s="1481">
        <f>BQ6</f>
        <v>0</v>
      </c>
      <c r="BR5" s="1481">
        <f>BR6+BR7</f>
        <v>0</v>
      </c>
      <c r="BS5" s="1481"/>
      <c r="BT5" s="1481"/>
      <c r="BU5" s="1481">
        <f>BU6</f>
        <v>0</v>
      </c>
      <c r="BV5" s="1481">
        <f>BV6</f>
        <v>0</v>
      </c>
      <c r="BW5" s="1481">
        <f>BW6+BW7</f>
        <v>0</v>
      </c>
      <c r="BX5" s="1481"/>
      <c r="BY5" s="1481"/>
      <c r="BZ5" s="1481">
        <f>BZ6</f>
        <v>0</v>
      </c>
      <c r="CA5" s="1481">
        <f>CA6</f>
        <v>0</v>
      </c>
      <c r="CB5" s="1481">
        <f>CB6+CB7</f>
        <v>0</v>
      </c>
      <c r="CC5" s="1481"/>
      <c r="CD5" s="1481"/>
      <c r="CE5" s="1481">
        <f>CE6</f>
        <v>0</v>
      </c>
      <c r="CF5" s="1481">
        <f>CF6</f>
        <v>0</v>
      </c>
      <c r="CG5" s="1481">
        <f>CG6+CG7</f>
        <v>0</v>
      </c>
      <c r="CH5" s="1481"/>
      <c r="CI5" s="1481"/>
      <c r="CJ5" s="1481">
        <f>CJ6</f>
        <v>0</v>
      </c>
      <c r="CK5" s="1481">
        <f>CK6</f>
        <v>0</v>
      </c>
      <c r="CL5" s="1481">
        <f>CL6+CL7</f>
        <v>0</v>
      </c>
      <c r="CM5" s="1481"/>
      <c r="CN5" s="1481"/>
      <c r="CO5" s="1481">
        <f>CO6</f>
        <v>0</v>
      </c>
      <c r="CP5" s="1481">
        <f>CP6</f>
        <v>0</v>
      </c>
      <c r="CQ5" s="1481">
        <f>CQ6+CQ7</f>
        <v>0</v>
      </c>
      <c r="CR5" s="1481"/>
      <c r="CS5" s="1481"/>
      <c r="CT5" s="1481">
        <f>CT6</f>
        <v>0</v>
      </c>
      <c r="CU5" s="1481">
        <f>CU6</f>
        <v>0</v>
      </c>
      <c r="CV5" s="1481">
        <f>CV6+CV7</f>
        <v>0</v>
      </c>
      <c r="CW5" s="1481"/>
      <c r="CX5" s="1481"/>
      <c r="CY5" s="1481">
        <f>CY6+CY7</f>
        <v>3251354.7199999997</v>
      </c>
      <c r="CZ5" s="1481">
        <f>CZ6+CZ7</f>
        <v>343082.6</v>
      </c>
      <c r="DA5" s="1481">
        <f>DA6+DA7</f>
        <v>3594437.32</v>
      </c>
      <c r="DB5" s="1481"/>
      <c r="DC5" s="1481"/>
    </row>
    <row r="6" spans="1:107" s="1411" customFormat="1" ht="33.6" customHeight="1" x14ac:dyDescent="0.25">
      <c r="A6" s="3273">
        <v>0</v>
      </c>
      <c r="B6" s="1418" t="s">
        <v>17</v>
      </c>
      <c r="C6" s="3274">
        <v>315280</v>
      </c>
      <c r="D6" s="3274"/>
      <c r="E6" s="2028">
        <f>C6+D6</f>
        <v>315280</v>
      </c>
      <c r="F6" s="3274"/>
      <c r="G6" s="3275" t="s">
        <v>1106</v>
      </c>
      <c r="H6" s="3274">
        <v>311416</v>
      </c>
      <c r="I6" s="3274">
        <v>142463.6</v>
      </c>
      <c r="J6" s="2028">
        <f>H6+I6</f>
        <v>453879.6</v>
      </c>
      <c r="K6" s="3274"/>
      <c r="L6" s="3275"/>
      <c r="M6" s="3274">
        <f>57696+100086+55968+55177+35898.1+60099.37+61214.9+61594</f>
        <v>487733.37</v>
      </c>
      <c r="N6" s="3274"/>
      <c r="O6" s="2028">
        <f>M6+N6</f>
        <v>487733.37</v>
      </c>
      <c r="P6" s="3274"/>
      <c r="Q6" s="3275" t="s">
        <v>1260</v>
      </c>
      <c r="R6" s="3274">
        <f>18201+35551.1+29347.8+39542</f>
        <v>122641.9</v>
      </c>
      <c r="S6" s="3274">
        <f>46600+119754</f>
        <v>166354</v>
      </c>
      <c r="T6" s="2028">
        <f>R6+S6</f>
        <v>288995.90000000002</v>
      </c>
      <c r="U6" s="3274"/>
      <c r="V6" s="3275" t="s">
        <v>1332</v>
      </c>
      <c r="W6" s="3274">
        <v>336772.55</v>
      </c>
      <c r="X6" s="3274"/>
      <c r="Y6" s="2028">
        <f>W6+X6</f>
        <v>336772.55</v>
      </c>
      <c r="Z6" s="3274"/>
      <c r="AA6" s="3275" t="s">
        <v>1418</v>
      </c>
      <c r="AB6" s="3274">
        <v>277920</v>
      </c>
      <c r="AC6" s="3274"/>
      <c r="AD6" s="2028">
        <f>AB6+AC6</f>
        <v>277920</v>
      </c>
      <c r="AE6" s="3274"/>
      <c r="AF6" s="3275" t="s">
        <v>1472</v>
      </c>
      <c r="AG6" s="3274">
        <v>1399590.9</v>
      </c>
      <c r="AH6" s="3274">
        <v>34265</v>
      </c>
      <c r="AI6" s="2028">
        <v>1433855.9</v>
      </c>
      <c r="AJ6" s="3274"/>
      <c r="AK6" s="3276"/>
      <c r="AL6" s="3274">
        <f>AQ6+AV6+BA6+BF6+BK6+BP6+BU6+BZ6+CE6+CJ6+CO6+CT6</f>
        <v>0</v>
      </c>
      <c r="AM6" s="3274">
        <f>AR6+AW6+BB6+BG6+BL6+BQ6+BV6+CA6+CF6+CK6+CP6+CU6</f>
        <v>0</v>
      </c>
      <c r="AN6" s="2028">
        <f>AL6+AM6</f>
        <v>0</v>
      </c>
      <c r="AO6" s="3274"/>
      <c r="AP6" s="3276"/>
      <c r="AQ6" s="3274"/>
      <c r="AR6" s="3274"/>
      <c r="AS6" s="2028">
        <f>AQ6+AR6</f>
        <v>0</v>
      </c>
      <c r="AT6" s="3274"/>
      <c r="AU6" s="3275"/>
      <c r="AV6" s="3274"/>
      <c r="AW6" s="3274"/>
      <c r="AX6" s="2028">
        <f>AV6+AW6</f>
        <v>0</v>
      </c>
      <c r="AY6" s="3274"/>
      <c r="AZ6" s="3287"/>
      <c r="BA6" s="3274"/>
      <c r="BB6" s="3274"/>
      <c r="BC6" s="2028">
        <f>BA6+BB6</f>
        <v>0</v>
      </c>
      <c r="BD6" s="3274"/>
      <c r="BE6" s="3276"/>
      <c r="BF6" s="3274"/>
      <c r="BG6" s="3274"/>
      <c r="BH6" s="2028">
        <f>BF6+BG6</f>
        <v>0</v>
      </c>
      <c r="BI6" s="3274"/>
      <c r="BJ6" s="3276"/>
      <c r="BK6" s="3274"/>
      <c r="BL6" s="3274"/>
      <c r="BM6" s="2028">
        <f>BK6+BL6</f>
        <v>0</v>
      </c>
      <c r="BN6" s="3274"/>
      <c r="BO6" s="3276"/>
      <c r="BP6" s="3274"/>
      <c r="BQ6" s="3274"/>
      <c r="BR6" s="2028">
        <f>BP6+BQ6</f>
        <v>0</v>
      </c>
      <c r="BS6" s="3274"/>
      <c r="BT6" s="3276"/>
      <c r="BU6" s="3274"/>
      <c r="BV6" s="3274"/>
      <c r="BW6" s="2028">
        <f>BU6+BV6</f>
        <v>0</v>
      </c>
      <c r="BX6" s="3274"/>
      <c r="BY6" s="3276"/>
      <c r="BZ6" s="3274"/>
      <c r="CA6" s="3274"/>
      <c r="CB6" s="2028">
        <f>BZ6+CA6</f>
        <v>0</v>
      </c>
      <c r="CC6" s="3274"/>
      <c r="CD6" s="3276"/>
      <c r="CE6" s="3274"/>
      <c r="CF6" s="3274"/>
      <c r="CG6" s="2028">
        <f>CE6+CF6</f>
        <v>0</v>
      </c>
      <c r="CH6" s="3274"/>
      <c r="CI6" s="3276"/>
      <c r="CJ6" s="3274"/>
      <c r="CK6" s="3274"/>
      <c r="CL6" s="2028">
        <f>CJ6+CK6</f>
        <v>0</v>
      </c>
      <c r="CM6" s="3274"/>
      <c r="CN6" s="3276"/>
      <c r="CO6" s="3274"/>
      <c r="CP6" s="3274"/>
      <c r="CQ6" s="2028">
        <f>CO6+CP6</f>
        <v>0</v>
      </c>
      <c r="CR6" s="3274"/>
      <c r="CS6" s="3276"/>
      <c r="CT6" s="3274"/>
      <c r="CU6" s="3274"/>
      <c r="CV6" s="2028">
        <f>CT6+CU6</f>
        <v>0</v>
      </c>
      <c r="CW6" s="3274"/>
      <c r="CX6" s="3276"/>
      <c r="CY6" s="3274">
        <f>C6+H6+M6+R6+W6+AB6+AQ6+AV6+BA6+BF6+BK6+BP6+BU6+BZ6+CE6+CJ6+CO6+CT6+AG6</f>
        <v>3251354.7199999997</v>
      </c>
      <c r="CZ6" s="3274">
        <f>D6+I6+N6+S6+X6+AC6+AR6+AW6+BB6+BG6+BL6+BQ6+BV6+CA6+CF6+CK6+CP6+CU6+AH6</f>
        <v>343082.6</v>
      </c>
      <c r="DA6" s="2028">
        <f>CY6+CZ6</f>
        <v>3594437.32</v>
      </c>
      <c r="DB6" s="3274"/>
      <c r="DC6" s="3274"/>
    </row>
    <row r="7" spans="1:107" s="1411" customFormat="1" ht="16.2" customHeight="1" thickBot="1" x14ac:dyDescent="0.3">
      <c r="A7" s="1586"/>
      <c r="B7" s="3231" t="s">
        <v>41</v>
      </c>
      <c r="C7" s="3274"/>
      <c r="D7" s="3274"/>
      <c r="E7" s="2028">
        <f>C7+D7</f>
        <v>0</v>
      </c>
      <c r="F7" s="3277"/>
      <c r="G7" s="3277"/>
      <c r="H7" s="3274"/>
      <c r="I7" s="3274"/>
      <c r="J7" s="2028">
        <f>H7+I7</f>
        <v>0</v>
      </c>
      <c r="K7" s="3277"/>
      <c r="L7" s="3277"/>
      <c r="M7" s="3274"/>
      <c r="N7" s="3274"/>
      <c r="O7" s="2028">
        <f>M7+N7</f>
        <v>0</v>
      </c>
      <c r="P7" s="3277"/>
      <c r="Q7" s="3277"/>
      <c r="R7" s="3274"/>
      <c r="S7" s="3274"/>
      <c r="T7" s="2028">
        <f>R7+S7</f>
        <v>0</v>
      </c>
      <c r="U7" s="3277"/>
      <c r="V7" s="3277"/>
      <c r="W7" s="3274"/>
      <c r="X7" s="3274"/>
      <c r="Y7" s="2028">
        <f>W7+X7</f>
        <v>0</v>
      </c>
      <c r="Z7" s="3277"/>
      <c r="AA7" s="3277"/>
      <c r="AB7" s="3274"/>
      <c r="AC7" s="3274"/>
      <c r="AD7" s="2028">
        <f>AB7+AC7</f>
        <v>0</v>
      </c>
      <c r="AE7" s="3277"/>
      <c r="AF7" s="3277"/>
      <c r="AG7" s="3274">
        <v>0</v>
      </c>
      <c r="AH7" s="3274">
        <v>0</v>
      </c>
      <c r="AI7" s="2028">
        <v>0</v>
      </c>
      <c r="AJ7" s="3277"/>
      <c r="AK7" s="3276"/>
      <c r="AL7" s="3274">
        <f>AQ7+AV7+BA7+BF7+BK7+BP7+BU7+BZ7+CE7+CJ7+CO7+CT7</f>
        <v>0</v>
      </c>
      <c r="AM7" s="3274">
        <f>AR7+AW7+BB7+BG7+BL7+BQ7+BV7+CA7+CF7+CK7+CP7+CU7</f>
        <v>0</v>
      </c>
      <c r="AN7" s="2028">
        <f>AL7+AM7</f>
        <v>0</v>
      </c>
      <c r="AO7" s="3277"/>
      <c r="AP7" s="3276"/>
      <c r="AQ7" s="3274"/>
      <c r="AR7" s="3274"/>
      <c r="AS7" s="2028">
        <f>AQ7+AR7</f>
        <v>0</v>
      </c>
      <c r="AT7" s="3277"/>
      <c r="AU7" s="3277"/>
      <c r="AV7" s="3274"/>
      <c r="AW7" s="3274"/>
      <c r="AX7" s="2028">
        <f>AV7+AW7</f>
        <v>0</v>
      </c>
      <c r="AY7" s="3277"/>
      <c r="AZ7" s="3277"/>
      <c r="BA7" s="3274"/>
      <c r="BB7" s="3274"/>
      <c r="BC7" s="2028">
        <f>BA7+BB7</f>
        <v>0</v>
      </c>
      <c r="BD7" s="3277"/>
      <c r="BE7" s="3277"/>
      <c r="BF7" s="3274"/>
      <c r="BG7" s="3274"/>
      <c r="BH7" s="2028">
        <f>BF7+BG7</f>
        <v>0</v>
      </c>
      <c r="BI7" s="3277"/>
      <c r="BJ7" s="3277"/>
      <c r="BK7" s="3274"/>
      <c r="BL7" s="3274"/>
      <c r="BM7" s="2028">
        <f>BK7+BL7</f>
        <v>0</v>
      </c>
      <c r="BN7" s="3277"/>
      <c r="BO7" s="3277"/>
      <c r="BP7" s="3274"/>
      <c r="BQ7" s="3274"/>
      <c r="BR7" s="2028">
        <f>BP7+BQ7</f>
        <v>0</v>
      </c>
      <c r="BS7" s="3277"/>
      <c r="BT7" s="3277"/>
      <c r="BU7" s="3274"/>
      <c r="BV7" s="3274"/>
      <c r="BW7" s="2028">
        <f>BU7+BV7</f>
        <v>0</v>
      </c>
      <c r="BX7" s="3277"/>
      <c r="BY7" s="3277"/>
      <c r="BZ7" s="3274"/>
      <c r="CA7" s="3274"/>
      <c r="CB7" s="2028">
        <f>BZ7+CA7</f>
        <v>0</v>
      </c>
      <c r="CC7" s="3277"/>
      <c r="CD7" s="3278"/>
      <c r="CE7" s="3274"/>
      <c r="CF7" s="3274"/>
      <c r="CG7" s="2028">
        <f>CE7+CF7</f>
        <v>0</v>
      </c>
      <c r="CH7" s="3277"/>
      <c r="CI7" s="3278"/>
      <c r="CJ7" s="3274"/>
      <c r="CK7" s="3274"/>
      <c r="CL7" s="2028">
        <f>CJ7+CK7</f>
        <v>0</v>
      </c>
      <c r="CM7" s="3277"/>
      <c r="CN7" s="3278"/>
      <c r="CO7" s="3274"/>
      <c r="CP7" s="3274"/>
      <c r="CQ7" s="2028">
        <f>CO7+CP7</f>
        <v>0</v>
      </c>
      <c r="CR7" s="3277"/>
      <c r="CS7" s="3278"/>
      <c r="CT7" s="3274"/>
      <c r="CU7" s="3274"/>
      <c r="CV7" s="2028">
        <f>CT7+CU7</f>
        <v>0</v>
      </c>
      <c r="CW7" s="3277"/>
      <c r="CX7" s="3278"/>
      <c r="CY7" s="3274">
        <f>C7+H7+M7+R7+W7+AB7+AQ7+AV7+BA7+BF7+BK7+BP7+BU7+BZ7+CE7+CJ7+CO7+CT7+AG7</f>
        <v>0</v>
      </c>
      <c r="CZ7" s="3274">
        <f>D7+I7+N7+S7+X7+AC7+AR7+AW7+BB7+BG7+BL7+BQ7+BV7+CA7+CF7+CK7+CP7+CU7+AH7</f>
        <v>0</v>
      </c>
      <c r="DA7" s="2028">
        <f>CY7+CZ7</f>
        <v>0</v>
      </c>
      <c r="DB7" s="3277"/>
      <c r="DC7" s="3277"/>
    </row>
    <row r="8" spans="1:107" s="2483" customFormat="1" ht="14.4" thickBot="1" x14ac:dyDescent="0.3">
      <c r="A8" s="1586"/>
      <c r="B8" s="1478" t="s">
        <v>16</v>
      </c>
      <c r="C8" s="1973">
        <f>SUM(C9:C33)</f>
        <v>247940.09</v>
      </c>
      <c r="D8" s="1973">
        <f>SUM(D9:D33)</f>
        <v>41987</v>
      </c>
      <c r="E8" s="1499">
        <f>SUM(E9:E33)</f>
        <v>289927.08999999997</v>
      </c>
      <c r="F8" s="1543">
        <f t="shared" ref="F8:F36" si="0">E8/$E$89</f>
        <v>0.97437212697091546</v>
      </c>
      <c r="G8" s="1481"/>
      <c r="H8" s="1973">
        <f>SUM(H9:H33)</f>
        <v>166784.31999999998</v>
      </c>
      <c r="I8" s="1973">
        <f>SUM(I9:I33)</f>
        <v>38913.919999999998</v>
      </c>
      <c r="J8" s="1499">
        <f>SUM(J9:J33)</f>
        <v>205698.24</v>
      </c>
      <c r="K8" s="1543">
        <f>J8/$T$89</f>
        <v>1.132779518933323</v>
      </c>
      <c r="L8" s="1481"/>
      <c r="M8" s="1973">
        <f>SUM(M9:M33)</f>
        <v>160139.31000000003</v>
      </c>
      <c r="N8" s="1973">
        <f>SUM(N9:N33)</f>
        <v>21062</v>
      </c>
      <c r="O8" s="1499">
        <f>SUM(O9:O33)</f>
        <v>181201.31</v>
      </c>
      <c r="P8" s="1543">
        <f>O8/$O$89</f>
        <v>0.98115128960986231</v>
      </c>
      <c r="Q8" s="1481"/>
      <c r="R8" s="1973">
        <f>SUM(R9:R33)</f>
        <v>153446.26</v>
      </c>
      <c r="S8" s="1973">
        <f>SUM(S9:S33)</f>
        <v>26983.32</v>
      </c>
      <c r="T8" s="1499">
        <f>SUM(T9:T33)</f>
        <v>180429.58</v>
      </c>
      <c r="U8" s="1543">
        <f>T8/$O$89</f>
        <v>0.97697260080937498</v>
      </c>
      <c r="V8" s="1481"/>
      <c r="W8" s="1973">
        <f>SUM(W9:W33)</f>
        <v>97051.13</v>
      </c>
      <c r="X8" s="1973">
        <f>SUM(X9:X33)</f>
        <v>38335.57</v>
      </c>
      <c r="Y8" s="1499">
        <f>SUM(Y9:Y33)</f>
        <v>135386.70000000001</v>
      </c>
      <c r="Z8" s="1543">
        <f>Y8/$O$89</f>
        <v>0.73307878017561545</v>
      </c>
      <c r="AA8" s="1481"/>
      <c r="AB8" s="1973">
        <f>SUM(AB9:AB33)</f>
        <v>141813.0876</v>
      </c>
      <c r="AC8" s="1973">
        <f>SUM(AC9:AC33)</f>
        <v>62551</v>
      </c>
      <c r="AD8" s="1499">
        <f>SUM(AD9:AD33)</f>
        <v>204364.0876</v>
      </c>
      <c r="AE8" s="1543">
        <f>AD8/$O$89</f>
        <v>1.106570852598598</v>
      </c>
      <c r="AF8" s="1481"/>
      <c r="AG8" s="1973">
        <v>1072350.7119999998</v>
      </c>
      <c r="AH8" s="1973">
        <v>223508.11000000002</v>
      </c>
      <c r="AI8" s="1499">
        <v>1295858.8219999999</v>
      </c>
      <c r="AJ8" s="1543">
        <v>7.1362901937841698</v>
      </c>
      <c r="AK8" s="1481"/>
      <c r="AL8" s="1973">
        <f>SUM(AL9:AL33)</f>
        <v>0</v>
      </c>
      <c r="AM8" s="1973">
        <f>SUM(AM9:AM33)</f>
        <v>0</v>
      </c>
      <c r="AN8" s="1499">
        <f>SUM(AN9:AN33)</f>
        <v>0</v>
      </c>
      <c r="AO8" s="1543">
        <f>AN8/$T$89</f>
        <v>0</v>
      </c>
      <c r="AP8" s="1481"/>
      <c r="AQ8" s="1973">
        <f>SUM(AQ9:AQ33)</f>
        <v>0</v>
      </c>
      <c r="AR8" s="1973">
        <f>SUM(AR9:AR33)</f>
        <v>0</v>
      </c>
      <c r="AS8" s="1499">
        <f>SUM(AS9:AS33)</f>
        <v>0</v>
      </c>
      <c r="AT8" s="1543">
        <f>AS8/$O$89</f>
        <v>0</v>
      </c>
      <c r="AU8" s="1481"/>
      <c r="AV8" s="1973">
        <f>SUM(AV9:AV33)</f>
        <v>0</v>
      </c>
      <c r="AW8" s="1973">
        <f>SUM(AW9:AW33)</f>
        <v>0</v>
      </c>
      <c r="AX8" s="1499">
        <f>SUM(AX9:AX33)</f>
        <v>0</v>
      </c>
      <c r="AY8" s="1543">
        <f>AX8/$E$89</f>
        <v>0</v>
      </c>
      <c r="AZ8" s="1481"/>
      <c r="BA8" s="1973">
        <f>SUM(BA9:BA33)</f>
        <v>0</v>
      </c>
      <c r="BB8" s="1973">
        <f>SUM(BB9:BB33)</f>
        <v>0</v>
      </c>
      <c r="BC8" s="1499">
        <f>SUM(BC9:BC33)</f>
        <v>0</v>
      </c>
      <c r="BD8" s="1543">
        <f>BC8/$AD$89</f>
        <v>0</v>
      </c>
      <c r="BE8" s="1481"/>
      <c r="BF8" s="1973">
        <f>SUM(BF9:BF33)</f>
        <v>0</v>
      </c>
      <c r="BG8" s="1973">
        <f>SUM(BG9:BG33)</f>
        <v>0</v>
      </c>
      <c r="BH8" s="1499">
        <f>SUM(BH9:BH33)</f>
        <v>0</v>
      </c>
      <c r="BI8" s="1543">
        <f>BH8/$AD$89</f>
        <v>0</v>
      </c>
      <c r="BJ8" s="1481"/>
      <c r="BK8" s="1973">
        <f>SUM(BK9:BK33)</f>
        <v>0</v>
      </c>
      <c r="BL8" s="1973">
        <f>SUM(BL9:BL33)</f>
        <v>0</v>
      </c>
      <c r="BM8" s="1499">
        <f>SUM(BM9:BM33)</f>
        <v>0</v>
      </c>
      <c r="BN8" s="1543">
        <f>BM8/$AD$89</f>
        <v>0</v>
      </c>
      <c r="BO8" s="1481"/>
      <c r="BP8" s="1973">
        <f>SUM(BP9:BP33)</f>
        <v>0</v>
      </c>
      <c r="BQ8" s="1973">
        <f>SUM(BQ9:BQ33)</f>
        <v>0</v>
      </c>
      <c r="BR8" s="1499">
        <f>SUM(BR9:BR33)</f>
        <v>0</v>
      </c>
      <c r="BS8" s="1543">
        <f>BR8/$AD$89</f>
        <v>0</v>
      </c>
      <c r="BT8" s="1481"/>
      <c r="BU8" s="1973">
        <f>SUM(BU9:BU33)</f>
        <v>0</v>
      </c>
      <c r="BV8" s="1973">
        <f>SUM(BV9:BV33)</f>
        <v>0</v>
      </c>
      <c r="BW8" s="1499">
        <f>SUM(BW9:BW33)</f>
        <v>0</v>
      </c>
      <c r="BX8" s="1543" t="e">
        <f>BW8/$AN$89</f>
        <v>#DIV/0!</v>
      </c>
      <c r="BY8" s="1481"/>
      <c r="BZ8" s="1973">
        <f>SUM(BZ9:BZ33)</f>
        <v>0</v>
      </c>
      <c r="CA8" s="1973">
        <f>SUM(CA9:CA33)</f>
        <v>0</v>
      </c>
      <c r="CB8" s="1499">
        <f>SUM(CB9:CB33)</f>
        <v>0</v>
      </c>
      <c r="CC8" s="1543" t="e">
        <f>CB8/$AN$89</f>
        <v>#DIV/0!</v>
      </c>
      <c r="CD8" s="1982"/>
      <c r="CE8" s="1973">
        <f>SUM(CE9:CE33)</f>
        <v>0</v>
      </c>
      <c r="CF8" s="1973">
        <f>SUM(CF9:CF33)</f>
        <v>0</v>
      </c>
      <c r="CG8" s="1499">
        <f>SUM(CG9:CG33)</f>
        <v>0</v>
      </c>
      <c r="CH8" s="1543" t="e">
        <f>CG8/$AN$89</f>
        <v>#DIV/0!</v>
      </c>
      <c r="CI8" s="1982"/>
      <c r="CJ8" s="1973">
        <f>SUM(CJ9:CJ33)</f>
        <v>0</v>
      </c>
      <c r="CK8" s="1973">
        <f>SUM(CK9:CK33)</f>
        <v>0</v>
      </c>
      <c r="CL8" s="1499">
        <f>SUM(CL9:CL33)</f>
        <v>0</v>
      </c>
      <c r="CM8" s="1543" t="e">
        <f>CL8/$AN$89</f>
        <v>#DIV/0!</v>
      </c>
      <c r="CN8" s="1982"/>
      <c r="CO8" s="1973">
        <f>SUM(CO9:CO33)</f>
        <v>0</v>
      </c>
      <c r="CP8" s="1973">
        <f>SUM(CP9:CP33)</f>
        <v>0</v>
      </c>
      <c r="CQ8" s="1499">
        <f>SUM(CQ9:CQ33)</f>
        <v>0</v>
      </c>
      <c r="CR8" s="1543" t="e">
        <f>CQ8/$AN$89</f>
        <v>#DIV/0!</v>
      </c>
      <c r="CS8" s="1982"/>
      <c r="CT8" s="1973">
        <f>SUM(CT9:CT33)</f>
        <v>0</v>
      </c>
      <c r="CU8" s="1973">
        <f>SUM(CU9:CU33)</f>
        <v>0</v>
      </c>
      <c r="CV8" s="1499">
        <f>SUM(CV9:CV33)</f>
        <v>0</v>
      </c>
      <c r="CW8" s="1543" t="e">
        <f>CV8/$AN$89</f>
        <v>#DIV/0!</v>
      </c>
      <c r="CX8" s="1982"/>
      <c r="CY8" s="1973">
        <f>SUM(CY9:CY33)</f>
        <v>2039524.9095999999</v>
      </c>
      <c r="CZ8" s="1973">
        <f>SUM(CZ9:CZ33)</f>
        <v>453340.92</v>
      </c>
      <c r="DA8" s="1499">
        <f>SUM(DA9:DA33)</f>
        <v>2492865.8295999998</v>
      </c>
      <c r="DB8" s="1543">
        <f t="shared" ref="DB8:DB33" si="1">DA8/$DA$89</f>
        <v>0.97583222585030815</v>
      </c>
      <c r="DC8" s="1481"/>
    </row>
    <row r="9" spans="1:107" s="1411" customFormat="1" ht="27.6" x14ac:dyDescent="0.25">
      <c r="A9" s="1586"/>
      <c r="B9" s="1415" t="s">
        <v>74</v>
      </c>
      <c r="C9" s="3280">
        <v>4186</v>
      </c>
      <c r="D9" s="3280">
        <v>15359</v>
      </c>
      <c r="E9" s="3281">
        <f>C9+D9*1</f>
        <v>19545</v>
      </c>
      <c r="F9" s="1574">
        <f>E9/$E$89</f>
        <v>6.5685835779079993E-2</v>
      </c>
      <c r="G9" s="3282" t="s">
        <v>1107</v>
      </c>
      <c r="H9" s="3274">
        <f>5095.99+1234.44</f>
        <v>6330.43</v>
      </c>
      <c r="I9" s="3274">
        <f>4297.33+11940.59</f>
        <v>16237.92</v>
      </c>
      <c r="J9" s="3283">
        <f>H9+I9*1</f>
        <v>22568.35</v>
      </c>
      <c r="K9" s="3284">
        <f>J9/$T$89</f>
        <v>0.12428382788359715</v>
      </c>
      <c r="L9" s="3275" t="s">
        <v>1167</v>
      </c>
      <c r="M9" s="3280">
        <v>10452.59</v>
      </c>
      <c r="N9" s="3280">
        <f>7143+13419</f>
        <v>20562</v>
      </c>
      <c r="O9" s="3281">
        <f>M9+N9*1</f>
        <v>31014.59</v>
      </c>
      <c r="P9" s="1574">
        <f t="shared" ref="P9:P71" si="2">O9/$O$89</f>
        <v>0.16793479569888947</v>
      </c>
      <c r="Q9" s="3282" t="s">
        <v>1261</v>
      </c>
      <c r="R9" s="3280">
        <v>15134</v>
      </c>
      <c r="S9" s="3280">
        <f>1823+11028+1808.32+10824</f>
        <v>25483.32</v>
      </c>
      <c r="T9" s="3281">
        <f>R9+S9*1</f>
        <v>40617.32</v>
      </c>
      <c r="U9" s="1574">
        <f t="shared" ref="U9:U33" si="3">T9/$O$89</f>
        <v>0.2199307273137068</v>
      </c>
      <c r="V9" s="3282" t="s">
        <v>1338</v>
      </c>
      <c r="W9" s="3280">
        <v>7567</v>
      </c>
      <c r="X9" s="3280">
        <v>21956.5</v>
      </c>
      <c r="Y9" s="3281">
        <f>W9+X9*1</f>
        <v>29523.5</v>
      </c>
      <c r="Z9" s="1574">
        <f t="shared" ref="Z9:Z33" si="4">Y9/$O$89</f>
        <v>0.15986098609770963</v>
      </c>
      <c r="AA9" s="3282" t="s">
        <v>1419</v>
      </c>
      <c r="AB9" s="3280">
        <v>7567</v>
      </c>
      <c r="AC9" s="3280">
        <f>32551+20*1000+10000</f>
        <v>62551</v>
      </c>
      <c r="AD9" s="3281">
        <f>AB9+AC9*1</f>
        <v>70118</v>
      </c>
      <c r="AE9" s="1574">
        <f t="shared" ref="AE9:AE33" si="5">AD9/$O$89</f>
        <v>0.37966814988735087</v>
      </c>
      <c r="AF9" s="3275" t="s">
        <v>1481</v>
      </c>
      <c r="AG9" s="3274">
        <v>60915.97</v>
      </c>
      <c r="AH9" s="3274">
        <v>190892.35</v>
      </c>
      <c r="AI9" s="3283">
        <v>251808.32</v>
      </c>
      <c r="AJ9" s="3284">
        <v>1.3867075751013149</v>
      </c>
      <c r="AK9" s="3275"/>
      <c r="AL9" s="3274">
        <f t="shared" ref="AL9:AM33" si="6">AQ9+AV9+BA9+BF9+BK9+BP9+BU9+BZ9+CE9+CJ9+CO9+CT9</f>
        <v>0</v>
      </c>
      <c r="AM9" s="3274">
        <f t="shared" si="6"/>
        <v>0</v>
      </c>
      <c r="AN9" s="3283">
        <f>AL9+AM9*1</f>
        <v>0</v>
      </c>
      <c r="AO9" s="3284">
        <f t="shared" ref="AO9:AO33" si="7">AN9/$T$89</f>
        <v>0</v>
      </c>
      <c r="AP9" s="3275"/>
      <c r="AQ9" s="3280"/>
      <c r="AR9" s="3280"/>
      <c r="AS9" s="3281">
        <f>AQ9+AR9*1</f>
        <v>0</v>
      </c>
      <c r="AT9" s="1574">
        <f t="shared" ref="AT9:AT33" si="8">AS9/$O$89</f>
        <v>0</v>
      </c>
      <c r="AU9" s="3275"/>
      <c r="AV9" s="3283"/>
      <c r="AW9" s="3283"/>
      <c r="AX9" s="3283">
        <f>AV9+AW9*1</f>
        <v>0</v>
      </c>
      <c r="AY9" s="3284">
        <f t="shared" ref="AY9:AY33" si="9">AX9/$E$89</f>
        <v>0</v>
      </c>
      <c r="AZ9" s="3287"/>
      <c r="BA9" s="3285"/>
      <c r="BB9" s="3285"/>
      <c r="BC9" s="3286">
        <f>BA9+BB9*1</f>
        <v>0</v>
      </c>
      <c r="BD9" s="3284">
        <f t="shared" ref="BD9:BD33" si="10">BC9/$AD$89</f>
        <v>0</v>
      </c>
      <c r="BE9" s="3287"/>
      <c r="BF9" s="3285"/>
      <c r="BG9" s="3285"/>
      <c r="BH9" s="3286">
        <f>BF9+BG9*1</f>
        <v>0</v>
      </c>
      <c r="BI9" s="3284">
        <f t="shared" ref="BI9:BI33" si="11">BH9/$AD$89</f>
        <v>0</v>
      </c>
      <c r="BJ9" s="3287"/>
      <c r="BK9" s="3285"/>
      <c r="BL9" s="3285"/>
      <c r="BM9" s="3286">
        <f>BK9+BL9*1</f>
        <v>0</v>
      </c>
      <c r="BN9" s="3284">
        <f t="shared" ref="BN9:BN33" si="12">BM9/$AD$89</f>
        <v>0</v>
      </c>
      <c r="BO9" s="3287"/>
      <c r="BP9" s="3285"/>
      <c r="BQ9" s="3285"/>
      <c r="BR9" s="3286">
        <f>BP9+BQ9*1</f>
        <v>0</v>
      </c>
      <c r="BS9" s="3284">
        <f t="shared" ref="BS9:BS33" si="13">BR9/$AD$89</f>
        <v>0</v>
      </c>
      <c r="BT9" s="3287"/>
      <c r="BU9" s="3285"/>
      <c r="BV9" s="3285"/>
      <c r="BW9" s="3286">
        <f>BU9+BV9*1</f>
        <v>0</v>
      </c>
      <c r="BX9" s="3284" t="e">
        <f t="shared" ref="BX9:BX33" si="14">BW9/$AN$89</f>
        <v>#DIV/0!</v>
      </c>
      <c r="BY9" s="3287"/>
      <c r="BZ9" s="3285"/>
      <c r="CA9" s="3285"/>
      <c r="CB9" s="3286">
        <f>BZ9+CA9*1</f>
        <v>0</v>
      </c>
      <c r="CC9" s="3284" t="e">
        <f t="shared" ref="CC9:CC33" si="15">CB9/$AN$89</f>
        <v>#DIV/0!</v>
      </c>
      <c r="CD9" s="3287"/>
      <c r="CE9" s="3285"/>
      <c r="CF9" s="3285"/>
      <c r="CG9" s="3286">
        <f>CE9+CF9*1</f>
        <v>0</v>
      </c>
      <c r="CH9" s="3284" t="e">
        <f t="shared" ref="CH9:CH33" si="16">CG9/$AN$89</f>
        <v>#DIV/0!</v>
      </c>
      <c r="CI9" s="3287"/>
      <c r="CJ9" s="3285"/>
      <c r="CK9" s="3285"/>
      <c r="CL9" s="3286">
        <f>CJ9+CK9*1</f>
        <v>0</v>
      </c>
      <c r="CM9" s="3284" t="e">
        <f t="shared" ref="CM9:CM33" si="17">CL9/$AN$89</f>
        <v>#DIV/0!</v>
      </c>
      <c r="CN9" s="3287"/>
      <c r="CO9" s="3285"/>
      <c r="CP9" s="3285"/>
      <c r="CQ9" s="3286">
        <f>CO9+CP9*1</f>
        <v>0</v>
      </c>
      <c r="CR9" s="3284" t="e">
        <f t="shared" ref="CR9:CR33" si="18">CQ9/$AN$89</f>
        <v>#DIV/0!</v>
      </c>
      <c r="CS9" s="3287"/>
      <c r="CT9" s="3285"/>
      <c r="CU9" s="3285"/>
      <c r="CV9" s="3286">
        <f>CT9+CU9*1</f>
        <v>0</v>
      </c>
      <c r="CW9" s="3284" t="e">
        <f t="shared" ref="CW9:CW33" si="19">CV9/$AN$89</f>
        <v>#DIV/0!</v>
      </c>
      <c r="CX9" s="3287"/>
      <c r="CY9" s="3274">
        <f t="shared" ref="CY9:CZ33" si="20">C9+H9+M9+R9+W9+AB9+AQ9+AV9+BA9+BF9+BK9+BP9+BU9+BZ9+CE9+CJ9+CO9+CT9+AG9</f>
        <v>112152.99</v>
      </c>
      <c r="CZ9" s="3274">
        <f t="shared" si="20"/>
        <v>353042.08999999997</v>
      </c>
      <c r="DA9" s="3281">
        <f>CY9+CZ9*1</f>
        <v>465195.07999999996</v>
      </c>
      <c r="DB9" s="1574">
        <f t="shared" si="1"/>
        <v>0.18210059481775337</v>
      </c>
      <c r="DC9" s="1595"/>
    </row>
    <row r="10" spans="1:107" s="1411" customFormat="1" ht="13.8" x14ac:dyDescent="0.25">
      <c r="A10" s="1586"/>
      <c r="B10" s="1061" t="s">
        <v>72</v>
      </c>
      <c r="C10" s="3274">
        <v>1014</v>
      </c>
      <c r="D10" s="3274"/>
      <c r="E10" s="3283">
        <f t="shared" ref="E10:E21" si="21">C10+D10*1</f>
        <v>1014</v>
      </c>
      <c r="F10" s="3284">
        <f t="shared" si="0"/>
        <v>3.4077993082623236E-3</v>
      </c>
      <c r="G10" s="1449"/>
      <c r="H10" s="3274">
        <v>3008.94</v>
      </c>
      <c r="I10" s="3274"/>
      <c r="J10" s="3283">
        <f t="shared" ref="J10:J21" si="22">H10+I10*1</f>
        <v>3008.94</v>
      </c>
      <c r="K10" s="3284">
        <f t="shared" ref="K10:K33" si="23">J10/$T$89</f>
        <v>1.657022250506E-2</v>
      </c>
      <c r="L10" s="1449"/>
      <c r="M10" s="3274">
        <v>2532</v>
      </c>
      <c r="N10" s="3274"/>
      <c r="O10" s="3283">
        <f t="shared" ref="O10:O21" si="24">M10+N10*1</f>
        <v>2532</v>
      </c>
      <c r="P10" s="3284">
        <f t="shared" si="2"/>
        <v>1.3710028174146044E-2</v>
      </c>
      <c r="Q10" s="1449"/>
      <c r="R10" s="3274">
        <v>3666</v>
      </c>
      <c r="S10" s="3274"/>
      <c r="T10" s="3283">
        <f t="shared" ref="T10:T21" si="25">R10+S10*1</f>
        <v>3666</v>
      </c>
      <c r="U10" s="3284">
        <f t="shared" si="3"/>
        <v>1.9850301455931831E-2</v>
      </c>
      <c r="V10" s="1449"/>
      <c r="W10" s="3274">
        <v>1833</v>
      </c>
      <c r="X10" s="3274"/>
      <c r="Y10" s="3283">
        <f t="shared" ref="Y10:Y21" si="26">W10+X10*1</f>
        <v>1833</v>
      </c>
      <c r="Z10" s="3284">
        <f t="shared" si="4"/>
        <v>9.9251507279659156E-3</v>
      </c>
      <c r="AA10" s="1449"/>
      <c r="AB10" s="3274">
        <v>1833</v>
      </c>
      <c r="AC10" s="3274"/>
      <c r="AD10" s="3283">
        <f t="shared" ref="AD10:AD21" si="27">AB10+AC10*1</f>
        <v>1833</v>
      </c>
      <c r="AE10" s="3284">
        <f t="shared" si="5"/>
        <v>9.9251507279659156E-3</v>
      </c>
      <c r="AF10" s="1449"/>
      <c r="AG10" s="3274">
        <v>12049.9</v>
      </c>
      <c r="AH10" s="3274">
        <v>0</v>
      </c>
      <c r="AI10" s="3283">
        <v>12049.9</v>
      </c>
      <c r="AJ10" s="3284">
        <v>6.6358758952894531E-2</v>
      </c>
      <c r="AK10" s="1449"/>
      <c r="AL10" s="3274">
        <f t="shared" si="6"/>
        <v>0</v>
      </c>
      <c r="AM10" s="3274">
        <f t="shared" si="6"/>
        <v>0</v>
      </c>
      <c r="AN10" s="3283">
        <f t="shared" ref="AN10:AN21" si="28">AL10+AM10*1</f>
        <v>0</v>
      </c>
      <c r="AO10" s="3284">
        <f t="shared" si="7"/>
        <v>0</v>
      </c>
      <c r="AP10" s="1449"/>
      <c r="AQ10" s="3274"/>
      <c r="AR10" s="3274"/>
      <c r="AS10" s="3283">
        <f t="shared" ref="AS10:AS21" si="29">AQ10+AR10*1</f>
        <v>0</v>
      </c>
      <c r="AT10" s="3284">
        <f t="shared" si="8"/>
        <v>0</v>
      </c>
      <c r="AU10" s="1449"/>
      <c r="AV10" s="3283"/>
      <c r="AW10" s="3274"/>
      <c r="AX10" s="3283">
        <f t="shared" ref="AX10:AX33" si="30">AV10+AW10*1</f>
        <v>0</v>
      </c>
      <c r="AY10" s="3284">
        <f t="shared" si="9"/>
        <v>0</v>
      </c>
      <c r="AZ10" s="1158"/>
      <c r="BA10" s="3285"/>
      <c r="BB10" s="3285"/>
      <c r="BC10" s="3286">
        <f t="shared" ref="BC10:BC33" si="31">BA10+BB10*1</f>
        <v>0</v>
      </c>
      <c r="BD10" s="3284">
        <f t="shared" si="10"/>
        <v>0</v>
      </c>
      <c r="BE10" s="1158"/>
      <c r="BF10" s="3285"/>
      <c r="BG10" s="3285"/>
      <c r="BH10" s="3286">
        <f>BF10+BG10*1</f>
        <v>0</v>
      </c>
      <c r="BI10" s="3284">
        <f t="shared" si="11"/>
        <v>0</v>
      </c>
      <c r="BJ10" s="1158"/>
      <c r="BK10" s="3285"/>
      <c r="BL10" s="3285"/>
      <c r="BM10" s="3286">
        <f>BK10+BL10*1</f>
        <v>0</v>
      </c>
      <c r="BN10" s="3284">
        <f t="shared" si="12"/>
        <v>0</v>
      </c>
      <c r="BO10" s="1158"/>
      <c r="BP10" s="3285"/>
      <c r="BQ10" s="3285"/>
      <c r="BR10" s="3286">
        <f>BP10+BQ10*1</f>
        <v>0</v>
      </c>
      <c r="BS10" s="3284">
        <f t="shared" si="13"/>
        <v>0</v>
      </c>
      <c r="BT10" s="1158"/>
      <c r="BU10" s="3285"/>
      <c r="BV10" s="3285"/>
      <c r="BW10" s="3286">
        <f>BU10+BV10*1</f>
        <v>0</v>
      </c>
      <c r="BX10" s="3284" t="e">
        <f t="shared" si="14"/>
        <v>#DIV/0!</v>
      </c>
      <c r="BY10" s="1158"/>
      <c r="BZ10" s="3285"/>
      <c r="CA10" s="3285"/>
      <c r="CB10" s="3286">
        <f>BZ10+CA10*1</f>
        <v>0</v>
      </c>
      <c r="CC10" s="3284" t="e">
        <f t="shared" si="15"/>
        <v>#DIV/0!</v>
      </c>
      <c r="CD10" s="1158"/>
      <c r="CE10" s="3285"/>
      <c r="CF10" s="3285"/>
      <c r="CG10" s="3286">
        <f>CE10+CF10*1</f>
        <v>0</v>
      </c>
      <c r="CH10" s="3284" t="e">
        <f t="shared" si="16"/>
        <v>#DIV/0!</v>
      </c>
      <c r="CI10" s="1158"/>
      <c r="CJ10" s="3285"/>
      <c r="CK10" s="3285"/>
      <c r="CL10" s="3286">
        <f>CJ10+CK10*1</f>
        <v>0</v>
      </c>
      <c r="CM10" s="3284" t="e">
        <f t="shared" si="17"/>
        <v>#DIV/0!</v>
      </c>
      <c r="CN10" s="1158"/>
      <c r="CO10" s="3285"/>
      <c r="CP10" s="3285"/>
      <c r="CQ10" s="3286">
        <f>CO10+CP10*1</f>
        <v>0</v>
      </c>
      <c r="CR10" s="3284" t="e">
        <f t="shared" si="18"/>
        <v>#DIV/0!</v>
      </c>
      <c r="CS10" s="1158"/>
      <c r="CT10" s="3285"/>
      <c r="CU10" s="3285"/>
      <c r="CV10" s="3286">
        <f>CT10+CU10*1</f>
        <v>0</v>
      </c>
      <c r="CW10" s="3284" t="e">
        <f t="shared" si="19"/>
        <v>#DIV/0!</v>
      </c>
      <c r="CX10" s="1158"/>
      <c r="CY10" s="3274">
        <f t="shared" ref="CY10:CY32" si="32">C10+H10+M10+R10+W10+AB10+AQ10+AV10+BA10+BF10+BK10+BP10+BU10+BZ10+CE10+CJ10+CO10+CT10+AG10</f>
        <v>25936.84</v>
      </c>
      <c r="CZ10" s="3274">
        <f t="shared" ref="CZ10:CZ32" si="33">D10+I10+N10+S10+X10+AC10+AR10+AW10+BB10+BG10+BL10+BQ10+BV10+CA10+CF10+CK10+CP10+CU10+AH10</f>
        <v>0</v>
      </c>
      <c r="DA10" s="3283">
        <f t="shared" ref="DA10:DA33" si="34">CY10+CZ10*1</f>
        <v>25936.84</v>
      </c>
      <c r="DB10" s="3284">
        <f t="shared" si="1"/>
        <v>1.015297494481863E-2</v>
      </c>
      <c r="DC10" s="1449"/>
    </row>
    <row r="11" spans="1:107" s="1411" customFormat="1" ht="13.8" x14ac:dyDescent="0.25">
      <c r="A11" s="1586"/>
      <c r="B11" s="1061" t="s">
        <v>69</v>
      </c>
      <c r="C11" s="3274">
        <v>1144</v>
      </c>
      <c r="D11" s="3274"/>
      <c r="E11" s="3283">
        <f t="shared" si="21"/>
        <v>1144</v>
      </c>
      <c r="F11" s="3284">
        <f t="shared" si="0"/>
        <v>3.844696655475442E-3</v>
      </c>
      <c r="G11" s="1449"/>
      <c r="H11" s="3274">
        <v>3394.69</v>
      </c>
      <c r="I11" s="3274"/>
      <c r="J11" s="3283">
        <f t="shared" si="22"/>
        <v>3394.69</v>
      </c>
      <c r="K11" s="3284">
        <f t="shared" si="23"/>
        <v>1.8694546463439661E-2</v>
      </c>
      <c r="L11" s="1449"/>
      <c r="M11" s="3274">
        <v>2856.61</v>
      </c>
      <c r="N11" s="3274"/>
      <c r="O11" s="3283">
        <f t="shared" si="24"/>
        <v>2856.61</v>
      </c>
      <c r="P11" s="3284">
        <f t="shared" si="2"/>
        <v>1.5467694937814903E-2</v>
      </c>
      <c r="Q11" s="1449"/>
      <c r="R11" s="3274">
        <v>4136</v>
      </c>
      <c r="S11" s="3274"/>
      <c r="T11" s="3283">
        <f t="shared" si="25"/>
        <v>4136</v>
      </c>
      <c r="U11" s="3284">
        <f t="shared" si="3"/>
        <v>2.2395211899000015E-2</v>
      </c>
      <c r="V11" s="1449"/>
      <c r="W11" s="3274">
        <v>2068</v>
      </c>
      <c r="X11" s="3274"/>
      <c r="Y11" s="3283">
        <f t="shared" si="26"/>
        <v>2068</v>
      </c>
      <c r="Z11" s="3284">
        <f t="shared" si="4"/>
        <v>1.1197605949500007E-2</v>
      </c>
      <c r="AA11" s="1449"/>
      <c r="AB11" s="3274">
        <v>2068</v>
      </c>
      <c r="AC11" s="3274"/>
      <c r="AD11" s="3283">
        <f t="shared" si="27"/>
        <v>2068</v>
      </c>
      <c r="AE11" s="3284">
        <f t="shared" si="5"/>
        <v>1.1197605949500007E-2</v>
      </c>
      <c r="AF11" s="1449"/>
      <c r="AG11" s="3274">
        <v>14369.68</v>
      </c>
      <c r="AH11" s="3274">
        <v>0</v>
      </c>
      <c r="AI11" s="3283">
        <v>14369.68</v>
      </c>
      <c r="AJ11" s="3284">
        <v>7.9133779645493299E-2</v>
      </c>
      <c r="AK11" s="1449"/>
      <c r="AL11" s="3274">
        <f t="shared" si="6"/>
        <v>0</v>
      </c>
      <c r="AM11" s="3274">
        <f t="shared" si="6"/>
        <v>0</v>
      </c>
      <c r="AN11" s="3283">
        <f t="shared" si="28"/>
        <v>0</v>
      </c>
      <c r="AO11" s="3284">
        <f t="shared" si="7"/>
        <v>0</v>
      </c>
      <c r="AP11" s="1449"/>
      <c r="AQ11" s="3274"/>
      <c r="AR11" s="3274"/>
      <c r="AS11" s="3283">
        <f t="shared" si="29"/>
        <v>0</v>
      </c>
      <c r="AT11" s="3284">
        <f t="shared" si="8"/>
        <v>0</v>
      </c>
      <c r="AU11" s="1449"/>
      <c r="AV11" s="3283"/>
      <c r="AW11" s="3274"/>
      <c r="AX11" s="3283">
        <f t="shared" si="30"/>
        <v>0</v>
      </c>
      <c r="AY11" s="3284">
        <f t="shared" si="9"/>
        <v>0</v>
      </c>
      <c r="AZ11" s="1158"/>
      <c r="BA11" s="3285"/>
      <c r="BB11" s="3285"/>
      <c r="BC11" s="3286">
        <f t="shared" si="31"/>
        <v>0</v>
      </c>
      <c r="BD11" s="3284">
        <f t="shared" si="10"/>
        <v>0</v>
      </c>
      <c r="BE11" s="1158"/>
      <c r="BF11" s="3285"/>
      <c r="BG11" s="3285"/>
      <c r="BH11" s="3286">
        <f>BF11+BG11*1</f>
        <v>0</v>
      </c>
      <c r="BI11" s="3284">
        <f t="shared" si="11"/>
        <v>0</v>
      </c>
      <c r="BJ11" s="1158"/>
      <c r="BK11" s="3285"/>
      <c r="BL11" s="3285"/>
      <c r="BM11" s="3286">
        <f>BK11+BL11*1</f>
        <v>0</v>
      </c>
      <c r="BN11" s="3284">
        <f t="shared" si="12"/>
        <v>0</v>
      </c>
      <c r="BO11" s="1158"/>
      <c r="BP11" s="3285"/>
      <c r="BQ11" s="3285"/>
      <c r="BR11" s="3286">
        <f>BP11+BQ11*1</f>
        <v>0</v>
      </c>
      <c r="BS11" s="3284">
        <f t="shared" si="13"/>
        <v>0</v>
      </c>
      <c r="BT11" s="1158"/>
      <c r="BU11" s="3285"/>
      <c r="BV11" s="3285"/>
      <c r="BW11" s="3286">
        <f>BU11+BV11*1</f>
        <v>0</v>
      </c>
      <c r="BX11" s="3284" t="e">
        <f t="shared" si="14"/>
        <v>#DIV/0!</v>
      </c>
      <c r="BY11" s="1158"/>
      <c r="BZ11" s="3285"/>
      <c r="CA11" s="3285"/>
      <c r="CB11" s="3286">
        <f>BZ11+CA11*1</f>
        <v>0</v>
      </c>
      <c r="CC11" s="3284" t="e">
        <f t="shared" si="15"/>
        <v>#DIV/0!</v>
      </c>
      <c r="CD11" s="1158"/>
      <c r="CE11" s="3285"/>
      <c r="CF11" s="3285"/>
      <c r="CG11" s="3286">
        <f>CE11+CF11*1</f>
        <v>0</v>
      </c>
      <c r="CH11" s="3284" t="e">
        <f t="shared" si="16"/>
        <v>#DIV/0!</v>
      </c>
      <c r="CI11" s="1158"/>
      <c r="CJ11" s="3285"/>
      <c r="CK11" s="3285"/>
      <c r="CL11" s="3286">
        <f>CJ11+CK11*1</f>
        <v>0</v>
      </c>
      <c r="CM11" s="3284" t="e">
        <f t="shared" si="17"/>
        <v>#DIV/0!</v>
      </c>
      <c r="CN11" s="1158"/>
      <c r="CO11" s="3285"/>
      <c r="CP11" s="3285"/>
      <c r="CQ11" s="3286">
        <f>CO11+CP11*1</f>
        <v>0</v>
      </c>
      <c r="CR11" s="3284" t="e">
        <f t="shared" si="18"/>
        <v>#DIV/0!</v>
      </c>
      <c r="CS11" s="1158"/>
      <c r="CT11" s="3285"/>
      <c r="CU11" s="3285"/>
      <c r="CV11" s="3286">
        <f>CT11+CU11*1</f>
        <v>0</v>
      </c>
      <c r="CW11" s="3284" t="e">
        <f t="shared" si="19"/>
        <v>#DIV/0!</v>
      </c>
      <c r="CX11" s="1158"/>
      <c r="CY11" s="3274">
        <f t="shared" si="32"/>
        <v>30036.980000000003</v>
      </c>
      <c r="CZ11" s="3274">
        <f t="shared" si="33"/>
        <v>0</v>
      </c>
      <c r="DA11" s="3283">
        <f t="shared" si="34"/>
        <v>30036.980000000003</v>
      </c>
      <c r="DB11" s="3284">
        <f t="shared" si="1"/>
        <v>1.1757974578168287E-2</v>
      </c>
      <c r="DC11" s="1449"/>
    </row>
    <row r="12" spans="1:107" s="1411" customFormat="1" ht="13.8" x14ac:dyDescent="0.25">
      <c r="A12" s="1586"/>
      <c r="B12" s="1061" t="s">
        <v>73</v>
      </c>
      <c r="C12" s="3274"/>
      <c r="D12" s="3274"/>
      <c r="E12" s="3283">
        <f t="shared" si="21"/>
        <v>0</v>
      </c>
      <c r="F12" s="3284">
        <f t="shared" si="0"/>
        <v>0</v>
      </c>
      <c r="G12" s="1449"/>
      <c r="H12" s="3274"/>
      <c r="I12" s="3274"/>
      <c r="J12" s="3283">
        <f t="shared" si="22"/>
        <v>0</v>
      </c>
      <c r="K12" s="3284">
        <f t="shared" si="23"/>
        <v>0</v>
      </c>
      <c r="L12" s="1449"/>
      <c r="M12" s="3274"/>
      <c r="N12" s="3274"/>
      <c r="O12" s="3283">
        <f t="shared" si="24"/>
        <v>0</v>
      </c>
      <c r="P12" s="3284">
        <f t="shared" si="2"/>
        <v>0</v>
      </c>
      <c r="Q12" s="1449"/>
      <c r="R12" s="3274"/>
      <c r="S12" s="3274"/>
      <c r="T12" s="3283">
        <f t="shared" si="25"/>
        <v>0</v>
      </c>
      <c r="U12" s="3284">
        <f t="shared" si="3"/>
        <v>0</v>
      </c>
      <c r="V12" s="1449"/>
      <c r="W12" s="3274"/>
      <c r="X12" s="3274"/>
      <c r="Y12" s="3283">
        <f t="shared" si="26"/>
        <v>0</v>
      </c>
      <c r="Z12" s="3284">
        <f t="shared" si="4"/>
        <v>0</v>
      </c>
      <c r="AA12" s="1449"/>
      <c r="AB12" s="3274"/>
      <c r="AC12" s="3274"/>
      <c r="AD12" s="3283">
        <f t="shared" si="27"/>
        <v>0</v>
      </c>
      <c r="AE12" s="3284">
        <f t="shared" si="5"/>
        <v>0</v>
      </c>
      <c r="AF12" s="1449"/>
      <c r="AG12" s="3274">
        <v>0</v>
      </c>
      <c r="AH12" s="3274">
        <v>0</v>
      </c>
      <c r="AI12" s="3283">
        <v>0</v>
      </c>
      <c r="AJ12" s="3284">
        <v>0</v>
      </c>
      <c r="AK12" s="1449"/>
      <c r="AL12" s="3274">
        <f t="shared" si="6"/>
        <v>0</v>
      </c>
      <c r="AM12" s="3274">
        <f t="shared" si="6"/>
        <v>0</v>
      </c>
      <c r="AN12" s="3283">
        <f t="shared" si="28"/>
        <v>0</v>
      </c>
      <c r="AO12" s="3284">
        <f t="shared" si="7"/>
        <v>0</v>
      </c>
      <c r="AP12" s="1449"/>
      <c r="AQ12" s="3274"/>
      <c r="AR12" s="3274"/>
      <c r="AS12" s="3283">
        <f t="shared" si="29"/>
        <v>0</v>
      </c>
      <c r="AT12" s="3284">
        <f t="shared" si="8"/>
        <v>0</v>
      </c>
      <c r="AU12" s="1449"/>
      <c r="AV12" s="3274"/>
      <c r="AW12" s="3274"/>
      <c r="AX12" s="3283">
        <f t="shared" si="30"/>
        <v>0</v>
      </c>
      <c r="AY12" s="3284">
        <f t="shared" si="9"/>
        <v>0</v>
      </c>
      <c r="AZ12" s="1158"/>
      <c r="BA12" s="3285"/>
      <c r="BB12" s="3285"/>
      <c r="BC12" s="3286">
        <f t="shared" si="31"/>
        <v>0</v>
      </c>
      <c r="BD12" s="3284">
        <f t="shared" si="10"/>
        <v>0</v>
      </c>
      <c r="BE12" s="1158"/>
      <c r="BF12" s="3285"/>
      <c r="BG12" s="3285"/>
      <c r="BH12" s="3286">
        <f>BF12+BG12*1</f>
        <v>0</v>
      </c>
      <c r="BI12" s="3284">
        <f t="shared" si="11"/>
        <v>0</v>
      </c>
      <c r="BJ12" s="1158"/>
      <c r="BK12" s="3285"/>
      <c r="BL12" s="3285"/>
      <c r="BM12" s="3286">
        <f>BK12+BL12*1</f>
        <v>0</v>
      </c>
      <c r="BN12" s="3284">
        <f t="shared" si="12"/>
        <v>0</v>
      </c>
      <c r="BO12" s="1158"/>
      <c r="BP12" s="3285"/>
      <c r="BQ12" s="3285"/>
      <c r="BR12" s="3286">
        <f>BP12+BQ12*1</f>
        <v>0</v>
      </c>
      <c r="BS12" s="3284">
        <f t="shared" si="13"/>
        <v>0</v>
      </c>
      <c r="BT12" s="1158"/>
      <c r="BU12" s="3285"/>
      <c r="BV12" s="3285"/>
      <c r="BW12" s="3286">
        <f>BU12+BV12*1</f>
        <v>0</v>
      </c>
      <c r="BX12" s="3284" t="e">
        <f t="shared" si="14"/>
        <v>#DIV/0!</v>
      </c>
      <c r="BY12" s="1158"/>
      <c r="BZ12" s="3285"/>
      <c r="CA12" s="3285"/>
      <c r="CB12" s="3286">
        <f>BZ12+CA12*1</f>
        <v>0</v>
      </c>
      <c r="CC12" s="3284" t="e">
        <f t="shared" si="15"/>
        <v>#DIV/0!</v>
      </c>
      <c r="CD12" s="1158"/>
      <c r="CE12" s="3285"/>
      <c r="CF12" s="3285"/>
      <c r="CG12" s="3286">
        <f>CE12+CF12*1</f>
        <v>0</v>
      </c>
      <c r="CH12" s="3284" t="e">
        <f t="shared" si="16"/>
        <v>#DIV/0!</v>
      </c>
      <c r="CI12" s="1158"/>
      <c r="CJ12" s="3285"/>
      <c r="CK12" s="3285"/>
      <c r="CL12" s="3286">
        <f>CJ12+CK12*1</f>
        <v>0</v>
      </c>
      <c r="CM12" s="3284" t="e">
        <f t="shared" si="17"/>
        <v>#DIV/0!</v>
      </c>
      <c r="CN12" s="1158"/>
      <c r="CO12" s="3285"/>
      <c r="CP12" s="3285"/>
      <c r="CQ12" s="3286">
        <f>CO12+CP12*1</f>
        <v>0</v>
      </c>
      <c r="CR12" s="3284" t="e">
        <f t="shared" si="18"/>
        <v>#DIV/0!</v>
      </c>
      <c r="CS12" s="1158"/>
      <c r="CT12" s="3285"/>
      <c r="CU12" s="3285"/>
      <c r="CV12" s="3286">
        <f>CT12+CU12*1</f>
        <v>0</v>
      </c>
      <c r="CW12" s="3284" t="e">
        <f t="shared" si="19"/>
        <v>#DIV/0!</v>
      </c>
      <c r="CX12" s="1158"/>
      <c r="CY12" s="3274">
        <f t="shared" si="32"/>
        <v>0</v>
      </c>
      <c r="CZ12" s="3274">
        <f t="shared" si="33"/>
        <v>0</v>
      </c>
      <c r="DA12" s="3283">
        <f>CY12+CZ12*1</f>
        <v>0</v>
      </c>
      <c r="DB12" s="3284">
        <f t="shared" si="1"/>
        <v>0</v>
      </c>
      <c r="DC12" s="1449"/>
    </row>
    <row r="13" spans="1:107" s="1411" customFormat="1" ht="13.8" x14ac:dyDescent="0.25">
      <c r="A13" s="1586"/>
      <c r="B13" s="1061" t="s">
        <v>71</v>
      </c>
      <c r="C13" s="3274"/>
      <c r="D13" s="3274"/>
      <c r="E13" s="3283">
        <f t="shared" si="21"/>
        <v>0</v>
      </c>
      <c r="F13" s="3284">
        <f t="shared" si="0"/>
        <v>0</v>
      </c>
      <c r="G13" s="1449"/>
      <c r="H13" s="3274"/>
      <c r="I13" s="3274"/>
      <c r="J13" s="3283">
        <f t="shared" si="22"/>
        <v>0</v>
      </c>
      <c r="K13" s="3284">
        <f t="shared" si="23"/>
        <v>0</v>
      </c>
      <c r="L13" s="1449"/>
      <c r="M13" s="3274"/>
      <c r="N13" s="3274"/>
      <c r="O13" s="3283">
        <f t="shared" si="24"/>
        <v>0</v>
      </c>
      <c r="P13" s="3284">
        <f t="shared" si="2"/>
        <v>0</v>
      </c>
      <c r="Q13" s="1449"/>
      <c r="R13" s="3274"/>
      <c r="S13" s="3274"/>
      <c r="T13" s="3283">
        <f t="shared" si="25"/>
        <v>0</v>
      </c>
      <c r="U13" s="3284">
        <f t="shared" si="3"/>
        <v>0</v>
      </c>
      <c r="V13" s="1449"/>
      <c r="W13" s="3274"/>
      <c r="X13" s="3274"/>
      <c r="Y13" s="3283">
        <f t="shared" si="26"/>
        <v>0</v>
      </c>
      <c r="Z13" s="3284">
        <f t="shared" si="4"/>
        <v>0</v>
      </c>
      <c r="AA13" s="1449"/>
      <c r="AB13" s="3274"/>
      <c r="AC13" s="3274"/>
      <c r="AD13" s="3283">
        <f t="shared" si="27"/>
        <v>0</v>
      </c>
      <c r="AE13" s="3284">
        <f t="shared" si="5"/>
        <v>0</v>
      </c>
      <c r="AF13" s="1449"/>
      <c r="AG13" s="3274">
        <v>0</v>
      </c>
      <c r="AH13" s="3274">
        <v>0</v>
      </c>
      <c r="AI13" s="3283">
        <v>0</v>
      </c>
      <c r="AJ13" s="3284">
        <v>0</v>
      </c>
      <c r="AK13" s="1449"/>
      <c r="AL13" s="3274">
        <f t="shared" si="6"/>
        <v>0</v>
      </c>
      <c r="AM13" s="3274">
        <f t="shared" si="6"/>
        <v>0</v>
      </c>
      <c r="AN13" s="3283">
        <f t="shared" si="28"/>
        <v>0</v>
      </c>
      <c r="AO13" s="3284">
        <f t="shared" si="7"/>
        <v>0</v>
      </c>
      <c r="AP13" s="1449"/>
      <c r="AQ13" s="3274"/>
      <c r="AR13" s="3274"/>
      <c r="AS13" s="3283">
        <f t="shared" si="29"/>
        <v>0</v>
      </c>
      <c r="AT13" s="3284">
        <f t="shared" si="8"/>
        <v>0</v>
      </c>
      <c r="AU13" s="1449"/>
      <c r="AV13" s="3274"/>
      <c r="AW13" s="3274"/>
      <c r="AX13" s="3283">
        <f t="shared" si="30"/>
        <v>0</v>
      </c>
      <c r="AY13" s="3284">
        <f t="shared" si="9"/>
        <v>0</v>
      </c>
      <c r="AZ13" s="1158"/>
      <c r="BA13" s="3285"/>
      <c r="BB13" s="3285"/>
      <c r="BC13" s="3286">
        <f>BA13+BB13*1</f>
        <v>0</v>
      </c>
      <c r="BD13" s="3284">
        <f t="shared" si="10"/>
        <v>0</v>
      </c>
      <c r="BE13" s="1158"/>
      <c r="BF13" s="3285"/>
      <c r="BG13" s="3285"/>
      <c r="BH13" s="3286">
        <f>BF13+BG13*1</f>
        <v>0</v>
      </c>
      <c r="BI13" s="3284">
        <f t="shared" si="11"/>
        <v>0</v>
      </c>
      <c r="BJ13" s="1158"/>
      <c r="BK13" s="3285"/>
      <c r="BL13" s="3285"/>
      <c r="BM13" s="3286">
        <f>BK13+BL13*1</f>
        <v>0</v>
      </c>
      <c r="BN13" s="3284">
        <f t="shared" si="12"/>
        <v>0</v>
      </c>
      <c r="BO13" s="1158"/>
      <c r="BP13" s="3285"/>
      <c r="BQ13" s="3285"/>
      <c r="BR13" s="3286">
        <f>BP13+BQ13*1</f>
        <v>0</v>
      </c>
      <c r="BS13" s="3284">
        <f t="shared" si="13"/>
        <v>0</v>
      </c>
      <c r="BT13" s="1158"/>
      <c r="BU13" s="3285"/>
      <c r="BV13" s="3285"/>
      <c r="BW13" s="3286">
        <f>BU13+BV13*1</f>
        <v>0</v>
      </c>
      <c r="BX13" s="3284" t="e">
        <f t="shared" si="14"/>
        <v>#DIV/0!</v>
      </c>
      <c r="BY13" s="1158"/>
      <c r="BZ13" s="3285"/>
      <c r="CA13" s="3285"/>
      <c r="CB13" s="3286">
        <f>BZ13+CA13*1</f>
        <v>0</v>
      </c>
      <c r="CC13" s="3284" t="e">
        <f t="shared" si="15"/>
        <v>#DIV/0!</v>
      </c>
      <c r="CD13" s="1158"/>
      <c r="CE13" s="3285"/>
      <c r="CF13" s="3285"/>
      <c r="CG13" s="3286">
        <f>CE13+CF13*1</f>
        <v>0</v>
      </c>
      <c r="CH13" s="3284" t="e">
        <f t="shared" si="16"/>
        <v>#DIV/0!</v>
      </c>
      <c r="CI13" s="1158"/>
      <c r="CJ13" s="3285"/>
      <c r="CK13" s="3285"/>
      <c r="CL13" s="3286">
        <f>CJ13+CK13*1</f>
        <v>0</v>
      </c>
      <c r="CM13" s="3284" t="e">
        <f t="shared" si="17"/>
        <v>#DIV/0!</v>
      </c>
      <c r="CN13" s="1158"/>
      <c r="CO13" s="3285"/>
      <c r="CP13" s="3285"/>
      <c r="CQ13" s="3286">
        <f>CO13+CP13*1</f>
        <v>0</v>
      </c>
      <c r="CR13" s="3284" t="e">
        <f t="shared" si="18"/>
        <v>#DIV/0!</v>
      </c>
      <c r="CS13" s="1158"/>
      <c r="CT13" s="3285"/>
      <c r="CU13" s="3285"/>
      <c r="CV13" s="3286">
        <f>CT13+CU13*1</f>
        <v>0</v>
      </c>
      <c r="CW13" s="3284" t="e">
        <f t="shared" si="19"/>
        <v>#DIV/0!</v>
      </c>
      <c r="CX13" s="1158"/>
      <c r="CY13" s="3274">
        <f t="shared" si="32"/>
        <v>0</v>
      </c>
      <c r="CZ13" s="3274">
        <f t="shared" si="33"/>
        <v>0</v>
      </c>
      <c r="DA13" s="3283">
        <f t="shared" si="34"/>
        <v>0</v>
      </c>
      <c r="DB13" s="3284">
        <f t="shared" si="1"/>
        <v>0</v>
      </c>
      <c r="DC13" s="1449"/>
    </row>
    <row r="14" spans="1:107" s="1411" customFormat="1" ht="13.8" x14ac:dyDescent="0.25">
      <c r="A14" s="1586"/>
      <c r="B14" s="1061" t="s">
        <v>70</v>
      </c>
      <c r="C14" s="3274"/>
      <c r="D14" s="3274"/>
      <c r="E14" s="3283">
        <f t="shared" si="21"/>
        <v>0</v>
      </c>
      <c r="F14" s="3284">
        <f t="shared" si="0"/>
        <v>0</v>
      </c>
      <c r="G14" s="1449"/>
      <c r="H14" s="3274"/>
      <c r="I14" s="3274"/>
      <c r="J14" s="3283">
        <f t="shared" si="22"/>
        <v>0</v>
      </c>
      <c r="K14" s="3284">
        <f t="shared" si="23"/>
        <v>0</v>
      </c>
      <c r="L14" s="1449"/>
      <c r="M14" s="3274"/>
      <c r="N14" s="3274"/>
      <c r="O14" s="3283">
        <f t="shared" si="24"/>
        <v>0</v>
      </c>
      <c r="P14" s="3284">
        <f t="shared" si="2"/>
        <v>0</v>
      </c>
      <c r="Q14" s="1449"/>
      <c r="R14" s="3274"/>
      <c r="S14" s="3274"/>
      <c r="T14" s="3283">
        <f t="shared" si="25"/>
        <v>0</v>
      </c>
      <c r="U14" s="3284">
        <f t="shared" si="3"/>
        <v>0</v>
      </c>
      <c r="V14" s="1449"/>
      <c r="W14" s="3274"/>
      <c r="X14" s="3274"/>
      <c r="Y14" s="3283">
        <f t="shared" si="26"/>
        <v>0</v>
      </c>
      <c r="Z14" s="3284">
        <f t="shared" si="4"/>
        <v>0</v>
      </c>
      <c r="AA14" s="1449"/>
      <c r="AB14" s="3274"/>
      <c r="AC14" s="3274"/>
      <c r="AD14" s="3283">
        <f t="shared" si="27"/>
        <v>0</v>
      </c>
      <c r="AE14" s="3284">
        <f t="shared" si="5"/>
        <v>0</v>
      </c>
      <c r="AF14" s="1449"/>
      <c r="AG14" s="3274">
        <v>0</v>
      </c>
      <c r="AH14" s="3274">
        <v>0</v>
      </c>
      <c r="AI14" s="3283">
        <v>0</v>
      </c>
      <c r="AJ14" s="3284">
        <v>0</v>
      </c>
      <c r="AK14" s="1449"/>
      <c r="AL14" s="3274">
        <f t="shared" si="6"/>
        <v>0</v>
      </c>
      <c r="AM14" s="3274">
        <f t="shared" si="6"/>
        <v>0</v>
      </c>
      <c r="AN14" s="3283">
        <f t="shared" si="28"/>
        <v>0</v>
      </c>
      <c r="AO14" s="3284">
        <f t="shared" si="7"/>
        <v>0</v>
      </c>
      <c r="AP14" s="1449"/>
      <c r="AQ14" s="3274"/>
      <c r="AR14" s="3274"/>
      <c r="AS14" s="3283">
        <f t="shared" si="29"/>
        <v>0</v>
      </c>
      <c r="AT14" s="3284">
        <f t="shared" si="8"/>
        <v>0</v>
      </c>
      <c r="AU14" s="1449"/>
      <c r="AV14" s="3274"/>
      <c r="AW14" s="3274"/>
      <c r="AX14" s="3283">
        <f t="shared" si="30"/>
        <v>0</v>
      </c>
      <c r="AY14" s="3284">
        <f t="shared" si="9"/>
        <v>0</v>
      </c>
      <c r="AZ14" s="1158"/>
      <c r="BA14" s="3285"/>
      <c r="BB14" s="3285"/>
      <c r="BC14" s="3286">
        <f t="shared" si="31"/>
        <v>0</v>
      </c>
      <c r="BD14" s="3284">
        <f t="shared" si="10"/>
        <v>0</v>
      </c>
      <c r="BE14" s="1158"/>
      <c r="BF14" s="3285"/>
      <c r="BG14" s="3285"/>
      <c r="BH14" s="3286">
        <f t="shared" ref="BH14:BH33" si="35">BF14+BG14*1</f>
        <v>0</v>
      </c>
      <c r="BI14" s="3284">
        <f t="shared" si="11"/>
        <v>0</v>
      </c>
      <c r="BJ14" s="1158"/>
      <c r="BK14" s="3285"/>
      <c r="BL14" s="3285"/>
      <c r="BM14" s="3286">
        <f t="shared" ref="BM14:BM33" si="36">BK14+BL14*1</f>
        <v>0</v>
      </c>
      <c r="BN14" s="3284">
        <f t="shared" si="12"/>
        <v>0</v>
      </c>
      <c r="BO14" s="1158"/>
      <c r="BP14" s="3285"/>
      <c r="BQ14" s="3285"/>
      <c r="BR14" s="3286">
        <f t="shared" ref="BR14:BR33" si="37">BP14+BQ14*1</f>
        <v>0</v>
      </c>
      <c r="BS14" s="3284">
        <f t="shared" si="13"/>
        <v>0</v>
      </c>
      <c r="BT14" s="1158"/>
      <c r="BU14" s="3285"/>
      <c r="BV14" s="3285"/>
      <c r="BW14" s="3286">
        <f t="shared" ref="BW14:BW33" si="38">BU14+BV14*1</f>
        <v>0</v>
      </c>
      <c r="BX14" s="3284" t="e">
        <f t="shared" si="14"/>
        <v>#DIV/0!</v>
      </c>
      <c r="BY14" s="1158"/>
      <c r="BZ14" s="3285"/>
      <c r="CA14" s="3285"/>
      <c r="CB14" s="3286">
        <f t="shared" ref="CB14:CB33" si="39">BZ14+CA14*1</f>
        <v>0</v>
      </c>
      <c r="CC14" s="3284" t="e">
        <f t="shared" si="15"/>
        <v>#DIV/0!</v>
      </c>
      <c r="CD14" s="1158"/>
      <c r="CE14" s="3285"/>
      <c r="CF14" s="3285"/>
      <c r="CG14" s="3286">
        <f t="shared" ref="CG14:CG33" si="40">CE14+CF14*1</f>
        <v>0</v>
      </c>
      <c r="CH14" s="3284" t="e">
        <f t="shared" si="16"/>
        <v>#DIV/0!</v>
      </c>
      <c r="CI14" s="1158"/>
      <c r="CJ14" s="3285"/>
      <c r="CK14" s="3285"/>
      <c r="CL14" s="3286">
        <f t="shared" ref="CL14:CL33" si="41">CJ14+CK14*1</f>
        <v>0</v>
      </c>
      <c r="CM14" s="3284" t="e">
        <f t="shared" si="17"/>
        <v>#DIV/0!</v>
      </c>
      <c r="CN14" s="1158"/>
      <c r="CO14" s="3285"/>
      <c r="CP14" s="3285"/>
      <c r="CQ14" s="3286">
        <f t="shared" ref="CQ14:CQ33" si="42">CO14+CP14*1</f>
        <v>0</v>
      </c>
      <c r="CR14" s="3284" t="e">
        <f t="shared" si="18"/>
        <v>#DIV/0!</v>
      </c>
      <c r="CS14" s="1158"/>
      <c r="CT14" s="3285"/>
      <c r="CU14" s="3285"/>
      <c r="CV14" s="3286">
        <f t="shared" ref="CV14:CV33" si="43">CT14+CU14*1</f>
        <v>0</v>
      </c>
      <c r="CW14" s="3284" t="e">
        <f t="shared" si="19"/>
        <v>#DIV/0!</v>
      </c>
      <c r="CX14" s="1158"/>
      <c r="CY14" s="3274">
        <f t="shared" si="32"/>
        <v>0</v>
      </c>
      <c r="CZ14" s="3274">
        <f t="shared" si="33"/>
        <v>0</v>
      </c>
      <c r="DA14" s="3283">
        <f t="shared" si="34"/>
        <v>0</v>
      </c>
      <c r="DB14" s="3284">
        <f t="shared" si="1"/>
        <v>0</v>
      </c>
      <c r="DC14" s="1449"/>
    </row>
    <row r="15" spans="1:107" s="1411" customFormat="1" ht="13.8" x14ac:dyDescent="0.25">
      <c r="A15" s="1586"/>
      <c r="B15" s="3289" t="s">
        <v>20</v>
      </c>
      <c r="C15" s="3274"/>
      <c r="D15" s="3274"/>
      <c r="E15" s="3283">
        <f t="shared" si="21"/>
        <v>0</v>
      </c>
      <c r="F15" s="3284">
        <f t="shared" si="0"/>
        <v>0</v>
      </c>
      <c r="G15" s="1449"/>
      <c r="H15" s="3274"/>
      <c r="I15" s="3274"/>
      <c r="J15" s="3283">
        <f t="shared" si="22"/>
        <v>0</v>
      </c>
      <c r="K15" s="3284">
        <f t="shared" si="23"/>
        <v>0</v>
      </c>
      <c r="L15" s="1449"/>
      <c r="M15" s="3274"/>
      <c r="N15" s="3274"/>
      <c r="O15" s="3283">
        <f t="shared" si="24"/>
        <v>0</v>
      </c>
      <c r="P15" s="3284">
        <f t="shared" si="2"/>
        <v>0</v>
      </c>
      <c r="Q15" s="1449"/>
      <c r="R15" s="3274"/>
      <c r="S15" s="3274"/>
      <c r="T15" s="3283">
        <f t="shared" si="25"/>
        <v>0</v>
      </c>
      <c r="U15" s="3284">
        <f t="shared" si="3"/>
        <v>0</v>
      </c>
      <c r="V15" s="1449"/>
      <c r="W15" s="3274"/>
      <c r="X15" s="3274"/>
      <c r="Y15" s="3283">
        <f t="shared" si="26"/>
        <v>0</v>
      </c>
      <c r="Z15" s="3284">
        <f t="shared" si="4"/>
        <v>0</v>
      </c>
      <c r="AA15" s="1449"/>
      <c r="AB15" s="3274"/>
      <c r="AC15" s="3274"/>
      <c r="AD15" s="3283">
        <f t="shared" si="27"/>
        <v>0</v>
      </c>
      <c r="AE15" s="3284">
        <f t="shared" si="5"/>
        <v>0</v>
      </c>
      <c r="AF15" s="1449"/>
      <c r="AG15" s="3274">
        <v>0</v>
      </c>
      <c r="AH15" s="3274">
        <v>0</v>
      </c>
      <c r="AI15" s="3283">
        <v>0</v>
      </c>
      <c r="AJ15" s="3284">
        <v>0</v>
      </c>
      <c r="AK15" s="1449"/>
      <c r="AL15" s="3274">
        <f t="shared" si="6"/>
        <v>0</v>
      </c>
      <c r="AM15" s="3274">
        <f t="shared" si="6"/>
        <v>0</v>
      </c>
      <c r="AN15" s="3283">
        <f t="shared" si="28"/>
        <v>0</v>
      </c>
      <c r="AO15" s="3284">
        <f t="shared" si="7"/>
        <v>0</v>
      </c>
      <c r="AP15" s="1449"/>
      <c r="AQ15" s="3274"/>
      <c r="AR15" s="3274"/>
      <c r="AS15" s="3283">
        <f t="shared" si="29"/>
        <v>0</v>
      </c>
      <c r="AT15" s="3284">
        <f t="shared" si="8"/>
        <v>0</v>
      </c>
      <c r="AU15" s="1449"/>
      <c r="AV15" s="3274"/>
      <c r="AW15" s="3274"/>
      <c r="AX15" s="3283">
        <f t="shared" si="30"/>
        <v>0</v>
      </c>
      <c r="AY15" s="3284">
        <f t="shared" si="9"/>
        <v>0</v>
      </c>
      <c r="AZ15" s="1158"/>
      <c r="BA15" s="3285"/>
      <c r="BB15" s="3285"/>
      <c r="BC15" s="3286">
        <f t="shared" si="31"/>
        <v>0</v>
      </c>
      <c r="BD15" s="3284">
        <f t="shared" si="10"/>
        <v>0</v>
      </c>
      <c r="BE15" s="1158"/>
      <c r="BF15" s="3285"/>
      <c r="BG15" s="3285"/>
      <c r="BH15" s="3286">
        <f t="shared" si="35"/>
        <v>0</v>
      </c>
      <c r="BI15" s="3284">
        <f t="shared" si="11"/>
        <v>0</v>
      </c>
      <c r="BJ15" s="1158"/>
      <c r="BK15" s="3285"/>
      <c r="BL15" s="3285"/>
      <c r="BM15" s="3286">
        <f t="shared" si="36"/>
        <v>0</v>
      </c>
      <c r="BN15" s="3284">
        <f t="shared" si="12"/>
        <v>0</v>
      </c>
      <c r="BO15" s="1158"/>
      <c r="BP15" s="3285"/>
      <c r="BQ15" s="3285"/>
      <c r="BR15" s="3286">
        <f t="shared" si="37"/>
        <v>0</v>
      </c>
      <c r="BS15" s="3284">
        <f t="shared" si="13"/>
        <v>0</v>
      </c>
      <c r="BT15" s="1158"/>
      <c r="BU15" s="3285"/>
      <c r="BV15" s="3285"/>
      <c r="BW15" s="3286">
        <f t="shared" si="38"/>
        <v>0</v>
      </c>
      <c r="BX15" s="3284" t="e">
        <f t="shared" si="14"/>
        <v>#DIV/0!</v>
      </c>
      <c r="BY15" s="1158"/>
      <c r="BZ15" s="3285"/>
      <c r="CA15" s="3285"/>
      <c r="CB15" s="3286">
        <f t="shared" si="39"/>
        <v>0</v>
      </c>
      <c r="CC15" s="3284" t="e">
        <f t="shared" si="15"/>
        <v>#DIV/0!</v>
      </c>
      <c r="CD15" s="1158"/>
      <c r="CE15" s="3285"/>
      <c r="CF15" s="3285"/>
      <c r="CG15" s="3286">
        <f t="shared" si="40"/>
        <v>0</v>
      </c>
      <c r="CH15" s="3284" t="e">
        <f t="shared" si="16"/>
        <v>#DIV/0!</v>
      </c>
      <c r="CI15" s="1158"/>
      <c r="CJ15" s="3285"/>
      <c r="CK15" s="3285"/>
      <c r="CL15" s="3286">
        <f t="shared" si="41"/>
        <v>0</v>
      </c>
      <c r="CM15" s="3284" t="e">
        <f t="shared" si="17"/>
        <v>#DIV/0!</v>
      </c>
      <c r="CN15" s="1158"/>
      <c r="CO15" s="3285"/>
      <c r="CP15" s="3285"/>
      <c r="CQ15" s="3286">
        <f t="shared" si="42"/>
        <v>0</v>
      </c>
      <c r="CR15" s="3284" t="e">
        <f t="shared" si="18"/>
        <v>#DIV/0!</v>
      </c>
      <c r="CS15" s="1158"/>
      <c r="CT15" s="3285"/>
      <c r="CU15" s="3285"/>
      <c r="CV15" s="3286">
        <f t="shared" si="43"/>
        <v>0</v>
      </c>
      <c r="CW15" s="3284" t="e">
        <f t="shared" si="19"/>
        <v>#DIV/0!</v>
      </c>
      <c r="CX15" s="1158"/>
      <c r="CY15" s="3274">
        <f t="shared" si="32"/>
        <v>0</v>
      </c>
      <c r="CZ15" s="3274">
        <f t="shared" si="33"/>
        <v>0</v>
      </c>
      <c r="DA15" s="3283">
        <f t="shared" si="34"/>
        <v>0</v>
      </c>
      <c r="DB15" s="3284">
        <f t="shared" si="1"/>
        <v>0</v>
      </c>
      <c r="DC15" s="1449"/>
    </row>
    <row r="16" spans="1:107" s="1411" customFormat="1" ht="13.8" x14ac:dyDescent="0.25">
      <c r="A16" s="3290"/>
      <c r="B16" s="3289" t="s">
        <v>21</v>
      </c>
      <c r="C16" s="3274"/>
      <c r="D16" s="3274"/>
      <c r="E16" s="3283">
        <f t="shared" si="21"/>
        <v>0</v>
      </c>
      <c r="F16" s="3284">
        <f t="shared" si="0"/>
        <v>0</v>
      </c>
      <c r="G16" s="1449"/>
      <c r="H16" s="3274"/>
      <c r="I16" s="3274"/>
      <c r="J16" s="3283">
        <f t="shared" si="22"/>
        <v>0</v>
      </c>
      <c r="K16" s="3284">
        <f t="shared" si="23"/>
        <v>0</v>
      </c>
      <c r="L16" s="1449"/>
      <c r="M16" s="3274"/>
      <c r="N16" s="3274"/>
      <c r="O16" s="3283">
        <f t="shared" si="24"/>
        <v>0</v>
      </c>
      <c r="P16" s="3284">
        <f t="shared" si="2"/>
        <v>0</v>
      </c>
      <c r="Q16" s="1449"/>
      <c r="R16" s="3274"/>
      <c r="S16" s="3274"/>
      <c r="T16" s="3283">
        <f t="shared" si="25"/>
        <v>0</v>
      </c>
      <c r="U16" s="3284">
        <f t="shared" si="3"/>
        <v>0</v>
      </c>
      <c r="V16" s="1449"/>
      <c r="W16" s="3274"/>
      <c r="X16" s="3274"/>
      <c r="Y16" s="3283">
        <f t="shared" si="26"/>
        <v>0</v>
      </c>
      <c r="Z16" s="3284">
        <f t="shared" si="4"/>
        <v>0</v>
      </c>
      <c r="AA16" s="1449"/>
      <c r="AB16" s="3274"/>
      <c r="AC16" s="3274"/>
      <c r="AD16" s="3283">
        <f t="shared" si="27"/>
        <v>0</v>
      </c>
      <c r="AE16" s="3284">
        <f t="shared" si="5"/>
        <v>0</v>
      </c>
      <c r="AF16" s="1449"/>
      <c r="AG16" s="3274">
        <v>0</v>
      </c>
      <c r="AH16" s="3274">
        <v>0</v>
      </c>
      <c r="AI16" s="3283">
        <v>0</v>
      </c>
      <c r="AJ16" s="3284">
        <v>0</v>
      </c>
      <c r="AK16" s="1449"/>
      <c r="AL16" s="3274">
        <f t="shared" si="6"/>
        <v>0</v>
      </c>
      <c r="AM16" s="3274">
        <f t="shared" si="6"/>
        <v>0</v>
      </c>
      <c r="AN16" s="3283">
        <f t="shared" si="28"/>
        <v>0</v>
      </c>
      <c r="AO16" s="3284">
        <f t="shared" si="7"/>
        <v>0</v>
      </c>
      <c r="AP16" s="1449"/>
      <c r="AQ16" s="3274"/>
      <c r="AR16" s="3274"/>
      <c r="AS16" s="3283">
        <f t="shared" si="29"/>
        <v>0</v>
      </c>
      <c r="AT16" s="3284">
        <f t="shared" si="8"/>
        <v>0</v>
      </c>
      <c r="AU16" s="1449"/>
      <c r="AV16" s="3274"/>
      <c r="AW16" s="3274"/>
      <c r="AX16" s="3283">
        <f t="shared" si="30"/>
        <v>0</v>
      </c>
      <c r="AY16" s="3284">
        <f t="shared" si="9"/>
        <v>0</v>
      </c>
      <c r="AZ16" s="1158"/>
      <c r="BA16" s="3285"/>
      <c r="BB16" s="3285"/>
      <c r="BC16" s="3286">
        <f t="shared" si="31"/>
        <v>0</v>
      </c>
      <c r="BD16" s="3284">
        <f t="shared" si="10"/>
        <v>0</v>
      </c>
      <c r="BE16" s="1158"/>
      <c r="BF16" s="3285"/>
      <c r="BG16" s="3285"/>
      <c r="BH16" s="3286">
        <f t="shared" si="35"/>
        <v>0</v>
      </c>
      <c r="BI16" s="3284">
        <f t="shared" si="11"/>
        <v>0</v>
      </c>
      <c r="BJ16" s="1158"/>
      <c r="BK16" s="3285"/>
      <c r="BL16" s="3285"/>
      <c r="BM16" s="3286">
        <f t="shared" si="36"/>
        <v>0</v>
      </c>
      <c r="BN16" s="3284">
        <f t="shared" si="12"/>
        <v>0</v>
      </c>
      <c r="BO16" s="1158"/>
      <c r="BP16" s="3285"/>
      <c r="BQ16" s="3285"/>
      <c r="BR16" s="3286">
        <f t="shared" si="37"/>
        <v>0</v>
      </c>
      <c r="BS16" s="3284">
        <f t="shared" si="13"/>
        <v>0</v>
      </c>
      <c r="BT16" s="1158"/>
      <c r="BU16" s="3285"/>
      <c r="BV16" s="3285"/>
      <c r="BW16" s="3286">
        <f t="shared" si="38"/>
        <v>0</v>
      </c>
      <c r="BX16" s="3284" t="e">
        <f t="shared" si="14"/>
        <v>#DIV/0!</v>
      </c>
      <c r="BY16" s="1158"/>
      <c r="BZ16" s="3285"/>
      <c r="CA16" s="3285"/>
      <c r="CB16" s="3286">
        <f t="shared" si="39"/>
        <v>0</v>
      </c>
      <c r="CC16" s="3284" t="e">
        <f t="shared" si="15"/>
        <v>#DIV/0!</v>
      </c>
      <c r="CD16" s="1158"/>
      <c r="CE16" s="3285"/>
      <c r="CF16" s="3285"/>
      <c r="CG16" s="3286">
        <f t="shared" si="40"/>
        <v>0</v>
      </c>
      <c r="CH16" s="3284" t="e">
        <f t="shared" si="16"/>
        <v>#DIV/0!</v>
      </c>
      <c r="CI16" s="1158"/>
      <c r="CJ16" s="3285"/>
      <c r="CK16" s="3285"/>
      <c r="CL16" s="3286">
        <f t="shared" si="41"/>
        <v>0</v>
      </c>
      <c r="CM16" s="3284" t="e">
        <f t="shared" si="17"/>
        <v>#DIV/0!</v>
      </c>
      <c r="CN16" s="1158"/>
      <c r="CO16" s="3285"/>
      <c r="CP16" s="3285"/>
      <c r="CQ16" s="3286">
        <f t="shared" si="42"/>
        <v>0</v>
      </c>
      <c r="CR16" s="3284" t="e">
        <f t="shared" si="18"/>
        <v>#DIV/0!</v>
      </c>
      <c r="CS16" s="1158"/>
      <c r="CT16" s="3285"/>
      <c r="CU16" s="3285"/>
      <c r="CV16" s="3286">
        <f t="shared" si="43"/>
        <v>0</v>
      </c>
      <c r="CW16" s="3284" t="e">
        <f t="shared" si="19"/>
        <v>#DIV/0!</v>
      </c>
      <c r="CX16" s="1158"/>
      <c r="CY16" s="3274">
        <f t="shared" si="32"/>
        <v>0</v>
      </c>
      <c r="CZ16" s="3274">
        <f t="shared" si="33"/>
        <v>0</v>
      </c>
      <c r="DA16" s="3283">
        <f t="shared" si="34"/>
        <v>0</v>
      </c>
      <c r="DB16" s="3284">
        <f t="shared" si="1"/>
        <v>0</v>
      </c>
      <c r="DC16" s="1449"/>
    </row>
    <row r="17" spans="1:107" s="1411" customFormat="1" ht="13.8" x14ac:dyDescent="0.25">
      <c r="A17" s="1586"/>
      <c r="B17" s="3289" t="s">
        <v>22</v>
      </c>
      <c r="C17" s="3274"/>
      <c r="D17" s="3274"/>
      <c r="E17" s="3283">
        <f t="shared" si="21"/>
        <v>0</v>
      </c>
      <c r="F17" s="3284">
        <f t="shared" si="0"/>
        <v>0</v>
      </c>
      <c r="G17" s="1449"/>
      <c r="H17" s="3274"/>
      <c r="I17" s="3274"/>
      <c r="J17" s="3283">
        <f t="shared" si="22"/>
        <v>0</v>
      </c>
      <c r="K17" s="3284">
        <f t="shared" si="23"/>
        <v>0</v>
      </c>
      <c r="L17" s="1449"/>
      <c r="M17" s="3274"/>
      <c r="N17" s="3274"/>
      <c r="O17" s="3283">
        <f t="shared" si="24"/>
        <v>0</v>
      </c>
      <c r="P17" s="3284">
        <f t="shared" si="2"/>
        <v>0</v>
      </c>
      <c r="Q17" s="1449"/>
      <c r="R17" s="3274"/>
      <c r="S17" s="3274"/>
      <c r="T17" s="3283">
        <f t="shared" si="25"/>
        <v>0</v>
      </c>
      <c r="U17" s="3284">
        <f t="shared" si="3"/>
        <v>0</v>
      </c>
      <c r="V17" s="1449"/>
      <c r="W17" s="3274"/>
      <c r="X17" s="3274"/>
      <c r="Y17" s="3283">
        <f t="shared" si="26"/>
        <v>0</v>
      </c>
      <c r="Z17" s="3284">
        <f t="shared" si="4"/>
        <v>0</v>
      </c>
      <c r="AA17" s="1449"/>
      <c r="AB17" s="3274"/>
      <c r="AC17" s="3274"/>
      <c r="AD17" s="3283">
        <f t="shared" si="27"/>
        <v>0</v>
      </c>
      <c r="AE17" s="3284">
        <f t="shared" si="5"/>
        <v>0</v>
      </c>
      <c r="AF17" s="1449" t="s">
        <v>1480</v>
      </c>
      <c r="AG17" s="3274">
        <v>0</v>
      </c>
      <c r="AH17" s="3274">
        <v>0</v>
      </c>
      <c r="AI17" s="3283">
        <v>0</v>
      </c>
      <c r="AJ17" s="3284">
        <v>0</v>
      </c>
      <c r="AK17" s="1449"/>
      <c r="AL17" s="3274">
        <f t="shared" si="6"/>
        <v>0</v>
      </c>
      <c r="AM17" s="3274">
        <f t="shared" si="6"/>
        <v>0</v>
      </c>
      <c r="AN17" s="3283">
        <f t="shared" si="28"/>
        <v>0</v>
      </c>
      <c r="AO17" s="3284">
        <f t="shared" si="7"/>
        <v>0</v>
      </c>
      <c r="AP17" s="1449"/>
      <c r="AQ17" s="3274"/>
      <c r="AR17" s="3274"/>
      <c r="AS17" s="3283">
        <f t="shared" si="29"/>
        <v>0</v>
      </c>
      <c r="AT17" s="3284">
        <f t="shared" si="8"/>
        <v>0</v>
      </c>
      <c r="AU17" s="1449"/>
      <c r="AV17" s="3274"/>
      <c r="AW17" s="3274"/>
      <c r="AX17" s="3283">
        <f t="shared" si="30"/>
        <v>0</v>
      </c>
      <c r="AY17" s="3284">
        <f t="shared" si="9"/>
        <v>0</v>
      </c>
      <c r="AZ17" s="1158"/>
      <c r="BA17" s="3285"/>
      <c r="BB17" s="3285"/>
      <c r="BC17" s="3286">
        <f t="shared" si="31"/>
        <v>0</v>
      </c>
      <c r="BD17" s="3284">
        <f t="shared" si="10"/>
        <v>0</v>
      </c>
      <c r="BE17" s="1158"/>
      <c r="BF17" s="3285"/>
      <c r="BG17" s="3285"/>
      <c r="BH17" s="3286">
        <f t="shared" si="35"/>
        <v>0</v>
      </c>
      <c r="BI17" s="3284">
        <f t="shared" si="11"/>
        <v>0</v>
      </c>
      <c r="BJ17" s="1158"/>
      <c r="BK17" s="3285"/>
      <c r="BL17" s="3285"/>
      <c r="BM17" s="3286">
        <f t="shared" si="36"/>
        <v>0</v>
      </c>
      <c r="BN17" s="3284">
        <f t="shared" si="12"/>
        <v>0</v>
      </c>
      <c r="BO17" s="1158"/>
      <c r="BP17" s="3285"/>
      <c r="BQ17" s="3285"/>
      <c r="BR17" s="3286">
        <f t="shared" si="37"/>
        <v>0</v>
      </c>
      <c r="BS17" s="3284">
        <f t="shared" si="13"/>
        <v>0</v>
      </c>
      <c r="BT17" s="1158"/>
      <c r="BU17" s="3285"/>
      <c r="BV17" s="3285"/>
      <c r="BW17" s="3286">
        <f t="shared" si="38"/>
        <v>0</v>
      </c>
      <c r="BX17" s="3284" t="e">
        <f t="shared" si="14"/>
        <v>#DIV/0!</v>
      </c>
      <c r="BY17" s="1158"/>
      <c r="BZ17" s="3285"/>
      <c r="CA17" s="3285"/>
      <c r="CB17" s="3286">
        <f t="shared" si="39"/>
        <v>0</v>
      </c>
      <c r="CC17" s="3284" t="e">
        <f t="shared" si="15"/>
        <v>#DIV/0!</v>
      </c>
      <c r="CD17" s="1158"/>
      <c r="CE17" s="3285"/>
      <c r="CF17" s="3285"/>
      <c r="CG17" s="3286">
        <f t="shared" si="40"/>
        <v>0</v>
      </c>
      <c r="CH17" s="3284" t="e">
        <f t="shared" si="16"/>
        <v>#DIV/0!</v>
      </c>
      <c r="CI17" s="1158"/>
      <c r="CJ17" s="3285"/>
      <c r="CK17" s="3285"/>
      <c r="CL17" s="3286">
        <f t="shared" si="41"/>
        <v>0</v>
      </c>
      <c r="CM17" s="3284" t="e">
        <f t="shared" si="17"/>
        <v>#DIV/0!</v>
      </c>
      <c r="CN17" s="1158"/>
      <c r="CO17" s="3285"/>
      <c r="CP17" s="3285"/>
      <c r="CQ17" s="3286">
        <f t="shared" si="42"/>
        <v>0</v>
      </c>
      <c r="CR17" s="3284" t="e">
        <f t="shared" si="18"/>
        <v>#DIV/0!</v>
      </c>
      <c r="CS17" s="1158"/>
      <c r="CT17" s="3285"/>
      <c r="CU17" s="3285"/>
      <c r="CV17" s="3286">
        <f t="shared" si="43"/>
        <v>0</v>
      </c>
      <c r="CW17" s="3284" t="e">
        <f t="shared" si="19"/>
        <v>#DIV/0!</v>
      </c>
      <c r="CX17" s="1158"/>
      <c r="CY17" s="3274">
        <f t="shared" si="32"/>
        <v>0</v>
      </c>
      <c r="CZ17" s="3274">
        <f t="shared" si="33"/>
        <v>0</v>
      </c>
      <c r="DA17" s="3283">
        <f t="shared" si="34"/>
        <v>0</v>
      </c>
      <c r="DB17" s="3284">
        <f t="shared" si="1"/>
        <v>0</v>
      </c>
      <c r="DC17" s="1449"/>
    </row>
    <row r="18" spans="1:107" s="1411" customFormat="1" ht="41.4" x14ac:dyDescent="0.25">
      <c r="A18" s="1586"/>
      <c r="B18" s="3289" t="s">
        <v>0</v>
      </c>
      <c r="C18" s="3292">
        <f>8406+4300+91360.48</f>
        <v>104066.48</v>
      </c>
      <c r="D18" s="3274">
        <v>23260</v>
      </c>
      <c r="E18" s="3283">
        <f t="shared" si="21"/>
        <v>127326.48</v>
      </c>
      <c r="F18" s="3284">
        <f t="shared" si="0"/>
        <v>0.42791231801526286</v>
      </c>
      <c r="G18" s="3275" t="s">
        <v>1108</v>
      </c>
      <c r="H18" s="3274"/>
      <c r="I18" s="3274"/>
      <c r="J18" s="3283">
        <f t="shared" si="22"/>
        <v>0</v>
      </c>
      <c r="K18" s="3284">
        <f t="shared" si="23"/>
        <v>0</v>
      </c>
      <c r="L18" s="3275"/>
      <c r="M18" s="3274">
        <f>160+5250</f>
        <v>5410</v>
      </c>
      <c r="N18" s="3274"/>
      <c r="O18" s="3283">
        <f t="shared" si="24"/>
        <v>5410</v>
      </c>
      <c r="P18" s="3284">
        <f t="shared" si="2"/>
        <v>2.9293543610635901E-2</v>
      </c>
      <c r="Q18" s="3275" t="s">
        <v>1255</v>
      </c>
      <c r="R18" s="3274"/>
      <c r="S18" s="3274"/>
      <c r="T18" s="3283">
        <f t="shared" si="25"/>
        <v>0</v>
      </c>
      <c r="U18" s="3284">
        <f t="shared" si="3"/>
        <v>0</v>
      </c>
      <c r="V18" s="3275"/>
      <c r="W18" s="3274">
        <f>6000+3900+2825</f>
        <v>12725</v>
      </c>
      <c r="X18" s="3274">
        <v>6316.5</v>
      </c>
      <c r="Y18" s="3283">
        <f t="shared" si="26"/>
        <v>19041.5</v>
      </c>
      <c r="Z18" s="3284">
        <f t="shared" si="4"/>
        <v>0.10310406851421876</v>
      </c>
      <c r="AA18" s="3275" t="s">
        <v>1420</v>
      </c>
      <c r="AB18" s="3274">
        <v>305</v>
      </c>
      <c r="AC18" s="3274"/>
      <c r="AD18" s="3283">
        <f t="shared" si="27"/>
        <v>305</v>
      </c>
      <c r="AE18" s="3284">
        <f t="shared" si="5"/>
        <v>1.6514844364591405E-3</v>
      </c>
      <c r="AF18" s="3276" t="s">
        <v>1270</v>
      </c>
      <c r="AG18" s="3274">
        <v>41770.67</v>
      </c>
      <c r="AH18" s="3274">
        <v>0</v>
      </c>
      <c r="AI18" s="3283">
        <v>41770.67</v>
      </c>
      <c r="AJ18" s="3284">
        <v>0.23003093982779138</v>
      </c>
      <c r="AK18" s="3275"/>
      <c r="AL18" s="3274">
        <f t="shared" si="6"/>
        <v>0</v>
      </c>
      <c r="AM18" s="3274">
        <f t="shared" si="6"/>
        <v>0</v>
      </c>
      <c r="AN18" s="3283">
        <f t="shared" si="28"/>
        <v>0</v>
      </c>
      <c r="AO18" s="3284">
        <f t="shared" si="7"/>
        <v>0</v>
      </c>
      <c r="AP18" s="3275"/>
      <c r="AQ18" s="3274"/>
      <c r="AR18" s="3274"/>
      <c r="AS18" s="3283">
        <f t="shared" si="29"/>
        <v>0</v>
      </c>
      <c r="AT18" s="3284">
        <f t="shared" si="8"/>
        <v>0</v>
      </c>
      <c r="AU18" s="3276"/>
      <c r="AV18" s="3274"/>
      <c r="AW18" s="3274"/>
      <c r="AX18" s="3283">
        <f t="shared" si="30"/>
        <v>0</v>
      </c>
      <c r="AY18" s="3284">
        <f t="shared" si="9"/>
        <v>0</v>
      </c>
      <c r="AZ18" s="3287"/>
      <c r="BA18" s="3285"/>
      <c r="BB18" s="3285"/>
      <c r="BC18" s="3286">
        <f t="shared" si="31"/>
        <v>0</v>
      </c>
      <c r="BD18" s="3284">
        <f t="shared" si="10"/>
        <v>0</v>
      </c>
      <c r="BE18" s="3291"/>
      <c r="BF18" s="3285"/>
      <c r="BG18" s="3285"/>
      <c r="BH18" s="3286">
        <f t="shared" si="35"/>
        <v>0</v>
      </c>
      <c r="BI18" s="3284">
        <f t="shared" si="11"/>
        <v>0</v>
      </c>
      <c r="BJ18" s="3291"/>
      <c r="BK18" s="3285"/>
      <c r="BL18" s="3285"/>
      <c r="BM18" s="3286">
        <f t="shared" si="36"/>
        <v>0</v>
      </c>
      <c r="BN18" s="3284">
        <f t="shared" si="12"/>
        <v>0</v>
      </c>
      <c r="BO18" s="3291"/>
      <c r="BP18" s="3285"/>
      <c r="BQ18" s="3285"/>
      <c r="BR18" s="3286">
        <f t="shared" si="37"/>
        <v>0</v>
      </c>
      <c r="BS18" s="3284">
        <f t="shared" si="13"/>
        <v>0</v>
      </c>
      <c r="BT18" s="3291"/>
      <c r="BU18" s="3285"/>
      <c r="BV18" s="3285"/>
      <c r="BW18" s="3286">
        <f t="shared" si="38"/>
        <v>0</v>
      </c>
      <c r="BX18" s="3284" t="e">
        <f t="shared" si="14"/>
        <v>#DIV/0!</v>
      </c>
      <c r="BY18" s="3291"/>
      <c r="BZ18" s="3285"/>
      <c r="CA18" s="3285"/>
      <c r="CB18" s="3286">
        <f t="shared" si="39"/>
        <v>0</v>
      </c>
      <c r="CC18" s="3284" t="e">
        <f t="shared" si="15"/>
        <v>#DIV/0!</v>
      </c>
      <c r="CD18" s="3291"/>
      <c r="CE18" s="3285"/>
      <c r="CF18" s="3285"/>
      <c r="CG18" s="3286">
        <f t="shared" si="40"/>
        <v>0</v>
      </c>
      <c r="CH18" s="3284" t="e">
        <f t="shared" si="16"/>
        <v>#DIV/0!</v>
      </c>
      <c r="CI18" s="3291"/>
      <c r="CJ18" s="3285"/>
      <c r="CK18" s="3285"/>
      <c r="CL18" s="3286">
        <f t="shared" si="41"/>
        <v>0</v>
      </c>
      <c r="CM18" s="3284" t="e">
        <f t="shared" si="17"/>
        <v>#DIV/0!</v>
      </c>
      <c r="CN18" s="3291"/>
      <c r="CO18" s="3285"/>
      <c r="CP18" s="3285"/>
      <c r="CQ18" s="3286">
        <f t="shared" si="42"/>
        <v>0</v>
      </c>
      <c r="CR18" s="3284" t="e">
        <f t="shared" si="18"/>
        <v>#DIV/0!</v>
      </c>
      <c r="CS18" s="3291"/>
      <c r="CT18" s="3285"/>
      <c r="CU18" s="3285"/>
      <c r="CV18" s="3286">
        <f t="shared" si="43"/>
        <v>0</v>
      </c>
      <c r="CW18" s="3284" t="e">
        <f t="shared" si="19"/>
        <v>#DIV/0!</v>
      </c>
      <c r="CX18" s="3291"/>
      <c r="CY18" s="3274">
        <f t="shared" si="32"/>
        <v>164277.15</v>
      </c>
      <c r="CZ18" s="3274">
        <f t="shared" si="33"/>
        <v>29576.5</v>
      </c>
      <c r="DA18" s="3283">
        <f t="shared" si="34"/>
        <v>193853.65</v>
      </c>
      <c r="DB18" s="3284">
        <f t="shared" si="1"/>
        <v>7.5884003271471781E-2</v>
      </c>
      <c r="DC18" s="1449"/>
    </row>
    <row r="19" spans="1:107" s="1411" customFormat="1" ht="13.8" x14ac:dyDescent="0.25">
      <c r="A19" s="1586"/>
      <c r="B19" s="3289" t="s">
        <v>53</v>
      </c>
      <c r="C19" s="3274"/>
      <c r="D19" s="3274"/>
      <c r="E19" s="3283">
        <f t="shared" si="21"/>
        <v>0</v>
      </c>
      <c r="F19" s="3284">
        <f t="shared" si="0"/>
        <v>0</v>
      </c>
      <c r="G19" s="1409"/>
      <c r="H19" s="3274"/>
      <c r="I19" s="3274"/>
      <c r="J19" s="3283">
        <f t="shared" si="22"/>
        <v>0</v>
      </c>
      <c r="K19" s="3284">
        <f t="shared" si="23"/>
        <v>0</v>
      </c>
      <c r="L19" s="1409"/>
      <c r="M19" s="3274"/>
      <c r="N19" s="3274"/>
      <c r="O19" s="3283">
        <f t="shared" si="24"/>
        <v>0</v>
      </c>
      <c r="P19" s="3284">
        <f t="shared" si="2"/>
        <v>0</v>
      </c>
      <c r="Q19" s="1409"/>
      <c r="R19" s="3274"/>
      <c r="S19" s="3274"/>
      <c r="T19" s="3283">
        <f t="shared" si="25"/>
        <v>0</v>
      </c>
      <c r="U19" s="3284">
        <f t="shared" si="3"/>
        <v>0</v>
      </c>
      <c r="V19" s="1409"/>
      <c r="W19" s="3274"/>
      <c r="X19" s="3274"/>
      <c r="Y19" s="3283">
        <f t="shared" si="26"/>
        <v>0</v>
      </c>
      <c r="Z19" s="3284">
        <f t="shared" si="4"/>
        <v>0</v>
      </c>
      <c r="AA19" s="1409"/>
      <c r="AB19" s="3274"/>
      <c r="AC19" s="3274"/>
      <c r="AD19" s="3283">
        <f t="shared" si="27"/>
        <v>0</v>
      </c>
      <c r="AE19" s="3284">
        <f t="shared" si="5"/>
        <v>0</v>
      </c>
      <c r="AF19" s="1409"/>
      <c r="AG19" s="3274">
        <v>0</v>
      </c>
      <c r="AH19" s="3274">
        <v>0</v>
      </c>
      <c r="AI19" s="3283">
        <v>0</v>
      </c>
      <c r="AJ19" s="3284">
        <v>0</v>
      </c>
      <c r="AK19" s="1409"/>
      <c r="AL19" s="3274">
        <f t="shared" si="6"/>
        <v>0</v>
      </c>
      <c r="AM19" s="3274">
        <f t="shared" si="6"/>
        <v>0</v>
      </c>
      <c r="AN19" s="3283">
        <f t="shared" si="28"/>
        <v>0</v>
      </c>
      <c r="AO19" s="3284">
        <f t="shared" si="7"/>
        <v>0</v>
      </c>
      <c r="AP19" s="1409"/>
      <c r="AQ19" s="3274"/>
      <c r="AR19" s="3274"/>
      <c r="AS19" s="3283">
        <f t="shared" si="29"/>
        <v>0</v>
      </c>
      <c r="AT19" s="3284">
        <f t="shared" si="8"/>
        <v>0</v>
      </c>
      <c r="AU19" s="1409"/>
      <c r="AV19" s="3274"/>
      <c r="AW19" s="3274"/>
      <c r="AX19" s="3283">
        <f t="shared" si="30"/>
        <v>0</v>
      </c>
      <c r="AY19" s="3284">
        <f t="shared" si="9"/>
        <v>0</v>
      </c>
      <c r="AZ19" s="1409"/>
      <c r="BA19" s="3285"/>
      <c r="BB19" s="3285"/>
      <c r="BC19" s="3286">
        <f t="shared" si="31"/>
        <v>0</v>
      </c>
      <c r="BD19" s="3284">
        <f t="shared" si="10"/>
        <v>0</v>
      </c>
      <c r="BE19" s="1107"/>
      <c r="BF19" s="3285"/>
      <c r="BG19" s="3285"/>
      <c r="BH19" s="3286">
        <f t="shared" si="35"/>
        <v>0</v>
      </c>
      <c r="BI19" s="3284">
        <f t="shared" si="11"/>
        <v>0</v>
      </c>
      <c r="BJ19" s="1107"/>
      <c r="BK19" s="3285"/>
      <c r="BL19" s="3285"/>
      <c r="BM19" s="3286">
        <f t="shared" si="36"/>
        <v>0</v>
      </c>
      <c r="BN19" s="3284">
        <f t="shared" si="12"/>
        <v>0</v>
      </c>
      <c r="BO19" s="1107"/>
      <c r="BP19" s="3285"/>
      <c r="BQ19" s="3285"/>
      <c r="BR19" s="3286">
        <f t="shared" si="37"/>
        <v>0</v>
      </c>
      <c r="BS19" s="3284">
        <f t="shared" si="13"/>
        <v>0</v>
      </c>
      <c r="BT19" s="1107"/>
      <c r="BU19" s="3285"/>
      <c r="BV19" s="3285"/>
      <c r="BW19" s="3286">
        <f t="shared" si="38"/>
        <v>0</v>
      </c>
      <c r="BX19" s="3284" t="e">
        <f t="shared" si="14"/>
        <v>#DIV/0!</v>
      </c>
      <c r="BY19" s="1107"/>
      <c r="BZ19" s="3285"/>
      <c r="CA19" s="3285"/>
      <c r="CB19" s="3286">
        <f t="shared" si="39"/>
        <v>0</v>
      </c>
      <c r="CC19" s="3284" t="e">
        <f t="shared" si="15"/>
        <v>#DIV/0!</v>
      </c>
      <c r="CD19" s="1107"/>
      <c r="CE19" s="3285"/>
      <c r="CF19" s="3285"/>
      <c r="CG19" s="3286">
        <f t="shared" si="40"/>
        <v>0</v>
      </c>
      <c r="CH19" s="3284" t="e">
        <f t="shared" si="16"/>
        <v>#DIV/0!</v>
      </c>
      <c r="CI19" s="1107"/>
      <c r="CJ19" s="3285"/>
      <c r="CK19" s="3285"/>
      <c r="CL19" s="3286">
        <f t="shared" si="41"/>
        <v>0</v>
      </c>
      <c r="CM19" s="3284" t="e">
        <f t="shared" si="17"/>
        <v>#DIV/0!</v>
      </c>
      <c r="CN19" s="1107"/>
      <c r="CO19" s="3285"/>
      <c r="CP19" s="3285"/>
      <c r="CQ19" s="3286">
        <f t="shared" si="42"/>
        <v>0</v>
      </c>
      <c r="CR19" s="3284" t="e">
        <f t="shared" si="18"/>
        <v>#DIV/0!</v>
      </c>
      <c r="CS19" s="1107"/>
      <c r="CT19" s="3285"/>
      <c r="CU19" s="3285"/>
      <c r="CV19" s="3286">
        <f t="shared" si="43"/>
        <v>0</v>
      </c>
      <c r="CW19" s="3284" t="e">
        <f t="shared" si="19"/>
        <v>#DIV/0!</v>
      </c>
      <c r="CX19" s="1107"/>
      <c r="CY19" s="3274">
        <f t="shared" si="32"/>
        <v>0</v>
      </c>
      <c r="CZ19" s="3274">
        <f t="shared" si="33"/>
        <v>0</v>
      </c>
      <c r="DA19" s="3283">
        <f t="shared" si="34"/>
        <v>0</v>
      </c>
      <c r="DB19" s="3284">
        <f t="shared" si="1"/>
        <v>0</v>
      </c>
      <c r="DC19" s="1449"/>
    </row>
    <row r="20" spans="1:107" s="1411" customFormat="1" ht="13.8" x14ac:dyDescent="0.25">
      <c r="A20" s="1586"/>
      <c r="B20" s="3289" t="s">
        <v>57</v>
      </c>
      <c r="C20" s="3274"/>
      <c r="D20" s="3274"/>
      <c r="E20" s="3283">
        <f t="shared" si="21"/>
        <v>0</v>
      </c>
      <c r="F20" s="3284">
        <f t="shared" si="0"/>
        <v>0</v>
      </c>
      <c r="G20" s="1608"/>
      <c r="H20" s="3274"/>
      <c r="I20" s="3274"/>
      <c r="J20" s="3283">
        <f t="shared" si="22"/>
        <v>0</v>
      </c>
      <c r="K20" s="3284">
        <f t="shared" si="23"/>
        <v>0</v>
      </c>
      <c r="L20" s="1608"/>
      <c r="M20" s="3274"/>
      <c r="N20" s="3274"/>
      <c r="O20" s="3283">
        <f t="shared" si="24"/>
        <v>0</v>
      </c>
      <c r="P20" s="3284">
        <f t="shared" si="2"/>
        <v>0</v>
      </c>
      <c r="Q20" s="1608"/>
      <c r="R20" s="3274"/>
      <c r="S20" s="3274"/>
      <c r="T20" s="3283">
        <f t="shared" si="25"/>
        <v>0</v>
      </c>
      <c r="U20" s="3284">
        <f t="shared" si="3"/>
        <v>0</v>
      </c>
      <c r="V20" s="1608"/>
      <c r="W20" s="3274"/>
      <c r="X20" s="3274"/>
      <c r="Y20" s="3283">
        <f t="shared" si="26"/>
        <v>0</v>
      </c>
      <c r="Z20" s="3284">
        <f t="shared" si="4"/>
        <v>0</v>
      </c>
      <c r="AA20" s="1608"/>
      <c r="AB20" s="3274"/>
      <c r="AC20" s="3274"/>
      <c r="AD20" s="3283">
        <f t="shared" si="27"/>
        <v>0</v>
      </c>
      <c r="AE20" s="3284">
        <f t="shared" si="5"/>
        <v>0</v>
      </c>
      <c r="AF20" s="1608"/>
      <c r="AG20" s="3274">
        <v>0</v>
      </c>
      <c r="AH20" s="3274">
        <v>0</v>
      </c>
      <c r="AI20" s="3283">
        <v>0</v>
      </c>
      <c r="AJ20" s="3284">
        <v>0</v>
      </c>
      <c r="AK20" s="1608"/>
      <c r="AL20" s="3274">
        <f t="shared" si="6"/>
        <v>0</v>
      </c>
      <c r="AM20" s="3274">
        <f t="shared" si="6"/>
        <v>0</v>
      </c>
      <c r="AN20" s="3283">
        <f t="shared" si="28"/>
        <v>0</v>
      </c>
      <c r="AO20" s="3284">
        <f t="shared" si="7"/>
        <v>0</v>
      </c>
      <c r="AP20" s="1608"/>
      <c r="AQ20" s="3274"/>
      <c r="AR20" s="3274"/>
      <c r="AS20" s="3283">
        <f t="shared" si="29"/>
        <v>0</v>
      </c>
      <c r="AT20" s="3284">
        <f t="shared" si="8"/>
        <v>0</v>
      </c>
      <c r="AU20" s="1608"/>
      <c r="AV20" s="3274"/>
      <c r="AW20" s="3274"/>
      <c r="AX20" s="3283">
        <f t="shared" si="30"/>
        <v>0</v>
      </c>
      <c r="AY20" s="3284">
        <f t="shared" si="9"/>
        <v>0</v>
      </c>
      <c r="AZ20" s="1608"/>
      <c r="BA20" s="3285"/>
      <c r="BB20" s="3285"/>
      <c r="BC20" s="3286">
        <f t="shared" si="31"/>
        <v>0</v>
      </c>
      <c r="BD20" s="3284">
        <f t="shared" si="10"/>
        <v>0</v>
      </c>
      <c r="BE20" s="1158"/>
      <c r="BF20" s="3285"/>
      <c r="BG20" s="3285"/>
      <c r="BH20" s="3286">
        <f t="shared" si="35"/>
        <v>0</v>
      </c>
      <c r="BI20" s="3284">
        <f t="shared" si="11"/>
        <v>0</v>
      </c>
      <c r="BJ20" s="1158"/>
      <c r="BK20" s="3285"/>
      <c r="BL20" s="3285"/>
      <c r="BM20" s="3286">
        <f t="shared" si="36"/>
        <v>0</v>
      </c>
      <c r="BN20" s="3284">
        <f t="shared" si="12"/>
        <v>0</v>
      </c>
      <c r="BO20" s="1158"/>
      <c r="BP20" s="3285"/>
      <c r="BQ20" s="3285"/>
      <c r="BR20" s="3286">
        <f t="shared" si="37"/>
        <v>0</v>
      </c>
      <c r="BS20" s="3284">
        <f t="shared" si="13"/>
        <v>0</v>
      </c>
      <c r="BT20" s="1158"/>
      <c r="BU20" s="3285"/>
      <c r="BV20" s="3285"/>
      <c r="BW20" s="3286">
        <f t="shared" si="38"/>
        <v>0</v>
      </c>
      <c r="BX20" s="3284" t="e">
        <f t="shared" si="14"/>
        <v>#DIV/0!</v>
      </c>
      <c r="BY20" s="1158"/>
      <c r="BZ20" s="3285"/>
      <c r="CA20" s="3285"/>
      <c r="CB20" s="3286">
        <f t="shared" si="39"/>
        <v>0</v>
      </c>
      <c r="CC20" s="3284" t="e">
        <f t="shared" si="15"/>
        <v>#DIV/0!</v>
      </c>
      <c r="CD20" s="1158"/>
      <c r="CE20" s="3285"/>
      <c r="CF20" s="3285"/>
      <c r="CG20" s="3286">
        <f t="shared" si="40"/>
        <v>0</v>
      </c>
      <c r="CH20" s="3284" t="e">
        <f t="shared" si="16"/>
        <v>#DIV/0!</v>
      </c>
      <c r="CI20" s="1158"/>
      <c r="CJ20" s="3285"/>
      <c r="CK20" s="3285"/>
      <c r="CL20" s="3286">
        <f t="shared" si="41"/>
        <v>0</v>
      </c>
      <c r="CM20" s="3284" t="e">
        <f t="shared" si="17"/>
        <v>#DIV/0!</v>
      </c>
      <c r="CN20" s="1158"/>
      <c r="CO20" s="3285"/>
      <c r="CP20" s="3285"/>
      <c r="CQ20" s="3286">
        <f t="shared" si="42"/>
        <v>0</v>
      </c>
      <c r="CR20" s="3284" t="e">
        <f t="shared" si="18"/>
        <v>#DIV/0!</v>
      </c>
      <c r="CS20" s="1158"/>
      <c r="CT20" s="3285"/>
      <c r="CU20" s="3285"/>
      <c r="CV20" s="3286">
        <f t="shared" si="43"/>
        <v>0</v>
      </c>
      <c r="CW20" s="3284" t="e">
        <f t="shared" si="19"/>
        <v>#DIV/0!</v>
      </c>
      <c r="CX20" s="1158"/>
      <c r="CY20" s="3274">
        <f t="shared" si="32"/>
        <v>0</v>
      </c>
      <c r="CZ20" s="3274">
        <f t="shared" si="33"/>
        <v>0</v>
      </c>
      <c r="DA20" s="3283">
        <f t="shared" si="34"/>
        <v>0</v>
      </c>
      <c r="DB20" s="3284">
        <f t="shared" si="1"/>
        <v>0</v>
      </c>
      <c r="DC20" s="1449"/>
    </row>
    <row r="21" spans="1:107" s="1411" customFormat="1" ht="13.8" x14ac:dyDescent="0.25">
      <c r="A21" s="1586"/>
      <c r="B21" s="3289" t="s">
        <v>58</v>
      </c>
      <c r="C21" s="3274"/>
      <c r="D21" s="3274"/>
      <c r="E21" s="3283">
        <f t="shared" si="21"/>
        <v>0</v>
      </c>
      <c r="F21" s="3284">
        <f t="shared" si="0"/>
        <v>0</v>
      </c>
      <c r="G21" s="1608"/>
      <c r="H21" s="3274"/>
      <c r="I21" s="3274"/>
      <c r="J21" s="3283">
        <f t="shared" si="22"/>
        <v>0</v>
      </c>
      <c r="K21" s="3284">
        <f t="shared" si="23"/>
        <v>0</v>
      </c>
      <c r="L21" s="1608"/>
      <c r="M21" s="3274"/>
      <c r="N21" s="3274"/>
      <c r="O21" s="3283">
        <f t="shared" si="24"/>
        <v>0</v>
      </c>
      <c r="P21" s="3284">
        <f t="shared" si="2"/>
        <v>0</v>
      </c>
      <c r="Q21" s="1608"/>
      <c r="R21" s="3274"/>
      <c r="S21" s="3274"/>
      <c r="T21" s="3283">
        <f t="shared" si="25"/>
        <v>0</v>
      </c>
      <c r="U21" s="3284">
        <f t="shared" si="3"/>
        <v>0</v>
      </c>
      <c r="V21" s="1608"/>
      <c r="W21" s="3274"/>
      <c r="X21" s="3274"/>
      <c r="Y21" s="3283">
        <f t="shared" si="26"/>
        <v>0</v>
      </c>
      <c r="Z21" s="3284">
        <f t="shared" si="4"/>
        <v>0</v>
      </c>
      <c r="AA21" s="1608"/>
      <c r="AB21" s="3274"/>
      <c r="AC21" s="3274"/>
      <c r="AD21" s="3283">
        <f t="shared" si="27"/>
        <v>0</v>
      </c>
      <c r="AE21" s="3284">
        <f t="shared" si="5"/>
        <v>0</v>
      </c>
      <c r="AF21" s="1608"/>
      <c r="AG21" s="3274">
        <v>0</v>
      </c>
      <c r="AH21" s="3274">
        <v>0</v>
      </c>
      <c r="AI21" s="3283">
        <v>0</v>
      </c>
      <c r="AJ21" s="3284">
        <v>0</v>
      </c>
      <c r="AK21" s="1608"/>
      <c r="AL21" s="3274">
        <f t="shared" si="6"/>
        <v>0</v>
      </c>
      <c r="AM21" s="3274">
        <f t="shared" si="6"/>
        <v>0</v>
      </c>
      <c r="AN21" s="3283">
        <f t="shared" si="28"/>
        <v>0</v>
      </c>
      <c r="AO21" s="3284">
        <f t="shared" si="7"/>
        <v>0</v>
      </c>
      <c r="AP21" s="1608"/>
      <c r="AQ21" s="3274"/>
      <c r="AR21" s="3274"/>
      <c r="AS21" s="3283">
        <f t="shared" si="29"/>
        <v>0</v>
      </c>
      <c r="AT21" s="3284">
        <f t="shared" si="8"/>
        <v>0</v>
      </c>
      <c r="AU21" s="1608"/>
      <c r="AV21" s="3274"/>
      <c r="AW21" s="3274"/>
      <c r="AX21" s="3283">
        <f t="shared" si="30"/>
        <v>0</v>
      </c>
      <c r="AY21" s="3284">
        <f t="shared" si="9"/>
        <v>0</v>
      </c>
      <c r="AZ21" s="1608"/>
      <c r="BA21" s="3285"/>
      <c r="BB21" s="3285"/>
      <c r="BC21" s="3286">
        <f t="shared" si="31"/>
        <v>0</v>
      </c>
      <c r="BD21" s="3284">
        <f t="shared" si="10"/>
        <v>0</v>
      </c>
      <c r="BE21" s="1158"/>
      <c r="BF21" s="3285"/>
      <c r="BG21" s="3285"/>
      <c r="BH21" s="3286">
        <f t="shared" si="35"/>
        <v>0</v>
      </c>
      <c r="BI21" s="3284">
        <f t="shared" si="11"/>
        <v>0</v>
      </c>
      <c r="BJ21" s="1158"/>
      <c r="BK21" s="3285"/>
      <c r="BL21" s="3285"/>
      <c r="BM21" s="3286">
        <f t="shared" si="36"/>
        <v>0</v>
      </c>
      <c r="BN21" s="3284">
        <f t="shared" si="12"/>
        <v>0</v>
      </c>
      <c r="BO21" s="1158"/>
      <c r="BP21" s="3285"/>
      <c r="BQ21" s="3285"/>
      <c r="BR21" s="3286">
        <f t="shared" si="37"/>
        <v>0</v>
      </c>
      <c r="BS21" s="3284">
        <f t="shared" si="13"/>
        <v>0</v>
      </c>
      <c r="BT21" s="1158"/>
      <c r="BU21" s="3285"/>
      <c r="BV21" s="3285"/>
      <c r="BW21" s="3286">
        <f t="shared" si="38"/>
        <v>0</v>
      </c>
      <c r="BX21" s="3284" t="e">
        <f t="shared" si="14"/>
        <v>#DIV/0!</v>
      </c>
      <c r="BY21" s="1158"/>
      <c r="BZ21" s="3285"/>
      <c r="CA21" s="3285"/>
      <c r="CB21" s="3286">
        <f t="shared" si="39"/>
        <v>0</v>
      </c>
      <c r="CC21" s="3284" t="e">
        <f t="shared" si="15"/>
        <v>#DIV/0!</v>
      </c>
      <c r="CD21" s="1158"/>
      <c r="CE21" s="3285"/>
      <c r="CF21" s="3285"/>
      <c r="CG21" s="3286">
        <f t="shared" si="40"/>
        <v>0</v>
      </c>
      <c r="CH21" s="3284" t="e">
        <f t="shared" si="16"/>
        <v>#DIV/0!</v>
      </c>
      <c r="CI21" s="1158"/>
      <c r="CJ21" s="3285"/>
      <c r="CK21" s="3285"/>
      <c r="CL21" s="3286">
        <f t="shared" si="41"/>
        <v>0</v>
      </c>
      <c r="CM21" s="3284" t="e">
        <f t="shared" si="17"/>
        <v>#DIV/0!</v>
      </c>
      <c r="CN21" s="1158"/>
      <c r="CO21" s="3285"/>
      <c r="CP21" s="3285"/>
      <c r="CQ21" s="3286">
        <f t="shared" si="42"/>
        <v>0</v>
      </c>
      <c r="CR21" s="3284" t="e">
        <f t="shared" si="18"/>
        <v>#DIV/0!</v>
      </c>
      <c r="CS21" s="1158"/>
      <c r="CT21" s="3285"/>
      <c r="CU21" s="3285"/>
      <c r="CV21" s="3286">
        <f t="shared" si="43"/>
        <v>0</v>
      </c>
      <c r="CW21" s="3284" t="e">
        <f t="shared" si="19"/>
        <v>#DIV/0!</v>
      </c>
      <c r="CX21" s="1158"/>
      <c r="CY21" s="3274">
        <f t="shared" si="32"/>
        <v>0</v>
      </c>
      <c r="CZ21" s="3274">
        <f t="shared" si="33"/>
        <v>0</v>
      </c>
      <c r="DA21" s="3283">
        <f t="shared" si="34"/>
        <v>0</v>
      </c>
      <c r="DB21" s="3284">
        <f t="shared" si="1"/>
        <v>0</v>
      </c>
      <c r="DC21" s="1449"/>
    </row>
    <row r="22" spans="1:107" s="1411" customFormat="1" ht="13.8" x14ac:dyDescent="0.25">
      <c r="A22" s="1586"/>
      <c r="B22" s="3289" t="s">
        <v>621</v>
      </c>
      <c r="C22" s="3274"/>
      <c r="D22" s="3274"/>
      <c r="E22" s="3283"/>
      <c r="F22" s="3284">
        <f t="shared" si="0"/>
        <v>0</v>
      </c>
      <c r="G22" s="1608"/>
      <c r="H22" s="3274"/>
      <c r="I22" s="3274"/>
      <c r="J22" s="3283"/>
      <c r="K22" s="3284">
        <f t="shared" si="23"/>
        <v>0</v>
      </c>
      <c r="L22" s="1608"/>
      <c r="M22" s="3274"/>
      <c r="N22" s="3274"/>
      <c r="O22" s="3283"/>
      <c r="P22" s="3284">
        <f t="shared" si="2"/>
        <v>0</v>
      </c>
      <c r="Q22" s="1608"/>
      <c r="R22" s="3274"/>
      <c r="S22" s="3274"/>
      <c r="T22" s="3283"/>
      <c r="U22" s="3284">
        <f t="shared" si="3"/>
        <v>0</v>
      </c>
      <c r="V22" s="1608"/>
      <c r="W22" s="3274"/>
      <c r="X22" s="3274"/>
      <c r="Y22" s="3283"/>
      <c r="Z22" s="3284">
        <f t="shared" si="4"/>
        <v>0</v>
      </c>
      <c r="AA22" s="1608"/>
      <c r="AB22" s="3274"/>
      <c r="AC22" s="3274"/>
      <c r="AD22" s="3283"/>
      <c r="AE22" s="3284">
        <f t="shared" si="5"/>
        <v>0</v>
      </c>
      <c r="AF22" s="1608"/>
      <c r="AG22" s="3274">
        <v>0</v>
      </c>
      <c r="AH22" s="3274">
        <v>0</v>
      </c>
      <c r="AI22" s="3283"/>
      <c r="AJ22" s="3284">
        <v>0</v>
      </c>
      <c r="AK22" s="1608"/>
      <c r="AL22" s="3274">
        <f t="shared" si="6"/>
        <v>0</v>
      </c>
      <c r="AM22" s="3274">
        <f t="shared" si="6"/>
        <v>0</v>
      </c>
      <c r="AN22" s="3283"/>
      <c r="AO22" s="3284">
        <f t="shared" si="7"/>
        <v>0</v>
      </c>
      <c r="AP22" s="1608"/>
      <c r="AQ22" s="3274"/>
      <c r="AR22" s="3274"/>
      <c r="AS22" s="3283"/>
      <c r="AT22" s="3284">
        <f t="shared" si="8"/>
        <v>0</v>
      </c>
      <c r="AU22" s="1608"/>
      <c r="AV22" s="3274"/>
      <c r="AW22" s="3274"/>
      <c r="AX22" s="3283">
        <f t="shared" si="30"/>
        <v>0</v>
      </c>
      <c r="AY22" s="3284">
        <f t="shared" si="9"/>
        <v>0</v>
      </c>
      <c r="AZ22" s="1608"/>
      <c r="BA22" s="3285"/>
      <c r="BB22" s="3285"/>
      <c r="BC22" s="3286">
        <f t="shared" si="31"/>
        <v>0</v>
      </c>
      <c r="BD22" s="3284">
        <f t="shared" si="10"/>
        <v>0</v>
      </c>
      <c r="BE22" s="1158"/>
      <c r="BF22" s="3285"/>
      <c r="BG22" s="3285"/>
      <c r="BH22" s="3286">
        <f t="shared" si="35"/>
        <v>0</v>
      </c>
      <c r="BI22" s="3284">
        <f t="shared" si="11"/>
        <v>0</v>
      </c>
      <c r="BJ22" s="1158"/>
      <c r="BK22" s="3285"/>
      <c r="BL22" s="3285"/>
      <c r="BM22" s="3286">
        <f t="shared" si="36"/>
        <v>0</v>
      </c>
      <c r="BN22" s="3284">
        <f t="shared" si="12"/>
        <v>0</v>
      </c>
      <c r="BO22" s="1158"/>
      <c r="BP22" s="3285"/>
      <c r="BQ22" s="3285"/>
      <c r="BR22" s="3286">
        <f t="shared" si="37"/>
        <v>0</v>
      </c>
      <c r="BS22" s="3284">
        <f t="shared" si="13"/>
        <v>0</v>
      </c>
      <c r="BT22" s="1158"/>
      <c r="BU22" s="3285"/>
      <c r="BV22" s="3285"/>
      <c r="BW22" s="3286">
        <f t="shared" si="38"/>
        <v>0</v>
      </c>
      <c r="BX22" s="3284" t="e">
        <f t="shared" si="14"/>
        <v>#DIV/0!</v>
      </c>
      <c r="BY22" s="1158"/>
      <c r="BZ22" s="3285"/>
      <c r="CA22" s="3285"/>
      <c r="CB22" s="3286">
        <f t="shared" si="39"/>
        <v>0</v>
      </c>
      <c r="CC22" s="3284" t="e">
        <f t="shared" si="15"/>
        <v>#DIV/0!</v>
      </c>
      <c r="CD22" s="1158"/>
      <c r="CE22" s="3285"/>
      <c r="CF22" s="3285"/>
      <c r="CG22" s="3286">
        <f t="shared" si="40"/>
        <v>0</v>
      </c>
      <c r="CH22" s="3284" t="e">
        <f t="shared" si="16"/>
        <v>#DIV/0!</v>
      </c>
      <c r="CI22" s="1158"/>
      <c r="CJ22" s="3285"/>
      <c r="CK22" s="3285"/>
      <c r="CL22" s="3286">
        <f t="shared" si="41"/>
        <v>0</v>
      </c>
      <c r="CM22" s="3284" t="e">
        <f t="shared" si="17"/>
        <v>#DIV/0!</v>
      </c>
      <c r="CN22" s="1158"/>
      <c r="CO22" s="3285"/>
      <c r="CP22" s="3285"/>
      <c r="CQ22" s="3286">
        <f t="shared" si="42"/>
        <v>0</v>
      </c>
      <c r="CR22" s="3284" t="e">
        <f t="shared" si="18"/>
        <v>#DIV/0!</v>
      </c>
      <c r="CS22" s="1158"/>
      <c r="CT22" s="3285"/>
      <c r="CU22" s="3285"/>
      <c r="CV22" s="3286">
        <f t="shared" si="43"/>
        <v>0</v>
      </c>
      <c r="CW22" s="3284" t="e">
        <f t="shared" si="19"/>
        <v>#DIV/0!</v>
      </c>
      <c r="CX22" s="1158"/>
      <c r="CY22" s="3274">
        <f t="shared" si="32"/>
        <v>0</v>
      </c>
      <c r="CZ22" s="3274">
        <f t="shared" si="33"/>
        <v>0</v>
      </c>
      <c r="DA22" s="3283">
        <f t="shared" si="34"/>
        <v>0</v>
      </c>
      <c r="DB22" s="3284">
        <f t="shared" si="1"/>
        <v>0</v>
      </c>
      <c r="DC22" s="1449"/>
    </row>
    <row r="23" spans="1:107" s="1411" customFormat="1" ht="13.8" x14ac:dyDescent="0.25">
      <c r="A23" s="1586"/>
      <c r="B23" s="3289" t="s">
        <v>630</v>
      </c>
      <c r="C23" s="3274"/>
      <c r="D23" s="3274"/>
      <c r="E23" s="3283"/>
      <c r="F23" s="3284">
        <f t="shared" si="0"/>
        <v>0</v>
      </c>
      <c r="G23" s="1608"/>
      <c r="H23" s="3274"/>
      <c r="I23" s="3274"/>
      <c r="J23" s="3283"/>
      <c r="K23" s="3284">
        <f t="shared" si="23"/>
        <v>0</v>
      </c>
      <c r="L23" s="1608"/>
      <c r="M23" s="3274"/>
      <c r="N23" s="3274"/>
      <c r="O23" s="3283"/>
      <c r="P23" s="3284">
        <f t="shared" si="2"/>
        <v>0</v>
      </c>
      <c r="Q23" s="1608"/>
      <c r="R23" s="3274"/>
      <c r="S23" s="3274"/>
      <c r="T23" s="3283"/>
      <c r="U23" s="3284">
        <f t="shared" si="3"/>
        <v>0</v>
      </c>
      <c r="V23" s="1608"/>
      <c r="W23" s="3274"/>
      <c r="X23" s="3274"/>
      <c r="Y23" s="3283"/>
      <c r="Z23" s="3284">
        <f t="shared" si="4"/>
        <v>0</v>
      </c>
      <c r="AA23" s="1608"/>
      <c r="AB23" s="3274"/>
      <c r="AC23" s="3274"/>
      <c r="AD23" s="3283"/>
      <c r="AE23" s="3284">
        <f t="shared" si="5"/>
        <v>0</v>
      </c>
      <c r="AF23" s="1608"/>
      <c r="AG23" s="3274">
        <v>0</v>
      </c>
      <c r="AH23" s="3274">
        <v>0</v>
      </c>
      <c r="AI23" s="3283"/>
      <c r="AJ23" s="3284">
        <v>0</v>
      </c>
      <c r="AK23" s="1608"/>
      <c r="AL23" s="3274">
        <f t="shared" si="6"/>
        <v>0</v>
      </c>
      <c r="AM23" s="3274">
        <f t="shared" si="6"/>
        <v>0</v>
      </c>
      <c r="AN23" s="3283"/>
      <c r="AO23" s="3284">
        <f t="shared" si="7"/>
        <v>0</v>
      </c>
      <c r="AP23" s="1608"/>
      <c r="AQ23" s="3274"/>
      <c r="AR23" s="3274"/>
      <c r="AS23" s="3283"/>
      <c r="AT23" s="3284">
        <f t="shared" si="8"/>
        <v>0</v>
      </c>
      <c r="AU23" s="1608"/>
      <c r="AV23" s="3274"/>
      <c r="AW23" s="3274"/>
      <c r="AX23" s="3283">
        <f t="shared" si="30"/>
        <v>0</v>
      </c>
      <c r="AY23" s="3284">
        <f t="shared" si="9"/>
        <v>0</v>
      </c>
      <c r="AZ23" s="3276"/>
      <c r="BA23" s="3285"/>
      <c r="BB23" s="3285"/>
      <c r="BC23" s="3286">
        <f t="shared" si="31"/>
        <v>0</v>
      </c>
      <c r="BD23" s="3284">
        <f t="shared" si="10"/>
        <v>0</v>
      </c>
      <c r="BE23" s="3291"/>
      <c r="BF23" s="3285"/>
      <c r="BG23" s="3285"/>
      <c r="BH23" s="3286">
        <f t="shared" si="35"/>
        <v>0</v>
      </c>
      <c r="BI23" s="3284">
        <f t="shared" si="11"/>
        <v>0</v>
      </c>
      <c r="BJ23" s="3291"/>
      <c r="BK23" s="3285"/>
      <c r="BL23" s="3285"/>
      <c r="BM23" s="3286">
        <f t="shared" si="36"/>
        <v>0</v>
      </c>
      <c r="BN23" s="3284">
        <f t="shared" si="12"/>
        <v>0</v>
      </c>
      <c r="BO23" s="3291"/>
      <c r="BP23" s="3285"/>
      <c r="BQ23" s="3285"/>
      <c r="BR23" s="3286">
        <f t="shared" si="37"/>
        <v>0</v>
      </c>
      <c r="BS23" s="3284">
        <f t="shared" si="13"/>
        <v>0</v>
      </c>
      <c r="BT23" s="3291"/>
      <c r="BU23" s="3285"/>
      <c r="BV23" s="3285"/>
      <c r="BW23" s="3286">
        <f t="shared" si="38"/>
        <v>0</v>
      </c>
      <c r="BX23" s="3284" t="e">
        <f t="shared" si="14"/>
        <v>#DIV/0!</v>
      </c>
      <c r="BY23" s="3291"/>
      <c r="BZ23" s="3285"/>
      <c r="CA23" s="3285"/>
      <c r="CB23" s="3286">
        <f t="shared" si="39"/>
        <v>0</v>
      </c>
      <c r="CC23" s="3284" t="e">
        <f t="shared" si="15"/>
        <v>#DIV/0!</v>
      </c>
      <c r="CD23" s="3291"/>
      <c r="CE23" s="3285"/>
      <c r="CF23" s="3285"/>
      <c r="CG23" s="3286">
        <f t="shared" si="40"/>
        <v>0</v>
      </c>
      <c r="CH23" s="3284" t="e">
        <f t="shared" si="16"/>
        <v>#DIV/0!</v>
      </c>
      <c r="CI23" s="3291"/>
      <c r="CJ23" s="3285"/>
      <c r="CK23" s="3285"/>
      <c r="CL23" s="3286">
        <f t="shared" si="41"/>
        <v>0</v>
      </c>
      <c r="CM23" s="3284" t="e">
        <f t="shared" si="17"/>
        <v>#DIV/0!</v>
      </c>
      <c r="CN23" s="3291"/>
      <c r="CO23" s="3285"/>
      <c r="CP23" s="3285"/>
      <c r="CQ23" s="3286">
        <f t="shared" si="42"/>
        <v>0</v>
      </c>
      <c r="CR23" s="3284" t="e">
        <f t="shared" si="18"/>
        <v>#DIV/0!</v>
      </c>
      <c r="CS23" s="3291"/>
      <c r="CT23" s="3285"/>
      <c r="CU23" s="3285"/>
      <c r="CV23" s="3286">
        <f t="shared" si="43"/>
        <v>0</v>
      </c>
      <c r="CW23" s="3284" t="e">
        <f t="shared" si="19"/>
        <v>#DIV/0!</v>
      </c>
      <c r="CX23" s="3291"/>
      <c r="CY23" s="3274">
        <f t="shared" si="32"/>
        <v>0</v>
      </c>
      <c r="CZ23" s="3274">
        <f t="shared" si="33"/>
        <v>0</v>
      </c>
      <c r="DA23" s="3283">
        <f t="shared" si="34"/>
        <v>0</v>
      </c>
      <c r="DB23" s="3284">
        <f t="shared" si="1"/>
        <v>0</v>
      </c>
      <c r="DC23" s="1449"/>
    </row>
    <row r="24" spans="1:107" s="1411" customFormat="1" ht="13.8" x14ac:dyDescent="0.25">
      <c r="A24" s="1586"/>
      <c r="B24" s="3289" t="s">
        <v>23</v>
      </c>
      <c r="C24" s="3274"/>
      <c r="D24" s="3274"/>
      <c r="E24" s="3283">
        <f t="shared" ref="E24:E33" si="44">C24+D24*1</f>
        <v>0</v>
      </c>
      <c r="F24" s="3284">
        <f t="shared" si="0"/>
        <v>0</v>
      </c>
      <c r="G24" s="1608"/>
      <c r="H24" s="3274"/>
      <c r="I24" s="3274"/>
      <c r="J24" s="3283">
        <f t="shared" ref="J24:J33" si="45">H24+I24*1</f>
        <v>0</v>
      </c>
      <c r="K24" s="3284">
        <f t="shared" si="23"/>
        <v>0</v>
      </c>
      <c r="L24" s="1608"/>
      <c r="M24" s="3274"/>
      <c r="N24" s="3274"/>
      <c r="O24" s="3283">
        <f t="shared" ref="O24:O33" si="46">M24+N24*1</f>
        <v>0</v>
      </c>
      <c r="P24" s="3284">
        <f t="shared" si="2"/>
        <v>0</v>
      </c>
      <c r="Q24" s="1608"/>
      <c r="R24" s="3274"/>
      <c r="S24" s="3274"/>
      <c r="T24" s="3283">
        <f t="shared" ref="T24:T33" si="47">R24+S24*1</f>
        <v>0</v>
      </c>
      <c r="U24" s="3284">
        <f t="shared" si="3"/>
        <v>0</v>
      </c>
      <c r="V24" s="1608"/>
      <c r="W24" s="3274"/>
      <c r="X24" s="3274"/>
      <c r="Y24" s="3283">
        <f t="shared" ref="Y24:Y33" si="48">W24+X24*1</f>
        <v>0</v>
      </c>
      <c r="Z24" s="3284">
        <f t="shared" si="4"/>
        <v>0</v>
      </c>
      <c r="AA24" s="1608"/>
      <c r="AB24" s="3274"/>
      <c r="AC24" s="3274"/>
      <c r="AD24" s="3283">
        <f t="shared" ref="AD24:AD33" si="49">AB24+AC24*1</f>
        <v>0</v>
      </c>
      <c r="AE24" s="3284">
        <f t="shared" si="5"/>
        <v>0</v>
      </c>
      <c r="AF24" s="1608"/>
      <c r="AG24" s="3274">
        <v>0</v>
      </c>
      <c r="AH24" s="3274">
        <v>0</v>
      </c>
      <c r="AI24" s="3283">
        <v>0</v>
      </c>
      <c r="AJ24" s="3284">
        <v>0</v>
      </c>
      <c r="AK24" s="3276"/>
      <c r="AL24" s="3274">
        <f t="shared" si="6"/>
        <v>0</v>
      </c>
      <c r="AM24" s="3274">
        <f t="shared" si="6"/>
        <v>0</v>
      </c>
      <c r="AN24" s="3283">
        <f t="shared" ref="AN24:AN33" si="50">AL24+AM24*1</f>
        <v>0</v>
      </c>
      <c r="AO24" s="3284">
        <f t="shared" si="7"/>
        <v>0</v>
      </c>
      <c r="AP24" s="3276"/>
      <c r="AQ24" s="3274"/>
      <c r="AR24" s="3274"/>
      <c r="AS24" s="3283">
        <f t="shared" ref="AS24:AS33" si="51">AQ24+AR24*1</f>
        <v>0</v>
      </c>
      <c r="AT24" s="3284">
        <f t="shared" si="8"/>
        <v>0</v>
      </c>
      <c r="AU24" s="1608"/>
      <c r="AV24" s="3274"/>
      <c r="AW24" s="3274"/>
      <c r="AX24" s="3283">
        <f t="shared" si="30"/>
        <v>0</v>
      </c>
      <c r="AY24" s="3284">
        <f t="shared" si="9"/>
        <v>0</v>
      </c>
      <c r="AZ24" s="3276"/>
      <c r="BA24" s="3285"/>
      <c r="BB24" s="3285"/>
      <c r="BC24" s="3286">
        <f t="shared" si="31"/>
        <v>0</v>
      </c>
      <c r="BD24" s="3284">
        <f t="shared" si="10"/>
        <v>0</v>
      </c>
      <c r="BE24" s="3291"/>
      <c r="BF24" s="3285"/>
      <c r="BG24" s="3285"/>
      <c r="BH24" s="3286">
        <f t="shared" si="35"/>
        <v>0</v>
      </c>
      <c r="BI24" s="3284">
        <f t="shared" si="11"/>
        <v>0</v>
      </c>
      <c r="BJ24" s="3291"/>
      <c r="BK24" s="3285"/>
      <c r="BL24" s="3285"/>
      <c r="BM24" s="3286">
        <f t="shared" si="36"/>
        <v>0</v>
      </c>
      <c r="BN24" s="3284">
        <f t="shared" si="12"/>
        <v>0</v>
      </c>
      <c r="BO24" s="3291"/>
      <c r="BP24" s="3285"/>
      <c r="BQ24" s="3285"/>
      <c r="BR24" s="3286">
        <f t="shared" si="37"/>
        <v>0</v>
      </c>
      <c r="BS24" s="3284">
        <f t="shared" si="13"/>
        <v>0</v>
      </c>
      <c r="BT24" s="3291"/>
      <c r="BU24" s="3285"/>
      <c r="BV24" s="3285"/>
      <c r="BW24" s="3286">
        <f t="shared" si="38"/>
        <v>0</v>
      </c>
      <c r="BX24" s="3284" t="e">
        <f t="shared" si="14"/>
        <v>#DIV/0!</v>
      </c>
      <c r="BY24" s="3291"/>
      <c r="BZ24" s="3285"/>
      <c r="CA24" s="3285"/>
      <c r="CB24" s="3286">
        <f t="shared" si="39"/>
        <v>0</v>
      </c>
      <c r="CC24" s="3284" t="e">
        <f t="shared" si="15"/>
        <v>#DIV/0!</v>
      </c>
      <c r="CD24" s="3291"/>
      <c r="CE24" s="3285"/>
      <c r="CF24" s="3285"/>
      <c r="CG24" s="3286">
        <f t="shared" si="40"/>
        <v>0</v>
      </c>
      <c r="CH24" s="3284" t="e">
        <f t="shared" si="16"/>
        <v>#DIV/0!</v>
      </c>
      <c r="CI24" s="3291"/>
      <c r="CJ24" s="3285"/>
      <c r="CK24" s="3285"/>
      <c r="CL24" s="3286">
        <f t="shared" si="41"/>
        <v>0</v>
      </c>
      <c r="CM24" s="3284" t="e">
        <f t="shared" si="17"/>
        <v>#DIV/0!</v>
      </c>
      <c r="CN24" s="3291"/>
      <c r="CO24" s="3285"/>
      <c r="CP24" s="3285"/>
      <c r="CQ24" s="3286">
        <f t="shared" si="42"/>
        <v>0</v>
      </c>
      <c r="CR24" s="3284" t="e">
        <f t="shared" si="18"/>
        <v>#DIV/0!</v>
      </c>
      <c r="CS24" s="3291"/>
      <c r="CT24" s="3285"/>
      <c r="CU24" s="3285"/>
      <c r="CV24" s="3286">
        <f t="shared" si="43"/>
        <v>0</v>
      </c>
      <c r="CW24" s="3284" t="e">
        <f t="shared" si="19"/>
        <v>#DIV/0!</v>
      </c>
      <c r="CX24" s="3291"/>
      <c r="CY24" s="3274">
        <f t="shared" si="32"/>
        <v>0</v>
      </c>
      <c r="CZ24" s="3274">
        <f t="shared" si="33"/>
        <v>0</v>
      </c>
      <c r="DA24" s="3283">
        <f t="shared" si="34"/>
        <v>0</v>
      </c>
      <c r="DB24" s="3284">
        <f t="shared" si="1"/>
        <v>0</v>
      </c>
      <c r="DC24" s="1449"/>
    </row>
    <row r="25" spans="1:107" s="1411" customFormat="1" ht="27.6" customHeight="1" x14ac:dyDescent="0.25">
      <c r="A25" s="1586"/>
      <c r="B25" s="3289" t="s">
        <v>24</v>
      </c>
      <c r="C25" s="3274"/>
      <c r="D25" s="3274">
        <v>120</v>
      </c>
      <c r="E25" s="3283">
        <f t="shared" si="44"/>
        <v>120</v>
      </c>
      <c r="F25" s="3284">
        <f t="shared" si="0"/>
        <v>4.0328985896595542E-4</v>
      </c>
      <c r="G25" s="1376"/>
      <c r="H25" s="3274"/>
      <c r="I25" s="3274"/>
      <c r="J25" s="3283">
        <f t="shared" si="45"/>
        <v>0</v>
      </c>
      <c r="K25" s="3284">
        <f t="shared" si="23"/>
        <v>0</v>
      </c>
      <c r="L25" s="1376"/>
      <c r="M25" s="3274"/>
      <c r="N25" s="3274"/>
      <c r="O25" s="3283">
        <f t="shared" si="46"/>
        <v>0</v>
      </c>
      <c r="P25" s="3284">
        <f t="shared" si="2"/>
        <v>0</v>
      </c>
      <c r="Q25" s="1376"/>
      <c r="R25" s="3274"/>
      <c r="S25" s="3274"/>
      <c r="T25" s="3283">
        <f t="shared" si="47"/>
        <v>0</v>
      </c>
      <c r="U25" s="3284">
        <f t="shared" si="3"/>
        <v>0</v>
      </c>
      <c r="V25" s="1376"/>
      <c r="W25" s="3274"/>
      <c r="X25" s="3274"/>
      <c r="Y25" s="3283">
        <f t="shared" si="48"/>
        <v>0</v>
      </c>
      <c r="Z25" s="3284">
        <f t="shared" si="4"/>
        <v>0</v>
      </c>
      <c r="AA25" s="1376"/>
      <c r="AB25" s="3274">
        <f>(308.16/6+1558.88+1336.24/5+1617.76/5+989.12/5+640.08+844.34+196.32/5+770.5/5+2005.95+1529.5+160.9/6+209.1/6+154.6/6)*1.2</f>
        <v>9239.4375999999993</v>
      </c>
      <c r="AC25" s="3274"/>
      <c r="AD25" s="3283">
        <f t="shared" si="49"/>
        <v>9239.4375999999993</v>
      </c>
      <c r="AE25" s="3284">
        <f t="shared" si="5"/>
        <v>5.0028811141099645E-2</v>
      </c>
      <c r="AF25" s="3376" t="s">
        <v>1483</v>
      </c>
      <c r="AG25" s="3274">
        <v>30479.615999999998</v>
      </c>
      <c r="AH25" s="3274">
        <v>0</v>
      </c>
      <c r="AI25" s="3283">
        <v>30479.615999999998</v>
      </c>
      <c r="AJ25" s="3284">
        <v>0.16785114325602599</v>
      </c>
      <c r="AK25" s="1376"/>
      <c r="AL25" s="3274">
        <f t="shared" si="6"/>
        <v>0</v>
      </c>
      <c r="AM25" s="3274">
        <f t="shared" si="6"/>
        <v>0</v>
      </c>
      <c r="AN25" s="3283">
        <f t="shared" si="50"/>
        <v>0</v>
      </c>
      <c r="AO25" s="3284">
        <f t="shared" si="7"/>
        <v>0</v>
      </c>
      <c r="AP25" s="1376"/>
      <c r="AQ25" s="3274"/>
      <c r="AR25" s="3274"/>
      <c r="AS25" s="3283">
        <f t="shared" si="51"/>
        <v>0</v>
      </c>
      <c r="AT25" s="3284">
        <f t="shared" si="8"/>
        <v>0</v>
      </c>
      <c r="AU25" s="3376"/>
      <c r="AV25" s="3274"/>
      <c r="AW25" s="3274"/>
      <c r="AX25" s="3283">
        <f t="shared" si="30"/>
        <v>0</v>
      </c>
      <c r="AY25" s="3284">
        <f t="shared" si="9"/>
        <v>0</v>
      </c>
      <c r="AZ25" s="3276"/>
      <c r="BA25" s="3285"/>
      <c r="BB25" s="3285"/>
      <c r="BC25" s="3286">
        <f t="shared" si="31"/>
        <v>0</v>
      </c>
      <c r="BD25" s="3284">
        <f t="shared" si="10"/>
        <v>0</v>
      </c>
      <c r="BE25" s="3291"/>
      <c r="BF25" s="3285"/>
      <c r="BG25" s="3285"/>
      <c r="BH25" s="3286">
        <f t="shared" si="35"/>
        <v>0</v>
      </c>
      <c r="BI25" s="3284">
        <f t="shared" si="11"/>
        <v>0</v>
      </c>
      <c r="BJ25" s="3291"/>
      <c r="BK25" s="3285"/>
      <c r="BL25" s="3285"/>
      <c r="BM25" s="3286">
        <f t="shared" si="36"/>
        <v>0</v>
      </c>
      <c r="BN25" s="3284">
        <f t="shared" si="12"/>
        <v>0</v>
      </c>
      <c r="BO25" s="3291"/>
      <c r="BP25" s="3285"/>
      <c r="BQ25" s="3285"/>
      <c r="BR25" s="3286">
        <f t="shared" si="37"/>
        <v>0</v>
      </c>
      <c r="BS25" s="3284">
        <f t="shared" si="13"/>
        <v>0</v>
      </c>
      <c r="BT25" s="3291"/>
      <c r="BU25" s="3285"/>
      <c r="BV25" s="3285"/>
      <c r="BW25" s="3286">
        <f t="shared" si="38"/>
        <v>0</v>
      </c>
      <c r="BX25" s="3284" t="e">
        <f t="shared" si="14"/>
        <v>#DIV/0!</v>
      </c>
      <c r="BY25" s="3291"/>
      <c r="BZ25" s="3285"/>
      <c r="CA25" s="3285"/>
      <c r="CB25" s="3286">
        <f t="shared" si="39"/>
        <v>0</v>
      </c>
      <c r="CC25" s="3284" t="e">
        <f t="shared" si="15"/>
        <v>#DIV/0!</v>
      </c>
      <c r="CD25" s="3291"/>
      <c r="CE25" s="3285"/>
      <c r="CF25" s="3285"/>
      <c r="CG25" s="3286">
        <f t="shared" si="40"/>
        <v>0</v>
      </c>
      <c r="CH25" s="3284" t="e">
        <f t="shared" si="16"/>
        <v>#DIV/0!</v>
      </c>
      <c r="CI25" s="3291"/>
      <c r="CJ25" s="3285"/>
      <c r="CK25" s="3285"/>
      <c r="CL25" s="3286">
        <f t="shared" si="41"/>
        <v>0</v>
      </c>
      <c r="CM25" s="3284" t="e">
        <f t="shared" si="17"/>
        <v>#DIV/0!</v>
      </c>
      <c r="CN25" s="3291"/>
      <c r="CO25" s="3285"/>
      <c r="CP25" s="3285"/>
      <c r="CQ25" s="3286">
        <f t="shared" si="42"/>
        <v>0</v>
      </c>
      <c r="CR25" s="3284" t="e">
        <f t="shared" si="18"/>
        <v>#DIV/0!</v>
      </c>
      <c r="CS25" s="3291"/>
      <c r="CT25" s="3285"/>
      <c r="CU25" s="3285"/>
      <c r="CV25" s="3286">
        <f t="shared" si="43"/>
        <v>0</v>
      </c>
      <c r="CW25" s="3284" t="e">
        <f t="shared" si="19"/>
        <v>#DIV/0!</v>
      </c>
      <c r="CX25" s="3291"/>
      <c r="CY25" s="3274">
        <f t="shared" si="32"/>
        <v>39719.053599999999</v>
      </c>
      <c r="CZ25" s="3274">
        <f t="shared" si="33"/>
        <v>120</v>
      </c>
      <c r="DA25" s="3283">
        <f t="shared" si="34"/>
        <v>39839.053599999999</v>
      </c>
      <c r="DB25" s="3284">
        <f t="shared" si="1"/>
        <v>1.559499588331063E-2</v>
      </c>
      <c r="DC25" s="1449"/>
    </row>
    <row r="26" spans="1:107" s="1411" customFormat="1" ht="13.8" x14ac:dyDescent="0.25">
      <c r="A26" s="1586"/>
      <c r="B26" s="3289" t="s">
        <v>45</v>
      </c>
      <c r="C26" s="3274"/>
      <c r="D26" s="3274"/>
      <c r="E26" s="3283">
        <f t="shared" si="44"/>
        <v>0</v>
      </c>
      <c r="F26" s="3284">
        <f t="shared" si="0"/>
        <v>0</v>
      </c>
      <c r="G26" s="1608"/>
      <c r="H26" s="3274"/>
      <c r="I26" s="3274"/>
      <c r="J26" s="3283">
        <f t="shared" si="45"/>
        <v>0</v>
      </c>
      <c r="K26" s="3284">
        <f t="shared" si="23"/>
        <v>0</v>
      </c>
      <c r="L26" s="1608"/>
      <c r="M26" s="3274"/>
      <c r="N26" s="3274"/>
      <c r="O26" s="3283">
        <f t="shared" si="46"/>
        <v>0</v>
      </c>
      <c r="P26" s="3284">
        <f t="shared" si="2"/>
        <v>0</v>
      </c>
      <c r="Q26" s="1608"/>
      <c r="R26" s="3274"/>
      <c r="S26" s="3274"/>
      <c r="T26" s="3283">
        <f t="shared" si="47"/>
        <v>0</v>
      </c>
      <c r="U26" s="3284">
        <f t="shared" si="3"/>
        <v>0</v>
      </c>
      <c r="V26" s="1608"/>
      <c r="W26" s="3274"/>
      <c r="X26" s="3274"/>
      <c r="Y26" s="3283">
        <f t="shared" si="48"/>
        <v>0</v>
      </c>
      <c r="Z26" s="3284">
        <f t="shared" si="4"/>
        <v>0</v>
      </c>
      <c r="AA26" s="1608"/>
      <c r="AB26" s="3274"/>
      <c r="AC26" s="3274"/>
      <c r="AD26" s="3283">
        <f t="shared" si="49"/>
        <v>0</v>
      </c>
      <c r="AE26" s="3284">
        <f t="shared" si="5"/>
        <v>0</v>
      </c>
      <c r="AF26" s="1608"/>
      <c r="AG26" s="3274">
        <v>0</v>
      </c>
      <c r="AH26" s="3274">
        <v>0</v>
      </c>
      <c r="AI26" s="3283">
        <v>0</v>
      </c>
      <c r="AJ26" s="3284">
        <v>0</v>
      </c>
      <c r="AK26" s="1608"/>
      <c r="AL26" s="3274">
        <f t="shared" si="6"/>
        <v>0</v>
      </c>
      <c r="AM26" s="3274">
        <f t="shared" si="6"/>
        <v>0</v>
      </c>
      <c r="AN26" s="3283">
        <f t="shared" si="50"/>
        <v>0</v>
      </c>
      <c r="AO26" s="3284">
        <f t="shared" si="7"/>
        <v>0</v>
      </c>
      <c r="AP26" s="1608"/>
      <c r="AQ26" s="3274"/>
      <c r="AR26" s="3274"/>
      <c r="AS26" s="3283">
        <f t="shared" si="51"/>
        <v>0</v>
      </c>
      <c r="AT26" s="3284">
        <f t="shared" si="8"/>
        <v>0</v>
      </c>
      <c r="AU26" s="1608"/>
      <c r="AV26" s="3274"/>
      <c r="AW26" s="3274"/>
      <c r="AX26" s="3283">
        <f t="shared" si="30"/>
        <v>0</v>
      </c>
      <c r="AY26" s="3284">
        <f t="shared" si="9"/>
        <v>0</v>
      </c>
      <c r="AZ26" s="1608"/>
      <c r="BA26" s="3285"/>
      <c r="BB26" s="3285"/>
      <c r="BC26" s="3286">
        <f t="shared" si="31"/>
        <v>0</v>
      </c>
      <c r="BD26" s="3284">
        <f t="shared" si="10"/>
        <v>0</v>
      </c>
      <c r="BE26" s="1158"/>
      <c r="BF26" s="3285"/>
      <c r="BG26" s="3285"/>
      <c r="BH26" s="3286">
        <f t="shared" si="35"/>
        <v>0</v>
      </c>
      <c r="BI26" s="3284">
        <f t="shared" si="11"/>
        <v>0</v>
      </c>
      <c r="BJ26" s="1158"/>
      <c r="BK26" s="3285"/>
      <c r="BL26" s="3285"/>
      <c r="BM26" s="3286">
        <f t="shared" si="36"/>
        <v>0</v>
      </c>
      <c r="BN26" s="3284">
        <f t="shared" si="12"/>
        <v>0</v>
      </c>
      <c r="BO26" s="1158"/>
      <c r="BP26" s="3285"/>
      <c r="BQ26" s="3285"/>
      <c r="BR26" s="3286">
        <f t="shared" si="37"/>
        <v>0</v>
      </c>
      <c r="BS26" s="3284">
        <f t="shared" si="13"/>
        <v>0</v>
      </c>
      <c r="BT26" s="1158"/>
      <c r="BU26" s="3285"/>
      <c r="BV26" s="3285"/>
      <c r="BW26" s="3286">
        <f t="shared" si="38"/>
        <v>0</v>
      </c>
      <c r="BX26" s="3284" t="e">
        <f t="shared" si="14"/>
        <v>#DIV/0!</v>
      </c>
      <c r="BY26" s="1158"/>
      <c r="BZ26" s="3285"/>
      <c r="CA26" s="3285"/>
      <c r="CB26" s="3286">
        <f t="shared" si="39"/>
        <v>0</v>
      </c>
      <c r="CC26" s="3284" t="e">
        <f t="shared" si="15"/>
        <v>#DIV/0!</v>
      </c>
      <c r="CD26" s="1158"/>
      <c r="CE26" s="3285"/>
      <c r="CF26" s="3285"/>
      <c r="CG26" s="3286">
        <f t="shared" si="40"/>
        <v>0</v>
      </c>
      <c r="CH26" s="3284" t="e">
        <f t="shared" si="16"/>
        <v>#DIV/0!</v>
      </c>
      <c r="CI26" s="1158"/>
      <c r="CJ26" s="3285"/>
      <c r="CK26" s="3285"/>
      <c r="CL26" s="3286">
        <f t="shared" si="41"/>
        <v>0</v>
      </c>
      <c r="CM26" s="3284" t="e">
        <f t="shared" si="17"/>
        <v>#DIV/0!</v>
      </c>
      <c r="CN26" s="1158"/>
      <c r="CO26" s="3285"/>
      <c r="CP26" s="3285"/>
      <c r="CQ26" s="3286">
        <f t="shared" si="42"/>
        <v>0</v>
      </c>
      <c r="CR26" s="3284" t="e">
        <f t="shared" si="18"/>
        <v>#DIV/0!</v>
      </c>
      <c r="CS26" s="1158"/>
      <c r="CT26" s="3285"/>
      <c r="CU26" s="3285"/>
      <c r="CV26" s="3286">
        <f t="shared" si="43"/>
        <v>0</v>
      </c>
      <c r="CW26" s="3284" t="e">
        <f t="shared" si="19"/>
        <v>#DIV/0!</v>
      </c>
      <c r="CX26" s="1158"/>
      <c r="CY26" s="3274">
        <f t="shared" si="32"/>
        <v>0</v>
      </c>
      <c r="CZ26" s="3274">
        <f t="shared" si="33"/>
        <v>0</v>
      </c>
      <c r="DA26" s="3283">
        <f t="shared" si="34"/>
        <v>0</v>
      </c>
      <c r="DB26" s="3284">
        <f t="shared" si="1"/>
        <v>0</v>
      </c>
      <c r="DC26" s="1449"/>
    </row>
    <row r="27" spans="1:107" s="1411" customFormat="1" ht="23.4" customHeight="1" x14ac:dyDescent="0.25">
      <c r="A27" s="1586"/>
      <c r="B27" s="3289" t="s">
        <v>25</v>
      </c>
      <c r="C27" s="3274"/>
      <c r="D27" s="3274"/>
      <c r="E27" s="3283">
        <f t="shared" si="44"/>
        <v>0</v>
      </c>
      <c r="F27" s="3284">
        <f t="shared" si="0"/>
        <v>0</v>
      </c>
      <c r="G27" s="1608"/>
      <c r="H27" s="3274"/>
      <c r="I27" s="3274"/>
      <c r="J27" s="3283">
        <f t="shared" si="45"/>
        <v>0</v>
      </c>
      <c r="K27" s="3284">
        <f t="shared" si="23"/>
        <v>0</v>
      </c>
      <c r="L27" s="1608"/>
      <c r="M27" s="3274"/>
      <c r="N27" s="3274"/>
      <c r="O27" s="3283">
        <f t="shared" si="46"/>
        <v>0</v>
      </c>
      <c r="P27" s="3284">
        <f t="shared" si="2"/>
        <v>0</v>
      </c>
      <c r="Q27" s="1608"/>
      <c r="R27" s="3274"/>
      <c r="S27" s="3274"/>
      <c r="T27" s="3283">
        <f t="shared" si="47"/>
        <v>0</v>
      </c>
      <c r="U27" s="3284">
        <f t="shared" si="3"/>
        <v>0</v>
      </c>
      <c r="V27" s="1608"/>
      <c r="W27" s="3274"/>
      <c r="X27" s="3274"/>
      <c r="Y27" s="3283">
        <f t="shared" si="48"/>
        <v>0</v>
      </c>
      <c r="Z27" s="3284">
        <f t="shared" si="4"/>
        <v>0</v>
      </c>
      <c r="AA27" s="1608"/>
      <c r="AB27" s="3274"/>
      <c r="AC27" s="3274"/>
      <c r="AD27" s="3283">
        <f t="shared" si="49"/>
        <v>0</v>
      </c>
      <c r="AE27" s="3284">
        <f t="shared" si="5"/>
        <v>0</v>
      </c>
      <c r="AF27" s="1608"/>
      <c r="AG27" s="3274">
        <v>177428.53399999999</v>
      </c>
      <c r="AH27" s="3274">
        <v>3000</v>
      </c>
      <c r="AI27" s="3283">
        <v>180428.53399999999</v>
      </c>
      <c r="AJ27" s="3284">
        <v>0.99361933260277147</v>
      </c>
      <c r="AK27" s="1608"/>
      <c r="AL27" s="3274">
        <f t="shared" si="6"/>
        <v>0</v>
      </c>
      <c r="AM27" s="3274">
        <f t="shared" si="6"/>
        <v>0</v>
      </c>
      <c r="AN27" s="3283">
        <f t="shared" si="50"/>
        <v>0</v>
      </c>
      <c r="AO27" s="3284">
        <f t="shared" si="7"/>
        <v>0</v>
      </c>
      <c r="AP27" s="1608"/>
      <c r="AQ27" s="3274"/>
      <c r="AR27" s="3274"/>
      <c r="AS27" s="3283">
        <f t="shared" si="51"/>
        <v>0</v>
      </c>
      <c r="AT27" s="3284">
        <f t="shared" si="8"/>
        <v>0</v>
      </c>
      <c r="AU27" s="3276"/>
      <c r="AV27" s="3292"/>
      <c r="AW27" s="3274"/>
      <c r="AX27" s="3283">
        <f t="shared" si="30"/>
        <v>0</v>
      </c>
      <c r="AY27" s="3284">
        <f t="shared" si="9"/>
        <v>0</v>
      </c>
      <c r="AZ27" s="3293"/>
      <c r="BA27" s="3285"/>
      <c r="BB27" s="3285"/>
      <c r="BC27" s="3286">
        <f t="shared" si="31"/>
        <v>0</v>
      </c>
      <c r="BD27" s="3284">
        <f t="shared" si="10"/>
        <v>0</v>
      </c>
      <c r="BE27" s="3291"/>
      <c r="BF27" s="3285"/>
      <c r="BG27" s="3285"/>
      <c r="BH27" s="3286">
        <f t="shared" si="35"/>
        <v>0</v>
      </c>
      <c r="BI27" s="3284">
        <f t="shared" si="11"/>
        <v>0</v>
      </c>
      <c r="BJ27" s="3291"/>
      <c r="BK27" s="3285"/>
      <c r="BL27" s="3285"/>
      <c r="BM27" s="3286">
        <f t="shared" si="36"/>
        <v>0</v>
      </c>
      <c r="BN27" s="3284">
        <f t="shared" si="12"/>
        <v>0</v>
      </c>
      <c r="BO27" s="3291"/>
      <c r="BP27" s="3285"/>
      <c r="BQ27" s="3285"/>
      <c r="BR27" s="3286">
        <f t="shared" si="37"/>
        <v>0</v>
      </c>
      <c r="BS27" s="3284">
        <f t="shared" si="13"/>
        <v>0</v>
      </c>
      <c r="BT27" s="3291"/>
      <c r="BU27" s="3285"/>
      <c r="BV27" s="3285"/>
      <c r="BW27" s="3286">
        <f t="shared" si="38"/>
        <v>0</v>
      </c>
      <c r="BX27" s="3284" t="e">
        <f t="shared" si="14"/>
        <v>#DIV/0!</v>
      </c>
      <c r="BY27" s="3291"/>
      <c r="BZ27" s="3285"/>
      <c r="CA27" s="3285"/>
      <c r="CB27" s="3286">
        <f t="shared" si="39"/>
        <v>0</v>
      </c>
      <c r="CC27" s="3284" t="e">
        <f t="shared" si="15"/>
        <v>#DIV/0!</v>
      </c>
      <c r="CD27" s="3291"/>
      <c r="CE27" s="3285"/>
      <c r="CF27" s="3285"/>
      <c r="CG27" s="3286">
        <f t="shared" si="40"/>
        <v>0</v>
      </c>
      <c r="CH27" s="3284" t="e">
        <f t="shared" si="16"/>
        <v>#DIV/0!</v>
      </c>
      <c r="CI27" s="3291"/>
      <c r="CJ27" s="3285"/>
      <c r="CK27" s="3285"/>
      <c r="CL27" s="3286">
        <f t="shared" si="41"/>
        <v>0</v>
      </c>
      <c r="CM27" s="3284" t="e">
        <f t="shared" si="17"/>
        <v>#DIV/0!</v>
      </c>
      <c r="CN27" s="3291"/>
      <c r="CO27" s="3285"/>
      <c r="CP27" s="3285"/>
      <c r="CQ27" s="3286">
        <f t="shared" si="42"/>
        <v>0</v>
      </c>
      <c r="CR27" s="3284" t="e">
        <f t="shared" si="18"/>
        <v>#DIV/0!</v>
      </c>
      <c r="CS27" s="3291"/>
      <c r="CT27" s="3285"/>
      <c r="CU27" s="3285"/>
      <c r="CV27" s="3286">
        <f t="shared" si="43"/>
        <v>0</v>
      </c>
      <c r="CW27" s="3284" t="e">
        <f t="shared" si="19"/>
        <v>#DIV/0!</v>
      </c>
      <c r="CX27" s="3291"/>
      <c r="CY27" s="3274">
        <f t="shared" si="32"/>
        <v>177428.53399999999</v>
      </c>
      <c r="CZ27" s="3274">
        <f t="shared" si="33"/>
        <v>3000</v>
      </c>
      <c r="DA27" s="3283">
        <f t="shared" si="34"/>
        <v>180428.53399999999</v>
      </c>
      <c r="DB27" s="3284">
        <f t="shared" si="1"/>
        <v>7.0628742168759043E-2</v>
      </c>
      <c r="DC27" s="1449"/>
    </row>
    <row r="28" spans="1:107" s="1411" customFormat="1" ht="174.6" customHeight="1" x14ac:dyDescent="0.25">
      <c r="A28" s="1586"/>
      <c r="B28" s="3289" t="s">
        <v>52</v>
      </c>
      <c r="C28" s="3274">
        <v>125965.09</v>
      </c>
      <c r="D28" s="3274">
        <v>3248</v>
      </c>
      <c r="E28" s="3283">
        <f t="shared" si="44"/>
        <v>129213.09</v>
      </c>
      <c r="F28" s="3284">
        <f t="shared" si="0"/>
        <v>0.43425274035546091</v>
      </c>
      <c r="G28" s="3275" t="s">
        <v>1141</v>
      </c>
      <c r="H28" s="3274">
        <f>2873*53.62</f>
        <v>154050.25999999998</v>
      </c>
      <c r="I28" s="3274">
        <f>4086+90</f>
        <v>4176</v>
      </c>
      <c r="J28" s="3283">
        <f t="shared" si="45"/>
        <v>158226.25999999998</v>
      </c>
      <c r="K28" s="3284">
        <f t="shared" si="23"/>
        <v>0.87135148402542906</v>
      </c>
      <c r="L28" s="3360" t="s">
        <v>1168</v>
      </c>
      <c r="M28" s="3274">
        <f>2538*52.2+6404.51</f>
        <v>138888.11000000002</v>
      </c>
      <c r="N28" s="3274">
        <v>500</v>
      </c>
      <c r="O28" s="3283">
        <f t="shared" si="46"/>
        <v>139388.11000000002</v>
      </c>
      <c r="P28" s="3284">
        <f t="shared" si="2"/>
        <v>0.75474522718837611</v>
      </c>
      <c r="Q28" s="3275" t="s">
        <v>1262</v>
      </c>
      <c r="R28" s="3274">
        <f>2601.26+2177*52</f>
        <v>115805.26</v>
      </c>
      <c r="S28" s="3274">
        <v>1500</v>
      </c>
      <c r="T28" s="3283">
        <f t="shared" si="47"/>
        <v>117305.26</v>
      </c>
      <c r="U28" s="3284">
        <f t="shared" si="3"/>
        <v>0.63517315149112441</v>
      </c>
      <c r="V28" s="3275" t="s">
        <v>1343</v>
      </c>
      <c r="W28" s="3274">
        <f>190.87+2440.27+500+14348.79+940*52.53</f>
        <v>66858.13</v>
      </c>
      <c r="X28" s="3274">
        <v>10062.57</v>
      </c>
      <c r="Y28" s="3283">
        <f t="shared" si="48"/>
        <v>76920.700000000012</v>
      </c>
      <c r="Z28" s="3284">
        <f t="shared" si="4"/>
        <v>0.41650275046407415</v>
      </c>
      <c r="AA28" s="3358" t="s">
        <v>1458</v>
      </c>
      <c r="AB28" s="3274">
        <f>7374.4+1766*54+8762.25</f>
        <v>111500.65</v>
      </c>
      <c r="AC28" s="3274"/>
      <c r="AD28" s="3283">
        <f t="shared" si="49"/>
        <v>111500.65</v>
      </c>
      <c r="AE28" s="3284">
        <f t="shared" si="5"/>
        <v>0.60374291190189455</v>
      </c>
      <c r="AF28" s="3276" t="s">
        <v>1505</v>
      </c>
      <c r="AG28" s="3274">
        <v>705345.34199999995</v>
      </c>
      <c r="AH28" s="3274">
        <v>29615.760000000002</v>
      </c>
      <c r="AI28" s="3283">
        <v>734961.10199999996</v>
      </c>
      <c r="AJ28" s="3284">
        <v>4.0474283278178023</v>
      </c>
      <c r="AK28" s="3275"/>
      <c r="AL28" s="3274">
        <f t="shared" si="6"/>
        <v>0</v>
      </c>
      <c r="AM28" s="3274">
        <f t="shared" si="6"/>
        <v>0</v>
      </c>
      <c r="AN28" s="3283">
        <f t="shared" si="50"/>
        <v>0</v>
      </c>
      <c r="AO28" s="3284">
        <f t="shared" si="7"/>
        <v>0</v>
      </c>
      <c r="AP28" s="3275"/>
      <c r="AQ28" s="3274"/>
      <c r="AR28" s="3274"/>
      <c r="AS28" s="3283">
        <f t="shared" si="51"/>
        <v>0</v>
      </c>
      <c r="AT28" s="3284">
        <f t="shared" si="8"/>
        <v>0</v>
      </c>
      <c r="AU28" s="3276"/>
      <c r="AV28" s="3274"/>
      <c r="AW28" s="3274"/>
      <c r="AX28" s="3283">
        <f t="shared" si="30"/>
        <v>0</v>
      </c>
      <c r="AY28" s="3284">
        <f t="shared" si="9"/>
        <v>0</v>
      </c>
      <c r="AZ28" s="3291"/>
      <c r="BA28" s="3285"/>
      <c r="BB28" s="3285"/>
      <c r="BC28" s="3286">
        <f t="shared" si="31"/>
        <v>0</v>
      </c>
      <c r="BD28" s="3284">
        <f t="shared" si="10"/>
        <v>0</v>
      </c>
      <c r="BE28" s="3291"/>
      <c r="BF28" s="3285"/>
      <c r="BG28" s="3285"/>
      <c r="BH28" s="3286">
        <f t="shared" si="35"/>
        <v>0</v>
      </c>
      <c r="BI28" s="3284">
        <f t="shared" si="11"/>
        <v>0</v>
      </c>
      <c r="BJ28" s="3291"/>
      <c r="BK28" s="3285"/>
      <c r="BL28" s="3285"/>
      <c r="BM28" s="3286">
        <f t="shared" si="36"/>
        <v>0</v>
      </c>
      <c r="BN28" s="3284">
        <f t="shared" si="12"/>
        <v>0</v>
      </c>
      <c r="BO28" s="3291"/>
      <c r="BP28" s="3285"/>
      <c r="BQ28" s="3285"/>
      <c r="BR28" s="3286">
        <f t="shared" si="37"/>
        <v>0</v>
      </c>
      <c r="BS28" s="3284">
        <f t="shared" si="13"/>
        <v>0</v>
      </c>
      <c r="BT28" s="3291"/>
      <c r="BU28" s="3285"/>
      <c r="BV28" s="3285"/>
      <c r="BW28" s="3286">
        <f t="shared" si="38"/>
        <v>0</v>
      </c>
      <c r="BX28" s="3284" t="e">
        <f t="shared" si="14"/>
        <v>#DIV/0!</v>
      </c>
      <c r="BY28" s="3291"/>
      <c r="BZ28" s="3285"/>
      <c r="CA28" s="3285"/>
      <c r="CB28" s="3286">
        <f t="shared" si="39"/>
        <v>0</v>
      </c>
      <c r="CC28" s="3284" t="e">
        <f t="shared" si="15"/>
        <v>#DIV/0!</v>
      </c>
      <c r="CD28" s="3291"/>
      <c r="CE28" s="3285"/>
      <c r="CF28" s="3285"/>
      <c r="CG28" s="3286">
        <f t="shared" si="40"/>
        <v>0</v>
      </c>
      <c r="CH28" s="3284" t="e">
        <f t="shared" si="16"/>
        <v>#DIV/0!</v>
      </c>
      <c r="CI28" s="3291"/>
      <c r="CJ28" s="3285"/>
      <c r="CK28" s="3285"/>
      <c r="CL28" s="3286">
        <f t="shared" si="41"/>
        <v>0</v>
      </c>
      <c r="CM28" s="3284" t="e">
        <f t="shared" si="17"/>
        <v>#DIV/0!</v>
      </c>
      <c r="CN28" s="3291"/>
      <c r="CO28" s="3285"/>
      <c r="CP28" s="3285"/>
      <c r="CQ28" s="3286">
        <f t="shared" si="42"/>
        <v>0</v>
      </c>
      <c r="CR28" s="3284" t="e">
        <f t="shared" si="18"/>
        <v>#DIV/0!</v>
      </c>
      <c r="CS28" s="3291"/>
      <c r="CT28" s="3285"/>
      <c r="CU28" s="3285"/>
      <c r="CV28" s="3286">
        <f t="shared" si="43"/>
        <v>0</v>
      </c>
      <c r="CW28" s="3284" t="e">
        <f t="shared" si="19"/>
        <v>#DIV/0!</v>
      </c>
      <c r="CX28" s="3291"/>
      <c r="CY28" s="3274">
        <f t="shared" si="32"/>
        <v>1418412.8419999999</v>
      </c>
      <c r="CZ28" s="3274">
        <f t="shared" si="33"/>
        <v>49102.33</v>
      </c>
      <c r="DA28" s="3283">
        <f t="shared" si="34"/>
        <v>1467515.172</v>
      </c>
      <c r="DB28" s="3284">
        <f t="shared" si="1"/>
        <v>0.57445875335843544</v>
      </c>
      <c r="DC28" s="1449"/>
    </row>
    <row r="29" spans="1:107" s="1411" customFormat="1" ht="13.8" x14ac:dyDescent="0.25">
      <c r="A29" s="1586"/>
      <c r="B29" s="3289" t="s">
        <v>31</v>
      </c>
      <c r="C29" s="3274"/>
      <c r="D29" s="3274"/>
      <c r="E29" s="3283">
        <f t="shared" si="44"/>
        <v>0</v>
      </c>
      <c r="F29" s="3284">
        <f t="shared" si="0"/>
        <v>0</v>
      </c>
      <c r="G29" s="3294"/>
      <c r="H29" s="3274"/>
      <c r="I29" s="3274"/>
      <c r="J29" s="3283">
        <f t="shared" si="45"/>
        <v>0</v>
      </c>
      <c r="K29" s="3284">
        <f t="shared" si="23"/>
        <v>0</v>
      </c>
      <c r="L29" s="3294"/>
      <c r="M29" s="3274"/>
      <c r="N29" s="3274"/>
      <c r="O29" s="3283">
        <f t="shared" si="46"/>
        <v>0</v>
      </c>
      <c r="P29" s="3284">
        <f t="shared" si="2"/>
        <v>0</v>
      </c>
      <c r="Q29" s="3294"/>
      <c r="R29" s="3274"/>
      <c r="S29" s="3274"/>
      <c r="T29" s="3283">
        <f t="shared" si="47"/>
        <v>0</v>
      </c>
      <c r="U29" s="3284">
        <f t="shared" si="3"/>
        <v>0</v>
      </c>
      <c r="V29" s="3294"/>
      <c r="W29" s="3274">
        <v>6000</v>
      </c>
      <c r="X29" s="3274"/>
      <c r="Y29" s="3283">
        <f t="shared" si="48"/>
        <v>6000</v>
      </c>
      <c r="Z29" s="3284">
        <f t="shared" si="4"/>
        <v>3.2488218422147025E-2</v>
      </c>
      <c r="AA29" s="3358" t="s">
        <v>1417</v>
      </c>
      <c r="AB29" s="3274">
        <f>11*300+20*300</f>
        <v>9300</v>
      </c>
      <c r="AC29" s="3274"/>
      <c r="AD29" s="3283">
        <f t="shared" si="49"/>
        <v>9300</v>
      </c>
      <c r="AE29" s="3284">
        <f t="shared" si="5"/>
        <v>5.0356738554327887E-2</v>
      </c>
      <c r="AF29" s="3276" t="s">
        <v>1482</v>
      </c>
      <c r="AG29" s="3274">
        <v>22200</v>
      </c>
      <c r="AH29" s="3274">
        <v>0</v>
      </c>
      <c r="AI29" s="3283">
        <v>22200</v>
      </c>
      <c r="AJ29" s="3284">
        <v>0.12225532566695647</v>
      </c>
      <c r="AK29" s="3294"/>
      <c r="AL29" s="3274">
        <f t="shared" si="6"/>
        <v>0</v>
      </c>
      <c r="AM29" s="3274">
        <f t="shared" si="6"/>
        <v>0</v>
      </c>
      <c r="AN29" s="3283">
        <f t="shared" si="50"/>
        <v>0</v>
      </c>
      <c r="AO29" s="3284">
        <f t="shared" si="7"/>
        <v>0</v>
      </c>
      <c r="AP29" s="3294"/>
      <c r="AQ29" s="3274"/>
      <c r="AR29" s="3274"/>
      <c r="AS29" s="3283">
        <f t="shared" si="51"/>
        <v>0</v>
      </c>
      <c r="AT29" s="3284">
        <f t="shared" si="8"/>
        <v>0</v>
      </c>
      <c r="AU29" s="3276"/>
      <c r="AV29" s="3274"/>
      <c r="AW29" s="3274"/>
      <c r="AX29" s="3283">
        <f t="shared" si="30"/>
        <v>0</v>
      </c>
      <c r="AY29" s="3284">
        <f t="shared" si="9"/>
        <v>0</v>
      </c>
      <c r="AZ29" s="3293"/>
      <c r="BA29" s="3285"/>
      <c r="BB29" s="3285"/>
      <c r="BC29" s="3286">
        <f t="shared" si="31"/>
        <v>0</v>
      </c>
      <c r="BD29" s="3284">
        <f t="shared" si="10"/>
        <v>0</v>
      </c>
      <c r="BE29" s="3291"/>
      <c r="BF29" s="3285"/>
      <c r="BG29" s="3285"/>
      <c r="BH29" s="3286">
        <f t="shared" si="35"/>
        <v>0</v>
      </c>
      <c r="BI29" s="3284">
        <f t="shared" si="11"/>
        <v>0</v>
      </c>
      <c r="BJ29" s="3291"/>
      <c r="BK29" s="3285"/>
      <c r="BL29" s="3285"/>
      <c r="BM29" s="3286">
        <f t="shared" si="36"/>
        <v>0</v>
      </c>
      <c r="BN29" s="3284">
        <f t="shared" si="12"/>
        <v>0</v>
      </c>
      <c r="BO29" s="3291"/>
      <c r="BP29" s="3285"/>
      <c r="BQ29" s="3285"/>
      <c r="BR29" s="3286">
        <f t="shared" si="37"/>
        <v>0</v>
      </c>
      <c r="BS29" s="3284">
        <f t="shared" si="13"/>
        <v>0</v>
      </c>
      <c r="BT29" s="3291"/>
      <c r="BU29" s="3285"/>
      <c r="BV29" s="3285"/>
      <c r="BW29" s="3286">
        <f t="shared" si="38"/>
        <v>0</v>
      </c>
      <c r="BX29" s="3284" t="e">
        <f t="shared" si="14"/>
        <v>#DIV/0!</v>
      </c>
      <c r="BY29" s="3291"/>
      <c r="BZ29" s="3285"/>
      <c r="CA29" s="3285"/>
      <c r="CB29" s="3286">
        <f t="shared" si="39"/>
        <v>0</v>
      </c>
      <c r="CC29" s="3284" t="e">
        <f t="shared" si="15"/>
        <v>#DIV/0!</v>
      </c>
      <c r="CD29" s="3291"/>
      <c r="CE29" s="3285"/>
      <c r="CF29" s="3285"/>
      <c r="CG29" s="3286">
        <f t="shared" si="40"/>
        <v>0</v>
      </c>
      <c r="CH29" s="3284" t="e">
        <f t="shared" si="16"/>
        <v>#DIV/0!</v>
      </c>
      <c r="CI29" s="3291"/>
      <c r="CJ29" s="3285"/>
      <c r="CK29" s="3285"/>
      <c r="CL29" s="3286">
        <f t="shared" si="41"/>
        <v>0</v>
      </c>
      <c r="CM29" s="3284" t="e">
        <f t="shared" si="17"/>
        <v>#DIV/0!</v>
      </c>
      <c r="CN29" s="3291"/>
      <c r="CO29" s="3285"/>
      <c r="CP29" s="3285"/>
      <c r="CQ29" s="3286">
        <f t="shared" si="42"/>
        <v>0</v>
      </c>
      <c r="CR29" s="3284" t="e">
        <f t="shared" si="18"/>
        <v>#DIV/0!</v>
      </c>
      <c r="CS29" s="3291"/>
      <c r="CT29" s="3285"/>
      <c r="CU29" s="3285"/>
      <c r="CV29" s="3286">
        <f t="shared" si="43"/>
        <v>0</v>
      </c>
      <c r="CW29" s="3284" t="e">
        <f t="shared" si="19"/>
        <v>#DIV/0!</v>
      </c>
      <c r="CX29" s="3291"/>
      <c r="CY29" s="3274">
        <f t="shared" si="32"/>
        <v>37500</v>
      </c>
      <c r="CZ29" s="3274">
        <f t="shared" si="33"/>
        <v>0</v>
      </c>
      <c r="DA29" s="3283">
        <f t="shared" si="34"/>
        <v>37500</v>
      </c>
      <c r="DB29" s="3284">
        <f t="shared" si="1"/>
        <v>1.4679373448372996E-2</v>
      </c>
      <c r="DC29" s="3295"/>
    </row>
    <row r="30" spans="1:107" s="1411" customFormat="1" ht="13.8" x14ac:dyDescent="0.25">
      <c r="A30" s="1586"/>
      <c r="B30" s="3289" t="s">
        <v>62</v>
      </c>
      <c r="C30" s="3274"/>
      <c r="D30" s="3274"/>
      <c r="E30" s="3283">
        <f t="shared" si="44"/>
        <v>0</v>
      </c>
      <c r="F30" s="3284">
        <f t="shared" si="0"/>
        <v>0</v>
      </c>
      <c r="G30" s="3296"/>
      <c r="H30" s="3274"/>
      <c r="I30" s="3274"/>
      <c r="J30" s="3283">
        <f t="shared" si="45"/>
        <v>0</v>
      </c>
      <c r="K30" s="3284">
        <f t="shared" si="23"/>
        <v>0</v>
      </c>
      <c r="L30" s="3296"/>
      <c r="M30" s="3274"/>
      <c r="N30" s="3274"/>
      <c r="O30" s="3283">
        <f t="shared" si="46"/>
        <v>0</v>
      </c>
      <c r="P30" s="3284">
        <f t="shared" si="2"/>
        <v>0</v>
      </c>
      <c r="Q30" s="3296"/>
      <c r="R30" s="3274"/>
      <c r="S30" s="3274"/>
      <c r="T30" s="3283">
        <f t="shared" si="47"/>
        <v>0</v>
      </c>
      <c r="U30" s="3284">
        <f t="shared" si="3"/>
        <v>0</v>
      </c>
      <c r="V30" s="3296"/>
      <c r="W30" s="3274"/>
      <c r="X30" s="3274"/>
      <c r="Y30" s="3283">
        <f t="shared" si="48"/>
        <v>0</v>
      </c>
      <c r="Z30" s="3284">
        <f t="shared" si="4"/>
        <v>0</v>
      </c>
      <c r="AA30" s="3296"/>
      <c r="AB30" s="3274"/>
      <c r="AC30" s="3274"/>
      <c r="AD30" s="3283">
        <f t="shared" si="49"/>
        <v>0</v>
      </c>
      <c r="AE30" s="3284">
        <f t="shared" si="5"/>
        <v>0</v>
      </c>
      <c r="AF30" s="3296"/>
      <c r="AG30" s="3274">
        <v>0</v>
      </c>
      <c r="AH30" s="3274">
        <v>0</v>
      </c>
      <c r="AI30" s="3283">
        <v>0</v>
      </c>
      <c r="AJ30" s="3284">
        <v>0</v>
      </c>
      <c r="AK30" s="3296"/>
      <c r="AL30" s="3274">
        <f t="shared" si="6"/>
        <v>0</v>
      </c>
      <c r="AM30" s="3274">
        <f t="shared" si="6"/>
        <v>0</v>
      </c>
      <c r="AN30" s="3283">
        <f t="shared" si="50"/>
        <v>0</v>
      </c>
      <c r="AO30" s="3284">
        <f t="shared" si="7"/>
        <v>0</v>
      </c>
      <c r="AP30" s="3296"/>
      <c r="AQ30" s="3274"/>
      <c r="AR30" s="3274"/>
      <c r="AS30" s="3283">
        <f t="shared" si="51"/>
        <v>0</v>
      </c>
      <c r="AT30" s="3284">
        <f t="shared" si="8"/>
        <v>0</v>
      </c>
      <c r="AU30" s="3296"/>
      <c r="AV30" s="3274"/>
      <c r="AW30" s="3274"/>
      <c r="AX30" s="3283">
        <f t="shared" si="30"/>
        <v>0</v>
      </c>
      <c r="AY30" s="3284">
        <f t="shared" si="9"/>
        <v>0</v>
      </c>
      <c r="AZ30" s="3296"/>
      <c r="BA30" s="3285"/>
      <c r="BB30" s="3285"/>
      <c r="BC30" s="3286">
        <f t="shared" si="31"/>
        <v>0</v>
      </c>
      <c r="BD30" s="3284">
        <f t="shared" si="10"/>
        <v>0</v>
      </c>
      <c r="BE30" s="3297"/>
      <c r="BF30" s="3285"/>
      <c r="BG30" s="3285"/>
      <c r="BH30" s="3286">
        <f t="shared" si="35"/>
        <v>0</v>
      </c>
      <c r="BI30" s="3284">
        <f t="shared" si="11"/>
        <v>0</v>
      </c>
      <c r="BJ30" s="3297"/>
      <c r="BK30" s="3285"/>
      <c r="BL30" s="3285"/>
      <c r="BM30" s="3286">
        <f t="shared" si="36"/>
        <v>0</v>
      </c>
      <c r="BN30" s="3284">
        <f t="shared" si="12"/>
        <v>0</v>
      </c>
      <c r="BO30" s="3297"/>
      <c r="BP30" s="3285"/>
      <c r="BQ30" s="3285"/>
      <c r="BR30" s="3286">
        <f t="shared" si="37"/>
        <v>0</v>
      </c>
      <c r="BS30" s="3284">
        <f t="shared" si="13"/>
        <v>0</v>
      </c>
      <c r="BT30" s="3297"/>
      <c r="BU30" s="3285"/>
      <c r="BV30" s="3285"/>
      <c r="BW30" s="3286">
        <f t="shared" si="38"/>
        <v>0</v>
      </c>
      <c r="BX30" s="3284" t="e">
        <f t="shared" si="14"/>
        <v>#DIV/0!</v>
      </c>
      <c r="BY30" s="3297"/>
      <c r="BZ30" s="3285"/>
      <c r="CA30" s="3285"/>
      <c r="CB30" s="3286">
        <f t="shared" si="39"/>
        <v>0</v>
      </c>
      <c r="CC30" s="3284" t="e">
        <f t="shared" si="15"/>
        <v>#DIV/0!</v>
      </c>
      <c r="CD30" s="1158"/>
      <c r="CE30" s="3285"/>
      <c r="CF30" s="3285"/>
      <c r="CG30" s="3286">
        <f t="shared" si="40"/>
        <v>0</v>
      </c>
      <c r="CH30" s="3284" t="e">
        <f t="shared" si="16"/>
        <v>#DIV/0!</v>
      </c>
      <c r="CI30" s="1158"/>
      <c r="CJ30" s="3285"/>
      <c r="CK30" s="3285"/>
      <c r="CL30" s="3286">
        <f t="shared" si="41"/>
        <v>0</v>
      </c>
      <c r="CM30" s="3284" t="e">
        <f t="shared" si="17"/>
        <v>#DIV/0!</v>
      </c>
      <c r="CN30" s="1158"/>
      <c r="CO30" s="3285"/>
      <c r="CP30" s="3285"/>
      <c r="CQ30" s="3286">
        <f t="shared" si="42"/>
        <v>0</v>
      </c>
      <c r="CR30" s="3284" t="e">
        <f t="shared" si="18"/>
        <v>#DIV/0!</v>
      </c>
      <c r="CS30" s="1158"/>
      <c r="CT30" s="3285"/>
      <c r="CU30" s="3285"/>
      <c r="CV30" s="3286">
        <f t="shared" si="43"/>
        <v>0</v>
      </c>
      <c r="CW30" s="3284" t="e">
        <f t="shared" si="19"/>
        <v>#DIV/0!</v>
      </c>
      <c r="CX30" s="1158"/>
      <c r="CY30" s="3274">
        <f t="shared" si="32"/>
        <v>0</v>
      </c>
      <c r="CZ30" s="3274">
        <f t="shared" si="33"/>
        <v>0</v>
      </c>
      <c r="DA30" s="3283">
        <f t="shared" si="34"/>
        <v>0</v>
      </c>
      <c r="DB30" s="3284">
        <f t="shared" si="1"/>
        <v>0</v>
      </c>
      <c r="DC30" s="3295"/>
    </row>
    <row r="31" spans="1:107" s="1411" customFormat="1" ht="13.8" x14ac:dyDescent="0.25">
      <c r="A31" s="1586"/>
      <c r="B31" s="3289" t="s">
        <v>34</v>
      </c>
      <c r="C31" s="3274"/>
      <c r="D31" s="3274"/>
      <c r="E31" s="3283">
        <f t="shared" si="44"/>
        <v>0</v>
      </c>
      <c r="F31" s="3284">
        <f t="shared" si="0"/>
        <v>0</v>
      </c>
      <c r="G31" s="3296"/>
      <c r="H31" s="3274"/>
      <c r="I31" s="3274"/>
      <c r="J31" s="3283">
        <f t="shared" si="45"/>
        <v>0</v>
      </c>
      <c r="K31" s="3284">
        <f t="shared" si="23"/>
        <v>0</v>
      </c>
      <c r="L31" s="3296"/>
      <c r="M31" s="3274"/>
      <c r="N31" s="3274"/>
      <c r="O31" s="3283">
        <f t="shared" si="46"/>
        <v>0</v>
      </c>
      <c r="P31" s="3284">
        <f t="shared" si="2"/>
        <v>0</v>
      </c>
      <c r="Q31" s="3296"/>
      <c r="R31" s="3274"/>
      <c r="S31" s="3274"/>
      <c r="T31" s="3283">
        <f t="shared" si="47"/>
        <v>0</v>
      </c>
      <c r="U31" s="3284">
        <f t="shared" si="3"/>
        <v>0</v>
      </c>
      <c r="V31" s="3296"/>
      <c r="W31" s="3274"/>
      <c r="X31" s="3274"/>
      <c r="Y31" s="3283">
        <f t="shared" si="48"/>
        <v>0</v>
      </c>
      <c r="Z31" s="3284">
        <f t="shared" si="4"/>
        <v>0</v>
      </c>
      <c r="AA31" s="3296"/>
      <c r="AB31" s="3274"/>
      <c r="AC31" s="3274"/>
      <c r="AD31" s="3283">
        <f t="shared" si="49"/>
        <v>0</v>
      </c>
      <c r="AE31" s="3284">
        <f t="shared" si="5"/>
        <v>0</v>
      </c>
      <c r="AF31" s="3296"/>
      <c r="AG31" s="3274">
        <v>0</v>
      </c>
      <c r="AH31" s="3274">
        <v>0</v>
      </c>
      <c r="AI31" s="3283">
        <v>0</v>
      </c>
      <c r="AJ31" s="3284">
        <v>0</v>
      </c>
      <c r="AK31" s="3276"/>
      <c r="AL31" s="3274">
        <f t="shared" si="6"/>
        <v>0</v>
      </c>
      <c r="AM31" s="3274">
        <f t="shared" si="6"/>
        <v>0</v>
      </c>
      <c r="AN31" s="3283">
        <f t="shared" si="50"/>
        <v>0</v>
      </c>
      <c r="AO31" s="3284">
        <f t="shared" si="7"/>
        <v>0</v>
      </c>
      <c r="AP31" s="3276"/>
      <c r="AQ31" s="3274"/>
      <c r="AR31" s="3274"/>
      <c r="AS31" s="3283">
        <f t="shared" si="51"/>
        <v>0</v>
      </c>
      <c r="AT31" s="3284">
        <f t="shared" si="8"/>
        <v>0</v>
      </c>
      <c r="AU31" s="3296"/>
      <c r="AV31" s="3274"/>
      <c r="AW31" s="3274"/>
      <c r="AX31" s="3283">
        <f t="shared" si="30"/>
        <v>0</v>
      </c>
      <c r="AY31" s="3284">
        <f t="shared" si="9"/>
        <v>0</v>
      </c>
      <c r="AZ31" s="3296"/>
      <c r="BA31" s="3285"/>
      <c r="BB31" s="3285"/>
      <c r="BC31" s="3286">
        <f t="shared" si="31"/>
        <v>0</v>
      </c>
      <c r="BD31" s="3284">
        <f t="shared" si="10"/>
        <v>0</v>
      </c>
      <c r="BE31" s="3297"/>
      <c r="BF31" s="3285"/>
      <c r="BG31" s="3285"/>
      <c r="BH31" s="3286">
        <f t="shared" si="35"/>
        <v>0</v>
      </c>
      <c r="BI31" s="3284">
        <f t="shared" si="11"/>
        <v>0</v>
      </c>
      <c r="BJ31" s="3297"/>
      <c r="BK31" s="3285"/>
      <c r="BL31" s="3285"/>
      <c r="BM31" s="3286">
        <f t="shared" si="36"/>
        <v>0</v>
      </c>
      <c r="BN31" s="3284">
        <f t="shared" si="12"/>
        <v>0</v>
      </c>
      <c r="BO31" s="3297"/>
      <c r="BP31" s="3285"/>
      <c r="BQ31" s="3285"/>
      <c r="BR31" s="3286">
        <f t="shared" si="37"/>
        <v>0</v>
      </c>
      <c r="BS31" s="3284">
        <f t="shared" si="13"/>
        <v>0</v>
      </c>
      <c r="BT31" s="3297"/>
      <c r="BU31" s="3285"/>
      <c r="BV31" s="3285"/>
      <c r="BW31" s="3286">
        <f t="shared" si="38"/>
        <v>0</v>
      </c>
      <c r="BX31" s="3284" t="e">
        <f t="shared" si="14"/>
        <v>#DIV/0!</v>
      </c>
      <c r="BY31" s="3297"/>
      <c r="BZ31" s="3285"/>
      <c r="CA31" s="3285"/>
      <c r="CB31" s="3286">
        <f t="shared" si="39"/>
        <v>0</v>
      </c>
      <c r="CC31" s="3284" t="e">
        <f t="shared" si="15"/>
        <v>#DIV/0!</v>
      </c>
      <c r="CD31" s="1158"/>
      <c r="CE31" s="3285"/>
      <c r="CF31" s="3285"/>
      <c r="CG31" s="3286">
        <f t="shared" si="40"/>
        <v>0</v>
      </c>
      <c r="CH31" s="3284" t="e">
        <f t="shared" si="16"/>
        <v>#DIV/0!</v>
      </c>
      <c r="CI31" s="1158"/>
      <c r="CJ31" s="3285"/>
      <c r="CK31" s="3285"/>
      <c r="CL31" s="3286">
        <f t="shared" si="41"/>
        <v>0</v>
      </c>
      <c r="CM31" s="3284" t="e">
        <f t="shared" si="17"/>
        <v>#DIV/0!</v>
      </c>
      <c r="CN31" s="1158"/>
      <c r="CO31" s="3285"/>
      <c r="CP31" s="3285"/>
      <c r="CQ31" s="3286">
        <f t="shared" si="42"/>
        <v>0</v>
      </c>
      <c r="CR31" s="3284" t="e">
        <f t="shared" si="18"/>
        <v>#DIV/0!</v>
      </c>
      <c r="CS31" s="1158"/>
      <c r="CT31" s="3285"/>
      <c r="CU31" s="3285"/>
      <c r="CV31" s="3286">
        <f t="shared" si="43"/>
        <v>0</v>
      </c>
      <c r="CW31" s="3284" t="e">
        <f t="shared" si="19"/>
        <v>#DIV/0!</v>
      </c>
      <c r="CX31" s="1158"/>
      <c r="CY31" s="3274">
        <f t="shared" si="32"/>
        <v>0</v>
      </c>
      <c r="CZ31" s="3274">
        <f t="shared" si="33"/>
        <v>0</v>
      </c>
      <c r="DA31" s="3283">
        <f t="shared" si="34"/>
        <v>0</v>
      </c>
      <c r="DB31" s="3284">
        <f t="shared" si="1"/>
        <v>0</v>
      </c>
      <c r="DC31" s="3295"/>
    </row>
    <row r="32" spans="1:107" s="1411" customFormat="1" ht="41.4" x14ac:dyDescent="0.25">
      <c r="A32" s="1586"/>
      <c r="B32" s="3298" t="s">
        <v>2</v>
      </c>
      <c r="C32" s="3274">
        <f>3030+8534.52</f>
        <v>11564.52</v>
      </c>
      <c r="D32" s="3274"/>
      <c r="E32" s="3283">
        <f t="shared" si="44"/>
        <v>11564.52</v>
      </c>
      <c r="F32" s="3284">
        <f t="shared" si="0"/>
        <v>3.886544699840809E-2</v>
      </c>
      <c r="G32" s="3275" t="s">
        <v>1100</v>
      </c>
      <c r="H32" s="3274"/>
      <c r="I32" s="3274">
        <f>1500+17000</f>
        <v>18500</v>
      </c>
      <c r="J32" s="3283">
        <f t="shared" si="45"/>
        <v>18500</v>
      </c>
      <c r="K32" s="3284">
        <f t="shared" si="23"/>
        <v>0.10187943805579706</v>
      </c>
      <c r="L32" s="3360" t="s">
        <v>1169</v>
      </c>
      <c r="M32" s="3274"/>
      <c r="N32" s="3274"/>
      <c r="O32" s="3283">
        <f t="shared" si="46"/>
        <v>0</v>
      </c>
      <c r="P32" s="3284">
        <f t="shared" si="2"/>
        <v>0</v>
      </c>
      <c r="Q32" s="3299"/>
      <c r="R32" s="3274">
        <v>14705</v>
      </c>
      <c r="S32" s="3274"/>
      <c r="T32" s="3283">
        <f t="shared" si="47"/>
        <v>14705</v>
      </c>
      <c r="U32" s="3284">
        <f t="shared" si="3"/>
        <v>7.9623208649612004E-2</v>
      </c>
      <c r="V32" s="3299"/>
      <c r="W32" s="3274"/>
      <c r="X32" s="3274"/>
      <c r="Y32" s="3283">
        <f t="shared" si="48"/>
        <v>0</v>
      </c>
      <c r="Z32" s="3284">
        <f t="shared" si="4"/>
        <v>0</v>
      </c>
      <c r="AA32" s="3299"/>
      <c r="AB32" s="3274"/>
      <c r="AC32" s="3274"/>
      <c r="AD32" s="3283">
        <f t="shared" si="49"/>
        <v>0</v>
      </c>
      <c r="AE32" s="3284">
        <f t="shared" si="5"/>
        <v>0</v>
      </c>
      <c r="AF32" s="3299"/>
      <c r="AG32" s="3274">
        <v>7791</v>
      </c>
      <c r="AH32" s="3274">
        <v>0</v>
      </c>
      <c r="AI32" s="3283">
        <v>7791</v>
      </c>
      <c r="AJ32" s="3284">
        <v>4.2905010913119726E-2</v>
      </c>
      <c r="AK32" s="3299"/>
      <c r="AL32" s="3274">
        <f t="shared" si="6"/>
        <v>0</v>
      </c>
      <c r="AM32" s="3274">
        <f t="shared" si="6"/>
        <v>0</v>
      </c>
      <c r="AN32" s="3283">
        <f t="shared" si="50"/>
        <v>0</v>
      </c>
      <c r="AO32" s="3284">
        <f t="shared" si="7"/>
        <v>0</v>
      </c>
      <c r="AP32" s="3299"/>
      <c r="AQ32" s="3274"/>
      <c r="AR32" s="3274"/>
      <c r="AS32" s="3283">
        <f t="shared" si="51"/>
        <v>0</v>
      </c>
      <c r="AT32" s="3284">
        <f t="shared" si="8"/>
        <v>0</v>
      </c>
      <c r="AU32" s="3299"/>
      <c r="AV32" s="3274"/>
      <c r="AW32" s="3274"/>
      <c r="AX32" s="3283">
        <f t="shared" si="30"/>
        <v>0</v>
      </c>
      <c r="AY32" s="3284">
        <f t="shared" si="9"/>
        <v>0</v>
      </c>
      <c r="AZ32" s="3291"/>
      <c r="BA32" s="3285"/>
      <c r="BB32" s="3285"/>
      <c r="BC32" s="3286">
        <f t="shared" si="31"/>
        <v>0</v>
      </c>
      <c r="BD32" s="3284">
        <f t="shared" si="10"/>
        <v>0</v>
      </c>
      <c r="BE32" s="3291"/>
      <c r="BF32" s="3285"/>
      <c r="BG32" s="3285"/>
      <c r="BH32" s="3286">
        <f t="shared" si="35"/>
        <v>0</v>
      </c>
      <c r="BI32" s="3284">
        <f t="shared" si="11"/>
        <v>0</v>
      </c>
      <c r="BJ32" s="3291"/>
      <c r="BK32" s="3285"/>
      <c r="BL32" s="3285"/>
      <c r="BM32" s="3286">
        <f t="shared" si="36"/>
        <v>0</v>
      </c>
      <c r="BN32" s="3284">
        <f t="shared" si="12"/>
        <v>0</v>
      </c>
      <c r="BO32" s="3291"/>
      <c r="BP32" s="3285"/>
      <c r="BQ32" s="3285"/>
      <c r="BR32" s="3286">
        <f t="shared" si="37"/>
        <v>0</v>
      </c>
      <c r="BS32" s="3284">
        <f t="shared" si="13"/>
        <v>0</v>
      </c>
      <c r="BT32" s="3291"/>
      <c r="BU32" s="3285"/>
      <c r="BV32" s="3285"/>
      <c r="BW32" s="3286">
        <f t="shared" si="38"/>
        <v>0</v>
      </c>
      <c r="BX32" s="3284" t="e">
        <f t="shared" si="14"/>
        <v>#DIV/0!</v>
      </c>
      <c r="BY32" s="3291"/>
      <c r="BZ32" s="3285"/>
      <c r="CA32" s="3285"/>
      <c r="CB32" s="3286">
        <f t="shared" si="39"/>
        <v>0</v>
      </c>
      <c r="CC32" s="3284" t="e">
        <f t="shared" si="15"/>
        <v>#DIV/0!</v>
      </c>
      <c r="CD32" s="3291"/>
      <c r="CE32" s="3285"/>
      <c r="CF32" s="3285"/>
      <c r="CG32" s="3286">
        <f t="shared" si="40"/>
        <v>0</v>
      </c>
      <c r="CH32" s="3284" t="e">
        <f t="shared" si="16"/>
        <v>#DIV/0!</v>
      </c>
      <c r="CI32" s="3291"/>
      <c r="CJ32" s="3285"/>
      <c r="CK32" s="3285"/>
      <c r="CL32" s="3286">
        <f t="shared" si="41"/>
        <v>0</v>
      </c>
      <c r="CM32" s="3284" t="e">
        <f t="shared" si="17"/>
        <v>#DIV/0!</v>
      </c>
      <c r="CN32" s="3291"/>
      <c r="CO32" s="3285"/>
      <c r="CP32" s="3285"/>
      <c r="CQ32" s="3286">
        <f t="shared" si="42"/>
        <v>0</v>
      </c>
      <c r="CR32" s="3284" t="e">
        <f t="shared" si="18"/>
        <v>#DIV/0!</v>
      </c>
      <c r="CS32" s="3291"/>
      <c r="CT32" s="3285"/>
      <c r="CU32" s="3285"/>
      <c r="CV32" s="3286">
        <f t="shared" si="43"/>
        <v>0</v>
      </c>
      <c r="CW32" s="3284" t="e">
        <f t="shared" si="19"/>
        <v>#DIV/0!</v>
      </c>
      <c r="CX32" s="3291"/>
      <c r="CY32" s="3274">
        <f t="shared" si="32"/>
        <v>34060.520000000004</v>
      </c>
      <c r="CZ32" s="3274">
        <f t="shared" si="33"/>
        <v>18500</v>
      </c>
      <c r="DA32" s="3283">
        <f t="shared" si="34"/>
        <v>52560.520000000004</v>
      </c>
      <c r="DB32" s="3284">
        <f t="shared" si="1"/>
        <v>2.0574813379218078E-2</v>
      </c>
      <c r="DC32" s="3295"/>
    </row>
    <row r="33" spans="1:107" s="1411" customFormat="1" ht="14.4" thickBot="1" x14ac:dyDescent="0.3">
      <c r="A33" s="1586"/>
      <c r="B33" s="3144" t="s">
        <v>75</v>
      </c>
      <c r="C33" s="3314"/>
      <c r="D33" s="3314"/>
      <c r="E33" s="3305">
        <f t="shared" si="44"/>
        <v>0</v>
      </c>
      <c r="F33" s="2883">
        <f t="shared" si="0"/>
        <v>0</v>
      </c>
      <c r="G33" s="2885"/>
      <c r="H33" s="3314"/>
      <c r="I33" s="3314"/>
      <c r="J33" s="3305">
        <f t="shared" si="45"/>
        <v>0</v>
      </c>
      <c r="K33" s="3284">
        <f t="shared" si="23"/>
        <v>0</v>
      </c>
      <c r="L33" s="2885"/>
      <c r="M33" s="3314"/>
      <c r="N33" s="3314"/>
      <c r="O33" s="3305">
        <f t="shared" si="46"/>
        <v>0</v>
      </c>
      <c r="P33" s="2883">
        <f t="shared" si="2"/>
        <v>0</v>
      </c>
      <c r="Q33" s="2885"/>
      <c r="R33" s="3314"/>
      <c r="S33" s="3314"/>
      <c r="T33" s="3305">
        <f t="shared" si="47"/>
        <v>0</v>
      </c>
      <c r="U33" s="2883">
        <f t="shared" si="3"/>
        <v>0</v>
      </c>
      <c r="V33" s="2885"/>
      <c r="W33" s="3314"/>
      <c r="X33" s="3314"/>
      <c r="Y33" s="3305">
        <f t="shared" si="48"/>
        <v>0</v>
      </c>
      <c r="Z33" s="2883">
        <f t="shared" si="4"/>
        <v>0</v>
      </c>
      <c r="AA33" s="2885"/>
      <c r="AB33" s="3314"/>
      <c r="AC33" s="3314"/>
      <c r="AD33" s="3305">
        <f t="shared" si="49"/>
        <v>0</v>
      </c>
      <c r="AE33" s="2883">
        <f t="shared" si="5"/>
        <v>0</v>
      </c>
      <c r="AF33" s="2885"/>
      <c r="AG33" s="3274">
        <v>0</v>
      </c>
      <c r="AH33" s="3274">
        <v>0</v>
      </c>
      <c r="AI33" s="3362">
        <v>0</v>
      </c>
      <c r="AJ33" s="3228">
        <v>0</v>
      </c>
      <c r="AK33" s="3229"/>
      <c r="AL33" s="3274">
        <f t="shared" si="6"/>
        <v>0</v>
      </c>
      <c r="AM33" s="3274">
        <f t="shared" si="6"/>
        <v>0</v>
      </c>
      <c r="AN33" s="3362">
        <f t="shared" si="50"/>
        <v>0</v>
      </c>
      <c r="AO33" s="3228">
        <f t="shared" si="7"/>
        <v>0</v>
      </c>
      <c r="AP33" s="3229"/>
      <c r="AQ33" s="3314"/>
      <c r="AR33" s="3314"/>
      <c r="AS33" s="3305">
        <f t="shared" si="51"/>
        <v>0</v>
      </c>
      <c r="AT33" s="2883">
        <f t="shared" si="8"/>
        <v>0</v>
      </c>
      <c r="AU33" s="2885"/>
      <c r="AV33" s="3314"/>
      <c r="AW33" s="3314"/>
      <c r="AX33" s="3305">
        <f t="shared" si="30"/>
        <v>0</v>
      </c>
      <c r="AY33" s="3026">
        <f t="shared" si="9"/>
        <v>0</v>
      </c>
      <c r="AZ33" s="2885"/>
      <c r="BA33" s="3363"/>
      <c r="BB33" s="3363"/>
      <c r="BC33" s="3364">
        <f t="shared" si="31"/>
        <v>0</v>
      </c>
      <c r="BD33" s="3228">
        <f t="shared" si="10"/>
        <v>0</v>
      </c>
      <c r="BE33" s="3216"/>
      <c r="BF33" s="3363"/>
      <c r="BG33" s="3363"/>
      <c r="BH33" s="3364">
        <f t="shared" si="35"/>
        <v>0</v>
      </c>
      <c r="BI33" s="3228">
        <f t="shared" si="11"/>
        <v>0</v>
      </c>
      <c r="BJ33" s="3216"/>
      <c r="BK33" s="3363"/>
      <c r="BL33" s="3363"/>
      <c r="BM33" s="3364">
        <f t="shared" si="36"/>
        <v>0</v>
      </c>
      <c r="BN33" s="3228">
        <f t="shared" si="12"/>
        <v>0</v>
      </c>
      <c r="BO33" s="3216"/>
      <c r="BP33" s="3363"/>
      <c r="BQ33" s="3363"/>
      <c r="BR33" s="3364">
        <f t="shared" si="37"/>
        <v>0</v>
      </c>
      <c r="BS33" s="3228">
        <f t="shared" si="13"/>
        <v>0</v>
      </c>
      <c r="BT33" s="3216"/>
      <c r="BU33" s="3363"/>
      <c r="BV33" s="3363"/>
      <c r="BW33" s="3364">
        <f t="shared" si="38"/>
        <v>0</v>
      </c>
      <c r="BX33" s="3228" t="e">
        <f t="shared" si="14"/>
        <v>#DIV/0!</v>
      </c>
      <c r="BY33" s="3216"/>
      <c r="BZ33" s="3363"/>
      <c r="CA33" s="3363"/>
      <c r="CB33" s="3364">
        <f t="shared" si="39"/>
        <v>0</v>
      </c>
      <c r="CC33" s="3228" t="e">
        <f t="shared" si="15"/>
        <v>#DIV/0!</v>
      </c>
      <c r="CD33" s="3216"/>
      <c r="CE33" s="3363"/>
      <c r="CF33" s="3363"/>
      <c r="CG33" s="3364">
        <f t="shared" si="40"/>
        <v>0</v>
      </c>
      <c r="CH33" s="3228" t="e">
        <f t="shared" si="16"/>
        <v>#DIV/0!</v>
      </c>
      <c r="CI33" s="3216"/>
      <c r="CJ33" s="3363"/>
      <c r="CK33" s="3363"/>
      <c r="CL33" s="3364">
        <f t="shared" si="41"/>
        <v>0</v>
      </c>
      <c r="CM33" s="3228" t="e">
        <f t="shared" si="17"/>
        <v>#DIV/0!</v>
      </c>
      <c r="CN33" s="3216"/>
      <c r="CO33" s="3363"/>
      <c r="CP33" s="3363"/>
      <c r="CQ33" s="3364">
        <f t="shared" si="42"/>
        <v>0</v>
      </c>
      <c r="CR33" s="3228" t="e">
        <f t="shared" si="18"/>
        <v>#DIV/0!</v>
      </c>
      <c r="CS33" s="3216"/>
      <c r="CT33" s="3363"/>
      <c r="CU33" s="3363"/>
      <c r="CV33" s="3364">
        <f t="shared" si="43"/>
        <v>0</v>
      </c>
      <c r="CW33" s="3228" t="e">
        <f t="shared" si="19"/>
        <v>#DIV/0!</v>
      </c>
      <c r="CX33" s="3216"/>
      <c r="CY33" s="3274">
        <f t="shared" si="20"/>
        <v>0</v>
      </c>
      <c r="CZ33" s="3274">
        <f t="shared" si="20"/>
        <v>0</v>
      </c>
      <c r="DA33" s="3305">
        <f t="shared" si="34"/>
        <v>0</v>
      </c>
      <c r="DB33" s="2883">
        <f t="shared" si="1"/>
        <v>0</v>
      </c>
      <c r="DC33" s="2885"/>
    </row>
    <row r="34" spans="1:107" s="1411" customFormat="1" ht="13.8" x14ac:dyDescent="0.25">
      <c r="A34" s="1586"/>
      <c r="B34" s="1631"/>
      <c r="C34" s="3274"/>
      <c r="D34" s="3274"/>
      <c r="E34" s="3306"/>
      <c r="F34" s="3306"/>
      <c r="G34" s="3306"/>
      <c r="H34" s="3274"/>
      <c r="I34" s="3274"/>
      <c r="J34" s="3306"/>
      <c r="K34" s="3306"/>
      <c r="L34" s="3306"/>
      <c r="M34" s="3274"/>
      <c r="N34" s="3274"/>
      <c r="O34" s="3306"/>
      <c r="P34" s="3306"/>
      <c r="Q34" s="3306"/>
      <c r="R34" s="3274"/>
      <c r="S34" s="3274"/>
      <c r="T34" s="3306"/>
      <c r="U34" s="3306"/>
      <c r="V34" s="3306"/>
      <c r="W34" s="3274"/>
      <c r="X34" s="3274"/>
      <c r="Y34" s="3306"/>
      <c r="Z34" s="3306"/>
      <c r="AA34" s="3306"/>
      <c r="AB34" s="3274"/>
      <c r="AC34" s="3274"/>
      <c r="AD34" s="3306"/>
      <c r="AE34" s="3306"/>
      <c r="AF34" s="3306"/>
      <c r="AG34" s="3280"/>
      <c r="AH34" s="3280"/>
      <c r="AI34" s="3365"/>
      <c r="AJ34" s="3365"/>
      <c r="AK34" s="3365"/>
      <c r="AL34" s="3280"/>
      <c r="AM34" s="3280"/>
      <c r="AN34" s="3365"/>
      <c r="AO34" s="3365"/>
      <c r="AP34" s="3365"/>
      <c r="AQ34" s="3274"/>
      <c r="AR34" s="3274"/>
      <c r="AS34" s="3306"/>
      <c r="AT34" s="3306"/>
      <c r="AU34" s="3306"/>
      <c r="AV34" s="3274"/>
      <c r="AW34" s="3274"/>
      <c r="AX34" s="3306"/>
      <c r="AY34" s="3306"/>
      <c r="AZ34" s="3306"/>
      <c r="BA34" s="3274"/>
      <c r="BB34" s="3274"/>
      <c r="BC34" s="3306"/>
      <c r="BD34" s="3365"/>
      <c r="BE34" s="3306"/>
      <c r="BF34" s="3274"/>
      <c r="BG34" s="3274"/>
      <c r="BH34" s="3306"/>
      <c r="BI34" s="3365"/>
      <c r="BJ34" s="3306"/>
      <c r="BK34" s="3274"/>
      <c r="BL34" s="3274"/>
      <c r="BM34" s="3306"/>
      <c r="BN34" s="3365"/>
      <c r="BO34" s="3306"/>
      <c r="BP34" s="3274"/>
      <c r="BQ34" s="3274"/>
      <c r="BR34" s="3306"/>
      <c r="BS34" s="3365"/>
      <c r="BT34" s="3306"/>
      <c r="BU34" s="3274"/>
      <c r="BV34" s="3274"/>
      <c r="BW34" s="3306"/>
      <c r="BX34" s="3365"/>
      <c r="BY34" s="3306"/>
      <c r="BZ34" s="3274"/>
      <c r="CA34" s="3274"/>
      <c r="CB34" s="3306"/>
      <c r="CC34" s="3365"/>
      <c r="CD34" s="3306"/>
      <c r="CE34" s="3274"/>
      <c r="CF34" s="3274"/>
      <c r="CG34" s="3306"/>
      <c r="CH34" s="3365"/>
      <c r="CI34" s="3306"/>
      <c r="CJ34" s="3274"/>
      <c r="CK34" s="3274"/>
      <c r="CL34" s="3306"/>
      <c r="CM34" s="3365"/>
      <c r="CN34" s="3306"/>
      <c r="CO34" s="3274"/>
      <c r="CP34" s="3274"/>
      <c r="CQ34" s="3306"/>
      <c r="CR34" s="3365"/>
      <c r="CS34" s="3306"/>
      <c r="CT34" s="3274"/>
      <c r="CU34" s="3274"/>
      <c r="CV34" s="3306"/>
      <c r="CW34" s="3365"/>
      <c r="CX34" s="3306"/>
      <c r="CY34" s="3274"/>
      <c r="CZ34" s="3274"/>
      <c r="DA34" s="3306"/>
      <c r="DB34" s="3306"/>
      <c r="DC34" s="3306"/>
    </row>
    <row r="35" spans="1:107" s="2483" customFormat="1" ht="13.8" x14ac:dyDescent="0.25">
      <c r="A35" s="1586"/>
      <c r="B35" s="3307" t="s">
        <v>80</v>
      </c>
      <c r="C35" s="3308">
        <f>C36</f>
        <v>0</v>
      </c>
      <c r="D35" s="3308">
        <f>D36</f>
        <v>0</v>
      </c>
      <c r="E35" s="3309">
        <f>E36</f>
        <v>0</v>
      </c>
      <c r="F35" s="3309">
        <f t="shared" si="0"/>
        <v>0</v>
      </c>
      <c r="G35" s="3309"/>
      <c r="H35" s="3308">
        <f>H36</f>
        <v>0</v>
      </c>
      <c r="I35" s="3308">
        <f>I36</f>
        <v>0</v>
      </c>
      <c r="J35" s="3309">
        <f>J36</f>
        <v>0</v>
      </c>
      <c r="K35" s="3309">
        <f>J35/$T$89</f>
        <v>0</v>
      </c>
      <c r="L35" s="3309"/>
      <c r="M35" s="3308">
        <f>M36</f>
        <v>0</v>
      </c>
      <c r="N35" s="3308">
        <f>N36</f>
        <v>0</v>
      </c>
      <c r="O35" s="3309">
        <f>O36</f>
        <v>0</v>
      </c>
      <c r="P35" s="3309">
        <f t="shared" si="2"/>
        <v>0</v>
      </c>
      <c r="Q35" s="3309"/>
      <c r="R35" s="3308">
        <f>R36</f>
        <v>0</v>
      </c>
      <c r="S35" s="3308">
        <f>S36</f>
        <v>0</v>
      </c>
      <c r="T35" s="3309">
        <f>T36</f>
        <v>0</v>
      </c>
      <c r="U35" s="3309">
        <f>T35/$O$89</f>
        <v>0</v>
      </c>
      <c r="V35" s="3309"/>
      <c r="W35" s="3308">
        <f>W36</f>
        <v>0</v>
      </c>
      <c r="X35" s="3308">
        <f>X36</f>
        <v>0</v>
      </c>
      <c r="Y35" s="3309">
        <f>Y36</f>
        <v>0</v>
      </c>
      <c r="Z35" s="3309">
        <f>Y35/$O$89</f>
        <v>0</v>
      </c>
      <c r="AA35" s="3309"/>
      <c r="AB35" s="3308">
        <f>AB36</f>
        <v>0</v>
      </c>
      <c r="AC35" s="3308">
        <f>AC36</f>
        <v>0</v>
      </c>
      <c r="AD35" s="3309">
        <f>AD36</f>
        <v>0</v>
      </c>
      <c r="AE35" s="3309">
        <f>AD35/$O$89</f>
        <v>0</v>
      </c>
      <c r="AF35" s="3309"/>
      <c r="AG35" s="3308">
        <v>0</v>
      </c>
      <c r="AH35" s="3308">
        <v>0</v>
      </c>
      <c r="AI35" s="3309">
        <v>0</v>
      </c>
      <c r="AJ35" s="3309">
        <v>0</v>
      </c>
      <c r="AK35" s="3309"/>
      <c r="AL35" s="3308">
        <f>AL36</f>
        <v>0</v>
      </c>
      <c r="AM35" s="3308">
        <f>AM36</f>
        <v>0</v>
      </c>
      <c r="AN35" s="3309">
        <f>AN36</f>
        <v>0</v>
      </c>
      <c r="AO35" s="3309">
        <f t="shared" ref="AO35:AO36" si="52">AN35/$T$89</f>
        <v>0</v>
      </c>
      <c r="AP35" s="3309"/>
      <c r="AQ35" s="3308">
        <f>AQ36</f>
        <v>0</v>
      </c>
      <c r="AR35" s="3308">
        <f>AR36</f>
        <v>0</v>
      </c>
      <c r="AS35" s="3309">
        <f>AS36</f>
        <v>0</v>
      </c>
      <c r="AT35" s="3309">
        <f>AS35/$O$89</f>
        <v>0</v>
      </c>
      <c r="AU35" s="3309"/>
      <c r="AV35" s="3308">
        <f>AV36</f>
        <v>0</v>
      </c>
      <c r="AW35" s="3308">
        <f>AW36</f>
        <v>0</v>
      </c>
      <c r="AX35" s="3309">
        <f>AX36</f>
        <v>0</v>
      </c>
      <c r="AY35" s="3309">
        <f>AX35/$E$89</f>
        <v>0</v>
      </c>
      <c r="AZ35" s="3309"/>
      <c r="BA35" s="3308">
        <f>BA36</f>
        <v>0</v>
      </c>
      <c r="BB35" s="3308">
        <f>BB36</f>
        <v>0</v>
      </c>
      <c r="BC35" s="3309">
        <f>BC36</f>
        <v>0</v>
      </c>
      <c r="BD35" s="3309">
        <f>BC35/$AD$89</f>
        <v>0</v>
      </c>
      <c r="BE35" s="3309"/>
      <c r="BF35" s="3308">
        <f>BF36</f>
        <v>0</v>
      </c>
      <c r="BG35" s="3308">
        <f>BG36</f>
        <v>0</v>
      </c>
      <c r="BH35" s="3309">
        <f>BH36</f>
        <v>0</v>
      </c>
      <c r="BI35" s="3309">
        <f>BH35/$AD$89</f>
        <v>0</v>
      </c>
      <c r="BJ35" s="3309"/>
      <c r="BK35" s="3308">
        <f>BK36</f>
        <v>0</v>
      </c>
      <c r="BL35" s="3308">
        <f>BL36</f>
        <v>0</v>
      </c>
      <c r="BM35" s="3309">
        <f>BM36</f>
        <v>0</v>
      </c>
      <c r="BN35" s="3309">
        <f>BM35/$AD$89</f>
        <v>0</v>
      </c>
      <c r="BO35" s="3309"/>
      <c r="BP35" s="3308">
        <f>BP36</f>
        <v>0</v>
      </c>
      <c r="BQ35" s="3308">
        <f>BQ36</f>
        <v>0</v>
      </c>
      <c r="BR35" s="3309">
        <f>BR36</f>
        <v>0</v>
      </c>
      <c r="BS35" s="3309">
        <f>BR35/$AD$89</f>
        <v>0</v>
      </c>
      <c r="BT35" s="3309"/>
      <c r="BU35" s="3308">
        <f>BU36</f>
        <v>0</v>
      </c>
      <c r="BV35" s="3308">
        <f>BV36</f>
        <v>0</v>
      </c>
      <c r="BW35" s="3309">
        <f>BW36</f>
        <v>0</v>
      </c>
      <c r="BX35" s="3309" t="e">
        <f>BW35/$AN$89</f>
        <v>#DIV/0!</v>
      </c>
      <c r="BY35" s="3309"/>
      <c r="BZ35" s="3308">
        <f>BZ36</f>
        <v>0</v>
      </c>
      <c r="CA35" s="3308">
        <f>CA36</f>
        <v>0</v>
      </c>
      <c r="CB35" s="3309">
        <f>CB36</f>
        <v>0</v>
      </c>
      <c r="CC35" s="3309" t="e">
        <f>CB35/$AN$89</f>
        <v>#DIV/0!</v>
      </c>
      <c r="CD35" s="3308"/>
      <c r="CE35" s="3308">
        <f>CE36</f>
        <v>0</v>
      </c>
      <c r="CF35" s="3308">
        <f>CF36</f>
        <v>0</v>
      </c>
      <c r="CG35" s="3309">
        <f>CG36</f>
        <v>0</v>
      </c>
      <c r="CH35" s="3309" t="e">
        <f>CG35/$AN$89</f>
        <v>#DIV/0!</v>
      </c>
      <c r="CI35" s="3308"/>
      <c r="CJ35" s="3308">
        <f>CJ36</f>
        <v>0</v>
      </c>
      <c r="CK35" s="3308">
        <f>CK36</f>
        <v>0</v>
      </c>
      <c r="CL35" s="3309">
        <f>CL36</f>
        <v>0</v>
      </c>
      <c r="CM35" s="3309" t="e">
        <f>CL35/$AN$89</f>
        <v>#DIV/0!</v>
      </c>
      <c r="CN35" s="3308"/>
      <c r="CO35" s="3308">
        <f>CO36</f>
        <v>0</v>
      </c>
      <c r="CP35" s="3308">
        <f>CP36</f>
        <v>0</v>
      </c>
      <c r="CQ35" s="3309">
        <f>CQ36</f>
        <v>0</v>
      </c>
      <c r="CR35" s="3309" t="e">
        <f>CQ35/$AN$89</f>
        <v>#DIV/0!</v>
      </c>
      <c r="CS35" s="3308"/>
      <c r="CT35" s="3308">
        <f>CT36</f>
        <v>0</v>
      </c>
      <c r="CU35" s="3308">
        <f>CU36</f>
        <v>0</v>
      </c>
      <c r="CV35" s="3309">
        <f>CV36</f>
        <v>0</v>
      </c>
      <c r="CW35" s="3309" t="e">
        <f>CV35/$AN$89</f>
        <v>#DIV/0!</v>
      </c>
      <c r="CX35" s="3308"/>
      <c r="CY35" s="3308">
        <f>CY36</f>
        <v>0</v>
      </c>
      <c r="CZ35" s="3308">
        <f>CZ36</f>
        <v>0</v>
      </c>
      <c r="DA35" s="3309">
        <f>DA36</f>
        <v>0</v>
      </c>
      <c r="DB35" s="3309"/>
      <c r="DC35" s="3309"/>
    </row>
    <row r="36" spans="1:107" s="1411" customFormat="1" ht="13.8" x14ac:dyDescent="0.25">
      <c r="A36" s="1586"/>
      <c r="B36" s="3310" t="s">
        <v>81</v>
      </c>
      <c r="C36" s="3274"/>
      <c r="D36" s="3274"/>
      <c r="E36" s="2028">
        <f>C36+D36*1</f>
        <v>0</v>
      </c>
      <c r="F36" s="3284">
        <f t="shared" si="0"/>
        <v>0</v>
      </c>
      <c r="G36" s="3311"/>
      <c r="H36" s="3274"/>
      <c r="I36" s="3274"/>
      <c r="J36" s="2028">
        <f>H36+I36*1</f>
        <v>0</v>
      </c>
      <c r="K36" s="3284">
        <f>J36/$T$89</f>
        <v>0</v>
      </c>
      <c r="L36" s="3311"/>
      <c r="M36" s="3274"/>
      <c r="N36" s="3274"/>
      <c r="O36" s="2028">
        <f>M36+N36*1</f>
        <v>0</v>
      </c>
      <c r="P36" s="3284">
        <f t="shared" si="2"/>
        <v>0</v>
      </c>
      <c r="Q36" s="3311"/>
      <c r="R36" s="3274"/>
      <c r="S36" s="3274"/>
      <c r="T36" s="2028">
        <f>R36+S36*1</f>
        <v>0</v>
      </c>
      <c r="U36" s="3284">
        <f>T36/$O$89</f>
        <v>0</v>
      </c>
      <c r="V36" s="3311"/>
      <c r="W36" s="3274"/>
      <c r="X36" s="3274"/>
      <c r="Y36" s="2028">
        <f>W36+X36*1</f>
        <v>0</v>
      </c>
      <c r="Z36" s="3284">
        <f>Y36/$O$89</f>
        <v>0</v>
      </c>
      <c r="AA36" s="3311"/>
      <c r="AB36" s="3274"/>
      <c r="AC36" s="3274"/>
      <c r="AD36" s="2028">
        <f>AB36+AC36*1</f>
        <v>0</v>
      </c>
      <c r="AE36" s="3284">
        <f>AD36/$O$89</f>
        <v>0</v>
      </c>
      <c r="AF36" s="3311"/>
      <c r="AG36" s="3274">
        <v>0</v>
      </c>
      <c r="AH36" s="3274">
        <v>0</v>
      </c>
      <c r="AI36" s="2028">
        <v>0</v>
      </c>
      <c r="AJ36" s="3284">
        <v>0</v>
      </c>
      <c r="AK36" s="3311"/>
      <c r="AL36" s="3274">
        <f>AQ36+AV36+BA36+BF36+BK36+BP36+BU36+BZ36+CE36+CJ36+CO36+CT36</f>
        <v>0</v>
      </c>
      <c r="AM36" s="3274">
        <f>AR36+AW36+BB36+BG36+BL36+BQ36+BV36+CA36+CF36+CK36+CP36+CU36</f>
        <v>0</v>
      </c>
      <c r="AN36" s="2028">
        <f>AL36+AM36*1</f>
        <v>0</v>
      </c>
      <c r="AO36" s="3284">
        <f t="shared" si="52"/>
        <v>0</v>
      </c>
      <c r="AP36" s="3311"/>
      <c r="AQ36" s="3274"/>
      <c r="AR36" s="3274"/>
      <c r="AS36" s="2028">
        <f>AQ36+AR36*1</f>
        <v>0</v>
      </c>
      <c r="AT36" s="3284">
        <f>AS36/$O$89</f>
        <v>0</v>
      </c>
      <c r="AU36" s="3311"/>
      <c r="AV36" s="3274"/>
      <c r="AW36" s="3274"/>
      <c r="AX36" s="2028">
        <f>AV36+AW36*1</f>
        <v>0</v>
      </c>
      <c r="AY36" s="3284">
        <f>AX36/$E$89</f>
        <v>0</v>
      </c>
      <c r="AZ36" s="3276"/>
      <c r="BA36" s="3274"/>
      <c r="BB36" s="3274"/>
      <c r="BC36" s="2028">
        <f>BA36+BB36*1</f>
        <v>0</v>
      </c>
      <c r="BD36" s="3284">
        <f>BC36/$AD$89</f>
        <v>0</v>
      </c>
      <c r="BE36" s="3276"/>
      <c r="BF36" s="3274"/>
      <c r="BG36" s="3274"/>
      <c r="BH36" s="2028">
        <f>BF36+BG36*1</f>
        <v>0</v>
      </c>
      <c r="BI36" s="3284">
        <f>BH36/$AD$89</f>
        <v>0</v>
      </c>
      <c r="BJ36" s="3276"/>
      <c r="BK36" s="3274"/>
      <c r="BL36" s="3274"/>
      <c r="BM36" s="2028">
        <f>BK36+BL36*1</f>
        <v>0</v>
      </c>
      <c r="BN36" s="3284">
        <f>BM36/$AD$89</f>
        <v>0</v>
      </c>
      <c r="BO36" s="3276"/>
      <c r="BP36" s="3274"/>
      <c r="BQ36" s="3274"/>
      <c r="BR36" s="2028">
        <f>BP36+BQ36*1</f>
        <v>0</v>
      </c>
      <c r="BS36" s="3284">
        <f>BR36/$AD$89</f>
        <v>0</v>
      </c>
      <c r="BT36" s="3276"/>
      <c r="BU36" s="3274"/>
      <c r="BV36" s="3274"/>
      <c r="BW36" s="2028">
        <f>BU36+BV36*1</f>
        <v>0</v>
      </c>
      <c r="BX36" s="3284" t="e">
        <f>BW36/$AN$89</f>
        <v>#DIV/0!</v>
      </c>
      <c r="BY36" s="3276"/>
      <c r="BZ36" s="3274"/>
      <c r="CA36" s="3274"/>
      <c r="CB36" s="2028">
        <f>BZ36+CA36*1</f>
        <v>0</v>
      </c>
      <c r="CC36" s="3284" t="e">
        <f>CB36/$AN$89</f>
        <v>#DIV/0!</v>
      </c>
      <c r="CD36" s="3276"/>
      <c r="CE36" s="3274"/>
      <c r="CF36" s="3274"/>
      <c r="CG36" s="2028">
        <f>CE36+CF36*1</f>
        <v>0</v>
      </c>
      <c r="CH36" s="3284" t="e">
        <f>CG36/$AN$89</f>
        <v>#DIV/0!</v>
      </c>
      <c r="CI36" s="3276"/>
      <c r="CJ36" s="3274"/>
      <c r="CK36" s="3274"/>
      <c r="CL36" s="2028">
        <f>CJ36+CK36*1</f>
        <v>0</v>
      </c>
      <c r="CM36" s="3284" t="e">
        <f>CL36/$AN$89</f>
        <v>#DIV/0!</v>
      </c>
      <c r="CN36" s="3276"/>
      <c r="CO36" s="3274"/>
      <c r="CP36" s="3274"/>
      <c r="CQ36" s="2028">
        <f>CO36+CP36*1</f>
        <v>0</v>
      </c>
      <c r="CR36" s="3284" t="e">
        <f>CQ36/$AN$89</f>
        <v>#DIV/0!</v>
      </c>
      <c r="CS36" s="3276"/>
      <c r="CT36" s="3274"/>
      <c r="CU36" s="3274"/>
      <c r="CV36" s="2028">
        <f>CT36+CU36*1</f>
        <v>0</v>
      </c>
      <c r="CW36" s="3284" t="e">
        <f>CV36/$AN$89</f>
        <v>#DIV/0!</v>
      </c>
      <c r="CX36" s="3276"/>
      <c r="CY36" s="3274">
        <f>C36+H36+M36+R36+W36+AB36+AQ36+AV36+BA36+BF36+BK36+BP36+BU36+BZ36+CE36+CJ36+CO36+CT36+AG36</f>
        <v>0</v>
      </c>
      <c r="CZ36" s="3274">
        <f>D36+I36+N36+S36+X36+AC36+AR36+AW36+BB36+BG36+BL36+BQ36+BV36+CA36+CF36+CK36+CP36+CU36+AH36</f>
        <v>0</v>
      </c>
      <c r="DA36" s="2028">
        <f>CY36+CZ36*1</f>
        <v>0</v>
      </c>
      <c r="DB36" s="3284">
        <f>DA36/$DA$89</f>
        <v>0</v>
      </c>
      <c r="DC36" s="3311"/>
    </row>
    <row r="37" spans="1:107" s="1411" customFormat="1" ht="14.4" thickBot="1" x14ac:dyDescent="0.3">
      <c r="A37" s="1413"/>
      <c r="B37" s="3312"/>
      <c r="C37" s="3274"/>
      <c r="D37" s="3274"/>
      <c r="E37" s="3313"/>
      <c r="F37" s="3313"/>
      <c r="G37" s="3313"/>
      <c r="H37" s="3274"/>
      <c r="I37" s="3274"/>
      <c r="J37" s="3313"/>
      <c r="K37" s="3313"/>
      <c r="L37" s="3313"/>
      <c r="M37" s="3274"/>
      <c r="N37" s="3274"/>
      <c r="O37" s="3313"/>
      <c r="P37" s="3313"/>
      <c r="Q37" s="3313"/>
      <c r="R37" s="3274"/>
      <c r="S37" s="3274"/>
      <c r="T37" s="3313"/>
      <c r="U37" s="3313"/>
      <c r="V37" s="3313"/>
      <c r="W37" s="3274"/>
      <c r="X37" s="3274"/>
      <c r="Y37" s="3313"/>
      <c r="Z37" s="3313"/>
      <c r="AA37" s="3313"/>
      <c r="AB37" s="3274"/>
      <c r="AC37" s="3274"/>
      <c r="AD37" s="3313"/>
      <c r="AE37" s="3313"/>
      <c r="AF37" s="3313"/>
      <c r="AG37" s="3314"/>
      <c r="AH37" s="3314"/>
      <c r="AI37" s="3313"/>
      <c r="AJ37" s="3313"/>
      <c r="AK37" s="3313"/>
      <c r="AL37" s="3314"/>
      <c r="AM37" s="3314"/>
      <c r="AN37" s="3313"/>
      <c r="AO37" s="3313"/>
      <c r="AP37" s="3313"/>
      <c r="AQ37" s="3274"/>
      <c r="AR37" s="3274"/>
      <c r="AS37" s="3313"/>
      <c r="AT37" s="3313"/>
      <c r="AU37" s="3313"/>
      <c r="AV37" s="3274"/>
      <c r="AW37" s="3274"/>
      <c r="AX37" s="3313"/>
      <c r="AY37" s="3313"/>
      <c r="AZ37" s="3313"/>
      <c r="BA37" s="3274"/>
      <c r="BB37" s="3274"/>
      <c r="BC37" s="3313"/>
      <c r="BD37" s="3313"/>
      <c r="BE37" s="3313"/>
      <c r="BF37" s="3274"/>
      <c r="BG37" s="3274"/>
      <c r="BH37" s="3313"/>
      <c r="BI37" s="3313"/>
      <c r="BJ37" s="3313"/>
      <c r="BK37" s="3274"/>
      <c r="BL37" s="3274"/>
      <c r="BM37" s="3313"/>
      <c r="BN37" s="3313"/>
      <c r="BO37" s="3313"/>
      <c r="BP37" s="3274"/>
      <c r="BQ37" s="3274"/>
      <c r="BR37" s="3313"/>
      <c r="BS37" s="3313"/>
      <c r="BT37" s="3313"/>
      <c r="BU37" s="3274"/>
      <c r="BV37" s="3274"/>
      <c r="BW37" s="3313"/>
      <c r="BX37" s="3313"/>
      <c r="BY37" s="3313"/>
      <c r="BZ37" s="3274"/>
      <c r="CA37" s="3274"/>
      <c r="CB37" s="3313"/>
      <c r="CC37" s="3313"/>
      <c r="CD37" s="3315"/>
      <c r="CE37" s="3274"/>
      <c r="CF37" s="3274"/>
      <c r="CG37" s="3313"/>
      <c r="CH37" s="3313"/>
      <c r="CI37" s="3315"/>
      <c r="CJ37" s="3274"/>
      <c r="CK37" s="3274"/>
      <c r="CL37" s="3313"/>
      <c r="CM37" s="3313"/>
      <c r="CN37" s="3315"/>
      <c r="CO37" s="3274"/>
      <c r="CP37" s="3274"/>
      <c r="CQ37" s="3313"/>
      <c r="CR37" s="3313"/>
      <c r="CS37" s="3315"/>
      <c r="CT37" s="3274"/>
      <c r="CU37" s="3274"/>
      <c r="CV37" s="3313"/>
      <c r="CW37" s="3313"/>
      <c r="CX37" s="3315"/>
      <c r="CY37" s="3274"/>
      <c r="CZ37" s="3274"/>
      <c r="DA37" s="3313"/>
      <c r="DB37" s="3313"/>
      <c r="DC37" s="3313"/>
    </row>
    <row r="38" spans="1:107" ht="14.4" thickBot="1" x14ac:dyDescent="0.3">
      <c r="A38" s="1441"/>
      <c r="B38" s="1442" t="s">
        <v>46</v>
      </c>
      <c r="C38" s="2018">
        <f>(C5)-(C8)</f>
        <v>67339.91</v>
      </c>
      <c r="D38" s="2018">
        <f>(D5)-(D8)</f>
        <v>-41987</v>
      </c>
      <c r="E38" s="2018">
        <f>(E5)-(E8)</f>
        <v>25352.910000000033</v>
      </c>
      <c r="F38" s="2018"/>
      <c r="G38" s="2018"/>
      <c r="H38" s="2018">
        <f>(H5)-(H8)</f>
        <v>144631.68000000002</v>
      </c>
      <c r="I38" s="2018">
        <f>(I5)-(I8)</f>
        <v>103549.68000000001</v>
      </c>
      <c r="J38" s="2018">
        <f>(J5)-(J8)</f>
        <v>248181.36</v>
      </c>
      <c r="K38" s="2018"/>
      <c r="L38" s="2018"/>
      <c r="M38" s="2018">
        <f>(M5)-(M8)</f>
        <v>327594.05999999994</v>
      </c>
      <c r="N38" s="2018">
        <f>(N5)-(N8)</f>
        <v>-21062</v>
      </c>
      <c r="O38" s="2018">
        <f>(O5)-(O8)</f>
        <v>306532.06</v>
      </c>
      <c r="P38" s="2018">
        <f t="shared" si="2"/>
        <v>1.6597800864451129</v>
      </c>
      <c r="Q38" s="2018"/>
      <c r="R38" s="2018">
        <f>(R5)-(R8)</f>
        <v>-30804.360000000015</v>
      </c>
      <c r="S38" s="2018">
        <f>(S5)-(S8)</f>
        <v>139370.68</v>
      </c>
      <c r="T38" s="2018">
        <f>(T5)-(T8)</f>
        <v>108566.32000000004</v>
      </c>
      <c r="U38" s="2018">
        <f t="shared" ref="U38:U48" si="53">T38/$O$89</f>
        <v>0.5878543862414517</v>
      </c>
      <c r="V38" s="2018"/>
      <c r="W38" s="2018">
        <f>(W5)-(W8)</f>
        <v>239721.41999999998</v>
      </c>
      <c r="X38" s="2018">
        <f>(X5)-(X8)</f>
        <v>-38335.57</v>
      </c>
      <c r="Y38" s="2018">
        <f>(Y5)-(Y8)</f>
        <v>201385.84999999998</v>
      </c>
      <c r="Z38" s="2018">
        <f t="shared" ref="Z38:Z48" si="54">Y38/$O$89</f>
        <v>1.0904445803216227</v>
      </c>
      <c r="AA38" s="2018"/>
      <c r="AB38" s="2018">
        <f>(AB5)-(AB8)</f>
        <v>136106.9124</v>
      </c>
      <c r="AC38" s="2018">
        <f>(AC5)-(AC8)</f>
        <v>-62551</v>
      </c>
      <c r="AD38" s="2018">
        <f>(AD5)-(AD8)</f>
        <v>73555.912400000001</v>
      </c>
      <c r="AE38" s="2018">
        <f t="shared" ref="AE38:AE48" si="55">AD38/$O$89</f>
        <v>0.39828342471525213</v>
      </c>
      <c r="AF38" s="2018"/>
      <c r="AG38" s="2018">
        <v>327240.18800000008</v>
      </c>
      <c r="AH38" s="2018">
        <v>-189243.11000000002</v>
      </c>
      <c r="AI38" s="2018">
        <v>137997.07799999998</v>
      </c>
      <c r="AJ38" s="2018">
        <v>0.7599494464855131</v>
      </c>
      <c r="AK38" s="2018"/>
      <c r="AL38" s="2018">
        <f>(AL5)-(AL8)</f>
        <v>0</v>
      </c>
      <c r="AM38" s="2018">
        <f>(AM5)-(AM8)</f>
        <v>0</v>
      </c>
      <c r="AN38" s="2018">
        <f>(AN5)-(AN8)</f>
        <v>0</v>
      </c>
      <c r="AO38" s="2018">
        <f t="shared" ref="AO38:AO48" si="56">AN38/$T$89</f>
        <v>0</v>
      </c>
      <c r="AP38" s="2018"/>
      <c r="AQ38" s="2018">
        <f>(AQ5)-(AQ8)</f>
        <v>0</v>
      </c>
      <c r="AR38" s="2018">
        <f>(AR5)-(AR8)</f>
        <v>0</v>
      </c>
      <c r="AS38" s="2018">
        <f>(AS5)-(AS8)</f>
        <v>0</v>
      </c>
      <c r="AT38" s="2018">
        <f t="shared" ref="AT38:AT48" si="57">AS38/$O$89</f>
        <v>0</v>
      </c>
      <c r="AU38" s="2018"/>
      <c r="AV38" s="2018">
        <f>(AV5)-(AV8)</f>
        <v>0</v>
      </c>
      <c r="AW38" s="2018">
        <f>(AW5)-(AW8)</f>
        <v>0</v>
      </c>
      <c r="AX38" s="2018">
        <f>(AX5)-(AX8)</f>
        <v>0</v>
      </c>
      <c r="AY38" s="2018">
        <f t="shared" ref="AY38:AY48" si="58">AX38/$E$89</f>
        <v>0</v>
      </c>
      <c r="AZ38" s="2018"/>
      <c r="BA38" s="2018">
        <f>(BA5)-(BA8)</f>
        <v>0</v>
      </c>
      <c r="BB38" s="2018">
        <f>(BB5)-(BB8)</f>
        <v>0</v>
      </c>
      <c r="BC38" s="2018">
        <f>(BC5)-(BC8)</f>
        <v>0</v>
      </c>
      <c r="BD38" s="2018">
        <f>BC38/$AD$89</f>
        <v>0</v>
      </c>
      <c r="BE38" s="2018"/>
      <c r="BF38" s="2018">
        <f>(BF5)-(BF8)</f>
        <v>0</v>
      </c>
      <c r="BG38" s="2018">
        <f>(BG5)-(BG8)</f>
        <v>0</v>
      </c>
      <c r="BH38" s="2018">
        <f>(BH5)-(BH8)</f>
        <v>0</v>
      </c>
      <c r="BI38" s="2018">
        <f>BH38/$AD$89</f>
        <v>0</v>
      </c>
      <c r="BJ38" s="2018"/>
      <c r="BK38" s="2018">
        <f>(BK5)-(BK8)</f>
        <v>0</v>
      </c>
      <c r="BL38" s="2018">
        <f>(BL5)-(BL8)</f>
        <v>0</v>
      </c>
      <c r="BM38" s="2018">
        <f>(BM5)-(BM8)</f>
        <v>0</v>
      </c>
      <c r="BN38" s="2018">
        <f>BM38/$AD$89</f>
        <v>0</v>
      </c>
      <c r="BO38" s="2018"/>
      <c r="BP38" s="2018">
        <f>(BP5)-(BP8)</f>
        <v>0</v>
      </c>
      <c r="BQ38" s="2018">
        <f>(BQ5)-(BQ8)</f>
        <v>0</v>
      </c>
      <c r="BR38" s="2018">
        <f>(BR5)-(BR8)</f>
        <v>0</v>
      </c>
      <c r="BS38" s="2018">
        <f>BR38/$AD$89</f>
        <v>0</v>
      </c>
      <c r="BT38" s="2018"/>
      <c r="BU38" s="2018">
        <f>(BU5)-(BU8)</f>
        <v>0</v>
      </c>
      <c r="BV38" s="2018">
        <f>(BV5)-(BV8)</f>
        <v>0</v>
      </c>
      <c r="BW38" s="2018">
        <f>(BW5)-(BW8)</f>
        <v>0</v>
      </c>
      <c r="BX38" s="2018" t="e">
        <f>BW38/$AN$89</f>
        <v>#DIV/0!</v>
      </c>
      <c r="BY38" s="2018"/>
      <c r="BZ38" s="2018">
        <f>(BZ5)-(BZ8)</f>
        <v>0</v>
      </c>
      <c r="CA38" s="2018">
        <f>(CA5)-(CA8)</f>
        <v>0</v>
      </c>
      <c r="CB38" s="2018">
        <f>(CB5)-(CB8)</f>
        <v>0</v>
      </c>
      <c r="CC38" s="2018" t="e">
        <f>CB38/$AN$89</f>
        <v>#DIV/0!</v>
      </c>
      <c r="CD38" s="2018"/>
      <c r="CE38" s="2018">
        <f>(CE5)-(CE8)</f>
        <v>0</v>
      </c>
      <c r="CF38" s="2018">
        <f>(CF5)-(CF8)</f>
        <v>0</v>
      </c>
      <c r="CG38" s="2018">
        <f>(CG5)-(CG8)</f>
        <v>0</v>
      </c>
      <c r="CH38" s="2018" t="e">
        <f>CG38/$AN$89</f>
        <v>#DIV/0!</v>
      </c>
      <c r="CI38" s="2018"/>
      <c r="CJ38" s="2018">
        <f>(CJ5)-(CJ8)</f>
        <v>0</v>
      </c>
      <c r="CK38" s="2018">
        <f>(CK5)-(CK8)</f>
        <v>0</v>
      </c>
      <c r="CL38" s="2018">
        <f>(CL5)-(CL8)</f>
        <v>0</v>
      </c>
      <c r="CM38" s="2018" t="e">
        <f>CL38/$AN$89</f>
        <v>#DIV/0!</v>
      </c>
      <c r="CN38" s="2018"/>
      <c r="CO38" s="2018">
        <f>(CO5)-(CO8)</f>
        <v>0</v>
      </c>
      <c r="CP38" s="2018">
        <f>(CP5)-(CP8)</f>
        <v>0</v>
      </c>
      <c r="CQ38" s="2018">
        <f>(CQ5)-(CQ8)</f>
        <v>0</v>
      </c>
      <c r="CR38" s="2018" t="e">
        <f>CQ38/$AN$89</f>
        <v>#DIV/0!</v>
      </c>
      <c r="CS38" s="2018"/>
      <c r="CT38" s="2018">
        <f>(CT5)-(CT8)</f>
        <v>0</v>
      </c>
      <c r="CU38" s="2018">
        <f>(CU5)-(CU8)</f>
        <v>0</v>
      </c>
      <c r="CV38" s="2018">
        <f>(CV5)-(CV8)</f>
        <v>0</v>
      </c>
      <c r="CW38" s="2018" t="e">
        <f>CV38/$AN$89</f>
        <v>#DIV/0!</v>
      </c>
      <c r="CX38" s="2018"/>
      <c r="CY38" s="2018">
        <f>(CY5)-(CY8)</f>
        <v>1211829.8103999998</v>
      </c>
      <c r="CZ38" s="2018">
        <f>(CZ5)-(CZ8)</f>
        <v>-110258.32</v>
      </c>
      <c r="DA38" s="2018">
        <f>(DA5)-(DA8)</f>
        <v>1101571.4904</v>
      </c>
      <c r="DB38" s="2018"/>
      <c r="DC38" s="2018"/>
    </row>
    <row r="39" spans="1:107" ht="13.8" x14ac:dyDescent="0.25">
      <c r="A39" s="1580"/>
      <c r="B39" s="1423" t="s">
        <v>47</v>
      </c>
      <c r="C39" s="2019">
        <f>C38/(C5)</f>
        <v>0.21358763638670389</v>
      </c>
      <c r="D39" s="2019" t="e">
        <f>D38/(D5)</f>
        <v>#DIV/0!</v>
      </c>
      <c r="E39" s="2020">
        <f>E38/(E5)</f>
        <v>8.0413949505201823E-2</v>
      </c>
      <c r="F39" s="2020"/>
      <c r="G39" s="2020"/>
      <c r="H39" s="2019">
        <f>H38/(H5)</f>
        <v>0.46443239910601902</v>
      </c>
      <c r="I39" s="2019">
        <f>I38/(I5)</f>
        <v>0.72685008661861694</v>
      </c>
      <c r="J39" s="2020">
        <f>J38/(J5)</f>
        <v>0.54679998836695898</v>
      </c>
      <c r="K39" s="2020"/>
      <c r="L39" s="2020"/>
      <c r="M39" s="2019">
        <f>M38/(M5)</f>
        <v>0.6716662835680075</v>
      </c>
      <c r="N39" s="2019" t="e">
        <f>N38/(N5)</f>
        <v>#DIV/0!</v>
      </c>
      <c r="O39" s="2020">
        <f>O38/(O5)</f>
        <v>0.62848285324418129</v>
      </c>
      <c r="P39" s="2020">
        <f t="shared" si="2"/>
        <v>3.4030480351285226E-6</v>
      </c>
      <c r="Q39" s="2020"/>
      <c r="R39" s="2019">
        <f>R38/(R5)</f>
        <v>-0.25117321241761598</v>
      </c>
      <c r="S39" s="2019">
        <f>S38/(S5)</f>
        <v>0.83779578489245821</v>
      </c>
      <c r="T39" s="2020">
        <f>T38/(T5)</f>
        <v>0.37566733645702249</v>
      </c>
      <c r="U39" s="2020">
        <f t="shared" si="53"/>
        <v>2.0341270801469904E-6</v>
      </c>
      <c r="V39" s="2020"/>
      <c r="W39" s="2019">
        <f>W38/(W5)</f>
        <v>0.71181995088376415</v>
      </c>
      <c r="X39" s="2019" t="e">
        <f>X38/(X5)</f>
        <v>#DIV/0!</v>
      </c>
      <c r="Y39" s="2020">
        <f>Y38/(Y5)</f>
        <v>0.59798772198030981</v>
      </c>
      <c r="Z39" s="2020">
        <f t="shared" si="54"/>
        <v>3.2379259542430725E-6</v>
      </c>
      <c r="AA39" s="2020"/>
      <c r="AB39" s="2019">
        <f>AB38/(AB5)</f>
        <v>0.48973414075993094</v>
      </c>
      <c r="AC39" s="2019" t="e">
        <f>AC38/(AC5)</f>
        <v>#DIV/0!</v>
      </c>
      <c r="AD39" s="2020">
        <f>AD38/(AD5)</f>
        <v>0.26466577576280942</v>
      </c>
      <c r="AE39" s="2020">
        <f t="shared" si="55"/>
        <v>1.433086588641523E-6</v>
      </c>
      <c r="AF39" s="2020"/>
      <c r="AG39" s="2019">
        <v>0.23381131443481099</v>
      </c>
      <c r="AH39" s="2019">
        <v>-5.5229274770173653</v>
      </c>
      <c r="AI39" s="2020">
        <v>9.6241943140869313E-2</v>
      </c>
      <c r="AJ39" s="2020">
        <v>5.3000405862647236E-7</v>
      </c>
      <c r="AK39" s="2020"/>
      <c r="AL39" s="2019" t="e">
        <f>AL38/(AL5)</f>
        <v>#DIV/0!</v>
      </c>
      <c r="AM39" s="2019" t="e">
        <f>AM38/(AM5)</f>
        <v>#DIV/0!</v>
      </c>
      <c r="AN39" s="2020" t="e">
        <f>AN38/(AN5)</f>
        <v>#DIV/0!</v>
      </c>
      <c r="AO39" s="2020" t="e">
        <f t="shared" si="56"/>
        <v>#DIV/0!</v>
      </c>
      <c r="AP39" s="2020"/>
      <c r="AQ39" s="2019" t="e">
        <f>AQ38/(AQ5)</f>
        <v>#DIV/0!</v>
      </c>
      <c r="AR39" s="2019" t="e">
        <f>AR38/(AR5)</f>
        <v>#DIV/0!</v>
      </c>
      <c r="AS39" s="2020" t="e">
        <f>AS38/(AS5)</f>
        <v>#DIV/0!</v>
      </c>
      <c r="AT39" s="2020" t="e">
        <f t="shared" si="57"/>
        <v>#DIV/0!</v>
      </c>
      <c r="AU39" s="2020"/>
      <c r="AV39" s="2019" t="e">
        <f>AV38/(AV5)</f>
        <v>#DIV/0!</v>
      </c>
      <c r="AW39" s="2019" t="e">
        <f>AW38/(AW5)</f>
        <v>#DIV/0!</v>
      </c>
      <c r="AX39" s="2020" t="e">
        <f>AX38/(AX5)</f>
        <v>#DIV/0!</v>
      </c>
      <c r="AY39" s="2020" t="e">
        <f t="shared" si="58"/>
        <v>#DIV/0!</v>
      </c>
      <c r="AZ39" s="2020"/>
      <c r="BA39" s="2019" t="e">
        <f>BA38/(BA5)</f>
        <v>#DIV/0!</v>
      </c>
      <c r="BB39" s="2019" t="e">
        <f>BB38/(BB5)</f>
        <v>#DIV/0!</v>
      </c>
      <c r="BC39" s="2020" t="e">
        <f>BC38/(BC5)</f>
        <v>#DIV/0!</v>
      </c>
      <c r="BD39" s="2020" t="e">
        <f>BC39/$AD$89</f>
        <v>#DIV/0!</v>
      </c>
      <c r="BE39" s="2020"/>
      <c r="BF39" s="2019" t="e">
        <f>BF38/(BF5)</f>
        <v>#DIV/0!</v>
      </c>
      <c r="BG39" s="2019" t="e">
        <f>BG38/(BG5)</f>
        <v>#DIV/0!</v>
      </c>
      <c r="BH39" s="2020" t="e">
        <f>BH38/(BH5)</f>
        <v>#DIV/0!</v>
      </c>
      <c r="BI39" s="2020" t="e">
        <f>BH39/$AD$89</f>
        <v>#DIV/0!</v>
      </c>
      <c r="BJ39" s="2020"/>
      <c r="BK39" s="2019" t="e">
        <f>BK38/(BK5)</f>
        <v>#DIV/0!</v>
      </c>
      <c r="BL39" s="2019" t="e">
        <f>BL38/(BL5)</f>
        <v>#DIV/0!</v>
      </c>
      <c r="BM39" s="2020" t="e">
        <f>BM38/(BM5)</f>
        <v>#DIV/0!</v>
      </c>
      <c r="BN39" s="2020" t="e">
        <f>BM39/$AD$89</f>
        <v>#DIV/0!</v>
      </c>
      <c r="BO39" s="2020"/>
      <c r="BP39" s="2019" t="e">
        <f>BP38/(BP5)</f>
        <v>#DIV/0!</v>
      </c>
      <c r="BQ39" s="2019" t="e">
        <f>BQ38/(BQ5)</f>
        <v>#DIV/0!</v>
      </c>
      <c r="BR39" s="2020" t="e">
        <f>BR38/(BR5)</f>
        <v>#DIV/0!</v>
      </c>
      <c r="BS39" s="2020" t="e">
        <f>BR39/$AD$89</f>
        <v>#DIV/0!</v>
      </c>
      <c r="BT39" s="2020"/>
      <c r="BU39" s="2019" t="e">
        <f>BU38/(BU5)</f>
        <v>#DIV/0!</v>
      </c>
      <c r="BV39" s="2019" t="e">
        <f>BV38/(BV5)</f>
        <v>#DIV/0!</v>
      </c>
      <c r="BW39" s="2020" t="e">
        <f>BW38/(BW5)</f>
        <v>#DIV/0!</v>
      </c>
      <c r="BX39" s="2020" t="e">
        <f>BW39/$AN$89</f>
        <v>#DIV/0!</v>
      </c>
      <c r="BY39" s="2020"/>
      <c r="BZ39" s="2019" t="e">
        <f>BZ38/(BZ5)</f>
        <v>#DIV/0!</v>
      </c>
      <c r="CA39" s="2019" t="e">
        <f>CA38/(CA5)</f>
        <v>#DIV/0!</v>
      </c>
      <c r="CB39" s="2020" t="e">
        <f>CB38/(CB5)</f>
        <v>#DIV/0!</v>
      </c>
      <c r="CC39" s="2020" t="e">
        <f>CB39/$AN$89</f>
        <v>#DIV/0!</v>
      </c>
      <c r="CD39" s="2019"/>
      <c r="CE39" s="2019" t="e">
        <f>CE38/(CE5)</f>
        <v>#DIV/0!</v>
      </c>
      <c r="CF39" s="2019" t="e">
        <f>CF38/(CF5)</f>
        <v>#DIV/0!</v>
      </c>
      <c r="CG39" s="2020" t="e">
        <f>CG38/(CG5)</f>
        <v>#DIV/0!</v>
      </c>
      <c r="CH39" s="2020" t="e">
        <f>CG39/$AN$89</f>
        <v>#DIV/0!</v>
      </c>
      <c r="CI39" s="2019"/>
      <c r="CJ39" s="2019" t="e">
        <f>CJ38/(CJ5)</f>
        <v>#DIV/0!</v>
      </c>
      <c r="CK39" s="2019" t="e">
        <f>CK38/(CK5)</f>
        <v>#DIV/0!</v>
      </c>
      <c r="CL39" s="2020" t="e">
        <f>CL38/(CL5)</f>
        <v>#DIV/0!</v>
      </c>
      <c r="CM39" s="2020" t="e">
        <f>CL39/$AN$89</f>
        <v>#DIV/0!</v>
      </c>
      <c r="CN39" s="2019"/>
      <c r="CO39" s="2019" t="e">
        <f>CO38/(CO5)</f>
        <v>#DIV/0!</v>
      </c>
      <c r="CP39" s="2019" t="e">
        <f>CP38/(CP5)</f>
        <v>#DIV/0!</v>
      </c>
      <c r="CQ39" s="2020" t="e">
        <f>CQ38/(CQ5)</f>
        <v>#DIV/0!</v>
      </c>
      <c r="CR39" s="2020" t="e">
        <f>CQ39/$AN$89</f>
        <v>#DIV/0!</v>
      </c>
      <c r="CS39" s="2019"/>
      <c r="CT39" s="2019" t="e">
        <f>CT38/(CT5)</f>
        <v>#DIV/0!</v>
      </c>
      <c r="CU39" s="2019" t="e">
        <f>CU38/(CU5)</f>
        <v>#DIV/0!</v>
      </c>
      <c r="CV39" s="2020" t="e">
        <f>CV38/(CV5)</f>
        <v>#DIV/0!</v>
      </c>
      <c r="CW39" s="2020" t="e">
        <f>CV39/$AN$89</f>
        <v>#DIV/0!</v>
      </c>
      <c r="CX39" s="2019"/>
      <c r="CY39" s="2019">
        <f>CY38/(CY5)</f>
        <v>0.37271534937289152</v>
      </c>
      <c r="CZ39" s="2019">
        <f>CZ38/(CZ5)</f>
        <v>-0.32137543553651515</v>
      </c>
      <c r="DA39" s="2020">
        <f>DA38/(DA5)</f>
        <v>0.30646562794980109</v>
      </c>
      <c r="DB39" s="2020"/>
      <c r="DC39" s="2020"/>
    </row>
    <row r="40" spans="1:107" ht="14.4" thickBot="1" x14ac:dyDescent="0.3">
      <c r="A40" s="1582"/>
      <c r="B40" s="3316"/>
      <c r="C40" s="3317"/>
      <c r="D40" s="3317"/>
      <c r="E40" s="3317"/>
      <c r="F40" s="3317"/>
      <c r="G40" s="3317"/>
      <c r="H40" s="3317"/>
      <c r="I40" s="3317"/>
      <c r="J40" s="3317"/>
      <c r="K40" s="3317"/>
      <c r="L40" s="3317"/>
      <c r="M40" s="3317"/>
      <c r="N40" s="3317"/>
      <c r="O40" s="3317"/>
      <c r="P40" s="3317">
        <f t="shared" si="2"/>
        <v>0</v>
      </c>
      <c r="Q40" s="3317"/>
      <c r="R40" s="3317"/>
      <c r="S40" s="3317"/>
      <c r="T40" s="3317"/>
      <c r="U40" s="3317">
        <f t="shared" si="53"/>
        <v>0</v>
      </c>
      <c r="V40" s="3317"/>
      <c r="W40" s="3317"/>
      <c r="X40" s="3317"/>
      <c r="Y40" s="3317"/>
      <c r="Z40" s="3317">
        <f t="shared" si="54"/>
        <v>0</v>
      </c>
      <c r="AA40" s="3317"/>
      <c r="AB40" s="3317"/>
      <c r="AC40" s="3317"/>
      <c r="AD40" s="3317"/>
      <c r="AE40" s="3317">
        <f t="shared" si="55"/>
        <v>0</v>
      </c>
      <c r="AF40" s="3317"/>
      <c r="AG40" s="3317"/>
      <c r="AH40" s="3317"/>
      <c r="AI40" s="3317"/>
      <c r="AJ40" s="3317">
        <v>0</v>
      </c>
      <c r="AK40" s="3317"/>
      <c r="AL40" s="3317"/>
      <c r="AM40" s="3317"/>
      <c r="AN40" s="3317"/>
      <c r="AO40" s="3317">
        <f t="shared" si="56"/>
        <v>0</v>
      </c>
      <c r="AP40" s="3317"/>
      <c r="AQ40" s="3317"/>
      <c r="AR40" s="3317"/>
      <c r="AS40" s="3317"/>
      <c r="AT40" s="3317">
        <f t="shared" si="57"/>
        <v>0</v>
      </c>
      <c r="AU40" s="3317"/>
      <c r="AV40" s="3317"/>
      <c r="AW40" s="3317"/>
      <c r="AX40" s="3317"/>
      <c r="AY40" s="3317">
        <f t="shared" si="58"/>
        <v>0</v>
      </c>
      <c r="AZ40" s="3317"/>
      <c r="BA40" s="3317"/>
      <c r="BB40" s="3317"/>
      <c r="BC40" s="3317"/>
      <c r="BD40" s="3317"/>
      <c r="BE40" s="3317"/>
      <c r="BF40" s="3317"/>
      <c r="BG40" s="3317"/>
      <c r="BH40" s="3317"/>
      <c r="BI40" s="3317"/>
      <c r="BJ40" s="3317"/>
      <c r="BK40" s="3317"/>
      <c r="BL40" s="3317"/>
      <c r="BM40" s="3317"/>
      <c r="BN40" s="3317"/>
      <c r="BO40" s="3317"/>
      <c r="BP40" s="3317"/>
      <c r="BQ40" s="3317"/>
      <c r="BR40" s="3317"/>
      <c r="BS40" s="3317"/>
      <c r="BT40" s="3317"/>
      <c r="BU40" s="3317"/>
      <c r="BV40" s="3317"/>
      <c r="BW40" s="3317"/>
      <c r="BX40" s="3317"/>
      <c r="BY40" s="3317"/>
      <c r="BZ40" s="3317"/>
      <c r="CA40" s="3317"/>
      <c r="CB40" s="3317"/>
      <c r="CC40" s="3317"/>
      <c r="CD40" s="3317"/>
      <c r="CE40" s="3317"/>
      <c r="CF40" s="3317"/>
      <c r="CG40" s="3317"/>
      <c r="CH40" s="3317"/>
      <c r="CI40" s="3317"/>
      <c r="CJ40" s="3317"/>
      <c r="CK40" s="3317"/>
      <c r="CL40" s="3317"/>
      <c r="CM40" s="3317"/>
      <c r="CN40" s="3317"/>
      <c r="CO40" s="3317"/>
      <c r="CP40" s="3317"/>
      <c r="CQ40" s="3317"/>
      <c r="CR40" s="3317"/>
      <c r="CS40" s="3317"/>
      <c r="CT40" s="3317"/>
      <c r="CU40" s="3317"/>
      <c r="CV40" s="3317"/>
      <c r="CW40" s="3317"/>
      <c r="CX40" s="3317"/>
      <c r="CY40" s="3317"/>
      <c r="CZ40" s="3317"/>
      <c r="DA40" s="3317"/>
      <c r="DB40" s="3317"/>
      <c r="DC40" s="3317"/>
    </row>
    <row r="41" spans="1:107" ht="13.8" x14ac:dyDescent="0.25">
      <c r="A41" s="1420"/>
      <c r="B41" s="1430" t="s">
        <v>26</v>
      </c>
      <c r="C41" s="2029">
        <f>SUM(C42:C48)</f>
        <v>0</v>
      </c>
      <c r="D41" s="2029">
        <f>SUM(D42:D48)</f>
        <v>0</v>
      </c>
      <c r="E41" s="2030">
        <f>SUM(E42:E48)</f>
        <v>0</v>
      </c>
      <c r="F41" s="3318">
        <f t="shared" ref="F41:F48" si="59">E41/$E$89</f>
        <v>0</v>
      </c>
      <c r="G41" s="2022"/>
      <c r="H41" s="2029">
        <f>SUM(H42:H48)</f>
        <v>0</v>
      </c>
      <c r="I41" s="2029">
        <f>SUM(I42:I48)</f>
        <v>0</v>
      </c>
      <c r="J41" s="2030">
        <f>SUM(J42:J48)</f>
        <v>0</v>
      </c>
      <c r="K41" s="3318">
        <f t="shared" ref="K41:K48" si="60">J41/$T$89</f>
        <v>0</v>
      </c>
      <c r="L41" s="2022"/>
      <c r="M41" s="2029">
        <f>SUM(M42:M48)</f>
        <v>0</v>
      </c>
      <c r="N41" s="2029">
        <f>SUM(N42:N48)</f>
        <v>45</v>
      </c>
      <c r="O41" s="2030">
        <f>SUM(O42:O48)</f>
        <v>45</v>
      </c>
      <c r="P41" s="3318">
        <f t="shared" si="2"/>
        <v>2.436616381661027E-4</v>
      </c>
      <c r="Q41" s="2022"/>
      <c r="R41" s="2029">
        <f>SUM(R42:R48)</f>
        <v>0</v>
      </c>
      <c r="S41" s="2029">
        <f>SUM(S42:S48)</f>
        <v>0</v>
      </c>
      <c r="T41" s="2030">
        <f>SUM(T42:T48)</f>
        <v>0</v>
      </c>
      <c r="U41" s="3318">
        <f t="shared" si="53"/>
        <v>0</v>
      </c>
      <c r="V41" s="2022"/>
      <c r="W41" s="2029">
        <f>SUM(W42:W48)</f>
        <v>0</v>
      </c>
      <c r="X41" s="2029">
        <f>SUM(X42:X48)</f>
        <v>0</v>
      </c>
      <c r="Y41" s="2030">
        <f>SUM(Y42:Y48)</f>
        <v>0</v>
      </c>
      <c r="Z41" s="3318">
        <f t="shared" si="54"/>
        <v>0</v>
      </c>
      <c r="AA41" s="2022"/>
      <c r="AB41" s="2029">
        <f>SUM(AB42:AB48)</f>
        <v>0</v>
      </c>
      <c r="AC41" s="2029">
        <f>SUM(AC42:AC48)</f>
        <v>0</v>
      </c>
      <c r="AD41" s="2030">
        <f>SUM(AD42:AD48)</f>
        <v>0</v>
      </c>
      <c r="AE41" s="3318">
        <f t="shared" si="55"/>
        <v>0</v>
      </c>
      <c r="AF41" s="2022"/>
      <c r="AG41" s="2029">
        <v>90</v>
      </c>
      <c r="AH41" s="2029">
        <v>0</v>
      </c>
      <c r="AI41" s="2030">
        <v>90</v>
      </c>
      <c r="AJ41" s="3318">
        <v>4.9562969864982358E-4</v>
      </c>
      <c r="AK41" s="2022"/>
      <c r="AL41" s="2029">
        <f>SUM(AL42:AL48)</f>
        <v>0</v>
      </c>
      <c r="AM41" s="2029">
        <f>SUM(AM42:AM48)</f>
        <v>0</v>
      </c>
      <c r="AN41" s="2030">
        <f>SUM(AN42:AN48)</f>
        <v>0</v>
      </c>
      <c r="AO41" s="3318">
        <f t="shared" si="56"/>
        <v>0</v>
      </c>
      <c r="AP41" s="2022"/>
      <c r="AQ41" s="2029">
        <f>SUM(AQ42:AQ48)</f>
        <v>0</v>
      </c>
      <c r="AR41" s="2029">
        <f>SUM(AR42:AR48)</f>
        <v>0</v>
      </c>
      <c r="AS41" s="2030">
        <f>SUM(AS42:AS48)</f>
        <v>0</v>
      </c>
      <c r="AT41" s="3318">
        <f t="shared" si="57"/>
        <v>0</v>
      </c>
      <c r="AU41" s="2022"/>
      <c r="AV41" s="2029">
        <f>SUM(AV42:AV48)</f>
        <v>0</v>
      </c>
      <c r="AW41" s="2029">
        <f>SUM(AW42:AW48)</f>
        <v>0</v>
      </c>
      <c r="AX41" s="2030">
        <f>SUM(AX42:AX48)</f>
        <v>0</v>
      </c>
      <c r="AY41" s="3318">
        <f t="shared" si="58"/>
        <v>0</v>
      </c>
      <c r="AZ41" s="2022"/>
      <c r="BA41" s="2029">
        <f>SUM(BA42:BA48)</f>
        <v>0</v>
      </c>
      <c r="BB41" s="2029">
        <f>SUM(BB42:BB48)</f>
        <v>0</v>
      </c>
      <c r="BC41" s="2030">
        <f>SUM(BC42:BC48)</f>
        <v>0</v>
      </c>
      <c r="BD41" s="3318">
        <f t="shared" ref="BD41:BD52" si="61">BC41/$AD$89</f>
        <v>0</v>
      </c>
      <c r="BE41" s="2022"/>
      <c r="BF41" s="2029">
        <f>SUM(BF42:BF48)</f>
        <v>0</v>
      </c>
      <c r="BG41" s="2029">
        <f>SUM(BG42:BG48)</f>
        <v>0</v>
      </c>
      <c r="BH41" s="2030">
        <f>SUM(BH42:BH48)</f>
        <v>0</v>
      </c>
      <c r="BI41" s="3318">
        <f t="shared" ref="BI41:BI52" si="62">BH41/$AD$89</f>
        <v>0</v>
      </c>
      <c r="BJ41" s="2022"/>
      <c r="BK41" s="2029">
        <f>SUM(BK42:BK48)</f>
        <v>0</v>
      </c>
      <c r="BL41" s="2029">
        <f>SUM(BL42:BL48)</f>
        <v>0</v>
      </c>
      <c r="BM41" s="2030">
        <f>SUM(BM42:BM48)</f>
        <v>0</v>
      </c>
      <c r="BN41" s="3318">
        <f t="shared" ref="BN41:BN52" si="63">BM41/$AD$89</f>
        <v>0</v>
      </c>
      <c r="BO41" s="2022"/>
      <c r="BP41" s="2029">
        <f>SUM(BP42:BP48)</f>
        <v>0</v>
      </c>
      <c r="BQ41" s="2029">
        <f>SUM(BQ42:BQ48)</f>
        <v>0</v>
      </c>
      <c r="BR41" s="2030">
        <f>SUM(BR42:BR48)</f>
        <v>0</v>
      </c>
      <c r="BS41" s="3318">
        <f t="shared" ref="BS41:BS52" si="64">BR41/$AD$89</f>
        <v>0</v>
      </c>
      <c r="BT41" s="2022"/>
      <c r="BU41" s="2029">
        <f>SUM(BU42:BU48)</f>
        <v>0</v>
      </c>
      <c r="BV41" s="2029">
        <f>SUM(BV42:BV48)</f>
        <v>0</v>
      </c>
      <c r="BW41" s="2030">
        <f>SUM(BW42:BW48)</f>
        <v>0</v>
      </c>
      <c r="BX41" s="3318" t="e">
        <f t="shared" ref="BX41:BX52" si="65">BW41/$AN$89</f>
        <v>#DIV/0!</v>
      </c>
      <c r="BY41" s="2022"/>
      <c r="BZ41" s="2029">
        <f>SUM(BZ42:BZ48)</f>
        <v>0</v>
      </c>
      <c r="CA41" s="2029">
        <f>SUM(CA42:CA48)</f>
        <v>0</v>
      </c>
      <c r="CB41" s="2030">
        <f>SUM(CB42:CB48)</f>
        <v>0</v>
      </c>
      <c r="CC41" s="3318" t="e">
        <f t="shared" ref="CC41:CC52" si="66">CB41/$AN$89</f>
        <v>#DIV/0!</v>
      </c>
      <c r="CD41" s="1329"/>
      <c r="CE41" s="2029">
        <f>SUM(CE42:CE48)</f>
        <v>0</v>
      </c>
      <c r="CF41" s="2029">
        <f>SUM(CF42:CF48)</f>
        <v>0</v>
      </c>
      <c r="CG41" s="2030">
        <f>SUM(CG42:CG48)</f>
        <v>0</v>
      </c>
      <c r="CH41" s="3318" t="e">
        <f t="shared" ref="CH41:CH52" si="67">CG41/$AN$89</f>
        <v>#DIV/0!</v>
      </c>
      <c r="CI41" s="1329"/>
      <c r="CJ41" s="2029">
        <f>SUM(CJ42:CJ48)</f>
        <v>0</v>
      </c>
      <c r="CK41" s="2029">
        <f>SUM(CK42:CK48)</f>
        <v>0</v>
      </c>
      <c r="CL41" s="2030">
        <f>SUM(CL42:CL48)</f>
        <v>0</v>
      </c>
      <c r="CM41" s="3318" t="e">
        <f t="shared" ref="CM41:CM52" si="68">CL41/$AN$89</f>
        <v>#DIV/0!</v>
      </c>
      <c r="CN41" s="1329"/>
      <c r="CO41" s="2029">
        <f>SUM(CO42:CO48)</f>
        <v>0</v>
      </c>
      <c r="CP41" s="2029">
        <f>SUM(CP42:CP48)</f>
        <v>0</v>
      </c>
      <c r="CQ41" s="2030">
        <f>SUM(CQ42:CQ48)</f>
        <v>0</v>
      </c>
      <c r="CR41" s="3318" t="e">
        <f t="shared" ref="CR41:CR52" si="69">CQ41/$AN$89</f>
        <v>#DIV/0!</v>
      </c>
      <c r="CS41" s="1329"/>
      <c r="CT41" s="2029">
        <f>SUM(CT42:CT48)</f>
        <v>0</v>
      </c>
      <c r="CU41" s="2029">
        <f>SUM(CU42:CU48)</f>
        <v>0</v>
      </c>
      <c r="CV41" s="2030">
        <f>SUM(CV42:CV48)</f>
        <v>0</v>
      </c>
      <c r="CW41" s="3318" t="e">
        <f t="shared" ref="CW41:CW52" si="70">CV41/$AN$89</f>
        <v>#DIV/0!</v>
      </c>
      <c r="CX41" s="1329"/>
      <c r="CY41" s="2029">
        <f>SUM(CY42:CY48)</f>
        <v>90</v>
      </c>
      <c r="CZ41" s="2029">
        <f>SUM(CZ42:CZ48)</f>
        <v>45</v>
      </c>
      <c r="DA41" s="2030">
        <f>SUM(DA42:DA48)</f>
        <v>135</v>
      </c>
      <c r="DB41" s="3318">
        <f t="shared" ref="DB41:DB71" si="71">DA41/$DA$89</f>
        <v>5.2845744414142782E-5</v>
      </c>
      <c r="DC41" s="2022"/>
    </row>
    <row r="42" spans="1:107" ht="13.8" x14ac:dyDescent="0.25">
      <c r="A42" s="4015"/>
      <c r="B42" s="3319" t="s">
        <v>7</v>
      </c>
      <c r="C42" s="3274"/>
      <c r="D42" s="3274"/>
      <c r="E42" s="2028">
        <f t="shared" ref="E42:E48" si="72">C42+D42*1</f>
        <v>0</v>
      </c>
      <c r="F42" s="3284">
        <f t="shared" si="59"/>
        <v>0</v>
      </c>
      <c r="G42" s="3295"/>
      <c r="H42" s="3274"/>
      <c r="I42" s="3274"/>
      <c r="J42" s="2028">
        <f t="shared" ref="J42:J48" si="73">H42+I42*1</f>
        <v>0</v>
      </c>
      <c r="K42" s="3284">
        <f t="shared" si="60"/>
        <v>0</v>
      </c>
      <c r="L42" s="3295"/>
      <c r="M42" s="3274"/>
      <c r="N42" s="3274"/>
      <c r="O42" s="2028">
        <f t="shared" ref="O42:O48" si="74">M42+N42*1</f>
        <v>0</v>
      </c>
      <c r="P42" s="3284">
        <f t="shared" si="2"/>
        <v>0</v>
      </c>
      <c r="Q42" s="3295"/>
      <c r="R42" s="3274"/>
      <c r="S42" s="3274"/>
      <c r="T42" s="2028">
        <f t="shared" ref="T42:T48" si="75">R42+S42*1</f>
        <v>0</v>
      </c>
      <c r="U42" s="3284">
        <f t="shared" si="53"/>
        <v>0</v>
      </c>
      <c r="V42" s="3295"/>
      <c r="W42" s="3274"/>
      <c r="X42" s="3274"/>
      <c r="Y42" s="2028">
        <f t="shared" ref="Y42:Y48" si="76">W42+X42*1</f>
        <v>0</v>
      </c>
      <c r="Z42" s="3284">
        <f t="shared" si="54"/>
        <v>0</v>
      </c>
      <c r="AA42" s="3295"/>
      <c r="AB42" s="3274"/>
      <c r="AC42" s="3274"/>
      <c r="AD42" s="2028">
        <f t="shared" ref="AD42:AD48" si="77">AB42+AC42*1</f>
        <v>0</v>
      </c>
      <c r="AE42" s="3284">
        <f t="shared" si="55"/>
        <v>0</v>
      </c>
      <c r="AF42" s="3295"/>
      <c r="AG42" s="3274">
        <v>0</v>
      </c>
      <c r="AH42" s="3274">
        <v>0</v>
      </c>
      <c r="AI42" s="2028">
        <v>0</v>
      </c>
      <c r="AJ42" s="3284">
        <v>0</v>
      </c>
      <c r="AK42" s="3276"/>
      <c r="AL42" s="3274">
        <f t="shared" ref="AL42:AM48" si="78">AQ42+AV42+BA42+BF42+BK42+BP42+BU42+BZ42+CE42+CJ42+CO42+CT42</f>
        <v>0</v>
      </c>
      <c r="AM42" s="3274">
        <f t="shared" si="78"/>
        <v>0</v>
      </c>
      <c r="AN42" s="2028">
        <f t="shared" ref="AN42:AN48" si="79">AL42+AM42*1</f>
        <v>0</v>
      </c>
      <c r="AO42" s="3284">
        <f t="shared" si="56"/>
        <v>0</v>
      </c>
      <c r="AP42" s="3276"/>
      <c r="AQ42" s="3274"/>
      <c r="AR42" s="3274"/>
      <c r="AS42" s="2028">
        <f t="shared" ref="AS42:AS48" si="80">AQ42+AR42*1</f>
        <v>0</v>
      </c>
      <c r="AT42" s="3284">
        <f t="shared" si="57"/>
        <v>0</v>
      </c>
      <c r="AU42" s="3295"/>
      <c r="AV42" s="3274"/>
      <c r="AW42" s="3274"/>
      <c r="AX42" s="2028">
        <f t="shared" ref="AX42:AX48" si="81">AV42+AW42*1</f>
        <v>0</v>
      </c>
      <c r="AY42" s="3284">
        <f t="shared" si="58"/>
        <v>0</v>
      </c>
      <c r="AZ42" s="3295"/>
      <c r="BA42" s="3274"/>
      <c r="BB42" s="3274"/>
      <c r="BC42" s="2028">
        <f t="shared" ref="BC42:BC48" si="82">BA42+BB42*1</f>
        <v>0</v>
      </c>
      <c r="BD42" s="3284">
        <f t="shared" si="61"/>
        <v>0</v>
      </c>
      <c r="BE42" s="3295"/>
      <c r="BF42" s="3274"/>
      <c r="BG42" s="3274"/>
      <c r="BH42" s="2028">
        <f t="shared" ref="BH42:BH48" si="83">BF42+BG42*1</f>
        <v>0</v>
      </c>
      <c r="BI42" s="3284">
        <f t="shared" si="62"/>
        <v>0</v>
      </c>
      <c r="BJ42" s="3295"/>
      <c r="BK42" s="3274"/>
      <c r="BL42" s="3274"/>
      <c r="BM42" s="2028">
        <f t="shared" ref="BM42:BM48" si="84">BK42+BL42*1</f>
        <v>0</v>
      </c>
      <c r="BN42" s="3284">
        <f t="shared" si="63"/>
        <v>0</v>
      </c>
      <c r="BO42" s="3295"/>
      <c r="BP42" s="3274"/>
      <c r="BQ42" s="3274"/>
      <c r="BR42" s="2028">
        <f t="shared" ref="BR42:BR48" si="85">BP42+BQ42*1</f>
        <v>0</v>
      </c>
      <c r="BS42" s="3284">
        <f t="shared" si="64"/>
        <v>0</v>
      </c>
      <c r="BT42" s="3295"/>
      <c r="BU42" s="3274"/>
      <c r="BV42" s="3274"/>
      <c r="BW42" s="2028">
        <f t="shared" ref="BW42:BW48" si="86">BU42+BV42*1</f>
        <v>0</v>
      </c>
      <c r="BX42" s="3284" t="e">
        <f t="shared" si="65"/>
        <v>#DIV/0!</v>
      </c>
      <c r="BY42" s="3295"/>
      <c r="BZ42" s="3274"/>
      <c r="CA42" s="3274"/>
      <c r="CB42" s="2028">
        <f t="shared" ref="CB42:CB48" si="87">BZ42+CA42*1</f>
        <v>0</v>
      </c>
      <c r="CC42" s="3284" t="e">
        <f t="shared" si="66"/>
        <v>#DIV/0!</v>
      </c>
      <c r="CD42" s="1449"/>
      <c r="CE42" s="3274"/>
      <c r="CF42" s="3274"/>
      <c r="CG42" s="2028">
        <f t="shared" ref="CG42:CG48" si="88">CE42+CF42*1</f>
        <v>0</v>
      </c>
      <c r="CH42" s="3284" t="e">
        <f t="shared" si="67"/>
        <v>#DIV/0!</v>
      </c>
      <c r="CI42" s="1449"/>
      <c r="CJ42" s="3274"/>
      <c r="CK42" s="3274"/>
      <c r="CL42" s="2028">
        <f t="shared" ref="CL42:CL48" si="89">CJ42+CK42*1</f>
        <v>0</v>
      </c>
      <c r="CM42" s="3284" t="e">
        <f t="shared" si="68"/>
        <v>#DIV/0!</v>
      </c>
      <c r="CN42" s="1449"/>
      <c r="CO42" s="3274"/>
      <c r="CP42" s="3274"/>
      <c r="CQ42" s="2028">
        <f t="shared" ref="CQ42:CQ48" si="90">CO42+CP42*1</f>
        <v>0</v>
      </c>
      <c r="CR42" s="3284" t="e">
        <f t="shared" si="69"/>
        <v>#DIV/0!</v>
      </c>
      <c r="CS42" s="1449"/>
      <c r="CT42" s="3274"/>
      <c r="CU42" s="3274"/>
      <c r="CV42" s="2028">
        <f t="shared" ref="CV42:CV48" si="91">CT42+CU42*1</f>
        <v>0</v>
      </c>
      <c r="CW42" s="3284" t="e">
        <f t="shared" si="70"/>
        <v>#DIV/0!</v>
      </c>
      <c r="CX42" s="1449"/>
      <c r="CY42" s="3274">
        <f t="shared" ref="CY42:CZ48" si="92">C42+H42+M42+R42+W42+AB42+AQ42+AV42+BA42+BF42+BK42+BP42+BU42+BZ42+CE42+CJ42+CO42+CT42+AG42</f>
        <v>0</v>
      </c>
      <c r="CZ42" s="3274">
        <f t="shared" si="92"/>
        <v>0</v>
      </c>
      <c r="DA42" s="2028">
        <f t="shared" ref="DA42:DA48" si="93">CY42+CZ42*1</f>
        <v>0</v>
      </c>
      <c r="DB42" s="3284">
        <f t="shared" si="71"/>
        <v>0</v>
      </c>
      <c r="DC42" s="3295"/>
    </row>
    <row r="43" spans="1:107" ht="13.8" x14ac:dyDescent="0.25">
      <c r="A43" s="4015"/>
      <c r="B43" s="3319" t="s">
        <v>27</v>
      </c>
      <c r="C43" s="3274"/>
      <c r="D43" s="3274"/>
      <c r="E43" s="2028">
        <f t="shared" si="72"/>
        <v>0</v>
      </c>
      <c r="F43" s="3284">
        <f t="shared" si="59"/>
        <v>0</v>
      </c>
      <c r="G43" s="3295"/>
      <c r="H43" s="3274"/>
      <c r="I43" s="3274"/>
      <c r="J43" s="2028">
        <f t="shared" si="73"/>
        <v>0</v>
      </c>
      <c r="K43" s="3284">
        <f t="shared" si="60"/>
        <v>0</v>
      </c>
      <c r="L43" s="3295"/>
      <c r="M43" s="3274"/>
      <c r="N43" s="3274"/>
      <c r="O43" s="2028">
        <f t="shared" si="74"/>
        <v>0</v>
      </c>
      <c r="P43" s="3284">
        <f t="shared" si="2"/>
        <v>0</v>
      </c>
      <c r="Q43" s="3295"/>
      <c r="R43" s="3274"/>
      <c r="S43" s="3274"/>
      <c r="T43" s="2028">
        <f t="shared" si="75"/>
        <v>0</v>
      </c>
      <c r="U43" s="3284">
        <f t="shared" si="53"/>
        <v>0</v>
      </c>
      <c r="V43" s="3295"/>
      <c r="W43" s="3274"/>
      <c r="X43" s="3274"/>
      <c r="Y43" s="2028">
        <f t="shared" si="76"/>
        <v>0</v>
      </c>
      <c r="Z43" s="3284">
        <f t="shared" si="54"/>
        <v>0</v>
      </c>
      <c r="AA43" s="3295"/>
      <c r="AB43" s="3274"/>
      <c r="AC43" s="3274"/>
      <c r="AD43" s="2028">
        <f t="shared" si="77"/>
        <v>0</v>
      </c>
      <c r="AE43" s="3284">
        <f t="shared" si="55"/>
        <v>0</v>
      </c>
      <c r="AF43" s="3295"/>
      <c r="AG43" s="3274">
        <v>0</v>
      </c>
      <c r="AH43" s="3274">
        <v>0</v>
      </c>
      <c r="AI43" s="2028">
        <v>0</v>
      </c>
      <c r="AJ43" s="3284">
        <v>0</v>
      </c>
      <c r="AK43" s="3276"/>
      <c r="AL43" s="3274">
        <f t="shared" si="78"/>
        <v>0</v>
      </c>
      <c r="AM43" s="3274">
        <f t="shared" si="78"/>
        <v>0</v>
      </c>
      <c r="AN43" s="2028">
        <f t="shared" si="79"/>
        <v>0</v>
      </c>
      <c r="AO43" s="3284">
        <f t="shared" si="56"/>
        <v>0</v>
      </c>
      <c r="AP43" s="3276"/>
      <c r="AQ43" s="3274"/>
      <c r="AR43" s="3274"/>
      <c r="AS43" s="2028">
        <f t="shared" si="80"/>
        <v>0</v>
      </c>
      <c r="AT43" s="3284">
        <f t="shared" si="57"/>
        <v>0</v>
      </c>
      <c r="AU43" s="3295"/>
      <c r="AV43" s="3274"/>
      <c r="AW43" s="3274"/>
      <c r="AX43" s="2028">
        <f t="shared" si="81"/>
        <v>0</v>
      </c>
      <c r="AY43" s="3284">
        <f t="shared" si="58"/>
        <v>0</v>
      </c>
      <c r="AZ43" s="3295"/>
      <c r="BA43" s="3274"/>
      <c r="BB43" s="3274"/>
      <c r="BC43" s="2028">
        <f t="shared" si="82"/>
        <v>0</v>
      </c>
      <c r="BD43" s="3284">
        <f t="shared" si="61"/>
        <v>0</v>
      </c>
      <c r="BE43" s="3295"/>
      <c r="BF43" s="3274"/>
      <c r="BG43" s="3274"/>
      <c r="BH43" s="2028">
        <f t="shared" si="83"/>
        <v>0</v>
      </c>
      <c r="BI43" s="3284">
        <f t="shared" si="62"/>
        <v>0</v>
      </c>
      <c r="BJ43" s="3295"/>
      <c r="BK43" s="3274"/>
      <c r="BL43" s="3274"/>
      <c r="BM43" s="2028">
        <f t="shared" si="84"/>
        <v>0</v>
      </c>
      <c r="BN43" s="3284">
        <f t="shared" si="63"/>
        <v>0</v>
      </c>
      <c r="BO43" s="3295"/>
      <c r="BP43" s="3274"/>
      <c r="BQ43" s="3274"/>
      <c r="BR43" s="2028">
        <f t="shared" si="85"/>
        <v>0</v>
      </c>
      <c r="BS43" s="3284">
        <f t="shared" si="64"/>
        <v>0</v>
      </c>
      <c r="BT43" s="3295"/>
      <c r="BU43" s="3274"/>
      <c r="BV43" s="3274"/>
      <c r="BW43" s="2028">
        <f t="shared" si="86"/>
        <v>0</v>
      </c>
      <c r="BX43" s="3284" t="e">
        <f t="shared" si="65"/>
        <v>#DIV/0!</v>
      </c>
      <c r="BY43" s="3295"/>
      <c r="BZ43" s="3274"/>
      <c r="CA43" s="3274"/>
      <c r="CB43" s="2028">
        <f t="shared" si="87"/>
        <v>0</v>
      </c>
      <c r="CC43" s="3284" t="e">
        <f t="shared" si="66"/>
        <v>#DIV/0!</v>
      </c>
      <c r="CD43" s="1449"/>
      <c r="CE43" s="3274"/>
      <c r="CF43" s="3274"/>
      <c r="CG43" s="2028">
        <f t="shared" si="88"/>
        <v>0</v>
      </c>
      <c r="CH43" s="3284" t="e">
        <f t="shared" si="67"/>
        <v>#DIV/0!</v>
      </c>
      <c r="CI43" s="1449"/>
      <c r="CJ43" s="3274"/>
      <c r="CK43" s="3274"/>
      <c r="CL43" s="2028">
        <f t="shared" si="89"/>
        <v>0</v>
      </c>
      <c r="CM43" s="3284" t="e">
        <f t="shared" si="68"/>
        <v>#DIV/0!</v>
      </c>
      <c r="CN43" s="1449"/>
      <c r="CO43" s="3274"/>
      <c r="CP43" s="3274"/>
      <c r="CQ43" s="2028">
        <f t="shared" si="90"/>
        <v>0</v>
      </c>
      <c r="CR43" s="3284" t="e">
        <f t="shared" si="69"/>
        <v>#DIV/0!</v>
      </c>
      <c r="CS43" s="1449"/>
      <c r="CT43" s="3274"/>
      <c r="CU43" s="3274"/>
      <c r="CV43" s="2028">
        <f t="shared" si="91"/>
        <v>0</v>
      </c>
      <c r="CW43" s="3284" t="e">
        <f t="shared" si="70"/>
        <v>#DIV/0!</v>
      </c>
      <c r="CX43" s="1449"/>
      <c r="CY43" s="3274">
        <f t="shared" si="92"/>
        <v>0</v>
      </c>
      <c r="CZ43" s="3274">
        <f t="shared" si="92"/>
        <v>0</v>
      </c>
      <c r="DA43" s="2028">
        <f t="shared" si="93"/>
        <v>0</v>
      </c>
      <c r="DB43" s="3284">
        <f t="shared" si="71"/>
        <v>0</v>
      </c>
      <c r="DC43" s="3295"/>
    </row>
    <row r="44" spans="1:107" ht="13.8" x14ac:dyDescent="0.25">
      <c r="A44" s="4015"/>
      <c r="B44" s="3310" t="s">
        <v>28</v>
      </c>
      <c r="C44" s="3274"/>
      <c r="D44" s="3274"/>
      <c r="E44" s="2028">
        <f t="shared" si="72"/>
        <v>0</v>
      </c>
      <c r="F44" s="3284">
        <f t="shared" si="59"/>
        <v>0</v>
      </c>
      <c r="G44" s="3295"/>
      <c r="H44" s="3274"/>
      <c r="I44" s="3274"/>
      <c r="J44" s="2028">
        <f t="shared" si="73"/>
        <v>0</v>
      </c>
      <c r="K44" s="3284">
        <f t="shared" si="60"/>
        <v>0</v>
      </c>
      <c r="L44" s="3295"/>
      <c r="M44" s="3274"/>
      <c r="N44" s="3274"/>
      <c r="O44" s="2028">
        <f t="shared" si="74"/>
        <v>0</v>
      </c>
      <c r="P44" s="3284">
        <f t="shared" si="2"/>
        <v>0</v>
      </c>
      <c r="Q44" s="3295"/>
      <c r="R44" s="3274"/>
      <c r="S44" s="3274"/>
      <c r="T44" s="2028">
        <f t="shared" si="75"/>
        <v>0</v>
      </c>
      <c r="U44" s="3284">
        <f t="shared" si="53"/>
        <v>0</v>
      </c>
      <c r="V44" s="3295"/>
      <c r="W44" s="3274"/>
      <c r="X44" s="3274"/>
      <c r="Y44" s="2028">
        <f t="shared" si="76"/>
        <v>0</v>
      </c>
      <c r="Z44" s="3284">
        <f t="shared" si="54"/>
        <v>0</v>
      </c>
      <c r="AA44" s="3295"/>
      <c r="AB44" s="3274"/>
      <c r="AC44" s="3274"/>
      <c r="AD44" s="2028">
        <f t="shared" si="77"/>
        <v>0</v>
      </c>
      <c r="AE44" s="3284">
        <f t="shared" si="55"/>
        <v>0</v>
      </c>
      <c r="AF44" s="3295"/>
      <c r="AG44" s="3274">
        <v>0</v>
      </c>
      <c r="AH44" s="3274">
        <v>0</v>
      </c>
      <c r="AI44" s="2028">
        <v>0</v>
      </c>
      <c r="AJ44" s="3284">
        <v>0</v>
      </c>
      <c r="AK44" s="3276"/>
      <c r="AL44" s="3274">
        <f t="shared" si="78"/>
        <v>0</v>
      </c>
      <c r="AM44" s="3274">
        <f t="shared" si="78"/>
        <v>0</v>
      </c>
      <c r="AN44" s="2028">
        <f t="shared" si="79"/>
        <v>0</v>
      </c>
      <c r="AO44" s="3284">
        <f t="shared" si="56"/>
        <v>0</v>
      </c>
      <c r="AP44" s="3276"/>
      <c r="AQ44" s="3274"/>
      <c r="AR44" s="3274"/>
      <c r="AS44" s="2028">
        <f t="shared" si="80"/>
        <v>0</v>
      </c>
      <c r="AT44" s="3284">
        <f t="shared" si="57"/>
        <v>0</v>
      </c>
      <c r="AU44" s="3295"/>
      <c r="AV44" s="3274"/>
      <c r="AW44" s="3274"/>
      <c r="AX44" s="2028">
        <f t="shared" si="81"/>
        <v>0</v>
      </c>
      <c r="AY44" s="3284">
        <f t="shared" si="58"/>
        <v>0</v>
      </c>
      <c r="AZ44" s="3295"/>
      <c r="BA44" s="3274"/>
      <c r="BB44" s="3274"/>
      <c r="BC44" s="2028">
        <f t="shared" si="82"/>
        <v>0</v>
      </c>
      <c r="BD44" s="3284">
        <f t="shared" si="61"/>
        <v>0</v>
      </c>
      <c r="BE44" s="3295"/>
      <c r="BF44" s="3274"/>
      <c r="BG44" s="3274"/>
      <c r="BH44" s="2028">
        <f t="shared" si="83"/>
        <v>0</v>
      </c>
      <c r="BI44" s="3284">
        <f t="shared" si="62"/>
        <v>0</v>
      </c>
      <c r="BJ44" s="3295"/>
      <c r="BK44" s="3274"/>
      <c r="BL44" s="3274"/>
      <c r="BM44" s="2028">
        <f t="shared" si="84"/>
        <v>0</v>
      </c>
      <c r="BN44" s="3284">
        <f t="shared" si="63"/>
        <v>0</v>
      </c>
      <c r="BO44" s="3295"/>
      <c r="BP44" s="3274"/>
      <c r="BQ44" s="3274"/>
      <c r="BR44" s="2028">
        <f t="shared" si="85"/>
        <v>0</v>
      </c>
      <c r="BS44" s="3284">
        <f t="shared" si="64"/>
        <v>0</v>
      </c>
      <c r="BT44" s="3295"/>
      <c r="BU44" s="3274"/>
      <c r="BV44" s="3274"/>
      <c r="BW44" s="2028">
        <f t="shared" si="86"/>
        <v>0</v>
      </c>
      <c r="BX44" s="3284" t="e">
        <f t="shared" si="65"/>
        <v>#DIV/0!</v>
      </c>
      <c r="BY44" s="3295"/>
      <c r="BZ44" s="3274"/>
      <c r="CA44" s="3274"/>
      <c r="CB44" s="2028">
        <f t="shared" si="87"/>
        <v>0</v>
      </c>
      <c r="CC44" s="3284" t="e">
        <f t="shared" si="66"/>
        <v>#DIV/0!</v>
      </c>
      <c r="CD44" s="1449"/>
      <c r="CE44" s="3274"/>
      <c r="CF44" s="3274"/>
      <c r="CG44" s="2028">
        <f t="shared" si="88"/>
        <v>0</v>
      </c>
      <c r="CH44" s="3284" t="e">
        <f t="shared" si="67"/>
        <v>#DIV/0!</v>
      </c>
      <c r="CI44" s="1449"/>
      <c r="CJ44" s="3274"/>
      <c r="CK44" s="3274"/>
      <c r="CL44" s="2028">
        <f t="shared" si="89"/>
        <v>0</v>
      </c>
      <c r="CM44" s="3284" t="e">
        <f t="shared" si="68"/>
        <v>#DIV/0!</v>
      </c>
      <c r="CN44" s="1449"/>
      <c r="CO44" s="3274"/>
      <c r="CP44" s="3274"/>
      <c r="CQ44" s="2028">
        <f t="shared" si="90"/>
        <v>0</v>
      </c>
      <c r="CR44" s="3284" t="e">
        <f t="shared" si="69"/>
        <v>#DIV/0!</v>
      </c>
      <c r="CS44" s="1449"/>
      <c r="CT44" s="3274"/>
      <c r="CU44" s="3274"/>
      <c r="CV44" s="2028">
        <f t="shared" si="91"/>
        <v>0</v>
      </c>
      <c r="CW44" s="3284" t="e">
        <f t="shared" si="70"/>
        <v>#DIV/0!</v>
      </c>
      <c r="CX44" s="1449"/>
      <c r="CY44" s="3274">
        <f t="shared" si="92"/>
        <v>0</v>
      </c>
      <c r="CZ44" s="3274">
        <f t="shared" si="92"/>
        <v>0</v>
      </c>
      <c r="DA44" s="2028">
        <f t="shared" si="93"/>
        <v>0</v>
      </c>
      <c r="DB44" s="3284">
        <f t="shared" si="71"/>
        <v>0</v>
      </c>
      <c r="DC44" s="3295"/>
    </row>
    <row r="45" spans="1:107" ht="13.8" x14ac:dyDescent="0.25">
      <c r="A45" s="4015"/>
      <c r="B45" s="3319" t="s">
        <v>8</v>
      </c>
      <c r="C45" s="3274"/>
      <c r="D45" s="3274"/>
      <c r="E45" s="2028">
        <f t="shared" si="72"/>
        <v>0</v>
      </c>
      <c r="F45" s="3284">
        <f t="shared" si="59"/>
        <v>0</v>
      </c>
      <c r="G45" s="3295"/>
      <c r="H45" s="3274"/>
      <c r="I45" s="3274"/>
      <c r="J45" s="2028">
        <f t="shared" si="73"/>
        <v>0</v>
      </c>
      <c r="K45" s="3284">
        <f t="shared" si="60"/>
        <v>0</v>
      </c>
      <c r="L45" s="3295"/>
      <c r="M45" s="3274"/>
      <c r="N45" s="3274"/>
      <c r="O45" s="2028">
        <f t="shared" si="74"/>
        <v>0</v>
      </c>
      <c r="P45" s="3284">
        <f t="shared" si="2"/>
        <v>0</v>
      </c>
      <c r="Q45" s="3295"/>
      <c r="R45" s="3274"/>
      <c r="S45" s="3274"/>
      <c r="T45" s="2028">
        <f t="shared" si="75"/>
        <v>0</v>
      </c>
      <c r="U45" s="3284">
        <f t="shared" si="53"/>
        <v>0</v>
      </c>
      <c r="V45" s="3295"/>
      <c r="W45" s="3274"/>
      <c r="X45" s="3274"/>
      <c r="Y45" s="2028">
        <f t="shared" si="76"/>
        <v>0</v>
      </c>
      <c r="Z45" s="3284">
        <f t="shared" si="54"/>
        <v>0</v>
      </c>
      <c r="AA45" s="3295"/>
      <c r="AB45" s="3274"/>
      <c r="AC45" s="3274"/>
      <c r="AD45" s="2028">
        <f t="shared" si="77"/>
        <v>0</v>
      </c>
      <c r="AE45" s="3284">
        <f t="shared" si="55"/>
        <v>0</v>
      </c>
      <c r="AF45" s="3295"/>
      <c r="AG45" s="3274">
        <v>0</v>
      </c>
      <c r="AH45" s="3274">
        <v>0</v>
      </c>
      <c r="AI45" s="2028">
        <v>0</v>
      </c>
      <c r="AJ45" s="3284">
        <v>0</v>
      </c>
      <c r="AK45" s="3295"/>
      <c r="AL45" s="3274">
        <f t="shared" si="78"/>
        <v>0</v>
      </c>
      <c r="AM45" s="3274">
        <f t="shared" si="78"/>
        <v>0</v>
      </c>
      <c r="AN45" s="2028">
        <f t="shared" si="79"/>
        <v>0</v>
      </c>
      <c r="AO45" s="3284">
        <f t="shared" si="56"/>
        <v>0</v>
      </c>
      <c r="AP45" s="3295"/>
      <c r="AQ45" s="3274"/>
      <c r="AR45" s="3274"/>
      <c r="AS45" s="2028">
        <f t="shared" si="80"/>
        <v>0</v>
      </c>
      <c r="AT45" s="3284">
        <f t="shared" si="57"/>
        <v>0</v>
      </c>
      <c r="AU45" s="3295"/>
      <c r="AV45" s="3274"/>
      <c r="AW45" s="3274"/>
      <c r="AX45" s="2028">
        <f t="shared" si="81"/>
        <v>0</v>
      </c>
      <c r="AY45" s="3284">
        <f t="shared" si="58"/>
        <v>0</v>
      </c>
      <c r="AZ45" s="3295"/>
      <c r="BA45" s="3274"/>
      <c r="BB45" s="3274"/>
      <c r="BC45" s="2028">
        <f t="shared" si="82"/>
        <v>0</v>
      </c>
      <c r="BD45" s="3284">
        <f t="shared" si="61"/>
        <v>0</v>
      </c>
      <c r="BE45" s="3295"/>
      <c r="BF45" s="3274"/>
      <c r="BG45" s="3274"/>
      <c r="BH45" s="2028">
        <f t="shared" si="83"/>
        <v>0</v>
      </c>
      <c r="BI45" s="3284">
        <f t="shared" si="62"/>
        <v>0</v>
      </c>
      <c r="BJ45" s="3295"/>
      <c r="BK45" s="3274"/>
      <c r="BL45" s="3274"/>
      <c r="BM45" s="2028">
        <f t="shared" si="84"/>
        <v>0</v>
      </c>
      <c r="BN45" s="3284">
        <f t="shared" si="63"/>
        <v>0</v>
      </c>
      <c r="BO45" s="3295"/>
      <c r="BP45" s="3274"/>
      <c r="BQ45" s="3274"/>
      <c r="BR45" s="2028">
        <f t="shared" si="85"/>
        <v>0</v>
      </c>
      <c r="BS45" s="3284">
        <f t="shared" si="64"/>
        <v>0</v>
      </c>
      <c r="BT45" s="3295"/>
      <c r="BU45" s="3274"/>
      <c r="BV45" s="3274"/>
      <c r="BW45" s="2028">
        <f t="shared" si="86"/>
        <v>0</v>
      </c>
      <c r="BX45" s="3284" t="e">
        <f t="shared" si="65"/>
        <v>#DIV/0!</v>
      </c>
      <c r="BY45" s="3295"/>
      <c r="BZ45" s="3274"/>
      <c r="CA45" s="3274"/>
      <c r="CB45" s="2028">
        <f t="shared" si="87"/>
        <v>0</v>
      </c>
      <c r="CC45" s="3284" t="e">
        <f t="shared" si="66"/>
        <v>#DIV/0!</v>
      </c>
      <c r="CD45" s="1449"/>
      <c r="CE45" s="3274"/>
      <c r="CF45" s="3274"/>
      <c r="CG45" s="2028">
        <f t="shared" si="88"/>
        <v>0</v>
      </c>
      <c r="CH45" s="3284" t="e">
        <f t="shared" si="67"/>
        <v>#DIV/0!</v>
      </c>
      <c r="CI45" s="1449"/>
      <c r="CJ45" s="3274"/>
      <c r="CK45" s="3274"/>
      <c r="CL45" s="2028">
        <f t="shared" si="89"/>
        <v>0</v>
      </c>
      <c r="CM45" s="3284" t="e">
        <f t="shared" si="68"/>
        <v>#DIV/0!</v>
      </c>
      <c r="CN45" s="1449"/>
      <c r="CO45" s="3274"/>
      <c r="CP45" s="3274"/>
      <c r="CQ45" s="2028">
        <f t="shared" si="90"/>
        <v>0</v>
      </c>
      <c r="CR45" s="3284" t="e">
        <f t="shared" si="69"/>
        <v>#DIV/0!</v>
      </c>
      <c r="CS45" s="1449"/>
      <c r="CT45" s="3274"/>
      <c r="CU45" s="3274"/>
      <c r="CV45" s="2028">
        <f t="shared" si="91"/>
        <v>0</v>
      </c>
      <c r="CW45" s="3284" t="e">
        <f t="shared" si="70"/>
        <v>#DIV/0!</v>
      </c>
      <c r="CX45" s="1449"/>
      <c r="CY45" s="3274">
        <f t="shared" si="92"/>
        <v>0</v>
      </c>
      <c r="CZ45" s="3274">
        <f t="shared" si="92"/>
        <v>0</v>
      </c>
      <c r="DA45" s="2028">
        <f t="shared" si="93"/>
        <v>0</v>
      </c>
      <c r="DB45" s="3284">
        <f t="shared" si="71"/>
        <v>0</v>
      </c>
      <c r="DC45" s="3295"/>
    </row>
    <row r="46" spans="1:107" ht="13.8" x14ac:dyDescent="0.25">
      <c r="A46" s="4015"/>
      <c r="B46" s="3319" t="s">
        <v>29</v>
      </c>
      <c r="C46" s="3274"/>
      <c r="D46" s="3274"/>
      <c r="E46" s="2028">
        <f t="shared" si="72"/>
        <v>0</v>
      </c>
      <c r="F46" s="3284">
        <f t="shared" si="59"/>
        <v>0</v>
      </c>
      <c r="G46" s="3295"/>
      <c r="H46" s="3274"/>
      <c r="I46" s="3274"/>
      <c r="J46" s="2028">
        <f t="shared" si="73"/>
        <v>0</v>
      </c>
      <c r="K46" s="3284">
        <f t="shared" si="60"/>
        <v>0</v>
      </c>
      <c r="L46" s="3295"/>
      <c r="M46" s="3274"/>
      <c r="N46" s="3274"/>
      <c r="O46" s="2028">
        <f t="shared" si="74"/>
        <v>0</v>
      </c>
      <c r="P46" s="3284">
        <f t="shared" si="2"/>
        <v>0</v>
      </c>
      <c r="Q46" s="3295"/>
      <c r="R46" s="3274"/>
      <c r="S46" s="3274"/>
      <c r="T46" s="2028">
        <f t="shared" si="75"/>
        <v>0</v>
      </c>
      <c r="U46" s="3284">
        <f t="shared" si="53"/>
        <v>0</v>
      </c>
      <c r="V46" s="3295"/>
      <c r="W46" s="3274"/>
      <c r="X46" s="3274"/>
      <c r="Y46" s="2028">
        <f t="shared" si="76"/>
        <v>0</v>
      </c>
      <c r="Z46" s="3284">
        <f t="shared" si="54"/>
        <v>0</v>
      </c>
      <c r="AA46" s="3295"/>
      <c r="AB46" s="3274"/>
      <c r="AC46" s="3274"/>
      <c r="AD46" s="2028">
        <f t="shared" si="77"/>
        <v>0</v>
      </c>
      <c r="AE46" s="3284">
        <f t="shared" si="55"/>
        <v>0</v>
      </c>
      <c r="AF46" s="3295"/>
      <c r="AG46" s="3274">
        <v>0</v>
      </c>
      <c r="AH46" s="3274">
        <v>0</v>
      </c>
      <c r="AI46" s="2028">
        <v>0</v>
      </c>
      <c r="AJ46" s="3284">
        <v>0</v>
      </c>
      <c r="AK46" s="3295"/>
      <c r="AL46" s="3274">
        <f t="shared" si="78"/>
        <v>0</v>
      </c>
      <c r="AM46" s="3274">
        <f t="shared" si="78"/>
        <v>0</v>
      </c>
      <c r="AN46" s="2028">
        <f t="shared" si="79"/>
        <v>0</v>
      </c>
      <c r="AO46" s="3284">
        <f t="shared" si="56"/>
        <v>0</v>
      </c>
      <c r="AP46" s="3295"/>
      <c r="AQ46" s="3274"/>
      <c r="AR46" s="3274"/>
      <c r="AS46" s="2028">
        <f t="shared" si="80"/>
        <v>0</v>
      </c>
      <c r="AT46" s="3284">
        <f t="shared" si="57"/>
        <v>0</v>
      </c>
      <c r="AU46" s="3295"/>
      <c r="AV46" s="3274"/>
      <c r="AW46" s="3274"/>
      <c r="AX46" s="2028">
        <f t="shared" si="81"/>
        <v>0</v>
      </c>
      <c r="AY46" s="3284">
        <f t="shared" si="58"/>
        <v>0</v>
      </c>
      <c r="AZ46" s="3295"/>
      <c r="BA46" s="3274"/>
      <c r="BB46" s="3274"/>
      <c r="BC46" s="2028">
        <f t="shared" si="82"/>
        <v>0</v>
      </c>
      <c r="BD46" s="3284">
        <f t="shared" si="61"/>
        <v>0</v>
      </c>
      <c r="BE46" s="3295"/>
      <c r="BF46" s="3274"/>
      <c r="BG46" s="3274"/>
      <c r="BH46" s="2028">
        <f t="shared" si="83"/>
        <v>0</v>
      </c>
      <c r="BI46" s="3284">
        <f t="shared" si="62"/>
        <v>0</v>
      </c>
      <c r="BJ46" s="3295"/>
      <c r="BK46" s="3274"/>
      <c r="BL46" s="3274"/>
      <c r="BM46" s="2028">
        <f t="shared" si="84"/>
        <v>0</v>
      </c>
      <c r="BN46" s="3284">
        <f t="shared" si="63"/>
        <v>0</v>
      </c>
      <c r="BO46" s="3295"/>
      <c r="BP46" s="3274"/>
      <c r="BQ46" s="3274"/>
      <c r="BR46" s="2028">
        <f t="shared" si="85"/>
        <v>0</v>
      </c>
      <c r="BS46" s="3284">
        <f t="shared" si="64"/>
        <v>0</v>
      </c>
      <c r="BT46" s="3295"/>
      <c r="BU46" s="3274"/>
      <c r="BV46" s="3274"/>
      <c r="BW46" s="2028">
        <f t="shared" si="86"/>
        <v>0</v>
      </c>
      <c r="BX46" s="3284" t="e">
        <f t="shared" si="65"/>
        <v>#DIV/0!</v>
      </c>
      <c r="BY46" s="3295"/>
      <c r="BZ46" s="3274"/>
      <c r="CA46" s="3274"/>
      <c r="CB46" s="2028">
        <f t="shared" si="87"/>
        <v>0</v>
      </c>
      <c r="CC46" s="3284" t="e">
        <f t="shared" si="66"/>
        <v>#DIV/0!</v>
      </c>
      <c r="CD46" s="1449"/>
      <c r="CE46" s="3274"/>
      <c r="CF46" s="3274"/>
      <c r="CG46" s="2028">
        <f t="shared" si="88"/>
        <v>0</v>
      </c>
      <c r="CH46" s="3284" t="e">
        <f t="shared" si="67"/>
        <v>#DIV/0!</v>
      </c>
      <c r="CI46" s="1449"/>
      <c r="CJ46" s="3274"/>
      <c r="CK46" s="3274"/>
      <c r="CL46" s="2028">
        <f t="shared" si="89"/>
        <v>0</v>
      </c>
      <c r="CM46" s="3284" t="e">
        <f t="shared" si="68"/>
        <v>#DIV/0!</v>
      </c>
      <c r="CN46" s="1449"/>
      <c r="CO46" s="3274"/>
      <c r="CP46" s="3274"/>
      <c r="CQ46" s="2028">
        <f t="shared" si="90"/>
        <v>0</v>
      </c>
      <c r="CR46" s="3284" t="e">
        <f t="shared" si="69"/>
        <v>#DIV/0!</v>
      </c>
      <c r="CS46" s="1449"/>
      <c r="CT46" s="3274"/>
      <c r="CU46" s="3274"/>
      <c r="CV46" s="2028">
        <f t="shared" si="91"/>
        <v>0</v>
      </c>
      <c r="CW46" s="3284" t="e">
        <f t="shared" si="70"/>
        <v>#DIV/0!</v>
      </c>
      <c r="CX46" s="1449"/>
      <c r="CY46" s="3274">
        <f t="shared" si="92"/>
        <v>0</v>
      </c>
      <c r="CZ46" s="3274">
        <f t="shared" si="92"/>
        <v>0</v>
      </c>
      <c r="DA46" s="2028">
        <f t="shared" si="93"/>
        <v>0</v>
      </c>
      <c r="DB46" s="3284">
        <f t="shared" si="71"/>
        <v>0</v>
      </c>
      <c r="DC46" s="3295"/>
    </row>
    <row r="47" spans="1:107" ht="13.8" x14ac:dyDescent="0.25">
      <c r="A47" s="4015"/>
      <c r="B47" s="3319" t="s">
        <v>30</v>
      </c>
      <c r="C47" s="3274"/>
      <c r="D47" s="3274"/>
      <c r="E47" s="2028">
        <f t="shared" si="72"/>
        <v>0</v>
      </c>
      <c r="F47" s="3284">
        <f t="shared" si="59"/>
        <v>0</v>
      </c>
      <c r="G47" s="3295"/>
      <c r="H47" s="3274"/>
      <c r="I47" s="3274"/>
      <c r="J47" s="2028">
        <f t="shared" si="73"/>
        <v>0</v>
      </c>
      <c r="K47" s="3284">
        <f t="shared" si="60"/>
        <v>0</v>
      </c>
      <c r="L47" s="3295"/>
      <c r="M47" s="3274"/>
      <c r="N47" s="3274">
        <v>45</v>
      </c>
      <c r="O47" s="2028">
        <f t="shared" si="74"/>
        <v>45</v>
      </c>
      <c r="P47" s="3284">
        <f t="shared" si="2"/>
        <v>2.436616381661027E-4</v>
      </c>
      <c r="Q47" s="3295" t="s">
        <v>486</v>
      </c>
      <c r="R47" s="3274"/>
      <c r="S47" s="3274"/>
      <c r="T47" s="2028">
        <f t="shared" si="75"/>
        <v>0</v>
      </c>
      <c r="U47" s="3284">
        <f t="shared" si="53"/>
        <v>0</v>
      </c>
      <c r="V47" s="3295"/>
      <c r="W47" s="3274"/>
      <c r="X47" s="3274"/>
      <c r="Y47" s="2028">
        <f t="shared" si="76"/>
        <v>0</v>
      </c>
      <c r="Z47" s="3284">
        <f t="shared" si="54"/>
        <v>0</v>
      </c>
      <c r="AA47" s="3295"/>
      <c r="AB47" s="3274"/>
      <c r="AC47" s="3274"/>
      <c r="AD47" s="2028">
        <f t="shared" si="77"/>
        <v>0</v>
      </c>
      <c r="AE47" s="3284">
        <f t="shared" si="55"/>
        <v>0</v>
      </c>
      <c r="AF47" s="3295"/>
      <c r="AG47" s="3274">
        <v>90</v>
      </c>
      <c r="AH47" s="3274">
        <v>0</v>
      </c>
      <c r="AI47" s="2028">
        <v>90</v>
      </c>
      <c r="AJ47" s="3284">
        <v>4.9562969864982358E-4</v>
      </c>
      <c r="AK47" s="3276"/>
      <c r="AL47" s="3274">
        <f t="shared" si="78"/>
        <v>0</v>
      </c>
      <c r="AM47" s="3274">
        <f t="shared" si="78"/>
        <v>0</v>
      </c>
      <c r="AN47" s="2028">
        <f t="shared" si="79"/>
        <v>0</v>
      </c>
      <c r="AO47" s="3284">
        <f t="shared" si="56"/>
        <v>0</v>
      </c>
      <c r="AP47" s="3276"/>
      <c r="AQ47" s="3274"/>
      <c r="AR47" s="3274"/>
      <c r="AS47" s="2028">
        <f t="shared" si="80"/>
        <v>0</v>
      </c>
      <c r="AT47" s="3284">
        <f t="shared" si="57"/>
        <v>0</v>
      </c>
      <c r="AU47" s="3295"/>
      <c r="AV47" s="3274"/>
      <c r="AW47" s="3274"/>
      <c r="AX47" s="2028">
        <f t="shared" si="81"/>
        <v>0</v>
      </c>
      <c r="AY47" s="3284">
        <f t="shared" si="58"/>
        <v>0</v>
      </c>
      <c r="AZ47" s="3295"/>
      <c r="BA47" s="3274"/>
      <c r="BB47" s="3274"/>
      <c r="BC47" s="2028">
        <f t="shared" si="82"/>
        <v>0</v>
      </c>
      <c r="BD47" s="3284">
        <f t="shared" si="61"/>
        <v>0</v>
      </c>
      <c r="BE47" s="3295"/>
      <c r="BF47" s="3274"/>
      <c r="BG47" s="3274"/>
      <c r="BH47" s="2028">
        <f t="shared" si="83"/>
        <v>0</v>
      </c>
      <c r="BI47" s="3284">
        <f t="shared" si="62"/>
        <v>0</v>
      </c>
      <c r="BJ47" s="3295"/>
      <c r="BK47" s="3274"/>
      <c r="BL47" s="3274"/>
      <c r="BM47" s="2028">
        <f t="shared" si="84"/>
        <v>0</v>
      </c>
      <c r="BN47" s="3284">
        <f t="shared" si="63"/>
        <v>0</v>
      </c>
      <c r="BO47" s="3295"/>
      <c r="BP47" s="3274"/>
      <c r="BQ47" s="3274"/>
      <c r="BR47" s="2028">
        <f t="shared" si="85"/>
        <v>0</v>
      </c>
      <c r="BS47" s="3284">
        <f t="shared" si="64"/>
        <v>0</v>
      </c>
      <c r="BT47" s="3295"/>
      <c r="BU47" s="3274"/>
      <c r="BV47" s="3274"/>
      <c r="BW47" s="2028">
        <f t="shared" si="86"/>
        <v>0</v>
      </c>
      <c r="BX47" s="3284" t="e">
        <f t="shared" si="65"/>
        <v>#DIV/0!</v>
      </c>
      <c r="BY47" s="3295"/>
      <c r="BZ47" s="3274"/>
      <c r="CA47" s="3274"/>
      <c r="CB47" s="2028">
        <f t="shared" si="87"/>
        <v>0</v>
      </c>
      <c r="CC47" s="3284" t="e">
        <f t="shared" si="66"/>
        <v>#DIV/0!</v>
      </c>
      <c r="CD47" s="1449"/>
      <c r="CE47" s="3274"/>
      <c r="CF47" s="3274"/>
      <c r="CG47" s="2028">
        <f t="shared" si="88"/>
        <v>0</v>
      </c>
      <c r="CH47" s="3284" t="e">
        <f t="shared" si="67"/>
        <v>#DIV/0!</v>
      </c>
      <c r="CI47" s="1449"/>
      <c r="CJ47" s="3274"/>
      <c r="CK47" s="3274"/>
      <c r="CL47" s="2028">
        <f t="shared" si="89"/>
        <v>0</v>
      </c>
      <c r="CM47" s="3284" t="e">
        <f t="shared" si="68"/>
        <v>#DIV/0!</v>
      </c>
      <c r="CN47" s="1449"/>
      <c r="CO47" s="3274"/>
      <c r="CP47" s="3274"/>
      <c r="CQ47" s="2028">
        <f t="shared" si="90"/>
        <v>0</v>
      </c>
      <c r="CR47" s="3284" t="e">
        <f t="shared" si="69"/>
        <v>#DIV/0!</v>
      </c>
      <c r="CS47" s="1449"/>
      <c r="CT47" s="3274"/>
      <c r="CU47" s="3274"/>
      <c r="CV47" s="2028">
        <f t="shared" si="91"/>
        <v>0</v>
      </c>
      <c r="CW47" s="3284" t="e">
        <f t="shared" si="70"/>
        <v>#DIV/0!</v>
      </c>
      <c r="CX47" s="1449"/>
      <c r="CY47" s="3274">
        <f t="shared" si="92"/>
        <v>90</v>
      </c>
      <c r="CZ47" s="3274">
        <f t="shared" si="92"/>
        <v>45</v>
      </c>
      <c r="DA47" s="2028">
        <f t="shared" si="93"/>
        <v>135</v>
      </c>
      <c r="DB47" s="3284">
        <f t="shared" si="71"/>
        <v>5.2845744414142782E-5</v>
      </c>
      <c r="DC47" s="3295"/>
    </row>
    <row r="48" spans="1:107" ht="13.8" x14ac:dyDescent="0.25">
      <c r="A48" s="4015"/>
      <c r="B48" s="3319" t="s">
        <v>15</v>
      </c>
      <c r="C48" s="3274"/>
      <c r="D48" s="3274"/>
      <c r="E48" s="2028">
        <f t="shared" si="72"/>
        <v>0</v>
      </c>
      <c r="F48" s="3284">
        <f t="shared" si="59"/>
        <v>0</v>
      </c>
      <c r="G48" s="3295"/>
      <c r="H48" s="3274"/>
      <c r="I48" s="3274"/>
      <c r="J48" s="2028">
        <f t="shared" si="73"/>
        <v>0</v>
      </c>
      <c r="K48" s="3284">
        <f t="shared" si="60"/>
        <v>0</v>
      </c>
      <c r="L48" s="3295"/>
      <c r="M48" s="3274"/>
      <c r="N48" s="3274"/>
      <c r="O48" s="2028">
        <f t="shared" si="74"/>
        <v>0</v>
      </c>
      <c r="P48" s="3284">
        <f t="shared" si="2"/>
        <v>0</v>
      </c>
      <c r="Q48" s="3295"/>
      <c r="R48" s="3274"/>
      <c r="S48" s="3274"/>
      <c r="T48" s="2028">
        <f t="shared" si="75"/>
        <v>0</v>
      </c>
      <c r="U48" s="3284">
        <f t="shared" si="53"/>
        <v>0</v>
      </c>
      <c r="V48" s="3295"/>
      <c r="W48" s="3274"/>
      <c r="X48" s="3274"/>
      <c r="Y48" s="2028">
        <f t="shared" si="76"/>
        <v>0</v>
      </c>
      <c r="Z48" s="3284">
        <f t="shared" si="54"/>
        <v>0</v>
      </c>
      <c r="AA48" s="3295"/>
      <c r="AB48" s="3274"/>
      <c r="AC48" s="3274"/>
      <c r="AD48" s="2028">
        <f t="shared" si="77"/>
        <v>0</v>
      </c>
      <c r="AE48" s="3284">
        <f t="shared" si="55"/>
        <v>0</v>
      </c>
      <c r="AF48" s="3295"/>
      <c r="AG48" s="3274">
        <v>0</v>
      </c>
      <c r="AH48" s="3274">
        <v>0</v>
      </c>
      <c r="AI48" s="2028">
        <v>0</v>
      </c>
      <c r="AJ48" s="3284">
        <v>0</v>
      </c>
      <c r="AK48" s="3295"/>
      <c r="AL48" s="3274">
        <f t="shared" si="78"/>
        <v>0</v>
      </c>
      <c r="AM48" s="3274">
        <f t="shared" si="78"/>
        <v>0</v>
      </c>
      <c r="AN48" s="2028">
        <f t="shared" si="79"/>
        <v>0</v>
      </c>
      <c r="AO48" s="3284">
        <f t="shared" si="56"/>
        <v>0</v>
      </c>
      <c r="AP48" s="3295"/>
      <c r="AQ48" s="3274"/>
      <c r="AR48" s="3274"/>
      <c r="AS48" s="2028">
        <f t="shared" si="80"/>
        <v>0</v>
      </c>
      <c r="AT48" s="3284">
        <f t="shared" si="57"/>
        <v>0</v>
      </c>
      <c r="AU48" s="3295"/>
      <c r="AV48" s="3274"/>
      <c r="AW48" s="3274"/>
      <c r="AX48" s="2028">
        <f t="shared" si="81"/>
        <v>0</v>
      </c>
      <c r="AY48" s="3284">
        <f t="shared" si="58"/>
        <v>0</v>
      </c>
      <c r="AZ48" s="3295"/>
      <c r="BA48" s="3274"/>
      <c r="BB48" s="3274"/>
      <c r="BC48" s="2028">
        <f t="shared" si="82"/>
        <v>0</v>
      </c>
      <c r="BD48" s="3284">
        <f t="shared" si="61"/>
        <v>0</v>
      </c>
      <c r="BE48" s="3295"/>
      <c r="BF48" s="3274"/>
      <c r="BG48" s="3274"/>
      <c r="BH48" s="2028">
        <f t="shared" si="83"/>
        <v>0</v>
      </c>
      <c r="BI48" s="3284">
        <f t="shared" si="62"/>
        <v>0</v>
      </c>
      <c r="BJ48" s="3295"/>
      <c r="BK48" s="3274"/>
      <c r="BL48" s="3274"/>
      <c r="BM48" s="2028">
        <f t="shared" si="84"/>
        <v>0</v>
      </c>
      <c r="BN48" s="3284">
        <f t="shared" si="63"/>
        <v>0</v>
      </c>
      <c r="BO48" s="3295"/>
      <c r="BP48" s="3274"/>
      <c r="BQ48" s="3274"/>
      <c r="BR48" s="2028">
        <f t="shared" si="85"/>
        <v>0</v>
      </c>
      <c r="BS48" s="3284">
        <f t="shared" si="64"/>
        <v>0</v>
      </c>
      <c r="BT48" s="3295"/>
      <c r="BU48" s="3274"/>
      <c r="BV48" s="3274"/>
      <c r="BW48" s="2028">
        <f t="shared" si="86"/>
        <v>0</v>
      </c>
      <c r="BX48" s="3284" t="e">
        <f t="shared" si="65"/>
        <v>#DIV/0!</v>
      </c>
      <c r="BY48" s="3295"/>
      <c r="BZ48" s="3274"/>
      <c r="CA48" s="3274"/>
      <c r="CB48" s="2028">
        <f t="shared" si="87"/>
        <v>0</v>
      </c>
      <c r="CC48" s="3284" t="e">
        <f t="shared" si="66"/>
        <v>#DIV/0!</v>
      </c>
      <c r="CD48" s="1449"/>
      <c r="CE48" s="3274"/>
      <c r="CF48" s="3274"/>
      <c r="CG48" s="2028">
        <f t="shared" si="88"/>
        <v>0</v>
      </c>
      <c r="CH48" s="3284" t="e">
        <f t="shared" si="67"/>
        <v>#DIV/0!</v>
      </c>
      <c r="CI48" s="1449"/>
      <c r="CJ48" s="3274"/>
      <c r="CK48" s="3274"/>
      <c r="CL48" s="2028">
        <f t="shared" si="89"/>
        <v>0</v>
      </c>
      <c r="CM48" s="3284" t="e">
        <f t="shared" si="68"/>
        <v>#DIV/0!</v>
      </c>
      <c r="CN48" s="1449"/>
      <c r="CO48" s="3274"/>
      <c r="CP48" s="3274"/>
      <c r="CQ48" s="2028">
        <f t="shared" si="90"/>
        <v>0</v>
      </c>
      <c r="CR48" s="3284" t="e">
        <f t="shared" si="69"/>
        <v>#DIV/0!</v>
      </c>
      <c r="CS48" s="1449"/>
      <c r="CT48" s="3274"/>
      <c r="CU48" s="3274"/>
      <c r="CV48" s="2028">
        <f t="shared" si="91"/>
        <v>0</v>
      </c>
      <c r="CW48" s="3284" t="e">
        <f t="shared" si="70"/>
        <v>#DIV/0!</v>
      </c>
      <c r="CX48" s="1449"/>
      <c r="CY48" s="3274">
        <f t="shared" si="92"/>
        <v>0</v>
      </c>
      <c r="CZ48" s="3274">
        <f t="shared" si="92"/>
        <v>0</v>
      </c>
      <c r="DA48" s="2028">
        <f t="shared" si="93"/>
        <v>0</v>
      </c>
      <c r="DB48" s="3284">
        <f t="shared" si="71"/>
        <v>0</v>
      </c>
      <c r="DC48" s="3295"/>
    </row>
    <row r="49" spans="1:107" s="1411" customFormat="1" ht="14.4" thickBot="1" x14ac:dyDescent="0.3">
      <c r="A49" s="1420"/>
      <c r="B49" s="3320"/>
      <c r="C49" s="3274"/>
      <c r="D49" s="3274"/>
      <c r="E49" s="3313"/>
      <c r="F49" s="3284"/>
      <c r="G49" s="3313"/>
      <c r="H49" s="3274"/>
      <c r="I49" s="3274"/>
      <c r="J49" s="3313"/>
      <c r="K49" s="3284"/>
      <c r="L49" s="3313"/>
      <c r="M49" s="3274"/>
      <c r="N49" s="3274"/>
      <c r="O49" s="3313"/>
      <c r="P49" s="3284"/>
      <c r="Q49" s="3313"/>
      <c r="R49" s="3274"/>
      <c r="S49" s="3274"/>
      <c r="T49" s="3313"/>
      <c r="U49" s="3284"/>
      <c r="V49" s="3313"/>
      <c r="W49" s="3274"/>
      <c r="X49" s="3274"/>
      <c r="Y49" s="3313"/>
      <c r="Z49" s="3284"/>
      <c r="AA49" s="3313"/>
      <c r="AB49" s="3274"/>
      <c r="AC49" s="3274"/>
      <c r="AD49" s="3313"/>
      <c r="AE49" s="3284"/>
      <c r="AF49" s="3313"/>
      <c r="AG49" s="3274"/>
      <c r="AH49" s="3274"/>
      <c r="AI49" s="3313"/>
      <c r="AJ49" s="3284"/>
      <c r="AK49" s="3313"/>
      <c r="AL49" s="3274"/>
      <c r="AM49" s="3274"/>
      <c r="AN49" s="3313"/>
      <c r="AO49" s="3284"/>
      <c r="AP49" s="3313"/>
      <c r="AQ49" s="3274"/>
      <c r="AR49" s="3274"/>
      <c r="AS49" s="3313"/>
      <c r="AT49" s="3284"/>
      <c r="AU49" s="3313"/>
      <c r="AV49" s="3274"/>
      <c r="AW49" s="3274"/>
      <c r="AX49" s="3313"/>
      <c r="AY49" s="3284"/>
      <c r="AZ49" s="3313"/>
      <c r="BA49" s="3274"/>
      <c r="BB49" s="3274"/>
      <c r="BC49" s="3313"/>
      <c r="BD49" s="3284">
        <f t="shared" si="61"/>
        <v>0</v>
      </c>
      <c r="BE49" s="3313"/>
      <c r="BF49" s="3274"/>
      <c r="BG49" s="3274"/>
      <c r="BH49" s="3313"/>
      <c r="BI49" s="3284">
        <f t="shared" si="62"/>
        <v>0</v>
      </c>
      <c r="BJ49" s="3313"/>
      <c r="BK49" s="3274"/>
      <c r="BL49" s="3274"/>
      <c r="BM49" s="3313"/>
      <c r="BN49" s="3284">
        <f t="shared" si="63"/>
        <v>0</v>
      </c>
      <c r="BO49" s="3313"/>
      <c r="BP49" s="3274"/>
      <c r="BQ49" s="3274"/>
      <c r="BR49" s="3313"/>
      <c r="BS49" s="3284">
        <f t="shared" si="64"/>
        <v>0</v>
      </c>
      <c r="BT49" s="3313"/>
      <c r="BU49" s="3274"/>
      <c r="BV49" s="3274"/>
      <c r="BW49" s="3313"/>
      <c r="BX49" s="3284" t="e">
        <f t="shared" si="65"/>
        <v>#DIV/0!</v>
      </c>
      <c r="BY49" s="3313"/>
      <c r="BZ49" s="3274"/>
      <c r="CA49" s="3274"/>
      <c r="CB49" s="3313"/>
      <c r="CC49" s="3284" t="e">
        <f t="shared" si="66"/>
        <v>#DIV/0!</v>
      </c>
      <c r="CD49" s="3315"/>
      <c r="CE49" s="3274"/>
      <c r="CF49" s="3274"/>
      <c r="CG49" s="3313"/>
      <c r="CH49" s="3284" t="e">
        <f t="shared" si="67"/>
        <v>#DIV/0!</v>
      </c>
      <c r="CI49" s="3315"/>
      <c r="CJ49" s="3274"/>
      <c r="CK49" s="3274"/>
      <c r="CL49" s="3313"/>
      <c r="CM49" s="3284" t="e">
        <f t="shared" si="68"/>
        <v>#DIV/0!</v>
      </c>
      <c r="CN49" s="3315"/>
      <c r="CO49" s="3274"/>
      <c r="CP49" s="3274"/>
      <c r="CQ49" s="3313"/>
      <c r="CR49" s="3284" t="e">
        <f t="shared" si="69"/>
        <v>#DIV/0!</v>
      </c>
      <c r="CS49" s="3315"/>
      <c r="CT49" s="3274"/>
      <c r="CU49" s="3274"/>
      <c r="CV49" s="3313"/>
      <c r="CW49" s="3284" t="e">
        <f t="shared" si="70"/>
        <v>#DIV/0!</v>
      </c>
      <c r="CX49" s="3315"/>
      <c r="CY49" s="3274"/>
      <c r="CZ49" s="3274"/>
      <c r="DA49" s="3313"/>
      <c r="DB49" s="3284">
        <f t="shared" si="71"/>
        <v>0</v>
      </c>
      <c r="DC49" s="3313"/>
    </row>
    <row r="50" spans="1:107" s="1411" customFormat="1" ht="13.8" x14ac:dyDescent="0.25">
      <c r="A50" s="1580"/>
      <c r="B50" s="1425" t="s">
        <v>59</v>
      </c>
      <c r="C50" s="2031">
        <f>C52+C51</f>
        <v>0</v>
      </c>
      <c r="D50" s="2031">
        <f>D52+D51</f>
        <v>0</v>
      </c>
      <c r="E50" s="2031">
        <f>SUM(E51:E52)</f>
        <v>0</v>
      </c>
      <c r="F50" s="2022">
        <f>E50/$E$89</f>
        <v>0</v>
      </c>
      <c r="G50" s="2022"/>
      <c r="H50" s="2031">
        <f>H52+H51</f>
        <v>0</v>
      </c>
      <c r="I50" s="2031">
        <f>I52+I51</f>
        <v>0</v>
      </c>
      <c r="J50" s="2031">
        <f>SUM(J51:J52)</f>
        <v>0</v>
      </c>
      <c r="K50" s="2022">
        <f>J50/$T$89</f>
        <v>0</v>
      </c>
      <c r="L50" s="2022"/>
      <c r="M50" s="2031">
        <f>M52+M51</f>
        <v>0</v>
      </c>
      <c r="N50" s="2031">
        <f>N52+N51</f>
        <v>0</v>
      </c>
      <c r="O50" s="2031">
        <f>SUM(O51:O52)</f>
        <v>0</v>
      </c>
      <c r="P50" s="2022">
        <f t="shared" si="2"/>
        <v>0</v>
      </c>
      <c r="Q50" s="2022"/>
      <c r="R50" s="2031">
        <f>R52+R51</f>
        <v>0</v>
      </c>
      <c r="S50" s="2031">
        <f>S52+S51</f>
        <v>0</v>
      </c>
      <c r="T50" s="2031">
        <f>SUM(T51:T52)</f>
        <v>0</v>
      </c>
      <c r="U50" s="2022">
        <f>T50/$O$89</f>
        <v>0</v>
      </c>
      <c r="V50" s="2022"/>
      <c r="W50" s="2031">
        <f>W52+W51</f>
        <v>0</v>
      </c>
      <c r="X50" s="2031">
        <f>X52+X51</f>
        <v>0</v>
      </c>
      <c r="Y50" s="2031">
        <f>SUM(Y51:Y52)</f>
        <v>0</v>
      </c>
      <c r="Z50" s="2022">
        <f>Y50/$O$89</f>
        <v>0</v>
      </c>
      <c r="AA50" s="2022"/>
      <c r="AB50" s="2031">
        <f>AB52+AB51</f>
        <v>0</v>
      </c>
      <c r="AC50" s="2031">
        <f>AC52+AC51</f>
        <v>0</v>
      </c>
      <c r="AD50" s="2031">
        <f>SUM(AD51:AD52)</f>
        <v>0</v>
      </c>
      <c r="AE50" s="2022">
        <f>AD50/$O$89</f>
        <v>0</v>
      </c>
      <c r="AF50" s="2022"/>
      <c r="AG50" s="2031">
        <v>0</v>
      </c>
      <c r="AH50" s="2031">
        <v>0</v>
      </c>
      <c r="AI50" s="2031">
        <v>0</v>
      </c>
      <c r="AJ50" s="2022">
        <v>0</v>
      </c>
      <c r="AK50" s="2022"/>
      <c r="AL50" s="2031">
        <f>AL52+AL51</f>
        <v>0</v>
      </c>
      <c r="AM50" s="2031">
        <f>AM52+AM51</f>
        <v>0</v>
      </c>
      <c r="AN50" s="2031">
        <f>SUM(AN51:AN52)</f>
        <v>0</v>
      </c>
      <c r="AO50" s="2022">
        <f t="shared" ref="AO50:AO52" si="94">AN50/$T$89</f>
        <v>0</v>
      </c>
      <c r="AP50" s="2022"/>
      <c r="AQ50" s="2031">
        <f>AQ52+AQ51</f>
        <v>0</v>
      </c>
      <c r="AR50" s="2031">
        <f>AR52+AR51</f>
        <v>0</v>
      </c>
      <c r="AS50" s="2031">
        <f>SUM(AS51:AS52)</f>
        <v>0</v>
      </c>
      <c r="AT50" s="2022">
        <f>AS50/$O$89</f>
        <v>0</v>
      </c>
      <c r="AU50" s="2022"/>
      <c r="AV50" s="2031">
        <f>AV52+AV51</f>
        <v>0</v>
      </c>
      <c r="AW50" s="2031">
        <f>AW52+AW51</f>
        <v>0</v>
      </c>
      <c r="AX50" s="2031">
        <f>SUM(AX51:AX52)</f>
        <v>0</v>
      </c>
      <c r="AY50" s="2022">
        <f>AX50/$E$89</f>
        <v>0</v>
      </c>
      <c r="AZ50" s="2022"/>
      <c r="BA50" s="2031">
        <f>BA52+BA51</f>
        <v>0</v>
      </c>
      <c r="BB50" s="2031">
        <f>BB52+BB51</f>
        <v>0</v>
      </c>
      <c r="BC50" s="2031">
        <f>SUM(BC51:BC52)</f>
        <v>0</v>
      </c>
      <c r="BD50" s="2022">
        <f t="shared" si="61"/>
        <v>0</v>
      </c>
      <c r="BE50" s="2022"/>
      <c r="BF50" s="2031">
        <f>BF52+BF51</f>
        <v>0</v>
      </c>
      <c r="BG50" s="2031">
        <f>BG52+BG51</f>
        <v>0</v>
      </c>
      <c r="BH50" s="2031">
        <f>SUM(BH51:BH52)</f>
        <v>0</v>
      </c>
      <c r="BI50" s="2022">
        <f t="shared" si="62"/>
        <v>0</v>
      </c>
      <c r="BJ50" s="2022"/>
      <c r="BK50" s="2031">
        <f>BK52+BK51</f>
        <v>0</v>
      </c>
      <c r="BL50" s="2031">
        <f>BL52+BL51</f>
        <v>0</v>
      </c>
      <c r="BM50" s="2031">
        <f>SUM(BM51:BM52)</f>
        <v>0</v>
      </c>
      <c r="BN50" s="2022">
        <f t="shared" si="63"/>
        <v>0</v>
      </c>
      <c r="BO50" s="2022"/>
      <c r="BP50" s="2031">
        <f>BP52+BP51</f>
        <v>0</v>
      </c>
      <c r="BQ50" s="2031">
        <f>BQ52+BQ51</f>
        <v>0</v>
      </c>
      <c r="BR50" s="2031">
        <f>SUM(BR51:BR52)</f>
        <v>0</v>
      </c>
      <c r="BS50" s="2022">
        <f t="shared" si="64"/>
        <v>0</v>
      </c>
      <c r="BT50" s="2022"/>
      <c r="BU50" s="2031">
        <f>BU52+BU51</f>
        <v>0</v>
      </c>
      <c r="BV50" s="2031">
        <f>BV52+BV51</f>
        <v>0</v>
      </c>
      <c r="BW50" s="2031">
        <f>SUM(BW51:BW52)</f>
        <v>0</v>
      </c>
      <c r="BX50" s="2022" t="e">
        <f t="shared" si="65"/>
        <v>#DIV/0!</v>
      </c>
      <c r="BY50" s="2022"/>
      <c r="BZ50" s="2031">
        <f>BZ52+BZ51</f>
        <v>0</v>
      </c>
      <c r="CA50" s="2031">
        <f>CA52+CA51</f>
        <v>0</v>
      </c>
      <c r="CB50" s="2031">
        <f>SUM(CB51:CB52)</f>
        <v>0</v>
      </c>
      <c r="CC50" s="2022" t="e">
        <f t="shared" si="66"/>
        <v>#DIV/0!</v>
      </c>
      <c r="CD50" s="1460"/>
      <c r="CE50" s="2031">
        <f>CE52+CE51</f>
        <v>0</v>
      </c>
      <c r="CF50" s="2031">
        <f>CF52+CF51</f>
        <v>0</v>
      </c>
      <c r="CG50" s="2031">
        <f>SUM(CG51:CG52)</f>
        <v>0</v>
      </c>
      <c r="CH50" s="2022" t="e">
        <f t="shared" si="67"/>
        <v>#DIV/0!</v>
      </c>
      <c r="CI50" s="1460"/>
      <c r="CJ50" s="2031">
        <f>CJ52+CJ51</f>
        <v>0</v>
      </c>
      <c r="CK50" s="2031">
        <f>CK52+CK51</f>
        <v>0</v>
      </c>
      <c r="CL50" s="2031">
        <f>SUM(CL51:CL52)</f>
        <v>0</v>
      </c>
      <c r="CM50" s="2022" t="e">
        <f t="shared" si="68"/>
        <v>#DIV/0!</v>
      </c>
      <c r="CN50" s="1460"/>
      <c r="CO50" s="2031">
        <f>CO52+CO51</f>
        <v>0</v>
      </c>
      <c r="CP50" s="2031">
        <f>CP52+CP51</f>
        <v>0</v>
      </c>
      <c r="CQ50" s="2031">
        <f>SUM(CQ51:CQ52)</f>
        <v>0</v>
      </c>
      <c r="CR50" s="2022" t="e">
        <f t="shared" si="69"/>
        <v>#DIV/0!</v>
      </c>
      <c r="CS50" s="1460"/>
      <c r="CT50" s="2031">
        <f>CT52+CT51</f>
        <v>0</v>
      </c>
      <c r="CU50" s="2031">
        <f>CU52+CU51</f>
        <v>0</v>
      </c>
      <c r="CV50" s="2031">
        <f>SUM(CV51:CV52)</f>
        <v>0</v>
      </c>
      <c r="CW50" s="2022" t="e">
        <f t="shared" si="70"/>
        <v>#DIV/0!</v>
      </c>
      <c r="CX50" s="1460"/>
      <c r="CY50" s="2031">
        <f>CY52+CY51</f>
        <v>0</v>
      </c>
      <c r="CZ50" s="2031">
        <f>CZ52+CZ51</f>
        <v>0</v>
      </c>
      <c r="DA50" s="2031">
        <f>SUM(DA51:DA52)</f>
        <v>0</v>
      </c>
      <c r="DB50" s="2022"/>
      <c r="DC50" s="2022"/>
    </row>
    <row r="51" spans="1:107" s="1411" customFormat="1" ht="13.8" x14ac:dyDescent="0.25">
      <c r="A51" s="1581"/>
      <c r="B51" s="3319" t="s">
        <v>60</v>
      </c>
      <c r="C51" s="3274"/>
      <c r="D51" s="3274"/>
      <c r="E51" s="2028">
        <f>C51+D51*1</f>
        <v>0</v>
      </c>
      <c r="F51" s="3284">
        <f>E51/$E$89</f>
        <v>0</v>
      </c>
      <c r="G51" s="3311"/>
      <c r="H51" s="3274"/>
      <c r="I51" s="3274"/>
      <c r="J51" s="2028">
        <f>H51+I51*1</f>
        <v>0</v>
      </c>
      <c r="K51" s="3284">
        <f>J51/$T$89</f>
        <v>0</v>
      </c>
      <c r="L51" s="3311"/>
      <c r="M51" s="3274"/>
      <c r="N51" s="3274"/>
      <c r="O51" s="2028">
        <f>M51+N51*1</f>
        <v>0</v>
      </c>
      <c r="P51" s="3284">
        <f t="shared" si="2"/>
        <v>0</v>
      </c>
      <c r="Q51" s="3311"/>
      <c r="R51" s="3274"/>
      <c r="S51" s="3274"/>
      <c r="T51" s="2028">
        <f>R51+S51*1</f>
        <v>0</v>
      </c>
      <c r="U51" s="3284">
        <f>T51/$O$89</f>
        <v>0</v>
      </c>
      <c r="V51" s="3311"/>
      <c r="W51" s="3274"/>
      <c r="X51" s="3274"/>
      <c r="Y51" s="2028">
        <f>W51+X51*1</f>
        <v>0</v>
      </c>
      <c r="Z51" s="3284">
        <f>Y51/$O$89</f>
        <v>0</v>
      </c>
      <c r="AA51" s="3311"/>
      <c r="AB51" s="3274"/>
      <c r="AC51" s="3274"/>
      <c r="AD51" s="2028">
        <f>AB51+AC51*1</f>
        <v>0</v>
      </c>
      <c r="AE51" s="3284">
        <f>AD51/$O$89</f>
        <v>0</v>
      </c>
      <c r="AF51" s="3311"/>
      <c r="AG51" s="3274">
        <v>0</v>
      </c>
      <c r="AH51" s="3274">
        <v>0</v>
      </c>
      <c r="AI51" s="2028">
        <v>0</v>
      </c>
      <c r="AJ51" s="3284">
        <v>0</v>
      </c>
      <c r="AK51" s="3311"/>
      <c r="AL51" s="3274">
        <f t="shared" ref="AL51:AM52" si="95">AQ51+AV51+BA51+BF51+BK51+BP51+BU51+BZ51+CE51+CJ51+CO51+CT51</f>
        <v>0</v>
      </c>
      <c r="AM51" s="3274">
        <f t="shared" si="95"/>
        <v>0</v>
      </c>
      <c r="AN51" s="2028">
        <f>AL51+AM51*1</f>
        <v>0</v>
      </c>
      <c r="AO51" s="3284">
        <f t="shared" si="94"/>
        <v>0</v>
      </c>
      <c r="AP51" s="3311"/>
      <c r="AQ51" s="3274"/>
      <c r="AR51" s="3274"/>
      <c r="AS51" s="2028">
        <f>AQ51+AR51*1</f>
        <v>0</v>
      </c>
      <c r="AT51" s="3284">
        <f>AS51/$O$89</f>
        <v>0</v>
      </c>
      <c r="AU51" s="3311"/>
      <c r="AV51" s="3274"/>
      <c r="AW51" s="3274"/>
      <c r="AX51" s="2028">
        <f>AV51+AW51*1</f>
        <v>0</v>
      </c>
      <c r="AY51" s="3284">
        <f>AX51/$E$89</f>
        <v>0</v>
      </c>
      <c r="AZ51" s="3311"/>
      <c r="BA51" s="3274"/>
      <c r="BB51" s="3274"/>
      <c r="BC51" s="2028">
        <f>BA51+BB51*1</f>
        <v>0</v>
      </c>
      <c r="BD51" s="3284">
        <f t="shared" si="61"/>
        <v>0</v>
      </c>
      <c r="BE51" s="3311"/>
      <c r="BF51" s="3274"/>
      <c r="BG51" s="3274"/>
      <c r="BH51" s="2028">
        <f>BF51+BG51*1</f>
        <v>0</v>
      </c>
      <c r="BI51" s="3284">
        <f t="shared" si="62"/>
        <v>0</v>
      </c>
      <c r="BJ51" s="3311"/>
      <c r="BK51" s="3274"/>
      <c r="BL51" s="3274"/>
      <c r="BM51" s="2028">
        <f>BK51+BL51*1</f>
        <v>0</v>
      </c>
      <c r="BN51" s="3284">
        <f t="shared" si="63"/>
        <v>0</v>
      </c>
      <c r="BO51" s="3311"/>
      <c r="BP51" s="3274"/>
      <c r="BQ51" s="3274"/>
      <c r="BR51" s="2028">
        <f>BP51+BQ51*1</f>
        <v>0</v>
      </c>
      <c r="BS51" s="3284">
        <f t="shared" si="64"/>
        <v>0</v>
      </c>
      <c r="BT51" s="3311"/>
      <c r="BU51" s="3274"/>
      <c r="BV51" s="3274"/>
      <c r="BW51" s="2028">
        <f>BU51+BV51*1</f>
        <v>0</v>
      </c>
      <c r="BX51" s="3284" t="e">
        <f t="shared" si="65"/>
        <v>#DIV/0!</v>
      </c>
      <c r="BY51" s="3311"/>
      <c r="BZ51" s="3274"/>
      <c r="CA51" s="3274"/>
      <c r="CB51" s="2028">
        <f>BZ51+CA51*1</f>
        <v>0</v>
      </c>
      <c r="CC51" s="3284" t="e">
        <f t="shared" si="66"/>
        <v>#DIV/0!</v>
      </c>
      <c r="CD51" s="3321"/>
      <c r="CE51" s="3274"/>
      <c r="CF51" s="3274"/>
      <c r="CG51" s="2028">
        <f>CE51+CF51*1</f>
        <v>0</v>
      </c>
      <c r="CH51" s="3284" t="e">
        <f t="shared" si="67"/>
        <v>#DIV/0!</v>
      </c>
      <c r="CI51" s="3321"/>
      <c r="CJ51" s="3274"/>
      <c r="CK51" s="3274"/>
      <c r="CL51" s="2028">
        <f>CJ51+CK51*1</f>
        <v>0</v>
      </c>
      <c r="CM51" s="3284" t="e">
        <f t="shared" si="68"/>
        <v>#DIV/0!</v>
      </c>
      <c r="CN51" s="3321"/>
      <c r="CO51" s="3274"/>
      <c r="CP51" s="3274"/>
      <c r="CQ51" s="2028">
        <f>CO51+CP51*1</f>
        <v>0</v>
      </c>
      <c r="CR51" s="3284" t="e">
        <f t="shared" si="69"/>
        <v>#DIV/0!</v>
      </c>
      <c r="CS51" s="3321"/>
      <c r="CT51" s="3274"/>
      <c r="CU51" s="3274"/>
      <c r="CV51" s="2028">
        <f>CT51+CU51*1</f>
        <v>0</v>
      </c>
      <c r="CW51" s="3284" t="e">
        <f t="shared" si="70"/>
        <v>#DIV/0!</v>
      </c>
      <c r="CX51" s="3321"/>
      <c r="CY51" s="3274">
        <f t="shared" ref="CY51:CZ52" si="96">C51+H51+M51+R51+W51+AB51+AQ51+AV51+BA51+BF51+BK51+BP51+BU51+BZ51+CE51+CJ51+CO51+CT51+AG51</f>
        <v>0</v>
      </c>
      <c r="CZ51" s="3274">
        <f t="shared" si="96"/>
        <v>0</v>
      </c>
      <c r="DA51" s="2028">
        <f>CY51+CZ51*1</f>
        <v>0</v>
      </c>
      <c r="DB51" s="3284">
        <f t="shared" si="71"/>
        <v>0</v>
      </c>
      <c r="DC51" s="3311"/>
    </row>
    <row r="52" spans="1:107" ht="13.8" x14ac:dyDescent="0.25">
      <c r="A52" s="1581"/>
      <c r="B52" s="3319" t="s">
        <v>61</v>
      </c>
      <c r="C52" s="3274"/>
      <c r="D52" s="3274"/>
      <c r="E52" s="2028">
        <f>C52+D52*1</f>
        <v>0</v>
      </c>
      <c r="F52" s="3284">
        <f>E52/$E$89</f>
        <v>0</v>
      </c>
      <c r="G52" s="3311"/>
      <c r="H52" s="3274"/>
      <c r="I52" s="3274"/>
      <c r="J52" s="2028">
        <f>H52+I52*1</f>
        <v>0</v>
      </c>
      <c r="K52" s="3284">
        <f>J52/$T$89</f>
        <v>0</v>
      </c>
      <c r="L52" s="3311"/>
      <c r="M52" s="3274"/>
      <c r="N52" s="3274"/>
      <c r="O52" s="2028">
        <f>M52+N52*1</f>
        <v>0</v>
      </c>
      <c r="P52" s="3284">
        <f t="shared" si="2"/>
        <v>0</v>
      </c>
      <c r="Q52" s="3311"/>
      <c r="R52" s="3274"/>
      <c r="S52" s="3274"/>
      <c r="T52" s="2028">
        <f>R52+S52*1</f>
        <v>0</v>
      </c>
      <c r="U52" s="3284">
        <f>T52/$O$89</f>
        <v>0</v>
      </c>
      <c r="V52" s="3311"/>
      <c r="W52" s="3274"/>
      <c r="X52" s="3274"/>
      <c r="Y52" s="2028">
        <f>W52+X52*1</f>
        <v>0</v>
      </c>
      <c r="Z52" s="3284">
        <f>Y52/$O$89</f>
        <v>0</v>
      </c>
      <c r="AA52" s="3311"/>
      <c r="AB52" s="3274"/>
      <c r="AC52" s="3274"/>
      <c r="AD52" s="2028">
        <f>AB52+AC52*1</f>
        <v>0</v>
      </c>
      <c r="AE52" s="3284">
        <f>AD52/$O$89</f>
        <v>0</v>
      </c>
      <c r="AF52" s="3311"/>
      <c r="AG52" s="3274">
        <v>0</v>
      </c>
      <c r="AH52" s="3274">
        <v>0</v>
      </c>
      <c r="AI52" s="2028">
        <v>0</v>
      </c>
      <c r="AJ52" s="3284">
        <v>0</v>
      </c>
      <c r="AK52" s="3311"/>
      <c r="AL52" s="3274">
        <f t="shared" si="95"/>
        <v>0</v>
      </c>
      <c r="AM52" s="3274">
        <f t="shared" si="95"/>
        <v>0</v>
      </c>
      <c r="AN52" s="2028">
        <f>AL52+AM52*1</f>
        <v>0</v>
      </c>
      <c r="AO52" s="3284">
        <f t="shared" si="94"/>
        <v>0</v>
      </c>
      <c r="AP52" s="3311"/>
      <c r="AQ52" s="3274"/>
      <c r="AR52" s="3274"/>
      <c r="AS52" s="2028">
        <f>AQ52+AR52*1</f>
        <v>0</v>
      </c>
      <c r="AT52" s="3284">
        <f>AS52/$O$89</f>
        <v>0</v>
      </c>
      <c r="AU52" s="3311"/>
      <c r="AV52" s="3274"/>
      <c r="AW52" s="3274"/>
      <c r="AX52" s="2028">
        <f>AV52+AW52*1</f>
        <v>0</v>
      </c>
      <c r="AY52" s="3284">
        <f>AX52/$E$89</f>
        <v>0</v>
      </c>
      <c r="AZ52" s="3311"/>
      <c r="BA52" s="3274"/>
      <c r="BB52" s="3274"/>
      <c r="BC52" s="2028">
        <f>BA52+BB52*1</f>
        <v>0</v>
      </c>
      <c r="BD52" s="3284">
        <f t="shared" si="61"/>
        <v>0</v>
      </c>
      <c r="BE52" s="3311"/>
      <c r="BF52" s="3274"/>
      <c r="BG52" s="3274"/>
      <c r="BH52" s="2028">
        <f>BF52+BG52*1</f>
        <v>0</v>
      </c>
      <c r="BI52" s="3284">
        <f t="shared" si="62"/>
        <v>0</v>
      </c>
      <c r="BJ52" s="3311"/>
      <c r="BK52" s="3274"/>
      <c r="BL52" s="3274"/>
      <c r="BM52" s="2028">
        <f>BK52+BL52*1</f>
        <v>0</v>
      </c>
      <c r="BN52" s="3284">
        <f t="shared" si="63"/>
        <v>0</v>
      </c>
      <c r="BO52" s="3311"/>
      <c r="BP52" s="3274"/>
      <c r="BQ52" s="3274"/>
      <c r="BR52" s="2028">
        <f>BP52+BQ52*1</f>
        <v>0</v>
      </c>
      <c r="BS52" s="3284">
        <f t="shared" si="64"/>
        <v>0</v>
      </c>
      <c r="BT52" s="3311"/>
      <c r="BU52" s="3274"/>
      <c r="BV52" s="3274"/>
      <c r="BW52" s="2028">
        <f>BU52+BV52*1</f>
        <v>0</v>
      </c>
      <c r="BX52" s="3284" t="e">
        <f t="shared" si="65"/>
        <v>#DIV/0!</v>
      </c>
      <c r="BY52" s="3311"/>
      <c r="BZ52" s="3274"/>
      <c r="CA52" s="3274"/>
      <c r="CB52" s="2028">
        <f>BZ52+CA52*1</f>
        <v>0</v>
      </c>
      <c r="CC52" s="3284" t="e">
        <f t="shared" si="66"/>
        <v>#DIV/0!</v>
      </c>
      <c r="CD52" s="3321"/>
      <c r="CE52" s="3274"/>
      <c r="CF52" s="3274"/>
      <c r="CG52" s="2028">
        <f>CE52+CF52*1</f>
        <v>0</v>
      </c>
      <c r="CH52" s="3284" t="e">
        <f t="shared" si="67"/>
        <v>#DIV/0!</v>
      </c>
      <c r="CI52" s="3321"/>
      <c r="CJ52" s="3274"/>
      <c r="CK52" s="3274"/>
      <c r="CL52" s="2028">
        <f>CJ52+CK52*1</f>
        <v>0</v>
      </c>
      <c r="CM52" s="3284" t="e">
        <f t="shared" si="68"/>
        <v>#DIV/0!</v>
      </c>
      <c r="CN52" s="3321"/>
      <c r="CO52" s="3274"/>
      <c r="CP52" s="3274"/>
      <c r="CQ52" s="2028">
        <f>CO52+CP52*1</f>
        <v>0</v>
      </c>
      <c r="CR52" s="3284" t="e">
        <f t="shared" si="69"/>
        <v>#DIV/0!</v>
      </c>
      <c r="CS52" s="3321"/>
      <c r="CT52" s="3274"/>
      <c r="CU52" s="3274"/>
      <c r="CV52" s="2028">
        <f>CT52+CU52*1</f>
        <v>0</v>
      </c>
      <c r="CW52" s="3284" t="e">
        <f t="shared" si="70"/>
        <v>#DIV/0!</v>
      </c>
      <c r="CX52" s="3321"/>
      <c r="CY52" s="3274">
        <f t="shared" si="96"/>
        <v>0</v>
      </c>
      <c r="CZ52" s="3274">
        <f t="shared" si="96"/>
        <v>0</v>
      </c>
      <c r="DA52" s="2028">
        <f>CY52+CZ52*1</f>
        <v>0</v>
      </c>
      <c r="DB52" s="3284">
        <f t="shared" si="71"/>
        <v>0</v>
      </c>
      <c r="DC52" s="3311"/>
    </row>
    <row r="53" spans="1:107" ht="14.4" thickBot="1" x14ac:dyDescent="0.3">
      <c r="A53" s="1428"/>
      <c r="B53" s="3322"/>
      <c r="C53" s="3274"/>
      <c r="D53" s="3274"/>
      <c r="E53" s="3227"/>
      <c r="F53" s="3227"/>
      <c r="G53" s="3227"/>
      <c r="H53" s="3274"/>
      <c r="I53" s="3274"/>
      <c r="J53" s="3227"/>
      <c r="K53" s="3227"/>
      <c r="L53" s="3227"/>
      <c r="M53" s="3274"/>
      <c r="N53" s="3274"/>
      <c r="O53" s="3227"/>
      <c r="P53" s="3227"/>
      <c r="Q53" s="3227"/>
      <c r="R53" s="3274"/>
      <c r="S53" s="3274"/>
      <c r="T53" s="3227"/>
      <c r="U53" s="3227"/>
      <c r="V53" s="3227"/>
      <c r="W53" s="3274"/>
      <c r="X53" s="3274"/>
      <c r="Y53" s="3227"/>
      <c r="Z53" s="3227"/>
      <c r="AA53" s="3227"/>
      <c r="AB53" s="3274"/>
      <c r="AC53" s="3274"/>
      <c r="AD53" s="3227"/>
      <c r="AE53" s="3227"/>
      <c r="AF53" s="3227"/>
      <c r="AG53" s="3274"/>
      <c r="AH53" s="3274"/>
      <c r="AI53" s="3227"/>
      <c r="AJ53" s="3227"/>
      <c r="AK53" s="3227"/>
      <c r="AL53" s="3274"/>
      <c r="AM53" s="3274"/>
      <c r="AN53" s="3227"/>
      <c r="AO53" s="3227"/>
      <c r="AP53" s="3227"/>
      <c r="AQ53" s="3274"/>
      <c r="AR53" s="3274"/>
      <c r="AS53" s="3227"/>
      <c r="AT53" s="3227"/>
      <c r="AU53" s="3227"/>
      <c r="AV53" s="3274"/>
      <c r="AW53" s="3274"/>
      <c r="AX53" s="3227"/>
      <c r="AY53" s="3227"/>
      <c r="AZ53" s="3227"/>
      <c r="BA53" s="3274"/>
      <c r="BB53" s="3274"/>
      <c r="BC53" s="3227"/>
      <c r="BD53" s="3227"/>
      <c r="BE53" s="3227"/>
      <c r="BF53" s="3274"/>
      <c r="BG53" s="3274"/>
      <c r="BH53" s="3227"/>
      <c r="BI53" s="3227"/>
      <c r="BJ53" s="3227"/>
      <c r="BK53" s="3274"/>
      <c r="BL53" s="3274"/>
      <c r="BM53" s="3227"/>
      <c r="BN53" s="3227"/>
      <c r="BO53" s="3227"/>
      <c r="BP53" s="3274"/>
      <c r="BQ53" s="3274"/>
      <c r="BR53" s="3227"/>
      <c r="BS53" s="3227"/>
      <c r="BT53" s="3227"/>
      <c r="BU53" s="3274"/>
      <c r="BV53" s="3274"/>
      <c r="BW53" s="3227"/>
      <c r="BX53" s="3227"/>
      <c r="BY53" s="3227"/>
      <c r="BZ53" s="3274"/>
      <c r="CA53" s="3274"/>
      <c r="CB53" s="3227"/>
      <c r="CC53" s="3227"/>
      <c r="CD53" s="1328"/>
      <c r="CE53" s="3274"/>
      <c r="CF53" s="3274"/>
      <c r="CG53" s="3227"/>
      <c r="CH53" s="3227"/>
      <c r="CI53" s="1328"/>
      <c r="CJ53" s="3274"/>
      <c r="CK53" s="3274"/>
      <c r="CL53" s="3227"/>
      <c r="CM53" s="3227"/>
      <c r="CN53" s="1328"/>
      <c r="CO53" s="3274"/>
      <c r="CP53" s="3274"/>
      <c r="CQ53" s="3227"/>
      <c r="CR53" s="3227"/>
      <c r="CS53" s="1328"/>
      <c r="CT53" s="3274"/>
      <c r="CU53" s="3274"/>
      <c r="CV53" s="3227"/>
      <c r="CW53" s="3227"/>
      <c r="CX53" s="1328"/>
      <c r="CY53" s="3274"/>
      <c r="CZ53" s="3274"/>
      <c r="DA53" s="3227"/>
      <c r="DB53" s="3227"/>
      <c r="DC53" s="3227"/>
    </row>
    <row r="54" spans="1:107" ht="13.8" x14ac:dyDescent="0.25">
      <c r="A54" s="1585"/>
      <c r="B54" s="1425" t="s">
        <v>1</v>
      </c>
      <c r="C54" s="2031">
        <f>SUM(C55:C72)</f>
        <v>0</v>
      </c>
      <c r="D54" s="2031">
        <f>SUM(D55:D72)</f>
        <v>1176</v>
      </c>
      <c r="E54" s="2031">
        <f>SUM(E55:E72)</f>
        <v>1176</v>
      </c>
      <c r="F54" s="3318">
        <f t="shared" ref="F54:F71" si="97">E54/$E$89</f>
        <v>3.9522406178663632E-3</v>
      </c>
      <c r="G54" s="2022"/>
      <c r="H54" s="2031">
        <f>SUM(H55:H72)</f>
        <v>0</v>
      </c>
      <c r="I54" s="2031">
        <f>SUM(I55:I72)</f>
        <v>0</v>
      </c>
      <c r="J54" s="2031">
        <f>SUM(J55:J72)</f>
        <v>0</v>
      </c>
      <c r="K54" s="3318">
        <f t="shared" ref="K54:K71" si="98">J54/$T$89</f>
        <v>0</v>
      </c>
      <c r="L54" s="2022"/>
      <c r="M54" s="2031">
        <f>SUM(M55:M72)</f>
        <v>0</v>
      </c>
      <c r="N54" s="2031">
        <f>SUM(N55:N72)</f>
        <v>0</v>
      </c>
      <c r="O54" s="2031">
        <f>SUM(O55:O72)</f>
        <v>0</v>
      </c>
      <c r="P54" s="3318">
        <f t="shared" si="2"/>
        <v>0</v>
      </c>
      <c r="Q54" s="2022"/>
      <c r="R54" s="2031">
        <f>SUM(R55:R72)</f>
        <v>0</v>
      </c>
      <c r="S54" s="2031">
        <f>SUM(S55:S72)</f>
        <v>0</v>
      </c>
      <c r="T54" s="2031">
        <f>SUM(T55:T72)</f>
        <v>0</v>
      </c>
      <c r="U54" s="3318">
        <f t="shared" ref="U54:U71" si="99">T54/$O$89</f>
        <v>0</v>
      </c>
      <c r="V54" s="2022"/>
      <c r="W54" s="2031">
        <f>SUM(W55:W72)</f>
        <v>0</v>
      </c>
      <c r="X54" s="2031">
        <f>SUM(X55:X72)</f>
        <v>0</v>
      </c>
      <c r="Y54" s="2031">
        <f>SUM(Y55:Y72)</f>
        <v>0</v>
      </c>
      <c r="Z54" s="3318">
        <f t="shared" ref="Z54:Z71" si="100">Y54/$O$89</f>
        <v>0</v>
      </c>
      <c r="AA54" s="2022"/>
      <c r="AB54" s="2031">
        <f>SUM(AB55:AB72)</f>
        <v>0</v>
      </c>
      <c r="AC54" s="2031">
        <f>SUM(AC55:AC72)</f>
        <v>0</v>
      </c>
      <c r="AD54" s="2031">
        <f>SUM(AD55:AD72)</f>
        <v>0</v>
      </c>
      <c r="AE54" s="3318">
        <f t="shared" ref="AE54:AE71" si="101">AD54/$O$89</f>
        <v>0</v>
      </c>
      <c r="AF54" s="2022"/>
      <c r="AG54" s="2031">
        <v>0</v>
      </c>
      <c r="AH54" s="2031">
        <v>5</v>
      </c>
      <c r="AI54" s="2031">
        <v>5</v>
      </c>
      <c r="AJ54" s="3318">
        <v>2.7534983258323531E-5</v>
      </c>
      <c r="AK54" s="2022"/>
      <c r="AL54" s="2031">
        <f>SUM(AL55:AL72)</f>
        <v>0</v>
      </c>
      <c r="AM54" s="2031">
        <f>SUM(AM55:AM72)</f>
        <v>0</v>
      </c>
      <c r="AN54" s="2031">
        <f>SUM(AN55:AN72)</f>
        <v>0</v>
      </c>
      <c r="AO54" s="3318">
        <f t="shared" ref="AO54:AO71" si="102">AN54/$T$89</f>
        <v>0</v>
      </c>
      <c r="AP54" s="2022"/>
      <c r="AQ54" s="2031">
        <f>SUM(AQ55:AQ72)</f>
        <v>0</v>
      </c>
      <c r="AR54" s="2031">
        <f>SUM(AR55:AR72)</f>
        <v>0</v>
      </c>
      <c r="AS54" s="2031">
        <f>SUM(AS55:AS72)</f>
        <v>0</v>
      </c>
      <c r="AT54" s="3318">
        <f t="shared" ref="AT54:AT71" si="103">AS54/$O$89</f>
        <v>0</v>
      </c>
      <c r="AU54" s="2022"/>
      <c r="AV54" s="2031">
        <f>SUM(AV55:AV72)</f>
        <v>0</v>
      </c>
      <c r="AW54" s="2031">
        <f>SUM(AW55:AW72)</f>
        <v>0</v>
      </c>
      <c r="AX54" s="2031">
        <f>SUM(AX55:AX72)</f>
        <v>0</v>
      </c>
      <c r="AY54" s="3318">
        <f t="shared" ref="AY54:AY71" si="104">AX54/$E$89</f>
        <v>0</v>
      </c>
      <c r="AZ54" s="2022"/>
      <c r="BA54" s="2031">
        <f>SUM(BA55:BA72)</f>
        <v>0</v>
      </c>
      <c r="BB54" s="2031">
        <f>SUM(BB55:BB72)</f>
        <v>0</v>
      </c>
      <c r="BC54" s="2031">
        <f>SUM(BC55:BC72)</f>
        <v>0</v>
      </c>
      <c r="BD54" s="3318">
        <f t="shared" ref="BD54:BD71" si="105">BC54/$AD$89</f>
        <v>0</v>
      </c>
      <c r="BE54" s="2022"/>
      <c r="BF54" s="2031">
        <f>SUM(BF55:BF72)</f>
        <v>0</v>
      </c>
      <c r="BG54" s="2031">
        <f>SUM(BG55:BG72)</f>
        <v>0</v>
      </c>
      <c r="BH54" s="2031">
        <f>SUM(BH55:BH72)</f>
        <v>0</v>
      </c>
      <c r="BI54" s="3318">
        <f t="shared" ref="BI54:BI71" si="106">BH54/$AD$89</f>
        <v>0</v>
      </c>
      <c r="BJ54" s="2022"/>
      <c r="BK54" s="2031">
        <f>SUM(BK55:BK72)</f>
        <v>0</v>
      </c>
      <c r="BL54" s="2031">
        <f>SUM(BL55:BL72)</f>
        <v>0</v>
      </c>
      <c r="BM54" s="2031">
        <f>SUM(BM55:BM72)</f>
        <v>0</v>
      </c>
      <c r="BN54" s="3318">
        <f t="shared" ref="BN54:BN71" si="107">BM54/$AD$89</f>
        <v>0</v>
      </c>
      <c r="BO54" s="2022"/>
      <c r="BP54" s="2031">
        <f>SUM(BP55:BP72)</f>
        <v>0</v>
      </c>
      <c r="BQ54" s="2031">
        <f>SUM(BQ55:BQ72)</f>
        <v>0</v>
      </c>
      <c r="BR54" s="2031">
        <f>SUM(BR55:BR72)</f>
        <v>0</v>
      </c>
      <c r="BS54" s="3318">
        <f t="shared" ref="BS54:BS71" si="108">BR54/$AD$89</f>
        <v>0</v>
      </c>
      <c r="BT54" s="2022"/>
      <c r="BU54" s="2031">
        <f>SUM(BU55:BU72)</f>
        <v>0</v>
      </c>
      <c r="BV54" s="2031">
        <f>SUM(BV55:BV72)</f>
        <v>0</v>
      </c>
      <c r="BW54" s="2031">
        <f>SUM(BW55:BW72)</f>
        <v>0</v>
      </c>
      <c r="BX54" s="3318" t="e">
        <f t="shared" ref="BX54:BX71" si="109">BW54/$AN$89</f>
        <v>#DIV/0!</v>
      </c>
      <c r="BY54" s="2022"/>
      <c r="BZ54" s="2031">
        <f>SUM(BZ55:BZ72)</f>
        <v>0</v>
      </c>
      <c r="CA54" s="2031">
        <f>SUM(CA55:CA72)</f>
        <v>0</v>
      </c>
      <c r="CB54" s="2031">
        <f>SUM(CB55:CB72)</f>
        <v>0</v>
      </c>
      <c r="CC54" s="3318" t="e">
        <f t="shared" ref="CC54:CC71" si="110">CB54/$AN$89</f>
        <v>#DIV/0!</v>
      </c>
      <c r="CD54" s="1460"/>
      <c r="CE54" s="2031">
        <f>SUM(CE55:CE72)</f>
        <v>0</v>
      </c>
      <c r="CF54" s="2031">
        <f>SUM(CF55:CF72)</f>
        <v>0</v>
      </c>
      <c r="CG54" s="2031">
        <f>SUM(CG55:CG72)</f>
        <v>0</v>
      </c>
      <c r="CH54" s="3318" t="e">
        <f t="shared" ref="CH54:CH71" si="111">CG54/$AN$89</f>
        <v>#DIV/0!</v>
      </c>
      <c r="CI54" s="1460"/>
      <c r="CJ54" s="2031">
        <f>SUM(CJ55:CJ72)</f>
        <v>0</v>
      </c>
      <c r="CK54" s="2031">
        <f>SUM(CK55:CK72)</f>
        <v>0</v>
      </c>
      <c r="CL54" s="2031">
        <f>SUM(CL55:CL72)</f>
        <v>0</v>
      </c>
      <c r="CM54" s="3318" t="e">
        <f t="shared" ref="CM54:CM71" si="112">CL54/$AN$89</f>
        <v>#DIV/0!</v>
      </c>
      <c r="CN54" s="1460"/>
      <c r="CO54" s="2031">
        <f>SUM(CO55:CO72)</f>
        <v>0</v>
      </c>
      <c r="CP54" s="2031">
        <f>SUM(CP55:CP72)</f>
        <v>0</v>
      </c>
      <c r="CQ54" s="2031">
        <f>SUM(CQ55:CQ72)</f>
        <v>0</v>
      </c>
      <c r="CR54" s="3318" t="e">
        <f t="shared" ref="CR54:CR71" si="113">CQ54/$AN$89</f>
        <v>#DIV/0!</v>
      </c>
      <c r="CS54" s="1460"/>
      <c r="CT54" s="2031">
        <f>SUM(CT55:CT72)</f>
        <v>0</v>
      </c>
      <c r="CU54" s="2031">
        <f>SUM(CU55:CU72)</f>
        <v>0</v>
      </c>
      <c r="CV54" s="2031">
        <f>SUM(CV55:CV72)</f>
        <v>0</v>
      </c>
      <c r="CW54" s="3318" t="e">
        <f t="shared" ref="CW54:CW71" si="114">CV54/$AN$89</f>
        <v>#DIV/0!</v>
      </c>
      <c r="CX54" s="1460"/>
      <c r="CY54" s="2031">
        <f>SUM(CY55:CY72)</f>
        <v>0</v>
      </c>
      <c r="CZ54" s="2031">
        <f>SUM(CZ55:CZ72)</f>
        <v>1181</v>
      </c>
      <c r="DA54" s="2031">
        <f>SUM(DA55:DA72)</f>
        <v>1181</v>
      </c>
      <c r="DB54" s="3318">
        <f t="shared" si="71"/>
        <v>4.6230240113409355E-4</v>
      </c>
      <c r="DC54" s="2022"/>
    </row>
    <row r="55" spans="1:107" ht="13.8" x14ac:dyDescent="0.25">
      <c r="A55" s="1586"/>
      <c r="B55" s="3310" t="s">
        <v>77</v>
      </c>
      <c r="C55" s="3283"/>
      <c r="D55" s="3283"/>
      <c r="E55" s="2028">
        <f t="shared" ref="E55:E71" si="115">C55+D55*1</f>
        <v>0</v>
      </c>
      <c r="F55" s="3284">
        <f t="shared" si="97"/>
        <v>0</v>
      </c>
      <c r="G55" s="3295"/>
      <c r="H55" s="3283"/>
      <c r="I55" s="3283"/>
      <c r="J55" s="2028">
        <f t="shared" ref="J55:J71" si="116">H55+I55*1</f>
        <v>0</v>
      </c>
      <c r="K55" s="3284">
        <f t="shared" si="98"/>
        <v>0</v>
      </c>
      <c r="L55" s="3295"/>
      <c r="M55" s="3283"/>
      <c r="N55" s="3283"/>
      <c r="O55" s="2028">
        <f t="shared" ref="O55:O71" si="117">M55+N55*1</f>
        <v>0</v>
      </c>
      <c r="P55" s="3284">
        <f t="shared" si="2"/>
        <v>0</v>
      </c>
      <c r="Q55" s="3295"/>
      <c r="R55" s="3283"/>
      <c r="S55" s="3283"/>
      <c r="T55" s="2028">
        <f t="shared" ref="T55:T71" si="118">R55+S55*1</f>
        <v>0</v>
      </c>
      <c r="U55" s="3284">
        <f t="shared" si="99"/>
        <v>0</v>
      </c>
      <c r="V55" s="3295"/>
      <c r="W55" s="3283"/>
      <c r="X55" s="3283"/>
      <c r="Y55" s="2028">
        <f t="shared" ref="Y55:Y71" si="119">W55+X55*1</f>
        <v>0</v>
      </c>
      <c r="Z55" s="3284">
        <f t="shared" si="100"/>
        <v>0</v>
      </c>
      <c r="AA55" s="3295"/>
      <c r="AB55" s="3283"/>
      <c r="AC55" s="3283"/>
      <c r="AD55" s="2028">
        <f t="shared" ref="AD55:AD71" si="120">AB55+AC55*1</f>
        <v>0</v>
      </c>
      <c r="AE55" s="3284">
        <f t="shared" si="101"/>
        <v>0</v>
      </c>
      <c r="AF55" s="3295"/>
      <c r="AG55" s="3274">
        <v>0</v>
      </c>
      <c r="AH55" s="3274">
        <v>0</v>
      </c>
      <c r="AI55" s="2028">
        <v>0</v>
      </c>
      <c r="AJ55" s="3284">
        <v>0</v>
      </c>
      <c r="AK55" s="3295"/>
      <c r="AL55" s="3274">
        <f t="shared" ref="AL55:AM71" si="121">AQ55+AV55+BA55+BF55+BK55+BP55+BU55+BZ55+CE55+CJ55+CO55+CT55</f>
        <v>0</v>
      </c>
      <c r="AM55" s="3274">
        <f t="shared" si="121"/>
        <v>0</v>
      </c>
      <c r="AN55" s="2028">
        <f t="shared" ref="AN55:AN71" si="122">AL55+AM55*1</f>
        <v>0</v>
      </c>
      <c r="AO55" s="3284">
        <f t="shared" si="102"/>
        <v>0</v>
      </c>
      <c r="AP55" s="3295"/>
      <c r="AQ55" s="3283"/>
      <c r="AR55" s="3283"/>
      <c r="AS55" s="2028">
        <f t="shared" ref="AS55:AS71" si="123">AQ55+AR55*1</f>
        <v>0</v>
      </c>
      <c r="AT55" s="3284">
        <f t="shared" si="103"/>
        <v>0</v>
      </c>
      <c r="AU55" s="3295"/>
      <c r="AV55" s="3283"/>
      <c r="AW55" s="3283"/>
      <c r="AX55" s="2028">
        <f t="shared" ref="AX55:AX71" si="124">AV55+AW55*1</f>
        <v>0</v>
      </c>
      <c r="AY55" s="3284">
        <f t="shared" si="104"/>
        <v>0</v>
      </c>
      <c r="AZ55" s="3295"/>
      <c r="BA55" s="3283"/>
      <c r="BB55" s="3283"/>
      <c r="BC55" s="2028">
        <f t="shared" ref="BC55:BC71" si="125">BA55+BB55*1</f>
        <v>0</v>
      </c>
      <c r="BD55" s="3284">
        <f t="shared" si="105"/>
        <v>0</v>
      </c>
      <c r="BE55" s="3295"/>
      <c r="BF55" s="3283"/>
      <c r="BG55" s="3283"/>
      <c r="BH55" s="2028">
        <f t="shared" ref="BH55:BH71" si="126">BF55+BG55*1</f>
        <v>0</v>
      </c>
      <c r="BI55" s="3284">
        <f t="shared" si="106"/>
        <v>0</v>
      </c>
      <c r="BJ55" s="3295"/>
      <c r="BK55" s="3283"/>
      <c r="BL55" s="3283"/>
      <c r="BM55" s="2028">
        <f t="shared" ref="BM55:BM71" si="127">BK55+BL55*1</f>
        <v>0</v>
      </c>
      <c r="BN55" s="3284">
        <f t="shared" si="107"/>
        <v>0</v>
      </c>
      <c r="BO55" s="3295"/>
      <c r="BP55" s="3283"/>
      <c r="BQ55" s="3283"/>
      <c r="BR55" s="2028">
        <f t="shared" ref="BR55:BR71" si="128">BP55+BQ55*1</f>
        <v>0</v>
      </c>
      <c r="BS55" s="3284">
        <f t="shared" si="108"/>
        <v>0</v>
      </c>
      <c r="BT55" s="3295"/>
      <c r="BU55" s="3283"/>
      <c r="BV55" s="3283"/>
      <c r="BW55" s="2028">
        <f t="shared" ref="BW55:BW71" si="129">BU55+BV55*1</f>
        <v>0</v>
      </c>
      <c r="BX55" s="3284" t="e">
        <f t="shared" si="109"/>
        <v>#DIV/0!</v>
      </c>
      <c r="BY55" s="3295"/>
      <c r="BZ55" s="3283"/>
      <c r="CA55" s="3283"/>
      <c r="CB55" s="2028">
        <f t="shared" ref="CB55:CB71" si="130">BZ55+CA55*1</f>
        <v>0</v>
      </c>
      <c r="CC55" s="3284" t="e">
        <f t="shared" si="110"/>
        <v>#DIV/0!</v>
      </c>
      <c r="CD55" s="1449"/>
      <c r="CE55" s="3283"/>
      <c r="CF55" s="3283"/>
      <c r="CG55" s="2028">
        <f t="shared" ref="CG55:CG71" si="131">CE55+CF55*1</f>
        <v>0</v>
      </c>
      <c r="CH55" s="3284" t="e">
        <f t="shared" si="111"/>
        <v>#DIV/0!</v>
      </c>
      <c r="CI55" s="1449"/>
      <c r="CJ55" s="3283"/>
      <c r="CK55" s="3283"/>
      <c r="CL55" s="2028">
        <f t="shared" ref="CL55:CL71" si="132">CJ55+CK55*1</f>
        <v>0</v>
      </c>
      <c r="CM55" s="3284" t="e">
        <f t="shared" si="112"/>
        <v>#DIV/0!</v>
      </c>
      <c r="CN55" s="1449"/>
      <c r="CO55" s="3283"/>
      <c r="CP55" s="3283"/>
      <c r="CQ55" s="2028">
        <f t="shared" ref="CQ55:CQ71" si="133">CO55+CP55*1</f>
        <v>0</v>
      </c>
      <c r="CR55" s="3284" t="e">
        <f t="shared" si="113"/>
        <v>#DIV/0!</v>
      </c>
      <c r="CS55" s="1449"/>
      <c r="CT55" s="3283"/>
      <c r="CU55" s="3283"/>
      <c r="CV55" s="2028">
        <f t="shared" ref="CV55:CV71" si="134">CT55+CU55*1</f>
        <v>0</v>
      </c>
      <c r="CW55" s="3284" t="e">
        <f t="shared" si="114"/>
        <v>#DIV/0!</v>
      </c>
      <c r="CX55" s="1449"/>
      <c r="CY55" s="3274">
        <f t="shared" ref="CY55:CZ71" si="135">C55+H55+M55+R55+W55+AB55+AQ55+AV55+BA55+BF55+BK55+BP55+BU55+BZ55+CE55+CJ55+CO55+CT55+AG55</f>
        <v>0</v>
      </c>
      <c r="CZ55" s="3274">
        <f t="shared" si="135"/>
        <v>0</v>
      </c>
      <c r="DA55" s="2028">
        <f t="shared" ref="DA55:DA71" si="136">CY55+CZ55*1</f>
        <v>0</v>
      </c>
      <c r="DB55" s="3284">
        <f t="shared" si="71"/>
        <v>0</v>
      </c>
      <c r="DC55" s="3295"/>
    </row>
    <row r="56" spans="1:107" ht="13.8" x14ac:dyDescent="0.25">
      <c r="A56" s="1586"/>
      <c r="B56" s="3310" t="s">
        <v>76</v>
      </c>
      <c r="C56" s="3283"/>
      <c r="D56" s="3283"/>
      <c r="E56" s="2028">
        <f t="shared" si="115"/>
        <v>0</v>
      </c>
      <c r="F56" s="3284">
        <f t="shared" si="97"/>
        <v>0</v>
      </c>
      <c r="G56" s="3295"/>
      <c r="H56" s="3283"/>
      <c r="I56" s="3283"/>
      <c r="J56" s="2028">
        <f t="shared" si="116"/>
        <v>0</v>
      </c>
      <c r="K56" s="3284">
        <f t="shared" si="98"/>
        <v>0</v>
      </c>
      <c r="L56" s="3295"/>
      <c r="M56" s="3283"/>
      <c r="N56" s="3283"/>
      <c r="O56" s="2028">
        <f t="shared" si="117"/>
        <v>0</v>
      </c>
      <c r="P56" s="3284">
        <f t="shared" si="2"/>
        <v>0</v>
      </c>
      <c r="Q56" s="3295"/>
      <c r="R56" s="3283"/>
      <c r="S56" s="3283"/>
      <c r="T56" s="2028">
        <f t="shared" si="118"/>
        <v>0</v>
      </c>
      <c r="U56" s="3284">
        <f t="shared" si="99"/>
        <v>0</v>
      </c>
      <c r="V56" s="3295"/>
      <c r="W56" s="3283"/>
      <c r="X56" s="3283"/>
      <c r="Y56" s="2028">
        <f t="shared" si="119"/>
        <v>0</v>
      </c>
      <c r="Z56" s="3284">
        <f t="shared" si="100"/>
        <v>0</v>
      </c>
      <c r="AA56" s="3295"/>
      <c r="AB56" s="3283"/>
      <c r="AC56" s="3283"/>
      <c r="AD56" s="2028">
        <f t="shared" si="120"/>
        <v>0</v>
      </c>
      <c r="AE56" s="3284">
        <f t="shared" si="101"/>
        <v>0</v>
      </c>
      <c r="AF56" s="3295"/>
      <c r="AG56" s="3274">
        <v>0</v>
      </c>
      <c r="AH56" s="3274">
        <v>0</v>
      </c>
      <c r="AI56" s="2028">
        <v>0</v>
      </c>
      <c r="AJ56" s="3284">
        <v>0</v>
      </c>
      <c r="AK56" s="3295"/>
      <c r="AL56" s="3274">
        <f t="shared" si="121"/>
        <v>0</v>
      </c>
      <c r="AM56" s="3274">
        <f t="shared" si="121"/>
        <v>0</v>
      </c>
      <c r="AN56" s="2028">
        <f t="shared" si="122"/>
        <v>0</v>
      </c>
      <c r="AO56" s="3284">
        <f t="shared" si="102"/>
        <v>0</v>
      </c>
      <c r="AP56" s="3295"/>
      <c r="AQ56" s="3283"/>
      <c r="AR56" s="3283"/>
      <c r="AS56" s="2028">
        <f t="shared" si="123"/>
        <v>0</v>
      </c>
      <c r="AT56" s="3284">
        <f t="shared" si="103"/>
        <v>0</v>
      </c>
      <c r="AU56" s="3295"/>
      <c r="AV56" s="3283"/>
      <c r="AW56" s="3283"/>
      <c r="AX56" s="2028">
        <f t="shared" si="124"/>
        <v>0</v>
      </c>
      <c r="AY56" s="3284">
        <f t="shared" si="104"/>
        <v>0</v>
      </c>
      <c r="AZ56" s="3295"/>
      <c r="BA56" s="3283"/>
      <c r="BB56" s="3283"/>
      <c r="BC56" s="2028">
        <f t="shared" si="125"/>
        <v>0</v>
      </c>
      <c r="BD56" s="3284">
        <f t="shared" si="105"/>
        <v>0</v>
      </c>
      <c r="BE56" s="3295"/>
      <c r="BF56" s="3283"/>
      <c r="BG56" s="3283"/>
      <c r="BH56" s="2028">
        <f t="shared" si="126"/>
        <v>0</v>
      </c>
      <c r="BI56" s="3284">
        <f t="shared" si="106"/>
        <v>0</v>
      </c>
      <c r="BJ56" s="3295"/>
      <c r="BK56" s="3283"/>
      <c r="BL56" s="3283"/>
      <c r="BM56" s="2028">
        <f t="shared" si="127"/>
        <v>0</v>
      </c>
      <c r="BN56" s="3284">
        <f t="shared" si="107"/>
        <v>0</v>
      </c>
      <c r="BO56" s="3295"/>
      <c r="BP56" s="3283"/>
      <c r="BQ56" s="3283"/>
      <c r="BR56" s="2028">
        <f t="shared" si="128"/>
        <v>0</v>
      </c>
      <c r="BS56" s="3284">
        <f t="shared" si="108"/>
        <v>0</v>
      </c>
      <c r="BT56" s="3295"/>
      <c r="BU56" s="3283"/>
      <c r="BV56" s="3283"/>
      <c r="BW56" s="2028">
        <f t="shared" si="129"/>
        <v>0</v>
      </c>
      <c r="BX56" s="3284" t="e">
        <f t="shared" si="109"/>
        <v>#DIV/0!</v>
      </c>
      <c r="BY56" s="3295"/>
      <c r="BZ56" s="3283"/>
      <c r="CA56" s="3283"/>
      <c r="CB56" s="2028">
        <f t="shared" si="130"/>
        <v>0</v>
      </c>
      <c r="CC56" s="3284" t="e">
        <f t="shared" si="110"/>
        <v>#DIV/0!</v>
      </c>
      <c r="CD56" s="1449"/>
      <c r="CE56" s="3283"/>
      <c r="CF56" s="3283"/>
      <c r="CG56" s="2028">
        <f t="shared" si="131"/>
        <v>0</v>
      </c>
      <c r="CH56" s="3284" t="e">
        <f t="shared" si="111"/>
        <v>#DIV/0!</v>
      </c>
      <c r="CI56" s="1449"/>
      <c r="CJ56" s="3283"/>
      <c r="CK56" s="3283"/>
      <c r="CL56" s="2028">
        <f t="shared" si="132"/>
        <v>0</v>
      </c>
      <c r="CM56" s="3284" t="e">
        <f t="shared" si="112"/>
        <v>#DIV/0!</v>
      </c>
      <c r="CN56" s="1449"/>
      <c r="CO56" s="3283"/>
      <c r="CP56" s="3283"/>
      <c r="CQ56" s="2028">
        <f t="shared" si="133"/>
        <v>0</v>
      </c>
      <c r="CR56" s="3284" t="e">
        <f t="shared" si="113"/>
        <v>#DIV/0!</v>
      </c>
      <c r="CS56" s="1449"/>
      <c r="CT56" s="3283"/>
      <c r="CU56" s="3283"/>
      <c r="CV56" s="2028">
        <f t="shared" si="134"/>
        <v>0</v>
      </c>
      <c r="CW56" s="3284" t="e">
        <f t="shared" si="114"/>
        <v>#DIV/0!</v>
      </c>
      <c r="CX56" s="1449"/>
      <c r="CY56" s="3274">
        <f t="shared" si="135"/>
        <v>0</v>
      </c>
      <c r="CZ56" s="3274">
        <f t="shared" si="135"/>
        <v>0</v>
      </c>
      <c r="DA56" s="2028">
        <f t="shared" si="136"/>
        <v>0</v>
      </c>
      <c r="DB56" s="3284">
        <f t="shared" si="71"/>
        <v>0</v>
      </c>
      <c r="DC56" s="3295"/>
    </row>
    <row r="57" spans="1:107" ht="13.8" x14ac:dyDescent="0.25">
      <c r="A57" s="1586"/>
      <c r="B57" s="3310" t="s">
        <v>68</v>
      </c>
      <c r="C57" s="3283"/>
      <c r="D57" s="3283"/>
      <c r="E57" s="2028">
        <f t="shared" si="115"/>
        <v>0</v>
      </c>
      <c r="F57" s="3284">
        <f t="shared" si="97"/>
        <v>0</v>
      </c>
      <c r="G57" s="3295"/>
      <c r="H57" s="3283"/>
      <c r="I57" s="3283"/>
      <c r="J57" s="2028">
        <f t="shared" si="116"/>
        <v>0</v>
      </c>
      <c r="K57" s="3284">
        <f t="shared" si="98"/>
        <v>0</v>
      </c>
      <c r="L57" s="3295"/>
      <c r="M57" s="3283"/>
      <c r="N57" s="3283"/>
      <c r="O57" s="2028">
        <f t="shared" si="117"/>
        <v>0</v>
      </c>
      <c r="P57" s="3284">
        <f t="shared" si="2"/>
        <v>0</v>
      </c>
      <c r="Q57" s="3295"/>
      <c r="R57" s="3283"/>
      <c r="S57" s="3283"/>
      <c r="T57" s="2028">
        <f t="shared" si="118"/>
        <v>0</v>
      </c>
      <c r="U57" s="3284">
        <f t="shared" si="99"/>
        <v>0</v>
      </c>
      <c r="V57" s="3295"/>
      <c r="W57" s="3283"/>
      <c r="X57" s="3283"/>
      <c r="Y57" s="2028">
        <f t="shared" si="119"/>
        <v>0</v>
      </c>
      <c r="Z57" s="3284">
        <f t="shared" si="100"/>
        <v>0</v>
      </c>
      <c r="AA57" s="3295"/>
      <c r="AB57" s="3283"/>
      <c r="AC57" s="3283"/>
      <c r="AD57" s="2028">
        <f t="shared" si="120"/>
        <v>0</v>
      </c>
      <c r="AE57" s="3284">
        <f t="shared" si="101"/>
        <v>0</v>
      </c>
      <c r="AF57" s="3295"/>
      <c r="AG57" s="3274">
        <v>0</v>
      </c>
      <c r="AH57" s="3274">
        <v>0</v>
      </c>
      <c r="AI57" s="2028">
        <v>0</v>
      </c>
      <c r="AJ57" s="3284">
        <v>0</v>
      </c>
      <c r="AK57" s="3295"/>
      <c r="AL57" s="3274">
        <f t="shared" si="121"/>
        <v>0</v>
      </c>
      <c r="AM57" s="3274">
        <f t="shared" si="121"/>
        <v>0</v>
      </c>
      <c r="AN57" s="2028">
        <f t="shared" si="122"/>
        <v>0</v>
      </c>
      <c r="AO57" s="3284">
        <f t="shared" si="102"/>
        <v>0</v>
      </c>
      <c r="AP57" s="3295"/>
      <c r="AQ57" s="3283"/>
      <c r="AR57" s="3283"/>
      <c r="AS57" s="2028">
        <f t="shared" si="123"/>
        <v>0</v>
      </c>
      <c r="AT57" s="3284">
        <f t="shared" si="103"/>
        <v>0</v>
      </c>
      <c r="AU57" s="3295"/>
      <c r="AV57" s="3283"/>
      <c r="AW57" s="3283"/>
      <c r="AX57" s="2028">
        <f t="shared" si="124"/>
        <v>0</v>
      </c>
      <c r="AY57" s="3284">
        <f t="shared" si="104"/>
        <v>0</v>
      </c>
      <c r="AZ57" s="3295"/>
      <c r="BA57" s="3283"/>
      <c r="BB57" s="3283"/>
      <c r="BC57" s="2028">
        <f t="shared" si="125"/>
        <v>0</v>
      </c>
      <c r="BD57" s="3284">
        <f t="shared" si="105"/>
        <v>0</v>
      </c>
      <c r="BE57" s="3295"/>
      <c r="BF57" s="3283"/>
      <c r="BG57" s="3283"/>
      <c r="BH57" s="2028">
        <f t="shared" si="126"/>
        <v>0</v>
      </c>
      <c r="BI57" s="3284">
        <f t="shared" si="106"/>
        <v>0</v>
      </c>
      <c r="BJ57" s="3295"/>
      <c r="BK57" s="3283"/>
      <c r="BL57" s="3283"/>
      <c r="BM57" s="2028">
        <f t="shared" si="127"/>
        <v>0</v>
      </c>
      <c r="BN57" s="3284">
        <f t="shared" si="107"/>
        <v>0</v>
      </c>
      <c r="BO57" s="3295"/>
      <c r="BP57" s="3283"/>
      <c r="BQ57" s="3283"/>
      <c r="BR57" s="2028">
        <f t="shared" si="128"/>
        <v>0</v>
      </c>
      <c r="BS57" s="3284">
        <f t="shared" si="108"/>
        <v>0</v>
      </c>
      <c r="BT57" s="3295"/>
      <c r="BU57" s="3283"/>
      <c r="BV57" s="3283"/>
      <c r="BW57" s="2028">
        <f t="shared" si="129"/>
        <v>0</v>
      </c>
      <c r="BX57" s="3284" t="e">
        <f t="shared" si="109"/>
        <v>#DIV/0!</v>
      </c>
      <c r="BY57" s="3295"/>
      <c r="BZ57" s="3283"/>
      <c r="CA57" s="3283"/>
      <c r="CB57" s="2028">
        <f t="shared" si="130"/>
        <v>0</v>
      </c>
      <c r="CC57" s="3284" t="e">
        <f t="shared" si="110"/>
        <v>#DIV/0!</v>
      </c>
      <c r="CD57" s="1449"/>
      <c r="CE57" s="3283"/>
      <c r="CF57" s="3283"/>
      <c r="CG57" s="2028">
        <f t="shared" si="131"/>
        <v>0</v>
      </c>
      <c r="CH57" s="3284" t="e">
        <f t="shared" si="111"/>
        <v>#DIV/0!</v>
      </c>
      <c r="CI57" s="1449"/>
      <c r="CJ57" s="3283"/>
      <c r="CK57" s="3283"/>
      <c r="CL57" s="2028">
        <f t="shared" si="132"/>
        <v>0</v>
      </c>
      <c r="CM57" s="3284" t="e">
        <f t="shared" si="112"/>
        <v>#DIV/0!</v>
      </c>
      <c r="CN57" s="1449"/>
      <c r="CO57" s="3283"/>
      <c r="CP57" s="3283"/>
      <c r="CQ57" s="2028">
        <f t="shared" si="133"/>
        <v>0</v>
      </c>
      <c r="CR57" s="3284" t="e">
        <f t="shared" si="113"/>
        <v>#DIV/0!</v>
      </c>
      <c r="CS57" s="1449"/>
      <c r="CT57" s="3283"/>
      <c r="CU57" s="3283"/>
      <c r="CV57" s="2028">
        <f t="shared" si="134"/>
        <v>0</v>
      </c>
      <c r="CW57" s="3284" t="e">
        <f t="shared" si="114"/>
        <v>#DIV/0!</v>
      </c>
      <c r="CX57" s="1449"/>
      <c r="CY57" s="3274">
        <f t="shared" si="135"/>
        <v>0</v>
      </c>
      <c r="CZ57" s="3274">
        <f t="shared" si="135"/>
        <v>0</v>
      </c>
      <c r="DA57" s="2028">
        <f t="shared" si="136"/>
        <v>0</v>
      </c>
      <c r="DB57" s="3284">
        <f t="shared" si="71"/>
        <v>0</v>
      </c>
      <c r="DC57" s="3295"/>
    </row>
    <row r="58" spans="1:107" ht="13.8" x14ac:dyDescent="0.25">
      <c r="A58" s="1586"/>
      <c r="B58" s="3310" t="s">
        <v>67</v>
      </c>
      <c r="C58" s="3283"/>
      <c r="D58" s="3283"/>
      <c r="E58" s="2028">
        <f t="shared" si="115"/>
        <v>0</v>
      </c>
      <c r="F58" s="3284">
        <f t="shared" si="97"/>
        <v>0</v>
      </c>
      <c r="G58" s="3295"/>
      <c r="H58" s="3283"/>
      <c r="I58" s="3283"/>
      <c r="J58" s="2028">
        <f t="shared" si="116"/>
        <v>0</v>
      </c>
      <c r="K58" s="3284">
        <f t="shared" si="98"/>
        <v>0</v>
      </c>
      <c r="L58" s="3295"/>
      <c r="M58" s="3283"/>
      <c r="N58" s="3283"/>
      <c r="O58" s="2028">
        <f t="shared" si="117"/>
        <v>0</v>
      </c>
      <c r="P58" s="3284">
        <f t="shared" si="2"/>
        <v>0</v>
      </c>
      <c r="Q58" s="3295"/>
      <c r="R58" s="3283"/>
      <c r="S58" s="3283"/>
      <c r="T58" s="2028">
        <f t="shared" si="118"/>
        <v>0</v>
      </c>
      <c r="U58" s="3284">
        <f t="shared" si="99"/>
        <v>0</v>
      </c>
      <c r="V58" s="3295"/>
      <c r="W58" s="3283"/>
      <c r="X58" s="3283"/>
      <c r="Y58" s="2028">
        <f t="shared" si="119"/>
        <v>0</v>
      </c>
      <c r="Z58" s="3284">
        <f t="shared" si="100"/>
        <v>0</v>
      </c>
      <c r="AA58" s="3295"/>
      <c r="AB58" s="3283"/>
      <c r="AC58" s="3283"/>
      <c r="AD58" s="2028">
        <f t="shared" si="120"/>
        <v>0</v>
      </c>
      <c r="AE58" s="3284">
        <f t="shared" si="101"/>
        <v>0</v>
      </c>
      <c r="AF58" s="3295"/>
      <c r="AG58" s="3274">
        <v>0</v>
      </c>
      <c r="AH58" s="3274">
        <v>0</v>
      </c>
      <c r="AI58" s="2028">
        <v>0</v>
      </c>
      <c r="AJ58" s="3284">
        <v>0</v>
      </c>
      <c r="AK58" s="3295"/>
      <c r="AL58" s="3274">
        <f t="shared" si="121"/>
        <v>0</v>
      </c>
      <c r="AM58" s="3274">
        <f t="shared" si="121"/>
        <v>0</v>
      </c>
      <c r="AN58" s="2028">
        <f t="shared" si="122"/>
        <v>0</v>
      </c>
      <c r="AO58" s="3284">
        <f t="shared" si="102"/>
        <v>0</v>
      </c>
      <c r="AP58" s="3295"/>
      <c r="AQ58" s="3283"/>
      <c r="AR58" s="3283"/>
      <c r="AS58" s="2028">
        <f t="shared" si="123"/>
        <v>0</v>
      </c>
      <c r="AT58" s="3284">
        <f t="shared" si="103"/>
        <v>0</v>
      </c>
      <c r="AU58" s="3295"/>
      <c r="AV58" s="3283"/>
      <c r="AW58" s="3283"/>
      <c r="AX58" s="2028">
        <f t="shared" si="124"/>
        <v>0</v>
      </c>
      <c r="AY58" s="3284">
        <f t="shared" si="104"/>
        <v>0</v>
      </c>
      <c r="AZ58" s="3295"/>
      <c r="BA58" s="3283"/>
      <c r="BB58" s="3283"/>
      <c r="BC58" s="2028">
        <f t="shared" si="125"/>
        <v>0</v>
      </c>
      <c r="BD58" s="3284">
        <f t="shared" si="105"/>
        <v>0</v>
      </c>
      <c r="BE58" s="3295"/>
      <c r="BF58" s="3283"/>
      <c r="BG58" s="3283"/>
      <c r="BH58" s="2028">
        <f t="shared" si="126"/>
        <v>0</v>
      </c>
      <c r="BI58" s="3284">
        <f t="shared" si="106"/>
        <v>0</v>
      </c>
      <c r="BJ58" s="3295"/>
      <c r="BK58" s="3283"/>
      <c r="BL58" s="3283"/>
      <c r="BM58" s="2028">
        <f t="shared" si="127"/>
        <v>0</v>
      </c>
      <c r="BN58" s="3284">
        <f t="shared" si="107"/>
        <v>0</v>
      </c>
      <c r="BO58" s="3295"/>
      <c r="BP58" s="3283"/>
      <c r="BQ58" s="3283"/>
      <c r="BR58" s="2028">
        <f t="shared" si="128"/>
        <v>0</v>
      </c>
      <c r="BS58" s="3284">
        <f t="shared" si="108"/>
        <v>0</v>
      </c>
      <c r="BT58" s="3295"/>
      <c r="BU58" s="3283"/>
      <c r="BV58" s="3283"/>
      <c r="BW58" s="2028">
        <f t="shared" si="129"/>
        <v>0</v>
      </c>
      <c r="BX58" s="3284" t="e">
        <f t="shared" si="109"/>
        <v>#DIV/0!</v>
      </c>
      <c r="BY58" s="3295"/>
      <c r="BZ58" s="3283"/>
      <c r="CA58" s="3283"/>
      <c r="CB58" s="2028">
        <f t="shared" si="130"/>
        <v>0</v>
      </c>
      <c r="CC58" s="3284" t="e">
        <f t="shared" si="110"/>
        <v>#DIV/0!</v>
      </c>
      <c r="CD58" s="1449"/>
      <c r="CE58" s="3283"/>
      <c r="CF58" s="3283"/>
      <c r="CG58" s="2028">
        <f t="shared" si="131"/>
        <v>0</v>
      </c>
      <c r="CH58" s="3284" t="e">
        <f t="shared" si="111"/>
        <v>#DIV/0!</v>
      </c>
      <c r="CI58" s="1449"/>
      <c r="CJ58" s="3283"/>
      <c r="CK58" s="3283"/>
      <c r="CL58" s="2028">
        <f t="shared" si="132"/>
        <v>0</v>
      </c>
      <c r="CM58" s="3284" t="e">
        <f t="shared" si="112"/>
        <v>#DIV/0!</v>
      </c>
      <c r="CN58" s="1449"/>
      <c r="CO58" s="3283"/>
      <c r="CP58" s="3283"/>
      <c r="CQ58" s="2028">
        <f t="shared" si="133"/>
        <v>0</v>
      </c>
      <c r="CR58" s="3284" t="e">
        <f t="shared" si="113"/>
        <v>#DIV/0!</v>
      </c>
      <c r="CS58" s="1449"/>
      <c r="CT58" s="3283"/>
      <c r="CU58" s="3283"/>
      <c r="CV58" s="2028">
        <f t="shared" si="134"/>
        <v>0</v>
      </c>
      <c r="CW58" s="3284" t="e">
        <f t="shared" si="114"/>
        <v>#DIV/0!</v>
      </c>
      <c r="CX58" s="1449"/>
      <c r="CY58" s="3274">
        <f t="shared" si="135"/>
        <v>0</v>
      </c>
      <c r="CZ58" s="3274">
        <f t="shared" si="135"/>
        <v>0</v>
      </c>
      <c r="DA58" s="2028">
        <f t="shared" si="136"/>
        <v>0</v>
      </c>
      <c r="DB58" s="3284">
        <f t="shared" si="71"/>
        <v>0</v>
      </c>
      <c r="DC58" s="3295"/>
    </row>
    <row r="59" spans="1:107" ht="13.8" x14ac:dyDescent="0.25">
      <c r="A59" s="1586"/>
      <c r="B59" s="3310" t="s">
        <v>66</v>
      </c>
      <c r="C59" s="3283"/>
      <c r="D59" s="3283"/>
      <c r="E59" s="2028">
        <f t="shared" si="115"/>
        <v>0</v>
      </c>
      <c r="F59" s="3284">
        <f t="shared" si="97"/>
        <v>0</v>
      </c>
      <c r="G59" s="3295"/>
      <c r="H59" s="3283"/>
      <c r="I59" s="3283"/>
      <c r="J59" s="2028">
        <f t="shared" si="116"/>
        <v>0</v>
      </c>
      <c r="K59" s="3284">
        <f t="shared" si="98"/>
        <v>0</v>
      </c>
      <c r="L59" s="3295"/>
      <c r="M59" s="3283"/>
      <c r="N59" s="3283"/>
      <c r="O59" s="2028">
        <f t="shared" si="117"/>
        <v>0</v>
      </c>
      <c r="P59" s="3284">
        <f t="shared" si="2"/>
        <v>0</v>
      </c>
      <c r="Q59" s="3295"/>
      <c r="R59" s="3283"/>
      <c r="S59" s="3283"/>
      <c r="T59" s="2028">
        <f t="shared" si="118"/>
        <v>0</v>
      </c>
      <c r="U59" s="3284">
        <f t="shared" si="99"/>
        <v>0</v>
      </c>
      <c r="V59" s="3295"/>
      <c r="W59" s="3283"/>
      <c r="X59" s="3283"/>
      <c r="Y59" s="2028">
        <f t="shared" si="119"/>
        <v>0</v>
      </c>
      <c r="Z59" s="3284">
        <f t="shared" si="100"/>
        <v>0</v>
      </c>
      <c r="AA59" s="3295"/>
      <c r="AB59" s="3283"/>
      <c r="AC59" s="3283"/>
      <c r="AD59" s="2028">
        <f t="shared" si="120"/>
        <v>0</v>
      </c>
      <c r="AE59" s="3284">
        <f t="shared" si="101"/>
        <v>0</v>
      </c>
      <c r="AF59" s="3295"/>
      <c r="AG59" s="3274">
        <v>0</v>
      </c>
      <c r="AH59" s="3274">
        <v>0</v>
      </c>
      <c r="AI59" s="2028">
        <v>0</v>
      </c>
      <c r="AJ59" s="3284">
        <v>0</v>
      </c>
      <c r="AK59" s="3295"/>
      <c r="AL59" s="3274">
        <f t="shared" si="121"/>
        <v>0</v>
      </c>
      <c r="AM59" s="3274">
        <f t="shared" si="121"/>
        <v>0</v>
      </c>
      <c r="AN59" s="2028">
        <f t="shared" si="122"/>
        <v>0</v>
      </c>
      <c r="AO59" s="3284">
        <f t="shared" si="102"/>
        <v>0</v>
      </c>
      <c r="AP59" s="3295"/>
      <c r="AQ59" s="3283"/>
      <c r="AR59" s="3283"/>
      <c r="AS59" s="2028">
        <f t="shared" si="123"/>
        <v>0</v>
      </c>
      <c r="AT59" s="3284">
        <f t="shared" si="103"/>
        <v>0</v>
      </c>
      <c r="AU59" s="3295"/>
      <c r="AV59" s="3283"/>
      <c r="AW59" s="3283"/>
      <c r="AX59" s="2028">
        <f t="shared" si="124"/>
        <v>0</v>
      </c>
      <c r="AY59" s="3284">
        <f t="shared" si="104"/>
        <v>0</v>
      </c>
      <c r="AZ59" s="3295"/>
      <c r="BA59" s="3283"/>
      <c r="BB59" s="3283"/>
      <c r="BC59" s="2028">
        <f t="shared" si="125"/>
        <v>0</v>
      </c>
      <c r="BD59" s="3284">
        <f t="shared" si="105"/>
        <v>0</v>
      </c>
      <c r="BE59" s="3295"/>
      <c r="BF59" s="3283"/>
      <c r="BG59" s="3283"/>
      <c r="BH59" s="2028">
        <f t="shared" si="126"/>
        <v>0</v>
      </c>
      <c r="BI59" s="3284">
        <f t="shared" si="106"/>
        <v>0</v>
      </c>
      <c r="BJ59" s="3295"/>
      <c r="BK59" s="3283"/>
      <c r="BL59" s="3283"/>
      <c r="BM59" s="2028">
        <f t="shared" si="127"/>
        <v>0</v>
      </c>
      <c r="BN59" s="3284">
        <f t="shared" si="107"/>
        <v>0</v>
      </c>
      <c r="BO59" s="3295"/>
      <c r="BP59" s="3283"/>
      <c r="BQ59" s="3283"/>
      <c r="BR59" s="2028">
        <f t="shared" si="128"/>
        <v>0</v>
      </c>
      <c r="BS59" s="3284">
        <f t="shared" si="108"/>
        <v>0</v>
      </c>
      <c r="BT59" s="3295"/>
      <c r="BU59" s="3283"/>
      <c r="BV59" s="3283"/>
      <c r="BW59" s="2028">
        <f t="shared" si="129"/>
        <v>0</v>
      </c>
      <c r="BX59" s="3284" t="e">
        <f t="shared" si="109"/>
        <v>#DIV/0!</v>
      </c>
      <c r="BY59" s="3295"/>
      <c r="BZ59" s="3283"/>
      <c r="CA59" s="3283"/>
      <c r="CB59" s="2028">
        <f t="shared" si="130"/>
        <v>0</v>
      </c>
      <c r="CC59" s="3284" t="e">
        <f t="shared" si="110"/>
        <v>#DIV/0!</v>
      </c>
      <c r="CD59" s="1449"/>
      <c r="CE59" s="3283"/>
      <c r="CF59" s="3283"/>
      <c r="CG59" s="2028">
        <f t="shared" si="131"/>
        <v>0</v>
      </c>
      <c r="CH59" s="3284" t="e">
        <f t="shared" si="111"/>
        <v>#DIV/0!</v>
      </c>
      <c r="CI59" s="1449"/>
      <c r="CJ59" s="3283"/>
      <c r="CK59" s="3283"/>
      <c r="CL59" s="2028">
        <f t="shared" si="132"/>
        <v>0</v>
      </c>
      <c r="CM59" s="3284" t="e">
        <f t="shared" si="112"/>
        <v>#DIV/0!</v>
      </c>
      <c r="CN59" s="1449"/>
      <c r="CO59" s="3283"/>
      <c r="CP59" s="3283"/>
      <c r="CQ59" s="2028">
        <f t="shared" si="133"/>
        <v>0</v>
      </c>
      <c r="CR59" s="3284" t="e">
        <f t="shared" si="113"/>
        <v>#DIV/0!</v>
      </c>
      <c r="CS59" s="1449"/>
      <c r="CT59" s="3283"/>
      <c r="CU59" s="3283"/>
      <c r="CV59" s="2028">
        <f t="shared" si="134"/>
        <v>0</v>
      </c>
      <c r="CW59" s="3284" t="e">
        <f t="shared" si="114"/>
        <v>#DIV/0!</v>
      </c>
      <c r="CX59" s="1449"/>
      <c r="CY59" s="3274">
        <f t="shared" si="135"/>
        <v>0</v>
      </c>
      <c r="CZ59" s="3274">
        <f t="shared" si="135"/>
        <v>0</v>
      </c>
      <c r="DA59" s="2028">
        <f t="shared" si="136"/>
        <v>0</v>
      </c>
      <c r="DB59" s="3284">
        <f t="shared" si="71"/>
        <v>0</v>
      </c>
      <c r="DC59" s="3295"/>
    </row>
    <row r="60" spans="1:107" ht="13.8" x14ac:dyDescent="0.25">
      <c r="A60" s="1586"/>
      <c r="B60" s="3310" t="s">
        <v>65</v>
      </c>
      <c r="C60" s="3283"/>
      <c r="D60" s="3283"/>
      <c r="E60" s="2028">
        <f t="shared" si="115"/>
        <v>0</v>
      </c>
      <c r="F60" s="3284">
        <f t="shared" si="97"/>
        <v>0</v>
      </c>
      <c r="G60" s="3295"/>
      <c r="H60" s="3283"/>
      <c r="I60" s="3283"/>
      <c r="J60" s="2028">
        <f t="shared" si="116"/>
        <v>0</v>
      </c>
      <c r="K60" s="3284">
        <f t="shared" si="98"/>
        <v>0</v>
      </c>
      <c r="L60" s="3295"/>
      <c r="M60" s="3283"/>
      <c r="N60" s="3283"/>
      <c r="O60" s="2028">
        <f t="shared" si="117"/>
        <v>0</v>
      </c>
      <c r="P60" s="3284">
        <f t="shared" si="2"/>
        <v>0</v>
      </c>
      <c r="Q60" s="3295"/>
      <c r="R60" s="3283"/>
      <c r="S60" s="3283"/>
      <c r="T60" s="2028">
        <f t="shared" si="118"/>
        <v>0</v>
      </c>
      <c r="U60" s="3284">
        <f t="shared" si="99"/>
        <v>0</v>
      </c>
      <c r="V60" s="3295"/>
      <c r="W60" s="3283"/>
      <c r="X60" s="3283"/>
      <c r="Y60" s="2028">
        <f t="shared" si="119"/>
        <v>0</v>
      </c>
      <c r="Z60" s="3284">
        <f t="shared" si="100"/>
        <v>0</v>
      </c>
      <c r="AA60" s="3295"/>
      <c r="AB60" s="3283"/>
      <c r="AC60" s="3283"/>
      <c r="AD60" s="2028">
        <f t="shared" si="120"/>
        <v>0</v>
      </c>
      <c r="AE60" s="3284">
        <f t="shared" si="101"/>
        <v>0</v>
      </c>
      <c r="AF60" s="3295"/>
      <c r="AG60" s="3274">
        <v>0</v>
      </c>
      <c r="AH60" s="3274">
        <v>0</v>
      </c>
      <c r="AI60" s="2028">
        <v>0</v>
      </c>
      <c r="AJ60" s="3284">
        <v>0</v>
      </c>
      <c r="AK60" s="3295"/>
      <c r="AL60" s="3274">
        <f t="shared" si="121"/>
        <v>0</v>
      </c>
      <c r="AM60" s="3274">
        <f t="shared" si="121"/>
        <v>0</v>
      </c>
      <c r="AN60" s="2028">
        <f t="shared" si="122"/>
        <v>0</v>
      </c>
      <c r="AO60" s="3284">
        <f t="shared" si="102"/>
        <v>0</v>
      </c>
      <c r="AP60" s="3295"/>
      <c r="AQ60" s="3283"/>
      <c r="AR60" s="3283"/>
      <c r="AS60" s="2028">
        <f t="shared" si="123"/>
        <v>0</v>
      </c>
      <c r="AT60" s="3284">
        <f t="shared" si="103"/>
        <v>0</v>
      </c>
      <c r="AU60" s="3295"/>
      <c r="AV60" s="3283"/>
      <c r="AW60" s="3283"/>
      <c r="AX60" s="2028">
        <f t="shared" si="124"/>
        <v>0</v>
      </c>
      <c r="AY60" s="3284">
        <f t="shared" si="104"/>
        <v>0</v>
      </c>
      <c r="AZ60" s="3295"/>
      <c r="BA60" s="3283"/>
      <c r="BB60" s="3283"/>
      <c r="BC60" s="2028">
        <f t="shared" si="125"/>
        <v>0</v>
      </c>
      <c r="BD60" s="3284">
        <f t="shared" si="105"/>
        <v>0</v>
      </c>
      <c r="BE60" s="3295"/>
      <c r="BF60" s="3283"/>
      <c r="BG60" s="3283"/>
      <c r="BH60" s="2028">
        <f t="shared" si="126"/>
        <v>0</v>
      </c>
      <c r="BI60" s="3284">
        <f t="shared" si="106"/>
        <v>0</v>
      </c>
      <c r="BJ60" s="3295"/>
      <c r="BK60" s="3283"/>
      <c r="BL60" s="3283"/>
      <c r="BM60" s="2028">
        <f t="shared" si="127"/>
        <v>0</v>
      </c>
      <c r="BN60" s="3284">
        <f t="shared" si="107"/>
        <v>0</v>
      </c>
      <c r="BO60" s="3295"/>
      <c r="BP60" s="3283"/>
      <c r="BQ60" s="3283"/>
      <c r="BR60" s="2028">
        <f t="shared" si="128"/>
        <v>0</v>
      </c>
      <c r="BS60" s="3284">
        <f t="shared" si="108"/>
        <v>0</v>
      </c>
      <c r="BT60" s="3295"/>
      <c r="BU60" s="3283"/>
      <c r="BV60" s="3283"/>
      <c r="BW60" s="2028">
        <f t="shared" si="129"/>
        <v>0</v>
      </c>
      <c r="BX60" s="3284" t="e">
        <f t="shared" si="109"/>
        <v>#DIV/0!</v>
      </c>
      <c r="BY60" s="3295"/>
      <c r="BZ60" s="3283"/>
      <c r="CA60" s="3283"/>
      <c r="CB60" s="2028">
        <f t="shared" si="130"/>
        <v>0</v>
      </c>
      <c r="CC60" s="3284" t="e">
        <f t="shared" si="110"/>
        <v>#DIV/0!</v>
      </c>
      <c r="CD60" s="1449"/>
      <c r="CE60" s="3283"/>
      <c r="CF60" s="3283"/>
      <c r="CG60" s="2028">
        <f t="shared" si="131"/>
        <v>0</v>
      </c>
      <c r="CH60" s="3284" t="e">
        <f t="shared" si="111"/>
        <v>#DIV/0!</v>
      </c>
      <c r="CI60" s="1449"/>
      <c r="CJ60" s="3283"/>
      <c r="CK60" s="3283"/>
      <c r="CL60" s="2028">
        <f t="shared" si="132"/>
        <v>0</v>
      </c>
      <c r="CM60" s="3284" t="e">
        <f t="shared" si="112"/>
        <v>#DIV/0!</v>
      </c>
      <c r="CN60" s="1449"/>
      <c r="CO60" s="3283"/>
      <c r="CP60" s="3283"/>
      <c r="CQ60" s="2028">
        <f t="shared" si="133"/>
        <v>0</v>
      </c>
      <c r="CR60" s="3284" t="e">
        <f t="shared" si="113"/>
        <v>#DIV/0!</v>
      </c>
      <c r="CS60" s="1449"/>
      <c r="CT60" s="3283"/>
      <c r="CU60" s="3283"/>
      <c r="CV60" s="2028">
        <f t="shared" si="134"/>
        <v>0</v>
      </c>
      <c r="CW60" s="3284" t="e">
        <f t="shared" si="114"/>
        <v>#DIV/0!</v>
      </c>
      <c r="CX60" s="1449"/>
      <c r="CY60" s="3274">
        <f t="shared" si="135"/>
        <v>0</v>
      </c>
      <c r="CZ60" s="3274">
        <f t="shared" si="135"/>
        <v>0</v>
      </c>
      <c r="DA60" s="2028">
        <f t="shared" si="136"/>
        <v>0</v>
      </c>
      <c r="DB60" s="3284">
        <f t="shared" si="71"/>
        <v>0</v>
      </c>
      <c r="DC60" s="3295"/>
    </row>
    <row r="61" spans="1:107" ht="13.8" x14ac:dyDescent="0.25">
      <c r="A61" s="1586"/>
      <c r="B61" s="3310" t="s">
        <v>32</v>
      </c>
      <c r="C61" s="3283"/>
      <c r="D61" s="3283"/>
      <c r="E61" s="2028">
        <f t="shared" si="115"/>
        <v>0</v>
      </c>
      <c r="F61" s="3284">
        <f t="shared" si="97"/>
        <v>0</v>
      </c>
      <c r="G61" s="3295"/>
      <c r="H61" s="3283"/>
      <c r="I61" s="3283"/>
      <c r="J61" s="2028">
        <f t="shared" si="116"/>
        <v>0</v>
      </c>
      <c r="K61" s="3284">
        <f t="shared" si="98"/>
        <v>0</v>
      </c>
      <c r="L61" s="3295"/>
      <c r="M61" s="3283"/>
      <c r="N61" s="3283"/>
      <c r="O61" s="2028">
        <f t="shared" si="117"/>
        <v>0</v>
      </c>
      <c r="P61" s="3284">
        <f t="shared" si="2"/>
        <v>0</v>
      </c>
      <c r="Q61" s="3295"/>
      <c r="R61" s="3283"/>
      <c r="S61" s="3283"/>
      <c r="T61" s="2028">
        <f t="shared" si="118"/>
        <v>0</v>
      </c>
      <c r="U61" s="3284">
        <f t="shared" si="99"/>
        <v>0</v>
      </c>
      <c r="V61" s="3295"/>
      <c r="W61" s="3283"/>
      <c r="X61" s="3283"/>
      <c r="Y61" s="2028">
        <f t="shared" si="119"/>
        <v>0</v>
      </c>
      <c r="Z61" s="3284">
        <f t="shared" si="100"/>
        <v>0</v>
      </c>
      <c r="AA61" s="3295"/>
      <c r="AB61" s="3283"/>
      <c r="AC61" s="3283"/>
      <c r="AD61" s="2028">
        <f t="shared" si="120"/>
        <v>0</v>
      </c>
      <c r="AE61" s="3284">
        <f t="shared" si="101"/>
        <v>0</v>
      </c>
      <c r="AF61" s="3295"/>
      <c r="AG61" s="3274">
        <v>0</v>
      </c>
      <c r="AH61" s="3274">
        <v>0</v>
      </c>
      <c r="AI61" s="2028">
        <v>0</v>
      </c>
      <c r="AJ61" s="3284">
        <v>0</v>
      </c>
      <c r="AK61" s="3276"/>
      <c r="AL61" s="3274">
        <f t="shared" si="121"/>
        <v>0</v>
      </c>
      <c r="AM61" s="3274">
        <f t="shared" si="121"/>
        <v>0</v>
      </c>
      <c r="AN61" s="2028">
        <f t="shared" si="122"/>
        <v>0</v>
      </c>
      <c r="AO61" s="3284">
        <f t="shared" si="102"/>
        <v>0</v>
      </c>
      <c r="AP61" s="3276"/>
      <c r="AQ61" s="3283"/>
      <c r="AR61" s="3283"/>
      <c r="AS61" s="2028">
        <f t="shared" si="123"/>
        <v>0</v>
      </c>
      <c r="AT61" s="3284">
        <f t="shared" si="103"/>
        <v>0</v>
      </c>
      <c r="AU61" s="3295"/>
      <c r="AV61" s="3283"/>
      <c r="AW61" s="3283"/>
      <c r="AX61" s="2028">
        <f t="shared" si="124"/>
        <v>0</v>
      </c>
      <c r="AY61" s="3284">
        <f t="shared" si="104"/>
        <v>0</v>
      </c>
      <c r="AZ61" s="3295"/>
      <c r="BA61" s="3283"/>
      <c r="BB61" s="3283"/>
      <c r="BC61" s="2028">
        <f t="shared" si="125"/>
        <v>0</v>
      </c>
      <c r="BD61" s="3284">
        <f t="shared" si="105"/>
        <v>0</v>
      </c>
      <c r="BE61" s="3295"/>
      <c r="BF61" s="3283"/>
      <c r="BG61" s="3283"/>
      <c r="BH61" s="2028">
        <f t="shared" si="126"/>
        <v>0</v>
      </c>
      <c r="BI61" s="3284">
        <f t="shared" si="106"/>
        <v>0</v>
      </c>
      <c r="BJ61" s="3295"/>
      <c r="BK61" s="3283"/>
      <c r="BL61" s="3283"/>
      <c r="BM61" s="2028">
        <f t="shared" si="127"/>
        <v>0</v>
      </c>
      <c r="BN61" s="3284">
        <f t="shared" si="107"/>
        <v>0</v>
      </c>
      <c r="BO61" s="3295"/>
      <c r="BP61" s="3283"/>
      <c r="BQ61" s="3283"/>
      <c r="BR61" s="2028">
        <f t="shared" si="128"/>
        <v>0</v>
      </c>
      <c r="BS61" s="3284">
        <f t="shared" si="108"/>
        <v>0</v>
      </c>
      <c r="BT61" s="3295"/>
      <c r="BU61" s="3283"/>
      <c r="BV61" s="3283"/>
      <c r="BW61" s="2028">
        <f t="shared" si="129"/>
        <v>0</v>
      </c>
      <c r="BX61" s="3284" t="e">
        <f t="shared" si="109"/>
        <v>#DIV/0!</v>
      </c>
      <c r="BY61" s="3295"/>
      <c r="BZ61" s="3283"/>
      <c r="CA61" s="3283"/>
      <c r="CB61" s="2028">
        <f t="shared" si="130"/>
        <v>0</v>
      </c>
      <c r="CC61" s="3284" t="e">
        <f t="shared" si="110"/>
        <v>#DIV/0!</v>
      </c>
      <c r="CD61" s="1449"/>
      <c r="CE61" s="3283"/>
      <c r="CF61" s="3283"/>
      <c r="CG61" s="2028">
        <f t="shared" si="131"/>
        <v>0</v>
      </c>
      <c r="CH61" s="3284" t="e">
        <f t="shared" si="111"/>
        <v>#DIV/0!</v>
      </c>
      <c r="CI61" s="1449"/>
      <c r="CJ61" s="3283"/>
      <c r="CK61" s="3283"/>
      <c r="CL61" s="2028">
        <f t="shared" si="132"/>
        <v>0</v>
      </c>
      <c r="CM61" s="3284" t="e">
        <f t="shared" si="112"/>
        <v>#DIV/0!</v>
      </c>
      <c r="CN61" s="1449"/>
      <c r="CO61" s="3283"/>
      <c r="CP61" s="3283"/>
      <c r="CQ61" s="2028">
        <f t="shared" si="133"/>
        <v>0</v>
      </c>
      <c r="CR61" s="3284" t="e">
        <f t="shared" si="113"/>
        <v>#DIV/0!</v>
      </c>
      <c r="CS61" s="1449"/>
      <c r="CT61" s="3283"/>
      <c r="CU61" s="3283"/>
      <c r="CV61" s="2028">
        <f t="shared" si="134"/>
        <v>0</v>
      </c>
      <c r="CW61" s="3284" t="e">
        <f t="shared" si="114"/>
        <v>#DIV/0!</v>
      </c>
      <c r="CX61" s="1449"/>
      <c r="CY61" s="3274">
        <f t="shared" si="135"/>
        <v>0</v>
      </c>
      <c r="CZ61" s="3274">
        <f t="shared" si="135"/>
        <v>0</v>
      </c>
      <c r="DA61" s="2028">
        <f t="shared" si="136"/>
        <v>0</v>
      </c>
      <c r="DB61" s="3284">
        <f t="shared" si="71"/>
        <v>0</v>
      </c>
      <c r="DC61" s="3295"/>
    </row>
    <row r="62" spans="1:107" ht="13.8" x14ac:dyDescent="0.25">
      <c r="A62" s="1586"/>
      <c r="B62" s="3310" t="s">
        <v>33</v>
      </c>
      <c r="C62" s="3283"/>
      <c r="D62" s="3283"/>
      <c r="E62" s="2028">
        <f t="shared" si="115"/>
        <v>0</v>
      </c>
      <c r="F62" s="3284">
        <f t="shared" si="97"/>
        <v>0</v>
      </c>
      <c r="G62" s="3295"/>
      <c r="H62" s="3283"/>
      <c r="I62" s="3283"/>
      <c r="J62" s="2028">
        <f t="shared" si="116"/>
        <v>0</v>
      </c>
      <c r="K62" s="3284">
        <f t="shared" si="98"/>
        <v>0</v>
      </c>
      <c r="L62" s="3295"/>
      <c r="M62" s="3283"/>
      <c r="N62" s="3283"/>
      <c r="O62" s="2028">
        <f t="shared" si="117"/>
        <v>0</v>
      </c>
      <c r="P62" s="3284">
        <f t="shared" si="2"/>
        <v>0</v>
      </c>
      <c r="Q62" s="3295"/>
      <c r="R62" s="3283"/>
      <c r="S62" s="3283"/>
      <c r="T62" s="2028">
        <f t="shared" si="118"/>
        <v>0</v>
      </c>
      <c r="U62" s="3284">
        <f t="shared" si="99"/>
        <v>0</v>
      </c>
      <c r="V62" s="3295"/>
      <c r="W62" s="3283"/>
      <c r="X62" s="3283"/>
      <c r="Y62" s="2028">
        <f t="shared" si="119"/>
        <v>0</v>
      </c>
      <c r="Z62" s="3284">
        <f t="shared" si="100"/>
        <v>0</v>
      </c>
      <c r="AA62" s="3295"/>
      <c r="AB62" s="3283"/>
      <c r="AC62" s="3283"/>
      <c r="AD62" s="2028">
        <f t="shared" si="120"/>
        <v>0</v>
      </c>
      <c r="AE62" s="3284">
        <f t="shared" si="101"/>
        <v>0</v>
      </c>
      <c r="AF62" s="3295"/>
      <c r="AG62" s="3274">
        <v>0</v>
      </c>
      <c r="AH62" s="3274">
        <v>0</v>
      </c>
      <c r="AI62" s="2028">
        <v>0</v>
      </c>
      <c r="AJ62" s="3284">
        <v>0</v>
      </c>
      <c r="AK62" s="3276"/>
      <c r="AL62" s="3274">
        <f t="shared" si="121"/>
        <v>0</v>
      </c>
      <c r="AM62" s="3274">
        <f t="shared" si="121"/>
        <v>0</v>
      </c>
      <c r="AN62" s="2028">
        <f t="shared" si="122"/>
        <v>0</v>
      </c>
      <c r="AO62" s="3284">
        <f t="shared" si="102"/>
        <v>0</v>
      </c>
      <c r="AP62" s="3276"/>
      <c r="AQ62" s="3283"/>
      <c r="AR62" s="3283"/>
      <c r="AS62" s="2028">
        <f t="shared" si="123"/>
        <v>0</v>
      </c>
      <c r="AT62" s="3284">
        <f t="shared" si="103"/>
        <v>0</v>
      </c>
      <c r="AU62" s="3295"/>
      <c r="AV62" s="3283"/>
      <c r="AW62" s="3283"/>
      <c r="AX62" s="2028">
        <f t="shared" si="124"/>
        <v>0</v>
      </c>
      <c r="AY62" s="3284">
        <f t="shared" si="104"/>
        <v>0</v>
      </c>
      <c r="AZ62" s="3295"/>
      <c r="BA62" s="3283"/>
      <c r="BB62" s="3283"/>
      <c r="BC62" s="2028">
        <f t="shared" si="125"/>
        <v>0</v>
      </c>
      <c r="BD62" s="3284">
        <f t="shared" si="105"/>
        <v>0</v>
      </c>
      <c r="BE62" s="3295"/>
      <c r="BF62" s="3283"/>
      <c r="BG62" s="3283"/>
      <c r="BH62" s="2028">
        <f t="shared" si="126"/>
        <v>0</v>
      </c>
      <c r="BI62" s="3284">
        <f t="shared" si="106"/>
        <v>0</v>
      </c>
      <c r="BJ62" s="3295"/>
      <c r="BK62" s="3283"/>
      <c r="BL62" s="3283"/>
      <c r="BM62" s="2028">
        <f t="shared" si="127"/>
        <v>0</v>
      </c>
      <c r="BN62" s="3284">
        <f t="shared" si="107"/>
        <v>0</v>
      </c>
      <c r="BO62" s="3295"/>
      <c r="BP62" s="3283"/>
      <c r="BQ62" s="3283"/>
      <c r="BR62" s="2028">
        <f t="shared" si="128"/>
        <v>0</v>
      </c>
      <c r="BS62" s="3284">
        <f t="shared" si="108"/>
        <v>0</v>
      </c>
      <c r="BT62" s="3295"/>
      <c r="BU62" s="3283"/>
      <c r="BV62" s="3283"/>
      <c r="BW62" s="2028">
        <f t="shared" si="129"/>
        <v>0</v>
      </c>
      <c r="BX62" s="3284" t="e">
        <f t="shared" si="109"/>
        <v>#DIV/0!</v>
      </c>
      <c r="BY62" s="3295"/>
      <c r="BZ62" s="3283"/>
      <c r="CA62" s="3283"/>
      <c r="CB62" s="2028">
        <f t="shared" si="130"/>
        <v>0</v>
      </c>
      <c r="CC62" s="3284" t="e">
        <f t="shared" si="110"/>
        <v>#DIV/0!</v>
      </c>
      <c r="CD62" s="1449"/>
      <c r="CE62" s="3283"/>
      <c r="CF62" s="3283"/>
      <c r="CG62" s="2028">
        <f t="shared" si="131"/>
        <v>0</v>
      </c>
      <c r="CH62" s="3284" t="e">
        <f t="shared" si="111"/>
        <v>#DIV/0!</v>
      </c>
      <c r="CI62" s="1449"/>
      <c r="CJ62" s="3283"/>
      <c r="CK62" s="3283"/>
      <c r="CL62" s="2028">
        <f t="shared" si="132"/>
        <v>0</v>
      </c>
      <c r="CM62" s="3284" t="e">
        <f t="shared" si="112"/>
        <v>#DIV/0!</v>
      </c>
      <c r="CN62" s="1449"/>
      <c r="CO62" s="3283"/>
      <c r="CP62" s="3283"/>
      <c r="CQ62" s="2028">
        <f t="shared" si="133"/>
        <v>0</v>
      </c>
      <c r="CR62" s="3284" t="e">
        <f t="shared" si="113"/>
        <v>#DIV/0!</v>
      </c>
      <c r="CS62" s="1449"/>
      <c r="CT62" s="3283"/>
      <c r="CU62" s="3283"/>
      <c r="CV62" s="2028">
        <f t="shared" si="134"/>
        <v>0</v>
      </c>
      <c r="CW62" s="3284" t="e">
        <f t="shared" si="114"/>
        <v>#DIV/0!</v>
      </c>
      <c r="CX62" s="1449"/>
      <c r="CY62" s="3274">
        <f t="shared" si="135"/>
        <v>0</v>
      </c>
      <c r="CZ62" s="3274">
        <f t="shared" si="135"/>
        <v>0</v>
      </c>
      <c r="DA62" s="2028">
        <f t="shared" si="136"/>
        <v>0</v>
      </c>
      <c r="DB62" s="3284">
        <f t="shared" si="71"/>
        <v>0</v>
      </c>
      <c r="DC62" s="3295"/>
    </row>
    <row r="63" spans="1:107" ht="13.8" x14ac:dyDescent="0.25">
      <c r="A63" s="1586"/>
      <c r="B63" s="3310" t="s">
        <v>35</v>
      </c>
      <c r="C63" s="3283"/>
      <c r="D63" s="3283"/>
      <c r="E63" s="2028">
        <f t="shared" si="115"/>
        <v>0</v>
      </c>
      <c r="F63" s="3284">
        <f t="shared" si="97"/>
        <v>0</v>
      </c>
      <c r="G63" s="3295"/>
      <c r="H63" s="3283"/>
      <c r="I63" s="3283"/>
      <c r="J63" s="2028">
        <f t="shared" si="116"/>
        <v>0</v>
      </c>
      <c r="K63" s="3284">
        <f t="shared" si="98"/>
        <v>0</v>
      </c>
      <c r="L63" s="3295"/>
      <c r="M63" s="3283"/>
      <c r="N63" s="3283"/>
      <c r="O63" s="2028">
        <f t="shared" si="117"/>
        <v>0</v>
      </c>
      <c r="P63" s="3284">
        <f t="shared" si="2"/>
        <v>0</v>
      </c>
      <c r="Q63" s="3295"/>
      <c r="R63" s="3283"/>
      <c r="S63" s="3283"/>
      <c r="T63" s="2028">
        <f t="shared" si="118"/>
        <v>0</v>
      </c>
      <c r="U63" s="3284">
        <f t="shared" si="99"/>
        <v>0</v>
      </c>
      <c r="V63" s="3295"/>
      <c r="W63" s="3283"/>
      <c r="X63" s="3283"/>
      <c r="Y63" s="2028">
        <f t="shared" si="119"/>
        <v>0</v>
      </c>
      <c r="Z63" s="3284">
        <f t="shared" si="100"/>
        <v>0</v>
      </c>
      <c r="AA63" s="3295"/>
      <c r="AB63" s="3283"/>
      <c r="AC63" s="3283"/>
      <c r="AD63" s="2028">
        <f t="shared" si="120"/>
        <v>0</v>
      </c>
      <c r="AE63" s="3284">
        <f t="shared" si="101"/>
        <v>0</v>
      </c>
      <c r="AF63" s="3295"/>
      <c r="AG63" s="3274">
        <v>0</v>
      </c>
      <c r="AH63" s="3274">
        <v>0</v>
      </c>
      <c r="AI63" s="2028">
        <v>0</v>
      </c>
      <c r="AJ63" s="3284">
        <v>0</v>
      </c>
      <c r="AK63" s="3276"/>
      <c r="AL63" s="3274">
        <f t="shared" si="121"/>
        <v>0</v>
      </c>
      <c r="AM63" s="3274">
        <f t="shared" si="121"/>
        <v>0</v>
      </c>
      <c r="AN63" s="2028">
        <f t="shared" si="122"/>
        <v>0</v>
      </c>
      <c r="AO63" s="3284">
        <f t="shared" si="102"/>
        <v>0</v>
      </c>
      <c r="AP63" s="3276"/>
      <c r="AQ63" s="3283"/>
      <c r="AR63" s="3283"/>
      <c r="AS63" s="2028">
        <f t="shared" si="123"/>
        <v>0</v>
      </c>
      <c r="AT63" s="3284">
        <f t="shared" si="103"/>
        <v>0</v>
      </c>
      <c r="AU63" s="3295"/>
      <c r="AV63" s="3283"/>
      <c r="AW63" s="3283"/>
      <c r="AX63" s="2028">
        <f t="shared" si="124"/>
        <v>0</v>
      </c>
      <c r="AY63" s="3284">
        <f t="shared" si="104"/>
        <v>0</v>
      </c>
      <c r="AZ63" s="3295"/>
      <c r="BA63" s="3283"/>
      <c r="BB63" s="3283"/>
      <c r="BC63" s="2028">
        <f t="shared" si="125"/>
        <v>0</v>
      </c>
      <c r="BD63" s="3284">
        <f t="shared" si="105"/>
        <v>0</v>
      </c>
      <c r="BE63" s="3295"/>
      <c r="BF63" s="3283"/>
      <c r="BG63" s="3283"/>
      <c r="BH63" s="2028">
        <f t="shared" si="126"/>
        <v>0</v>
      </c>
      <c r="BI63" s="3284">
        <f t="shared" si="106"/>
        <v>0</v>
      </c>
      <c r="BJ63" s="3295"/>
      <c r="BK63" s="3283"/>
      <c r="BL63" s="3283"/>
      <c r="BM63" s="2028">
        <f t="shared" si="127"/>
        <v>0</v>
      </c>
      <c r="BN63" s="3284">
        <f t="shared" si="107"/>
        <v>0</v>
      </c>
      <c r="BO63" s="3295"/>
      <c r="BP63" s="3283"/>
      <c r="BQ63" s="3283"/>
      <c r="BR63" s="2028">
        <f t="shared" si="128"/>
        <v>0</v>
      </c>
      <c r="BS63" s="3284">
        <f t="shared" si="108"/>
        <v>0</v>
      </c>
      <c r="BT63" s="3295"/>
      <c r="BU63" s="3283"/>
      <c r="BV63" s="3283"/>
      <c r="BW63" s="2028">
        <f t="shared" si="129"/>
        <v>0</v>
      </c>
      <c r="BX63" s="3284" t="e">
        <f t="shared" si="109"/>
        <v>#DIV/0!</v>
      </c>
      <c r="BY63" s="3295"/>
      <c r="BZ63" s="3283"/>
      <c r="CA63" s="3283"/>
      <c r="CB63" s="2028">
        <f t="shared" si="130"/>
        <v>0</v>
      </c>
      <c r="CC63" s="3284" t="e">
        <f t="shared" si="110"/>
        <v>#DIV/0!</v>
      </c>
      <c r="CD63" s="1449"/>
      <c r="CE63" s="3283"/>
      <c r="CF63" s="3283"/>
      <c r="CG63" s="2028">
        <f t="shared" si="131"/>
        <v>0</v>
      </c>
      <c r="CH63" s="3284" t="e">
        <f t="shared" si="111"/>
        <v>#DIV/0!</v>
      </c>
      <c r="CI63" s="1449"/>
      <c r="CJ63" s="3283"/>
      <c r="CK63" s="3283"/>
      <c r="CL63" s="2028">
        <f t="shared" si="132"/>
        <v>0</v>
      </c>
      <c r="CM63" s="3284" t="e">
        <f t="shared" si="112"/>
        <v>#DIV/0!</v>
      </c>
      <c r="CN63" s="1449"/>
      <c r="CO63" s="3283"/>
      <c r="CP63" s="3283"/>
      <c r="CQ63" s="2028">
        <f t="shared" si="133"/>
        <v>0</v>
      </c>
      <c r="CR63" s="3284" t="e">
        <f t="shared" si="113"/>
        <v>#DIV/0!</v>
      </c>
      <c r="CS63" s="1449"/>
      <c r="CT63" s="3283"/>
      <c r="CU63" s="3283"/>
      <c r="CV63" s="2028">
        <f t="shared" si="134"/>
        <v>0</v>
      </c>
      <c r="CW63" s="3284" t="e">
        <f t="shared" si="114"/>
        <v>#DIV/0!</v>
      </c>
      <c r="CX63" s="1449"/>
      <c r="CY63" s="3274">
        <f t="shared" si="135"/>
        <v>0</v>
      </c>
      <c r="CZ63" s="3274">
        <f t="shared" si="135"/>
        <v>0</v>
      </c>
      <c r="DA63" s="2028">
        <f t="shared" si="136"/>
        <v>0</v>
      </c>
      <c r="DB63" s="3284">
        <f t="shared" si="71"/>
        <v>0</v>
      </c>
      <c r="DC63" s="3295"/>
    </row>
    <row r="64" spans="1:107" ht="13.8" x14ac:dyDescent="0.25">
      <c r="A64" s="1586"/>
      <c r="B64" s="3310" t="s">
        <v>63</v>
      </c>
      <c r="C64" s="3283"/>
      <c r="D64" s="3283"/>
      <c r="E64" s="2028">
        <f t="shared" si="115"/>
        <v>0</v>
      </c>
      <c r="F64" s="3284">
        <f t="shared" si="97"/>
        <v>0</v>
      </c>
      <c r="G64" s="3295"/>
      <c r="H64" s="3283"/>
      <c r="I64" s="3283"/>
      <c r="J64" s="2028">
        <f t="shared" si="116"/>
        <v>0</v>
      </c>
      <c r="K64" s="3284">
        <f t="shared" si="98"/>
        <v>0</v>
      </c>
      <c r="L64" s="3295"/>
      <c r="M64" s="3283"/>
      <c r="N64" s="3283"/>
      <c r="O64" s="2028">
        <f t="shared" si="117"/>
        <v>0</v>
      </c>
      <c r="P64" s="3284">
        <f t="shared" si="2"/>
        <v>0</v>
      </c>
      <c r="Q64" s="3295"/>
      <c r="R64" s="3283"/>
      <c r="S64" s="3283"/>
      <c r="T64" s="2028">
        <f t="shared" si="118"/>
        <v>0</v>
      </c>
      <c r="U64" s="3284">
        <f t="shared" si="99"/>
        <v>0</v>
      </c>
      <c r="V64" s="3295"/>
      <c r="W64" s="3283"/>
      <c r="X64" s="3283"/>
      <c r="Y64" s="2028">
        <f t="shared" si="119"/>
        <v>0</v>
      </c>
      <c r="Z64" s="3284">
        <f t="shared" si="100"/>
        <v>0</v>
      </c>
      <c r="AA64" s="3295"/>
      <c r="AB64" s="3283"/>
      <c r="AC64" s="3283"/>
      <c r="AD64" s="2028">
        <f t="shared" si="120"/>
        <v>0</v>
      </c>
      <c r="AE64" s="3284">
        <f t="shared" si="101"/>
        <v>0</v>
      </c>
      <c r="AF64" s="3295"/>
      <c r="AG64" s="3274">
        <v>0</v>
      </c>
      <c r="AH64" s="3274">
        <v>0</v>
      </c>
      <c r="AI64" s="2028">
        <v>0</v>
      </c>
      <c r="AJ64" s="3284">
        <v>0</v>
      </c>
      <c r="AK64" s="3276"/>
      <c r="AL64" s="3274">
        <f t="shared" si="121"/>
        <v>0</v>
      </c>
      <c r="AM64" s="3274">
        <f t="shared" si="121"/>
        <v>0</v>
      </c>
      <c r="AN64" s="2028">
        <f t="shared" si="122"/>
        <v>0</v>
      </c>
      <c r="AO64" s="3284">
        <f t="shared" si="102"/>
        <v>0</v>
      </c>
      <c r="AP64" s="3276"/>
      <c r="AQ64" s="3283"/>
      <c r="AR64" s="3283"/>
      <c r="AS64" s="2028">
        <f t="shared" si="123"/>
        <v>0</v>
      </c>
      <c r="AT64" s="3284">
        <f t="shared" si="103"/>
        <v>0</v>
      </c>
      <c r="AU64" s="3295"/>
      <c r="AV64" s="3283"/>
      <c r="AW64" s="3283"/>
      <c r="AX64" s="2028">
        <f t="shared" si="124"/>
        <v>0</v>
      </c>
      <c r="AY64" s="3284">
        <f t="shared" si="104"/>
        <v>0</v>
      </c>
      <c r="AZ64" s="3295"/>
      <c r="BA64" s="3283"/>
      <c r="BB64" s="3283"/>
      <c r="BC64" s="2028">
        <f t="shared" si="125"/>
        <v>0</v>
      </c>
      <c r="BD64" s="3284">
        <f t="shared" si="105"/>
        <v>0</v>
      </c>
      <c r="BE64" s="3295"/>
      <c r="BF64" s="3283"/>
      <c r="BG64" s="3283"/>
      <c r="BH64" s="2028">
        <f t="shared" si="126"/>
        <v>0</v>
      </c>
      <c r="BI64" s="3284">
        <f t="shared" si="106"/>
        <v>0</v>
      </c>
      <c r="BJ64" s="3295"/>
      <c r="BK64" s="3283"/>
      <c r="BL64" s="3283"/>
      <c r="BM64" s="2028">
        <f t="shared" si="127"/>
        <v>0</v>
      </c>
      <c r="BN64" s="3284">
        <f t="shared" si="107"/>
        <v>0</v>
      </c>
      <c r="BO64" s="3295"/>
      <c r="BP64" s="3283"/>
      <c r="BQ64" s="3283"/>
      <c r="BR64" s="2028">
        <f t="shared" si="128"/>
        <v>0</v>
      </c>
      <c r="BS64" s="3284">
        <f t="shared" si="108"/>
        <v>0</v>
      </c>
      <c r="BT64" s="3295"/>
      <c r="BU64" s="3283"/>
      <c r="BV64" s="3283"/>
      <c r="BW64" s="2028">
        <f t="shared" si="129"/>
        <v>0</v>
      </c>
      <c r="BX64" s="3284" t="e">
        <f t="shared" si="109"/>
        <v>#DIV/0!</v>
      </c>
      <c r="BY64" s="3295"/>
      <c r="BZ64" s="3283"/>
      <c r="CA64" s="3283"/>
      <c r="CB64" s="2028">
        <f t="shared" si="130"/>
        <v>0</v>
      </c>
      <c r="CC64" s="3284" t="e">
        <f t="shared" si="110"/>
        <v>#DIV/0!</v>
      </c>
      <c r="CD64" s="1449"/>
      <c r="CE64" s="3283"/>
      <c r="CF64" s="3283"/>
      <c r="CG64" s="2028">
        <f t="shared" si="131"/>
        <v>0</v>
      </c>
      <c r="CH64" s="3284" t="e">
        <f t="shared" si="111"/>
        <v>#DIV/0!</v>
      </c>
      <c r="CI64" s="1449"/>
      <c r="CJ64" s="3283"/>
      <c r="CK64" s="3283"/>
      <c r="CL64" s="2028">
        <f t="shared" si="132"/>
        <v>0</v>
      </c>
      <c r="CM64" s="3284" t="e">
        <f t="shared" si="112"/>
        <v>#DIV/0!</v>
      </c>
      <c r="CN64" s="1449"/>
      <c r="CO64" s="3283"/>
      <c r="CP64" s="3283"/>
      <c r="CQ64" s="2028">
        <f t="shared" si="133"/>
        <v>0</v>
      </c>
      <c r="CR64" s="3284" t="e">
        <f t="shared" si="113"/>
        <v>#DIV/0!</v>
      </c>
      <c r="CS64" s="1449"/>
      <c r="CT64" s="3283"/>
      <c r="CU64" s="3283"/>
      <c r="CV64" s="2028">
        <f t="shared" si="134"/>
        <v>0</v>
      </c>
      <c r="CW64" s="3284" t="e">
        <f t="shared" si="114"/>
        <v>#DIV/0!</v>
      </c>
      <c r="CX64" s="1449"/>
      <c r="CY64" s="3274">
        <f t="shared" si="135"/>
        <v>0</v>
      </c>
      <c r="CZ64" s="3274">
        <f t="shared" si="135"/>
        <v>0</v>
      </c>
      <c r="DA64" s="2028">
        <f t="shared" si="136"/>
        <v>0</v>
      </c>
      <c r="DB64" s="3284">
        <f t="shared" si="71"/>
        <v>0</v>
      </c>
      <c r="DC64" s="3295"/>
    </row>
    <row r="65" spans="1:107" ht="13.8" x14ac:dyDescent="0.25">
      <c r="A65" s="1586"/>
      <c r="B65" s="3310" t="s">
        <v>36</v>
      </c>
      <c r="C65" s="3274"/>
      <c r="D65" s="3274">
        <v>1171</v>
      </c>
      <c r="E65" s="2028">
        <f t="shared" si="115"/>
        <v>1171</v>
      </c>
      <c r="F65" s="3284">
        <f t="shared" si="97"/>
        <v>3.9354368737427817E-3</v>
      </c>
      <c r="G65" s="3295" t="s">
        <v>1121</v>
      </c>
      <c r="H65" s="3274"/>
      <c r="I65" s="3274"/>
      <c r="J65" s="2028">
        <f t="shared" si="116"/>
        <v>0</v>
      </c>
      <c r="K65" s="3284">
        <f t="shared" si="98"/>
        <v>0</v>
      </c>
      <c r="L65" s="3295"/>
      <c r="M65" s="3274"/>
      <c r="N65" s="3274"/>
      <c r="O65" s="2028">
        <f t="shared" si="117"/>
        <v>0</v>
      </c>
      <c r="P65" s="3284">
        <f t="shared" si="2"/>
        <v>0</v>
      </c>
      <c r="Q65" s="3295"/>
      <c r="R65" s="3274"/>
      <c r="S65" s="3274"/>
      <c r="T65" s="2028">
        <f t="shared" si="118"/>
        <v>0</v>
      </c>
      <c r="U65" s="3284">
        <f t="shared" si="99"/>
        <v>0</v>
      </c>
      <c r="V65" s="3295"/>
      <c r="W65" s="3274"/>
      <c r="X65" s="3274"/>
      <c r="Y65" s="2028">
        <f t="shared" si="119"/>
        <v>0</v>
      </c>
      <c r="Z65" s="3284">
        <f t="shared" si="100"/>
        <v>0</v>
      </c>
      <c r="AA65" s="3295"/>
      <c r="AB65" s="3274"/>
      <c r="AC65" s="3274"/>
      <c r="AD65" s="2028">
        <f t="shared" si="120"/>
        <v>0</v>
      </c>
      <c r="AE65" s="3284">
        <f t="shared" si="101"/>
        <v>0</v>
      </c>
      <c r="AF65" s="3295"/>
      <c r="AG65" s="3274">
        <v>0</v>
      </c>
      <c r="AH65" s="3274">
        <v>0</v>
      </c>
      <c r="AI65" s="2028">
        <v>0</v>
      </c>
      <c r="AJ65" s="3284">
        <v>0</v>
      </c>
      <c r="AK65" s="3276"/>
      <c r="AL65" s="3274">
        <f t="shared" si="121"/>
        <v>0</v>
      </c>
      <c r="AM65" s="3274">
        <f t="shared" si="121"/>
        <v>0</v>
      </c>
      <c r="AN65" s="2028">
        <f t="shared" si="122"/>
        <v>0</v>
      </c>
      <c r="AO65" s="3284">
        <f t="shared" si="102"/>
        <v>0</v>
      </c>
      <c r="AP65" s="3276"/>
      <c r="AQ65" s="3274"/>
      <c r="AR65" s="3274"/>
      <c r="AS65" s="2028">
        <f t="shared" si="123"/>
        <v>0</v>
      </c>
      <c r="AT65" s="3284">
        <f t="shared" si="103"/>
        <v>0</v>
      </c>
      <c r="AU65" s="3295"/>
      <c r="AV65" s="3274"/>
      <c r="AW65" s="3274"/>
      <c r="AX65" s="2028">
        <f t="shared" si="124"/>
        <v>0</v>
      </c>
      <c r="AY65" s="3284">
        <f t="shared" si="104"/>
        <v>0</v>
      </c>
      <c r="AZ65" s="3295"/>
      <c r="BA65" s="3274"/>
      <c r="BB65" s="3274"/>
      <c r="BC65" s="2028">
        <f t="shared" si="125"/>
        <v>0</v>
      </c>
      <c r="BD65" s="3284">
        <f t="shared" si="105"/>
        <v>0</v>
      </c>
      <c r="BE65" s="3295"/>
      <c r="BF65" s="3274"/>
      <c r="BG65" s="3274"/>
      <c r="BH65" s="2028">
        <f t="shared" si="126"/>
        <v>0</v>
      </c>
      <c r="BI65" s="3284">
        <f t="shared" si="106"/>
        <v>0</v>
      </c>
      <c r="BJ65" s="3295"/>
      <c r="BK65" s="3274"/>
      <c r="BL65" s="3274"/>
      <c r="BM65" s="2028">
        <f t="shared" si="127"/>
        <v>0</v>
      </c>
      <c r="BN65" s="3284">
        <f t="shared" si="107"/>
        <v>0</v>
      </c>
      <c r="BO65" s="3295"/>
      <c r="BP65" s="3274"/>
      <c r="BQ65" s="3274"/>
      <c r="BR65" s="2028">
        <f t="shared" si="128"/>
        <v>0</v>
      </c>
      <c r="BS65" s="3284">
        <f t="shared" si="108"/>
        <v>0</v>
      </c>
      <c r="BT65" s="3295"/>
      <c r="BU65" s="3274"/>
      <c r="BV65" s="3274"/>
      <c r="BW65" s="2028">
        <f t="shared" si="129"/>
        <v>0</v>
      </c>
      <c r="BX65" s="3284" t="e">
        <f t="shared" si="109"/>
        <v>#DIV/0!</v>
      </c>
      <c r="BY65" s="3295"/>
      <c r="BZ65" s="3274"/>
      <c r="CA65" s="3274"/>
      <c r="CB65" s="2028">
        <f t="shared" si="130"/>
        <v>0</v>
      </c>
      <c r="CC65" s="3284" t="e">
        <f t="shared" si="110"/>
        <v>#DIV/0!</v>
      </c>
      <c r="CD65" s="1449"/>
      <c r="CE65" s="3274"/>
      <c r="CF65" s="3274"/>
      <c r="CG65" s="2028">
        <f t="shared" si="131"/>
        <v>0</v>
      </c>
      <c r="CH65" s="3284" t="e">
        <f t="shared" si="111"/>
        <v>#DIV/0!</v>
      </c>
      <c r="CI65" s="1449"/>
      <c r="CJ65" s="3274"/>
      <c r="CK65" s="3274"/>
      <c r="CL65" s="2028">
        <f t="shared" si="132"/>
        <v>0</v>
      </c>
      <c r="CM65" s="3284" t="e">
        <f t="shared" si="112"/>
        <v>#DIV/0!</v>
      </c>
      <c r="CN65" s="1449"/>
      <c r="CO65" s="3274"/>
      <c r="CP65" s="3274"/>
      <c r="CQ65" s="2028">
        <f t="shared" si="133"/>
        <v>0</v>
      </c>
      <c r="CR65" s="3284" t="e">
        <f t="shared" si="113"/>
        <v>#DIV/0!</v>
      </c>
      <c r="CS65" s="1449"/>
      <c r="CT65" s="3274"/>
      <c r="CU65" s="3274"/>
      <c r="CV65" s="2028">
        <f t="shared" si="134"/>
        <v>0</v>
      </c>
      <c r="CW65" s="3284" t="e">
        <f t="shared" si="114"/>
        <v>#DIV/0!</v>
      </c>
      <c r="CX65" s="1449"/>
      <c r="CY65" s="3274">
        <f t="shared" si="135"/>
        <v>0</v>
      </c>
      <c r="CZ65" s="3274">
        <f t="shared" si="135"/>
        <v>1171</v>
      </c>
      <c r="DA65" s="2028">
        <f t="shared" si="136"/>
        <v>1171</v>
      </c>
      <c r="DB65" s="3284">
        <f t="shared" si="71"/>
        <v>4.5838790154786071E-4</v>
      </c>
      <c r="DC65" s="3295"/>
    </row>
    <row r="66" spans="1:107" s="1411" customFormat="1" ht="13.8" x14ac:dyDescent="0.25">
      <c r="A66" s="1586"/>
      <c r="B66" s="3310" t="s">
        <v>37</v>
      </c>
      <c r="C66" s="3274"/>
      <c r="D66" s="3274"/>
      <c r="E66" s="2028">
        <f t="shared" si="115"/>
        <v>0</v>
      </c>
      <c r="F66" s="3284">
        <f t="shared" si="97"/>
        <v>0</v>
      </c>
      <c r="G66" s="3295"/>
      <c r="H66" s="3274"/>
      <c r="I66" s="3274"/>
      <c r="J66" s="2028">
        <f t="shared" si="116"/>
        <v>0</v>
      </c>
      <c r="K66" s="3284">
        <f t="shared" si="98"/>
        <v>0</v>
      </c>
      <c r="L66" s="3295"/>
      <c r="M66" s="3274"/>
      <c r="N66" s="3274"/>
      <c r="O66" s="2028">
        <f t="shared" si="117"/>
        <v>0</v>
      </c>
      <c r="P66" s="3284">
        <f t="shared" si="2"/>
        <v>0</v>
      </c>
      <c r="Q66" s="3295"/>
      <c r="R66" s="3274"/>
      <c r="S66" s="3274"/>
      <c r="T66" s="2028">
        <f t="shared" si="118"/>
        <v>0</v>
      </c>
      <c r="U66" s="3284">
        <f t="shared" si="99"/>
        <v>0</v>
      </c>
      <c r="V66" s="3295"/>
      <c r="W66" s="3274"/>
      <c r="X66" s="3274"/>
      <c r="Y66" s="2028">
        <f t="shared" si="119"/>
        <v>0</v>
      </c>
      <c r="Z66" s="3284">
        <f t="shared" si="100"/>
        <v>0</v>
      </c>
      <c r="AA66" s="3295"/>
      <c r="AB66" s="3274"/>
      <c r="AC66" s="3274"/>
      <c r="AD66" s="2028">
        <f t="shared" si="120"/>
        <v>0</v>
      </c>
      <c r="AE66" s="3284">
        <f t="shared" si="101"/>
        <v>0</v>
      </c>
      <c r="AF66" s="3295"/>
      <c r="AG66" s="3274">
        <v>0</v>
      </c>
      <c r="AH66" s="3274">
        <v>0</v>
      </c>
      <c r="AI66" s="2028">
        <v>0</v>
      </c>
      <c r="AJ66" s="3284">
        <v>0</v>
      </c>
      <c r="AK66" s="3276"/>
      <c r="AL66" s="3274">
        <f t="shared" si="121"/>
        <v>0</v>
      </c>
      <c r="AM66" s="3274">
        <f t="shared" si="121"/>
        <v>0</v>
      </c>
      <c r="AN66" s="2028">
        <f t="shared" si="122"/>
        <v>0</v>
      </c>
      <c r="AO66" s="3284">
        <f t="shared" si="102"/>
        <v>0</v>
      </c>
      <c r="AP66" s="3276"/>
      <c r="AQ66" s="3274"/>
      <c r="AR66" s="3274"/>
      <c r="AS66" s="2028">
        <f t="shared" si="123"/>
        <v>0</v>
      </c>
      <c r="AT66" s="3284">
        <f t="shared" si="103"/>
        <v>0</v>
      </c>
      <c r="AU66" s="3295"/>
      <c r="AV66" s="3274"/>
      <c r="AW66" s="3274"/>
      <c r="AX66" s="2028">
        <f t="shared" si="124"/>
        <v>0</v>
      </c>
      <c r="AY66" s="3284">
        <f t="shared" si="104"/>
        <v>0</v>
      </c>
      <c r="AZ66" s="3295"/>
      <c r="BA66" s="3274"/>
      <c r="BB66" s="3274"/>
      <c r="BC66" s="2028">
        <f t="shared" si="125"/>
        <v>0</v>
      </c>
      <c r="BD66" s="3284">
        <f t="shared" si="105"/>
        <v>0</v>
      </c>
      <c r="BE66" s="3295"/>
      <c r="BF66" s="3274"/>
      <c r="BG66" s="3274"/>
      <c r="BH66" s="2028">
        <f t="shared" si="126"/>
        <v>0</v>
      </c>
      <c r="BI66" s="3284">
        <f t="shared" si="106"/>
        <v>0</v>
      </c>
      <c r="BJ66" s="3295"/>
      <c r="BK66" s="3274"/>
      <c r="BL66" s="3274"/>
      <c r="BM66" s="2028">
        <f t="shared" si="127"/>
        <v>0</v>
      </c>
      <c r="BN66" s="3284">
        <f t="shared" si="107"/>
        <v>0</v>
      </c>
      <c r="BO66" s="3295"/>
      <c r="BP66" s="3274"/>
      <c r="BQ66" s="3274"/>
      <c r="BR66" s="2028">
        <f t="shared" si="128"/>
        <v>0</v>
      </c>
      <c r="BS66" s="3284">
        <f t="shared" si="108"/>
        <v>0</v>
      </c>
      <c r="BT66" s="3295"/>
      <c r="BU66" s="3274"/>
      <c r="BV66" s="3274"/>
      <c r="BW66" s="2028">
        <f t="shared" si="129"/>
        <v>0</v>
      </c>
      <c r="BX66" s="3284" t="e">
        <f t="shared" si="109"/>
        <v>#DIV/0!</v>
      </c>
      <c r="BY66" s="3295"/>
      <c r="BZ66" s="3274"/>
      <c r="CA66" s="3274"/>
      <c r="CB66" s="2028">
        <f t="shared" si="130"/>
        <v>0</v>
      </c>
      <c r="CC66" s="3284" t="e">
        <f t="shared" si="110"/>
        <v>#DIV/0!</v>
      </c>
      <c r="CD66" s="1449"/>
      <c r="CE66" s="3274"/>
      <c r="CF66" s="3274"/>
      <c r="CG66" s="2028">
        <f t="shared" si="131"/>
        <v>0</v>
      </c>
      <c r="CH66" s="3284" t="e">
        <f t="shared" si="111"/>
        <v>#DIV/0!</v>
      </c>
      <c r="CI66" s="1449"/>
      <c r="CJ66" s="3274"/>
      <c r="CK66" s="3274"/>
      <c r="CL66" s="2028">
        <f t="shared" si="132"/>
        <v>0</v>
      </c>
      <c r="CM66" s="3284" t="e">
        <f t="shared" si="112"/>
        <v>#DIV/0!</v>
      </c>
      <c r="CN66" s="1449"/>
      <c r="CO66" s="3274"/>
      <c r="CP66" s="3274"/>
      <c r="CQ66" s="2028">
        <f t="shared" si="133"/>
        <v>0</v>
      </c>
      <c r="CR66" s="3284" t="e">
        <f t="shared" si="113"/>
        <v>#DIV/0!</v>
      </c>
      <c r="CS66" s="1449"/>
      <c r="CT66" s="3274"/>
      <c r="CU66" s="3274"/>
      <c r="CV66" s="2028">
        <f t="shared" si="134"/>
        <v>0</v>
      </c>
      <c r="CW66" s="3284" t="e">
        <f t="shared" si="114"/>
        <v>#DIV/0!</v>
      </c>
      <c r="CX66" s="1449"/>
      <c r="CY66" s="3274">
        <f t="shared" si="135"/>
        <v>0</v>
      </c>
      <c r="CZ66" s="3274">
        <f t="shared" si="135"/>
        <v>0</v>
      </c>
      <c r="DA66" s="2028">
        <f t="shared" si="136"/>
        <v>0</v>
      </c>
      <c r="DB66" s="3284">
        <f t="shared" si="71"/>
        <v>0</v>
      </c>
      <c r="DC66" s="3295"/>
    </row>
    <row r="67" spans="1:107" s="1411" customFormat="1" ht="13.8" x14ac:dyDescent="0.25">
      <c r="A67" s="1586"/>
      <c r="B67" s="3310" t="s">
        <v>3</v>
      </c>
      <c r="C67" s="3274"/>
      <c r="D67" s="3274"/>
      <c r="E67" s="2028">
        <f t="shared" si="115"/>
        <v>0</v>
      </c>
      <c r="F67" s="3284">
        <f t="shared" si="97"/>
        <v>0</v>
      </c>
      <c r="G67" s="3295"/>
      <c r="H67" s="3274"/>
      <c r="I67" s="3274"/>
      <c r="J67" s="2028">
        <f t="shared" si="116"/>
        <v>0</v>
      </c>
      <c r="K67" s="3284">
        <f t="shared" si="98"/>
        <v>0</v>
      </c>
      <c r="L67" s="3295"/>
      <c r="M67" s="3274"/>
      <c r="N67" s="3274"/>
      <c r="O67" s="2028">
        <f t="shared" si="117"/>
        <v>0</v>
      </c>
      <c r="P67" s="3284">
        <f t="shared" si="2"/>
        <v>0</v>
      </c>
      <c r="Q67" s="3295"/>
      <c r="R67" s="3274"/>
      <c r="S67" s="3274"/>
      <c r="T67" s="2028">
        <f t="shared" si="118"/>
        <v>0</v>
      </c>
      <c r="U67" s="3284">
        <f t="shared" si="99"/>
        <v>0</v>
      </c>
      <c r="V67" s="3295"/>
      <c r="W67" s="3274"/>
      <c r="X67" s="3274"/>
      <c r="Y67" s="2028">
        <f t="shared" si="119"/>
        <v>0</v>
      </c>
      <c r="Z67" s="3284">
        <f t="shared" si="100"/>
        <v>0</v>
      </c>
      <c r="AA67" s="3295"/>
      <c r="AB67" s="3274"/>
      <c r="AC67" s="3274"/>
      <c r="AD67" s="2028">
        <f t="shared" si="120"/>
        <v>0</v>
      </c>
      <c r="AE67" s="3284">
        <f t="shared" si="101"/>
        <v>0</v>
      </c>
      <c r="AF67" s="3295"/>
      <c r="AG67" s="3274">
        <v>0</v>
      </c>
      <c r="AH67" s="3274">
        <v>0</v>
      </c>
      <c r="AI67" s="2028">
        <v>0</v>
      </c>
      <c r="AJ67" s="3284">
        <v>0</v>
      </c>
      <c r="AK67" s="3276"/>
      <c r="AL67" s="3274">
        <f t="shared" si="121"/>
        <v>0</v>
      </c>
      <c r="AM67" s="3274">
        <f t="shared" si="121"/>
        <v>0</v>
      </c>
      <c r="AN67" s="2028">
        <f t="shared" si="122"/>
        <v>0</v>
      </c>
      <c r="AO67" s="3284">
        <f t="shared" si="102"/>
        <v>0</v>
      </c>
      <c r="AP67" s="3276"/>
      <c r="AQ67" s="3274"/>
      <c r="AR67" s="3274"/>
      <c r="AS67" s="2028">
        <f t="shared" si="123"/>
        <v>0</v>
      </c>
      <c r="AT67" s="3284">
        <f t="shared" si="103"/>
        <v>0</v>
      </c>
      <c r="AU67" s="3295"/>
      <c r="AV67" s="3274"/>
      <c r="AW67" s="3274"/>
      <c r="AX67" s="2028">
        <f t="shared" si="124"/>
        <v>0</v>
      </c>
      <c r="AY67" s="3284">
        <f t="shared" si="104"/>
        <v>0</v>
      </c>
      <c r="AZ67" s="3295"/>
      <c r="BA67" s="3274"/>
      <c r="BB67" s="3274"/>
      <c r="BC67" s="2028">
        <f t="shared" si="125"/>
        <v>0</v>
      </c>
      <c r="BD67" s="3284">
        <f t="shared" si="105"/>
        <v>0</v>
      </c>
      <c r="BE67" s="3295"/>
      <c r="BF67" s="3274"/>
      <c r="BG67" s="3274"/>
      <c r="BH67" s="2028">
        <f t="shared" si="126"/>
        <v>0</v>
      </c>
      <c r="BI67" s="3284">
        <f t="shared" si="106"/>
        <v>0</v>
      </c>
      <c r="BJ67" s="3295"/>
      <c r="BK67" s="3274"/>
      <c r="BL67" s="3274"/>
      <c r="BM67" s="2028">
        <f t="shared" si="127"/>
        <v>0</v>
      </c>
      <c r="BN67" s="3284">
        <f t="shared" si="107"/>
        <v>0</v>
      </c>
      <c r="BO67" s="3295"/>
      <c r="BP67" s="3274"/>
      <c r="BQ67" s="3274"/>
      <c r="BR67" s="2028">
        <f t="shared" si="128"/>
        <v>0</v>
      </c>
      <c r="BS67" s="3284">
        <f t="shared" si="108"/>
        <v>0</v>
      </c>
      <c r="BT67" s="3295"/>
      <c r="BU67" s="3274"/>
      <c r="BV67" s="3274"/>
      <c r="BW67" s="2028">
        <f t="shared" si="129"/>
        <v>0</v>
      </c>
      <c r="BX67" s="3284" t="e">
        <f t="shared" si="109"/>
        <v>#DIV/0!</v>
      </c>
      <c r="BY67" s="3295"/>
      <c r="BZ67" s="3274"/>
      <c r="CA67" s="3274"/>
      <c r="CB67" s="2028">
        <f t="shared" si="130"/>
        <v>0</v>
      </c>
      <c r="CC67" s="3284" t="e">
        <f t="shared" si="110"/>
        <v>#DIV/0!</v>
      </c>
      <c r="CD67" s="1449"/>
      <c r="CE67" s="3274"/>
      <c r="CF67" s="3274"/>
      <c r="CG67" s="2028">
        <f t="shared" si="131"/>
        <v>0</v>
      </c>
      <c r="CH67" s="3284" t="e">
        <f t="shared" si="111"/>
        <v>#DIV/0!</v>
      </c>
      <c r="CI67" s="1449"/>
      <c r="CJ67" s="3274"/>
      <c r="CK67" s="3274"/>
      <c r="CL67" s="2028">
        <f t="shared" si="132"/>
        <v>0</v>
      </c>
      <c r="CM67" s="3284" t="e">
        <f t="shared" si="112"/>
        <v>#DIV/0!</v>
      </c>
      <c r="CN67" s="1449"/>
      <c r="CO67" s="3274"/>
      <c r="CP67" s="3274"/>
      <c r="CQ67" s="2028">
        <f t="shared" si="133"/>
        <v>0</v>
      </c>
      <c r="CR67" s="3284" t="e">
        <f t="shared" si="113"/>
        <v>#DIV/0!</v>
      </c>
      <c r="CS67" s="1449"/>
      <c r="CT67" s="3274"/>
      <c r="CU67" s="3274"/>
      <c r="CV67" s="2028">
        <f t="shared" si="134"/>
        <v>0</v>
      </c>
      <c r="CW67" s="3284" t="e">
        <f t="shared" si="114"/>
        <v>#DIV/0!</v>
      </c>
      <c r="CX67" s="1449"/>
      <c r="CY67" s="3274">
        <f t="shared" si="135"/>
        <v>0</v>
      </c>
      <c r="CZ67" s="3274">
        <f t="shared" si="135"/>
        <v>0</v>
      </c>
      <c r="DA67" s="2028">
        <f t="shared" si="136"/>
        <v>0</v>
      </c>
      <c r="DB67" s="3284">
        <f t="shared" si="71"/>
        <v>0</v>
      </c>
      <c r="DC67" s="3295"/>
    </row>
    <row r="68" spans="1:107" s="1411" customFormat="1" ht="13.8" x14ac:dyDescent="0.25">
      <c r="A68" s="1586"/>
      <c r="B68" s="3310" t="s">
        <v>5</v>
      </c>
      <c r="C68" s="3274"/>
      <c r="D68" s="3274">
        <v>5</v>
      </c>
      <c r="E68" s="2028">
        <f t="shared" si="115"/>
        <v>5</v>
      </c>
      <c r="F68" s="3284">
        <f t="shared" si="97"/>
        <v>1.6803744123581477E-5</v>
      </c>
      <c r="G68" s="3274" t="s">
        <v>546</v>
      </c>
      <c r="H68" s="3274"/>
      <c r="I68" s="3274"/>
      <c r="J68" s="2028">
        <f t="shared" si="116"/>
        <v>0</v>
      </c>
      <c r="K68" s="3284">
        <f t="shared" si="98"/>
        <v>0</v>
      </c>
      <c r="L68" s="3274" t="s">
        <v>546</v>
      </c>
      <c r="M68" s="3274"/>
      <c r="N68" s="3274"/>
      <c r="O68" s="2028">
        <f t="shared" si="117"/>
        <v>0</v>
      </c>
      <c r="P68" s="3284">
        <f t="shared" si="2"/>
        <v>0</v>
      </c>
      <c r="Q68" s="3274"/>
      <c r="R68" s="3274"/>
      <c r="S68" s="3274"/>
      <c r="T68" s="2028">
        <f t="shared" si="118"/>
        <v>0</v>
      </c>
      <c r="U68" s="3284">
        <f t="shared" si="99"/>
        <v>0</v>
      </c>
      <c r="V68" s="3274"/>
      <c r="W68" s="3274"/>
      <c r="X68" s="3274"/>
      <c r="Y68" s="2028">
        <f t="shared" si="119"/>
        <v>0</v>
      </c>
      <c r="Z68" s="3284">
        <f t="shared" si="100"/>
        <v>0</v>
      </c>
      <c r="AA68" s="3274"/>
      <c r="AB68" s="3274"/>
      <c r="AC68" s="3274"/>
      <c r="AD68" s="2028">
        <f t="shared" si="120"/>
        <v>0</v>
      </c>
      <c r="AE68" s="3284">
        <f t="shared" si="101"/>
        <v>0</v>
      </c>
      <c r="AF68" s="3274"/>
      <c r="AG68" s="3274">
        <v>0</v>
      </c>
      <c r="AH68" s="3274">
        <v>5</v>
      </c>
      <c r="AI68" s="2028">
        <v>5</v>
      </c>
      <c r="AJ68" s="3284">
        <v>2.7534983258323531E-5</v>
      </c>
      <c r="AK68" s="3276"/>
      <c r="AL68" s="3274">
        <f t="shared" si="121"/>
        <v>0</v>
      </c>
      <c r="AM68" s="3274">
        <f t="shared" si="121"/>
        <v>0</v>
      </c>
      <c r="AN68" s="2028">
        <f t="shared" si="122"/>
        <v>0</v>
      </c>
      <c r="AO68" s="3284">
        <f t="shared" si="102"/>
        <v>0</v>
      </c>
      <c r="AP68" s="3276"/>
      <c r="AQ68" s="3274"/>
      <c r="AR68" s="3274"/>
      <c r="AS68" s="2028">
        <f t="shared" si="123"/>
        <v>0</v>
      </c>
      <c r="AT68" s="3284">
        <f t="shared" si="103"/>
        <v>0</v>
      </c>
      <c r="AU68" s="3274"/>
      <c r="AV68" s="3274"/>
      <c r="AW68" s="3274"/>
      <c r="AX68" s="2028">
        <f t="shared" si="124"/>
        <v>0</v>
      </c>
      <c r="AY68" s="3284">
        <f t="shared" si="104"/>
        <v>0</v>
      </c>
      <c r="AZ68" s="3274"/>
      <c r="BA68" s="3274"/>
      <c r="BB68" s="3274"/>
      <c r="BC68" s="2028">
        <f t="shared" si="125"/>
        <v>0</v>
      </c>
      <c r="BD68" s="3284">
        <f t="shared" si="105"/>
        <v>0</v>
      </c>
      <c r="BE68" s="3274"/>
      <c r="BF68" s="3274"/>
      <c r="BG68" s="3274"/>
      <c r="BH68" s="2028">
        <f t="shared" si="126"/>
        <v>0</v>
      </c>
      <c r="BI68" s="3284">
        <f t="shared" si="106"/>
        <v>0</v>
      </c>
      <c r="BJ68" s="3274"/>
      <c r="BK68" s="3274"/>
      <c r="BL68" s="3274"/>
      <c r="BM68" s="2028">
        <f t="shared" si="127"/>
        <v>0</v>
      </c>
      <c r="BN68" s="3284">
        <f t="shared" si="107"/>
        <v>0</v>
      </c>
      <c r="BO68" s="3274"/>
      <c r="BP68" s="3274"/>
      <c r="BQ68" s="3274"/>
      <c r="BR68" s="2028">
        <f t="shared" si="128"/>
        <v>0</v>
      </c>
      <c r="BS68" s="3284">
        <f t="shared" si="108"/>
        <v>0</v>
      </c>
      <c r="BT68" s="3274"/>
      <c r="BU68" s="3274"/>
      <c r="BV68" s="3274"/>
      <c r="BW68" s="2028">
        <f t="shared" si="129"/>
        <v>0</v>
      </c>
      <c r="BX68" s="3284" t="e">
        <f t="shared" si="109"/>
        <v>#DIV/0!</v>
      </c>
      <c r="BY68" s="3274"/>
      <c r="BZ68" s="3274"/>
      <c r="CA68" s="3274"/>
      <c r="CB68" s="2028">
        <f t="shared" si="130"/>
        <v>0</v>
      </c>
      <c r="CC68" s="3284" t="e">
        <f t="shared" si="110"/>
        <v>#DIV/0!</v>
      </c>
      <c r="CD68" s="3274"/>
      <c r="CE68" s="3274"/>
      <c r="CF68" s="3274"/>
      <c r="CG68" s="2028">
        <f t="shared" si="131"/>
        <v>0</v>
      </c>
      <c r="CH68" s="3284" t="e">
        <f t="shared" si="111"/>
        <v>#DIV/0!</v>
      </c>
      <c r="CI68" s="3274"/>
      <c r="CJ68" s="3274"/>
      <c r="CK68" s="3274"/>
      <c r="CL68" s="2028">
        <f t="shared" si="132"/>
        <v>0</v>
      </c>
      <c r="CM68" s="3284" t="e">
        <f t="shared" si="112"/>
        <v>#DIV/0!</v>
      </c>
      <c r="CN68" s="3274"/>
      <c r="CO68" s="3274"/>
      <c r="CP68" s="3274"/>
      <c r="CQ68" s="2028">
        <f t="shared" si="133"/>
        <v>0</v>
      </c>
      <c r="CR68" s="3284" t="e">
        <f t="shared" si="113"/>
        <v>#DIV/0!</v>
      </c>
      <c r="CS68" s="3274"/>
      <c r="CT68" s="3274"/>
      <c r="CU68" s="3274"/>
      <c r="CV68" s="2028">
        <f t="shared" si="134"/>
        <v>0</v>
      </c>
      <c r="CW68" s="3284" t="e">
        <f t="shared" si="114"/>
        <v>#DIV/0!</v>
      </c>
      <c r="CX68" s="3274"/>
      <c r="CY68" s="3274">
        <f t="shared" si="135"/>
        <v>0</v>
      </c>
      <c r="CZ68" s="3274">
        <f t="shared" si="135"/>
        <v>10</v>
      </c>
      <c r="DA68" s="2028">
        <f t="shared" si="136"/>
        <v>10</v>
      </c>
      <c r="DB68" s="3284">
        <f t="shared" si="71"/>
        <v>3.9144995862327989E-6</v>
      </c>
      <c r="DC68" s="3295"/>
    </row>
    <row r="69" spans="1:107" s="1411" customFormat="1" ht="13.8" x14ac:dyDescent="0.25">
      <c r="A69" s="1586"/>
      <c r="B69" s="3310" t="s">
        <v>42</v>
      </c>
      <c r="C69" s="3274"/>
      <c r="D69" s="3274"/>
      <c r="E69" s="2028">
        <f t="shared" si="115"/>
        <v>0</v>
      </c>
      <c r="F69" s="3284">
        <f t="shared" si="97"/>
        <v>0</v>
      </c>
      <c r="G69" s="3274"/>
      <c r="H69" s="3274"/>
      <c r="I69" s="3274"/>
      <c r="J69" s="2028">
        <f t="shared" si="116"/>
        <v>0</v>
      </c>
      <c r="K69" s="3284">
        <f t="shared" si="98"/>
        <v>0</v>
      </c>
      <c r="L69" s="3274"/>
      <c r="M69" s="3274"/>
      <c r="N69" s="3274"/>
      <c r="O69" s="2028">
        <f t="shared" si="117"/>
        <v>0</v>
      </c>
      <c r="P69" s="3284">
        <f t="shared" si="2"/>
        <v>0</v>
      </c>
      <c r="Q69" s="3274"/>
      <c r="R69" s="3274"/>
      <c r="S69" s="3274"/>
      <c r="T69" s="2028">
        <f t="shared" si="118"/>
        <v>0</v>
      </c>
      <c r="U69" s="3284">
        <f t="shared" si="99"/>
        <v>0</v>
      </c>
      <c r="V69" s="3274"/>
      <c r="W69" s="3274"/>
      <c r="X69" s="3274"/>
      <c r="Y69" s="2028">
        <f t="shared" si="119"/>
        <v>0</v>
      </c>
      <c r="Z69" s="3284">
        <f t="shared" si="100"/>
        <v>0</v>
      </c>
      <c r="AA69" s="3274"/>
      <c r="AB69" s="3274"/>
      <c r="AC69" s="3274"/>
      <c r="AD69" s="2028">
        <f t="shared" si="120"/>
        <v>0</v>
      </c>
      <c r="AE69" s="3284">
        <f t="shared" si="101"/>
        <v>0</v>
      </c>
      <c r="AF69" s="3274"/>
      <c r="AG69" s="3274">
        <v>0</v>
      </c>
      <c r="AH69" s="3274">
        <v>0</v>
      </c>
      <c r="AI69" s="2028">
        <v>0</v>
      </c>
      <c r="AJ69" s="3284">
        <v>0</v>
      </c>
      <c r="AK69" s="3276"/>
      <c r="AL69" s="3274">
        <f t="shared" si="121"/>
        <v>0</v>
      </c>
      <c r="AM69" s="3274">
        <f t="shared" si="121"/>
        <v>0</v>
      </c>
      <c r="AN69" s="2028">
        <f t="shared" si="122"/>
        <v>0</v>
      </c>
      <c r="AO69" s="3284">
        <f t="shared" si="102"/>
        <v>0</v>
      </c>
      <c r="AP69" s="3276"/>
      <c r="AQ69" s="3274"/>
      <c r="AR69" s="3274"/>
      <c r="AS69" s="2028">
        <f t="shared" si="123"/>
        <v>0</v>
      </c>
      <c r="AT69" s="3284">
        <f t="shared" si="103"/>
        <v>0</v>
      </c>
      <c r="AU69" s="3274"/>
      <c r="AV69" s="3274"/>
      <c r="AW69" s="3274"/>
      <c r="AX69" s="2028">
        <f t="shared" si="124"/>
        <v>0</v>
      </c>
      <c r="AY69" s="3284">
        <f t="shared" si="104"/>
        <v>0</v>
      </c>
      <c r="AZ69" s="3274"/>
      <c r="BA69" s="3274"/>
      <c r="BB69" s="3274"/>
      <c r="BC69" s="2028">
        <f t="shared" si="125"/>
        <v>0</v>
      </c>
      <c r="BD69" s="3284">
        <f t="shared" si="105"/>
        <v>0</v>
      </c>
      <c r="BE69" s="3274"/>
      <c r="BF69" s="3274"/>
      <c r="BG69" s="3274"/>
      <c r="BH69" s="2028">
        <f t="shared" si="126"/>
        <v>0</v>
      </c>
      <c r="BI69" s="3284">
        <f t="shared" si="106"/>
        <v>0</v>
      </c>
      <c r="BJ69" s="3274"/>
      <c r="BK69" s="3274"/>
      <c r="BL69" s="3274"/>
      <c r="BM69" s="2028">
        <f t="shared" si="127"/>
        <v>0</v>
      </c>
      <c r="BN69" s="3284">
        <f t="shared" si="107"/>
        <v>0</v>
      </c>
      <c r="BO69" s="3274"/>
      <c r="BP69" s="3274"/>
      <c r="BQ69" s="3274"/>
      <c r="BR69" s="2028">
        <f t="shared" si="128"/>
        <v>0</v>
      </c>
      <c r="BS69" s="3284">
        <f t="shared" si="108"/>
        <v>0</v>
      </c>
      <c r="BT69" s="3274"/>
      <c r="BU69" s="3274"/>
      <c r="BV69" s="3274"/>
      <c r="BW69" s="2028">
        <f t="shared" si="129"/>
        <v>0</v>
      </c>
      <c r="BX69" s="3284" t="e">
        <f t="shared" si="109"/>
        <v>#DIV/0!</v>
      </c>
      <c r="BY69" s="3274"/>
      <c r="BZ69" s="3274"/>
      <c r="CA69" s="3274"/>
      <c r="CB69" s="2028">
        <f t="shared" si="130"/>
        <v>0</v>
      </c>
      <c r="CC69" s="3284" t="e">
        <f t="shared" si="110"/>
        <v>#DIV/0!</v>
      </c>
      <c r="CD69" s="3274"/>
      <c r="CE69" s="3274"/>
      <c r="CF69" s="3274"/>
      <c r="CG69" s="2028">
        <f t="shared" si="131"/>
        <v>0</v>
      </c>
      <c r="CH69" s="3284" t="e">
        <f t="shared" si="111"/>
        <v>#DIV/0!</v>
      </c>
      <c r="CI69" s="3274"/>
      <c r="CJ69" s="3274"/>
      <c r="CK69" s="3274"/>
      <c r="CL69" s="2028">
        <f t="shared" si="132"/>
        <v>0</v>
      </c>
      <c r="CM69" s="3284" t="e">
        <f t="shared" si="112"/>
        <v>#DIV/0!</v>
      </c>
      <c r="CN69" s="3274"/>
      <c r="CO69" s="3274"/>
      <c r="CP69" s="3274"/>
      <c r="CQ69" s="2028">
        <f t="shared" si="133"/>
        <v>0</v>
      </c>
      <c r="CR69" s="3284" t="e">
        <f t="shared" si="113"/>
        <v>#DIV/0!</v>
      </c>
      <c r="CS69" s="3274"/>
      <c r="CT69" s="3274"/>
      <c r="CU69" s="3274"/>
      <c r="CV69" s="2028">
        <f t="shared" si="134"/>
        <v>0</v>
      </c>
      <c r="CW69" s="3284" t="e">
        <f t="shared" si="114"/>
        <v>#DIV/0!</v>
      </c>
      <c r="CX69" s="3274"/>
      <c r="CY69" s="3274">
        <f t="shared" si="135"/>
        <v>0</v>
      </c>
      <c r="CZ69" s="3274">
        <f t="shared" si="135"/>
        <v>0</v>
      </c>
      <c r="DA69" s="2028">
        <f t="shared" si="136"/>
        <v>0</v>
      </c>
      <c r="DB69" s="3284">
        <f t="shared" si="71"/>
        <v>0</v>
      </c>
      <c r="DC69" s="3295"/>
    </row>
    <row r="70" spans="1:107" s="1411" customFormat="1" ht="13.8" x14ac:dyDescent="0.25">
      <c r="A70" s="1586"/>
      <c r="B70" s="3310" t="s">
        <v>6</v>
      </c>
      <c r="C70" s="3274"/>
      <c r="D70" s="3274"/>
      <c r="E70" s="2028">
        <f t="shared" si="115"/>
        <v>0</v>
      </c>
      <c r="F70" s="3284">
        <f t="shared" si="97"/>
        <v>0</v>
      </c>
      <c r="G70" s="3295"/>
      <c r="H70" s="3274"/>
      <c r="I70" s="3274"/>
      <c r="J70" s="2028">
        <f t="shared" si="116"/>
        <v>0</v>
      </c>
      <c r="K70" s="3284">
        <f t="shared" si="98"/>
        <v>0</v>
      </c>
      <c r="L70" s="3295"/>
      <c r="M70" s="3274"/>
      <c r="N70" s="3274"/>
      <c r="O70" s="2028">
        <f t="shared" si="117"/>
        <v>0</v>
      </c>
      <c r="P70" s="3284">
        <f t="shared" si="2"/>
        <v>0</v>
      </c>
      <c r="Q70" s="3295"/>
      <c r="R70" s="3274"/>
      <c r="S70" s="3274"/>
      <c r="T70" s="2028">
        <f t="shared" si="118"/>
        <v>0</v>
      </c>
      <c r="U70" s="3284">
        <f t="shared" si="99"/>
        <v>0</v>
      </c>
      <c r="V70" s="3295"/>
      <c r="W70" s="3274"/>
      <c r="X70" s="3274"/>
      <c r="Y70" s="2028">
        <f t="shared" si="119"/>
        <v>0</v>
      </c>
      <c r="Z70" s="3284">
        <f t="shared" si="100"/>
        <v>0</v>
      </c>
      <c r="AA70" s="3295"/>
      <c r="AB70" s="3274"/>
      <c r="AC70" s="3274"/>
      <c r="AD70" s="2028">
        <f t="shared" si="120"/>
        <v>0</v>
      </c>
      <c r="AE70" s="3284">
        <f t="shared" si="101"/>
        <v>0</v>
      </c>
      <c r="AF70" s="3295"/>
      <c r="AG70" s="3274">
        <v>0</v>
      </c>
      <c r="AH70" s="3274">
        <v>0</v>
      </c>
      <c r="AI70" s="2028">
        <v>0</v>
      </c>
      <c r="AJ70" s="3284">
        <v>0</v>
      </c>
      <c r="AK70" s="3276"/>
      <c r="AL70" s="3274">
        <f t="shared" si="121"/>
        <v>0</v>
      </c>
      <c r="AM70" s="3274">
        <f t="shared" si="121"/>
        <v>0</v>
      </c>
      <c r="AN70" s="2028">
        <f t="shared" si="122"/>
        <v>0</v>
      </c>
      <c r="AO70" s="3284">
        <f t="shared" si="102"/>
        <v>0</v>
      </c>
      <c r="AP70" s="3276"/>
      <c r="AQ70" s="3274"/>
      <c r="AR70" s="3274"/>
      <c r="AS70" s="2028">
        <f t="shared" si="123"/>
        <v>0</v>
      </c>
      <c r="AT70" s="3284">
        <f t="shared" si="103"/>
        <v>0</v>
      </c>
      <c r="AU70" s="3295"/>
      <c r="AV70" s="3274"/>
      <c r="AW70" s="3274"/>
      <c r="AX70" s="2028">
        <f t="shared" si="124"/>
        <v>0</v>
      </c>
      <c r="AY70" s="3284">
        <f t="shared" si="104"/>
        <v>0</v>
      </c>
      <c r="AZ70" s="3295"/>
      <c r="BA70" s="3274"/>
      <c r="BB70" s="3274"/>
      <c r="BC70" s="2028">
        <f t="shared" si="125"/>
        <v>0</v>
      </c>
      <c r="BD70" s="3284">
        <f t="shared" si="105"/>
        <v>0</v>
      </c>
      <c r="BE70" s="3295"/>
      <c r="BF70" s="3274"/>
      <c r="BG70" s="3274"/>
      <c r="BH70" s="2028">
        <f t="shared" si="126"/>
        <v>0</v>
      </c>
      <c r="BI70" s="3284">
        <f t="shared" si="106"/>
        <v>0</v>
      </c>
      <c r="BJ70" s="3295"/>
      <c r="BK70" s="3274"/>
      <c r="BL70" s="3274"/>
      <c r="BM70" s="2028">
        <f t="shared" si="127"/>
        <v>0</v>
      </c>
      <c r="BN70" s="3284">
        <f t="shared" si="107"/>
        <v>0</v>
      </c>
      <c r="BO70" s="3295"/>
      <c r="BP70" s="3274"/>
      <c r="BQ70" s="3274"/>
      <c r="BR70" s="2028">
        <f t="shared" si="128"/>
        <v>0</v>
      </c>
      <c r="BS70" s="3284">
        <f t="shared" si="108"/>
        <v>0</v>
      </c>
      <c r="BT70" s="3295"/>
      <c r="BU70" s="3274"/>
      <c r="BV70" s="3274"/>
      <c r="BW70" s="2028">
        <f t="shared" si="129"/>
        <v>0</v>
      </c>
      <c r="BX70" s="3284" t="e">
        <f t="shared" si="109"/>
        <v>#DIV/0!</v>
      </c>
      <c r="BY70" s="3295"/>
      <c r="BZ70" s="3274"/>
      <c r="CA70" s="3274"/>
      <c r="CB70" s="2028">
        <f t="shared" si="130"/>
        <v>0</v>
      </c>
      <c r="CC70" s="3284" t="e">
        <f t="shared" si="110"/>
        <v>#DIV/0!</v>
      </c>
      <c r="CD70" s="1449"/>
      <c r="CE70" s="3274"/>
      <c r="CF70" s="3274"/>
      <c r="CG70" s="2028">
        <f t="shared" si="131"/>
        <v>0</v>
      </c>
      <c r="CH70" s="3284" t="e">
        <f t="shared" si="111"/>
        <v>#DIV/0!</v>
      </c>
      <c r="CI70" s="1449"/>
      <c r="CJ70" s="3274"/>
      <c r="CK70" s="3274"/>
      <c r="CL70" s="2028">
        <f t="shared" si="132"/>
        <v>0</v>
      </c>
      <c r="CM70" s="3284" t="e">
        <f t="shared" si="112"/>
        <v>#DIV/0!</v>
      </c>
      <c r="CN70" s="1449"/>
      <c r="CO70" s="3274"/>
      <c r="CP70" s="3274"/>
      <c r="CQ70" s="2028">
        <f t="shared" si="133"/>
        <v>0</v>
      </c>
      <c r="CR70" s="3284" t="e">
        <f t="shared" si="113"/>
        <v>#DIV/0!</v>
      </c>
      <c r="CS70" s="1449"/>
      <c r="CT70" s="3274"/>
      <c r="CU70" s="3274"/>
      <c r="CV70" s="2028">
        <f t="shared" si="134"/>
        <v>0</v>
      </c>
      <c r="CW70" s="3284" t="e">
        <f t="shared" si="114"/>
        <v>#DIV/0!</v>
      </c>
      <c r="CX70" s="1449"/>
      <c r="CY70" s="3274">
        <f t="shared" si="135"/>
        <v>0</v>
      </c>
      <c r="CZ70" s="3274">
        <f t="shared" si="135"/>
        <v>0</v>
      </c>
      <c r="DA70" s="2028">
        <f t="shared" si="136"/>
        <v>0</v>
      </c>
      <c r="DB70" s="3284">
        <f t="shared" si="71"/>
        <v>0</v>
      </c>
      <c r="DC70" s="3295"/>
    </row>
    <row r="71" spans="1:107" s="1411" customFormat="1" ht="13.8" x14ac:dyDescent="0.25">
      <c r="A71" s="1586"/>
      <c r="B71" s="3310" t="s">
        <v>78</v>
      </c>
      <c r="C71" s="3274"/>
      <c r="D71" s="3274"/>
      <c r="E71" s="2028">
        <f t="shared" si="115"/>
        <v>0</v>
      </c>
      <c r="F71" s="3284">
        <f t="shared" si="97"/>
        <v>0</v>
      </c>
      <c r="G71" s="3274"/>
      <c r="H71" s="3274"/>
      <c r="I71" s="3274"/>
      <c r="J71" s="2028">
        <f t="shared" si="116"/>
        <v>0</v>
      </c>
      <c r="K71" s="3284">
        <f t="shared" si="98"/>
        <v>0</v>
      </c>
      <c r="L71" s="3274"/>
      <c r="M71" s="3274"/>
      <c r="N71" s="3274"/>
      <c r="O71" s="2028">
        <f t="shared" si="117"/>
        <v>0</v>
      </c>
      <c r="P71" s="3284">
        <f t="shared" si="2"/>
        <v>0</v>
      </c>
      <c r="Q71" s="3274"/>
      <c r="R71" s="3274"/>
      <c r="S71" s="3274"/>
      <c r="T71" s="2028">
        <f t="shared" si="118"/>
        <v>0</v>
      </c>
      <c r="U71" s="3284">
        <f t="shared" si="99"/>
        <v>0</v>
      </c>
      <c r="V71" s="3274"/>
      <c r="W71" s="3274"/>
      <c r="X71" s="3274"/>
      <c r="Y71" s="2028">
        <f t="shared" si="119"/>
        <v>0</v>
      </c>
      <c r="Z71" s="3284">
        <f t="shared" si="100"/>
        <v>0</v>
      </c>
      <c r="AA71" s="3274"/>
      <c r="AB71" s="3274"/>
      <c r="AC71" s="3274"/>
      <c r="AD71" s="2028">
        <f t="shared" si="120"/>
        <v>0</v>
      </c>
      <c r="AE71" s="3284">
        <f t="shared" si="101"/>
        <v>0</v>
      </c>
      <c r="AF71" s="3274"/>
      <c r="AG71" s="3274">
        <v>0</v>
      </c>
      <c r="AH71" s="3274">
        <v>0</v>
      </c>
      <c r="AI71" s="2028">
        <v>0</v>
      </c>
      <c r="AJ71" s="3284">
        <v>0</v>
      </c>
      <c r="AK71" s="3276"/>
      <c r="AL71" s="3274">
        <f t="shared" si="121"/>
        <v>0</v>
      </c>
      <c r="AM71" s="3274">
        <f t="shared" si="121"/>
        <v>0</v>
      </c>
      <c r="AN71" s="2028">
        <f t="shared" si="122"/>
        <v>0</v>
      </c>
      <c r="AO71" s="3284">
        <f t="shared" si="102"/>
        <v>0</v>
      </c>
      <c r="AP71" s="3276"/>
      <c r="AQ71" s="3274"/>
      <c r="AR71" s="3274"/>
      <c r="AS71" s="2028">
        <f t="shared" si="123"/>
        <v>0</v>
      </c>
      <c r="AT71" s="3284">
        <f t="shared" si="103"/>
        <v>0</v>
      </c>
      <c r="AU71" s="3274"/>
      <c r="AV71" s="3274"/>
      <c r="AW71" s="3274"/>
      <c r="AX71" s="2028">
        <f t="shared" si="124"/>
        <v>0</v>
      </c>
      <c r="AY71" s="3284">
        <f t="shared" si="104"/>
        <v>0</v>
      </c>
      <c r="AZ71" s="3274"/>
      <c r="BA71" s="3274"/>
      <c r="BB71" s="3274"/>
      <c r="BC71" s="2028">
        <f t="shared" si="125"/>
        <v>0</v>
      </c>
      <c r="BD71" s="3284">
        <f t="shared" si="105"/>
        <v>0</v>
      </c>
      <c r="BE71" s="3274"/>
      <c r="BF71" s="3274"/>
      <c r="BG71" s="3274"/>
      <c r="BH71" s="2028">
        <f t="shared" si="126"/>
        <v>0</v>
      </c>
      <c r="BI71" s="3284">
        <f t="shared" si="106"/>
        <v>0</v>
      </c>
      <c r="BJ71" s="3274"/>
      <c r="BK71" s="3274"/>
      <c r="BL71" s="3274"/>
      <c r="BM71" s="2028">
        <f t="shared" si="127"/>
        <v>0</v>
      </c>
      <c r="BN71" s="3284">
        <f t="shared" si="107"/>
        <v>0</v>
      </c>
      <c r="BO71" s="3274"/>
      <c r="BP71" s="3274"/>
      <c r="BQ71" s="3274"/>
      <c r="BR71" s="2028">
        <f t="shared" si="128"/>
        <v>0</v>
      </c>
      <c r="BS71" s="3284">
        <f t="shared" si="108"/>
        <v>0</v>
      </c>
      <c r="BT71" s="3274"/>
      <c r="BU71" s="3274"/>
      <c r="BV71" s="3274"/>
      <c r="BW71" s="2028">
        <f t="shared" si="129"/>
        <v>0</v>
      </c>
      <c r="BX71" s="3284" t="e">
        <f t="shared" si="109"/>
        <v>#DIV/0!</v>
      </c>
      <c r="BY71" s="3274"/>
      <c r="BZ71" s="3274"/>
      <c r="CA71" s="3274"/>
      <c r="CB71" s="2028">
        <f t="shared" si="130"/>
        <v>0</v>
      </c>
      <c r="CC71" s="3284" t="e">
        <f t="shared" si="110"/>
        <v>#DIV/0!</v>
      </c>
      <c r="CD71" s="3274"/>
      <c r="CE71" s="3274"/>
      <c r="CF71" s="3274"/>
      <c r="CG71" s="2028">
        <f t="shared" si="131"/>
        <v>0</v>
      </c>
      <c r="CH71" s="3284" t="e">
        <f t="shared" si="111"/>
        <v>#DIV/0!</v>
      </c>
      <c r="CI71" s="3274"/>
      <c r="CJ71" s="3274"/>
      <c r="CK71" s="3274"/>
      <c r="CL71" s="2028">
        <f t="shared" si="132"/>
        <v>0</v>
      </c>
      <c r="CM71" s="3284" t="e">
        <f t="shared" si="112"/>
        <v>#DIV/0!</v>
      </c>
      <c r="CN71" s="3274"/>
      <c r="CO71" s="3274"/>
      <c r="CP71" s="3274"/>
      <c r="CQ71" s="2028">
        <f t="shared" si="133"/>
        <v>0</v>
      </c>
      <c r="CR71" s="3284" t="e">
        <f t="shared" si="113"/>
        <v>#DIV/0!</v>
      </c>
      <c r="CS71" s="3274"/>
      <c r="CT71" s="3274"/>
      <c r="CU71" s="3274"/>
      <c r="CV71" s="2028">
        <f t="shared" si="134"/>
        <v>0</v>
      </c>
      <c r="CW71" s="3284" t="e">
        <f t="shared" si="114"/>
        <v>#DIV/0!</v>
      </c>
      <c r="CX71" s="3274"/>
      <c r="CY71" s="3274">
        <f t="shared" si="135"/>
        <v>0</v>
      </c>
      <c r="CZ71" s="3274">
        <f t="shared" si="135"/>
        <v>0</v>
      </c>
      <c r="DA71" s="2028">
        <f t="shared" si="136"/>
        <v>0</v>
      </c>
      <c r="DB71" s="3284">
        <f t="shared" si="71"/>
        <v>0</v>
      </c>
      <c r="DC71" s="3295"/>
    </row>
    <row r="72" spans="1:107" s="1411" customFormat="1" ht="14.4" thickBot="1" x14ac:dyDescent="0.3">
      <c r="A72" s="1586"/>
      <c r="B72" s="3310"/>
      <c r="C72" s="3274"/>
      <c r="D72" s="3274"/>
      <c r="E72" s="2028"/>
      <c r="F72" s="3284"/>
      <c r="G72" s="3295"/>
      <c r="H72" s="3274"/>
      <c r="I72" s="3274"/>
      <c r="J72" s="2028"/>
      <c r="K72" s="3284"/>
      <c r="L72" s="3295"/>
      <c r="M72" s="3278"/>
      <c r="N72" s="3278"/>
      <c r="O72" s="2046"/>
      <c r="P72" s="3228"/>
      <c r="Q72" s="3229"/>
      <c r="R72" s="3274"/>
      <c r="S72" s="3274"/>
      <c r="T72" s="2028"/>
      <c r="U72" s="3284"/>
      <c r="V72" s="3295"/>
      <c r="W72" s="3274"/>
      <c r="X72" s="3274"/>
      <c r="Y72" s="2028"/>
      <c r="Z72" s="3284"/>
      <c r="AA72" s="3295"/>
      <c r="AB72" s="3274"/>
      <c r="AC72" s="3274"/>
      <c r="AD72" s="2028"/>
      <c r="AE72" s="3284"/>
      <c r="AF72" s="3295"/>
      <c r="AG72" s="3278"/>
      <c r="AH72" s="3278"/>
      <c r="AI72" s="2046"/>
      <c r="AJ72" s="3228"/>
      <c r="AK72" s="3229"/>
      <c r="AL72" s="3278"/>
      <c r="AM72" s="3278"/>
      <c r="AN72" s="2046"/>
      <c r="AO72" s="3228"/>
      <c r="AP72" s="3229"/>
      <c r="AQ72" s="3300"/>
      <c r="AR72" s="3301"/>
      <c r="AS72" s="3215"/>
      <c r="AT72" s="2883"/>
      <c r="AU72" s="2885"/>
      <c r="AV72" s="3278"/>
      <c r="AW72" s="3278"/>
      <c r="AX72" s="2046"/>
      <c r="AY72" s="3228"/>
      <c r="AZ72" s="3229"/>
      <c r="BA72" s="3278"/>
      <c r="BB72" s="3278"/>
      <c r="BC72" s="2046"/>
      <c r="BD72" s="3228"/>
      <c r="BE72" s="3229"/>
      <c r="BF72" s="3278"/>
      <c r="BG72" s="3278"/>
      <c r="BH72" s="2046"/>
      <c r="BI72" s="3228"/>
      <c r="BJ72" s="3229"/>
      <c r="BK72" s="3278"/>
      <c r="BL72" s="3278"/>
      <c r="BM72" s="2046"/>
      <c r="BN72" s="3228"/>
      <c r="BO72" s="3229"/>
      <c r="BP72" s="3278"/>
      <c r="BQ72" s="3278"/>
      <c r="BR72" s="2046"/>
      <c r="BS72" s="3228"/>
      <c r="BT72" s="3229"/>
      <c r="BU72" s="3278"/>
      <c r="BV72" s="3278"/>
      <c r="BW72" s="2046"/>
      <c r="BX72" s="3228"/>
      <c r="BY72" s="3229"/>
      <c r="BZ72" s="3278"/>
      <c r="CA72" s="3278"/>
      <c r="CB72" s="2046"/>
      <c r="CC72" s="3228"/>
      <c r="CD72" s="1325"/>
      <c r="CE72" s="3278"/>
      <c r="CF72" s="3278"/>
      <c r="CG72" s="2046"/>
      <c r="CH72" s="3228"/>
      <c r="CI72" s="1325"/>
      <c r="CJ72" s="3278"/>
      <c r="CK72" s="3278"/>
      <c r="CL72" s="2046"/>
      <c r="CM72" s="3228"/>
      <c r="CN72" s="1325"/>
      <c r="CO72" s="3278"/>
      <c r="CP72" s="3278"/>
      <c r="CQ72" s="2046"/>
      <c r="CR72" s="3228"/>
      <c r="CS72" s="1325"/>
      <c r="CT72" s="3278"/>
      <c r="CU72" s="3278"/>
      <c r="CV72" s="2046"/>
      <c r="CW72" s="3228"/>
      <c r="CX72" s="1325"/>
      <c r="CY72" s="3278"/>
      <c r="CZ72" s="3278"/>
      <c r="DA72" s="2046"/>
      <c r="DB72" s="3228">
        <f>DA72/$DA$89</f>
        <v>0</v>
      </c>
      <c r="DC72" s="3229"/>
    </row>
    <row r="73" spans="1:107" s="1411" customFormat="1" ht="14.4" thickBot="1" x14ac:dyDescent="0.3">
      <c r="A73" s="1586"/>
      <c r="B73" s="3324" t="s">
        <v>4</v>
      </c>
      <c r="C73" s="2865">
        <f>C74</f>
        <v>0</v>
      </c>
      <c r="D73" s="3325">
        <f>D74</f>
        <v>0</v>
      </c>
      <c r="E73" s="2022">
        <f>E74</f>
        <v>0</v>
      </c>
      <c r="F73" s="3325"/>
      <c r="G73" s="3325"/>
      <c r="H73" s="2865">
        <f>H74</f>
        <v>0</v>
      </c>
      <c r="I73" s="3325">
        <f>I74</f>
        <v>0</v>
      </c>
      <c r="J73" s="2022">
        <f>J74</f>
        <v>0</v>
      </c>
      <c r="K73" s="3325"/>
      <c r="L73" s="3325"/>
      <c r="M73" s="1599">
        <f>M74</f>
        <v>0</v>
      </c>
      <c r="N73" s="1704">
        <f>N74</f>
        <v>0</v>
      </c>
      <c r="O73" s="1703">
        <f>O74</f>
        <v>0</v>
      </c>
      <c r="P73" s="1704"/>
      <c r="Q73" s="1704"/>
      <c r="R73" s="2865">
        <f>R74</f>
        <v>0</v>
      </c>
      <c r="S73" s="3325">
        <f>S74</f>
        <v>0</v>
      </c>
      <c r="T73" s="2022">
        <f>T74</f>
        <v>0</v>
      </c>
      <c r="U73" s="3325"/>
      <c r="V73" s="3325"/>
      <c r="W73" s="2865">
        <f>W74</f>
        <v>0</v>
      </c>
      <c r="X73" s="3325">
        <f>X74</f>
        <v>0</v>
      </c>
      <c r="Y73" s="2022">
        <f>Y74</f>
        <v>0</v>
      </c>
      <c r="Z73" s="3325"/>
      <c r="AA73" s="3325"/>
      <c r="AB73" s="2865">
        <f>AB74</f>
        <v>0</v>
      </c>
      <c r="AC73" s="3325">
        <f>AC74</f>
        <v>0</v>
      </c>
      <c r="AD73" s="2022">
        <f>AD74</f>
        <v>0</v>
      </c>
      <c r="AE73" s="3325"/>
      <c r="AF73" s="3325"/>
      <c r="AG73" s="1599">
        <v>0</v>
      </c>
      <c r="AH73" s="1704">
        <v>0</v>
      </c>
      <c r="AI73" s="1703">
        <v>0</v>
      </c>
      <c r="AJ73" s="1704"/>
      <c r="AK73" s="1704"/>
      <c r="AL73" s="1599">
        <f>AL74</f>
        <v>0</v>
      </c>
      <c r="AM73" s="1704">
        <f>AM74</f>
        <v>0</v>
      </c>
      <c r="AN73" s="1703">
        <f>AN74</f>
        <v>0</v>
      </c>
      <c r="AO73" s="1704"/>
      <c r="AP73" s="1704"/>
      <c r="AQ73" s="1599">
        <f>AQ74</f>
        <v>0</v>
      </c>
      <c r="AR73" s="1704">
        <f>AR74</f>
        <v>0</v>
      </c>
      <c r="AS73" s="1703">
        <f>AS74</f>
        <v>0</v>
      </c>
      <c r="AT73" s="1704"/>
      <c r="AU73" s="1704"/>
      <c r="AV73" s="1599">
        <f>AV74</f>
        <v>0</v>
      </c>
      <c r="AW73" s="1704">
        <f>AW74</f>
        <v>0</v>
      </c>
      <c r="AX73" s="1703">
        <f>AX74</f>
        <v>0</v>
      </c>
      <c r="AY73" s="1704"/>
      <c r="AZ73" s="1704"/>
      <c r="BA73" s="1599">
        <f>BA74</f>
        <v>0</v>
      </c>
      <c r="BB73" s="1704">
        <f>BB74</f>
        <v>0</v>
      </c>
      <c r="BC73" s="1703">
        <f>BC74</f>
        <v>0</v>
      </c>
      <c r="BD73" s="1704"/>
      <c r="BE73" s="1704"/>
      <c r="BF73" s="1599">
        <f>BF74</f>
        <v>0</v>
      </c>
      <c r="BG73" s="1704">
        <f>BG74</f>
        <v>0</v>
      </c>
      <c r="BH73" s="1703">
        <f>BH74</f>
        <v>0</v>
      </c>
      <c r="BI73" s="1704"/>
      <c r="BJ73" s="1704"/>
      <c r="BK73" s="1599">
        <f>BK74</f>
        <v>0</v>
      </c>
      <c r="BL73" s="1704">
        <f>BL74</f>
        <v>0</v>
      </c>
      <c r="BM73" s="1703">
        <f>BM74</f>
        <v>0</v>
      </c>
      <c r="BN73" s="1704"/>
      <c r="BO73" s="1704"/>
      <c r="BP73" s="1599">
        <f>BP74</f>
        <v>0</v>
      </c>
      <c r="BQ73" s="1704">
        <f>BQ74</f>
        <v>0</v>
      </c>
      <c r="BR73" s="1703">
        <f>BR74</f>
        <v>0</v>
      </c>
      <c r="BS73" s="1704"/>
      <c r="BT73" s="1704"/>
      <c r="BU73" s="1599">
        <f>BU74</f>
        <v>0</v>
      </c>
      <c r="BV73" s="1704">
        <f>BV74</f>
        <v>0</v>
      </c>
      <c r="BW73" s="1703">
        <f>BW74</f>
        <v>0</v>
      </c>
      <c r="BX73" s="1704"/>
      <c r="BY73" s="1704"/>
      <c r="BZ73" s="1599">
        <f>BZ74</f>
        <v>0</v>
      </c>
      <c r="CA73" s="1704">
        <f>CA74</f>
        <v>0</v>
      </c>
      <c r="CB73" s="1703">
        <f>CB74</f>
        <v>0</v>
      </c>
      <c r="CC73" s="1704"/>
      <c r="CD73" s="1719"/>
      <c r="CE73" s="1599">
        <f>CE74</f>
        <v>0</v>
      </c>
      <c r="CF73" s="1704">
        <f>CF74</f>
        <v>0</v>
      </c>
      <c r="CG73" s="1703">
        <f>CG74</f>
        <v>0</v>
      </c>
      <c r="CH73" s="1704"/>
      <c r="CI73" s="1719"/>
      <c r="CJ73" s="1599">
        <f>CJ74</f>
        <v>0</v>
      </c>
      <c r="CK73" s="1704">
        <f>CK74</f>
        <v>0</v>
      </c>
      <c r="CL73" s="1703">
        <f>CL74</f>
        <v>0</v>
      </c>
      <c r="CM73" s="1704"/>
      <c r="CN73" s="1719"/>
      <c r="CO73" s="1599">
        <f>CO74</f>
        <v>0</v>
      </c>
      <c r="CP73" s="1704">
        <f>CP74</f>
        <v>0</v>
      </c>
      <c r="CQ73" s="1703">
        <f>CQ74</f>
        <v>0</v>
      </c>
      <c r="CR73" s="1704"/>
      <c r="CS73" s="1719"/>
      <c r="CT73" s="1599">
        <f>CT74</f>
        <v>0</v>
      </c>
      <c r="CU73" s="1704">
        <f>CU74</f>
        <v>0</v>
      </c>
      <c r="CV73" s="1703">
        <f>CV74</f>
        <v>0</v>
      </c>
      <c r="CW73" s="1704"/>
      <c r="CX73" s="1719"/>
      <c r="CY73" s="1599">
        <f>CY74</f>
        <v>0</v>
      </c>
      <c r="CZ73" s="1704">
        <f>CZ74</f>
        <v>0</v>
      </c>
      <c r="DA73" s="1703">
        <f>DA74</f>
        <v>0</v>
      </c>
      <c r="DB73" s="1704"/>
      <c r="DC73" s="1704"/>
    </row>
    <row r="74" spans="1:107" s="1411" customFormat="1" ht="14.4" thickBot="1" x14ac:dyDescent="0.3">
      <c r="A74" s="1428"/>
      <c r="B74" s="3289" t="s">
        <v>64</v>
      </c>
      <c r="C74" s="3274"/>
      <c r="D74" s="3274"/>
      <c r="E74" s="2028">
        <f>C74+D74*1</f>
        <v>0</v>
      </c>
      <c r="F74" s="3328"/>
      <c r="G74" s="3328"/>
      <c r="H74" s="3274"/>
      <c r="I74" s="3274"/>
      <c r="J74" s="3326">
        <f>H74+I74*1</f>
        <v>0</v>
      </c>
      <c r="K74" s="3328"/>
      <c r="L74" s="3328"/>
      <c r="M74" s="3274"/>
      <c r="N74" s="3274"/>
      <c r="O74" s="3329">
        <f>M74+N74*1</f>
        <v>0</v>
      </c>
      <c r="P74" s="3327"/>
      <c r="Q74" s="3327"/>
      <c r="R74" s="3274"/>
      <c r="S74" s="3274"/>
      <c r="T74" s="3326">
        <f>R74+S74*1</f>
        <v>0</v>
      </c>
      <c r="U74" s="3328"/>
      <c r="V74" s="3328"/>
      <c r="W74" s="3274"/>
      <c r="X74" s="3274"/>
      <c r="Y74" s="3326">
        <f>W74+X74*1</f>
        <v>0</v>
      </c>
      <c r="Z74" s="3328"/>
      <c r="AA74" s="3328"/>
      <c r="AB74" s="3274"/>
      <c r="AC74" s="3274"/>
      <c r="AD74" s="3326">
        <f>AB74+AC74*1</f>
        <v>0</v>
      </c>
      <c r="AE74" s="3328"/>
      <c r="AF74" s="3328"/>
      <c r="AG74" s="3274">
        <v>0</v>
      </c>
      <c r="AH74" s="3274">
        <v>0</v>
      </c>
      <c r="AI74" s="2028">
        <v>0</v>
      </c>
      <c r="AJ74" s="3327"/>
      <c r="AK74" s="3276"/>
      <c r="AL74" s="3274">
        <f>AQ74+AV74+BA74+BF74+BK74+BP74+BU74+BZ74+CE74+CJ74+CO74+CT74</f>
        <v>0</v>
      </c>
      <c r="AM74" s="3274">
        <f>AR74+AW74+BB74+BG74+BL74+BQ74+BV74+CA74+CF74+CK74+CP74+CU74</f>
        <v>0</v>
      </c>
      <c r="AN74" s="2028">
        <f>AL74+AM74*1</f>
        <v>0</v>
      </c>
      <c r="AO74" s="3327"/>
      <c r="AP74" s="3276"/>
      <c r="AQ74" s="3274"/>
      <c r="AR74" s="3274"/>
      <c r="AS74" s="3329">
        <f>AQ74+AR74*1</f>
        <v>0</v>
      </c>
      <c r="AT74" s="3327"/>
      <c r="AU74" s="3327"/>
      <c r="AV74" s="3274"/>
      <c r="AW74" s="3274"/>
      <c r="AX74" s="3329">
        <f>AV74+AW74*1</f>
        <v>0</v>
      </c>
      <c r="AY74" s="3327"/>
      <c r="AZ74" s="3327"/>
      <c r="BA74" s="3274"/>
      <c r="BB74" s="3274"/>
      <c r="BC74" s="3329">
        <f>BA74+BB74*1</f>
        <v>0</v>
      </c>
      <c r="BD74" s="3327"/>
      <c r="BE74" s="3327"/>
      <c r="BF74" s="3274"/>
      <c r="BG74" s="3274"/>
      <c r="BH74" s="3329">
        <f>BF74+BG74*1</f>
        <v>0</v>
      </c>
      <c r="BI74" s="3327"/>
      <c r="BJ74" s="3327"/>
      <c r="BK74" s="3274"/>
      <c r="BL74" s="3274"/>
      <c r="BM74" s="3329">
        <f>BK74+BL74*1</f>
        <v>0</v>
      </c>
      <c r="BN74" s="3327"/>
      <c r="BO74" s="3327"/>
      <c r="BP74" s="3274"/>
      <c r="BQ74" s="3274"/>
      <c r="BR74" s="3329">
        <f>BP74+BQ74*1</f>
        <v>0</v>
      </c>
      <c r="BS74" s="3327"/>
      <c r="BT74" s="3327"/>
      <c r="BU74" s="3274"/>
      <c r="BV74" s="3274"/>
      <c r="BW74" s="3329">
        <f>BU74+BV74*1</f>
        <v>0</v>
      </c>
      <c r="BX74" s="3327"/>
      <c r="BY74" s="3327"/>
      <c r="BZ74" s="3274"/>
      <c r="CA74" s="3274"/>
      <c r="CB74" s="3329">
        <f>BZ74+CA74*1</f>
        <v>0</v>
      </c>
      <c r="CC74" s="3327"/>
      <c r="CD74" s="3330"/>
      <c r="CE74" s="3274"/>
      <c r="CF74" s="3274"/>
      <c r="CG74" s="3329">
        <f>CE74+CF74*1</f>
        <v>0</v>
      </c>
      <c r="CH74" s="3327"/>
      <c r="CI74" s="3330"/>
      <c r="CJ74" s="3274"/>
      <c r="CK74" s="3274"/>
      <c r="CL74" s="3329">
        <f>CJ74+CK74*1</f>
        <v>0</v>
      </c>
      <c r="CM74" s="3327"/>
      <c r="CN74" s="3330"/>
      <c r="CO74" s="3274"/>
      <c r="CP74" s="3274"/>
      <c r="CQ74" s="3329">
        <f>CO74+CP74*1</f>
        <v>0</v>
      </c>
      <c r="CR74" s="3327"/>
      <c r="CS74" s="3330"/>
      <c r="CT74" s="3274"/>
      <c r="CU74" s="3274"/>
      <c r="CV74" s="3329">
        <f>CT74+CU74*1</f>
        <v>0</v>
      </c>
      <c r="CW74" s="3327"/>
      <c r="CX74" s="3330"/>
      <c r="CY74" s="3274">
        <f>C74+H74+M74+R74+W74+AB74+AQ74+AV74+BA74+BF74+BK74+BP74+BU74+BZ74+CE74+CJ74+CO74+CT74+AG74</f>
        <v>0</v>
      </c>
      <c r="CZ74" s="3274">
        <f>D74+I74+N74+S74+X74+AC74+AR74+AW74+BB74+BG74+BL74+BQ74+BV74+CA74+CF74+CK74+CP74+CU74+AH74</f>
        <v>0</v>
      </c>
      <c r="DA74" s="2028">
        <f>CY74+CZ74*1</f>
        <v>0</v>
      </c>
      <c r="DB74" s="3327"/>
      <c r="DC74" s="3327"/>
    </row>
    <row r="75" spans="1:107" s="1411" customFormat="1" ht="14.4" thickBot="1" x14ac:dyDescent="0.3">
      <c r="A75" s="1414"/>
      <c r="B75" s="1431" t="s">
        <v>48</v>
      </c>
      <c r="C75" s="1465">
        <f>C38-C41-C50-C54</f>
        <v>67339.91</v>
      </c>
      <c r="D75" s="1465">
        <f>D38-D41-D50-D54</f>
        <v>-43163</v>
      </c>
      <c r="E75" s="1523">
        <f>E38-E41-E50-E54</f>
        <v>24176.910000000033</v>
      </c>
      <c r="F75" s="1969"/>
      <c r="G75" s="1969"/>
      <c r="H75" s="1465">
        <f>H38-H41-H50-H54</f>
        <v>144631.68000000002</v>
      </c>
      <c r="I75" s="1465">
        <f>I38-I41-I50-I54</f>
        <v>103549.68000000001</v>
      </c>
      <c r="J75" s="1523">
        <f>J38-J41-J50-J54</f>
        <v>248181.36</v>
      </c>
      <c r="K75" s="1969"/>
      <c r="L75" s="1969"/>
      <c r="M75" s="1465">
        <f>M38-M41-M50-M54</f>
        <v>327594.05999999994</v>
      </c>
      <c r="N75" s="1465">
        <f>N38-N41-N50-N54</f>
        <v>-21107</v>
      </c>
      <c r="O75" s="1523">
        <f>O38-O41-O50-O54</f>
        <v>306487.06</v>
      </c>
      <c r="P75" s="1969"/>
      <c r="Q75" s="1969"/>
      <c r="R75" s="1465">
        <f>R38-R41-R50-R54</f>
        <v>-30804.360000000015</v>
      </c>
      <c r="S75" s="1465">
        <f>S38-S41-S50-S54</f>
        <v>139370.68</v>
      </c>
      <c r="T75" s="1523">
        <f>T38-T41-T50-T54</f>
        <v>108566.32000000004</v>
      </c>
      <c r="U75" s="1969"/>
      <c r="V75" s="1969"/>
      <c r="W75" s="1465">
        <f>W38-W41-W50-W54</f>
        <v>239721.41999999998</v>
      </c>
      <c r="X75" s="1465">
        <f>X38-X41-X50-X54</f>
        <v>-38335.57</v>
      </c>
      <c r="Y75" s="1523">
        <f>Y38-Y41-Y50-Y54</f>
        <v>201385.84999999998</v>
      </c>
      <c r="Z75" s="1969"/>
      <c r="AA75" s="1969"/>
      <c r="AB75" s="1465">
        <f>AB38-AB41-AB50-AB54</f>
        <v>136106.9124</v>
      </c>
      <c r="AC75" s="1465">
        <f>AC38-AC41-AC50-AC54</f>
        <v>-62551</v>
      </c>
      <c r="AD75" s="1523">
        <f>AD38-AD41-AD50-AD54</f>
        <v>73555.912400000001</v>
      </c>
      <c r="AE75" s="1969"/>
      <c r="AF75" s="1969"/>
      <c r="AG75" s="1465">
        <v>327150.18800000008</v>
      </c>
      <c r="AH75" s="1465">
        <v>-189248.11000000002</v>
      </c>
      <c r="AI75" s="1523">
        <v>137902.07799999998</v>
      </c>
      <c r="AJ75" s="1969"/>
      <c r="AK75" s="1969"/>
      <c r="AL75" s="1465">
        <f>AL38-AL41-AL50-AL54</f>
        <v>0</v>
      </c>
      <c r="AM75" s="1465">
        <f>AM38-AM41-AM50-AM54</f>
        <v>0</v>
      </c>
      <c r="AN75" s="1523">
        <f>AN38-AN41-AN50-AN54</f>
        <v>0</v>
      </c>
      <c r="AO75" s="1969"/>
      <c r="AP75" s="1969"/>
      <c r="AQ75" s="1465">
        <f>AQ38-AQ41-AQ50-AQ54</f>
        <v>0</v>
      </c>
      <c r="AR75" s="1465">
        <f>AR38-AR41-AR50-AR54</f>
        <v>0</v>
      </c>
      <c r="AS75" s="1523">
        <f>AS38-AS41-AS50-AS54</f>
        <v>0</v>
      </c>
      <c r="AT75" s="1969"/>
      <c r="AU75" s="1969"/>
      <c r="AV75" s="1465">
        <f>AV38-AV41-AV50-AV54</f>
        <v>0</v>
      </c>
      <c r="AW75" s="1465">
        <f>AW38-AW41-AW50-AW54</f>
        <v>0</v>
      </c>
      <c r="AX75" s="1523">
        <f>AX38-AX41-AX50-AX54</f>
        <v>0</v>
      </c>
      <c r="AY75" s="1969"/>
      <c r="AZ75" s="1969"/>
      <c r="BA75" s="1465">
        <f>BA38-BA41-BA50-BA54</f>
        <v>0</v>
      </c>
      <c r="BB75" s="1465">
        <f>BB38-BB41-BB50-BB54</f>
        <v>0</v>
      </c>
      <c r="BC75" s="1523">
        <f>BC38-BC41-BC50-BC54</f>
        <v>0</v>
      </c>
      <c r="BD75" s="1969"/>
      <c r="BE75" s="1969"/>
      <c r="BF75" s="1465">
        <f>BF38-BF41-BF50-BF54</f>
        <v>0</v>
      </c>
      <c r="BG75" s="1465">
        <f>BG38-BG41-BG50-BG54</f>
        <v>0</v>
      </c>
      <c r="BH75" s="1523">
        <f>BH38-BH41-BH50-BH54</f>
        <v>0</v>
      </c>
      <c r="BI75" s="1969"/>
      <c r="BJ75" s="1969"/>
      <c r="BK75" s="1465">
        <f>BK38-BK41-BK50-BK54</f>
        <v>0</v>
      </c>
      <c r="BL75" s="1465">
        <f>BL38-BL41-BL50-BL54</f>
        <v>0</v>
      </c>
      <c r="BM75" s="1523">
        <f>BM38-BM41-BM50-BM54</f>
        <v>0</v>
      </c>
      <c r="BN75" s="1969"/>
      <c r="BO75" s="1969"/>
      <c r="BP75" s="1465">
        <f>BP38-BP41-BP50-BP54</f>
        <v>0</v>
      </c>
      <c r="BQ75" s="1465">
        <f>BQ38-BQ41-BQ50-BQ54</f>
        <v>0</v>
      </c>
      <c r="BR75" s="1523">
        <f>BR38-BR41-BR50-BR54</f>
        <v>0</v>
      </c>
      <c r="BS75" s="1969"/>
      <c r="BT75" s="1969"/>
      <c r="BU75" s="1465">
        <f>BU38-BU41-BU50-BU54</f>
        <v>0</v>
      </c>
      <c r="BV75" s="1465">
        <f>BV38-BV41-BV50-BV54</f>
        <v>0</v>
      </c>
      <c r="BW75" s="1523">
        <f>BW38-BW41-BW50-BW54</f>
        <v>0</v>
      </c>
      <c r="BX75" s="1969"/>
      <c r="BY75" s="1969"/>
      <c r="BZ75" s="1465">
        <f>BZ38-BZ41-BZ50-BZ54</f>
        <v>0</v>
      </c>
      <c r="CA75" s="1465">
        <f>CA38-CA41-CA50-CA54</f>
        <v>0</v>
      </c>
      <c r="CB75" s="1523">
        <f>CB38-CB41-CB50-CB54</f>
        <v>0</v>
      </c>
      <c r="CC75" s="1969"/>
      <c r="CD75" s="1465"/>
      <c r="CE75" s="1465">
        <f>CE38-CE41-CE50-CE54</f>
        <v>0</v>
      </c>
      <c r="CF75" s="1465">
        <f>CF38-CF41-CF50-CF54</f>
        <v>0</v>
      </c>
      <c r="CG75" s="1523">
        <f>CG38-CG41-CG50-CG54</f>
        <v>0</v>
      </c>
      <c r="CH75" s="1969"/>
      <c r="CI75" s="1465"/>
      <c r="CJ75" s="1465">
        <f>CJ38-CJ41-CJ50-CJ54</f>
        <v>0</v>
      </c>
      <c r="CK75" s="1465">
        <f>CK38-CK41-CK50-CK54</f>
        <v>0</v>
      </c>
      <c r="CL75" s="1523">
        <f>CL38-CL41-CL50-CL54</f>
        <v>0</v>
      </c>
      <c r="CM75" s="1969"/>
      <c r="CN75" s="1465"/>
      <c r="CO75" s="1465">
        <f>CO38-CO41-CO50-CO54</f>
        <v>0</v>
      </c>
      <c r="CP75" s="1465">
        <f>CP38-CP41-CP50-CP54</f>
        <v>0</v>
      </c>
      <c r="CQ75" s="1523">
        <f>CQ38-CQ41-CQ50-CQ54</f>
        <v>0</v>
      </c>
      <c r="CR75" s="1969"/>
      <c r="CS75" s="1465"/>
      <c r="CT75" s="1465">
        <f>CT38-CT41-CT50-CT54</f>
        <v>0</v>
      </c>
      <c r="CU75" s="1465">
        <f>CU38-CU41-CU50-CU54</f>
        <v>0</v>
      </c>
      <c r="CV75" s="1523">
        <f>CV38-CV41-CV50-CV54</f>
        <v>0</v>
      </c>
      <c r="CW75" s="1969"/>
      <c r="CX75" s="1465"/>
      <c r="CY75" s="1465">
        <f>CY38-CY41-CY50-CY54</f>
        <v>1211739.8103999998</v>
      </c>
      <c r="CZ75" s="1465">
        <f>CZ38-CZ41-CZ50-CZ54</f>
        <v>-111484.32</v>
      </c>
      <c r="DA75" s="1523">
        <f>DA38-DA41-DA50-DA54</f>
        <v>1100255.4904</v>
      </c>
      <c r="DB75" s="1969"/>
      <c r="DC75" s="1969"/>
    </row>
    <row r="76" spans="1:107" s="1411" customFormat="1" ht="13.8" x14ac:dyDescent="0.25">
      <c r="A76" s="1581"/>
      <c r="B76" s="1444" t="s">
        <v>49</v>
      </c>
      <c r="C76" s="2019">
        <f>C75/C5</f>
        <v>0.21358763638670389</v>
      </c>
      <c r="D76" s="2019" t="e">
        <f>D75/D5</f>
        <v>#DIV/0!</v>
      </c>
      <c r="E76" s="2020">
        <f>E75/E5</f>
        <v>7.6683931743212488E-2</v>
      </c>
      <c r="F76" s="2020"/>
      <c r="G76" s="2020"/>
      <c r="H76" s="2019">
        <f>H75/H5</f>
        <v>0.46443239910601902</v>
      </c>
      <c r="I76" s="2019">
        <f>I75/I5</f>
        <v>0.72685008661861694</v>
      </c>
      <c r="J76" s="2020">
        <f>J75/J5</f>
        <v>0.54679998836695898</v>
      </c>
      <c r="K76" s="2020"/>
      <c r="L76" s="2020"/>
      <c r="M76" s="2019">
        <f>M75/M5</f>
        <v>0.6716662835680075</v>
      </c>
      <c r="N76" s="2019" t="e">
        <f>N75/N5</f>
        <v>#DIV/0!</v>
      </c>
      <c r="O76" s="2020">
        <f>O75/O5</f>
        <v>0.62839058971913286</v>
      </c>
      <c r="P76" s="2020"/>
      <c r="Q76" s="2020"/>
      <c r="R76" s="2019">
        <f>R75/R5</f>
        <v>-0.25117321241761598</v>
      </c>
      <c r="S76" s="2019">
        <f>S75/S5</f>
        <v>0.83779578489245821</v>
      </c>
      <c r="T76" s="2020">
        <f>T75/T5</f>
        <v>0.37566733645702249</v>
      </c>
      <c r="U76" s="2020"/>
      <c r="V76" s="2020"/>
      <c r="W76" s="2019">
        <f>W75/W5</f>
        <v>0.71181995088376415</v>
      </c>
      <c r="X76" s="2019" t="e">
        <f>X75/X5</f>
        <v>#DIV/0!</v>
      </c>
      <c r="Y76" s="2020">
        <f>Y75/Y5</f>
        <v>0.59798772198030981</v>
      </c>
      <c r="Z76" s="2020"/>
      <c r="AA76" s="2020"/>
      <c r="AB76" s="2019">
        <f>AB75/AB5</f>
        <v>0.48973414075993094</v>
      </c>
      <c r="AC76" s="2019" t="e">
        <f>AC75/AC5</f>
        <v>#DIV/0!</v>
      </c>
      <c r="AD76" s="2020">
        <f>AD75/AD5</f>
        <v>0.26466577576280942</v>
      </c>
      <c r="AE76" s="2020"/>
      <c r="AF76" s="2020"/>
      <c r="AG76" s="2019">
        <v>0.23374700992983027</v>
      </c>
      <c r="AH76" s="2019">
        <v>-5.5230733985116016</v>
      </c>
      <c r="AI76" s="2020">
        <v>9.6175688226411024E-2</v>
      </c>
      <c r="AJ76" s="2020"/>
      <c r="AK76" s="2020"/>
      <c r="AL76" s="2019" t="e">
        <f>AL75/AL5</f>
        <v>#DIV/0!</v>
      </c>
      <c r="AM76" s="2019" t="e">
        <f>AM75/AM5</f>
        <v>#DIV/0!</v>
      </c>
      <c r="AN76" s="2020" t="e">
        <f>AN75/AN5</f>
        <v>#DIV/0!</v>
      </c>
      <c r="AO76" s="2020"/>
      <c r="AP76" s="2020"/>
      <c r="AQ76" s="2019" t="e">
        <f>AQ75/AQ5</f>
        <v>#DIV/0!</v>
      </c>
      <c r="AR76" s="2019" t="e">
        <f>AR75/AR5</f>
        <v>#DIV/0!</v>
      </c>
      <c r="AS76" s="2020" t="e">
        <f>AS75/AS5</f>
        <v>#DIV/0!</v>
      </c>
      <c r="AT76" s="2020"/>
      <c r="AU76" s="2020"/>
      <c r="AV76" s="2019" t="e">
        <f>AV75/AV5</f>
        <v>#DIV/0!</v>
      </c>
      <c r="AW76" s="2019" t="e">
        <f>AW75/AW5</f>
        <v>#DIV/0!</v>
      </c>
      <c r="AX76" s="2020" t="e">
        <f>AX75/AX5</f>
        <v>#DIV/0!</v>
      </c>
      <c r="AY76" s="2020"/>
      <c r="AZ76" s="2020"/>
      <c r="BA76" s="2019" t="e">
        <f>BA75/BA5</f>
        <v>#DIV/0!</v>
      </c>
      <c r="BB76" s="2019" t="e">
        <f>BB75/BB5</f>
        <v>#DIV/0!</v>
      </c>
      <c r="BC76" s="2020" t="e">
        <f>BC75/BC5</f>
        <v>#DIV/0!</v>
      </c>
      <c r="BD76" s="2020"/>
      <c r="BE76" s="2020"/>
      <c r="BF76" s="2019" t="e">
        <f>BF75/BF5</f>
        <v>#DIV/0!</v>
      </c>
      <c r="BG76" s="2019" t="e">
        <f>BG75/BG5</f>
        <v>#DIV/0!</v>
      </c>
      <c r="BH76" s="2020" t="e">
        <f>BH75/BH5</f>
        <v>#DIV/0!</v>
      </c>
      <c r="BI76" s="2020"/>
      <c r="BJ76" s="2020"/>
      <c r="BK76" s="2019" t="e">
        <f>BK75/BK5</f>
        <v>#DIV/0!</v>
      </c>
      <c r="BL76" s="2019" t="e">
        <f>BL75/BL5</f>
        <v>#DIV/0!</v>
      </c>
      <c r="BM76" s="2020" t="e">
        <f>BM75/BM5</f>
        <v>#DIV/0!</v>
      </c>
      <c r="BN76" s="2020"/>
      <c r="BO76" s="2020"/>
      <c r="BP76" s="2019" t="e">
        <f>BP75/BP5</f>
        <v>#DIV/0!</v>
      </c>
      <c r="BQ76" s="2019" t="e">
        <f>BQ75/BQ5</f>
        <v>#DIV/0!</v>
      </c>
      <c r="BR76" s="2020" t="e">
        <f>BR75/BR5</f>
        <v>#DIV/0!</v>
      </c>
      <c r="BS76" s="2020"/>
      <c r="BT76" s="2020"/>
      <c r="BU76" s="2019" t="e">
        <f>BU75/BU5</f>
        <v>#DIV/0!</v>
      </c>
      <c r="BV76" s="2019" t="e">
        <f>BV75/BV5</f>
        <v>#DIV/0!</v>
      </c>
      <c r="BW76" s="2020" t="e">
        <f>BW75/BW5</f>
        <v>#DIV/0!</v>
      </c>
      <c r="BX76" s="2020"/>
      <c r="BY76" s="2020"/>
      <c r="BZ76" s="2019" t="e">
        <f>BZ75/BZ5</f>
        <v>#DIV/0!</v>
      </c>
      <c r="CA76" s="2019" t="e">
        <f>CA75/CA5</f>
        <v>#DIV/0!</v>
      </c>
      <c r="CB76" s="2020" t="e">
        <f>CB75/CB5</f>
        <v>#DIV/0!</v>
      </c>
      <c r="CC76" s="2020"/>
      <c r="CD76" s="2019"/>
      <c r="CE76" s="2019" t="e">
        <f>CE75/CE5</f>
        <v>#DIV/0!</v>
      </c>
      <c r="CF76" s="2019" t="e">
        <f>CF75/CF5</f>
        <v>#DIV/0!</v>
      </c>
      <c r="CG76" s="2020" t="e">
        <f>CG75/CG5</f>
        <v>#DIV/0!</v>
      </c>
      <c r="CH76" s="2020"/>
      <c r="CI76" s="2019"/>
      <c r="CJ76" s="2019" t="e">
        <f>CJ75/CJ5</f>
        <v>#DIV/0!</v>
      </c>
      <c r="CK76" s="2019" t="e">
        <f>CK75/CK5</f>
        <v>#DIV/0!</v>
      </c>
      <c r="CL76" s="2020" t="e">
        <f>CL75/CL5</f>
        <v>#DIV/0!</v>
      </c>
      <c r="CM76" s="2020"/>
      <c r="CN76" s="2019"/>
      <c r="CO76" s="2019" t="e">
        <f>CO75/CO5</f>
        <v>#DIV/0!</v>
      </c>
      <c r="CP76" s="2019" t="e">
        <f>CP75/CP5</f>
        <v>#DIV/0!</v>
      </c>
      <c r="CQ76" s="2020" t="e">
        <f>CQ75/CQ5</f>
        <v>#DIV/0!</v>
      </c>
      <c r="CR76" s="2020"/>
      <c r="CS76" s="2019"/>
      <c r="CT76" s="2019" t="e">
        <f>CT75/CT5</f>
        <v>#DIV/0!</v>
      </c>
      <c r="CU76" s="2019" t="e">
        <f>CU75/CU5</f>
        <v>#DIV/0!</v>
      </c>
      <c r="CV76" s="2020" t="e">
        <f>CV75/CV5</f>
        <v>#DIV/0!</v>
      </c>
      <c r="CW76" s="2020"/>
      <c r="CX76" s="2019"/>
      <c r="CY76" s="2019">
        <f>CY75/CY5</f>
        <v>0.37268766860356595</v>
      </c>
      <c r="CZ76" s="2019">
        <f>CZ75/CZ5</f>
        <v>-0.32494891900667655</v>
      </c>
      <c r="DA76" s="2020">
        <f>DA75/DA5</f>
        <v>0.30609950666770847</v>
      </c>
      <c r="DB76" s="2020"/>
      <c r="DC76" s="2020"/>
    </row>
    <row r="77" spans="1:107" s="1411" customFormat="1" ht="14.4" thickBot="1" x14ac:dyDescent="0.3">
      <c r="A77" s="1581"/>
      <c r="B77" s="3331" t="s">
        <v>9</v>
      </c>
      <c r="C77" s="2865">
        <f>C78-C79</f>
        <v>-6449.64367816092</v>
      </c>
      <c r="D77" s="2865">
        <f>D78-D79</f>
        <v>0</v>
      </c>
      <c r="E77" s="2866">
        <f>E78-E79</f>
        <v>-6449.64367816092</v>
      </c>
      <c r="F77" s="2868"/>
      <c r="G77" s="2868"/>
      <c r="H77" s="2865">
        <f>H78-H79</f>
        <v>-6334.7907989153491</v>
      </c>
      <c r="I77" s="2865">
        <f>I78-I79</f>
        <v>0</v>
      </c>
      <c r="J77" s="2866">
        <f>J78-J79</f>
        <v>-6334.7907989153491</v>
      </c>
      <c r="K77" s="2868"/>
      <c r="L77" s="2868"/>
      <c r="M77" s="2865">
        <f>M78-M79</f>
        <v>-3436.0238244314378</v>
      </c>
      <c r="N77" s="2865">
        <f>N78-N79</f>
        <v>0</v>
      </c>
      <c r="O77" s="2866">
        <f>O78-O79</f>
        <v>-3436.0238244314378</v>
      </c>
      <c r="P77" s="2868"/>
      <c r="Q77" s="2868"/>
      <c r="R77" s="2865">
        <f>R78-R79</f>
        <v>-1157.601408165714</v>
      </c>
      <c r="S77" s="2865">
        <f>S78-S79</f>
        <v>0</v>
      </c>
      <c r="T77" s="2866">
        <f>T78-T79</f>
        <v>-1157.601408165714</v>
      </c>
      <c r="U77" s="2868"/>
      <c r="V77" s="2868"/>
      <c r="W77" s="2865">
        <f>W78-W79</f>
        <v>-4738.1041573033708</v>
      </c>
      <c r="X77" s="2865">
        <f>X78-X79</f>
        <v>0</v>
      </c>
      <c r="Y77" s="2866">
        <f>Y78-Y79</f>
        <v>-4738.1041573033708</v>
      </c>
      <c r="Z77" s="2868"/>
      <c r="AA77" s="2868"/>
      <c r="AB77" s="2865">
        <f>AB78-AB79</f>
        <v>-8247.6801163074269</v>
      </c>
      <c r="AC77" s="2865">
        <f>AC78-AC79</f>
        <v>0</v>
      </c>
      <c r="AD77" s="2866">
        <f>AD78-AD79</f>
        <v>-8247.6801163074269</v>
      </c>
      <c r="AE77" s="2868"/>
      <c r="AF77" s="2868"/>
      <c r="AG77" s="2865">
        <v>-30059.271367984002</v>
      </c>
      <c r="AH77" s="2865">
        <v>0</v>
      </c>
      <c r="AI77" s="2866">
        <v>-30059.271367984002</v>
      </c>
      <c r="AJ77" s="2868"/>
      <c r="AK77" s="2868"/>
      <c r="AL77" s="2865">
        <f>AL78-AL79</f>
        <v>0</v>
      </c>
      <c r="AM77" s="2865">
        <f>AM78-AM79</f>
        <v>0</v>
      </c>
      <c r="AN77" s="2866">
        <f>AN78-AN79</f>
        <v>0</v>
      </c>
      <c r="AO77" s="2868"/>
      <c r="AP77" s="2868"/>
      <c r="AQ77" s="2865">
        <f>AQ78-AQ79</f>
        <v>0</v>
      </c>
      <c r="AR77" s="2865">
        <f>AR78-AR79</f>
        <v>0</v>
      </c>
      <c r="AS77" s="2866">
        <f>AS78-AS79</f>
        <v>0</v>
      </c>
      <c r="AT77" s="2868"/>
      <c r="AU77" s="2868"/>
      <c r="AV77" s="2865">
        <f>AV78-AV79</f>
        <v>0</v>
      </c>
      <c r="AW77" s="2865">
        <f>AW78-AW79</f>
        <v>0</v>
      </c>
      <c r="AX77" s="2866">
        <f>AX78-AX79</f>
        <v>0</v>
      </c>
      <c r="AY77" s="2868"/>
      <c r="AZ77" s="2868"/>
      <c r="BA77" s="2865">
        <f>BA78-BA79</f>
        <v>0</v>
      </c>
      <c r="BB77" s="2865">
        <f>BB78-BB79</f>
        <v>0</v>
      </c>
      <c r="BC77" s="2866">
        <f>BC78-BC79</f>
        <v>0</v>
      </c>
      <c r="BD77" s="2868"/>
      <c r="BE77" s="2868"/>
      <c r="BF77" s="2865">
        <f>BF78-BF79</f>
        <v>0</v>
      </c>
      <c r="BG77" s="2865">
        <f>BG78-BG79</f>
        <v>0</v>
      </c>
      <c r="BH77" s="2866">
        <f>BH78-BH79</f>
        <v>0</v>
      </c>
      <c r="BI77" s="2868"/>
      <c r="BJ77" s="2868"/>
      <c r="BK77" s="2865">
        <f>BK78-BK79</f>
        <v>0</v>
      </c>
      <c r="BL77" s="2865">
        <f>BL78-BL79</f>
        <v>0</v>
      </c>
      <c r="BM77" s="2866">
        <f>BM78-BM79</f>
        <v>0</v>
      </c>
      <c r="BN77" s="2868"/>
      <c r="BO77" s="2868"/>
      <c r="BP77" s="2865">
        <f>BP78-BP79</f>
        <v>0</v>
      </c>
      <c r="BQ77" s="2865">
        <f>BQ78-BQ79</f>
        <v>0</v>
      </c>
      <c r="BR77" s="2866">
        <f>BR78-BR79</f>
        <v>0</v>
      </c>
      <c r="BS77" s="2868"/>
      <c r="BT77" s="2868"/>
      <c r="BU77" s="2865">
        <f>BU78-BU79</f>
        <v>0</v>
      </c>
      <c r="BV77" s="2865">
        <f>BV78-BV79</f>
        <v>0</v>
      </c>
      <c r="BW77" s="2866">
        <f>BW78-BW79</f>
        <v>0</v>
      </c>
      <c r="BX77" s="2868"/>
      <c r="BY77" s="2868"/>
      <c r="BZ77" s="2865">
        <f>BZ78-BZ79</f>
        <v>0</v>
      </c>
      <c r="CA77" s="2865">
        <f>CA78-CA79</f>
        <v>0</v>
      </c>
      <c r="CB77" s="2866">
        <f>CB78-CB79</f>
        <v>0</v>
      </c>
      <c r="CC77" s="2868"/>
      <c r="CD77" s="3138"/>
      <c r="CE77" s="2865">
        <f>CE78-CE79</f>
        <v>0</v>
      </c>
      <c r="CF77" s="2865">
        <f>CF78-CF79</f>
        <v>0</v>
      </c>
      <c r="CG77" s="2866">
        <f>CG78-CG79</f>
        <v>0</v>
      </c>
      <c r="CH77" s="2868"/>
      <c r="CI77" s="3138"/>
      <c r="CJ77" s="2865">
        <f>CJ78-CJ79</f>
        <v>0</v>
      </c>
      <c r="CK77" s="2865">
        <f>CK78-CK79</f>
        <v>0</v>
      </c>
      <c r="CL77" s="2866">
        <f>CL78-CL79</f>
        <v>0</v>
      </c>
      <c r="CM77" s="2868"/>
      <c r="CN77" s="3138"/>
      <c r="CO77" s="2865">
        <f>CO78-CO79</f>
        <v>0</v>
      </c>
      <c r="CP77" s="2865">
        <f>CP78-CP79</f>
        <v>0</v>
      </c>
      <c r="CQ77" s="2866">
        <f>CQ78-CQ79</f>
        <v>0</v>
      </c>
      <c r="CR77" s="2868"/>
      <c r="CS77" s="3138"/>
      <c r="CT77" s="2865">
        <f>CT78-CT79</f>
        <v>0</v>
      </c>
      <c r="CU77" s="2865">
        <f>CU78-CU79</f>
        <v>0</v>
      </c>
      <c r="CV77" s="2866">
        <f>CV78-CV79</f>
        <v>0</v>
      </c>
      <c r="CW77" s="2868"/>
      <c r="CX77" s="3138"/>
      <c r="CY77" s="2865">
        <f>CY78-CY79</f>
        <v>-60423.115351268221</v>
      </c>
      <c r="CZ77" s="2865">
        <f>CZ78-CZ79</f>
        <v>0</v>
      </c>
      <c r="DA77" s="2866">
        <f>DA78-DA79</f>
        <v>-60423.115351268221</v>
      </c>
      <c r="DB77" s="2868"/>
      <c r="DC77" s="2868"/>
    </row>
    <row r="78" spans="1:107" s="1411" customFormat="1" ht="14.4" thickBot="1" x14ac:dyDescent="0.3">
      <c r="A78" s="1420"/>
      <c r="B78" s="1415" t="s">
        <v>43</v>
      </c>
      <c r="C78" s="3274"/>
      <c r="D78" s="3274"/>
      <c r="E78" s="2028">
        <f>C78+D78*1.15</f>
        <v>0</v>
      </c>
      <c r="F78" s="3333"/>
      <c r="G78" s="3333"/>
      <c r="H78" s="3274"/>
      <c r="I78" s="3274"/>
      <c r="J78" s="2028">
        <f>H78+I78*1.15</f>
        <v>0</v>
      </c>
      <c r="K78" s="3333"/>
      <c r="L78" s="3333"/>
      <c r="M78" s="3274"/>
      <c r="N78" s="3274"/>
      <c r="O78" s="2028">
        <f>M78+N78*1.15</f>
        <v>0</v>
      </c>
      <c r="P78" s="3333"/>
      <c r="Q78" s="3333"/>
      <c r="R78" s="3274"/>
      <c r="S78" s="3274"/>
      <c r="T78" s="2028">
        <f>R78+S78*1.15</f>
        <v>0</v>
      </c>
      <c r="U78" s="3333"/>
      <c r="V78" s="3333"/>
      <c r="W78" s="3274"/>
      <c r="X78" s="3274"/>
      <c r="Y78" s="2028">
        <f>W78+X78*1.15</f>
        <v>0</v>
      </c>
      <c r="Z78" s="3333"/>
      <c r="AA78" s="3333"/>
      <c r="AB78" s="3274"/>
      <c r="AC78" s="3274"/>
      <c r="AD78" s="2028">
        <f>AB78+AC78*1.15</f>
        <v>0</v>
      </c>
      <c r="AE78" s="3333"/>
      <c r="AF78" s="3333"/>
      <c r="AG78" s="3274">
        <v>0</v>
      </c>
      <c r="AH78" s="3274">
        <v>0</v>
      </c>
      <c r="AI78" s="3274">
        <v>0</v>
      </c>
      <c r="AJ78" s="3333"/>
      <c r="AK78" s="3333"/>
      <c r="AL78" s="3274">
        <f t="shared" ref="AL78:AM79" si="137">AQ78+AV78+BA78+BF78+BK78+BP78+BU78+BZ78+CE78+CJ78+CO78+CT78</f>
        <v>0</v>
      </c>
      <c r="AM78" s="3274">
        <f t="shared" si="137"/>
        <v>0</v>
      </c>
      <c r="AN78" s="3274">
        <f>AL78+AM78</f>
        <v>0</v>
      </c>
      <c r="AO78" s="3333"/>
      <c r="AP78" s="3333"/>
      <c r="AQ78" s="3274"/>
      <c r="AR78" s="3274"/>
      <c r="AS78" s="2028">
        <f>AQ78+AR78*1.15</f>
        <v>0</v>
      </c>
      <c r="AT78" s="3333"/>
      <c r="AU78" s="3333"/>
      <c r="AV78" s="3274"/>
      <c r="AW78" s="3274"/>
      <c r="AX78" s="2028">
        <f>AV78+AW78*1.15</f>
        <v>0</v>
      </c>
      <c r="AY78" s="3333"/>
      <c r="AZ78" s="3333"/>
      <c r="BA78" s="3274"/>
      <c r="BB78" s="3274"/>
      <c r="BC78" s="3332">
        <f>BA78+BB78*1.15</f>
        <v>0</v>
      </c>
      <c r="BD78" s="3333"/>
      <c r="BE78" s="3333"/>
      <c r="BF78" s="3274"/>
      <c r="BG78" s="3274"/>
      <c r="BH78" s="3332">
        <f>BF78+BG78*1.15</f>
        <v>0</v>
      </c>
      <c r="BI78" s="3333"/>
      <c r="BJ78" s="3333"/>
      <c r="BK78" s="3274"/>
      <c r="BL78" s="3274"/>
      <c r="BM78" s="3332">
        <f>BK78+BL78*1.15</f>
        <v>0</v>
      </c>
      <c r="BN78" s="3333"/>
      <c r="BO78" s="3333"/>
      <c r="BP78" s="3274"/>
      <c r="BQ78" s="3274"/>
      <c r="BR78" s="3377">
        <f>BP78+BQ78*1.15</f>
        <v>0</v>
      </c>
      <c r="BS78" s="3333"/>
      <c r="BT78" s="3333"/>
      <c r="BU78" s="3274"/>
      <c r="BV78" s="3274"/>
      <c r="BW78" s="3332">
        <f>BU78+BV78*1.15</f>
        <v>0</v>
      </c>
      <c r="BX78" s="3333"/>
      <c r="BY78" s="3333"/>
      <c r="BZ78" s="3274"/>
      <c r="CA78" s="3274"/>
      <c r="CB78" s="3332">
        <f>BZ78+CA78*1.15</f>
        <v>0</v>
      </c>
      <c r="CC78" s="3333"/>
      <c r="CD78" s="3334"/>
      <c r="CE78" s="3274"/>
      <c r="CF78" s="3274"/>
      <c r="CG78" s="3332">
        <f>CE78+CF78*1.15</f>
        <v>0</v>
      </c>
      <c r="CH78" s="3333"/>
      <c r="CI78" s="3334"/>
      <c r="CJ78" s="3274"/>
      <c r="CK78" s="3274"/>
      <c r="CL78" s="3332">
        <f>CJ78+CK78*1.15</f>
        <v>0</v>
      </c>
      <c r="CM78" s="3333"/>
      <c r="CN78" s="3334"/>
      <c r="CO78" s="3274"/>
      <c r="CP78" s="3274"/>
      <c r="CQ78" s="3332">
        <f>CO78+CP78*1.15</f>
        <v>0</v>
      </c>
      <c r="CR78" s="3333"/>
      <c r="CS78" s="3334"/>
      <c r="CT78" s="3274"/>
      <c r="CU78" s="3274"/>
      <c r="CV78" s="3332">
        <f>CT78+CU78*1.15</f>
        <v>0</v>
      </c>
      <c r="CW78" s="3333"/>
      <c r="CX78" s="3334"/>
      <c r="CY78" s="3274">
        <f t="shared" ref="CY78:CZ79" si="138">C78+H78+M78+R78+W78+AB78+AQ78+AV78+BA78+BF78+BK78+BP78+BU78+BZ78+CE78+CJ78+CO78+CT78+AG78</f>
        <v>0</v>
      </c>
      <c r="CZ78" s="3274">
        <f t="shared" si="138"/>
        <v>0</v>
      </c>
      <c r="DA78" s="2028">
        <f>CY78+CZ78*1</f>
        <v>0</v>
      </c>
      <c r="DB78" s="3333"/>
      <c r="DC78" s="3333"/>
    </row>
    <row r="79" spans="1:107" s="1411" customFormat="1" ht="13.8" x14ac:dyDescent="0.25">
      <c r="A79" s="1420"/>
      <c r="B79" s="3289" t="s">
        <v>79</v>
      </c>
      <c r="C79" s="3274">
        <f>(D8+D41+D50+D54)/(1-'расчет 2022'!E6)*'расчет 2022'!E6</f>
        <v>6449.64367816092</v>
      </c>
      <c r="D79" s="3274"/>
      <c r="E79" s="2028">
        <f>C79+D79*1.15</f>
        <v>6449.64367816092</v>
      </c>
      <c r="F79" s="3311"/>
      <c r="G79" s="3311"/>
      <c r="H79" s="3274">
        <f>(I8+I41+I50+I54)/(1-'расчет 2022'!I7)*'расчет 2022'!I7</f>
        <v>6334.7907989153491</v>
      </c>
      <c r="I79" s="3274"/>
      <c r="J79" s="2028">
        <f>H79+I79*1.15</f>
        <v>6334.7907989153491</v>
      </c>
      <c r="K79" s="3311"/>
      <c r="L79" s="3311"/>
      <c r="M79" s="3274">
        <f>(N8+N41+N50+N54)/(1-'расчет 2022'!I8)*'расчет 2022'!I8</f>
        <v>3436.0238244314378</v>
      </c>
      <c r="N79" s="3274"/>
      <c r="O79" s="2028">
        <f>M79+N79*1.15</f>
        <v>3436.0238244314378</v>
      </c>
      <c r="P79" s="3311"/>
      <c r="Q79" s="3311"/>
      <c r="R79" s="3274">
        <f>(S8+S41+S50+S54)/(1-'расчет 2022'!I9)*'расчет 2022'!I9</f>
        <v>1157.601408165714</v>
      </c>
      <c r="S79" s="3274"/>
      <c r="T79" s="2028">
        <f>R79+S79*1.15</f>
        <v>1157.601408165714</v>
      </c>
      <c r="U79" s="3311"/>
      <c r="V79" s="3311"/>
      <c r="W79" s="3274">
        <f>(X8+X41+X50+X54)/(1-'расчет 2022'!I10)*'расчет 2022'!I10</f>
        <v>4738.1041573033708</v>
      </c>
      <c r="X79" s="3274"/>
      <c r="Y79" s="2028">
        <f>W79+X79*1.15</f>
        <v>4738.1041573033708</v>
      </c>
      <c r="Z79" s="3311"/>
      <c r="AA79" s="3311"/>
      <c r="AB79" s="3274">
        <f>(AC8+AC41+AC50+AC54)/(1-'расчет 2022'!I11)*'расчет 2022'!I11</f>
        <v>8247.6801163074269</v>
      </c>
      <c r="AC79" s="3274"/>
      <c r="AD79" s="2028">
        <f>AB79+AC79*1.15</f>
        <v>8247.6801163074269</v>
      </c>
      <c r="AE79" s="3311"/>
      <c r="AF79" s="3311"/>
      <c r="AG79" s="3274">
        <v>30059.271367984002</v>
      </c>
      <c r="AH79" s="3274">
        <v>0</v>
      </c>
      <c r="AI79" s="3274">
        <v>30059.271367984002</v>
      </c>
      <c r="AJ79" s="3311"/>
      <c r="AK79" s="3276"/>
      <c r="AL79" s="3274">
        <f t="shared" si="137"/>
        <v>0</v>
      </c>
      <c r="AM79" s="3274">
        <f t="shared" si="137"/>
        <v>0</v>
      </c>
      <c r="AN79" s="3274">
        <f>AL79+AM79</f>
        <v>0</v>
      </c>
      <c r="AO79" s="3311"/>
      <c r="AP79" s="3276"/>
      <c r="AQ79" s="3274">
        <f>(AR8+AR41+AR50+AR54)/(1-'расчет 2022'!I11)*'расчет 2022'!I11</f>
        <v>0</v>
      </c>
      <c r="AR79" s="3274"/>
      <c r="AS79" s="2028">
        <f>AQ79+AR79*1.15</f>
        <v>0</v>
      </c>
      <c r="AT79" s="3311"/>
      <c r="AU79" s="3311"/>
      <c r="AV79" s="3274">
        <f>(AW8+AW41+AW50+AW54)/(1-'расчет 2022'!I13)*'расчет 2022'!I13</f>
        <v>0</v>
      </c>
      <c r="AW79" s="3274"/>
      <c r="AX79" s="2028">
        <f>AV79+AW79*1.15</f>
        <v>0</v>
      </c>
      <c r="AY79" s="3311"/>
      <c r="AZ79" s="3276"/>
      <c r="BA79" s="3274">
        <f>(BB8+BB41+BB50+BB54)/(1-'расчет 2022'!I13)*'расчет 2022'!I13</f>
        <v>0</v>
      </c>
      <c r="BB79" s="3274"/>
      <c r="BC79" s="2028">
        <f>BA79+BB79*1.15</f>
        <v>0</v>
      </c>
      <c r="BD79" s="3311"/>
      <c r="BE79" s="3276"/>
      <c r="BF79" s="3274">
        <f>(BG8+BG41+BG50+BG54)/(1-'расчет 2022'!I15)*'расчет 2022'!I15</f>
        <v>0</v>
      </c>
      <c r="BG79" s="3274"/>
      <c r="BH79" s="3332">
        <f>BF79+BG79*1.15</f>
        <v>0</v>
      </c>
      <c r="BI79" s="3311"/>
      <c r="BJ79" s="3276"/>
      <c r="BK79" s="3274"/>
      <c r="BL79" s="3274"/>
      <c r="BM79" s="3332">
        <f>BK79+BL79*1.15</f>
        <v>0</v>
      </c>
      <c r="BN79" s="3311"/>
      <c r="BO79" s="3276"/>
      <c r="BP79" s="3274"/>
      <c r="BQ79" s="3274"/>
      <c r="BR79" s="3378">
        <f>BP79+BQ79*1.15</f>
        <v>0</v>
      </c>
      <c r="BS79" s="3311"/>
      <c r="BT79" s="3276"/>
      <c r="BU79" s="3274"/>
      <c r="BV79" s="3274"/>
      <c r="BW79" s="3274">
        <f>BU79+BV79*1.15</f>
        <v>0</v>
      </c>
      <c r="BX79" s="3311"/>
      <c r="BY79" s="3276"/>
      <c r="BZ79" s="3274"/>
      <c r="CA79" s="3274"/>
      <c r="CB79" s="3274">
        <f>BZ79+CA79*1.15</f>
        <v>0</v>
      </c>
      <c r="CC79" s="3311"/>
      <c r="CD79" s="3276"/>
      <c r="CE79" s="3274"/>
      <c r="CF79" s="3274"/>
      <c r="CG79" s="3274">
        <f>CE79+CF79*1.15</f>
        <v>0</v>
      </c>
      <c r="CH79" s="3311"/>
      <c r="CI79" s="3276"/>
      <c r="CJ79" s="3274"/>
      <c r="CK79" s="3274"/>
      <c r="CL79" s="3274">
        <f>CJ79+CK79*1.15</f>
        <v>0</v>
      </c>
      <c r="CM79" s="3311"/>
      <c r="CN79" s="3276"/>
      <c r="CO79" s="3274"/>
      <c r="CP79" s="3274"/>
      <c r="CQ79" s="3274">
        <f>CO79+CP79*1.15</f>
        <v>0</v>
      </c>
      <c r="CR79" s="3311"/>
      <c r="CS79" s="3276"/>
      <c r="CT79" s="3274"/>
      <c r="CU79" s="3274"/>
      <c r="CV79" s="3274">
        <f>CT79+CU79*1.15</f>
        <v>0</v>
      </c>
      <c r="CW79" s="3311"/>
      <c r="CX79" s="3276"/>
      <c r="CY79" s="3274">
        <f t="shared" si="138"/>
        <v>60423.115351268221</v>
      </c>
      <c r="CZ79" s="3274">
        <f t="shared" si="138"/>
        <v>0</v>
      </c>
      <c r="DA79" s="2028">
        <f>CY79+CZ79*1</f>
        <v>60423.115351268221</v>
      </c>
      <c r="DB79" s="3311"/>
      <c r="DC79" s="3311"/>
    </row>
    <row r="80" spans="1:107" ht="13.8" x14ac:dyDescent="0.25">
      <c r="A80" s="1412"/>
      <c r="B80" s="3335"/>
      <c r="C80" s="3274"/>
      <c r="D80" s="3274"/>
      <c r="E80" s="3336"/>
      <c r="F80" s="3336"/>
      <c r="G80" s="3336"/>
      <c r="H80" s="3274"/>
      <c r="I80" s="3274"/>
      <c r="J80" s="3336"/>
      <c r="K80" s="3336"/>
      <c r="L80" s="3336"/>
      <c r="M80" s="3274"/>
      <c r="N80" s="3274"/>
      <c r="O80" s="3336"/>
      <c r="P80" s="3336"/>
      <c r="Q80" s="3336"/>
      <c r="R80" s="3274"/>
      <c r="S80" s="3274"/>
      <c r="T80" s="3336"/>
      <c r="U80" s="3336"/>
      <c r="V80" s="3336"/>
      <c r="W80" s="3274"/>
      <c r="X80" s="3274"/>
      <c r="Y80" s="3336"/>
      <c r="Z80" s="3336"/>
      <c r="AA80" s="3336"/>
      <c r="AB80" s="3274"/>
      <c r="AC80" s="3274"/>
      <c r="AD80" s="3336"/>
      <c r="AE80" s="3336"/>
      <c r="AF80" s="3336"/>
      <c r="AG80" s="3274"/>
      <c r="AH80" s="3274"/>
      <c r="AI80" s="3336"/>
      <c r="AJ80" s="3336"/>
      <c r="AK80" s="3336"/>
      <c r="AL80" s="3274"/>
      <c r="AM80" s="3274"/>
      <c r="AN80" s="3336"/>
      <c r="AO80" s="3336"/>
      <c r="AP80" s="3336"/>
      <c r="AQ80" s="3274"/>
      <c r="AR80" s="3274"/>
      <c r="AS80" s="3336"/>
      <c r="AT80" s="3336"/>
      <c r="AU80" s="3336"/>
      <c r="AV80" s="3274"/>
      <c r="AW80" s="3274"/>
      <c r="AX80" s="3336"/>
      <c r="AY80" s="3336"/>
      <c r="AZ80" s="3336"/>
      <c r="BA80" s="3274"/>
      <c r="BB80" s="3274"/>
      <c r="BC80" s="3336"/>
      <c r="BD80" s="3336"/>
      <c r="BE80" s="3336"/>
      <c r="BF80" s="3274"/>
      <c r="BG80" s="3274"/>
      <c r="BH80" s="3336"/>
      <c r="BI80" s="3336"/>
      <c r="BJ80" s="3336"/>
      <c r="BK80" s="3274"/>
      <c r="BL80" s="3274"/>
      <c r="BM80" s="3336"/>
      <c r="BN80" s="3336"/>
      <c r="BO80" s="3336"/>
      <c r="BP80" s="3274"/>
      <c r="BQ80" s="3274"/>
      <c r="BR80" s="3336"/>
      <c r="BS80" s="3336"/>
      <c r="BT80" s="3336"/>
      <c r="BU80" s="3274"/>
      <c r="BV80" s="3274"/>
      <c r="BW80" s="3336"/>
      <c r="BX80" s="3336"/>
      <c r="BY80" s="3336"/>
      <c r="BZ80" s="3274"/>
      <c r="CA80" s="3274"/>
      <c r="CB80" s="3336"/>
      <c r="CC80" s="3336"/>
      <c r="CD80" s="3306"/>
      <c r="CE80" s="3274"/>
      <c r="CF80" s="3274"/>
      <c r="CG80" s="3336"/>
      <c r="CH80" s="3336"/>
      <c r="CI80" s="3306"/>
      <c r="CJ80" s="3274"/>
      <c r="CK80" s="3274"/>
      <c r="CL80" s="3336"/>
      <c r="CM80" s="3336"/>
      <c r="CN80" s="3306"/>
      <c r="CO80" s="3274"/>
      <c r="CP80" s="3274"/>
      <c r="CQ80" s="3336"/>
      <c r="CR80" s="3336"/>
      <c r="CS80" s="3306"/>
      <c r="CT80" s="3274"/>
      <c r="CU80" s="3274"/>
      <c r="CV80" s="3336"/>
      <c r="CW80" s="3336"/>
      <c r="CX80" s="3306"/>
      <c r="CY80" s="3274"/>
      <c r="CZ80" s="3274"/>
      <c r="DA80" s="3336"/>
      <c r="DB80" s="3336"/>
      <c r="DC80" s="3336"/>
    </row>
    <row r="81" spans="1:107" s="1411" customFormat="1" ht="14.4" thickBot="1" x14ac:dyDescent="0.3">
      <c r="A81" s="1434"/>
      <c r="B81" s="3331" t="s">
        <v>12</v>
      </c>
      <c r="C81" s="2865">
        <f>(C75+C78)-C79</f>
        <v>60890.266321839081</v>
      </c>
      <c r="D81" s="2865">
        <f>(D75+D78)-D79</f>
        <v>-43163</v>
      </c>
      <c r="E81" s="2866">
        <f>(E75+E78)-E79</f>
        <v>17727.266321839114</v>
      </c>
      <c r="F81" s="2868"/>
      <c r="G81" s="2868"/>
      <c r="H81" s="2865">
        <f>(H75+H78)-H79</f>
        <v>138296.88920108468</v>
      </c>
      <c r="I81" s="2865">
        <f>(I75+I78)-I79</f>
        <v>103549.68000000001</v>
      </c>
      <c r="J81" s="2866">
        <f>(J75+J78)-J79</f>
        <v>241846.56920108464</v>
      </c>
      <c r="K81" s="2868"/>
      <c r="L81" s="2868"/>
      <c r="M81" s="2865">
        <f>(M75+M78)-M79</f>
        <v>324158.03617556853</v>
      </c>
      <c r="N81" s="2865">
        <f>(N75+N78)-N79</f>
        <v>-21107</v>
      </c>
      <c r="O81" s="2866">
        <f>(O75+O78)-O79</f>
        <v>303051.03617556859</v>
      </c>
      <c r="P81" s="2868"/>
      <c r="Q81" s="2868"/>
      <c r="R81" s="2865">
        <f>(R75+R78)-R79</f>
        <v>-31961.961408165727</v>
      </c>
      <c r="S81" s="2865">
        <f>(S75+S78)-S79</f>
        <v>139370.68</v>
      </c>
      <c r="T81" s="2866">
        <f>(T75+T78)-T79</f>
        <v>107408.71859183432</v>
      </c>
      <c r="U81" s="2868"/>
      <c r="V81" s="2868"/>
      <c r="W81" s="2865">
        <f>(W75+W78)-W79</f>
        <v>234983.31584269661</v>
      </c>
      <c r="X81" s="2865">
        <f>(X75+X78)-X79</f>
        <v>-38335.57</v>
      </c>
      <c r="Y81" s="2866">
        <f>(Y75+Y78)-Y79</f>
        <v>196647.7458426966</v>
      </c>
      <c r="Z81" s="2868"/>
      <c r="AA81" s="2868"/>
      <c r="AB81" s="2865">
        <f>(AB75+AB78)-AB79</f>
        <v>127859.23228369257</v>
      </c>
      <c r="AC81" s="2865">
        <f>(AC75+AC78)-AC79</f>
        <v>-62551</v>
      </c>
      <c r="AD81" s="2866">
        <f>(AD75+AD78)-AD79</f>
        <v>65308.232283692574</v>
      </c>
      <c r="AE81" s="2868"/>
      <c r="AF81" s="2868"/>
      <c r="AG81" s="2865">
        <v>297090.91663201607</v>
      </c>
      <c r="AH81" s="2865">
        <v>-189248.11000000002</v>
      </c>
      <c r="AI81" s="2866">
        <v>107842.80663201597</v>
      </c>
      <c r="AJ81" s="2868"/>
      <c r="AK81" s="2868"/>
      <c r="AL81" s="2865">
        <f>(AL75+AL78)-AL79</f>
        <v>0</v>
      </c>
      <c r="AM81" s="2865">
        <f>(AM75+AM78)-AM79</f>
        <v>0</v>
      </c>
      <c r="AN81" s="2866">
        <f>(AN75+AN78)-AN79</f>
        <v>0</v>
      </c>
      <c r="AO81" s="2868"/>
      <c r="AP81" s="2868"/>
      <c r="AQ81" s="2865">
        <f>(AQ75+AQ78)-AQ79</f>
        <v>0</v>
      </c>
      <c r="AR81" s="2865">
        <f>(AR75+AR78)-AR79</f>
        <v>0</v>
      </c>
      <c r="AS81" s="2866">
        <f>(AS75+AS78)-AS79</f>
        <v>0</v>
      </c>
      <c r="AT81" s="2868"/>
      <c r="AU81" s="2868"/>
      <c r="AV81" s="2865">
        <f>(AV75+AV78)-AV79</f>
        <v>0</v>
      </c>
      <c r="AW81" s="2865">
        <f>(AW75+AW78)-AW79</f>
        <v>0</v>
      </c>
      <c r="AX81" s="2866">
        <f>(AX75+AX78)-AX79</f>
        <v>0</v>
      </c>
      <c r="AY81" s="2868"/>
      <c r="AZ81" s="2868"/>
      <c r="BA81" s="2865">
        <f>(BA75+BA78)-BA79</f>
        <v>0</v>
      </c>
      <c r="BB81" s="2865">
        <f>(BB75+BB78)-BB79</f>
        <v>0</v>
      </c>
      <c r="BC81" s="2866">
        <f>(BC75+BC78)-BC79</f>
        <v>0</v>
      </c>
      <c r="BD81" s="2868"/>
      <c r="BE81" s="2868"/>
      <c r="BF81" s="2865">
        <f>(BF75+BF78)-BF79</f>
        <v>0</v>
      </c>
      <c r="BG81" s="2865">
        <f>(BG75+BG78)-BG79</f>
        <v>0</v>
      </c>
      <c r="BH81" s="2866">
        <f>(BH75+BH78)-BH79</f>
        <v>0</v>
      </c>
      <c r="BI81" s="2868"/>
      <c r="BJ81" s="2868"/>
      <c r="BK81" s="2865">
        <f>(BK75+BK78)-BK79</f>
        <v>0</v>
      </c>
      <c r="BL81" s="2865">
        <f>(BL75+BL78)-BL79</f>
        <v>0</v>
      </c>
      <c r="BM81" s="2866">
        <f>(BM75+BM78)-BM79</f>
        <v>0</v>
      </c>
      <c r="BN81" s="2868"/>
      <c r="BO81" s="2868"/>
      <c r="BP81" s="2865">
        <f>(BP75+BP78)-BP79</f>
        <v>0</v>
      </c>
      <c r="BQ81" s="2865">
        <f>(BQ75+BQ78)-BQ79</f>
        <v>0</v>
      </c>
      <c r="BR81" s="2866">
        <f>(BR75+BR78)-BR79</f>
        <v>0</v>
      </c>
      <c r="BS81" s="2868"/>
      <c r="BT81" s="2868"/>
      <c r="BU81" s="2865">
        <f>(BU75+BU78)-BU79</f>
        <v>0</v>
      </c>
      <c r="BV81" s="2865">
        <f>(BV75+BV78)-BV79</f>
        <v>0</v>
      </c>
      <c r="BW81" s="2866">
        <f>(BW75+BW78)-BW79</f>
        <v>0</v>
      </c>
      <c r="BX81" s="2868"/>
      <c r="BY81" s="2868"/>
      <c r="BZ81" s="2865">
        <f>(BZ75+BZ78)-BZ79</f>
        <v>0</v>
      </c>
      <c r="CA81" s="2865">
        <f>(CA75+CA78)-CA79</f>
        <v>0</v>
      </c>
      <c r="CB81" s="2866">
        <f>(CB75+CB78)-CB79</f>
        <v>0</v>
      </c>
      <c r="CC81" s="2868"/>
      <c r="CD81" s="3138"/>
      <c r="CE81" s="2865">
        <f>(CE75+CE78)-CE79</f>
        <v>0</v>
      </c>
      <c r="CF81" s="2865">
        <f>(CF75+CF78)-CF79</f>
        <v>0</v>
      </c>
      <c r="CG81" s="2866">
        <f>(CG75+CG78)-CG79</f>
        <v>0</v>
      </c>
      <c r="CH81" s="2868"/>
      <c r="CI81" s="3138"/>
      <c r="CJ81" s="2865">
        <f>(CJ75+CJ78)-CJ79</f>
        <v>0</v>
      </c>
      <c r="CK81" s="2865">
        <f>(CK75+CK78)-CK79</f>
        <v>0</v>
      </c>
      <c r="CL81" s="2866">
        <f>(CL75+CL78)-CL79</f>
        <v>0</v>
      </c>
      <c r="CM81" s="2868"/>
      <c r="CN81" s="3138"/>
      <c r="CO81" s="2865">
        <f>(CO75+CO78)-CO79</f>
        <v>0</v>
      </c>
      <c r="CP81" s="2865">
        <f>(CP75+CP78)-CP79</f>
        <v>0</v>
      </c>
      <c r="CQ81" s="2866">
        <f>(CQ75+CQ78)-CQ79</f>
        <v>0</v>
      </c>
      <c r="CR81" s="2868"/>
      <c r="CS81" s="3138"/>
      <c r="CT81" s="2865">
        <f>(CT75+CT78)-CT79</f>
        <v>0</v>
      </c>
      <c r="CU81" s="2865">
        <f>(CU75+CU78)-CU79</f>
        <v>0</v>
      </c>
      <c r="CV81" s="2866">
        <f>(CV75+CV78)-CV79</f>
        <v>0</v>
      </c>
      <c r="CW81" s="2868"/>
      <c r="CX81" s="3138"/>
      <c r="CY81" s="2865">
        <f>(CY75+CY78)-CY79</f>
        <v>1151316.6950487315</v>
      </c>
      <c r="CZ81" s="2865">
        <f>(CZ75+CZ78)-CZ79</f>
        <v>-111484.32</v>
      </c>
      <c r="DA81" s="2866">
        <f>(DA75+DA78)-DA79</f>
        <v>1039832.3750487318</v>
      </c>
      <c r="DB81" s="2868"/>
      <c r="DC81" s="2868"/>
    </row>
    <row r="82" spans="1:107" s="1411" customFormat="1" ht="13.8" x14ac:dyDescent="0.25">
      <c r="A82" s="1580"/>
      <c r="B82" s="1415" t="s">
        <v>38</v>
      </c>
      <c r="C82" s="3274"/>
      <c r="D82" s="3274"/>
      <c r="E82" s="3332">
        <f>C82+D82</f>
        <v>0</v>
      </c>
      <c r="F82" s="3321"/>
      <c r="G82" s="3321"/>
      <c r="H82" s="3274"/>
      <c r="I82" s="3274"/>
      <c r="J82" s="3332">
        <f>H82+I82</f>
        <v>0</v>
      </c>
      <c r="K82" s="3321"/>
      <c r="L82" s="3321"/>
      <c r="M82" s="3274"/>
      <c r="N82" s="3274"/>
      <c r="O82" s="3332">
        <f>M82+N82</f>
        <v>0</v>
      </c>
      <c r="P82" s="3321"/>
      <c r="Q82" s="3321"/>
      <c r="R82" s="3274"/>
      <c r="S82" s="3274"/>
      <c r="T82" s="3332">
        <f>R82+S82</f>
        <v>0</v>
      </c>
      <c r="U82" s="3321"/>
      <c r="V82" s="3321"/>
      <c r="W82" s="3274"/>
      <c r="X82" s="3274"/>
      <c r="Y82" s="3332">
        <f>W82+X82</f>
        <v>0</v>
      </c>
      <c r="Z82" s="3321"/>
      <c r="AA82" s="3321"/>
      <c r="AB82" s="3274"/>
      <c r="AC82" s="3274"/>
      <c r="AD82" s="3332">
        <f>AB82+AC82</f>
        <v>0</v>
      </c>
      <c r="AE82" s="3321"/>
      <c r="AF82" s="3321"/>
      <c r="AG82" s="3274">
        <v>0</v>
      </c>
      <c r="AH82" s="3274">
        <v>0</v>
      </c>
      <c r="AI82" s="3332">
        <v>0</v>
      </c>
      <c r="AJ82" s="3321"/>
      <c r="AK82" s="3321"/>
      <c r="AL82" s="3274">
        <f>AQ82+AV82+BA82+BF82+BK82+BP82+BU82+BZ82+CE82+CJ82+CO82+CT82</f>
        <v>0</v>
      </c>
      <c r="AM82" s="3274">
        <f>AR82+AW82+BB82+BG82+BL82+BQ82+BV82+CA82+CF82+CK82+CP82+CU82</f>
        <v>0</v>
      </c>
      <c r="AN82" s="3332">
        <f>AL82+AM82</f>
        <v>0</v>
      </c>
      <c r="AO82" s="3321"/>
      <c r="AP82" s="3321"/>
      <c r="AQ82" s="3274"/>
      <c r="AR82" s="3274"/>
      <c r="AS82" s="3332">
        <f>AQ82+AR82</f>
        <v>0</v>
      </c>
      <c r="AT82" s="3321"/>
      <c r="AU82" s="3321"/>
      <c r="AV82" s="3274"/>
      <c r="AW82" s="3274"/>
      <c r="AX82" s="3332">
        <f>AV82+AW82</f>
        <v>0</v>
      </c>
      <c r="AY82" s="3321"/>
      <c r="AZ82" s="3321"/>
      <c r="BA82" s="3274"/>
      <c r="BB82" s="3274"/>
      <c r="BC82" s="3332">
        <f>BA82+BB82</f>
        <v>0</v>
      </c>
      <c r="BD82" s="3321"/>
      <c r="BE82" s="3321"/>
      <c r="BF82" s="3274"/>
      <c r="BG82" s="3274"/>
      <c r="BH82" s="3332">
        <f>BF82+BG82</f>
        <v>0</v>
      </c>
      <c r="BI82" s="3321"/>
      <c r="BJ82" s="3321"/>
      <c r="BK82" s="3274"/>
      <c r="BL82" s="3274"/>
      <c r="BM82" s="3332">
        <f>BK82+BL82</f>
        <v>0</v>
      </c>
      <c r="BN82" s="3321"/>
      <c r="BO82" s="3321"/>
      <c r="BP82" s="3274"/>
      <c r="BQ82" s="3274"/>
      <c r="BR82" s="3332">
        <f>BP82+BQ82</f>
        <v>0</v>
      </c>
      <c r="BS82" s="3321"/>
      <c r="BT82" s="3321"/>
      <c r="BU82" s="3274"/>
      <c r="BV82" s="3274"/>
      <c r="BW82" s="3332">
        <f>BU82+BV82</f>
        <v>0</v>
      </c>
      <c r="BX82" s="3321"/>
      <c r="BY82" s="3321"/>
      <c r="BZ82" s="3274"/>
      <c r="CA82" s="3274"/>
      <c r="CB82" s="3332">
        <f>BZ82+CA82</f>
        <v>0</v>
      </c>
      <c r="CC82" s="3321"/>
      <c r="CD82" s="3321"/>
      <c r="CE82" s="3274"/>
      <c r="CF82" s="3274"/>
      <c r="CG82" s="3332">
        <f>CE82+CF82</f>
        <v>0</v>
      </c>
      <c r="CH82" s="3321"/>
      <c r="CI82" s="3321"/>
      <c r="CJ82" s="3274"/>
      <c r="CK82" s="3274"/>
      <c r="CL82" s="3332">
        <f>CJ82+CK82</f>
        <v>0</v>
      </c>
      <c r="CM82" s="3321"/>
      <c r="CN82" s="3321"/>
      <c r="CO82" s="3274"/>
      <c r="CP82" s="3274"/>
      <c r="CQ82" s="3332">
        <f>CO82+CP82</f>
        <v>0</v>
      </c>
      <c r="CR82" s="3321"/>
      <c r="CS82" s="3321"/>
      <c r="CT82" s="3274"/>
      <c r="CU82" s="3274"/>
      <c r="CV82" s="3332">
        <f>CT82+CU82</f>
        <v>0</v>
      </c>
      <c r="CW82" s="3321"/>
      <c r="CX82" s="3321"/>
      <c r="CY82" s="3274">
        <f>C82+H82+M82+R82+W82+AB82+AQ82+AV82+BA82+BF82+BK82+BP82+BU82+BZ82+CE82+CJ82+CO82+CT82+AG82</f>
        <v>0</v>
      </c>
      <c r="CZ82" s="3274">
        <f>D82+I82+N82+S82+X82+AC82+AR82+AW82+BB82+BG82+BL82+BQ82+BV82+CA82+CF82+CK82+CP82+CU82+AH82</f>
        <v>0</v>
      </c>
      <c r="DA82" s="3332">
        <f>CY82+CZ82*1</f>
        <v>0</v>
      </c>
      <c r="DB82" s="3321"/>
      <c r="DC82" s="3321"/>
    </row>
    <row r="83" spans="1:107" s="1411" customFormat="1" ht="14.4" thickBot="1" x14ac:dyDescent="0.3">
      <c r="A83" s="1420"/>
      <c r="B83" s="3337" t="s">
        <v>13</v>
      </c>
      <c r="C83" s="3338">
        <f>(C81+C7)-C36</f>
        <v>60890.266321839081</v>
      </c>
      <c r="D83" s="3338">
        <f>(D81+D7)-D36</f>
        <v>-43163</v>
      </c>
      <c r="E83" s="3339">
        <f>(E81+E7)-E36</f>
        <v>17727.266321839114</v>
      </c>
      <c r="F83" s="3340"/>
      <c r="G83" s="3340"/>
      <c r="H83" s="3338">
        <f>(H81+H7)-H36</f>
        <v>138296.88920108468</v>
      </c>
      <c r="I83" s="3338">
        <f>(I81+I7)-I36</f>
        <v>103549.68000000001</v>
      </c>
      <c r="J83" s="3339">
        <f>(J81+J7)-J36</f>
        <v>241846.56920108464</v>
      </c>
      <c r="K83" s="3340"/>
      <c r="L83" s="3340"/>
      <c r="M83" s="3338">
        <f>(M81+M7)-M36</f>
        <v>324158.03617556853</v>
      </c>
      <c r="N83" s="3338">
        <f>(N81+N7)-N36</f>
        <v>-21107</v>
      </c>
      <c r="O83" s="3339">
        <f>(O81+O7)-O36</f>
        <v>303051.03617556859</v>
      </c>
      <c r="P83" s="3340"/>
      <c r="Q83" s="3340"/>
      <c r="R83" s="3338">
        <f>(R81+R7)-R36</f>
        <v>-31961.961408165727</v>
      </c>
      <c r="S83" s="3338">
        <f>(S81+S7)-S36</f>
        <v>139370.68</v>
      </c>
      <c r="T83" s="3339">
        <f>(T81+T7)-T36</f>
        <v>107408.71859183432</v>
      </c>
      <c r="U83" s="3340"/>
      <c r="V83" s="3340"/>
      <c r="W83" s="3338">
        <f>(W81+W7)-W36</f>
        <v>234983.31584269661</v>
      </c>
      <c r="X83" s="3338">
        <f>(X81+X7)-X36</f>
        <v>-38335.57</v>
      </c>
      <c r="Y83" s="3339">
        <f>(Y81+Y7)-Y36</f>
        <v>196647.7458426966</v>
      </c>
      <c r="Z83" s="3340"/>
      <c r="AA83" s="3340"/>
      <c r="AB83" s="3338">
        <f>(AB81+AB7)-AB36</f>
        <v>127859.23228369257</v>
      </c>
      <c r="AC83" s="3338">
        <f>(AC81+AC7)-AC36</f>
        <v>-62551</v>
      </c>
      <c r="AD83" s="3339">
        <f>(AD81+AD7)-AD36</f>
        <v>65308.232283692574</v>
      </c>
      <c r="AE83" s="3340"/>
      <c r="AF83" s="3340"/>
      <c r="AG83" s="3338">
        <v>297090.91663201607</v>
      </c>
      <c r="AH83" s="3338">
        <v>-189248.11000000002</v>
      </c>
      <c r="AI83" s="3338">
        <v>107842.80663201597</v>
      </c>
      <c r="AJ83" s="3340"/>
      <c r="AK83" s="3340"/>
      <c r="AL83" s="3338">
        <f>AL81-AL36</f>
        <v>0</v>
      </c>
      <c r="AM83" s="3338">
        <f>AM81-AM36</f>
        <v>0</v>
      </c>
      <c r="AN83" s="3338">
        <f>AN81-AN36</f>
        <v>0</v>
      </c>
      <c r="AO83" s="3340"/>
      <c r="AP83" s="3340"/>
      <c r="AQ83" s="3338">
        <f>(AQ81+AQ7)-AQ36</f>
        <v>0</v>
      </c>
      <c r="AR83" s="3338">
        <f>(AR81+AR7)-AR36</f>
        <v>0</v>
      </c>
      <c r="AS83" s="3339">
        <f>(AS81+AS7)-AS36</f>
        <v>0</v>
      </c>
      <c r="AT83" s="3340"/>
      <c r="AU83" s="3340"/>
      <c r="AV83" s="3338">
        <f>(AV81+AV7)-AV36</f>
        <v>0</v>
      </c>
      <c r="AW83" s="3338">
        <f>(AW81+AW7)-AW36</f>
        <v>0</v>
      </c>
      <c r="AX83" s="3339">
        <f>(AX81+AX7)-AX36</f>
        <v>0</v>
      </c>
      <c r="AY83" s="3340"/>
      <c r="AZ83" s="3340"/>
      <c r="BA83" s="3338">
        <f>(BA81+BA7)-BA36</f>
        <v>0</v>
      </c>
      <c r="BB83" s="3338">
        <f>(BB81+BB7)-BB36</f>
        <v>0</v>
      </c>
      <c r="BC83" s="3339">
        <f>(BC81+BC7)-BC36</f>
        <v>0</v>
      </c>
      <c r="BD83" s="3340"/>
      <c r="BE83" s="3340"/>
      <c r="BF83" s="3338">
        <f>(BF81+BF7)-BF36</f>
        <v>0</v>
      </c>
      <c r="BG83" s="3338">
        <f>(BG81+BG7)-BG36</f>
        <v>0</v>
      </c>
      <c r="BH83" s="3339">
        <f>(BH81+BH7)-BH36</f>
        <v>0</v>
      </c>
      <c r="BI83" s="3340"/>
      <c r="BJ83" s="3340"/>
      <c r="BK83" s="3338">
        <f>(BK81+BK7)-BK36</f>
        <v>0</v>
      </c>
      <c r="BL83" s="3338">
        <f>(BL81+BL7)-BL36</f>
        <v>0</v>
      </c>
      <c r="BM83" s="3339">
        <f>(BM81+BM7)-BM36</f>
        <v>0</v>
      </c>
      <c r="BN83" s="3340"/>
      <c r="BO83" s="3340"/>
      <c r="BP83" s="3338">
        <f>(BP81+BP7)-BP36</f>
        <v>0</v>
      </c>
      <c r="BQ83" s="3338">
        <f>(BQ81+BQ7)-BQ36</f>
        <v>0</v>
      </c>
      <c r="BR83" s="3339">
        <f>(BR81+BR7)-BR36</f>
        <v>0</v>
      </c>
      <c r="BS83" s="3340"/>
      <c r="BT83" s="3340"/>
      <c r="BU83" s="3338">
        <f>(BU81+BU7)-BU36</f>
        <v>0</v>
      </c>
      <c r="BV83" s="3338">
        <f>(BV81+BV7)-BV36</f>
        <v>0</v>
      </c>
      <c r="BW83" s="3339">
        <f>(BW81+BW7)-BW36</f>
        <v>0</v>
      </c>
      <c r="BX83" s="3340"/>
      <c r="BY83" s="3340"/>
      <c r="BZ83" s="3338">
        <f>(BZ81+BZ7)-BZ36</f>
        <v>0</v>
      </c>
      <c r="CA83" s="3338">
        <f>(CA81+CA7)-CA36</f>
        <v>0</v>
      </c>
      <c r="CB83" s="3339">
        <f>(CB81+CB7)-CB36</f>
        <v>0</v>
      </c>
      <c r="CC83" s="3340"/>
      <c r="CD83" s="3341"/>
      <c r="CE83" s="3338">
        <f>(CE81+CE7)-CE36</f>
        <v>0</v>
      </c>
      <c r="CF83" s="3338">
        <f>(CF81+CF7)-CF36</f>
        <v>0</v>
      </c>
      <c r="CG83" s="3339">
        <f>(CG81+CG7)-CG36</f>
        <v>0</v>
      </c>
      <c r="CH83" s="3340"/>
      <c r="CI83" s="3341"/>
      <c r="CJ83" s="3338">
        <f>(CJ81+CJ7)-CJ36</f>
        <v>0</v>
      </c>
      <c r="CK83" s="3338">
        <f>(CK81+CK7)-CK36</f>
        <v>0</v>
      </c>
      <c r="CL83" s="3339">
        <f>(CL81+CL7)-CL36</f>
        <v>0</v>
      </c>
      <c r="CM83" s="3340"/>
      <c r="CN83" s="3341"/>
      <c r="CO83" s="3338">
        <f>(CO81+CO7)-CO36</f>
        <v>0</v>
      </c>
      <c r="CP83" s="3338">
        <f>(CP81+CP7)-CP36</f>
        <v>0</v>
      </c>
      <c r="CQ83" s="3339">
        <f>(CQ81+CQ7)-CQ36</f>
        <v>0</v>
      </c>
      <c r="CR83" s="3340"/>
      <c r="CS83" s="3341"/>
      <c r="CT83" s="3338">
        <f>(CT81+CT7)-CT36</f>
        <v>0</v>
      </c>
      <c r="CU83" s="3338">
        <f>(CU81+CU7)-CU36</f>
        <v>0</v>
      </c>
      <c r="CV83" s="3339">
        <f>(CV81+CV7)-CV36</f>
        <v>0</v>
      </c>
      <c r="CW83" s="3340"/>
      <c r="CX83" s="3341"/>
      <c r="CY83" s="3338">
        <f>(CY81)-CY36</f>
        <v>1151316.6950487315</v>
      </c>
      <c r="CZ83" s="3338">
        <f>(CZ81)-CZ36</f>
        <v>-111484.32</v>
      </c>
      <c r="DA83" s="3339">
        <f>(DA81)-DA36</f>
        <v>1039832.3750487318</v>
      </c>
      <c r="DB83" s="3340"/>
      <c r="DC83" s="3340"/>
    </row>
    <row r="84" spans="1:107" s="1411" customFormat="1" ht="14.4" thickBot="1" x14ac:dyDescent="0.3">
      <c r="A84" s="1420"/>
      <c r="B84" s="3368" t="s">
        <v>14</v>
      </c>
      <c r="C84" s="3344">
        <f>C83-C73-C82</f>
        <v>60890.266321839081</v>
      </c>
      <c r="D84" s="3344">
        <f>D83-D73-D82</f>
        <v>-43163</v>
      </c>
      <c r="E84" s="3344">
        <f>E83-E73-E82</f>
        <v>17727.266321839114</v>
      </c>
      <c r="F84" s="3345"/>
      <c r="G84" s="3345"/>
      <c r="H84" s="3344">
        <f>H83-H73-H82</f>
        <v>138296.88920108468</v>
      </c>
      <c r="I84" s="3344">
        <f>I83-I73-I82</f>
        <v>103549.68000000001</v>
      </c>
      <c r="J84" s="3344">
        <f>J83-J73-J82</f>
        <v>241846.56920108464</v>
      </c>
      <c r="K84" s="3345"/>
      <c r="L84" s="3345"/>
      <c r="M84" s="3344">
        <f>M83-M73-M82</f>
        <v>324158.03617556853</v>
      </c>
      <c r="N84" s="3344">
        <f>N83-N73-N82</f>
        <v>-21107</v>
      </c>
      <c r="O84" s="3344">
        <f>O83-O73-O82</f>
        <v>303051.03617556859</v>
      </c>
      <c r="P84" s="3345"/>
      <c r="Q84" s="3345"/>
      <c r="R84" s="3344">
        <f>R83-R73-R82</f>
        <v>-31961.961408165727</v>
      </c>
      <c r="S84" s="3344">
        <f>S83-S73-S82</f>
        <v>139370.68</v>
      </c>
      <c r="T84" s="3344">
        <f>T83-T73-T82</f>
        <v>107408.71859183432</v>
      </c>
      <c r="U84" s="3345"/>
      <c r="V84" s="3345"/>
      <c r="W84" s="3344">
        <f>W83-W73-W82</f>
        <v>234983.31584269661</v>
      </c>
      <c r="X84" s="3344">
        <f>X83-X73-X82</f>
        <v>-38335.57</v>
      </c>
      <c r="Y84" s="3344">
        <f>Y83-Y73-Y82</f>
        <v>196647.7458426966</v>
      </c>
      <c r="Z84" s="3345"/>
      <c r="AA84" s="3345"/>
      <c r="AB84" s="3344">
        <f>AB83-AB73-AB82</f>
        <v>127859.23228369257</v>
      </c>
      <c r="AC84" s="3344">
        <f>AC83-AC73-AC82</f>
        <v>-62551</v>
      </c>
      <c r="AD84" s="3344">
        <f>AD83-AD73-AD82</f>
        <v>65308.232283692574</v>
      </c>
      <c r="AE84" s="3345"/>
      <c r="AF84" s="3345"/>
      <c r="AG84" s="2873">
        <v>297090.91663201607</v>
      </c>
      <c r="AH84" s="2873">
        <v>-189248.11000000002</v>
      </c>
      <c r="AI84" s="3344">
        <v>107842.80663201597</v>
      </c>
      <c r="AJ84" s="3345"/>
      <c r="AK84" s="3345"/>
      <c r="AL84" s="2873">
        <f>AL83-AL73-AL82</f>
        <v>0</v>
      </c>
      <c r="AM84" s="2873">
        <f>AM83-AM73-AM82</f>
        <v>0</v>
      </c>
      <c r="AN84" s="3344">
        <f>AN83-AN73-AN82</f>
        <v>0</v>
      </c>
      <c r="AO84" s="3345"/>
      <c r="AP84" s="3345"/>
      <c r="AQ84" s="3344">
        <f>AQ83-AQ73-AQ82</f>
        <v>0</v>
      </c>
      <c r="AR84" s="3344">
        <f>AR83-AR73-AR82</f>
        <v>0</v>
      </c>
      <c r="AS84" s="3344">
        <f>AS83-AS73-AS82</f>
        <v>0</v>
      </c>
      <c r="AT84" s="3345"/>
      <c r="AU84" s="3345"/>
      <c r="AV84" s="3344">
        <f>AV83-AV73-AV82</f>
        <v>0</v>
      </c>
      <c r="AW84" s="3344">
        <f>AW83-AW73-AW82</f>
        <v>0</v>
      </c>
      <c r="AX84" s="3344">
        <f>AX83-AX73-AX82</f>
        <v>0</v>
      </c>
      <c r="AY84" s="3345"/>
      <c r="AZ84" s="3345"/>
      <c r="BA84" s="3344">
        <f>BA83-BA73-BA82</f>
        <v>0</v>
      </c>
      <c r="BB84" s="3344">
        <f>BB83-BB73-BB82</f>
        <v>0</v>
      </c>
      <c r="BC84" s="3344">
        <f>BC83-BC73-BC82</f>
        <v>0</v>
      </c>
      <c r="BD84" s="3345"/>
      <c r="BE84" s="3345"/>
      <c r="BF84" s="3344">
        <f>BF83-BF73-BF82</f>
        <v>0</v>
      </c>
      <c r="BG84" s="3344">
        <f>BG83-BG73-BG82</f>
        <v>0</v>
      </c>
      <c r="BH84" s="3344">
        <f>BH83-BH73-BH82</f>
        <v>0</v>
      </c>
      <c r="BI84" s="3345"/>
      <c r="BJ84" s="3345"/>
      <c r="BK84" s="3344">
        <f>BK83-BK73-BK82</f>
        <v>0</v>
      </c>
      <c r="BL84" s="3344">
        <f>BL83-BL73-BL82</f>
        <v>0</v>
      </c>
      <c r="BM84" s="3344">
        <f>BM83-BM73-BM82</f>
        <v>0</v>
      </c>
      <c r="BN84" s="3345"/>
      <c r="BO84" s="3345"/>
      <c r="BP84" s="3344">
        <f>BP83-BP73-BP82</f>
        <v>0</v>
      </c>
      <c r="BQ84" s="3344">
        <f>BQ83-BQ73-BQ82</f>
        <v>0</v>
      </c>
      <c r="BR84" s="3344">
        <f>BR83-BR73-BR82</f>
        <v>0</v>
      </c>
      <c r="BS84" s="3345"/>
      <c r="BT84" s="3345"/>
      <c r="BU84" s="3344">
        <f>BU83-BU73-BU82</f>
        <v>0</v>
      </c>
      <c r="BV84" s="3344">
        <f>BV83-BV73-BV82</f>
        <v>0</v>
      </c>
      <c r="BW84" s="3344">
        <f>BW83-BW73-BW82</f>
        <v>0</v>
      </c>
      <c r="BX84" s="2874"/>
      <c r="BY84" s="3342"/>
      <c r="BZ84" s="3344">
        <f>BZ83-BZ73-BZ82</f>
        <v>0</v>
      </c>
      <c r="CA84" s="3344">
        <f>CA83-CA73-CA82</f>
        <v>0</v>
      </c>
      <c r="CB84" s="3344">
        <f>CB83-CB73-CB82</f>
        <v>0</v>
      </c>
      <c r="CC84" s="2874"/>
      <c r="CD84" s="3343"/>
      <c r="CE84" s="3344">
        <f>CE83-CE73-CE82</f>
        <v>0</v>
      </c>
      <c r="CF84" s="3344">
        <f>CF83-CF73-CF82</f>
        <v>0</v>
      </c>
      <c r="CG84" s="3344">
        <f>CG83-CG73-CG82</f>
        <v>0</v>
      </c>
      <c r="CH84" s="2874"/>
      <c r="CI84" s="3343"/>
      <c r="CJ84" s="3344">
        <f>CJ83-CJ73-CJ82</f>
        <v>0</v>
      </c>
      <c r="CK84" s="3344">
        <f>CK83-CK73-CK82</f>
        <v>0</v>
      </c>
      <c r="CL84" s="3344">
        <f>CL83-CL73-CL82</f>
        <v>0</v>
      </c>
      <c r="CM84" s="2874"/>
      <c r="CN84" s="3343"/>
      <c r="CO84" s="3344">
        <f>CO83-CO73-CO82</f>
        <v>0</v>
      </c>
      <c r="CP84" s="3344">
        <f>CP83-CP73-CP82</f>
        <v>0</v>
      </c>
      <c r="CQ84" s="3344">
        <f>CQ83-CQ73-CQ82</f>
        <v>0</v>
      </c>
      <c r="CR84" s="2874"/>
      <c r="CS84" s="3343"/>
      <c r="CT84" s="3344">
        <f>CT83-CT73-CT82</f>
        <v>0</v>
      </c>
      <c r="CU84" s="3344">
        <f>CU83-CU73-CU82</f>
        <v>0</v>
      </c>
      <c r="CV84" s="3344">
        <f>CV83-CV73-CV82</f>
        <v>0</v>
      </c>
      <c r="CW84" s="2874"/>
      <c r="CX84" s="3343"/>
      <c r="CY84" s="2873">
        <f>CY83-CY73-CY82</f>
        <v>1151316.6950487315</v>
      </c>
      <c r="CZ84" s="2873">
        <f>CZ83-CZ73-CZ82</f>
        <v>-111484.32</v>
      </c>
      <c r="DA84" s="3344">
        <f>DA83-DA73-DA82</f>
        <v>1039832.3750487318</v>
      </c>
      <c r="DB84" s="3345"/>
      <c r="DC84" s="3345"/>
    </row>
    <row r="85" spans="1:107" s="1411" customFormat="1" ht="13.8" x14ac:dyDescent="0.25">
      <c r="A85" s="1580"/>
      <c r="B85" s="1415" t="s">
        <v>44</v>
      </c>
      <c r="C85" s="3280"/>
      <c r="D85" s="3280"/>
      <c r="E85" s="2141">
        <f>C85+D85*1.15</f>
        <v>0</v>
      </c>
      <c r="F85" s="3352"/>
      <c r="G85" s="3352"/>
      <c r="H85" s="3280"/>
      <c r="I85" s="3280"/>
      <c r="J85" s="2141">
        <f>H85+I85*1.15</f>
        <v>0</v>
      </c>
      <c r="K85" s="3352"/>
      <c r="L85" s="3352"/>
      <c r="M85" s="3280"/>
      <c r="N85" s="3280"/>
      <c r="O85" s="2141">
        <f>M85+N85*1.15</f>
        <v>0</v>
      </c>
      <c r="P85" s="3352"/>
      <c r="Q85" s="3352"/>
      <c r="R85" s="3280"/>
      <c r="S85" s="3280"/>
      <c r="T85" s="2141">
        <f>R85+S85*1.15</f>
        <v>0</v>
      </c>
      <c r="U85" s="3352"/>
      <c r="V85" s="3352"/>
      <c r="W85" s="3280"/>
      <c r="X85" s="3280"/>
      <c r="Y85" s="2141">
        <f>W85+X85*1.15</f>
        <v>0</v>
      </c>
      <c r="Z85" s="3352"/>
      <c r="AA85" s="3352"/>
      <c r="AB85" s="3280"/>
      <c r="AC85" s="3280"/>
      <c r="AD85" s="2141">
        <f>AB85+AC85*1.15</f>
        <v>0</v>
      </c>
      <c r="AE85" s="3352"/>
      <c r="AF85" s="3352"/>
      <c r="AG85" s="3274">
        <v>0</v>
      </c>
      <c r="AH85" s="3274">
        <v>0</v>
      </c>
      <c r="AI85" s="2141">
        <v>0</v>
      </c>
      <c r="AJ85" s="3352"/>
      <c r="AK85" s="3352"/>
      <c r="AL85" s="3274">
        <f>AQ85+AV85+BA85+BF85+BK85+BP85+BU85+BZ85+CE85+CJ85+CO85+CT85</f>
        <v>0</v>
      </c>
      <c r="AM85" s="3274">
        <f>AR85+AW85+BB85+BG85+BL85+BQ85+BV85+CA85+CF85+CK85+CP85+CU85</f>
        <v>0</v>
      </c>
      <c r="AN85" s="2141">
        <f>AL85+AM85*1.15</f>
        <v>0</v>
      </c>
      <c r="AO85" s="3352"/>
      <c r="AP85" s="3352"/>
      <c r="AQ85" s="3280"/>
      <c r="AR85" s="3280"/>
      <c r="AS85" s="2141">
        <f>AQ85+AR85*1.15</f>
        <v>0</v>
      </c>
      <c r="AT85" s="3352"/>
      <c r="AU85" s="3352"/>
      <c r="AV85" s="3280"/>
      <c r="AW85" s="3280"/>
      <c r="AX85" s="2141">
        <v>0</v>
      </c>
      <c r="AY85" s="3352"/>
      <c r="AZ85" s="3369"/>
      <c r="BA85" s="3280"/>
      <c r="BB85" s="3280"/>
      <c r="BC85" s="2141"/>
      <c r="BD85" s="3352"/>
      <c r="BE85" s="3370"/>
      <c r="BF85" s="3280"/>
      <c r="BG85" s="3379">
        <f>(BH38/2*0.885+BC38)*0</f>
        <v>0</v>
      </c>
      <c r="BH85" s="1358"/>
      <c r="BI85" s="3372"/>
      <c r="BJ85" s="3369"/>
      <c r="BK85" s="3280"/>
      <c r="BL85" s="3371">
        <f>(BM38/2*0.885+BH38)*0</f>
        <v>0</v>
      </c>
      <c r="BM85" s="1358"/>
      <c r="BN85" s="3372"/>
      <c r="BO85" s="3369"/>
      <c r="BP85" s="3280"/>
      <c r="BQ85" s="3371">
        <f>(BR38/2*0.885+BM38)*0</f>
        <v>0</v>
      </c>
      <c r="BR85" s="1358"/>
      <c r="BS85" s="3372"/>
      <c r="BT85" s="3369"/>
      <c r="BU85" s="3280"/>
      <c r="BV85" s="3373"/>
      <c r="BW85" s="1874">
        <f>BU85+BV85</f>
        <v>0</v>
      </c>
      <c r="BX85" s="3351"/>
      <c r="BZ85" s="3280"/>
      <c r="CA85" s="3373"/>
      <c r="CB85" s="1874">
        <f>BZ85+CA85</f>
        <v>0</v>
      </c>
      <c r="CC85" s="3351"/>
      <c r="CE85" s="3280"/>
      <c r="CF85" s="3373"/>
      <c r="CG85" s="1874">
        <f>CE85+CF85</f>
        <v>0</v>
      </c>
      <c r="CH85" s="3351"/>
      <c r="CJ85" s="3280"/>
      <c r="CK85" s="3373"/>
      <c r="CL85" s="1874">
        <f>CJ85+CK85</f>
        <v>0</v>
      </c>
      <c r="CM85" s="3351"/>
      <c r="CO85" s="3280"/>
      <c r="CP85" s="3373"/>
      <c r="CQ85" s="1874">
        <f>CO85+CP85</f>
        <v>0</v>
      </c>
      <c r="CR85" s="3351"/>
      <c r="CT85" s="3280"/>
      <c r="CU85" s="3373"/>
      <c r="CV85" s="1874">
        <f>CT85+CU85</f>
        <v>0</v>
      </c>
      <c r="CW85" s="3351"/>
      <c r="CY85" s="3274">
        <f>C85+H85+M85+R85+W85+AB85+AQ85+AV85+BA85+BF85+BK85+BP85+BU85+BZ85+CE85+CJ85+CO85+CT85+AG85</f>
        <v>0</v>
      </c>
      <c r="CZ85" s="3274">
        <f>D85+I85+N85+S85+X85+AC85+AR85+AW85+BB85+BG85+BL85+BQ85+BV85+CA85+CF85+CK85+CP85+CU85+AH85</f>
        <v>0</v>
      </c>
      <c r="DA85" s="2141">
        <f>CY85+CZ85*1.15</f>
        <v>0</v>
      </c>
      <c r="DB85" s="3352"/>
      <c r="DC85" s="3352"/>
    </row>
    <row r="86" spans="1:107" s="1411" customFormat="1" ht="27.6" x14ac:dyDescent="0.25">
      <c r="A86" s="1420"/>
      <c r="B86" s="3353" t="s">
        <v>50</v>
      </c>
      <c r="C86" s="3354">
        <f>C84-C85</f>
        <v>60890.266321839081</v>
      </c>
      <c r="D86" s="3354">
        <f>D84-D85</f>
        <v>-43163</v>
      </c>
      <c r="E86" s="3354">
        <f>E84-E85</f>
        <v>17727.266321839114</v>
      </c>
      <c r="F86" s="3355"/>
      <c r="G86" s="3355"/>
      <c r="H86" s="3354">
        <f>H84-H85</f>
        <v>138296.88920108468</v>
      </c>
      <c r="I86" s="3354">
        <f>I84-I85</f>
        <v>103549.68000000001</v>
      </c>
      <c r="J86" s="3354">
        <f>J84-J85</f>
        <v>241846.56920108464</v>
      </c>
      <c r="K86" s="3355"/>
      <c r="L86" s="3355"/>
      <c r="M86" s="3354">
        <f>M84-M85</f>
        <v>324158.03617556853</v>
      </c>
      <c r="N86" s="3354">
        <f>N84-N85</f>
        <v>-21107</v>
      </c>
      <c r="O86" s="3354">
        <f>O84-O85</f>
        <v>303051.03617556859</v>
      </c>
      <c r="P86" s="3355"/>
      <c r="Q86" s="3355"/>
      <c r="R86" s="3354">
        <f>R84-R85</f>
        <v>-31961.961408165727</v>
      </c>
      <c r="S86" s="3354">
        <f>S84-S85</f>
        <v>139370.68</v>
      </c>
      <c r="T86" s="3354">
        <f>T84-T85</f>
        <v>107408.71859183432</v>
      </c>
      <c r="U86" s="3355"/>
      <c r="V86" s="3355"/>
      <c r="W86" s="3354">
        <f>W84-W85</f>
        <v>234983.31584269661</v>
      </c>
      <c r="X86" s="3354">
        <f>X84-X85</f>
        <v>-38335.57</v>
      </c>
      <c r="Y86" s="3354">
        <f>Y84-Y85</f>
        <v>196647.7458426966</v>
      </c>
      <c r="Z86" s="3355"/>
      <c r="AA86" s="3355"/>
      <c r="AB86" s="3354">
        <f>AB84-AB85</f>
        <v>127859.23228369257</v>
      </c>
      <c r="AC86" s="3354">
        <f>AC84-AC85</f>
        <v>-62551</v>
      </c>
      <c r="AD86" s="3354">
        <f>AD84-AD85</f>
        <v>65308.232283692574</v>
      </c>
      <c r="AE86" s="3355"/>
      <c r="AF86" s="3355"/>
      <c r="AG86" s="3354">
        <v>297090.91663201607</v>
      </c>
      <c r="AH86" s="3354">
        <v>-189248.11000000002</v>
      </c>
      <c r="AI86" s="3354">
        <v>107842.80663201597</v>
      </c>
      <c r="AJ86" s="3355"/>
      <c r="AK86" s="3355"/>
      <c r="AL86" s="3354">
        <f>AL84-AL85</f>
        <v>0</v>
      </c>
      <c r="AM86" s="3354">
        <f>AM84-AM85</f>
        <v>0</v>
      </c>
      <c r="AN86" s="3354">
        <f>AN84-AN85</f>
        <v>0</v>
      </c>
      <c r="AO86" s="3355"/>
      <c r="AP86" s="3355"/>
      <c r="AQ86" s="3354">
        <f>AQ84-AQ85</f>
        <v>0</v>
      </c>
      <c r="AR86" s="3354">
        <f>AR84-AR85</f>
        <v>0</v>
      </c>
      <c r="AS86" s="3354">
        <f>AS84-AS85</f>
        <v>0</v>
      </c>
      <c r="AT86" s="3355"/>
      <c r="AU86" s="3355"/>
      <c r="AV86" s="3354">
        <f>AV84-AV85</f>
        <v>0</v>
      </c>
      <c r="AW86" s="3354">
        <f>AW84-AW85</f>
        <v>0</v>
      </c>
      <c r="AX86" s="3354">
        <f>AX84-AX85</f>
        <v>0</v>
      </c>
      <c r="AY86" s="3355"/>
      <c r="AZ86" s="3355"/>
      <c r="BA86" s="3354">
        <f>BA84-BA85</f>
        <v>0</v>
      </c>
      <c r="BB86" s="3354">
        <f>BB84-BB85</f>
        <v>0</v>
      </c>
      <c r="BC86" s="3354">
        <f>BC84</f>
        <v>0</v>
      </c>
      <c r="BD86" s="3355"/>
      <c r="BE86" s="3355"/>
      <c r="BF86" s="3354">
        <f>BF84-BF85</f>
        <v>0</v>
      </c>
      <c r="BG86" s="3354">
        <f>BG84-BG85</f>
        <v>0</v>
      </c>
      <c r="BH86" s="3354">
        <f>BH84</f>
        <v>0</v>
      </c>
      <c r="BI86" s="3355"/>
      <c r="BJ86" s="3355"/>
      <c r="BK86" s="3354">
        <f>BK84-BK85</f>
        <v>0</v>
      </c>
      <c r="BL86" s="3354">
        <f>BL84-BL85</f>
        <v>0</v>
      </c>
      <c r="BM86" s="3354">
        <f>BM84</f>
        <v>0</v>
      </c>
      <c r="BN86" s="3355"/>
      <c r="BO86" s="3355"/>
      <c r="BP86" s="3354">
        <f>BP84-BP85</f>
        <v>0</v>
      </c>
      <c r="BQ86" s="3354">
        <f>BQ84-BQ85</f>
        <v>0</v>
      </c>
      <c r="BR86" s="3354">
        <f>BR84</f>
        <v>0</v>
      </c>
      <c r="BS86" s="3355"/>
      <c r="BT86" s="3355"/>
      <c r="BU86" s="3354">
        <f>BU84-BU85</f>
        <v>0</v>
      </c>
      <c r="BV86" s="3354">
        <f>BV84-BV85</f>
        <v>0</v>
      </c>
      <c r="BW86" s="3354">
        <f>BW84-BW85</f>
        <v>0</v>
      </c>
      <c r="BX86" s="3355"/>
      <c r="BY86" s="3355"/>
      <c r="BZ86" s="3354">
        <f>BZ84-BZ85</f>
        <v>0</v>
      </c>
      <c r="CA86" s="3354">
        <f>CA84-CA85</f>
        <v>0</v>
      </c>
      <c r="CB86" s="3354">
        <f>CB84-CB85</f>
        <v>0</v>
      </c>
      <c r="CC86" s="3355"/>
      <c r="CD86" s="3355"/>
      <c r="CE86" s="3354">
        <f>CE84-CE85</f>
        <v>0</v>
      </c>
      <c r="CF86" s="3354">
        <f>CF84-CF85</f>
        <v>0</v>
      </c>
      <c r="CG86" s="3354">
        <f>CG84-CG85</f>
        <v>0</v>
      </c>
      <c r="CH86" s="3355"/>
      <c r="CI86" s="3355"/>
      <c r="CJ86" s="3354">
        <f>CJ84-CJ85</f>
        <v>0</v>
      </c>
      <c r="CK86" s="3354">
        <f>CK84-CK85</f>
        <v>0</v>
      </c>
      <c r="CL86" s="3354">
        <f>CL84-CL85</f>
        <v>0</v>
      </c>
      <c r="CM86" s="3355"/>
      <c r="CN86" s="3355"/>
      <c r="CO86" s="3354">
        <f>CO84-CO85</f>
        <v>0</v>
      </c>
      <c r="CP86" s="3354">
        <f>CP84-CP85</f>
        <v>0</v>
      </c>
      <c r="CQ86" s="3354">
        <f>CQ84-CQ85</f>
        <v>0</v>
      </c>
      <c r="CR86" s="3355"/>
      <c r="CS86" s="3355"/>
      <c r="CT86" s="3354">
        <f>CT84-CT85</f>
        <v>0</v>
      </c>
      <c r="CU86" s="3354">
        <f>CU84-CU85</f>
        <v>0</v>
      </c>
      <c r="CV86" s="3354">
        <f>CV84-CV85</f>
        <v>0</v>
      </c>
      <c r="CW86" s="3355"/>
      <c r="CX86" s="3355"/>
      <c r="CY86" s="3354">
        <f>CY84-CY85</f>
        <v>1151316.6950487315</v>
      </c>
      <c r="CZ86" s="3354">
        <f>CZ84-CZ85</f>
        <v>-111484.32</v>
      </c>
      <c r="DA86" s="3354">
        <f>DA84-DA85</f>
        <v>1039832.3750487318</v>
      </c>
      <c r="DB86" s="3355"/>
      <c r="DC86" s="3355"/>
    </row>
    <row r="87" spans="1:107" s="1411" customFormat="1" ht="14.4" thickBot="1" x14ac:dyDescent="0.3">
      <c r="A87" s="1582"/>
      <c r="B87" s="3356" t="s">
        <v>51</v>
      </c>
      <c r="C87" s="2877">
        <f>C86/C5</f>
        <v>0.19313076098020515</v>
      </c>
      <c r="D87" s="2878" t="e">
        <f>D86/D5</f>
        <v>#DIV/0!</v>
      </c>
      <c r="E87" s="2879">
        <f>E86/E5</f>
        <v>5.6227056336713759E-2</v>
      </c>
      <c r="F87" s="2881"/>
      <c r="G87" s="2881"/>
      <c r="H87" s="2877">
        <f>H86/H5</f>
        <v>0.44409050659273985</v>
      </c>
      <c r="I87" s="2878">
        <f>I86/I5</f>
        <v>0.72685008661861694</v>
      </c>
      <c r="J87" s="2879">
        <f>J86/J5</f>
        <v>0.53284300330106193</v>
      </c>
      <c r="K87" s="2881"/>
      <c r="L87" s="2881"/>
      <c r="M87" s="2877">
        <f>M86/M5</f>
        <v>0.66462140200816799</v>
      </c>
      <c r="N87" s="2878" t="e">
        <f>N86/N5</f>
        <v>#DIV/0!</v>
      </c>
      <c r="O87" s="2879">
        <f>O86/O5</f>
        <v>0.62134570815929324</v>
      </c>
      <c r="P87" s="2881"/>
      <c r="Q87" s="2881"/>
      <c r="R87" s="2877">
        <f>R86/R5</f>
        <v>-0.26061208614809234</v>
      </c>
      <c r="S87" s="2878">
        <f>S86/S5</f>
        <v>0.83779578489245821</v>
      </c>
      <c r="T87" s="2879">
        <f>T86/T5</f>
        <v>0.37166173842547356</v>
      </c>
      <c r="U87" s="2881"/>
      <c r="V87" s="2881"/>
      <c r="W87" s="2877">
        <f>W86/W5</f>
        <v>0.69775079899682035</v>
      </c>
      <c r="X87" s="2878" t="e">
        <f>X86/X5</f>
        <v>#DIV/0!</v>
      </c>
      <c r="Y87" s="2879">
        <f>Y86/Y5</f>
        <v>0.58391857009336601</v>
      </c>
      <c r="Z87" s="2881"/>
      <c r="AA87" s="2881"/>
      <c r="AB87" s="2877">
        <f>AB86/AB5</f>
        <v>0.46005768668571018</v>
      </c>
      <c r="AC87" s="2878" t="e">
        <f>AC86/AC5</f>
        <v>#DIV/0!</v>
      </c>
      <c r="AD87" s="2879">
        <f>AD86/AD5</f>
        <v>0.23498932168858871</v>
      </c>
      <c r="AE87" s="2881"/>
      <c r="AF87" s="2881"/>
      <c r="AG87" s="2877">
        <v>0.21226982586984247</v>
      </c>
      <c r="AH87" s="2878">
        <v>-5.5230733985116016</v>
      </c>
      <c r="AI87" s="2879">
        <v>7.5211746614158359E-2</v>
      </c>
      <c r="AJ87" s="2881"/>
      <c r="AK87" s="2881"/>
      <c r="AL87" s="2877" t="e">
        <f>AL86/AL5</f>
        <v>#DIV/0!</v>
      </c>
      <c r="AM87" s="2878" t="e">
        <f>AM86/AM5</f>
        <v>#DIV/0!</v>
      </c>
      <c r="AN87" s="2879" t="e">
        <f>AN86/AN5</f>
        <v>#DIV/0!</v>
      </c>
      <c r="AO87" s="2881"/>
      <c r="AP87" s="2881"/>
      <c r="AQ87" s="2877" t="e">
        <f>AQ86/AQ5</f>
        <v>#DIV/0!</v>
      </c>
      <c r="AR87" s="2878" t="e">
        <f>AR86/AR5</f>
        <v>#DIV/0!</v>
      </c>
      <c r="AS87" s="2879" t="e">
        <f>AS86/AS5</f>
        <v>#DIV/0!</v>
      </c>
      <c r="AT87" s="2881"/>
      <c r="AU87" s="2881"/>
      <c r="AV87" s="2877" t="e">
        <f>AV86/AV5</f>
        <v>#DIV/0!</v>
      </c>
      <c r="AW87" s="2878" t="e">
        <f>AW86/AW5</f>
        <v>#DIV/0!</v>
      </c>
      <c r="AX87" s="2879" t="e">
        <f>AX86/AX5</f>
        <v>#DIV/0!</v>
      </c>
      <c r="AY87" s="2881"/>
      <c r="AZ87" s="2881"/>
      <c r="BA87" s="2877" t="e">
        <f>BA86/BA5</f>
        <v>#DIV/0!</v>
      </c>
      <c r="BB87" s="2878" t="e">
        <f>BB86/BB5</f>
        <v>#DIV/0!</v>
      </c>
      <c r="BC87" s="2879" t="e">
        <f>BC86/BC5</f>
        <v>#DIV/0!</v>
      </c>
      <c r="BD87" s="2881"/>
      <c r="BE87" s="2881"/>
      <c r="BF87" s="2877" t="e">
        <f>BF86/BF5</f>
        <v>#DIV/0!</v>
      </c>
      <c r="BG87" s="2878" t="e">
        <f>BG86/BG5</f>
        <v>#DIV/0!</v>
      </c>
      <c r="BH87" s="2879" t="e">
        <f>BH86/BH5</f>
        <v>#DIV/0!</v>
      </c>
      <c r="BI87" s="2881"/>
      <c r="BJ87" s="2881"/>
      <c r="BK87" s="2877" t="e">
        <f>BK86/BK5</f>
        <v>#DIV/0!</v>
      </c>
      <c r="BL87" s="2878" t="e">
        <f>BL86/BL5</f>
        <v>#DIV/0!</v>
      </c>
      <c r="BM87" s="2879" t="e">
        <f>BM86/BM5</f>
        <v>#DIV/0!</v>
      </c>
      <c r="BN87" s="2881"/>
      <c r="BO87" s="2881"/>
      <c r="BP87" s="2877" t="e">
        <f>BP86/BP5</f>
        <v>#DIV/0!</v>
      </c>
      <c r="BQ87" s="2878" t="e">
        <f>BQ86/BQ5</f>
        <v>#DIV/0!</v>
      </c>
      <c r="BR87" s="2879" t="e">
        <f>BR86/BR5</f>
        <v>#DIV/0!</v>
      </c>
      <c r="BS87" s="2881"/>
      <c r="BT87" s="2881"/>
      <c r="BU87" s="2877" t="e">
        <f>BU86/BU5</f>
        <v>#DIV/0!</v>
      </c>
      <c r="BV87" s="2878" t="e">
        <f>BV86/BV5</f>
        <v>#DIV/0!</v>
      </c>
      <c r="BW87" s="2879" t="e">
        <f>BW86/BW5</f>
        <v>#DIV/0!</v>
      </c>
      <c r="BX87" s="2881"/>
      <c r="BY87" s="2881"/>
      <c r="BZ87" s="2877" t="e">
        <f>BZ86/BZ5</f>
        <v>#DIV/0!</v>
      </c>
      <c r="CA87" s="2878" t="e">
        <f>CA86/CA5</f>
        <v>#DIV/0!</v>
      </c>
      <c r="CB87" s="2879" t="e">
        <f>CB86/CB5</f>
        <v>#DIV/0!</v>
      </c>
      <c r="CC87" s="2881"/>
      <c r="CD87" s="3139"/>
      <c r="CE87" s="2877" t="e">
        <f>CE86/CE5</f>
        <v>#DIV/0!</v>
      </c>
      <c r="CF87" s="2878" t="e">
        <f>CF86/CF5</f>
        <v>#DIV/0!</v>
      </c>
      <c r="CG87" s="2879" t="e">
        <f>CG86/CG5</f>
        <v>#DIV/0!</v>
      </c>
      <c r="CH87" s="2881"/>
      <c r="CI87" s="3139"/>
      <c r="CJ87" s="2877" t="e">
        <f>CJ86/CJ5</f>
        <v>#DIV/0!</v>
      </c>
      <c r="CK87" s="2878" t="e">
        <f>CK86/CK5</f>
        <v>#DIV/0!</v>
      </c>
      <c r="CL87" s="2879" t="e">
        <f>CL86/CL5</f>
        <v>#DIV/0!</v>
      </c>
      <c r="CM87" s="2881"/>
      <c r="CN87" s="3139"/>
      <c r="CO87" s="2877" t="e">
        <f>CO86/CO5</f>
        <v>#DIV/0!</v>
      </c>
      <c r="CP87" s="2878" t="e">
        <f>CP86/CP5</f>
        <v>#DIV/0!</v>
      </c>
      <c r="CQ87" s="2879" t="e">
        <f>CQ86/CQ5</f>
        <v>#DIV/0!</v>
      </c>
      <c r="CR87" s="2881"/>
      <c r="CS87" s="3139"/>
      <c r="CT87" s="2877" t="e">
        <f>CT86/CT5</f>
        <v>#DIV/0!</v>
      </c>
      <c r="CU87" s="2878" t="e">
        <f>CU86/CU5</f>
        <v>#DIV/0!</v>
      </c>
      <c r="CV87" s="2879" t="e">
        <f>CV86/CV5</f>
        <v>#DIV/0!</v>
      </c>
      <c r="CW87" s="2881"/>
      <c r="CX87" s="3139"/>
      <c r="CY87" s="2877">
        <f>CY86/CY5</f>
        <v>0.35410368729276381</v>
      </c>
      <c r="CZ87" s="2878">
        <f>CZ86/CZ5</f>
        <v>-0.32494891900667655</v>
      </c>
      <c r="DA87" s="2879">
        <f>DA86/DA5</f>
        <v>0.28928933306555249</v>
      </c>
      <c r="DB87" s="2881"/>
      <c r="DC87" s="2881"/>
    </row>
    <row r="88" spans="1:107" ht="13.8" x14ac:dyDescent="0.25">
      <c r="A88" s="1438"/>
      <c r="B88" s="1438"/>
      <c r="C88" s="1970"/>
      <c r="D88" s="1970"/>
      <c r="E88" s="1970"/>
      <c r="F88" s="1970"/>
      <c r="G88" s="1970"/>
      <c r="H88" s="1970"/>
      <c r="I88" s="1970"/>
      <c r="J88" s="1970"/>
      <c r="K88" s="1970"/>
      <c r="L88" s="1970"/>
      <c r="M88" s="1970"/>
      <c r="N88" s="1970"/>
      <c r="O88" s="1970"/>
      <c r="P88" s="1970"/>
      <c r="Q88" s="1970"/>
      <c r="R88" s="1970"/>
      <c r="S88" s="1970"/>
      <c r="T88" s="1970"/>
      <c r="U88" s="1970"/>
      <c r="V88" s="1970"/>
      <c r="W88" s="1970"/>
      <c r="X88" s="1970"/>
      <c r="Y88" s="1970"/>
      <c r="Z88" s="1970"/>
      <c r="AA88" s="1970"/>
      <c r="AB88" s="1970"/>
      <c r="AC88" s="1970"/>
      <c r="AD88" s="1970"/>
      <c r="AE88" s="1970"/>
      <c r="AF88" s="1970"/>
      <c r="AG88" s="1970"/>
      <c r="AH88" s="1970"/>
      <c r="AI88" s="1970"/>
      <c r="AJ88" s="1970"/>
      <c r="AK88" s="1970"/>
      <c r="AL88" s="1970"/>
      <c r="AM88" s="1970"/>
      <c r="AN88" s="1970"/>
      <c r="AO88" s="1970"/>
      <c r="AP88" s="1970"/>
      <c r="AQ88" s="1970"/>
      <c r="AR88" s="1970"/>
      <c r="AS88" s="1970"/>
      <c r="AT88" s="1970"/>
      <c r="AU88" s="1970"/>
      <c r="AV88" s="1970"/>
      <c r="AW88" s="1970"/>
      <c r="AX88" s="1970"/>
      <c r="AY88" s="1970"/>
      <c r="AZ88" s="1970"/>
      <c r="BA88" s="1970"/>
      <c r="BB88" s="1970"/>
      <c r="BC88" s="1970"/>
      <c r="BD88" s="1970"/>
      <c r="BE88" s="1970"/>
      <c r="BF88" s="1970"/>
      <c r="BG88" s="1970"/>
      <c r="BH88" s="1970"/>
      <c r="BI88" s="1970"/>
      <c r="BJ88" s="1970"/>
      <c r="BK88" s="1970"/>
      <c r="BL88" s="1970"/>
      <c r="BM88" s="1970"/>
      <c r="BN88" s="1970"/>
      <c r="BO88" s="1970"/>
      <c r="BP88" s="1970"/>
      <c r="BQ88" s="1970"/>
      <c r="BR88" s="1970"/>
      <c r="BS88" s="1970"/>
      <c r="BT88" s="1970"/>
      <c r="BU88" s="1970"/>
      <c r="BV88" s="1970"/>
      <c r="BW88" s="1970"/>
      <c r="BX88" s="1970"/>
      <c r="BY88" s="1970"/>
      <c r="BZ88" s="1970"/>
      <c r="CA88" s="1970"/>
      <c r="CB88" s="1970"/>
      <c r="CC88" s="1970"/>
      <c r="CD88" s="1970"/>
      <c r="CE88" s="1970"/>
      <c r="CF88" s="1970"/>
      <c r="CG88" s="1970"/>
      <c r="CH88" s="1970"/>
      <c r="CI88" s="1970"/>
      <c r="CJ88" s="1970"/>
      <c r="CK88" s="1970"/>
      <c r="CL88" s="1970"/>
      <c r="CM88" s="1970"/>
      <c r="CN88" s="1970"/>
      <c r="CO88" s="1970"/>
      <c r="CP88" s="1970"/>
      <c r="CQ88" s="1970"/>
      <c r="CR88" s="1970"/>
      <c r="CS88" s="1970"/>
      <c r="CT88" s="1970"/>
      <c r="CU88" s="1970"/>
      <c r="CV88" s="1970"/>
      <c r="CW88" s="1970"/>
      <c r="CX88" s="1970"/>
      <c r="CY88" s="1970"/>
      <c r="CZ88" s="1970"/>
      <c r="DA88" s="1970"/>
      <c r="DB88" s="1970"/>
      <c r="DC88" s="1970"/>
    </row>
    <row r="89" spans="1:107" x14ac:dyDescent="0.25">
      <c r="B89" s="1577" t="s">
        <v>56</v>
      </c>
      <c r="E89" s="1976">
        <f>E8+E36+E41+E50+E54+E73+E79+E82+E85</f>
        <v>297552.73367816088</v>
      </c>
      <c r="J89" s="1976">
        <f>J8+J36+J41+J50+J54+J73+J79+J82+J85</f>
        <v>212033.03079891534</v>
      </c>
      <c r="O89" s="1976">
        <f>O8+O36+O41+O50+O54+O73+O79+O82+O85</f>
        <v>184682.33382443144</v>
      </c>
      <c r="T89" s="1976">
        <f>T8+T36+T41+T50+T54+T73+T79+T82+T85</f>
        <v>181587.18140816569</v>
      </c>
      <c r="Y89" s="1976">
        <f>Y8+Y36+Y41+Y50+Y54+Y73+Y79+Y82+Y85</f>
        <v>140124.80415730338</v>
      </c>
      <c r="AD89" s="1976">
        <f>AD8+AD36+AD41+AD50+AD54+AD73+AD79+AD82+AD85</f>
        <v>212611.76771630743</v>
      </c>
      <c r="AI89" s="1976">
        <f>AI8+AI36+AI41+AI50+AI54+AI73+AI79+AI82+AI85</f>
        <v>1326013.0933679838</v>
      </c>
      <c r="AN89" s="1976">
        <f>AN8+AN36+AN41+AN50+AN54+AN73+AN79+AN82+AN85</f>
        <v>0</v>
      </c>
      <c r="AS89" s="1976">
        <f>AS8+AS36+AS41+AS50+AS54+AS73+AS79+AS82+AS85</f>
        <v>0</v>
      </c>
      <c r="AX89" s="1976">
        <f>AX8+AX36+AX41+AX50+AX54+AX73+AX79+AX82+AX85</f>
        <v>0</v>
      </c>
      <c r="BC89" s="1976">
        <f>BC8+BC36+BC41+BC50+BC54+BC73+BC79+BC82+BC85</f>
        <v>0</v>
      </c>
      <c r="BH89" s="1976">
        <f>BH8+BH36+BH41+BH50+BH54+BH73+BH79+BH82+BH85</f>
        <v>0</v>
      </c>
      <c r="BM89" s="1976">
        <f>BM8+BM36+BM41+BM50+BM54+BM73+BM79+BM82+BM85</f>
        <v>0</v>
      </c>
      <c r="BR89" s="1976">
        <f>BR8+BR36+BR41+BR50+BR54+BR73+BR79+BR82+BR85</f>
        <v>0</v>
      </c>
      <c r="BW89" s="1976">
        <f>BW8+BW36+BW41+BW50+BW54+BW73+BW79+BW82+BW85</f>
        <v>0</v>
      </c>
      <c r="CB89" s="1976">
        <f>CB8+CB36+CB41+CB50+CB54+CB73+CB79+CB82+CB85</f>
        <v>0</v>
      </c>
      <c r="CG89" s="1976">
        <f>CG8+CG36+CG41+CG50+CG54+CG73+CG79+CG82+CG85</f>
        <v>0</v>
      </c>
      <c r="CL89" s="1976">
        <f>CL8+CL36+CL41+CL50+CL54+CL73+CL79+CL82+CL85</f>
        <v>0</v>
      </c>
      <c r="CQ89" s="1976">
        <f>CQ8+CQ36+CQ41+CQ50+CQ54+CQ73+CQ79+CQ82+CQ85</f>
        <v>0</v>
      </c>
      <c r="CV89" s="1976">
        <f>CV8+CV36+CV41+CV50+CV54+CV73+CV79+CV82+CV85</f>
        <v>0</v>
      </c>
      <c r="DA89" s="1976">
        <f>DA8+DA36+DA41+DA50+DA54+DA73+DA79+DA82+DA85</f>
        <v>2554604.9449512679</v>
      </c>
    </row>
    <row r="90" spans="1:107" x14ac:dyDescent="0.25">
      <c r="DA90" s="1607" t="b">
        <f>(E89+J89+O89+T89+Y89+AD89+AS89+AX89+BC89+BH89+BM89+BR89+BW89+CB89+CG89+CL89+CQ89+CV89+AI89)=DA89</f>
        <v>1</v>
      </c>
    </row>
    <row r="91" spans="1:107" s="1411" customFormat="1" x14ac:dyDescent="0.25">
      <c r="A91" s="1417"/>
      <c r="B91" s="1417"/>
      <c r="C91" s="1968"/>
      <c r="D91" s="1968"/>
      <c r="E91" s="1968"/>
      <c r="F91" s="1968"/>
      <c r="G91" s="1968"/>
      <c r="H91" s="1968"/>
      <c r="I91" s="1968"/>
      <c r="J91" s="1968"/>
      <c r="K91" s="1968"/>
      <c r="L91" s="1968"/>
      <c r="M91" s="1968"/>
      <c r="N91" s="1968"/>
      <c r="O91" s="1968"/>
      <c r="P91" s="1968"/>
      <c r="Q91" s="1968"/>
      <c r="R91" s="1968"/>
      <c r="S91" s="1968"/>
      <c r="T91" s="1968"/>
      <c r="U91" s="1968"/>
      <c r="V91" s="1968"/>
      <c r="W91" s="1968"/>
      <c r="X91" s="1968"/>
      <c r="Y91" s="1185">
        <f>Y5-Y89</f>
        <v>196647.7458426966</v>
      </c>
      <c r="Z91" s="1968"/>
      <c r="AA91" s="1968"/>
      <c r="AB91" s="1968"/>
      <c r="AC91" s="1968"/>
      <c r="AD91" s="1185">
        <f>AD5-AD89</f>
        <v>65308.232283692574</v>
      </c>
      <c r="AE91" s="1968"/>
      <c r="AF91" s="1968"/>
      <c r="AG91" s="1968"/>
      <c r="AH91" s="1968"/>
      <c r="AI91" s="1968">
        <f>AI5-AI89</f>
        <v>107842.80663201609</v>
      </c>
      <c r="AJ91" s="1968"/>
      <c r="AK91" s="1968"/>
      <c r="AL91" s="1968"/>
      <c r="AM91" s="1968"/>
      <c r="AN91" s="1185">
        <f>AN5-AN89</f>
        <v>0</v>
      </c>
      <c r="AO91" s="1968"/>
      <c r="AP91" s="1968"/>
      <c r="AQ91" s="1968"/>
      <c r="AR91" s="1968"/>
      <c r="AS91" s="1185">
        <f>AS5-AS89</f>
        <v>0</v>
      </c>
      <c r="AT91" s="1968"/>
      <c r="AU91" s="1968"/>
      <c r="AV91" s="1968"/>
      <c r="AW91" s="1968"/>
      <c r="AX91" s="1185">
        <f>AX5-AX89</f>
        <v>0</v>
      </c>
      <c r="AY91" s="1968"/>
      <c r="AZ91" s="1968"/>
      <c r="BA91" s="1968"/>
      <c r="BB91" s="1968"/>
      <c r="BC91" s="1185">
        <f>BC5-BC89</f>
        <v>0</v>
      </c>
      <c r="BD91" s="1968"/>
      <c r="BE91" s="1968"/>
      <c r="BF91" s="1968"/>
      <c r="BG91" s="1968"/>
      <c r="BH91" s="1185">
        <f>BH5-BH89</f>
        <v>0</v>
      </c>
      <c r="BI91" s="1968"/>
      <c r="BJ91" s="1968"/>
      <c r="BK91" s="1968"/>
      <c r="BL91" s="1968"/>
      <c r="BM91" s="1185">
        <f>BM5-BM89</f>
        <v>0</v>
      </c>
      <c r="BN91" s="1968"/>
      <c r="BO91" s="1968"/>
      <c r="BP91" s="1968"/>
      <c r="BQ91" s="1968"/>
      <c r="BR91" s="1185">
        <f>BR5-BR89</f>
        <v>0</v>
      </c>
      <c r="BS91" s="1968"/>
      <c r="BT91" s="1968"/>
      <c r="BU91" s="1968"/>
      <c r="BV91" s="1968"/>
      <c r="BW91" s="1185">
        <f>BW5-BW89</f>
        <v>0</v>
      </c>
      <c r="BX91" s="1968"/>
      <c r="BY91" s="1968"/>
      <c r="BZ91" s="1968"/>
      <c r="CA91" s="1968"/>
      <c r="CB91" s="1185">
        <f>CB5-CB89</f>
        <v>0</v>
      </c>
      <c r="CC91" s="1968"/>
      <c r="CD91" s="1968"/>
      <c r="CE91" s="1968"/>
      <c r="CF91" s="1968"/>
      <c r="CG91" s="1185">
        <f>CG5-CG89</f>
        <v>0</v>
      </c>
      <c r="CH91" s="1968"/>
      <c r="CI91" s="1968"/>
      <c r="CJ91" s="1968"/>
      <c r="CK91" s="1968"/>
      <c r="CL91" s="1185">
        <f>CL5-CL89</f>
        <v>0</v>
      </c>
      <c r="CM91" s="1968"/>
      <c r="CN91" s="1968"/>
      <c r="CO91" s="1968"/>
      <c r="CP91" s="1968"/>
      <c r="CQ91" s="1185">
        <f>CQ5-CQ89</f>
        <v>0</v>
      </c>
      <c r="CR91" s="1968"/>
      <c r="CS91" s="1968"/>
      <c r="CT91" s="1968"/>
      <c r="CU91" s="1968"/>
      <c r="CV91" s="1185">
        <f>CV5-CV89</f>
        <v>0</v>
      </c>
      <c r="CW91" s="1968"/>
      <c r="CX91" s="1968"/>
      <c r="CY91" s="1968"/>
      <c r="CZ91" s="1968"/>
      <c r="DA91" s="1968"/>
      <c r="DB91" s="1968"/>
      <c r="DC91" s="1968"/>
    </row>
    <row r="92" spans="1:107" x14ac:dyDescent="0.25">
      <c r="DA92" s="1185">
        <f>DA5-DA89</f>
        <v>1039832.3750487319</v>
      </c>
    </row>
    <row r="93" spans="1:107" s="1411" customFormat="1" x14ac:dyDescent="0.25">
      <c r="A93" s="1417"/>
      <c r="B93" s="1417"/>
      <c r="C93" s="1968"/>
      <c r="D93" s="1968"/>
      <c r="E93" s="1968"/>
      <c r="F93" s="1968"/>
      <c r="G93" s="1968"/>
      <c r="H93" s="1968"/>
      <c r="I93" s="1968"/>
      <c r="J93" s="1968"/>
      <c r="K93" s="1968"/>
      <c r="L93" s="1968"/>
      <c r="M93" s="1968"/>
      <c r="N93" s="1968"/>
      <c r="O93" s="1968"/>
      <c r="P93" s="1968"/>
      <c r="Q93" s="1968"/>
      <c r="R93" s="1968"/>
      <c r="S93" s="1968"/>
      <c r="T93" s="1968"/>
      <c r="U93" s="1968"/>
      <c r="V93" s="1968"/>
      <c r="W93" s="1968"/>
      <c r="X93" s="1968"/>
      <c r="Y93" s="1968"/>
      <c r="Z93" s="1968"/>
      <c r="AA93" s="1968"/>
      <c r="AB93" s="1968"/>
      <c r="AC93" s="1968"/>
      <c r="AD93" s="1968"/>
      <c r="AE93" s="1968"/>
      <c r="AF93" s="1968"/>
      <c r="AG93" s="1968"/>
      <c r="AH93" s="1968"/>
      <c r="AI93" s="1968"/>
      <c r="AJ93" s="1968"/>
      <c r="AK93" s="1968"/>
      <c r="AL93" s="1968"/>
      <c r="AM93" s="1968"/>
      <c r="AN93" s="1968"/>
      <c r="AO93" s="1968"/>
      <c r="AP93" s="1968"/>
      <c r="AQ93" s="1968"/>
      <c r="AR93" s="1968"/>
      <c r="AS93" s="1968"/>
      <c r="AT93" s="1968"/>
      <c r="AU93" s="1968"/>
      <c r="AV93" s="1968"/>
      <c r="AW93" s="1968"/>
      <c r="AX93" s="1968"/>
      <c r="AY93" s="1968"/>
      <c r="AZ93" s="1968"/>
      <c r="BA93" s="1968"/>
      <c r="BB93" s="1968"/>
      <c r="BC93" s="1968"/>
      <c r="BD93" s="1968"/>
      <c r="BE93" s="1968"/>
      <c r="BF93" s="1968"/>
      <c r="BG93" s="1968"/>
      <c r="BH93" s="1968"/>
      <c r="BI93" s="1968"/>
      <c r="BJ93" s="1968"/>
      <c r="BK93" s="1968"/>
      <c r="BL93" s="1968"/>
      <c r="BM93" s="1968"/>
      <c r="BN93" s="1968"/>
      <c r="BO93" s="1968"/>
      <c r="BP93" s="1968"/>
      <c r="BQ93" s="1968"/>
      <c r="BR93" s="1968"/>
      <c r="BS93" s="1968"/>
      <c r="BT93" s="1968"/>
      <c r="BU93" s="1968"/>
      <c r="BV93" s="1968"/>
      <c r="BW93" s="1968"/>
      <c r="BX93" s="1968"/>
      <c r="BY93" s="1968"/>
      <c r="BZ93" s="1968"/>
      <c r="CA93" s="1968"/>
      <c r="CB93" s="1968"/>
      <c r="CC93" s="1968"/>
      <c r="CD93" s="1968"/>
      <c r="CE93" s="1968"/>
      <c r="CF93" s="1968"/>
      <c r="CG93" s="1968"/>
      <c r="CH93" s="1968"/>
      <c r="CI93" s="1968"/>
      <c r="CJ93" s="1968"/>
      <c r="CK93" s="1968"/>
      <c r="CL93" s="1968"/>
      <c r="CM93" s="1968"/>
      <c r="CN93" s="1968"/>
      <c r="CO93" s="1968"/>
      <c r="CP93" s="1968"/>
      <c r="CQ93" s="1968"/>
      <c r="CR93" s="1968"/>
      <c r="CS93" s="1968"/>
      <c r="CT93" s="1968"/>
      <c r="CU93" s="1968"/>
      <c r="CV93" s="1968"/>
      <c r="CW93" s="1968"/>
      <c r="CX93" s="1968"/>
      <c r="CY93" s="1968"/>
      <c r="CZ93" s="1968"/>
      <c r="DA93" s="1968"/>
      <c r="DB93" s="1968"/>
      <c r="DC93" s="1968"/>
    </row>
    <row r="94" spans="1:107" s="1411" customFormat="1" x14ac:dyDescent="0.25">
      <c r="A94" s="1417"/>
      <c r="B94" s="1417"/>
      <c r="C94" s="1968"/>
      <c r="D94" s="1968"/>
      <c r="E94" s="1968"/>
      <c r="F94" s="1968"/>
      <c r="G94" s="1968"/>
      <c r="H94" s="1968"/>
      <c r="I94" s="1968"/>
      <c r="J94" s="1968"/>
      <c r="K94" s="1968"/>
      <c r="L94" s="1968"/>
      <c r="M94" s="1968"/>
      <c r="N94" s="1968"/>
      <c r="O94" s="1968"/>
      <c r="P94" s="1968"/>
      <c r="Q94" s="1968"/>
      <c r="R94" s="1968"/>
      <c r="S94" s="1968"/>
      <c r="T94" s="1968"/>
      <c r="U94" s="1968"/>
      <c r="V94" s="1968"/>
      <c r="W94" s="1968"/>
      <c r="X94" s="1968"/>
      <c r="Y94" s="1968"/>
      <c r="Z94" s="1968"/>
      <c r="AA94" s="1968"/>
      <c r="AB94" s="1968"/>
      <c r="AC94" s="1968"/>
      <c r="AD94" s="1968"/>
      <c r="AE94" s="1968"/>
      <c r="AF94" s="1968"/>
      <c r="AG94" s="1968"/>
      <c r="AH94" s="1968"/>
      <c r="AI94" s="1968"/>
      <c r="AJ94" s="1968"/>
      <c r="AK94" s="1968"/>
      <c r="AL94" s="1968"/>
      <c r="AM94" s="1968"/>
      <c r="AN94" s="1968"/>
      <c r="AO94" s="1968"/>
      <c r="AP94" s="1968"/>
      <c r="AQ94" s="1968"/>
      <c r="AR94" s="1968"/>
      <c r="AS94" s="1968"/>
      <c r="AT94" s="1968"/>
      <c r="AU94" s="1968"/>
      <c r="AV94" s="1968"/>
      <c r="AW94" s="1968"/>
      <c r="AX94" s="1968"/>
      <c r="AY94" s="1968"/>
      <c r="AZ94" s="1968"/>
      <c r="BA94" s="1968"/>
      <c r="BB94" s="1968"/>
      <c r="BC94" s="1968"/>
      <c r="BD94" s="1968"/>
      <c r="BE94" s="1968"/>
      <c r="BF94" s="1968"/>
      <c r="BG94" s="1968"/>
      <c r="BH94" s="1968"/>
      <c r="BI94" s="1968"/>
      <c r="BJ94" s="1968"/>
      <c r="BK94" s="1968"/>
      <c r="BL94" s="1968"/>
      <c r="BM94" s="1968"/>
      <c r="BN94" s="1968"/>
      <c r="BO94" s="1968"/>
      <c r="BP94" s="1968"/>
      <c r="BQ94" s="1968"/>
      <c r="BR94" s="1968"/>
      <c r="BS94" s="1968"/>
      <c r="BT94" s="1968"/>
      <c r="BU94" s="1968"/>
      <c r="BV94" s="1968"/>
      <c r="BW94" s="1968"/>
      <c r="BX94" s="1968"/>
      <c r="BY94" s="1968"/>
      <c r="BZ94" s="1968"/>
      <c r="CA94" s="1968"/>
      <c r="CB94" s="1968"/>
      <c r="CC94" s="1968"/>
      <c r="CD94" s="1968"/>
      <c r="CE94" s="1968"/>
      <c r="CF94" s="1968"/>
      <c r="CG94" s="1968"/>
      <c r="CH94" s="1968"/>
      <c r="CI94" s="1968"/>
      <c r="CJ94" s="1968"/>
      <c r="CK94" s="1968"/>
      <c r="CL94" s="1968"/>
      <c r="CM94" s="1968"/>
      <c r="CN94" s="1968"/>
      <c r="CO94" s="1968"/>
      <c r="CP94" s="1968"/>
      <c r="CQ94" s="1968"/>
      <c r="CR94" s="1968"/>
      <c r="CS94" s="1968"/>
      <c r="CT94" s="1968"/>
      <c r="CU94" s="1968"/>
      <c r="CV94" s="1968"/>
      <c r="CW94" s="1968"/>
      <c r="CX94" s="1968"/>
      <c r="CY94" s="1968"/>
      <c r="CZ94" s="1968"/>
      <c r="DA94" s="1968"/>
      <c r="DB94" s="1968"/>
      <c r="DC94" s="1968"/>
    </row>
    <row r="95" spans="1:107" s="1411" customFormat="1" x14ac:dyDescent="0.25">
      <c r="A95" s="1417"/>
      <c r="B95" s="1417"/>
      <c r="C95" s="1968"/>
      <c r="D95" s="1968"/>
      <c r="E95" s="1968"/>
      <c r="F95" s="1968"/>
      <c r="G95" s="1968"/>
      <c r="H95" s="1968"/>
      <c r="I95" s="1968"/>
      <c r="J95" s="1968"/>
      <c r="K95" s="1968"/>
      <c r="L95" s="1968"/>
      <c r="M95" s="1968"/>
      <c r="N95" s="1968"/>
      <c r="O95" s="1968"/>
      <c r="P95" s="1968"/>
      <c r="Q95" s="1968"/>
      <c r="R95" s="1968"/>
      <c r="S95" s="1968"/>
      <c r="T95" s="1968"/>
      <c r="U95" s="1968"/>
      <c r="V95" s="1968"/>
      <c r="W95" s="1968"/>
      <c r="X95" s="1968"/>
      <c r="Y95" s="1968"/>
      <c r="Z95" s="1968"/>
      <c r="AA95" s="1968"/>
      <c r="AB95" s="1968"/>
      <c r="AC95" s="1968"/>
      <c r="AD95" s="1968"/>
      <c r="AE95" s="1968"/>
      <c r="AF95" s="1968"/>
      <c r="AG95" s="1968"/>
      <c r="AH95" s="1968"/>
      <c r="AI95" s="1968"/>
      <c r="AJ95" s="1968"/>
      <c r="AK95" s="1968"/>
      <c r="AL95" s="1968"/>
      <c r="AM95" s="1968"/>
      <c r="AN95" s="1968"/>
      <c r="AO95" s="1968"/>
      <c r="AP95" s="1968"/>
      <c r="AQ95" s="1968"/>
      <c r="AR95" s="1968"/>
      <c r="AS95" s="1968"/>
      <c r="AT95" s="1968"/>
      <c r="AU95" s="1968"/>
      <c r="AV95" s="1968"/>
      <c r="AW95" s="1968"/>
      <c r="AX95" s="1968"/>
      <c r="AY95" s="1968"/>
      <c r="AZ95" s="1968"/>
      <c r="BA95" s="1968"/>
      <c r="BB95" s="1968"/>
      <c r="BC95" s="1968"/>
      <c r="BD95" s="1968"/>
      <c r="BE95" s="1968"/>
      <c r="BF95" s="1968"/>
      <c r="BG95" s="1968"/>
      <c r="BH95" s="1968"/>
      <c r="BI95" s="1968"/>
      <c r="BJ95" s="1968"/>
      <c r="BK95" s="1968"/>
      <c r="BL95" s="1968"/>
      <c r="BM95" s="1968"/>
      <c r="BN95" s="1968"/>
      <c r="BO95" s="1968"/>
      <c r="BP95" s="1968"/>
      <c r="BQ95" s="1968"/>
      <c r="BR95" s="1968"/>
      <c r="BS95" s="1968"/>
      <c r="BT95" s="1968"/>
      <c r="BU95" s="1968"/>
      <c r="BV95" s="1968"/>
      <c r="BW95" s="1968"/>
      <c r="BX95" s="1968"/>
      <c r="BY95" s="1968"/>
      <c r="BZ95" s="1968"/>
      <c r="CA95" s="1968"/>
      <c r="CB95" s="1968"/>
      <c r="CC95" s="1968"/>
      <c r="CD95" s="1968"/>
      <c r="CE95" s="1968"/>
      <c r="CF95" s="1968"/>
      <c r="CG95" s="1968"/>
      <c r="CH95" s="1968"/>
      <c r="CI95" s="1968"/>
      <c r="CJ95" s="1968"/>
      <c r="CK95" s="1968"/>
      <c r="CL95" s="1968"/>
      <c r="CM95" s="1968"/>
      <c r="CN95" s="1968"/>
      <c r="CO95" s="1968"/>
      <c r="CP95" s="1968"/>
      <c r="CQ95" s="1968"/>
      <c r="CR95" s="1968"/>
      <c r="CS95" s="1968"/>
      <c r="CT95" s="1968"/>
      <c r="CU95" s="1968"/>
      <c r="CV95" s="1968"/>
      <c r="CW95" s="1968"/>
      <c r="CX95" s="1968"/>
      <c r="CY95" s="1968"/>
      <c r="CZ95" s="1968"/>
      <c r="DA95" s="1968"/>
      <c r="DB95" s="1968"/>
      <c r="DC95" s="1968"/>
    </row>
    <row r="96" spans="1:107" s="1411" customFormat="1" x14ac:dyDescent="0.25">
      <c r="A96" s="1417"/>
      <c r="B96" s="1417"/>
      <c r="C96" s="1968"/>
      <c r="D96" s="1968"/>
      <c r="E96" s="1968"/>
      <c r="F96" s="1968"/>
      <c r="G96" s="1968"/>
      <c r="H96" s="1968"/>
      <c r="I96" s="1968"/>
      <c r="J96" s="1968"/>
      <c r="K96" s="1968"/>
      <c r="L96" s="1968"/>
      <c r="M96" s="1968"/>
      <c r="N96" s="1968"/>
      <c r="O96" s="1968"/>
      <c r="P96" s="1968"/>
      <c r="Q96" s="1968"/>
      <c r="R96" s="1968"/>
      <c r="S96" s="1968"/>
      <c r="T96" s="1968"/>
      <c r="U96" s="1968"/>
      <c r="V96" s="1968"/>
      <c r="W96" s="1968"/>
      <c r="X96" s="1968"/>
      <c r="Y96" s="1968"/>
      <c r="Z96" s="1968"/>
      <c r="AA96" s="1968"/>
      <c r="AB96" s="1968"/>
      <c r="AC96" s="1968"/>
      <c r="AD96" s="1968"/>
      <c r="AE96" s="1968"/>
      <c r="AF96" s="1968"/>
      <c r="AG96" s="1968"/>
      <c r="AH96" s="1968"/>
      <c r="AI96" s="1968"/>
      <c r="AJ96" s="1968"/>
      <c r="AK96" s="1968"/>
      <c r="AL96" s="1968"/>
      <c r="AM96" s="1968"/>
      <c r="AN96" s="1968"/>
      <c r="AO96" s="1968"/>
      <c r="AP96" s="1968"/>
      <c r="AQ96" s="1968"/>
      <c r="AR96" s="1968"/>
      <c r="AS96" s="1968"/>
      <c r="AT96" s="1968"/>
      <c r="AU96" s="1968"/>
      <c r="AV96" s="1968"/>
      <c r="AW96" s="1968"/>
      <c r="AX96" s="1968"/>
      <c r="AY96" s="1968"/>
      <c r="AZ96" s="1968"/>
      <c r="BA96" s="1968"/>
      <c r="BB96" s="1968"/>
      <c r="BC96" s="1968"/>
      <c r="BD96" s="1968"/>
      <c r="BE96" s="1968"/>
      <c r="BF96" s="1968"/>
      <c r="BG96" s="1968"/>
      <c r="BH96" s="1968"/>
      <c r="BI96" s="1968"/>
      <c r="BJ96" s="1968"/>
      <c r="BK96" s="1968"/>
      <c r="BL96" s="1968"/>
      <c r="BM96" s="1968"/>
      <c r="BN96" s="1968"/>
      <c r="BO96" s="1968"/>
      <c r="BP96" s="1968"/>
      <c r="BQ96" s="1968"/>
      <c r="BR96" s="1968"/>
      <c r="BS96" s="1968"/>
      <c r="BT96" s="1968"/>
      <c r="BU96" s="1968"/>
      <c r="BV96" s="1968"/>
      <c r="BW96" s="1968"/>
      <c r="BX96" s="1968"/>
      <c r="BY96" s="1968"/>
      <c r="BZ96" s="1968"/>
      <c r="CA96" s="1968"/>
      <c r="CB96" s="1968"/>
      <c r="CC96" s="1968"/>
      <c r="CD96" s="1968"/>
      <c r="CE96" s="1968"/>
      <c r="CF96" s="1968"/>
      <c r="CG96" s="1968"/>
      <c r="CH96" s="1968"/>
      <c r="CI96" s="1968"/>
      <c r="CJ96" s="1968"/>
      <c r="CK96" s="1968"/>
      <c r="CL96" s="1968"/>
      <c r="CM96" s="1968"/>
      <c r="CN96" s="1968"/>
      <c r="CO96" s="1968"/>
      <c r="CP96" s="1968"/>
      <c r="CQ96" s="1968"/>
      <c r="CR96" s="1968"/>
      <c r="CS96" s="1968"/>
      <c r="CT96" s="1968"/>
      <c r="CU96" s="1968"/>
      <c r="CV96" s="1968"/>
      <c r="CW96" s="1968"/>
      <c r="CX96" s="1968"/>
      <c r="CY96" s="1968"/>
      <c r="CZ96" s="1968"/>
      <c r="DA96" s="1968"/>
      <c r="DB96" s="1968"/>
      <c r="DC96" s="1968"/>
    </row>
    <row r="98" spans="1:107" s="1411" customFormat="1" x14ac:dyDescent="0.25">
      <c r="A98" s="1417"/>
      <c r="B98" s="1417"/>
      <c r="C98" s="1968"/>
      <c r="D98" s="1968"/>
      <c r="E98" s="1968"/>
      <c r="F98" s="1968"/>
      <c r="G98" s="1968"/>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O98" s="1968"/>
      <c r="CP98" s="1968"/>
      <c r="CQ98" s="1968"/>
      <c r="CR98" s="1968"/>
      <c r="CS98" s="1968"/>
      <c r="CT98" s="1968"/>
      <c r="CU98" s="1968"/>
      <c r="CV98" s="1968"/>
      <c r="CW98" s="1968"/>
      <c r="CX98" s="1968"/>
      <c r="CY98" s="1968"/>
      <c r="CZ98" s="1968"/>
      <c r="DA98" s="1968"/>
      <c r="DB98" s="1968"/>
      <c r="DC98" s="1968"/>
    </row>
  </sheetData>
  <mergeCells count="24">
    <mergeCell ref="A42:A48"/>
    <mergeCell ref="A2:B2"/>
    <mergeCell ref="C2:F3"/>
    <mergeCell ref="M2:Q3"/>
    <mergeCell ref="H2:L3"/>
    <mergeCell ref="A3:B3"/>
    <mergeCell ref="AB2:AF3"/>
    <mergeCell ref="BK2:BO3"/>
    <mergeCell ref="AQ2:AU3"/>
    <mergeCell ref="R2:V3"/>
    <mergeCell ref="W2:AA3"/>
    <mergeCell ref="AL2:AP3"/>
    <mergeCell ref="AV2:AZ3"/>
    <mergeCell ref="BA2:BE3"/>
    <mergeCell ref="CY2:DC3"/>
    <mergeCell ref="CJ2:CN3"/>
    <mergeCell ref="CO2:CS3"/>
    <mergeCell ref="BF2:BJ3"/>
    <mergeCell ref="AG2:AK3"/>
    <mergeCell ref="CT2:CX3"/>
    <mergeCell ref="BP2:BT3"/>
    <mergeCell ref="BU2:BY3"/>
    <mergeCell ref="BZ2:CD3"/>
    <mergeCell ref="CE2:CI3"/>
  </mergeCells>
  <pageMargins left="0.7" right="0.7" top="0.75" bottom="0.75" header="0.3" footer="0.3"/>
  <pageSetup paperSize="9" orientation="portrait" r:id="rId1"/>
  <legacy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6" tint="0.59999389629810485"/>
  </sheetPr>
  <dimension ref="A1:DC98"/>
  <sheetViews>
    <sheetView topLeftCell="B1" zoomScale="70" zoomScaleNormal="70" workbookViewId="0">
      <pane xSplit="1" ySplit="4" topLeftCell="C47" activePane="bottomRight" state="frozen"/>
      <selection activeCell="CJ2" sqref="CJ2:CS3"/>
      <selection pane="topRight" activeCell="CJ2" sqref="CJ2:CS3"/>
      <selection pane="bottomLeft" activeCell="CJ2" sqref="CJ2:CS3"/>
      <selection pane="bottomRight" activeCell="AO31" sqref="AO31"/>
    </sheetView>
  </sheetViews>
  <sheetFormatPr defaultColWidth="7.44140625" defaultRowHeight="13.2" outlineLevelCol="1" x14ac:dyDescent="0.25"/>
  <cols>
    <col min="1" max="1" width="5.5546875" style="1417" customWidth="1"/>
    <col min="2" max="2" width="47.44140625" style="1417" customWidth="1"/>
    <col min="3" max="5" width="21.44140625" style="1968" hidden="1" customWidth="1" outlineLevel="1"/>
    <col min="6" max="6" width="16" style="1968" hidden="1" customWidth="1" outlineLevel="1"/>
    <col min="7" max="12" width="21.44140625" style="1968" hidden="1" customWidth="1" outlineLevel="1"/>
    <col min="13" max="13" width="19.33203125" style="1968" hidden="1" customWidth="1" outlineLevel="1"/>
    <col min="14" max="14" width="18.6640625" style="1968" hidden="1" customWidth="1" outlineLevel="1"/>
    <col min="15" max="15" width="19" style="1968" hidden="1" customWidth="1" outlineLevel="1"/>
    <col min="16" max="16" width="7.6640625" style="1968" hidden="1" customWidth="1" outlineLevel="1"/>
    <col min="17" max="17" width="37.88671875" style="1968" hidden="1" customWidth="1" outlineLevel="1"/>
    <col min="18" max="28" width="21.44140625" style="1968" hidden="1" customWidth="1" outlineLevel="1"/>
    <col min="29" max="29" width="18.109375" style="1968" hidden="1" customWidth="1" outlineLevel="1"/>
    <col min="30" max="32" width="21.44140625" style="1968" hidden="1" customWidth="1" outlineLevel="1"/>
    <col min="33" max="33" width="13.33203125" style="1968" hidden="1" customWidth="1" outlineLevel="1" collapsed="1"/>
    <col min="34" max="36" width="13.33203125" style="1968" hidden="1" customWidth="1" outlineLevel="1"/>
    <col min="37" max="37" width="31.6640625" style="1968" hidden="1" customWidth="1" outlineLevel="1"/>
    <col min="38" max="38" width="13.33203125" style="1968" customWidth="1" collapsed="1"/>
    <col min="39" max="41" width="13.33203125" style="1968" customWidth="1"/>
    <col min="42" max="42" width="26.44140625" style="1968" customWidth="1"/>
    <col min="43" max="45" width="16.88671875" style="1968" hidden="1" customWidth="1" outlineLevel="1"/>
    <col min="46" max="46" width="9.88671875" style="1968" hidden="1" customWidth="1" outlineLevel="1"/>
    <col min="47" max="47" width="34" style="1968" hidden="1" customWidth="1" outlineLevel="1"/>
    <col min="48" max="48" width="13.88671875" style="1968" hidden="1" customWidth="1" outlineLevel="1" collapsed="1"/>
    <col min="49" max="51" width="13.88671875" style="1968" hidden="1" customWidth="1" outlineLevel="1"/>
    <col min="52" max="52" width="31.88671875" style="1968" hidden="1" customWidth="1" outlineLevel="1"/>
    <col min="53" max="53" width="13.88671875" style="1968" customWidth="1" collapsed="1"/>
    <col min="54" max="56" width="13.88671875" style="1968" customWidth="1"/>
    <col min="57" max="57" width="22.109375" style="1968" customWidth="1"/>
    <col min="58" max="61" width="13.88671875" style="1968" hidden="1" customWidth="1" outlineLevel="1"/>
    <col min="62" max="62" width="19.109375" style="1968" hidden="1" customWidth="1" outlineLevel="1"/>
    <col min="63" max="66" width="13.88671875" style="1968" hidden="1" customWidth="1" outlineLevel="1"/>
    <col min="67" max="67" width="36.109375" style="1968" hidden="1" customWidth="1" outlineLevel="1"/>
    <col min="68" max="71" width="13.88671875" style="1968" hidden="1" customWidth="1" outlineLevel="1"/>
    <col min="72" max="72" width="36.109375" style="1968" hidden="1" customWidth="1" outlineLevel="1"/>
    <col min="73" max="76" width="13.88671875" style="1968" hidden="1" customWidth="1" outlineLevel="1"/>
    <col min="77" max="77" width="19.109375" style="1968" hidden="1" customWidth="1" outlineLevel="1"/>
    <col min="78" max="81" width="13.88671875" style="1968" hidden="1" customWidth="1" outlineLevel="1"/>
    <col min="82" max="82" width="23.44140625" style="1968" hidden="1" customWidth="1" outlineLevel="1"/>
    <col min="83" max="86" width="13.88671875" style="1968" hidden="1" customWidth="1" outlineLevel="1"/>
    <col min="87" max="87" width="31.6640625" style="1968" hidden="1" customWidth="1" outlineLevel="1"/>
    <col min="88" max="88" width="13.88671875" style="1968" hidden="1" customWidth="1" outlineLevel="1" collapsed="1"/>
    <col min="89" max="91" width="13.88671875" style="1968" hidden="1" customWidth="1" outlineLevel="1"/>
    <col min="92" max="92" width="31.6640625" style="1968" hidden="1" customWidth="1" outlineLevel="1"/>
    <col min="93" max="93" width="13.88671875" style="1968" hidden="1" customWidth="1" outlineLevel="1" collapsed="1"/>
    <col min="94" max="96" width="13.88671875" style="1968" hidden="1" customWidth="1" outlineLevel="1"/>
    <col min="97" max="97" width="31.6640625" style="1968" hidden="1" customWidth="1" outlineLevel="1"/>
    <col min="98" max="101" width="13.88671875" style="1968" hidden="1" customWidth="1" outlineLevel="1"/>
    <col min="102" max="102" width="31.6640625" style="1968" hidden="1" customWidth="1" outlineLevel="1"/>
    <col min="103" max="103" width="16.33203125" style="1968" customWidth="1" collapsed="1"/>
    <col min="104" max="105" width="16.33203125" style="1968" customWidth="1"/>
    <col min="106" max="106" width="9" style="1968" customWidth="1"/>
    <col min="107" max="107" width="16.33203125" style="1968" customWidth="1"/>
    <col min="108" max="16384" width="7.44140625" style="1410"/>
  </cols>
  <sheetData>
    <row r="1" spans="1:107" ht="13.8" thickBot="1" x14ac:dyDescent="0.3"/>
    <row r="2" spans="1:107" ht="14.4" customHeight="1" x14ac:dyDescent="0.25">
      <c r="A2" s="4016" t="s">
        <v>1109</v>
      </c>
      <c r="B2" s="4017"/>
      <c r="C2" s="4053" t="s">
        <v>1075</v>
      </c>
      <c r="D2" s="4054"/>
      <c r="E2" s="4054"/>
      <c r="F2" s="4054"/>
      <c r="G2" s="3271"/>
      <c r="H2" s="4368" t="s">
        <v>1079</v>
      </c>
      <c r="I2" s="4369"/>
      <c r="J2" s="4369"/>
      <c r="K2" s="4369"/>
      <c r="L2" s="4370"/>
      <c r="M2" s="4172" t="s">
        <v>1161</v>
      </c>
      <c r="N2" s="4173"/>
      <c r="O2" s="4173"/>
      <c r="P2" s="4173"/>
      <c r="Q2" s="4174"/>
      <c r="R2" s="4071" t="s">
        <v>1303</v>
      </c>
      <c r="S2" s="4072"/>
      <c r="T2" s="4072"/>
      <c r="U2" s="4072"/>
      <c r="V2" s="4073"/>
      <c r="W2" s="4077" t="s">
        <v>1383</v>
      </c>
      <c r="X2" s="4078"/>
      <c r="Y2" s="4078"/>
      <c r="Z2" s="4078"/>
      <c r="AA2" s="4079"/>
      <c r="AB2" s="4053" t="s">
        <v>1470</v>
      </c>
      <c r="AC2" s="4054"/>
      <c r="AD2" s="4054"/>
      <c r="AE2" s="4054"/>
      <c r="AF2" s="4055"/>
      <c r="AG2" s="4059" t="s">
        <v>1668</v>
      </c>
      <c r="AH2" s="4060"/>
      <c r="AI2" s="4060"/>
      <c r="AJ2" s="4060"/>
      <c r="AK2" s="4061"/>
      <c r="AL2" s="4083">
        <v>2024</v>
      </c>
      <c r="AM2" s="4084"/>
      <c r="AN2" s="4084"/>
      <c r="AO2" s="4084"/>
      <c r="AP2" s="4085"/>
      <c r="AQ2" s="4256">
        <v>45292</v>
      </c>
      <c r="AR2" s="4024"/>
      <c r="AS2" s="4024"/>
      <c r="AT2" s="4024"/>
      <c r="AU2" s="4025"/>
      <c r="AV2" s="4269">
        <v>45323</v>
      </c>
      <c r="AW2" s="4270"/>
      <c r="AX2" s="4270"/>
      <c r="AY2" s="4270"/>
      <c r="AZ2" s="4271"/>
      <c r="BA2" s="4276">
        <v>45352</v>
      </c>
      <c r="BB2" s="4204"/>
      <c r="BC2" s="4204"/>
      <c r="BD2" s="4204"/>
      <c r="BE2" s="4205"/>
      <c r="BF2" s="4277">
        <v>45383</v>
      </c>
      <c r="BG2" s="4278"/>
      <c r="BH2" s="4278"/>
      <c r="BI2" s="4278"/>
      <c r="BJ2" s="4279"/>
      <c r="BK2" s="4290">
        <v>45413</v>
      </c>
      <c r="BL2" s="4291"/>
      <c r="BM2" s="4291"/>
      <c r="BN2" s="4291"/>
      <c r="BO2" s="4292"/>
      <c r="BP2" s="4283">
        <v>45444</v>
      </c>
      <c r="BQ2" s="4072"/>
      <c r="BR2" s="4072"/>
      <c r="BS2" s="4072"/>
      <c r="BT2" s="4073"/>
      <c r="BU2" s="4376">
        <v>45474</v>
      </c>
      <c r="BV2" s="4054"/>
      <c r="BW2" s="4054"/>
      <c r="BX2" s="4054"/>
      <c r="BY2" s="4055"/>
      <c r="BZ2" s="4356">
        <v>45505</v>
      </c>
      <c r="CA2" s="4357"/>
      <c r="CB2" s="4357"/>
      <c r="CC2" s="4357"/>
      <c r="CD2" s="4358"/>
      <c r="CE2" s="4362">
        <v>45536</v>
      </c>
      <c r="CF2" s="4363"/>
      <c r="CG2" s="4363"/>
      <c r="CH2" s="4363"/>
      <c r="CI2" s="4364"/>
      <c r="CJ2" s="4095">
        <v>45566</v>
      </c>
      <c r="CK2" s="4096"/>
      <c r="CL2" s="4096"/>
      <c r="CM2" s="4096"/>
      <c r="CN2" s="4097"/>
      <c r="CO2" s="4244">
        <v>45597</v>
      </c>
      <c r="CP2" s="4245"/>
      <c r="CQ2" s="4245"/>
      <c r="CR2" s="4245"/>
      <c r="CS2" s="4246"/>
      <c r="CT2" s="4250">
        <v>45627</v>
      </c>
      <c r="CU2" s="4251"/>
      <c r="CV2" s="4251"/>
      <c r="CW2" s="4251"/>
      <c r="CX2" s="4252"/>
      <c r="CY2" s="4089" t="s">
        <v>2201</v>
      </c>
      <c r="CZ2" s="4090"/>
      <c r="DA2" s="4090"/>
      <c r="DB2" s="4090"/>
      <c r="DC2" s="4091"/>
    </row>
    <row r="3" spans="1:107" ht="15" customHeight="1" thickBot="1" x14ac:dyDescent="0.3">
      <c r="A3" s="4035" t="s">
        <v>54</v>
      </c>
      <c r="B3" s="4036"/>
      <c r="C3" s="4056"/>
      <c r="D3" s="4057"/>
      <c r="E3" s="4057"/>
      <c r="F3" s="4057"/>
      <c r="G3" s="3272"/>
      <c r="H3" s="4371"/>
      <c r="I3" s="4372"/>
      <c r="J3" s="4372"/>
      <c r="K3" s="4372"/>
      <c r="L3" s="4373"/>
      <c r="M3" s="4175"/>
      <c r="N3" s="4176"/>
      <c r="O3" s="4176"/>
      <c r="P3" s="4176"/>
      <c r="Q3" s="4177"/>
      <c r="R3" s="4074"/>
      <c r="S3" s="4075"/>
      <c r="T3" s="4075"/>
      <c r="U3" s="4075"/>
      <c r="V3" s="4076"/>
      <c r="W3" s="4080"/>
      <c r="X3" s="4081"/>
      <c r="Y3" s="4081"/>
      <c r="Z3" s="4081"/>
      <c r="AA3" s="4082"/>
      <c r="AB3" s="4056"/>
      <c r="AC3" s="4057"/>
      <c r="AD3" s="4057"/>
      <c r="AE3" s="4057"/>
      <c r="AF3" s="4058"/>
      <c r="AG3" s="4062"/>
      <c r="AH3" s="4063"/>
      <c r="AI3" s="4063"/>
      <c r="AJ3" s="4063"/>
      <c r="AK3" s="4064"/>
      <c r="AL3" s="4086"/>
      <c r="AM3" s="4087"/>
      <c r="AN3" s="4087"/>
      <c r="AO3" s="4087"/>
      <c r="AP3" s="4088"/>
      <c r="AQ3" s="4026"/>
      <c r="AR3" s="4027"/>
      <c r="AS3" s="4027"/>
      <c r="AT3" s="4027"/>
      <c r="AU3" s="4028"/>
      <c r="AV3" s="4272"/>
      <c r="AW3" s="4273"/>
      <c r="AX3" s="4273"/>
      <c r="AY3" s="4273"/>
      <c r="AZ3" s="4274"/>
      <c r="BA3" s="4206"/>
      <c r="BB3" s="4207"/>
      <c r="BC3" s="4207"/>
      <c r="BD3" s="4207"/>
      <c r="BE3" s="4208"/>
      <c r="BF3" s="4280"/>
      <c r="BG3" s="4281"/>
      <c r="BH3" s="4281"/>
      <c r="BI3" s="4281"/>
      <c r="BJ3" s="4282"/>
      <c r="BK3" s="4293"/>
      <c r="BL3" s="4294"/>
      <c r="BM3" s="4294"/>
      <c r="BN3" s="4294"/>
      <c r="BO3" s="4295"/>
      <c r="BP3" s="4074"/>
      <c r="BQ3" s="4075"/>
      <c r="BR3" s="4075"/>
      <c r="BS3" s="4075"/>
      <c r="BT3" s="4076"/>
      <c r="BU3" s="4056"/>
      <c r="BV3" s="4057"/>
      <c r="BW3" s="4057"/>
      <c r="BX3" s="4057"/>
      <c r="BY3" s="4058"/>
      <c r="BZ3" s="4359"/>
      <c r="CA3" s="4360"/>
      <c r="CB3" s="4360"/>
      <c r="CC3" s="4360"/>
      <c r="CD3" s="4361"/>
      <c r="CE3" s="4365"/>
      <c r="CF3" s="4366"/>
      <c r="CG3" s="4366"/>
      <c r="CH3" s="4366"/>
      <c r="CI3" s="4367"/>
      <c r="CJ3" s="4098"/>
      <c r="CK3" s="4099"/>
      <c r="CL3" s="4099"/>
      <c r="CM3" s="4099"/>
      <c r="CN3" s="4100"/>
      <c r="CO3" s="4247"/>
      <c r="CP3" s="4248"/>
      <c r="CQ3" s="4248"/>
      <c r="CR3" s="4248"/>
      <c r="CS3" s="4249"/>
      <c r="CT3" s="4253"/>
      <c r="CU3" s="4254"/>
      <c r="CV3" s="4254"/>
      <c r="CW3" s="4254"/>
      <c r="CX3" s="4255"/>
      <c r="CY3" s="4092"/>
      <c r="CZ3" s="4093"/>
      <c r="DA3" s="4093"/>
      <c r="DB3" s="4093"/>
      <c r="DC3" s="4094"/>
    </row>
    <row r="4" spans="1:107" ht="41.4" thickBot="1" x14ac:dyDescent="0.3">
      <c r="A4" s="1486"/>
      <c r="B4" s="1487" t="s">
        <v>11</v>
      </c>
      <c r="C4" s="1972" t="s">
        <v>55</v>
      </c>
      <c r="D4" s="1972" t="s">
        <v>18</v>
      </c>
      <c r="E4" s="1489" t="s">
        <v>39</v>
      </c>
      <c r="F4" s="1978" t="s">
        <v>40</v>
      </c>
      <c r="G4" s="1489" t="s">
        <v>19</v>
      </c>
      <c r="H4" s="1972"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968</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O4" s="1972" t="s">
        <v>55</v>
      </c>
      <c r="CP4" s="1972" t="s">
        <v>18</v>
      </c>
      <c r="CQ4" s="1489" t="s">
        <v>39</v>
      </c>
      <c r="CR4" s="1978" t="s">
        <v>40</v>
      </c>
      <c r="CS4" s="1489" t="s">
        <v>19</v>
      </c>
      <c r="CT4" s="1972" t="s">
        <v>55</v>
      </c>
      <c r="CU4" s="1972" t="s">
        <v>18</v>
      </c>
      <c r="CV4" s="1489" t="s">
        <v>39</v>
      </c>
      <c r="CW4" s="1978" t="s">
        <v>40</v>
      </c>
      <c r="CX4" s="1489" t="s">
        <v>19</v>
      </c>
      <c r="CY4" s="1972" t="s">
        <v>55</v>
      </c>
      <c r="CZ4" s="1972" t="s">
        <v>18</v>
      </c>
      <c r="DA4" s="1489" t="s">
        <v>39</v>
      </c>
      <c r="DB4" s="1978" t="s">
        <v>40</v>
      </c>
      <c r="DC4" s="1489" t="s">
        <v>19</v>
      </c>
    </row>
    <row r="5" spans="1:107" s="2483" customFormat="1" ht="14.4" thickBot="1" x14ac:dyDescent="0.3">
      <c r="A5" s="1477"/>
      <c r="B5" s="1478" t="s">
        <v>10</v>
      </c>
      <c r="C5" s="1481">
        <f>C6</f>
        <v>0</v>
      </c>
      <c r="D5" s="1481">
        <f>D6</f>
        <v>0</v>
      </c>
      <c r="E5" s="1481">
        <f>E6</f>
        <v>0</v>
      </c>
      <c r="F5" s="1481"/>
      <c r="G5" s="1481"/>
      <c r="H5" s="1481">
        <f>H6</f>
        <v>0</v>
      </c>
      <c r="I5" s="1481">
        <f>I6</f>
        <v>185716</v>
      </c>
      <c r="J5" s="1481">
        <f>J6</f>
        <v>185716</v>
      </c>
      <c r="K5" s="1481"/>
      <c r="L5" s="1481"/>
      <c r="M5" s="1481">
        <f>M6</f>
        <v>132893</v>
      </c>
      <c r="N5" s="1481">
        <f>N6</f>
        <v>169020</v>
      </c>
      <c r="O5" s="1481">
        <f>O6</f>
        <v>301913</v>
      </c>
      <c r="P5" s="1481"/>
      <c r="Q5" s="1481"/>
      <c r="R5" s="1481">
        <f>R6</f>
        <v>300720</v>
      </c>
      <c r="S5" s="1481">
        <f>S6</f>
        <v>0</v>
      </c>
      <c r="T5" s="1481">
        <f>T6</f>
        <v>300720</v>
      </c>
      <c r="U5" s="1481"/>
      <c r="V5" s="1481"/>
      <c r="W5" s="1481">
        <f>W6</f>
        <v>346744.73</v>
      </c>
      <c r="X5" s="1481">
        <f>X6</f>
        <v>0</v>
      </c>
      <c r="Y5" s="1481">
        <f>Y6</f>
        <v>346744.73</v>
      </c>
      <c r="Z5" s="1481"/>
      <c r="AA5" s="1481"/>
      <c r="AB5" s="1481">
        <f>AB6</f>
        <v>277920</v>
      </c>
      <c r="AC5" s="1481">
        <f>AC6</f>
        <v>0</v>
      </c>
      <c r="AD5" s="1481">
        <f>AD6</f>
        <v>277920</v>
      </c>
      <c r="AE5" s="1481"/>
      <c r="AF5" s="1481"/>
      <c r="AG5" s="1481">
        <v>1215045.56</v>
      </c>
      <c r="AH5" s="1481">
        <v>34917.5</v>
      </c>
      <c r="AI5" s="1481">
        <v>1249963.06</v>
      </c>
      <c r="AJ5" s="1481"/>
      <c r="AK5" s="1481"/>
      <c r="AL5" s="1481">
        <f>AL6+AL7</f>
        <v>0</v>
      </c>
      <c r="AM5" s="1481">
        <f>AM6+AM7</f>
        <v>0</v>
      </c>
      <c r="AN5" s="1481">
        <f>AN6+AN7</f>
        <v>0</v>
      </c>
      <c r="AO5" s="1481"/>
      <c r="AP5" s="1481"/>
      <c r="AQ5" s="1481">
        <f>AQ6</f>
        <v>0</v>
      </c>
      <c r="AR5" s="1481">
        <f>AR6</f>
        <v>0</v>
      </c>
      <c r="AS5" s="1481">
        <f>AS6</f>
        <v>0</v>
      </c>
      <c r="AT5" s="1481"/>
      <c r="AU5" s="1481"/>
      <c r="AV5" s="1481">
        <f>AV6</f>
        <v>0</v>
      </c>
      <c r="AW5" s="1481">
        <f>AW6</f>
        <v>0</v>
      </c>
      <c r="AX5" s="1481">
        <f>AX6+AX7</f>
        <v>0</v>
      </c>
      <c r="AY5" s="1481"/>
      <c r="AZ5" s="1481"/>
      <c r="BA5" s="1481">
        <f>BA6</f>
        <v>0</v>
      </c>
      <c r="BB5" s="1481">
        <f>BB6</f>
        <v>0</v>
      </c>
      <c r="BC5" s="1481">
        <f>BC6+BC7</f>
        <v>0</v>
      </c>
      <c r="BD5" s="1481"/>
      <c r="BE5" s="1481"/>
      <c r="BF5" s="1481">
        <f>BF6</f>
        <v>0</v>
      </c>
      <c r="BG5" s="1481">
        <f>BG6</f>
        <v>0</v>
      </c>
      <c r="BH5" s="1481">
        <f>BH6+BH7</f>
        <v>0</v>
      </c>
      <c r="BI5" s="1481"/>
      <c r="BJ5" s="1481"/>
      <c r="BK5" s="1481">
        <f>BK6</f>
        <v>0</v>
      </c>
      <c r="BL5" s="1481">
        <f>BL6</f>
        <v>0</v>
      </c>
      <c r="BM5" s="1481">
        <f>BM6+BM7</f>
        <v>0</v>
      </c>
      <c r="BN5" s="1481"/>
      <c r="BO5" s="1481"/>
      <c r="BP5" s="1481">
        <f>BP6</f>
        <v>0</v>
      </c>
      <c r="BQ5" s="1481">
        <f>BQ6</f>
        <v>0</v>
      </c>
      <c r="BR5" s="1481">
        <f>BR6+BR7</f>
        <v>0</v>
      </c>
      <c r="BS5" s="1481"/>
      <c r="BT5" s="1481"/>
      <c r="BU5" s="1481">
        <f>BU6</f>
        <v>0</v>
      </c>
      <c r="BV5" s="1481">
        <f>BV6</f>
        <v>0</v>
      </c>
      <c r="BW5" s="1481">
        <f>BW6+BW7</f>
        <v>0</v>
      </c>
      <c r="BX5" s="1481"/>
      <c r="BY5" s="1481"/>
      <c r="BZ5" s="1481">
        <f>BZ6</f>
        <v>0</v>
      </c>
      <c r="CA5" s="1481">
        <f>CA6</f>
        <v>0</v>
      </c>
      <c r="CB5" s="1481">
        <f>CB6+CB7</f>
        <v>0</v>
      </c>
      <c r="CC5" s="1481"/>
      <c r="CD5" s="1481"/>
      <c r="CE5" s="1481">
        <f>CE6</f>
        <v>0</v>
      </c>
      <c r="CF5" s="1481">
        <f>CF6</f>
        <v>0</v>
      </c>
      <c r="CG5" s="1481">
        <f>CG6+CG7</f>
        <v>0</v>
      </c>
      <c r="CH5" s="1481"/>
      <c r="CI5" s="1481"/>
      <c r="CJ5" s="1481">
        <f>CJ6</f>
        <v>0</v>
      </c>
      <c r="CK5" s="1481">
        <f>CK6</f>
        <v>0</v>
      </c>
      <c r="CL5" s="1481">
        <f>CL6+CL7</f>
        <v>0</v>
      </c>
      <c r="CM5" s="1481"/>
      <c r="CN5" s="1481"/>
      <c r="CO5" s="1481">
        <f>CO6</f>
        <v>0</v>
      </c>
      <c r="CP5" s="1481">
        <f>CP6</f>
        <v>0</v>
      </c>
      <c r="CQ5" s="1481">
        <f>CQ6+CQ7</f>
        <v>0</v>
      </c>
      <c r="CR5" s="1481"/>
      <c r="CS5" s="1481"/>
      <c r="CT5" s="1481">
        <f>CT6</f>
        <v>0</v>
      </c>
      <c r="CU5" s="1481">
        <f>CU6</f>
        <v>0</v>
      </c>
      <c r="CV5" s="1481">
        <f>CV6+CV7</f>
        <v>0</v>
      </c>
      <c r="CW5" s="1481"/>
      <c r="CX5" s="1481"/>
      <c r="CY5" s="1481">
        <f>CY6+CY7</f>
        <v>2273323.29</v>
      </c>
      <c r="CZ5" s="1481">
        <f>CZ6+CZ7</f>
        <v>389653.5</v>
      </c>
      <c r="DA5" s="1481">
        <f>DA6+DA7</f>
        <v>2662976.79</v>
      </c>
      <c r="DB5" s="1481"/>
      <c r="DC5" s="1481"/>
    </row>
    <row r="6" spans="1:107" s="1411" customFormat="1" ht="69" x14ac:dyDescent="0.25">
      <c r="A6" s="3273">
        <v>0</v>
      </c>
      <c r="B6" s="1418" t="s">
        <v>17</v>
      </c>
      <c r="C6" s="3274"/>
      <c r="D6" s="3274"/>
      <c r="E6" s="2028">
        <f>C6+D6</f>
        <v>0</v>
      </c>
      <c r="F6" s="3274"/>
      <c r="G6" s="3275"/>
      <c r="H6" s="3274"/>
      <c r="I6" s="3274">
        <v>185716</v>
      </c>
      <c r="J6" s="2028">
        <f>H6+I6</f>
        <v>185716</v>
      </c>
      <c r="K6" s="3274"/>
      <c r="L6" s="3275"/>
      <c r="M6" s="3274">
        <f>72989+59904</f>
        <v>132893</v>
      </c>
      <c r="N6" s="3274">
        <v>169020</v>
      </c>
      <c r="O6" s="2028">
        <f>M6+N6</f>
        <v>301913</v>
      </c>
      <c r="P6" s="3274"/>
      <c r="Q6" s="3275" t="s">
        <v>1254</v>
      </c>
      <c r="R6" s="3274">
        <v>300720</v>
      </c>
      <c r="S6" s="3274"/>
      <c r="T6" s="2028">
        <f>R6+S6</f>
        <v>300720</v>
      </c>
      <c r="U6" s="3274"/>
      <c r="V6" s="3275" t="s">
        <v>1463</v>
      </c>
      <c r="W6" s="3274">
        <v>346744.73</v>
      </c>
      <c r="X6" s="3274"/>
      <c r="Y6" s="2028">
        <f>W6+X6</f>
        <v>346744.73</v>
      </c>
      <c r="Z6" s="3274"/>
      <c r="AA6" s="3275" t="s">
        <v>1421</v>
      </c>
      <c r="AB6" s="3274">
        <v>277920</v>
      </c>
      <c r="AC6" s="3274"/>
      <c r="AD6" s="2028">
        <f>AB6+AC6</f>
        <v>277920</v>
      </c>
      <c r="AE6" s="3274"/>
      <c r="AF6" s="3275" t="s">
        <v>1472</v>
      </c>
      <c r="AG6" s="3274">
        <v>1215045.56</v>
      </c>
      <c r="AH6" s="3274">
        <v>34917.5</v>
      </c>
      <c r="AI6" s="2028">
        <v>1249963.06</v>
      </c>
      <c r="AJ6" s="3274"/>
      <c r="AK6" s="3276"/>
      <c r="AL6" s="3274">
        <f>AQ6+AV6+BA6+BF6+BK6+BP6+BU6+BZ6+CE6+CJ6+CO6+CT6</f>
        <v>0</v>
      </c>
      <c r="AM6" s="3274">
        <f>AR6+AW6+BB6+BG6+BL6+BQ6+BV6+CA6+CF6+CK6+CP6+CU6</f>
        <v>0</v>
      </c>
      <c r="AN6" s="2028">
        <f>AL6+AM6</f>
        <v>0</v>
      </c>
      <c r="AO6" s="3274"/>
      <c r="AP6" s="3276"/>
      <c r="AQ6" s="3274"/>
      <c r="AR6" s="3274"/>
      <c r="AS6" s="2028">
        <f>AQ6+AR6</f>
        <v>0</v>
      </c>
      <c r="AT6" s="3274"/>
      <c r="AU6" s="3275"/>
      <c r="AV6" s="3282"/>
      <c r="AW6" s="3274"/>
      <c r="AX6" s="2028">
        <f>AV6+AW6</f>
        <v>0</v>
      </c>
      <c r="AY6" s="3274"/>
      <c r="AZ6" s="3374"/>
      <c r="BA6" s="3274"/>
      <c r="BB6" s="3274"/>
      <c r="BC6" s="2028">
        <f>BA6+BB6</f>
        <v>0</v>
      </c>
      <c r="BD6" s="3274"/>
      <c r="BE6" s="3276"/>
      <c r="BF6" s="3274"/>
      <c r="BG6" s="3274"/>
      <c r="BH6" s="2028">
        <f>BF6+BG6</f>
        <v>0</v>
      </c>
      <c r="BI6" s="3274"/>
      <c r="BJ6" s="3276"/>
      <c r="BK6" s="3274"/>
      <c r="BL6" s="3274"/>
      <c r="BM6" s="2028">
        <f>BK6+BL6</f>
        <v>0</v>
      </c>
      <c r="BN6" s="3274"/>
      <c r="BO6" s="3276"/>
      <c r="BP6" s="3274"/>
      <c r="BQ6" s="3274"/>
      <c r="BR6" s="2028">
        <f>BP6+BQ6</f>
        <v>0</v>
      </c>
      <c r="BS6" s="3274"/>
      <c r="BT6" s="3276"/>
      <c r="BU6" s="3274"/>
      <c r="BV6" s="3274"/>
      <c r="BW6" s="2028">
        <f>BU6+BV6</f>
        <v>0</v>
      </c>
      <c r="BX6" s="3274"/>
      <c r="BY6" s="3276"/>
      <c r="BZ6" s="3274"/>
      <c r="CA6" s="3274"/>
      <c r="CB6" s="2028">
        <f>BZ6+CA6</f>
        <v>0</v>
      </c>
      <c r="CC6" s="3274"/>
      <c r="CD6" s="3276"/>
      <c r="CE6" s="3274"/>
      <c r="CF6" s="3274"/>
      <c r="CG6" s="2028">
        <f>CE6+CF6</f>
        <v>0</v>
      </c>
      <c r="CH6" s="3274"/>
      <c r="CI6" s="3276"/>
      <c r="CJ6" s="3274"/>
      <c r="CK6" s="3274"/>
      <c r="CL6" s="2028">
        <f>CJ6+CK6</f>
        <v>0</v>
      </c>
      <c r="CM6" s="3274"/>
      <c r="CN6" s="3276"/>
      <c r="CO6" s="3274"/>
      <c r="CP6" s="3274"/>
      <c r="CQ6" s="2028">
        <f>CO6+CP6</f>
        <v>0</v>
      </c>
      <c r="CR6" s="3274"/>
      <c r="CS6" s="3276"/>
      <c r="CT6" s="3274"/>
      <c r="CU6" s="3274"/>
      <c r="CV6" s="2028">
        <f>CT6+CU6</f>
        <v>0</v>
      </c>
      <c r="CW6" s="3274"/>
      <c r="CX6" s="3276"/>
      <c r="CY6" s="3274">
        <f>C6+H6+M6+R6+W6+AB6+AQ6+AV6+BA6+BF6+BK6+BP6+BU6+BZ6+CE6+CJ6+CO6+CT6+AG6</f>
        <v>2273323.29</v>
      </c>
      <c r="CZ6" s="3274">
        <f>D6+I6+N6+S6+X6+AC6+AR6+AW6+BB6+BG6+BL6+BQ6+BV6+CA6+CF6+CK6+CP6+CU6+AH6</f>
        <v>389653.5</v>
      </c>
      <c r="DA6" s="2028">
        <f>CY6+CZ6</f>
        <v>2662976.79</v>
      </c>
      <c r="DB6" s="3274"/>
      <c r="DC6" s="3274"/>
    </row>
    <row r="7" spans="1:107" s="1411" customFormat="1" ht="15" customHeight="1" thickBot="1" x14ac:dyDescent="0.3">
      <c r="A7" s="1586"/>
      <c r="B7" s="3231" t="s">
        <v>41</v>
      </c>
      <c r="C7" s="3274"/>
      <c r="D7" s="3274"/>
      <c r="E7" s="2028">
        <f>C7+D7</f>
        <v>0</v>
      </c>
      <c r="F7" s="3277"/>
      <c r="G7" s="3277"/>
      <c r="H7" s="3274"/>
      <c r="I7" s="3274"/>
      <c r="J7" s="2028">
        <f>H7+I7</f>
        <v>0</v>
      </c>
      <c r="K7" s="3277"/>
      <c r="L7" s="3277"/>
      <c r="M7" s="3274"/>
      <c r="N7" s="3274"/>
      <c r="O7" s="2028">
        <f>M7+N7</f>
        <v>0</v>
      </c>
      <c r="P7" s="3277"/>
      <c r="Q7" s="3277"/>
      <c r="R7" s="3274"/>
      <c r="S7" s="3274"/>
      <c r="T7" s="2028">
        <f>R7+S7</f>
        <v>0</v>
      </c>
      <c r="U7" s="3277"/>
      <c r="V7" s="3277"/>
      <c r="W7" s="3274"/>
      <c r="X7" s="3274"/>
      <c r="Y7" s="2028">
        <f>W7+X7</f>
        <v>0</v>
      </c>
      <c r="Z7" s="3277"/>
      <c r="AA7" s="3277"/>
      <c r="AB7" s="3274"/>
      <c r="AC7" s="3274"/>
      <c r="AD7" s="2028">
        <f>AB7+AC7</f>
        <v>0</v>
      </c>
      <c r="AE7" s="3277"/>
      <c r="AF7" s="3277"/>
      <c r="AG7" s="3274">
        <v>0</v>
      </c>
      <c r="AH7" s="3274">
        <v>0</v>
      </c>
      <c r="AI7" s="2028">
        <v>0</v>
      </c>
      <c r="AJ7" s="3277"/>
      <c r="AK7" s="3276"/>
      <c r="AL7" s="3274">
        <f>AQ7+AV7+BA7+BF7+BK7+BP7+BU7+BZ7+CE7+CJ7+CO7+CT7</f>
        <v>0</v>
      </c>
      <c r="AM7" s="3274">
        <f>AR7+AW7+BB7+BG7+BL7+BQ7+BV7+CA7+CF7+CK7+CP7+CU7</f>
        <v>0</v>
      </c>
      <c r="AN7" s="2028">
        <f>AL7+AM7</f>
        <v>0</v>
      </c>
      <c r="AO7" s="3277"/>
      <c r="AP7" s="3276"/>
      <c r="AQ7" s="3274"/>
      <c r="AR7" s="3274"/>
      <c r="AS7" s="2028">
        <f>AQ7+AR7</f>
        <v>0</v>
      </c>
      <c r="AT7" s="3277"/>
      <c r="AU7" s="3277"/>
      <c r="AV7" s="3274"/>
      <c r="AW7" s="3274"/>
      <c r="AX7" s="2028">
        <f>AV7+AW7</f>
        <v>0</v>
      </c>
      <c r="AY7" s="3277"/>
      <c r="AZ7" s="3277"/>
      <c r="BA7" s="3274"/>
      <c r="BB7" s="3274"/>
      <c r="BC7" s="2028">
        <f>BA7+BB7</f>
        <v>0</v>
      </c>
      <c r="BD7" s="3277"/>
      <c r="BE7" s="3277"/>
      <c r="BF7" s="3274"/>
      <c r="BG7" s="3274"/>
      <c r="BH7" s="2028">
        <f>BF7+BG7</f>
        <v>0</v>
      </c>
      <c r="BI7" s="3277"/>
      <c r="BJ7" s="3277"/>
      <c r="BK7" s="3274"/>
      <c r="BL7" s="3274"/>
      <c r="BM7" s="2028">
        <f>BK7+BL7</f>
        <v>0</v>
      </c>
      <c r="BN7" s="3277"/>
      <c r="BO7" s="3277"/>
      <c r="BP7" s="3274"/>
      <c r="BQ7" s="3274"/>
      <c r="BR7" s="2028">
        <f>BP7+BQ7</f>
        <v>0</v>
      </c>
      <c r="BS7" s="3277"/>
      <c r="BT7" s="3277"/>
      <c r="BU7" s="3274"/>
      <c r="BV7" s="3274"/>
      <c r="BW7" s="2028">
        <f>BU7+BV7</f>
        <v>0</v>
      </c>
      <c r="BX7" s="3277"/>
      <c r="BY7" s="3277"/>
      <c r="BZ7" s="3274"/>
      <c r="CA7" s="3274"/>
      <c r="CB7" s="2028">
        <f>BZ7+CA7</f>
        <v>0</v>
      </c>
      <c r="CC7" s="3277"/>
      <c r="CD7" s="3278"/>
      <c r="CE7" s="3274"/>
      <c r="CF7" s="3274"/>
      <c r="CG7" s="2028">
        <f>CE7+CF7</f>
        <v>0</v>
      </c>
      <c r="CH7" s="3277"/>
      <c r="CI7" s="3278"/>
      <c r="CJ7" s="3274"/>
      <c r="CK7" s="3274"/>
      <c r="CL7" s="2028">
        <f>CJ7+CK7</f>
        <v>0</v>
      </c>
      <c r="CM7" s="3277"/>
      <c r="CN7" s="3278"/>
      <c r="CO7" s="3274"/>
      <c r="CP7" s="3274"/>
      <c r="CQ7" s="2028">
        <f>CO7+CP7</f>
        <v>0</v>
      </c>
      <c r="CR7" s="3277"/>
      <c r="CS7" s="3278"/>
      <c r="CT7" s="3274"/>
      <c r="CU7" s="3274"/>
      <c r="CV7" s="2028">
        <f>CT7+CU7</f>
        <v>0</v>
      </c>
      <c r="CW7" s="3277"/>
      <c r="CX7" s="3278"/>
      <c r="CY7" s="3274">
        <f>C7+H7+M7+R7+W7+AB7+AQ7+AV7+BA7+BF7+BK7+BP7+BU7+BZ7+CE7+CJ7+CO7+CT7+AG7</f>
        <v>0</v>
      </c>
      <c r="CZ7" s="3274">
        <f>D7+I7+N7+S7+X7+AC7+AR7+AW7+BB7+BG7+BL7+BQ7+BV7+CA7+CF7+CK7+CP7+CU7+AH7</f>
        <v>0</v>
      </c>
      <c r="DA7" s="2028">
        <f>CY7+CZ7</f>
        <v>0</v>
      </c>
      <c r="DB7" s="3277"/>
      <c r="DC7" s="3277"/>
    </row>
    <row r="8" spans="1:107" s="2483" customFormat="1" ht="14.4" thickBot="1" x14ac:dyDescent="0.3">
      <c r="A8" s="1586"/>
      <c r="B8" s="1478" t="s">
        <v>16</v>
      </c>
      <c r="C8" s="1973">
        <f>SUM(C9:C33)</f>
        <v>171153.39</v>
      </c>
      <c r="D8" s="1973">
        <f>SUM(D9:D33)</f>
        <v>18200</v>
      </c>
      <c r="E8" s="1499">
        <f>SUM(E9:E33)</f>
        <v>189353.39</v>
      </c>
      <c r="F8" s="1543">
        <f t="shared" ref="F8:F36" si="0">E8/$E$89</f>
        <v>0.97906222160551437</v>
      </c>
      <c r="G8" s="1481"/>
      <c r="H8" s="1973">
        <f>SUM(H9:H33)</f>
        <v>216885.128</v>
      </c>
      <c r="I8" s="1973">
        <f>SUM(I9:I33)</f>
        <v>25914.7</v>
      </c>
      <c r="J8" s="1499">
        <f>SUM(J9:J33)</f>
        <v>242799.82800000001</v>
      </c>
      <c r="K8" s="1543">
        <f>J8/$T$89</f>
        <v>3.7252642100786302</v>
      </c>
      <c r="L8" s="1481"/>
      <c r="M8" s="1973">
        <f>SUM(M9:M33)</f>
        <v>93045.6</v>
      </c>
      <c r="N8" s="1973">
        <f>SUM(N9:N33)</f>
        <v>19000</v>
      </c>
      <c r="O8" s="1499">
        <f>SUM(O9:O33)</f>
        <v>112045.6</v>
      </c>
      <c r="P8" s="1543">
        <f>O8/$O$89</f>
        <v>0.96553078691048289</v>
      </c>
      <c r="Q8" s="1481"/>
      <c r="R8" s="1973">
        <f>SUM(R9:R33)</f>
        <v>33006.589999999997</v>
      </c>
      <c r="S8" s="1973">
        <f>SUM(S9:S33)</f>
        <v>30846.61</v>
      </c>
      <c r="T8" s="1499">
        <f>SUM(T9:T33)</f>
        <v>63853.2</v>
      </c>
      <c r="U8" s="1543">
        <f>T8/$O$89</f>
        <v>0.55024231601019979</v>
      </c>
      <c r="V8" s="1481"/>
      <c r="W8" s="1973">
        <f>SUM(W9:W33)</f>
        <v>106028.70000000001</v>
      </c>
      <c r="X8" s="1973">
        <f>SUM(X9:X33)</f>
        <v>42132.15</v>
      </c>
      <c r="Y8" s="1499">
        <f>SUM(Y9:Y33)</f>
        <v>148160.85</v>
      </c>
      <c r="Z8" s="1543">
        <f>Y8/$O$89</f>
        <v>1.2767468074589812</v>
      </c>
      <c r="AA8" s="1481"/>
      <c r="AB8" s="1973">
        <f>SUM(AB9:AB33)</f>
        <v>185171.27559999999</v>
      </c>
      <c r="AC8" s="1973">
        <f>SUM(AC9:AC33)</f>
        <v>64551</v>
      </c>
      <c r="AD8" s="1499">
        <f>SUM(AD9:AD33)</f>
        <v>249722.27559999999</v>
      </c>
      <c r="AE8" s="1543">
        <f>AD8/$O$89</f>
        <v>2.1519322960396878</v>
      </c>
      <c r="AF8" s="1481"/>
      <c r="AG8" s="1973">
        <v>1096346.0620000002</v>
      </c>
      <c r="AH8" s="1973">
        <v>245145.41</v>
      </c>
      <c r="AI8" s="1499">
        <v>1341491.4720000001</v>
      </c>
      <c r="AJ8" s="1543">
        <v>20.582428784781918</v>
      </c>
      <c r="AK8" s="1481"/>
      <c r="AL8" s="1973">
        <f>SUM(AL9:AL33)</f>
        <v>0</v>
      </c>
      <c r="AM8" s="1973">
        <f>SUM(AM9:AM33)</f>
        <v>0</v>
      </c>
      <c r="AN8" s="1499">
        <f>SUM(AN9:AN33)</f>
        <v>0</v>
      </c>
      <c r="AO8" s="1543">
        <f>AN8/$T$89</f>
        <v>0</v>
      </c>
      <c r="AP8" s="1481"/>
      <c r="AQ8" s="1973">
        <f>SUM(AQ9:AQ33)</f>
        <v>0</v>
      </c>
      <c r="AR8" s="1973">
        <f>SUM(AR9:AR33)</f>
        <v>0</v>
      </c>
      <c r="AS8" s="1499">
        <f>SUM(AS9:AS33)</f>
        <v>0</v>
      </c>
      <c r="AT8" s="1543">
        <f>AS8/$O$89</f>
        <v>0</v>
      </c>
      <c r="AU8" s="1481"/>
      <c r="AV8" s="1973">
        <f>SUM(AV9:AV33)</f>
        <v>0</v>
      </c>
      <c r="AW8" s="1973">
        <f>SUM(AW9:AW33)</f>
        <v>0</v>
      </c>
      <c r="AX8" s="1499">
        <f>SUM(AX9:AX33)</f>
        <v>0</v>
      </c>
      <c r="AY8" s="1543">
        <f>AX8/$E$89</f>
        <v>0</v>
      </c>
      <c r="AZ8" s="1481"/>
      <c r="BA8" s="1973">
        <f>SUM(BA9:BA33)</f>
        <v>0</v>
      </c>
      <c r="BB8" s="1973">
        <f>SUM(BB9:BB33)</f>
        <v>0</v>
      </c>
      <c r="BC8" s="1499">
        <f>SUM(BC9:BC33)</f>
        <v>0</v>
      </c>
      <c r="BD8" s="1543">
        <f>BC8/$AD$89</f>
        <v>0</v>
      </c>
      <c r="BE8" s="1481"/>
      <c r="BF8" s="1973">
        <f>SUM(BF9:BF33)</f>
        <v>0</v>
      </c>
      <c r="BG8" s="1973">
        <f>SUM(BG9:BG33)</f>
        <v>0</v>
      </c>
      <c r="BH8" s="1499">
        <f>SUM(BH9:BH33)</f>
        <v>0</v>
      </c>
      <c r="BI8" s="1543">
        <f>BH8/$AD$89</f>
        <v>0</v>
      </c>
      <c r="BJ8" s="1481"/>
      <c r="BK8" s="1973">
        <f>SUM(BK9:BK33)</f>
        <v>0</v>
      </c>
      <c r="BL8" s="1973">
        <f>SUM(BL9:BL33)</f>
        <v>0</v>
      </c>
      <c r="BM8" s="1499">
        <f>SUM(BM9:BM33)</f>
        <v>0</v>
      </c>
      <c r="BN8" s="1543">
        <f>BM8/$AD$89</f>
        <v>0</v>
      </c>
      <c r="BO8" s="1481"/>
      <c r="BP8" s="1973">
        <f>SUM(BP9:BP33)</f>
        <v>0</v>
      </c>
      <c r="BQ8" s="1973">
        <f>SUM(BQ9:BQ33)</f>
        <v>0</v>
      </c>
      <c r="BR8" s="1499">
        <f>SUM(BR9:BR33)</f>
        <v>0</v>
      </c>
      <c r="BS8" s="1543">
        <f>BR8/$AD$89</f>
        <v>0</v>
      </c>
      <c r="BT8" s="1481"/>
      <c r="BU8" s="1973">
        <f>SUM(BU9:BU33)</f>
        <v>0</v>
      </c>
      <c r="BV8" s="1973">
        <f>SUM(BV9:BV33)</f>
        <v>0</v>
      </c>
      <c r="BW8" s="1499">
        <f>SUM(BW9:BW33)</f>
        <v>0</v>
      </c>
      <c r="BX8" s="1543" t="e">
        <f>BW8/$AN$89</f>
        <v>#DIV/0!</v>
      </c>
      <c r="BY8" s="1481"/>
      <c r="BZ8" s="1973">
        <f>SUM(BZ9:BZ33)</f>
        <v>0</v>
      </c>
      <c r="CA8" s="1973">
        <f>SUM(CA9:CA33)</f>
        <v>0</v>
      </c>
      <c r="CB8" s="1499">
        <f>SUM(CB9:CB33)</f>
        <v>0</v>
      </c>
      <c r="CC8" s="1543" t="e">
        <f>CB8/$AN$89</f>
        <v>#DIV/0!</v>
      </c>
      <c r="CD8" s="1982"/>
      <c r="CE8" s="1973">
        <f>SUM(CE9:CE33)</f>
        <v>0</v>
      </c>
      <c r="CF8" s="1973">
        <f>SUM(CF9:CF33)</f>
        <v>0</v>
      </c>
      <c r="CG8" s="1499">
        <f>SUM(CG9:CG33)</f>
        <v>0</v>
      </c>
      <c r="CH8" s="1543" t="e">
        <f>CG8/$AN$89</f>
        <v>#DIV/0!</v>
      </c>
      <c r="CI8" s="1982"/>
      <c r="CJ8" s="1973">
        <f>SUM(CJ9:CJ33)</f>
        <v>0</v>
      </c>
      <c r="CK8" s="1973">
        <f>SUM(CK9:CK33)</f>
        <v>0</v>
      </c>
      <c r="CL8" s="1499">
        <f>SUM(CL9:CL33)</f>
        <v>0</v>
      </c>
      <c r="CM8" s="1543" t="e">
        <f>CL8/$AN$89</f>
        <v>#DIV/0!</v>
      </c>
      <c r="CN8" s="1982"/>
      <c r="CO8" s="1973">
        <f>SUM(CO9:CO33)</f>
        <v>0</v>
      </c>
      <c r="CP8" s="1973">
        <f>SUM(CP9:CP33)</f>
        <v>0</v>
      </c>
      <c r="CQ8" s="1499">
        <f>SUM(CQ9:CQ33)</f>
        <v>0</v>
      </c>
      <c r="CR8" s="1543" t="e">
        <f>CQ8/$AN$89</f>
        <v>#DIV/0!</v>
      </c>
      <c r="CS8" s="1982"/>
      <c r="CT8" s="1973">
        <f>SUM(CT9:CT33)</f>
        <v>0</v>
      </c>
      <c r="CU8" s="1973">
        <f>SUM(CU9:CU33)</f>
        <v>0</v>
      </c>
      <c r="CV8" s="1499">
        <f>SUM(CV9:CV33)</f>
        <v>0</v>
      </c>
      <c r="CW8" s="1543" t="e">
        <f>CV8/$AN$89</f>
        <v>#DIV/0!</v>
      </c>
      <c r="CX8" s="1982"/>
      <c r="CY8" s="1973">
        <f>SUM(CY9:CY33)</f>
        <v>1901636.7456000003</v>
      </c>
      <c r="CZ8" s="1973">
        <f>SUM(CZ9:CZ33)</f>
        <v>445789.87</v>
      </c>
      <c r="DA8" s="1499">
        <f>SUM(DA9:DA33)</f>
        <v>2347426.6156000001</v>
      </c>
      <c r="DB8" s="1543">
        <f t="shared" ref="DB8:DB32" si="1">DA8/$DA$89</f>
        <v>0.97732735162052153</v>
      </c>
      <c r="DC8" s="1481"/>
    </row>
    <row r="9" spans="1:107" s="1411" customFormat="1" ht="13.8" x14ac:dyDescent="0.25">
      <c r="A9" s="1586"/>
      <c r="B9" s="1061" t="s">
        <v>74</v>
      </c>
      <c r="C9" s="3274"/>
      <c r="D9" s="3274"/>
      <c r="E9" s="3283">
        <f>C9+D9*1</f>
        <v>0</v>
      </c>
      <c r="F9" s="3284">
        <f>E9/$E$89</f>
        <v>0</v>
      </c>
      <c r="G9" s="3275"/>
      <c r="H9" s="3274">
        <v>7325.5</v>
      </c>
      <c r="I9" s="3274">
        <v>6714.7</v>
      </c>
      <c r="J9" s="3283">
        <f>H9+I9*1</f>
        <v>14040.2</v>
      </c>
      <c r="K9" s="3284">
        <f>J9/$T$89</f>
        <v>0.21541800500100017</v>
      </c>
      <c r="L9" s="3359" t="s">
        <v>1170</v>
      </c>
      <c r="M9" s="3274">
        <v>7325.5</v>
      </c>
      <c r="N9" s="3274">
        <v>15425</v>
      </c>
      <c r="O9" s="3283">
        <f>M9+N9*1</f>
        <v>22750.5</v>
      </c>
      <c r="P9" s="3284">
        <f t="shared" ref="P9:P71" si="2">O9/$O$89</f>
        <v>0.19604793198132672</v>
      </c>
      <c r="Q9" s="3275" t="s">
        <v>1170</v>
      </c>
      <c r="R9" s="3274">
        <v>7567</v>
      </c>
      <c r="S9" s="3274">
        <f>7190+22013</f>
        <v>29203</v>
      </c>
      <c r="T9" s="3283">
        <f>R9+S9*1</f>
        <v>36770</v>
      </c>
      <c r="U9" s="3284">
        <f t="shared" ref="U9:U33" si="3">T9/$O$89</f>
        <v>0.3168581991144539</v>
      </c>
      <c r="V9" s="3275" t="s">
        <v>1339</v>
      </c>
      <c r="W9" s="3274">
        <v>7567</v>
      </c>
      <c r="X9" s="3274">
        <v>20740.5</v>
      </c>
      <c r="Y9" s="3283">
        <f>W9+X9*1</f>
        <v>28307.5</v>
      </c>
      <c r="Z9" s="3284">
        <f t="shared" ref="Z9:Z33" si="4">Y9/$O$89</f>
        <v>0.2439342798866577</v>
      </c>
      <c r="AA9" s="3275" t="s">
        <v>1170</v>
      </c>
      <c r="AB9" s="3274">
        <v>7567</v>
      </c>
      <c r="AC9" s="3274">
        <f>32551+22*1000+10000</f>
        <v>64551</v>
      </c>
      <c r="AD9" s="3283">
        <f>AB9+AC9*1</f>
        <v>72118</v>
      </c>
      <c r="AE9" s="3284">
        <f t="shared" ref="AE9:AE33" si="5">AD9/$O$89</f>
        <v>0.62146259460800068</v>
      </c>
      <c r="AF9" s="3275" t="s">
        <v>1478</v>
      </c>
      <c r="AG9" s="3274">
        <v>88817.62000000001</v>
      </c>
      <c r="AH9" s="3274">
        <v>225491.64</v>
      </c>
      <c r="AI9" s="3283">
        <v>314309.26</v>
      </c>
      <c r="AJ9" s="3284">
        <v>4.8224294342346026</v>
      </c>
      <c r="AK9" s="3275"/>
      <c r="AL9" s="3274">
        <f t="shared" ref="AL9:AM33" si="6">AQ9+AV9+BA9+BF9+BK9+BP9+BU9+BZ9+CE9+CJ9+CO9+CT9</f>
        <v>0</v>
      </c>
      <c r="AM9" s="3274">
        <f t="shared" si="6"/>
        <v>0</v>
      </c>
      <c r="AN9" s="3283">
        <f>AL9+AM9*1</f>
        <v>0</v>
      </c>
      <c r="AO9" s="3284">
        <f t="shared" ref="AO9:AO33" si="7">AN9/$T$89</f>
        <v>0</v>
      </c>
      <c r="AP9" s="3275"/>
      <c r="AQ9" s="3274"/>
      <c r="AR9" s="3274"/>
      <c r="AS9" s="3283">
        <f>AQ9+AR9*1</f>
        <v>0</v>
      </c>
      <c r="AT9" s="3284">
        <f t="shared" ref="AT9:AT33" si="8">AS9/$O$89</f>
        <v>0</v>
      </c>
      <c r="AU9" s="3275"/>
      <c r="AV9" s="3282"/>
      <c r="AW9" s="3274"/>
      <c r="AX9" s="3283">
        <f>AV9+AW9*1</f>
        <v>0</v>
      </c>
      <c r="AY9" s="3284">
        <f t="shared" ref="AY9:AY33" si="9">AX9/$E$89</f>
        <v>0</v>
      </c>
      <c r="AZ9" s="3374"/>
      <c r="BA9" s="3285"/>
      <c r="BB9" s="3285"/>
      <c r="BC9" s="3286">
        <f>BA9+BB9*1</f>
        <v>0</v>
      </c>
      <c r="BD9" s="3284">
        <f t="shared" ref="BD9:BD33" si="10">BC9/$AD$89</f>
        <v>0</v>
      </c>
      <c r="BE9" s="3287"/>
      <c r="BF9" s="3285"/>
      <c r="BG9" s="3285"/>
      <c r="BH9" s="3286">
        <f>BF9+BG9*1</f>
        <v>0</v>
      </c>
      <c r="BI9" s="3284">
        <f t="shared" ref="BI9:BI33" si="11">BH9/$AD$89</f>
        <v>0</v>
      </c>
      <c r="BJ9" s="3287"/>
      <c r="BK9" s="3285"/>
      <c r="BL9" s="3285"/>
      <c r="BM9" s="3286">
        <f>BK9+BL9*1</f>
        <v>0</v>
      </c>
      <c r="BN9" s="3284">
        <f t="shared" ref="BN9:BN33" si="12">BM9/$AD$89</f>
        <v>0</v>
      </c>
      <c r="BO9" s="3287"/>
      <c r="BP9" s="3285"/>
      <c r="BQ9" s="3285"/>
      <c r="BR9" s="3286">
        <f>BP9+BQ9*1</f>
        <v>0</v>
      </c>
      <c r="BS9" s="3284">
        <f t="shared" ref="BS9:BS33" si="13">BR9/$AD$89</f>
        <v>0</v>
      </c>
      <c r="BT9" s="3287"/>
      <c r="BU9" s="3285"/>
      <c r="BV9" s="3285"/>
      <c r="BW9" s="3286">
        <f>BU9+BV9*1</f>
        <v>0</v>
      </c>
      <c r="BX9" s="3284" t="e">
        <f t="shared" ref="BX9:BX33" si="14">BW9/$AN$89</f>
        <v>#DIV/0!</v>
      </c>
      <c r="BY9" s="3287"/>
      <c r="BZ9" s="3285"/>
      <c r="CA9" s="3285"/>
      <c r="CB9" s="3286">
        <f>BZ9+CA9*1</f>
        <v>0</v>
      </c>
      <c r="CC9" s="3284" t="e">
        <f t="shared" ref="CC9:CC33" si="15">CB9/$AN$89</f>
        <v>#DIV/0!</v>
      </c>
      <c r="CD9" s="3287"/>
      <c r="CE9" s="3285"/>
      <c r="CF9" s="3285"/>
      <c r="CG9" s="3286">
        <f>CE9+CF9*1</f>
        <v>0</v>
      </c>
      <c r="CH9" s="3284" t="e">
        <f t="shared" ref="CH9:CH33" si="16">CG9/$AN$89</f>
        <v>#DIV/0!</v>
      </c>
      <c r="CI9" s="3287"/>
      <c r="CJ9" s="3285"/>
      <c r="CK9" s="3285"/>
      <c r="CL9" s="3286">
        <f>CJ9+CK9*1</f>
        <v>0</v>
      </c>
      <c r="CM9" s="3284" t="e">
        <f t="shared" ref="CM9:CM33" si="17">CL9/$AN$89</f>
        <v>#DIV/0!</v>
      </c>
      <c r="CN9" s="3287"/>
      <c r="CO9" s="3285"/>
      <c r="CP9" s="3285"/>
      <c r="CQ9" s="3286">
        <f>CO9+CP9*1</f>
        <v>0</v>
      </c>
      <c r="CR9" s="3284" t="e">
        <f t="shared" ref="CR9:CR33" si="18">CQ9/$AN$89</f>
        <v>#DIV/0!</v>
      </c>
      <c r="CS9" s="3287"/>
      <c r="CT9" s="3285"/>
      <c r="CU9" s="3285"/>
      <c r="CV9" s="3286">
        <f>CT9+CU9*1</f>
        <v>0</v>
      </c>
      <c r="CW9" s="3284" t="e">
        <f t="shared" ref="CW9:CW33" si="19">CV9/$AN$89</f>
        <v>#DIV/0!</v>
      </c>
      <c r="CX9" s="3287"/>
      <c r="CY9" s="3274">
        <f t="shared" ref="CY9:CZ33" si="20">C9+H9+M9+R9+W9+AB9+AQ9+AV9+BA9+BF9+BK9+BP9+BU9+BZ9+CE9+CJ9+CO9+CT9+AG9</f>
        <v>126169.62000000001</v>
      </c>
      <c r="CZ9" s="3274">
        <f t="shared" si="20"/>
        <v>362125.84</v>
      </c>
      <c r="DA9" s="3283">
        <f>CY9+CZ9*1</f>
        <v>488295.46</v>
      </c>
      <c r="DB9" s="3284">
        <f t="shared" si="1"/>
        <v>0.20329688074536301</v>
      </c>
      <c r="DC9" s="1449"/>
    </row>
    <row r="10" spans="1:107" s="1411" customFormat="1" ht="13.8" x14ac:dyDescent="0.25">
      <c r="A10" s="1586"/>
      <c r="B10" s="1061" t="s">
        <v>72</v>
      </c>
      <c r="C10" s="3274"/>
      <c r="D10" s="3274"/>
      <c r="E10" s="3283">
        <f t="shared" ref="E10:E33" si="21">C10+D10*1</f>
        <v>0</v>
      </c>
      <c r="F10" s="3284">
        <f t="shared" si="0"/>
        <v>0</v>
      </c>
      <c r="G10" s="1449"/>
      <c r="H10" s="3274">
        <v>1774.5</v>
      </c>
      <c r="I10" s="3274"/>
      <c r="J10" s="3283">
        <f t="shared" ref="J10:J21" si="22">H10+I10*1</f>
        <v>1774.5</v>
      </c>
      <c r="K10" s="3284">
        <f t="shared" ref="K10:K33" si="23">J10/$T$89</f>
        <v>2.7226054463203857E-2</v>
      </c>
      <c r="L10" s="1449"/>
      <c r="M10" s="3274">
        <v>1774.5</v>
      </c>
      <c r="N10" s="3274"/>
      <c r="O10" s="3283">
        <f t="shared" ref="O10:O21" si="24">M10+N10*1</f>
        <v>1774.5</v>
      </c>
      <c r="P10" s="3284">
        <f t="shared" si="2"/>
        <v>1.5291402619760631E-2</v>
      </c>
      <c r="Q10" s="1449"/>
      <c r="R10" s="3274">
        <v>1833</v>
      </c>
      <c r="S10" s="3274"/>
      <c r="T10" s="3283">
        <f t="shared" ref="T10:T21" si="25">R10+S10*1</f>
        <v>1833</v>
      </c>
      <c r="U10" s="3284">
        <f t="shared" si="3"/>
        <v>1.5795514794038453E-2</v>
      </c>
      <c r="V10" s="1449"/>
      <c r="W10" s="3274">
        <v>1833</v>
      </c>
      <c r="X10" s="3274"/>
      <c r="Y10" s="3283">
        <f t="shared" ref="Y10:Y21" si="26">W10+X10*1</f>
        <v>1833</v>
      </c>
      <c r="Z10" s="3284">
        <f t="shared" si="4"/>
        <v>1.5795514794038453E-2</v>
      </c>
      <c r="AA10" s="1449"/>
      <c r="AB10" s="3274">
        <v>1833</v>
      </c>
      <c r="AC10" s="3274"/>
      <c r="AD10" s="3283">
        <f t="shared" ref="AD10:AD33" si="27">AB10+AC10*1</f>
        <v>1833</v>
      </c>
      <c r="AE10" s="3284">
        <f t="shared" si="5"/>
        <v>1.5795514794038453E-2</v>
      </c>
      <c r="AF10" s="1449"/>
      <c r="AG10" s="3274">
        <v>15555.310000000001</v>
      </c>
      <c r="AH10" s="3274">
        <v>0</v>
      </c>
      <c r="AI10" s="3283">
        <v>15555.310000000001</v>
      </c>
      <c r="AJ10" s="3284">
        <v>0.23866425317104514</v>
      </c>
      <c r="AK10" s="1449"/>
      <c r="AL10" s="3274">
        <f t="shared" si="6"/>
        <v>0</v>
      </c>
      <c r="AM10" s="3274">
        <f t="shared" si="6"/>
        <v>0</v>
      </c>
      <c r="AN10" s="3283">
        <f t="shared" ref="AN10:AN21" si="28">AL10+AM10*1</f>
        <v>0</v>
      </c>
      <c r="AO10" s="3284">
        <f t="shared" si="7"/>
        <v>0</v>
      </c>
      <c r="AP10" s="1449"/>
      <c r="AQ10" s="3274"/>
      <c r="AR10" s="3274"/>
      <c r="AS10" s="3283">
        <f t="shared" ref="AS10:AS33" si="29">AQ10+AR10*1</f>
        <v>0</v>
      </c>
      <c r="AT10" s="3284">
        <f t="shared" si="8"/>
        <v>0</v>
      </c>
      <c r="AU10" s="1449"/>
      <c r="AV10" s="3274"/>
      <c r="AW10" s="3274"/>
      <c r="AX10" s="3283">
        <f t="shared" ref="AX10:AX33" si="30">AV10+AW10*1</f>
        <v>0</v>
      </c>
      <c r="AY10" s="3284">
        <f t="shared" si="9"/>
        <v>0</v>
      </c>
      <c r="AZ10" s="3374"/>
      <c r="BA10" s="3285"/>
      <c r="BB10" s="3285"/>
      <c r="BC10" s="3286">
        <f t="shared" ref="BC10:BC33" si="31">BA10+BB10*1</f>
        <v>0</v>
      </c>
      <c r="BD10" s="3284">
        <f t="shared" si="10"/>
        <v>0</v>
      </c>
      <c r="BE10" s="1158"/>
      <c r="BF10" s="3285"/>
      <c r="BG10" s="3285"/>
      <c r="BH10" s="3286">
        <f>BF10+BG10*1</f>
        <v>0</v>
      </c>
      <c r="BI10" s="3284">
        <f t="shared" si="11"/>
        <v>0</v>
      </c>
      <c r="BJ10" s="1158"/>
      <c r="BK10" s="3285"/>
      <c r="BL10" s="3285"/>
      <c r="BM10" s="3286">
        <f>BK10+BL10*1</f>
        <v>0</v>
      </c>
      <c r="BN10" s="3284">
        <f t="shared" si="12"/>
        <v>0</v>
      </c>
      <c r="BO10" s="1158"/>
      <c r="BP10" s="3285"/>
      <c r="BQ10" s="3285"/>
      <c r="BR10" s="3286">
        <f>BP10+BQ10*1</f>
        <v>0</v>
      </c>
      <c r="BS10" s="3284">
        <f t="shared" si="13"/>
        <v>0</v>
      </c>
      <c r="BT10" s="1158"/>
      <c r="BU10" s="3285"/>
      <c r="BV10" s="3285"/>
      <c r="BW10" s="3286">
        <f>BU10+BV10*1</f>
        <v>0</v>
      </c>
      <c r="BX10" s="3284" t="e">
        <f t="shared" si="14"/>
        <v>#DIV/0!</v>
      </c>
      <c r="BY10" s="1158"/>
      <c r="BZ10" s="3285"/>
      <c r="CA10" s="3285"/>
      <c r="CB10" s="3286">
        <f>BZ10+CA10*1</f>
        <v>0</v>
      </c>
      <c r="CC10" s="3284" t="e">
        <f t="shared" si="15"/>
        <v>#DIV/0!</v>
      </c>
      <c r="CD10" s="1158"/>
      <c r="CE10" s="3285"/>
      <c r="CF10" s="3285"/>
      <c r="CG10" s="3286">
        <f>CE10+CF10*1</f>
        <v>0</v>
      </c>
      <c r="CH10" s="3284" t="e">
        <f t="shared" si="16"/>
        <v>#DIV/0!</v>
      </c>
      <c r="CI10" s="1158"/>
      <c r="CJ10" s="3285"/>
      <c r="CK10" s="3285"/>
      <c r="CL10" s="3286">
        <f>CJ10+CK10*1</f>
        <v>0</v>
      </c>
      <c r="CM10" s="3284" t="e">
        <f t="shared" si="17"/>
        <v>#DIV/0!</v>
      </c>
      <c r="CN10" s="1158"/>
      <c r="CO10" s="3285"/>
      <c r="CP10" s="3285"/>
      <c r="CQ10" s="3286">
        <f>CO10+CP10*1</f>
        <v>0</v>
      </c>
      <c r="CR10" s="3284" t="e">
        <f t="shared" si="18"/>
        <v>#DIV/0!</v>
      </c>
      <c r="CS10" s="1158"/>
      <c r="CT10" s="3285"/>
      <c r="CU10" s="3285"/>
      <c r="CV10" s="3286">
        <f>CT10+CU10*1</f>
        <v>0</v>
      </c>
      <c r="CW10" s="3284" t="e">
        <f t="shared" si="19"/>
        <v>#DIV/0!</v>
      </c>
      <c r="CX10" s="1158"/>
      <c r="CY10" s="3274">
        <f t="shared" ref="CY10:CY31" si="32">C10+H10+M10+R10+W10+AB10+AQ10+AV10+BA10+BF10+BK10+BP10+BU10+BZ10+CE10+CJ10+CO10+CT10+AG10</f>
        <v>24603.31</v>
      </c>
      <c r="CZ10" s="3274">
        <f t="shared" ref="CZ10:CZ31" si="33">D10+I10+N10+S10+X10+AC10+AR10+AW10+BB10+BG10+BL10+BQ10+BV10+CA10+CF10+CK10+CP10+CU10+AH10</f>
        <v>0</v>
      </c>
      <c r="DA10" s="3283">
        <f t="shared" ref="DA10:DA32" si="34">CY10+CZ10*1</f>
        <v>24603.31</v>
      </c>
      <c r="DB10" s="3284">
        <f t="shared" si="1"/>
        <v>1.0243339512128982E-2</v>
      </c>
      <c r="DC10" s="1449"/>
    </row>
    <row r="11" spans="1:107" s="1411" customFormat="1" ht="13.8" x14ac:dyDescent="0.25">
      <c r="A11" s="1586"/>
      <c r="B11" s="1061" t="s">
        <v>69</v>
      </c>
      <c r="C11" s="3274"/>
      <c r="D11" s="3274"/>
      <c r="E11" s="3283">
        <f t="shared" si="21"/>
        <v>0</v>
      </c>
      <c r="F11" s="3284">
        <f t="shared" si="0"/>
        <v>0</v>
      </c>
      <c r="G11" s="1449"/>
      <c r="H11" s="3274">
        <v>2002</v>
      </c>
      <c r="I11" s="3274"/>
      <c r="J11" s="3283">
        <f t="shared" si="22"/>
        <v>2002</v>
      </c>
      <c r="K11" s="3284">
        <f t="shared" si="23"/>
        <v>3.0716574266178711E-2</v>
      </c>
      <c r="L11" s="1449"/>
      <c r="M11" s="3274">
        <v>2002</v>
      </c>
      <c r="N11" s="3274"/>
      <c r="O11" s="3283">
        <f t="shared" si="24"/>
        <v>2002</v>
      </c>
      <c r="P11" s="3284">
        <f t="shared" si="2"/>
        <v>1.7251838853063278E-2</v>
      </c>
      <c r="Q11" s="1449"/>
      <c r="R11" s="3274">
        <v>2068</v>
      </c>
      <c r="S11" s="3274"/>
      <c r="T11" s="3283">
        <f t="shared" si="25"/>
        <v>2068</v>
      </c>
      <c r="U11" s="3284">
        <f t="shared" si="3"/>
        <v>1.7820580793274154E-2</v>
      </c>
      <c r="V11" s="1449"/>
      <c r="W11" s="3274">
        <v>2068</v>
      </c>
      <c r="X11" s="3274"/>
      <c r="Y11" s="3283">
        <f t="shared" si="26"/>
        <v>2068</v>
      </c>
      <c r="Z11" s="3284">
        <f t="shared" si="4"/>
        <v>1.7820580793274154E-2</v>
      </c>
      <c r="AA11" s="1449"/>
      <c r="AB11" s="3274">
        <v>2068</v>
      </c>
      <c r="AC11" s="3274"/>
      <c r="AD11" s="3283">
        <f t="shared" si="27"/>
        <v>2068</v>
      </c>
      <c r="AE11" s="3284">
        <f t="shared" si="5"/>
        <v>1.7820580793274154E-2</v>
      </c>
      <c r="AF11" s="1449"/>
      <c r="AG11" s="3274">
        <v>17550.16</v>
      </c>
      <c r="AH11" s="3274">
        <v>0</v>
      </c>
      <c r="AI11" s="3283">
        <v>17550.16</v>
      </c>
      <c r="AJ11" s="3284">
        <v>0.26927112538627318</v>
      </c>
      <c r="AK11" s="1449"/>
      <c r="AL11" s="3274">
        <f t="shared" si="6"/>
        <v>0</v>
      </c>
      <c r="AM11" s="3274">
        <f t="shared" si="6"/>
        <v>0</v>
      </c>
      <c r="AN11" s="3283">
        <f t="shared" si="28"/>
        <v>0</v>
      </c>
      <c r="AO11" s="3284">
        <f t="shared" si="7"/>
        <v>0</v>
      </c>
      <c r="AP11" s="1449"/>
      <c r="AQ11" s="3274"/>
      <c r="AR11" s="3274"/>
      <c r="AS11" s="3283">
        <f t="shared" si="29"/>
        <v>0</v>
      </c>
      <c r="AT11" s="3284">
        <f t="shared" si="8"/>
        <v>0</v>
      </c>
      <c r="AU11" s="1449"/>
      <c r="AV11" s="3274"/>
      <c r="AW11" s="3274"/>
      <c r="AX11" s="3283">
        <f t="shared" si="30"/>
        <v>0</v>
      </c>
      <c r="AY11" s="3284">
        <f t="shared" si="9"/>
        <v>0</v>
      </c>
      <c r="AZ11" s="3374"/>
      <c r="BA11" s="3285"/>
      <c r="BB11" s="3285"/>
      <c r="BC11" s="3286">
        <f t="shared" si="31"/>
        <v>0</v>
      </c>
      <c r="BD11" s="3284">
        <f t="shared" si="10"/>
        <v>0</v>
      </c>
      <c r="BE11" s="1158"/>
      <c r="BF11" s="3285"/>
      <c r="BG11" s="3285"/>
      <c r="BH11" s="3286">
        <f>BF11+BG11*1</f>
        <v>0</v>
      </c>
      <c r="BI11" s="3284">
        <f t="shared" si="11"/>
        <v>0</v>
      </c>
      <c r="BJ11" s="1158"/>
      <c r="BK11" s="3285"/>
      <c r="BL11" s="3285"/>
      <c r="BM11" s="3286">
        <f>BK11+BL11*1</f>
        <v>0</v>
      </c>
      <c r="BN11" s="3284">
        <f t="shared" si="12"/>
        <v>0</v>
      </c>
      <c r="BO11" s="1158"/>
      <c r="BP11" s="3285"/>
      <c r="BQ11" s="3285"/>
      <c r="BR11" s="3286">
        <f>BP11+BQ11*1</f>
        <v>0</v>
      </c>
      <c r="BS11" s="3284">
        <f t="shared" si="13"/>
        <v>0</v>
      </c>
      <c r="BT11" s="1158"/>
      <c r="BU11" s="3285"/>
      <c r="BV11" s="3285"/>
      <c r="BW11" s="3286">
        <f>BU11+BV11*1</f>
        <v>0</v>
      </c>
      <c r="BX11" s="3284" t="e">
        <f t="shared" si="14"/>
        <v>#DIV/0!</v>
      </c>
      <c r="BY11" s="1158"/>
      <c r="BZ11" s="3285"/>
      <c r="CA11" s="3285"/>
      <c r="CB11" s="3286">
        <f>BZ11+CA11*1</f>
        <v>0</v>
      </c>
      <c r="CC11" s="3284" t="e">
        <f t="shared" si="15"/>
        <v>#DIV/0!</v>
      </c>
      <c r="CD11" s="1158"/>
      <c r="CE11" s="3285"/>
      <c r="CF11" s="3285"/>
      <c r="CG11" s="3286">
        <f>CE11+CF11*1</f>
        <v>0</v>
      </c>
      <c r="CH11" s="3284" t="e">
        <f t="shared" si="16"/>
        <v>#DIV/0!</v>
      </c>
      <c r="CI11" s="1158"/>
      <c r="CJ11" s="3285"/>
      <c r="CK11" s="3285"/>
      <c r="CL11" s="3286">
        <f>CJ11+CK11*1</f>
        <v>0</v>
      </c>
      <c r="CM11" s="3284" t="e">
        <f t="shared" si="17"/>
        <v>#DIV/0!</v>
      </c>
      <c r="CN11" s="1158"/>
      <c r="CO11" s="3285"/>
      <c r="CP11" s="3285"/>
      <c r="CQ11" s="3286">
        <f>CO11+CP11*1</f>
        <v>0</v>
      </c>
      <c r="CR11" s="3284" t="e">
        <f t="shared" si="18"/>
        <v>#DIV/0!</v>
      </c>
      <c r="CS11" s="1158"/>
      <c r="CT11" s="3285"/>
      <c r="CU11" s="3285"/>
      <c r="CV11" s="3286">
        <f>CT11+CU11*1</f>
        <v>0</v>
      </c>
      <c r="CW11" s="3284" t="e">
        <f t="shared" si="19"/>
        <v>#DIV/0!</v>
      </c>
      <c r="CX11" s="1158"/>
      <c r="CY11" s="3274">
        <f t="shared" si="32"/>
        <v>27758.16</v>
      </c>
      <c r="CZ11" s="3274">
        <f t="shared" si="33"/>
        <v>0</v>
      </c>
      <c r="DA11" s="3283">
        <f t="shared" si="34"/>
        <v>27758.16</v>
      </c>
      <c r="DB11" s="3284">
        <f t="shared" si="1"/>
        <v>1.1556829431161833E-2</v>
      </c>
      <c r="DC11" s="1449"/>
    </row>
    <row r="12" spans="1:107" s="1411" customFormat="1" ht="13.8" x14ac:dyDescent="0.25">
      <c r="A12" s="1586"/>
      <c r="B12" s="1061" t="s">
        <v>73</v>
      </c>
      <c r="C12" s="3274"/>
      <c r="D12" s="3274"/>
      <c r="E12" s="3283">
        <f t="shared" si="21"/>
        <v>0</v>
      </c>
      <c r="F12" s="3284">
        <f t="shared" si="0"/>
        <v>0</v>
      </c>
      <c r="G12" s="1449"/>
      <c r="H12" s="3274"/>
      <c r="I12" s="3274"/>
      <c r="J12" s="3283">
        <f t="shared" si="22"/>
        <v>0</v>
      </c>
      <c r="K12" s="3284">
        <f t="shared" si="23"/>
        <v>0</v>
      </c>
      <c r="L12" s="1449"/>
      <c r="M12" s="3274"/>
      <c r="N12" s="3274"/>
      <c r="O12" s="3283">
        <f t="shared" si="24"/>
        <v>0</v>
      </c>
      <c r="P12" s="3284">
        <f t="shared" si="2"/>
        <v>0</v>
      </c>
      <c r="Q12" s="1449"/>
      <c r="R12" s="3274"/>
      <c r="S12" s="3274"/>
      <c r="T12" s="3283">
        <f t="shared" si="25"/>
        <v>0</v>
      </c>
      <c r="U12" s="3284">
        <f t="shared" si="3"/>
        <v>0</v>
      </c>
      <c r="V12" s="1449"/>
      <c r="W12" s="3274"/>
      <c r="X12" s="3274"/>
      <c r="Y12" s="3283">
        <f t="shared" si="26"/>
        <v>0</v>
      </c>
      <c r="Z12" s="3284">
        <f t="shared" si="4"/>
        <v>0</v>
      </c>
      <c r="AA12" s="1449"/>
      <c r="AB12" s="3274"/>
      <c r="AC12" s="3274"/>
      <c r="AD12" s="3283">
        <f t="shared" si="27"/>
        <v>0</v>
      </c>
      <c r="AE12" s="3284">
        <f t="shared" si="5"/>
        <v>0</v>
      </c>
      <c r="AF12" s="1449"/>
      <c r="AG12" s="3274">
        <v>0</v>
      </c>
      <c r="AH12" s="3274">
        <v>0</v>
      </c>
      <c r="AI12" s="3283">
        <v>0</v>
      </c>
      <c r="AJ12" s="3284">
        <v>0</v>
      </c>
      <c r="AK12" s="1449"/>
      <c r="AL12" s="3274">
        <f t="shared" si="6"/>
        <v>0</v>
      </c>
      <c r="AM12" s="3274">
        <f t="shared" si="6"/>
        <v>0</v>
      </c>
      <c r="AN12" s="3283">
        <f t="shared" si="28"/>
        <v>0</v>
      </c>
      <c r="AO12" s="3284">
        <f t="shared" si="7"/>
        <v>0</v>
      </c>
      <c r="AP12" s="1449"/>
      <c r="AQ12" s="3274"/>
      <c r="AR12" s="3274"/>
      <c r="AS12" s="3283">
        <f t="shared" si="29"/>
        <v>0</v>
      </c>
      <c r="AT12" s="3284">
        <f t="shared" si="8"/>
        <v>0</v>
      </c>
      <c r="AU12" s="1449"/>
      <c r="AV12" s="3274"/>
      <c r="AW12" s="3274"/>
      <c r="AX12" s="3283">
        <f t="shared" si="30"/>
        <v>0</v>
      </c>
      <c r="AY12" s="3284">
        <f t="shared" si="9"/>
        <v>0</v>
      </c>
      <c r="AZ12" s="3374"/>
      <c r="BA12" s="3285"/>
      <c r="BB12" s="3285"/>
      <c r="BC12" s="3286">
        <f t="shared" si="31"/>
        <v>0</v>
      </c>
      <c r="BD12" s="3284">
        <f t="shared" si="10"/>
        <v>0</v>
      </c>
      <c r="BE12" s="1158"/>
      <c r="BF12" s="3285"/>
      <c r="BG12" s="3285"/>
      <c r="BH12" s="3286">
        <f>BF12+BG12*1</f>
        <v>0</v>
      </c>
      <c r="BI12" s="3284">
        <f t="shared" si="11"/>
        <v>0</v>
      </c>
      <c r="BJ12" s="1158"/>
      <c r="BK12" s="3285"/>
      <c r="BL12" s="3285"/>
      <c r="BM12" s="3286">
        <f>BK12+BL12*1</f>
        <v>0</v>
      </c>
      <c r="BN12" s="3284">
        <f t="shared" si="12"/>
        <v>0</v>
      </c>
      <c r="BO12" s="1158"/>
      <c r="BP12" s="3285"/>
      <c r="BQ12" s="3285"/>
      <c r="BR12" s="3286">
        <f>BP12+BQ12*1</f>
        <v>0</v>
      </c>
      <c r="BS12" s="3284">
        <f t="shared" si="13"/>
        <v>0</v>
      </c>
      <c r="BT12" s="1158"/>
      <c r="BU12" s="3285"/>
      <c r="BV12" s="3285"/>
      <c r="BW12" s="3286">
        <f>BU12+BV12*1</f>
        <v>0</v>
      </c>
      <c r="BX12" s="3284" t="e">
        <f t="shared" si="14"/>
        <v>#DIV/0!</v>
      </c>
      <c r="BY12" s="1158"/>
      <c r="BZ12" s="3285"/>
      <c r="CA12" s="3285"/>
      <c r="CB12" s="3286">
        <f>BZ12+CA12*1</f>
        <v>0</v>
      </c>
      <c r="CC12" s="3284" t="e">
        <f t="shared" si="15"/>
        <v>#DIV/0!</v>
      </c>
      <c r="CD12" s="1158"/>
      <c r="CE12" s="3285"/>
      <c r="CF12" s="3285"/>
      <c r="CG12" s="3286">
        <f>CE12+CF12*1</f>
        <v>0</v>
      </c>
      <c r="CH12" s="3284" t="e">
        <f t="shared" si="16"/>
        <v>#DIV/0!</v>
      </c>
      <c r="CI12" s="1158"/>
      <c r="CJ12" s="3285"/>
      <c r="CK12" s="3285"/>
      <c r="CL12" s="3286">
        <f>CJ12+CK12*1</f>
        <v>0</v>
      </c>
      <c r="CM12" s="3284" t="e">
        <f t="shared" si="17"/>
        <v>#DIV/0!</v>
      </c>
      <c r="CN12" s="1158"/>
      <c r="CO12" s="3285"/>
      <c r="CP12" s="3285"/>
      <c r="CQ12" s="3286">
        <f>CO12+CP12*1</f>
        <v>0</v>
      </c>
      <c r="CR12" s="3284" t="e">
        <f t="shared" si="18"/>
        <v>#DIV/0!</v>
      </c>
      <c r="CS12" s="1158"/>
      <c r="CT12" s="3285"/>
      <c r="CU12" s="3285"/>
      <c r="CV12" s="3286">
        <f>CT12+CU12*1</f>
        <v>0</v>
      </c>
      <c r="CW12" s="3284" t="e">
        <f t="shared" si="19"/>
        <v>#DIV/0!</v>
      </c>
      <c r="CX12" s="1158"/>
      <c r="CY12" s="3274">
        <f t="shared" si="32"/>
        <v>0</v>
      </c>
      <c r="CZ12" s="3274">
        <f t="shared" si="33"/>
        <v>0</v>
      </c>
      <c r="DA12" s="3283">
        <f t="shared" si="34"/>
        <v>0</v>
      </c>
      <c r="DB12" s="3284">
        <f t="shared" si="1"/>
        <v>0</v>
      </c>
      <c r="DC12" s="1449"/>
    </row>
    <row r="13" spans="1:107" s="1411" customFormat="1" ht="13.8" x14ac:dyDescent="0.25">
      <c r="A13" s="1586"/>
      <c r="B13" s="1061" t="s">
        <v>71</v>
      </c>
      <c r="C13" s="3274"/>
      <c r="D13" s="3274"/>
      <c r="E13" s="3283">
        <f t="shared" si="21"/>
        <v>0</v>
      </c>
      <c r="F13" s="3284">
        <f t="shared" si="0"/>
        <v>0</v>
      </c>
      <c r="G13" s="1449"/>
      <c r="H13" s="3274"/>
      <c r="I13" s="3274"/>
      <c r="J13" s="3283">
        <f t="shared" si="22"/>
        <v>0</v>
      </c>
      <c r="K13" s="3284">
        <f t="shared" si="23"/>
        <v>0</v>
      </c>
      <c r="L13" s="1449"/>
      <c r="M13" s="3274"/>
      <c r="N13" s="3274"/>
      <c r="O13" s="3283">
        <f t="shared" si="24"/>
        <v>0</v>
      </c>
      <c r="P13" s="3284">
        <f t="shared" si="2"/>
        <v>0</v>
      </c>
      <c r="Q13" s="1449"/>
      <c r="R13" s="3274"/>
      <c r="S13" s="3274"/>
      <c r="T13" s="3283">
        <f t="shared" si="25"/>
        <v>0</v>
      </c>
      <c r="U13" s="3284">
        <f t="shared" si="3"/>
        <v>0</v>
      </c>
      <c r="V13" s="1449"/>
      <c r="W13" s="3274"/>
      <c r="X13" s="3274"/>
      <c r="Y13" s="3283">
        <f t="shared" si="26"/>
        <v>0</v>
      </c>
      <c r="Z13" s="3284">
        <f t="shared" si="4"/>
        <v>0</v>
      </c>
      <c r="AA13" s="1449"/>
      <c r="AB13" s="3274"/>
      <c r="AC13" s="3274"/>
      <c r="AD13" s="3283">
        <f t="shared" si="27"/>
        <v>0</v>
      </c>
      <c r="AE13" s="3284">
        <f t="shared" si="5"/>
        <v>0</v>
      </c>
      <c r="AF13" s="1449"/>
      <c r="AG13" s="3274">
        <v>0</v>
      </c>
      <c r="AH13" s="3274">
        <v>0</v>
      </c>
      <c r="AI13" s="3283">
        <v>0</v>
      </c>
      <c r="AJ13" s="3284">
        <v>0</v>
      </c>
      <c r="AK13" s="1449"/>
      <c r="AL13" s="3274">
        <f t="shared" si="6"/>
        <v>0</v>
      </c>
      <c r="AM13" s="3274">
        <f t="shared" si="6"/>
        <v>0</v>
      </c>
      <c r="AN13" s="3283">
        <f t="shared" si="28"/>
        <v>0</v>
      </c>
      <c r="AO13" s="3284">
        <f t="shared" si="7"/>
        <v>0</v>
      </c>
      <c r="AP13" s="1449"/>
      <c r="AQ13" s="3274"/>
      <c r="AR13" s="3274"/>
      <c r="AS13" s="3283">
        <f t="shared" si="29"/>
        <v>0</v>
      </c>
      <c r="AT13" s="3284">
        <f t="shared" si="8"/>
        <v>0</v>
      </c>
      <c r="AU13" s="1449"/>
      <c r="AV13" s="3274"/>
      <c r="AW13" s="3274"/>
      <c r="AX13" s="3283">
        <f t="shared" si="30"/>
        <v>0</v>
      </c>
      <c r="AY13" s="3284">
        <f t="shared" si="9"/>
        <v>0</v>
      </c>
      <c r="AZ13" s="3374"/>
      <c r="BA13" s="3285"/>
      <c r="BB13" s="3285"/>
      <c r="BC13" s="3286">
        <f>BA13+BB13*1</f>
        <v>0</v>
      </c>
      <c r="BD13" s="3284">
        <f t="shared" si="10"/>
        <v>0</v>
      </c>
      <c r="BE13" s="1158"/>
      <c r="BF13" s="3285"/>
      <c r="BG13" s="3285"/>
      <c r="BH13" s="3286">
        <f>BF13+BG13*1</f>
        <v>0</v>
      </c>
      <c r="BI13" s="3284">
        <f t="shared" si="11"/>
        <v>0</v>
      </c>
      <c r="BJ13" s="1158"/>
      <c r="BK13" s="3285"/>
      <c r="BL13" s="3285"/>
      <c r="BM13" s="3286">
        <f>BK13+BL13*1</f>
        <v>0</v>
      </c>
      <c r="BN13" s="3284">
        <f t="shared" si="12"/>
        <v>0</v>
      </c>
      <c r="BO13" s="1158"/>
      <c r="BP13" s="3285"/>
      <c r="BQ13" s="3285"/>
      <c r="BR13" s="3286">
        <f>BP13+BQ13*1</f>
        <v>0</v>
      </c>
      <c r="BS13" s="3284">
        <f t="shared" si="13"/>
        <v>0</v>
      </c>
      <c r="BT13" s="1158"/>
      <c r="BU13" s="3285"/>
      <c r="BV13" s="3285"/>
      <c r="BW13" s="3286">
        <f>BU13+BV13*1</f>
        <v>0</v>
      </c>
      <c r="BX13" s="3284" t="e">
        <f t="shared" si="14"/>
        <v>#DIV/0!</v>
      </c>
      <c r="BY13" s="1158"/>
      <c r="BZ13" s="3285"/>
      <c r="CA13" s="3285"/>
      <c r="CB13" s="3286">
        <f>BZ13+CA13*1</f>
        <v>0</v>
      </c>
      <c r="CC13" s="3284" t="e">
        <f t="shared" si="15"/>
        <v>#DIV/0!</v>
      </c>
      <c r="CD13" s="1158"/>
      <c r="CE13" s="3285"/>
      <c r="CF13" s="3285"/>
      <c r="CG13" s="3286">
        <f>CE13+CF13*1</f>
        <v>0</v>
      </c>
      <c r="CH13" s="3284" t="e">
        <f t="shared" si="16"/>
        <v>#DIV/0!</v>
      </c>
      <c r="CI13" s="1158"/>
      <c r="CJ13" s="3285"/>
      <c r="CK13" s="3285"/>
      <c r="CL13" s="3286">
        <f>CJ13+CK13*1</f>
        <v>0</v>
      </c>
      <c r="CM13" s="3284" t="e">
        <f t="shared" si="17"/>
        <v>#DIV/0!</v>
      </c>
      <c r="CN13" s="1158"/>
      <c r="CO13" s="3285"/>
      <c r="CP13" s="3285"/>
      <c r="CQ13" s="3286">
        <f>CO13+CP13*1</f>
        <v>0</v>
      </c>
      <c r="CR13" s="3284" t="e">
        <f t="shared" si="18"/>
        <v>#DIV/0!</v>
      </c>
      <c r="CS13" s="1158"/>
      <c r="CT13" s="3285"/>
      <c r="CU13" s="3285"/>
      <c r="CV13" s="3286">
        <f>CT13+CU13*1</f>
        <v>0</v>
      </c>
      <c r="CW13" s="3284" t="e">
        <f t="shared" si="19"/>
        <v>#DIV/0!</v>
      </c>
      <c r="CX13" s="1158"/>
      <c r="CY13" s="3274">
        <f t="shared" si="32"/>
        <v>0</v>
      </c>
      <c r="CZ13" s="3274">
        <f t="shared" si="33"/>
        <v>0</v>
      </c>
      <c r="DA13" s="3283">
        <f t="shared" si="34"/>
        <v>0</v>
      </c>
      <c r="DB13" s="3284">
        <f t="shared" si="1"/>
        <v>0</v>
      </c>
      <c r="DC13" s="1449"/>
    </row>
    <row r="14" spans="1:107" s="1411" customFormat="1" ht="13.8" x14ac:dyDescent="0.25">
      <c r="A14" s="1586"/>
      <c r="B14" s="1061" t="s">
        <v>70</v>
      </c>
      <c r="C14" s="3274"/>
      <c r="D14" s="3274"/>
      <c r="E14" s="3283">
        <f t="shared" si="21"/>
        <v>0</v>
      </c>
      <c r="F14" s="3284">
        <f t="shared" si="0"/>
        <v>0</v>
      </c>
      <c r="G14" s="1449"/>
      <c r="H14" s="3274"/>
      <c r="I14" s="3274"/>
      <c r="J14" s="3283">
        <f t="shared" si="22"/>
        <v>0</v>
      </c>
      <c r="K14" s="3284">
        <f t="shared" si="23"/>
        <v>0</v>
      </c>
      <c r="L14" s="1449"/>
      <c r="M14" s="3274"/>
      <c r="N14" s="3274"/>
      <c r="O14" s="3283">
        <f t="shared" si="24"/>
        <v>0</v>
      </c>
      <c r="P14" s="3284">
        <f t="shared" si="2"/>
        <v>0</v>
      </c>
      <c r="Q14" s="1449"/>
      <c r="R14" s="3274"/>
      <c r="S14" s="3274"/>
      <c r="T14" s="3283">
        <f t="shared" si="25"/>
        <v>0</v>
      </c>
      <c r="U14" s="3284">
        <f t="shared" si="3"/>
        <v>0</v>
      </c>
      <c r="V14" s="1449"/>
      <c r="W14" s="3274"/>
      <c r="X14" s="3274"/>
      <c r="Y14" s="3283">
        <f t="shared" si="26"/>
        <v>0</v>
      </c>
      <c r="Z14" s="3284">
        <f t="shared" si="4"/>
        <v>0</v>
      </c>
      <c r="AA14" s="1449"/>
      <c r="AB14" s="3274"/>
      <c r="AC14" s="3274"/>
      <c r="AD14" s="3283">
        <f t="shared" si="27"/>
        <v>0</v>
      </c>
      <c r="AE14" s="3284">
        <f t="shared" si="5"/>
        <v>0</v>
      </c>
      <c r="AF14" s="1449"/>
      <c r="AG14" s="3274">
        <v>0</v>
      </c>
      <c r="AH14" s="3274">
        <v>0</v>
      </c>
      <c r="AI14" s="3283">
        <v>0</v>
      </c>
      <c r="AJ14" s="3284">
        <v>0</v>
      </c>
      <c r="AK14" s="1449"/>
      <c r="AL14" s="3274">
        <f t="shared" si="6"/>
        <v>0</v>
      </c>
      <c r="AM14" s="3274">
        <f t="shared" si="6"/>
        <v>0</v>
      </c>
      <c r="AN14" s="3283">
        <f t="shared" si="28"/>
        <v>0</v>
      </c>
      <c r="AO14" s="3284">
        <f t="shared" si="7"/>
        <v>0</v>
      </c>
      <c r="AP14" s="1449"/>
      <c r="AQ14" s="3274"/>
      <c r="AR14" s="3274"/>
      <c r="AS14" s="3283">
        <f t="shared" si="29"/>
        <v>0</v>
      </c>
      <c r="AT14" s="3284">
        <f t="shared" si="8"/>
        <v>0</v>
      </c>
      <c r="AU14" s="1449"/>
      <c r="AV14" s="3274"/>
      <c r="AW14" s="3274"/>
      <c r="AX14" s="3283">
        <f t="shared" si="30"/>
        <v>0</v>
      </c>
      <c r="AY14" s="3284">
        <f t="shared" si="9"/>
        <v>0</v>
      </c>
      <c r="AZ14" s="3374"/>
      <c r="BA14" s="3285"/>
      <c r="BB14" s="3285"/>
      <c r="BC14" s="3286">
        <f t="shared" si="31"/>
        <v>0</v>
      </c>
      <c r="BD14" s="3284">
        <f t="shared" si="10"/>
        <v>0</v>
      </c>
      <c r="BE14" s="1158"/>
      <c r="BF14" s="3285"/>
      <c r="BG14" s="3285"/>
      <c r="BH14" s="3286">
        <f t="shared" ref="BH14:BH33" si="35">BF14+BG14*1</f>
        <v>0</v>
      </c>
      <c r="BI14" s="3284">
        <f t="shared" si="11"/>
        <v>0</v>
      </c>
      <c r="BJ14" s="1158"/>
      <c r="BK14" s="3285"/>
      <c r="BL14" s="3285"/>
      <c r="BM14" s="3286">
        <f t="shared" ref="BM14:BM33" si="36">BK14+BL14*1</f>
        <v>0</v>
      </c>
      <c r="BN14" s="3284">
        <f t="shared" si="12"/>
        <v>0</v>
      </c>
      <c r="BO14" s="1158"/>
      <c r="BP14" s="3285"/>
      <c r="BQ14" s="3285"/>
      <c r="BR14" s="3286">
        <f t="shared" ref="BR14:BR33" si="37">BP14+BQ14*1</f>
        <v>0</v>
      </c>
      <c r="BS14" s="3284">
        <f t="shared" si="13"/>
        <v>0</v>
      </c>
      <c r="BT14" s="1158"/>
      <c r="BU14" s="3285"/>
      <c r="BV14" s="3285"/>
      <c r="BW14" s="3286">
        <f t="shared" ref="BW14:BW33" si="38">BU14+BV14*1</f>
        <v>0</v>
      </c>
      <c r="BX14" s="3284" t="e">
        <f t="shared" si="14"/>
        <v>#DIV/0!</v>
      </c>
      <c r="BY14" s="1158"/>
      <c r="BZ14" s="3285"/>
      <c r="CA14" s="3285"/>
      <c r="CB14" s="3286">
        <f t="shared" ref="CB14:CB33" si="39">BZ14+CA14*1</f>
        <v>0</v>
      </c>
      <c r="CC14" s="3284" t="e">
        <f t="shared" si="15"/>
        <v>#DIV/0!</v>
      </c>
      <c r="CD14" s="1158"/>
      <c r="CE14" s="3285"/>
      <c r="CF14" s="3285"/>
      <c r="CG14" s="3286">
        <f t="shared" ref="CG14:CG33" si="40">CE14+CF14*1</f>
        <v>0</v>
      </c>
      <c r="CH14" s="3284" t="e">
        <f t="shared" si="16"/>
        <v>#DIV/0!</v>
      </c>
      <c r="CI14" s="1158"/>
      <c r="CJ14" s="3285"/>
      <c r="CK14" s="3285"/>
      <c r="CL14" s="3286">
        <f t="shared" ref="CL14:CL33" si="41">CJ14+CK14*1</f>
        <v>0</v>
      </c>
      <c r="CM14" s="3284" t="e">
        <f t="shared" si="17"/>
        <v>#DIV/0!</v>
      </c>
      <c r="CN14" s="1158"/>
      <c r="CO14" s="3285"/>
      <c r="CP14" s="3285"/>
      <c r="CQ14" s="3286">
        <f t="shared" ref="CQ14:CQ33" si="42">CO14+CP14*1</f>
        <v>0</v>
      </c>
      <c r="CR14" s="3284" t="e">
        <f t="shared" si="18"/>
        <v>#DIV/0!</v>
      </c>
      <c r="CS14" s="1158"/>
      <c r="CT14" s="3285"/>
      <c r="CU14" s="3285"/>
      <c r="CV14" s="3286">
        <f t="shared" ref="CV14:CV33" si="43">CT14+CU14*1</f>
        <v>0</v>
      </c>
      <c r="CW14" s="3284" t="e">
        <f t="shared" si="19"/>
        <v>#DIV/0!</v>
      </c>
      <c r="CX14" s="1158"/>
      <c r="CY14" s="3274">
        <f t="shared" si="32"/>
        <v>0</v>
      </c>
      <c r="CZ14" s="3274">
        <f t="shared" si="33"/>
        <v>0</v>
      </c>
      <c r="DA14" s="3283">
        <f t="shared" si="34"/>
        <v>0</v>
      </c>
      <c r="DB14" s="3284">
        <f t="shared" si="1"/>
        <v>0</v>
      </c>
      <c r="DC14" s="1449"/>
    </row>
    <row r="15" spans="1:107" s="1411" customFormat="1" ht="13.8" x14ac:dyDescent="0.25">
      <c r="A15" s="1586"/>
      <c r="B15" s="3289" t="s">
        <v>20</v>
      </c>
      <c r="C15" s="3274"/>
      <c r="D15" s="3274"/>
      <c r="E15" s="3283">
        <f t="shared" si="21"/>
        <v>0</v>
      </c>
      <c r="F15" s="3284">
        <f t="shared" si="0"/>
        <v>0</v>
      </c>
      <c r="G15" s="1449"/>
      <c r="H15" s="3274"/>
      <c r="I15" s="3274"/>
      <c r="J15" s="3283">
        <f t="shared" si="22"/>
        <v>0</v>
      </c>
      <c r="K15" s="3284">
        <f t="shared" si="23"/>
        <v>0</v>
      </c>
      <c r="L15" s="1449"/>
      <c r="M15" s="3274"/>
      <c r="N15" s="3274"/>
      <c r="O15" s="3283">
        <f t="shared" si="24"/>
        <v>0</v>
      </c>
      <c r="P15" s="3284">
        <f t="shared" si="2"/>
        <v>0</v>
      </c>
      <c r="Q15" s="1449"/>
      <c r="R15" s="3274"/>
      <c r="S15" s="3274"/>
      <c r="T15" s="3283">
        <f t="shared" si="25"/>
        <v>0</v>
      </c>
      <c r="U15" s="3284">
        <f t="shared" si="3"/>
        <v>0</v>
      </c>
      <c r="V15" s="1449"/>
      <c r="W15" s="3274"/>
      <c r="X15" s="3274"/>
      <c r="Y15" s="3283">
        <f t="shared" si="26"/>
        <v>0</v>
      </c>
      <c r="Z15" s="3284">
        <f t="shared" si="4"/>
        <v>0</v>
      </c>
      <c r="AA15" s="1449"/>
      <c r="AB15" s="3274"/>
      <c r="AC15" s="3274"/>
      <c r="AD15" s="3283">
        <f t="shared" si="27"/>
        <v>0</v>
      </c>
      <c r="AE15" s="3284">
        <f t="shared" si="5"/>
        <v>0</v>
      </c>
      <c r="AF15" s="1449"/>
      <c r="AG15" s="3274">
        <v>0</v>
      </c>
      <c r="AH15" s="3274">
        <v>0</v>
      </c>
      <c r="AI15" s="3283">
        <v>0</v>
      </c>
      <c r="AJ15" s="3284">
        <v>0</v>
      </c>
      <c r="AK15" s="1449"/>
      <c r="AL15" s="3274">
        <f t="shared" si="6"/>
        <v>0</v>
      </c>
      <c r="AM15" s="3274">
        <f t="shared" si="6"/>
        <v>0</v>
      </c>
      <c r="AN15" s="3283">
        <f t="shared" si="28"/>
        <v>0</v>
      </c>
      <c r="AO15" s="3284">
        <f t="shared" si="7"/>
        <v>0</v>
      </c>
      <c r="AP15" s="1449"/>
      <c r="AQ15" s="3274"/>
      <c r="AR15" s="3274"/>
      <c r="AS15" s="3283">
        <f t="shared" si="29"/>
        <v>0</v>
      </c>
      <c r="AT15" s="3284">
        <f t="shared" si="8"/>
        <v>0</v>
      </c>
      <c r="AU15" s="1449"/>
      <c r="AV15" s="3274"/>
      <c r="AW15" s="3274"/>
      <c r="AX15" s="3283">
        <f t="shared" si="30"/>
        <v>0</v>
      </c>
      <c r="AY15" s="3284">
        <f t="shared" si="9"/>
        <v>0</v>
      </c>
      <c r="AZ15" s="3374"/>
      <c r="BA15" s="3285"/>
      <c r="BB15" s="3285"/>
      <c r="BC15" s="3286">
        <f t="shared" si="31"/>
        <v>0</v>
      </c>
      <c r="BD15" s="3284">
        <f t="shared" si="10"/>
        <v>0</v>
      </c>
      <c r="BE15" s="1158"/>
      <c r="BF15" s="3285"/>
      <c r="BG15" s="3285"/>
      <c r="BH15" s="3286">
        <f t="shared" si="35"/>
        <v>0</v>
      </c>
      <c r="BI15" s="3284">
        <f t="shared" si="11"/>
        <v>0</v>
      </c>
      <c r="BJ15" s="1158"/>
      <c r="BK15" s="3285"/>
      <c r="BL15" s="3285"/>
      <c r="BM15" s="3286">
        <f t="shared" si="36"/>
        <v>0</v>
      </c>
      <c r="BN15" s="3284">
        <f t="shared" si="12"/>
        <v>0</v>
      </c>
      <c r="BO15" s="1158"/>
      <c r="BP15" s="3285"/>
      <c r="BQ15" s="3285"/>
      <c r="BR15" s="3286">
        <f t="shared" si="37"/>
        <v>0</v>
      </c>
      <c r="BS15" s="3284">
        <f t="shared" si="13"/>
        <v>0</v>
      </c>
      <c r="BT15" s="1158"/>
      <c r="BU15" s="3285"/>
      <c r="BV15" s="3285"/>
      <c r="BW15" s="3286">
        <f t="shared" si="38"/>
        <v>0</v>
      </c>
      <c r="BX15" s="3284" t="e">
        <f t="shared" si="14"/>
        <v>#DIV/0!</v>
      </c>
      <c r="BY15" s="1158"/>
      <c r="BZ15" s="3285"/>
      <c r="CA15" s="3285"/>
      <c r="CB15" s="3286">
        <f t="shared" si="39"/>
        <v>0</v>
      </c>
      <c r="CC15" s="3284" t="e">
        <f t="shared" si="15"/>
        <v>#DIV/0!</v>
      </c>
      <c r="CD15" s="1158"/>
      <c r="CE15" s="3285"/>
      <c r="CF15" s="3285"/>
      <c r="CG15" s="3286">
        <f t="shared" si="40"/>
        <v>0</v>
      </c>
      <c r="CH15" s="3284" t="e">
        <f t="shared" si="16"/>
        <v>#DIV/0!</v>
      </c>
      <c r="CI15" s="1158"/>
      <c r="CJ15" s="3285"/>
      <c r="CK15" s="3285"/>
      <c r="CL15" s="3286">
        <f t="shared" si="41"/>
        <v>0</v>
      </c>
      <c r="CM15" s="3284" t="e">
        <f t="shared" si="17"/>
        <v>#DIV/0!</v>
      </c>
      <c r="CN15" s="1158"/>
      <c r="CO15" s="3285"/>
      <c r="CP15" s="3285"/>
      <c r="CQ15" s="3286">
        <f t="shared" si="42"/>
        <v>0</v>
      </c>
      <c r="CR15" s="3284" t="e">
        <f t="shared" si="18"/>
        <v>#DIV/0!</v>
      </c>
      <c r="CS15" s="1158"/>
      <c r="CT15" s="3285"/>
      <c r="CU15" s="3285"/>
      <c r="CV15" s="3286">
        <f t="shared" si="43"/>
        <v>0</v>
      </c>
      <c r="CW15" s="3284" t="e">
        <f t="shared" si="19"/>
        <v>#DIV/0!</v>
      </c>
      <c r="CX15" s="1158"/>
      <c r="CY15" s="3274">
        <f t="shared" si="32"/>
        <v>0</v>
      </c>
      <c r="CZ15" s="3274">
        <f t="shared" si="33"/>
        <v>0</v>
      </c>
      <c r="DA15" s="3283">
        <f t="shared" si="34"/>
        <v>0</v>
      </c>
      <c r="DB15" s="3284">
        <f t="shared" si="1"/>
        <v>0</v>
      </c>
      <c r="DC15" s="1449"/>
    </row>
    <row r="16" spans="1:107" s="1411" customFormat="1" ht="13.8" x14ac:dyDescent="0.25">
      <c r="A16" s="3290"/>
      <c r="B16" s="3289" t="s">
        <v>21</v>
      </c>
      <c r="C16" s="3274"/>
      <c r="D16" s="3274"/>
      <c r="E16" s="3283">
        <f t="shared" si="21"/>
        <v>0</v>
      </c>
      <c r="F16" s="3284">
        <f t="shared" si="0"/>
        <v>0</v>
      </c>
      <c r="G16" s="1449"/>
      <c r="H16" s="3274"/>
      <c r="I16" s="3274"/>
      <c r="J16" s="3283">
        <f t="shared" si="22"/>
        <v>0</v>
      </c>
      <c r="K16" s="3284">
        <f t="shared" si="23"/>
        <v>0</v>
      </c>
      <c r="L16" s="1449"/>
      <c r="M16" s="3274"/>
      <c r="N16" s="3274"/>
      <c r="O16" s="3283">
        <f t="shared" si="24"/>
        <v>0</v>
      </c>
      <c r="P16" s="3284">
        <f t="shared" si="2"/>
        <v>0</v>
      </c>
      <c r="Q16" s="1449"/>
      <c r="R16" s="3274"/>
      <c r="S16" s="3274"/>
      <c r="T16" s="3283">
        <f t="shared" si="25"/>
        <v>0</v>
      </c>
      <c r="U16" s="3284">
        <f t="shared" si="3"/>
        <v>0</v>
      </c>
      <c r="V16" s="1449"/>
      <c r="W16" s="3274"/>
      <c r="X16" s="3274"/>
      <c r="Y16" s="3283">
        <f t="shared" si="26"/>
        <v>0</v>
      </c>
      <c r="Z16" s="3284">
        <f t="shared" si="4"/>
        <v>0</v>
      </c>
      <c r="AA16" s="1449"/>
      <c r="AB16" s="3274"/>
      <c r="AC16" s="3274"/>
      <c r="AD16" s="3283">
        <f t="shared" si="27"/>
        <v>0</v>
      </c>
      <c r="AE16" s="3284">
        <f t="shared" si="5"/>
        <v>0</v>
      </c>
      <c r="AF16" s="1449"/>
      <c r="AG16" s="3274">
        <v>0</v>
      </c>
      <c r="AH16" s="3274">
        <v>0</v>
      </c>
      <c r="AI16" s="3283">
        <v>0</v>
      </c>
      <c r="AJ16" s="3284">
        <v>0</v>
      </c>
      <c r="AK16" s="1449"/>
      <c r="AL16" s="3274">
        <f t="shared" si="6"/>
        <v>0</v>
      </c>
      <c r="AM16" s="3274">
        <f t="shared" si="6"/>
        <v>0</v>
      </c>
      <c r="AN16" s="3283">
        <f t="shared" si="28"/>
        <v>0</v>
      </c>
      <c r="AO16" s="3284">
        <f t="shared" si="7"/>
        <v>0</v>
      </c>
      <c r="AP16" s="1449"/>
      <c r="AQ16" s="3274"/>
      <c r="AR16" s="3274"/>
      <c r="AS16" s="3283">
        <f t="shared" si="29"/>
        <v>0</v>
      </c>
      <c r="AT16" s="3284">
        <f t="shared" si="8"/>
        <v>0</v>
      </c>
      <c r="AU16" s="1449"/>
      <c r="AV16" s="3274"/>
      <c r="AW16" s="3274"/>
      <c r="AX16" s="3283">
        <f t="shared" si="30"/>
        <v>0</v>
      </c>
      <c r="AY16" s="3284">
        <f t="shared" si="9"/>
        <v>0</v>
      </c>
      <c r="AZ16" s="3374"/>
      <c r="BA16" s="3285"/>
      <c r="BB16" s="3285"/>
      <c r="BC16" s="3286">
        <f t="shared" si="31"/>
        <v>0</v>
      </c>
      <c r="BD16" s="3284">
        <f t="shared" si="10"/>
        <v>0</v>
      </c>
      <c r="BE16" s="1158"/>
      <c r="BF16" s="3285"/>
      <c r="BG16" s="3285"/>
      <c r="BH16" s="3286">
        <f t="shared" si="35"/>
        <v>0</v>
      </c>
      <c r="BI16" s="3284">
        <f t="shared" si="11"/>
        <v>0</v>
      </c>
      <c r="BJ16" s="1158"/>
      <c r="BK16" s="3285"/>
      <c r="BL16" s="3285"/>
      <c r="BM16" s="3286">
        <f t="shared" si="36"/>
        <v>0</v>
      </c>
      <c r="BN16" s="3284">
        <f t="shared" si="12"/>
        <v>0</v>
      </c>
      <c r="BO16" s="1158"/>
      <c r="BP16" s="3285"/>
      <c r="BQ16" s="3285"/>
      <c r="BR16" s="3286">
        <f t="shared" si="37"/>
        <v>0</v>
      </c>
      <c r="BS16" s="3284">
        <f t="shared" si="13"/>
        <v>0</v>
      </c>
      <c r="BT16" s="1158"/>
      <c r="BU16" s="3285"/>
      <c r="BV16" s="3285"/>
      <c r="BW16" s="3286">
        <f t="shared" si="38"/>
        <v>0</v>
      </c>
      <c r="BX16" s="3284" t="e">
        <f t="shared" si="14"/>
        <v>#DIV/0!</v>
      </c>
      <c r="BY16" s="1158"/>
      <c r="BZ16" s="3285"/>
      <c r="CA16" s="3285"/>
      <c r="CB16" s="3286">
        <f t="shared" si="39"/>
        <v>0</v>
      </c>
      <c r="CC16" s="3284" t="e">
        <f t="shared" si="15"/>
        <v>#DIV/0!</v>
      </c>
      <c r="CD16" s="1158"/>
      <c r="CE16" s="3285"/>
      <c r="CF16" s="3285"/>
      <c r="CG16" s="3286">
        <f t="shared" si="40"/>
        <v>0</v>
      </c>
      <c r="CH16" s="3284" t="e">
        <f t="shared" si="16"/>
        <v>#DIV/0!</v>
      </c>
      <c r="CI16" s="1158"/>
      <c r="CJ16" s="3285"/>
      <c r="CK16" s="3285"/>
      <c r="CL16" s="3286">
        <f t="shared" si="41"/>
        <v>0</v>
      </c>
      <c r="CM16" s="3284" t="e">
        <f t="shared" si="17"/>
        <v>#DIV/0!</v>
      </c>
      <c r="CN16" s="1158"/>
      <c r="CO16" s="3285"/>
      <c r="CP16" s="3285"/>
      <c r="CQ16" s="3286">
        <f t="shared" si="42"/>
        <v>0</v>
      </c>
      <c r="CR16" s="3284" t="e">
        <f t="shared" si="18"/>
        <v>#DIV/0!</v>
      </c>
      <c r="CS16" s="1158"/>
      <c r="CT16" s="3285"/>
      <c r="CU16" s="3285"/>
      <c r="CV16" s="3286">
        <f t="shared" si="43"/>
        <v>0</v>
      </c>
      <c r="CW16" s="3284" t="e">
        <f t="shared" si="19"/>
        <v>#DIV/0!</v>
      </c>
      <c r="CX16" s="1158"/>
      <c r="CY16" s="3274">
        <f t="shared" si="32"/>
        <v>0</v>
      </c>
      <c r="CZ16" s="3274">
        <f t="shared" si="33"/>
        <v>0</v>
      </c>
      <c r="DA16" s="3283">
        <f t="shared" si="34"/>
        <v>0</v>
      </c>
      <c r="DB16" s="3284">
        <f t="shared" si="1"/>
        <v>0</v>
      </c>
      <c r="DC16" s="1449"/>
    </row>
    <row r="17" spans="1:107" s="1411" customFormat="1" ht="13.8" x14ac:dyDescent="0.25">
      <c r="A17" s="1586"/>
      <c r="B17" s="3289" t="s">
        <v>22</v>
      </c>
      <c r="C17" s="3274"/>
      <c r="D17" s="3274"/>
      <c r="E17" s="3283">
        <f t="shared" si="21"/>
        <v>0</v>
      </c>
      <c r="F17" s="3284">
        <f t="shared" si="0"/>
        <v>0</v>
      </c>
      <c r="G17" s="1449"/>
      <c r="H17" s="3274"/>
      <c r="I17" s="3274"/>
      <c r="J17" s="3283">
        <f t="shared" si="22"/>
        <v>0</v>
      </c>
      <c r="K17" s="3284">
        <f t="shared" si="23"/>
        <v>0</v>
      </c>
      <c r="L17" s="1449"/>
      <c r="M17" s="3274"/>
      <c r="N17" s="3274"/>
      <c r="O17" s="3283">
        <f t="shared" si="24"/>
        <v>0</v>
      </c>
      <c r="P17" s="3284">
        <f t="shared" si="2"/>
        <v>0</v>
      </c>
      <c r="Q17" s="1449"/>
      <c r="R17" s="3274"/>
      <c r="S17" s="3274"/>
      <c r="T17" s="3283">
        <f t="shared" si="25"/>
        <v>0</v>
      </c>
      <c r="U17" s="3284">
        <f t="shared" si="3"/>
        <v>0</v>
      </c>
      <c r="V17" s="1449"/>
      <c r="W17" s="3274"/>
      <c r="X17" s="3274"/>
      <c r="Y17" s="3283">
        <f t="shared" si="26"/>
        <v>0</v>
      </c>
      <c r="Z17" s="3284">
        <f t="shared" si="4"/>
        <v>0</v>
      </c>
      <c r="AA17" s="1449"/>
      <c r="AB17" s="3274"/>
      <c r="AC17" s="3274"/>
      <c r="AD17" s="3283">
        <f t="shared" si="27"/>
        <v>0</v>
      </c>
      <c r="AE17" s="3284">
        <f t="shared" si="5"/>
        <v>0</v>
      </c>
      <c r="AF17" s="3276" t="s">
        <v>1477</v>
      </c>
      <c r="AG17" s="3274">
        <v>0</v>
      </c>
      <c r="AH17" s="3274">
        <v>0</v>
      </c>
      <c r="AI17" s="3283">
        <v>0</v>
      </c>
      <c r="AJ17" s="3284">
        <v>0</v>
      </c>
      <c r="AK17" s="1449"/>
      <c r="AL17" s="3274">
        <f t="shared" si="6"/>
        <v>0</v>
      </c>
      <c r="AM17" s="3274">
        <f t="shared" si="6"/>
        <v>0</v>
      </c>
      <c r="AN17" s="3283">
        <f t="shared" si="28"/>
        <v>0</v>
      </c>
      <c r="AO17" s="3284">
        <f t="shared" si="7"/>
        <v>0</v>
      </c>
      <c r="AP17" s="1449"/>
      <c r="AQ17" s="3274"/>
      <c r="AR17" s="3274"/>
      <c r="AS17" s="3283">
        <f t="shared" si="29"/>
        <v>0</v>
      </c>
      <c r="AT17" s="3284">
        <f t="shared" si="8"/>
        <v>0</v>
      </c>
      <c r="AU17" s="3276"/>
      <c r="AV17" s="3274"/>
      <c r="AW17" s="3274"/>
      <c r="AX17" s="3283">
        <f t="shared" si="30"/>
        <v>0</v>
      </c>
      <c r="AY17" s="3284">
        <f t="shared" si="9"/>
        <v>0</v>
      </c>
      <c r="AZ17" s="3374"/>
      <c r="BA17" s="3285"/>
      <c r="BB17" s="3285"/>
      <c r="BC17" s="3286">
        <f t="shared" si="31"/>
        <v>0</v>
      </c>
      <c r="BD17" s="3284">
        <f t="shared" si="10"/>
        <v>0</v>
      </c>
      <c r="BE17" s="1158"/>
      <c r="BF17" s="3285"/>
      <c r="BG17" s="3285"/>
      <c r="BH17" s="3286">
        <f t="shared" si="35"/>
        <v>0</v>
      </c>
      <c r="BI17" s="3284">
        <f t="shared" si="11"/>
        <v>0</v>
      </c>
      <c r="BJ17" s="1158"/>
      <c r="BK17" s="3285"/>
      <c r="BL17" s="3285"/>
      <c r="BM17" s="3286">
        <f t="shared" si="36"/>
        <v>0</v>
      </c>
      <c r="BN17" s="3284">
        <f t="shared" si="12"/>
        <v>0</v>
      </c>
      <c r="BO17" s="1158"/>
      <c r="BP17" s="3285"/>
      <c r="BQ17" s="3285"/>
      <c r="BR17" s="3286">
        <f t="shared" si="37"/>
        <v>0</v>
      </c>
      <c r="BS17" s="3284">
        <f t="shared" si="13"/>
        <v>0</v>
      </c>
      <c r="BT17" s="1158"/>
      <c r="BU17" s="3285"/>
      <c r="BV17" s="3285"/>
      <c r="BW17" s="3286">
        <f t="shared" si="38"/>
        <v>0</v>
      </c>
      <c r="BX17" s="3284" t="e">
        <f t="shared" si="14"/>
        <v>#DIV/0!</v>
      </c>
      <c r="BY17" s="1158"/>
      <c r="BZ17" s="3285"/>
      <c r="CA17" s="3285"/>
      <c r="CB17" s="3286">
        <f t="shared" si="39"/>
        <v>0</v>
      </c>
      <c r="CC17" s="3284" t="e">
        <f t="shared" si="15"/>
        <v>#DIV/0!</v>
      </c>
      <c r="CD17" s="1158"/>
      <c r="CE17" s="3285"/>
      <c r="CF17" s="3285"/>
      <c r="CG17" s="3286">
        <f t="shared" si="40"/>
        <v>0</v>
      </c>
      <c r="CH17" s="3284" t="e">
        <f t="shared" si="16"/>
        <v>#DIV/0!</v>
      </c>
      <c r="CI17" s="1158"/>
      <c r="CJ17" s="3285"/>
      <c r="CK17" s="3285"/>
      <c r="CL17" s="3286">
        <f t="shared" si="41"/>
        <v>0</v>
      </c>
      <c r="CM17" s="3284" t="e">
        <f t="shared" si="17"/>
        <v>#DIV/0!</v>
      </c>
      <c r="CN17" s="1158"/>
      <c r="CO17" s="3285"/>
      <c r="CP17" s="3285"/>
      <c r="CQ17" s="3286">
        <f t="shared" si="42"/>
        <v>0</v>
      </c>
      <c r="CR17" s="3284" t="e">
        <f t="shared" si="18"/>
        <v>#DIV/0!</v>
      </c>
      <c r="CS17" s="1158"/>
      <c r="CT17" s="3285"/>
      <c r="CU17" s="3285"/>
      <c r="CV17" s="3286">
        <f t="shared" si="43"/>
        <v>0</v>
      </c>
      <c r="CW17" s="3284" t="e">
        <f t="shared" si="19"/>
        <v>#DIV/0!</v>
      </c>
      <c r="CX17" s="1158"/>
      <c r="CY17" s="3274">
        <f t="shared" si="32"/>
        <v>0</v>
      </c>
      <c r="CZ17" s="3274">
        <f t="shared" si="33"/>
        <v>0</v>
      </c>
      <c r="DA17" s="3283">
        <f t="shared" si="34"/>
        <v>0</v>
      </c>
      <c r="DB17" s="3284">
        <f t="shared" si="1"/>
        <v>0</v>
      </c>
      <c r="DC17" s="1449"/>
    </row>
    <row r="18" spans="1:107" s="1411" customFormat="1" ht="24" x14ac:dyDescent="0.25">
      <c r="A18" s="1586"/>
      <c r="B18" s="3289" t="s">
        <v>0</v>
      </c>
      <c r="C18" s="3292">
        <v>170430.39</v>
      </c>
      <c r="D18" s="3274"/>
      <c r="E18" s="3283">
        <f t="shared" si="21"/>
        <v>170430.39</v>
      </c>
      <c r="F18" s="3284">
        <f t="shared" si="0"/>
        <v>0.88121979892989633</v>
      </c>
      <c r="G18" s="3275" t="s">
        <v>1140</v>
      </c>
      <c r="H18" s="3274">
        <v>5100</v>
      </c>
      <c r="I18" s="3274"/>
      <c r="J18" s="3283">
        <f t="shared" si="22"/>
        <v>5100</v>
      </c>
      <c r="K18" s="3284">
        <f t="shared" si="23"/>
        <v>7.8249015363392321E-2</v>
      </c>
      <c r="L18" s="3359" t="s">
        <v>1171</v>
      </c>
      <c r="M18" s="3274">
        <f>160+2000</f>
        <v>2160</v>
      </c>
      <c r="N18" s="3274"/>
      <c r="O18" s="3283">
        <f t="shared" si="24"/>
        <v>2160</v>
      </c>
      <c r="P18" s="3284">
        <f t="shared" si="2"/>
        <v>1.8613372588719618E-2</v>
      </c>
      <c r="Q18" s="3275" t="s">
        <v>1255</v>
      </c>
      <c r="R18" s="3274"/>
      <c r="S18" s="3274"/>
      <c r="T18" s="3283">
        <f t="shared" si="25"/>
        <v>0</v>
      </c>
      <c r="U18" s="3284">
        <f t="shared" si="3"/>
        <v>0</v>
      </c>
      <c r="V18" s="3275"/>
      <c r="W18" s="3274">
        <f>3900+2825</f>
        <v>6725</v>
      </c>
      <c r="X18" s="3274">
        <v>6316.5</v>
      </c>
      <c r="Y18" s="3283">
        <f t="shared" si="26"/>
        <v>13041.5</v>
      </c>
      <c r="Z18" s="3284">
        <f t="shared" si="4"/>
        <v>0.11238254565545691</v>
      </c>
      <c r="AA18" s="3276" t="s">
        <v>1422</v>
      </c>
      <c r="AB18" s="3274">
        <v>305</v>
      </c>
      <c r="AC18" s="3274"/>
      <c r="AD18" s="3283">
        <f t="shared" si="27"/>
        <v>305</v>
      </c>
      <c r="AE18" s="3284">
        <f t="shared" si="5"/>
        <v>2.6282771479442055E-3</v>
      </c>
      <c r="AF18" s="3276" t="s">
        <v>1270</v>
      </c>
      <c r="AG18" s="3274">
        <v>42030.71</v>
      </c>
      <c r="AH18" s="3274">
        <v>0</v>
      </c>
      <c r="AI18" s="3283">
        <v>42030.71</v>
      </c>
      <c r="AJ18" s="3284">
        <v>0.64487483774986021</v>
      </c>
      <c r="AK18" s="3275"/>
      <c r="AL18" s="3274">
        <f t="shared" si="6"/>
        <v>0</v>
      </c>
      <c r="AM18" s="3274">
        <f t="shared" si="6"/>
        <v>0</v>
      </c>
      <c r="AN18" s="3283">
        <f t="shared" si="28"/>
        <v>0</v>
      </c>
      <c r="AO18" s="3284">
        <f t="shared" si="7"/>
        <v>0</v>
      </c>
      <c r="AP18" s="3275"/>
      <c r="AQ18" s="3274"/>
      <c r="AR18" s="3274"/>
      <c r="AS18" s="3283">
        <f t="shared" si="29"/>
        <v>0</v>
      </c>
      <c r="AT18" s="3284">
        <f t="shared" si="8"/>
        <v>0</v>
      </c>
      <c r="AU18" s="3276"/>
      <c r="AV18" s="3274"/>
      <c r="AW18" s="3274"/>
      <c r="AX18" s="3283">
        <f t="shared" si="30"/>
        <v>0</v>
      </c>
      <c r="AY18" s="3284">
        <f t="shared" si="9"/>
        <v>0</v>
      </c>
      <c r="AZ18" s="3374"/>
      <c r="BA18" s="3285"/>
      <c r="BB18" s="3285"/>
      <c r="BC18" s="3286">
        <f t="shared" si="31"/>
        <v>0</v>
      </c>
      <c r="BD18" s="3284">
        <f t="shared" si="10"/>
        <v>0</v>
      </c>
      <c r="BE18" s="3291"/>
      <c r="BF18" s="3285"/>
      <c r="BG18" s="3285"/>
      <c r="BH18" s="3286">
        <f t="shared" si="35"/>
        <v>0</v>
      </c>
      <c r="BI18" s="3284">
        <f t="shared" si="11"/>
        <v>0</v>
      </c>
      <c r="BJ18" s="3291"/>
      <c r="BK18" s="3285"/>
      <c r="BL18" s="3285"/>
      <c r="BM18" s="3286">
        <f t="shared" si="36"/>
        <v>0</v>
      </c>
      <c r="BN18" s="3284">
        <f t="shared" si="12"/>
        <v>0</v>
      </c>
      <c r="BO18" s="3291"/>
      <c r="BP18" s="3285"/>
      <c r="BQ18" s="3285"/>
      <c r="BR18" s="3286">
        <f t="shared" si="37"/>
        <v>0</v>
      </c>
      <c r="BS18" s="3284">
        <f t="shared" si="13"/>
        <v>0</v>
      </c>
      <c r="BT18" s="3291"/>
      <c r="BU18" s="3285"/>
      <c r="BV18" s="3285"/>
      <c r="BW18" s="3286">
        <f t="shared" si="38"/>
        <v>0</v>
      </c>
      <c r="BX18" s="3284" t="e">
        <f t="shared" si="14"/>
        <v>#DIV/0!</v>
      </c>
      <c r="BY18" s="3291"/>
      <c r="BZ18" s="3285"/>
      <c r="CA18" s="3285"/>
      <c r="CB18" s="3286">
        <f t="shared" si="39"/>
        <v>0</v>
      </c>
      <c r="CC18" s="3284" t="e">
        <f t="shared" si="15"/>
        <v>#DIV/0!</v>
      </c>
      <c r="CD18" s="3291"/>
      <c r="CE18" s="3285"/>
      <c r="CF18" s="3285"/>
      <c r="CG18" s="3286">
        <f t="shared" si="40"/>
        <v>0</v>
      </c>
      <c r="CH18" s="3284" t="e">
        <f t="shared" si="16"/>
        <v>#DIV/0!</v>
      </c>
      <c r="CI18" s="3291"/>
      <c r="CJ18" s="3285"/>
      <c r="CK18" s="3285"/>
      <c r="CL18" s="3286">
        <f t="shared" si="41"/>
        <v>0</v>
      </c>
      <c r="CM18" s="3284" t="e">
        <f t="shared" si="17"/>
        <v>#DIV/0!</v>
      </c>
      <c r="CN18" s="3291"/>
      <c r="CO18" s="3285"/>
      <c r="CP18" s="3285"/>
      <c r="CQ18" s="3286">
        <f t="shared" si="42"/>
        <v>0</v>
      </c>
      <c r="CR18" s="3284" t="e">
        <f t="shared" si="18"/>
        <v>#DIV/0!</v>
      </c>
      <c r="CS18" s="3291"/>
      <c r="CT18" s="3285"/>
      <c r="CU18" s="3285"/>
      <c r="CV18" s="3286">
        <f t="shared" si="43"/>
        <v>0</v>
      </c>
      <c r="CW18" s="3284" t="e">
        <f t="shared" si="19"/>
        <v>#DIV/0!</v>
      </c>
      <c r="CX18" s="3291"/>
      <c r="CY18" s="3274">
        <f t="shared" si="32"/>
        <v>226751.1</v>
      </c>
      <c r="CZ18" s="3274">
        <f t="shared" si="33"/>
        <v>6316.5</v>
      </c>
      <c r="DA18" s="3283">
        <f t="shared" si="34"/>
        <v>233067.6</v>
      </c>
      <c r="DB18" s="3284">
        <f t="shared" si="1"/>
        <v>9.7035340207357171E-2</v>
      </c>
      <c r="DC18" s="1449"/>
    </row>
    <row r="19" spans="1:107" s="1411" customFormat="1" ht="13.8" x14ac:dyDescent="0.25">
      <c r="A19" s="1586"/>
      <c r="B19" s="3289" t="s">
        <v>53</v>
      </c>
      <c r="C19" s="3274"/>
      <c r="D19" s="3274"/>
      <c r="E19" s="3283">
        <f t="shared" si="21"/>
        <v>0</v>
      </c>
      <c r="F19" s="3284">
        <f t="shared" si="0"/>
        <v>0</v>
      </c>
      <c r="G19" s="1409"/>
      <c r="H19" s="3274"/>
      <c r="I19" s="3274"/>
      <c r="J19" s="3283">
        <f t="shared" si="22"/>
        <v>0</v>
      </c>
      <c r="K19" s="3284">
        <f t="shared" si="23"/>
        <v>0</v>
      </c>
      <c r="L19" s="1409"/>
      <c r="M19" s="3274"/>
      <c r="N19" s="3274"/>
      <c r="O19" s="3283">
        <f t="shared" si="24"/>
        <v>0</v>
      </c>
      <c r="P19" s="3284">
        <f t="shared" si="2"/>
        <v>0</v>
      </c>
      <c r="Q19" s="1409"/>
      <c r="R19" s="3274"/>
      <c r="S19" s="3274"/>
      <c r="T19" s="3283">
        <f t="shared" si="25"/>
        <v>0</v>
      </c>
      <c r="U19" s="3284">
        <f t="shared" si="3"/>
        <v>0</v>
      </c>
      <c r="V19" s="1409"/>
      <c r="W19" s="3274"/>
      <c r="X19" s="3274"/>
      <c r="Y19" s="3283">
        <f t="shared" si="26"/>
        <v>0</v>
      </c>
      <c r="Z19" s="3284">
        <f t="shared" si="4"/>
        <v>0</v>
      </c>
      <c r="AA19" s="1409"/>
      <c r="AB19" s="3274"/>
      <c r="AC19" s="3274"/>
      <c r="AD19" s="3283">
        <f t="shared" si="27"/>
        <v>0</v>
      </c>
      <c r="AE19" s="3284">
        <f t="shared" si="5"/>
        <v>0</v>
      </c>
      <c r="AF19" s="1409"/>
      <c r="AG19" s="3274">
        <v>0</v>
      </c>
      <c r="AH19" s="3274">
        <v>0</v>
      </c>
      <c r="AI19" s="3283">
        <v>0</v>
      </c>
      <c r="AJ19" s="3284">
        <v>0</v>
      </c>
      <c r="AK19" s="1409"/>
      <c r="AL19" s="3274">
        <f t="shared" si="6"/>
        <v>0</v>
      </c>
      <c r="AM19" s="3274">
        <f t="shared" si="6"/>
        <v>0</v>
      </c>
      <c r="AN19" s="3283">
        <f t="shared" si="28"/>
        <v>0</v>
      </c>
      <c r="AO19" s="3284">
        <f t="shared" si="7"/>
        <v>0</v>
      </c>
      <c r="AP19" s="1409"/>
      <c r="AQ19" s="3274"/>
      <c r="AR19" s="3274"/>
      <c r="AS19" s="3283">
        <f t="shared" si="29"/>
        <v>0</v>
      </c>
      <c r="AT19" s="3284">
        <f t="shared" si="8"/>
        <v>0</v>
      </c>
      <c r="AU19" s="1409"/>
      <c r="AV19" s="3274"/>
      <c r="AW19" s="3274"/>
      <c r="AX19" s="3283">
        <f t="shared" si="30"/>
        <v>0</v>
      </c>
      <c r="AY19" s="3284">
        <f t="shared" si="9"/>
        <v>0</v>
      </c>
      <c r="AZ19" s="3374"/>
      <c r="BA19" s="3285"/>
      <c r="BB19" s="3285"/>
      <c r="BC19" s="3286">
        <f t="shared" si="31"/>
        <v>0</v>
      </c>
      <c r="BD19" s="3284">
        <f t="shared" si="10"/>
        <v>0</v>
      </c>
      <c r="BE19" s="1107"/>
      <c r="BF19" s="3285"/>
      <c r="BG19" s="3285"/>
      <c r="BH19" s="3286">
        <f t="shared" si="35"/>
        <v>0</v>
      </c>
      <c r="BI19" s="3284">
        <f t="shared" si="11"/>
        <v>0</v>
      </c>
      <c r="BJ19" s="1107"/>
      <c r="BK19" s="3285"/>
      <c r="BL19" s="3285"/>
      <c r="BM19" s="3286">
        <f t="shared" si="36"/>
        <v>0</v>
      </c>
      <c r="BN19" s="3284">
        <f t="shared" si="12"/>
        <v>0</v>
      </c>
      <c r="BO19" s="1107"/>
      <c r="BP19" s="3285"/>
      <c r="BQ19" s="3285"/>
      <c r="BR19" s="3286">
        <f t="shared" si="37"/>
        <v>0</v>
      </c>
      <c r="BS19" s="3284">
        <f t="shared" si="13"/>
        <v>0</v>
      </c>
      <c r="BT19" s="1107"/>
      <c r="BU19" s="3285"/>
      <c r="BV19" s="3285"/>
      <c r="BW19" s="3286">
        <f t="shared" si="38"/>
        <v>0</v>
      </c>
      <c r="BX19" s="3284" t="e">
        <f t="shared" si="14"/>
        <v>#DIV/0!</v>
      </c>
      <c r="BY19" s="1107"/>
      <c r="BZ19" s="3285"/>
      <c r="CA19" s="3285"/>
      <c r="CB19" s="3286">
        <f t="shared" si="39"/>
        <v>0</v>
      </c>
      <c r="CC19" s="3284" t="e">
        <f t="shared" si="15"/>
        <v>#DIV/0!</v>
      </c>
      <c r="CD19" s="1107"/>
      <c r="CE19" s="3285"/>
      <c r="CF19" s="3285"/>
      <c r="CG19" s="3286">
        <f t="shared" si="40"/>
        <v>0</v>
      </c>
      <c r="CH19" s="3284" t="e">
        <f t="shared" si="16"/>
        <v>#DIV/0!</v>
      </c>
      <c r="CI19" s="1107"/>
      <c r="CJ19" s="3285"/>
      <c r="CK19" s="3285"/>
      <c r="CL19" s="3286">
        <f t="shared" si="41"/>
        <v>0</v>
      </c>
      <c r="CM19" s="3284" t="e">
        <f t="shared" si="17"/>
        <v>#DIV/0!</v>
      </c>
      <c r="CN19" s="1107"/>
      <c r="CO19" s="3285"/>
      <c r="CP19" s="3285"/>
      <c r="CQ19" s="3286">
        <f t="shared" si="42"/>
        <v>0</v>
      </c>
      <c r="CR19" s="3284" t="e">
        <f t="shared" si="18"/>
        <v>#DIV/0!</v>
      </c>
      <c r="CS19" s="1107"/>
      <c r="CT19" s="3285"/>
      <c r="CU19" s="3285"/>
      <c r="CV19" s="3286">
        <f t="shared" si="43"/>
        <v>0</v>
      </c>
      <c r="CW19" s="3284" t="e">
        <f t="shared" si="19"/>
        <v>#DIV/0!</v>
      </c>
      <c r="CX19" s="1107"/>
      <c r="CY19" s="3274">
        <f t="shared" si="32"/>
        <v>0</v>
      </c>
      <c r="CZ19" s="3274">
        <f t="shared" si="33"/>
        <v>0</v>
      </c>
      <c r="DA19" s="3283">
        <f t="shared" si="34"/>
        <v>0</v>
      </c>
      <c r="DB19" s="3284">
        <f t="shared" si="1"/>
        <v>0</v>
      </c>
      <c r="DC19" s="1449"/>
    </row>
    <row r="20" spans="1:107" s="1411" customFormat="1" ht="13.8" x14ac:dyDescent="0.25">
      <c r="A20" s="1586"/>
      <c r="B20" s="3289" t="s">
        <v>57</v>
      </c>
      <c r="C20" s="3274"/>
      <c r="D20" s="3274"/>
      <c r="E20" s="3283">
        <f t="shared" si="21"/>
        <v>0</v>
      </c>
      <c r="F20" s="3284">
        <f t="shared" si="0"/>
        <v>0</v>
      </c>
      <c r="G20" s="1608"/>
      <c r="H20" s="3274"/>
      <c r="I20" s="3274"/>
      <c r="J20" s="3283">
        <f t="shared" si="22"/>
        <v>0</v>
      </c>
      <c r="K20" s="3284">
        <f t="shared" si="23"/>
        <v>0</v>
      </c>
      <c r="L20" s="1608"/>
      <c r="M20" s="3274"/>
      <c r="N20" s="3274"/>
      <c r="O20" s="3283">
        <f t="shared" si="24"/>
        <v>0</v>
      </c>
      <c r="P20" s="3284">
        <f t="shared" si="2"/>
        <v>0</v>
      </c>
      <c r="Q20" s="1608"/>
      <c r="R20" s="3274"/>
      <c r="S20" s="3274"/>
      <c r="T20" s="3283">
        <f t="shared" si="25"/>
        <v>0</v>
      </c>
      <c r="U20" s="3284">
        <f t="shared" si="3"/>
        <v>0</v>
      </c>
      <c r="V20" s="1608"/>
      <c r="W20" s="3274"/>
      <c r="X20" s="3274"/>
      <c r="Y20" s="3283">
        <f t="shared" si="26"/>
        <v>0</v>
      </c>
      <c r="Z20" s="3284">
        <f t="shared" si="4"/>
        <v>0</v>
      </c>
      <c r="AA20" s="1608"/>
      <c r="AB20" s="3274"/>
      <c r="AC20" s="3274"/>
      <c r="AD20" s="3283">
        <f t="shared" si="27"/>
        <v>0</v>
      </c>
      <c r="AE20" s="3284">
        <f t="shared" si="5"/>
        <v>0</v>
      </c>
      <c r="AF20" s="1608"/>
      <c r="AG20" s="3274">
        <v>0</v>
      </c>
      <c r="AH20" s="3274">
        <v>0</v>
      </c>
      <c r="AI20" s="3283">
        <v>0</v>
      </c>
      <c r="AJ20" s="3284">
        <v>0</v>
      </c>
      <c r="AK20" s="1608"/>
      <c r="AL20" s="3274">
        <f t="shared" si="6"/>
        <v>0</v>
      </c>
      <c r="AM20" s="3274">
        <f t="shared" si="6"/>
        <v>0</v>
      </c>
      <c r="AN20" s="3283">
        <f t="shared" si="28"/>
        <v>0</v>
      </c>
      <c r="AO20" s="3284">
        <f t="shared" si="7"/>
        <v>0</v>
      </c>
      <c r="AP20" s="1608"/>
      <c r="AQ20" s="3274"/>
      <c r="AR20" s="3274"/>
      <c r="AS20" s="3283">
        <f t="shared" si="29"/>
        <v>0</v>
      </c>
      <c r="AT20" s="3284">
        <f t="shared" si="8"/>
        <v>0</v>
      </c>
      <c r="AU20" s="1608"/>
      <c r="AV20" s="3274"/>
      <c r="AW20" s="3274"/>
      <c r="AX20" s="3283">
        <f t="shared" si="30"/>
        <v>0</v>
      </c>
      <c r="AY20" s="3284">
        <f t="shared" si="9"/>
        <v>0</v>
      </c>
      <c r="AZ20" s="3374"/>
      <c r="BA20" s="3285"/>
      <c r="BB20" s="3285"/>
      <c r="BC20" s="3286">
        <f t="shared" si="31"/>
        <v>0</v>
      </c>
      <c r="BD20" s="3284">
        <f t="shared" si="10"/>
        <v>0</v>
      </c>
      <c r="BE20" s="1158"/>
      <c r="BF20" s="3285"/>
      <c r="BG20" s="3285"/>
      <c r="BH20" s="3286">
        <f t="shared" si="35"/>
        <v>0</v>
      </c>
      <c r="BI20" s="3284">
        <f t="shared" si="11"/>
        <v>0</v>
      </c>
      <c r="BJ20" s="1158"/>
      <c r="BK20" s="3285"/>
      <c r="BL20" s="3285"/>
      <c r="BM20" s="3286">
        <f t="shared" si="36"/>
        <v>0</v>
      </c>
      <c r="BN20" s="3284">
        <f t="shared" si="12"/>
        <v>0</v>
      </c>
      <c r="BO20" s="1158"/>
      <c r="BP20" s="3285"/>
      <c r="BQ20" s="3285"/>
      <c r="BR20" s="3286">
        <f t="shared" si="37"/>
        <v>0</v>
      </c>
      <c r="BS20" s="3284">
        <f t="shared" si="13"/>
        <v>0</v>
      </c>
      <c r="BT20" s="1158"/>
      <c r="BU20" s="3285"/>
      <c r="BV20" s="3285"/>
      <c r="BW20" s="3286">
        <f t="shared" si="38"/>
        <v>0</v>
      </c>
      <c r="BX20" s="3284" t="e">
        <f t="shared" si="14"/>
        <v>#DIV/0!</v>
      </c>
      <c r="BY20" s="1158"/>
      <c r="BZ20" s="3285"/>
      <c r="CA20" s="3285"/>
      <c r="CB20" s="3286">
        <f t="shared" si="39"/>
        <v>0</v>
      </c>
      <c r="CC20" s="3284" t="e">
        <f t="shared" si="15"/>
        <v>#DIV/0!</v>
      </c>
      <c r="CD20" s="1158"/>
      <c r="CE20" s="3285"/>
      <c r="CF20" s="3285"/>
      <c r="CG20" s="3286">
        <f t="shared" si="40"/>
        <v>0</v>
      </c>
      <c r="CH20" s="3284" t="e">
        <f t="shared" si="16"/>
        <v>#DIV/0!</v>
      </c>
      <c r="CI20" s="1158"/>
      <c r="CJ20" s="3285"/>
      <c r="CK20" s="3285"/>
      <c r="CL20" s="3286">
        <f t="shared" si="41"/>
        <v>0</v>
      </c>
      <c r="CM20" s="3284" t="e">
        <f t="shared" si="17"/>
        <v>#DIV/0!</v>
      </c>
      <c r="CN20" s="1158"/>
      <c r="CO20" s="3285"/>
      <c r="CP20" s="3285"/>
      <c r="CQ20" s="3286">
        <f t="shared" si="42"/>
        <v>0</v>
      </c>
      <c r="CR20" s="3284" t="e">
        <f t="shared" si="18"/>
        <v>#DIV/0!</v>
      </c>
      <c r="CS20" s="1158"/>
      <c r="CT20" s="3285"/>
      <c r="CU20" s="3285"/>
      <c r="CV20" s="3286">
        <f t="shared" si="43"/>
        <v>0</v>
      </c>
      <c r="CW20" s="3284" t="e">
        <f t="shared" si="19"/>
        <v>#DIV/0!</v>
      </c>
      <c r="CX20" s="1158"/>
      <c r="CY20" s="3274">
        <f t="shared" si="32"/>
        <v>0</v>
      </c>
      <c r="CZ20" s="3274">
        <f t="shared" si="33"/>
        <v>0</v>
      </c>
      <c r="DA20" s="3283">
        <f t="shared" si="34"/>
        <v>0</v>
      </c>
      <c r="DB20" s="3284">
        <f t="shared" si="1"/>
        <v>0</v>
      </c>
      <c r="DC20" s="1449"/>
    </row>
    <row r="21" spans="1:107" s="1411" customFormat="1" ht="13.8" x14ac:dyDescent="0.25">
      <c r="A21" s="1586"/>
      <c r="B21" s="3289" t="s">
        <v>58</v>
      </c>
      <c r="C21" s="3274"/>
      <c r="D21" s="3274"/>
      <c r="E21" s="3283">
        <f t="shared" si="21"/>
        <v>0</v>
      </c>
      <c r="F21" s="3284">
        <f t="shared" si="0"/>
        <v>0</v>
      </c>
      <c r="G21" s="1608"/>
      <c r="H21" s="3274"/>
      <c r="I21" s="3274"/>
      <c r="J21" s="3283">
        <f t="shared" si="22"/>
        <v>0</v>
      </c>
      <c r="K21" s="3284">
        <f t="shared" si="23"/>
        <v>0</v>
      </c>
      <c r="L21" s="1608"/>
      <c r="M21" s="3274"/>
      <c r="N21" s="3274"/>
      <c r="O21" s="3283">
        <f t="shared" si="24"/>
        <v>0</v>
      </c>
      <c r="P21" s="3284">
        <f t="shared" si="2"/>
        <v>0</v>
      </c>
      <c r="Q21" s="1608"/>
      <c r="R21" s="3274"/>
      <c r="S21" s="3274"/>
      <c r="T21" s="3283">
        <f t="shared" si="25"/>
        <v>0</v>
      </c>
      <c r="U21" s="3284">
        <f t="shared" si="3"/>
        <v>0</v>
      </c>
      <c r="V21" s="1608"/>
      <c r="W21" s="3274"/>
      <c r="X21" s="3274"/>
      <c r="Y21" s="3283">
        <f t="shared" si="26"/>
        <v>0</v>
      </c>
      <c r="Z21" s="3284">
        <f t="shared" si="4"/>
        <v>0</v>
      </c>
      <c r="AA21" s="1608"/>
      <c r="AB21" s="3274"/>
      <c r="AC21" s="3274"/>
      <c r="AD21" s="3283">
        <f t="shared" si="27"/>
        <v>0</v>
      </c>
      <c r="AE21" s="3284">
        <f t="shared" si="5"/>
        <v>0</v>
      </c>
      <c r="AF21" s="1608"/>
      <c r="AG21" s="3274">
        <v>0</v>
      </c>
      <c r="AH21" s="3274">
        <v>0</v>
      </c>
      <c r="AI21" s="3283">
        <v>0</v>
      </c>
      <c r="AJ21" s="3284">
        <v>0</v>
      </c>
      <c r="AK21" s="1608"/>
      <c r="AL21" s="3274">
        <f t="shared" si="6"/>
        <v>0</v>
      </c>
      <c r="AM21" s="3274">
        <f t="shared" si="6"/>
        <v>0</v>
      </c>
      <c r="AN21" s="3283">
        <f t="shared" si="28"/>
        <v>0</v>
      </c>
      <c r="AO21" s="3284">
        <f t="shared" si="7"/>
        <v>0</v>
      </c>
      <c r="AP21" s="1608"/>
      <c r="AQ21" s="3274"/>
      <c r="AR21" s="3274"/>
      <c r="AS21" s="3283">
        <f t="shared" si="29"/>
        <v>0</v>
      </c>
      <c r="AT21" s="3284">
        <f t="shared" si="8"/>
        <v>0</v>
      </c>
      <c r="AU21" s="1608"/>
      <c r="AV21" s="3274"/>
      <c r="AW21" s="3274"/>
      <c r="AX21" s="3283">
        <f t="shared" si="30"/>
        <v>0</v>
      </c>
      <c r="AY21" s="3284">
        <f t="shared" si="9"/>
        <v>0</v>
      </c>
      <c r="AZ21" s="1608"/>
      <c r="BA21" s="3285"/>
      <c r="BB21" s="3285"/>
      <c r="BC21" s="3286">
        <f t="shared" si="31"/>
        <v>0</v>
      </c>
      <c r="BD21" s="3284">
        <f t="shared" si="10"/>
        <v>0</v>
      </c>
      <c r="BE21" s="1158"/>
      <c r="BF21" s="3285"/>
      <c r="BG21" s="3285"/>
      <c r="BH21" s="3286">
        <f t="shared" si="35"/>
        <v>0</v>
      </c>
      <c r="BI21" s="3284">
        <f t="shared" si="11"/>
        <v>0</v>
      </c>
      <c r="BJ21" s="1158"/>
      <c r="BK21" s="3285"/>
      <c r="BL21" s="3285"/>
      <c r="BM21" s="3286">
        <f t="shared" si="36"/>
        <v>0</v>
      </c>
      <c r="BN21" s="3284">
        <f t="shared" si="12"/>
        <v>0</v>
      </c>
      <c r="BO21" s="1158"/>
      <c r="BP21" s="3285"/>
      <c r="BQ21" s="3285"/>
      <c r="BR21" s="3286">
        <f t="shared" si="37"/>
        <v>0</v>
      </c>
      <c r="BS21" s="3284">
        <f t="shared" si="13"/>
        <v>0</v>
      </c>
      <c r="BT21" s="1158"/>
      <c r="BU21" s="3285"/>
      <c r="BV21" s="3285"/>
      <c r="BW21" s="3286">
        <f t="shared" si="38"/>
        <v>0</v>
      </c>
      <c r="BX21" s="3284" t="e">
        <f t="shared" si="14"/>
        <v>#DIV/0!</v>
      </c>
      <c r="BY21" s="1158"/>
      <c r="BZ21" s="3285"/>
      <c r="CA21" s="3285"/>
      <c r="CB21" s="3286">
        <f t="shared" si="39"/>
        <v>0</v>
      </c>
      <c r="CC21" s="3284" t="e">
        <f t="shared" si="15"/>
        <v>#DIV/0!</v>
      </c>
      <c r="CD21" s="1158"/>
      <c r="CE21" s="3285"/>
      <c r="CF21" s="3285"/>
      <c r="CG21" s="3286">
        <f t="shared" si="40"/>
        <v>0</v>
      </c>
      <c r="CH21" s="3284" t="e">
        <f t="shared" si="16"/>
        <v>#DIV/0!</v>
      </c>
      <c r="CI21" s="1158"/>
      <c r="CJ21" s="3285"/>
      <c r="CK21" s="3285"/>
      <c r="CL21" s="3286">
        <f t="shared" si="41"/>
        <v>0</v>
      </c>
      <c r="CM21" s="3284" t="e">
        <f t="shared" si="17"/>
        <v>#DIV/0!</v>
      </c>
      <c r="CN21" s="1158"/>
      <c r="CO21" s="3285"/>
      <c r="CP21" s="3285"/>
      <c r="CQ21" s="3286">
        <f t="shared" si="42"/>
        <v>0</v>
      </c>
      <c r="CR21" s="3284" t="e">
        <f t="shared" si="18"/>
        <v>#DIV/0!</v>
      </c>
      <c r="CS21" s="1158"/>
      <c r="CT21" s="3285"/>
      <c r="CU21" s="3285"/>
      <c r="CV21" s="3286">
        <f t="shared" si="43"/>
        <v>0</v>
      </c>
      <c r="CW21" s="3284" t="e">
        <f t="shared" si="19"/>
        <v>#DIV/0!</v>
      </c>
      <c r="CX21" s="1158"/>
      <c r="CY21" s="3274">
        <f t="shared" si="32"/>
        <v>0</v>
      </c>
      <c r="CZ21" s="3274">
        <f t="shared" si="33"/>
        <v>0</v>
      </c>
      <c r="DA21" s="3283">
        <f t="shared" si="34"/>
        <v>0</v>
      </c>
      <c r="DB21" s="3284">
        <f t="shared" si="1"/>
        <v>0</v>
      </c>
      <c r="DC21" s="1449"/>
    </row>
    <row r="22" spans="1:107" s="1411" customFormat="1" ht="13.8" x14ac:dyDescent="0.25">
      <c r="A22" s="1586"/>
      <c r="B22" s="3289" t="s">
        <v>621</v>
      </c>
      <c r="C22" s="3274"/>
      <c r="D22" s="3274"/>
      <c r="E22" s="3283">
        <f t="shared" si="21"/>
        <v>0</v>
      </c>
      <c r="F22" s="3284">
        <f t="shared" si="0"/>
        <v>0</v>
      </c>
      <c r="G22" s="1608"/>
      <c r="H22" s="3274"/>
      <c r="I22" s="3274"/>
      <c r="J22" s="3283"/>
      <c r="K22" s="3284">
        <f t="shared" si="23"/>
        <v>0</v>
      </c>
      <c r="L22" s="1608"/>
      <c r="M22" s="3274"/>
      <c r="N22" s="3274"/>
      <c r="O22" s="3283"/>
      <c r="P22" s="3284">
        <f t="shared" si="2"/>
        <v>0</v>
      </c>
      <c r="Q22" s="1608"/>
      <c r="R22" s="3274"/>
      <c r="S22" s="3274"/>
      <c r="T22" s="3283"/>
      <c r="U22" s="3284">
        <f t="shared" si="3"/>
        <v>0</v>
      </c>
      <c r="V22" s="1608"/>
      <c r="W22" s="3274"/>
      <c r="X22" s="3274"/>
      <c r="Y22" s="3283"/>
      <c r="Z22" s="3284">
        <f t="shared" si="4"/>
        <v>0</v>
      </c>
      <c r="AA22" s="1608"/>
      <c r="AB22" s="3274"/>
      <c r="AC22" s="3274"/>
      <c r="AD22" s="3283">
        <f t="shared" si="27"/>
        <v>0</v>
      </c>
      <c r="AE22" s="3284">
        <f t="shared" si="5"/>
        <v>0</v>
      </c>
      <c r="AF22" s="1608"/>
      <c r="AG22" s="3274">
        <v>0</v>
      </c>
      <c r="AH22" s="3274">
        <v>0</v>
      </c>
      <c r="AI22" s="3283"/>
      <c r="AJ22" s="3284">
        <v>0</v>
      </c>
      <c r="AK22" s="1608"/>
      <c r="AL22" s="3274">
        <f t="shared" si="6"/>
        <v>0</v>
      </c>
      <c r="AM22" s="3274">
        <f t="shared" si="6"/>
        <v>0</v>
      </c>
      <c r="AN22" s="3283"/>
      <c r="AO22" s="3284">
        <f t="shared" si="7"/>
        <v>0</v>
      </c>
      <c r="AP22" s="1608"/>
      <c r="AQ22" s="3274"/>
      <c r="AR22" s="3274"/>
      <c r="AS22" s="3283">
        <f t="shared" si="29"/>
        <v>0</v>
      </c>
      <c r="AT22" s="3284">
        <f t="shared" si="8"/>
        <v>0</v>
      </c>
      <c r="AU22" s="1608"/>
      <c r="AV22" s="3274"/>
      <c r="AW22" s="3274"/>
      <c r="AX22" s="3283">
        <f t="shared" si="30"/>
        <v>0</v>
      </c>
      <c r="AY22" s="3284">
        <f t="shared" si="9"/>
        <v>0</v>
      </c>
      <c r="AZ22" s="1608"/>
      <c r="BA22" s="3285"/>
      <c r="BB22" s="3285"/>
      <c r="BC22" s="3286">
        <f t="shared" si="31"/>
        <v>0</v>
      </c>
      <c r="BD22" s="3284">
        <f t="shared" si="10"/>
        <v>0</v>
      </c>
      <c r="BE22" s="1158"/>
      <c r="BF22" s="3285"/>
      <c r="BG22" s="3285"/>
      <c r="BH22" s="3286">
        <f t="shared" si="35"/>
        <v>0</v>
      </c>
      <c r="BI22" s="3284">
        <f t="shared" si="11"/>
        <v>0</v>
      </c>
      <c r="BJ22" s="1158"/>
      <c r="BK22" s="3285"/>
      <c r="BL22" s="3285"/>
      <c r="BM22" s="3286">
        <f t="shared" si="36"/>
        <v>0</v>
      </c>
      <c r="BN22" s="3284">
        <f t="shared" si="12"/>
        <v>0</v>
      </c>
      <c r="BO22" s="1158"/>
      <c r="BP22" s="3285"/>
      <c r="BQ22" s="3285"/>
      <c r="BR22" s="3286">
        <f t="shared" si="37"/>
        <v>0</v>
      </c>
      <c r="BS22" s="3284">
        <f t="shared" si="13"/>
        <v>0</v>
      </c>
      <c r="BT22" s="1158"/>
      <c r="BU22" s="3285"/>
      <c r="BV22" s="3285"/>
      <c r="BW22" s="3286">
        <f t="shared" si="38"/>
        <v>0</v>
      </c>
      <c r="BX22" s="3284" t="e">
        <f t="shared" si="14"/>
        <v>#DIV/0!</v>
      </c>
      <c r="BY22" s="1158"/>
      <c r="BZ22" s="3285"/>
      <c r="CA22" s="3285"/>
      <c r="CB22" s="3286">
        <f t="shared" si="39"/>
        <v>0</v>
      </c>
      <c r="CC22" s="3284" t="e">
        <f t="shared" si="15"/>
        <v>#DIV/0!</v>
      </c>
      <c r="CD22" s="1158"/>
      <c r="CE22" s="3285"/>
      <c r="CF22" s="3285"/>
      <c r="CG22" s="3286">
        <f t="shared" si="40"/>
        <v>0</v>
      </c>
      <c r="CH22" s="3284" t="e">
        <f t="shared" si="16"/>
        <v>#DIV/0!</v>
      </c>
      <c r="CI22" s="1158"/>
      <c r="CJ22" s="3285"/>
      <c r="CK22" s="3285"/>
      <c r="CL22" s="3286">
        <f t="shared" si="41"/>
        <v>0</v>
      </c>
      <c r="CM22" s="3284" t="e">
        <f t="shared" si="17"/>
        <v>#DIV/0!</v>
      </c>
      <c r="CN22" s="1158"/>
      <c r="CO22" s="3285"/>
      <c r="CP22" s="3285"/>
      <c r="CQ22" s="3286">
        <f t="shared" si="42"/>
        <v>0</v>
      </c>
      <c r="CR22" s="3284" t="e">
        <f t="shared" si="18"/>
        <v>#DIV/0!</v>
      </c>
      <c r="CS22" s="1158"/>
      <c r="CT22" s="3285"/>
      <c r="CU22" s="3285"/>
      <c r="CV22" s="3286">
        <f t="shared" si="43"/>
        <v>0</v>
      </c>
      <c r="CW22" s="3284" t="e">
        <f t="shared" si="19"/>
        <v>#DIV/0!</v>
      </c>
      <c r="CX22" s="1158"/>
      <c r="CY22" s="3274">
        <f t="shared" si="32"/>
        <v>0</v>
      </c>
      <c r="CZ22" s="3274">
        <f t="shared" si="33"/>
        <v>0</v>
      </c>
      <c r="DA22" s="3283">
        <f t="shared" si="34"/>
        <v>0</v>
      </c>
      <c r="DB22" s="3284">
        <f t="shared" si="1"/>
        <v>0</v>
      </c>
      <c r="DC22" s="1449"/>
    </row>
    <row r="23" spans="1:107" s="1411" customFormat="1" ht="13.8" x14ac:dyDescent="0.25">
      <c r="A23" s="1586"/>
      <c r="B23" s="3289" t="s">
        <v>630</v>
      </c>
      <c r="C23" s="3274"/>
      <c r="D23" s="3274"/>
      <c r="E23" s="3283">
        <f t="shared" si="21"/>
        <v>0</v>
      </c>
      <c r="F23" s="3284">
        <f t="shared" si="0"/>
        <v>0</v>
      </c>
      <c r="G23" s="1608"/>
      <c r="H23" s="3274"/>
      <c r="I23" s="3274"/>
      <c r="J23" s="3283"/>
      <c r="K23" s="3284">
        <f t="shared" si="23"/>
        <v>0</v>
      </c>
      <c r="L23" s="1608"/>
      <c r="M23" s="3274"/>
      <c r="N23" s="3274"/>
      <c r="O23" s="3283"/>
      <c r="P23" s="3284">
        <f t="shared" si="2"/>
        <v>0</v>
      </c>
      <c r="Q23" s="1608"/>
      <c r="R23" s="3274"/>
      <c r="S23" s="3274"/>
      <c r="T23" s="3283"/>
      <c r="U23" s="3284">
        <f t="shared" si="3"/>
        <v>0</v>
      </c>
      <c r="V23" s="1608"/>
      <c r="W23" s="3274"/>
      <c r="X23" s="3274"/>
      <c r="Y23" s="3283"/>
      <c r="Z23" s="3284">
        <f t="shared" si="4"/>
        <v>0</v>
      </c>
      <c r="AA23" s="1608"/>
      <c r="AB23" s="3274"/>
      <c r="AC23" s="3274"/>
      <c r="AD23" s="3283">
        <f t="shared" si="27"/>
        <v>0</v>
      </c>
      <c r="AE23" s="3284">
        <f t="shared" si="5"/>
        <v>0</v>
      </c>
      <c r="AF23" s="1608"/>
      <c r="AG23" s="3274">
        <v>0</v>
      </c>
      <c r="AH23" s="3274">
        <v>0</v>
      </c>
      <c r="AI23" s="3283"/>
      <c r="AJ23" s="3284">
        <v>0</v>
      </c>
      <c r="AK23" s="1608"/>
      <c r="AL23" s="3274">
        <f t="shared" si="6"/>
        <v>0</v>
      </c>
      <c r="AM23" s="3274">
        <f t="shared" si="6"/>
        <v>0</v>
      </c>
      <c r="AN23" s="3283"/>
      <c r="AO23" s="3284">
        <f t="shared" si="7"/>
        <v>0</v>
      </c>
      <c r="AP23" s="1608"/>
      <c r="AQ23" s="3274"/>
      <c r="AR23" s="3274"/>
      <c r="AS23" s="3283">
        <f t="shared" si="29"/>
        <v>0</v>
      </c>
      <c r="AT23" s="3284">
        <f t="shared" si="8"/>
        <v>0</v>
      </c>
      <c r="AU23" s="1608"/>
      <c r="AV23" s="3274"/>
      <c r="AW23" s="3274"/>
      <c r="AX23" s="3283">
        <f t="shared" si="30"/>
        <v>0</v>
      </c>
      <c r="AY23" s="3284">
        <f t="shared" si="9"/>
        <v>0</v>
      </c>
      <c r="AZ23" s="3276"/>
      <c r="BA23" s="3285"/>
      <c r="BB23" s="3285"/>
      <c r="BC23" s="3286">
        <f t="shared" si="31"/>
        <v>0</v>
      </c>
      <c r="BD23" s="3284">
        <f t="shared" si="10"/>
        <v>0</v>
      </c>
      <c r="BE23" s="3291"/>
      <c r="BF23" s="3285"/>
      <c r="BG23" s="3285"/>
      <c r="BH23" s="3286">
        <f t="shared" si="35"/>
        <v>0</v>
      </c>
      <c r="BI23" s="3284">
        <f t="shared" si="11"/>
        <v>0</v>
      </c>
      <c r="BJ23" s="3291"/>
      <c r="BK23" s="3285"/>
      <c r="BL23" s="3285"/>
      <c r="BM23" s="3286">
        <f t="shared" si="36"/>
        <v>0</v>
      </c>
      <c r="BN23" s="3284">
        <f t="shared" si="12"/>
        <v>0</v>
      </c>
      <c r="BO23" s="3291"/>
      <c r="BP23" s="3285"/>
      <c r="BQ23" s="3285"/>
      <c r="BR23" s="3286">
        <f t="shared" si="37"/>
        <v>0</v>
      </c>
      <c r="BS23" s="3284">
        <f t="shared" si="13"/>
        <v>0</v>
      </c>
      <c r="BT23" s="3291"/>
      <c r="BU23" s="3285"/>
      <c r="BV23" s="3285"/>
      <c r="BW23" s="3286">
        <f t="shared" si="38"/>
        <v>0</v>
      </c>
      <c r="BX23" s="3284" t="e">
        <f t="shared" si="14"/>
        <v>#DIV/0!</v>
      </c>
      <c r="BY23" s="3291"/>
      <c r="BZ23" s="3285"/>
      <c r="CA23" s="3285"/>
      <c r="CB23" s="3286">
        <f t="shared" si="39"/>
        <v>0</v>
      </c>
      <c r="CC23" s="3284" t="e">
        <f t="shared" si="15"/>
        <v>#DIV/0!</v>
      </c>
      <c r="CD23" s="3291"/>
      <c r="CE23" s="3285"/>
      <c r="CF23" s="3285"/>
      <c r="CG23" s="3286">
        <f t="shared" si="40"/>
        <v>0</v>
      </c>
      <c r="CH23" s="3284" t="e">
        <f t="shared" si="16"/>
        <v>#DIV/0!</v>
      </c>
      <c r="CI23" s="3291"/>
      <c r="CJ23" s="3285"/>
      <c r="CK23" s="3285"/>
      <c r="CL23" s="3286">
        <f t="shared" si="41"/>
        <v>0</v>
      </c>
      <c r="CM23" s="3284" t="e">
        <f t="shared" si="17"/>
        <v>#DIV/0!</v>
      </c>
      <c r="CN23" s="3291"/>
      <c r="CO23" s="3285"/>
      <c r="CP23" s="3285"/>
      <c r="CQ23" s="3286">
        <f t="shared" si="42"/>
        <v>0</v>
      </c>
      <c r="CR23" s="3284" t="e">
        <f t="shared" si="18"/>
        <v>#DIV/0!</v>
      </c>
      <c r="CS23" s="3291"/>
      <c r="CT23" s="3285"/>
      <c r="CU23" s="3285"/>
      <c r="CV23" s="3286">
        <f t="shared" si="43"/>
        <v>0</v>
      </c>
      <c r="CW23" s="3284" t="e">
        <f t="shared" si="19"/>
        <v>#DIV/0!</v>
      </c>
      <c r="CX23" s="3291"/>
      <c r="CY23" s="3274">
        <f t="shared" si="32"/>
        <v>0</v>
      </c>
      <c r="CZ23" s="3274">
        <f t="shared" si="33"/>
        <v>0</v>
      </c>
      <c r="DA23" s="3283">
        <f t="shared" si="34"/>
        <v>0</v>
      </c>
      <c r="DB23" s="3284">
        <f t="shared" si="1"/>
        <v>0</v>
      </c>
      <c r="DC23" s="1449"/>
    </row>
    <row r="24" spans="1:107" s="1411" customFormat="1" ht="13.8" x14ac:dyDescent="0.25">
      <c r="A24" s="1586"/>
      <c r="B24" s="3289" t="s">
        <v>23</v>
      </c>
      <c r="C24" s="3274"/>
      <c r="D24" s="3274"/>
      <c r="E24" s="3283">
        <f t="shared" si="21"/>
        <v>0</v>
      </c>
      <c r="F24" s="3284">
        <f t="shared" si="0"/>
        <v>0</v>
      </c>
      <c r="G24" s="1608"/>
      <c r="H24" s="3274"/>
      <c r="I24" s="3274"/>
      <c r="J24" s="3283">
        <f t="shared" ref="J24:J33" si="44">H24+I24*1</f>
        <v>0</v>
      </c>
      <c r="K24" s="3284">
        <f t="shared" si="23"/>
        <v>0</v>
      </c>
      <c r="L24" s="1608"/>
      <c r="M24" s="3274"/>
      <c r="N24" s="3274"/>
      <c r="O24" s="3283">
        <f t="shared" ref="O24:O33" si="45">M24+N24*1</f>
        <v>0</v>
      </c>
      <c r="P24" s="3284">
        <f t="shared" si="2"/>
        <v>0</v>
      </c>
      <c r="Q24" s="1608"/>
      <c r="R24" s="3274"/>
      <c r="S24" s="3274"/>
      <c r="T24" s="3283">
        <f t="shared" ref="T24:T33" si="46">R24+S24*1</f>
        <v>0</v>
      </c>
      <c r="U24" s="3284">
        <f t="shared" si="3"/>
        <v>0</v>
      </c>
      <c r="V24" s="1608"/>
      <c r="W24" s="3274"/>
      <c r="X24" s="3274"/>
      <c r="Y24" s="3283">
        <f t="shared" ref="Y24:Y33" si="47">W24+X24*1</f>
        <v>0</v>
      </c>
      <c r="Z24" s="3284">
        <f t="shared" si="4"/>
        <v>0</v>
      </c>
      <c r="AA24" s="1608"/>
      <c r="AB24" s="3274"/>
      <c r="AC24" s="3274"/>
      <c r="AD24" s="3283">
        <f t="shared" si="27"/>
        <v>0</v>
      </c>
      <c r="AE24" s="3284">
        <f t="shared" si="5"/>
        <v>0</v>
      </c>
      <c r="AF24" s="1608"/>
      <c r="AG24" s="3274">
        <v>0</v>
      </c>
      <c r="AH24" s="3274">
        <v>0</v>
      </c>
      <c r="AI24" s="3283">
        <v>0</v>
      </c>
      <c r="AJ24" s="3284">
        <v>0</v>
      </c>
      <c r="AK24" s="3276"/>
      <c r="AL24" s="3274">
        <f t="shared" si="6"/>
        <v>0</v>
      </c>
      <c r="AM24" s="3274">
        <f t="shared" si="6"/>
        <v>0</v>
      </c>
      <c r="AN24" s="3283">
        <f t="shared" ref="AN24:AN33" si="48">AL24+AM24*1</f>
        <v>0</v>
      </c>
      <c r="AO24" s="3284">
        <f t="shared" si="7"/>
        <v>0</v>
      </c>
      <c r="AP24" s="3276"/>
      <c r="AQ24" s="3274"/>
      <c r="AR24" s="3274"/>
      <c r="AS24" s="3283">
        <f t="shared" si="29"/>
        <v>0</v>
      </c>
      <c r="AT24" s="3284">
        <f t="shared" si="8"/>
        <v>0</v>
      </c>
      <c r="AU24" s="1608"/>
      <c r="AV24" s="3274"/>
      <c r="AW24" s="3274"/>
      <c r="AX24" s="3283">
        <f t="shared" si="30"/>
        <v>0</v>
      </c>
      <c r="AY24" s="3284">
        <f t="shared" si="9"/>
        <v>0</v>
      </c>
      <c r="AZ24" s="3276"/>
      <c r="BA24" s="3285"/>
      <c r="BB24" s="3285"/>
      <c r="BC24" s="3286">
        <f t="shared" si="31"/>
        <v>0</v>
      </c>
      <c r="BD24" s="3284">
        <f t="shared" si="10"/>
        <v>0</v>
      </c>
      <c r="BE24" s="3291"/>
      <c r="BF24" s="3285"/>
      <c r="BG24" s="3285"/>
      <c r="BH24" s="3286">
        <f t="shared" si="35"/>
        <v>0</v>
      </c>
      <c r="BI24" s="3284">
        <f t="shared" si="11"/>
        <v>0</v>
      </c>
      <c r="BJ24" s="3291"/>
      <c r="BK24" s="3285"/>
      <c r="BL24" s="3285"/>
      <c r="BM24" s="3286">
        <f t="shared" si="36"/>
        <v>0</v>
      </c>
      <c r="BN24" s="3284">
        <f t="shared" si="12"/>
        <v>0</v>
      </c>
      <c r="BO24" s="3291"/>
      <c r="BP24" s="3285"/>
      <c r="BQ24" s="3285"/>
      <c r="BR24" s="3286">
        <f t="shared" si="37"/>
        <v>0</v>
      </c>
      <c r="BS24" s="3284">
        <f t="shared" si="13"/>
        <v>0</v>
      </c>
      <c r="BT24" s="3291"/>
      <c r="BU24" s="3285"/>
      <c r="BV24" s="3285"/>
      <c r="BW24" s="3286">
        <f t="shared" si="38"/>
        <v>0</v>
      </c>
      <c r="BX24" s="3284" t="e">
        <f t="shared" si="14"/>
        <v>#DIV/0!</v>
      </c>
      <c r="BY24" s="3291"/>
      <c r="BZ24" s="3285"/>
      <c r="CA24" s="3285"/>
      <c r="CB24" s="3286">
        <f t="shared" si="39"/>
        <v>0</v>
      </c>
      <c r="CC24" s="3284" t="e">
        <f t="shared" si="15"/>
        <v>#DIV/0!</v>
      </c>
      <c r="CD24" s="3291"/>
      <c r="CE24" s="3285"/>
      <c r="CF24" s="3285"/>
      <c r="CG24" s="3286">
        <f t="shared" si="40"/>
        <v>0</v>
      </c>
      <c r="CH24" s="3284" t="e">
        <f t="shared" si="16"/>
        <v>#DIV/0!</v>
      </c>
      <c r="CI24" s="3291"/>
      <c r="CJ24" s="3285"/>
      <c r="CK24" s="3285"/>
      <c r="CL24" s="3286">
        <f t="shared" si="41"/>
        <v>0</v>
      </c>
      <c r="CM24" s="3284" t="e">
        <f t="shared" si="17"/>
        <v>#DIV/0!</v>
      </c>
      <c r="CN24" s="3291"/>
      <c r="CO24" s="3285"/>
      <c r="CP24" s="3285"/>
      <c r="CQ24" s="3286">
        <f t="shared" si="42"/>
        <v>0</v>
      </c>
      <c r="CR24" s="3284" t="e">
        <f t="shared" si="18"/>
        <v>#DIV/0!</v>
      </c>
      <c r="CS24" s="3291"/>
      <c r="CT24" s="3285"/>
      <c r="CU24" s="3285"/>
      <c r="CV24" s="3286">
        <f t="shared" si="43"/>
        <v>0</v>
      </c>
      <c r="CW24" s="3284" t="e">
        <f t="shared" si="19"/>
        <v>#DIV/0!</v>
      </c>
      <c r="CX24" s="3291"/>
      <c r="CY24" s="3274">
        <f t="shared" si="32"/>
        <v>0</v>
      </c>
      <c r="CZ24" s="3274">
        <f t="shared" si="33"/>
        <v>0</v>
      </c>
      <c r="DA24" s="3283">
        <f t="shared" si="34"/>
        <v>0</v>
      </c>
      <c r="DB24" s="3284">
        <f t="shared" si="1"/>
        <v>0</v>
      </c>
      <c r="DC24" s="1449"/>
    </row>
    <row r="25" spans="1:107" s="1411" customFormat="1" ht="20.399999999999999" customHeight="1" x14ac:dyDescent="0.25">
      <c r="A25" s="1586"/>
      <c r="B25" s="3289" t="s">
        <v>24</v>
      </c>
      <c r="C25" s="3274"/>
      <c r="D25" s="3274"/>
      <c r="E25" s="3283">
        <f t="shared" si="21"/>
        <v>0</v>
      </c>
      <c r="F25" s="3284">
        <f t="shared" si="0"/>
        <v>0</v>
      </c>
      <c r="G25" s="1376"/>
      <c r="H25" s="3274"/>
      <c r="I25" s="3274"/>
      <c r="J25" s="3283">
        <f t="shared" si="44"/>
        <v>0</v>
      </c>
      <c r="K25" s="3284">
        <f t="shared" si="23"/>
        <v>0</v>
      </c>
      <c r="L25" s="1376"/>
      <c r="M25" s="3274"/>
      <c r="N25" s="3274"/>
      <c r="O25" s="3283">
        <f t="shared" si="45"/>
        <v>0</v>
      </c>
      <c r="P25" s="3284">
        <f t="shared" si="2"/>
        <v>0</v>
      </c>
      <c r="Q25" s="1376"/>
      <c r="R25" s="3274"/>
      <c r="S25" s="3274"/>
      <c r="T25" s="3283">
        <f t="shared" si="46"/>
        <v>0</v>
      </c>
      <c r="U25" s="3284">
        <f t="shared" si="3"/>
        <v>0</v>
      </c>
      <c r="V25" s="1376"/>
      <c r="W25" s="3274"/>
      <c r="X25" s="3274"/>
      <c r="Y25" s="3283">
        <f t="shared" si="47"/>
        <v>0</v>
      </c>
      <c r="Z25" s="3284">
        <f t="shared" si="4"/>
        <v>0</v>
      </c>
      <c r="AA25" s="1376"/>
      <c r="AB25" s="3274">
        <f>(196.32/5+770.5/5+2005.95+15295+160.9/5+209.1/5+154.6/5+2541.53+462.37+1725.78+308.16*6+392.91+1558.88+1336.24/5+1617.76/5+989.12/5)*1.2</f>
        <v>32301.945599999992</v>
      </c>
      <c r="AC25" s="3274"/>
      <c r="AD25" s="3283">
        <f t="shared" si="27"/>
        <v>32301.945599999992</v>
      </c>
      <c r="AE25" s="3284">
        <f t="shared" si="5"/>
        <v>0.27835562444136674</v>
      </c>
      <c r="AF25" s="3276" t="s">
        <v>1479</v>
      </c>
      <c r="AG25" s="3274">
        <v>0</v>
      </c>
      <c r="AH25" s="3274">
        <v>0</v>
      </c>
      <c r="AI25" s="3283">
        <v>0</v>
      </c>
      <c r="AJ25" s="3284">
        <v>0</v>
      </c>
      <c r="AK25" s="1376"/>
      <c r="AL25" s="3274">
        <f t="shared" si="6"/>
        <v>0</v>
      </c>
      <c r="AM25" s="3274">
        <f t="shared" si="6"/>
        <v>0</v>
      </c>
      <c r="AN25" s="3283">
        <f t="shared" si="48"/>
        <v>0</v>
      </c>
      <c r="AO25" s="3284">
        <f t="shared" si="7"/>
        <v>0</v>
      </c>
      <c r="AP25" s="1376"/>
      <c r="AQ25" s="3274"/>
      <c r="AR25" s="3274"/>
      <c r="AS25" s="3283">
        <f t="shared" si="29"/>
        <v>0</v>
      </c>
      <c r="AT25" s="3284">
        <f t="shared" si="8"/>
        <v>0</v>
      </c>
      <c r="AU25" s="3276"/>
      <c r="AV25" s="3274"/>
      <c r="AW25" s="3274"/>
      <c r="AX25" s="3283">
        <f t="shared" si="30"/>
        <v>0</v>
      </c>
      <c r="AY25" s="3284">
        <f t="shared" si="9"/>
        <v>0</v>
      </c>
      <c r="AZ25" s="3276"/>
      <c r="BA25" s="3285"/>
      <c r="BB25" s="3285"/>
      <c r="BC25" s="3286">
        <f t="shared" si="31"/>
        <v>0</v>
      </c>
      <c r="BD25" s="3284">
        <f t="shared" si="10"/>
        <v>0</v>
      </c>
      <c r="BE25" s="3291"/>
      <c r="BF25" s="3285"/>
      <c r="BG25" s="3285"/>
      <c r="BH25" s="3286">
        <f t="shared" si="35"/>
        <v>0</v>
      </c>
      <c r="BI25" s="3284">
        <f t="shared" si="11"/>
        <v>0</v>
      </c>
      <c r="BJ25" s="3291"/>
      <c r="BK25" s="3285"/>
      <c r="BL25" s="3285"/>
      <c r="BM25" s="3286">
        <f t="shared" si="36"/>
        <v>0</v>
      </c>
      <c r="BN25" s="3284">
        <f t="shared" si="12"/>
        <v>0</v>
      </c>
      <c r="BO25" s="3291"/>
      <c r="BP25" s="3285"/>
      <c r="BQ25" s="3285"/>
      <c r="BR25" s="3286">
        <f t="shared" si="37"/>
        <v>0</v>
      </c>
      <c r="BS25" s="3284">
        <f t="shared" si="13"/>
        <v>0</v>
      </c>
      <c r="BT25" s="3291"/>
      <c r="BU25" s="3285"/>
      <c r="BV25" s="3285"/>
      <c r="BW25" s="3286">
        <f t="shared" si="38"/>
        <v>0</v>
      </c>
      <c r="BX25" s="3284" t="e">
        <f t="shared" si="14"/>
        <v>#DIV/0!</v>
      </c>
      <c r="BY25" s="3291"/>
      <c r="BZ25" s="3285"/>
      <c r="CA25" s="3285"/>
      <c r="CB25" s="3286">
        <f t="shared" si="39"/>
        <v>0</v>
      </c>
      <c r="CC25" s="3284" t="e">
        <f t="shared" si="15"/>
        <v>#DIV/0!</v>
      </c>
      <c r="CD25" s="3291"/>
      <c r="CE25" s="3285"/>
      <c r="CF25" s="3285"/>
      <c r="CG25" s="3286">
        <f t="shared" si="40"/>
        <v>0</v>
      </c>
      <c r="CH25" s="3284" t="e">
        <f t="shared" si="16"/>
        <v>#DIV/0!</v>
      </c>
      <c r="CI25" s="3291"/>
      <c r="CJ25" s="3285"/>
      <c r="CK25" s="3285"/>
      <c r="CL25" s="3286">
        <f t="shared" si="41"/>
        <v>0</v>
      </c>
      <c r="CM25" s="3284" t="e">
        <f t="shared" si="17"/>
        <v>#DIV/0!</v>
      </c>
      <c r="CN25" s="3291"/>
      <c r="CO25" s="3285"/>
      <c r="CP25" s="3285"/>
      <c r="CQ25" s="3286">
        <f t="shared" si="42"/>
        <v>0</v>
      </c>
      <c r="CR25" s="3284" t="e">
        <f t="shared" si="18"/>
        <v>#DIV/0!</v>
      </c>
      <c r="CS25" s="3291"/>
      <c r="CT25" s="3285"/>
      <c r="CU25" s="3285"/>
      <c r="CV25" s="3286">
        <f t="shared" si="43"/>
        <v>0</v>
      </c>
      <c r="CW25" s="3284" t="e">
        <f t="shared" si="19"/>
        <v>#DIV/0!</v>
      </c>
      <c r="CX25" s="3291"/>
      <c r="CY25" s="3274">
        <f t="shared" si="32"/>
        <v>32301.945599999992</v>
      </c>
      <c r="CZ25" s="3274">
        <f t="shared" si="33"/>
        <v>0</v>
      </c>
      <c r="DA25" s="3283">
        <f t="shared" si="34"/>
        <v>32301.945599999992</v>
      </c>
      <c r="DB25" s="3284">
        <f t="shared" si="1"/>
        <v>1.3448588652629294E-2</v>
      </c>
      <c r="DC25" s="1449"/>
    </row>
    <row r="26" spans="1:107" s="1411" customFormat="1" ht="13.8" x14ac:dyDescent="0.25">
      <c r="A26" s="1586"/>
      <c r="B26" s="3289" t="s">
        <v>45</v>
      </c>
      <c r="C26" s="3274"/>
      <c r="D26" s="3274"/>
      <c r="E26" s="3283">
        <f t="shared" si="21"/>
        <v>0</v>
      </c>
      <c r="F26" s="3284">
        <f t="shared" si="0"/>
        <v>0</v>
      </c>
      <c r="G26" s="1608"/>
      <c r="H26" s="3274"/>
      <c r="I26" s="3274"/>
      <c r="J26" s="3283">
        <f t="shared" si="44"/>
        <v>0</v>
      </c>
      <c r="K26" s="3284">
        <f t="shared" si="23"/>
        <v>0</v>
      </c>
      <c r="L26" s="1608"/>
      <c r="M26" s="3274"/>
      <c r="N26" s="3274"/>
      <c r="O26" s="3283">
        <f t="shared" si="45"/>
        <v>0</v>
      </c>
      <c r="P26" s="3284">
        <f t="shared" si="2"/>
        <v>0</v>
      </c>
      <c r="Q26" s="1608"/>
      <c r="R26" s="3274"/>
      <c r="S26" s="3274"/>
      <c r="T26" s="3283">
        <f t="shared" si="46"/>
        <v>0</v>
      </c>
      <c r="U26" s="3284">
        <f t="shared" si="3"/>
        <v>0</v>
      </c>
      <c r="V26" s="1608"/>
      <c r="W26" s="3274"/>
      <c r="X26" s="3274"/>
      <c r="Y26" s="3283">
        <f t="shared" si="47"/>
        <v>0</v>
      </c>
      <c r="Z26" s="3284">
        <f t="shared" si="4"/>
        <v>0</v>
      </c>
      <c r="AA26" s="1608"/>
      <c r="AB26" s="3274"/>
      <c r="AC26" s="3274"/>
      <c r="AD26" s="3283">
        <f t="shared" si="27"/>
        <v>0</v>
      </c>
      <c r="AE26" s="3284">
        <f t="shared" si="5"/>
        <v>0</v>
      </c>
      <c r="AF26" s="1608"/>
      <c r="AG26" s="3274">
        <v>0</v>
      </c>
      <c r="AH26" s="3274">
        <v>0</v>
      </c>
      <c r="AI26" s="3283">
        <v>0</v>
      </c>
      <c r="AJ26" s="3284">
        <v>0</v>
      </c>
      <c r="AK26" s="1608"/>
      <c r="AL26" s="3274">
        <f t="shared" si="6"/>
        <v>0</v>
      </c>
      <c r="AM26" s="3274">
        <f t="shared" si="6"/>
        <v>0</v>
      </c>
      <c r="AN26" s="3283">
        <f t="shared" si="48"/>
        <v>0</v>
      </c>
      <c r="AO26" s="3284">
        <f t="shared" si="7"/>
        <v>0</v>
      </c>
      <c r="AP26" s="1608"/>
      <c r="AQ26" s="3274"/>
      <c r="AR26" s="3274"/>
      <c r="AS26" s="3283">
        <f t="shared" si="29"/>
        <v>0</v>
      </c>
      <c r="AT26" s="3284">
        <f t="shared" si="8"/>
        <v>0</v>
      </c>
      <c r="AU26" s="1608"/>
      <c r="AV26" s="3274"/>
      <c r="AW26" s="3274"/>
      <c r="AX26" s="3283">
        <f t="shared" si="30"/>
        <v>0</v>
      </c>
      <c r="AY26" s="3284">
        <f t="shared" si="9"/>
        <v>0</v>
      </c>
      <c r="AZ26" s="1608"/>
      <c r="BA26" s="3285"/>
      <c r="BB26" s="3285"/>
      <c r="BC26" s="3286">
        <f t="shared" si="31"/>
        <v>0</v>
      </c>
      <c r="BD26" s="3284">
        <f t="shared" si="10"/>
        <v>0</v>
      </c>
      <c r="BE26" s="1158"/>
      <c r="BF26" s="3285"/>
      <c r="BG26" s="3285"/>
      <c r="BH26" s="3286">
        <f t="shared" si="35"/>
        <v>0</v>
      </c>
      <c r="BI26" s="3284">
        <f t="shared" si="11"/>
        <v>0</v>
      </c>
      <c r="BJ26" s="1158"/>
      <c r="BK26" s="3285"/>
      <c r="BL26" s="3285"/>
      <c r="BM26" s="3286">
        <f t="shared" si="36"/>
        <v>0</v>
      </c>
      <c r="BN26" s="3284">
        <f t="shared" si="12"/>
        <v>0</v>
      </c>
      <c r="BO26" s="1158"/>
      <c r="BP26" s="3285"/>
      <c r="BQ26" s="3285"/>
      <c r="BR26" s="3286">
        <f t="shared" si="37"/>
        <v>0</v>
      </c>
      <c r="BS26" s="3284">
        <f t="shared" si="13"/>
        <v>0</v>
      </c>
      <c r="BT26" s="1158"/>
      <c r="BU26" s="3285"/>
      <c r="BV26" s="3285"/>
      <c r="BW26" s="3286">
        <f t="shared" si="38"/>
        <v>0</v>
      </c>
      <c r="BX26" s="3284" t="e">
        <f t="shared" si="14"/>
        <v>#DIV/0!</v>
      </c>
      <c r="BY26" s="1158"/>
      <c r="BZ26" s="3285"/>
      <c r="CA26" s="3285"/>
      <c r="CB26" s="3286">
        <f t="shared" si="39"/>
        <v>0</v>
      </c>
      <c r="CC26" s="3284" t="e">
        <f t="shared" si="15"/>
        <v>#DIV/0!</v>
      </c>
      <c r="CD26" s="1158"/>
      <c r="CE26" s="3285"/>
      <c r="CF26" s="3285"/>
      <c r="CG26" s="3286">
        <f t="shared" si="40"/>
        <v>0</v>
      </c>
      <c r="CH26" s="3284" t="e">
        <f t="shared" si="16"/>
        <v>#DIV/0!</v>
      </c>
      <c r="CI26" s="1158"/>
      <c r="CJ26" s="3285"/>
      <c r="CK26" s="3285"/>
      <c r="CL26" s="3286">
        <f t="shared" si="41"/>
        <v>0</v>
      </c>
      <c r="CM26" s="3284" t="e">
        <f t="shared" si="17"/>
        <v>#DIV/0!</v>
      </c>
      <c r="CN26" s="1158"/>
      <c r="CO26" s="3285"/>
      <c r="CP26" s="3285"/>
      <c r="CQ26" s="3286">
        <f t="shared" si="42"/>
        <v>0</v>
      </c>
      <c r="CR26" s="3284" t="e">
        <f t="shared" si="18"/>
        <v>#DIV/0!</v>
      </c>
      <c r="CS26" s="1158"/>
      <c r="CT26" s="3285"/>
      <c r="CU26" s="3285"/>
      <c r="CV26" s="3286">
        <f t="shared" si="43"/>
        <v>0</v>
      </c>
      <c r="CW26" s="3284" t="e">
        <f t="shared" si="19"/>
        <v>#DIV/0!</v>
      </c>
      <c r="CX26" s="1158"/>
      <c r="CY26" s="3274">
        <f t="shared" si="32"/>
        <v>0</v>
      </c>
      <c r="CZ26" s="3274">
        <f t="shared" si="33"/>
        <v>0</v>
      </c>
      <c r="DA26" s="3283">
        <f t="shared" si="34"/>
        <v>0</v>
      </c>
      <c r="DB26" s="3284">
        <f t="shared" si="1"/>
        <v>0</v>
      </c>
      <c r="DC26" s="1449"/>
    </row>
    <row r="27" spans="1:107" s="1411" customFormat="1" ht="13.8" x14ac:dyDescent="0.25">
      <c r="A27" s="1586"/>
      <c r="B27" s="3289" t="s">
        <v>25</v>
      </c>
      <c r="C27" s="3274"/>
      <c r="D27" s="3274"/>
      <c r="E27" s="3283">
        <f t="shared" si="21"/>
        <v>0</v>
      </c>
      <c r="F27" s="3284">
        <f t="shared" si="0"/>
        <v>0</v>
      </c>
      <c r="G27" s="1608"/>
      <c r="H27" s="3274">
        <v>132500</v>
      </c>
      <c r="I27" s="3274"/>
      <c r="J27" s="3283">
        <f t="shared" si="44"/>
        <v>132500</v>
      </c>
      <c r="K27" s="3284">
        <f t="shared" si="23"/>
        <v>2.0329401050293101</v>
      </c>
      <c r="L27" s="3359" t="s">
        <v>1172</v>
      </c>
      <c r="M27" s="3274">
        <v>65020.58</v>
      </c>
      <c r="N27" s="3274"/>
      <c r="O27" s="3283">
        <f t="shared" si="45"/>
        <v>65020.58</v>
      </c>
      <c r="P27" s="3284">
        <f t="shared" si="2"/>
        <v>0.56030198216419036</v>
      </c>
      <c r="Q27" s="3275" t="s">
        <v>1256</v>
      </c>
      <c r="R27" s="3274"/>
      <c r="S27" s="3274"/>
      <c r="T27" s="3283">
        <f t="shared" si="46"/>
        <v>0</v>
      </c>
      <c r="U27" s="3284">
        <f t="shared" si="3"/>
        <v>0</v>
      </c>
      <c r="V27" s="1608"/>
      <c r="W27" s="3274"/>
      <c r="X27" s="3274"/>
      <c r="Y27" s="3283">
        <f t="shared" si="47"/>
        <v>0</v>
      </c>
      <c r="Z27" s="3284">
        <f t="shared" si="4"/>
        <v>0</v>
      </c>
      <c r="AA27" s="1608"/>
      <c r="AB27" s="3274"/>
      <c r="AC27" s="3274"/>
      <c r="AD27" s="3283">
        <f t="shared" si="27"/>
        <v>0</v>
      </c>
      <c r="AE27" s="3284">
        <f t="shared" si="5"/>
        <v>0</v>
      </c>
      <c r="AF27" s="3276"/>
      <c r="AG27" s="3274">
        <v>183595.73400000003</v>
      </c>
      <c r="AH27" s="3274">
        <v>0</v>
      </c>
      <c r="AI27" s="3283">
        <v>183595.73400000003</v>
      </c>
      <c r="AJ27" s="3284">
        <v>2.8168991000822139</v>
      </c>
      <c r="AK27" s="1608"/>
      <c r="AL27" s="3274">
        <f t="shared" si="6"/>
        <v>0</v>
      </c>
      <c r="AM27" s="3274">
        <f t="shared" si="6"/>
        <v>0</v>
      </c>
      <c r="AN27" s="3283">
        <f t="shared" si="48"/>
        <v>0</v>
      </c>
      <c r="AO27" s="3284">
        <f t="shared" si="7"/>
        <v>0</v>
      </c>
      <c r="AP27" s="1608"/>
      <c r="AQ27" s="3274"/>
      <c r="AR27" s="3274"/>
      <c r="AS27" s="3283">
        <f t="shared" si="29"/>
        <v>0</v>
      </c>
      <c r="AT27" s="3284">
        <f t="shared" si="8"/>
        <v>0</v>
      </c>
      <c r="AU27" s="3276"/>
      <c r="AV27" s="3292"/>
      <c r="AW27" s="3274"/>
      <c r="AX27" s="3283">
        <f t="shared" si="30"/>
        <v>0</v>
      </c>
      <c r="AY27" s="3284">
        <f t="shared" si="9"/>
        <v>0</v>
      </c>
      <c r="AZ27" s="3293"/>
      <c r="BA27" s="3285"/>
      <c r="BB27" s="3285"/>
      <c r="BC27" s="3286">
        <f t="shared" si="31"/>
        <v>0</v>
      </c>
      <c r="BD27" s="3284">
        <f t="shared" si="10"/>
        <v>0</v>
      </c>
      <c r="BE27" s="3291"/>
      <c r="BF27" s="3285"/>
      <c r="BG27" s="3285"/>
      <c r="BH27" s="3286">
        <f t="shared" si="35"/>
        <v>0</v>
      </c>
      <c r="BI27" s="3284">
        <f t="shared" si="11"/>
        <v>0</v>
      </c>
      <c r="BJ27" s="3291"/>
      <c r="BK27" s="3285"/>
      <c r="BL27" s="3285"/>
      <c r="BM27" s="3286">
        <f t="shared" si="36"/>
        <v>0</v>
      </c>
      <c r="BN27" s="3284">
        <f t="shared" si="12"/>
        <v>0</v>
      </c>
      <c r="BO27" s="3291"/>
      <c r="BP27" s="3285"/>
      <c r="BQ27" s="3285"/>
      <c r="BR27" s="3286">
        <f t="shared" si="37"/>
        <v>0</v>
      </c>
      <c r="BS27" s="3284">
        <f t="shared" si="13"/>
        <v>0</v>
      </c>
      <c r="BT27" s="3291"/>
      <c r="BU27" s="3285"/>
      <c r="BV27" s="3285"/>
      <c r="BW27" s="3286">
        <f t="shared" si="38"/>
        <v>0</v>
      </c>
      <c r="BX27" s="3284" t="e">
        <f t="shared" si="14"/>
        <v>#DIV/0!</v>
      </c>
      <c r="BY27" s="3291"/>
      <c r="BZ27" s="3285"/>
      <c r="CA27" s="3285"/>
      <c r="CB27" s="3286">
        <f t="shared" si="39"/>
        <v>0</v>
      </c>
      <c r="CC27" s="3284" t="e">
        <f t="shared" si="15"/>
        <v>#DIV/0!</v>
      </c>
      <c r="CD27" s="3291"/>
      <c r="CE27" s="3285"/>
      <c r="CF27" s="3285"/>
      <c r="CG27" s="3286">
        <f t="shared" si="40"/>
        <v>0</v>
      </c>
      <c r="CH27" s="3284" t="e">
        <f t="shared" si="16"/>
        <v>#DIV/0!</v>
      </c>
      <c r="CI27" s="3291"/>
      <c r="CJ27" s="3285"/>
      <c r="CK27" s="3285"/>
      <c r="CL27" s="3286">
        <f t="shared" si="41"/>
        <v>0</v>
      </c>
      <c r="CM27" s="3284" t="e">
        <f t="shared" si="17"/>
        <v>#DIV/0!</v>
      </c>
      <c r="CN27" s="3291"/>
      <c r="CO27" s="3285"/>
      <c r="CP27" s="3285"/>
      <c r="CQ27" s="3286">
        <f t="shared" si="42"/>
        <v>0</v>
      </c>
      <c r="CR27" s="3284" t="e">
        <f t="shared" si="18"/>
        <v>#DIV/0!</v>
      </c>
      <c r="CS27" s="3291"/>
      <c r="CT27" s="3285"/>
      <c r="CU27" s="3285"/>
      <c r="CV27" s="3286">
        <f t="shared" si="43"/>
        <v>0</v>
      </c>
      <c r="CW27" s="3284" t="e">
        <f t="shared" si="19"/>
        <v>#DIV/0!</v>
      </c>
      <c r="CX27" s="3291"/>
      <c r="CY27" s="3274">
        <f t="shared" si="32"/>
        <v>381116.31400000001</v>
      </c>
      <c r="CZ27" s="3274">
        <f t="shared" si="33"/>
        <v>0</v>
      </c>
      <c r="DA27" s="3283">
        <f t="shared" si="34"/>
        <v>381116.31400000001</v>
      </c>
      <c r="DB27" s="3284">
        <f t="shared" si="1"/>
        <v>0.15867392630963703</v>
      </c>
      <c r="DC27" s="1449"/>
    </row>
    <row r="28" spans="1:107" s="1411" customFormat="1" ht="120" x14ac:dyDescent="0.25">
      <c r="A28" s="1586"/>
      <c r="B28" s="3289" t="s">
        <v>52</v>
      </c>
      <c r="C28" s="3274"/>
      <c r="D28" s="3274">
        <v>200</v>
      </c>
      <c r="E28" s="3283">
        <f t="shared" si="21"/>
        <v>200</v>
      </c>
      <c r="F28" s="3284">
        <f t="shared" si="0"/>
        <v>1.0341111100313698E-3</v>
      </c>
      <c r="G28" s="3275" t="s">
        <v>1122</v>
      </c>
      <c r="H28" s="3274">
        <f>1168*53.62</f>
        <v>62628.159999999996</v>
      </c>
      <c r="I28" s="3274">
        <f>2040+160</f>
        <v>2200</v>
      </c>
      <c r="J28" s="3283">
        <f t="shared" si="44"/>
        <v>64828.159999999996</v>
      </c>
      <c r="K28" s="3284">
        <f t="shared" si="23"/>
        <v>0.99465484074910882</v>
      </c>
      <c r="L28" s="3360" t="s">
        <v>1173</v>
      </c>
      <c r="M28" s="3274">
        <f>10224+963.41</f>
        <v>11187.41</v>
      </c>
      <c r="N28" s="3274">
        <v>2250</v>
      </c>
      <c r="O28" s="3283">
        <f t="shared" si="45"/>
        <v>13437.41</v>
      </c>
      <c r="P28" s="3284">
        <f t="shared" si="2"/>
        <v>0.11579422173953097</v>
      </c>
      <c r="Q28" s="3275" t="s">
        <v>1257</v>
      </c>
      <c r="R28" s="3274">
        <f>530.59+404*52</f>
        <v>21538.59</v>
      </c>
      <c r="S28" s="3274">
        <v>665</v>
      </c>
      <c r="T28" s="3283">
        <f t="shared" si="46"/>
        <v>22203.59</v>
      </c>
      <c r="U28" s="3284">
        <f t="shared" si="3"/>
        <v>0.19133504327646716</v>
      </c>
      <c r="V28" s="3275" t="s">
        <v>1342</v>
      </c>
      <c r="W28" s="3274">
        <f>786.87+17471+500+2892.56+14694.29+866*52.53</f>
        <v>81835.700000000012</v>
      </c>
      <c r="X28" s="3274">
        <v>15075.15</v>
      </c>
      <c r="Y28" s="3283">
        <f t="shared" si="47"/>
        <v>96910.85</v>
      </c>
      <c r="Z28" s="3284">
        <f t="shared" si="4"/>
        <v>0.83511007358311051</v>
      </c>
      <c r="AA28" s="3276" t="s">
        <v>1459</v>
      </c>
      <c r="AB28" s="3274">
        <f>7937.96+1672*54+16099.71+17470.66</f>
        <v>131796.33000000002</v>
      </c>
      <c r="AC28" s="3274"/>
      <c r="AD28" s="3283">
        <f t="shared" si="27"/>
        <v>131796.33000000002</v>
      </c>
      <c r="AE28" s="3284">
        <f t="shared" si="5"/>
        <v>1.1357287944980767</v>
      </c>
      <c r="AF28" s="3276" t="s">
        <v>1504</v>
      </c>
      <c r="AG28" s="3274">
        <v>714385.52800000005</v>
      </c>
      <c r="AH28" s="3274">
        <v>19653.77</v>
      </c>
      <c r="AI28" s="3283">
        <v>734039.29800000007</v>
      </c>
      <c r="AJ28" s="3284">
        <v>11.262323981673671</v>
      </c>
      <c r="AK28" s="3275"/>
      <c r="AL28" s="3274">
        <f t="shared" si="6"/>
        <v>0</v>
      </c>
      <c r="AM28" s="3274">
        <f t="shared" si="6"/>
        <v>0</v>
      </c>
      <c r="AN28" s="3283">
        <f t="shared" si="48"/>
        <v>0</v>
      </c>
      <c r="AO28" s="3284">
        <f t="shared" si="7"/>
        <v>0</v>
      </c>
      <c r="AP28" s="3275"/>
      <c r="AQ28" s="3274"/>
      <c r="AR28" s="3274"/>
      <c r="AS28" s="3283">
        <f t="shared" si="29"/>
        <v>0</v>
      </c>
      <c r="AT28" s="3284">
        <f t="shared" si="8"/>
        <v>0</v>
      </c>
      <c r="AU28" s="3276"/>
      <c r="AV28" s="3274"/>
      <c r="AW28" s="3274"/>
      <c r="AX28" s="3283">
        <f t="shared" si="30"/>
        <v>0</v>
      </c>
      <c r="AY28" s="3284">
        <f t="shared" si="9"/>
        <v>0</v>
      </c>
      <c r="AZ28" s="3291"/>
      <c r="BA28" s="3285"/>
      <c r="BB28" s="3285"/>
      <c r="BC28" s="3286">
        <f t="shared" si="31"/>
        <v>0</v>
      </c>
      <c r="BD28" s="3284">
        <f t="shared" si="10"/>
        <v>0</v>
      </c>
      <c r="BE28" s="3291"/>
      <c r="BF28" s="3285"/>
      <c r="BG28" s="3285"/>
      <c r="BH28" s="3286">
        <f t="shared" si="35"/>
        <v>0</v>
      </c>
      <c r="BI28" s="3284">
        <f t="shared" si="11"/>
        <v>0</v>
      </c>
      <c r="BJ28" s="3291"/>
      <c r="BK28" s="3285"/>
      <c r="BL28" s="3285"/>
      <c r="BM28" s="3286">
        <f t="shared" si="36"/>
        <v>0</v>
      </c>
      <c r="BN28" s="3284">
        <f t="shared" si="12"/>
        <v>0</v>
      </c>
      <c r="BO28" s="3291"/>
      <c r="BP28" s="3285"/>
      <c r="BQ28" s="3285"/>
      <c r="BR28" s="3286">
        <f t="shared" si="37"/>
        <v>0</v>
      </c>
      <c r="BS28" s="3284">
        <f t="shared" si="13"/>
        <v>0</v>
      </c>
      <c r="BT28" s="3291"/>
      <c r="BU28" s="3285"/>
      <c r="BV28" s="3285"/>
      <c r="BW28" s="3286">
        <f t="shared" si="38"/>
        <v>0</v>
      </c>
      <c r="BX28" s="3284" t="e">
        <f t="shared" si="14"/>
        <v>#DIV/0!</v>
      </c>
      <c r="BY28" s="3291"/>
      <c r="BZ28" s="3285"/>
      <c r="CA28" s="3285"/>
      <c r="CB28" s="3286">
        <f t="shared" si="39"/>
        <v>0</v>
      </c>
      <c r="CC28" s="3284" t="e">
        <f t="shared" si="15"/>
        <v>#DIV/0!</v>
      </c>
      <c r="CD28" s="3291"/>
      <c r="CE28" s="3285"/>
      <c r="CF28" s="3285"/>
      <c r="CG28" s="3286">
        <f t="shared" si="40"/>
        <v>0</v>
      </c>
      <c r="CH28" s="3284" t="e">
        <f t="shared" si="16"/>
        <v>#DIV/0!</v>
      </c>
      <c r="CI28" s="3291"/>
      <c r="CJ28" s="3285"/>
      <c r="CK28" s="3285"/>
      <c r="CL28" s="3286">
        <f t="shared" si="41"/>
        <v>0</v>
      </c>
      <c r="CM28" s="3284" t="e">
        <f t="shared" si="17"/>
        <v>#DIV/0!</v>
      </c>
      <c r="CN28" s="3291"/>
      <c r="CO28" s="3285"/>
      <c r="CP28" s="3285"/>
      <c r="CQ28" s="3286">
        <f t="shared" si="42"/>
        <v>0</v>
      </c>
      <c r="CR28" s="3284" t="e">
        <f t="shared" si="18"/>
        <v>#DIV/0!</v>
      </c>
      <c r="CS28" s="3291"/>
      <c r="CT28" s="3285"/>
      <c r="CU28" s="3285"/>
      <c r="CV28" s="3286">
        <f t="shared" si="43"/>
        <v>0</v>
      </c>
      <c r="CW28" s="3284" t="e">
        <f t="shared" si="19"/>
        <v>#DIV/0!</v>
      </c>
      <c r="CX28" s="3291"/>
      <c r="CY28" s="3274">
        <f t="shared" si="32"/>
        <v>1023371.7180000001</v>
      </c>
      <c r="CZ28" s="3274">
        <f t="shared" si="33"/>
        <v>40043.919999999998</v>
      </c>
      <c r="DA28" s="3283">
        <f t="shared" si="34"/>
        <v>1063415.638</v>
      </c>
      <c r="DB28" s="3284">
        <f t="shared" si="1"/>
        <v>0.44274235550181057</v>
      </c>
      <c r="DC28" s="1449"/>
    </row>
    <row r="29" spans="1:107" s="1411" customFormat="1" ht="13.8" x14ac:dyDescent="0.25">
      <c r="A29" s="1586"/>
      <c r="B29" s="3289" t="s">
        <v>31</v>
      </c>
      <c r="C29" s="3274"/>
      <c r="D29" s="3274"/>
      <c r="E29" s="3283">
        <f t="shared" si="21"/>
        <v>0</v>
      </c>
      <c r="F29" s="3284">
        <f t="shared" si="0"/>
        <v>0</v>
      </c>
      <c r="G29" s="3294"/>
      <c r="H29" s="3274"/>
      <c r="I29" s="3274"/>
      <c r="J29" s="3283">
        <f t="shared" si="44"/>
        <v>0</v>
      </c>
      <c r="K29" s="3284">
        <f t="shared" si="23"/>
        <v>0</v>
      </c>
      <c r="L29" s="3294"/>
      <c r="M29" s="3274"/>
      <c r="N29" s="3274"/>
      <c r="O29" s="3283">
        <f t="shared" si="45"/>
        <v>0</v>
      </c>
      <c r="P29" s="3284">
        <f t="shared" si="2"/>
        <v>0</v>
      </c>
      <c r="Q29" s="3294"/>
      <c r="R29" s="3274"/>
      <c r="S29" s="3274"/>
      <c r="T29" s="3283">
        <f t="shared" si="46"/>
        <v>0</v>
      </c>
      <c r="U29" s="3284">
        <f t="shared" si="3"/>
        <v>0</v>
      </c>
      <c r="V29" s="3294"/>
      <c r="W29" s="3274">
        <v>6000</v>
      </c>
      <c r="X29" s="3274"/>
      <c r="Y29" s="3283">
        <f t="shared" si="47"/>
        <v>6000</v>
      </c>
      <c r="Z29" s="3284">
        <f t="shared" si="4"/>
        <v>5.1703812746443388E-2</v>
      </c>
      <c r="AA29" s="3276" t="s">
        <v>1417</v>
      </c>
      <c r="AB29" s="3274">
        <f>300*9+300*22</f>
        <v>9300</v>
      </c>
      <c r="AC29" s="3274"/>
      <c r="AD29" s="3283">
        <f t="shared" si="27"/>
        <v>9300</v>
      </c>
      <c r="AE29" s="3284">
        <f t="shared" si="5"/>
        <v>8.0140909756987247E-2</v>
      </c>
      <c r="AF29" s="3276" t="s">
        <v>1473</v>
      </c>
      <c r="AG29" s="3274">
        <v>15900</v>
      </c>
      <c r="AH29" s="3274">
        <v>0</v>
      </c>
      <c r="AI29" s="3283">
        <v>15900</v>
      </c>
      <c r="AJ29" s="3284">
        <v>0.24395281260351723</v>
      </c>
      <c r="AK29" s="3294"/>
      <c r="AL29" s="3274">
        <f t="shared" si="6"/>
        <v>0</v>
      </c>
      <c r="AM29" s="3274">
        <f t="shared" si="6"/>
        <v>0</v>
      </c>
      <c r="AN29" s="3283">
        <f t="shared" si="48"/>
        <v>0</v>
      </c>
      <c r="AO29" s="3284">
        <f t="shared" si="7"/>
        <v>0</v>
      </c>
      <c r="AP29" s="3294"/>
      <c r="AQ29" s="3274"/>
      <c r="AR29" s="3274"/>
      <c r="AS29" s="3283">
        <f t="shared" si="29"/>
        <v>0</v>
      </c>
      <c r="AT29" s="3284">
        <f t="shared" si="8"/>
        <v>0</v>
      </c>
      <c r="AU29" s="3276"/>
      <c r="AV29" s="3274"/>
      <c r="AW29" s="3274"/>
      <c r="AX29" s="3283">
        <f t="shared" si="30"/>
        <v>0</v>
      </c>
      <c r="AY29" s="3284">
        <f t="shared" si="9"/>
        <v>0</v>
      </c>
      <c r="AZ29" s="3293"/>
      <c r="BA29" s="3285"/>
      <c r="BB29" s="3285"/>
      <c r="BC29" s="3286">
        <f t="shared" si="31"/>
        <v>0</v>
      </c>
      <c r="BD29" s="3284">
        <f t="shared" si="10"/>
        <v>0</v>
      </c>
      <c r="BE29" s="3291"/>
      <c r="BF29" s="3285"/>
      <c r="BG29" s="3285"/>
      <c r="BH29" s="3286">
        <f t="shared" si="35"/>
        <v>0</v>
      </c>
      <c r="BI29" s="3284">
        <f t="shared" si="11"/>
        <v>0</v>
      </c>
      <c r="BJ29" s="3291"/>
      <c r="BK29" s="3285"/>
      <c r="BL29" s="3285"/>
      <c r="BM29" s="3286">
        <f t="shared" si="36"/>
        <v>0</v>
      </c>
      <c r="BN29" s="3284">
        <f t="shared" si="12"/>
        <v>0</v>
      </c>
      <c r="BO29" s="3291"/>
      <c r="BP29" s="3285"/>
      <c r="BQ29" s="3285"/>
      <c r="BR29" s="3286">
        <f t="shared" si="37"/>
        <v>0</v>
      </c>
      <c r="BS29" s="3284">
        <f t="shared" si="13"/>
        <v>0</v>
      </c>
      <c r="BT29" s="3291"/>
      <c r="BU29" s="3285"/>
      <c r="BV29" s="3285"/>
      <c r="BW29" s="3286">
        <f t="shared" si="38"/>
        <v>0</v>
      </c>
      <c r="BX29" s="3284" t="e">
        <f t="shared" si="14"/>
        <v>#DIV/0!</v>
      </c>
      <c r="BY29" s="3291"/>
      <c r="BZ29" s="3285"/>
      <c r="CA29" s="3285"/>
      <c r="CB29" s="3286">
        <f t="shared" si="39"/>
        <v>0</v>
      </c>
      <c r="CC29" s="3284" t="e">
        <f t="shared" si="15"/>
        <v>#DIV/0!</v>
      </c>
      <c r="CD29" s="3291"/>
      <c r="CE29" s="3285"/>
      <c r="CF29" s="3285"/>
      <c r="CG29" s="3286">
        <f t="shared" si="40"/>
        <v>0</v>
      </c>
      <c r="CH29" s="3284" t="e">
        <f t="shared" si="16"/>
        <v>#DIV/0!</v>
      </c>
      <c r="CI29" s="3291"/>
      <c r="CJ29" s="3285"/>
      <c r="CK29" s="3285"/>
      <c r="CL29" s="3286">
        <f t="shared" si="41"/>
        <v>0</v>
      </c>
      <c r="CM29" s="3284" t="e">
        <f t="shared" si="17"/>
        <v>#DIV/0!</v>
      </c>
      <c r="CN29" s="3291"/>
      <c r="CO29" s="3285"/>
      <c r="CP29" s="3285"/>
      <c r="CQ29" s="3286">
        <f t="shared" si="42"/>
        <v>0</v>
      </c>
      <c r="CR29" s="3284" t="e">
        <f t="shared" si="18"/>
        <v>#DIV/0!</v>
      </c>
      <c r="CS29" s="3291"/>
      <c r="CT29" s="3285"/>
      <c r="CU29" s="3285"/>
      <c r="CV29" s="3286">
        <f t="shared" si="43"/>
        <v>0</v>
      </c>
      <c r="CW29" s="3284" t="e">
        <f t="shared" si="19"/>
        <v>#DIV/0!</v>
      </c>
      <c r="CX29" s="3291"/>
      <c r="CY29" s="3274">
        <f t="shared" si="32"/>
        <v>31200</v>
      </c>
      <c r="CZ29" s="3274">
        <f t="shared" si="33"/>
        <v>0</v>
      </c>
      <c r="DA29" s="3283">
        <f t="shared" si="34"/>
        <v>31200</v>
      </c>
      <c r="DB29" s="3284">
        <f t="shared" si="1"/>
        <v>1.2989804736778273E-2</v>
      </c>
      <c r="DC29" s="3295"/>
    </row>
    <row r="30" spans="1:107" s="1411" customFormat="1" ht="13.8" x14ac:dyDescent="0.25">
      <c r="A30" s="1586"/>
      <c r="B30" s="3289" t="s">
        <v>62</v>
      </c>
      <c r="C30" s="3274"/>
      <c r="D30" s="3274"/>
      <c r="E30" s="3283">
        <f t="shared" si="21"/>
        <v>0</v>
      </c>
      <c r="F30" s="3284">
        <f t="shared" si="0"/>
        <v>0</v>
      </c>
      <c r="G30" s="3296"/>
      <c r="H30" s="3274"/>
      <c r="I30" s="3274"/>
      <c r="J30" s="3283">
        <f t="shared" si="44"/>
        <v>0</v>
      </c>
      <c r="K30" s="3284">
        <f t="shared" si="23"/>
        <v>0</v>
      </c>
      <c r="L30" s="3296"/>
      <c r="M30" s="3274"/>
      <c r="N30" s="3274"/>
      <c r="O30" s="3283">
        <f t="shared" si="45"/>
        <v>0</v>
      </c>
      <c r="P30" s="3284">
        <f t="shared" si="2"/>
        <v>0</v>
      </c>
      <c r="Q30" s="3296"/>
      <c r="R30" s="3274"/>
      <c r="S30" s="3274"/>
      <c r="T30" s="3283">
        <f t="shared" si="46"/>
        <v>0</v>
      </c>
      <c r="U30" s="3284">
        <f t="shared" si="3"/>
        <v>0</v>
      </c>
      <c r="V30" s="3296"/>
      <c r="W30" s="3274"/>
      <c r="X30" s="3274"/>
      <c r="Y30" s="3283">
        <f t="shared" si="47"/>
        <v>0</v>
      </c>
      <c r="Z30" s="3284">
        <f t="shared" si="4"/>
        <v>0</v>
      </c>
      <c r="AA30" s="3296"/>
      <c r="AB30" s="3274"/>
      <c r="AC30" s="3274"/>
      <c r="AD30" s="3283">
        <f t="shared" si="27"/>
        <v>0</v>
      </c>
      <c r="AE30" s="3284">
        <f t="shared" si="5"/>
        <v>0</v>
      </c>
      <c r="AF30" s="3296"/>
      <c r="AG30" s="3274">
        <v>0</v>
      </c>
      <c r="AH30" s="3274">
        <v>0</v>
      </c>
      <c r="AI30" s="3283">
        <v>0</v>
      </c>
      <c r="AJ30" s="3284">
        <v>0</v>
      </c>
      <c r="AK30" s="3296"/>
      <c r="AL30" s="3274">
        <f t="shared" si="6"/>
        <v>0</v>
      </c>
      <c r="AM30" s="3274">
        <f t="shared" si="6"/>
        <v>0</v>
      </c>
      <c r="AN30" s="3283">
        <f t="shared" si="48"/>
        <v>0</v>
      </c>
      <c r="AO30" s="3284">
        <f t="shared" si="7"/>
        <v>0</v>
      </c>
      <c r="AP30" s="3296"/>
      <c r="AQ30" s="3274"/>
      <c r="AR30" s="3274"/>
      <c r="AS30" s="3283">
        <f t="shared" si="29"/>
        <v>0</v>
      </c>
      <c r="AT30" s="3284">
        <f t="shared" si="8"/>
        <v>0</v>
      </c>
      <c r="AU30" s="3296"/>
      <c r="AV30" s="3274"/>
      <c r="AW30" s="3274"/>
      <c r="AX30" s="3283">
        <f t="shared" si="30"/>
        <v>0</v>
      </c>
      <c r="AY30" s="3284">
        <f t="shared" si="9"/>
        <v>0</v>
      </c>
      <c r="AZ30" s="3296"/>
      <c r="BA30" s="3285"/>
      <c r="BB30" s="3285"/>
      <c r="BC30" s="3286">
        <f t="shared" si="31"/>
        <v>0</v>
      </c>
      <c r="BD30" s="3284">
        <f t="shared" si="10"/>
        <v>0</v>
      </c>
      <c r="BE30" s="3297"/>
      <c r="BF30" s="3285"/>
      <c r="BG30" s="3285"/>
      <c r="BH30" s="3286">
        <f t="shared" si="35"/>
        <v>0</v>
      </c>
      <c r="BI30" s="3284">
        <f t="shared" si="11"/>
        <v>0</v>
      </c>
      <c r="BJ30" s="3297"/>
      <c r="BK30" s="3285"/>
      <c r="BL30" s="3285"/>
      <c r="BM30" s="3286">
        <f t="shared" si="36"/>
        <v>0</v>
      </c>
      <c r="BN30" s="3284">
        <f t="shared" si="12"/>
        <v>0</v>
      </c>
      <c r="BO30" s="3297"/>
      <c r="BP30" s="3285"/>
      <c r="BQ30" s="3285"/>
      <c r="BR30" s="3286">
        <f t="shared" si="37"/>
        <v>0</v>
      </c>
      <c r="BS30" s="3284">
        <f t="shared" si="13"/>
        <v>0</v>
      </c>
      <c r="BT30" s="3297"/>
      <c r="BU30" s="3285"/>
      <c r="BV30" s="3285"/>
      <c r="BW30" s="3286">
        <f t="shared" si="38"/>
        <v>0</v>
      </c>
      <c r="BX30" s="3284" t="e">
        <f t="shared" si="14"/>
        <v>#DIV/0!</v>
      </c>
      <c r="BY30" s="3297"/>
      <c r="BZ30" s="3285"/>
      <c r="CA30" s="3285"/>
      <c r="CB30" s="3286">
        <f t="shared" si="39"/>
        <v>0</v>
      </c>
      <c r="CC30" s="3284" t="e">
        <f t="shared" si="15"/>
        <v>#DIV/0!</v>
      </c>
      <c r="CD30" s="1158"/>
      <c r="CE30" s="3285"/>
      <c r="CF30" s="3285"/>
      <c r="CG30" s="3286">
        <f t="shared" si="40"/>
        <v>0</v>
      </c>
      <c r="CH30" s="3284" t="e">
        <f t="shared" si="16"/>
        <v>#DIV/0!</v>
      </c>
      <c r="CI30" s="1158"/>
      <c r="CJ30" s="3285"/>
      <c r="CK30" s="3285"/>
      <c r="CL30" s="3286">
        <f t="shared" si="41"/>
        <v>0</v>
      </c>
      <c r="CM30" s="3284" t="e">
        <f t="shared" si="17"/>
        <v>#DIV/0!</v>
      </c>
      <c r="CN30" s="1158"/>
      <c r="CO30" s="3285"/>
      <c r="CP30" s="3285"/>
      <c r="CQ30" s="3286">
        <f t="shared" si="42"/>
        <v>0</v>
      </c>
      <c r="CR30" s="3284" t="e">
        <f t="shared" si="18"/>
        <v>#DIV/0!</v>
      </c>
      <c r="CS30" s="1158"/>
      <c r="CT30" s="3285"/>
      <c r="CU30" s="3285"/>
      <c r="CV30" s="3286">
        <f t="shared" si="43"/>
        <v>0</v>
      </c>
      <c r="CW30" s="3284" t="e">
        <f t="shared" si="19"/>
        <v>#DIV/0!</v>
      </c>
      <c r="CX30" s="1158"/>
      <c r="CY30" s="3274">
        <f t="shared" si="32"/>
        <v>0</v>
      </c>
      <c r="CZ30" s="3274">
        <f t="shared" si="33"/>
        <v>0</v>
      </c>
      <c r="DA30" s="3283">
        <f t="shared" si="34"/>
        <v>0</v>
      </c>
      <c r="DB30" s="3284">
        <f t="shared" si="1"/>
        <v>0</v>
      </c>
      <c r="DC30" s="3295"/>
    </row>
    <row r="31" spans="1:107" s="1411" customFormat="1" ht="41.4" x14ac:dyDescent="0.25">
      <c r="A31" s="1586"/>
      <c r="B31" s="3289" t="s">
        <v>34</v>
      </c>
      <c r="C31" s="3274"/>
      <c r="D31" s="3274"/>
      <c r="E31" s="3283">
        <f t="shared" si="21"/>
        <v>0</v>
      </c>
      <c r="F31" s="3284">
        <f t="shared" si="0"/>
        <v>0</v>
      </c>
      <c r="G31" s="3296"/>
      <c r="H31" s="3274"/>
      <c r="I31" s="3274"/>
      <c r="J31" s="3283">
        <f t="shared" si="44"/>
        <v>0</v>
      </c>
      <c r="K31" s="3284">
        <f t="shared" si="23"/>
        <v>0</v>
      </c>
      <c r="L31" s="3296"/>
      <c r="M31" s="3274"/>
      <c r="N31" s="3274">
        <v>1325</v>
      </c>
      <c r="O31" s="3283">
        <f t="shared" si="45"/>
        <v>1325</v>
      </c>
      <c r="P31" s="3284">
        <f t="shared" si="2"/>
        <v>1.141792531483958E-2</v>
      </c>
      <c r="Q31" s="3275" t="s">
        <v>1258</v>
      </c>
      <c r="R31" s="3274"/>
      <c r="S31" s="3274">
        <v>978.61</v>
      </c>
      <c r="T31" s="3283">
        <f t="shared" si="46"/>
        <v>978.61</v>
      </c>
      <c r="U31" s="3284">
        <f t="shared" si="3"/>
        <v>8.4329780319661613E-3</v>
      </c>
      <c r="V31" s="3375" t="s">
        <v>1315</v>
      </c>
      <c r="W31" s="3274"/>
      <c r="X31" s="3274"/>
      <c r="Y31" s="3283">
        <f t="shared" si="47"/>
        <v>0</v>
      </c>
      <c r="Z31" s="3284">
        <f t="shared" si="4"/>
        <v>0</v>
      </c>
      <c r="AA31" s="3296"/>
      <c r="AB31" s="3274"/>
      <c r="AC31" s="3274"/>
      <c r="AD31" s="3283">
        <f t="shared" si="27"/>
        <v>0</v>
      </c>
      <c r="AE31" s="3284">
        <f t="shared" si="5"/>
        <v>0</v>
      </c>
      <c r="AF31" s="3296"/>
      <c r="AG31" s="3274">
        <v>0</v>
      </c>
      <c r="AH31" s="3274">
        <v>0</v>
      </c>
      <c r="AI31" s="3283">
        <v>0</v>
      </c>
      <c r="AJ31" s="3284">
        <v>0</v>
      </c>
      <c r="AK31" s="3276"/>
      <c r="AL31" s="3274">
        <f t="shared" si="6"/>
        <v>0</v>
      </c>
      <c r="AM31" s="3274">
        <f t="shared" si="6"/>
        <v>0</v>
      </c>
      <c r="AN31" s="3283">
        <f t="shared" si="48"/>
        <v>0</v>
      </c>
      <c r="AO31" s="3284">
        <f t="shared" si="7"/>
        <v>0</v>
      </c>
      <c r="AP31" s="3276"/>
      <c r="AQ31" s="3274"/>
      <c r="AR31" s="3274"/>
      <c r="AS31" s="3283">
        <f t="shared" si="29"/>
        <v>0</v>
      </c>
      <c r="AT31" s="3284">
        <f t="shared" si="8"/>
        <v>0</v>
      </c>
      <c r="AU31" s="3296"/>
      <c r="AV31" s="3274"/>
      <c r="AW31" s="3274"/>
      <c r="AX31" s="3283">
        <f t="shared" si="30"/>
        <v>0</v>
      </c>
      <c r="AY31" s="3284">
        <f t="shared" si="9"/>
        <v>0</v>
      </c>
      <c r="AZ31" s="3296"/>
      <c r="BA31" s="3285"/>
      <c r="BB31" s="3285"/>
      <c r="BC31" s="3286">
        <f t="shared" si="31"/>
        <v>0</v>
      </c>
      <c r="BD31" s="3284">
        <f t="shared" si="10"/>
        <v>0</v>
      </c>
      <c r="BE31" s="3297"/>
      <c r="BF31" s="3285"/>
      <c r="BG31" s="3285"/>
      <c r="BH31" s="3286">
        <f t="shared" si="35"/>
        <v>0</v>
      </c>
      <c r="BI31" s="3284">
        <f t="shared" si="11"/>
        <v>0</v>
      </c>
      <c r="BJ31" s="3297"/>
      <c r="BK31" s="3285"/>
      <c r="BL31" s="3285"/>
      <c r="BM31" s="3286">
        <f t="shared" si="36"/>
        <v>0</v>
      </c>
      <c r="BN31" s="3284">
        <f t="shared" si="12"/>
        <v>0</v>
      </c>
      <c r="BO31" s="3297"/>
      <c r="BP31" s="3285"/>
      <c r="BQ31" s="3285"/>
      <c r="BR31" s="3286">
        <f t="shared" si="37"/>
        <v>0</v>
      </c>
      <c r="BS31" s="3284">
        <f t="shared" si="13"/>
        <v>0</v>
      </c>
      <c r="BT31" s="3297"/>
      <c r="BU31" s="3285"/>
      <c r="BV31" s="3285"/>
      <c r="BW31" s="3286">
        <f t="shared" si="38"/>
        <v>0</v>
      </c>
      <c r="BX31" s="3284" t="e">
        <f t="shared" si="14"/>
        <v>#DIV/0!</v>
      </c>
      <c r="BY31" s="3297"/>
      <c r="BZ31" s="3285"/>
      <c r="CA31" s="3285"/>
      <c r="CB31" s="3286">
        <f t="shared" si="39"/>
        <v>0</v>
      </c>
      <c r="CC31" s="3284" t="e">
        <f t="shared" si="15"/>
        <v>#DIV/0!</v>
      </c>
      <c r="CD31" s="1158"/>
      <c r="CE31" s="3285"/>
      <c r="CF31" s="3285"/>
      <c r="CG31" s="3286">
        <f t="shared" si="40"/>
        <v>0</v>
      </c>
      <c r="CH31" s="3284" t="e">
        <f t="shared" si="16"/>
        <v>#DIV/0!</v>
      </c>
      <c r="CI31" s="1158"/>
      <c r="CJ31" s="3285"/>
      <c r="CK31" s="3285"/>
      <c r="CL31" s="3286">
        <f t="shared" si="41"/>
        <v>0</v>
      </c>
      <c r="CM31" s="3284" t="e">
        <f t="shared" si="17"/>
        <v>#DIV/0!</v>
      </c>
      <c r="CN31" s="1158"/>
      <c r="CO31" s="3285"/>
      <c r="CP31" s="3285"/>
      <c r="CQ31" s="3286">
        <f t="shared" si="42"/>
        <v>0</v>
      </c>
      <c r="CR31" s="3284" t="e">
        <f t="shared" si="18"/>
        <v>#DIV/0!</v>
      </c>
      <c r="CS31" s="1158"/>
      <c r="CT31" s="3285"/>
      <c r="CU31" s="3285"/>
      <c r="CV31" s="3286">
        <f t="shared" si="43"/>
        <v>0</v>
      </c>
      <c r="CW31" s="3284" t="e">
        <f t="shared" si="19"/>
        <v>#DIV/0!</v>
      </c>
      <c r="CX31" s="1158"/>
      <c r="CY31" s="3274">
        <f t="shared" si="32"/>
        <v>0</v>
      </c>
      <c r="CZ31" s="3274">
        <f t="shared" si="33"/>
        <v>2303.61</v>
      </c>
      <c r="DA31" s="3283">
        <f t="shared" si="34"/>
        <v>2303.61</v>
      </c>
      <c r="DB31" s="3284">
        <f t="shared" si="1"/>
        <v>9.5908474646441656E-4</v>
      </c>
      <c r="DC31" s="3295"/>
    </row>
    <row r="32" spans="1:107" s="1411" customFormat="1" ht="24" customHeight="1" x14ac:dyDescent="0.25">
      <c r="A32" s="1586"/>
      <c r="B32" s="3298" t="s">
        <v>2</v>
      </c>
      <c r="C32" s="3274">
        <v>723</v>
      </c>
      <c r="D32" s="3274">
        <v>18000</v>
      </c>
      <c r="E32" s="3283">
        <f t="shared" si="21"/>
        <v>18723</v>
      </c>
      <c r="F32" s="3284">
        <f t="shared" si="0"/>
        <v>9.6808311565586669E-2</v>
      </c>
      <c r="G32" s="3275" t="s">
        <v>1100</v>
      </c>
      <c r="H32" s="3274">
        <f>(511.67+1943+174.47+2000)*1.2</f>
        <v>5554.9679999999989</v>
      </c>
      <c r="I32" s="3274">
        <v>17000</v>
      </c>
      <c r="J32" s="3283">
        <f t="shared" si="44"/>
        <v>22554.968000000001</v>
      </c>
      <c r="K32" s="3284">
        <f t="shared" si="23"/>
        <v>0.34605961520643569</v>
      </c>
      <c r="L32" s="3359" t="s">
        <v>1174</v>
      </c>
      <c r="M32" s="3274">
        <v>3575.61</v>
      </c>
      <c r="N32" s="3274"/>
      <c r="O32" s="3283">
        <f t="shared" si="45"/>
        <v>3575.61</v>
      </c>
      <c r="P32" s="3284">
        <f t="shared" si="2"/>
        <v>3.0812111649051739E-2</v>
      </c>
      <c r="Q32" s="3275" t="s">
        <v>1253</v>
      </c>
      <c r="R32" s="3274"/>
      <c r="S32" s="3274"/>
      <c r="T32" s="3283">
        <f t="shared" si="46"/>
        <v>0</v>
      </c>
      <c r="U32" s="3284">
        <f t="shared" si="3"/>
        <v>0</v>
      </c>
      <c r="V32" s="3299"/>
      <c r="W32" s="3274"/>
      <c r="X32" s="3274"/>
      <c r="Y32" s="3283">
        <f t="shared" si="47"/>
        <v>0</v>
      </c>
      <c r="Z32" s="3284">
        <f t="shared" si="4"/>
        <v>0</v>
      </c>
      <c r="AA32" s="3299"/>
      <c r="AB32" s="3274"/>
      <c r="AC32" s="3274"/>
      <c r="AD32" s="3283">
        <f t="shared" si="27"/>
        <v>0</v>
      </c>
      <c r="AE32" s="3284">
        <f t="shared" si="5"/>
        <v>0</v>
      </c>
      <c r="AF32" s="3299"/>
      <c r="AG32" s="3274">
        <v>18511</v>
      </c>
      <c r="AH32" s="3274">
        <v>0</v>
      </c>
      <c r="AI32" s="3283">
        <v>18511</v>
      </c>
      <c r="AJ32" s="3284">
        <v>0.28401323988073629</v>
      </c>
      <c r="AK32" s="3299"/>
      <c r="AL32" s="3274">
        <f t="shared" si="6"/>
        <v>0</v>
      </c>
      <c r="AM32" s="3274">
        <f t="shared" si="6"/>
        <v>0</v>
      </c>
      <c r="AN32" s="3283">
        <f t="shared" si="48"/>
        <v>0</v>
      </c>
      <c r="AO32" s="3284">
        <f t="shared" si="7"/>
        <v>0</v>
      </c>
      <c r="AP32" s="3299"/>
      <c r="AQ32" s="3274"/>
      <c r="AR32" s="3274"/>
      <c r="AS32" s="3283">
        <f t="shared" si="29"/>
        <v>0</v>
      </c>
      <c r="AT32" s="3284">
        <f t="shared" si="8"/>
        <v>0</v>
      </c>
      <c r="AU32" s="3299"/>
      <c r="AV32" s="3274"/>
      <c r="AW32" s="3274"/>
      <c r="AX32" s="3283">
        <f t="shared" si="30"/>
        <v>0</v>
      </c>
      <c r="AY32" s="3284">
        <f t="shared" si="9"/>
        <v>0</v>
      </c>
      <c r="AZ32" s="3291"/>
      <c r="BA32" s="3285"/>
      <c r="BB32" s="3285"/>
      <c r="BC32" s="3286">
        <f t="shared" si="31"/>
        <v>0</v>
      </c>
      <c r="BD32" s="3284">
        <f t="shared" si="10"/>
        <v>0</v>
      </c>
      <c r="BE32" s="3291"/>
      <c r="BF32" s="3285"/>
      <c r="BG32" s="3285"/>
      <c r="BH32" s="3286">
        <f t="shared" si="35"/>
        <v>0</v>
      </c>
      <c r="BI32" s="3284">
        <f t="shared" si="11"/>
        <v>0</v>
      </c>
      <c r="BJ32" s="3291"/>
      <c r="BK32" s="3285"/>
      <c r="BL32" s="3285"/>
      <c r="BM32" s="3286">
        <f t="shared" si="36"/>
        <v>0</v>
      </c>
      <c r="BN32" s="3284">
        <f t="shared" si="12"/>
        <v>0</v>
      </c>
      <c r="BO32" s="3291"/>
      <c r="BP32" s="3285"/>
      <c r="BQ32" s="3285"/>
      <c r="BR32" s="3286">
        <f t="shared" si="37"/>
        <v>0</v>
      </c>
      <c r="BS32" s="3284">
        <f t="shared" si="13"/>
        <v>0</v>
      </c>
      <c r="BT32" s="3291"/>
      <c r="BU32" s="3285"/>
      <c r="BV32" s="3285"/>
      <c r="BW32" s="3286">
        <f t="shared" si="38"/>
        <v>0</v>
      </c>
      <c r="BX32" s="3284" t="e">
        <f t="shared" si="14"/>
        <v>#DIV/0!</v>
      </c>
      <c r="BY32" s="3291"/>
      <c r="BZ32" s="3285"/>
      <c r="CA32" s="3285"/>
      <c r="CB32" s="3286">
        <f t="shared" si="39"/>
        <v>0</v>
      </c>
      <c r="CC32" s="3284" t="e">
        <f t="shared" si="15"/>
        <v>#DIV/0!</v>
      </c>
      <c r="CD32" s="3291"/>
      <c r="CE32" s="3285"/>
      <c r="CF32" s="3285"/>
      <c r="CG32" s="3286">
        <f t="shared" si="40"/>
        <v>0</v>
      </c>
      <c r="CH32" s="3284" t="e">
        <f t="shared" si="16"/>
        <v>#DIV/0!</v>
      </c>
      <c r="CI32" s="3291"/>
      <c r="CJ32" s="3285"/>
      <c r="CK32" s="3285"/>
      <c r="CL32" s="3286">
        <f t="shared" si="41"/>
        <v>0</v>
      </c>
      <c r="CM32" s="3284" t="e">
        <f t="shared" si="17"/>
        <v>#DIV/0!</v>
      </c>
      <c r="CN32" s="3291"/>
      <c r="CO32" s="3285"/>
      <c r="CP32" s="3285"/>
      <c r="CQ32" s="3286">
        <f t="shared" si="42"/>
        <v>0</v>
      </c>
      <c r="CR32" s="3284" t="e">
        <f t="shared" si="18"/>
        <v>#DIV/0!</v>
      </c>
      <c r="CS32" s="3291"/>
      <c r="CT32" s="3285"/>
      <c r="CU32" s="3285"/>
      <c r="CV32" s="3286">
        <f t="shared" si="43"/>
        <v>0</v>
      </c>
      <c r="CW32" s="3284" t="e">
        <f t="shared" si="19"/>
        <v>#DIV/0!</v>
      </c>
      <c r="CX32" s="3291"/>
      <c r="CY32" s="3274">
        <f t="shared" si="20"/>
        <v>28364.578000000001</v>
      </c>
      <c r="CZ32" s="3274">
        <f t="shared" si="20"/>
        <v>35000</v>
      </c>
      <c r="DA32" s="3283">
        <f t="shared" si="34"/>
        <v>63364.578000000001</v>
      </c>
      <c r="DB32" s="3284">
        <f t="shared" si="1"/>
        <v>2.6381201777190909E-2</v>
      </c>
      <c r="DC32" s="3295"/>
    </row>
    <row r="33" spans="1:107" s="1411" customFormat="1" ht="14.4" thickBot="1" x14ac:dyDescent="0.3">
      <c r="A33" s="1586"/>
      <c r="B33" s="3144" t="s">
        <v>75</v>
      </c>
      <c r="C33" s="3314"/>
      <c r="D33" s="3314"/>
      <c r="E33" s="3305">
        <f t="shared" si="21"/>
        <v>0</v>
      </c>
      <c r="F33" s="3284">
        <f t="shared" si="0"/>
        <v>0</v>
      </c>
      <c r="G33" s="2885"/>
      <c r="H33" s="3314"/>
      <c r="I33" s="3314"/>
      <c r="J33" s="3305">
        <f t="shared" si="44"/>
        <v>0</v>
      </c>
      <c r="K33" s="3284">
        <f t="shared" si="23"/>
        <v>0</v>
      </c>
      <c r="L33" s="2885"/>
      <c r="M33" s="3314"/>
      <c r="N33" s="3314"/>
      <c r="O33" s="3305">
        <f t="shared" si="45"/>
        <v>0</v>
      </c>
      <c r="P33" s="3026">
        <f t="shared" si="2"/>
        <v>0</v>
      </c>
      <c r="Q33" s="2885"/>
      <c r="R33" s="3314"/>
      <c r="S33" s="3314"/>
      <c r="T33" s="3305">
        <f t="shared" si="46"/>
        <v>0</v>
      </c>
      <c r="U33" s="3284">
        <f t="shared" si="3"/>
        <v>0</v>
      </c>
      <c r="V33" s="2885"/>
      <c r="W33" s="3314"/>
      <c r="X33" s="3314"/>
      <c r="Y33" s="3305">
        <f t="shared" si="47"/>
        <v>0</v>
      </c>
      <c r="Z33" s="3284">
        <f t="shared" si="4"/>
        <v>0</v>
      </c>
      <c r="AA33" s="2885"/>
      <c r="AB33" s="3314"/>
      <c r="AC33" s="3314"/>
      <c r="AD33" s="3305">
        <f t="shared" si="27"/>
        <v>0</v>
      </c>
      <c r="AE33" s="3284">
        <f t="shared" si="5"/>
        <v>0</v>
      </c>
      <c r="AF33" s="2885"/>
      <c r="AG33" s="3274">
        <v>0</v>
      </c>
      <c r="AH33" s="3274">
        <v>0</v>
      </c>
      <c r="AI33" s="3362">
        <v>0</v>
      </c>
      <c r="AJ33" s="3228">
        <v>0</v>
      </c>
      <c r="AK33" s="3229"/>
      <c r="AL33" s="3274">
        <f t="shared" si="6"/>
        <v>0</v>
      </c>
      <c r="AM33" s="3274">
        <f t="shared" si="6"/>
        <v>0</v>
      </c>
      <c r="AN33" s="3362">
        <f t="shared" si="48"/>
        <v>0</v>
      </c>
      <c r="AO33" s="3228">
        <f t="shared" si="7"/>
        <v>0</v>
      </c>
      <c r="AP33" s="3229"/>
      <c r="AQ33" s="3314"/>
      <c r="AR33" s="3314"/>
      <c r="AS33" s="3305">
        <f t="shared" si="29"/>
        <v>0</v>
      </c>
      <c r="AT33" s="3284">
        <f t="shared" si="8"/>
        <v>0</v>
      </c>
      <c r="AU33" s="2885"/>
      <c r="AV33" s="3314"/>
      <c r="AW33" s="3314"/>
      <c r="AX33" s="3305">
        <f t="shared" si="30"/>
        <v>0</v>
      </c>
      <c r="AY33" s="3026">
        <f t="shared" si="9"/>
        <v>0</v>
      </c>
      <c r="AZ33" s="2885"/>
      <c r="BA33" s="3363"/>
      <c r="BB33" s="3363"/>
      <c r="BC33" s="3364">
        <f t="shared" si="31"/>
        <v>0</v>
      </c>
      <c r="BD33" s="3228">
        <f t="shared" si="10"/>
        <v>0</v>
      </c>
      <c r="BE33" s="3216"/>
      <c r="BF33" s="3363"/>
      <c r="BG33" s="3363"/>
      <c r="BH33" s="3364">
        <f t="shared" si="35"/>
        <v>0</v>
      </c>
      <c r="BI33" s="3228">
        <f t="shared" si="11"/>
        <v>0</v>
      </c>
      <c r="BJ33" s="3216"/>
      <c r="BK33" s="3363"/>
      <c r="BL33" s="3363"/>
      <c r="BM33" s="3364">
        <f t="shared" si="36"/>
        <v>0</v>
      </c>
      <c r="BN33" s="3228">
        <f t="shared" si="12"/>
        <v>0</v>
      </c>
      <c r="BO33" s="3216"/>
      <c r="BP33" s="3363"/>
      <c r="BQ33" s="3363"/>
      <c r="BR33" s="3364">
        <f t="shared" si="37"/>
        <v>0</v>
      </c>
      <c r="BS33" s="3228">
        <f t="shared" si="13"/>
        <v>0</v>
      </c>
      <c r="BT33" s="3216"/>
      <c r="BU33" s="3363"/>
      <c r="BV33" s="3363"/>
      <c r="BW33" s="3364">
        <f t="shared" si="38"/>
        <v>0</v>
      </c>
      <c r="BX33" s="3228" t="e">
        <f t="shared" si="14"/>
        <v>#DIV/0!</v>
      </c>
      <c r="BY33" s="3216"/>
      <c r="BZ33" s="3363"/>
      <c r="CA33" s="3363"/>
      <c r="CB33" s="3364">
        <f t="shared" si="39"/>
        <v>0</v>
      </c>
      <c r="CC33" s="3228" t="e">
        <f t="shared" si="15"/>
        <v>#DIV/0!</v>
      </c>
      <c r="CD33" s="3216"/>
      <c r="CE33" s="3363"/>
      <c r="CF33" s="3363"/>
      <c r="CG33" s="3364">
        <f t="shared" si="40"/>
        <v>0</v>
      </c>
      <c r="CH33" s="3228" t="e">
        <f t="shared" si="16"/>
        <v>#DIV/0!</v>
      </c>
      <c r="CI33" s="3216"/>
      <c r="CJ33" s="3363"/>
      <c r="CK33" s="3363"/>
      <c r="CL33" s="3364">
        <f t="shared" si="41"/>
        <v>0</v>
      </c>
      <c r="CM33" s="3228" t="e">
        <f t="shared" si="17"/>
        <v>#DIV/0!</v>
      </c>
      <c r="CN33" s="3216"/>
      <c r="CO33" s="3363"/>
      <c r="CP33" s="3363"/>
      <c r="CQ33" s="3364">
        <f t="shared" si="42"/>
        <v>0</v>
      </c>
      <c r="CR33" s="3228" t="e">
        <f t="shared" si="18"/>
        <v>#DIV/0!</v>
      </c>
      <c r="CS33" s="3216"/>
      <c r="CT33" s="3363"/>
      <c r="CU33" s="3363"/>
      <c r="CV33" s="3364">
        <f t="shared" si="43"/>
        <v>0</v>
      </c>
      <c r="CW33" s="3228" t="e">
        <f t="shared" si="19"/>
        <v>#DIV/0!</v>
      </c>
      <c r="CX33" s="3216"/>
      <c r="CY33" s="3274">
        <f t="shared" si="20"/>
        <v>0</v>
      </c>
      <c r="CZ33" s="3274">
        <f t="shared" si="20"/>
        <v>0</v>
      </c>
      <c r="DA33" s="3302"/>
      <c r="DB33" s="2883"/>
      <c r="DC33" s="2885"/>
    </row>
    <row r="34" spans="1:107" s="1411" customFormat="1" ht="13.8" x14ac:dyDescent="0.25">
      <c r="A34" s="1586"/>
      <c r="B34" s="1631"/>
      <c r="C34" s="3274"/>
      <c r="D34" s="3274"/>
      <c r="E34" s="3306"/>
      <c r="F34" s="3306"/>
      <c r="G34" s="3306"/>
      <c r="H34" s="3274"/>
      <c r="I34" s="3274"/>
      <c r="J34" s="3306"/>
      <c r="K34" s="3306"/>
      <c r="L34" s="3306"/>
      <c r="M34" s="3274"/>
      <c r="N34" s="3274"/>
      <c r="O34" s="3306"/>
      <c r="P34" s="3306"/>
      <c r="Q34" s="3306"/>
      <c r="R34" s="3274"/>
      <c r="S34" s="3274"/>
      <c r="T34" s="3306"/>
      <c r="U34" s="3306"/>
      <c r="V34" s="3306"/>
      <c r="W34" s="3274"/>
      <c r="X34" s="3274"/>
      <c r="Y34" s="3306"/>
      <c r="Z34" s="3306"/>
      <c r="AA34" s="3306"/>
      <c r="AB34" s="3274"/>
      <c r="AC34" s="3274"/>
      <c r="AD34" s="3306"/>
      <c r="AE34" s="3306"/>
      <c r="AF34" s="3306"/>
      <c r="AG34" s="3280"/>
      <c r="AH34" s="3280"/>
      <c r="AI34" s="3365"/>
      <c r="AJ34" s="3365"/>
      <c r="AK34" s="3365"/>
      <c r="AL34" s="3280"/>
      <c r="AM34" s="3280"/>
      <c r="AN34" s="3365"/>
      <c r="AO34" s="3365"/>
      <c r="AP34" s="3365"/>
      <c r="AQ34" s="3274"/>
      <c r="AR34" s="3274"/>
      <c r="AS34" s="3306"/>
      <c r="AT34" s="3306"/>
      <c r="AU34" s="3306"/>
      <c r="AV34" s="3274"/>
      <c r="AW34" s="3274"/>
      <c r="AX34" s="3306"/>
      <c r="AY34" s="3306"/>
      <c r="AZ34" s="3306"/>
      <c r="BA34" s="3274"/>
      <c r="BB34" s="3274"/>
      <c r="BC34" s="3306"/>
      <c r="BD34" s="3365"/>
      <c r="BE34" s="3306"/>
      <c r="BF34" s="3274"/>
      <c r="BG34" s="3274"/>
      <c r="BH34" s="3306"/>
      <c r="BI34" s="3365"/>
      <c r="BJ34" s="3306"/>
      <c r="BK34" s="3274"/>
      <c r="BL34" s="3274"/>
      <c r="BM34" s="3306"/>
      <c r="BN34" s="3365"/>
      <c r="BO34" s="3306"/>
      <c r="BP34" s="3274"/>
      <c r="BQ34" s="3274"/>
      <c r="BR34" s="3306"/>
      <c r="BS34" s="3365"/>
      <c r="BT34" s="3306"/>
      <c r="BU34" s="3274"/>
      <c r="BV34" s="3274"/>
      <c r="BW34" s="3306"/>
      <c r="BX34" s="3365"/>
      <c r="BY34" s="3306"/>
      <c r="BZ34" s="3274"/>
      <c r="CA34" s="3274"/>
      <c r="CB34" s="3306"/>
      <c r="CC34" s="3365"/>
      <c r="CD34" s="3306"/>
      <c r="CE34" s="3274"/>
      <c r="CF34" s="3274"/>
      <c r="CG34" s="3306"/>
      <c r="CH34" s="3365"/>
      <c r="CI34" s="3306"/>
      <c r="CJ34" s="3274"/>
      <c r="CK34" s="3274"/>
      <c r="CL34" s="3306"/>
      <c r="CM34" s="3365"/>
      <c r="CN34" s="3306"/>
      <c r="CO34" s="3274"/>
      <c r="CP34" s="3274"/>
      <c r="CQ34" s="3306"/>
      <c r="CR34" s="3365"/>
      <c r="CS34" s="3306"/>
      <c r="CT34" s="3274"/>
      <c r="CU34" s="3274"/>
      <c r="CV34" s="3306"/>
      <c r="CW34" s="3365"/>
      <c r="CX34" s="3306"/>
      <c r="CY34" s="3274"/>
      <c r="CZ34" s="3274"/>
      <c r="DA34" s="3306"/>
      <c r="DB34" s="3306"/>
      <c r="DC34" s="3306"/>
    </row>
    <row r="35" spans="1:107" s="2483" customFormat="1" ht="13.8" x14ac:dyDescent="0.25">
      <c r="A35" s="1586"/>
      <c r="B35" s="3307" t="s">
        <v>80</v>
      </c>
      <c r="C35" s="3308">
        <f>C36</f>
        <v>0</v>
      </c>
      <c r="D35" s="3308">
        <f>D36</f>
        <v>0</v>
      </c>
      <c r="E35" s="3309">
        <f>E36</f>
        <v>0</v>
      </c>
      <c r="F35" s="3309">
        <f t="shared" si="0"/>
        <v>0</v>
      </c>
      <c r="G35" s="3309"/>
      <c r="H35" s="3308">
        <f>H36</f>
        <v>0</v>
      </c>
      <c r="I35" s="3308">
        <f>I36</f>
        <v>0</v>
      </c>
      <c r="J35" s="3309">
        <f>J36</f>
        <v>0</v>
      </c>
      <c r="K35" s="3309">
        <f>J35/$T$89</f>
        <v>0</v>
      </c>
      <c r="L35" s="3309"/>
      <c r="M35" s="3308">
        <f>M36</f>
        <v>0</v>
      </c>
      <c r="N35" s="3308">
        <f>N36</f>
        <v>0</v>
      </c>
      <c r="O35" s="3309">
        <f>O36</f>
        <v>0</v>
      </c>
      <c r="P35" s="3309">
        <f t="shared" si="2"/>
        <v>0</v>
      </c>
      <c r="Q35" s="3309"/>
      <c r="R35" s="3308">
        <f>R36</f>
        <v>0</v>
      </c>
      <c r="S35" s="3308">
        <f>S36</f>
        <v>0</v>
      </c>
      <c r="T35" s="3309">
        <f>T36</f>
        <v>0</v>
      </c>
      <c r="U35" s="3309">
        <f>T35/$O$89</f>
        <v>0</v>
      </c>
      <c r="V35" s="3309"/>
      <c r="W35" s="3308">
        <f>W36</f>
        <v>0</v>
      </c>
      <c r="X35" s="3308">
        <f>X36</f>
        <v>0</v>
      </c>
      <c r="Y35" s="3309">
        <f>Y36</f>
        <v>0</v>
      </c>
      <c r="Z35" s="3309">
        <f>Y35/$O$89</f>
        <v>0</v>
      </c>
      <c r="AA35" s="3309"/>
      <c r="AB35" s="3308">
        <f>AB36</f>
        <v>0</v>
      </c>
      <c r="AC35" s="3308">
        <f>AC36</f>
        <v>0</v>
      </c>
      <c r="AD35" s="3309">
        <f>AD36</f>
        <v>0</v>
      </c>
      <c r="AE35" s="3309">
        <f>AD35/$O$89</f>
        <v>0</v>
      </c>
      <c r="AF35" s="3309"/>
      <c r="AG35" s="3308">
        <v>0</v>
      </c>
      <c r="AH35" s="3308">
        <v>0</v>
      </c>
      <c r="AI35" s="3309">
        <v>0</v>
      </c>
      <c r="AJ35" s="3309">
        <v>0</v>
      </c>
      <c r="AK35" s="3309"/>
      <c r="AL35" s="3308">
        <f>AL36</f>
        <v>0</v>
      </c>
      <c r="AM35" s="3308">
        <f>AM36</f>
        <v>0</v>
      </c>
      <c r="AN35" s="3309">
        <f>AN36</f>
        <v>0</v>
      </c>
      <c r="AO35" s="3309">
        <f t="shared" ref="AO35:AO36" si="49">AN35/$T$89</f>
        <v>0</v>
      </c>
      <c r="AP35" s="3309"/>
      <c r="AQ35" s="3308">
        <f>AQ36</f>
        <v>0</v>
      </c>
      <c r="AR35" s="3308">
        <f>AR36</f>
        <v>0</v>
      </c>
      <c r="AS35" s="3309">
        <f>AS36</f>
        <v>0</v>
      </c>
      <c r="AT35" s="3309">
        <f>AS35/$O$89</f>
        <v>0</v>
      </c>
      <c r="AU35" s="3309"/>
      <c r="AV35" s="3308">
        <f>AV36</f>
        <v>0</v>
      </c>
      <c r="AW35" s="3308">
        <f>AW36</f>
        <v>0</v>
      </c>
      <c r="AX35" s="3309">
        <f>AX36</f>
        <v>0</v>
      </c>
      <c r="AY35" s="3309">
        <f>AX35/$E$89</f>
        <v>0</v>
      </c>
      <c r="AZ35" s="3309"/>
      <c r="BA35" s="3308">
        <f>BA36</f>
        <v>0</v>
      </c>
      <c r="BB35" s="3308">
        <f>BB36</f>
        <v>0</v>
      </c>
      <c r="BC35" s="3309">
        <f>BC36</f>
        <v>0</v>
      </c>
      <c r="BD35" s="3309">
        <f>BC35/$AD$89</f>
        <v>0</v>
      </c>
      <c r="BE35" s="3309"/>
      <c r="BF35" s="3308">
        <f>BF36</f>
        <v>0</v>
      </c>
      <c r="BG35" s="3308">
        <f>BG36</f>
        <v>0</v>
      </c>
      <c r="BH35" s="3309">
        <f>BH36</f>
        <v>0</v>
      </c>
      <c r="BI35" s="3309">
        <f>BH35/$AD$89</f>
        <v>0</v>
      </c>
      <c r="BJ35" s="3309"/>
      <c r="BK35" s="3308">
        <f>BK36</f>
        <v>0</v>
      </c>
      <c r="BL35" s="3308">
        <f>BL36</f>
        <v>0</v>
      </c>
      <c r="BM35" s="3309">
        <f>BM36</f>
        <v>0</v>
      </c>
      <c r="BN35" s="3309">
        <f>BM35/$AD$89</f>
        <v>0</v>
      </c>
      <c r="BO35" s="3309"/>
      <c r="BP35" s="3308">
        <f>BP36</f>
        <v>0</v>
      </c>
      <c r="BQ35" s="3308">
        <f>BQ36</f>
        <v>0</v>
      </c>
      <c r="BR35" s="3309">
        <f>BR36</f>
        <v>0</v>
      </c>
      <c r="BS35" s="3309">
        <f>BR35/$AD$89</f>
        <v>0</v>
      </c>
      <c r="BT35" s="3309"/>
      <c r="BU35" s="3308">
        <f>BU36</f>
        <v>0</v>
      </c>
      <c r="BV35" s="3308">
        <f>BV36</f>
        <v>0</v>
      </c>
      <c r="BW35" s="3309">
        <f>BW36</f>
        <v>0</v>
      </c>
      <c r="BX35" s="3309" t="e">
        <f>BW35/$AN$89</f>
        <v>#DIV/0!</v>
      </c>
      <c r="BY35" s="3309"/>
      <c r="BZ35" s="3308">
        <f>BZ36</f>
        <v>0</v>
      </c>
      <c r="CA35" s="3308">
        <f>CA36</f>
        <v>0</v>
      </c>
      <c r="CB35" s="3309">
        <f>CB36</f>
        <v>0</v>
      </c>
      <c r="CC35" s="3309" t="e">
        <f>CB35/$AN$89</f>
        <v>#DIV/0!</v>
      </c>
      <c r="CD35" s="3308"/>
      <c r="CE35" s="3308">
        <f>CE36</f>
        <v>0</v>
      </c>
      <c r="CF35" s="3308">
        <f>CF36</f>
        <v>0</v>
      </c>
      <c r="CG35" s="3309">
        <f>CG36</f>
        <v>0</v>
      </c>
      <c r="CH35" s="3309" t="e">
        <f>CG35/$AN$89</f>
        <v>#DIV/0!</v>
      </c>
      <c r="CI35" s="3308"/>
      <c r="CJ35" s="3308">
        <f>CJ36</f>
        <v>0</v>
      </c>
      <c r="CK35" s="3308">
        <f>CK36</f>
        <v>0</v>
      </c>
      <c r="CL35" s="3309">
        <f>CL36</f>
        <v>0</v>
      </c>
      <c r="CM35" s="3309" t="e">
        <f>CL35/$AN$89</f>
        <v>#DIV/0!</v>
      </c>
      <c r="CN35" s="3308"/>
      <c r="CO35" s="3308">
        <f>CO36</f>
        <v>0</v>
      </c>
      <c r="CP35" s="3308">
        <f>CP36</f>
        <v>0</v>
      </c>
      <c r="CQ35" s="3309">
        <f>CQ36</f>
        <v>0</v>
      </c>
      <c r="CR35" s="3309" t="e">
        <f>CQ35/$AN$89</f>
        <v>#DIV/0!</v>
      </c>
      <c r="CS35" s="3308"/>
      <c r="CT35" s="3308">
        <f>CT36</f>
        <v>0</v>
      </c>
      <c r="CU35" s="3308">
        <f>CU36</f>
        <v>0</v>
      </c>
      <c r="CV35" s="3309">
        <f>CV36</f>
        <v>0</v>
      </c>
      <c r="CW35" s="3309" t="e">
        <f>CV35/$AN$89</f>
        <v>#DIV/0!</v>
      </c>
      <c r="CX35" s="3308"/>
      <c r="CY35" s="3308">
        <f>CY36</f>
        <v>0</v>
      </c>
      <c r="CZ35" s="3308">
        <f>CZ36</f>
        <v>0</v>
      </c>
      <c r="DA35" s="3309">
        <f>DA36</f>
        <v>0</v>
      </c>
      <c r="DB35" s="3309"/>
      <c r="DC35" s="3309"/>
    </row>
    <row r="36" spans="1:107" s="1411" customFormat="1" ht="13.8" x14ac:dyDescent="0.25">
      <c r="A36" s="1586"/>
      <c r="B36" s="3310" t="s">
        <v>81</v>
      </c>
      <c r="C36" s="3274"/>
      <c r="D36" s="3274"/>
      <c r="E36" s="2028">
        <f>C36+D36*1</f>
        <v>0</v>
      </c>
      <c r="F36" s="3284">
        <f t="shared" si="0"/>
        <v>0</v>
      </c>
      <c r="G36" s="3311"/>
      <c r="H36" s="3274"/>
      <c r="I36" s="3274"/>
      <c r="J36" s="2028">
        <f>H36+I36*1</f>
        <v>0</v>
      </c>
      <c r="K36" s="3284">
        <f>J36/$T$89</f>
        <v>0</v>
      </c>
      <c r="L36" s="3311"/>
      <c r="M36" s="3274"/>
      <c r="N36" s="3274"/>
      <c r="O36" s="2028">
        <f>M36+N36*1</f>
        <v>0</v>
      </c>
      <c r="P36" s="3284">
        <f t="shared" si="2"/>
        <v>0</v>
      </c>
      <c r="Q36" s="3311"/>
      <c r="R36" s="3274"/>
      <c r="S36" s="3274"/>
      <c r="T36" s="2028">
        <f>R36+S36*1</f>
        <v>0</v>
      </c>
      <c r="U36" s="3284">
        <f>T36/$O$89</f>
        <v>0</v>
      </c>
      <c r="V36" s="3311"/>
      <c r="W36" s="3274"/>
      <c r="X36" s="3274"/>
      <c r="Y36" s="2028">
        <f>W36+X36*1</f>
        <v>0</v>
      </c>
      <c r="Z36" s="3284">
        <f>Y36/$O$89</f>
        <v>0</v>
      </c>
      <c r="AA36" s="3311"/>
      <c r="AB36" s="3274"/>
      <c r="AC36" s="3274"/>
      <c r="AD36" s="2028">
        <f>AB36+AC36*1</f>
        <v>0</v>
      </c>
      <c r="AE36" s="3284">
        <f>AD36/$O$89</f>
        <v>0</v>
      </c>
      <c r="AF36" s="3311"/>
      <c r="AG36" s="3274">
        <v>0</v>
      </c>
      <c r="AH36" s="3274">
        <v>0</v>
      </c>
      <c r="AI36" s="2028">
        <v>0</v>
      </c>
      <c r="AJ36" s="3284">
        <v>0</v>
      </c>
      <c r="AK36" s="3311"/>
      <c r="AL36" s="3274">
        <f>AQ36+AV36+BA36+BF36+BK36+BP36+BU36+BZ36+CE36+CJ36+CO36+CT36</f>
        <v>0</v>
      </c>
      <c r="AM36" s="3274">
        <f>AR36+AW36+BB36+BG36+BL36+BQ36+BV36+CA36+CF36+CK36+CP36+CU36</f>
        <v>0</v>
      </c>
      <c r="AN36" s="2028">
        <f>AL36+AM36*1</f>
        <v>0</v>
      </c>
      <c r="AO36" s="3284">
        <f t="shared" si="49"/>
        <v>0</v>
      </c>
      <c r="AP36" s="3311"/>
      <c r="AQ36" s="3274"/>
      <c r="AR36" s="3274"/>
      <c r="AS36" s="2028">
        <f>AQ36+AR36*1</f>
        <v>0</v>
      </c>
      <c r="AT36" s="3284">
        <f>AS36/$O$89</f>
        <v>0</v>
      </c>
      <c r="AU36" s="3311"/>
      <c r="AV36" s="3274"/>
      <c r="AW36" s="3274"/>
      <c r="AX36" s="2028">
        <f>AV36+AW36*1</f>
        <v>0</v>
      </c>
      <c r="AY36" s="3284">
        <f>AX36/$E$89</f>
        <v>0</v>
      </c>
      <c r="AZ36" s="3276"/>
      <c r="BA36" s="3274"/>
      <c r="BB36" s="3274"/>
      <c r="BC36" s="2028">
        <f>BA36+BB36*1</f>
        <v>0</v>
      </c>
      <c r="BD36" s="3284">
        <f>BC36/$AD$89</f>
        <v>0</v>
      </c>
      <c r="BE36" s="3276"/>
      <c r="BF36" s="3274"/>
      <c r="BG36" s="3274"/>
      <c r="BH36" s="2028">
        <f>BF36+BG36*1</f>
        <v>0</v>
      </c>
      <c r="BI36" s="3284">
        <f>BH36/$AD$89</f>
        <v>0</v>
      </c>
      <c r="BJ36" s="3276"/>
      <c r="BK36" s="3274"/>
      <c r="BL36" s="3274"/>
      <c r="BM36" s="2028">
        <f>BK36+BL36*1</f>
        <v>0</v>
      </c>
      <c r="BN36" s="3284">
        <f>BM36/$AD$89</f>
        <v>0</v>
      </c>
      <c r="BO36" s="3276"/>
      <c r="BP36" s="3274"/>
      <c r="BQ36" s="3274"/>
      <c r="BR36" s="2028">
        <f>BP36+BQ36*1</f>
        <v>0</v>
      </c>
      <c r="BS36" s="3284">
        <f>BR36/$AD$89</f>
        <v>0</v>
      </c>
      <c r="BT36" s="3276"/>
      <c r="BU36" s="3274"/>
      <c r="BV36" s="3274"/>
      <c r="BW36" s="2028">
        <f>BU36+BV36*1</f>
        <v>0</v>
      </c>
      <c r="BX36" s="3284" t="e">
        <f>BW36/$AN$89</f>
        <v>#DIV/0!</v>
      </c>
      <c r="BY36" s="3276"/>
      <c r="BZ36" s="3274"/>
      <c r="CA36" s="3274"/>
      <c r="CB36" s="2028">
        <f>BZ36+CA36*1</f>
        <v>0</v>
      </c>
      <c r="CC36" s="3284" t="e">
        <f>CB36/$AN$89</f>
        <v>#DIV/0!</v>
      </c>
      <c r="CD36" s="3276"/>
      <c r="CE36" s="3274"/>
      <c r="CF36" s="3274"/>
      <c r="CG36" s="2028">
        <f>CE36+CF36*1</f>
        <v>0</v>
      </c>
      <c r="CH36" s="3284" t="e">
        <f>CG36/$AN$89</f>
        <v>#DIV/0!</v>
      </c>
      <c r="CI36" s="3276"/>
      <c r="CJ36" s="3274"/>
      <c r="CK36" s="3274"/>
      <c r="CL36" s="2028">
        <f>CJ36+CK36*1</f>
        <v>0</v>
      </c>
      <c r="CM36" s="3284" t="e">
        <f>CL36/$AN$89</f>
        <v>#DIV/0!</v>
      </c>
      <c r="CN36" s="3276"/>
      <c r="CO36" s="3274"/>
      <c r="CP36" s="3274"/>
      <c r="CQ36" s="2028">
        <f>CO36+CP36*1</f>
        <v>0</v>
      </c>
      <c r="CR36" s="3284" t="e">
        <f>CQ36/$AN$89</f>
        <v>#DIV/0!</v>
      </c>
      <c r="CS36" s="3276"/>
      <c r="CT36" s="3274"/>
      <c r="CU36" s="3274"/>
      <c r="CV36" s="2028">
        <f>CT36+CU36*1</f>
        <v>0</v>
      </c>
      <c r="CW36" s="3284" t="e">
        <f>CV36/$AN$89</f>
        <v>#DIV/0!</v>
      </c>
      <c r="CX36" s="3276"/>
      <c r="CY36" s="3274">
        <f>C36+H36+M36+R36+W36+AB36+AQ36+AV36+BA36+BF36+BK36+BP36+BU36+BZ36+CE36+CJ36+CO36+CT36+AG36</f>
        <v>0</v>
      </c>
      <c r="CZ36" s="3274">
        <f>D36+I36+N36+S36+X36+AC36+AR36+AW36+BB36+BG36+BL36+BQ36+BV36+CA36+CF36+CK36+CP36+CU36+AH36</f>
        <v>0</v>
      </c>
      <c r="DA36" s="2028">
        <f>CY36+CZ36*1</f>
        <v>0</v>
      </c>
      <c r="DB36" s="3284">
        <f>DA36/$DA$89</f>
        <v>0</v>
      </c>
      <c r="DC36" s="3311"/>
    </row>
    <row r="37" spans="1:107" s="1411" customFormat="1" ht="14.4" thickBot="1" x14ac:dyDescent="0.3">
      <c r="A37" s="1413"/>
      <c r="B37" s="3312"/>
      <c r="C37" s="3274"/>
      <c r="D37" s="3274"/>
      <c r="E37" s="3313"/>
      <c r="F37" s="3313"/>
      <c r="G37" s="3313"/>
      <c r="H37" s="3274"/>
      <c r="I37" s="3274"/>
      <c r="J37" s="3313"/>
      <c r="K37" s="3313"/>
      <c r="L37" s="3313"/>
      <c r="M37" s="3274"/>
      <c r="N37" s="3274"/>
      <c r="O37" s="3313"/>
      <c r="P37" s="3313"/>
      <c r="Q37" s="3313"/>
      <c r="R37" s="3274"/>
      <c r="S37" s="3274"/>
      <c r="T37" s="3313"/>
      <c r="U37" s="3313"/>
      <c r="V37" s="3313"/>
      <c r="W37" s="3274"/>
      <c r="X37" s="3274"/>
      <c r="Y37" s="3313"/>
      <c r="Z37" s="3313"/>
      <c r="AA37" s="3313"/>
      <c r="AB37" s="3274"/>
      <c r="AC37" s="3274"/>
      <c r="AD37" s="3313"/>
      <c r="AE37" s="3313"/>
      <c r="AF37" s="3313"/>
      <c r="AG37" s="3314"/>
      <c r="AH37" s="3314"/>
      <c r="AI37" s="3313"/>
      <c r="AJ37" s="3313"/>
      <c r="AK37" s="3313"/>
      <c r="AL37" s="3314"/>
      <c r="AM37" s="3314"/>
      <c r="AN37" s="3313"/>
      <c r="AO37" s="3313"/>
      <c r="AP37" s="3313"/>
      <c r="AQ37" s="3274"/>
      <c r="AR37" s="3274"/>
      <c r="AS37" s="3313"/>
      <c r="AT37" s="3313"/>
      <c r="AU37" s="3313"/>
      <c r="AV37" s="3274"/>
      <c r="AW37" s="3274"/>
      <c r="AX37" s="3313"/>
      <c r="AY37" s="3313"/>
      <c r="AZ37" s="3313"/>
      <c r="BA37" s="3274"/>
      <c r="BB37" s="3274"/>
      <c r="BC37" s="3313"/>
      <c r="BD37" s="3313"/>
      <c r="BE37" s="3313"/>
      <c r="BF37" s="3274"/>
      <c r="BG37" s="3274"/>
      <c r="BH37" s="3313"/>
      <c r="BI37" s="3313"/>
      <c r="BJ37" s="3313"/>
      <c r="BK37" s="3274"/>
      <c r="BL37" s="3274"/>
      <c r="BM37" s="3313"/>
      <c r="BN37" s="3313"/>
      <c r="BO37" s="3313"/>
      <c r="BP37" s="3274"/>
      <c r="BQ37" s="3274"/>
      <c r="BR37" s="3313"/>
      <c r="BS37" s="3313"/>
      <c r="BT37" s="3313"/>
      <c r="BU37" s="3274"/>
      <c r="BV37" s="3274"/>
      <c r="BW37" s="3313"/>
      <c r="BX37" s="3313"/>
      <c r="BY37" s="3313"/>
      <c r="BZ37" s="3274"/>
      <c r="CA37" s="3274"/>
      <c r="CB37" s="3313"/>
      <c r="CC37" s="3313"/>
      <c r="CD37" s="3315"/>
      <c r="CE37" s="3274"/>
      <c r="CF37" s="3274"/>
      <c r="CG37" s="3313"/>
      <c r="CH37" s="3313"/>
      <c r="CI37" s="3315"/>
      <c r="CJ37" s="3274"/>
      <c r="CK37" s="3274"/>
      <c r="CL37" s="3313"/>
      <c r="CM37" s="3313"/>
      <c r="CN37" s="3315"/>
      <c r="CO37" s="3274"/>
      <c r="CP37" s="3274"/>
      <c r="CQ37" s="3313"/>
      <c r="CR37" s="3313"/>
      <c r="CS37" s="3315"/>
      <c r="CT37" s="3274"/>
      <c r="CU37" s="3274"/>
      <c r="CV37" s="3313"/>
      <c r="CW37" s="3313"/>
      <c r="CX37" s="3315"/>
      <c r="CY37" s="3274"/>
      <c r="CZ37" s="3274"/>
      <c r="DA37" s="3313"/>
      <c r="DB37" s="3313"/>
      <c r="DC37" s="3313"/>
    </row>
    <row r="38" spans="1:107" ht="14.4" thickBot="1" x14ac:dyDescent="0.3">
      <c r="A38" s="1441"/>
      <c r="B38" s="1442" t="s">
        <v>46</v>
      </c>
      <c r="C38" s="2018">
        <f>(C5)-(C8)</f>
        <v>-171153.39</v>
      </c>
      <c r="D38" s="2018">
        <f>(D5)-(D8)</f>
        <v>-18200</v>
      </c>
      <c r="E38" s="2018">
        <f>(E5)-(E8)</f>
        <v>-189353.39</v>
      </c>
      <c r="F38" s="2018"/>
      <c r="G38" s="2018"/>
      <c r="H38" s="2018">
        <f>(H5)-(H8)</f>
        <v>-216885.128</v>
      </c>
      <c r="I38" s="2018">
        <f>(I5)-(I8)</f>
        <v>159801.29999999999</v>
      </c>
      <c r="J38" s="2018">
        <f>(J5)-(J8)</f>
        <v>-57083.828000000009</v>
      </c>
      <c r="K38" s="2018"/>
      <c r="L38" s="2018"/>
      <c r="M38" s="2018">
        <f>(M5)-(M8)</f>
        <v>39847.399999999994</v>
      </c>
      <c r="N38" s="2018">
        <f>(N5)-(N8)</f>
        <v>150020</v>
      </c>
      <c r="O38" s="2018">
        <f>(O5)-(O8)</f>
        <v>189867.4</v>
      </c>
      <c r="P38" s="2018">
        <f t="shared" si="2"/>
        <v>1.6361447493756776</v>
      </c>
      <c r="Q38" s="2018"/>
      <c r="R38" s="2018">
        <f>(R5)-(R8)</f>
        <v>267713.41000000003</v>
      </c>
      <c r="S38" s="2018">
        <f>(S5)-(S8)</f>
        <v>-30846.61</v>
      </c>
      <c r="T38" s="2018">
        <f>(T5)-(T8)</f>
        <v>236866.8</v>
      </c>
      <c r="U38" s="2018">
        <f t="shared" ref="U38:U48" si="50">T38/$O$89</f>
        <v>2.0411527788415427</v>
      </c>
      <c r="V38" s="2018"/>
      <c r="W38" s="2018">
        <f>(W5)-(W8)</f>
        <v>240716.02999999997</v>
      </c>
      <c r="X38" s="2018">
        <f>(X5)-(X8)</f>
        <v>-42132.15</v>
      </c>
      <c r="Y38" s="2018">
        <f>(Y5)-(Y8)</f>
        <v>198583.87999999998</v>
      </c>
      <c r="Z38" s="2018">
        <f t="shared" ref="Z38:Z48" si="51">Y38/$O$89</f>
        <v>1.7112572909970305</v>
      </c>
      <c r="AA38" s="2018"/>
      <c r="AB38" s="2018">
        <f>(AB5)-(AB8)</f>
        <v>92748.724400000006</v>
      </c>
      <c r="AC38" s="2018">
        <f>(AC5)-(AC8)</f>
        <v>-64551</v>
      </c>
      <c r="AD38" s="2018">
        <f>(AD5)-(AD8)</f>
        <v>28197.724400000006</v>
      </c>
      <c r="AE38" s="2018">
        <f t="shared" ref="AE38:AE48" si="52">AD38/$O$89</f>
        <v>0.24298831037556967</v>
      </c>
      <c r="AF38" s="2018"/>
      <c r="AG38" s="2018">
        <v>118699.49799999991</v>
      </c>
      <c r="AH38" s="2018">
        <v>-210227.91</v>
      </c>
      <c r="AI38" s="2018">
        <v>-91528.412000000011</v>
      </c>
      <c r="AJ38" s="2018">
        <v>-1.4043153170146867</v>
      </c>
      <c r="AK38" s="2018"/>
      <c r="AL38" s="2018">
        <f>(AL5)-(AL8)</f>
        <v>0</v>
      </c>
      <c r="AM38" s="2018">
        <f>(AM5)-(AM8)</f>
        <v>0</v>
      </c>
      <c r="AN38" s="2018">
        <f>(AN5)-(AN8)</f>
        <v>0</v>
      </c>
      <c r="AO38" s="2018">
        <f t="shared" ref="AO38:AO48" si="53">AN38/$T$89</f>
        <v>0</v>
      </c>
      <c r="AP38" s="2018"/>
      <c r="AQ38" s="2018">
        <f>(AQ5)-(AQ8)</f>
        <v>0</v>
      </c>
      <c r="AR38" s="2018">
        <f>(AR5)-(AR8)</f>
        <v>0</v>
      </c>
      <c r="AS38" s="2018">
        <f>(AS5)-(AS8)</f>
        <v>0</v>
      </c>
      <c r="AT38" s="2018">
        <f t="shared" ref="AT38:AT48" si="54">AS38/$O$89</f>
        <v>0</v>
      </c>
      <c r="AU38" s="2018"/>
      <c r="AV38" s="2018">
        <f>(AV5)-(AV8)</f>
        <v>0</v>
      </c>
      <c r="AW38" s="2018">
        <f>(AW5)-(AW8)</f>
        <v>0</v>
      </c>
      <c r="AX38" s="2018">
        <f>(AX5)-(AX8)</f>
        <v>0</v>
      </c>
      <c r="AY38" s="2018">
        <f t="shared" ref="AY38:AY48" si="55">AX38/$E$89</f>
        <v>0</v>
      </c>
      <c r="AZ38" s="2018"/>
      <c r="BA38" s="2018">
        <f>(BA5)-(BA8)</f>
        <v>0</v>
      </c>
      <c r="BB38" s="2018">
        <f>(BB5)-(BB8)</f>
        <v>0</v>
      </c>
      <c r="BC38" s="2018">
        <f>(BC5)-(BC8)</f>
        <v>0</v>
      </c>
      <c r="BD38" s="2018">
        <f>BC38/$AD$89</f>
        <v>0</v>
      </c>
      <c r="BE38" s="2018"/>
      <c r="BF38" s="2018">
        <f>(BF5)-(BF8)</f>
        <v>0</v>
      </c>
      <c r="BG38" s="2018">
        <f>(BG5)-(BG8)</f>
        <v>0</v>
      </c>
      <c r="BH38" s="2018">
        <f>(BH5)-(BH8)</f>
        <v>0</v>
      </c>
      <c r="BI38" s="2018">
        <f>BH38/$AD$89</f>
        <v>0</v>
      </c>
      <c r="BJ38" s="2018"/>
      <c r="BK38" s="2018">
        <f>(BK5)-(BK8)</f>
        <v>0</v>
      </c>
      <c r="BL38" s="2018">
        <f>(BL5)-(BL8)</f>
        <v>0</v>
      </c>
      <c r="BM38" s="2018">
        <f>(BM5)-(BM8)</f>
        <v>0</v>
      </c>
      <c r="BN38" s="2018">
        <f>BM38/$AD$89</f>
        <v>0</v>
      </c>
      <c r="BO38" s="2018"/>
      <c r="BP38" s="2018">
        <f>(BP5)-(BP8)</f>
        <v>0</v>
      </c>
      <c r="BQ38" s="2018">
        <f>(BQ5)-(BQ8)</f>
        <v>0</v>
      </c>
      <c r="BR38" s="2018">
        <f>(BR5)-(BR8)</f>
        <v>0</v>
      </c>
      <c r="BS38" s="2018">
        <f>BR38/$AD$89</f>
        <v>0</v>
      </c>
      <c r="BT38" s="2018"/>
      <c r="BU38" s="2018">
        <f>(BU5)-(BU8)</f>
        <v>0</v>
      </c>
      <c r="BV38" s="2018">
        <f>(BV5)-(BV8)</f>
        <v>0</v>
      </c>
      <c r="BW38" s="2018">
        <f>(BW5)-(BW8)</f>
        <v>0</v>
      </c>
      <c r="BX38" s="2018" t="e">
        <f>BW38/$AN$89</f>
        <v>#DIV/0!</v>
      </c>
      <c r="BY38" s="2018"/>
      <c r="BZ38" s="2018">
        <f>(BZ5)-(BZ8)</f>
        <v>0</v>
      </c>
      <c r="CA38" s="2018">
        <f>(CA5)-(CA8)</f>
        <v>0</v>
      </c>
      <c r="CB38" s="2018">
        <f>(CB5)-(CB8)</f>
        <v>0</v>
      </c>
      <c r="CC38" s="2018" t="e">
        <f>CB38/$AN$89</f>
        <v>#DIV/0!</v>
      </c>
      <c r="CD38" s="2018"/>
      <c r="CE38" s="2018">
        <f>(CE5)-(CE8)</f>
        <v>0</v>
      </c>
      <c r="CF38" s="2018">
        <f>(CF5)-(CF8)</f>
        <v>0</v>
      </c>
      <c r="CG38" s="2018">
        <f>(CG5)-(CG8)</f>
        <v>0</v>
      </c>
      <c r="CH38" s="2018" t="e">
        <f>CG38/$AN$89</f>
        <v>#DIV/0!</v>
      </c>
      <c r="CI38" s="2018"/>
      <c r="CJ38" s="2018">
        <f>(CJ5)-(CJ8)</f>
        <v>0</v>
      </c>
      <c r="CK38" s="2018">
        <f>(CK5)-(CK8)</f>
        <v>0</v>
      </c>
      <c r="CL38" s="2018">
        <f>(CL5)-(CL8)</f>
        <v>0</v>
      </c>
      <c r="CM38" s="2018" t="e">
        <f>CL38/$AN$89</f>
        <v>#DIV/0!</v>
      </c>
      <c r="CN38" s="2018"/>
      <c r="CO38" s="2018">
        <f>(CO5)-(CO8)</f>
        <v>0</v>
      </c>
      <c r="CP38" s="2018">
        <f>(CP5)-(CP8)</f>
        <v>0</v>
      </c>
      <c r="CQ38" s="2018">
        <f>(CQ5)-(CQ8)</f>
        <v>0</v>
      </c>
      <c r="CR38" s="2018" t="e">
        <f>CQ38/$AN$89</f>
        <v>#DIV/0!</v>
      </c>
      <c r="CS38" s="2018"/>
      <c r="CT38" s="2018">
        <f>(CT5)-(CT8)</f>
        <v>0</v>
      </c>
      <c r="CU38" s="2018">
        <f>(CU5)-(CU8)</f>
        <v>0</v>
      </c>
      <c r="CV38" s="2018">
        <f>(CV5)-(CV8)</f>
        <v>0</v>
      </c>
      <c r="CW38" s="2018" t="e">
        <f>CV38/$AN$89</f>
        <v>#DIV/0!</v>
      </c>
      <c r="CX38" s="2018"/>
      <c r="CY38" s="2018">
        <f>(CY5)-(CY8)</f>
        <v>371686.54439999978</v>
      </c>
      <c r="CZ38" s="2018">
        <f>(CZ5)-(CZ8)</f>
        <v>-56136.369999999995</v>
      </c>
      <c r="DA38" s="2018">
        <f>(DA5)-(DA8)</f>
        <v>315550.1743999999</v>
      </c>
      <c r="DB38" s="2018"/>
      <c r="DC38" s="2018"/>
    </row>
    <row r="39" spans="1:107" ht="13.8" x14ac:dyDescent="0.25">
      <c r="A39" s="1580"/>
      <c r="B39" s="1423" t="s">
        <v>47</v>
      </c>
      <c r="C39" s="2019" t="e">
        <f>C38/(C5)</f>
        <v>#DIV/0!</v>
      </c>
      <c r="D39" s="2019" t="e">
        <f>D38/(D5)</f>
        <v>#DIV/0!</v>
      </c>
      <c r="E39" s="2020" t="e">
        <f>E38/(E5)</f>
        <v>#DIV/0!</v>
      </c>
      <c r="F39" s="2020"/>
      <c r="G39" s="2020"/>
      <c r="H39" s="2019" t="e">
        <f>H38/(H5)</f>
        <v>#DIV/0!</v>
      </c>
      <c r="I39" s="2019">
        <f>I38/(I5)</f>
        <v>0.86046059574834688</v>
      </c>
      <c r="J39" s="2020">
        <f>J38/(J5)</f>
        <v>-0.30737162118503525</v>
      </c>
      <c r="K39" s="2020"/>
      <c r="L39" s="2020"/>
      <c r="M39" s="2019">
        <f>M38/(M5)</f>
        <v>0.29984574055819341</v>
      </c>
      <c r="N39" s="2019">
        <f>N38/(N5)</f>
        <v>0.88758726777896102</v>
      </c>
      <c r="O39" s="2020">
        <f>O38/(O5)</f>
        <v>0.62888116775362435</v>
      </c>
      <c r="P39" s="2020">
        <f t="shared" si="2"/>
        <v>5.419259022883007E-6</v>
      </c>
      <c r="Q39" s="2020"/>
      <c r="R39" s="2019">
        <f>R38/(R5)</f>
        <v>0.89024145384410758</v>
      </c>
      <c r="S39" s="2019" t="e">
        <f>S38/(S5)</f>
        <v>#DIV/0!</v>
      </c>
      <c r="T39" s="2020">
        <f>T38/(T5)</f>
        <v>0.78766560255387064</v>
      </c>
      <c r="U39" s="2020">
        <f t="shared" si="50"/>
        <v>6.7875524702099716E-6</v>
      </c>
      <c r="V39" s="2020"/>
      <c r="W39" s="2019">
        <f>W38/(W5)</f>
        <v>0.69421683784494714</v>
      </c>
      <c r="X39" s="2019" t="e">
        <f>X38/(X5)</f>
        <v>#DIV/0!</v>
      </c>
      <c r="Y39" s="2020">
        <f>Y38/(Y5)</f>
        <v>0.57270915119603982</v>
      </c>
      <c r="Z39" s="2020">
        <f t="shared" si="51"/>
        <v>4.935207785269096E-6</v>
      </c>
      <c r="AA39" s="2020"/>
      <c r="AB39" s="2019">
        <f>AB38/(AB5)</f>
        <v>0.33372454087507197</v>
      </c>
      <c r="AC39" s="2019" t="e">
        <f>AC38/(AC5)</f>
        <v>#DIV/0!</v>
      </c>
      <c r="AD39" s="2020">
        <f>AD38/(AD5)</f>
        <v>0.10145986039147958</v>
      </c>
      <c r="AE39" s="2020">
        <f t="shared" si="52"/>
        <v>8.7431027049355808E-7</v>
      </c>
      <c r="AF39" s="2020"/>
      <c r="AG39" s="2019">
        <v>9.7691396855933449E-2</v>
      </c>
      <c r="AH39" s="2019">
        <v>-6.0207033722345527</v>
      </c>
      <c r="AI39" s="2020">
        <v>-7.3224893542053957E-2</v>
      </c>
      <c r="AJ39" s="2020">
        <v>-1.1234854548539112E-6</v>
      </c>
      <c r="AK39" s="2020"/>
      <c r="AL39" s="2019" t="e">
        <f>AL38/(AL5)</f>
        <v>#DIV/0!</v>
      </c>
      <c r="AM39" s="2019" t="e">
        <f>AM38/(AM5)</f>
        <v>#DIV/0!</v>
      </c>
      <c r="AN39" s="2020" t="e">
        <f>AN38/(AN5)</f>
        <v>#DIV/0!</v>
      </c>
      <c r="AO39" s="2020" t="e">
        <f t="shared" si="53"/>
        <v>#DIV/0!</v>
      </c>
      <c r="AP39" s="2020"/>
      <c r="AQ39" s="2019" t="e">
        <f>AQ38/(AQ5)</f>
        <v>#DIV/0!</v>
      </c>
      <c r="AR39" s="2019" t="e">
        <f>AR38/(AR5)</f>
        <v>#DIV/0!</v>
      </c>
      <c r="AS39" s="2020" t="e">
        <f>AS38/(AS5)</f>
        <v>#DIV/0!</v>
      </c>
      <c r="AT39" s="2020" t="e">
        <f t="shared" si="54"/>
        <v>#DIV/0!</v>
      </c>
      <c r="AU39" s="2020"/>
      <c r="AV39" s="2019" t="e">
        <f>AV38/(AV5)</f>
        <v>#DIV/0!</v>
      </c>
      <c r="AW39" s="2019" t="e">
        <f>AW38/(AW5)</f>
        <v>#DIV/0!</v>
      </c>
      <c r="AX39" s="2020" t="e">
        <f>AX38/(AX5)</f>
        <v>#DIV/0!</v>
      </c>
      <c r="AY39" s="2020" t="e">
        <f t="shared" si="55"/>
        <v>#DIV/0!</v>
      </c>
      <c r="AZ39" s="2020"/>
      <c r="BA39" s="2019" t="e">
        <f>BA38/(BA5)</f>
        <v>#DIV/0!</v>
      </c>
      <c r="BB39" s="2019" t="e">
        <f>BB38/(BB5)</f>
        <v>#DIV/0!</v>
      </c>
      <c r="BC39" s="2020" t="e">
        <f>BC38/(BC5)</f>
        <v>#DIV/0!</v>
      </c>
      <c r="BD39" s="2020" t="e">
        <f>BC39/$AD$89</f>
        <v>#DIV/0!</v>
      </c>
      <c r="BE39" s="2020"/>
      <c r="BF39" s="2019" t="e">
        <f>BF38/(BF5)</f>
        <v>#DIV/0!</v>
      </c>
      <c r="BG39" s="2019" t="e">
        <f>BG38/(BG5)</f>
        <v>#DIV/0!</v>
      </c>
      <c r="BH39" s="2020" t="e">
        <f>BH38/(BH5)</f>
        <v>#DIV/0!</v>
      </c>
      <c r="BI39" s="2020" t="e">
        <f>BH39/$AD$89</f>
        <v>#DIV/0!</v>
      </c>
      <c r="BJ39" s="2020"/>
      <c r="BK39" s="2019" t="e">
        <f>BK38/(BK5)</f>
        <v>#DIV/0!</v>
      </c>
      <c r="BL39" s="2019" t="e">
        <f>BL38/(BL5)</f>
        <v>#DIV/0!</v>
      </c>
      <c r="BM39" s="2020" t="e">
        <f>BM38/(BM5)</f>
        <v>#DIV/0!</v>
      </c>
      <c r="BN39" s="2020" t="e">
        <f>BM39/$AD$89</f>
        <v>#DIV/0!</v>
      </c>
      <c r="BO39" s="2020"/>
      <c r="BP39" s="2019" t="e">
        <f>BP38/(BP5)</f>
        <v>#DIV/0!</v>
      </c>
      <c r="BQ39" s="2019" t="e">
        <f>BQ38/(BQ5)</f>
        <v>#DIV/0!</v>
      </c>
      <c r="BR39" s="2020" t="e">
        <f>BR38/(BR5)</f>
        <v>#DIV/0!</v>
      </c>
      <c r="BS39" s="2020" t="e">
        <f>BR39/$AD$89</f>
        <v>#DIV/0!</v>
      </c>
      <c r="BT39" s="2020"/>
      <c r="BU39" s="2019" t="e">
        <f>BU38/(BU5)</f>
        <v>#DIV/0!</v>
      </c>
      <c r="BV39" s="2019" t="e">
        <f>BV38/(BV5)</f>
        <v>#DIV/0!</v>
      </c>
      <c r="BW39" s="2020" t="e">
        <f>BW38/(BW5)</f>
        <v>#DIV/0!</v>
      </c>
      <c r="BX39" s="2020" t="e">
        <f>BW39/$AN$89</f>
        <v>#DIV/0!</v>
      </c>
      <c r="BY39" s="2020"/>
      <c r="BZ39" s="2019" t="e">
        <f>BZ38/(BZ5)</f>
        <v>#DIV/0!</v>
      </c>
      <c r="CA39" s="2019" t="e">
        <f>CA38/(CA5)</f>
        <v>#DIV/0!</v>
      </c>
      <c r="CB39" s="2020" t="e">
        <f>CB38/(CB5)</f>
        <v>#DIV/0!</v>
      </c>
      <c r="CC39" s="2020" t="e">
        <f>CB39/$AN$89</f>
        <v>#DIV/0!</v>
      </c>
      <c r="CD39" s="2019"/>
      <c r="CE39" s="2019" t="e">
        <f>CE38/(CE5)</f>
        <v>#DIV/0!</v>
      </c>
      <c r="CF39" s="2019">
        <f>IFERROR(CF38/(CF5),0)</f>
        <v>0</v>
      </c>
      <c r="CG39" s="2020" t="e">
        <f>CG38/(CG5)</f>
        <v>#DIV/0!</v>
      </c>
      <c r="CH39" s="2020" t="e">
        <f>CG39/$AN$89</f>
        <v>#DIV/0!</v>
      </c>
      <c r="CI39" s="2019"/>
      <c r="CJ39" s="2019" t="e">
        <f>CJ38/(CJ5)</f>
        <v>#DIV/0!</v>
      </c>
      <c r="CK39" s="2019">
        <f>IFERROR(CK38/(CK5),0)</f>
        <v>0</v>
      </c>
      <c r="CL39" s="2020" t="e">
        <f>CL38/(CL5)</f>
        <v>#DIV/0!</v>
      </c>
      <c r="CM39" s="2020" t="e">
        <f>CL39/$AN$89</f>
        <v>#DIV/0!</v>
      </c>
      <c r="CN39" s="2019"/>
      <c r="CO39" s="2019" t="e">
        <f>CO38/(CO5)</f>
        <v>#DIV/0!</v>
      </c>
      <c r="CP39" s="2019">
        <f>IFERROR(CP38/(CP5),0)</f>
        <v>0</v>
      </c>
      <c r="CQ39" s="2020" t="e">
        <f>CQ38/(CQ5)</f>
        <v>#DIV/0!</v>
      </c>
      <c r="CR39" s="2020" t="e">
        <f>CQ39/$AN$89</f>
        <v>#DIV/0!</v>
      </c>
      <c r="CS39" s="2019"/>
      <c r="CT39" s="2019" t="e">
        <f>CT38/(CT5)</f>
        <v>#DIV/0!</v>
      </c>
      <c r="CU39" s="2019">
        <f>IFERROR(CU38/(CU5),0)</f>
        <v>0</v>
      </c>
      <c r="CV39" s="2020" t="e">
        <f>CV38/(CV5)</f>
        <v>#DIV/0!</v>
      </c>
      <c r="CW39" s="2020" t="e">
        <f>CV39/$AN$89</f>
        <v>#DIV/0!</v>
      </c>
      <c r="CX39" s="2019"/>
      <c r="CY39" s="2019">
        <f>CY38/(CY5)</f>
        <v>0.16349920226260461</v>
      </c>
      <c r="CZ39" s="2019">
        <f>CZ38/(CZ5)</f>
        <v>-0.14406740860790418</v>
      </c>
      <c r="DA39" s="2020">
        <f>DA38/(DA5)</f>
        <v>0.11849527776019403</v>
      </c>
      <c r="DB39" s="2020"/>
      <c r="DC39" s="2020"/>
    </row>
    <row r="40" spans="1:107" ht="14.4" thickBot="1" x14ac:dyDescent="0.3">
      <c r="A40" s="1582"/>
      <c r="B40" s="3316"/>
      <c r="C40" s="3317"/>
      <c r="D40" s="3317"/>
      <c r="E40" s="3317"/>
      <c r="F40" s="3317"/>
      <c r="G40" s="3317"/>
      <c r="H40" s="3317"/>
      <c r="I40" s="3317"/>
      <c r="J40" s="3317"/>
      <c r="K40" s="3317"/>
      <c r="L40" s="3317"/>
      <c r="M40" s="3317"/>
      <c r="N40" s="3317"/>
      <c r="O40" s="3317"/>
      <c r="P40" s="3317">
        <f t="shared" si="2"/>
        <v>0</v>
      </c>
      <c r="Q40" s="3317"/>
      <c r="R40" s="3317"/>
      <c r="S40" s="3317"/>
      <c r="T40" s="3317"/>
      <c r="U40" s="3317">
        <f t="shared" si="50"/>
        <v>0</v>
      </c>
      <c r="V40" s="3317"/>
      <c r="W40" s="3317"/>
      <c r="X40" s="3317"/>
      <c r="Y40" s="3317"/>
      <c r="Z40" s="3317">
        <f t="shared" si="51"/>
        <v>0</v>
      </c>
      <c r="AA40" s="3317"/>
      <c r="AB40" s="3317"/>
      <c r="AC40" s="3317"/>
      <c r="AD40" s="3317"/>
      <c r="AE40" s="3317">
        <f t="shared" si="52"/>
        <v>0</v>
      </c>
      <c r="AF40" s="3317"/>
      <c r="AG40" s="3317"/>
      <c r="AH40" s="3317"/>
      <c r="AI40" s="3317"/>
      <c r="AJ40" s="3317">
        <v>0</v>
      </c>
      <c r="AK40" s="3317"/>
      <c r="AL40" s="3317"/>
      <c r="AM40" s="3317"/>
      <c r="AN40" s="3317"/>
      <c r="AO40" s="3317">
        <f t="shared" si="53"/>
        <v>0</v>
      </c>
      <c r="AP40" s="3317"/>
      <c r="AQ40" s="3317"/>
      <c r="AR40" s="3317"/>
      <c r="AS40" s="3317"/>
      <c r="AT40" s="3317">
        <f t="shared" si="54"/>
        <v>0</v>
      </c>
      <c r="AU40" s="3317"/>
      <c r="AV40" s="3317"/>
      <c r="AW40" s="3317"/>
      <c r="AX40" s="3317"/>
      <c r="AY40" s="3317">
        <f t="shared" si="55"/>
        <v>0</v>
      </c>
      <c r="AZ40" s="3317"/>
      <c r="BA40" s="3317"/>
      <c r="BB40" s="3317"/>
      <c r="BC40" s="3317"/>
      <c r="BD40" s="3317"/>
      <c r="BE40" s="3317"/>
      <c r="BF40" s="3317"/>
      <c r="BG40" s="3317"/>
      <c r="BH40" s="3317"/>
      <c r="BI40" s="3317"/>
      <c r="BJ40" s="3317"/>
      <c r="BK40" s="3317"/>
      <c r="BL40" s="3317"/>
      <c r="BM40" s="3317"/>
      <c r="BN40" s="3317"/>
      <c r="BO40" s="3317"/>
      <c r="BP40" s="3317"/>
      <c r="BQ40" s="3317"/>
      <c r="BR40" s="3317"/>
      <c r="BS40" s="3317"/>
      <c r="BT40" s="3317"/>
      <c r="BU40" s="3317"/>
      <c r="BV40" s="3317"/>
      <c r="BW40" s="3317"/>
      <c r="BX40" s="3317"/>
      <c r="BY40" s="3317"/>
      <c r="BZ40" s="3317"/>
      <c r="CA40" s="3317"/>
      <c r="CB40" s="3317"/>
      <c r="CC40" s="3317"/>
      <c r="CD40" s="3317"/>
      <c r="CE40" s="3317"/>
      <c r="CF40" s="3317"/>
      <c r="CG40" s="3317"/>
      <c r="CH40" s="3317"/>
      <c r="CI40" s="3317"/>
      <c r="CJ40" s="3317"/>
      <c r="CK40" s="3317"/>
      <c r="CL40" s="3317"/>
      <c r="CM40" s="3317"/>
      <c r="CN40" s="3317"/>
      <c r="CO40" s="3317"/>
      <c r="CP40" s="3317"/>
      <c r="CQ40" s="3317"/>
      <c r="CR40" s="3317"/>
      <c r="CS40" s="3317"/>
      <c r="CT40" s="3317"/>
      <c r="CU40" s="3317"/>
      <c r="CV40" s="3317"/>
      <c r="CW40" s="3317"/>
      <c r="CX40" s="3317"/>
      <c r="CY40" s="3317"/>
      <c r="CZ40" s="3317"/>
      <c r="DA40" s="3317"/>
      <c r="DB40" s="3317"/>
      <c r="DC40" s="3317"/>
    </row>
    <row r="41" spans="1:107" ht="13.8" x14ac:dyDescent="0.25">
      <c r="A41" s="1420"/>
      <c r="B41" s="1430" t="s">
        <v>26</v>
      </c>
      <c r="C41" s="2029">
        <f>SUM(C42:C48)</f>
        <v>0</v>
      </c>
      <c r="D41" s="2029">
        <f>SUM(D42:D48)</f>
        <v>0</v>
      </c>
      <c r="E41" s="2030">
        <f>SUM(E42:E48)</f>
        <v>0</v>
      </c>
      <c r="F41" s="3318">
        <f t="shared" ref="F41:F48" si="56">E41/$E$89</f>
        <v>0</v>
      </c>
      <c r="G41" s="2022"/>
      <c r="H41" s="2029">
        <f>SUM(H42:H48)</f>
        <v>0</v>
      </c>
      <c r="I41" s="2029">
        <f>SUM(I42:I48)</f>
        <v>0</v>
      </c>
      <c r="J41" s="2030">
        <f>SUM(J42:J48)</f>
        <v>0</v>
      </c>
      <c r="K41" s="3318">
        <f t="shared" ref="K41:K48" si="57">J41/$T$89</f>
        <v>0</v>
      </c>
      <c r="L41" s="2022"/>
      <c r="M41" s="2029">
        <f>SUM(M42:M48)</f>
        <v>0</v>
      </c>
      <c r="N41" s="2029">
        <f>SUM(N42:N48)</f>
        <v>0</v>
      </c>
      <c r="O41" s="2030">
        <f>SUM(O42:O48)</f>
        <v>0</v>
      </c>
      <c r="P41" s="3318">
        <f t="shared" si="2"/>
        <v>0</v>
      </c>
      <c r="Q41" s="2022"/>
      <c r="R41" s="2029">
        <f>SUM(R42:R48)</f>
        <v>0</v>
      </c>
      <c r="S41" s="2029">
        <f>SUM(S42:S48)</f>
        <v>0</v>
      </c>
      <c r="T41" s="2030">
        <f>SUM(T42:T48)</f>
        <v>0</v>
      </c>
      <c r="U41" s="3318">
        <f t="shared" si="50"/>
        <v>0</v>
      </c>
      <c r="V41" s="2022"/>
      <c r="W41" s="2029">
        <f>SUM(W42:W48)</f>
        <v>0</v>
      </c>
      <c r="X41" s="2029">
        <f>SUM(X42:X48)</f>
        <v>0</v>
      </c>
      <c r="Y41" s="2030">
        <f>SUM(Y42:Y48)</f>
        <v>0</v>
      </c>
      <c r="Z41" s="3318">
        <f t="shared" si="51"/>
        <v>0</v>
      </c>
      <c r="AA41" s="2022"/>
      <c r="AB41" s="2029">
        <f>SUM(AB42:AB48)</f>
        <v>0</v>
      </c>
      <c r="AC41" s="2029">
        <f>SUM(AC42:AC48)</f>
        <v>0</v>
      </c>
      <c r="AD41" s="2030">
        <f>SUM(AD42:AD48)</f>
        <v>0</v>
      </c>
      <c r="AE41" s="3318">
        <f t="shared" si="52"/>
        <v>0</v>
      </c>
      <c r="AF41" s="2022"/>
      <c r="AG41" s="2029">
        <v>0</v>
      </c>
      <c r="AH41" s="2029">
        <v>0</v>
      </c>
      <c r="AI41" s="2030">
        <v>0</v>
      </c>
      <c r="AJ41" s="3318">
        <v>0</v>
      </c>
      <c r="AK41" s="2022"/>
      <c r="AL41" s="2029">
        <f>SUM(AL42:AL48)</f>
        <v>0</v>
      </c>
      <c r="AM41" s="2029">
        <f>SUM(AM42:AM48)</f>
        <v>0</v>
      </c>
      <c r="AN41" s="2030">
        <f>SUM(AN42:AN48)</f>
        <v>0</v>
      </c>
      <c r="AO41" s="3318">
        <f t="shared" si="53"/>
        <v>0</v>
      </c>
      <c r="AP41" s="2022"/>
      <c r="AQ41" s="2029">
        <f>SUM(AQ42:AQ48)</f>
        <v>0</v>
      </c>
      <c r="AR41" s="2029">
        <f>SUM(AR42:AR48)</f>
        <v>0</v>
      </c>
      <c r="AS41" s="2030">
        <f>SUM(AS42:AS48)</f>
        <v>0</v>
      </c>
      <c r="AT41" s="3318">
        <f t="shared" si="54"/>
        <v>0</v>
      </c>
      <c r="AU41" s="2022"/>
      <c r="AV41" s="2029">
        <f>SUM(AV42:AV48)</f>
        <v>0</v>
      </c>
      <c r="AW41" s="2029">
        <f>SUM(AW42:AW48)</f>
        <v>0</v>
      </c>
      <c r="AX41" s="2030">
        <f>SUM(AX42:AX48)</f>
        <v>0</v>
      </c>
      <c r="AY41" s="3318">
        <f t="shared" si="55"/>
        <v>0</v>
      </c>
      <c r="AZ41" s="2022"/>
      <c r="BA41" s="2029">
        <f>SUM(BA42:BA48)</f>
        <v>0</v>
      </c>
      <c r="BB41" s="2029">
        <f>SUM(BB42:BB48)</f>
        <v>0</v>
      </c>
      <c r="BC41" s="2030">
        <f>SUM(BC42:BC48)</f>
        <v>0</v>
      </c>
      <c r="BD41" s="3318">
        <f t="shared" ref="BD41:BD52" si="58">BC41/$AD$89</f>
        <v>0</v>
      </c>
      <c r="BE41" s="2022"/>
      <c r="BF41" s="2029">
        <f>SUM(BF42:BF48)</f>
        <v>0</v>
      </c>
      <c r="BG41" s="2029">
        <f>SUM(BG42:BG48)</f>
        <v>0</v>
      </c>
      <c r="BH41" s="2030">
        <f>SUM(BH42:BH48)</f>
        <v>0</v>
      </c>
      <c r="BI41" s="3318">
        <f t="shared" ref="BI41:BI52" si="59">BH41/$AD$89</f>
        <v>0</v>
      </c>
      <c r="BJ41" s="2022"/>
      <c r="BK41" s="2029">
        <f>SUM(BK42:BK48)</f>
        <v>0</v>
      </c>
      <c r="BL41" s="2029">
        <f>SUM(BL42:BL48)</f>
        <v>0</v>
      </c>
      <c r="BM41" s="2030">
        <f>SUM(BM42:BM48)</f>
        <v>0</v>
      </c>
      <c r="BN41" s="3318">
        <f t="shared" ref="BN41:BN52" si="60">BM41/$AD$89</f>
        <v>0</v>
      </c>
      <c r="BO41" s="2022"/>
      <c r="BP41" s="2029">
        <f>SUM(BP42:BP48)</f>
        <v>0</v>
      </c>
      <c r="BQ41" s="2029">
        <f>SUM(BQ42:BQ48)</f>
        <v>0</v>
      </c>
      <c r="BR41" s="2030">
        <f>SUM(BR42:BR48)</f>
        <v>0</v>
      </c>
      <c r="BS41" s="3318">
        <f t="shared" ref="BS41:BS52" si="61">BR41/$AD$89</f>
        <v>0</v>
      </c>
      <c r="BT41" s="2022"/>
      <c r="BU41" s="2029">
        <f>SUM(BU42:BU48)</f>
        <v>0</v>
      </c>
      <c r="BV41" s="2029">
        <f>SUM(BV42:BV48)</f>
        <v>0</v>
      </c>
      <c r="BW41" s="2030">
        <f>SUM(BW42:BW48)</f>
        <v>0</v>
      </c>
      <c r="BX41" s="3318" t="e">
        <f t="shared" ref="BX41:BX52" si="62">BW41/$AN$89</f>
        <v>#DIV/0!</v>
      </c>
      <c r="BY41" s="2022"/>
      <c r="BZ41" s="2029">
        <f>SUM(BZ42:BZ48)</f>
        <v>0</v>
      </c>
      <c r="CA41" s="2029">
        <f>SUM(CA42:CA48)</f>
        <v>0</v>
      </c>
      <c r="CB41" s="2030">
        <f>SUM(CB42:CB48)</f>
        <v>0</v>
      </c>
      <c r="CC41" s="3318" t="e">
        <f t="shared" ref="CC41:CC52" si="63">CB41/$AN$89</f>
        <v>#DIV/0!</v>
      </c>
      <c r="CD41" s="1329"/>
      <c r="CE41" s="2029">
        <f>SUM(CE42:CE48)</f>
        <v>0</v>
      </c>
      <c r="CF41" s="2029">
        <f>SUM(CF42:CF48)</f>
        <v>0</v>
      </c>
      <c r="CG41" s="2030">
        <f>SUM(CG42:CG48)</f>
        <v>0</v>
      </c>
      <c r="CH41" s="3318" t="e">
        <f t="shared" ref="CH41:CH52" si="64">CG41/$AN$89</f>
        <v>#DIV/0!</v>
      </c>
      <c r="CI41" s="1329"/>
      <c r="CJ41" s="2029">
        <f>SUM(CJ42:CJ48)</f>
        <v>0</v>
      </c>
      <c r="CK41" s="2029">
        <f>SUM(CK42:CK48)</f>
        <v>0</v>
      </c>
      <c r="CL41" s="2030">
        <f>SUM(CL42:CL48)</f>
        <v>0</v>
      </c>
      <c r="CM41" s="3318" t="e">
        <f t="shared" ref="CM41:CM52" si="65">CL41/$AN$89</f>
        <v>#DIV/0!</v>
      </c>
      <c r="CN41" s="1329"/>
      <c r="CO41" s="2029">
        <f>SUM(CO42:CO48)</f>
        <v>0</v>
      </c>
      <c r="CP41" s="2029">
        <f>SUM(CP42:CP48)</f>
        <v>0</v>
      </c>
      <c r="CQ41" s="2030">
        <f>SUM(CQ42:CQ48)</f>
        <v>0</v>
      </c>
      <c r="CR41" s="3318" t="e">
        <f t="shared" ref="CR41:CR52" si="66">CQ41/$AN$89</f>
        <v>#DIV/0!</v>
      </c>
      <c r="CS41" s="1329"/>
      <c r="CT41" s="2029">
        <f>SUM(CT42:CT48)</f>
        <v>0</v>
      </c>
      <c r="CU41" s="2029">
        <f>SUM(CU42:CU48)</f>
        <v>0</v>
      </c>
      <c r="CV41" s="2030">
        <f>SUM(CV42:CV48)</f>
        <v>0</v>
      </c>
      <c r="CW41" s="3318" t="e">
        <f t="shared" ref="CW41:CW52" si="67">CV41/$AN$89</f>
        <v>#DIV/0!</v>
      </c>
      <c r="CX41" s="1329"/>
      <c r="CY41" s="2029">
        <f>SUM(CY42:CY48)</f>
        <v>0</v>
      </c>
      <c r="CZ41" s="2029">
        <f>SUM(CZ42:CZ48)</f>
        <v>0</v>
      </c>
      <c r="DA41" s="2030">
        <f>SUM(DA42:DA48)</f>
        <v>0</v>
      </c>
      <c r="DB41" s="3318">
        <f t="shared" ref="DB41:DB71" si="68">DA41/$DA$89</f>
        <v>0</v>
      </c>
      <c r="DC41" s="2022"/>
    </row>
    <row r="42" spans="1:107" ht="13.8" x14ac:dyDescent="0.25">
      <c r="A42" s="4015"/>
      <c r="B42" s="3319" t="s">
        <v>7</v>
      </c>
      <c r="C42" s="3274"/>
      <c r="D42" s="3274"/>
      <c r="E42" s="2028">
        <f t="shared" ref="E42:E48" si="69">C42+D42*1</f>
        <v>0</v>
      </c>
      <c r="F42" s="3284">
        <f t="shared" si="56"/>
        <v>0</v>
      </c>
      <c r="G42" s="3295"/>
      <c r="H42" s="3274"/>
      <c r="I42" s="3274"/>
      <c r="J42" s="2028">
        <f t="shared" ref="J42:J48" si="70">H42+I42*1</f>
        <v>0</v>
      </c>
      <c r="K42" s="3284">
        <f t="shared" si="57"/>
        <v>0</v>
      </c>
      <c r="L42" s="3295"/>
      <c r="M42" s="3274"/>
      <c r="N42" s="3274"/>
      <c r="O42" s="2028">
        <f t="shared" ref="O42:O48" si="71">M42+N42*1</f>
        <v>0</v>
      </c>
      <c r="P42" s="3284">
        <f t="shared" si="2"/>
        <v>0</v>
      </c>
      <c r="Q42" s="3295"/>
      <c r="R42" s="3274"/>
      <c r="S42" s="3274"/>
      <c r="T42" s="2028">
        <f t="shared" ref="T42:T48" si="72">R42+S42*1</f>
        <v>0</v>
      </c>
      <c r="U42" s="3284">
        <f t="shared" si="50"/>
        <v>0</v>
      </c>
      <c r="V42" s="3295"/>
      <c r="W42" s="3274"/>
      <c r="X42" s="3274"/>
      <c r="Y42" s="2028">
        <f t="shared" ref="Y42:Y48" si="73">W42+X42*1</f>
        <v>0</v>
      </c>
      <c r="Z42" s="3284">
        <f t="shared" si="51"/>
        <v>0</v>
      </c>
      <c r="AA42" s="3295"/>
      <c r="AB42" s="3274"/>
      <c r="AC42" s="3274"/>
      <c r="AD42" s="2028">
        <f t="shared" ref="AD42:AD48" si="74">AB42+AC42*1</f>
        <v>0</v>
      </c>
      <c r="AE42" s="3284">
        <f t="shared" si="52"/>
        <v>0</v>
      </c>
      <c r="AF42" s="3295"/>
      <c r="AG42" s="3274">
        <v>0</v>
      </c>
      <c r="AH42" s="3274">
        <v>0</v>
      </c>
      <c r="AI42" s="2028">
        <v>0</v>
      </c>
      <c r="AJ42" s="3284">
        <v>0</v>
      </c>
      <c r="AK42" s="3276"/>
      <c r="AL42" s="3274">
        <f t="shared" ref="AL42:AM48" si="75">AQ42+AV42+BA42+BF42+BK42+BP42+BU42+BZ42+CE42+CJ42+CO42+CT42</f>
        <v>0</v>
      </c>
      <c r="AM42" s="3274">
        <f t="shared" si="75"/>
        <v>0</v>
      </c>
      <c r="AN42" s="2028">
        <f t="shared" ref="AN42:AN48" si="76">AL42+AM42*1</f>
        <v>0</v>
      </c>
      <c r="AO42" s="3284">
        <f t="shared" si="53"/>
        <v>0</v>
      </c>
      <c r="AP42" s="3276"/>
      <c r="AQ42" s="3274"/>
      <c r="AR42" s="3274"/>
      <c r="AS42" s="2028">
        <f t="shared" ref="AS42:AS48" si="77">AQ42+AR42*1</f>
        <v>0</v>
      </c>
      <c r="AT42" s="3284">
        <f t="shared" si="54"/>
        <v>0</v>
      </c>
      <c r="AU42" s="3295"/>
      <c r="AV42" s="3274"/>
      <c r="AW42" s="3274"/>
      <c r="AX42" s="2028">
        <f t="shared" ref="AX42:AX48" si="78">AV42+AW42*1</f>
        <v>0</v>
      </c>
      <c r="AY42" s="3284">
        <f t="shared" si="55"/>
        <v>0</v>
      </c>
      <c r="AZ42" s="3295"/>
      <c r="BA42" s="3274"/>
      <c r="BB42" s="3274"/>
      <c r="BC42" s="2028">
        <f t="shared" ref="BC42:BC48" si="79">BA42+BB42*1</f>
        <v>0</v>
      </c>
      <c r="BD42" s="3284">
        <f t="shared" si="58"/>
        <v>0</v>
      </c>
      <c r="BE42" s="3295"/>
      <c r="BF42" s="3274"/>
      <c r="BG42" s="3274"/>
      <c r="BH42" s="2028">
        <f t="shared" ref="BH42:BH48" si="80">BF42+BG42*1</f>
        <v>0</v>
      </c>
      <c r="BI42" s="3284">
        <f t="shared" si="59"/>
        <v>0</v>
      </c>
      <c r="BJ42" s="3295"/>
      <c r="BK42" s="3274"/>
      <c r="BL42" s="3274"/>
      <c r="BM42" s="2028">
        <f t="shared" ref="BM42:BM48" si="81">BK42+BL42*1</f>
        <v>0</v>
      </c>
      <c r="BN42" s="3284">
        <f t="shared" si="60"/>
        <v>0</v>
      </c>
      <c r="BO42" s="3295"/>
      <c r="BP42" s="3274"/>
      <c r="BQ42" s="3274"/>
      <c r="BR42" s="2028">
        <f t="shared" ref="BR42:BR48" si="82">BP42+BQ42*1</f>
        <v>0</v>
      </c>
      <c r="BS42" s="3284">
        <f t="shared" si="61"/>
        <v>0</v>
      </c>
      <c r="BT42" s="3295"/>
      <c r="BU42" s="3274"/>
      <c r="BV42" s="3274"/>
      <c r="BW42" s="2028">
        <f t="shared" ref="BW42:BW48" si="83">BU42+BV42*1</f>
        <v>0</v>
      </c>
      <c r="BX42" s="3284" t="e">
        <f t="shared" si="62"/>
        <v>#DIV/0!</v>
      </c>
      <c r="BY42" s="3295"/>
      <c r="BZ42" s="3274"/>
      <c r="CA42" s="3274"/>
      <c r="CB42" s="2028">
        <f t="shared" ref="CB42:CB48" si="84">BZ42+CA42*1</f>
        <v>0</v>
      </c>
      <c r="CC42" s="3284" t="e">
        <f t="shared" si="63"/>
        <v>#DIV/0!</v>
      </c>
      <c r="CD42" s="1449"/>
      <c r="CE42" s="3274"/>
      <c r="CF42" s="3274"/>
      <c r="CG42" s="2028">
        <f t="shared" ref="CG42:CG48" si="85">CE42+CF42*1</f>
        <v>0</v>
      </c>
      <c r="CH42" s="3284" t="e">
        <f t="shared" si="64"/>
        <v>#DIV/0!</v>
      </c>
      <c r="CI42" s="1449"/>
      <c r="CJ42" s="3274"/>
      <c r="CK42" s="3274"/>
      <c r="CL42" s="2028">
        <f t="shared" ref="CL42:CL48" si="86">CJ42+CK42*1</f>
        <v>0</v>
      </c>
      <c r="CM42" s="3284" t="e">
        <f t="shared" si="65"/>
        <v>#DIV/0!</v>
      </c>
      <c r="CN42" s="1449"/>
      <c r="CO42" s="3274"/>
      <c r="CP42" s="3274"/>
      <c r="CQ42" s="2028">
        <f t="shared" ref="CQ42:CQ48" si="87">CO42+CP42*1</f>
        <v>0</v>
      </c>
      <c r="CR42" s="3284" t="e">
        <f t="shared" si="66"/>
        <v>#DIV/0!</v>
      </c>
      <c r="CS42" s="1449"/>
      <c r="CT42" s="3274"/>
      <c r="CU42" s="3274"/>
      <c r="CV42" s="2028">
        <f t="shared" ref="CV42:CV48" si="88">CT42+CU42*1</f>
        <v>0</v>
      </c>
      <c r="CW42" s="3284" t="e">
        <f t="shared" si="67"/>
        <v>#DIV/0!</v>
      </c>
      <c r="CX42" s="1449"/>
      <c r="CY42" s="3274">
        <f t="shared" ref="CY42:CZ49" si="89">C42+H42+M42+R42+W42+AB42+AQ42+AV42+BA42+BF42+BK42+BP42+BU42+BZ42+CE42+CJ42+CO42+CT42+AG42</f>
        <v>0</v>
      </c>
      <c r="CZ42" s="3274">
        <f t="shared" si="89"/>
        <v>0</v>
      </c>
      <c r="DA42" s="2028">
        <f t="shared" ref="DA42:DA48" si="90">CY42+CZ42*1</f>
        <v>0</v>
      </c>
      <c r="DB42" s="3284">
        <f t="shared" si="68"/>
        <v>0</v>
      </c>
      <c r="DC42" s="3295"/>
    </row>
    <row r="43" spans="1:107" ht="13.8" x14ac:dyDescent="0.25">
      <c r="A43" s="4015"/>
      <c r="B43" s="3319" t="s">
        <v>27</v>
      </c>
      <c r="C43" s="3274"/>
      <c r="D43" s="3274"/>
      <c r="E43" s="2028">
        <f t="shared" si="69"/>
        <v>0</v>
      </c>
      <c r="F43" s="3284">
        <f t="shared" si="56"/>
        <v>0</v>
      </c>
      <c r="G43" s="3295"/>
      <c r="H43" s="3274"/>
      <c r="I43" s="3274"/>
      <c r="J43" s="2028">
        <f t="shared" si="70"/>
        <v>0</v>
      </c>
      <c r="K43" s="3284">
        <f t="shared" si="57"/>
        <v>0</v>
      </c>
      <c r="L43" s="3295"/>
      <c r="M43" s="3274"/>
      <c r="N43" s="3274"/>
      <c r="O43" s="2028">
        <f t="shared" si="71"/>
        <v>0</v>
      </c>
      <c r="P43" s="3284">
        <f t="shared" si="2"/>
        <v>0</v>
      </c>
      <c r="Q43" s="3295"/>
      <c r="R43" s="3274"/>
      <c r="S43" s="3274"/>
      <c r="T43" s="2028">
        <f t="shared" si="72"/>
        <v>0</v>
      </c>
      <c r="U43" s="3284">
        <f t="shared" si="50"/>
        <v>0</v>
      </c>
      <c r="V43" s="3295"/>
      <c r="W43" s="3274"/>
      <c r="X43" s="3274"/>
      <c r="Y43" s="2028">
        <f t="shared" si="73"/>
        <v>0</v>
      </c>
      <c r="Z43" s="3284">
        <f t="shared" si="51"/>
        <v>0</v>
      </c>
      <c r="AA43" s="3295"/>
      <c r="AB43" s="3274"/>
      <c r="AC43" s="3274"/>
      <c r="AD43" s="2028">
        <f t="shared" si="74"/>
        <v>0</v>
      </c>
      <c r="AE43" s="3284">
        <f t="shared" si="52"/>
        <v>0</v>
      </c>
      <c r="AF43" s="3295"/>
      <c r="AG43" s="3274">
        <v>0</v>
      </c>
      <c r="AH43" s="3274">
        <v>0</v>
      </c>
      <c r="AI43" s="2028">
        <v>0</v>
      </c>
      <c r="AJ43" s="3284">
        <v>0</v>
      </c>
      <c r="AK43" s="3276"/>
      <c r="AL43" s="3274">
        <f t="shared" si="75"/>
        <v>0</v>
      </c>
      <c r="AM43" s="3274">
        <f t="shared" si="75"/>
        <v>0</v>
      </c>
      <c r="AN43" s="2028">
        <f t="shared" si="76"/>
        <v>0</v>
      </c>
      <c r="AO43" s="3284">
        <f t="shared" si="53"/>
        <v>0</v>
      </c>
      <c r="AP43" s="3276"/>
      <c r="AQ43" s="3274"/>
      <c r="AR43" s="3274"/>
      <c r="AS43" s="2028">
        <f t="shared" si="77"/>
        <v>0</v>
      </c>
      <c r="AT43" s="3284">
        <f t="shared" si="54"/>
        <v>0</v>
      </c>
      <c r="AU43" s="3295"/>
      <c r="AV43" s="3274"/>
      <c r="AW43" s="3274"/>
      <c r="AX43" s="2028">
        <f t="shared" si="78"/>
        <v>0</v>
      </c>
      <c r="AY43" s="3284">
        <f t="shared" si="55"/>
        <v>0</v>
      </c>
      <c r="AZ43" s="3295"/>
      <c r="BA43" s="3274"/>
      <c r="BB43" s="3274"/>
      <c r="BC43" s="2028">
        <f t="shared" si="79"/>
        <v>0</v>
      </c>
      <c r="BD43" s="3284">
        <f t="shared" si="58"/>
        <v>0</v>
      </c>
      <c r="BE43" s="3295"/>
      <c r="BF43" s="3274"/>
      <c r="BG43" s="3274"/>
      <c r="BH43" s="2028">
        <f t="shared" si="80"/>
        <v>0</v>
      </c>
      <c r="BI43" s="3284">
        <f t="shared" si="59"/>
        <v>0</v>
      </c>
      <c r="BJ43" s="3295"/>
      <c r="BK43" s="3274"/>
      <c r="BL43" s="3274"/>
      <c r="BM43" s="2028">
        <f t="shared" si="81"/>
        <v>0</v>
      </c>
      <c r="BN43" s="3284">
        <f t="shared" si="60"/>
        <v>0</v>
      </c>
      <c r="BO43" s="3295"/>
      <c r="BP43" s="3274"/>
      <c r="BQ43" s="3274"/>
      <c r="BR43" s="2028">
        <f t="shared" si="82"/>
        <v>0</v>
      </c>
      <c r="BS43" s="3284">
        <f t="shared" si="61"/>
        <v>0</v>
      </c>
      <c r="BT43" s="3295"/>
      <c r="BU43" s="3274"/>
      <c r="BV43" s="3274"/>
      <c r="BW43" s="2028">
        <f t="shared" si="83"/>
        <v>0</v>
      </c>
      <c r="BX43" s="3284" t="e">
        <f t="shared" si="62"/>
        <v>#DIV/0!</v>
      </c>
      <c r="BY43" s="3295"/>
      <c r="BZ43" s="3274"/>
      <c r="CA43" s="3274"/>
      <c r="CB43" s="2028">
        <f t="shared" si="84"/>
        <v>0</v>
      </c>
      <c r="CC43" s="3284" t="e">
        <f t="shared" si="63"/>
        <v>#DIV/0!</v>
      </c>
      <c r="CD43" s="1449"/>
      <c r="CE43" s="3274"/>
      <c r="CF43" s="3274"/>
      <c r="CG43" s="2028">
        <f t="shared" si="85"/>
        <v>0</v>
      </c>
      <c r="CH43" s="3284" t="e">
        <f t="shared" si="64"/>
        <v>#DIV/0!</v>
      </c>
      <c r="CI43" s="1449"/>
      <c r="CJ43" s="3274"/>
      <c r="CK43" s="3274"/>
      <c r="CL43" s="2028">
        <f t="shared" si="86"/>
        <v>0</v>
      </c>
      <c r="CM43" s="3284" t="e">
        <f t="shared" si="65"/>
        <v>#DIV/0!</v>
      </c>
      <c r="CN43" s="1449"/>
      <c r="CO43" s="3274"/>
      <c r="CP43" s="3274"/>
      <c r="CQ43" s="2028">
        <f t="shared" si="87"/>
        <v>0</v>
      </c>
      <c r="CR43" s="3284" t="e">
        <f t="shared" si="66"/>
        <v>#DIV/0!</v>
      </c>
      <c r="CS43" s="1449"/>
      <c r="CT43" s="3274"/>
      <c r="CU43" s="3274"/>
      <c r="CV43" s="2028">
        <f t="shared" si="88"/>
        <v>0</v>
      </c>
      <c r="CW43" s="3284" t="e">
        <f t="shared" si="67"/>
        <v>#DIV/0!</v>
      </c>
      <c r="CX43" s="1449"/>
      <c r="CY43" s="3274">
        <f t="shared" si="89"/>
        <v>0</v>
      </c>
      <c r="CZ43" s="3274">
        <f t="shared" si="89"/>
        <v>0</v>
      </c>
      <c r="DA43" s="2028">
        <f t="shared" si="90"/>
        <v>0</v>
      </c>
      <c r="DB43" s="3284">
        <f t="shared" si="68"/>
        <v>0</v>
      </c>
      <c r="DC43" s="3295"/>
    </row>
    <row r="44" spans="1:107" ht="13.8" x14ac:dyDescent="0.25">
      <c r="A44" s="4015"/>
      <c r="B44" s="3310" t="s">
        <v>28</v>
      </c>
      <c r="C44" s="3274"/>
      <c r="D44" s="3274"/>
      <c r="E44" s="2028">
        <f t="shared" si="69"/>
        <v>0</v>
      </c>
      <c r="F44" s="3284">
        <f t="shared" si="56"/>
        <v>0</v>
      </c>
      <c r="G44" s="3295"/>
      <c r="H44" s="3274"/>
      <c r="I44" s="3274"/>
      <c r="J44" s="2028">
        <f t="shared" si="70"/>
        <v>0</v>
      </c>
      <c r="K44" s="3284">
        <f t="shared" si="57"/>
        <v>0</v>
      </c>
      <c r="L44" s="3295"/>
      <c r="M44" s="3274"/>
      <c r="N44" s="3274"/>
      <c r="O44" s="2028">
        <f t="shared" si="71"/>
        <v>0</v>
      </c>
      <c r="P44" s="3284">
        <f t="shared" si="2"/>
        <v>0</v>
      </c>
      <c r="Q44" s="3295"/>
      <c r="R44" s="3274"/>
      <c r="S44" s="3274"/>
      <c r="T44" s="2028">
        <f t="shared" si="72"/>
        <v>0</v>
      </c>
      <c r="U44" s="3284">
        <f t="shared" si="50"/>
        <v>0</v>
      </c>
      <c r="V44" s="3295"/>
      <c r="W44" s="3274"/>
      <c r="X44" s="3274"/>
      <c r="Y44" s="2028">
        <f t="shared" si="73"/>
        <v>0</v>
      </c>
      <c r="Z44" s="3284">
        <f t="shared" si="51"/>
        <v>0</v>
      </c>
      <c r="AA44" s="3295"/>
      <c r="AB44" s="3274"/>
      <c r="AC44" s="3274"/>
      <c r="AD44" s="2028">
        <f t="shared" si="74"/>
        <v>0</v>
      </c>
      <c r="AE44" s="3284">
        <f t="shared" si="52"/>
        <v>0</v>
      </c>
      <c r="AF44" s="3295"/>
      <c r="AG44" s="3274">
        <v>0</v>
      </c>
      <c r="AH44" s="3274">
        <v>0</v>
      </c>
      <c r="AI44" s="2028">
        <v>0</v>
      </c>
      <c r="AJ44" s="3284">
        <v>0</v>
      </c>
      <c r="AK44" s="3276"/>
      <c r="AL44" s="3274">
        <f t="shared" si="75"/>
        <v>0</v>
      </c>
      <c r="AM44" s="3274">
        <f t="shared" si="75"/>
        <v>0</v>
      </c>
      <c r="AN44" s="2028">
        <f t="shared" si="76"/>
        <v>0</v>
      </c>
      <c r="AO44" s="3284">
        <f t="shared" si="53"/>
        <v>0</v>
      </c>
      <c r="AP44" s="3276"/>
      <c r="AQ44" s="3274"/>
      <c r="AR44" s="3274"/>
      <c r="AS44" s="2028">
        <f t="shared" si="77"/>
        <v>0</v>
      </c>
      <c r="AT44" s="3284">
        <f t="shared" si="54"/>
        <v>0</v>
      </c>
      <c r="AU44" s="3295"/>
      <c r="AV44" s="3274"/>
      <c r="AW44" s="3274"/>
      <c r="AX44" s="2028">
        <f t="shared" si="78"/>
        <v>0</v>
      </c>
      <c r="AY44" s="3284">
        <f t="shared" si="55"/>
        <v>0</v>
      </c>
      <c r="AZ44" s="3295"/>
      <c r="BA44" s="3274"/>
      <c r="BB44" s="3274"/>
      <c r="BC44" s="2028">
        <f t="shared" si="79"/>
        <v>0</v>
      </c>
      <c r="BD44" s="3284">
        <f t="shared" si="58"/>
        <v>0</v>
      </c>
      <c r="BE44" s="3295"/>
      <c r="BF44" s="3274"/>
      <c r="BG44" s="3274"/>
      <c r="BH44" s="2028">
        <f t="shared" si="80"/>
        <v>0</v>
      </c>
      <c r="BI44" s="3284">
        <f t="shared" si="59"/>
        <v>0</v>
      </c>
      <c r="BJ44" s="3295"/>
      <c r="BK44" s="3274"/>
      <c r="BL44" s="3274"/>
      <c r="BM44" s="2028">
        <f t="shared" si="81"/>
        <v>0</v>
      </c>
      <c r="BN44" s="3284">
        <f t="shared" si="60"/>
        <v>0</v>
      </c>
      <c r="BO44" s="3295"/>
      <c r="BP44" s="3274"/>
      <c r="BQ44" s="3274"/>
      <c r="BR44" s="2028">
        <f t="shared" si="82"/>
        <v>0</v>
      </c>
      <c r="BS44" s="3284">
        <f t="shared" si="61"/>
        <v>0</v>
      </c>
      <c r="BT44" s="3295"/>
      <c r="BU44" s="3274"/>
      <c r="BV44" s="3274"/>
      <c r="BW44" s="2028">
        <f t="shared" si="83"/>
        <v>0</v>
      </c>
      <c r="BX44" s="3284" t="e">
        <f t="shared" si="62"/>
        <v>#DIV/0!</v>
      </c>
      <c r="BY44" s="3295"/>
      <c r="BZ44" s="3274"/>
      <c r="CA44" s="3274"/>
      <c r="CB44" s="2028">
        <f t="shared" si="84"/>
        <v>0</v>
      </c>
      <c r="CC44" s="3284" t="e">
        <f t="shared" si="63"/>
        <v>#DIV/0!</v>
      </c>
      <c r="CD44" s="1449"/>
      <c r="CE44" s="3274"/>
      <c r="CF44" s="3274"/>
      <c r="CG44" s="2028">
        <f t="shared" si="85"/>
        <v>0</v>
      </c>
      <c r="CH44" s="3284" t="e">
        <f t="shared" si="64"/>
        <v>#DIV/0!</v>
      </c>
      <c r="CI44" s="1449"/>
      <c r="CJ44" s="3274"/>
      <c r="CK44" s="3274"/>
      <c r="CL44" s="2028">
        <f t="shared" si="86"/>
        <v>0</v>
      </c>
      <c r="CM44" s="3284" t="e">
        <f t="shared" si="65"/>
        <v>#DIV/0!</v>
      </c>
      <c r="CN44" s="1449"/>
      <c r="CO44" s="3274"/>
      <c r="CP44" s="3274"/>
      <c r="CQ44" s="2028">
        <f t="shared" si="87"/>
        <v>0</v>
      </c>
      <c r="CR44" s="3284" t="e">
        <f t="shared" si="66"/>
        <v>#DIV/0!</v>
      </c>
      <c r="CS44" s="1449"/>
      <c r="CT44" s="3274"/>
      <c r="CU44" s="3274"/>
      <c r="CV44" s="2028">
        <f t="shared" si="88"/>
        <v>0</v>
      </c>
      <c r="CW44" s="3284" t="e">
        <f t="shared" si="67"/>
        <v>#DIV/0!</v>
      </c>
      <c r="CX44" s="1449"/>
      <c r="CY44" s="3274">
        <f t="shared" si="89"/>
        <v>0</v>
      </c>
      <c r="CZ44" s="3274">
        <f t="shared" si="89"/>
        <v>0</v>
      </c>
      <c r="DA44" s="2028">
        <f t="shared" si="90"/>
        <v>0</v>
      </c>
      <c r="DB44" s="3284">
        <f t="shared" si="68"/>
        <v>0</v>
      </c>
      <c r="DC44" s="3295"/>
    </row>
    <row r="45" spans="1:107" ht="13.8" x14ac:dyDescent="0.25">
      <c r="A45" s="4015"/>
      <c r="B45" s="3319" t="s">
        <v>8</v>
      </c>
      <c r="C45" s="3274"/>
      <c r="D45" s="3274"/>
      <c r="E45" s="2028">
        <f t="shared" si="69"/>
        <v>0</v>
      </c>
      <c r="F45" s="3284">
        <f t="shared" si="56"/>
        <v>0</v>
      </c>
      <c r="G45" s="3295"/>
      <c r="H45" s="3274"/>
      <c r="I45" s="3274"/>
      <c r="J45" s="2028">
        <f t="shared" si="70"/>
        <v>0</v>
      </c>
      <c r="K45" s="3284">
        <f t="shared" si="57"/>
        <v>0</v>
      </c>
      <c r="L45" s="3295"/>
      <c r="M45" s="3274"/>
      <c r="N45" s="3274"/>
      <c r="O45" s="2028">
        <f t="shared" si="71"/>
        <v>0</v>
      </c>
      <c r="P45" s="3284">
        <f t="shared" si="2"/>
        <v>0</v>
      </c>
      <c r="Q45" s="3295"/>
      <c r="R45" s="3274"/>
      <c r="S45" s="3274"/>
      <c r="T45" s="2028">
        <f t="shared" si="72"/>
        <v>0</v>
      </c>
      <c r="U45" s="3284">
        <f t="shared" si="50"/>
        <v>0</v>
      </c>
      <c r="V45" s="3295"/>
      <c r="W45" s="3274"/>
      <c r="X45" s="3274"/>
      <c r="Y45" s="2028">
        <f t="shared" si="73"/>
        <v>0</v>
      </c>
      <c r="Z45" s="3284">
        <f t="shared" si="51"/>
        <v>0</v>
      </c>
      <c r="AA45" s="3295"/>
      <c r="AB45" s="3274"/>
      <c r="AC45" s="3274"/>
      <c r="AD45" s="2028">
        <f t="shared" si="74"/>
        <v>0</v>
      </c>
      <c r="AE45" s="3284">
        <f t="shared" si="52"/>
        <v>0</v>
      </c>
      <c r="AF45" s="3295"/>
      <c r="AG45" s="3274">
        <v>0</v>
      </c>
      <c r="AH45" s="3274">
        <v>0</v>
      </c>
      <c r="AI45" s="2028">
        <v>0</v>
      </c>
      <c r="AJ45" s="3284">
        <v>0</v>
      </c>
      <c r="AK45" s="3295"/>
      <c r="AL45" s="3274">
        <f t="shared" si="75"/>
        <v>0</v>
      </c>
      <c r="AM45" s="3274">
        <f t="shared" si="75"/>
        <v>0</v>
      </c>
      <c r="AN45" s="2028">
        <f t="shared" si="76"/>
        <v>0</v>
      </c>
      <c r="AO45" s="3284">
        <f t="shared" si="53"/>
        <v>0</v>
      </c>
      <c r="AP45" s="3295"/>
      <c r="AQ45" s="3274"/>
      <c r="AR45" s="3274"/>
      <c r="AS45" s="2028">
        <f t="shared" si="77"/>
        <v>0</v>
      </c>
      <c r="AT45" s="3284">
        <f t="shared" si="54"/>
        <v>0</v>
      </c>
      <c r="AU45" s="3295"/>
      <c r="AV45" s="3274"/>
      <c r="AW45" s="3274"/>
      <c r="AX45" s="2028">
        <f t="shared" si="78"/>
        <v>0</v>
      </c>
      <c r="AY45" s="3284">
        <f t="shared" si="55"/>
        <v>0</v>
      </c>
      <c r="AZ45" s="3295"/>
      <c r="BA45" s="3274"/>
      <c r="BB45" s="3274"/>
      <c r="BC45" s="2028">
        <f t="shared" si="79"/>
        <v>0</v>
      </c>
      <c r="BD45" s="3284">
        <f t="shared" si="58"/>
        <v>0</v>
      </c>
      <c r="BE45" s="3295"/>
      <c r="BF45" s="3274"/>
      <c r="BG45" s="3274"/>
      <c r="BH45" s="2028">
        <f t="shared" si="80"/>
        <v>0</v>
      </c>
      <c r="BI45" s="3284">
        <f t="shared" si="59"/>
        <v>0</v>
      </c>
      <c r="BJ45" s="3295"/>
      <c r="BK45" s="3274"/>
      <c r="BL45" s="3274"/>
      <c r="BM45" s="2028">
        <f t="shared" si="81"/>
        <v>0</v>
      </c>
      <c r="BN45" s="3284">
        <f t="shared" si="60"/>
        <v>0</v>
      </c>
      <c r="BO45" s="3295"/>
      <c r="BP45" s="3274"/>
      <c r="BQ45" s="3274"/>
      <c r="BR45" s="2028">
        <f t="shared" si="82"/>
        <v>0</v>
      </c>
      <c r="BS45" s="3284">
        <f t="shared" si="61"/>
        <v>0</v>
      </c>
      <c r="BT45" s="3295"/>
      <c r="BU45" s="3274"/>
      <c r="BV45" s="3274"/>
      <c r="BW45" s="2028">
        <f t="shared" si="83"/>
        <v>0</v>
      </c>
      <c r="BX45" s="3284" t="e">
        <f t="shared" si="62"/>
        <v>#DIV/0!</v>
      </c>
      <c r="BY45" s="3295"/>
      <c r="BZ45" s="3274"/>
      <c r="CA45" s="3274"/>
      <c r="CB45" s="2028">
        <f t="shared" si="84"/>
        <v>0</v>
      </c>
      <c r="CC45" s="3284" t="e">
        <f t="shared" si="63"/>
        <v>#DIV/0!</v>
      </c>
      <c r="CD45" s="1449"/>
      <c r="CE45" s="3274"/>
      <c r="CF45" s="3274"/>
      <c r="CG45" s="2028">
        <f t="shared" si="85"/>
        <v>0</v>
      </c>
      <c r="CH45" s="3284" t="e">
        <f t="shared" si="64"/>
        <v>#DIV/0!</v>
      </c>
      <c r="CI45" s="1449"/>
      <c r="CJ45" s="3274"/>
      <c r="CK45" s="3274"/>
      <c r="CL45" s="2028">
        <f t="shared" si="86"/>
        <v>0</v>
      </c>
      <c r="CM45" s="3284" t="e">
        <f t="shared" si="65"/>
        <v>#DIV/0!</v>
      </c>
      <c r="CN45" s="1449"/>
      <c r="CO45" s="3274"/>
      <c r="CP45" s="3274"/>
      <c r="CQ45" s="2028">
        <f t="shared" si="87"/>
        <v>0</v>
      </c>
      <c r="CR45" s="3284" t="e">
        <f t="shared" si="66"/>
        <v>#DIV/0!</v>
      </c>
      <c r="CS45" s="1449"/>
      <c r="CT45" s="3274"/>
      <c r="CU45" s="3274"/>
      <c r="CV45" s="2028">
        <f t="shared" si="88"/>
        <v>0</v>
      </c>
      <c r="CW45" s="3284" t="e">
        <f t="shared" si="67"/>
        <v>#DIV/0!</v>
      </c>
      <c r="CX45" s="1449"/>
      <c r="CY45" s="3274">
        <f t="shared" si="89"/>
        <v>0</v>
      </c>
      <c r="CZ45" s="3274">
        <f t="shared" si="89"/>
        <v>0</v>
      </c>
      <c r="DA45" s="2028">
        <f t="shared" si="90"/>
        <v>0</v>
      </c>
      <c r="DB45" s="3284">
        <f t="shared" si="68"/>
        <v>0</v>
      </c>
      <c r="DC45" s="3295"/>
    </row>
    <row r="46" spans="1:107" ht="13.8" x14ac:dyDescent="0.25">
      <c r="A46" s="4015"/>
      <c r="B46" s="3319" t="s">
        <v>29</v>
      </c>
      <c r="C46" s="3274"/>
      <c r="D46" s="3274"/>
      <c r="E46" s="2028">
        <f t="shared" si="69"/>
        <v>0</v>
      </c>
      <c r="F46" s="3284">
        <f t="shared" si="56"/>
        <v>0</v>
      </c>
      <c r="G46" s="3295"/>
      <c r="H46" s="3274"/>
      <c r="I46" s="3274"/>
      <c r="J46" s="2028">
        <f t="shared" si="70"/>
        <v>0</v>
      </c>
      <c r="K46" s="3284">
        <f t="shared" si="57"/>
        <v>0</v>
      </c>
      <c r="L46" s="3295"/>
      <c r="M46" s="3274"/>
      <c r="N46" s="3274"/>
      <c r="O46" s="2028">
        <f t="shared" si="71"/>
        <v>0</v>
      </c>
      <c r="P46" s="3284">
        <f t="shared" si="2"/>
        <v>0</v>
      </c>
      <c r="Q46" s="3295"/>
      <c r="R46" s="3274"/>
      <c r="S46" s="3274"/>
      <c r="T46" s="2028">
        <f t="shared" si="72"/>
        <v>0</v>
      </c>
      <c r="U46" s="3284">
        <f t="shared" si="50"/>
        <v>0</v>
      </c>
      <c r="V46" s="3295"/>
      <c r="W46" s="3274"/>
      <c r="X46" s="3274"/>
      <c r="Y46" s="2028">
        <f t="shared" si="73"/>
        <v>0</v>
      </c>
      <c r="Z46" s="3284">
        <f t="shared" si="51"/>
        <v>0</v>
      </c>
      <c r="AA46" s="3295"/>
      <c r="AB46" s="3274"/>
      <c r="AC46" s="3274"/>
      <c r="AD46" s="2028">
        <f t="shared" si="74"/>
        <v>0</v>
      </c>
      <c r="AE46" s="3284">
        <f t="shared" si="52"/>
        <v>0</v>
      </c>
      <c r="AF46" s="3295"/>
      <c r="AG46" s="3274">
        <v>0</v>
      </c>
      <c r="AH46" s="3274">
        <v>0</v>
      </c>
      <c r="AI46" s="2028">
        <v>0</v>
      </c>
      <c r="AJ46" s="3284">
        <v>0</v>
      </c>
      <c r="AK46" s="3295"/>
      <c r="AL46" s="3274">
        <f t="shared" si="75"/>
        <v>0</v>
      </c>
      <c r="AM46" s="3274">
        <f t="shared" si="75"/>
        <v>0</v>
      </c>
      <c r="AN46" s="2028">
        <f t="shared" si="76"/>
        <v>0</v>
      </c>
      <c r="AO46" s="3284">
        <f t="shared" si="53"/>
        <v>0</v>
      </c>
      <c r="AP46" s="3295"/>
      <c r="AQ46" s="3274"/>
      <c r="AR46" s="3274"/>
      <c r="AS46" s="2028">
        <f t="shared" si="77"/>
        <v>0</v>
      </c>
      <c r="AT46" s="3284">
        <f t="shared" si="54"/>
        <v>0</v>
      </c>
      <c r="AU46" s="3295"/>
      <c r="AV46" s="3274"/>
      <c r="AW46" s="3274"/>
      <c r="AX46" s="2028">
        <f t="shared" si="78"/>
        <v>0</v>
      </c>
      <c r="AY46" s="3284">
        <f t="shared" si="55"/>
        <v>0</v>
      </c>
      <c r="AZ46" s="3295"/>
      <c r="BA46" s="3274"/>
      <c r="BB46" s="3274"/>
      <c r="BC46" s="2028">
        <f t="shared" si="79"/>
        <v>0</v>
      </c>
      <c r="BD46" s="3284">
        <f t="shared" si="58"/>
        <v>0</v>
      </c>
      <c r="BE46" s="3295"/>
      <c r="BF46" s="3274"/>
      <c r="BG46" s="3274"/>
      <c r="BH46" s="2028">
        <f t="shared" si="80"/>
        <v>0</v>
      </c>
      <c r="BI46" s="3284">
        <f t="shared" si="59"/>
        <v>0</v>
      </c>
      <c r="BJ46" s="3295"/>
      <c r="BK46" s="3274"/>
      <c r="BL46" s="3274"/>
      <c r="BM46" s="2028">
        <f t="shared" si="81"/>
        <v>0</v>
      </c>
      <c r="BN46" s="3284">
        <f t="shared" si="60"/>
        <v>0</v>
      </c>
      <c r="BO46" s="3295"/>
      <c r="BP46" s="3274"/>
      <c r="BQ46" s="3274"/>
      <c r="BR46" s="2028">
        <f t="shared" si="82"/>
        <v>0</v>
      </c>
      <c r="BS46" s="3284">
        <f t="shared" si="61"/>
        <v>0</v>
      </c>
      <c r="BT46" s="3295"/>
      <c r="BU46" s="3274"/>
      <c r="BV46" s="3274"/>
      <c r="BW46" s="2028">
        <f t="shared" si="83"/>
        <v>0</v>
      </c>
      <c r="BX46" s="3284" t="e">
        <f t="shared" si="62"/>
        <v>#DIV/0!</v>
      </c>
      <c r="BY46" s="3295"/>
      <c r="BZ46" s="3274"/>
      <c r="CA46" s="3274"/>
      <c r="CB46" s="2028">
        <f t="shared" si="84"/>
        <v>0</v>
      </c>
      <c r="CC46" s="3284" t="e">
        <f t="shared" si="63"/>
        <v>#DIV/0!</v>
      </c>
      <c r="CD46" s="1449"/>
      <c r="CE46" s="3274"/>
      <c r="CF46" s="3274"/>
      <c r="CG46" s="2028">
        <f t="shared" si="85"/>
        <v>0</v>
      </c>
      <c r="CH46" s="3284" t="e">
        <f t="shared" si="64"/>
        <v>#DIV/0!</v>
      </c>
      <c r="CI46" s="1449"/>
      <c r="CJ46" s="3274"/>
      <c r="CK46" s="3274"/>
      <c r="CL46" s="2028">
        <f t="shared" si="86"/>
        <v>0</v>
      </c>
      <c r="CM46" s="3284" t="e">
        <f t="shared" si="65"/>
        <v>#DIV/0!</v>
      </c>
      <c r="CN46" s="1449"/>
      <c r="CO46" s="3274"/>
      <c r="CP46" s="3274"/>
      <c r="CQ46" s="2028">
        <f t="shared" si="87"/>
        <v>0</v>
      </c>
      <c r="CR46" s="3284" t="e">
        <f t="shared" si="66"/>
        <v>#DIV/0!</v>
      </c>
      <c r="CS46" s="1449"/>
      <c r="CT46" s="3274"/>
      <c r="CU46" s="3274"/>
      <c r="CV46" s="2028">
        <f t="shared" si="88"/>
        <v>0</v>
      </c>
      <c r="CW46" s="3284" t="e">
        <f t="shared" si="67"/>
        <v>#DIV/0!</v>
      </c>
      <c r="CX46" s="1449"/>
      <c r="CY46" s="3274">
        <f t="shared" si="89"/>
        <v>0</v>
      </c>
      <c r="CZ46" s="3274">
        <f t="shared" si="89"/>
        <v>0</v>
      </c>
      <c r="DA46" s="2028">
        <f t="shared" si="90"/>
        <v>0</v>
      </c>
      <c r="DB46" s="3284">
        <f t="shared" si="68"/>
        <v>0</v>
      </c>
      <c r="DC46" s="3295"/>
    </row>
    <row r="47" spans="1:107" ht="13.8" x14ac:dyDescent="0.25">
      <c r="A47" s="4015"/>
      <c r="B47" s="3319" t="s">
        <v>30</v>
      </c>
      <c r="C47" s="3274"/>
      <c r="D47" s="3274"/>
      <c r="E47" s="2028">
        <f t="shared" si="69"/>
        <v>0</v>
      </c>
      <c r="F47" s="3284">
        <f t="shared" si="56"/>
        <v>0</v>
      </c>
      <c r="G47" s="3295"/>
      <c r="H47" s="3274"/>
      <c r="I47" s="3274"/>
      <c r="J47" s="2028">
        <f t="shared" si="70"/>
        <v>0</v>
      </c>
      <c r="K47" s="3284">
        <f t="shared" si="57"/>
        <v>0</v>
      </c>
      <c r="L47" s="3295"/>
      <c r="M47" s="3274"/>
      <c r="N47" s="3274"/>
      <c r="O47" s="2028">
        <f t="shared" si="71"/>
        <v>0</v>
      </c>
      <c r="P47" s="3284">
        <f t="shared" si="2"/>
        <v>0</v>
      </c>
      <c r="Q47" s="3295"/>
      <c r="R47" s="3274"/>
      <c r="S47" s="3274"/>
      <c r="T47" s="2028">
        <f t="shared" si="72"/>
        <v>0</v>
      </c>
      <c r="U47" s="3284">
        <f t="shared" si="50"/>
        <v>0</v>
      </c>
      <c r="V47" s="3295"/>
      <c r="W47" s="3274"/>
      <c r="X47" s="3274"/>
      <c r="Y47" s="2028">
        <f t="shared" si="73"/>
        <v>0</v>
      </c>
      <c r="Z47" s="3284">
        <f t="shared" si="51"/>
        <v>0</v>
      </c>
      <c r="AA47" s="3295"/>
      <c r="AB47" s="3274"/>
      <c r="AC47" s="3274"/>
      <c r="AD47" s="2028">
        <f t="shared" si="74"/>
        <v>0</v>
      </c>
      <c r="AE47" s="3284">
        <f t="shared" si="52"/>
        <v>0</v>
      </c>
      <c r="AF47" s="3295"/>
      <c r="AG47" s="3274">
        <v>0</v>
      </c>
      <c r="AH47" s="3274">
        <v>0</v>
      </c>
      <c r="AI47" s="2028">
        <v>0</v>
      </c>
      <c r="AJ47" s="3284">
        <v>0</v>
      </c>
      <c r="AK47" s="3276"/>
      <c r="AL47" s="3274">
        <f t="shared" si="75"/>
        <v>0</v>
      </c>
      <c r="AM47" s="3274">
        <f t="shared" si="75"/>
        <v>0</v>
      </c>
      <c r="AN47" s="2028">
        <f t="shared" si="76"/>
        <v>0</v>
      </c>
      <c r="AO47" s="3284">
        <f t="shared" si="53"/>
        <v>0</v>
      </c>
      <c r="AP47" s="3276"/>
      <c r="AQ47" s="3274"/>
      <c r="AR47" s="3274"/>
      <c r="AS47" s="2028">
        <f t="shared" si="77"/>
        <v>0</v>
      </c>
      <c r="AT47" s="3284">
        <f t="shared" si="54"/>
        <v>0</v>
      </c>
      <c r="AU47" s="3295"/>
      <c r="AV47" s="3274"/>
      <c r="AW47" s="3274"/>
      <c r="AX47" s="2028">
        <f t="shared" si="78"/>
        <v>0</v>
      </c>
      <c r="AY47" s="3284">
        <f t="shared" si="55"/>
        <v>0</v>
      </c>
      <c r="AZ47" s="3295"/>
      <c r="BA47" s="3274"/>
      <c r="BB47" s="3274"/>
      <c r="BC47" s="2028">
        <f t="shared" si="79"/>
        <v>0</v>
      </c>
      <c r="BD47" s="3284">
        <f t="shared" si="58"/>
        <v>0</v>
      </c>
      <c r="BE47" s="3295"/>
      <c r="BF47" s="3274"/>
      <c r="BG47" s="3274"/>
      <c r="BH47" s="2028">
        <f t="shared" si="80"/>
        <v>0</v>
      </c>
      <c r="BI47" s="3284">
        <f t="shared" si="59"/>
        <v>0</v>
      </c>
      <c r="BJ47" s="3295"/>
      <c r="BK47" s="3274"/>
      <c r="BL47" s="3274"/>
      <c r="BM47" s="2028">
        <f t="shared" si="81"/>
        <v>0</v>
      </c>
      <c r="BN47" s="3284">
        <f t="shared" si="60"/>
        <v>0</v>
      </c>
      <c r="BO47" s="3295"/>
      <c r="BP47" s="3274"/>
      <c r="BQ47" s="3274"/>
      <c r="BR47" s="2028">
        <f t="shared" si="82"/>
        <v>0</v>
      </c>
      <c r="BS47" s="3284">
        <f t="shared" si="61"/>
        <v>0</v>
      </c>
      <c r="BT47" s="3295"/>
      <c r="BU47" s="3274"/>
      <c r="BV47" s="3274"/>
      <c r="BW47" s="2028">
        <f t="shared" si="83"/>
        <v>0</v>
      </c>
      <c r="BX47" s="3284" t="e">
        <f t="shared" si="62"/>
        <v>#DIV/0!</v>
      </c>
      <c r="BY47" s="3295"/>
      <c r="BZ47" s="3274"/>
      <c r="CA47" s="3274"/>
      <c r="CB47" s="2028">
        <f t="shared" si="84"/>
        <v>0</v>
      </c>
      <c r="CC47" s="3284" t="e">
        <f t="shared" si="63"/>
        <v>#DIV/0!</v>
      </c>
      <c r="CD47" s="1449"/>
      <c r="CE47" s="3274"/>
      <c r="CF47" s="3274"/>
      <c r="CG47" s="2028">
        <f t="shared" si="85"/>
        <v>0</v>
      </c>
      <c r="CH47" s="3284" t="e">
        <f t="shared" si="64"/>
        <v>#DIV/0!</v>
      </c>
      <c r="CI47" s="1449"/>
      <c r="CJ47" s="3274"/>
      <c r="CK47" s="3274"/>
      <c r="CL47" s="2028">
        <f t="shared" si="86"/>
        <v>0</v>
      </c>
      <c r="CM47" s="3284" t="e">
        <f t="shared" si="65"/>
        <v>#DIV/0!</v>
      </c>
      <c r="CN47" s="1449"/>
      <c r="CO47" s="3274"/>
      <c r="CP47" s="3274"/>
      <c r="CQ47" s="2028">
        <f t="shared" si="87"/>
        <v>0</v>
      </c>
      <c r="CR47" s="3284" t="e">
        <f t="shared" si="66"/>
        <v>#DIV/0!</v>
      </c>
      <c r="CS47" s="1449"/>
      <c r="CT47" s="3274"/>
      <c r="CU47" s="3274"/>
      <c r="CV47" s="2028">
        <f t="shared" si="88"/>
        <v>0</v>
      </c>
      <c r="CW47" s="3284" t="e">
        <f t="shared" si="67"/>
        <v>#DIV/0!</v>
      </c>
      <c r="CX47" s="1449"/>
      <c r="CY47" s="3274">
        <f t="shared" si="89"/>
        <v>0</v>
      </c>
      <c r="CZ47" s="3274">
        <f t="shared" si="89"/>
        <v>0</v>
      </c>
      <c r="DA47" s="2028">
        <f t="shared" si="90"/>
        <v>0</v>
      </c>
      <c r="DB47" s="3284">
        <f t="shared" si="68"/>
        <v>0</v>
      </c>
      <c r="DC47" s="3295"/>
    </row>
    <row r="48" spans="1:107" ht="13.8" x14ac:dyDescent="0.25">
      <c r="A48" s="4015"/>
      <c r="B48" s="3319" t="s">
        <v>15</v>
      </c>
      <c r="C48" s="3274"/>
      <c r="D48" s="3274"/>
      <c r="E48" s="2028">
        <f t="shared" si="69"/>
        <v>0</v>
      </c>
      <c r="F48" s="3284">
        <f t="shared" si="56"/>
        <v>0</v>
      </c>
      <c r="G48" s="3295"/>
      <c r="H48" s="3274"/>
      <c r="I48" s="3274"/>
      <c r="J48" s="2028">
        <f t="shared" si="70"/>
        <v>0</v>
      </c>
      <c r="K48" s="3284">
        <f t="shared" si="57"/>
        <v>0</v>
      </c>
      <c r="L48" s="3295"/>
      <c r="M48" s="3274"/>
      <c r="N48" s="3274"/>
      <c r="O48" s="2028">
        <f t="shared" si="71"/>
        <v>0</v>
      </c>
      <c r="P48" s="3284">
        <f t="shared" si="2"/>
        <v>0</v>
      </c>
      <c r="Q48" s="3295"/>
      <c r="R48" s="3274"/>
      <c r="S48" s="3274"/>
      <c r="T48" s="2028">
        <f t="shared" si="72"/>
        <v>0</v>
      </c>
      <c r="U48" s="3284">
        <f t="shared" si="50"/>
        <v>0</v>
      </c>
      <c r="V48" s="3295"/>
      <c r="W48" s="3274"/>
      <c r="X48" s="3274"/>
      <c r="Y48" s="2028">
        <f t="shared" si="73"/>
        <v>0</v>
      </c>
      <c r="Z48" s="3284">
        <f t="shared" si="51"/>
        <v>0</v>
      </c>
      <c r="AA48" s="3295"/>
      <c r="AB48" s="3274"/>
      <c r="AC48" s="3274"/>
      <c r="AD48" s="2028">
        <f t="shared" si="74"/>
        <v>0</v>
      </c>
      <c r="AE48" s="3284">
        <f t="shared" si="52"/>
        <v>0</v>
      </c>
      <c r="AF48" s="3295"/>
      <c r="AG48" s="3274">
        <v>0</v>
      </c>
      <c r="AH48" s="3274">
        <v>0</v>
      </c>
      <c r="AI48" s="2028">
        <v>0</v>
      </c>
      <c r="AJ48" s="3284">
        <v>0</v>
      </c>
      <c r="AK48" s="3295"/>
      <c r="AL48" s="3274">
        <f t="shared" si="75"/>
        <v>0</v>
      </c>
      <c r="AM48" s="3274">
        <f t="shared" si="75"/>
        <v>0</v>
      </c>
      <c r="AN48" s="2028">
        <f t="shared" si="76"/>
        <v>0</v>
      </c>
      <c r="AO48" s="3284">
        <f t="shared" si="53"/>
        <v>0</v>
      </c>
      <c r="AP48" s="3295"/>
      <c r="AQ48" s="3274"/>
      <c r="AR48" s="3274"/>
      <c r="AS48" s="2028">
        <f t="shared" si="77"/>
        <v>0</v>
      </c>
      <c r="AT48" s="3284">
        <f t="shared" si="54"/>
        <v>0</v>
      </c>
      <c r="AU48" s="3295"/>
      <c r="AV48" s="3274"/>
      <c r="AW48" s="3274"/>
      <c r="AX48" s="2028">
        <f t="shared" si="78"/>
        <v>0</v>
      </c>
      <c r="AY48" s="3284">
        <f t="shared" si="55"/>
        <v>0</v>
      </c>
      <c r="AZ48" s="3295"/>
      <c r="BA48" s="3274"/>
      <c r="BB48" s="3274"/>
      <c r="BC48" s="2028">
        <f t="shared" si="79"/>
        <v>0</v>
      </c>
      <c r="BD48" s="3284">
        <f t="shared" si="58"/>
        <v>0</v>
      </c>
      <c r="BE48" s="3295"/>
      <c r="BF48" s="3274"/>
      <c r="BG48" s="3274"/>
      <c r="BH48" s="2028">
        <f t="shared" si="80"/>
        <v>0</v>
      </c>
      <c r="BI48" s="3284">
        <f t="shared" si="59"/>
        <v>0</v>
      </c>
      <c r="BJ48" s="3295"/>
      <c r="BK48" s="3274"/>
      <c r="BL48" s="3274"/>
      <c r="BM48" s="2028">
        <f t="shared" si="81"/>
        <v>0</v>
      </c>
      <c r="BN48" s="3284">
        <f t="shared" si="60"/>
        <v>0</v>
      </c>
      <c r="BO48" s="3295"/>
      <c r="BP48" s="3274"/>
      <c r="BQ48" s="3274"/>
      <c r="BR48" s="2028">
        <f t="shared" si="82"/>
        <v>0</v>
      </c>
      <c r="BS48" s="3284">
        <f t="shared" si="61"/>
        <v>0</v>
      </c>
      <c r="BT48" s="3295"/>
      <c r="BU48" s="3274"/>
      <c r="BV48" s="3274"/>
      <c r="BW48" s="2028">
        <f t="shared" si="83"/>
        <v>0</v>
      </c>
      <c r="BX48" s="3284" t="e">
        <f t="shared" si="62"/>
        <v>#DIV/0!</v>
      </c>
      <c r="BY48" s="3295"/>
      <c r="BZ48" s="3274"/>
      <c r="CA48" s="3274"/>
      <c r="CB48" s="2028">
        <f t="shared" si="84"/>
        <v>0</v>
      </c>
      <c r="CC48" s="3284" t="e">
        <f t="shared" si="63"/>
        <v>#DIV/0!</v>
      </c>
      <c r="CD48" s="1449"/>
      <c r="CE48" s="3274"/>
      <c r="CF48" s="3274"/>
      <c r="CG48" s="2028">
        <f t="shared" si="85"/>
        <v>0</v>
      </c>
      <c r="CH48" s="3284" t="e">
        <f t="shared" si="64"/>
        <v>#DIV/0!</v>
      </c>
      <c r="CI48" s="1449"/>
      <c r="CJ48" s="3274"/>
      <c r="CK48" s="3274"/>
      <c r="CL48" s="2028">
        <f t="shared" si="86"/>
        <v>0</v>
      </c>
      <c r="CM48" s="3284" t="e">
        <f t="shared" si="65"/>
        <v>#DIV/0!</v>
      </c>
      <c r="CN48" s="1449"/>
      <c r="CO48" s="3274"/>
      <c r="CP48" s="3274"/>
      <c r="CQ48" s="2028">
        <f t="shared" si="87"/>
        <v>0</v>
      </c>
      <c r="CR48" s="3284" t="e">
        <f t="shared" si="66"/>
        <v>#DIV/0!</v>
      </c>
      <c r="CS48" s="1449"/>
      <c r="CT48" s="3274"/>
      <c r="CU48" s="3274"/>
      <c r="CV48" s="2028">
        <f t="shared" si="88"/>
        <v>0</v>
      </c>
      <c r="CW48" s="3284" t="e">
        <f t="shared" si="67"/>
        <v>#DIV/0!</v>
      </c>
      <c r="CX48" s="1449"/>
      <c r="CY48" s="3274">
        <f t="shared" si="89"/>
        <v>0</v>
      </c>
      <c r="CZ48" s="3274">
        <f t="shared" si="89"/>
        <v>0</v>
      </c>
      <c r="DA48" s="2028">
        <f t="shared" si="90"/>
        <v>0</v>
      </c>
      <c r="DB48" s="3284">
        <f t="shared" si="68"/>
        <v>0</v>
      </c>
      <c r="DC48" s="3295"/>
    </row>
    <row r="49" spans="1:107" s="1411" customFormat="1" ht="14.4" thickBot="1" x14ac:dyDescent="0.3">
      <c r="A49" s="1420"/>
      <c r="B49" s="3320"/>
      <c r="C49" s="3274"/>
      <c r="D49" s="3274"/>
      <c r="E49" s="3313"/>
      <c r="F49" s="3284"/>
      <c r="G49" s="3313"/>
      <c r="H49" s="3274"/>
      <c r="I49" s="3274"/>
      <c r="J49" s="3313"/>
      <c r="K49" s="3284"/>
      <c r="L49" s="3313"/>
      <c r="M49" s="3274"/>
      <c r="N49" s="3274"/>
      <c r="O49" s="3313"/>
      <c r="P49" s="3284"/>
      <c r="Q49" s="3313"/>
      <c r="R49" s="3274"/>
      <c r="S49" s="3274"/>
      <c r="T49" s="3313"/>
      <c r="U49" s="3284"/>
      <c r="V49" s="3313"/>
      <c r="W49" s="3274"/>
      <c r="X49" s="3274"/>
      <c r="Y49" s="3313"/>
      <c r="Z49" s="3284"/>
      <c r="AA49" s="3313"/>
      <c r="AB49" s="3274"/>
      <c r="AC49" s="3274"/>
      <c r="AD49" s="3313"/>
      <c r="AE49" s="3284"/>
      <c r="AF49" s="3313"/>
      <c r="AG49" s="3274"/>
      <c r="AH49" s="3274"/>
      <c r="AI49" s="3313"/>
      <c r="AJ49" s="3284"/>
      <c r="AK49" s="3313"/>
      <c r="AL49" s="3274"/>
      <c r="AM49" s="3274"/>
      <c r="AN49" s="3313"/>
      <c r="AO49" s="3284"/>
      <c r="AP49" s="3313"/>
      <c r="AQ49" s="3274"/>
      <c r="AR49" s="3274"/>
      <c r="AS49" s="3313"/>
      <c r="AT49" s="3284"/>
      <c r="AU49" s="3313"/>
      <c r="AV49" s="3274"/>
      <c r="AW49" s="3274"/>
      <c r="AX49" s="3313"/>
      <c r="AY49" s="3284"/>
      <c r="AZ49" s="3313"/>
      <c r="BA49" s="3274"/>
      <c r="BB49" s="3274"/>
      <c r="BC49" s="3313"/>
      <c r="BD49" s="3284">
        <f t="shared" si="58"/>
        <v>0</v>
      </c>
      <c r="BE49" s="3313"/>
      <c r="BF49" s="3274"/>
      <c r="BG49" s="3274"/>
      <c r="BH49" s="3313"/>
      <c r="BI49" s="3284">
        <f t="shared" si="59"/>
        <v>0</v>
      </c>
      <c r="BJ49" s="3313"/>
      <c r="BK49" s="3274"/>
      <c r="BL49" s="3274"/>
      <c r="BM49" s="3313"/>
      <c r="BN49" s="3284">
        <f t="shared" si="60"/>
        <v>0</v>
      </c>
      <c r="BO49" s="3313"/>
      <c r="BP49" s="3274"/>
      <c r="BQ49" s="3274"/>
      <c r="BR49" s="3313"/>
      <c r="BS49" s="3284">
        <f t="shared" si="61"/>
        <v>0</v>
      </c>
      <c r="BT49" s="3313"/>
      <c r="BU49" s="3274"/>
      <c r="BV49" s="3274"/>
      <c r="BW49" s="3313"/>
      <c r="BX49" s="3284" t="e">
        <f t="shared" si="62"/>
        <v>#DIV/0!</v>
      </c>
      <c r="BY49" s="3313"/>
      <c r="BZ49" s="3274"/>
      <c r="CA49" s="3274"/>
      <c r="CB49" s="3313"/>
      <c r="CC49" s="3284" t="e">
        <f t="shared" si="63"/>
        <v>#DIV/0!</v>
      </c>
      <c r="CD49" s="3315"/>
      <c r="CE49" s="3274"/>
      <c r="CF49" s="3274"/>
      <c r="CG49" s="3313"/>
      <c r="CH49" s="3284" t="e">
        <f t="shared" si="64"/>
        <v>#DIV/0!</v>
      </c>
      <c r="CI49" s="3315"/>
      <c r="CJ49" s="3274"/>
      <c r="CK49" s="3274"/>
      <c r="CL49" s="3313"/>
      <c r="CM49" s="3284" t="e">
        <f t="shared" si="65"/>
        <v>#DIV/0!</v>
      </c>
      <c r="CN49" s="3315"/>
      <c r="CO49" s="3274"/>
      <c r="CP49" s="3274"/>
      <c r="CQ49" s="3313"/>
      <c r="CR49" s="3284" t="e">
        <f t="shared" si="66"/>
        <v>#DIV/0!</v>
      </c>
      <c r="CS49" s="3315"/>
      <c r="CT49" s="3274"/>
      <c r="CU49" s="3274"/>
      <c r="CV49" s="3313"/>
      <c r="CW49" s="3284" t="e">
        <f t="shared" si="67"/>
        <v>#DIV/0!</v>
      </c>
      <c r="CX49" s="3315"/>
      <c r="CY49" s="3274">
        <f t="shared" si="89"/>
        <v>0</v>
      </c>
      <c r="CZ49" s="3274">
        <f t="shared" si="89"/>
        <v>0</v>
      </c>
      <c r="DA49" s="3313"/>
      <c r="DB49" s="3284">
        <f t="shared" si="68"/>
        <v>0</v>
      </c>
      <c r="DC49" s="3313"/>
    </row>
    <row r="50" spans="1:107" s="1411" customFormat="1" ht="13.8" x14ac:dyDescent="0.25">
      <c r="A50" s="1580"/>
      <c r="B50" s="1425" t="s">
        <v>59</v>
      </c>
      <c r="C50" s="2031">
        <f>C52+C51</f>
        <v>0</v>
      </c>
      <c r="D50" s="2031">
        <f>D52+D51</f>
        <v>0</v>
      </c>
      <c r="E50" s="2031">
        <f>SUM(E51:E52)</f>
        <v>0</v>
      </c>
      <c r="F50" s="2022">
        <f>E50/$E$89</f>
        <v>0</v>
      </c>
      <c r="G50" s="2022"/>
      <c r="H50" s="2031">
        <f>H52+H51</f>
        <v>0</v>
      </c>
      <c r="I50" s="2031">
        <f>I52+I51</f>
        <v>0</v>
      </c>
      <c r="J50" s="2031">
        <f>SUM(J51:J52)</f>
        <v>0</v>
      </c>
      <c r="K50" s="2022">
        <f>J50/$T$89</f>
        <v>0</v>
      </c>
      <c r="L50" s="2022"/>
      <c r="M50" s="2031">
        <f>M52+M51</f>
        <v>0</v>
      </c>
      <c r="N50" s="2031">
        <f>N52+N51</f>
        <v>0</v>
      </c>
      <c r="O50" s="2031">
        <f>SUM(O51:O52)</f>
        <v>0</v>
      </c>
      <c r="P50" s="2022">
        <f t="shared" si="2"/>
        <v>0</v>
      </c>
      <c r="Q50" s="2022"/>
      <c r="R50" s="2031">
        <f>R52+R51</f>
        <v>0</v>
      </c>
      <c r="S50" s="2031">
        <f>S52+S51</f>
        <v>0</v>
      </c>
      <c r="T50" s="2031">
        <f>SUM(T51:T52)</f>
        <v>0</v>
      </c>
      <c r="U50" s="2022">
        <f>T50/$O$89</f>
        <v>0</v>
      </c>
      <c r="V50" s="2022"/>
      <c r="W50" s="2031">
        <f>W52+W51</f>
        <v>0</v>
      </c>
      <c r="X50" s="2031">
        <f>X52+X51</f>
        <v>0</v>
      </c>
      <c r="Y50" s="2031">
        <f>SUM(Y51:Y52)</f>
        <v>0</v>
      </c>
      <c r="Z50" s="2022">
        <f>Y50/$O$89</f>
        <v>0</v>
      </c>
      <c r="AA50" s="2022"/>
      <c r="AB50" s="2031">
        <f>AB52+AB51</f>
        <v>0</v>
      </c>
      <c r="AC50" s="2031">
        <f>AC52+AC51</f>
        <v>0</v>
      </c>
      <c r="AD50" s="2031">
        <f>SUM(AD51:AD52)</f>
        <v>0</v>
      </c>
      <c r="AE50" s="2022">
        <f>AD50/$O$89</f>
        <v>0</v>
      </c>
      <c r="AF50" s="2022"/>
      <c r="AG50" s="2031">
        <v>0</v>
      </c>
      <c r="AH50" s="2031">
        <v>0</v>
      </c>
      <c r="AI50" s="2031">
        <v>0</v>
      </c>
      <c r="AJ50" s="2022">
        <v>0</v>
      </c>
      <c r="AK50" s="2022"/>
      <c r="AL50" s="2031">
        <f>AL52+AL51</f>
        <v>0</v>
      </c>
      <c r="AM50" s="2031">
        <f>AM52+AM51</f>
        <v>0</v>
      </c>
      <c r="AN50" s="2031">
        <f>SUM(AN51:AN52)</f>
        <v>0</v>
      </c>
      <c r="AO50" s="2022">
        <f t="shared" ref="AO50:AO52" si="91">AN50/$T$89</f>
        <v>0</v>
      </c>
      <c r="AP50" s="2022"/>
      <c r="AQ50" s="2031">
        <f>AQ52+AQ51</f>
        <v>0</v>
      </c>
      <c r="AR50" s="2031">
        <f>AR52+AR51</f>
        <v>0</v>
      </c>
      <c r="AS50" s="2031">
        <f>SUM(AS51:AS52)</f>
        <v>0</v>
      </c>
      <c r="AT50" s="2022">
        <f>AS50/$O$89</f>
        <v>0</v>
      </c>
      <c r="AU50" s="2022"/>
      <c r="AV50" s="2031">
        <f>AV52+AV51</f>
        <v>0</v>
      </c>
      <c r="AW50" s="2031">
        <f>AW52+AW51</f>
        <v>0</v>
      </c>
      <c r="AX50" s="2031">
        <f>SUM(AX51:AX52)</f>
        <v>0</v>
      </c>
      <c r="AY50" s="2022">
        <f>AX50/$E$89</f>
        <v>0</v>
      </c>
      <c r="AZ50" s="2022"/>
      <c r="BA50" s="2031">
        <f>BA52+BA51</f>
        <v>0</v>
      </c>
      <c r="BB50" s="2031">
        <f>BB52+BB51</f>
        <v>0</v>
      </c>
      <c r="BC50" s="2031">
        <f>SUM(BC51:BC52)</f>
        <v>0</v>
      </c>
      <c r="BD50" s="2022">
        <f t="shared" si="58"/>
        <v>0</v>
      </c>
      <c r="BE50" s="2022"/>
      <c r="BF50" s="2031">
        <f>BF52+BF51</f>
        <v>0</v>
      </c>
      <c r="BG50" s="2031">
        <f>BG52+BG51</f>
        <v>0</v>
      </c>
      <c r="BH50" s="2031">
        <f>SUM(BH51:BH52)</f>
        <v>0</v>
      </c>
      <c r="BI50" s="2022">
        <f t="shared" si="59"/>
        <v>0</v>
      </c>
      <c r="BJ50" s="2022"/>
      <c r="BK50" s="2031">
        <f>BK52+BK51</f>
        <v>0</v>
      </c>
      <c r="BL50" s="2031">
        <f>BL52+BL51</f>
        <v>0</v>
      </c>
      <c r="BM50" s="2031">
        <f>SUM(BM51:BM52)</f>
        <v>0</v>
      </c>
      <c r="BN50" s="2022">
        <f t="shared" si="60"/>
        <v>0</v>
      </c>
      <c r="BO50" s="2022"/>
      <c r="BP50" s="2031">
        <f>BP52+BP51</f>
        <v>0</v>
      </c>
      <c r="BQ50" s="2031">
        <f>BQ52+BQ51</f>
        <v>0</v>
      </c>
      <c r="BR50" s="2031">
        <f>SUM(BR51:BR52)</f>
        <v>0</v>
      </c>
      <c r="BS50" s="2022">
        <f t="shared" si="61"/>
        <v>0</v>
      </c>
      <c r="BT50" s="2022"/>
      <c r="BU50" s="2031">
        <f>BU52+BU51</f>
        <v>0</v>
      </c>
      <c r="BV50" s="2031">
        <f>BV52+BV51</f>
        <v>0</v>
      </c>
      <c r="BW50" s="2031">
        <f>SUM(BW51:BW52)</f>
        <v>0</v>
      </c>
      <c r="BX50" s="2022" t="e">
        <f t="shared" si="62"/>
        <v>#DIV/0!</v>
      </c>
      <c r="BY50" s="2022"/>
      <c r="BZ50" s="2031">
        <f>BZ52+BZ51</f>
        <v>0</v>
      </c>
      <c r="CA50" s="2031">
        <f>CA52+CA51</f>
        <v>0</v>
      </c>
      <c r="CB50" s="2031">
        <f>SUM(CB51:CB52)</f>
        <v>0</v>
      </c>
      <c r="CC50" s="2022" t="e">
        <f t="shared" si="63"/>
        <v>#DIV/0!</v>
      </c>
      <c r="CD50" s="1460"/>
      <c r="CE50" s="2031">
        <f>CE52+CE51</f>
        <v>0</v>
      </c>
      <c r="CF50" s="2031">
        <f>CF52+CF51</f>
        <v>0</v>
      </c>
      <c r="CG50" s="2031">
        <f>SUM(CG51:CG52)</f>
        <v>0</v>
      </c>
      <c r="CH50" s="2022" t="e">
        <f t="shared" si="64"/>
        <v>#DIV/0!</v>
      </c>
      <c r="CI50" s="1460"/>
      <c r="CJ50" s="2031">
        <f>CJ52+CJ51</f>
        <v>0</v>
      </c>
      <c r="CK50" s="2031">
        <f>CK52+CK51</f>
        <v>0</v>
      </c>
      <c r="CL50" s="2031">
        <f>SUM(CL51:CL52)</f>
        <v>0</v>
      </c>
      <c r="CM50" s="2022" t="e">
        <f t="shared" si="65"/>
        <v>#DIV/0!</v>
      </c>
      <c r="CN50" s="1460"/>
      <c r="CO50" s="2031">
        <f>CO52+CO51</f>
        <v>0</v>
      </c>
      <c r="CP50" s="2031">
        <f>CP52+CP51</f>
        <v>0</v>
      </c>
      <c r="CQ50" s="2031">
        <f>SUM(CQ51:CQ52)</f>
        <v>0</v>
      </c>
      <c r="CR50" s="2022" t="e">
        <f t="shared" si="66"/>
        <v>#DIV/0!</v>
      </c>
      <c r="CS50" s="1460"/>
      <c r="CT50" s="2031">
        <f>CT52+CT51</f>
        <v>0</v>
      </c>
      <c r="CU50" s="2031">
        <f>CU52+CU51</f>
        <v>0</v>
      </c>
      <c r="CV50" s="2031">
        <f>SUM(CV51:CV52)</f>
        <v>0</v>
      </c>
      <c r="CW50" s="2022" t="e">
        <f t="shared" si="67"/>
        <v>#DIV/0!</v>
      </c>
      <c r="CX50" s="1460"/>
      <c r="CY50" s="2031">
        <f>CY52+CY51</f>
        <v>0</v>
      </c>
      <c r="CZ50" s="2031">
        <f>CZ52+CZ51</f>
        <v>0</v>
      </c>
      <c r="DA50" s="2031">
        <f>SUM(DA51:DA52)</f>
        <v>0</v>
      </c>
      <c r="DB50" s="2022"/>
      <c r="DC50" s="2022"/>
    </row>
    <row r="51" spans="1:107" s="1411" customFormat="1" ht="13.8" x14ac:dyDescent="0.25">
      <c r="A51" s="1581"/>
      <c r="B51" s="3319" t="s">
        <v>60</v>
      </c>
      <c r="C51" s="3274"/>
      <c r="D51" s="3274"/>
      <c r="E51" s="2028">
        <f>C51+D51*1</f>
        <v>0</v>
      </c>
      <c r="F51" s="3284">
        <f>E51/$E$89</f>
        <v>0</v>
      </c>
      <c r="G51" s="3311"/>
      <c r="H51" s="3274"/>
      <c r="I51" s="3274"/>
      <c r="J51" s="2028">
        <f>H51+I51*1</f>
        <v>0</v>
      </c>
      <c r="K51" s="3284">
        <f>J51/$T$89</f>
        <v>0</v>
      </c>
      <c r="L51" s="3311"/>
      <c r="M51" s="3274"/>
      <c r="N51" s="3274"/>
      <c r="O51" s="2028">
        <f>M51+N51*1</f>
        <v>0</v>
      </c>
      <c r="P51" s="3284">
        <f t="shared" si="2"/>
        <v>0</v>
      </c>
      <c r="Q51" s="3311"/>
      <c r="R51" s="3274"/>
      <c r="S51" s="3274"/>
      <c r="T51" s="2028">
        <f>R51+S51*1</f>
        <v>0</v>
      </c>
      <c r="U51" s="3284">
        <f>T51/$O$89</f>
        <v>0</v>
      </c>
      <c r="V51" s="3311"/>
      <c r="W51" s="3274"/>
      <c r="X51" s="3274"/>
      <c r="Y51" s="2028">
        <f>W51+X51*1</f>
        <v>0</v>
      </c>
      <c r="Z51" s="3284">
        <f>Y51/$O$89</f>
        <v>0</v>
      </c>
      <c r="AA51" s="3311"/>
      <c r="AB51" s="3274"/>
      <c r="AC51" s="3274"/>
      <c r="AD51" s="2028">
        <f>AB51+AC51*1</f>
        <v>0</v>
      </c>
      <c r="AE51" s="3284">
        <f>AD51/$O$89</f>
        <v>0</v>
      </c>
      <c r="AF51" s="3311"/>
      <c r="AG51" s="3274">
        <v>0</v>
      </c>
      <c r="AH51" s="3274">
        <v>0</v>
      </c>
      <c r="AI51" s="2028">
        <v>0</v>
      </c>
      <c r="AJ51" s="3284">
        <v>0</v>
      </c>
      <c r="AK51" s="3311"/>
      <c r="AL51" s="3274">
        <f t="shared" ref="AL51:AM52" si="92">AQ51+AV51+BA51+BF51+BK51+BP51+BU51+BZ51+CE51+CJ51+CO51+CT51</f>
        <v>0</v>
      </c>
      <c r="AM51" s="3274">
        <f t="shared" si="92"/>
        <v>0</v>
      </c>
      <c r="AN51" s="2028">
        <f>AL51+AM51*1</f>
        <v>0</v>
      </c>
      <c r="AO51" s="3284">
        <f t="shared" si="91"/>
        <v>0</v>
      </c>
      <c r="AP51" s="3311"/>
      <c r="AQ51" s="3274"/>
      <c r="AR51" s="3274"/>
      <c r="AS51" s="2028">
        <f>AQ51+AR51*1</f>
        <v>0</v>
      </c>
      <c r="AT51" s="3284">
        <f>AS51/$O$89</f>
        <v>0</v>
      </c>
      <c r="AU51" s="3311"/>
      <c r="AV51" s="3274"/>
      <c r="AW51" s="3274"/>
      <c r="AX51" s="2028">
        <f>AV51+AW51*1</f>
        <v>0</v>
      </c>
      <c r="AY51" s="3284">
        <f>AX51/$E$89</f>
        <v>0</v>
      </c>
      <c r="AZ51" s="3311"/>
      <c r="BA51" s="3274"/>
      <c r="BB51" s="3274"/>
      <c r="BC51" s="2028">
        <f>BA51+BB51*1</f>
        <v>0</v>
      </c>
      <c r="BD51" s="3284">
        <f t="shared" si="58"/>
        <v>0</v>
      </c>
      <c r="BE51" s="3311"/>
      <c r="BF51" s="3274"/>
      <c r="BG51" s="3274"/>
      <c r="BH51" s="2028">
        <f>BF51+BG51*1</f>
        <v>0</v>
      </c>
      <c r="BI51" s="3284">
        <f t="shared" si="59"/>
        <v>0</v>
      </c>
      <c r="BJ51" s="3311"/>
      <c r="BK51" s="3274"/>
      <c r="BL51" s="3274"/>
      <c r="BM51" s="2028">
        <f>BK51+BL51*1</f>
        <v>0</v>
      </c>
      <c r="BN51" s="3284">
        <f t="shared" si="60"/>
        <v>0</v>
      </c>
      <c r="BO51" s="3311"/>
      <c r="BP51" s="3274"/>
      <c r="BQ51" s="3274"/>
      <c r="BR51" s="2028">
        <f>BP51+BQ51*1</f>
        <v>0</v>
      </c>
      <c r="BS51" s="3284">
        <f t="shared" si="61"/>
        <v>0</v>
      </c>
      <c r="BT51" s="3311"/>
      <c r="BU51" s="3274"/>
      <c r="BV51" s="3274"/>
      <c r="BW51" s="2028">
        <f>BU51+BV51*1</f>
        <v>0</v>
      </c>
      <c r="BX51" s="3284" t="e">
        <f t="shared" si="62"/>
        <v>#DIV/0!</v>
      </c>
      <c r="BY51" s="3311"/>
      <c r="BZ51" s="3274"/>
      <c r="CA51" s="3274"/>
      <c r="CB51" s="2028">
        <f>BZ51+CA51*1</f>
        <v>0</v>
      </c>
      <c r="CC51" s="3284" t="e">
        <f t="shared" si="63"/>
        <v>#DIV/0!</v>
      </c>
      <c r="CD51" s="3321"/>
      <c r="CE51" s="3274"/>
      <c r="CF51" s="3274"/>
      <c r="CG51" s="2028">
        <f>CE51+CF51*1</f>
        <v>0</v>
      </c>
      <c r="CH51" s="3284" t="e">
        <f t="shared" si="64"/>
        <v>#DIV/0!</v>
      </c>
      <c r="CI51" s="3321"/>
      <c r="CJ51" s="3274"/>
      <c r="CK51" s="3274"/>
      <c r="CL51" s="2028">
        <f>CJ51+CK51*1</f>
        <v>0</v>
      </c>
      <c r="CM51" s="3284" t="e">
        <f t="shared" si="65"/>
        <v>#DIV/0!</v>
      </c>
      <c r="CN51" s="3321"/>
      <c r="CO51" s="3274"/>
      <c r="CP51" s="3274"/>
      <c r="CQ51" s="2028">
        <f>CO51+CP51*1</f>
        <v>0</v>
      </c>
      <c r="CR51" s="3284" t="e">
        <f t="shared" si="66"/>
        <v>#DIV/0!</v>
      </c>
      <c r="CS51" s="3321"/>
      <c r="CT51" s="3274"/>
      <c r="CU51" s="3274"/>
      <c r="CV51" s="2028">
        <f>CT51+CU51*1</f>
        <v>0</v>
      </c>
      <c r="CW51" s="3284" t="e">
        <f t="shared" si="67"/>
        <v>#DIV/0!</v>
      </c>
      <c r="CX51" s="3321"/>
      <c r="CY51" s="3274">
        <f t="shared" ref="CY51:CZ52" si="93">C51+H51+M51+R51+W51+AB51+AQ51+AV51+BA51+BF51+BK51+BP51+BU51+BZ51+CE51+CJ51+CO51+CT51+AG51</f>
        <v>0</v>
      </c>
      <c r="CZ51" s="3274">
        <f t="shared" si="93"/>
        <v>0</v>
      </c>
      <c r="DA51" s="2028">
        <f>CY51+CZ51*1</f>
        <v>0</v>
      </c>
      <c r="DB51" s="3284">
        <f t="shared" si="68"/>
        <v>0</v>
      </c>
      <c r="DC51" s="3311"/>
    </row>
    <row r="52" spans="1:107" ht="13.8" x14ac:dyDescent="0.25">
      <c r="A52" s="1581"/>
      <c r="B52" s="3319" t="s">
        <v>61</v>
      </c>
      <c r="C52" s="3274"/>
      <c r="D52" s="3274"/>
      <c r="E52" s="2028">
        <f>C52+D52*1</f>
        <v>0</v>
      </c>
      <c r="F52" s="3284">
        <f>E52/$E$89</f>
        <v>0</v>
      </c>
      <c r="G52" s="3311"/>
      <c r="H52" s="3274"/>
      <c r="I52" s="3274"/>
      <c r="J52" s="2028">
        <f>H52+I52*1</f>
        <v>0</v>
      </c>
      <c r="K52" s="3284">
        <f>J52/$T$89</f>
        <v>0</v>
      </c>
      <c r="L52" s="3311"/>
      <c r="M52" s="3274"/>
      <c r="N52" s="3274"/>
      <c r="O52" s="2028">
        <f>M52+N52*1</f>
        <v>0</v>
      </c>
      <c r="P52" s="3284">
        <f t="shared" si="2"/>
        <v>0</v>
      </c>
      <c r="Q52" s="3311"/>
      <c r="R52" s="3274"/>
      <c r="S52" s="3274"/>
      <c r="T52" s="2028">
        <f>R52+S52*1</f>
        <v>0</v>
      </c>
      <c r="U52" s="3284">
        <f>T52/$O$89</f>
        <v>0</v>
      </c>
      <c r="V52" s="3311"/>
      <c r="W52" s="3274"/>
      <c r="X52" s="3274"/>
      <c r="Y52" s="2028">
        <f>W52+X52*1</f>
        <v>0</v>
      </c>
      <c r="Z52" s="3284">
        <f>Y52/$O$89</f>
        <v>0</v>
      </c>
      <c r="AA52" s="3311"/>
      <c r="AB52" s="3274"/>
      <c r="AC52" s="3274"/>
      <c r="AD52" s="2028">
        <f>AB52+AC52*1</f>
        <v>0</v>
      </c>
      <c r="AE52" s="3284">
        <f>AD52/$O$89</f>
        <v>0</v>
      </c>
      <c r="AF52" s="3311"/>
      <c r="AG52" s="3274">
        <v>0</v>
      </c>
      <c r="AH52" s="3274">
        <v>0</v>
      </c>
      <c r="AI52" s="2028">
        <v>0</v>
      </c>
      <c r="AJ52" s="3284">
        <v>0</v>
      </c>
      <c r="AK52" s="3311"/>
      <c r="AL52" s="3274">
        <f t="shared" si="92"/>
        <v>0</v>
      </c>
      <c r="AM52" s="3274">
        <f t="shared" si="92"/>
        <v>0</v>
      </c>
      <c r="AN52" s="2028">
        <f>AL52+AM52*1</f>
        <v>0</v>
      </c>
      <c r="AO52" s="3284">
        <f t="shared" si="91"/>
        <v>0</v>
      </c>
      <c r="AP52" s="3311"/>
      <c r="AQ52" s="3274"/>
      <c r="AR52" s="3274"/>
      <c r="AS52" s="2028">
        <f>AQ52+AR52*1</f>
        <v>0</v>
      </c>
      <c r="AT52" s="3284">
        <f>AS52/$O$89</f>
        <v>0</v>
      </c>
      <c r="AU52" s="3311"/>
      <c r="AV52" s="3274"/>
      <c r="AW52" s="3274"/>
      <c r="AX52" s="2028">
        <f>AV52+AW52*1</f>
        <v>0</v>
      </c>
      <c r="AY52" s="3284">
        <f>AX52/$E$89</f>
        <v>0</v>
      </c>
      <c r="AZ52" s="3311"/>
      <c r="BA52" s="3274"/>
      <c r="BB52" s="3274"/>
      <c r="BC52" s="2028">
        <f>BA52+BB52*1</f>
        <v>0</v>
      </c>
      <c r="BD52" s="3284">
        <f t="shared" si="58"/>
        <v>0</v>
      </c>
      <c r="BE52" s="3311"/>
      <c r="BF52" s="3274"/>
      <c r="BG52" s="3274"/>
      <c r="BH52" s="2028">
        <f>BF52+BG52*1</f>
        <v>0</v>
      </c>
      <c r="BI52" s="3284">
        <f t="shared" si="59"/>
        <v>0</v>
      </c>
      <c r="BJ52" s="3311"/>
      <c r="BK52" s="3274"/>
      <c r="BL52" s="3274"/>
      <c r="BM52" s="2028">
        <f>BK52+BL52*1</f>
        <v>0</v>
      </c>
      <c r="BN52" s="3284">
        <f t="shared" si="60"/>
        <v>0</v>
      </c>
      <c r="BO52" s="3311"/>
      <c r="BP52" s="3274"/>
      <c r="BQ52" s="3274"/>
      <c r="BR52" s="2028">
        <f>BP52+BQ52*1</f>
        <v>0</v>
      </c>
      <c r="BS52" s="3284">
        <f t="shared" si="61"/>
        <v>0</v>
      </c>
      <c r="BT52" s="3311"/>
      <c r="BU52" s="3274"/>
      <c r="BV52" s="3274"/>
      <c r="BW52" s="2028">
        <f>BU52+BV52*1</f>
        <v>0</v>
      </c>
      <c r="BX52" s="3284" t="e">
        <f t="shared" si="62"/>
        <v>#DIV/0!</v>
      </c>
      <c r="BY52" s="3311"/>
      <c r="BZ52" s="3274"/>
      <c r="CA52" s="3274"/>
      <c r="CB52" s="2028">
        <f>BZ52+CA52*1</f>
        <v>0</v>
      </c>
      <c r="CC52" s="3284" t="e">
        <f t="shared" si="63"/>
        <v>#DIV/0!</v>
      </c>
      <c r="CD52" s="3321"/>
      <c r="CE52" s="3274"/>
      <c r="CF52" s="3274"/>
      <c r="CG52" s="2028">
        <f>CE52+CF52*1</f>
        <v>0</v>
      </c>
      <c r="CH52" s="3284" t="e">
        <f t="shared" si="64"/>
        <v>#DIV/0!</v>
      </c>
      <c r="CI52" s="3321"/>
      <c r="CJ52" s="3274"/>
      <c r="CK52" s="3274"/>
      <c r="CL52" s="2028">
        <f>CJ52+CK52*1</f>
        <v>0</v>
      </c>
      <c r="CM52" s="3284" t="e">
        <f t="shared" si="65"/>
        <v>#DIV/0!</v>
      </c>
      <c r="CN52" s="3321"/>
      <c r="CO52" s="3274"/>
      <c r="CP52" s="3274"/>
      <c r="CQ52" s="2028">
        <f>CO52+CP52*1</f>
        <v>0</v>
      </c>
      <c r="CR52" s="3284" t="e">
        <f t="shared" si="66"/>
        <v>#DIV/0!</v>
      </c>
      <c r="CS52" s="3321"/>
      <c r="CT52" s="3274"/>
      <c r="CU52" s="3274"/>
      <c r="CV52" s="2028">
        <f>CT52+CU52*1</f>
        <v>0</v>
      </c>
      <c r="CW52" s="3284" t="e">
        <f t="shared" si="67"/>
        <v>#DIV/0!</v>
      </c>
      <c r="CX52" s="3321"/>
      <c r="CY52" s="3274">
        <f t="shared" si="93"/>
        <v>0</v>
      </c>
      <c r="CZ52" s="3274">
        <f t="shared" si="93"/>
        <v>0</v>
      </c>
      <c r="DA52" s="2028">
        <f>CY52+CZ52*1</f>
        <v>0</v>
      </c>
      <c r="DB52" s="3284">
        <f t="shared" si="68"/>
        <v>0</v>
      </c>
      <c r="DC52" s="3311"/>
    </row>
    <row r="53" spans="1:107" ht="14.4" thickBot="1" x14ac:dyDescent="0.3">
      <c r="A53" s="1428"/>
      <c r="B53" s="3322"/>
      <c r="C53" s="3274"/>
      <c r="D53" s="3274"/>
      <c r="E53" s="3227"/>
      <c r="F53" s="3227"/>
      <c r="G53" s="3227"/>
      <c r="H53" s="3274"/>
      <c r="I53" s="3274"/>
      <c r="J53" s="3227"/>
      <c r="K53" s="3227"/>
      <c r="L53" s="3227"/>
      <c r="M53" s="3274"/>
      <c r="N53" s="3274"/>
      <c r="O53" s="3227"/>
      <c r="P53" s="3227"/>
      <c r="Q53" s="3227"/>
      <c r="R53" s="3274"/>
      <c r="S53" s="3274"/>
      <c r="T53" s="3227"/>
      <c r="U53" s="3227"/>
      <c r="V53" s="3227"/>
      <c r="W53" s="3274"/>
      <c r="X53" s="3274"/>
      <c r="Y53" s="3227"/>
      <c r="Z53" s="3227"/>
      <c r="AA53" s="3227"/>
      <c r="AB53" s="3274"/>
      <c r="AC53" s="3274"/>
      <c r="AD53" s="3227"/>
      <c r="AE53" s="3227"/>
      <c r="AF53" s="3227"/>
      <c r="AG53" s="3274"/>
      <c r="AH53" s="3274"/>
      <c r="AI53" s="3227"/>
      <c r="AJ53" s="3227"/>
      <c r="AK53" s="3227"/>
      <c r="AL53" s="3274"/>
      <c r="AM53" s="3274"/>
      <c r="AN53" s="3227"/>
      <c r="AO53" s="3227"/>
      <c r="AP53" s="3227"/>
      <c r="AQ53" s="3274"/>
      <c r="AR53" s="3274"/>
      <c r="AS53" s="3227"/>
      <c r="AT53" s="3227"/>
      <c r="AU53" s="3227"/>
      <c r="AV53" s="3274"/>
      <c r="AW53" s="3274"/>
      <c r="AX53" s="3227"/>
      <c r="AY53" s="3227"/>
      <c r="AZ53" s="3227"/>
      <c r="BA53" s="3274"/>
      <c r="BB53" s="3274"/>
      <c r="BC53" s="3227"/>
      <c r="BD53" s="3227"/>
      <c r="BE53" s="3227"/>
      <c r="BF53" s="3274"/>
      <c r="BG53" s="3274"/>
      <c r="BH53" s="3227"/>
      <c r="BI53" s="3227"/>
      <c r="BJ53" s="3227"/>
      <c r="BK53" s="3274"/>
      <c r="BL53" s="3274"/>
      <c r="BM53" s="3227"/>
      <c r="BN53" s="3227"/>
      <c r="BO53" s="3227"/>
      <c r="BP53" s="3274"/>
      <c r="BQ53" s="3274"/>
      <c r="BR53" s="3227"/>
      <c r="BS53" s="3227"/>
      <c r="BT53" s="3227"/>
      <c r="BU53" s="3274"/>
      <c r="BV53" s="3274"/>
      <c r="BW53" s="3227"/>
      <c r="BX53" s="3227"/>
      <c r="BY53" s="3227"/>
      <c r="BZ53" s="3274"/>
      <c r="CA53" s="3274"/>
      <c r="CB53" s="3227"/>
      <c r="CC53" s="3227"/>
      <c r="CD53" s="1328"/>
      <c r="CE53" s="3274"/>
      <c r="CF53" s="3274"/>
      <c r="CG53" s="3227"/>
      <c r="CH53" s="3227"/>
      <c r="CI53" s="1328"/>
      <c r="CJ53" s="3274"/>
      <c r="CK53" s="3274"/>
      <c r="CL53" s="3227"/>
      <c r="CM53" s="3227"/>
      <c r="CN53" s="1328"/>
      <c r="CO53" s="3274"/>
      <c r="CP53" s="3274"/>
      <c r="CQ53" s="3227"/>
      <c r="CR53" s="3227"/>
      <c r="CS53" s="1328"/>
      <c r="CT53" s="3274"/>
      <c r="CU53" s="3274"/>
      <c r="CV53" s="3227"/>
      <c r="CW53" s="3227"/>
      <c r="CX53" s="1328"/>
      <c r="CY53" s="3274"/>
      <c r="CZ53" s="3274"/>
      <c r="DA53" s="3227"/>
      <c r="DB53" s="3227"/>
      <c r="DC53" s="3227"/>
    </row>
    <row r="54" spans="1:107" ht="13.8" x14ac:dyDescent="0.25">
      <c r="A54" s="1585"/>
      <c r="B54" s="1425" t="s">
        <v>1</v>
      </c>
      <c r="C54" s="2031">
        <f>SUM(C55:C72)</f>
        <v>0</v>
      </c>
      <c r="D54" s="2031">
        <f>SUM(D55:D72)</f>
        <v>1157</v>
      </c>
      <c r="E54" s="2031">
        <f>SUM(E55:E72)</f>
        <v>1157</v>
      </c>
      <c r="F54" s="3318">
        <f t="shared" ref="F54:F71" si="94">E54/$E$89</f>
        <v>5.9823327715314732E-3</v>
      </c>
      <c r="G54" s="2022"/>
      <c r="H54" s="2031">
        <f>SUM(H55:H72)</f>
        <v>0</v>
      </c>
      <c r="I54" s="2031">
        <f>SUM(I55:I72)</f>
        <v>0</v>
      </c>
      <c r="J54" s="2031">
        <f>SUM(J55:J72)</f>
        <v>0</v>
      </c>
      <c r="K54" s="3318">
        <f t="shared" ref="K54:K71" si="95">J54/$T$89</f>
        <v>0</v>
      </c>
      <c r="L54" s="2022"/>
      <c r="M54" s="2031">
        <f>SUM(M55:M72)</f>
        <v>0</v>
      </c>
      <c r="N54" s="2031">
        <f>SUM(N55:N72)</f>
        <v>780</v>
      </c>
      <c r="O54" s="2031">
        <f>SUM(O55:O72)</f>
        <v>780</v>
      </c>
      <c r="P54" s="3318">
        <f t="shared" si="2"/>
        <v>6.7214956570376405E-3</v>
      </c>
      <c r="Q54" s="2022"/>
      <c r="R54" s="2031">
        <f>SUM(R55:R72)</f>
        <v>0</v>
      </c>
      <c r="S54" s="2031">
        <f>SUM(S55:S72)</f>
        <v>0</v>
      </c>
      <c r="T54" s="2031">
        <f>SUM(T55:T72)</f>
        <v>0</v>
      </c>
      <c r="U54" s="3318">
        <f t="shared" ref="U54:U71" si="96">T54/$O$89</f>
        <v>0</v>
      </c>
      <c r="V54" s="2022"/>
      <c r="W54" s="2031">
        <f>SUM(W55:W72)</f>
        <v>0</v>
      </c>
      <c r="X54" s="2031">
        <f>SUM(X55:X72)</f>
        <v>0</v>
      </c>
      <c r="Y54" s="2031">
        <f>SUM(Y55:Y72)</f>
        <v>0</v>
      </c>
      <c r="Z54" s="3318">
        <f t="shared" ref="Z54:Z71" si="97">Y54/$O$89</f>
        <v>0</v>
      </c>
      <c r="AA54" s="2022"/>
      <c r="AB54" s="2031">
        <f>SUM(AB55:AB72)</f>
        <v>0</v>
      </c>
      <c r="AC54" s="2031">
        <f>SUM(AC55:AC72)</f>
        <v>0</v>
      </c>
      <c r="AD54" s="2031">
        <f>SUM(AD55:AD72)</f>
        <v>0</v>
      </c>
      <c r="AE54" s="3318">
        <f t="shared" ref="AE54:AE71" si="98">AD54/$O$89</f>
        <v>0</v>
      </c>
      <c r="AF54" s="2022"/>
      <c r="AG54" s="2031">
        <v>950.17</v>
      </c>
      <c r="AH54" s="2031">
        <v>763</v>
      </c>
      <c r="AI54" s="2031">
        <v>1713.17</v>
      </c>
      <c r="AJ54" s="3318">
        <v>2.6285071696098592E-2</v>
      </c>
      <c r="AK54" s="2022"/>
      <c r="AL54" s="2031">
        <f>SUM(AL55:AL72)</f>
        <v>0</v>
      </c>
      <c r="AM54" s="2031">
        <f>SUM(AM55:AM72)</f>
        <v>0</v>
      </c>
      <c r="AN54" s="2031">
        <f>SUM(AN55:AN72)</f>
        <v>0</v>
      </c>
      <c r="AO54" s="3318">
        <f t="shared" ref="AO54:AO71" si="99">AN54/$T$89</f>
        <v>0</v>
      </c>
      <c r="AP54" s="2022"/>
      <c r="AQ54" s="2031">
        <f>SUM(AQ55:AQ72)</f>
        <v>0</v>
      </c>
      <c r="AR54" s="2031">
        <f>SUM(AR55:AR72)</f>
        <v>0</v>
      </c>
      <c r="AS54" s="2031">
        <f>SUM(AS55:AS72)</f>
        <v>0</v>
      </c>
      <c r="AT54" s="3318">
        <f t="shared" ref="AT54:AT71" si="100">AS54/$O$89</f>
        <v>0</v>
      </c>
      <c r="AU54" s="2022"/>
      <c r="AV54" s="2031">
        <f>SUM(AV55:AV72)</f>
        <v>0</v>
      </c>
      <c r="AW54" s="2031">
        <f>SUM(AW55:AW72)</f>
        <v>0</v>
      </c>
      <c r="AX54" s="2031">
        <f>SUM(AX55:AX72)</f>
        <v>0</v>
      </c>
      <c r="AY54" s="3318">
        <f t="shared" ref="AY54:AY71" si="101">AX54/$E$89</f>
        <v>0</v>
      </c>
      <c r="AZ54" s="2022"/>
      <c r="BA54" s="2031">
        <f>SUM(BA55:BA72)</f>
        <v>0</v>
      </c>
      <c r="BB54" s="2031">
        <f>SUM(BB55:BB72)</f>
        <v>0</v>
      </c>
      <c r="BC54" s="2031">
        <f>SUM(BC55:BC72)</f>
        <v>0</v>
      </c>
      <c r="BD54" s="3318">
        <f t="shared" ref="BD54:BD71" si="102">BC54/$AD$89</f>
        <v>0</v>
      </c>
      <c r="BE54" s="2022"/>
      <c r="BF54" s="2031">
        <f>SUM(BF55:BF72)</f>
        <v>0</v>
      </c>
      <c r="BG54" s="2031">
        <f>SUM(BG55:BG72)</f>
        <v>0</v>
      </c>
      <c r="BH54" s="2031">
        <f>SUM(BH55:BH72)</f>
        <v>0</v>
      </c>
      <c r="BI54" s="3318">
        <f t="shared" ref="BI54:BI71" si="103">BH54/$AD$89</f>
        <v>0</v>
      </c>
      <c r="BJ54" s="2022"/>
      <c r="BK54" s="2031">
        <f>SUM(BK55:BK72)</f>
        <v>0</v>
      </c>
      <c r="BL54" s="2031">
        <f>SUM(BL55:BL72)</f>
        <v>0</v>
      </c>
      <c r="BM54" s="2031">
        <f>SUM(BM55:BM72)</f>
        <v>0</v>
      </c>
      <c r="BN54" s="3318">
        <f t="shared" ref="BN54:BN71" si="104">BM54/$AD$89</f>
        <v>0</v>
      </c>
      <c r="BO54" s="2022"/>
      <c r="BP54" s="2031">
        <f>SUM(BP55:BP72)</f>
        <v>0</v>
      </c>
      <c r="BQ54" s="2031">
        <f>SUM(BQ55:BQ72)</f>
        <v>0</v>
      </c>
      <c r="BR54" s="2031">
        <f>SUM(BR55:BR72)</f>
        <v>0</v>
      </c>
      <c r="BS54" s="3318">
        <f t="shared" ref="BS54:BS71" si="105">BR54/$AD$89</f>
        <v>0</v>
      </c>
      <c r="BT54" s="2022"/>
      <c r="BU54" s="2031">
        <f>SUM(BU55:BU72)</f>
        <v>0</v>
      </c>
      <c r="BV54" s="2031">
        <f>SUM(BV55:BV72)</f>
        <v>0</v>
      </c>
      <c r="BW54" s="2031">
        <f>SUM(BW55:BW72)</f>
        <v>0</v>
      </c>
      <c r="BX54" s="3318" t="e">
        <f t="shared" ref="BX54:BX71" si="106">BW54/$AN$89</f>
        <v>#DIV/0!</v>
      </c>
      <c r="BY54" s="2022"/>
      <c r="BZ54" s="2031">
        <f>SUM(BZ55:BZ72)</f>
        <v>0</v>
      </c>
      <c r="CA54" s="2031">
        <f>SUM(CA55:CA72)</f>
        <v>0</v>
      </c>
      <c r="CB54" s="2031">
        <f>SUM(CB55:CB72)</f>
        <v>0</v>
      </c>
      <c r="CC54" s="3318" t="e">
        <f t="shared" ref="CC54:CC71" si="107">CB54/$AN$89</f>
        <v>#DIV/0!</v>
      </c>
      <c r="CD54" s="1460"/>
      <c r="CE54" s="2031">
        <f>SUM(CE55:CE72)</f>
        <v>0</v>
      </c>
      <c r="CF54" s="2031">
        <f>SUM(CF55:CF72)</f>
        <v>0</v>
      </c>
      <c r="CG54" s="2031">
        <f>SUM(CG55:CG72)</f>
        <v>0</v>
      </c>
      <c r="CH54" s="3318" t="e">
        <f t="shared" ref="CH54:CH71" si="108">CG54/$AN$89</f>
        <v>#DIV/0!</v>
      </c>
      <c r="CI54" s="1460"/>
      <c r="CJ54" s="2031">
        <f>SUM(CJ55:CJ72)</f>
        <v>0</v>
      </c>
      <c r="CK54" s="2031">
        <f>SUM(CK55:CK72)</f>
        <v>0</v>
      </c>
      <c r="CL54" s="2031">
        <f>SUM(CL55:CL72)</f>
        <v>0</v>
      </c>
      <c r="CM54" s="3318" t="e">
        <f t="shared" ref="CM54:CM71" si="109">CL54/$AN$89</f>
        <v>#DIV/0!</v>
      </c>
      <c r="CN54" s="1460"/>
      <c r="CO54" s="2031">
        <f>SUM(CO55:CO72)</f>
        <v>0</v>
      </c>
      <c r="CP54" s="2031">
        <f>SUM(CP55:CP72)</f>
        <v>0</v>
      </c>
      <c r="CQ54" s="2031">
        <f>SUM(CQ55:CQ72)</f>
        <v>0</v>
      </c>
      <c r="CR54" s="3318" t="e">
        <f t="shared" ref="CR54:CR71" si="110">CQ54/$AN$89</f>
        <v>#DIV/0!</v>
      </c>
      <c r="CS54" s="1460"/>
      <c r="CT54" s="2031">
        <f>SUM(CT55:CT72)</f>
        <v>0</v>
      </c>
      <c r="CU54" s="2031">
        <f>SUM(CU55:CU72)</f>
        <v>0</v>
      </c>
      <c r="CV54" s="2031">
        <f>SUM(CV55:CV72)</f>
        <v>0</v>
      </c>
      <c r="CW54" s="3318" t="e">
        <f t="shared" ref="CW54:CW71" si="111">CV54/$AN$89</f>
        <v>#DIV/0!</v>
      </c>
      <c r="CX54" s="1460"/>
      <c r="CY54" s="2031">
        <f>SUM(CY55:CY72)</f>
        <v>950.17</v>
      </c>
      <c r="CZ54" s="2031">
        <f>SUM(CZ55:CZ72)</f>
        <v>2700</v>
      </c>
      <c r="DA54" s="2031">
        <f>SUM(DA55:DA72)</f>
        <v>3650.17</v>
      </c>
      <c r="DB54" s="3318">
        <f t="shared" si="68"/>
        <v>1.5197113960271136E-3</v>
      </c>
      <c r="DC54" s="2022"/>
    </row>
    <row r="55" spans="1:107" ht="13.8" x14ac:dyDescent="0.25">
      <c r="A55" s="1586"/>
      <c r="B55" s="3310" t="s">
        <v>77</v>
      </c>
      <c r="C55" s="3283"/>
      <c r="D55" s="3283"/>
      <c r="E55" s="2028">
        <f t="shared" ref="E55:E71" si="112">C55+D55*1</f>
        <v>0</v>
      </c>
      <c r="F55" s="3284">
        <f t="shared" si="94"/>
        <v>0</v>
      </c>
      <c r="G55" s="3295"/>
      <c r="H55" s="3283"/>
      <c r="I55" s="3283"/>
      <c r="J55" s="2028">
        <f t="shared" ref="J55:J71" si="113">H55+I55*1</f>
        <v>0</v>
      </c>
      <c r="K55" s="3284">
        <f t="shared" si="95"/>
        <v>0</v>
      </c>
      <c r="L55" s="3295"/>
      <c r="M55" s="3283"/>
      <c r="N55" s="3283"/>
      <c r="O55" s="2028">
        <f t="shared" ref="O55:O71" si="114">M55+N55*1</f>
        <v>0</v>
      </c>
      <c r="P55" s="3284">
        <f t="shared" si="2"/>
        <v>0</v>
      </c>
      <c r="Q55" s="3295"/>
      <c r="R55" s="3283"/>
      <c r="S55" s="3283"/>
      <c r="T55" s="2028">
        <f t="shared" ref="T55:T71" si="115">R55+S55*1</f>
        <v>0</v>
      </c>
      <c r="U55" s="3284">
        <f t="shared" si="96"/>
        <v>0</v>
      </c>
      <c r="V55" s="3295"/>
      <c r="W55" s="3283"/>
      <c r="X55" s="3283"/>
      <c r="Y55" s="2028">
        <f t="shared" ref="Y55:Y71" si="116">W55+X55*1</f>
        <v>0</v>
      </c>
      <c r="Z55" s="3284">
        <f t="shared" si="97"/>
        <v>0</v>
      </c>
      <c r="AA55" s="3295"/>
      <c r="AB55" s="3283"/>
      <c r="AC55" s="3283"/>
      <c r="AD55" s="2028">
        <f t="shared" ref="AD55:AD71" si="117">AB55+AC55*1</f>
        <v>0</v>
      </c>
      <c r="AE55" s="3284">
        <f t="shared" si="98"/>
        <v>0</v>
      </c>
      <c r="AF55" s="3295"/>
      <c r="AG55" s="3274">
        <v>0</v>
      </c>
      <c r="AH55" s="3274">
        <v>0</v>
      </c>
      <c r="AI55" s="2028">
        <v>0</v>
      </c>
      <c r="AJ55" s="3284">
        <v>0</v>
      </c>
      <c r="AK55" s="3295"/>
      <c r="AL55" s="3274">
        <f t="shared" ref="AL55:AM71" si="118">AQ55+AV55+BA55+BF55+BK55+BP55+BU55+BZ55+CE55+CJ55+CO55+CT55</f>
        <v>0</v>
      </c>
      <c r="AM55" s="3274">
        <f t="shared" si="118"/>
        <v>0</v>
      </c>
      <c r="AN55" s="2028">
        <f t="shared" ref="AN55:AN71" si="119">AL55+AM55*1</f>
        <v>0</v>
      </c>
      <c r="AO55" s="3284">
        <f t="shared" si="99"/>
        <v>0</v>
      </c>
      <c r="AP55" s="3295"/>
      <c r="AQ55" s="3283"/>
      <c r="AR55" s="3283"/>
      <c r="AS55" s="2028">
        <f t="shared" ref="AS55:AS71" si="120">AQ55+AR55*1</f>
        <v>0</v>
      </c>
      <c r="AT55" s="3284">
        <f t="shared" si="100"/>
        <v>0</v>
      </c>
      <c r="AU55" s="3295"/>
      <c r="AV55" s="3283"/>
      <c r="AW55" s="3283"/>
      <c r="AX55" s="2028">
        <f t="shared" ref="AX55:AX71" si="121">AV55+AW55*1</f>
        <v>0</v>
      </c>
      <c r="AY55" s="3284">
        <f t="shared" si="101"/>
        <v>0</v>
      </c>
      <c r="AZ55" s="3295"/>
      <c r="BA55" s="3283"/>
      <c r="BB55" s="3283"/>
      <c r="BC55" s="2028">
        <f t="shared" ref="BC55:BC71" si="122">BA55+BB55*1</f>
        <v>0</v>
      </c>
      <c r="BD55" s="3284">
        <f t="shared" si="102"/>
        <v>0</v>
      </c>
      <c r="BE55" s="3295"/>
      <c r="BF55" s="3283"/>
      <c r="BG55" s="3283"/>
      <c r="BH55" s="2028">
        <f t="shared" ref="BH55:BH71" si="123">BF55+BG55*1</f>
        <v>0</v>
      </c>
      <c r="BI55" s="3284">
        <f t="shared" si="103"/>
        <v>0</v>
      </c>
      <c r="BJ55" s="3295"/>
      <c r="BK55" s="3283"/>
      <c r="BL55" s="3283"/>
      <c r="BM55" s="2028">
        <f t="shared" ref="BM55:BM71" si="124">BK55+BL55*1</f>
        <v>0</v>
      </c>
      <c r="BN55" s="3284">
        <f t="shared" si="104"/>
        <v>0</v>
      </c>
      <c r="BO55" s="3295"/>
      <c r="BP55" s="3283"/>
      <c r="BQ55" s="3283"/>
      <c r="BR55" s="2028">
        <f t="shared" ref="BR55:BR71" si="125">BP55+BQ55*1</f>
        <v>0</v>
      </c>
      <c r="BS55" s="3284">
        <f t="shared" si="105"/>
        <v>0</v>
      </c>
      <c r="BT55" s="3295"/>
      <c r="BU55" s="3283"/>
      <c r="BV55" s="3283"/>
      <c r="BW55" s="2028">
        <f t="shared" ref="BW55:BW71" si="126">BU55+BV55*1</f>
        <v>0</v>
      </c>
      <c r="BX55" s="3284" t="e">
        <f t="shared" si="106"/>
        <v>#DIV/0!</v>
      </c>
      <c r="BY55" s="3295"/>
      <c r="BZ55" s="3283"/>
      <c r="CA55" s="3283"/>
      <c r="CB55" s="2028">
        <f t="shared" ref="CB55:CB71" si="127">BZ55+CA55*1</f>
        <v>0</v>
      </c>
      <c r="CC55" s="3284" t="e">
        <f t="shared" si="107"/>
        <v>#DIV/0!</v>
      </c>
      <c r="CD55" s="1449"/>
      <c r="CE55" s="3283"/>
      <c r="CF55" s="3283"/>
      <c r="CG55" s="2028">
        <f t="shared" ref="CG55:CG71" si="128">CE55+CF55*1</f>
        <v>0</v>
      </c>
      <c r="CH55" s="3284" t="e">
        <f t="shared" si="108"/>
        <v>#DIV/0!</v>
      </c>
      <c r="CI55" s="1449"/>
      <c r="CJ55" s="3283"/>
      <c r="CK55" s="3283"/>
      <c r="CL55" s="2028">
        <f t="shared" ref="CL55:CL71" si="129">CJ55+CK55*1</f>
        <v>0</v>
      </c>
      <c r="CM55" s="3284" t="e">
        <f t="shared" si="109"/>
        <v>#DIV/0!</v>
      </c>
      <c r="CN55" s="1449"/>
      <c r="CO55" s="3283"/>
      <c r="CP55" s="3283"/>
      <c r="CQ55" s="2028">
        <f t="shared" ref="CQ55:CQ71" si="130">CO55+CP55*1</f>
        <v>0</v>
      </c>
      <c r="CR55" s="3284" t="e">
        <f t="shared" si="110"/>
        <v>#DIV/0!</v>
      </c>
      <c r="CS55" s="1449"/>
      <c r="CT55" s="3283"/>
      <c r="CU55" s="3283"/>
      <c r="CV55" s="2028">
        <f t="shared" ref="CV55:CV71" si="131">CT55+CU55*1</f>
        <v>0</v>
      </c>
      <c r="CW55" s="3284" t="e">
        <f t="shared" si="111"/>
        <v>#DIV/0!</v>
      </c>
      <c r="CX55" s="1449"/>
      <c r="CY55" s="3274">
        <f t="shared" ref="CY55:CZ71" si="132">C55+H55+M55+R55+W55+AB55+AQ55+AV55+BA55+BF55+BK55+BP55+BU55+BZ55+CE55+CJ55+CO55+CT55+AG55</f>
        <v>0</v>
      </c>
      <c r="CZ55" s="3274">
        <f t="shared" si="132"/>
        <v>0</v>
      </c>
      <c r="DA55" s="2028">
        <f t="shared" ref="DA55:DA71" si="133">CY55+CZ55*1</f>
        <v>0</v>
      </c>
      <c r="DB55" s="3284">
        <f t="shared" si="68"/>
        <v>0</v>
      </c>
      <c r="DC55" s="3295"/>
    </row>
    <row r="56" spans="1:107" ht="13.8" x14ac:dyDescent="0.25">
      <c r="A56" s="1586"/>
      <c r="B56" s="3310" t="s">
        <v>76</v>
      </c>
      <c r="C56" s="3283"/>
      <c r="D56" s="3283"/>
      <c r="E56" s="2028">
        <f t="shared" si="112"/>
        <v>0</v>
      </c>
      <c r="F56" s="3284">
        <f t="shared" si="94"/>
        <v>0</v>
      </c>
      <c r="G56" s="3295"/>
      <c r="H56" s="3283"/>
      <c r="I56" s="3283"/>
      <c r="J56" s="2028">
        <f t="shared" si="113"/>
        <v>0</v>
      </c>
      <c r="K56" s="3284">
        <f t="shared" si="95"/>
        <v>0</v>
      </c>
      <c r="L56" s="3295"/>
      <c r="M56" s="3283"/>
      <c r="N56" s="3283"/>
      <c r="O56" s="2028">
        <f t="shared" si="114"/>
        <v>0</v>
      </c>
      <c r="P56" s="3284">
        <f t="shared" si="2"/>
        <v>0</v>
      </c>
      <c r="Q56" s="3295"/>
      <c r="R56" s="3283"/>
      <c r="S56" s="3283"/>
      <c r="T56" s="2028">
        <f t="shared" si="115"/>
        <v>0</v>
      </c>
      <c r="U56" s="3284">
        <f t="shared" si="96"/>
        <v>0</v>
      </c>
      <c r="V56" s="3295"/>
      <c r="W56" s="3283"/>
      <c r="X56" s="3283"/>
      <c r="Y56" s="2028">
        <f t="shared" si="116"/>
        <v>0</v>
      </c>
      <c r="Z56" s="3284">
        <f t="shared" si="97"/>
        <v>0</v>
      </c>
      <c r="AA56" s="3295"/>
      <c r="AB56" s="3283"/>
      <c r="AC56" s="3283"/>
      <c r="AD56" s="2028">
        <f t="shared" si="117"/>
        <v>0</v>
      </c>
      <c r="AE56" s="3284">
        <f t="shared" si="98"/>
        <v>0</v>
      </c>
      <c r="AF56" s="3295"/>
      <c r="AG56" s="3274">
        <v>0</v>
      </c>
      <c r="AH56" s="3274">
        <v>0</v>
      </c>
      <c r="AI56" s="2028">
        <v>0</v>
      </c>
      <c r="AJ56" s="3284">
        <v>0</v>
      </c>
      <c r="AK56" s="3295"/>
      <c r="AL56" s="3274">
        <f t="shared" si="118"/>
        <v>0</v>
      </c>
      <c r="AM56" s="3274">
        <f t="shared" si="118"/>
        <v>0</v>
      </c>
      <c r="AN56" s="2028">
        <f t="shared" si="119"/>
        <v>0</v>
      </c>
      <c r="AO56" s="3284">
        <f t="shared" si="99"/>
        <v>0</v>
      </c>
      <c r="AP56" s="3295"/>
      <c r="AQ56" s="3283"/>
      <c r="AR56" s="3283"/>
      <c r="AS56" s="2028">
        <f t="shared" si="120"/>
        <v>0</v>
      </c>
      <c r="AT56" s="3284">
        <f t="shared" si="100"/>
        <v>0</v>
      </c>
      <c r="AU56" s="3295"/>
      <c r="AV56" s="3283"/>
      <c r="AW56" s="3283"/>
      <c r="AX56" s="2028">
        <f t="shared" si="121"/>
        <v>0</v>
      </c>
      <c r="AY56" s="3284">
        <f t="shared" si="101"/>
        <v>0</v>
      </c>
      <c r="AZ56" s="3295"/>
      <c r="BA56" s="3283"/>
      <c r="BB56" s="3283"/>
      <c r="BC56" s="2028">
        <f t="shared" si="122"/>
        <v>0</v>
      </c>
      <c r="BD56" s="3284">
        <f t="shared" si="102"/>
        <v>0</v>
      </c>
      <c r="BE56" s="3295"/>
      <c r="BF56" s="3283"/>
      <c r="BG56" s="3283"/>
      <c r="BH56" s="2028">
        <f t="shared" si="123"/>
        <v>0</v>
      </c>
      <c r="BI56" s="3284">
        <f t="shared" si="103"/>
        <v>0</v>
      </c>
      <c r="BJ56" s="3295"/>
      <c r="BK56" s="3283"/>
      <c r="BL56" s="3283"/>
      <c r="BM56" s="2028">
        <f t="shared" si="124"/>
        <v>0</v>
      </c>
      <c r="BN56" s="3284">
        <f t="shared" si="104"/>
        <v>0</v>
      </c>
      <c r="BO56" s="3295"/>
      <c r="BP56" s="3283"/>
      <c r="BQ56" s="3283"/>
      <c r="BR56" s="2028">
        <f t="shared" si="125"/>
        <v>0</v>
      </c>
      <c r="BS56" s="3284">
        <f t="shared" si="105"/>
        <v>0</v>
      </c>
      <c r="BT56" s="3295"/>
      <c r="BU56" s="3283"/>
      <c r="BV56" s="3283"/>
      <c r="BW56" s="2028">
        <f t="shared" si="126"/>
        <v>0</v>
      </c>
      <c r="BX56" s="3284" t="e">
        <f t="shared" si="106"/>
        <v>#DIV/0!</v>
      </c>
      <c r="BY56" s="3295"/>
      <c r="BZ56" s="3283"/>
      <c r="CA56" s="3283"/>
      <c r="CB56" s="2028">
        <f t="shared" si="127"/>
        <v>0</v>
      </c>
      <c r="CC56" s="3284" t="e">
        <f t="shared" si="107"/>
        <v>#DIV/0!</v>
      </c>
      <c r="CD56" s="1449"/>
      <c r="CE56" s="3283"/>
      <c r="CF56" s="3283"/>
      <c r="CG56" s="2028">
        <f t="shared" si="128"/>
        <v>0</v>
      </c>
      <c r="CH56" s="3284" t="e">
        <f t="shared" si="108"/>
        <v>#DIV/0!</v>
      </c>
      <c r="CI56" s="1449"/>
      <c r="CJ56" s="3283"/>
      <c r="CK56" s="3283"/>
      <c r="CL56" s="2028">
        <f t="shared" si="129"/>
        <v>0</v>
      </c>
      <c r="CM56" s="3284" t="e">
        <f t="shared" si="109"/>
        <v>#DIV/0!</v>
      </c>
      <c r="CN56" s="1449"/>
      <c r="CO56" s="3283"/>
      <c r="CP56" s="3283"/>
      <c r="CQ56" s="2028">
        <f t="shared" si="130"/>
        <v>0</v>
      </c>
      <c r="CR56" s="3284" t="e">
        <f t="shared" si="110"/>
        <v>#DIV/0!</v>
      </c>
      <c r="CS56" s="1449"/>
      <c r="CT56" s="3283"/>
      <c r="CU56" s="3283"/>
      <c r="CV56" s="2028">
        <f t="shared" si="131"/>
        <v>0</v>
      </c>
      <c r="CW56" s="3284" t="e">
        <f t="shared" si="111"/>
        <v>#DIV/0!</v>
      </c>
      <c r="CX56" s="1449"/>
      <c r="CY56" s="3274">
        <f t="shared" si="132"/>
        <v>0</v>
      </c>
      <c r="CZ56" s="3274">
        <f t="shared" si="132"/>
        <v>0</v>
      </c>
      <c r="DA56" s="2028">
        <f t="shared" si="133"/>
        <v>0</v>
      </c>
      <c r="DB56" s="3284">
        <f t="shared" si="68"/>
        <v>0</v>
      </c>
      <c r="DC56" s="3295"/>
    </row>
    <row r="57" spans="1:107" ht="13.8" x14ac:dyDescent="0.25">
      <c r="A57" s="1586"/>
      <c r="B57" s="3310" t="s">
        <v>68</v>
      </c>
      <c r="C57" s="3283"/>
      <c r="D57" s="3283"/>
      <c r="E57" s="2028">
        <f t="shared" si="112"/>
        <v>0</v>
      </c>
      <c r="F57" s="3284">
        <f t="shared" si="94"/>
        <v>0</v>
      </c>
      <c r="G57" s="3295"/>
      <c r="H57" s="3283"/>
      <c r="I57" s="3283"/>
      <c r="J57" s="2028">
        <f t="shared" si="113"/>
        <v>0</v>
      </c>
      <c r="K57" s="3284">
        <f t="shared" si="95"/>
        <v>0</v>
      </c>
      <c r="L57" s="3295"/>
      <c r="M57" s="3283"/>
      <c r="N57" s="3283"/>
      <c r="O57" s="2028">
        <f t="shared" si="114"/>
        <v>0</v>
      </c>
      <c r="P57" s="3284">
        <f t="shared" si="2"/>
        <v>0</v>
      </c>
      <c r="Q57" s="3295"/>
      <c r="R57" s="3283"/>
      <c r="S57" s="3283"/>
      <c r="T57" s="2028">
        <f t="shared" si="115"/>
        <v>0</v>
      </c>
      <c r="U57" s="3284">
        <f t="shared" si="96"/>
        <v>0</v>
      </c>
      <c r="V57" s="3295"/>
      <c r="W57" s="3283"/>
      <c r="X57" s="3283"/>
      <c r="Y57" s="2028">
        <f t="shared" si="116"/>
        <v>0</v>
      </c>
      <c r="Z57" s="3284">
        <f t="shared" si="97"/>
        <v>0</v>
      </c>
      <c r="AA57" s="3295"/>
      <c r="AB57" s="3283"/>
      <c r="AC57" s="3283"/>
      <c r="AD57" s="2028">
        <f t="shared" si="117"/>
        <v>0</v>
      </c>
      <c r="AE57" s="3284">
        <f t="shared" si="98"/>
        <v>0</v>
      </c>
      <c r="AF57" s="3295"/>
      <c r="AG57" s="3274">
        <v>0</v>
      </c>
      <c r="AH57" s="3274">
        <v>0</v>
      </c>
      <c r="AI57" s="2028">
        <v>0</v>
      </c>
      <c r="AJ57" s="3284">
        <v>0</v>
      </c>
      <c r="AK57" s="3295"/>
      <c r="AL57" s="3274">
        <f t="shared" si="118"/>
        <v>0</v>
      </c>
      <c r="AM57" s="3274">
        <f t="shared" si="118"/>
        <v>0</v>
      </c>
      <c r="AN57" s="2028">
        <f t="shared" si="119"/>
        <v>0</v>
      </c>
      <c r="AO57" s="3284">
        <f t="shared" si="99"/>
        <v>0</v>
      </c>
      <c r="AP57" s="3295"/>
      <c r="AQ57" s="3283"/>
      <c r="AR57" s="3283"/>
      <c r="AS57" s="2028">
        <f t="shared" si="120"/>
        <v>0</v>
      </c>
      <c r="AT57" s="3284">
        <f t="shared" si="100"/>
        <v>0</v>
      </c>
      <c r="AU57" s="3295"/>
      <c r="AV57" s="3283"/>
      <c r="AW57" s="3283"/>
      <c r="AX57" s="2028">
        <f t="shared" si="121"/>
        <v>0</v>
      </c>
      <c r="AY57" s="3284">
        <f t="shared" si="101"/>
        <v>0</v>
      </c>
      <c r="AZ57" s="3295"/>
      <c r="BA57" s="3283"/>
      <c r="BB57" s="3283"/>
      <c r="BC57" s="2028">
        <f t="shared" si="122"/>
        <v>0</v>
      </c>
      <c r="BD57" s="3284">
        <f t="shared" si="102"/>
        <v>0</v>
      </c>
      <c r="BE57" s="3295"/>
      <c r="BF57" s="3283"/>
      <c r="BG57" s="3283"/>
      <c r="BH57" s="2028">
        <f t="shared" si="123"/>
        <v>0</v>
      </c>
      <c r="BI57" s="3284">
        <f t="shared" si="103"/>
        <v>0</v>
      </c>
      <c r="BJ57" s="3295"/>
      <c r="BK57" s="3283"/>
      <c r="BL57" s="3283"/>
      <c r="BM57" s="2028">
        <f t="shared" si="124"/>
        <v>0</v>
      </c>
      <c r="BN57" s="3284">
        <f t="shared" si="104"/>
        <v>0</v>
      </c>
      <c r="BO57" s="3295"/>
      <c r="BP57" s="3283"/>
      <c r="BQ57" s="3283"/>
      <c r="BR57" s="2028">
        <f t="shared" si="125"/>
        <v>0</v>
      </c>
      <c r="BS57" s="3284">
        <f t="shared" si="105"/>
        <v>0</v>
      </c>
      <c r="BT57" s="3295"/>
      <c r="BU57" s="3283"/>
      <c r="BV57" s="3283"/>
      <c r="BW57" s="2028">
        <f t="shared" si="126"/>
        <v>0</v>
      </c>
      <c r="BX57" s="3284" t="e">
        <f t="shared" si="106"/>
        <v>#DIV/0!</v>
      </c>
      <c r="BY57" s="3295"/>
      <c r="BZ57" s="3283"/>
      <c r="CA57" s="3283"/>
      <c r="CB57" s="2028">
        <f t="shared" si="127"/>
        <v>0</v>
      </c>
      <c r="CC57" s="3284" t="e">
        <f t="shared" si="107"/>
        <v>#DIV/0!</v>
      </c>
      <c r="CD57" s="1449"/>
      <c r="CE57" s="3283"/>
      <c r="CF57" s="3283"/>
      <c r="CG57" s="2028">
        <f t="shared" si="128"/>
        <v>0</v>
      </c>
      <c r="CH57" s="3284" t="e">
        <f t="shared" si="108"/>
        <v>#DIV/0!</v>
      </c>
      <c r="CI57" s="1449"/>
      <c r="CJ57" s="3283"/>
      <c r="CK57" s="3283"/>
      <c r="CL57" s="2028">
        <f t="shared" si="129"/>
        <v>0</v>
      </c>
      <c r="CM57" s="3284" t="e">
        <f t="shared" si="109"/>
        <v>#DIV/0!</v>
      </c>
      <c r="CN57" s="1449"/>
      <c r="CO57" s="3283"/>
      <c r="CP57" s="3283"/>
      <c r="CQ57" s="2028">
        <f t="shared" si="130"/>
        <v>0</v>
      </c>
      <c r="CR57" s="3284" t="e">
        <f t="shared" si="110"/>
        <v>#DIV/0!</v>
      </c>
      <c r="CS57" s="1449"/>
      <c r="CT57" s="3283"/>
      <c r="CU57" s="3283"/>
      <c r="CV57" s="2028">
        <f t="shared" si="131"/>
        <v>0</v>
      </c>
      <c r="CW57" s="3284" t="e">
        <f t="shared" si="111"/>
        <v>#DIV/0!</v>
      </c>
      <c r="CX57" s="1449"/>
      <c r="CY57" s="3274">
        <f t="shared" si="132"/>
        <v>0</v>
      </c>
      <c r="CZ57" s="3274">
        <f t="shared" si="132"/>
        <v>0</v>
      </c>
      <c r="DA57" s="2028">
        <f t="shared" si="133"/>
        <v>0</v>
      </c>
      <c r="DB57" s="3284">
        <f t="shared" si="68"/>
        <v>0</v>
      </c>
      <c r="DC57" s="3295"/>
    </row>
    <row r="58" spans="1:107" ht="13.8" x14ac:dyDescent="0.25">
      <c r="A58" s="1586"/>
      <c r="B58" s="3310" t="s">
        <v>67</v>
      </c>
      <c r="C58" s="3283"/>
      <c r="D58" s="3283"/>
      <c r="E58" s="2028">
        <f t="shared" si="112"/>
        <v>0</v>
      </c>
      <c r="F58" s="3284">
        <f t="shared" si="94"/>
        <v>0</v>
      </c>
      <c r="G58" s="3295"/>
      <c r="H58" s="3283"/>
      <c r="I58" s="3283"/>
      <c r="J58" s="2028">
        <f t="shared" si="113"/>
        <v>0</v>
      </c>
      <c r="K58" s="3284">
        <f t="shared" si="95"/>
        <v>0</v>
      </c>
      <c r="L58" s="3295"/>
      <c r="M58" s="3283"/>
      <c r="N58" s="3283"/>
      <c r="O58" s="2028">
        <f t="shared" si="114"/>
        <v>0</v>
      </c>
      <c r="P58" s="3284">
        <f t="shared" si="2"/>
        <v>0</v>
      </c>
      <c r="Q58" s="3295"/>
      <c r="R58" s="3283"/>
      <c r="S58" s="3283"/>
      <c r="T58" s="2028">
        <f t="shared" si="115"/>
        <v>0</v>
      </c>
      <c r="U58" s="3284">
        <f t="shared" si="96"/>
        <v>0</v>
      </c>
      <c r="V58" s="3295"/>
      <c r="W58" s="3283"/>
      <c r="X58" s="3283"/>
      <c r="Y58" s="2028">
        <f t="shared" si="116"/>
        <v>0</v>
      </c>
      <c r="Z58" s="3284">
        <f t="shared" si="97"/>
        <v>0</v>
      </c>
      <c r="AA58" s="3295"/>
      <c r="AB58" s="3283"/>
      <c r="AC58" s="3283"/>
      <c r="AD58" s="2028">
        <f t="shared" si="117"/>
        <v>0</v>
      </c>
      <c r="AE58" s="3284">
        <f t="shared" si="98"/>
        <v>0</v>
      </c>
      <c r="AF58" s="3295"/>
      <c r="AG58" s="3274">
        <v>0</v>
      </c>
      <c r="AH58" s="3274">
        <v>0</v>
      </c>
      <c r="AI58" s="2028">
        <v>0</v>
      </c>
      <c r="AJ58" s="3284">
        <v>0</v>
      </c>
      <c r="AK58" s="3295"/>
      <c r="AL58" s="3274">
        <f t="shared" si="118"/>
        <v>0</v>
      </c>
      <c r="AM58" s="3274">
        <f t="shared" si="118"/>
        <v>0</v>
      </c>
      <c r="AN58" s="2028">
        <f t="shared" si="119"/>
        <v>0</v>
      </c>
      <c r="AO58" s="3284">
        <f t="shared" si="99"/>
        <v>0</v>
      </c>
      <c r="AP58" s="3295"/>
      <c r="AQ58" s="3283"/>
      <c r="AR58" s="3283"/>
      <c r="AS58" s="2028">
        <f t="shared" si="120"/>
        <v>0</v>
      </c>
      <c r="AT58" s="3284">
        <f t="shared" si="100"/>
        <v>0</v>
      </c>
      <c r="AU58" s="3295"/>
      <c r="AV58" s="3283"/>
      <c r="AW58" s="3283"/>
      <c r="AX58" s="2028">
        <f t="shared" si="121"/>
        <v>0</v>
      </c>
      <c r="AY58" s="3284">
        <f t="shared" si="101"/>
        <v>0</v>
      </c>
      <c r="AZ58" s="3295"/>
      <c r="BA58" s="3283"/>
      <c r="BB58" s="3283"/>
      <c r="BC58" s="2028">
        <f t="shared" si="122"/>
        <v>0</v>
      </c>
      <c r="BD58" s="3284">
        <f t="shared" si="102"/>
        <v>0</v>
      </c>
      <c r="BE58" s="3295"/>
      <c r="BF58" s="3283"/>
      <c r="BG58" s="3283"/>
      <c r="BH58" s="2028">
        <f t="shared" si="123"/>
        <v>0</v>
      </c>
      <c r="BI58" s="3284">
        <f t="shared" si="103"/>
        <v>0</v>
      </c>
      <c r="BJ58" s="3295"/>
      <c r="BK58" s="3283"/>
      <c r="BL58" s="3283"/>
      <c r="BM58" s="2028">
        <f t="shared" si="124"/>
        <v>0</v>
      </c>
      <c r="BN58" s="3284">
        <f t="shared" si="104"/>
        <v>0</v>
      </c>
      <c r="BO58" s="3295"/>
      <c r="BP58" s="3283"/>
      <c r="BQ58" s="3283"/>
      <c r="BR58" s="2028">
        <f t="shared" si="125"/>
        <v>0</v>
      </c>
      <c r="BS58" s="3284">
        <f t="shared" si="105"/>
        <v>0</v>
      </c>
      <c r="BT58" s="3295"/>
      <c r="BU58" s="3283"/>
      <c r="BV58" s="3283"/>
      <c r="BW58" s="2028">
        <f t="shared" si="126"/>
        <v>0</v>
      </c>
      <c r="BX58" s="3284" t="e">
        <f t="shared" si="106"/>
        <v>#DIV/0!</v>
      </c>
      <c r="BY58" s="3295"/>
      <c r="BZ58" s="3283"/>
      <c r="CA58" s="3283"/>
      <c r="CB58" s="2028">
        <f t="shared" si="127"/>
        <v>0</v>
      </c>
      <c r="CC58" s="3284" t="e">
        <f t="shared" si="107"/>
        <v>#DIV/0!</v>
      </c>
      <c r="CD58" s="1449"/>
      <c r="CE58" s="3283"/>
      <c r="CF58" s="3283"/>
      <c r="CG58" s="2028">
        <f t="shared" si="128"/>
        <v>0</v>
      </c>
      <c r="CH58" s="3284" t="e">
        <f t="shared" si="108"/>
        <v>#DIV/0!</v>
      </c>
      <c r="CI58" s="1449"/>
      <c r="CJ58" s="3283"/>
      <c r="CK58" s="3283"/>
      <c r="CL58" s="2028">
        <f t="shared" si="129"/>
        <v>0</v>
      </c>
      <c r="CM58" s="3284" t="e">
        <f t="shared" si="109"/>
        <v>#DIV/0!</v>
      </c>
      <c r="CN58" s="1449"/>
      <c r="CO58" s="3283"/>
      <c r="CP58" s="3283"/>
      <c r="CQ58" s="2028">
        <f t="shared" si="130"/>
        <v>0</v>
      </c>
      <c r="CR58" s="3284" t="e">
        <f t="shared" si="110"/>
        <v>#DIV/0!</v>
      </c>
      <c r="CS58" s="1449"/>
      <c r="CT58" s="3283"/>
      <c r="CU58" s="3283"/>
      <c r="CV58" s="2028">
        <f t="shared" si="131"/>
        <v>0</v>
      </c>
      <c r="CW58" s="3284" t="e">
        <f t="shared" si="111"/>
        <v>#DIV/0!</v>
      </c>
      <c r="CX58" s="1449"/>
      <c r="CY58" s="3274">
        <f t="shared" si="132"/>
        <v>0</v>
      </c>
      <c r="CZ58" s="3274">
        <f t="shared" si="132"/>
        <v>0</v>
      </c>
      <c r="DA58" s="2028">
        <f t="shared" si="133"/>
        <v>0</v>
      </c>
      <c r="DB58" s="3284">
        <f t="shared" si="68"/>
        <v>0</v>
      </c>
      <c r="DC58" s="3295"/>
    </row>
    <row r="59" spans="1:107" ht="13.8" x14ac:dyDescent="0.25">
      <c r="A59" s="1586"/>
      <c r="B59" s="3310" t="s">
        <v>66</v>
      </c>
      <c r="C59" s="3283"/>
      <c r="D59" s="3283"/>
      <c r="E59" s="2028">
        <f t="shared" si="112"/>
        <v>0</v>
      </c>
      <c r="F59" s="3284">
        <f t="shared" si="94"/>
        <v>0</v>
      </c>
      <c r="G59" s="3295"/>
      <c r="H59" s="3283"/>
      <c r="I59" s="3283"/>
      <c r="J59" s="2028">
        <f t="shared" si="113"/>
        <v>0</v>
      </c>
      <c r="K59" s="3284">
        <f t="shared" si="95"/>
        <v>0</v>
      </c>
      <c r="L59" s="3295"/>
      <c r="M59" s="3283"/>
      <c r="N59" s="3283"/>
      <c r="O59" s="2028">
        <f t="shared" si="114"/>
        <v>0</v>
      </c>
      <c r="P59" s="3284">
        <f t="shared" si="2"/>
        <v>0</v>
      </c>
      <c r="Q59" s="3295"/>
      <c r="R59" s="3283"/>
      <c r="S59" s="3283"/>
      <c r="T59" s="2028">
        <f t="shared" si="115"/>
        <v>0</v>
      </c>
      <c r="U59" s="3284">
        <f t="shared" si="96"/>
        <v>0</v>
      </c>
      <c r="V59" s="3295"/>
      <c r="W59" s="3283"/>
      <c r="X59" s="3283"/>
      <c r="Y59" s="2028">
        <f t="shared" si="116"/>
        <v>0</v>
      </c>
      <c r="Z59" s="3284">
        <f t="shared" si="97"/>
        <v>0</v>
      </c>
      <c r="AA59" s="3295"/>
      <c r="AB59" s="3283"/>
      <c r="AC59" s="3283"/>
      <c r="AD59" s="2028">
        <f t="shared" si="117"/>
        <v>0</v>
      </c>
      <c r="AE59" s="3284">
        <f t="shared" si="98"/>
        <v>0</v>
      </c>
      <c r="AF59" s="3295"/>
      <c r="AG59" s="3274">
        <v>0</v>
      </c>
      <c r="AH59" s="3274">
        <v>0</v>
      </c>
      <c r="AI59" s="2028">
        <v>0</v>
      </c>
      <c r="AJ59" s="3284">
        <v>0</v>
      </c>
      <c r="AK59" s="3295"/>
      <c r="AL59" s="3274">
        <f t="shared" si="118"/>
        <v>0</v>
      </c>
      <c r="AM59" s="3274">
        <f t="shared" si="118"/>
        <v>0</v>
      </c>
      <c r="AN59" s="2028">
        <f t="shared" si="119"/>
        <v>0</v>
      </c>
      <c r="AO59" s="3284">
        <f t="shared" si="99"/>
        <v>0</v>
      </c>
      <c r="AP59" s="3295"/>
      <c r="AQ59" s="3283"/>
      <c r="AR59" s="3283"/>
      <c r="AS59" s="2028">
        <f t="shared" si="120"/>
        <v>0</v>
      </c>
      <c r="AT59" s="3284">
        <f t="shared" si="100"/>
        <v>0</v>
      </c>
      <c r="AU59" s="3295"/>
      <c r="AV59" s="3283"/>
      <c r="AW59" s="3283"/>
      <c r="AX59" s="2028">
        <f t="shared" si="121"/>
        <v>0</v>
      </c>
      <c r="AY59" s="3284">
        <f t="shared" si="101"/>
        <v>0</v>
      </c>
      <c r="AZ59" s="3295"/>
      <c r="BA59" s="3283"/>
      <c r="BB59" s="3283"/>
      <c r="BC59" s="2028">
        <f t="shared" si="122"/>
        <v>0</v>
      </c>
      <c r="BD59" s="3284">
        <f t="shared" si="102"/>
        <v>0</v>
      </c>
      <c r="BE59" s="3295"/>
      <c r="BF59" s="3283"/>
      <c r="BG59" s="3283"/>
      <c r="BH59" s="2028">
        <f t="shared" si="123"/>
        <v>0</v>
      </c>
      <c r="BI59" s="3284">
        <f t="shared" si="103"/>
        <v>0</v>
      </c>
      <c r="BJ59" s="3295"/>
      <c r="BK59" s="3283"/>
      <c r="BL59" s="3283"/>
      <c r="BM59" s="2028">
        <f t="shared" si="124"/>
        <v>0</v>
      </c>
      <c r="BN59" s="3284">
        <f t="shared" si="104"/>
        <v>0</v>
      </c>
      <c r="BO59" s="3295"/>
      <c r="BP59" s="3283"/>
      <c r="BQ59" s="3283"/>
      <c r="BR59" s="2028">
        <f t="shared" si="125"/>
        <v>0</v>
      </c>
      <c r="BS59" s="3284">
        <f t="shared" si="105"/>
        <v>0</v>
      </c>
      <c r="BT59" s="3295"/>
      <c r="BU59" s="3283"/>
      <c r="BV59" s="3283"/>
      <c r="BW59" s="2028">
        <f t="shared" si="126"/>
        <v>0</v>
      </c>
      <c r="BX59" s="3284" t="e">
        <f t="shared" si="106"/>
        <v>#DIV/0!</v>
      </c>
      <c r="BY59" s="3295"/>
      <c r="BZ59" s="3283"/>
      <c r="CA59" s="3283"/>
      <c r="CB59" s="2028">
        <f t="shared" si="127"/>
        <v>0</v>
      </c>
      <c r="CC59" s="3284" t="e">
        <f t="shared" si="107"/>
        <v>#DIV/0!</v>
      </c>
      <c r="CD59" s="1449"/>
      <c r="CE59" s="3283"/>
      <c r="CF59" s="3283"/>
      <c r="CG59" s="2028">
        <f t="shared" si="128"/>
        <v>0</v>
      </c>
      <c r="CH59" s="3284" t="e">
        <f t="shared" si="108"/>
        <v>#DIV/0!</v>
      </c>
      <c r="CI59" s="1449"/>
      <c r="CJ59" s="3283"/>
      <c r="CK59" s="3283"/>
      <c r="CL59" s="2028">
        <f t="shared" si="129"/>
        <v>0</v>
      </c>
      <c r="CM59" s="3284" t="e">
        <f t="shared" si="109"/>
        <v>#DIV/0!</v>
      </c>
      <c r="CN59" s="1449"/>
      <c r="CO59" s="3283"/>
      <c r="CP59" s="3283"/>
      <c r="CQ59" s="2028">
        <f t="shared" si="130"/>
        <v>0</v>
      </c>
      <c r="CR59" s="3284" t="e">
        <f t="shared" si="110"/>
        <v>#DIV/0!</v>
      </c>
      <c r="CS59" s="1449"/>
      <c r="CT59" s="3283"/>
      <c r="CU59" s="3283"/>
      <c r="CV59" s="2028">
        <f t="shared" si="131"/>
        <v>0</v>
      </c>
      <c r="CW59" s="3284" t="e">
        <f t="shared" si="111"/>
        <v>#DIV/0!</v>
      </c>
      <c r="CX59" s="1449"/>
      <c r="CY59" s="3274">
        <f t="shared" si="132"/>
        <v>0</v>
      </c>
      <c r="CZ59" s="3274">
        <f t="shared" si="132"/>
        <v>0</v>
      </c>
      <c r="DA59" s="2028">
        <f t="shared" si="133"/>
        <v>0</v>
      </c>
      <c r="DB59" s="3284">
        <f t="shared" si="68"/>
        <v>0</v>
      </c>
      <c r="DC59" s="3295"/>
    </row>
    <row r="60" spans="1:107" ht="13.8" x14ac:dyDescent="0.25">
      <c r="A60" s="1586"/>
      <c r="B60" s="3310" t="s">
        <v>65</v>
      </c>
      <c r="C60" s="3283"/>
      <c r="D60" s="3283"/>
      <c r="E60" s="2028">
        <f t="shared" si="112"/>
        <v>0</v>
      </c>
      <c r="F60" s="3284">
        <f t="shared" si="94"/>
        <v>0</v>
      </c>
      <c r="G60" s="3295"/>
      <c r="H60" s="3283"/>
      <c r="I60" s="3283"/>
      <c r="J60" s="2028">
        <f t="shared" si="113"/>
        <v>0</v>
      </c>
      <c r="K60" s="3284">
        <f t="shared" si="95"/>
        <v>0</v>
      </c>
      <c r="L60" s="3295"/>
      <c r="M60" s="3283"/>
      <c r="N60" s="3283"/>
      <c r="O60" s="2028">
        <f t="shared" si="114"/>
        <v>0</v>
      </c>
      <c r="P60" s="3284">
        <f t="shared" si="2"/>
        <v>0</v>
      </c>
      <c r="Q60" s="3295"/>
      <c r="R60" s="3283"/>
      <c r="S60" s="3283"/>
      <c r="T60" s="2028">
        <f t="shared" si="115"/>
        <v>0</v>
      </c>
      <c r="U60" s="3284">
        <f t="shared" si="96"/>
        <v>0</v>
      </c>
      <c r="V60" s="3295"/>
      <c r="W60" s="3283"/>
      <c r="X60" s="3283"/>
      <c r="Y60" s="2028">
        <f t="shared" si="116"/>
        <v>0</v>
      </c>
      <c r="Z60" s="3284">
        <f t="shared" si="97"/>
        <v>0</v>
      </c>
      <c r="AA60" s="3295"/>
      <c r="AB60" s="3283"/>
      <c r="AC60" s="3283"/>
      <c r="AD60" s="2028">
        <f t="shared" si="117"/>
        <v>0</v>
      </c>
      <c r="AE60" s="3284">
        <f t="shared" si="98"/>
        <v>0</v>
      </c>
      <c r="AF60" s="3295"/>
      <c r="AG60" s="3274">
        <v>0</v>
      </c>
      <c r="AH60" s="3274">
        <v>0</v>
      </c>
      <c r="AI60" s="2028">
        <v>0</v>
      </c>
      <c r="AJ60" s="3284">
        <v>0</v>
      </c>
      <c r="AK60" s="3295"/>
      <c r="AL60" s="3274">
        <f t="shared" si="118"/>
        <v>0</v>
      </c>
      <c r="AM60" s="3274">
        <f t="shared" si="118"/>
        <v>0</v>
      </c>
      <c r="AN60" s="2028">
        <f t="shared" si="119"/>
        <v>0</v>
      </c>
      <c r="AO60" s="3284">
        <f t="shared" si="99"/>
        <v>0</v>
      </c>
      <c r="AP60" s="3295"/>
      <c r="AQ60" s="3283"/>
      <c r="AR60" s="3283"/>
      <c r="AS60" s="2028">
        <f t="shared" si="120"/>
        <v>0</v>
      </c>
      <c r="AT60" s="3284">
        <f t="shared" si="100"/>
        <v>0</v>
      </c>
      <c r="AU60" s="3295"/>
      <c r="AV60" s="3283"/>
      <c r="AW60" s="3283"/>
      <c r="AX60" s="2028">
        <f t="shared" si="121"/>
        <v>0</v>
      </c>
      <c r="AY60" s="3284">
        <f t="shared" si="101"/>
        <v>0</v>
      </c>
      <c r="AZ60" s="3295"/>
      <c r="BA60" s="3283"/>
      <c r="BB60" s="3283"/>
      <c r="BC60" s="2028">
        <f t="shared" si="122"/>
        <v>0</v>
      </c>
      <c r="BD60" s="3284">
        <f t="shared" si="102"/>
        <v>0</v>
      </c>
      <c r="BE60" s="3295"/>
      <c r="BF60" s="3283"/>
      <c r="BG60" s="3283"/>
      <c r="BH60" s="2028">
        <f t="shared" si="123"/>
        <v>0</v>
      </c>
      <c r="BI60" s="3284">
        <f t="shared" si="103"/>
        <v>0</v>
      </c>
      <c r="BJ60" s="3295"/>
      <c r="BK60" s="3283"/>
      <c r="BL60" s="3283"/>
      <c r="BM60" s="2028">
        <f t="shared" si="124"/>
        <v>0</v>
      </c>
      <c r="BN60" s="3284">
        <f t="shared" si="104"/>
        <v>0</v>
      </c>
      <c r="BO60" s="3295"/>
      <c r="BP60" s="3283"/>
      <c r="BQ60" s="3283"/>
      <c r="BR60" s="2028">
        <f t="shared" si="125"/>
        <v>0</v>
      </c>
      <c r="BS60" s="3284">
        <f t="shared" si="105"/>
        <v>0</v>
      </c>
      <c r="BT60" s="3295"/>
      <c r="BU60" s="3283"/>
      <c r="BV60" s="3283"/>
      <c r="BW60" s="2028">
        <f t="shared" si="126"/>
        <v>0</v>
      </c>
      <c r="BX60" s="3284" t="e">
        <f t="shared" si="106"/>
        <v>#DIV/0!</v>
      </c>
      <c r="BY60" s="3295"/>
      <c r="BZ60" s="3283"/>
      <c r="CA60" s="3283"/>
      <c r="CB60" s="2028">
        <f t="shared" si="127"/>
        <v>0</v>
      </c>
      <c r="CC60" s="3284" t="e">
        <f t="shared" si="107"/>
        <v>#DIV/0!</v>
      </c>
      <c r="CD60" s="1449"/>
      <c r="CE60" s="3283"/>
      <c r="CF60" s="3283"/>
      <c r="CG60" s="2028">
        <f t="shared" si="128"/>
        <v>0</v>
      </c>
      <c r="CH60" s="3284" t="e">
        <f t="shared" si="108"/>
        <v>#DIV/0!</v>
      </c>
      <c r="CI60" s="1449"/>
      <c r="CJ60" s="3283"/>
      <c r="CK60" s="3283"/>
      <c r="CL60" s="2028">
        <f t="shared" si="129"/>
        <v>0</v>
      </c>
      <c r="CM60" s="3284" t="e">
        <f t="shared" si="109"/>
        <v>#DIV/0!</v>
      </c>
      <c r="CN60" s="1449"/>
      <c r="CO60" s="3283"/>
      <c r="CP60" s="3283"/>
      <c r="CQ60" s="2028">
        <f t="shared" si="130"/>
        <v>0</v>
      </c>
      <c r="CR60" s="3284" t="e">
        <f t="shared" si="110"/>
        <v>#DIV/0!</v>
      </c>
      <c r="CS60" s="1449"/>
      <c r="CT60" s="3283"/>
      <c r="CU60" s="3283"/>
      <c r="CV60" s="2028">
        <f t="shared" si="131"/>
        <v>0</v>
      </c>
      <c r="CW60" s="3284" t="e">
        <f t="shared" si="111"/>
        <v>#DIV/0!</v>
      </c>
      <c r="CX60" s="1449"/>
      <c r="CY60" s="3274">
        <f t="shared" si="132"/>
        <v>0</v>
      </c>
      <c r="CZ60" s="3274">
        <f t="shared" si="132"/>
        <v>0</v>
      </c>
      <c r="DA60" s="2028">
        <f t="shared" si="133"/>
        <v>0</v>
      </c>
      <c r="DB60" s="3284">
        <f t="shared" si="68"/>
        <v>0</v>
      </c>
      <c r="DC60" s="3295"/>
    </row>
    <row r="61" spans="1:107" ht="13.8" x14ac:dyDescent="0.25">
      <c r="A61" s="1586"/>
      <c r="B61" s="3310" t="s">
        <v>32</v>
      </c>
      <c r="C61" s="3283"/>
      <c r="D61" s="3283"/>
      <c r="E61" s="2028">
        <f t="shared" si="112"/>
        <v>0</v>
      </c>
      <c r="F61" s="3284">
        <f t="shared" si="94"/>
        <v>0</v>
      </c>
      <c r="G61" s="3295"/>
      <c r="H61" s="3283"/>
      <c r="I61" s="3283"/>
      <c r="J61" s="2028">
        <f t="shared" si="113"/>
        <v>0</v>
      </c>
      <c r="K61" s="3284">
        <f t="shared" si="95"/>
        <v>0</v>
      </c>
      <c r="L61" s="3295"/>
      <c r="M61" s="3283"/>
      <c r="N61" s="3283"/>
      <c r="O61" s="2028">
        <f t="shared" si="114"/>
        <v>0</v>
      </c>
      <c r="P61" s="3284">
        <f t="shared" si="2"/>
        <v>0</v>
      </c>
      <c r="Q61" s="3295"/>
      <c r="R61" s="3283"/>
      <c r="S61" s="3283"/>
      <c r="T61" s="2028">
        <f t="shared" si="115"/>
        <v>0</v>
      </c>
      <c r="U61" s="3284">
        <f t="shared" si="96"/>
        <v>0</v>
      </c>
      <c r="V61" s="3295"/>
      <c r="W61" s="3283"/>
      <c r="X61" s="3283"/>
      <c r="Y61" s="2028">
        <f t="shared" si="116"/>
        <v>0</v>
      </c>
      <c r="Z61" s="3284">
        <f t="shared" si="97"/>
        <v>0</v>
      </c>
      <c r="AA61" s="3295"/>
      <c r="AB61" s="3283"/>
      <c r="AC61" s="3283"/>
      <c r="AD61" s="2028">
        <f t="shared" si="117"/>
        <v>0</v>
      </c>
      <c r="AE61" s="3284">
        <f t="shared" si="98"/>
        <v>0</v>
      </c>
      <c r="AF61" s="3295"/>
      <c r="AG61" s="3274">
        <v>0</v>
      </c>
      <c r="AH61" s="3274">
        <v>0</v>
      </c>
      <c r="AI61" s="2028">
        <v>0</v>
      </c>
      <c r="AJ61" s="3284">
        <v>0</v>
      </c>
      <c r="AK61" s="3276"/>
      <c r="AL61" s="3274">
        <f t="shared" si="118"/>
        <v>0</v>
      </c>
      <c r="AM61" s="3274">
        <f t="shared" si="118"/>
        <v>0</v>
      </c>
      <c r="AN61" s="2028">
        <f t="shared" si="119"/>
        <v>0</v>
      </c>
      <c r="AO61" s="3284">
        <f t="shared" si="99"/>
        <v>0</v>
      </c>
      <c r="AP61" s="3276"/>
      <c r="AQ61" s="3283"/>
      <c r="AR61" s="3283"/>
      <c r="AS61" s="2028">
        <f t="shared" si="120"/>
        <v>0</v>
      </c>
      <c r="AT61" s="3284">
        <f t="shared" si="100"/>
        <v>0</v>
      </c>
      <c r="AU61" s="3295"/>
      <c r="AV61" s="3283"/>
      <c r="AW61" s="3283"/>
      <c r="AX61" s="2028">
        <f t="shared" si="121"/>
        <v>0</v>
      </c>
      <c r="AY61" s="3284">
        <f t="shared" si="101"/>
        <v>0</v>
      </c>
      <c r="AZ61" s="3295"/>
      <c r="BA61" s="3283"/>
      <c r="BB61" s="3283"/>
      <c r="BC61" s="2028">
        <f t="shared" si="122"/>
        <v>0</v>
      </c>
      <c r="BD61" s="3284">
        <f t="shared" si="102"/>
        <v>0</v>
      </c>
      <c r="BE61" s="3295"/>
      <c r="BF61" s="3283"/>
      <c r="BG61" s="3283"/>
      <c r="BH61" s="2028">
        <f t="shared" si="123"/>
        <v>0</v>
      </c>
      <c r="BI61" s="3284">
        <f t="shared" si="103"/>
        <v>0</v>
      </c>
      <c r="BJ61" s="3295"/>
      <c r="BK61" s="3283"/>
      <c r="BL61" s="3283"/>
      <c r="BM61" s="2028">
        <f t="shared" si="124"/>
        <v>0</v>
      </c>
      <c r="BN61" s="3284">
        <f t="shared" si="104"/>
        <v>0</v>
      </c>
      <c r="BO61" s="3295"/>
      <c r="BP61" s="3283"/>
      <c r="BQ61" s="3283"/>
      <c r="BR61" s="2028">
        <f t="shared" si="125"/>
        <v>0</v>
      </c>
      <c r="BS61" s="3284">
        <f t="shared" si="105"/>
        <v>0</v>
      </c>
      <c r="BT61" s="3295"/>
      <c r="BU61" s="3283"/>
      <c r="BV61" s="3283"/>
      <c r="BW61" s="2028">
        <f t="shared" si="126"/>
        <v>0</v>
      </c>
      <c r="BX61" s="3284" t="e">
        <f t="shared" si="106"/>
        <v>#DIV/0!</v>
      </c>
      <c r="BY61" s="3295"/>
      <c r="BZ61" s="3283"/>
      <c r="CA61" s="3283"/>
      <c r="CB61" s="2028">
        <f t="shared" si="127"/>
        <v>0</v>
      </c>
      <c r="CC61" s="3284" t="e">
        <f t="shared" si="107"/>
        <v>#DIV/0!</v>
      </c>
      <c r="CD61" s="1449"/>
      <c r="CE61" s="3283"/>
      <c r="CF61" s="3283"/>
      <c r="CG61" s="2028">
        <f t="shared" si="128"/>
        <v>0</v>
      </c>
      <c r="CH61" s="3284" t="e">
        <f t="shared" si="108"/>
        <v>#DIV/0!</v>
      </c>
      <c r="CI61" s="1449"/>
      <c r="CJ61" s="3283"/>
      <c r="CK61" s="3283"/>
      <c r="CL61" s="2028">
        <f t="shared" si="129"/>
        <v>0</v>
      </c>
      <c r="CM61" s="3284" t="e">
        <f t="shared" si="109"/>
        <v>#DIV/0!</v>
      </c>
      <c r="CN61" s="1449"/>
      <c r="CO61" s="3283"/>
      <c r="CP61" s="3283"/>
      <c r="CQ61" s="2028">
        <f t="shared" si="130"/>
        <v>0</v>
      </c>
      <c r="CR61" s="3284" t="e">
        <f t="shared" si="110"/>
        <v>#DIV/0!</v>
      </c>
      <c r="CS61" s="1449"/>
      <c r="CT61" s="3283"/>
      <c r="CU61" s="3283"/>
      <c r="CV61" s="2028">
        <f t="shared" si="131"/>
        <v>0</v>
      </c>
      <c r="CW61" s="3284" t="e">
        <f t="shared" si="111"/>
        <v>#DIV/0!</v>
      </c>
      <c r="CX61" s="1449"/>
      <c r="CY61" s="3274">
        <f t="shared" si="132"/>
        <v>0</v>
      </c>
      <c r="CZ61" s="3274">
        <f t="shared" si="132"/>
        <v>0</v>
      </c>
      <c r="DA61" s="2028">
        <f t="shared" si="133"/>
        <v>0</v>
      </c>
      <c r="DB61" s="3284">
        <f t="shared" si="68"/>
        <v>0</v>
      </c>
      <c r="DC61" s="3295"/>
    </row>
    <row r="62" spans="1:107" ht="13.8" x14ac:dyDescent="0.25">
      <c r="A62" s="1586"/>
      <c r="B62" s="3310" t="s">
        <v>33</v>
      </c>
      <c r="C62" s="3283"/>
      <c r="D62" s="3283"/>
      <c r="E62" s="2028">
        <f t="shared" si="112"/>
        <v>0</v>
      </c>
      <c r="F62" s="3284">
        <f t="shared" si="94"/>
        <v>0</v>
      </c>
      <c r="G62" s="3295"/>
      <c r="H62" s="3283"/>
      <c r="I62" s="3283"/>
      <c r="J62" s="2028">
        <f t="shared" si="113"/>
        <v>0</v>
      </c>
      <c r="K62" s="3284">
        <f t="shared" si="95"/>
        <v>0</v>
      </c>
      <c r="L62" s="3295"/>
      <c r="M62" s="3283"/>
      <c r="N62" s="3283"/>
      <c r="O62" s="2028">
        <f t="shared" si="114"/>
        <v>0</v>
      </c>
      <c r="P62" s="3284">
        <f t="shared" si="2"/>
        <v>0</v>
      </c>
      <c r="Q62" s="3295"/>
      <c r="R62" s="3283"/>
      <c r="S62" s="3283"/>
      <c r="T62" s="2028">
        <f t="shared" si="115"/>
        <v>0</v>
      </c>
      <c r="U62" s="3284">
        <f t="shared" si="96"/>
        <v>0</v>
      </c>
      <c r="V62" s="3295"/>
      <c r="W62" s="3283"/>
      <c r="X62" s="3283"/>
      <c r="Y62" s="2028">
        <f t="shared" si="116"/>
        <v>0</v>
      </c>
      <c r="Z62" s="3284">
        <f t="shared" si="97"/>
        <v>0</v>
      </c>
      <c r="AA62" s="3295"/>
      <c r="AB62" s="3283"/>
      <c r="AC62" s="3283"/>
      <c r="AD62" s="2028">
        <f t="shared" si="117"/>
        <v>0</v>
      </c>
      <c r="AE62" s="3284">
        <f t="shared" si="98"/>
        <v>0</v>
      </c>
      <c r="AF62" s="3295"/>
      <c r="AG62" s="3274">
        <v>0</v>
      </c>
      <c r="AH62" s="3274">
        <v>0</v>
      </c>
      <c r="AI62" s="2028">
        <v>0</v>
      </c>
      <c r="AJ62" s="3284">
        <v>0</v>
      </c>
      <c r="AK62" s="3276"/>
      <c r="AL62" s="3274">
        <f t="shared" si="118"/>
        <v>0</v>
      </c>
      <c r="AM62" s="3274">
        <f t="shared" si="118"/>
        <v>0</v>
      </c>
      <c r="AN62" s="2028">
        <f t="shared" si="119"/>
        <v>0</v>
      </c>
      <c r="AO62" s="3284">
        <f t="shared" si="99"/>
        <v>0</v>
      </c>
      <c r="AP62" s="3276"/>
      <c r="AQ62" s="3283"/>
      <c r="AR62" s="3283"/>
      <c r="AS62" s="2028">
        <f t="shared" si="120"/>
        <v>0</v>
      </c>
      <c r="AT62" s="3284">
        <f t="shared" si="100"/>
        <v>0</v>
      </c>
      <c r="AU62" s="3295"/>
      <c r="AV62" s="3283"/>
      <c r="AW62" s="3283"/>
      <c r="AX62" s="2028">
        <f t="shared" si="121"/>
        <v>0</v>
      </c>
      <c r="AY62" s="3284">
        <f t="shared" si="101"/>
        <v>0</v>
      </c>
      <c r="AZ62" s="3295"/>
      <c r="BA62" s="3283"/>
      <c r="BB62" s="3283"/>
      <c r="BC62" s="2028">
        <f t="shared" si="122"/>
        <v>0</v>
      </c>
      <c r="BD62" s="3284">
        <f t="shared" si="102"/>
        <v>0</v>
      </c>
      <c r="BE62" s="3295"/>
      <c r="BF62" s="3283"/>
      <c r="BG62" s="3283"/>
      <c r="BH62" s="2028">
        <f t="shared" si="123"/>
        <v>0</v>
      </c>
      <c r="BI62" s="3284">
        <f t="shared" si="103"/>
        <v>0</v>
      </c>
      <c r="BJ62" s="3295"/>
      <c r="BK62" s="3283"/>
      <c r="BL62" s="3283"/>
      <c r="BM62" s="2028">
        <f t="shared" si="124"/>
        <v>0</v>
      </c>
      <c r="BN62" s="3284">
        <f t="shared" si="104"/>
        <v>0</v>
      </c>
      <c r="BO62" s="3295"/>
      <c r="BP62" s="3283"/>
      <c r="BQ62" s="3283"/>
      <c r="BR62" s="2028">
        <f t="shared" si="125"/>
        <v>0</v>
      </c>
      <c r="BS62" s="3284">
        <f t="shared" si="105"/>
        <v>0</v>
      </c>
      <c r="BT62" s="3295"/>
      <c r="BU62" s="3283"/>
      <c r="BV62" s="3283"/>
      <c r="BW62" s="2028">
        <f t="shared" si="126"/>
        <v>0</v>
      </c>
      <c r="BX62" s="3284" t="e">
        <f t="shared" si="106"/>
        <v>#DIV/0!</v>
      </c>
      <c r="BY62" s="3295"/>
      <c r="BZ62" s="3283"/>
      <c r="CA62" s="3283"/>
      <c r="CB62" s="2028">
        <f t="shared" si="127"/>
        <v>0</v>
      </c>
      <c r="CC62" s="3284" t="e">
        <f t="shared" si="107"/>
        <v>#DIV/0!</v>
      </c>
      <c r="CD62" s="1449"/>
      <c r="CE62" s="3283"/>
      <c r="CF62" s="3283"/>
      <c r="CG62" s="2028">
        <f t="shared" si="128"/>
        <v>0</v>
      </c>
      <c r="CH62" s="3284" t="e">
        <f t="shared" si="108"/>
        <v>#DIV/0!</v>
      </c>
      <c r="CI62" s="1449"/>
      <c r="CJ62" s="3283"/>
      <c r="CK62" s="3283"/>
      <c r="CL62" s="2028">
        <f t="shared" si="129"/>
        <v>0</v>
      </c>
      <c r="CM62" s="3284" t="e">
        <f t="shared" si="109"/>
        <v>#DIV/0!</v>
      </c>
      <c r="CN62" s="1449"/>
      <c r="CO62" s="3283"/>
      <c r="CP62" s="3283"/>
      <c r="CQ62" s="2028">
        <f t="shared" si="130"/>
        <v>0</v>
      </c>
      <c r="CR62" s="3284" t="e">
        <f t="shared" si="110"/>
        <v>#DIV/0!</v>
      </c>
      <c r="CS62" s="1449"/>
      <c r="CT62" s="3283"/>
      <c r="CU62" s="3283"/>
      <c r="CV62" s="2028">
        <f t="shared" si="131"/>
        <v>0</v>
      </c>
      <c r="CW62" s="3284" t="e">
        <f t="shared" si="111"/>
        <v>#DIV/0!</v>
      </c>
      <c r="CX62" s="1449"/>
      <c r="CY62" s="3274">
        <f t="shared" si="132"/>
        <v>0</v>
      </c>
      <c r="CZ62" s="3274">
        <f t="shared" si="132"/>
        <v>0</v>
      </c>
      <c r="DA62" s="2028">
        <f t="shared" si="133"/>
        <v>0</v>
      </c>
      <c r="DB62" s="3284">
        <f t="shared" si="68"/>
        <v>0</v>
      </c>
      <c r="DC62" s="3295"/>
    </row>
    <row r="63" spans="1:107" ht="13.8" x14ac:dyDescent="0.25">
      <c r="A63" s="1586"/>
      <c r="B63" s="3310" t="s">
        <v>35</v>
      </c>
      <c r="C63" s="3283"/>
      <c r="D63" s="3283"/>
      <c r="E63" s="2028">
        <f t="shared" si="112"/>
        <v>0</v>
      </c>
      <c r="F63" s="3284">
        <f t="shared" si="94"/>
        <v>0</v>
      </c>
      <c r="G63" s="3295"/>
      <c r="H63" s="3283"/>
      <c r="I63" s="3283"/>
      <c r="J63" s="2028">
        <f t="shared" si="113"/>
        <v>0</v>
      </c>
      <c r="K63" s="3284">
        <f t="shared" si="95"/>
        <v>0</v>
      </c>
      <c r="L63" s="3295"/>
      <c r="M63" s="3283"/>
      <c r="N63" s="3283"/>
      <c r="O63" s="2028">
        <f t="shared" si="114"/>
        <v>0</v>
      </c>
      <c r="P63" s="3284">
        <f t="shared" si="2"/>
        <v>0</v>
      </c>
      <c r="Q63" s="3295"/>
      <c r="R63" s="3283"/>
      <c r="S63" s="3283"/>
      <c r="T63" s="2028">
        <f t="shared" si="115"/>
        <v>0</v>
      </c>
      <c r="U63" s="3284">
        <f t="shared" si="96"/>
        <v>0</v>
      </c>
      <c r="V63" s="3295"/>
      <c r="W63" s="3283"/>
      <c r="X63" s="3283"/>
      <c r="Y63" s="2028">
        <f t="shared" si="116"/>
        <v>0</v>
      </c>
      <c r="Z63" s="3284">
        <f t="shared" si="97"/>
        <v>0</v>
      </c>
      <c r="AA63" s="3295"/>
      <c r="AB63" s="3283"/>
      <c r="AC63" s="3283"/>
      <c r="AD63" s="2028">
        <f t="shared" si="117"/>
        <v>0</v>
      </c>
      <c r="AE63" s="3284">
        <f t="shared" si="98"/>
        <v>0</v>
      </c>
      <c r="AF63" s="3295"/>
      <c r="AG63" s="3274">
        <v>0</v>
      </c>
      <c r="AH63" s="3274">
        <v>0</v>
      </c>
      <c r="AI63" s="2028">
        <v>0</v>
      </c>
      <c r="AJ63" s="3284">
        <v>0</v>
      </c>
      <c r="AK63" s="3276"/>
      <c r="AL63" s="3274">
        <f t="shared" si="118"/>
        <v>0</v>
      </c>
      <c r="AM63" s="3274">
        <f t="shared" si="118"/>
        <v>0</v>
      </c>
      <c r="AN63" s="2028">
        <f t="shared" si="119"/>
        <v>0</v>
      </c>
      <c r="AO63" s="3284">
        <f t="shared" si="99"/>
        <v>0</v>
      </c>
      <c r="AP63" s="3276"/>
      <c r="AQ63" s="3283"/>
      <c r="AR63" s="3283"/>
      <c r="AS63" s="2028">
        <f t="shared" si="120"/>
        <v>0</v>
      </c>
      <c r="AT63" s="3284">
        <f t="shared" si="100"/>
        <v>0</v>
      </c>
      <c r="AU63" s="3295"/>
      <c r="AV63" s="3283"/>
      <c r="AW63" s="3283"/>
      <c r="AX63" s="2028">
        <f t="shared" si="121"/>
        <v>0</v>
      </c>
      <c r="AY63" s="3284">
        <f t="shared" si="101"/>
        <v>0</v>
      </c>
      <c r="AZ63" s="3295"/>
      <c r="BA63" s="3283"/>
      <c r="BB63" s="3283"/>
      <c r="BC63" s="2028">
        <f t="shared" si="122"/>
        <v>0</v>
      </c>
      <c r="BD63" s="3284">
        <f t="shared" si="102"/>
        <v>0</v>
      </c>
      <c r="BE63" s="3295"/>
      <c r="BF63" s="3283"/>
      <c r="BG63" s="3283"/>
      <c r="BH63" s="2028">
        <f t="shared" si="123"/>
        <v>0</v>
      </c>
      <c r="BI63" s="3284">
        <f t="shared" si="103"/>
        <v>0</v>
      </c>
      <c r="BJ63" s="3295"/>
      <c r="BK63" s="3283"/>
      <c r="BL63" s="3283"/>
      <c r="BM63" s="2028">
        <f t="shared" si="124"/>
        <v>0</v>
      </c>
      <c r="BN63" s="3284">
        <f t="shared" si="104"/>
        <v>0</v>
      </c>
      <c r="BO63" s="3295"/>
      <c r="BP63" s="3283"/>
      <c r="BQ63" s="3283"/>
      <c r="BR63" s="2028">
        <f t="shared" si="125"/>
        <v>0</v>
      </c>
      <c r="BS63" s="3284">
        <f t="shared" si="105"/>
        <v>0</v>
      </c>
      <c r="BT63" s="3295"/>
      <c r="BU63" s="3283"/>
      <c r="BV63" s="3283"/>
      <c r="BW63" s="2028">
        <f t="shared" si="126"/>
        <v>0</v>
      </c>
      <c r="BX63" s="3284" t="e">
        <f t="shared" si="106"/>
        <v>#DIV/0!</v>
      </c>
      <c r="BY63" s="3295"/>
      <c r="BZ63" s="3283"/>
      <c r="CA63" s="3283"/>
      <c r="CB63" s="2028">
        <f t="shared" si="127"/>
        <v>0</v>
      </c>
      <c r="CC63" s="3284" t="e">
        <f t="shared" si="107"/>
        <v>#DIV/0!</v>
      </c>
      <c r="CD63" s="1449"/>
      <c r="CE63" s="3283"/>
      <c r="CF63" s="3283"/>
      <c r="CG63" s="2028">
        <f t="shared" si="128"/>
        <v>0</v>
      </c>
      <c r="CH63" s="3284" t="e">
        <f t="shared" si="108"/>
        <v>#DIV/0!</v>
      </c>
      <c r="CI63" s="1449"/>
      <c r="CJ63" s="3283"/>
      <c r="CK63" s="3283"/>
      <c r="CL63" s="2028">
        <f t="shared" si="129"/>
        <v>0</v>
      </c>
      <c r="CM63" s="3284" t="e">
        <f t="shared" si="109"/>
        <v>#DIV/0!</v>
      </c>
      <c r="CN63" s="1449"/>
      <c r="CO63" s="3283"/>
      <c r="CP63" s="3283"/>
      <c r="CQ63" s="2028">
        <f t="shared" si="130"/>
        <v>0</v>
      </c>
      <c r="CR63" s="3284" t="e">
        <f t="shared" si="110"/>
        <v>#DIV/0!</v>
      </c>
      <c r="CS63" s="1449"/>
      <c r="CT63" s="3283"/>
      <c r="CU63" s="3283"/>
      <c r="CV63" s="2028">
        <f t="shared" si="131"/>
        <v>0</v>
      </c>
      <c r="CW63" s="3284" t="e">
        <f t="shared" si="111"/>
        <v>#DIV/0!</v>
      </c>
      <c r="CX63" s="1449"/>
      <c r="CY63" s="3274">
        <f t="shared" si="132"/>
        <v>0</v>
      </c>
      <c r="CZ63" s="3274">
        <f t="shared" si="132"/>
        <v>0</v>
      </c>
      <c r="DA63" s="2028">
        <f t="shared" si="133"/>
        <v>0</v>
      </c>
      <c r="DB63" s="3284">
        <f t="shared" si="68"/>
        <v>0</v>
      </c>
      <c r="DC63" s="3295"/>
    </row>
    <row r="64" spans="1:107" ht="13.8" x14ac:dyDescent="0.25">
      <c r="A64" s="1586"/>
      <c r="B64" s="3310" t="s">
        <v>63</v>
      </c>
      <c r="C64" s="3283"/>
      <c r="D64" s="3283"/>
      <c r="E64" s="2028">
        <f t="shared" si="112"/>
        <v>0</v>
      </c>
      <c r="F64" s="3284">
        <f t="shared" si="94"/>
        <v>0</v>
      </c>
      <c r="G64" s="3295"/>
      <c r="H64" s="3283"/>
      <c r="I64" s="3283"/>
      <c r="J64" s="2028">
        <f t="shared" si="113"/>
        <v>0</v>
      </c>
      <c r="K64" s="3284">
        <f t="shared" si="95"/>
        <v>0</v>
      </c>
      <c r="L64" s="3295"/>
      <c r="M64" s="3283"/>
      <c r="N64" s="3283"/>
      <c r="O64" s="2028">
        <f t="shared" si="114"/>
        <v>0</v>
      </c>
      <c r="P64" s="3284">
        <f t="shared" si="2"/>
        <v>0</v>
      </c>
      <c r="Q64" s="3295"/>
      <c r="R64" s="3283"/>
      <c r="S64" s="3283"/>
      <c r="T64" s="2028">
        <f t="shared" si="115"/>
        <v>0</v>
      </c>
      <c r="U64" s="3284">
        <f t="shared" si="96"/>
        <v>0</v>
      </c>
      <c r="V64" s="3295"/>
      <c r="W64" s="3283"/>
      <c r="X64" s="3283"/>
      <c r="Y64" s="2028">
        <f t="shared" si="116"/>
        <v>0</v>
      </c>
      <c r="Z64" s="3284">
        <f t="shared" si="97"/>
        <v>0</v>
      </c>
      <c r="AA64" s="3295"/>
      <c r="AB64" s="3283"/>
      <c r="AC64" s="3283"/>
      <c r="AD64" s="2028">
        <f t="shared" si="117"/>
        <v>0</v>
      </c>
      <c r="AE64" s="3284">
        <f t="shared" si="98"/>
        <v>0</v>
      </c>
      <c r="AF64" s="3295"/>
      <c r="AG64" s="3274">
        <v>0</v>
      </c>
      <c r="AH64" s="3274">
        <v>0</v>
      </c>
      <c r="AI64" s="2028">
        <v>0</v>
      </c>
      <c r="AJ64" s="3284">
        <v>0</v>
      </c>
      <c r="AK64" s="3276"/>
      <c r="AL64" s="3274">
        <f t="shared" si="118"/>
        <v>0</v>
      </c>
      <c r="AM64" s="3274">
        <f t="shared" si="118"/>
        <v>0</v>
      </c>
      <c r="AN64" s="2028">
        <f t="shared" si="119"/>
        <v>0</v>
      </c>
      <c r="AO64" s="3284">
        <f t="shared" si="99"/>
        <v>0</v>
      </c>
      <c r="AP64" s="3276"/>
      <c r="AQ64" s="3283"/>
      <c r="AR64" s="3283"/>
      <c r="AS64" s="2028">
        <f t="shared" si="120"/>
        <v>0</v>
      </c>
      <c r="AT64" s="3284">
        <f t="shared" si="100"/>
        <v>0</v>
      </c>
      <c r="AU64" s="3295"/>
      <c r="AV64" s="3283"/>
      <c r="AW64" s="3283"/>
      <c r="AX64" s="2028">
        <f t="shared" si="121"/>
        <v>0</v>
      </c>
      <c r="AY64" s="3284">
        <f t="shared" si="101"/>
        <v>0</v>
      </c>
      <c r="AZ64" s="3295"/>
      <c r="BA64" s="3283"/>
      <c r="BB64" s="3283"/>
      <c r="BC64" s="2028">
        <f t="shared" si="122"/>
        <v>0</v>
      </c>
      <c r="BD64" s="3284">
        <f t="shared" si="102"/>
        <v>0</v>
      </c>
      <c r="BE64" s="3295"/>
      <c r="BF64" s="3283"/>
      <c r="BG64" s="3283"/>
      <c r="BH64" s="2028">
        <f t="shared" si="123"/>
        <v>0</v>
      </c>
      <c r="BI64" s="3284">
        <f t="shared" si="103"/>
        <v>0</v>
      </c>
      <c r="BJ64" s="3295"/>
      <c r="BK64" s="3283"/>
      <c r="BL64" s="3283"/>
      <c r="BM64" s="2028">
        <f t="shared" si="124"/>
        <v>0</v>
      </c>
      <c r="BN64" s="3284">
        <f t="shared" si="104"/>
        <v>0</v>
      </c>
      <c r="BO64" s="3295"/>
      <c r="BP64" s="3283"/>
      <c r="BQ64" s="3283"/>
      <c r="BR64" s="2028">
        <f t="shared" si="125"/>
        <v>0</v>
      </c>
      <c r="BS64" s="3284">
        <f t="shared" si="105"/>
        <v>0</v>
      </c>
      <c r="BT64" s="3295"/>
      <c r="BU64" s="3283"/>
      <c r="BV64" s="3283"/>
      <c r="BW64" s="2028">
        <f t="shared" si="126"/>
        <v>0</v>
      </c>
      <c r="BX64" s="3284" t="e">
        <f t="shared" si="106"/>
        <v>#DIV/0!</v>
      </c>
      <c r="BY64" s="3295"/>
      <c r="BZ64" s="3283"/>
      <c r="CA64" s="3283"/>
      <c r="CB64" s="2028">
        <f t="shared" si="127"/>
        <v>0</v>
      </c>
      <c r="CC64" s="3284" t="e">
        <f t="shared" si="107"/>
        <v>#DIV/0!</v>
      </c>
      <c r="CD64" s="1449"/>
      <c r="CE64" s="3283"/>
      <c r="CF64" s="3283"/>
      <c r="CG64" s="2028">
        <f t="shared" si="128"/>
        <v>0</v>
      </c>
      <c r="CH64" s="3284" t="e">
        <f t="shared" si="108"/>
        <v>#DIV/0!</v>
      </c>
      <c r="CI64" s="1449"/>
      <c r="CJ64" s="3283"/>
      <c r="CK64" s="3283"/>
      <c r="CL64" s="2028">
        <f t="shared" si="129"/>
        <v>0</v>
      </c>
      <c r="CM64" s="3284" t="e">
        <f t="shared" si="109"/>
        <v>#DIV/0!</v>
      </c>
      <c r="CN64" s="1449"/>
      <c r="CO64" s="3283"/>
      <c r="CP64" s="3283"/>
      <c r="CQ64" s="2028">
        <f t="shared" si="130"/>
        <v>0</v>
      </c>
      <c r="CR64" s="3284" t="e">
        <f t="shared" si="110"/>
        <v>#DIV/0!</v>
      </c>
      <c r="CS64" s="1449"/>
      <c r="CT64" s="3283"/>
      <c r="CU64" s="3283"/>
      <c r="CV64" s="2028">
        <f t="shared" si="131"/>
        <v>0</v>
      </c>
      <c r="CW64" s="3284" t="e">
        <f t="shared" si="111"/>
        <v>#DIV/0!</v>
      </c>
      <c r="CX64" s="1449"/>
      <c r="CY64" s="3274">
        <f t="shared" si="132"/>
        <v>0</v>
      </c>
      <c r="CZ64" s="3274">
        <f t="shared" si="132"/>
        <v>0</v>
      </c>
      <c r="DA64" s="2028">
        <f t="shared" si="133"/>
        <v>0</v>
      </c>
      <c r="DB64" s="3284">
        <f t="shared" si="68"/>
        <v>0</v>
      </c>
      <c r="DC64" s="3295"/>
    </row>
    <row r="65" spans="1:107" ht="13.8" x14ac:dyDescent="0.25">
      <c r="A65" s="1586"/>
      <c r="B65" s="3310" t="s">
        <v>36</v>
      </c>
      <c r="C65" s="3274"/>
      <c r="D65" s="3274">
        <f>1061+96</f>
        <v>1157</v>
      </c>
      <c r="E65" s="2028">
        <f t="shared" si="112"/>
        <v>1157</v>
      </c>
      <c r="F65" s="3284">
        <f t="shared" si="94"/>
        <v>5.9823327715314732E-3</v>
      </c>
      <c r="G65" s="3295" t="s">
        <v>1119</v>
      </c>
      <c r="H65" s="3274"/>
      <c r="I65" s="3274"/>
      <c r="J65" s="2028">
        <f t="shared" si="113"/>
        <v>0</v>
      </c>
      <c r="K65" s="3284">
        <f t="shared" si="95"/>
        <v>0</v>
      </c>
      <c r="L65" s="3295"/>
      <c r="M65" s="3274"/>
      <c r="N65" s="3274"/>
      <c r="O65" s="2028">
        <f t="shared" si="114"/>
        <v>0</v>
      </c>
      <c r="P65" s="3284">
        <f t="shared" si="2"/>
        <v>0</v>
      </c>
      <c r="Q65" s="3295"/>
      <c r="R65" s="3274"/>
      <c r="S65" s="3274"/>
      <c r="T65" s="2028">
        <f t="shared" si="115"/>
        <v>0</v>
      </c>
      <c r="U65" s="3284">
        <f t="shared" si="96"/>
        <v>0</v>
      </c>
      <c r="V65" s="3295"/>
      <c r="W65" s="3274"/>
      <c r="X65" s="3274"/>
      <c r="Y65" s="2028">
        <f t="shared" si="116"/>
        <v>0</v>
      </c>
      <c r="Z65" s="3284">
        <f t="shared" si="97"/>
        <v>0</v>
      </c>
      <c r="AA65" s="3295"/>
      <c r="AB65" s="3274"/>
      <c r="AC65" s="3274"/>
      <c r="AD65" s="2028">
        <f t="shared" si="117"/>
        <v>0</v>
      </c>
      <c r="AE65" s="3284">
        <f t="shared" si="98"/>
        <v>0</v>
      </c>
      <c r="AF65" s="3295"/>
      <c r="AG65" s="3274">
        <v>0</v>
      </c>
      <c r="AH65" s="3274">
        <v>0</v>
      </c>
      <c r="AI65" s="2028">
        <v>0</v>
      </c>
      <c r="AJ65" s="3284">
        <v>0</v>
      </c>
      <c r="AK65" s="3276"/>
      <c r="AL65" s="3274">
        <f t="shared" si="118"/>
        <v>0</v>
      </c>
      <c r="AM65" s="3274">
        <f t="shared" si="118"/>
        <v>0</v>
      </c>
      <c r="AN65" s="2028">
        <f t="shared" si="119"/>
        <v>0</v>
      </c>
      <c r="AO65" s="3284">
        <f t="shared" si="99"/>
        <v>0</v>
      </c>
      <c r="AP65" s="3276"/>
      <c r="AQ65" s="3274"/>
      <c r="AR65" s="3274"/>
      <c r="AS65" s="2028">
        <f t="shared" si="120"/>
        <v>0</v>
      </c>
      <c r="AT65" s="3284">
        <f t="shared" si="100"/>
        <v>0</v>
      </c>
      <c r="AU65" s="3295"/>
      <c r="AV65" s="3274"/>
      <c r="AW65" s="3274"/>
      <c r="AX65" s="2028">
        <f t="shared" si="121"/>
        <v>0</v>
      </c>
      <c r="AY65" s="3284">
        <f t="shared" si="101"/>
        <v>0</v>
      </c>
      <c r="AZ65" s="3295"/>
      <c r="BA65" s="3274"/>
      <c r="BB65" s="3274"/>
      <c r="BC65" s="2028">
        <f t="shared" si="122"/>
        <v>0</v>
      </c>
      <c r="BD65" s="3284">
        <f t="shared" si="102"/>
        <v>0</v>
      </c>
      <c r="BE65" s="3295"/>
      <c r="BF65" s="3274"/>
      <c r="BG65" s="3274"/>
      <c r="BH65" s="2028">
        <f t="shared" si="123"/>
        <v>0</v>
      </c>
      <c r="BI65" s="3284">
        <f t="shared" si="103"/>
        <v>0</v>
      </c>
      <c r="BJ65" s="3295"/>
      <c r="BK65" s="3274"/>
      <c r="BL65" s="3274"/>
      <c r="BM65" s="2028">
        <f t="shared" si="124"/>
        <v>0</v>
      </c>
      <c r="BN65" s="3284">
        <f t="shared" si="104"/>
        <v>0</v>
      </c>
      <c r="BO65" s="3295"/>
      <c r="BP65" s="3274"/>
      <c r="BQ65" s="3274"/>
      <c r="BR65" s="2028">
        <f t="shared" si="125"/>
        <v>0</v>
      </c>
      <c r="BS65" s="3284">
        <f t="shared" si="105"/>
        <v>0</v>
      </c>
      <c r="BT65" s="3295"/>
      <c r="BU65" s="3274"/>
      <c r="BV65" s="3274"/>
      <c r="BW65" s="2028">
        <f t="shared" si="126"/>
        <v>0</v>
      </c>
      <c r="BX65" s="3284" t="e">
        <f t="shared" si="106"/>
        <v>#DIV/0!</v>
      </c>
      <c r="BY65" s="3295"/>
      <c r="BZ65" s="3274"/>
      <c r="CA65" s="3274"/>
      <c r="CB65" s="2028">
        <f t="shared" si="127"/>
        <v>0</v>
      </c>
      <c r="CC65" s="3284" t="e">
        <f t="shared" si="107"/>
        <v>#DIV/0!</v>
      </c>
      <c r="CD65" s="1449"/>
      <c r="CE65" s="3274"/>
      <c r="CF65" s="3274"/>
      <c r="CG65" s="2028">
        <f t="shared" si="128"/>
        <v>0</v>
      </c>
      <c r="CH65" s="3284" t="e">
        <f t="shared" si="108"/>
        <v>#DIV/0!</v>
      </c>
      <c r="CI65" s="1449"/>
      <c r="CJ65" s="3274"/>
      <c r="CK65" s="3274"/>
      <c r="CL65" s="2028">
        <f t="shared" si="129"/>
        <v>0</v>
      </c>
      <c r="CM65" s="3284" t="e">
        <f t="shared" si="109"/>
        <v>#DIV/0!</v>
      </c>
      <c r="CN65" s="1449"/>
      <c r="CO65" s="3274"/>
      <c r="CP65" s="3274"/>
      <c r="CQ65" s="2028">
        <f t="shared" si="130"/>
        <v>0</v>
      </c>
      <c r="CR65" s="3284" t="e">
        <f t="shared" si="110"/>
        <v>#DIV/0!</v>
      </c>
      <c r="CS65" s="1449"/>
      <c r="CT65" s="3274"/>
      <c r="CU65" s="3274"/>
      <c r="CV65" s="2028">
        <f t="shared" si="131"/>
        <v>0</v>
      </c>
      <c r="CW65" s="3284" t="e">
        <f t="shared" si="111"/>
        <v>#DIV/0!</v>
      </c>
      <c r="CX65" s="1449"/>
      <c r="CY65" s="3274">
        <f t="shared" si="132"/>
        <v>0</v>
      </c>
      <c r="CZ65" s="3274">
        <f t="shared" si="132"/>
        <v>1157</v>
      </c>
      <c r="DA65" s="2028">
        <f t="shared" si="133"/>
        <v>1157</v>
      </c>
      <c r="DB65" s="3284">
        <f t="shared" si="68"/>
        <v>4.8170525898886093E-4</v>
      </c>
      <c r="DC65" s="3295"/>
    </row>
    <row r="66" spans="1:107" s="1411" customFormat="1" ht="13.8" x14ac:dyDescent="0.25">
      <c r="A66" s="1586"/>
      <c r="B66" s="3310" t="s">
        <v>37</v>
      </c>
      <c r="C66" s="3274"/>
      <c r="D66" s="3274"/>
      <c r="E66" s="2028">
        <f t="shared" si="112"/>
        <v>0</v>
      </c>
      <c r="F66" s="3284">
        <f t="shared" si="94"/>
        <v>0</v>
      </c>
      <c r="G66" s="3295"/>
      <c r="H66" s="3274"/>
      <c r="I66" s="3274"/>
      <c r="J66" s="2028">
        <f t="shared" si="113"/>
        <v>0</v>
      </c>
      <c r="K66" s="3284">
        <f t="shared" si="95"/>
        <v>0</v>
      </c>
      <c r="L66" s="3295"/>
      <c r="M66" s="3274"/>
      <c r="N66" s="3274"/>
      <c r="O66" s="2028">
        <f t="shared" si="114"/>
        <v>0</v>
      </c>
      <c r="P66" s="3284">
        <f t="shared" si="2"/>
        <v>0</v>
      </c>
      <c r="Q66" s="3295"/>
      <c r="R66" s="3274"/>
      <c r="S66" s="3274"/>
      <c r="T66" s="2028">
        <f t="shared" si="115"/>
        <v>0</v>
      </c>
      <c r="U66" s="3284">
        <f t="shared" si="96"/>
        <v>0</v>
      </c>
      <c r="V66" s="3295"/>
      <c r="W66" s="3274"/>
      <c r="X66" s="3274"/>
      <c r="Y66" s="2028">
        <f t="shared" si="116"/>
        <v>0</v>
      </c>
      <c r="Z66" s="3284">
        <f t="shared" si="97"/>
        <v>0</v>
      </c>
      <c r="AA66" s="3295"/>
      <c r="AB66" s="3274"/>
      <c r="AC66" s="3274"/>
      <c r="AD66" s="2028">
        <f t="shared" si="117"/>
        <v>0</v>
      </c>
      <c r="AE66" s="3284">
        <f t="shared" si="98"/>
        <v>0</v>
      </c>
      <c r="AF66" s="3295"/>
      <c r="AG66" s="3274">
        <v>0</v>
      </c>
      <c r="AH66" s="3274">
        <v>0</v>
      </c>
      <c r="AI66" s="2028">
        <v>0</v>
      </c>
      <c r="AJ66" s="3284">
        <v>0</v>
      </c>
      <c r="AK66" s="3276"/>
      <c r="AL66" s="3274">
        <f t="shared" si="118"/>
        <v>0</v>
      </c>
      <c r="AM66" s="3274">
        <f t="shared" si="118"/>
        <v>0</v>
      </c>
      <c r="AN66" s="2028">
        <f t="shared" si="119"/>
        <v>0</v>
      </c>
      <c r="AO66" s="3284">
        <f t="shared" si="99"/>
        <v>0</v>
      </c>
      <c r="AP66" s="3276"/>
      <c r="AQ66" s="3274"/>
      <c r="AR66" s="3274"/>
      <c r="AS66" s="2028">
        <f t="shared" si="120"/>
        <v>0</v>
      </c>
      <c r="AT66" s="3284">
        <f t="shared" si="100"/>
        <v>0</v>
      </c>
      <c r="AU66" s="3295"/>
      <c r="AV66" s="3274"/>
      <c r="AW66" s="3274"/>
      <c r="AX66" s="2028">
        <f t="shared" si="121"/>
        <v>0</v>
      </c>
      <c r="AY66" s="3284">
        <f t="shared" si="101"/>
        <v>0</v>
      </c>
      <c r="AZ66" s="3295"/>
      <c r="BA66" s="3274"/>
      <c r="BB66" s="3274"/>
      <c r="BC66" s="2028">
        <f t="shared" si="122"/>
        <v>0</v>
      </c>
      <c r="BD66" s="3284">
        <f t="shared" si="102"/>
        <v>0</v>
      </c>
      <c r="BE66" s="3295"/>
      <c r="BF66" s="3274"/>
      <c r="BG66" s="3274"/>
      <c r="BH66" s="2028">
        <f t="shared" si="123"/>
        <v>0</v>
      </c>
      <c r="BI66" s="3284">
        <f t="shared" si="103"/>
        <v>0</v>
      </c>
      <c r="BJ66" s="3295"/>
      <c r="BK66" s="3274"/>
      <c r="BL66" s="3274"/>
      <c r="BM66" s="2028">
        <f t="shared" si="124"/>
        <v>0</v>
      </c>
      <c r="BN66" s="3284">
        <f t="shared" si="104"/>
        <v>0</v>
      </c>
      <c r="BO66" s="3295"/>
      <c r="BP66" s="3274"/>
      <c r="BQ66" s="3274"/>
      <c r="BR66" s="2028">
        <f t="shared" si="125"/>
        <v>0</v>
      </c>
      <c r="BS66" s="3284">
        <f t="shared" si="105"/>
        <v>0</v>
      </c>
      <c r="BT66" s="3295"/>
      <c r="BU66" s="3274"/>
      <c r="BV66" s="3274"/>
      <c r="BW66" s="2028">
        <f t="shared" si="126"/>
        <v>0</v>
      </c>
      <c r="BX66" s="3284" t="e">
        <f t="shared" si="106"/>
        <v>#DIV/0!</v>
      </c>
      <c r="BY66" s="3295"/>
      <c r="BZ66" s="3274"/>
      <c r="CA66" s="3274"/>
      <c r="CB66" s="2028">
        <f t="shared" si="127"/>
        <v>0</v>
      </c>
      <c r="CC66" s="3284" t="e">
        <f t="shared" si="107"/>
        <v>#DIV/0!</v>
      </c>
      <c r="CD66" s="1449"/>
      <c r="CE66" s="3274"/>
      <c r="CF66" s="3274"/>
      <c r="CG66" s="2028">
        <f t="shared" si="128"/>
        <v>0</v>
      </c>
      <c r="CH66" s="3284" t="e">
        <f t="shared" si="108"/>
        <v>#DIV/0!</v>
      </c>
      <c r="CI66" s="1449"/>
      <c r="CJ66" s="3274"/>
      <c r="CK66" s="3274"/>
      <c r="CL66" s="2028">
        <f t="shared" si="129"/>
        <v>0</v>
      </c>
      <c r="CM66" s="3284" t="e">
        <f t="shared" si="109"/>
        <v>#DIV/0!</v>
      </c>
      <c r="CN66" s="1449"/>
      <c r="CO66" s="3274"/>
      <c r="CP66" s="3274"/>
      <c r="CQ66" s="2028">
        <f t="shared" si="130"/>
        <v>0</v>
      </c>
      <c r="CR66" s="3284" t="e">
        <f t="shared" si="110"/>
        <v>#DIV/0!</v>
      </c>
      <c r="CS66" s="1449"/>
      <c r="CT66" s="3274"/>
      <c r="CU66" s="3274"/>
      <c r="CV66" s="2028">
        <f t="shared" si="131"/>
        <v>0</v>
      </c>
      <c r="CW66" s="3284" t="e">
        <f t="shared" si="111"/>
        <v>#DIV/0!</v>
      </c>
      <c r="CX66" s="1449"/>
      <c r="CY66" s="3274">
        <f t="shared" si="132"/>
        <v>0</v>
      </c>
      <c r="CZ66" s="3274">
        <f t="shared" si="132"/>
        <v>0</v>
      </c>
      <c r="DA66" s="2028">
        <f t="shared" si="133"/>
        <v>0</v>
      </c>
      <c r="DB66" s="3284">
        <f t="shared" si="68"/>
        <v>0</v>
      </c>
      <c r="DC66" s="3295"/>
    </row>
    <row r="67" spans="1:107" s="1411" customFormat="1" ht="13.8" x14ac:dyDescent="0.25">
      <c r="A67" s="1586"/>
      <c r="B67" s="3310" t="s">
        <v>3</v>
      </c>
      <c r="C67" s="3274"/>
      <c r="D67" s="3274"/>
      <c r="E67" s="2028">
        <f t="shared" si="112"/>
        <v>0</v>
      </c>
      <c r="F67" s="3284">
        <f t="shared" si="94"/>
        <v>0</v>
      </c>
      <c r="G67" s="3295"/>
      <c r="H67" s="3274"/>
      <c r="I67" s="3274"/>
      <c r="J67" s="2028">
        <f t="shared" si="113"/>
        <v>0</v>
      </c>
      <c r="K67" s="3284">
        <f t="shared" si="95"/>
        <v>0</v>
      </c>
      <c r="L67" s="3295"/>
      <c r="M67" s="3274"/>
      <c r="N67" s="3274"/>
      <c r="O67" s="2028">
        <f t="shared" si="114"/>
        <v>0</v>
      </c>
      <c r="P67" s="3284">
        <f t="shared" si="2"/>
        <v>0</v>
      </c>
      <c r="Q67" s="3295"/>
      <c r="R67" s="3274"/>
      <c r="S67" s="3274"/>
      <c r="T67" s="2028">
        <f t="shared" si="115"/>
        <v>0</v>
      </c>
      <c r="U67" s="3284">
        <f t="shared" si="96"/>
        <v>0</v>
      </c>
      <c r="V67" s="3295"/>
      <c r="W67" s="3274"/>
      <c r="X67" s="3274"/>
      <c r="Y67" s="2028">
        <f t="shared" si="116"/>
        <v>0</v>
      </c>
      <c r="Z67" s="3284">
        <f t="shared" si="97"/>
        <v>0</v>
      </c>
      <c r="AA67" s="3295"/>
      <c r="AB67" s="3274"/>
      <c r="AC67" s="3274"/>
      <c r="AD67" s="2028">
        <f t="shared" si="117"/>
        <v>0</v>
      </c>
      <c r="AE67" s="3284">
        <f t="shared" si="98"/>
        <v>0</v>
      </c>
      <c r="AF67" s="3295"/>
      <c r="AG67" s="3274">
        <v>0</v>
      </c>
      <c r="AH67" s="3274">
        <v>0</v>
      </c>
      <c r="AI67" s="2028">
        <v>0</v>
      </c>
      <c r="AJ67" s="3284">
        <v>0</v>
      </c>
      <c r="AK67" s="3276"/>
      <c r="AL67" s="3274">
        <f t="shared" si="118"/>
        <v>0</v>
      </c>
      <c r="AM67" s="3274">
        <f t="shared" si="118"/>
        <v>0</v>
      </c>
      <c r="AN67" s="2028">
        <f t="shared" si="119"/>
        <v>0</v>
      </c>
      <c r="AO67" s="3284">
        <f t="shared" si="99"/>
        <v>0</v>
      </c>
      <c r="AP67" s="3276"/>
      <c r="AQ67" s="3274"/>
      <c r="AR67" s="3274"/>
      <c r="AS67" s="2028">
        <f t="shared" si="120"/>
        <v>0</v>
      </c>
      <c r="AT67" s="3284">
        <f t="shared" si="100"/>
        <v>0</v>
      </c>
      <c r="AU67" s="3295"/>
      <c r="AV67" s="3274"/>
      <c r="AW67" s="3274"/>
      <c r="AX67" s="2028">
        <f t="shared" si="121"/>
        <v>0</v>
      </c>
      <c r="AY67" s="3284">
        <f t="shared" si="101"/>
        <v>0</v>
      </c>
      <c r="AZ67" s="3295"/>
      <c r="BA67" s="3274"/>
      <c r="BB67" s="3274"/>
      <c r="BC67" s="2028">
        <f t="shared" si="122"/>
        <v>0</v>
      </c>
      <c r="BD67" s="3284">
        <f t="shared" si="102"/>
        <v>0</v>
      </c>
      <c r="BE67" s="3295"/>
      <c r="BF67" s="3274"/>
      <c r="BG67" s="3274"/>
      <c r="BH67" s="2028">
        <f t="shared" si="123"/>
        <v>0</v>
      </c>
      <c r="BI67" s="3284">
        <f t="shared" si="103"/>
        <v>0</v>
      </c>
      <c r="BJ67" s="3295"/>
      <c r="BK67" s="3274"/>
      <c r="BL67" s="3274"/>
      <c r="BM67" s="2028">
        <f t="shared" si="124"/>
        <v>0</v>
      </c>
      <c r="BN67" s="3284">
        <f t="shared" si="104"/>
        <v>0</v>
      </c>
      <c r="BO67" s="3295"/>
      <c r="BP67" s="3274"/>
      <c r="BQ67" s="3274"/>
      <c r="BR67" s="2028">
        <f t="shared" si="125"/>
        <v>0</v>
      </c>
      <c r="BS67" s="3284">
        <f t="shared" si="105"/>
        <v>0</v>
      </c>
      <c r="BT67" s="3295"/>
      <c r="BU67" s="3274"/>
      <c r="BV67" s="3274"/>
      <c r="BW67" s="2028">
        <f t="shared" si="126"/>
        <v>0</v>
      </c>
      <c r="BX67" s="3284" t="e">
        <f t="shared" si="106"/>
        <v>#DIV/0!</v>
      </c>
      <c r="BY67" s="3295"/>
      <c r="BZ67" s="3274"/>
      <c r="CA67" s="3274"/>
      <c r="CB67" s="2028">
        <f t="shared" si="127"/>
        <v>0</v>
      </c>
      <c r="CC67" s="3284" t="e">
        <f t="shared" si="107"/>
        <v>#DIV/0!</v>
      </c>
      <c r="CD67" s="1449"/>
      <c r="CE67" s="3274"/>
      <c r="CF67" s="3274"/>
      <c r="CG67" s="2028">
        <f t="shared" si="128"/>
        <v>0</v>
      </c>
      <c r="CH67" s="3284" t="e">
        <f t="shared" si="108"/>
        <v>#DIV/0!</v>
      </c>
      <c r="CI67" s="1449"/>
      <c r="CJ67" s="3274"/>
      <c r="CK67" s="3274"/>
      <c r="CL67" s="2028">
        <f t="shared" si="129"/>
        <v>0</v>
      </c>
      <c r="CM67" s="3284" t="e">
        <f t="shared" si="109"/>
        <v>#DIV/0!</v>
      </c>
      <c r="CN67" s="1449"/>
      <c r="CO67" s="3274"/>
      <c r="CP67" s="3274"/>
      <c r="CQ67" s="2028">
        <f t="shared" si="130"/>
        <v>0</v>
      </c>
      <c r="CR67" s="3284" t="e">
        <f t="shared" si="110"/>
        <v>#DIV/0!</v>
      </c>
      <c r="CS67" s="1449"/>
      <c r="CT67" s="3274"/>
      <c r="CU67" s="3274"/>
      <c r="CV67" s="2028">
        <f t="shared" si="131"/>
        <v>0</v>
      </c>
      <c r="CW67" s="3284" t="e">
        <f t="shared" si="111"/>
        <v>#DIV/0!</v>
      </c>
      <c r="CX67" s="1449"/>
      <c r="CY67" s="3274">
        <f t="shared" si="132"/>
        <v>0</v>
      </c>
      <c r="CZ67" s="3274">
        <f t="shared" si="132"/>
        <v>0</v>
      </c>
      <c r="DA67" s="2028">
        <f t="shared" si="133"/>
        <v>0</v>
      </c>
      <c r="DB67" s="3284">
        <f t="shared" si="68"/>
        <v>0</v>
      </c>
      <c r="DC67" s="3295"/>
    </row>
    <row r="68" spans="1:107" s="1411" customFormat="1" ht="13.8" x14ac:dyDescent="0.25">
      <c r="A68" s="1586"/>
      <c r="B68" s="3310" t="s">
        <v>5</v>
      </c>
      <c r="C68" s="3274"/>
      <c r="D68" s="3274"/>
      <c r="E68" s="2028">
        <f t="shared" si="112"/>
        <v>0</v>
      </c>
      <c r="F68" s="3284">
        <f t="shared" si="94"/>
        <v>0</v>
      </c>
      <c r="G68" s="3274" t="s">
        <v>546</v>
      </c>
      <c r="H68" s="3274"/>
      <c r="I68" s="3274"/>
      <c r="J68" s="2028">
        <f t="shared" si="113"/>
        <v>0</v>
      </c>
      <c r="K68" s="3284">
        <f t="shared" si="95"/>
        <v>0</v>
      </c>
      <c r="L68" s="3274" t="s">
        <v>546</v>
      </c>
      <c r="M68" s="3274"/>
      <c r="N68" s="3274">
        <v>780</v>
      </c>
      <c r="O68" s="2028">
        <f t="shared" si="114"/>
        <v>780</v>
      </c>
      <c r="P68" s="3284">
        <f t="shared" si="2"/>
        <v>6.7214956570376405E-3</v>
      </c>
      <c r="Q68" s="3274" t="s">
        <v>1259</v>
      </c>
      <c r="R68" s="3274"/>
      <c r="S68" s="3274"/>
      <c r="T68" s="2028">
        <f t="shared" si="115"/>
        <v>0</v>
      </c>
      <c r="U68" s="3284">
        <f t="shared" si="96"/>
        <v>0</v>
      </c>
      <c r="V68" s="3274"/>
      <c r="W68" s="3274"/>
      <c r="X68" s="3274"/>
      <c r="Y68" s="2028">
        <f t="shared" si="116"/>
        <v>0</v>
      </c>
      <c r="Z68" s="3284">
        <f t="shared" si="97"/>
        <v>0</v>
      </c>
      <c r="AA68" s="3274"/>
      <c r="AB68" s="3274"/>
      <c r="AC68" s="3274"/>
      <c r="AD68" s="2028">
        <f t="shared" si="117"/>
        <v>0</v>
      </c>
      <c r="AE68" s="3284">
        <f t="shared" si="98"/>
        <v>0</v>
      </c>
      <c r="AF68" s="3274"/>
      <c r="AG68" s="3274">
        <v>950.17</v>
      </c>
      <c r="AH68" s="3274">
        <v>763</v>
      </c>
      <c r="AI68" s="2028">
        <v>1713.17</v>
      </c>
      <c r="AJ68" s="3284">
        <v>2.6285071696098592E-2</v>
      </c>
      <c r="AK68" s="3276"/>
      <c r="AL68" s="3274">
        <f t="shared" si="118"/>
        <v>0</v>
      </c>
      <c r="AM68" s="3274">
        <f t="shared" si="118"/>
        <v>0</v>
      </c>
      <c r="AN68" s="2028">
        <f t="shared" si="119"/>
        <v>0</v>
      </c>
      <c r="AO68" s="3284">
        <f t="shared" si="99"/>
        <v>0</v>
      </c>
      <c r="AP68" s="3276"/>
      <c r="AQ68" s="3274"/>
      <c r="AR68" s="3274"/>
      <c r="AS68" s="2028">
        <f t="shared" si="120"/>
        <v>0</v>
      </c>
      <c r="AT68" s="3284">
        <f t="shared" si="100"/>
        <v>0</v>
      </c>
      <c r="AU68" s="3274"/>
      <c r="AV68" s="3274"/>
      <c r="AW68" s="3274"/>
      <c r="AX68" s="2028">
        <f t="shared" si="121"/>
        <v>0</v>
      </c>
      <c r="AY68" s="3284">
        <f t="shared" si="101"/>
        <v>0</v>
      </c>
      <c r="AZ68" s="3349"/>
      <c r="BA68" s="3274"/>
      <c r="BB68" s="3274"/>
      <c r="BC68" s="2028">
        <f t="shared" si="122"/>
        <v>0</v>
      </c>
      <c r="BD68" s="3284">
        <f t="shared" si="102"/>
        <v>0</v>
      </c>
      <c r="BE68" s="3274"/>
      <c r="BF68" s="3274"/>
      <c r="BG68" s="3274"/>
      <c r="BH68" s="2028">
        <f t="shared" si="123"/>
        <v>0</v>
      </c>
      <c r="BI68" s="3284">
        <f t="shared" si="103"/>
        <v>0</v>
      </c>
      <c r="BJ68" s="3274"/>
      <c r="BK68" s="3274"/>
      <c r="BL68" s="3274"/>
      <c r="BM68" s="2028">
        <f t="shared" si="124"/>
        <v>0</v>
      </c>
      <c r="BN68" s="3284">
        <f t="shared" si="104"/>
        <v>0</v>
      </c>
      <c r="BO68" s="3274"/>
      <c r="BP68" s="3274"/>
      <c r="BQ68" s="3274"/>
      <c r="BR68" s="2028">
        <f t="shared" si="125"/>
        <v>0</v>
      </c>
      <c r="BS68" s="3284">
        <f t="shared" si="105"/>
        <v>0</v>
      </c>
      <c r="BT68" s="3274"/>
      <c r="BU68" s="3274"/>
      <c r="BV68" s="3274"/>
      <c r="BW68" s="2028">
        <f t="shared" si="126"/>
        <v>0</v>
      </c>
      <c r="BX68" s="3284" t="e">
        <f t="shared" si="106"/>
        <v>#DIV/0!</v>
      </c>
      <c r="BY68" s="3274"/>
      <c r="BZ68" s="3274"/>
      <c r="CA68" s="3274"/>
      <c r="CB68" s="2028">
        <f t="shared" si="127"/>
        <v>0</v>
      </c>
      <c r="CC68" s="3284" t="e">
        <f t="shared" si="107"/>
        <v>#DIV/0!</v>
      </c>
      <c r="CD68" s="3274"/>
      <c r="CE68" s="3274"/>
      <c r="CF68" s="3274"/>
      <c r="CG68" s="2028">
        <f t="shared" si="128"/>
        <v>0</v>
      </c>
      <c r="CH68" s="3284" t="e">
        <f t="shared" si="108"/>
        <v>#DIV/0!</v>
      </c>
      <c r="CI68" s="3274"/>
      <c r="CJ68" s="3274"/>
      <c r="CK68" s="3274"/>
      <c r="CL68" s="2028">
        <f t="shared" si="129"/>
        <v>0</v>
      </c>
      <c r="CM68" s="3284" t="e">
        <f t="shared" si="109"/>
        <v>#DIV/0!</v>
      </c>
      <c r="CN68" s="3274"/>
      <c r="CO68" s="3274"/>
      <c r="CP68" s="3274"/>
      <c r="CQ68" s="2028">
        <f t="shared" si="130"/>
        <v>0</v>
      </c>
      <c r="CR68" s="3284" t="e">
        <f t="shared" si="110"/>
        <v>#DIV/0!</v>
      </c>
      <c r="CS68" s="3274"/>
      <c r="CT68" s="3274"/>
      <c r="CU68" s="3274"/>
      <c r="CV68" s="2028">
        <f t="shared" si="131"/>
        <v>0</v>
      </c>
      <c r="CW68" s="3284" t="e">
        <f t="shared" si="111"/>
        <v>#DIV/0!</v>
      </c>
      <c r="CX68" s="3274"/>
      <c r="CY68" s="3274">
        <f t="shared" si="132"/>
        <v>950.17</v>
      </c>
      <c r="CZ68" s="3274">
        <f t="shared" si="132"/>
        <v>1543</v>
      </c>
      <c r="DA68" s="2028">
        <f t="shared" si="133"/>
        <v>2493.17</v>
      </c>
      <c r="DB68" s="3284">
        <f t="shared" si="68"/>
        <v>1.0380061370382527E-3</v>
      </c>
      <c r="DC68" s="3295"/>
    </row>
    <row r="69" spans="1:107" s="1411" customFormat="1" ht="13.8" x14ac:dyDescent="0.25">
      <c r="A69" s="1586"/>
      <c r="B69" s="3310" t="s">
        <v>42</v>
      </c>
      <c r="C69" s="3274"/>
      <c r="D69" s="3274"/>
      <c r="E69" s="2028">
        <f t="shared" si="112"/>
        <v>0</v>
      </c>
      <c r="F69" s="3284">
        <f t="shared" si="94"/>
        <v>0</v>
      </c>
      <c r="G69" s="3274"/>
      <c r="H69" s="3274"/>
      <c r="I69" s="3274"/>
      <c r="J69" s="2028">
        <f t="shared" si="113"/>
        <v>0</v>
      </c>
      <c r="K69" s="3284">
        <f t="shared" si="95"/>
        <v>0</v>
      </c>
      <c r="L69" s="3274"/>
      <c r="M69" s="3274"/>
      <c r="N69" s="3274"/>
      <c r="O69" s="2028">
        <f t="shared" si="114"/>
        <v>0</v>
      </c>
      <c r="P69" s="3284">
        <f t="shared" si="2"/>
        <v>0</v>
      </c>
      <c r="Q69" s="3274"/>
      <c r="R69" s="3274"/>
      <c r="S69" s="3274"/>
      <c r="T69" s="2028">
        <f t="shared" si="115"/>
        <v>0</v>
      </c>
      <c r="U69" s="3284">
        <f t="shared" si="96"/>
        <v>0</v>
      </c>
      <c r="V69" s="3274"/>
      <c r="W69" s="3274"/>
      <c r="X69" s="3274"/>
      <c r="Y69" s="2028">
        <f t="shared" si="116"/>
        <v>0</v>
      </c>
      <c r="Z69" s="3284">
        <f t="shared" si="97"/>
        <v>0</v>
      </c>
      <c r="AA69" s="3274"/>
      <c r="AB69" s="3274"/>
      <c r="AC69" s="3274"/>
      <c r="AD69" s="2028">
        <f t="shared" si="117"/>
        <v>0</v>
      </c>
      <c r="AE69" s="3284">
        <f t="shared" si="98"/>
        <v>0</v>
      </c>
      <c r="AF69" s="3274"/>
      <c r="AG69" s="3274">
        <v>0</v>
      </c>
      <c r="AH69" s="3274">
        <v>0</v>
      </c>
      <c r="AI69" s="2028">
        <v>0</v>
      </c>
      <c r="AJ69" s="3284">
        <v>0</v>
      </c>
      <c r="AK69" s="3276"/>
      <c r="AL69" s="3274">
        <f t="shared" si="118"/>
        <v>0</v>
      </c>
      <c r="AM69" s="3274">
        <f t="shared" si="118"/>
        <v>0</v>
      </c>
      <c r="AN69" s="2028">
        <f t="shared" si="119"/>
        <v>0</v>
      </c>
      <c r="AO69" s="3284">
        <f t="shared" si="99"/>
        <v>0</v>
      </c>
      <c r="AP69" s="3276"/>
      <c r="AQ69" s="3274"/>
      <c r="AR69" s="3274"/>
      <c r="AS69" s="2028">
        <f t="shared" si="120"/>
        <v>0</v>
      </c>
      <c r="AT69" s="3284">
        <f t="shared" si="100"/>
        <v>0</v>
      </c>
      <c r="AU69" s="3274"/>
      <c r="AV69" s="3274"/>
      <c r="AW69" s="3274"/>
      <c r="AX69" s="2028">
        <f t="shared" si="121"/>
        <v>0</v>
      </c>
      <c r="AY69" s="3284">
        <f t="shared" si="101"/>
        <v>0</v>
      </c>
      <c r="AZ69" s="3274"/>
      <c r="BA69" s="3274"/>
      <c r="BB69" s="3274"/>
      <c r="BC69" s="2028">
        <f t="shared" si="122"/>
        <v>0</v>
      </c>
      <c r="BD69" s="3284">
        <f t="shared" si="102"/>
        <v>0</v>
      </c>
      <c r="BE69" s="3274"/>
      <c r="BF69" s="3274"/>
      <c r="BG69" s="3274"/>
      <c r="BH69" s="2028">
        <f t="shared" si="123"/>
        <v>0</v>
      </c>
      <c r="BI69" s="3284">
        <f t="shared" si="103"/>
        <v>0</v>
      </c>
      <c r="BJ69" s="3274"/>
      <c r="BK69" s="3274"/>
      <c r="BL69" s="3274"/>
      <c r="BM69" s="2028">
        <f t="shared" si="124"/>
        <v>0</v>
      </c>
      <c r="BN69" s="3284">
        <f t="shared" si="104"/>
        <v>0</v>
      </c>
      <c r="BO69" s="3274"/>
      <c r="BP69" s="3274"/>
      <c r="BQ69" s="3274"/>
      <c r="BR69" s="2028">
        <f t="shared" si="125"/>
        <v>0</v>
      </c>
      <c r="BS69" s="3284">
        <f t="shared" si="105"/>
        <v>0</v>
      </c>
      <c r="BT69" s="3274"/>
      <c r="BU69" s="3274"/>
      <c r="BV69" s="3274"/>
      <c r="BW69" s="2028">
        <f t="shared" si="126"/>
        <v>0</v>
      </c>
      <c r="BX69" s="3284" t="e">
        <f t="shared" si="106"/>
        <v>#DIV/0!</v>
      </c>
      <c r="BY69" s="3274"/>
      <c r="BZ69" s="3274"/>
      <c r="CA69" s="3274"/>
      <c r="CB69" s="2028">
        <f t="shared" si="127"/>
        <v>0</v>
      </c>
      <c r="CC69" s="3284" t="e">
        <f t="shared" si="107"/>
        <v>#DIV/0!</v>
      </c>
      <c r="CD69" s="3274"/>
      <c r="CE69" s="3274"/>
      <c r="CF69" s="3274"/>
      <c r="CG69" s="2028">
        <f t="shared" si="128"/>
        <v>0</v>
      </c>
      <c r="CH69" s="3284" t="e">
        <f t="shared" si="108"/>
        <v>#DIV/0!</v>
      </c>
      <c r="CI69" s="3274"/>
      <c r="CJ69" s="3274"/>
      <c r="CK69" s="3274"/>
      <c r="CL69" s="2028">
        <f t="shared" si="129"/>
        <v>0</v>
      </c>
      <c r="CM69" s="3284" t="e">
        <f t="shared" si="109"/>
        <v>#DIV/0!</v>
      </c>
      <c r="CN69" s="3274"/>
      <c r="CO69" s="3274"/>
      <c r="CP69" s="3274"/>
      <c r="CQ69" s="2028">
        <f t="shared" si="130"/>
        <v>0</v>
      </c>
      <c r="CR69" s="3284" t="e">
        <f t="shared" si="110"/>
        <v>#DIV/0!</v>
      </c>
      <c r="CS69" s="3274"/>
      <c r="CT69" s="3274"/>
      <c r="CU69" s="3274"/>
      <c r="CV69" s="2028">
        <f t="shared" si="131"/>
        <v>0</v>
      </c>
      <c r="CW69" s="3284" t="e">
        <f t="shared" si="111"/>
        <v>#DIV/0!</v>
      </c>
      <c r="CX69" s="3274"/>
      <c r="CY69" s="3274">
        <f t="shared" si="132"/>
        <v>0</v>
      </c>
      <c r="CZ69" s="3274">
        <f t="shared" si="132"/>
        <v>0</v>
      </c>
      <c r="DA69" s="2028">
        <f t="shared" si="133"/>
        <v>0</v>
      </c>
      <c r="DB69" s="3284">
        <f t="shared" si="68"/>
        <v>0</v>
      </c>
      <c r="DC69" s="3295"/>
    </row>
    <row r="70" spans="1:107" s="1411" customFormat="1" ht="13.8" x14ac:dyDescent="0.25">
      <c r="A70" s="1586"/>
      <c r="B70" s="3310" t="s">
        <v>6</v>
      </c>
      <c r="C70" s="3274"/>
      <c r="D70" s="3274"/>
      <c r="E70" s="2028">
        <f t="shared" si="112"/>
        <v>0</v>
      </c>
      <c r="F70" s="3284">
        <f t="shared" si="94"/>
        <v>0</v>
      </c>
      <c r="G70" s="3295"/>
      <c r="H70" s="3274"/>
      <c r="I70" s="3274"/>
      <c r="J70" s="2028">
        <f t="shared" si="113"/>
        <v>0</v>
      </c>
      <c r="K70" s="3284">
        <f t="shared" si="95"/>
        <v>0</v>
      </c>
      <c r="L70" s="3295"/>
      <c r="M70" s="3274"/>
      <c r="N70" s="3274"/>
      <c r="O70" s="2028">
        <f t="shared" si="114"/>
        <v>0</v>
      </c>
      <c r="P70" s="3284">
        <f t="shared" si="2"/>
        <v>0</v>
      </c>
      <c r="Q70" s="3295"/>
      <c r="R70" s="3274"/>
      <c r="S70" s="3274"/>
      <c r="T70" s="2028">
        <f t="shared" si="115"/>
        <v>0</v>
      </c>
      <c r="U70" s="3284">
        <f t="shared" si="96"/>
        <v>0</v>
      </c>
      <c r="V70" s="3295"/>
      <c r="W70" s="3274"/>
      <c r="X70" s="3274"/>
      <c r="Y70" s="2028">
        <f t="shared" si="116"/>
        <v>0</v>
      </c>
      <c r="Z70" s="3284">
        <f t="shared" si="97"/>
        <v>0</v>
      </c>
      <c r="AA70" s="3295"/>
      <c r="AB70" s="3274"/>
      <c r="AC70" s="3274"/>
      <c r="AD70" s="2028">
        <f t="shared" si="117"/>
        <v>0</v>
      </c>
      <c r="AE70" s="3284">
        <f t="shared" si="98"/>
        <v>0</v>
      </c>
      <c r="AF70" s="3295"/>
      <c r="AG70" s="3274">
        <v>0</v>
      </c>
      <c r="AH70" s="3274">
        <v>0</v>
      </c>
      <c r="AI70" s="2028">
        <v>0</v>
      </c>
      <c r="AJ70" s="3284">
        <v>0</v>
      </c>
      <c r="AK70" s="3276"/>
      <c r="AL70" s="3274">
        <f t="shared" si="118"/>
        <v>0</v>
      </c>
      <c r="AM70" s="3274">
        <f t="shared" si="118"/>
        <v>0</v>
      </c>
      <c r="AN70" s="2028">
        <f t="shared" si="119"/>
        <v>0</v>
      </c>
      <c r="AO70" s="3284">
        <f t="shared" si="99"/>
        <v>0</v>
      </c>
      <c r="AP70" s="3276"/>
      <c r="AQ70" s="3274"/>
      <c r="AR70" s="3274"/>
      <c r="AS70" s="2028">
        <f t="shared" si="120"/>
        <v>0</v>
      </c>
      <c r="AT70" s="3284">
        <f t="shared" si="100"/>
        <v>0</v>
      </c>
      <c r="AU70" s="3295"/>
      <c r="AV70" s="3274"/>
      <c r="AW70" s="3274"/>
      <c r="AX70" s="2028">
        <f t="shared" si="121"/>
        <v>0</v>
      </c>
      <c r="AY70" s="3284">
        <f t="shared" si="101"/>
        <v>0</v>
      </c>
      <c r="AZ70" s="3295"/>
      <c r="BA70" s="3274"/>
      <c r="BB70" s="3274"/>
      <c r="BC70" s="2028">
        <f t="shared" si="122"/>
        <v>0</v>
      </c>
      <c r="BD70" s="3284">
        <f t="shared" si="102"/>
        <v>0</v>
      </c>
      <c r="BE70" s="3295"/>
      <c r="BF70" s="3274"/>
      <c r="BG70" s="3274"/>
      <c r="BH70" s="2028">
        <f t="shared" si="123"/>
        <v>0</v>
      </c>
      <c r="BI70" s="3284">
        <f t="shared" si="103"/>
        <v>0</v>
      </c>
      <c r="BJ70" s="3295"/>
      <c r="BK70" s="3274"/>
      <c r="BL70" s="3274"/>
      <c r="BM70" s="2028">
        <f t="shared" si="124"/>
        <v>0</v>
      </c>
      <c r="BN70" s="3284">
        <f t="shared" si="104"/>
        <v>0</v>
      </c>
      <c r="BO70" s="3295"/>
      <c r="BP70" s="3274"/>
      <c r="BQ70" s="3274"/>
      <c r="BR70" s="2028">
        <f t="shared" si="125"/>
        <v>0</v>
      </c>
      <c r="BS70" s="3284">
        <f t="shared" si="105"/>
        <v>0</v>
      </c>
      <c r="BT70" s="3295"/>
      <c r="BU70" s="3274"/>
      <c r="BV70" s="3274"/>
      <c r="BW70" s="2028">
        <f t="shared" si="126"/>
        <v>0</v>
      </c>
      <c r="BX70" s="3284" t="e">
        <f t="shared" si="106"/>
        <v>#DIV/0!</v>
      </c>
      <c r="BY70" s="3295"/>
      <c r="BZ70" s="3274"/>
      <c r="CA70" s="3274"/>
      <c r="CB70" s="2028">
        <f t="shared" si="127"/>
        <v>0</v>
      </c>
      <c r="CC70" s="3284" t="e">
        <f t="shared" si="107"/>
        <v>#DIV/0!</v>
      </c>
      <c r="CD70" s="1449"/>
      <c r="CE70" s="3274"/>
      <c r="CF70" s="3274"/>
      <c r="CG70" s="2028">
        <f t="shared" si="128"/>
        <v>0</v>
      </c>
      <c r="CH70" s="3284" t="e">
        <f t="shared" si="108"/>
        <v>#DIV/0!</v>
      </c>
      <c r="CI70" s="1449"/>
      <c r="CJ70" s="3274"/>
      <c r="CK70" s="3274"/>
      <c r="CL70" s="2028">
        <f t="shared" si="129"/>
        <v>0</v>
      </c>
      <c r="CM70" s="3284" t="e">
        <f t="shared" si="109"/>
        <v>#DIV/0!</v>
      </c>
      <c r="CN70" s="1449"/>
      <c r="CO70" s="3274"/>
      <c r="CP70" s="3274"/>
      <c r="CQ70" s="2028">
        <f t="shared" si="130"/>
        <v>0</v>
      </c>
      <c r="CR70" s="3284" t="e">
        <f t="shared" si="110"/>
        <v>#DIV/0!</v>
      </c>
      <c r="CS70" s="1449"/>
      <c r="CT70" s="3274"/>
      <c r="CU70" s="3274"/>
      <c r="CV70" s="2028">
        <f t="shared" si="131"/>
        <v>0</v>
      </c>
      <c r="CW70" s="3284" t="e">
        <f t="shared" si="111"/>
        <v>#DIV/0!</v>
      </c>
      <c r="CX70" s="1449"/>
      <c r="CY70" s="3274">
        <f t="shared" si="132"/>
        <v>0</v>
      </c>
      <c r="CZ70" s="3274">
        <f t="shared" si="132"/>
        <v>0</v>
      </c>
      <c r="DA70" s="2028">
        <f t="shared" si="133"/>
        <v>0</v>
      </c>
      <c r="DB70" s="3284">
        <f t="shared" si="68"/>
        <v>0</v>
      </c>
      <c r="DC70" s="3295"/>
    </row>
    <row r="71" spans="1:107" s="1411" customFormat="1" ht="13.8" x14ac:dyDescent="0.25">
      <c r="A71" s="1586"/>
      <c r="B71" s="3310" t="s">
        <v>78</v>
      </c>
      <c r="C71" s="3274"/>
      <c r="D71" s="3274"/>
      <c r="E71" s="2028">
        <f t="shared" si="112"/>
        <v>0</v>
      </c>
      <c r="F71" s="3284">
        <f t="shared" si="94"/>
        <v>0</v>
      </c>
      <c r="G71" s="3274"/>
      <c r="H71" s="3274"/>
      <c r="I71" s="3274"/>
      <c r="J71" s="2028">
        <f t="shared" si="113"/>
        <v>0</v>
      </c>
      <c r="K71" s="3284">
        <f t="shared" si="95"/>
        <v>0</v>
      </c>
      <c r="L71" s="3274"/>
      <c r="M71" s="3274"/>
      <c r="N71" s="3274"/>
      <c r="O71" s="2028">
        <f t="shared" si="114"/>
        <v>0</v>
      </c>
      <c r="P71" s="3284">
        <f t="shared" si="2"/>
        <v>0</v>
      </c>
      <c r="Q71" s="3274"/>
      <c r="R71" s="3274"/>
      <c r="S71" s="3274"/>
      <c r="T71" s="2028">
        <f t="shared" si="115"/>
        <v>0</v>
      </c>
      <c r="U71" s="3284">
        <f t="shared" si="96"/>
        <v>0</v>
      </c>
      <c r="V71" s="3274"/>
      <c r="W71" s="3274"/>
      <c r="X71" s="3274"/>
      <c r="Y71" s="2028">
        <f t="shared" si="116"/>
        <v>0</v>
      </c>
      <c r="Z71" s="3284">
        <f t="shared" si="97"/>
        <v>0</v>
      </c>
      <c r="AA71" s="3274"/>
      <c r="AB71" s="3274"/>
      <c r="AC71" s="3274"/>
      <c r="AD71" s="2028">
        <f t="shared" si="117"/>
        <v>0</v>
      </c>
      <c r="AE71" s="3284">
        <f t="shared" si="98"/>
        <v>0</v>
      </c>
      <c r="AF71" s="3274"/>
      <c r="AG71" s="3274">
        <v>0</v>
      </c>
      <c r="AH71" s="3274">
        <v>0</v>
      </c>
      <c r="AI71" s="2028">
        <v>0</v>
      </c>
      <c r="AJ71" s="3284">
        <v>0</v>
      </c>
      <c r="AK71" s="3276"/>
      <c r="AL71" s="3274">
        <f t="shared" si="118"/>
        <v>0</v>
      </c>
      <c r="AM71" s="3274">
        <f t="shared" si="118"/>
        <v>0</v>
      </c>
      <c r="AN71" s="2028">
        <f t="shared" si="119"/>
        <v>0</v>
      </c>
      <c r="AO71" s="3284">
        <f t="shared" si="99"/>
        <v>0</v>
      </c>
      <c r="AP71" s="3276"/>
      <c r="AQ71" s="3274"/>
      <c r="AR71" s="3274"/>
      <c r="AS71" s="2028">
        <f t="shared" si="120"/>
        <v>0</v>
      </c>
      <c r="AT71" s="3284">
        <f t="shared" si="100"/>
        <v>0</v>
      </c>
      <c r="AU71" s="3274"/>
      <c r="AV71" s="3274"/>
      <c r="AW71" s="3274"/>
      <c r="AX71" s="2028">
        <f t="shared" si="121"/>
        <v>0</v>
      </c>
      <c r="AY71" s="3284">
        <f t="shared" si="101"/>
        <v>0</v>
      </c>
      <c r="AZ71" s="3274"/>
      <c r="BA71" s="3274"/>
      <c r="BB71" s="3274"/>
      <c r="BC71" s="2028">
        <f t="shared" si="122"/>
        <v>0</v>
      </c>
      <c r="BD71" s="3284">
        <f t="shared" si="102"/>
        <v>0</v>
      </c>
      <c r="BE71" s="3274"/>
      <c r="BF71" s="3274"/>
      <c r="BG71" s="3274"/>
      <c r="BH71" s="2028">
        <f t="shared" si="123"/>
        <v>0</v>
      </c>
      <c r="BI71" s="3284">
        <f t="shared" si="103"/>
        <v>0</v>
      </c>
      <c r="BJ71" s="3274"/>
      <c r="BK71" s="3274"/>
      <c r="BL71" s="3274"/>
      <c r="BM71" s="2028">
        <f t="shared" si="124"/>
        <v>0</v>
      </c>
      <c r="BN71" s="3284">
        <f t="shared" si="104"/>
        <v>0</v>
      </c>
      <c r="BO71" s="3274"/>
      <c r="BP71" s="3274"/>
      <c r="BQ71" s="3274"/>
      <c r="BR71" s="2028">
        <f t="shared" si="125"/>
        <v>0</v>
      </c>
      <c r="BS71" s="3284">
        <f t="shared" si="105"/>
        <v>0</v>
      </c>
      <c r="BT71" s="3274"/>
      <c r="BU71" s="3274"/>
      <c r="BV71" s="3274"/>
      <c r="BW71" s="2028">
        <f t="shared" si="126"/>
        <v>0</v>
      </c>
      <c r="BX71" s="3284" t="e">
        <f t="shared" si="106"/>
        <v>#DIV/0!</v>
      </c>
      <c r="BY71" s="3274"/>
      <c r="BZ71" s="3274"/>
      <c r="CA71" s="3274"/>
      <c r="CB71" s="2028">
        <f t="shared" si="127"/>
        <v>0</v>
      </c>
      <c r="CC71" s="3284" t="e">
        <f t="shared" si="107"/>
        <v>#DIV/0!</v>
      </c>
      <c r="CD71" s="3274"/>
      <c r="CE71" s="3274"/>
      <c r="CF71" s="3274"/>
      <c r="CG71" s="2028">
        <f t="shared" si="128"/>
        <v>0</v>
      </c>
      <c r="CH71" s="3284" t="e">
        <f t="shared" si="108"/>
        <v>#DIV/0!</v>
      </c>
      <c r="CI71" s="3274"/>
      <c r="CJ71" s="3274"/>
      <c r="CK71" s="3274"/>
      <c r="CL71" s="2028">
        <f t="shared" si="129"/>
        <v>0</v>
      </c>
      <c r="CM71" s="3284" t="e">
        <f t="shared" si="109"/>
        <v>#DIV/0!</v>
      </c>
      <c r="CN71" s="3274"/>
      <c r="CO71" s="3274"/>
      <c r="CP71" s="3274"/>
      <c r="CQ71" s="2028">
        <f t="shared" si="130"/>
        <v>0</v>
      </c>
      <c r="CR71" s="3284" t="e">
        <f t="shared" si="110"/>
        <v>#DIV/0!</v>
      </c>
      <c r="CS71" s="3274"/>
      <c r="CT71" s="3274"/>
      <c r="CU71" s="3274"/>
      <c r="CV71" s="2028">
        <f t="shared" si="131"/>
        <v>0</v>
      </c>
      <c r="CW71" s="3284" t="e">
        <f t="shared" si="111"/>
        <v>#DIV/0!</v>
      </c>
      <c r="CX71" s="3274"/>
      <c r="CY71" s="3274">
        <f t="shared" si="132"/>
        <v>0</v>
      </c>
      <c r="CZ71" s="3274">
        <f t="shared" si="132"/>
        <v>0</v>
      </c>
      <c r="DA71" s="2028">
        <f t="shared" si="133"/>
        <v>0</v>
      </c>
      <c r="DB71" s="3284">
        <f t="shared" si="68"/>
        <v>0</v>
      </c>
      <c r="DC71" s="3295"/>
    </row>
    <row r="72" spans="1:107" s="1411" customFormat="1" ht="14.4" thickBot="1" x14ac:dyDescent="0.3">
      <c r="A72" s="1586"/>
      <c r="B72" s="3310"/>
      <c r="C72" s="3274"/>
      <c r="D72" s="3274"/>
      <c r="E72" s="2028"/>
      <c r="F72" s="3284"/>
      <c r="G72" s="3295"/>
      <c r="H72" s="3274"/>
      <c r="I72" s="3274"/>
      <c r="J72" s="2028"/>
      <c r="K72" s="3284"/>
      <c r="L72" s="3295"/>
      <c r="M72" s="3278"/>
      <c r="N72" s="3278"/>
      <c r="O72" s="2046"/>
      <c r="P72" s="3228"/>
      <c r="Q72" s="3229"/>
      <c r="R72" s="3274"/>
      <c r="S72" s="3274"/>
      <c r="T72" s="2028"/>
      <c r="U72" s="3284"/>
      <c r="V72" s="3295"/>
      <c r="W72" s="3274"/>
      <c r="X72" s="3274"/>
      <c r="Y72" s="2028"/>
      <c r="Z72" s="3284"/>
      <c r="AA72" s="3295"/>
      <c r="AB72" s="3274"/>
      <c r="AC72" s="3274"/>
      <c r="AD72" s="2028"/>
      <c r="AE72" s="3284"/>
      <c r="AF72" s="3295"/>
      <c r="AG72" s="3278"/>
      <c r="AH72" s="3278"/>
      <c r="AI72" s="2046"/>
      <c r="AJ72" s="3228"/>
      <c r="AK72" s="3229"/>
      <c r="AL72" s="3278"/>
      <c r="AM72" s="3278"/>
      <c r="AN72" s="2046"/>
      <c r="AO72" s="3228"/>
      <c r="AP72" s="3229"/>
      <c r="AQ72" s="3274"/>
      <c r="AR72" s="3274"/>
      <c r="AS72" s="2028"/>
      <c r="AT72" s="3284"/>
      <c r="AU72" s="3295"/>
      <c r="AV72" s="3278"/>
      <c r="AW72" s="3278"/>
      <c r="AX72" s="2046"/>
      <c r="AY72" s="3228"/>
      <c r="AZ72" s="3229"/>
      <c r="BA72" s="3278"/>
      <c r="BB72" s="3278"/>
      <c r="BC72" s="2046"/>
      <c r="BD72" s="3228"/>
      <c r="BE72" s="3229"/>
      <c r="BF72" s="3278"/>
      <c r="BG72" s="3278"/>
      <c r="BH72" s="2046"/>
      <c r="BI72" s="3228"/>
      <c r="BJ72" s="3229"/>
      <c r="BK72" s="3278"/>
      <c r="BL72" s="3278"/>
      <c r="BM72" s="2046"/>
      <c r="BN72" s="3228"/>
      <c r="BO72" s="3229"/>
      <c r="BP72" s="3278"/>
      <c r="BQ72" s="3278"/>
      <c r="BR72" s="2046"/>
      <c r="BS72" s="3228"/>
      <c r="BT72" s="3229"/>
      <c r="BU72" s="3278"/>
      <c r="BV72" s="3278"/>
      <c r="BW72" s="2046"/>
      <c r="BX72" s="3228"/>
      <c r="BY72" s="3229"/>
      <c r="BZ72" s="3278"/>
      <c r="CA72" s="3278"/>
      <c r="CB72" s="2046"/>
      <c r="CC72" s="3228"/>
      <c r="CD72" s="1325"/>
      <c r="CE72" s="3278"/>
      <c r="CF72" s="3278"/>
      <c r="CG72" s="2046"/>
      <c r="CH72" s="3228"/>
      <c r="CI72" s="1325"/>
      <c r="CJ72" s="3278"/>
      <c r="CK72" s="3278"/>
      <c r="CL72" s="2046"/>
      <c r="CM72" s="3228"/>
      <c r="CN72" s="1325"/>
      <c r="CO72" s="3278"/>
      <c r="CP72" s="3278"/>
      <c r="CQ72" s="2046"/>
      <c r="CR72" s="3228"/>
      <c r="CS72" s="1325"/>
      <c r="CT72" s="3278"/>
      <c r="CU72" s="3278"/>
      <c r="CV72" s="2046"/>
      <c r="CW72" s="3228"/>
      <c r="CX72" s="1325"/>
      <c r="CY72" s="3278"/>
      <c r="CZ72" s="3278"/>
      <c r="DA72" s="2046"/>
      <c r="DB72" s="3228">
        <f>DA72/$DA$89</f>
        <v>0</v>
      </c>
      <c r="DC72" s="3229"/>
    </row>
    <row r="73" spans="1:107" s="1411" customFormat="1" ht="14.4" thickBot="1" x14ac:dyDescent="0.3">
      <c r="A73" s="1586"/>
      <c r="B73" s="3324" t="s">
        <v>4</v>
      </c>
      <c r="C73" s="2865">
        <f>C74</f>
        <v>0</v>
      </c>
      <c r="D73" s="3325">
        <f>D74</f>
        <v>0</v>
      </c>
      <c r="E73" s="2022">
        <f>E74</f>
        <v>0</v>
      </c>
      <c r="F73" s="3325"/>
      <c r="G73" s="3325"/>
      <c r="H73" s="2865">
        <f>H74</f>
        <v>0</v>
      </c>
      <c r="I73" s="3325">
        <f>I74</f>
        <v>0</v>
      </c>
      <c r="J73" s="2022">
        <f>J74</f>
        <v>0</v>
      </c>
      <c r="K73" s="3325"/>
      <c r="L73" s="3325"/>
      <c r="M73" s="1599">
        <f>M74</f>
        <v>0</v>
      </c>
      <c r="N73" s="1704">
        <f>N74</f>
        <v>0</v>
      </c>
      <c r="O73" s="1703">
        <f>O74</f>
        <v>0</v>
      </c>
      <c r="P73" s="1704"/>
      <c r="Q73" s="1704"/>
      <c r="R73" s="2865">
        <f>R74</f>
        <v>0</v>
      </c>
      <c r="S73" s="3325">
        <f>S74</f>
        <v>0</v>
      </c>
      <c r="T73" s="2022">
        <f>T74</f>
        <v>0</v>
      </c>
      <c r="U73" s="3325"/>
      <c r="V73" s="3325"/>
      <c r="W73" s="2865">
        <f>W74</f>
        <v>0</v>
      </c>
      <c r="X73" s="3325">
        <f>X74</f>
        <v>0</v>
      </c>
      <c r="Y73" s="2022">
        <f>Y74</f>
        <v>0</v>
      </c>
      <c r="Z73" s="3325"/>
      <c r="AA73" s="3325"/>
      <c r="AB73" s="2865">
        <f>AB74</f>
        <v>0</v>
      </c>
      <c r="AC73" s="3325">
        <f>AC74</f>
        <v>0</v>
      </c>
      <c r="AD73" s="2022">
        <f>AD74</f>
        <v>0</v>
      </c>
      <c r="AE73" s="3325"/>
      <c r="AF73" s="3325"/>
      <c r="AG73" s="1599">
        <v>0</v>
      </c>
      <c r="AH73" s="1704">
        <v>0</v>
      </c>
      <c r="AI73" s="1703">
        <v>0</v>
      </c>
      <c r="AJ73" s="1704"/>
      <c r="AK73" s="1704"/>
      <c r="AL73" s="1599">
        <f>AL74</f>
        <v>0</v>
      </c>
      <c r="AM73" s="1704">
        <f>AM74</f>
        <v>0</v>
      </c>
      <c r="AN73" s="1703">
        <f>AN74</f>
        <v>0</v>
      </c>
      <c r="AO73" s="1704"/>
      <c r="AP73" s="1704"/>
      <c r="AQ73" s="2865">
        <f>AQ74</f>
        <v>0</v>
      </c>
      <c r="AR73" s="3325">
        <f>AR74</f>
        <v>0</v>
      </c>
      <c r="AS73" s="2022">
        <f>AS74</f>
        <v>0</v>
      </c>
      <c r="AT73" s="3325"/>
      <c r="AU73" s="3325"/>
      <c r="AV73" s="1599">
        <f>AV74</f>
        <v>0</v>
      </c>
      <c r="AW73" s="1704">
        <f>AW74</f>
        <v>0</v>
      </c>
      <c r="AX73" s="1703">
        <f>AX74</f>
        <v>0</v>
      </c>
      <c r="AY73" s="1704"/>
      <c r="AZ73" s="1704"/>
      <c r="BA73" s="1599">
        <f>BA74</f>
        <v>0</v>
      </c>
      <c r="BB73" s="1704">
        <f>BB74</f>
        <v>0</v>
      </c>
      <c r="BC73" s="1703">
        <f>BC74</f>
        <v>0</v>
      </c>
      <c r="BD73" s="1704"/>
      <c r="BE73" s="1704"/>
      <c r="BF73" s="1599">
        <f>BF74</f>
        <v>0</v>
      </c>
      <c r="BG73" s="1704">
        <f>BG74</f>
        <v>0</v>
      </c>
      <c r="BH73" s="1703">
        <f>BH74</f>
        <v>0</v>
      </c>
      <c r="BI73" s="1704"/>
      <c r="BJ73" s="1704"/>
      <c r="BK73" s="1599">
        <f>BK74</f>
        <v>0</v>
      </c>
      <c r="BL73" s="1704">
        <f>BL74</f>
        <v>0</v>
      </c>
      <c r="BM73" s="1703">
        <f>BM74</f>
        <v>0</v>
      </c>
      <c r="BN73" s="1704"/>
      <c r="BO73" s="1704"/>
      <c r="BP73" s="1599">
        <f>BP74</f>
        <v>0</v>
      </c>
      <c r="BQ73" s="1704">
        <f>BQ74</f>
        <v>0</v>
      </c>
      <c r="BR73" s="1703">
        <f>BR74</f>
        <v>0</v>
      </c>
      <c r="BS73" s="1704"/>
      <c r="BT73" s="1704"/>
      <c r="BU73" s="1599">
        <f>BU74</f>
        <v>0</v>
      </c>
      <c r="BV73" s="1704">
        <f>BV74</f>
        <v>0</v>
      </c>
      <c r="BW73" s="1703">
        <f>BW74</f>
        <v>0</v>
      </c>
      <c r="BX73" s="1704"/>
      <c r="BY73" s="1704"/>
      <c r="BZ73" s="1599">
        <f>BZ74</f>
        <v>0</v>
      </c>
      <c r="CA73" s="1704">
        <f>CA74</f>
        <v>0</v>
      </c>
      <c r="CB73" s="1703">
        <f>CB74</f>
        <v>0</v>
      </c>
      <c r="CC73" s="1704"/>
      <c r="CD73" s="1719"/>
      <c r="CE73" s="1599">
        <f>CE74</f>
        <v>0</v>
      </c>
      <c r="CF73" s="1704">
        <f>CF74</f>
        <v>0</v>
      </c>
      <c r="CG73" s="1703">
        <f>CG74</f>
        <v>0</v>
      </c>
      <c r="CH73" s="1704"/>
      <c r="CI73" s="1719"/>
      <c r="CJ73" s="1599">
        <f>CJ74</f>
        <v>0</v>
      </c>
      <c r="CK73" s="1704">
        <f>CK74</f>
        <v>0</v>
      </c>
      <c r="CL73" s="1703">
        <f>CL74</f>
        <v>0</v>
      </c>
      <c r="CM73" s="1704"/>
      <c r="CN73" s="1719"/>
      <c r="CO73" s="1599">
        <f>CO74</f>
        <v>0</v>
      </c>
      <c r="CP73" s="1704">
        <f>CP74</f>
        <v>0</v>
      </c>
      <c r="CQ73" s="1703">
        <f>CQ74</f>
        <v>0</v>
      </c>
      <c r="CR73" s="1704"/>
      <c r="CS73" s="1719"/>
      <c r="CT73" s="1599">
        <f>CT74</f>
        <v>0</v>
      </c>
      <c r="CU73" s="1704">
        <f>CU74</f>
        <v>0</v>
      </c>
      <c r="CV73" s="1703">
        <f>CV74</f>
        <v>0</v>
      </c>
      <c r="CW73" s="1704"/>
      <c r="CX73" s="1719"/>
      <c r="CY73" s="1599">
        <f>CY74</f>
        <v>0</v>
      </c>
      <c r="CZ73" s="1704">
        <f>CZ74</f>
        <v>0</v>
      </c>
      <c r="DA73" s="1703">
        <f>DA74</f>
        <v>0</v>
      </c>
      <c r="DB73" s="1704"/>
      <c r="DC73" s="1704"/>
    </row>
    <row r="74" spans="1:107" s="1411" customFormat="1" ht="14.4" thickBot="1" x14ac:dyDescent="0.3">
      <c r="A74" s="1428"/>
      <c r="B74" s="3289" t="s">
        <v>64</v>
      </c>
      <c r="C74" s="3274"/>
      <c r="D74" s="3274"/>
      <c r="E74" s="2028">
        <f>C74+D74*1</f>
        <v>0</v>
      </c>
      <c r="F74" s="3328"/>
      <c r="G74" s="3328"/>
      <c r="H74" s="3274"/>
      <c r="I74" s="3274"/>
      <c r="J74" s="3326">
        <f>H74+I74*1</f>
        <v>0</v>
      </c>
      <c r="K74" s="3328"/>
      <c r="L74" s="3328"/>
      <c r="M74" s="3274"/>
      <c r="N74" s="3274"/>
      <c r="O74" s="3329">
        <f>M74+N74*1</f>
        <v>0</v>
      </c>
      <c r="P74" s="3327"/>
      <c r="Q74" s="3327"/>
      <c r="R74" s="3274"/>
      <c r="S74" s="3274"/>
      <c r="T74" s="3326">
        <f>R74+S74*1</f>
        <v>0</v>
      </c>
      <c r="U74" s="3328"/>
      <c r="V74" s="3328"/>
      <c r="W74" s="3274"/>
      <c r="X74" s="3274"/>
      <c r="Y74" s="3326">
        <f>W74+X74*1</f>
        <v>0</v>
      </c>
      <c r="Z74" s="3328"/>
      <c r="AA74" s="3328"/>
      <c r="AB74" s="3274"/>
      <c r="AC74" s="3274"/>
      <c r="AD74" s="3326">
        <f>AB74+AC74*1</f>
        <v>0</v>
      </c>
      <c r="AE74" s="3328"/>
      <c r="AF74" s="3328"/>
      <c r="AG74" s="3274">
        <v>0</v>
      </c>
      <c r="AH74" s="3274">
        <v>0</v>
      </c>
      <c r="AI74" s="2028">
        <v>0</v>
      </c>
      <c r="AJ74" s="3327"/>
      <c r="AK74" s="3276"/>
      <c r="AL74" s="3274">
        <f>AQ74+AV74+BA74+BF74+BK74+BP74+BU74+BZ74+CE74+CJ74+CO74+CT74</f>
        <v>0</v>
      </c>
      <c r="AM74" s="3274">
        <f>AR74+AW74+BB74+BG74+BL74+BQ74+BV74+CA74+CF74+CK74+CP74+CU74</f>
        <v>0</v>
      </c>
      <c r="AN74" s="2028">
        <f>AL74+AM74*1</f>
        <v>0</v>
      </c>
      <c r="AO74" s="3327"/>
      <c r="AP74" s="3276"/>
      <c r="AQ74" s="3274"/>
      <c r="AR74" s="3274"/>
      <c r="AS74" s="3326">
        <f>AQ74+AR74*1</f>
        <v>0</v>
      </c>
      <c r="AT74" s="3328"/>
      <c r="AU74" s="3328"/>
      <c r="AV74" s="3274"/>
      <c r="AW74" s="3274"/>
      <c r="AX74" s="3329">
        <f>AV74+AW74*1</f>
        <v>0</v>
      </c>
      <c r="AY74" s="3327"/>
      <c r="AZ74" s="3327"/>
      <c r="BA74" s="3274"/>
      <c r="BB74" s="3274"/>
      <c r="BC74" s="3329">
        <f>BA74+BB74*1</f>
        <v>0</v>
      </c>
      <c r="BD74" s="3327"/>
      <c r="BE74" s="3327"/>
      <c r="BF74" s="3274"/>
      <c r="BG74" s="3274"/>
      <c r="BH74" s="3329">
        <f>BF74+BG74*1</f>
        <v>0</v>
      </c>
      <c r="BI74" s="3327"/>
      <c r="BJ74" s="3327"/>
      <c r="BK74" s="3274"/>
      <c r="BL74" s="3274"/>
      <c r="BM74" s="3329">
        <f>BK74+BL74*1</f>
        <v>0</v>
      </c>
      <c r="BN74" s="3327"/>
      <c r="BO74" s="3327"/>
      <c r="BP74" s="3274"/>
      <c r="BQ74" s="3274"/>
      <c r="BR74" s="3329">
        <f>BP74+BQ74*1</f>
        <v>0</v>
      </c>
      <c r="BS74" s="3327"/>
      <c r="BT74" s="3327"/>
      <c r="BU74" s="3274"/>
      <c r="BV74" s="3274"/>
      <c r="BW74" s="3329">
        <f>BU74+BV74*1</f>
        <v>0</v>
      </c>
      <c r="BX74" s="3327"/>
      <c r="BY74" s="3327"/>
      <c r="BZ74" s="3274"/>
      <c r="CA74" s="3274"/>
      <c r="CB74" s="3329">
        <f>BZ74+CA74*1</f>
        <v>0</v>
      </c>
      <c r="CC74" s="3327"/>
      <c r="CD74" s="3330"/>
      <c r="CE74" s="3274"/>
      <c r="CF74" s="3274"/>
      <c r="CG74" s="3329">
        <f>CE74+CF74*1</f>
        <v>0</v>
      </c>
      <c r="CH74" s="3327"/>
      <c r="CI74" s="3330"/>
      <c r="CJ74" s="3274"/>
      <c r="CK74" s="3274"/>
      <c r="CL74" s="3329">
        <f>CJ74+CK74*1</f>
        <v>0</v>
      </c>
      <c r="CM74" s="3327"/>
      <c r="CN74" s="3330"/>
      <c r="CO74" s="3274"/>
      <c r="CP74" s="3274"/>
      <c r="CQ74" s="3329">
        <f>CO74+CP74*1</f>
        <v>0</v>
      </c>
      <c r="CR74" s="3327"/>
      <c r="CS74" s="3330"/>
      <c r="CT74" s="3274"/>
      <c r="CU74" s="3274"/>
      <c r="CV74" s="3329">
        <f>CT74+CU74*1</f>
        <v>0</v>
      </c>
      <c r="CW74" s="3327"/>
      <c r="CX74" s="3330"/>
      <c r="CY74" s="3274">
        <f>C74+H74+M74+R74+W74+AB74+AQ74+AV74+BA74+BF74+BK74+BP74+BU74+BZ74+CE74+CJ74+CO74+CT74</f>
        <v>0</v>
      </c>
      <c r="CZ74" s="3274">
        <f>D74+I74+N74+S74+X74+AC74+AR74+AW74+BB74+BG74+BL74+BQ74+BV74+CA74+CF74+CK74+CP74+CU74</f>
        <v>0</v>
      </c>
      <c r="DA74" s="2028">
        <f>CY74+CZ74*1</f>
        <v>0</v>
      </c>
      <c r="DB74" s="3327"/>
      <c r="DC74" s="3327"/>
    </row>
    <row r="75" spans="1:107" s="1411" customFormat="1" ht="14.4" thickBot="1" x14ac:dyDescent="0.3">
      <c r="A75" s="1414"/>
      <c r="B75" s="1431" t="s">
        <v>48</v>
      </c>
      <c r="C75" s="1465">
        <f>C38-C41-C50-C54</f>
        <v>-171153.39</v>
      </c>
      <c r="D75" s="1465">
        <f>D38-D41-D50-D54</f>
        <v>-19357</v>
      </c>
      <c r="E75" s="1523">
        <f>E38-E41-E50-E54</f>
        <v>-190510.39</v>
      </c>
      <c r="F75" s="1969"/>
      <c r="G75" s="1969"/>
      <c r="H75" s="1465">
        <f>H38-H41-H50-H54</f>
        <v>-216885.128</v>
      </c>
      <c r="I75" s="1465">
        <f>I38-I41-I50-I54</f>
        <v>159801.29999999999</v>
      </c>
      <c r="J75" s="1523">
        <f>J38-J41-J50-J54</f>
        <v>-57083.828000000009</v>
      </c>
      <c r="K75" s="1969"/>
      <c r="L75" s="1969"/>
      <c r="M75" s="1465">
        <f>M38-M41-M50-M54</f>
        <v>39847.399999999994</v>
      </c>
      <c r="N75" s="1465">
        <f>N38-N41-N50-N54</f>
        <v>149240</v>
      </c>
      <c r="O75" s="1523">
        <f>O38-O41-O50-O54</f>
        <v>189087.4</v>
      </c>
      <c r="P75" s="1969"/>
      <c r="Q75" s="1969"/>
      <c r="R75" s="1465">
        <f>R38-R41-R50-R54</f>
        <v>267713.41000000003</v>
      </c>
      <c r="S75" s="1465">
        <f>S38-S41-S50-S54</f>
        <v>-30846.61</v>
      </c>
      <c r="T75" s="1523">
        <f>T38-T41-T50-T54</f>
        <v>236866.8</v>
      </c>
      <c r="U75" s="1969"/>
      <c r="V75" s="1969"/>
      <c r="W75" s="1465">
        <f>W38-W41-W50-W54</f>
        <v>240716.02999999997</v>
      </c>
      <c r="X75" s="1465">
        <f>X38-X41-X50-X54</f>
        <v>-42132.15</v>
      </c>
      <c r="Y75" s="1523">
        <f>Y38-Y41-Y50-Y54</f>
        <v>198583.87999999998</v>
      </c>
      <c r="Z75" s="1969"/>
      <c r="AA75" s="1969"/>
      <c r="AB75" s="1465">
        <f>AB38-AB41-AB50-AB54</f>
        <v>92748.724400000006</v>
      </c>
      <c r="AC75" s="1465">
        <f>AC38-AC41-AC50-AC54</f>
        <v>-64551</v>
      </c>
      <c r="AD75" s="1523">
        <f>AD38-AD41-AD50-AD54</f>
        <v>28197.724400000006</v>
      </c>
      <c r="AE75" s="1969"/>
      <c r="AF75" s="1969"/>
      <c r="AG75" s="1465">
        <v>117749.32799999991</v>
      </c>
      <c r="AH75" s="1465">
        <v>-210990.91</v>
      </c>
      <c r="AI75" s="1523">
        <v>-93241.582000000009</v>
      </c>
      <c r="AJ75" s="1969"/>
      <c r="AK75" s="1969"/>
      <c r="AL75" s="1465">
        <f>AL38-AL41-AL50-AL54</f>
        <v>0</v>
      </c>
      <c r="AM75" s="1465">
        <f>AM38-AM41-AM50-AM54</f>
        <v>0</v>
      </c>
      <c r="AN75" s="1523">
        <f>AN38-AN41-AN50-AN54</f>
        <v>0</v>
      </c>
      <c r="AO75" s="1969"/>
      <c r="AP75" s="1969"/>
      <c r="AQ75" s="1465">
        <f>AQ38-AQ41-AQ50-AQ54</f>
        <v>0</v>
      </c>
      <c r="AR75" s="1465">
        <f>AR38-AR41-AR50-AR54</f>
        <v>0</v>
      </c>
      <c r="AS75" s="1523">
        <f>AS38-AS41-AS50-AS54</f>
        <v>0</v>
      </c>
      <c r="AT75" s="1969"/>
      <c r="AU75" s="1969"/>
      <c r="AV75" s="1465">
        <f>AV38-AV41-AV50-AV54</f>
        <v>0</v>
      </c>
      <c r="AW75" s="1465">
        <f>AW38-AW41-AW50-AW54</f>
        <v>0</v>
      </c>
      <c r="AX75" s="1523">
        <f>AX38-AX41-AX50-AX54</f>
        <v>0</v>
      </c>
      <c r="AY75" s="1969"/>
      <c r="AZ75" s="1969"/>
      <c r="BA75" s="1465">
        <f>BA38-BA41-BA50-BA54</f>
        <v>0</v>
      </c>
      <c r="BB75" s="1465">
        <f>BB38-BB41-BB50-BB54</f>
        <v>0</v>
      </c>
      <c r="BC75" s="1523">
        <f>BC38-BC41-BC50-BC54</f>
        <v>0</v>
      </c>
      <c r="BD75" s="1969"/>
      <c r="BE75" s="1969"/>
      <c r="BF75" s="1465">
        <f>BF38-BF41-BF50-BF54</f>
        <v>0</v>
      </c>
      <c r="BG75" s="1465">
        <f>BG38-BG41-BG50-BG54</f>
        <v>0</v>
      </c>
      <c r="BH75" s="1523">
        <f>BH38-BH41-BH50-BH54</f>
        <v>0</v>
      </c>
      <c r="BI75" s="1969"/>
      <c r="BJ75" s="1969"/>
      <c r="BK75" s="1465">
        <f>BK38-BK41-BK50-BK54</f>
        <v>0</v>
      </c>
      <c r="BL75" s="1465">
        <f>BL38-BL41-BL50-BL54</f>
        <v>0</v>
      </c>
      <c r="BM75" s="1523">
        <f>BM38-BM41-BM50-BM54</f>
        <v>0</v>
      </c>
      <c r="BN75" s="1969"/>
      <c r="BO75" s="1969"/>
      <c r="BP75" s="1465">
        <f>BP38-BP41-BP50-BP54</f>
        <v>0</v>
      </c>
      <c r="BQ75" s="1465">
        <f>BQ38-BQ41-BQ50-BQ54</f>
        <v>0</v>
      </c>
      <c r="BR75" s="1523">
        <f>BR38-BR41-BR50-BR54</f>
        <v>0</v>
      </c>
      <c r="BS75" s="1969"/>
      <c r="BT75" s="1969"/>
      <c r="BU75" s="1465">
        <f>BU38-BU41-BU50-BU54</f>
        <v>0</v>
      </c>
      <c r="BV75" s="1465">
        <f>BV38-BV41-BV50-BV54</f>
        <v>0</v>
      </c>
      <c r="BW75" s="1523">
        <f>BW38-BW41-BW50-BW54</f>
        <v>0</v>
      </c>
      <c r="BX75" s="1969"/>
      <c r="BY75" s="1969"/>
      <c r="BZ75" s="1465">
        <f>BZ38-BZ41-BZ50-BZ54</f>
        <v>0</v>
      </c>
      <c r="CA75" s="1465">
        <f>CA38-CA41-CA50-CA54</f>
        <v>0</v>
      </c>
      <c r="CB75" s="1523">
        <f>CB38-CB41-CB50-CB54</f>
        <v>0</v>
      </c>
      <c r="CC75" s="1969"/>
      <c r="CD75" s="1465"/>
      <c r="CE75" s="1465">
        <f>CE38-CE41-CE50-CE54</f>
        <v>0</v>
      </c>
      <c r="CF75" s="1465">
        <f>CF38-CF41-CF50-CF54</f>
        <v>0</v>
      </c>
      <c r="CG75" s="1523">
        <f>CG38-CG41-CG50-CG54</f>
        <v>0</v>
      </c>
      <c r="CH75" s="1969"/>
      <c r="CI75" s="1465"/>
      <c r="CJ75" s="1465">
        <f>CJ38-CJ41-CJ50-CJ54</f>
        <v>0</v>
      </c>
      <c r="CK75" s="1465">
        <f>CK38-CK41-CK50-CK54</f>
        <v>0</v>
      </c>
      <c r="CL75" s="1523">
        <f>CL38-CL41-CL50-CL54</f>
        <v>0</v>
      </c>
      <c r="CM75" s="1969"/>
      <c r="CN75" s="1465"/>
      <c r="CO75" s="1465">
        <f>CO38-CO41-CO50-CO54</f>
        <v>0</v>
      </c>
      <c r="CP75" s="1465">
        <f>CP38-CP41-CP50-CP54</f>
        <v>0</v>
      </c>
      <c r="CQ75" s="1523">
        <f>CQ38-CQ41-CQ50-CQ54</f>
        <v>0</v>
      </c>
      <c r="CR75" s="1969"/>
      <c r="CS75" s="1465"/>
      <c r="CT75" s="1465">
        <f>CT38-CT41-CT50-CT54</f>
        <v>0</v>
      </c>
      <c r="CU75" s="1465">
        <f>CU38-CU41-CU50-CU54</f>
        <v>0</v>
      </c>
      <c r="CV75" s="1523">
        <f>CV38-CV41-CV50-CV54</f>
        <v>0</v>
      </c>
      <c r="CW75" s="1969"/>
      <c r="CX75" s="1465"/>
      <c r="CY75" s="1465">
        <f>CY38-CY41-CY50-CY54</f>
        <v>370736.3743999998</v>
      </c>
      <c r="CZ75" s="1465">
        <f>CZ38-CZ41-CZ50-CZ54</f>
        <v>-58836.369999999995</v>
      </c>
      <c r="DA75" s="1523">
        <f>DA38-DA41-DA50-DA54</f>
        <v>311900.00439999992</v>
      </c>
      <c r="DB75" s="1969"/>
      <c r="DC75" s="1969"/>
    </row>
    <row r="76" spans="1:107" s="1411" customFormat="1" ht="13.8" x14ac:dyDescent="0.25">
      <c r="A76" s="1581"/>
      <c r="B76" s="1444" t="s">
        <v>49</v>
      </c>
      <c r="C76" s="2019" t="e">
        <f>C75/C5</f>
        <v>#DIV/0!</v>
      </c>
      <c r="D76" s="2019" t="e">
        <f>D75/D5</f>
        <v>#DIV/0!</v>
      </c>
      <c r="E76" s="2020" t="e">
        <f>E75/E5</f>
        <v>#DIV/0!</v>
      </c>
      <c r="F76" s="2020"/>
      <c r="G76" s="2020"/>
      <c r="H76" s="2019" t="e">
        <f>H75/H5</f>
        <v>#DIV/0!</v>
      </c>
      <c r="I76" s="2019">
        <f>I75/I5</f>
        <v>0.86046059574834688</v>
      </c>
      <c r="J76" s="2020">
        <f>J75/J5</f>
        <v>-0.30737162118503525</v>
      </c>
      <c r="K76" s="2020"/>
      <c r="L76" s="2020"/>
      <c r="M76" s="2019">
        <f>M75/M5</f>
        <v>0.29984574055819341</v>
      </c>
      <c r="N76" s="2019">
        <f>N75/N5</f>
        <v>0.88297242929830788</v>
      </c>
      <c r="O76" s="2020">
        <f>O75/O5</f>
        <v>0.62629764203595073</v>
      </c>
      <c r="P76" s="2020"/>
      <c r="Q76" s="2020"/>
      <c r="R76" s="2019">
        <f>R75/R5</f>
        <v>0.89024145384410758</v>
      </c>
      <c r="S76" s="2019" t="e">
        <f>S75/S5</f>
        <v>#DIV/0!</v>
      </c>
      <c r="T76" s="2020">
        <f>T75/T5</f>
        <v>0.78766560255387064</v>
      </c>
      <c r="U76" s="2020"/>
      <c r="V76" s="2020"/>
      <c r="W76" s="2019">
        <f>W75/W5</f>
        <v>0.69421683784494714</v>
      </c>
      <c r="X76" s="2019" t="e">
        <f>X75/X5</f>
        <v>#DIV/0!</v>
      </c>
      <c r="Y76" s="2020">
        <f>Y75/Y5</f>
        <v>0.57270915119603982</v>
      </c>
      <c r="Z76" s="2020"/>
      <c r="AA76" s="2020"/>
      <c r="AB76" s="2019">
        <f>AB75/AB5</f>
        <v>0.33372454087507197</v>
      </c>
      <c r="AC76" s="2019" t="e">
        <f>AC75/AC5</f>
        <v>#DIV/0!</v>
      </c>
      <c r="AD76" s="2020">
        <f>AD75/AD5</f>
        <v>0.10145986039147958</v>
      </c>
      <c r="AE76" s="2020"/>
      <c r="AF76" s="2020"/>
      <c r="AG76" s="2019">
        <v>9.6909393257648621E-2</v>
      </c>
      <c r="AH76" s="2019">
        <v>-6.0425548793584882</v>
      </c>
      <c r="AI76" s="2020">
        <v>-7.4595470045330778E-2</v>
      </c>
      <c r="AJ76" s="2020"/>
      <c r="AK76" s="2020"/>
      <c r="AL76" s="2019" t="e">
        <f>AL75/AL5</f>
        <v>#DIV/0!</v>
      </c>
      <c r="AM76" s="2019" t="e">
        <f>AM75/AM5</f>
        <v>#DIV/0!</v>
      </c>
      <c r="AN76" s="2020" t="e">
        <f>AN75/AN5</f>
        <v>#DIV/0!</v>
      </c>
      <c r="AO76" s="2020"/>
      <c r="AP76" s="2020"/>
      <c r="AQ76" s="2019" t="e">
        <f>AQ75/AQ5</f>
        <v>#DIV/0!</v>
      </c>
      <c r="AR76" s="2019" t="e">
        <f>AR75/AR5</f>
        <v>#DIV/0!</v>
      </c>
      <c r="AS76" s="2020" t="e">
        <f>AS75/AS5</f>
        <v>#DIV/0!</v>
      </c>
      <c r="AT76" s="2020"/>
      <c r="AU76" s="2020"/>
      <c r="AV76" s="2019" t="e">
        <f>AV75/AV5</f>
        <v>#DIV/0!</v>
      </c>
      <c r="AW76" s="2019" t="e">
        <f>AW75/AW5</f>
        <v>#DIV/0!</v>
      </c>
      <c r="AX76" s="2020" t="e">
        <f>AX75/AX5</f>
        <v>#DIV/0!</v>
      </c>
      <c r="AY76" s="2020"/>
      <c r="AZ76" s="2020"/>
      <c r="BA76" s="2019" t="e">
        <f>BA75/BA5</f>
        <v>#DIV/0!</v>
      </c>
      <c r="BB76" s="2019" t="e">
        <f>BB75/BB5</f>
        <v>#DIV/0!</v>
      </c>
      <c r="BC76" s="2020" t="e">
        <f>BC75/BC5</f>
        <v>#DIV/0!</v>
      </c>
      <c r="BD76" s="2020"/>
      <c r="BE76" s="2020"/>
      <c r="BF76" s="2019" t="e">
        <f>BF75/BF5</f>
        <v>#DIV/0!</v>
      </c>
      <c r="BG76" s="2019" t="e">
        <f>BG75/BG5</f>
        <v>#DIV/0!</v>
      </c>
      <c r="BH76" s="2020" t="e">
        <f>BH75/BH5</f>
        <v>#DIV/0!</v>
      </c>
      <c r="BI76" s="2020"/>
      <c r="BJ76" s="2020"/>
      <c r="BK76" s="2019" t="e">
        <f>BK75/BK5</f>
        <v>#DIV/0!</v>
      </c>
      <c r="BL76" s="2019" t="e">
        <f>BL75/BL5</f>
        <v>#DIV/0!</v>
      </c>
      <c r="BM76" s="2020" t="e">
        <f>BM75/BM5</f>
        <v>#DIV/0!</v>
      </c>
      <c r="BN76" s="2020"/>
      <c r="BO76" s="2020"/>
      <c r="BP76" s="2019" t="e">
        <f>BP75/BP5</f>
        <v>#DIV/0!</v>
      </c>
      <c r="BQ76" s="2019" t="e">
        <f>BQ75/BQ5</f>
        <v>#DIV/0!</v>
      </c>
      <c r="BR76" s="2020" t="e">
        <f>BR75/BR5</f>
        <v>#DIV/0!</v>
      </c>
      <c r="BS76" s="2020"/>
      <c r="BT76" s="2020"/>
      <c r="BU76" s="2019" t="e">
        <f>BU75/BU5</f>
        <v>#DIV/0!</v>
      </c>
      <c r="BV76" s="2019" t="e">
        <f>BV75/BV5</f>
        <v>#DIV/0!</v>
      </c>
      <c r="BW76" s="2020" t="e">
        <f>BW75/BW5</f>
        <v>#DIV/0!</v>
      </c>
      <c r="BX76" s="2020"/>
      <c r="BY76" s="2020"/>
      <c r="BZ76" s="2019" t="e">
        <f>BZ75/BZ5</f>
        <v>#DIV/0!</v>
      </c>
      <c r="CA76" s="2019" t="e">
        <f>CA75/CA5</f>
        <v>#DIV/0!</v>
      </c>
      <c r="CB76" s="2020" t="e">
        <f>CB75/CB5</f>
        <v>#DIV/0!</v>
      </c>
      <c r="CC76" s="2020"/>
      <c r="CD76" s="2019"/>
      <c r="CE76" s="2019" t="e">
        <f>CE75/CE5</f>
        <v>#DIV/0!</v>
      </c>
      <c r="CF76" s="2019">
        <f>IFERROR(CF75/CF5,0)</f>
        <v>0</v>
      </c>
      <c r="CG76" s="2020" t="e">
        <f>CG75/CG5</f>
        <v>#DIV/0!</v>
      </c>
      <c r="CH76" s="2020"/>
      <c r="CI76" s="2019"/>
      <c r="CJ76" s="2019" t="e">
        <f>CJ75/CJ5</f>
        <v>#DIV/0!</v>
      </c>
      <c r="CK76" s="2019">
        <f>IFERROR(CK75/CK5,0)</f>
        <v>0</v>
      </c>
      <c r="CL76" s="2020" t="e">
        <f>CL75/CL5</f>
        <v>#DIV/0!</v>
      </c>
      <c r="CM76" s="2020"/>
      <c r="CN76" s="2019"/>
      <c r="CO76" s="2019" t="e">
        <f>CO75/CO5</f>
        <v>#DIV/0!</v>
      </c>
      <c r="CP76" s="2019">
        <f>IFERROR(CP75/CP5,0)</f>
        <v>0</v>
      </c>
      <c r="CQ76" s="2020" t="e">
        <f>CQ75/CQ5</f>
        <v>#DIV/0!</v>
      </c>
      <c r="CR76" s="2020"/>
      <c r="CS76" s="2019"/>
      <c r="CT76" s="2019" t="e">
        <f>CT75/CT5</f>
        <v>#DIV/0!</v>
      </c>
      <c r="CU76" s="2019">
        <f>IFERROR(CU75/CU5,0)</f>
        <v>0</v>
      </c>
      <c r="CV76" s="2020" t="e">
        <f>CV75/CV5</f>
        <v>#DIV/0!</v>
      </c>
      <c r="CW76" s="2020"/>
      <c r="CX76" s="2019"/>
      <c r="CY76" s="2019">
        <f>CY75/CY5</f>
        <v>0.16308123707297248</v>
      </c>
      <c r="CZ76" s="2019">
        <f>CZ75/CZ5</f>
        <v>-0.15099664188824172</v>
      </c>
      <c r="DA76" s="2020">
        <f>DA75/DA5</f>
        <v>0.11712456735306354</v>
      </c>
      <c r="DB76" s="2020"/>
      <c r="DC76" s="2020"/>
    </row>
    <row r="77" spans="1:107" s="1411" customFormat="1" ht="14.4" thickBot="1" x14ac:dyDescent="0.3">
      <c r="A77" s="1581"/>
      <c r="B77" s="3331" t="s">
        <v>9</v>
      </c>
      <c r="C77" s="2865">
        <f>C78-C79</f>
        <v>-2892.4252873563223</v>
      </c>
      <c r="D77" s="2865">
        <f>D78-D79</f>
        <v>0</v>
      </c>
      <c r="E77" s="2866">
        <f>E78-E79</f>
        <v>-2892.4252873563223</v>
      </c>
      <c r="F77" s="2868"/>
      <c r="G77" s="2868"/>
      <c r="H77" s="2865">
        <f>H78-H79</f>
        <v>-4218.649858884728</v>
      </c>
      <c r="I77" s="2865">
        <f>I78-I79</f>
        <v>0</v>
      </c>
      <c r="J77" s="2866">
        <f>J78-J79</f>
        <v>-4218.649858884728</v>
      </c>
      <c r="K77" s="2868"/>
      <c r="L77" s="2868"/>
      <c r="M77" s="2865">
        <f>M78-M79</f>
        <v>-3220.0005328684251</v>
      </c>
      <c r="N77" s="2865">
        <f>N78-N79</f>
        <v>0</v>
      </c>
      <c r="O77" s="2866">
        <f>O78-O79</f>
        <v>-3220.0005328684251</v>
      </c>
      <c r="P77" s="2868"/>
      <c r="Q77" s="2868"/>
      <c r="R77" s="2865">
        <f>R78-R79</f>
        <v>-1323.3389802714639</v>
      </c>
      <c r="S77" s="2865">
        <f>S78-S79</f>
        <v>0</v>
      </c>
      <c r="T77" s="2866">
        <f>T78-T79</f>
        <v>-1323.3389802714639</v>
      </c>
      <c r="U77" s="2868"/>
      <c r="V77" s="2868"/>
      <c r="W77" s="2865">
        <f>W78-W79</f>
        <v>-5207.344382022472</v>
      </c>
      <c r="X77" s="2865">
        <f>X78-X79</f>
        <v>0</v>
      </c>
      <c r="Y77" s="2866">
        <f>Y78-Y79</f>
        <v>-5207.344382022472</v>
      </c>
      <c r="Z77" s="2868"/>
      <c r="AA77" s="2868"/>
      <c r="AB77" s="2865">
        <f>AB78-AB79</f>
        <v>-8511.3906921993366</v>
      </c>
      <c r="AC77" s="2865">
        <f>AC78-AC79</f>
        <v>0</v>
      </c>
      <c r="AD77" s="2866">
        <f>AD78-AD79</f>
        <v>-8511.3906921993366</v>
      </c>
      <c r="AE77" s="2868"/>
      <c r="AF77" s="2868"/>
      <c r="AG77" s="2865">
        <v>-25433.744385066595</v>
      </c>
      <c r="AH77" s="2865">
        <v>0</v>
      </c>
      <c r="AI77" s="2866">
        <v>-25433.744385066595</v>
      </c>
      <c r="AJ77" s="2868"/>
      <c r="AK77" s="2868"/>
      <c r="AL77" s="2865">
        <f>AL78-AL79</f>
        <v>0</v>
      </c>
      <c r="AM77" s="2865">
        <f>AM78-AM79</f>
        <v>0</v>
      </c>
      <c r="AN77" s="2866">
        <f>AN78-AN79</f>
        <v>0</v>
      </c>
      <c r="AO77" s="2868"/>
      <c r="AP77" s="2868"/>
      <c r="AQ77" s="2865">
        <f>AQ78-AQ79</f>
        <v>0</v>
      </c>
      <c r="AR77" s="2865">
        <f>AR78-AR79</f>
        <v>0</v>
      </c>
      <c r="AS77" s="2866">
        <f>AS78-AS79</f>
        <v>0</v>
      </c>
      <c r="AT77" s="2868"/>
      <c r="AU77" s="2868"/>
      <c r="AV77" s="2865">
        <f>AV78-AV79</f>
        <v>0</v>
      </c>
      <c r="AW77" s="2865">
        <f>AW78-AW79</f>
        <v>0</v>
      </c>
      <c r="AX77" s="2866">
        <f>AX78-AX79</f>
        <v>0</v>
      </c>
      <c r="AY77" s="2868"/>
      <c r="AZ77" s="2868"/>
      <c r="BA77" s="2865">
        <f>BA78-BA79</f>
        <v>0</v>
      </c>
      <c r="BB77" s="2865">
        <f>BB78-BB79</f>
        <v>0</v>
      </c>
      <c r="BC77" s="2866">
        <f>BC78-BC79</f>
        <v>0</v>
      </c>
      <c r="BD77" s="2868"/>
      <c r="BE77" s="2868"/>
      <c r="BF77" s="2865">
        <f>BF78-BF79</f>
        <v>0</v>
      </c>
      <c r="BG77" s="2865">
        <f>BG78-BG79</f>
        <v>0</v>
      </c>
      <c r="BH77" s="2866">
        <f>BH78-BH79</f>
        <v>0</v>
      </c>
      <c r="BI77" s="2868"/>
      <c r="BJ77" s="2868"/>
      <c r="BK77" s="2865">
        <f>BK78-BK79</f>
        <v>0</v>
      </c>
      <c r="BL77" s="2865">
        <f>BL78-BL79</f>
        <v>0</v>
      </c>
      <c r="BM77" s="2866">
        <f>BM78-BM79</f>
        <v>0</v>
      </c>
      <c r="BN77" s="2868"/>
      <c r="BO77" s="2868"/>
      <c r="BP77" s="2865">
        <f>BP78-BP79</f>
        <v>0</v>
      </c>
      <c r="BQ77" s="2865">
        <f>BQ78-BQ79</f>
        <v>0</v>
      </c>
      <c r="BR77" s="2866">
        <f>BR78-BR79</f>
        <v>0</v>
      </c>
      <c r="BS77" s="2868"/>
      <c r="BT77" s="2868"/>
      <c r="BU77" s="2865">
        <f>BU78-BU79</f>
        <v>0</v>
      </c>
      <c r="BV77" s="2865">
        <f>BV78-BV79</f>
        <v>0</v>
      </c>
      <c r="BW77" s="2866">
        <f>BW78-BW79</f>
        <v>0</v>
      </c>
      <c r="BX77" s="2868"/>
      <c r="BY77" s="2868"/>
      <c r="BZ77" s="2865">
        <f>BZ78-BZ79</f>
        <v>0</v>
      </c>
      <c r="CA77" s="2865">
        <f>CA78-CA79</f>
        <v>0</v>
      </c>
      <c r="CB77" s="2866">
        <f>CB78-CB79</f>
        <v>0</v>
      </c>
      <c r="CC77" s="2868"/>
      <c r="CD77" s="3138"/>
      <c r="CE77" s="2865">
        <f>CE78-CE79</f>
        <v>0</v>
      </c>
      <c r="CF77" s="2865">
        <f>CF78-CF79</f>
        <v>0</v>
      </c>
      <c r="CG77" s="2866">
        <f>CG78-CG79</f>
        <v>0</v>
      </c>
      <c r="CH77" s="2868"/>
      <c r="CI77" s="3138"/>
      <c r="CJ77" s="2865">
        <f>CJ78-CJ79</f>
        <v>0</v>
      </c>
      <c r="CK77" s="2865">
        <f>CK78-CK79</f>
        <v>0</v>
      </c>
      <c r="CL77" s="2866">
        <f>CL78-CL79</f>
        <v>0</v>
      </c>
      <c r="CM77" s="2868"/>
      <c r="CN77" s="3138"/>
      <c r="CO77" s="2865">
        <f>CO78-CO79</f>
        <v>0</v>
      </c>
      <c r="CP77" s="2865">
        <f>CP78-CP79</f>
        <v>0</v>
      </c>
      <c r="CQ77" s="2866">
        <f>CQ78-CQ79</f>
        <v>0</v>
      </c>
      <c r="CR77" s="2868"/>
      <c r="CS77" s="3138"/>
      <c r="CT77" s="2865">
        <f>CT78-CT79</f>
        <v>0</v>
      </c>
      <c r="CU77" s="2865">
        <f>CU78-CU79</f>
        <v>0</v>
      </c>
      <c r="CV77" s="2866">
        <f>CV78-CV79</f>
        <v>0</v>
      </c>
      <c r="CW77" s="2868"/>
      <c r="CX77" s="3138"/>
      <c r="CY77" s="2865">
        <f>CY78-CY79</f>
        <v>-50806.894118669341</v>
      </c>
      <c r="CZ77" s="2865">
        <f>CZ78-CZ79</f>
        <v>0</v>
      </c>
      <c r="DA77" s="2866">
        <f>DA78-DA79</f>
        <v>-50806.894118669341</v>
      </c>
      <c r="DB77" s="2868"/>
      <c r="DC77" s="2868"/>
    </row>
    <row r="78" spans="1:107" s="1411" customFormat="1" ht="14.4" thickBot="1" x14ac:dyDescent="0.3">
      <c r="A78" s="1420"/>
      <c r="B78" s="1415" t="s">
        <v>43</v>
      </c>
      <c r="C78" s="3274"/>
      <c r="D78" s="3274"/>
      <c r="E78" s="2028">
        <f>C78+D78*1.15</f>
        <v>0</v>
      </c>
      <c r="F78" s="3333"/>
      <c r="G78" s="3333"/>
      <c r="H78" s="3274"/>
      <c r="I78" s="3274"/>
      <c r="J78" s="2028">
        <f>H78+I78*1.15</f>
        <v>0</v>
      </c>
      <c r="K78" s="3333"/>
      <c r="L78" s="3333"/>
      <c r="M78" s="3274"/>
      <c r="N78" s="3274"/>
      <c r="O78" s="2028">
        <f>M78+N78*1.15</f>
        <v>0</v>
      </c>
      <c r="P78" s="3333"/>
      <c r="Q78" s="3333"/>
      <c r="R78" s="3274"/>
      <c r="S78" s="3274"/>
      <c r="T78" s="2028">
        <f>R78+S78*1.15</f>
        <v>0</v>
      </c>
      <c r="U78" s="3333"/>
      <c r="V78" s="3333"/>
      <c r="W78" s="3274"/>
      <c r="X78" s="3274"/>
      <c r="Y78" s="2028">
        <f>W78+X78*1.15</f>
        <v>0</v>
      </c>
      <c r="Z78" s="3333"/>
      <c r="AA78" s="3333"/>
      <c r="AB78" s="3274"/>
      <c r="AC78" s="3274"/>
      <c r="AD78" s="2028">
        <f>AB78+AC78*1.15</f>
        <v>0</v>
      </c>
      <c r="AE78" s="3333"/>
      <c r="AF78" s="3333"/>
      <c r="AG78" s="3274">
        <v>0</v>
      </c>
      <c r="AH78" s="3274">
        <v>0</v>
      </c>
      <c r="AI78" s="3274">
        <v>0</v>
      </c>
      <c r="AJ78" s="3333"/>
      <c r="AK78" s="3333"/>
      <c r="AL78" s="3274">
        <f t="shared" ref="AL78:AM79" si="134">AQ78+AV78+BA78+BF78+BK78+BP78+BU78+BZ78+CE78+CJ78+CO78+CT78</f>
        <v>0</v>
      </c>
      <c r="AM78" s="3274">
        <f t="shared" si="134"/>
        <v>0</v>
      </c>
      <c r="AN78" s="3274">
        <f>AL78+AM78</f>
        <v>0</v>
      </c>
      <c r="AO78" s="3333"/>
      <c r="AP78" s="3333"/>
      <c r="AQ78" s="3274"/>
      <c r="AR78" s="3274"/>
      <c r="AS78" s="2028">
        <f>AQ78+AR78*1.15</f>
        <v>0</v>
      </c>
      <c r="AT78" s="3333"/>
      <c r="AU78" s="3333"/>
      <c r="AV78" s="3274"/>
      <c r="AW78" s="3274"/>
      <c r="AX78" s="2028">
        <f>AV78+AW78*1.15</f>
        <v>0</v>
      </c>
      <c r="AY78" s="3333"/>
      <c r="AZ78" s="3333"/>
      <c r="BA78" s="3274"/>
      <c r="BB78" s="3274"/>
      <c r="BC78" s="3332">
        <f>BA78+BB78*1.15</f>
        <v>0</v>
      </c>
      <c r="BD78" s="3333"/>
      <c r="BE78" s="3333"/>
      <c r="BF78" s="3274"/>
      <c r="BG78" s="3274"/>
      <c r="BH78" s="3332">
        <f>BF78+BG78*1.15</f>
        <v>0</v>
      </c>
      <c r="BI78" s="3333"/>
      <c r="BJ78" s="3333"/>
      <c r="BK78" s="3274"/>
      <c r="BL78" s="3274"/>
      <c r="BM78" s="3332">
        <f>BK78+BL78*1.15</f>
        <v>0</v>
      </c>
      <c r="BN78" s="3333"/>
      <c r="BO78" s="3333"/>
      <c r="BP78" s="3274"/>
      <c r="BQ78" s="3274"/>
      <c r="BR78" s="3366">
        <f>BP78+BQ78*1.15</f>
        <v>0</v>
      </c>
      <c r="BS78" s="3333"/>
      <c r="BT78" s="3333"/>
      <c r="BU78" s="3274"/>
      <c r="BV78" s="3274"/>
      <c r="BW78" s="3332">
        <f>BU78+BV78*1.15</f>
        <v>0</v>
      </c>
      <c r="BX78" s="3333"/>
      <c r="BY78" s="3333"/>
      <c r="BZ78" s="3274"/>
      <c r="CA78" s="3274"/>
      <c r="CB78" s="3332">
        <f>BZ78+CA78*1.15</f>
        <v>0</v>
      </c>
      <c r="CC78" s="3333"/>
      <c r="CD78" s="3334"/>
      <c r="CE78" s="3274"/>
      <c r="CF78" s="3274"/>
      <c r="CG78" s="3332">
        <f>CE78+CF78*1.15</f>
        <v>0</v>
      </c>
      <c r="CH78" s="3333"/>
      <c r="CI78" s="3334"/>
      <c r="CJ78" s="3274"/>
      <c r="CK78" s="3274"/>
      <c r="CL78" s="3332">
        <f>CJ78+CK78*1.15</f>
        <v>0</v>
      </c>
      <c r="CM78" s="3333"/>
      <c r="CN78" s="3334"/>
      <c r="CO78" s="3274"/>
      <c r="CP78" s="3274"/>
      <c r="CQ78" s="3332">
        <f>CO78+CP78*1.15</f>
        <v>0</v>
      </c>
      <c r="CR78" s="3333"/>
      <c r="CS78" s="3334"/>
      <c r="CT78" s="3274"/>
      <c r="CU78" s="3274"/>
      <c r="CV78" s="3332">
        <f>CT78+CU78*1.15</f>
        <v>0</v>
      </c>
      <c r="CW78" s="3333"/>
      <c r="CX78" s="3334"/>
      <c r="CY78" s="3274">
        <f t="shared" ref="CY78:CZ79" si="135">C78+H78+M78+R78+W78+AB78+AQ78+AV78+BA78+BF78+BK78+BP78+BU78+BZ78+CE78+CJ78+CO78+CT78+AG78</f>
        <v>0</v>
      </c>
      <c r="CZ78" s="3274">
        <f t="shared" si="135"/>
        <v>0</v>
      </c>
      <c r="DA78" s="2028">
        <f>CY78+CZ78*1.15</f>
        <v>0</v>
      </c>
      <c r="DB78" s="3333"/>
      <c r="DC78" s="3333"/>
    </row>
    <row r="79" spans="1:107" s="1411" customFormat="1" ht="13.8" x14ac:dyDescent="0.25">
      <c r="A79" s="1420"/>
      <c r="B79" s="3289" t="s">
        <v>79</v>
      </c>
      <c r="C79" s="3274">
        <f>(D8+D41+D50+D54)/(1-'расчет 2022'!E6)*'расчет 2022'!E6</f>
        <v>2892.4252873563223</v>
      </c>
      <c r="D79" s="3274"/>
      <c r="E79" s="2028">
        <f>C79+D79*1.15</f>
        <v>2892.4252873563223</v>
      </c>
      <c r="F79" s="3311"/>
      <c r="G79" s="3311"/>
      <c r="H79" s="3274">
        <f>(I8+I41+I50+I54)/(1-'расчет 2022'!I7)*'расчет 2022'!I7</f>
        <v>4218.649858884728</v>
      </c>
      <c r="I79" s="3274"/>
      <c r="J79" s="2028">
        <f>H79+I79*1.15</f>
        <v>4218.649858884728</v>
      </c>
      <c r="K79" s="3311"/>
      <c r="L79" s="3311"/>
      <c r="M79" s="3274">
        <f>(N8+N41+N50+N54)/(1-'расчет 2022'!I8)*'расчет 2022'!I8</f>
        <v>3220.0005328684251</v>
      </c>
      <c r="N79" s="3274"/>
      <c r="O79" s="2028">
        <f>M79+N79*1.15</f>
        <v>3220.0005328684251</v>
      </c>
      <c r="P79" s="3311"/>
      <c r="Q79" s="3311"/>
      <c r="R79" s="3274">
        <f>(S8+S41+S50+S54)/(1-'расчет 2022'!I9)*'расчет 2022'!I9</f>
        <v>1323.3389802714639</v>
      </c>
      <c r="S79" s="3274"/>
      <c r="T79" s="2028">
        <f>R79+S79*1.15</f>
        <v>1323.3389802714639</v>
      </c>
      <c r="U79" s="3311"/>
      <c r="V79" s="3311"/>
      <c r="W79" s="3274">
        <f>(X8+X41+X50+X54)/(1-'расчет 2022'!I10)*'расчет 2022'!I10</f>
        <v>5207.344382022472</v>
      </c>
      <c r="X79" s="3274"/>
      <c r="Y79" s="2028">
        <f>W79+X79*1.15</f>
        <v>5207.344382022472</v>
      </c>
      <c r="Z79" s="3311"/>
      <c r="AA79" s="3311"/>
      <c r="AB79" s="3274">
        <f>(AC8+AC41+AC50+AC54)/(1-'расчет 2022'!I11)*'расчет 2022'!I11</f>
        <v>8511.3906921993366</v>
      </c>
      <c r="AC79" s="3274"/>
      <c r="AD79" s="2028">
        <f>AB79+AC79*1.15</f>
        <v>8511.3906921993366</v>
      </c>
      <c r="AE79" s="3311"/>
      <c r="AF79" s="3311"/>
      <c r="AG79" s="3274">
        <v>25433.744385066595</v>
      </c>
      <c r="AH79" s="3274">
        <v>0</v>
      </c>
      <c r="AI79" s="3274">
        <v>25433.744385066595</v>
      </c>
      <c r="AJ79" s="3311"/>
      <c r="AK79" s="3276"/>
      <c r="AL79" s="3274">
        <f t="shared" si="134"/>
        <v>0</v>
      </c>
      <c r="AM79" s="3274">
        <f t="shared" si="134"/>
        <v>0</v>
      </c>
      <c r="AN79" s="3274">
        <f>AL79+AM79</f>
        <v>0</v>
      </c>
      <c r="AO79" s="3311"/>
      <c r="AP79" s="3276"/>
      <c r="AQ79" s="3274">
        <f>(AR8+AR41+AR50+AR54)/(1-'расчет 2022'!I11)*'расчет 2022'!I11</f>
        <v>0</v>
      </c>
      <c r="AR79" s="3274"/>
      <c r="AS79" s="2028">
        <f>AQ79+AR79*1.15</f>
        <v>0</v>
      </c>
      <c r="AT79" s="3311"/>
      <c r="AU79" s="3311"/>
      <c r="AV79" s="3274">
        <f>(AW8+AW41+AW50+AW54)/(1-'расчет 2022'!I13)*'расчет 2022'!I13</f>
        <v>0</v>
      </c>
      <c r="AW79" s="3274"/>
      <c r="AX79" s="2028">
        <f>AV79+AW79*1.15</f>
        <v>0</v>
      </c>
      <c r="AY79" s="3311"/>
      <c r="AZ79" s="3276"/>
      <c r="BA79" s="3274">
        <f>(BB8+BB41+BB50+BB54)/(1-'расчет 2022'!I13)*'расчет 2022'!I13</f>
        <v>0</v>
      </c>
      <c r="BB79" s="3274"/>
      <c r="BC79" s="3332">
        <f>BA79+BB79*1.15</f>
        <v>0</v>
      </c>
      <c r="BD79" s="3311"/>
      <c r="BE79" s="3276"/>
      <c r="BF79" s="3274"/>
      <c r="BG79" s="3274"/>
      <c r="BH79" s="3332">
        <f>BF79+BG79*1.15</f>
        <v>0</v>
      </c>
      <c r="BI79" s="3311"/>
      <c r="BJ79" s="3276"/>
      <c r="BK79" s="3274"/>
      <c r="BL79" s="3274"/>
      <c r="BM79" s="3332">
        <f>BK79+BL79*1.15</f>
        <v>0</v>
      </c>
      <c r="BN79" s="3311"/>
      <c r="BO79" s="3276"/>
      <c r="BP79" s="3274"/>
      <c r="BQ79" s="3274"/>
      <c r="BR79" s="3367">
        <f>BP79+BQ79*1.15</f>
        <v>0</v>
      </c>
      <c r="BS79" s="3311"/>
      <c r="BT79" s="3276"/>
      <c r="BU79" s="3274"/>
      <c r="BV79" s="3274"/>
      <c r="BW79" s="3274">
        <f>BU79+BV79*1.15</f>
        <v>0</v>
      </c>
      <c r="BX79" s="3311"/>
      <c r="BY79" s="3276"/>
      <c r="BZ79" s="3274"/>
      <c r="CA79" s="3274"/>
      <c r="CB79" s="3274">
        <f>BZ79+CA79*1.15</f>
        <v>0</v>
      </c>
      <c r="CC79" s="3311"/>
      <c r="CD79" s="3276"/>
      <c r="CE79" s="3274"/>
      <c r="CF79" s="3274"/>
      <c r="CG79" s="3274">
        <f>CE79+CF79*1.15</f>
        <v>0</v>
      </c>
      <c r="CH79" s="3311"/>
      <c r="CI79" s="3276"/>
      <c r="CJ79" s="3274"/>
      <c r="CK79" s="3274"/>
      <c r="CL79" s="3274">
        <f>CJ79+CK79*1.15</f>
        <v>0</v>
      </c>
      <c r="CM79" s="3311"/>
      <c r="CN79" s="3276"/>
      <c r="CO79" s="3274"/>
      <c r="CP79" s="3274"/>
      <c r="CQ79" s="3274">
        <f>CO79+CP79*1.15</f>
        <v>0</v>
      </c>
      <c r="CR79" s="3311"/>
      <c r="CS79" s="3276"/>
      <c r="CT79" s="3274"/>
      <c r="CU79" s="3274"/>
      <c r="CV79" s="3274">
        <f>CT79+CU79*1.15</f>
        <v>0</v>
      </c>
      <c r="CW79" s="3311"/>
      <c r="CX79" s="3276"/>
      <c r="CY79" s="3274">
        <f t="shared" si="135"/>
        <v>50806.894118669341</v>
      </c>
      <c r="CZ79" s="3274">
        <f t="shared" si="135"/>
        <v>0</v>
      </c>
      <c r="DA79" s="2028">
        <f t="shared" ref="DA79" si="136">CY79+CZ79*1</f>
        <v>50806.894118669341</v>
      </c>
      <c r="DB79" s="3311"/>
      <c r="DC79" s="3311"/>
    </row>
    <row r="80" spans="1:107" ht="13.8" x14ac:dyDescent="0.25">
      <c r="A80" s="1412"/>
      <c r="B80" s="3335"/>
      <c r="C80" s="3274"/>
      <c r="D80" s="3274"/>
      <c r="E80" s="3336"/>
      <c r="F80" s="3336"/>
      <c r="G80" s="3336"/>
      <c r="H80" s="3274"/>
      <c r="I80" s="3274"/>
      <c r="J80" s="3336"/>
      <c r="K80" s="3336"/>
      <c r="L80" s="3336"/>
      <c r="M80" s="3274"/>
      <c r="N80" s="3274"/>
      <c r="O80" s="3336"/>
      <c r="P80" s="3336"/>
      <c r="Q80" s="3336"/>
      <c r="R80" s="3274"/>
      <c r="S80" s="3274"/>
      <c r="T80" s="3336"/>
      <c r="U80" s="3336"/>
      <c r="V80" s="3336"/>
      <c r="W80" s="3274"/>
      <c r="X80" s="3274"/>
      <c r="Y80" s="3336"/>
      <c r="Z80" s="3336"/>
      <c r="AA80" s="3336"/>
      <c r="AB80" s="3274"/>
      <c r="AC80" s="3274"/>
      <c r="AD80" s="3336"/>
      <c r="AE80" s="3336"/>
      <c r="AF80" s="3336"/>
      <c r="AG80" s="3274"/>
      <c r="AH80" s="3274"/>
      <c r="AI80" s="3336"/>
      <c r="AJ80" s="3336"/>
      <c r="AK80" s="3336"/>
      <c r="AL80" s="3274"/>
      <c r="AM80" s="3274"/>
      <c r="AN80" s="3336"/>
      <c r="AO80" s="3336"/>
      <c r="AP80" s="3336"/>
      <c r="AQ80" s="3274"/>
      <c r="AR80" s="3274"/>
      <c r="AS80" s="3336"/>
      <c r="AT80" s="3336"/>
      <c r="AU80" s="3336"/>
      <c r="AV80" s="3274"/>
      <c r="AW80" s="3274"/>
      <c r="AX80" s="3336"/>
      <c r="AY80" s="3336"/>
      <c r="AZ80" s="3336"/>
      <c r="BA80" s="3274"/>
      <c r="BB80" s="3274"/>
      <c r="BC80" s="3336"/>
      <c r="BD80" s="3336"/>
      <c r="BE80" s="3336"/>
      <c r="BF80" s="3274"/>
      <c r="BG80" s="3274"/>
      <c r="BH80" s="3336"/>
      <c r="BI80" s="3336"/>
      <c r="BJ80" s="3336"/>
      <c r="BK80" s="3274"/>
      <c r="BL80" s="3274"/>
      <c r="BM80" s="3336"/>
      <c r="BN80" s="3336"/>
      <c r="BO80" s="3336"/>
      <c r="BP80" s="3274"/>
      <c r="BQ80" s="3274"/>
      <c r="BR80" s="3336"/>
      <c r="BS80" s="3336"/>
      <c r="BT80" s="3336"/>
      <c r="BU80" s="3274"/>
      <c r="BV80" s="3274"/>
      <c r="BW80" s="3336"/>
      <c r="BX80" s="3336"/>
      <c r="BY80" s="3336"/>
      <c r="BZ80" s="3274"/>
      <c r="CA80" s="3274"/>
      <c r="CB80" s="3336"/>
      <c r="CC80" s="3336"/>
      <c r="CD80" s="3306"/>
      <c r="CE80" s="3274"/>
      <c r="CF80" s="3274"/>
      <c r="CG80" s="3336"/>
      <c r="CH80" s="3336"/>
      <c r="CI80" s="3306"/>
      <c r="CJ80" s="3274"/>
      <c r="CK80" s="3274"/>
      <c r="CL80" s="3336"/>
      <c r="CM80" s="3336"/>
      <c r="CN80" s="3306"/>
      <c r="CO80" s="3274"/>
      <c r="CP80" s="3274"/>
      <c r="CQ80" s="3336"/>
      <c r="CR80" s="3336"/>
      <c r="CS80" s="3306"/>
      <c r="CT80" s="3274"/>
      <c r="CU80" s="3274"/>
      <c r="CV80" s="3336"/>
      <c r="CW80" s="3336"/>
      <c r="CX80" s="3306"/>
      <c r="CY80" s="3274"/>
      <c r="CZ80" s="3274"/>
      <c r="DA80" s="3336"/>
      <c r="DB80" s="3336"/>
      <c r="DC80" s="3336"/>
    </row>
    <row r="81" spans="1:107" s="1411" customFormat="1" ht="14.4" thickBot="1" x14ac:dyDescent="0.3">
      <c r="A81" s="1434"/>
      <c r="B81" s="3331" t="s">
        <v>12</v>
      </c>
      <c r="C81" s="2865">
        <f>(C75+C78)-C79</f>
        <v>-174045.81528735632</v>
      </c>
      <c r="D81" s="2865">
        <f>(D75+D78)-D79</f>
        <v>-19357</v>
      </c>
      <c r="E81" s="2866">
        <f>(E75+E78)-E79</f>
        <v>-193402.81528735632</v>
      </c>
      <c r="F81" s="2868"/>
      <c r="G81" s="2868"/>
      <c r="H81" s="2865">
        <f>(H75+H78)-H79</f>
        <v>-221103.77785888471</v>
      </c>
      <c r="I81" s="2865">
        <f>(I75+I78)-I79</f>
        <v>159801.29999999999</v>
      </c>
      <c r="J81" s="2866">
        <f>(J75+J78)-J79</f>
        <v>-61302.47785888474</v>
      </c>
      <c r="K81" s="2868"/>
      <c r="L81" s="2868"/>
      <c r="M81" s="2865">
        <f>(M75+M78)-M79</f>
        <v>36627.399467131567</v>
      </c>
      <c r="N81" s="2865">
        <f>(N75+N78)-N79</f>
        <v>149240</v>
      </c>
      <c r="O81" s="2866">
        <f>(O75+O78)-O79</f>
        <v>185867.39946713156</v>
      </c>
      <c r="P81" s="2868"/>
      <c r="Q81" s="2868"/>
      <c r="R81" s="2865">
        <f>(R75+R78)-R79</f>
        <v>266390.07101972855</v>
      </c>
      <c r="S81" s="2865">
        <f>(S75+S78)-S79</f>
        <v>-30846.61</v>
      </c>
      <c r="T81" s="2866">
        <f>(T75+T78)-T79</f>
        <v>235543.46101972854</v>
      </c>
      <c r="U81" s="2868"/>
      <c r="V81" s="2868"/>
      <c r="W81" s="2865">
        <f>(W75+W78)-W79</f>
        <v>235508.68561797749</v>
      </c>
      <c r="X81" s="2865">
        <f>(X75+X78)-X79</f>
        <v>-42132.15</v>
      </c>
      <c r="Y81" s="2866">
        <f>(Y75+Y78)-Y79</f>
        <v>193376.5356179775</v>
      </c>
      <c r="Z81" s="2868"/>
      <c r="AA81" s="2868"/>
      <c r="AB81" s="2865">
        <f>(AB75+AB78)-AB79</f>
        <v>84237.333707800673</v>
      </c>
      <c r="AC81" s="2865">
        <f>(AC75+AC78)-AC79</f>
        <v>-64551</v>
      </c>
      <c r="AD81" s="2866">
        <f>(AD75+AD78)-AD79</f>
        <v>19686.33370780067</v>
      </c>
      <c r="AE81" s="2868"/>
      <c r="AF81" s="2868"/>
      <c r="AG81" s="2865">
        <v>92315.583614933304</v>
      </c>
      <c r="AH81" s="2865">
        <v>-210990.91</v>
      </c>
      <c r="AI81" s="2866">
        <v>-118675.32638506661</v>
      </c>
      <c r="AJ81" s="2868"/>
      <c r="AK81" s="2868"/>
      <c r="AL81" s="2865">
        <f>(AL75+AL78)-AL79</f>
        <v>0</v>
      </c>
      <c r="AM81" s="2865">
        <f>(AM75+AM78)-AM79</f>
        <v>0</v>
      </c>
      <c r="AN81" s="2866">
        <f>(AN75+AN78)-AN79</f>
        <v>0</v>
      </c>
      <c r="AO81" s="2868"/>
      <c r="AP81" s="2868"/>
      <c r="AQ81" s="2865">
        <f>(AQ75+AQ78)-AQ79</f>
        <v>0</v>
      </c>
      <c r="AR81" s="2865">
        <f>(AR75+AR78)-AR79</f>
        <v>0</v>
      </c>
      <c r="AS81" s="2866">
        <f>(AS75+AS78)-AS79</f>
        <v>0</v>
      </c>
      <c r="AT81" s="2868"/>
      <c r="AU81" s="2868"/>
      <c r="AV81" s="2865">
        <f>(AV75+AV78)-AV79</f>
        <v>0</v>
      </c>
      <c r="AW81" s="2865">
        <f>(AW75+AW78)-AW79</f>
        <v>0</v>
      </c>
      <c r="AX81" s="2866">
        <f>(AX75+AX78)-AX79</f>
        <v>0</v>
      </c>
      <c r="AY81" s="2868"/>
      <c r="AZ81" s="2868"/>
      <c r="BA81" s="2865">
        <f>(BA75+BA78)-BA79</f>
        <v>0</v>
      </c>
      <c r="BB81" s="2865">
        <f>(BB75+BB78)-BB79</f>
        <v>0</v>
      </c>
      <c r="BC81" s="2866">
        <f>(BC75+BC78)-BC79</f>
        <v>0</v>
      </c>
      <c r="BD81" s="2868"/>
      <c r="BE81" s="2868"/>
      <c r="BF81" s="2865">
        <f>(BF75+BF78)-BF79</f>
        <v>0</v>
      </c>
      <c r="BG81" s="2865">
        <f>(BG75+BG78)-BG79</f>
        <v>0</v>
      </c>
      <c r="BH81" s="2866">
        <f>(BH75+BH78)-BH79</f>
        <v>0</v>
      </c>
      <c r="BI81" s="2868"/>
      <c r="BJ81" s="2868"/>
      <c r="BK81" s="2865">
        <f>(BK75+BK78)-BK79</f>
        <v>0</v>
      </c>
      <c r="BL81" s="2865">
        <f>(BL75+BL78)-BL79</f>
        <v>0</v>
      </c>
      <c r="BM81" s="2866">
        <f>(BM75+BM78)-BM79</f>
        <v>0</v>
      </c>
      <c r="BN81" s="2868"/>
      <c r="BO81" s="2868"/>
      <c r="BP81" s="2865">
        <f>(BP75+BP78)-BP79</f>
        <v>0</v>
      </c>
      <c r="BQ81" s="2865">
        <f>(BQ75+BQ78)-BQ79</f>
        <v>0</v>
      </c>
      <c r="BR81" s="2866">
        <f>(BR75+BR78)-BR79</f>
        <v>0</v>
      </c>
      <c r="BS81" s="2868"/>
      <c r="BT81" s="2868"/>
      <c r="BU81" s="2865">
        <f>(BU75+BU78)-BU79</f>
        <v>0</v>
      </c>
      <c r="BV81" s="2865">
        <f>(BV75+BV78)-BV79</f>
        <v>0</v>
      </c>
      <c r="BW81" s="2866">
        <f>(BW75+BW78)-BW79</f>
        <v>0</v>
      </c>
      <c r="BX81" s="2868"/>
      <c r="BY81" s="2868"/>
      <c r="BZ81" s="2865">
        <f>(BZ75+BZ78)-BZ79</f>
        <v>0</v>
      </c>
      <c r="CA81" s="2865">
        <f>(CA75+CA78)-CA79</f>
        <v>0</v>
      </c>
      <c r="CB81" s="2866">
        <f>(CB75+CB78)-CB79</f>
        <v>0</v>
      </c>
      <c r="CC81" s="2868"/>
      <c r="CD81" s="3138"/>
      <c r="CE81" s="2865">
        <f>(CE75+CE78)-CE79</f>
        <v>0</v>
      </c>
      <c r="CF81" s="2865">
        <f>(CF75+CF78)-CF79</f>
        <v>0</v>
      </c>
      <c r="CG81" s="2866">
        <f>(CG75+CG78)-CG79</f>
        <v>0</v>
      </c>
      <c r="CH81" s="2868"/>
      <c r="CI81" s="3138"/>
      <c r="CJ81" s="2865">
        <f>(CJ75+CJ78)-CJ79</f>
        <v>0</v>
      </c>
      <c r="CK81" s="2865">
        <f>(CK75+CK78)-CK79</f>
        <v>0</v>
      </c>
      <c r="CL81" s="2866">
        <f>(CL75+CL78)-CL79</f>
        <v>0</v>
      </c>
      <c r="CM81" s="2868"/>
      <c r="CN81" s="3138"/>
      <c r="CO81" s="2865">
        <f>(CO75+CO78)-CO79</f>
        <v>0</v>
      </c>
      <c r="CP81" s="2865">
        <f>(CP75+CP78)-CP79</f>
        <v>0</v>
      </c>
      <c r="CQ81" s="2866">
        <f>(CQ75+CQ78)-CQ79</f>
        <v>0</v>
      </c>
      <c r="CR81" s="2868"/>
      <c r="CS81" s="3138"/>
      <c r="CT81" s="2865">
        <f>(CT75+CT78)-CT79</f>
        <v>0</v>
      </c>
      <c r="CU81" s="2865">
        <f>(CU75+CU78)-CU79</f>
        <v>0</v>
      </c>
      <c r="CV81" s="2866">
        <f>(CV75+CV78)-CV79</f>
        <v>0</v>
      </c>
      <c r="CW81" s="2868"/>
      <c r="CX81" s="3138"/>
      <c r="CY81" s="2865">
        <f>(CY75+CY78)-CY79</f>
        <v>319929.48028133047</v>
      </c>
      <c r="CZ81" s="2865">
        <f>(CZ75+CZ78)-CZ79</f>
        <v>-58836.369999999995</v>
      </c>
      <c r="DA81" s="2866">
        <f>(DA75+DA78)-DA79</f>
        <v>261093.11028133059</v>
      </c>
      <c r="DB81" s="2868"/>
      <c r="DC81" s="2868"/>
    </row>
    <row r="82" spans="1:107" s="1411" customFormat="1" ht="13.8" x14ac:dyDescent="0.25">
      <c r="A82" s="1580"/>
      <c r="B82" s="1415" t="s">
        <v>38</v>
      </c>
      <c r="C82" s="3274"/>
      <c r="D82" s="3274"/>
      <c r="E82" s="3332">
        <f>C82+D82</f>
        <v>0</v>
      </c>
      <c r="F82" s="3321"/>
      <c r="G82" s="3321"/>
      <c r="H82" s="3274"/>
      <c r="I82" s="3274"/>
      <c r="J82" s="3332">
        <f>H82+I82</f>
        <v>0</v>
      </c>
      <c r="K82" s="3321"/>
      <c r="L82" s="3321"/>
      <c r="M82" s="3274"/>
      <c r="N82" s="3274"/>
      <c r="O82" s="3332">
        <f>M82+N82</f>
        <v>0</v>
      </c>
      <c r="P82" s="3321"/>
      <c r="Q82" s="3321"/>
      <c r="R82" s="3274"/>
      <c r="S82" s="3274"/>
      <c r="T82" s="3332">
        <f>R82+S82</f>
        <v>0</v>
      </c>
      <c r="U82" s="3321"/>
      <c r="V82" s="3321"/>
      <c r="W82" s="3274"/>
      <c r="X82" s="3274"/>
      <c r="Y82" s="3332">
        <f>W82+X82</f>
        <v>0</v>
      </c>
      <c r="Z82" s="3321"/>
      <c r="AA82" s="3321"/>
      <c r="AB82" s="3274"/>
      <c r="AC82" s="3274"/>
      <c r="AD82" s="3332">
        <f>AB82+AC82</f>
        <v>0</v>
      </c>
      <c r="AE82" s="3321"/>
      <c r="AF82" s="3321"/>
      <c r="AG82" s="3274">
        <v>0</v>
      </c>
      <c r="AH82" s="3274">
        <v>0</v>
      </c>
      <c r="AI82" s="3332">
        <v>0</v>
      </c>
      <c r="AJ82" s="3321"/>
      <c r="AK82" s="3321"/>
      <c r="AL82" s="3274">
        <f>AQ82+AV82+BA82+BF82+BK82+BP82+BU82+BZ82+CE82+CJ82+CO82+CT82</f>
        <v>0</v>
      </c>
      <c r="AM82" s="3274">
        <f>AR82+AW82+BB82+BG82+BL82+BQ82+BV82+CA82+CF82+CK82+CP82+CU82</f>
        <v>0</v>
      </c>
      <c r="AN82" s="3332">
        <f>AL82+AM82</f>
        <v>0</v>
      </c>
      <c r="AO82" s="3321"/>
      <c r="AP82" s="3321"/>
      <c r="AQ82" s="3274"/>
      <c r="AR82" s="3274"/>
      <c r="AS82" s="3332">
        <f>AQ82+AR82</f>
        <v>0</v>
      </c>
      <c r="AT82" s="3321"/>
      <c r="AU82" s="3321"/>
      <c r="AV82" s="3274"/>
      <c r="AW82" s="3274"/>
      <c r="AX82" s="3332">
        <f>AV82+AW82</f>
        <v>0</v>
      </c>
      <c r="AY82" s="3321"/>
      <c r="AZ82" s="3321"/>
      <c r="BA82" s="3274"/>
      <c r="BB82" s="3274"/>
      <c r="BC82" s="3332">
        <f>BA82+BB82</f>
        <v>0</v>
      </c>
      <c r="BD82" s="3321"/>
      <c r="BE82" s="3321"/>
      <c r="BF82" s="3274"/>
      <c r="BG82" s="3274"/>
      <c r="BH82" s="3332">
        <f>BF82+BG82</f>
        <v>0</v>
      </c>
      <c r="BI82" s="3321"/>
      <c r="BJ82" s="3321"/>
      <c r="BK82" s="3274"/>
      <c r="BL82" s="3274"/>
      <c r="BM82" s="3332">
        <f>BK82+BL82</f>
        <v>0</v>
      </c>
      <c r="BN82" s="3321"/>
      <c r="BO82" s="3321"/>
      <c r="BP82" s="3274"/>
      <c r="BQ82" s="3274"/>
      <c r="BR82" s="3332">
        <f>BP82+BQ82</f>
        <v>0</v>
      </c>
      <c r="BS82" s="3321"/>
      <c r="BT82" s="3321"/>
      <c r="BU82" s="3274"/>
      <c r="BV82" s="3274"/>
      <c r="BW82" s="3332">
        <f>BU82+BV82</f>
        <v>0</v>
      </c>
      <c r="BX82" s="3321"/>
      <c r="BY82" s="3321"/>
      <c r="BZ82" s="3274"/>
      <c r="CA82" s="3274"/>
      <c r="CB82" s="3332">
        <f>BZ82+CA82</f>
        <v>0</v>
      </c>
      <c r="CC82" s="3321"/>
      <c r="CD82" s="3321"/>
      <c r="CE82" s="3274"/>
      <c r="CF82" s="3274"/>
      <c r="CG82" s="3332">
        <f>CE82+CF82</f>
        <v>0</v>
      </c>
      <c r="CH82" s="3321"/>
      <c r="CI82" s="3321"/>
      <c r="CJ82" s="3274"/>
      <c r="CK82" s="3274"/>
      <c r="CL82" s="3332">
        <f>CJ82+CK82</f>
        <v>0</v>
      </c>
      <c r="CM82" s="3321"/>
      <c r="CN82" s="3321"/>
      <c r="CO82" s="3274"/>
      <c r="CP82" s="3274"/>
      <c r="CQ82" s="3332">
        <f>CO82+CP82</f>
        <v>0</v>
      </c>
      <c r="CR82" s="3321"/>
      <c r="CS82" s="3321"/>
      <c r="CT82" s="3274"/>
      <c r="CU82" s="3274"/>
      <c r="CV82" s="3332">
        <f>CT82+CU82</f>
        <v>0</v>
      </c>
      <c r="CW82" s="3321"/>
      <c r="CX82" s="3321"/>
      <c r="CY82" s="3274">
        <f>C82+H82+M82+R82+W82+AB82+AQ82+AV82+BA82+BF82+BK82+BP82+BU82+BZ82+CE82+CJ82+CO82+CT82+AG82</f>
        <v>0</v>
      </c>
      <c r="CZ82" s="3274">
        <f>D82+I82+N82+S82+X82+AC82+AR82+AW82+BB82+BG82+BL82+BQ82+BV82+CA82+CF82+CK82+CP82+CU82+AH82</f>
        <v>0</v>
      </c>
      <c r="DA82" s="3332">
        <f>CY82+CZ82</f>
        <v>0</v>
      </c>
      <c r="DB82" s="3321"/>
      <c r="DC82" s="3321"/>
    </row>
    <row r="83" spans="1:107" s="1411" customFormat="1" ht="14.4" thickBot="1" x14ac:dyDescent="0.3">
      <c r="A83" s="1420"/>
      <c r="B83" s="3337" t="s">
        <v>13</v>
      </c>
      <c r="C83" s="3338">
        <f>(C81+C7)-C36</f>
        <v>-174045.81528735632</v>
      </c>
      <c r="D83" s="3338">
        <f>(D81+D7)-D36</f>
        <v>-19357</v>
      </c>
      <c r="E83" s="3339">
        <f>(E81+E7)-E36</f>
        <v>-193402.81528735632</v>
      </c>
      <c r="F83" s="3340"/>
      <c r="G83" s="3340"/>
      <c r="H83" s="3338">
        <f>(H81+H7)-H36</f>
        <v>-221103.77785888471</v>
      </c>
      <c r="I83" s="3338">
        <f>(I81+I7)-I36</f>
        <v>159801.29999999999</v>
      </c>
      <c r="J83" s="3339">
        <f>(J81+J7)-J36</f>
        <v>-61302.47785888474</v>
      </c>
      <c r="K83" s="3340"/>
      <c r="L83" s="3340"/>
      <c r="M83" s="3338">
        <f>(M81+M7)-M36</f>
        <v>36627.399467131567</v>
      </c>
      <c r="N83" s="3338">
        <f>(N81+N7)-N36</f>
        <v>149240</v>
      </c>
      <c r="O83" s="3339">
        <f>(O81+O7)-O36</f>
        <v>185867.39946713156</v>
      </c>
      <c r="P83" s="3340"/>
      <c r="Q83" s="3340"/>
      <c r="R83" s="3338">
        <f>(R81+R7)-R36</f>
        <v>266390.07101972855</v>
      </c>
      <c r="S83" s="3338">
        <f>(S81+S7)-S36</f>
        <v>-30846.61</v>
      </c>
      <c r="T83" s="3339">
        <f>(T81+T7)-T36</f>
        <v>235543.46101972854</v>
      </c>
      <c r="U83" s="3340"/>
      <c r="V83" s="3340"/>
      <c r="W83" s="3338">
        <f>(W81+W7)-W36</f>
        <v>235508.68561797749</v>
      </c>
      <c r="X83" s="3338">
        <f>(X81+X7)-X36</f>
        <v>-42132.15</v>
      </c>
      <c r="Y83" s="3339">
        <f>(Y81+Y7)-Y36</f>
        <v>193376.5356179775</v>
      </c>
      <c r="Z83" s="3340"/>
      <c r="AA83" s="3340"/>
      <c r="AB83" s="3338">
        <f>(AB81+AB7)-AB36</f>
        <v>84237.333707800673</v>
      </c>
      <c r="AC83" s="3338">
        <f>(AC81+AC7)-AC36</f>
        <v>-64551</v>
      </c>
      <c r="AD83" s="3339">
        <f>(AD81+AD7)-AD36</f>
        <v>19686.33370780067</v>
      </c>
      <c r="AE83" s="3340"/>
      <c r="AF83" s="3340"/>
      <c r="AG83" s="3338">
        <v>92315.583614933304</v>
      </c>
      <c r="AH83" s="3338">
        <v>-210990.91</v>
      </c>
      <c r="AI83" s="3338">
        <v>-118675.32638506661</v>
      </c>
      <c r="AJ83" s="3340"/>
      <c r="AK83" s="3340"/>
      <c r="AL83" s="3338">
        <f>AL81-AL36</f>
        <v>0</v>
      </c>
      <c r="AM83" s="3338">
        <f>AM81-AM36</f>
        <v>0</v>
      </c>
      <c r="AN83" s="3338">
        <f>AN81-AN36</f>
        <v>0</v>
      </c>
      <c r="AO83" s="3340"/>
      <c r="AP83" s="3340"/>
      <c r="AQ83" s="3338">
        <f>(AQ81+AQ7)-AQ36</f>
        <v>0</v>
      </c>
      <c r="AR83" s="3338">
        <f>(AR81+AR7)-AR36</f>
        <v>0</v>
      </c>
      <c r="AS83" s="3339">
        <f>(AS81+AS7)-AS36</f>
        <v>0</v>
      </c>
      <c r="AT83" s="3340"/>
      <c r="AU83" s="3340"/>
      <c r="AV83" s="3338">
        <f>(AV81+AV7)-AV36</f>
        <v>0</v>
      </c>
      <c r="AW83" s="3338">
        <f>(AW81+AW7)-AW36</f>
        <v>0</v>
      </c>
      <c r="AX83" s="3339">
        <f>(AX81+AX7)-AX36</f>
        <v>0</v>
      </c>
      <c r="AY83" s="3340"/>
      <c r="AZ83" s="3340"/>
      <c r="BA83" s="3338">
        <f>(BA81+BA7)-BA36</f>
        <v>0</v>
      </c>
      <c r="BB83" s="3338">
        <f>(BB81+BB7)-BB36</f>
        <v>0</v>
      </c>
      <c r="BC83" s="3339">
        <f>(BC81+BC7)-BC36</f>
        <v>0</v>
      </c>
      <c r="BD83" s="3340"/>
      <c r="BE83" s="3340"/>
      <c r="BF83" s="3338">
        <f>(BF81+BF7)-BF36</f>
        <v>0</v>
      </c>
      <c r="BG83" s="3338">
        <f>(BG81+BG7)-BG36</f>
        <v>0</v>
      </c>
      <c r="BH83" s="3339">
        <f>(BH81+BH7)-BH36</f>
        <v>0</v>
      </c>
      <c r="BI83" s="3340"/>
      <c r="BJ83" s="3340"/>
      <c r="BK83" s="3338">
        <f>(BK81+BK7)-BK36</f>
        <v>0</v>
      </c>
      <c r="BL83" s="3338">
        <f>(BL81+BL7)-BL36</f>
        <v>0</v>
      </c>
      <c r="BM83" s="3339">
        <f>(BM81+BM7)-BM36</f>
        <v>0</v>
      </c>
      <c r="BN83" s="3340"/>
      <c r="BO83" s="3340"/>
      <c r="BP83" s="3338">
        <f>(BP81+BP7)-BP36</f>
        <v>0</v>
      </c>
      <c r="BQ83" s="3338">
        <f>(BQ81+BQ7)-BQ36</f>
        <v>0</v>
      </c>
      <c r="BR83" s="3339">
        <f>(BR81+BR7)-BR36</f>
        <v>0</v>
      </c>
      <c r="BS83" s="3340"/>
      <c r="BT83" s="3340"/>
      <c r="BU83" s="3338">
        <f>(BU81+BU7)-BU36</f>
        <v>0</v>
      </c>
      <c r="BV83" s="3338">
        <f>(BV81+BV7)-BV36</f>
        <v>0</v>
      </c>
      <c r="BW83" s="3339">
        <f>(BW81+BW7)-BW36</f>
        <v>0</v>
      </c>
      <c r="BX83" s="3340"/>
      <c r="BY83" s="3340"/>
      <c r="BZ83" s="3338">
        <f>(BZ81+BZ7)-BZ36</f>
        <v>0</v>
      </c>
      <c r="CA83" s="3338">
        <f>(CA81+CA7)-CA36</f>
        <v>0</v>
      </c>
      <c r="CB83" s="3339">
        <f>(CB81+CB7)-CB36</f>
        <v>0</v>
      </c>
      <c r="CC83" s="3340"/>
      <c r="CD83" s="3341"/>
      <c r="CE83" s="3338">
        <f>(CE81+CE7)-CE36</f>
        <v>0</v>
      </c>
      <c r="CF83" s="3338">
        <f>(CF81+CF7)-CF36</f>
        <v>0</v>
      </c>
      <c r="CG83" s="3339">
        <f>(CG81+CG7)-CG36</f>
        <v>0</v>
      </c>
      <c r="CH83" s="3340"/>
      <c r="CI83" s="3341"/>
      <c r="CJ83" s="3338">
        <f>(CJ81+CJ7)-CJ36</f>
        <v>0</v>
      </c>
      <c r="CK83" s="3338">
        <f>(CK81+CK7)-CK36</f>
        <v>0</v>
      </c>
      <c r="CL83" s="3339">
        <f>(CL81+CL7)-CL36</f>
        <v>0</v>
      </c>
      <c r="CM83" s="3340"/>
      <c r="CN83" s="3341"/>
      <c r="CO83" s="3338">
        <f>(CO81+CO7)-CO36</f>
        <v>0</v>
      </c>
      <c r="CP83" s="3338">
        <f>(CP81+CP7)-CP36</f>
        <v>0</v>
      </c>
      <c r="CQ83" s="3339">
        <f>(CQ81+CQ7)-CQ36</f>
        <v>0</v>
      </c>
      <c r="CR83" s="3340"/>
      <c r="CS83" s="3341"/>
      <c r="CT83" s="3338">
        <f>(CT81+CT7)-CT36</f>
        <v>0</v>
      </c>
      <c r="CU83" s="3338">
        <f>(CU81+CU7)-CU36</f>
        <v>0</v>
      </c>
      <c r="CV83" s="3339">
        <f>(CV81+CV7)-CV36</f>
        <v>0</v>
      </c>
      <c r="CW83" s="3340"/>
      <c r="CX83" s="3341"/>
      <c r="CY83" s="3338">
        <f>(CY81)-CY36</f>
        <v>319929.48028133047</v>
      </c>
      <c r="CZ83" s="3338">
        <f>(CZ81)-CZ36</f>
        <v>-58836.369999999995</v>
      </c>
      <c r="DA83" s="3339">
        <f>(DA81)-DA36</f>
        <v>261093.11028133059</v>
      </c>
      <c r="DB83" s="3340"/>
      <c r="DC83" s="3340"/>
    </row>
    <row r="84" spans="1:107" s="1411" customFormat="1" ht="14.4" thickBot="1" x14ac:dyDescent="0.3">
      <c r="A84" s="1420"/>
      <c r="B84" s="3368" t="s">
        <v>14</v>
      </c>
      <c r="C84" s="3344">
        <f>C83-C73-C82</f>
        <v>-174045.81528735632</v>
      </c>
      <c r="D84" s="3344">
        <f>D83-D73-D82</f>
        <v>-19357</v>
      </c>
      <c r="E84" s="3344">
        <f>E83-E73-E82</f>
        <v>-193402.81528735632</v>
      </c>
      <c r="F84" s="3345"/>
      <c r="G84" s="3345"/>
      <c r="H84" s="3344">
        <f>H83-H73-H82</f>
        <v>-221103.77785888471</v>
      </c>
      <c r="I84" s="3344">
        <f>I83-I73-I82</f>
        <v>159801.29999999999</v>
      </c>
      <c r="J84" s="3344">
        <f>J83-J73-J82</f>
        <v>-61302.47785888474</v>
      </c>
      <c r="K84" s="3345"/>
      <c r="L84" s="3345"/>
      <c r="M84" s="3344">
        <f>M83-M73-M82</f>
        <v>36627.399467131567</v>
      </c>
      <c r="N84" s="3344">
        <f>N83-N73-N82</f>
        <v>149240</v>
      </c>
      <c r="O84" s="3344">
        <f>O83-O73-O82</f>
        <v>185867.39946713156</v>
      </c>
      <c r="P84" s="3345"/>
      <c r="Q84" s="3345"/>
      <c r="R84" s="3344">
        <f>R83-R73-R82</f>
        <v>266390.07101972855</v>
      </c>
      <c r="S84" s="3344">
        <f>S83-S73-S82</f>
        <v>-30846.61</v>
      </c>
      <c r="T84" s="3344">
        <f>T83-T73-T82</f>
        <v>235543.46101972854</v>
      </c>
      <c r="U84" s="3345"/>
      <c r="V84" s="3345"/>
      <c r="W84" s="3344">
        <f>W83-W73-W82</f>
        <v>235508.68561797749</v>
      </c>
      <c r="X84" s="3344">
        <f>X83-X73-X82</f>
        <v>-42132.15</v>
      </c>
      <c r="Y84" s="3344">
        <f>Y83-Y73-Y82</f>
        <v>193376.5356179775</v>
      </c>
      <c r="Z84" s="3345"/>
      <c r="AA84" s="3345"/>
      <c r="AB84" s="3344">
        <f>AB83-AB73-AB82</f>
        <v>84237.333707800673</v>
      </c>
      <c r="AC84" s="3344">
        <f>AC83-AC73-AC82</f>
        <v>-64551</v>
      </c>
      <c r="AD84" s="3344">
        <f>AD83-AD73-AD82</f>
        <v>19686.33370780067</v>
      </c>
      <c r="AE84" s="3345"/>
      <c r="AF84" s="3345"/>
      <c r="AG84" s="2873">
        <v>92315.583614933304</v>
      </c>
      <c r="AH84" s="2873">
        <v>-210990.91</v>
      </c>
      <c r="AI84" s="3344">
        <v>-118675.32638506661</v>
      </c>
      <c r="AJ84" s="3345"/>
      <c r="AK84" s="3345"/>
      <c r="AL84" s="2873">
        <f>AL83-AL73-AL82</f>
        <v>0</v>
      </c>
      <c r="AM84" s="2873">
        <f>AM83-AM73-AM82</f>
        <v>0</v>
      </c>
      <c r="AN84" s="3344">
        <f>AN83-AN73-AN82</f>
        <v>0</v>
      </c>
      <c r="AO84" s="3345"/>
      <c r="AP84" s="3345"/>
      <c r="AQ84" s="3344">
        <f>AQ83-AQ73-AQ82</f>
        <v>0</v>
      </c>
      <c r="AR84" s="3344">
        <f>AR83-AR73-AR82</f>
        <v>0</v>
      </c>
      <c r="AS84" s="3344">
        <f>AS83-AS73-AS82</f>
        <v>0</v>
      </c>
      <c r="AT84" s="3345"/>
      <c r="AU84" s="3345"/>
      <c r="AV84" s="3344">
        <f>AV83-AV73-AV82</f>
        <v>0</v>
      </c>
      <c r="AW84" s="3344">
        <f>AW83-AW73-AW82</f>
        <v>0</v>
      </c>
      <c r="AX84" s="3344">
        <f>AX83-AX73-AX82</f>
        <v>0</v>
      </c>
      <c r="AY84" s="3345"/>
      <c r="AZ84" s="3345"/>
      <c r="BA84" s="3344">
        <f>BA83-BA73-BA82</f>
        <v>0</v>
      </c>
      <c r="BB84" s="3344">
        <f>BB83-BB73-BB82</f>
        <v>0</v>
      </c>
      <c r="BC84" s="3344">
        <f>BC83-BC73-BC82</f>
        <v>0</v>
      </c>
      <c r="BD84" s="3345"/>
      <c r="BE84" s="3345"/>
      <c r="BF84" s="3344">
        <f>BF83-BF73-BF82</f>
        <v>0</v>
      </c>
      <c r="BG84" s="3344">
        <f>BG83-BG73-BG82</f>
        <v>0</v>
      </c>
      <c r="BH84" s="3344">
        <f>BH83-BH73-BH82</f>
        <v>0</v>
      </c>
      <c r="BI84" s="3345"/>
      <c r="BJ84" s="3345"/>
      <c r="BK84" s="3344">
        <f>BK83-BK73-BK82</f>
        <v>0</v>
      </c>
      <c r="BL84" s="3344">
        <f>BL83-BL73-BL82</f>
        <v>0</v>
      </c>
      <c r="BM84" s="3344">
        <f>BM83-BM73-BM82</f>
        <v>0</v>
      </c>
      <c r="BN84" s="3345"/>
      <c r="BO84" s="3345"/>
      <c r="BP84" s="3344">
        <f>BP83-BP73-BP82</f>
        <v>0</v>
      </c>
      <c r="BQ84" s="3344">
        <f>BQ83-BQ73-BQ82</f>
        <v>0</v>
      </c>
      <c r="BR84" s="3344">
        <f>BR83-BR73-BR82</f>
        <v>0</v>
      </c>
      <c r="BS84" s="3345"/>
      <c r="BT84" s="3345"/>
      <c r="BU84" s="3344">
        <f>BU83-BU73-BU82</f>
        <v>0</v>
      </c>
      <c r="BV84" s="3344">
        <f>BV83-BV73-BV82</f>
        <v>0</v>
      </c>
      <c r="BW84" s="3344">
        <f>BW83-BW73-BW82</f>
        <v>0</v>
      </c>
      <c r="BX84" s="2874"/>
      <c r="BY84" s="3342"/>
      <c r="BZ84" s="3344">
        <f>BZ83-BZ73-BZ82</f>
        <v>0</v>
      </c>
      <c r="CA84" s="3344">
        <f>CA83-CA73-CA82</f>
        <v>0</v>
      </c>
      <c r="CB84" s="3344">
        <f>CB83-CB73-CB82</f>
        <v>0</v>
      </c>
      <c r="CC84" s="2874"/>
      <c r="CD84" s="3343"/>
      <c r="CE84" s="3344">
        <f>CE83-CE73-CE82</f>
        <v>0</v>
      </c>
      <c r="CF84" s="3344">
        <f>CF83-CF73-CF82</f>
        <v>0</v>
      </c>
      <c r="CG84" s="3344">
        <f>CG83-CG73-CG82</f>
        <v>0</v>
      </c>
      <c r="CH84" s="2874"/>
      <c r="CI84" s="3343"/>
      <c r="CJ84" s="3344">
        <f>CJ83-CJ73-CJ82</f>
        <v>0</v>
      </c>
      <c r="CK84" s="3344">
        <f>CK83-CK73-CK82</f>
        <v>0</v>
      </c>
      <c r="CL84" s="3344">
        <f>CL83-CL73-CL82</f>
        <v>0</v>
      </c>
      <c r="CM84" s="2874"/>
      <c r="CN84" s="3343"/>
      <c r="CO84" s="3344">
        <f>CO83-CO73-CO82</f>
        <v>0</v>
      </c>
      <c r="CP84" s="3344">
        <f>CP83-CP73-CP82</f>
        <v>0</v>
      </c>
      <c r="CQ84" s="3344">
        <f>CQ83-CQ73-CQ82</f>
        <v>0</v>
      </c>
      <c r="CR84" s="2874"/>
      <c r="CS84" s="3343"/>
      <c r="CT84" s="3344">
        <f>CT83-CT73-CT82</f>
        <v>0</v>
      </c>
      <c r="CU84" s="3344">
        <f>CU83-CU73-CU82</f>
        <v>0</v>
      </c>
      <c r="CV84" s="3344">
        <f>CV83-CV73-CV82</f>
        <v>0</v>
      </c>
      <c r="CW84" s="2874"/>
      <c r="CX84" s="3343"/>
      <c r="CY84" s="2873">
        <f>CY83-CY73-CY82</f>
        <v>319929.48028133047</v>
      </c>
      <c r="CZ84" s="2873">
        <f>CZ83-CZ73-CZ82</f>
        <v>-58836.369999999995</v>
      </c>
      <c r="DA84" s="3344">
        <f>DA83-DA73-DA82</f>
        <v>261093.11028133059</v>
      </c>
      <c r="DB84" s="3345"/>
      <c r="DC84" s="3345"/>
    </row>
    <row r="85" spans="1:107" s="1411" customFormat="1" ht="13.8" x14ac:dyDescent="0.25">
      <c r="A85" s="1580"/>
      <c r="B85" s="1415" t="s">
        <v>44</v>
      </c>
      <c r="C85" s="3280"/>
      <c r="D85" s="3280"/>
      <c r="E85" s="2141">
        <f>C85+D85*1.15</f>
        <v>0</v>
      </c>
      <c r="F85" s="3352"/>
      <c r="G85" s="3352"/>
      <c r="H85" s="3280"/>
      <c r="I85" s="3280"/>
      <c r="J85" s="2141">
        <f>H85+I85*1.15</f>
        <v>0</v>
      </c>
      <c r="K85" s="3352"/>
      <c r="L85" s="3352"/>
      <c r="M85" s="3280"/>
      <c r="N85" s="3280"/>
      <c r="O85" s="2141">
        <f>M85+N85*1.15</f>
        <v>0</v>
      </c>
      <c r="P85" s="3352"/>
      <c r="Q85" s="3352"/>
      <c r="R85" s="3280"/>
      <c r="S85" s="3280"/>
      <c r="T85" s="2141">
        <f>R85+S85*1.15</f>
        <v>0</v>
      </c>
      <c r="U85" s="3352"/>
      <c r="V85" s="3352"/>
      <c r="W85" s="3280"/>
      <c r="X85" s="3280"/>
      <c r="Y85" s="2141">
        <f>W85+X85*1.15</f>
        <v>0</v>
      </c>
      <c r="Z85" s="3352"/>
      <c r="AA85" s="3352"/>
      <c r="AB85" s="3280"/>
      <c r="AC85" s="3280"/>
      <c r="AD85" s="2141">
        <f>AB85+AC85*1.15</f>
        <v>0</v>
      </c>
      <c r="AE85" s="3352"/>
      <c r="AF85" s="3352"/>
      <c r="AG85" s="3274">
        <v>0</v>
      </c>
      <c r="AH85" s="3274">
        <v>0</v>
      </c>
      <c r="AI85" s="2141">
        <v>0</v>
      </c>
      <c r="AJ85" s="3352"/>
      <c r="AK85" s="3352"/>
      <c r="AL85" s="3274">
        <f>AQ85+AV85+BA85+BF85+BK85+BP85+BU85+BZ85+CE85+CJ85+CO85+CT85</f>
        <v>0</v>
      </c>
      <c r="AM85" s="3274">
        <f>AR85+AW85+BB85+BG85+BL85+BQ85+BV85+CA85+CF85+CK85+CP85+CU85</f>
        <v>0</v>
      </c>
      <c r="AN85" s="2141">
        <f>AL85+AM85*1.15</f>
        <v>0</v>
      </c>
      <c r="AO85" s="3352"/>
      <c r="AP85" s="3352"/>
      <c r="AQ85" s="3280"/>
      <c r="AR85" s="3280"/>
      <c r="AS85" s="2141">
        <f>AQ85+AR85*1.15</f>
        <v>0</v>
      </c>
      <c r="AT85" s="3352"/>
      <c r="AU85" s="3352"/>
      <c r="AV85" s="3280"/>
      <c r="AW85" s="3280"/>
      <c r="AX85" s="2141">
        <v>0</v>
      </c>
      <c r="AY85" s="3352"/>
      <c r="AZ85" s="3369"/>
      <c r="BA85" s="3280"/>
      <c r="BB85" s="3280"/>
      <c r="BC85" s="2141"/>
      <c r="BD85" s="3352"/>
      <c r="BE85" s="3370"/>
      <c r="BF85" s="3280"/>
      <c r="BG85" s="3371">
        <f>(BH38/2*0.885+BC38)*0</f>
        <v>0</v>
      </c>
      <c r="BH85" s="1358"/>
      <c r="BI85" s="3372"/>
      <c r="BJ85" s="3369"/>
      <c r="BK85" s="3280"/>
      <c r="BL85" s="3371">
        <f>(BM38/2*0.885+BH38)*0</f>
        <v>0</v>
      </c>
      <c r="BM85" s="1358"/>
      <c r="BN85" s="3372"/>
      <c r="BO85" s="3369"/>
      <c r="BP85" s="3280"/>
      <c r="BQ85" s="3371">
        <f>(BR38/2*0.885+BM38)*0</f>
        <v>0</v>
      </c>
      <c r="BR85" s="1358"/>
      <c r="BS85" s="3372"/>
      <c r="BT85" s="3369"/>
      <c r="BU85" s="3280"/>
      <c r="BV85" s="3373"/>
      <c r="BW85" s="1874">
        <f>BU85+BV85</f>
        <v>0</v>
      </c>
      <c r="BX85" s="3351"/>
      <c r="BZ85" s="3280"/>
      <c r="CA85" s="3373"/>
      <c r="CB85" s="1874">
        <f>BZ85+CA85</f>
        <v>0</v>
      </c>
      <c r="CC85" s="3351"/>
      <c r="CE85" s="3280"/>
      <c r="CF85" s="3373"/>
      <c r="CG85" s="1874">
        <f>CE85+CF85</f>
        <v>0</v>
      </c>
      <c r="CH85" s="3351"/>
      <c r="CJ85" s="3280"/>
      <c r="CK85" s="3373"/>
      <c r="CL85" s="1874">
        <f>CJ85+CK85</f>
        <v>0</v>
      </c>
      <c r="CM85" s="3351"/>
      <c r="CO85" s="3280"/>
      <c r="CP85" s="3373"/>
      <c r="CQ85" s="1874">
        <f>CO85+CP85</f>
        <v>0</v>
      </c>
      <c r="CR85" s="3351"/>
      <c r="CT85" s="3280"/>
      <c r="CU85" s="3373"/>
      <c r="CV85" s="1874">
        <f>CT85+CU85</f>
        <v>0</v>
      </c>
      <c r="CW85" s="3351"/>
      <c r="CY85" s="3274">
        <f>C85+H85+M85+R85+W85+AB85+AQ85+AV85+BA85+BF85+BK85+BP85+BU85+BZ85+CE85+CJ85+CO85+CT85+AG85</f>
        <v>0</v>
      </c>
      <c r="CZ85" s="3274">
        <f>D85+I85+N85+S85+X85+AC85+AR85+AW85+BB85+BG85+BL85+BQ85+BV85+CA85+CF85+CK85+CP85+CU85+AH85</f>
        <v>0</v>
      </c>
      <c r="DA85" s="2141">
        <f>CY85+CZ85*1.15</f>
        <v>0</v>
      </c>
      <c r="DB85" s="3352"/>
      <c r="DC85" s="3352"/>
    </row>
    <row r="86" spans="1:107" s="1411" customFormat="1" ht="27.6" x14ac:dyDescent="0.25">
      <c r="A86" s="1420"/>
      <c r="B86" s="3353" t="s">
        <v>50</v>
      </c>
      <c r="C86" s="3354">
        <f>C84-C85</f>
        <v>-174045.81528735632</v>
      </c>
      <c r="D86" s="3354">
        <f>D84-D85</f>
        <v>-19357</v>
      </c>
      <c r="E86" s="3354">
        <f>E84-E85</f>
        <v>-193402.81528735632</v>
      </c>
      <c r="F86" s="3355"/>
      <c r="G86" s="3355"/>
      <c r="H86" s="3354">
        <f>H84-H85</f>
        <v>-221103.77785888471</v>
      </c>
      <c r="I86" s="3354">
        <f>I84-I85</f>
        <v>159801.29999999999</v>
      </c>
      <c r="J86" s="3354">
        <f>J84-J85</f>
        <v>-61302.47785888474</v>
      </c>
      <c r="K86" s="3355"/>
      <c r="L86" s="3355"/>
      <c r="M86" s="3354">
        <f>M84-M85</f>
        <v>36627.399467131567</v>
      </c>
      <c r="N86" s="3354">
        <f>N84-N85</f>
        <v>149240</v>
      </c>
      <c r="O86" s="3354">
        <f>O84-O85</f>
        <v>185867.39946713156</v>
      </c>
      <c r="P86" s="3355"/>
      <c r="Q86" s="3355"/>
      <c r="R86" s="3354">
        <f>R84-R85</f>
        <v>266390.07101972855</v>
      </c>
      <c r="S86" s="3354">
        <f>S84-S85</f>
        <v>-30846.61</v>
      </c>
      <c r="T86" s="3354">
        <f>T84-T85</f>
        <v>235543.46101972854</v>
      </c>
      <c r="U86" s="3355"/>
      <c r="V86" s="3355"/>
      <c r="W86" s="3354">
        <f>W84-W85</f>
        <v>235508.68561797749</v>
      </c>
      <c r="X86" s="3354">
        <f>X84-X85</f>
        <v>-42132.15</v>
      </c>
      <c r="Y86" s="3354">
        <f>Y84-Y85</f>
        <v>193376.5356179775</v>
      </c>
      <c r="Z86" s="3355"/>
      <c r="AA86" s="3355"/>
      <c r="AB86" s="3354">
        <f>AB84-AB85</f>
        <v>84237.333707800673</v>
      </c>
      <c r="AC86" s="3354">
        <f>AC84-AC85</f>
        <v>-64551</v>
      </c>
      <c r="AD86" s="3354">
        <f>AD84-AD85</f>
        <v>19686.33370780067</v>
      </c>
      <c r="AE86" s="3355"/>
      <c r="AF86" s="3355"/>
      <c r="AG86" s="3354">
        <v>92315.583614933304</v>
      </c>
      <c r="AH86" s="3354">
        <v>-210990.91</v>
      </c>
      <c r="AI86" s="3354">
        <v>-118675.32638506661</v>
      </c>
      <c r="AJ86" s="3355"/>
      <c r="AK86" s="3355"/>
      <c r="AL86" s="3354">
        <f>AL84-AL85</f>
        <v>0</v>
      </c>
      <c r="AM86" s="3354">
        <f>AM84-AM85</f>
        <v>0</v>
      </c>
      <c r="AN86" s="3354">
        <f>AN84-AN85</f>
        <v>0</v>
      </c>
      <c r="AO86" s="3355"/>
      <c r="AP86" s="3355"/>
      <c r="AQ86" s="3354">
        <f>AQ84-AQ85</f>
        <v>0</v>
      </c>
      <c r="AR86" s="3354">
        <f>AR84-AR85</f>
        <v>0</v>
      </c>
      <c r="AS86" s="3354">
        <f>AS84-AS85</f>
        <v>0</v>
      </c>
      <c r="AT86" s="3355"/>
      <c r="AU86" s="3355"/>
      <c r="AV86" s="3354">
        <f>AV84-AV85</f>
        <v>0</v>
      </c>
      <c r="AW86" s="3354">
        <f>AW84-AW85</f>
        <v>0</v>
      </c>
      <c r="AX86" s="3354">
        <f>AX84-AX85</f>
        <v>0</v>
      </c>
      <c r="AY86" s="3355"/>
      <c r="AZ86" s="3355"/>
      <c r="BA86" s="3354">
        <f>BA84-BA85</f>
        <v>0</v>
      </c>
      <c r="BB86" s="3354">
        <f>BB84-BB85</f>
        <v>0</v>
      </c>
      <c r="BC86" s="3354">
        <f>BC84</f>
        <v>0</v>
      </c>
      <c r="BD86" s="3355"/>
      <c r="BE86" s="3355"/>
      <c r="BF86" s="3354">
        <f>BF84-BF85</f>
        <v>0</v>
      </c>
      <c r="BG86" s="3354">
        <f>BG84-BG85</f>
        <v>0</v>
      </c>
      <c r="BH86" s="3354">
        <f>BH84</f>
        <v>0</v>
      </c>
      <c r="BI86" s="3355"/>
      <c r="BJ86" s="3355"/>
      <c r="BK86" s="3354">
        <f>BK84-BK85</f>
        <v>0</v>
      </c>
      <c r="BL86" s="3354">
        <f>BL84-BL85</f>
        <v>0</v>
      </c>
      <c r="BM86" s="3354">
        <f>BM84</f>
        <v>0</v>
      </c>
      <c r="BN86" s="3355"/>
      <c r="BO86" s="3355"/>
      <c r="BP86" s="3354">
        <f>BP84-BP85</f>
        <v>0</v>
      </c>
      <c r="BQ86" s="3354">
        <f>BQ84-BQ85</f>
        <v>0</v>
      </c>
      <c r="BR86" s="3354">
        <f>BR84</f>
        <v>0</v>
      </c>
      <c r="BS86" s="3355"/>
      <c r="BT86" s="3355"/>
      <c r="BU86" s="3354">
        <f>BU84-BU85</f>
        <v>0</v>
      </c>
      <c r="BV86" s="3354">
        <f>BV84-BV85</f>
        <v>0</v>
      </c>
      <c r="BW86" s="3354">
        <f>BW84-BW85</f>
        <v>0</v>
      </c>
      <c r="BX86" s="3355"/>
      <c r="BY86" s="3355"/>
      <c r="BZ86" s="3354">
        <f>BZ84-BZ85</f>
        <v>0</v>
      </c>
      <c r="CA86" s="3354">
        <f>CA84-CA85</f>
        <v>0</v>
      </c>
      <c r="CB86" s="3354">
        <f>CB84-CB85</f>
        <v>0</v>
      </c>
      <c r="CC86" s="3355"/>
      <c r="CD86" s="3355"/>
      <c r="CE86" s="3354">
        <f>CE84-CE85</f>
        <v>0</v>
      </c>
      <c r="CF86" s="3354">
        <f>CF84-CF85</f>
        <v>0</v>
      </c>
      <c r="CG86" s="3354">
        <f>CG84-CG85</f>
        <v>0</v>
      </c>
      <c r="CH86" s="3355"/>
      <c r="CI86" s="3355"/>
      <c r="CJ86" s="3354">
        <f>CJ84-CJ85</f>
        <v>0</v>
      </c>
      <c r="CK86" s="3354">
        <f>CK84-CK85</f>
        <v>0</v>
      </c>
      <c r="CL86" s="3354">
        <f>CL84-CL85</f>
        <v>0</v>
      </c>
      <c r="CM86" s="3355"/>
      <c r="CN86" s="3355"/>
      <c r="CO86" s="3354">
        <f>CO84-CO85</f>
        <v>0</v>
      </c>
      <c r="CP86" s="3354">
        <f>CP84-CP85</f>
        <v>0</v>
      </c>
      <c r="CQ86" s="3354">
        <f>CQ84-CQ85</f>
        <v>0</v>
      </c>
      <c r="CR86" s="3355"/>
      <c r="CS86" s="3355"/>
      <c r="CT86" s="3354">
        <f>CT84-CT85</f>
        <v>0</v>
      </c>
      <c r="CU86" s="3354">
        <f>CU84-CU85</f>
        <v>0</v>
      </c>
      <c r="CV86" s="3354">
        <f>CV84-CV85</f>
        <v>0</v>
      </c>
      <c r="CW86" s="3355"/>
      <c r="CX86" s="3355"/>
      <c r="CY86" s="3354">
        <f>CY84-CY85</f>
        <v>319929.48028133047</v>
      </c>
      <c r="CZ86" s="3354">
        <f>CZ84-CZ85</f>
        <v>-58836.369999999995</v>
      </c>
      <c r="DA86" s="3354">
        <f>DA84-DA85</f>
        <v>261093.11028133059</v>
      </c>
      <c r="DB86" s="3355"/>
      <c r="DC86" s="3355"/>
    </row>
    <row r="87" spans="1:107" s="1411" customFormat="1" ht="14.4" thickBot="1" x14ac:dyDescent="0.3">
      <c r="A87" s="1582"/>
      <c r="B87" s="3356" t="s">
        <v>51</v>
      </c>
      <c r="C87" s="2877" t="e">
        <f>C86/C5</f>
        <v>#DIV/0!</v>
      </c>
      <c r="D87" s="2878" t="e">
        <f>D86/D5</f>
        <v>#DIV/0!</v>
      </c>
      <c r="E87" s="2879" t="e">
        <f>E86/E5</f>
        <v>#DIV/0!</v>
      </c>
      <c r="F87" s="2881"/>
      <c r="G87" s="2881"/>
      <c r="H87" s="2877" t="e">
        <f>H86/H5</f>
        <v>#DIV/0!</v>
      </c>
      <c r="I87" s="2878">
        <f>I86/I5</f>
        <v>0.86046059574834688</v>
      </c>
      <c r="J87" s="2879">
        <f>J86/J5</f>
        <v>-0.33008721843505534</v>
      </c>
      <c r="K87" s="2881"/>
      <c r="L87" s="2881"/>
      <c r="M87" s="2877">
        <f>M86/M5</f>
        <v>0.27561571690857734</v>
      </c>
      <c r="N87" s="2878">
        <f>N86/N5</f>
        <v>0.88297242929830788</v>
      </c>
      <c r="O87" s="2879">
        <f>O86/O5</f>
        <v>0.61563231615442715</v>
      </c>
      <c r="P87" s="2881"/>
      <c r="Q87" s="2881"/>
      <c r="R87" s="2877">
        <f>R86/R5</f>
        <v>0.8858408852744365</v>
      </c>
      <c r="S87" s="2878" t="e">
        <f>S86/S5</f>
        <v>#DIV/0!</v>
      </c>
      <c r="T87" s="2879">
        <f>T86/T5</f>
        <v>0.78326503398419967</v>
      </c>
      <c r="U87" s="2881"/>
      <c r="V87" s="2881"/>
      <c r="W87" s="2877">
        <f>W86/W5</f>
        <v>0.67919903387710467</v>
      </c>
      <c r="X87" s="2878" t="e">
        <f>X86/X5</f>
        <v>#DIV/0!</v>
      </c>
      <c r="Y87" s="2879">
        <f>Y86/Y5</f>
        <v>0.55769134722819724</v>
      </c>
      <c r="Z87" s="2881"/>
      <c r="AA87" s="2881"/>
      <c r="AB87" s="2877">
        <f>AB86/AB5</f>
        <v>0.3030992145502327</v>
      </c>
      <c r="AC87" s="2878" t="e">
        <f>AC86/AC5</f>
        <v>#DIV/0!</v>
      </c>
      <c r="AD87" s="2879">
        <f>AD86/AD5</f>
        <v>7.0834534066640295E-2</v>
      </c>
      <c r="AE87" s="2881"/>
      <c r="AF87" s="2881"/>
      <c r="AG87" s="2877">
        <v>7.5977055226582033E-2</v>
      </c>
      <c r="AH87" s="2878">
        <v>-6.0425548793584882</v>
      </c>
      <c r="AI87" s="2879">
        <v>-9.4943066865565293E-2</v>
      </c>
      <c r="AJ87" s="2881"/>
      <c r="AK87" s="2881"/>
      <c r="AL87" s="2877" t="e">
        <f>AL86/AL5</f>
        <v>#DIV/0!</v>
      </c>
      <c r="AM87" s="2878" t="e">
        <f>AM86/AM5</f>
        <v>#DIV/0!</v>
      </c>
      <c r="AN87" s="2879" t="e">
        <f>AN86/AN5</f>
        <v>#DIV/0!</v>
      </c>
      <c r="AO87" s="2881"/>
      <c r="AP87" s="2881"/>
      <c r="AQ87" s="2877" t="e">
        <f>AQ86/AQ5</f>
        <v>#DIV/0!</v>
      </c>
      <c r="AR87" s="2878" t="e">
        <f>AR86/AR5</f>
        <v>#DIV/0!</v>
      </c>
      <c r="AS87" s="2879" t="e">
        <f>AS86/AS5</f>
        <v>#DIV/0!</v>
      </c>
      <c r="AT87" s="2881"/>
      <c r="AU87" s="2881"/>
      <c r="AV87" s="2877" t="e">
        <f>AV86/AV5</f>
        <v>#DIV/0!</v>
      </c>
      <c r="AW87" s="2878" t="e">
        <f>AW86/AW5</f>
        <v>#DIV/0!</v>
      </c>
      <c r="AX87" s="2879" t="e">
        <f>AX86/AX5</f>
        <v>#DIV/0!</v>
      </c>
      <c r="AY87" s="2881"/>
      <c r="AZ87" s="2881"/>
      <c r="BA87" s="2877" t="e">
        <f>BA86/BA5</f>
        <v>#DIV/0!</v>
      </c>
      <c r="BB87" s="2878" t="e">
        <f>BB86/BB5</f>
        <v>#DIV/0!</v>
      </c>
      <c r="BC87" s="2879" t="e">
        <f>BC86/BC5</f>
        <v>#DIV/0!</v>
      </c>
      <c r="BD87" s="2881"/>
      <c r="BE87" s="2881"/>
      <c r="BF87" s="2877" t="e">
        <f>BF86/BF5</f>
        <v>#DIV/0!</v>
      </c>
      <c r="BG87" s="2878" t="e">
        <f>BG86/BG5</f>
        <v>#DIV/0!</v>
      </c>
      <c r="BH87" s="2879" t="e">
        <f>BH86/BH5</f>
        <v>#DIV/0!</v>
      </c>
      <c r="BI87" s="2881"/>
      <c r="BJ87" s="2881"/>
      <c r="BK87" s="2877" t="e">
        <f>BK86/BK5</f>
        <v>#DIV/0!</v>
      </c>
      <c r="BL87" s="2878" t="e">
        <f>BL86/BL5</f>
        <v>#DIV/0!</v>
      </c>
      <c r="BM87" s="2879" t="e">
        <f>BM86/BM5</f>
        <v>#DIV/0!</v>
      </c>
      <c r="BN87" s="2881"/>
      <c r="BO87" s="2881"/>
      <c r="BP87" s="2877" t="e">
        <f>BP86/BP5</f>
        <v>#DIV/0!</v>
      </c>
      <c r="BQ87" s="2878" t="e">
        <f>BQ86/BQ5</f>
        <v>#DIV/0!</v>
      </c>
      <c r="BR87" s="2879" t="e">
        <f>BR86/BR5</f>
        <v>#DIV/0!</v>
      </c>
      <c r="BS87" s="2881"/>
      <c r="BT87" s="2881"/>
      <c r="BU87" s="2877" t="e">
        <f>BU86/BU5</f>
        <v>#DIV/0!</v>
      </c>
      <c r="BV87" s="2878" t="e">
        <f>BV86/BV5</f>
        <v>#DIV/0!</v>
      </c>
      <c r="BW87" s="2879" t="e">
        <f>BW86/BW5</f>
        <v>#DIV/0!</v>
      </c>
      <c r="BX87" s="2881"/>
      <c r="BY87" s="2881"/>
      <c r="BZ87" s="2877" t="e">
        <f>BZ86/BZ5</f>
        <v>#DIV/0!</v>
      </c>
      <c r="CA87" s="2878" t="e">
        <f>CA86/CA5</f>
        <v>#DIV/0!</v>
      </c>
      <c r="CB87" s="2879" t="e">
        <f>CB86/CB5</f>
        <v>#DIV/0!</v>
      </c>
      <c r="CC87" s="2881"/>
      <c r="CD87" s="3139"/>
      <c r="CE87" s="2877" t="e">
        <f>CE86/CE5</f>
        <v>#DIV/0!</v>
      </c>
      <c r="CF87" s="2878">
        <f>IFERROR(CF86/CF5,0)</f>
        <v>0</v>
      </c>
      <c r="CG87" s="2879" t="e">
        <f>CG86/CG5</f>
        <v>#DIV/0!</v>
      </c>
      <c r="CH87" s="2881"/>
      <c r="CI87" s="3139"/>
      <c r="CJ87" s="2877" t="e">
        <f>CJ86/CJ5</f>
        <v>#DIV/0!</v>
      </c>
      <c r="CK87" s="2878">
        <f>IFERROR(CK86/CK5,0)</f>
        <v>0</v>
      </c>
      <c r="CL87" s="2879" t="e">
        <f>CL86/CL5</f>
        <v>#DIV/0!</v>
      </c>
      <c r="CM87" s="2881"/>
      <c r="CN87" s="3139"/>
      <c r="CO87" s="2877" t="e">
        <f>CO86/CO5</f>
        <v>#DIV/0!</v>
      </c>
      <c r="CP87" s="2878">
        <f>IFERROR(CP86/CP5,0)</f>
        <v>0</v>
      </c>
      <c r="CQ87" s="2879" t="e">
        <f>CQ86/CQ5</f>
        <v>#DIV/0!</v>
      </c>
      <c r="CR87" s="2881"/>
      <c r="CS87" s="3139"/>
      <c r="CT87" s="2877" t="e">
        <f>CT86/CT5</f>
        <v>#DIV/0!</v>
      </c>
      <c r="CU87" s="2878">
        <f>IFERROR(CU86/CU5,0)</f>
        <v>0</v>
      </c>
      <c r="CV87" s="2879" t="e">
        <f>CV86/CV5</f>
        <v>#DIV/0!</v>
      </c>
      <c r="CW87" s="2881"/>
      <c r="CX87" s="3139"/>
      <c r="CY87" s="2877">
        <f>CY86/CY5</f>
        <v>0.14073206467758068</v>
      </c>
      <c r="CZ87" s="2878">
        <f>CZ86/CZ5</f>
        <v>-0.15099664188824172</v>
      </c>
      <c r="DA87" s="2879">
        <f>DA86/DA5</f>
        <v>9.8045582395530601E-2</v>
      </c>
      <c r="DB87" s="2881"/>
      <c r="DC87" s="2881"/>
    </row>
    <row r="88" spans="1:107" ht="13.8" x14ac:dyDescent="0.25">
      <c r="A88" s="1438"/>
      <c r="B88" s="1438"/>
      <c r="C88" s="1970"/>
      <c r="D88" s="1970"/>
      <c r="E88" s="1970"/>
      <c r="F88" s="1970"/>
      <c r="G88" s="1970"/>
      <c r="H88" s="1970"/>
      <c r="I88" s="1970"/>
      <c r="J88" s="1970"/>
      <c r="K88" s="1970"/>
      <c r="L88" s="1970"/>
      <c r="M88" s="1970"/>
      <c r="N88" s="1970"/>
      <c r="O88" s="1970"/>
      <c r="P88" s="1970"/>
      <c r="Q88" s="1970"/>
      <c r="R88" s="1970"/>
      <c r="S88" s="1970"/>
      <c r="T88" s="1970"/>
      <c r="U88" s="1970"/>
      <c r="V88" s="1970"/>
      <c r="W88" s="1970"/>
      <c r="X88" s="1970"/>
      <c r="Y88" s="1970"/>
      <c r="Z88" s="1970"/>
      <c r="AA88" s="1970"/>
      <c r="AB88" s="1970"/>
      <c r="AC88" s="1970"/>
      <c r="AD88" s="1970"/>
      <c r="AE88" s="1970"/>
      <c r="AF88" s="1970"/>
      <c r="AG88" s="1970"/>
      <c r="AH88" s="1970"/>
      <c r="AI88" s="1970"/>
      <c r="AJ88" s="1970"/>
      <c r="AK88" s="1970"/>
      <c r="AL88" s="1970"/>
      <c r="AM88" s="1970"/>
      <c r="AN88" s="1970"/>
      <c r="AO88" s="1970"/>
      <c r="AP88" s="1970"/>
      <c r="AQ88" s="1970"/>
      <c r="AR88" s="1970"/>
      <c r="AS88" s="1970"/>
      <c r="AT88" s="1970"/>
      <c r="AU88" s="1970"/>
      <c r="AV88" s="1970"/>
      <c r="AW88" s="1970"/>
      <c r="AX88" s="1970"/>
      <c r="AY88" s="1970"/>
      <c r="AZ88" s="1970"/>
      <c r="BA88" s="1970"/>
      <c r="BB88" s="1970"/>
      <c r="BC88" s="1970"/>
      <c r="BD88" s="1970"/>
      <c r="BE88" s="1970"/>
      <c r="BF88" s="1970"/>
      <c r="BG88" s="1970"/>
      <c r="BH88" s="1970"/>
      <c r="BI88" s="1970"/>
      <c r="BJ88" s="1970"/>
      <c r="BK88" s="1970"/>
      <c r="BL88" s="1970"/>
      <c r="BM88" s="1970"/>
      <c r="BN88" s="1970"/>
      <c r="BO88" s="1970"/>
      <c r="BP88" s="1970"/>
      <c r="BQ88" s="1970"/>
      <c r="BR88" s="1970"/>
      <c r="BS88" s="1970"/>
      <c r="BT88" s="1970"/>
      <c r="BU88" s="1970"/>
      <c r="BV88" s="1970"/>
      <c r="BW88" s="1970"/>
      <c r="BX88" s="1970"/>
      <c r="BY88" s="1970"/>
      <c r="BZ88" s="1970"/>
      <c r="CA88" s="1970"/>
      <c r="CB88" s="1970"/>
      <c r="CC88" s="1970"/>
      <c r="CD88" s="1970"/>
      <c r="CE88" s="1970"/>
      <c r="CF88" s="1970"/>
      <c r="CG88" s="1970"/>
      <c r="CH88" s="1970"/>
      <c r="CI88" s="1970"/>
      <c r="CJ88" s="1970"/>
      <c r="CK88" s="1970"/>
      <c r="CL88" s="1970"/>
      <c r="CM88" s="1970"/>
      <c r="CN88" s="1970"/>
      <c r="CO88" s="1970"/>
      <c r="CP88" s="1970"/>
      <c r="CQ88" s="1970"/>
      <c r="CR88" s="1970"/>
      <c r="CS88" s="1970"/>
      <c r="CT88" s="1970"/>
      <c r="CU88" s="1970"/>
      <c r="CV88" s="1970"/>
      <c r="CW88" s="1970"/>
      <c r="CX88" s="1970"/>
      <c r="CY88" s="1970"/>
      <c r="CZ88" s="1970"/>
      <c r="DA88" s="1970"/>
      <c r="DB88" s="1970"/>
      <c r="DC88" s="1970"/>
    </row>
    <row r="89" spans="1:107" x14ac:dyDescent="0.25">
      <c r="B89" s="1577" t="s">
        <v>56</v>
      </c>
      <c r="E89" s="1976">
        <f>E8+E36+E41+E50+E54+E73+E79+E82+E85</f>
        <v>193402.81528735632</v>
      </c>
      <c r="J89" s="1976">
        <f>J8+J36+J41+J50+J54+J73+J79+J82+J85</f>
        <v>247018.47785888473</v>
      </c>
      <c r="O89" s="1976">
        <f>O8+O36+O41+O50+O54+O73+O79+O82+O85</f>
        <v>116045.60053286843</v>
      </c>
      <c r="T89" s="1976">
        <f>T8+T36+T41+T50+T54+T73+T79+T82+T85</f>
        <v>65176.538980271464</v>
      </c>
      <c r="Y89" s="1976">
        <f>Y8+Y36+Y41+Y50+Y54+Y73+Y79+Y82+Y85</f>
        <v>153368.19438202248</v>
      </c>
      <c r="AD89" s="1976">
        <f>AD8+AD36+AD41+AD50+AD54+AD73+AD79+AD82+AD85</f>
        <v>258233.66629219934</v>
      </c>
      <c r="AI89" s="1976">
        <f>AI8+AI36+AI41+AI50+AI54+AI73+AI79+AI82+AI85</f>
        <v>1368638.3863850667</v>
      </c>
      <c r="AN89" s="1976">
        <f>AN8+AN36+AN41+AN50+AN54+AN73+AN79+AN82+AN85</f>
        <v>0</v>
      </c>
      <c r="AS89" s="1976">
        <f>AS8+AS36+AS41+AS50+AS54+AS73+AS79+AS82+AS85</f>
        <v>0</v>
      </c>
      <c r="AX89" s="1976">
        <f>AX8+AX36+AX41+AX50+AX54+AX73+AX79+AX82+AX85</f>
        <v>0</v>
      </c>
      <c r="BC89" s="1976">
        <f>BC8+BC36+BC41+BC50+BC54+BC73+BC79+BC82+BC85</f>
        <v>0</v>
      </c>
      <c r="BH89" s="1976">
        <f>BH8+BH36+BH41+BH50+BH54+BH73+BH79+BH82+BH85</f>
        <v>0</v>
      </c>
      <c r="BM89" s="1976">
        <f>BM8+BM36+BM41+BM50+BM54+BM73+BM79+BM82+BM85</f>
        <v>0</v>
      </c>
      <c r="BR89" s="1976">
        <f>BR8+BR36+BR41+BR50+BR54+BR73+BR79+BR82+BR85</f>
        <v>0</v>
      </c>
      <c r="BW89" s="1976">
        <f>BW8+BW36+BW41+BW50+BW54+BW73+BW79+BW82+BW85</f>
        <v>0</v>
      </c>
      <c r="CB89" s="1976">
        <f>CB8+CB36+CB41+CB50+CB54+CB73+CB79+CB82+CB85</f>
        <v>0</v>
      </c>
      <c r="CG89" s="1976">
        <f>CG8+CG36+CG41+CG50+CG54+CG73+CG79+CG82+CG85</f>
        <v>0</v>
      </c>
      <c r="CL89" s="1976">
        <f>CL8+CL36+CL41+CL50+CL54+CL73+CL79+CL82+CL85</f>
        <v>0</v>
      </c>
      <c r="CQ89" s="1976">
        <f>CQ8+CQ36+CQ41+CQ50+CQ54+CQ73+CQ79+CQ82+CQ85</f>
        <v>0</v>
      </c>
      <c r="CV89" s="1976">
        <f>CV8+CV36+CV41+CV50+CV54+CV73+CV79+CV82+CV85</f>
        <v>0</v>
      </c>
      <c r="DA89" s="1976">
        <f>DA8+DA36+DA41+DA50+DA54+DA73+DA79+DA82+DA85</f>
        <v>2401883.6797186695</v>
      </c>
    </row>
    <row r="90" spans="1:107" x14ac:dyDescent="0.25">
      <c r="DA90" s="1607" t="b">
        <f>(E89+J89+O89+T89+Y89+AD89+AS89+AX89+BC89+BH89+BM89+BR89+BW89)+CB89+CG89+CL89+CQ89+CV89+AI89=DA89</f>
        <v>1</v>
      </c>
    </row>
    <row r="91" spans="1:107" s="1411" customFormat="1" x14ac:dyDescent="0.25">
      <c r="A91" s="1417"/>
      <c r="B91" s="1417"/>
      <c r="C91" s="1968"/>
      <c r="D91" s="1968"/>
      <c r="E91" s="1968"/>
      <c r="F91" s="1968"/>
      <c r="G91" s="1968"/>
      <c r="H91" s="1968"/>
      <c r="I91" s="1968"/>
      <c r="J91" s="1968"/>
      <c r="K91" s="1968"/>
      <c r="L91" s="1968"/>
      <c r="M91" s="1968"/>
      <c r="N91" s="1968"/>
      <c r="O91" s="1968"/>
      <c r="P91" s="1968"/>
      <c r="Q91" s="1968"/>
      <c r="R91" s="1968"/>
      <c r="S91" s="1968"/>
      <c r="T91" s="1968"/>
      <c r="U91" s="1968"/>
      <c r="V91" s="1968"/>
      <c r="W91" s="1968"/>
      <c r="X91" s="1968"/>
      <c r="Y91" s="1185">
        <f>Y5-Y89</f>
        <v>193376.5356179775</v>
      </c>
      <c r="Z91" s="1968"/>
      <c r="AA91" s="1968"/>
      <c r="AB91" s="1968"/>
      <c r="AC91" s="1968"/>
      <c r="AD91" s="1185">
        <f>AD5-AD89</f>
        <v>19686.333707800659</v>
      </c>
      <c r="AE91" s="1968"/>
      <c r="AF91" s="1968"/>
      <c r="AG91" s="1968"/>
      <c r="AH91" s="1968"/>
      <c r="AI91" s="1968">
        <f>AI5-AI89</f>
        <v>-118675.32638506661</v>
      </c>
      <c r="AJ91" s="1968"/>
      <c r="AK91" s="1968"/>
      <c r="AL91" s="1968"/>
      <c r="AM91" s="1968"/>
      <c r="AN91" s="1185">
        <f>AN5-AN89</f>
        <v>0</v>
      </c>
      <c r="AO91" s="1968"/>
      <c r="AP91" s="1968"/>
      <c r="AQ91" s="1968"/>
      <c r="AR91" s="1968"/>
      <c r="AS91" s="1185">
        <f>AS5-AS89</f>
        <v>0</v>
      </c>
      <c r="AT91" s="1968"/>
      <c r="AU91" s="1968"/>
      <c r="AV91" s="1968"/>
      <c r="AW91" s="1968"/>
      <c r="AX91" s="1185">
        <f>AX5-AX89</f>
        <v>0</v>
      </c>
      <c r="AY91" s="1968"/>
      <c r="AZ91" s="1968"/>
      <c r="BA91" s="1968"/>
      <c r="BB91" s="1968"/>
      <c r="BC91" s="1185">
        <f>BC5-BC89</f>
        <v>0</v>
      </c>
      <c r="BD91" s="1968"/>
      <c r="BE91" s="1968"/>
      <c r="BF91" s="1968"/>
      <c r="BG91" s="1968"/>
      <c r="BH91" s="1185">
        <f>BH5-BH89</f>
        <v>0</v>
      </c>
      <c r="BI91" s="1968"/>
      <c r="BJ91" s="1968"/>
      <c r="BK91" s="1968"/>
      <c r="BL91" s="1968"/>
      <c r="BM91" s="1185">
        <f>BM5-BM89</f>
        <v>0</v>
      </c>
      <c r="BN91" s="1968"/>
      <c r="BO91" s="1968"/>
      <c r="BP91" s="1968"/>
      <c r="BQ91" s="1968"/>
      <c r="BR91" s="1185">
        <f>BR5-BR89</f>
        <v>0</v>
      </c>
      <c r="BS91" s="1968"/>
      <c r="BT91" s="1968"/>
      <c r="BU91" s="1968"/>
      <c r="BV91" s="1968"/>
      <c r="BW91" s="1185">
        <f>BW5-BW89</f>
        <v>0</v>
      </c>
      <c r="BX91" s="1968"/>
      <c r="BY91" s="1968"/>
      <c r="BZ91" s="1968"/>
      <c r="CA91" s="1968"/>
      <c r="CB91" s="1185">
        <f>CB5-CB89</f>
        <v>0</v>
      </c>
      <c r="CC91" s="1968"/>
      <c r="CD91" s="1968"/>
      <c r="CE91" s="1968"/>
      <c r="CF91" s="1968"/>
      <c r="CG91" s="1185">
        <f>CG5-CG89</f>
        <v>0</v>
      </c>
      <c r="CH91" s="1968"/>
      <c r="CI91" s="1968"/>
      <c r="CJ91" s="1968"/>
      <c r="CK91" s="1968"/>
      <c r="CL91" s="1185">
        <f>CL5-CL89</f>
        <v>0</v>
      </c>
      <c r="CM91" s="1968"/>
      <c r="CN91" s="1968"/>
      <c r="CO91" s="1968"/>
      <c r="CP91" s="1968"/>
      <c r="CQ91" s="1185">
        <f>CQ5-CQ89</f>
        <v>0</v>
      </c>
      <c r="CR91" s="1968"/>
      <c r="CS91" s="1968"/>
      <c r="CT91" s="1968"/>
      <c r="CU91" s="1968"/>
      <c r="CV91" s="1185">
        <f>CV5-CV89</f>
        <v>0</v>
      </c>
      <c r="CW91" s="1968"/>
      <c r="CX91" s="1968"/>
      <c r="CY91" s="1968"/>
      <c r="CZ91" s="1968"/>
      <c r="DA91" s="1968"/>
      <c r="DB91" s="1968"/>
      <c r="DC91" s="1968"/>
    </row>
    <row r="92" spans="1:107" x14ac:dyDescent="0.25">
      <c r="DA92" s="1185">
        <f>DA5-DA89</f>
        <v>261093.11028133053</v>
      </c>
    </row>
    <row r="93" spans="1:107" s="1411" customFormat="1" x14ac:dyDescent="0.25">
      <c r="A93" s="1417"/>
      <c r="B93" s="1417"/>
      <c r="C93" s="1968"/>
      <c r="D93" s="1968"/>
      <c r="E93" s="1968"/>
      <c r="F93" s="1968"/>
      <c r="G93" s="1968"/>
      <c r="H93" s="1968"/>
      <c r="I93" s="1968"/>
      <c r="J93" s="1968"/>
      <c r="K93" s="1968"/>
      <c r="L93" s="1968"/>
      <c r="M93" s="1968"/>
      <c r="N93" s="1968"/>
      <c r="O93" s="1968"/>
      <c r="P93" s="1968"/>
      <c r="Q93" s="1968"/>
      <c r="R93" s="1968"/>
      <c r="S93" s="1968"/>
      <c r="T93" s="1968"/>
      <c r="U93" s="1968"/>
      <c r="V93" s="1968"/>
      <c r="W93" s="1968"/>
      <c r="X93" s="1968"/>
      <c r="Y93" s="1968"/>
      <c r="Z93" s="1968"/>
      <c r="AA93" s="1968"/>
      <c r="AB93" s="1968"/>
      <c r="AC93" s="1968"/>
      <c r="AD93" s="1968"/>
      <c r="AE93" s="1968"/>
      <c r="AF93" s="1968"/>
      <c r="AG93" s="1968"/>
      <c r="AH93" s="1968"/>
      <c r="AI93" s="1968"/>
      <c r="AJ93" s="1968"/>
      <c r="AK93" s="1968"/>
      <c r="AL93" s="1968"/>
      <c r="AM93" s="1968"/>
      <c r="AN93" s="1968"/>
      <c r="AO93" s="1968"/>
      <c r="AP93" s="1968"/>
      <c r="AQ93" s="1968"/>
      <c r="AR93" s="1968"/>
      <c r="AS93" s="1968"/>
      <c r="AT93" s="1968"/>
      <c r="AU93" s="1968"/>
      <c r="AV93" s="1968"/>
      <c r="AW93" s="1968"/>
      <c r="AX93" s="1968"/>
      <c r="AY93" s="1968"/>
      <c r="AZ93" s="1968"/>
      <c r="BA93" s="1968"/>
      <c r="BB93" s="1968"/>
      <c r="BC93" s="1968"/>
      <c r="BD93" s="1968"/>
      <c r="BE93" s="1968"/>
      <c r="BF93" s="1968"/>
      <c r="BG93" s="1968"/>
      <c r="BH93" s="1968"/>
      <c r="BI93" s="1968"/>
      <c r="BJ93" s="1968"/>
      <c r="BK93" s="1968"/>
      <c r="BL93" s="1968"/>
      <c r="BM93" s="1968"/>
      <c r="BN93" s="1968"/>
      <c r="BO93" s="1968"/>
      <c r="BP93" s="1968"/>
      <c r="BQ93" s="1968"/>
      <c r="BR93" s="1968"/>
      <c r="BS93" s="1968"/>
      <c r="BT93" s="1968"/>
      <c r="BU93" s="1968"/>
      <c r="BV93" s="1968"/>
      <c r="BW93" s="1968"/>
      <c r="BX93" s="1968"/>
      <c r="BY93" s="1968"/>
      <c r="BZ93" s="1968"/>
      <c r="CA93" s="1968"/>
      <c r="CB93" s="1968"/>
      <c r="CC93" s="1968"/>
      <c r="CD93" s="1968"/>
      <c r="CE93" s="1968"/>
      <c r="CF93" s="1968"/>
      <c r="CG93" s="1968"/>
      <c r="CH93" s="1968"/>
      <c r="CI93" s="1968"/>
      <c r="CJ93" s="1968"/>
      <c r="CK93" s="1968"/>
      <c r="CL93" s="1968"/>
      <c r="CM93" s="1968"/>
      <c r="CN93" s="1968"/>
      <c r="CO93" s="1968"/>
      <c r="CP93" s="1968"/>
      <c r="CQ93" s="1968"/>
      <c r="CR93" s="1968"/>
      <c r="CS93" s="1968"/>
      <c r="CT93" s="1968"/>
      <c r="CU93" s="1968"/>
      <c r="CV93" s="1968"/>
      <c r="CW93" s="1968"/>
      <c r="CX93" s="1968"/>
      <c r="CY93" s="1968"/>
      <c r="CZ93" s="1968"/>
      <c r="DA93" s="1968"/>
      <c r="DB93" s="1968"/>
      <c r="DC93" s="1968"/>
    </row>
    <row r="94" spans="1:107" s="1411" customFormat="1" x14ac:dyDescent="0.25">
      <c r="A94" s="1417"/>
      <c r="B94" s="1417"/>
      <c r="C94" s="1968"/>
      <c r="D94" s="1968"/>
      <c r="E94" s="1968"/>
      <c r="F94" s="1968"/>
      <c r="G94" s="1968"/>
      <c r="H94" s="1968"/>
      <c r="I94" s="1968"/>
      <c r="J94" s="1968"/>
      <c r="K94" s="1968"/>
      <c r="L94" s="1968"/>
      <c r="M94" s="1968"/>
      <c r="N94" s="1968"/>
      <c r="O94" s="1968"/>
      <c r="P94" s="1968"/>
      <c r="Q94" s="1968"/>
      <c r="R94" s="1968"/>
      <c r="S94" s="1968"/>
      <c r="T94" s="1968"/>
      <c r="U94" s="1968"/>
      <c r="V94" s="1968"/>
      <c r="W94" s="1968"/>
      <c r="X94" s="1968"/>
      <c r="Y94" s="1968"/>
      <c r="Z94" s="1968"/>
      <c r="AA94" s="1968"/>
      <c r="AB94" s="1968"/>
      <c r="AC94" s="1968"/>
      <c r="AD94" s="1968"/>
      <c r="AE94" s="1968"/>
      <c r="AF94" s="1968"/>
      <c r="AG94" s="1968"/>
      <c r="AH94" s="1968"/>
      <c r="AI94" s="1968"/>
      <c r="AJ94" s="1968"/>
      <c r="AK94" s="1968"/>
      <c r="AL94" s="1968"/>
      <c r="AM94" s="1968"/>
      <c r="AN94" s="1968"/>
      <c r="AO94" s="1968"/>
      <c r="AP94" s="1968"/>
      <c r="AQ94" s="1968"/>
      <c r="AR94" s="1968"/>
      <c r="AS94" s="1968"/>
      <c r="AT94" s="1968"/>
      <c r="AU94" s="1968"/>
      <c r="AV94" s="1968"/>
      <c r="AW94" s="1968"/>
      <c r="AX94" s="1968"/>
      <c r="AY94" s="1968"/>
      <c r="AZ94" s="1968"/>
      <c r="BA94" s="1968"/>
      <c r="BB94" s="1968"/>
      <c r="BC94" s="1968"/>
      <c r="BD94" s="1968"/>
      <c r="BE94" s="1968"/>
      <c r="BF94" s="1968"/>
      <c r="BG94" s="1968"/>
      <c r="BH94" s="1968"/>
      <c r="BI94" s="1968"/>
      <c r="BJ94" s="1968"/>
      <c r="BK94" s="1968"/>
      <c r="BL94" s="1968"/>
      <c r="BM94" s="1968"/>
      <c r="BN94" s="1968"/>
      <c r="BO94" s="1968"/>
      <c r="BP94" s="1968"/>
      <c r="BQ94" s="1968"/>
      <c r="BR94" s="1968"/>
      <c r="BS94" s="1968"/>
      <c r="BT94" s="1968"/>
      <c r="BU94" s="1968"/>
      <c r="BV94" s="1968"/>
      <c r="BW94" s="1968"/>
      <c r="BX94" s="1968"/>
      <c r="BY94" s="1968"/>
      <c r="BZ94" s="1968"/>
      <c r="CA94" s="1968"/>
      <c r="CB94" s="1968"/>
      <c r="CC94" s="1968"/>
      <c r="CD94" s="1968"/>
      <c r="CE94" s="1968"/>
      <c r="CF94" s="1968"/>
      <c r="CG94" s="1968"/>
      <c r="CH94" s="1968"/>
      <c r="CI94" s="1968"/>
      <c r="CJ94" s="1968"/>
      <c r="CK94" s="1968"/>
      <c r="CL94" s="1968"/>
      <c r="CM94" s="1968"/>
      <c r="CN94" s="1968"/>
      <c r="CO94" s="1968"/>
      <c r="CP94" s="1968"/>
      <c r="CQ94" s="1968"/>
      <c r="CR94" s="1968"/>
      <c r="CS94" s="1968"/>
      <c r="CT94" s="1968"/>
      <c r="CU94" s="1968"/>
      <c r="CV94" s="1968"/>
      <c r="CW94" s="1968"/>
      <c r="CX94" s="1968"/>
      <c r="CY94" s="1968"/>
      <c r="CZ94" s="1968"/>
      <c r="DA94" s="1968"/>
      <c r="DB94" s="1968"/>
      <c r="DC94" s="1968"/>
    </row>
    <row r="95" spans="1:107" s="1411" customFormat="1" x14ac:dyDescent="0.25">
      <c r="A95" s="1417"/>
      <c r="B95" s="1417"/>
      <c r="C95" s="1968"/>
      <c r="D95" s="1968"/>
      <c r="E95" s="1968"/>
      <c r="F95" s="1968"/>
      <c r="G95" s="1968"/>
      <c r="H95" s="1968"/>
      <c r="I95" s="1968"/>
      <c r="J95" s="1968"/>
      <c r="K95" s="1968"/>
      <c r="L95" s="1968"/>
      <c r="M95" s="1968"/>
      <c r="N95" s="1968"/>
      <c r="O95" s="1968"/>
      <c r="P95" s="1968"/>
      <c r="Q95" s="1968"/>
      <c r="R95" s="1968"/>
      <c r="S95" s="1968"/>
      <c r="T95" s="1968"/>
      <c r="U95" s="1968"/>
      <c r="V95" s="1968"/>
      <c r="W95" s="1968"/>
      <c r="X95" s="1968"/>
      <c r="Y95" s="1968"/>
      <c r="Z95" s="1968"/>
      <c r="AA95" s="1968"/>
      <c r="AB95" s="1968"/>
      <c r="AC95" s="1968"/>
      <c r="AD95" s="1968"/>
      <c r="AE95" s="1968"/>
      <c r="AF95" s="1968"/>
      <c r="AG95" s="1968"/>
      <c r="AH95" s="1968"/>
      <c r="AI95" s="1968"/>
      <c r="AJ95" s="1968"/>
      <c r="AK95" s="1968"/>
      <c r="AL95" s="1968"/>
      <c r="AM95" s="1968"/>
      <c r="AN95" s="1968"/>
      <c r="AO95" s="1968"/>
      <c r="AP95" s="1968"/>
      <c r="AQ95" s="1968"/>
      <c r="AR95" s="1968"/>
      <c r="AS95" s="1968"/>
      <c r="AT95" s="1968"/>
      <c r="AU95" s="1968"/>
      <c r="AV95" s="1968"/>
      <c r="AW95" s="1968"/>
      <c r="AX95" s="1968"/>
      <c r="AY95" s="1968"/>
      <c r="AZ95" s="1968"/>
      <c r="BA95" s="1968"/>
      <c r="BB95" s="1968"/>
      <c r="BC95" s="1968"/>
      <c r="BD95" s="1968"/>
      <c r="BE95" s="1968"/>
      <c r="BF95" s="1968"/>
      <c r="BG95" s="1968"/>
      <c r="BH95" s="1968"/>
      <c r="BI95" s="1968"/>
      <c r="BJ95" s="1968"/>
      <c r="BK95" s="1968"/>
      <c r="BL95" s="1968"/>
      <c r="BM95" s="1968"/>
      <c r="BN95" s="1968"/>
      <c r="BO95" s="1968"/>
      <c r="BP95" s="1968"/>
      <c r="BQ95" s="1968"/>
      <c r="BR95" s="1968"/>
      <c r="BS95" s="1968"/>
      <c r="BT95" s="1968"/>
      <c r="BU95" s="1968"/>
      <c r="BV95" s="1968"/>
      <c r="BW95" s="1968"/>
      <c r="BX95" s="1968"/>
      <c r="BY95" s="1968"/>
      <c r="BZ95" s="1968"/>
      <c r="CA95" s="1968"/>
      <c r="CB95" s="1968"/>
      <c r="CC95" s="1968"/>
      <c r="CD95" s="1968"/>
      <c r="CE95" s="1968"/>
      <c r="CF95" s="1968"/>
      <c r="CG95" s="1968"/>
      <c r="CH95" s="1968"/>
      <c r="CI95" s="1968"/>
      <c r="CJ95" s="1968"/>
      <c r="CK95" s="1968"/>
      <c r="CL95" s="1968"/>
      <c r="CM95" s="1968"/>
      <c r="CN95" s="1968"/>
      <c r="CO95" s="1968"/>
      <c r="CP95" s="1968"/>
      <c r="CQ95" s="1968"/>
      <c r="CR95" s="1968"/>
      <c r="CS95" s="1968"/>
      <c r="CT95" s="1968"/>
      <c r="CU95" s="1968"/>
      <c r="CV95" s="1968"/>
      <c r="CW95" s="1968"/>
      <c r="CX95" s="1968"/>
      <c r="CY95" s="1968"/>
      <c r="CZ95" s="1968"/>
      <c r="DA95" s="1968"/>
      <c r="DB95" s="1968"/>
      <c r="DC95" s="1968"/>
    </row>
    <row r="96" spans="1:107" s="1411" customFormat="1" x14ac:dyDescent="0.25">
      <c r="A96" s="1417"/>
      <c r="B96" s="1417"/>
      <c r="C96" s="1968"/>
      <c r="D96" s="1968"/>
      <c r="E96" s="1968"/>
      <c r="F96" s="1968"/>
      <c r="G96" s="1968"/>
      <c r="H96" s="1968"/>
      <c r="I96" s="1968"/>
      <c r="J96" s="1968"/>
      <c r="K96" s="1968"/>
      <c r="L96" s="1968"/>
      <c r="M96" s="1968"/>
      <c r="N96" s="1968"/>
      <c r="O96" s="1968"/>
      <c r="P96" s="1968"/>
      <c r="Q96" s="1968"/>
      <c r="R96" s="1968"/>
      <c r="S96" s="1968"/>
      <c r="T96" s="1968"/>
      <c r="U96" s="1968"/>
      <c r="V96" s="1968"/>
      <c r="W96" s="1968"/>
      <c r="X96" s="1968"/>
      <c r="Y96" s="1968"/>
      <c r="Z96" s="1968"/>
      <c r="AA96" s="1968"/>
      <c r="AB96" s="1968"/>
      <c r="AC96" s="1968"/>
      <c r="AD96" s="1968"/>
      <c r="AE96" s="1968"/>
      <c r="AF96" s="1968"/>
      <c r="AG96" s="1968"/>
      <c r="AH96" s="1968"/>
      <c r="AI96" s="1968"/>
      <c r="AJ96" s="1968"/>
      <c r="AK96" s="1968"/>
      <c r="AL96" s="1968"/>
      <c r="AM96" s="1968"/>
      <c r="AN96" s="1968"/>
      <c r="AO96" s="1968"/>
      <c r="AP96" s="1968"/>
      <c r="AQ96" s="1968"/>
      <c r="AR96" s="1968"/>
      <c r="AS96" s="1968"/>
      <c r="AT96" s="1968"/>
      <c r="AU96" s="1968"/>
      <c r="AV96" s="1968"/>
      <c r="AW96" s="1968"/>
      <c r="AX96" s="1968"/>
      <c r="AY96" s="1968"/>
      <c r="AZ96" s="1968"/>
      <c r="BA96" s="1968"/>
      <c r="BB96" s="1968"/>
      <c r="BC96" s="1968"/>
      <c r="BD96" s="1968"/>
      <c r="BE96" s="1968"/>
      <c r="BF96" s="1968"/>
      <c r="BG96" s="1968"/>
      <c r="BH96" s="1968"/>
      <c r="BI96" s="1968"/>
      <c r="BJ96" s="1968"/>
      <c r="BK96" s="1968"/>
      <c r="BL96" s="1968"/>
      <c r="BM96" s="1968"/>
      <c r="BN96" s="1968"/>
      <c r="BO96" s="1968"/>
      <c r="BP96" s="1968"/>
      <c r="BQ96" s="1968"/>
      <c r="BR96" s="1968"/>
      <c r="BS96" s="1968"/>
      <c r="BT96" s="1968"/>
      <c r="BU96" s="1968"/>
      <c r="BV96" s="1968"/>
      <c r="BW96" s="1968"/>
      <c r="BX96" s="1968"/>
      <c r="BY96" s="1968"/>
      <c r="BZ96" s="1968"/>
      <c r="CA96" s="1968"/>
      <c r="CB96" s="1968"/>
      <c r="CC96" s="1968"/>
      <c r="CD96" s="1968"/>
      <c r="CE96" s="1968"/>
      <c r="CF96" s="1968"/>
      <c r="CG96" s="1968"/>
      <c r="CH96" s="1968"/>
      <c r="CI96" s="1968"/>
      <c r="CJ96" s="1968"/>
      <c r="CK96" s="1968"/>
      <c r="CL96" s="1968"/>
      <c r="CM96" s="1968"/>
      <c r="CN96" s="1968"/>
      <c r="CO96" s="1968"/>
      <c r="CP96" s="1968"/>
      <c r="CQ96" s="1968"/>
      <c r="CR96" s="1968"/>
      <c r="CS96" s="1968"/>
      <c r="CT96" s="1968"/>
      <c r="CU96" s="1968"/>
      <c r="CV96" s="1968"/>
      <c r="CW96" s="1968"/>
      <c r="CX96" s="1968"/>
      <c r="CY96" s="1968"/>
      <c r="CZ96" s="1968"/>
      <c r="DA96" s="1968"/>
      <c r="DB96" s="1968"/>
      <c r="DC96" s="1968"/>
    </row>
    <row r="98" spans="1:107" s="1411" customFormat="1" x14ac:dyDescent="0.25">
      <c r="A98" s="1417"/>
      <c r="B98" s="1417"/>
      <c r="C98" s="1968"/>
      <c r="D98" s="1968"/>
      <c r="E98" s="1968"/>
      <c r="F98" s="1968"/>
      <c r="G98" s="1968"/>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O98" s="1968"/>
      <c r="CP98" s="1968"/>
      <c r="CQ98" s="1968"/>
      <c r="CR98" s="1968"/>
      <c r="CS98" s="1968"/>
      <c r="CT98" s="1968"/>
      <c r="CU98" s="1968"/>
      <c r="CV98" s="1968"/>
      <c r="CW98" s="1968"/>
      <c r="CX98" s="1968"/>
      <c r="CY98" s="1968"/>
      <c r="CZ98" s="1968"/>
      <c r="DA98" s="1968"/>
      <c r="DB98" s="1968"/>
      <c r="DC98" s="1968"/>
    </row>
  </sheetData>
  <mergeCells count="24">
    <mergeCell ref="A42:A48"/>
    <mergeCell ref="A2:B2"/>
    <mergeCell ref="M2:Q3"/>
    <mergeCell ref="R2:V3"/>
    <mergeCell ref="AB2:AF3"/>
    <mergeCell ref="H2:L3"/>
    <mergeCell ref="W2:AA3"/>
    <mergeCell ref="A3:B3"/>
    <mergeCell ref="C2:F3"/>
    <mergeCell ref="CY2:DC3"/>
    <mergeCell ref="AV2:AZ3"/>
    <mergeCell ref="BA2:BE3"/>
    <mergeCell ref="BF2:BJ3"/>
    <mergeCell ref="AG2:AK3"/>
    <mergeCell ref="CT2:CX3"/>
    <mergeCell ref="BK2:BO3"/>
    <mergeCell ref="AQ2:AU3"/>
    <mergeCell ref="AL2:AP3"/>
    <mergeCell ref="BP2:BT3"/>
    <mergeCell ref="BU2:BY3"/>
    <mergeCell ref="BZ2:CD3"/>
    <mergeCell ref="CE2:CI3"/>
    <mergeCell ref="CJ2:CN3"/>
    <mergeCell ref="CO2:CS3"/>
  </mergeCells>
  <pageMargins left="0.7" right="0.7" top="0.75" bottom="0.75" header="0.3" footer="0.3"/>
  <pageSetup paperSize="9" orientation="portrait" r:id="rId1"/>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6" tint="0.59999389629810485"/>
  </sheetPr>
  <dimension ref="A1:DC98"/>
  <sheetViews>
    <sheetView topLeftCell="B1" zoomScale="85" zoomScaleNormal="85" workbookViewId="0">
      <pane xSplit="1" ySplit="4" topLeftCell="AO58" activePane="bottomRight" state="frozen"/>
      <selection activeCell="CJ2" sqref="CJ2:CS3"/>
      <selection pane="topRight" activeCell="CJ2" sqref="CJ2:CS3"/>
      <selection pane="bottomLeft" activeCell="CJ2" sqref="CJ2:CS3"/>
      <selection pane="bottomRight" activeCell="BE63" sqref="BE63"/>
    </sheetView>
  </sheetViews>
  <sheetFormatPr defaultColWidth="7.44140625" defaultRowHeight="13.2" outlineLevelCol="1" x14ac:dyDescent="0.25"/>
  <cols>
    <col min="1" max="1" width="5.5546875" style="1417" customWidth="1"/>
    <col min="2" max="2" width="47.44140625" style="1417" customWidth="1"/>
    <col min="3" max="5" width="21.44140625" style="1968" hidden="1" customWidth="1" outlineLevel="1"/>
    <col min="6" max="6" width="16" style="1968" hidden="1" customWidth="1" outlineLevel="1"/>
    <col min="7" max="15" width="21.44140625" style="1968" hidden="1" customWidth="1" outlineLevel="1"/>
    <col min="16" max="16" width="15.5546875" style="1968" hidden="1" customWidth="1" outlineLevel="1"/>
    <col min="17" max="17" width="42.33203125" style="1968" hidden="1" customWidth="1" outlineLevel="1"/>
    <col min="18" max="27" width="21.44140625" style="1968" hidden="1" customWidth="1" outlineLevel="1"/>
    <col min="28" max="28" width="16.33203125" style="1968" hidden="1" customWidth="1" outlineLevel="1"/>
    <col min="29" max="29" width="17.5546875" style="1968" hidden="1" customWidth="1" outlineLevel="1"/>
    <col min="30" max="32" width="21.44140625" style="1968" hidden="1" customWidth="1" outlineLevel="1"/>
    <col min="33" max="33" width="13.33203125" style="1968" hidden="1" customWidth="1" outlineLevel="1" collapsed="1"/>
    <col min="34" max="37" width="13.33203125" style="1968" hidden="1" customWidth="1" outlineLevel="1"/>
    <col min="38" max="38" width="13.6640625" style="1968" customWidth="1" collapsed="1"/>
    <col min="39" max="42" width="13.6640625" style="1968" customWidth="1"/>
    <col min="43" max="45" width="13.6640625" style="1968" hidden="1" customWidth="1" outlineLevel="1"/>
    <col min="46" max="46" width="10.109375" style="1968" hidden="1" customWidth="1" outlineLevel="1"/>
    <col min="47" max="47" width="28" style="1968" hidden="1" customWidth="1" outlineLevel="1"/>
    <col min="48" max="48" width="13.88671875" style="1968" hidden="1" customWidth="1" outlineLevel="1" collapsed="1"/>
    <col min="49" max="51" width="13.88671875" style="1968" hidden="1" customWidth="1" outlineLevel="1"/>
    <col min="52" max="52" width="31.88671875" style="1968" hidden="1" customWidth="1" outlineLevel="1"/>
    <col min="53" max="53" width="13.88671875" style="1968" customWidth="1" collapsed="1"/>
    <col min="54" max="56" width="13.88671875" style="1968" customWidth="1"/>
    <col min="57" max="57" width="31.88671875" style="1968" customWidth="1"/>
    <col min="58" max="61" width="13.88671875" style="1968" hidden="1" customWidth="1" outlineLevel="1"/>
    <col min="62" max="62" width="36.109375" style="1968" hidden="1" customWidth="1" outlineLevel="1"/>
    <col min="63" max="66" width="13.88671875" style="1968" hidden="1" customWidth="1" outlineLevel="1"/>
    <col min="67" max="67" width="36.109375" style="1968" hidden="1" customWidth="1" outlineLevel="1"/>
    <col min="68" max="71" width="13.88671875" style="1968" hidden="1" customWidth="1" outlineLevel="1"/>
    <col min="72" max="72" width="36.109375" style="1968" hidden="1" customWidth="1" outlineLevel="1"/>
    <col min="73" max="73" width="13.88671875" style="1968" hidden="1" customWidth="1" outlineLevel="1" collapsed="1"/>
    <col min="74" max="76" width="13.88671875" style="1968" hidden="1" customWidth="1" outlineLevel="1"/>
    <col min="77" max="77" width="19.109375" style="1968" hidden="1" customWidth="1" outlineLevel="1"/>
    <col min="78" max="82" width="13.88671875" style="1968" hidden="1" customWidth="1" outlineLevel="1"/>
    <col min="83" max="83" width="13.88671875" style="1968" hidden="1" customWidth="1" outlineLevel="1" collapsed="1"/>
    <col min="84" max="86" width="13.88671875" style="1968" hidden="1" customWidth="1" outlineLevel="1"/>
    <col min="87" max="87" width="15.33203125" style="1968" hidden="1" customWidth="1" outlineLevel="1"/>
    <col min="88" max="88" width="13.88671875" style="1968" hidden="1" customWidth="1" outlineLevel="1" collapsed="1"/>
    <col min="89" max="91" width="13.88671875" style="1968" hidden="1" customWidth="1" outlineLevel="1"/>
    <col min="92" max="92" width="15.33203125" style="1968" hidden="1" customWidth="1" outlineLevel="1"/>
    <col min="93" max="93" width="13.88671875" style="1968" hidden="1" customWidth="1" outlineLevel="1" collapsed="1"/>
    <col min="94" max="96" width="13.88671875" style="1968" hidden="1" customWidth="1" outlineLevel="1"/>
    <col min="97" max="97" width="15.33203125" style="1968" hidden="1" customWidth="1" outlineLevel="1"/>
    <col min="98" max="101" width="13.88671875" style="1968" hidden="1" customWidth="1" outlineLevel="1"/>
    <col min="102" max="102" width="25.109375" style="1968" hidden="1" customWidth="1" outlineLevel="1"/>
    <col min="103" max="103" width="16.33203125" style="1968" customWidth="1" collapsed="1"/>
    <col min="104" max="105" width="16.33203125" style="1968" customWidth="1"/>
    <col min="106" max="106" width="12.88671875" style="1968" customWidth="1"/>
    <col min="107" max="107" width="16.33203125" style="1968" customWidth="1"/>
    <col min="108" max="16384" width="7.44140625" style="1410"/>
  </cols>
  <sheetData>
    <row r="1" spans="1:107" ht="13.8" thickBot="1" x14ac:dyDescent="0.3">
      <c r="AQ1" s="1968" t="s">
        <v>154</v>
      </c>
    </row>
    <row r="2" spans="1:107" ht="14.4" customHeight="1" x14ac:dyDescent="0.25">
      <c r="A2" s="4016" t="s">
        <v>1110</v>
      </c>
      <c r="B2" s="4017"/>
      <c r="C2" s="4053" t="s">
        <v>1075</v>
      </c>
      <c r="D2" s="4054"/>
      <c r="E2" s="4054"/>
      <c r="F2" s="4054"/>
      <c r="G2" s="3271"/>
      <c r="H2" s="4368" t="s">
        <v>1079</v>
      </c>
      <c r="I2" s="4369"/>
      <c r="J2" s="4369"/>
      <c r="K2" s="4369"/>
      <c r="L2" s="4370"/>
      <c r="M2" s="4172" t="s">
        <v>1161</v>
      </c>
      <c r="N2" s="4173"/>
      <c r="O2" s="4173"/>
      <c r="P2" s="4173"/>
      <c r="Q2" s="4174"/>
      <c r="R2" s="4071" t="s">
        <v>1303</v>
      </c>
      <c r="S2" s="4072"/>
      <c r="T2" s="4072"/>
      <c r="U2" s="4072"/>
      <c r="V2" s="4073"/>
      <c r="W2" s="4077" t="s">
        <v>1383</v>
      </c>
      <c r="X2" s="4078"/>
      <c r="Y2" s="4078"/>
      <c r="Z2" s="4078"/>
      <c r="AA2" s="4079"/>
      <c r="AB2" s="4053" t="s">
        <v>1470</v>
      </c>
      <c r="AC2" s="4054"/>
      <c r="AD2" s="4054"/>
      <c r="AE2" s="4054"/>
      <c r="AF2" s="4055"/>
      <c r="AG2" s="4059" t="s">
        <v>1668</v>
      </c>
      <c r="AH2" s="4060"/>
      <c r="AI2" s="4060"/>
      <c r="AJ2" s="4060"/>
      <c r="AK2" s="4061"/>
      <c r="AL2" s="4083" t="s">
        <v>2124</v>
      </c>
      <c r="AM2" s="4084"/>
      <c r="AN2" s="4084"/>
      <c r="AO2" s="4084"/>
      <c r="AP2" s="4085"/>
      <c r="AQ2" s="4256">
        <v>45292</v>
      </c>
      <c r="AR2" s="4024"/>
      <c r="AS2" s="4024"/>
      <c r="AT2" s="4024"/>
      <c r="AU2" s="4025"/>
      <c r="AV2" s="4269">
        <v>45323</v>
      </c>
      <c r="AW2" s="4270"/>
      <c r="AX2" s="4270"/>
      <c r="AY2" s="4270"/>
      <c r="AZ2" s="4271"/>
      <c r="BA2" s="4276">
        <v>45352</v>
      </c>
      <c r="BB2" s="4204"/>
      <c r="BC2" s="4204"/>
      <c r="BD2" s="4204"/>
      <c r="BE2" s="4205"/>
      <c r="BF2" s="4277">
        <v>45383</v>
      </c>
      <c r="BG2" s="4278"/>
      <c r="BH2" s="4278"/>
      <c r="BI2" s="4278"/>
      <c r="BJ2" s="4279"/>
      <c r="BK2" s="4290">
        <v>45413</v>
      </c>
      <c r="BL2" s="4291"/>
      <c r="BM2" s="4291"/>
      <c r="BN2" s="4291"/>
      <c r="BO2" s="4292"/>
      <c r="BP2" s="4283">
        <v>45444</v>
      </c>
      <c r="BQ2" s="4072"/>
      <c r="BR2" s="4072"/>
      <c r="BS2" s="4072"/>
      <c r="BT2" s="4073"/>
      <c r="BU2" s="4376">
        <v>45474</v>
      </c>
      <c r="BV2" s="4054"/>
      <c r="BW2" s="4054"/>
      <c r="BX2" s="4054"/>
      <c r="BY2" s="4055"/>
      <c r="BZ2" s="4356">
        <v>45505</v>
      </c>
      <c r="CA2" s="4357"/>
      <c r="CB2" s="4357"/>
      <c r="CC2" s="4357"/>
      <c r="CD2" s="4358"/>
      <c r="CE2" s="4362">
        <v>45536</v>
      </c>
      <c r="CF2" s="4363"/>
      <c r="CG2" s="4363"/>
      <c r="CH2" s="4363"/>
      <c r="CI2" s="4364"/>
      <c r="CJ2" s="4095">
        <v>45566</v>
      </c>
      <c r="CK2" s="4096"/>
      <c r="CL2" s="4096"/>
      <c r="CM2" s="4096"/>
      <c r="CN2" s="4097"/>
      <c r="CO2" s="4244">
        <v>45597</v>
      </c>
      <c r="CP2" s="4245"/>
      <c r="CQ2" s="4245"/>
      <c r="CR2" s="4245"/>
      <c r="CS2" s="4246"/>
      <c r="CT2" s="4250">
        <v>45627</v>
      </c>
      <c r="CU2" s="4251"/>
      <c r="CV2" s="4251"/>
      <c r="CW2" s="4251"/>
      <c r="CX2" s="4252"/>
      <c r="CY2" s="4089" t="s">
        <v>2201</v>
      </c>
      <c r="CZ2" s="4090"/>
      <c r="DA2" s="4090"/>
      <c r="DB2" s="4090"/>
      <c r="DC2" s="4091"/>
    </row>
    <row r="3" spans="1:107" ht="15" customHeight="1" thickBot="1" x14ac:dyDescent="0.3">
      <c r="A3" s="4035" t="s">
        <v>54</v>
      </c>
      <c r="B3" s="4036"/>
      <c r="C3" s="4056"/>
      <c r="D3" s="4057"/>
      <c r="E3" s="4057"/>
      <c r="F3" s="4057"/>
      <c r="G3" s="3272"/>
      <c r="H3" s="4371"/>
      <c r="I3" s="4372"/>
      <c r="J3" s="4372"/>
      <c r="K3" s="4372"/>
      <c r="L3" s="4373"/>
      <c r="M3" s="4175"/>
      <c r="N3" s="4176"/>
      <c r="O3" s="4176"/>
      <c r="P3" s="4176"/>
      <c r="Q3" s="4177"/>
      <c r="R3" s="4074"/>
      <c r="S3" s="4075"/>
      <c r="T3" s="4075"/>
      <c r="U3" s="4075"/>
      <c r="V3" s="4076"/>
      <c r="W3" s="4080"/>
      <c r="X3" s="4081"/>
      <c r="Y3" s="4081"/>
      <c r="Z3" s="4081"/>
      <c r="AA3" s="4082"/>
      <c r="AB3" s="4056"/>
      <c r="AC3" s="4057"/>
      <c r="AD3" s="4057"/>
      <c r="AE3" s="4057"/>
      <c r="AF3" s="4058"/>
      <c r="AG3" s="4062"/>
      <c r="AH3" s="4063"/>
      <c r="AI3" s="4063"/>
      <c r="AJ3" s="4063"/>
      <c r="AK3" s="4064"/>
      <c r="AL3" s="4086"/>
      <c r="AM3" s="4087"/>
      <c r="AN3" s="4087"/>
      <c r="AO3" s="4087"/>
      <c r="AP3" s="4088"/>
      <c r="AQ3" s="4026"/>
      <c r="AR3" s="4027"/>
      <c r="AS3" s="4027"/>
      <c r="AT3" s="4027"/>
      <c r="AU3" s="4028"/>
      <c r="AV3" s="4272"/>
      <c r="AW3" s="4273"/>
      <c r="AX3" s="4273"/>
      <c r="AY3" s="4273"/>
      <c r="AZ3" s="4274"/>
      <c r="BA3" s="4206"/>
      <c r="BB3" s="4207"/>
      <c r="BC3" s="4207"/>
      <c r="BD3" s="4207"/>
      <c r="BE3" s="4208"/>
      <c r="BF3" s="4280"/>
      <c r="BG3" s="4281"/>
      <c r="BH3" s="4281"/>
      <c r="BI3" s="4281"/>
      <c r="BJ3" s="4282"/>
      <c r="BK3" s="4293"/>
      <c r="BL3" s="4294"/>
      <c r="BM3" s="4294"/>
      <c r="BN3" s="4294"/>
      <c r="BO3" s="4295"/>
      <c r="BP3" s="4074"/>
      <c r="BQ3" s="4075"/>
      <c r="BR3" s="4075"/>
      <c r="BS3" s="4075"/>
      <c r="BT3" s="4076"/>
      <c r="BU3" s="4056"/>
      <c r="BV3" s="4057"/>
      <c r="BW3" s="4057"/>
      <c r="BX3" s="4057"/>
      <c r="BY3" s="4058"/>
      <c r="BZ3" s="4359"/>
      <c r="CA3" s="4360"/>
      <c r="CB3" s="4360"/>
      <c r="CC3" s="4360"/>
      <c r="CD3" s="4361"/>
      <c r="CE3" s="4365"/>
      <c r="CF3" s="4366"/>
      <c r="CG3" s="4366"/>
      <c r="CH3" s="4366"/>
      <c r="CI3" s="4367"/>
      <c r="CJ3" s="4098"/>
      <c r="CK3" s="4099"/>
      <c r="CL3" s="4099"/>
      <c r="CM3" s="4099"/>
      <c r="CN3" s="4100"/>
      <c r="CO3" s="4247"/>
      <c r="CP3" s="4248"/>
      <c r="CQ3" s="4248"/>
      <c r="CR3" s="4248"/>
      <c r="CS3" s="4249"/>
      <c r="CT3" s="4253"/>
      <c r="CU3" s="4254"/>
      <c r="CV3" s="4254"/>
      <c r="CW3" s="4254"/>
      <c r="CX3" s="4255"/>
      <c r="CY3" s="4092"/>
      <c r="CZ3" s="4093"/>
      <c r="DA3" s="4093"/>
      <c r="DB3" s="4093"/>
      <c r="DC3" s="4094"/>
    </row>
    <row r="4" spans="1:107" ht="51" customHeight="1" thickBot="1" x14ac:dyDescent="0.3">
      <c r="A4" s="1486"/>
      <c r="B4" s="1487" t="s">
        <v>11</v>
      </c>
      <c r="C4" s="1972" t="s">
        <v>55</v>
      </c>
      <c r="D4" s="1972" t="s">
        <v>18</v>
      </c>
      <c r="E4" s="1489" t="s">
        <v>39</v>
      </c>
      <c r="F4" s="1978" t="s">
        <v>40</v>
      </c>
      <c r="G4" s="1489" t="s">
        <v>19</v>
      </c>
      <c r="H4" s="1972"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55</v>
      </c>
      <c r="X4" s="1972" t="s">
        <v>18</v>
      </c>
      <c r="Y4" s="1489" t="s">
        <v>39</v>
      </c>
      <c r="Z4" s="1978" t="s">
        <v>40</v>
      </c>
      <c r="AA4" s="1489" t="s">
        <v>19</v>
      </c>
      <c r="AB4" s="1972" t="s">
        <v>55</v>
      </c>
      <c r="AC4" s="1972" t="s">
        <v>18</v>
      </c>
      <c r="AD4" s="1489" t="s">
        <v>39</v>
      </c>
      <c r="AE4" s="1978" t="s">
        <v>40</v>
      </c>
      <c r="AF4" s="1489" t="s">
        <v>19</v>
      </c>
      <c r="AG4" s="1972" t="s">
        <v>968</v>
      </c>
      <c r="AH4" s="1972" t="s">
        <v>18</v>
      </c>
      <c r="AI4" s="1489" t="s">
        <v>39</v>
      </c>
      <c r="AJ4" s="1978" t="s">
        <v>40</v>
      </c>
      <c r="AK4" s="1489" t="s">
        <v>19</v>
      </c>
      <c r="AL4" s="1972" t="s">
        <v>55</v>
      </c>
      <c r="AM4" s="1972" t="s">
        <v>18</v>
      </c>
      <c r="AN4" s="1489" t="s">
        <v>39</v>
      </c>
      <c r="AO4" s="1978" t="s">
        <v>40</v>
      </c>
      <c r="AP4" s="1489" t="s">
        <v>19</v>
      </c>
      <c r="AQ4" s="1972" t="s">
        <v>55</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O4" s="1972" t="s">
        <v>55</v>
      </c>
      <c r="CP4" s="1972" t="s">
        <v>18</v>
      </c>
      <c r="CQ4" s="1489" t="s">
        <v>39</v>
      </c>
      <c r="CR4" s="1978" t="s">
        <v>40</v>
      </c>
      <c r="CS4" s="1489" t="s">
        <v>19</v>
      </c>
      <c r="CT4" s="1972" t="s">
        <v>55</v>
      </c>
      <c r="CU4" s="1972" t="s">
        <v>18</v>
      </c>
      <c r="CV4" s="1489" t="s">
        <v>39</v>
      </c>
      <c r="CW4" s="1978" t="s">
        <v>40</v>
      </c>
      <c r="CX4" s="1489" t="s">
        <v>19</v>
      </c>
      <c r="CY4" s="1972" t="s">
        <v>55</v>
      </c>
      <c r="CZ4" s="1972" t="s">
        <v>18</v>
      </c>
      <c r="DA4" s="1489" t="s">
        <v>39</v>
      </c>
      <c r="DB4" s="1978" t="s">
        <v>40</v>
      </c>
      <c r="DC4" s="1489" t="s">
        <v>19</v>
      </c>
    </row>
    <row r="5" spans="1:107" s="2483" customFormat="1" ht="14.4" thickBot="1" x14ac:dyDescent="0.3">
      <c r="A5" s="1477"/>
      <c r="B5" s="1478" t="s">
        <v>10</v>
      </c>
      <c r="C5" s="1481">
        <f>C6</f>
        <v>0</v>
      </c>
      <c r="D5" s="1481">
        <f>D6</f>
        <v>0</v>
      </c>
      <c r="E5" s="1481">
        <f>E6</f>
        <v>0</v>
      </c>
      <c r="F5" s="1481"/>
      <c r="G5" s="1481"/>
      <c r="H5" s="1481">
        <f>H6</f>
        <v>283916</v>
      </c>
      <c r="I5" s="1481">
        <f>I6</f>
        <v>0</v>
      </c>
      <c r="J5" s="1481">
        <f>J6</f>
        <v>283916</v>
      </c>
      <c r="K5" s="1481"/>
      <c r="L5" s="1481"/>
      <c r="M5" s="1481">
        <f>M6</f>
        <v>396174.51</v>
      </c>
      <c r="N5" s="1481">
        <f>N6</f>
        <v>0</v>
      </c>
      <c r="O5" s="1481">
        <f>O6</f>
        <v>396174.51</v>
      </c>
      <c r="P5" s="1481"/>
      <c r="Q5" s="1481"/>
      <c r="R5" s="1481">
        <f>R6</f>
        <v>300720</v>
      </c>
      <c r="S5" s="1481">
        <f>S6</f>
        <v>0</v>
      </c>
      <c r="T5" s="1481">
        <f>T6</f>
        <v>300720</v>
      </c>
      <c r="U5" s="1481"/>
      <c r="V5" s="1481"/>
      <c r="W5" s="1481">
        <f>W6</f>
        <v>346167.54</v>
      </c>
      <c r="X5" s="1481">
        <f>X6</f>
        <v>0</v>
      </c>
      <c r="Y5" s="1481">
        <f>Y6</f>
        <v>346167.54</v>
      </c>
      <c r="Z5" s="1481"/>
      <c r="AA5" s="1481"/>
      <c r="AB5" s="1481">
        <f>AB6</f>
        <v>277920</v>
      </c>
      <c r="AC5" s="1481">
        <f>AC6</f>
        <v>0</v>
      </c>
      <c r="AD5" s="1481">
        <f>AD6</f>
        <v>277920</v>
      </c>
      <c r="AE5" s="1481"/>
      <c r="AF5" s="1481"/>
      <c r="AG5" s="1481">
        <v>1089888.26</v>
      </c>
      <c r="AH5" s="1481">
        <v>167177.5</v>
      </c>
      <c r="AI5" s="1481">
        <v>1257065.76</v>
      </c>
      <c r="AJ5" s="1481"/>
      <c r="AK5" s="1481"/>
      <c r="AL5" s="1481">
        <f>AL6+AL7</f>
        <v>0</v>
      </c>
      <c r="AM5" s="1481">
        <f>AM6+AM7</f>
        <v>0</v>
      </c>
      <c r="AN5" s="1481">
        <f>AN6+AN7</f>
        <v>0</v>
      </c>
      <c r="AO5" s="1481"/>
      <c r="AP5" s="1481"/>
      <c r="AQ5" s="1481">
        <f>AQ6</f>
        <v>0</v>
      </c>
      <c r="AR5" s="1481">
        <f>AR6</f>
        <v>0</v>
      </c>
      <c r="AS5" s="1481">
        <f>AS6</f>
        <v>0</v>
      </c>
      <c r="AT5" s="1481"/>
      <c r="AU5" s="1481"/>
      <c r="AV5" s="1481">
        <f>AV6</f>
        <v>0</v>
      </c>
      <c r="AW5" s="1481">
        <f>AW6</f>
        <v>0</v>
      </c>
      <c r="AX5" s="1481">
        <f>AX6+AX7</f>
        <v>0</v>
      </c>
      <c r="AY5" s="1481"/>
      <c r="AZ5" s="1481"/>
      <c r="BA5" s="1481">
        <f>BA6</f>
        <v>0</v>
      </c>
      <c r="BB5" s="1481">
        <f>BB6</f>
        <v>0</v>
      </c>
      <c r="BC5" s="1481">
        <f>BC6+BC7</f>
        <v>0</v>
      </c>
      <c r="BD5" s="1481"/>
      <c r="BE5" s="1481"/>
      <c r="BF5" s="1481">
        <f>BF6</f>
        <v>0</v>
      </c>
      <c r="BG5" s="1481">
        <f>BG6</f>
        <v>0</v>
      </c>
      <c r="BH5" s="1481">
        <f>BH6+BH7</f>
        <v>0</v>
      </c>
      <c r="BI5" s="1481"/>
      <c r="BJ5" s="1481"/>
      <c r="BK5" s="1481">
        <f>BK6</f>
        <v>0</v>
      </c>
      <c r="BL5" s="1481">
        <f>BL6</f>
        <v>0</v>
      </c>
      <c r="BM5" s="1481">
        <f>BM6+BM7</f>
        <v>0</v>
      </c>
      <c r="BN5" s="1481"/>
      <c r="BO5" s="1481"/>
      <c r="BP5" s="1481">
        <f>BP6</f>
        <v>0</v>
      </c>
      <c r="BQ5" s="1481">
        <f>BQ6</f>
        <v>0</v>
      </c>
      <c r="BR5" s="1481">
        <f>BR6+BR7</f>
        <v>0</v>
      </c>
      <c r="BS5" s="1481"/>
      <c r="BT5" s="1481"/>
      <c r="BU5" s="1481">
        <f>BU6</f>
        <v>0</v>
      </c>
      <c r="BV5" s="1481">
        <f>BV6</f>
        <v>0</v>
      </c>
      <c r="BW5" s="1481">
        <f>BW6+BW7</f>
        <v>0</v>
      </c>
      <c r="BX5" s="1481"/>
      <c r="BY5" s="1481"/>
      <c r="BZ5" s="1481">
        <f>BZ6</f>
        <v>0</v>
      </c>
      <c r="CA5" s="1481">
        <f>CA6</f>
        <v>0</v>
      </c>
      <c r="CB5" s="1481">
        <f>CB6+CB7</f>
        <v>0</v>
      </c>
      <c r="CC5" s="1481"/>
      <c r="CD5" s="1481"/>
      <c r="CE5" s="1481">
        <f>CE6</f>
        <v>0</v>
      </c>
      <c r="CF5" s="1481">
        <f>CF6</f>
        <v>0</v>
      </c>
      <c r="CG5" s="1481">
        <f>CG6+CG7</f>
        <v>0</v>
      </c>
      <c r="CH5" s="1481"/>
      <c r="CI5" s="1481"/>
      <c r="CJ5" s="1481">
        <f>CJ6</f>
        <v>0</v>
      </c>
      <c r="CK5" s="1481">
        <f>CK6</f>
        <v>0</v>
      </c>
      <c r="CL5" s="1481">
        <f>CL6+CL7</f>
        <v>0</v>
      </c>
      <c r="CM5" s="1481"/>
      <c r="CN5" s="1481"/>
      <c r="CO5" s="1481">
        <f>CO6</f>
        <v>0</v>
      </c>
      <c r="CP5" s="1481">
        <f>CP6</f>
        <v>0</v>
      </c>
      <c r="CQ5" s="1481">
        <f>CQ6+CQ7</f>
        <v>0</v>
      </c>
      <c r="CR5" s="1481"/>
      <c r="CS5" s="1481"/>
      <c r="CT5" s="1481">
        <f>CT6</f>
        <v>0</v>
      </c>
      <c r="CU5" s="1481">
        <f>CU6</f>
        <v>0</v>
      </c>
      <c r="CV5" s="1481">
        <f>CV6+CV7</f>
        <v>0</v>
      </c>
      <c r="CW5" s="1481"/>
      <c r="CX5" s="1481"/>
      <c r="CY5" s="1481">
        <f>CY6+CY7</f>
        <v>2694786.31</v>
      </c>
      <c r="CZ5" s="1481">
        <f>CZ6+CZ7</f>
        <v>167177.5</v>
      </c>
      <c r="DA5" s="1481">
        <f>DA6+DA7</f>
        <v>2861963.81</v>
      </c>
      <c r="DB5" s="1481"/>
      <c r="DC5" s="1481"/>
    </row>
    <row r="6" spans="1:107" s="1411" customFormat="1" ht="61.95" customHeight="1" x14ac:dyDescent="0.25">
      <c r="A6" s="3273">
        <v>0</v>
      </c>
      <c r="B6" s="1418" t="s">
        <v>17</v>
      </c>
      <c r="C6" s="3274"/>
      <c r="D6" s="3274"/>
      <c r="E6" s="2028">
        <f>C6+D6</f>
        <v>0</v>
      </c>
      <c r="F6" s="3274"/>
      <c r="G6" s="3275"/>
      <c r="H6" s="3274">
        <v>283916</v>
      </c>
      <c r="I6" s="3274"/>
      <c r="J6" s="2028">
        <f>H6+I6</f>
        <v>283916</v>
      </c>
      <c r="K6" s="3274"/>
      <c r="L6" s="3275"/>
      <c r="M6" s="3274">
        <f>49692+346482.51</f>
        <v>396174.51</v>
      </c>
      <c r="N6" s="3274"/>
      <c r="O6" s="2028">
        <f>M6+N6</f>
        <v>396174.51</v>
      </c>
      <c r="P6" s="3274"/>
      <c r="Q6" s="3275" t="s">
        <v>1247</v>
      </c>
      <c r="R6" s="3274">
        <v>300720</v>
      </c>
      <c r="S6" s="3274"/>
      <c r="T6" s="2028">
        <f>R6+S6</f>
        <v>300720</v>
      </c>
      <c r="U6" s="3274"/>
      <c r="V6" s="3275"/>
      <c r="W6" s="3274">
        <v>346167.54</v>
      </c>
      <c r="X6" s="3274"/>
      <c r="Y6" s="2028">
        <f>W6+X6</f>
        <v>346167.54</v>
      </c>
      <c r="Z6" s="3274"/>
      <c r="AA6" s="3275" t="s">
        <v>1423</v>
      </c>
      <c r="AB6" s="3274">
        <v>277920</v>
      </c>
      <c r="AC6" s="3274"/>
      <c r="AD6" s="2028">
        <f>AB6+AC6</f>
        <v>277920</v>
      </c>
      <c r="AE6" s="3274"/>
      <c r="AF6" s="3275" t="s">
        <v>1472</v>
      </c>
      <c r="AG6" s="3274">
        <v>1089888.26</v>
      </c>
      <c r="AH6" s="3274">
        <v>167177.5</v>
      </c>
      <c r="AI6" s="2028">
        <v>1257065.76</v>
      </c>
      <c r="AJ6" s="3274"/>
      <c r="AK6" s="3276"/>
      <c r="AL6" s="3274">
        <f>AQ6+AV6+BA6+BF6+BK6+BP6+BU6+BZ6+CE6+CJ6+CO6+CT6</f>
        <v>0</v>
      </c>
      <c r="AM6" s="3274">
        <f>AR6+AW6+BB6+BG6+BL6+BQ6+BV6+CA6+CF6+CK6+CP6+CU6</f>
        <v>0</v>
      </c>
      <c r="AN6" s="2028">
        <f>AL6+AM6</f>
        <v>0</v>
      </c>
      <c r="AO6" s="3274"/>
      <c r="AP6" s="3276"/>
      <c r="AQ6" s="3274"/>
      <c r="AR6" s="3274"/>
      <c r="AS6" s="2028">
        <f>AQ6+AR6</f>
        <v>0</v>
      </c>
      <c r="AT6" s="3274"/>
      <c r="AU6" s="3275"/>
      <c r="AV6" s="3274"/>
      <c r="AW6" s="3274"/>
      <c r="AX6" s="2028">
        <f>AV6+AW6</f>
        <v>0</v>
      </c>
      <c r="AY6" s="3274"/>
      <c r="AZ6" s="3276"/>
      <c r="BA6" s="3274"/>
      <c r="BB6" s="3274"/>
      <c r="BC6" s="2028">
        <f>BA6+BB6</f>
        <v>0</v>
      </c>
      <c r="BD6" s="3274"/>
      <c r="BE6" s="3276"/>
      <c r="BF6" s="3274"/>
      <c r="BG6" s="3274"/>
      <c r="BH6" s="2028">
        <f>BF6+BG6</f>
        <v>0</v>
      </c>
      <c r="BI6" s="3274"/>
      <c r="BJ6" s="3276"/>
      <c r="BK6" s="3274"/>
      <c r="BL6" s="3274"/>
      <c r="BM6" s="2028">
        <f>BK6+BL6</f>
        <v>0</v>
      </c>
      <c r="BN6" s="3274"/>
      <c r="BO6" s="3276"/>
      <c r="BP6" s="3274"/>
      <c r="BQ6" s="3274"/>
      <c r="BR6" s="2028">
        <f>BP6+BQ6</f>
        <v>0</v>
      </c>
      <c r="BS6" s="3274"/>
      <c r="BT6" s="3276"/>
      <c r="BU6" s="3274"/>
      <c r="BV6" s="3274"/>
      <c r="BW6" s="2028">
        <f>BU6+BV6</f>
        <v>0</v>
      </c>
      <c r="BX6" s="3274"/>
      <c r="BY6" s="3276"/>
      <c r="BZ6" s="3274"/>
      <c r="CA6" s="3274"/>
      <c r="CB6" s="2028">
        <f>BZ6+CA6</f>
        <v>0</v>
      </c>
      <c r="CC6" s="3274"/>
      <c r="CD6" s="3276"/>
      <c r="CE6" s="3274"/>
      <c r="CF6" s="3274"/>
      <c r="CG6" s="2028">
        <f>CE6+CF6</f>
        <v>0</v>
      </c>
      <c r="CH6" s="3274"/>
      <c r="CI6" s="3276"/>
      <c r="CJ6" s="3274"/>
      <c r="CK6" s="3274"/>
      <c r="CL6" s="2028">
        <f>CJ6+CK6</f>
        <v>0</v>
      </c>
      <c r="CM6" s="3274"/>
      <c r="CN6" s="3276"/>
      <c r="CO6" s="3274"/>
      <c r="CP6" s="3274"/>
      <c r="CQ6" s="2028">
        <f>CO6+CP6</f>
        <v>0</v>
      </c>
      <c r="CR6" s="3274"/>
      <c r="CS6" s="3276"/>
      <c r="CT6" s="3274"/>
      <c r="CU6" s="3274"/>
      <c r="CV6" s="2028">
        <f>CT6+CU6</f>
        <v>0</v>
      </c>
      <c r="CW6" s="3274"/>
      <c r="CX6" s="3276"/>
      <c r="CY6" s="3274">
        <f>C6+H6+M6+R6+W6+AB6+AQ6+AV6+BA6+BF6+BK6+BP6+BU6+BZ6+CE6+CJ6+CO6+CT6+AG6</f>
        <v>2694786.31</v>
      </c>
      <c r="CZ6" s="3274">
        <f>D6+I6+N6+S6+X6+AC6+AR6+AW6+BB6+BG6+BL6+BQ6+BV6+CA6+CF6+CK6+CP6+CU6+AH6</f>
        <v>167177.5</v>
      </c>
      <c r="DA6" s="2028">
        <f>CY6+CZ6</f>
        <v>2861963.81</v>
      </c>
      <c r="DB6" s="3274"/>
      <c r="DC6" s="3274"/>
    </row>
    <row r="7" spans="1:107" s="1411" customFormat="1" ht="15" customHeight="1" thickBot="1" x14ac:dyDescent="0.3">
      <c r="A7" s="1586"/>
      <c r="B7" s="3231" t="s">
        <v>41</v>
      </c>
      <c r="C7" s="3274"/>
      <c r="D7" s="3274"/>
      <c r="E7" s="2028">
        <f>C7+D7</f>
        <v>0</v>
      </c>
      <c r="F7" s="3277"/>
      <c r="G7" s="3277"/>
      <c r="H7" s="3274"/>
      <c r="I7" s="3274"/>
      <c r="J7" s="2028">
        <f>H7+I7</f>
        <v>0</v>
      </c>
      <c r="K7" s="3277"/>
      <c r="L7" s="3277"/>
      <c r="M7" s="3274"/>
      <c r="N7" s="3274"/>
      <c r="O7" s="2028">
        <f>M7+N7</f>
        <v>0</v>
      </c>
      <c r="P7" s="3277"/>
      <c r="Q7" s="3277"/>
      <c r="R7" s="3274"/>
      <c r="S7" s="3274"/>
      <c r="T7" s="2028">
        <f>R7+S7</f>
        <v>0</v>
      </c>
      <c r="U7" s="3277"/>
      <c r="V7" s="3277"/>
      <c r="W7" s="3274"/>
      <c r="X7" s="3274"/>
      <c r="Y7" s="2028">
        <f>W7+X7</f>
        <v>0</v>
      </c>
      <c r="Z7" s="3277"/>
      <c r="AA7" s="3277"/>
      <c r="AB7" s="3274"/>
      <c r="AC7" s="3274"/>
      <c r="AD7" s="2028">
        <f>AB7+AC7</f>
        <v>0</v>
      </c>
      <c r="AE7" s="3277"/>
      <c r="AF7" s="3277"/>
      <c r="AG7" s="3274">
        <v>0</v>
      </c>
      <c r="AH7" s="3274">
        <v>0</v>
      </c>
      <c r="AI7" s="2028">
        <v>0</v>
      </c>
      <c r="AJ7" s="3277"/>
      <c r="AK7" s="3276"/>
      <c r="AL7" s="3274">
        <f>AQ7+AV7+BA7+BF7+BK7+BP7+BU7+BZ7+CE7+CJ7+CO7+CT7</f>
        <v>0</v>
      </c>
      <c r="AM7" s="3274">
        <f>AR7+AW7+BB7+BG7+BL7+BQ7+BV7+CA7+CF7+CK7+CP7+CU7</f>
        <v>0</v>
      </c>
      <c r="AN7" s="2028">
        <f>AL7+AM7</f>
        <v>0</v>
      </c>
      <c r="AO7" s="3277"/>
      <c r="AP7" s="3276"/>
      <c r="AQ7" s="3274"/>
      <c r="AR7" s="3274"/>
      <c r="AS7" s="2028">
        <f>AQ7+AR7</f>
        <v>0</v>
      </c>
      <c r="AT7" s="3277"/>
      <c r="AU7" s="3277"/>
      <c r="AV7" s="3274"/>
      <c r="AW7" s="3274"/>
      <c r="AX7" s="2028">
        <f>AV7+AW7</f>
        <v>0</v>
      </c>
      <c r="AY7" s="3277"/>
      <c r="AZ7" s="3277"/>
      <c r="BA7" s="3274"/>
      <c r="BB7" s="3274"/>
      <c r="BC7" s="2028">
        <f>BA7+BB7</f>
        <v>0</v>
      </c>
      <c r="BD7" s="3277"/>
      <c r="BE7" s="3277"/>
      <c r="BF7" s="3274"/>
      <c r="BG7" s="3274"/>
      <c r="BH7" s="2028">
        <f>BF7+BG7</f>
        <v>0</v>
      </c>
      <c r="BI7" s="3277"/>
      <c r="BJ7" s="3277"/>
      <c r="BK7" s="3274"/>
      <c r="BL7" s="3274"/>
      <c r="BM7" s="2028">
        <f>BK7+BL7</f>
        <v>0</v>
      </c>
      <c r="BN7" s="3277"/>
      <c r="BO7" s="3277"/>
      <c r="BP7" s="3274"/>
      <c r="BQ7" s="3274"/>
      <c r="BR7" s="2028">
        <f>BP7+BQ7</f>
        <v>0</v>
      </c>
      <c r="BS7" s="3277"/>
      <c r="BT7" s="3277"/>
      <c r="BU7" s="3274"/>
      <c r="BV7" s="3274"/>
      <c r="BW7" s="2028">
        <f>BU7+BV7</f>
        <v>0</v>
      </c>
      <c r="BX7" s="3277"/>
      <c r="BY7" s="3277"/>
      <c r="BZ7" s="3274"/>
      <c r="CA7" s="3274"/>
      <c r="CB7" s="2028">
        <f>BZ7+CA7</f>
        <v>0</v>
      </c>
      <c r="CC7" s="3277"/>
      <c r="CD7" s="3278"/>
      <c r="CE7" s="3274"/>
      <c r="CF7" s="3274"/>
      <c r="CG7" s="2028">
        <f>CE7+CF7</f>
        <v>0</v>
      </c>
      <c r="CH7" s="3277"/>
      <c r="CI7" s="3278"/>
      <c r="CJ7" s="3274"/>
      <c r="CK7" s="3274"/>
      <c r="CL7" s="2028">
        <f>CJ7+CK7</f>
        <v>0</v>
      </c>
      <c r="CM7" s="3277"/>
      <c r="CN7" s="3278"/>
      <c r="CO7" s="3274"/>
      <c r="CP7" s="3274"/>
      <c r="CQ7" s="2028">
        <f>CO7+CP7</f>
        <v>0</v>
      </c>
      <c r="CR7" s="3277"/>
      <c r="CS7" s="3278"/>
      <c r="CT7" s="3274"/>
      <c r="CU7" s="3274"/>
      <c r="CV7" s="2028">
        <f>CT7+CU7</f>
        <v>0</v>
      </c>
      <c r="CW7" s="3277"/>
      <c r="CX7" s="3278"/>
      <c r="CY7" s="3274">
        <f>C7+H7+M7+R7+W7+AB7+AQ7+AV7+BA7+BF7+BK7+BP7+BU7+BZ7+CE7+CJ7+CO7+CT7+AG7</f>
        <v>0</v>
      </c>
      <c r="CZ7" s="3274">
        <f>D7+I7+N7+S7+X7+AC7+AR7+AW7+BB7+BG7+BL7+BQ7+BV7+CA7+CF7+CK7+CP7+CU7+AH7</f>
        <v>0</v>
      </c>
      <c r="DA7" s="2028">
        <f>CY7+CZ7</f>
        <v>0</v>
      </c>
      <c r="DB7" s="3277"/>
      <c r="DC7" s="3277"/>
    </row>
    <row r="8" spans="1:107" s="2483" customFormat="1" ht="14.4" thickBot="1" x14ac:dyDescent="0.3">
      <c r="A8" s="1586"/>
      <c r="B8" s="1478" t="s">
        <v>16</v>
      </c>
      <c r="C8" s="1973">
        <f>SUM(C9:C33)</f>
        <v>0</v>
      </c>
      <c r="D8" s="1973">
        <f>SUM(D9:D33)</f>
        <v>53600</v>
      </c>
      <c r="E8" s="1499">
        <f>SUM(E9:E33)</f>
        <v>53600</v>
      </c>
      <c r="F8" s="1543">
        <f t="shared" ref="F8:F36" si="0">E8/$E$89</f>
        <v>0.8531128226706427</v>
      </c>
      <c r="G8" s="1481"/>
      <c r="H8" s="1973">
        <f>SUM(H9:H33)</f>
        <v>173737.90399999998</v>
      </c>
      <c r="I8" s="1973">
        <f>SUM(I9:I33)</f>
        <v>36724.17</v>
      </c>
      <c r="J8" s="1499">
        <f>SUM(J9:J33)</f>
        <v>210462.07399999999</v>
      </c>
      <c r="K8" s="1543">
        <f>J8/$T$89</f>
        <v>3.0027983756030894</v>
      </c>
      <c r="L8" s="1481"/>
      <c r="M8" s="1973">
        <f>SUM(M9:M33)</f>
        <v>125376.37</v>
      </c>
      <c r="N8" s="1973">
        <f>SUM(N9:N33)</f>
        <v>62267</v>
      </c>
      <c r="O8" s="1499">
        <f>SUM(O9:O33)</f>
        <v>187643.37</v>
      </c>
      <c r="P8" s="1543">
        <f>O8/$O$89</f>
        <v>0.94841964168052295</v>
      </c>
      <c r="Q8" s="1481"/>
      <c r="R8" s="1973">
        <f>SUM(R9:R33)</f>
        <v>36699.14</v>
      </c>
      <c r="S8" s="1973">
        <f>SUM(S9:S33)</f>
        <v>32016</v>
      </c>
      <c r="T8" s="1499">
        <f>SUM(T9:T33)</f>
        <v>68715.14</v>
      </c>
      <c r="U8" s="1543">
        <f>T8/$O$89</f>
        <v>0.34731196981181361</v>
      </c>
      <c r="V8" s="1481"/>
      <c r="W8" s="1973">
        <f>SUM(W9:W33)</f>
        <v>94239.16</v>
      </c>
      <c r="X8" s="1973">
        <f>SUM(X9:X33)</f>
        <v>43595.5</v>
      </c>
      <c r="Y8" s="1499">
        <f>SUM(Y9:Y33)</f>
        <v>137834.66</v>
      </c>
      <c r="Z8" s="1543">
        <f>Y8/$O$89</f>
        <v>0.69666782710391906</v>
      </c>
      <c r="AA8" s="1481"/>
      <c r="AB8" s="1973">
        <f>SUM(AB9:AB33)</f>
        <v>131446.09360000002</v>
      </c>
      <c r="AC8" s="1973">
        <f>SUM(AC9:AC33)</f>
        <v>4620</v>
      </c>
      <c r="AD8" s="1499">
        <f>SUM(AD9:AD33)</f>
        <v>136066.09360000002</v>
      </c>
      <c r="AE8" s="1543">
        <f>AD8/$O$89</f>
        <v>0.68772883228957427</v>
      </c>
      <c r="AF8" s="1481"/>
      <c r="AG8" s="1973">
        <v>826859.89199999999</v>
      </c>
      <c r="AH8" s="1973">
        <v>222903.55</v>
      </c>
      <c r="AI8" s="1499">
        <v>1049763.4419999998</v>
      </c>
      <c r="AJ8" s="1543">
        <v>14.977653210835067</v>
      </c>
      <c r="AK8" s="1481"/>
      <c r="AL8" s="1973">
        <f>SUM(AL9:AL33)</f>
        <v>0</v>
      </c>
      <c r="AM8" s="1973">
        <f>SUM(AM9:AM33)</f>
        <v>0</v>
      </c>
      <c r="AN8" s="1499">
        <f>SUM(AN9:AN33)</f>
        <v>0</v>
      </c>
      <c r="AO8" s="1543">
        <f>AN8/$T$89</f>
        <v>0</v>
      </c>
      <c r="AP8" s="1481"/>
      <c r="AQ8" s="1973">
        <f>SUM(AQ9:AQ33)</f>
        <v>0</v>
      </c>
      <c r="AR8" s="1973">
        <f>SUM(AR9:AR33)</f>
        <v>0</v>
      </c>
      <c r="AS8" s="1499">
        <f>SUM(AS9:AS33)</f>
        <v>0</v>
      </c>
      <c r="AT8" s="1543">
        <f>AS8/$O$89</f>
        <v>0</v>
      </c>
      <c r="AU8" s="1481"/>
      <c r="AV8" s="1973">
        <f>SUM(AV9:AV33)</f>
        <v>0</v>
      </c>
      <c r="AW8" s="1973">
        <f>SUM(AW9:AW33)</f>
        <v>0</v>
      </c>
      <c r="AX8" s="1499">
        <f>SUM(AX9:AX33)</f>
        <v>0</v>
      </c>
      <c r="AY8" s="1543">
        <f>AX8/$E$89</f>
        <v>0</v>
      </c>
      <c r="AZ8" s="1481"/>
      <c r="BA8" s="1973">
        <f>SUM(BA9:BA33)</f>
        <v>0</v>
      </c>
      <c r="BB8" s="1973">
        <f>SUM(BB9:BB33)</f>
        <v>0</v>
      </c>
      <c r="BC8" s="1499">
        <f>SUM(BC9:BC33)</f>
        <v>0</v>
      </c>
      <c r="BD8" s="1543">
        <f>BC8/$AD$89</f>
        <v>0</v>
      </c>
      <c r="BE8" s="1481"/>
      <c r="BF8" s="1973">
        <f>SUM(BF9:BF33)</f>
        <v>0</v>
      </c>
      <c r="BG8" s="1973">
        <f>SUM(BG9:BG33)</f>
        <v>0</v>
      </c>
      <c r="BH8" s="1499">
        <f>SUM(BH9:BH33)</f>
        <v>0</v>
      </c>
      <c r="BI8" s="1543">
        <f>BH8/$AD$89</f>
        <v>0</v>
      </c>
      <c r="BJ8" s="1481"/>
      <c r="BK8" s="1973">
        <f>SUM(BK9:BK33)</f>
        <v>0</v>
      </c>
      <c r="BL8" s="1973">
        <f>SUM(BL9:BL33)</f>
        <v>0</v>
      </c>
      <c r="BM8" s="1499">
        <f>SUM(BM9:BM33)</f>
        <v>0</v>
      </c>
      <c r="BN8" s="1543">
        <f>BM8/$AD$89</f>
        <v>0</v>
      </c>
      <c r="BO8" s="1481"/>
      <c r="BP8" s="1973">
        <f>SUM(BP9:BP33)</f>
        <v>0</v>
      </c>
      <c r="BQ8" s="1973">
        <f>SUM(BQ9:BQ33)</f>
        <v>0</v>
      </c>
      <c r="BR8" s="1499">
        <f>SUM(BR9:BR33)</f>
        <v>0</v>
      </c>
      <c r="BS8" s="1543">
        <f>BR8/$AD$89</f>
        <v>0</v>
      </c>
      <c r="BT8" s="1481"/>
      <c r="BU8" s="1973">
        <f>SUM(BU9:BU33)</f>
        <v>0</v>
      </c>
      <c r="BV8" s="1973">
        <f>SUM(BV9:BV33)</f>
        <v>0</v>
      </c>
      <c r="BW8" s="1499">
        <f>SUM(BW9:BW33)</f>
        <v>0</v>
      </c>
      <c r="BX8" s="1543" t="e">
        <f>BW8/$AN$89</f>
        <v>#DIV/0!</v>
      </c>
      <c r="BY8" s="1481"/>
      <c r="BZ8" s="1973">
        <f>SUM(BZ9:BZ33)</f>
        <v>0</v>
      </c>
      <c r="CA8" s="1973">
        <f>SUM(CA9:CA33)</f>
        <v>0</v>
      </c>
      <c r="CB8" s="1499">
        <f>SUM(CB9:CB33)</f>
        <v>0</v>
      </c>
      <c r="CC8" s="1543" t="e">
        <f>CB8/$AN$89</f>
        <v>#DIV/0!</v>
      </c>
      <c r="CD8" s="1982"/>
      <c r="CE8" s="1973">
        <f>SUM(CE9:CE33)</f>
        <v>0</v>
      </c>
      <c r="CF8" s="1973">
        <f>SUM(CF9:CF33)</f>
        <v>0</v>
      </c>
      <c r="CG8" s="1499">
        <f>SUM(CG9:CG33)</f>
        <v>0</v>
      </c>
      <c r="CH8" s="1543" t="e">
        <f>CG8/$AN$89</f>
        <v>#DIV/0!</v>
      </c>
      <c r="CI8" s="1982"/>
      <c r="CJ8" s="1973">
        <f>SUM(CJ9:CJ33)</f>
        <v>0</v>
      </c>
      <c r="CK8" s="1973">
        <f>SUM(CK9:CK33)</f>
        <v>0</v>
      </c>
      <c r="CL8" s="1499">
        <f>SUM(CL9:CL33)</f>
        <v>0</v>
      </c>
      <c r="CM8" s="1543" t="e">
        <f>CL8/$AN$89</f>
        <v>#DIV/0!</v>
      </c>
      <c r="CN8" s="1982"/>
      <c r="CO8" s="1973">
        <f>SUM(CO9:CO33)</f>
        <v>0</v>
      </c>
      <c r="CP8" s="1973">
        <f>SUM(CP9:CP33)</f>
        <v>0</v>
      </c>
      <c r="CQ8" s="1499">
        <f>SUM(CQ9:CQ33)</f>
        <v>0</v>
      </c>
      <c r="CR8" s="1543" t="e">
        <f>CQ8/$AN$89</f>
        <v>#DIV/0!</v>
      </c>
      <c r="CS8" s="1982"/>
      <c r="CT8" s="1973">
        <f>SUM(CT9:CT33)</f>
        <v>0</v>
      </c>
      <c r="CU8" s="1973">
        <f>SUM(CU9:CU33)</f>
        <v>0</v>
      </c>
      <c r="CV8" s="1499">
        <f>SUM(CV9:CV33)</f>
        <v>0</v>
      </c>
      <c r="CW8" s="1543" t="e">
        <f>CV8/$AN$89</f>
        <v>#DIV/0!</v>
      </c>
      <c r="CX8" s="1982"/>
      <c r="CY8" s="1973">
        <f>SUM(CY9:CY33)</f>
        <v>1388358.5596</v>
      </c>
      <c r="CZ8" s="1973">
        <f>SUM(CZ9:CZ33)</f>
        <v>455726.22</v>
      </c>
      <c r="DA8" s="1499">
        <f>SUM(DA9:DA33)</f>
        <v>1844084.7795999998</v>
      </c>
      <c r="DB8" s="1543">
        <f t="shared" ref="DB8:DB21" si="1">DA8/$DA$89</f>
        <v>0.96698798342120973</v>
      </c>
      <c r="DC8" s="1481"/>
    </row>
    <row r="9" spans="1:107" s="1411" customFormat="1" ht="18" customHeight="1" x14ac:dyDescent="0.25">
      <c r="A9" s="1586"/>
      <c r="B9" s="1061" t="s">
        <v>74</v>
      </c>
      <c r="C9" s="3279"/>
      <c r="D9" s="3280">
        <v>1600</v>
      </c>
      <c r="E9" s="3281">
        <f>C9+D9*1</f>
        <v>1600</v>
      </c>
      <c r="F9" s="1574">
        <f>E9/$E$89</f>
        <v>2.5466054408078885E-2</v>
      </c>
      <c r="G9" s="3282" t="s">
        <v>1123</v>
      </c>
      <c r="H9" s="3274"/>
      <c r="I9" s="3274">
        <f>1709.92+14854.25</f>
        <v>16564.169999999998</v>
      </c>
      <c r="J9" s="3283">
        <f>H9+I9*1</f>
        <v>16564.169999999998</v>
      </c>
      <c r="K9" s="3284">
        <f>J9/$T$89</f>
        <v>0.23633171442192202</v>
      </c>
      <c r="L9" s="3275"/>
      <c r="M9" s="3274">
        <v>9989.31</v>
      </c>
      <c r="N9" s="3274">
        <f>5077+18961</f>
        <v>24038</v>
      </c>
      <c r="O9" s="3283">
        <f>M9+N9*1</f>
        <v>34027.31</v>
      </c>
      <c r="P9" s="3284">
        <f t="shared" ref="P9:P71" si="2">O9/$O$89</f>
        <v>0.17198672757557101</v>
      </c>
      <c r="Q9" s="3275" t="s">
        <v>1248</v>
      </c>
      <c r="R9" s="3274">
        <v>7567</v>
      </c>
      <c r="S9" s="3274">
        <f>8252+23414</f>
        <v>31666</v>
      </c>
      <c r="T9" s="3283">
        <f>R9+S9*1</f>
        <v>39233</v>
      </c>
      <c r="U9" s="3284">
        <f t="shared" ref="U9:U33" si="3">T9/$O$89</f>
        <v>0.19829822818707615</v>
      </c>
      <c r="V9" s="3275" t="s">
        <v>1170</v>
      </c>
      <c r="W9" s="3274">
        <v>7567</v>
      </c>
      <c r="X9" s="3274">
        <v>20740.5</v>
      </c>
      <c r="Y9" s="3283">
        <f>W9+X9*1</f>
        <v>28307.5</v>
      </c>
      <c r="Z9" s="3284">
        <f t="shared" ref="Z9:Z33" si="4">Y9/$O$89</f>
        <v>0.14307667255641063</v>
      </c>
      <c r="AA9" s="3275" t="s">
        <v>1339</v>
      </c>
      <c r="AB9" s="3274">
        <v>3783.5</v>
      </c>
      <c r="AC9" s="3274"/>
      <c r="AD9" s="3283">
        <f>AB9+AC9*1</f>
        <v>3783.5</v>
      </c>
      <c r="AE9" s="3284">
        <f t="shared" ref="AE9:AE33" si="5">AD9/$O$89</f>
        <v>1.9123221429556816E-2</v>
      </c>
      <c r="AF9" s="3357" t="s">
        <v>1513</v>
      </c>
      <c r="AG9" s="3274">
        <v>68461.69</v>
      </c>
      <c r="AH9" s="3274">
        <v>167690</v>
      </c>
      <c r="AI9" s="3283">
        <v>236151.69</v>
      </c>
      <c r="AJ9" s="3284">
        <v>3.3693287234636125</v>
      </c>
      <c r="AK9" s="3275"/>
      <c r="AL9" s="3274">
        <f t="shared" ref="AL9:AM33" si="6">AQ9+AV9+BA9+BF9+BK9+BP9+BU9+BZ9+CE9+CJ9+CO9+CT9</f>
        <v>0</v>
      </c>
      <c r="AM9" s="3274">
        <f t="shared" si="6"/>
        <v>0</v>
      </c>
      <c r="AN9" s="3283">
        <f>AL9+AM9*1</f>
        <v>0</v>
      </c>
      <c r="AO9" s="3284">
        <f t="shared" ref="AO9:AO33" si="7">AN9/$T$89</f>
        <v>0</v>
      </c>
      <c r="AP9" s="3275"/>
      <c r="AQ9" s="3274"/>
      <c r="AR9" s="3274"/>
      <c r="AS9" s="3283">
        <f>AQ9+AR9*1</f>
        <v>0</v>
      </c>
      <c r="AT9" s="3284">
        <f t="shared" ref="AT9:AT33" si="8">AS9/$O$89</f>
        <v>0</v>
      </c>
      <c r="AU9" s="3276"/>
      <c r="AV9" s="3282"/>
      <c r="AW9" s="3274"/>
      <c r="AX9" s="3283">
        <f>AV9+AW9*1</f>
        <v>0</v>
      </c>
      <c r="AY9" s="3284">
        <f t="shared" ref="AY9:AY33" si="9">AX9/$E$89</f>
        <v>0</v>
      </c>
      <c r="AZ9" s="3276"/>
      <c r="BA9" s="3285"/>
      <c r="BB9" s="3285"/>
      <c r="BC9" s="3286">
        <f>BA9+BB9*1</f>
        <v>0</v>
      </c>
      <c r="BD9" s="3284">
        <f t="shared" ref="BD9:BD33" si="10">BC9/$AD$89</f>
        <v>0</v>
      </c>
      <c r="BE9" s="3287"/>
      <c r="BF9" s="3285"/>
      <c r="BG9" s="3285"/>
      <c r="BH9" s="3286">
        <f>BF9+BG9*1</f>
        <v>0</v>
      </c>
      <c r="BI9" s="3284">
        <f t="shared" ref="BI9:BI33" si="11">BH9/$AD$89</f>
        <v>0</v>
      </c>
      <c r="BJ9" s="3287"/>
      <c r="BK9" s="3285"/>
      <c r="BL9" s="3285"/>
      <c r="BM9" s="3286">
        <f>BK9+BL9*1</f>
        <v>0</v>
      </c>
      <c r="BN9" s="3284">
        <f t="shared" ref="BN9:BN33" si="12">BM9/$AD$89</f>
        <v>0</v>
      </c>
      <c r="BO9" s="3287"/>
      <c r="BP9" s="3285"/>
      <c r="BQ9" s="3285"/>
      <c r="BR9" s="3286">
        <f>BP9+BQ9*1</f>
        <v>0</v>
      </c>
      <c r="BS9" s="3284">
        <f t="shared" ref="BS9:BS33" si="13">BR9/$AD$89</f>
        <v>0</v>
      </c>
      <c r="BT9" s="3287"/>
      <c r="BU9" s="3285"/>
      <c r="BV9" s="3285"/>
      <c r="BW9" s="3286">
        <f>BU9+BV9*1</f>
        <v>0</v>
      </c>
      <c r="BX9" s="3284" t="e">
        <f t="shared" ref="BX9:BX33" si="14">BW9/$AN$89</f>
        <v>#DIV/0!</v>
      </c>
      <c r="BY9" s="3287"/>
      <c r="BZ9" s="3285"/>
      <c r="CA9" s="3285"/>
      <c r="CB9" s="3286">
        <f>BZ9+CA9*1</f>
        <v>0</v>
      </c>
      <c r="CC9" s="3284" t="e">
        <f t="shared" ref="CC9:CC33" si="15">CB9/$AN$89</f>
        <v>#DIV/0!</v>
      </c>
      <c r="CD9" s="3287"/>
      <c r="CE9" s="3285"/>
      <c r="CF9" s="3285"/>
      <c r="CG9" s="3286">
        <f>CE9+CF9*1</f>
        <v>0</v>
      </c>
      <c r="CH9" s="3284" t="e">
        <f t="shared" ref="CH9:CH33" si="16">CG9/$AN$89</f>
        <v>#DIV/0!</v>
      </c>
      <c r="CI9" s="3287"/>
      <c r="CJ9" s="3285"/>
      <c r="CK9" s="3285"/>
      <c r="CL9" s="3286">
        <f>CJ9+CK9*1</f>
        <v>0</v>
      </c>
      <c r="CM9" s="3284" t="e">
        <f t="shared" ref="CM9:CM33" si="17">CL9/$AN$89</f>
        <v>#DIV/0!</v>
      </c>
      <c r="CN9" s="3287"/>
      <c r="CO9" s="3285"/>
      <c r="CP9" s="3285"/>
      <c r="CQ9" s="3286">
        <f>CO9+CP9*1</f>
        <v>0</v>
      </c>
      <c r="CR9" s="3284" t="e">
        <f t="shared" ref="CR9:CR33" si="18">CQ9/$AN$89</f>
        <v>#DIV/0!</v>
      </c>
      <c r="CS9" s="3287"/>
      <c r="CT9" s="3285"/>
      <c r="CU9" s="3285"/>
      <c r="CV9" s="3286">
        <f>CT9+CU9*1</f>
        <v>0</v>
      </c>
      <c r="CW9" s="3284" t="e">
        <f t="shared" ref="CW9:CW33" si="19">CV9/$AN$89</f>
        <v>#DIV/0!</v>
      </c>
      <c r="CX9" s="3287"/>
      <c r="CY9" s="3274">
        <f t="shared" ref="CY9:CZ33" si="20">C9+H9+M9+R9+W9+AB9+AQ9+AV9+BA9+BF9+BK9+BP9+BU9+BZ9+CE9+CJ9+CO9+CT9+AG9</f>
        <v>97368.5</v>
      </c>
      <c r="CZ9" s="3274">
        <f t="shared" si="20"/>
        <v>262298.67</v>
      </c>
      <c r="DA9" s="3281">
        <f>CY9+CZ9*1</f>
        <v>359667.17</v>
      </c>
      <c r="DB9" s="1574">
        <f t="shared" si="1"/>
        <v>0.18859969740466778</v>
      </c>
      <c r="DC9" s="1595"/>
    </row>
    <row r="10" spans="1:107" s="1411" customFormat="1" ht="13.8" x14ac:dyDescent="0.25">
      <c r="A10" s="1586"/>
      <c r="B10" s="1061" t="s">
        <v>72</v>
      </c>
      <c r="C10" s="3288"/>
      <c r="D10" s="3274"/>
      <c r="E10" s="3283">
        <f t="shared" ref="E10:E21" si="21">C10+D10*1</f>
        <v>0</v>
      </c>
      <c r="F10" s="3284">
        <f t="shared" si="0"/>
        <v>0</v>
      </c>
      <c r="G10" s="1449"/>
      <c r="H10" s="3274"/>
      <c r="I10" s="3274"/>
      <c r="J10" s="3283">
        <f t="shared" ref="J10:J21" si="22">H10+I10*1</f>
        <v>0</v>
      </c>
      <c r="K10" s="3284">
        <f t="shared" ref="K10:K33" si="23">J10/$T$89</f>
        <v>0</v>
      </c>
      <c r="L10" s="1449"/>
      <c r="M10" s="3274">
        <v>2419.7800000000002</v>
      </c>
      <c r="N10" s="3274"/>
      <c r="O10" s="3283">
        <f t="shared" ref="O10:O21" si="24">M10+N10*1</f>
        <v>2419.7800000000002</v>
      </c>
      <c r="P10" s="3284">
        <f t="shared" si="2"/>
        <v>1.2230471455216862E-2</v>
      </c>
      <c r="Q10" s="1449"/>
      <c r="R10" s="3274">
        <v>1833</v>
      </c>
      <c r="S10" s="3274"/>
      <c r="T10" s="3283">
        <f t="shared" ref="T10:T21" si="25">R10+S10*1</f>
        <v>1833</v>
      </c>
      <c r="U10" s="3284">
        <f t="shared" si="3"/>
        <v>9.2646662826424333E-3</v>
      </c>
      <c r="V10" s="1449"/>
      <c r="W10" s="3274">
        <v>1833</v>
      </c>
      <c r="X10" s="3274"/>
      <c r="Y10" s="3283">
        <f t="shared" ref="Y10:Y21" si="26">W10+X10*1</f>
        <v>1833</v>
      </c>
      <c r="Z10" s="3284">
        <f t="shared" si="4"/>
        <v>9.2646662826424333E-3</v>
      </c>
      <c r="AA10" s="1449"/>
      <c r="AB10" s="3274">
        <v>1474</v>
      </c>
      <c r="AC10" s="3274"/>
      <c r="AD10" s="3283">
        <f t="shared" ref="AD10:AD21" si="27">AB10+AC10*1</f>
        <v>1474</v>
      </c>
      <c r="AE10" s="3284">
        <f t="shared" si="5"/>
        <v>7.4501462632923874E-3</v>
      </c>
      <c r="AF10" s="1449"/>
      <c r="AG10" s="3274">
        <v>13001.34</v>
      </c>
      <c r="AH10" s="3274">
        <v>0</v>
      </c>
      <c r="AI10" s="3283">
        <v>13001.34</v>
      </c>
      <c r="AJ10" s="3284">
        <v>0.1854985170993966</v>
      </c>
      <c r="AK10" s="1449"/>
      <c r="AL10" s="3274">
        <f t="shared" si="6"/>
        <v>0</v>
      </c>
      <c r="AM10" s="3274">
        <f t="shared" si="6"/>
        <v>0</v>
      </c>
      <c r="AN10" s="3283">
        <f t="shared" ref="AN10:AN21" si="28">AL10+AM10*1</f>
        <v>0</v>
      </c>
      <c r="AO10" s="3284">
        <f t="shared" si="7"/>
        <v>0</v>
      </c>
      <c r="AP10" s="1449"/>
      <c r="AQ10" s="3274"/>
      <c r="AR10" s="3274"/>
      <c r="AS10" s="3283">
        <f t="shared" ref="AS10:AS21" si="29">AQ10+AR10*1</f>
        <v>0</v>
      </c>
      <c r="AT10" s="3284">
        <f t="shared" si="8"/>
        <v>0</v>
      </c>
      <c r="AU10" s="1449"/>
      <c r="AV10" s="3274"/>
      <c r="AW10" s="3274"/>
      <c r="AX10" s="3283">
        <f t="shared" ref="AX10:AX33" si="30">AV10+AW10*1</f>
        <v>0</v>
      </c>
      <c r="AY10" s="3284">
        <f t="shared" si="9"/>
        <v>0</v>
      </c>
      <c r="AZ10" s="3276"/>
      <c r="BA10" s="3285"/>
      <c r="BB10" s="3285"/>
      <c r="BC10" s="3286">
        <f t="shared" ref="BC10:BC33" si="31">BA10+BB10*1</f>
        <v>0</v>
      </c>
      <c r="BD10" s="3284">
        <f t="shared" si="10"/>
        <v>0</v>
      </c>
      <c r="BE10" s="1158"/>
      <c r="BF10" s="3285"/>
      <c r="BG10" s="3285"/>
      <c r="BH10" s="3286">
        <f>BF10+BG10*1</f>
        <v>0</v>
      </c>
      <c r="BI10" s="3284">
        <f t="shared" si="11"/>
        <v>0</v>
      </c>
      <c r="BJ10" s="1158"/>
      <c r="BK10" s="3285"/>
      <c r="BL10" s="3285"/>
      <c r="BM10" s="3286">
        <f>BK10+BL10*1</f>
        <v>0</v>
      </c>
      <c r="BN10" s="3284">
        <f t="shared" si="12"/>
        <v>0</v>
      </c>
      <c r="BO10" s="1158"/>
      <c r="BP10" s="3285"/>
      <c r="BQ10" s="3285"/>
      <c r="BR10" s="3286">
        <f>BP10+BQ10*1</f>
        <v>0</v>
      </c>
      <c r="BS10" s="3284">
        <f t="shared" si="13"/>
        <v>0</v>
      </c>
      <c r="BT10" s="1158"/>
      <c r="BU10" s="3285"/>
      <c r="BV10" s="3285"/>
      <c r="BW10" s="3286">
        <f>BU10+BV10*1</f>
        <v>0</v>
      </c>
      <c r="BX10" s="3284" t="e">
        <f t="shared" si="14"/>
        <v>#DIV/0!</v>
      </c>
      <c r="BY10" s="1158"/>
      <c r="BZ10" s="3285"/>
      <c r="CA10" s="3285"/>
      <c r="CB10" s="3286">
        <f>BZ10+CA10*1</f>
        <v>0</v>
      </c>
      <c r="CC10" s="3284" t="e">
        <f t="shared" si="15"/>
        <v>#DIV/0!</v>
      </c>
      <c r="CD10" s="1158"/>
      <c r="CE10" s="3285"/>
      <c r="CF10" s="3285"/>
      <c r="CG10" s="3286">
        <f>CE10+CF10*1</f>
        <v>0</v>
      </c>
      <c r="CH10" s="3284" t="e">
        <f t="shared" si="16"/>
        <v>#DIV/0!</v>
      </c>
      <c r="CI10" s="1158"/>
      <c r="CJ10" s="3285"/>
      <c r="CK10" s="3285"/>
      <c r="CL10" s="3286">
        <f>CJ10+CK10*1</f>
        <v>0</v>
      </c>
      <c r="CM10" s="3284" t="e">
        <f t="shared" si="17"/>
        <v>#DIV/0!</v>
      </c>
      <c r="CN10" s="1158"/>
      <c r="CO10" s="3285"/>
      <c r="CP10" s="3285"/>
      <c r="CQ10" s="3286">
        <f>CO10+CP10*1</f>
        <v>0</v>
      </c>
      <c r="CR10" s="3284" t="e">
        <f t="shared" si="18"/>
        <v>#DIV/0!</v>
      </c>
      <c r="CS10" s="1158"/>
      <c r="CT10" s="3285"/>
      <c r="CU10" s="3285"/>
      <c r="CV10" s="3286">
        <f>CT10+CU10*1</f>
        <v>0</v>
      </c>
      <c r="CW10" s="3284" t="e">
        <f t="shared" si="19"/>
        <v>#DIV/0!</v>
      </c>
      <c r="CX10" s="1158"/>
      <c r="CY10" s="3274">
        <f t="shared" ref="CY10:CY32" si="32">C10+H10+M10+R10+W10+AB10+AQ10+AV10+BA10+BF10+BK10+BP10+BU10+BZ10+CE10+CJ10+CO10+CT10+AG10</f>
        <v>20561.120000000003</v>
      </c>
      <c r="CZ10" s="3274">
        <f t="shared" ref="CZ10:CZ32" si="33">D10+I10+N10+S10+X10+AC10+AR10+AW10+BB10+BG10+BL10+BQ10+BV10+CA10+CF10+CK10+CP10+CU10+AH10</f>
        <v>0</v>
      </c>
      <c r="DA10" s="3283">
        <f t="shared" ref="DA10:DA33" si="34">CY10+CZ10*1</f>
        <v>20561.120000000003</v>
      </c>
      <c r="DB10" s="3284">
        <f t="shared" si="1"/>
        <v>1.0781693003287076E-2</v>
      </c>
      <c r="DC10" s="1449"/>
    </row>
    <row r="11" spans="1:107" s="1411" customFormat="1" ht="13.8" x14ac:dyDescent="0.25">
      <c r="A11" s="1586"/>
      <c r="B11" s="1061" t="s">
        <v>69</v>
      </c>
      <c r="C11" s="3288"/>
      <c r="D11" s="3274"/>
      <c r="E11" s="3283">
        <f t="shared" si="21"/>
        <v>0</v>
      </c>
      <c r="F11" s="3284">
        <f t="shared" si="0"/>
        <v>0</v>
      </c>
      <c r="G11" s="1449"/>
      <c r="H11" s="3274"/>
      <c r="I11" s="3274"/>
      <c r="J11" s="3283">
        <f t="shared" si="22"/>
        <v>0</v>
      </c>
      <c r="K11" s="3284">
        <f t="shared" si="23"/>
        <v>0</v>
      </c>
      <c r="L11" s="1449"/>
      <c r="M11" s="3274">
        <v>2730</v>
      </c>
      <c r="N11" s="3274"/>
      <c r="O11" s="3283">
        <f t="shared" si="24"/>
        <v>2730</v>
      </c>
      <c r="P11" s="3284">
        <f t="shared" si="2"/>
        <v>1.3798439144361071E-2</v>
      </c>
      <c r="Q11" s="1449"/>
      <c r="R11" s="3274">
        <v>2068</v>
      </c>
      <c r="S11" s="3274"/>
      <c r="T11" s="3283">
        <f t="shared" si="25"/>
        <v>2068</v>
      </c>
      <c r="U11" s="3284">
        <f t="shared" si="3"/>
        <v>1.0452444011186335E-2</v>
      </c>
      <c r="V11" s="1449"/>
      <c r="W11" s="3274">
        <v>2068</v>
      </c>
      <c r="X11" s="3274"/>
      <c r="Y11" s="3283">
        <f t="shared" si="26"/>
        <v>2068</v>
      </c>
      <c r="Z11" s="3284">
        <f t="shared" si="4"/>
        <v>1.0452444011186335E-2</v>
      </c>
      <c r="AA11" s="1449"/>
      <c r="AB11" s="3274">
        <v>916.5</v>
      </c>
      <c r="AC11" s="3274"/>
      <c r="AD11" s="3283">
        <f t="shared" si="27"/>
        <v>916.5</v>
      </c>
      <c r="AE11" s="3284">
        <f t="shared" si="5"/>
        <v>4.6323331413212166E-3</v>
      </c>
      <c r="AF11" s="1449"/>
      <c r="AG11" s="3274">
        <v>14668.19</v>
      </c>
      <c r="AH11" s="3274">
        <v>0</v>
      </c>
      <c r="AI11" s="3283">
        <v>14668.19</v>
      </c>
      <c r="AJ11" s="3284">
        <v>0.20928054289267092</v>
      </c>
      <c r="AK11" s="1449"/>
      <c r="AL11" s="3274">
        <f t="shared" si="6"/>
        <v>0</v>
      </c>
      <c r="AM11" s="3274">
        <f t="shared" si="6"/>
        <v>0</v>
      </c>
      <c r="AN11" s="3283">
        <f t="shared" si="28"/>
        <v>0</v>
      </c>
      <c r="AO11" s="3284">
        <f t="shared" si="7"/>
        <v>0</v>
      </c>
      <c r="AP11" s="1449"/>
      <c r="AQ11" s="3274"/>
      <c r="AR11" s="3274"/>
      <c r="AS11" s="3283">
        <f t="shared" si="29"/>
        <v>0</v>
      </c>
      <c r="AT11" s="3284">
        <f t="shared" si="8"/>
        <v>0</v>
      </c>
      <c r="AU11" s="1449"/>
      <c r="AV11" s="3274"/>
      <c r="AW11" s="3274"/>
      <c r="AX11" s="3283">
        <f t="shared" si="30"/>
        <v>0</v>
      </c>
      <c r="AY11" s="3284">
        <f t="shared" si="9"/>
        <v>0</v>
      </c>
      <c r="AZ11" s="3276"/>
      <c r="BA11" s="3285"/>
      <c r="BB11" s="3285"/>
      <c r="BC11" s="3286">
        <f t="shared" si="31"/>
        <v>0</v>
      </c>
      <c r="BD11" s="3284">
        <f t="shared" si="10"/>
        <v>0</v>
      </c>
      <c r="BE11" s="1158"/>
      <c r="BF11" s="3285"/>
      <c r="BG11" s="3285"/>
      <c r="BH11" s="3286">
        <f>BF11+BG11*1</f>
        <v>0</v>
      </c>
      <c r="BI11" s="3284">
        <f t="shared" si="11"/>
        <v>0</v>
      </c>
      <c r="BJ11" s="1158"/>
      <c r="BK11" s="3285"/>
      <c r="BL11" s="3285"/>
      <c r="BM11" s="3286">
        <f>BK11+BL11*1</f>
        <v>0</v>
      </c>
      <c r="BN11" s="3284">
        <f t="shared" si="12"/>
        <v>0</v>
      </c>
      <c r="BO11" s="1158"/>
      <c r="BP11" s="3285"/>
      <c r="BQ11" s="3285"/>
      <c r="BR11" s="3286">
        <f>BP11+BQ11*1</f>
        <v>0</v>
      </c>
      <c r="BS11" s="3284">
        <f t="shared" si="13"/>
        <v>0</v>
      </c>
      <c r="BT11" s="1158"/>
      <c r="BU11" s="3285"/>
      <c r="BV11" s="3285"/>
      <c r="BW11" s="3286">
        <f>BU11+BV11*1</f>
        <v>0</v>
      </c>
      <c r="BX11" s="3284" t="e">
        <f t="shared" si="14"/>
        <v>#DIV/0!</v>
      </c>
      <c r="BY11" s="1158"/>
      <c r="BZ11" s="3285"/>
      <c r="CA11" s="3285"/>
      <c r="CB11" s="3286">
        <f>BZ11+CA11*1</f>
        <v>0</v>
      </c>
      <c r="CC11" s="3284" t="e">
        <f t="shared" si="15"/>
        <v>#DIV/0!</v>
      </c>
      <c r="CD11" s="1158"/>
      <c r="CE11" s="3285"/>
      <c r="CF11" s="3285"/>
      <c r="CG11" s="3286">
        <f>CE11+CF11*1</f>
        <v>0</v>
      </c>
      <c r="CH11" s="3284" t="e">
        <f t="shared" si="16"/>
        <v>#DIV/0!</v>
      </c>
      <c r="CI11" s="1158"/>
      <c r="CJ11" s="3285"/>
      <c r="CK11" s="3285"/>
      <c r="CL11" s="3286">
        <f>CJ11+CK11*1</f>
        <v>0</v>
      </c>
      <c r="CM11" s="3284" t="e">
        <f t="shared" si="17"/>
        <v>#DIV/0!</v>
      </c>
      <c r="CN11" s="1158"/>
      <c r="CO11" s="3285"/>
      <c r="CP11" s="3285"/>
      <c r="CQ11" s="3286">
        <f>CO11+CP11*1</f>
        <v>0</v>
      </c>
      <c r="CR11" s="3284" t="e">
        <f t="shared" si="18"/>
        <v>#DIV/0!</v>
      </c>
      <c r="CS11" s="1158"/>
      <c r="CT11" s="3285"/>
      <c r="CU11" s="3285"/>
      <c r="CV11" s="3286">
        <f>CT11+CU11*1</f>
        <v>0</v>
      </c>
      <c r="CW11" s="3284" t="e">
        <f t="shared" si="19"/>
        <v>#DIV/0!</v>
      </c>
      <c r="CX11" s="1158"/>
      <c r="CY11" s="3274">
        <f t="shared" si="32"/>
        <v>22450.690000000002</v>
      </c>
      <c r="CZ11" s="3274">
        <f t="shared" si="33"/>
        <v>0</v>
      </c>
      <c r="DA11" s="3283">
        <f t="shared" si="34"/>
        <v>22450.690000000002</v>
      </c>
      <c r="DB11" s="3284">
        <f t="shared" si="1"/>
        <v>1.177253220116254E-2</v>
      </c>
      <c r="DC11" s="1449"/>
    </row>
    <row r="12" spans="1:107" s="1411" customFormat="1" ht="13.8" x14ac:dyDescent="0.25">
      <c r="A12" s="1586"/>
      <c r="B12" s="1061" t="s">
        <v>73</v>
      </c>
      <c r="C12" s="3288"/>
      <c r="D12" s="3274"/>
      <c r="E12" s="3283">
        <f t="shared" si="21"/>
        <v>0</v>
      </c>
      <c r="F12" s="3284">
        <f t="shared" si="0"/>
        <v>0</v>
      </c>
      <c r="G12" s="1449"/>
      <c r="H12" s="3274"/>
      <c r="I12" s="3274"/>
      <c r="J12" s="3283">
        <f t="shared" si="22"/>
        <v>0</v>
      </c>
      <c r="K12" s="3284">
        <f t="shared" si="23"/>
        <v>0</v>
      </c>
      <c r="L12" s="1449"/>
      <c r="M12" s="3274"/>
      <c r="N12" s="3274"/>
      <c r="O12" s="3283">
        <f t="shared" si="24"/>
        <v>0</v>
      </c>
      <c r="P12" s="3284">
        <f t="shared" si="2"/>
        <v>0</v>
      </c>
      <c r="Q12" s="1449"/>
      <c r="R12" s="3274"/>
      <c r="S12" s="3274"/>
      <c r="T12" s="3283">
        <f t="shared" si="25"/>
        <v>0</v>
      </c>
      <c r="U12" s="3284">
        <f t="shared" si="3"/>
        <v>0</v>
      </c>
      <c r="V12" s="1449"/>
      <c r="W12" s="3274"/>
      <c r="X12" s="3274"/>
      <c r="Y12" s="3283">
        <f t="shared" si="26"/>
        <v>0</v>
      </c>
      <c r="Z12" s="3284">
        <f t="shared" si="4"/>
        <v>0</v>
      </c>
      <c r="AA12" s="1449"/>
      <c r="AB12" s="3274"/>
      <c r="AC12" s="3274"/>
      <c r="AD12" s="3283">
        <f t="shared" si="27"/>
        <v>0</v>
      </c>
      <c r="AE12" s="3284">
        <f t="shared" si="5"/>
        <v>0</v>
      </c>
      <c r="AF12" s="1449"/>
      <c r="AG12" s="3274">
        <v>0</v>
      </c>
      <c r="AH12" s="3274">
        <v>0</v>
      </c>
      <c r="AI12" s="3283">
        <v>0</v>
      </c>
      <c r="AJ12" s="3284">
        <v>0</v>
      </c>
      <c r="AK12" s="1449"/>
      <c r="AL12" s="3274">
        <f t="shared" si="6"/>
        <v>0</v>
      </c>
      <c r="AM12" s="3274">
        <f t="shared" si="6"/>
        <v>0</v>
      </c>
      <c r="AN12" s="3283">
        <f t="shared" si="28"/>
        <v>0</v>
      </c>
      <c r="AO12" s="3284">
        <f t="shared" si="7"/>
        <v>0</v>
      </c>
      <c r="AP12" s="1449"/>
      <c r="AQ12" s="3274"/>
      <c r="AR12" s="3274"/>
      <c r="AS12" s="3283">
        <f t="shared" si="29"/>
        <v>0</v>
      </c>
      <c r="AT12" s="3284">
        <f t="shared" si="8"/>
        <v>0</v>
      </c>
      <c r="AU12" s="1449"/>
      <c r="AV12" s="3274"/>
      <c r="AW12" s="3274"/>
      <c r="AX12" s="3283">
        <f t="shared" si="30"/>
        <v>0</v>
      </c>
      <c r="AY12" s="3284">
        <f t="shared" si="9"/>
        <v>0</v>
      </c>
      <c r="AZ12" s="3276"/>
      <c r="BA12" s="3285"/>
      <c r="BB12" s="3285"/>
      <c r="BC12" s="3286">
        <f t="shared" si="31"/>
        <v>0</v>
      </c>
      <c r="BD12" s="3284">
        <f t="shared" si="10"/>
        <v>0</v>
      </c>
      <c r="BE12" s="1158"/>
      <c r="BF12" s="3285"/>
      <c r="BG12" s="3285"/>
      <c r="BH12" s="3286">
        <f>BF12+BG12*1</f>
        <v>0</v>
      </c>
      <c r="BI12" s="3284">
        <f t="shared" si="11"/>
        <v>0</v>
      </c>
      <c r="BJ12" s="1158"/>
      <c r="BK12" s="3285"/>
      <c r="BL12" s="3285"/>
      <c r="BM12" s="3286">
        <f>BK12+BL12*1</f>
        <v>0</v>
      </c>
      <c r="BN12" s="3284">
        <f t="shared" si="12"/>
        <v>0</v>
      </c>
      <c r="BO12" s="1158"/>
      <c r="BP12" s="3285"/>
      <c r="BQ12" s="3285"/>
      <c r="BR12" s="3286">
        <f>BP12+BQ12*1</f>
        <v>0</v>
      </c>
      <c r="BS12" s="3284">
        <f t="shared" si="13"/>
        <v>0</v>
      </c>
      <c r="BT12" s="1158"/>
      <c r="BU12" s="3285"/>
      <c r="BV12" s="3285"/>
      <c r="BW12" s="3286">
        <f>BU12+BV12*1</f>
        <v>0</v>
      </c>
      <c r="BX12" s="3284" t="e">
        <f t="shared" si="14"/>
        <v>#DIV/0!</v>
      </c>
      <c r="BY12" s="1158"/>
      <c r="BZ12" s="3285"/>
      <c r="CA12" s="3285"/>
      <c r="CB12" s="3286">
        <f>BZ12+CA12*1</f>
        <v>0</v>
      </c>
      <c r="CC12" s="3284" t="e">
        <f t="shared" si="15"/>
        <v>#DIV/0!</v>
      </c>
      <c r="CD12" s="1158"/>
      <c r="CE12" s="3285"/>
      <c r="CF12" s="3285"/>
      <c r="CG12" s="3286">
        <f>CE12+CF12*1</f>
        <v>0</v>
      </c>
      <c r="CH12" s="3284" t="e">
        <f t="shared" si="16"/>
        <v>#DIV/0!</v>
      </c>
      <c r="CI12" s="1158"/>
      <c r="CJ12" s="3285"/>
      <c r="CK12" s="3285"/>
      <c r="CL12" s="3286">
        <f>CJ12+CK12*1</f>
        <v>0</v>
      </c>
      <c r="CM12" s="3284" t="e">
        <f t="shared" si="17"/>
        <v>#DIV/0!</v>
      </c>
      <c r="CN12" s="1158"/>
      <c r="CO12" s="3285"/>
      <c r="CP12" s="3285"/>
      <c r="CQ12" s="3286">
        <f>CO12+CP12*1</f>
        <v>0</v>
      </c>
      <c r="CR12" s="3284" t="e">
        <f t="shared" si="18"/>
        <v>#DIV/0!</v>
      </c>
      <c r="CS12" s="1158"/>
      <c r="CT12" s="3285"/>
      <c r="CU12" s="3285"/>
      <c r="CV12" s="3286">
        <f>CT12+CU12*1</f>
        <v>0</v>
      </c>
      <c r="CW12" s="3284" t="e">
        <f t="shared" si="19"/>
        <v>#DIV/0!</v>
      </c>
      <c r="CX12" s="1158"/>
      <c r="CY12" s="3274">
        <f t="shared" si="32"/>
        <v>0</v>
      </c>
      <c r="CZ12" s="3274">
        <f t="shared" si="33"/>
        <v>0</v>
      </c>
      <c r="DA12" s="3283">
        <f t="shared" si="34"/>
        <v>0</v>
      </c>
      <c r="DB12" s="3284">
        <f t="shared" si="1"/>
        <v>0</v>
      </c>
      <c r="DC12" s="1449"/>
    </row>
    <row r="13" spans="1:107" s="1411" customFormat="1" ht="13.8" x14ac:dyDescent="0.25">
      <c r="A13" s="1586"/>
      <c r="B13" s="1061" t="s">
        <v>71</v>
      </c>
      <c r="C13" s="3288"/>
      <c r="D13" s="3274"/>
      <c r="E13" s="3283">
        <f t="shared" si="21"/>
        <v>0</v>
      </c>
      <c r="F13" s="3284">
        <f t="shared" si="0"/>
        <v>0</v>
      </c>
      <c r="G13" s="1449"/>
      <c r="H13" s="3274"/>
      <c r="I13" s="3274"/>
      <c r="J13" s="3283">
        <f t="shared" si="22"/>
        <v>0</v>
      </c>
      <c r="K13" s="3284">
        <f t="shared" si="23"/>
        <v>0</v>
      </c>
      <c r="L13" s="1449"/>
      <c r="M13" s="3274"/>
      <c r="N13" s="3274"/>
      <c r="O13" s="3283">
        <f t="shared" si="24"/>
        <v>0</v>
      </c>
      <c r="P13" s="3284">
        <f t="shared" si="2"/>
        <v>0</v>
      </c>
      <c r="Q13" s="1449"/>
      <c r="R13" s="3274"/>
      <c r="S13" s="3274"/>
      <c r="T13" s="3283">
        <f t="shared" si="25"/>
        <v>0</v>
      </c>
      <c r="U13" s="3284">
        <f t="shared" si="3"/>
        <v>0</v>
      </c>
      <c r="V13" s="1449"/>
      <c r="W13" s="3274"/>
      <c r="X13" s="3274"/>
      <c r="Y13" s="3283">
        <f t="shared" si="26"/>
        <v>0</v>
      </c>
      <c r="Z13" s="3284">
        <f t="shared" si="4"/>
        <v>0</v>
      </c>
      <c r="AA13" s="1449"/>
      <c r="AB13" s="3274"/>
      <c r="AC13" s="3274"/>
      <c r="AD13" s="3283">
        <f t="shared" si="27"/>
        <v>0</v>
      </c>
      <c r="AE13" s="3284">
        <f t="shared" si="5"/>
        <v>0</v>
      </c>
      <c r="AF13" s="1449"/>
      <c r="AG13" s="3274">
        <v>0</v>
      </c>
      <c r="AH13" s="3274">
        <v>0</v>
      </c>
      <c r="AI13" s="3283">
        <v>0</v>
      </c>
      <c r="AJ13" s="3284">
        <v>0</v>
      </c>
      <c r="AK13" s="1449"/>
      <c r="AL13" s="3274">
        <f t="shared" si="6"/>
        <v>0</v>
      </c>
      <c r="AM13" s="3274">
        <f t="shared" si="6"/>
        <v>0</v>
      </c>
      <c r="AN13" s="3283">
        <f t="shared" si="28"/>
        <v>0</v>
      </c>
      <c r="AO13" s="3284">
        <f t="shared" si="7"/>
        <v>0</v>
      </c>
      <c r="AP13" s="1449"/>
      <c r="AQ13" s="3274"/>
      <c r="AR13" s="3274"/>
      <c r="AS13" s="3283">
        <f t="shared" si="29"/>
        <v>0</v>
      </c>
      <c r="AT13" s="3284">
        <f t="shared" si="8"/>
        <v>0</v>
      </c>
      <c r="AU13" s="1449"/>
      <c r="AV13" s="3274"/>
      <c r="AW13" s="3274"/>
      <c r="AX13" s="3283">
        <f t="shared" si="30"/>
        <v>0</v>
      </c>
      <c r="AY13" s="3284">
        <f t="shared" si="9"/>
        <v>0</v>
      </c>
      <c r="AZ13" s="3276"/>
      <c r="BA13" s="3285"/>
      <c r="BB13" s="3285"/>
      <c r="BC13" s="3286">
        <f>BA13+BB13*1</f>
        <v>0</v>
      </c>
      <c r="BD13" s="3284">
        <f t="shared" si="10"/>
        <v>0</v>
      </c>
      <c r="BE13" s="1158"/>
      <c r="BF13" s="3285"/>
      <c r="BG13" s="3285"/>
      <c r="BH13" s="3286">
        <f>BF13+BG13*1</f>
        <v>0</v>
      </c>
      <c r="BI13" s="3284">
        <f t="shared" si="11"/>
        <v>0</v>
      </c>
      <c r="BJ13" s="1158"/>
      <c r="BK13" s="3285"/>
      <c r="BL13" s="3285"/>
      <c r="BM13" s="3286">
        <f>BK13+BL13*1</f>
        <v>0</v>
      </c>
      <c r="BN13" s="3284">
        <f t="shared" si="12"/>
        <v>0</v>
      </c>
      <c r="BO13" s="1158"/>
      <c r="BP13" s="3285"/>
      <c r="BQ13" s="3285"/>
      <c r="BR13" s="3286">
        <f>BP13+BQ13*1</f>
        <v>0</v>
      </c>
      <c r="BS13" s="3284">
        <f t="shared" si="13"/>
        <v>0</v>
      </c>
      <c r="BT13" s="1158"/>
      <c r="BU13" s="3285"/>
      <c r="BV13" s="3285"/>
      <c r="BW13" s="3286">
        <f>BU13+BV13*1</f>
        <v>0</v>
      </c>
      <c r="BX13" s="3284" t="e">
        <f t="shared" si="14"/>
        <v>#DIV/0!</v>
      </c>
      <c r="BY13" s="1158"/>
      <c r="BZ13" s="3285"/>
      <c r="CA13" s="3285"/>
      <c r="CB13" s="3286">
        <f>BZ13+CA13*1</f>
        <v>0</v>
      </c>
      <c r="CC13" s="3284" t="e">
        <f t="shared" si="15"/>
        <v>#DIV/0!</v>
      </c>
      <c r="CD13" s="1158"/>
      <c r="CE13" s="3285"/>
      <c r="CF13" s="3285"/>
      <c r="CG13" s="3286">
        <f>CE13+CF13*1</f>
        <v>0</v>
      </c>
      <c r="CH13" s="3284" t="e">
        <f t="shared" si="16"/>
        <v>#DIV/0!</v>
      </c>
      <c r="CI13" s="1158"/>
      <c r="CJ13" s="3285"/>
      <c r="CK13" s="3285"/>
      <c r="CL13" s="3286">
        <f>CJ13+CK13*1</f>
        <v>0</v>
      </c>
      <c r="CM13" s="3284" t="e">
        <f t="shared" si="17"/>
        <v>#DIV/0!</v>
      </c>
      <c r="CN13" s="1158"/>
      <c r="CO13" s="3285"/>
      <c r="CP13" s="3285"/>
      <c r="CQ13" s="3286">
        <f>CO13+CP13*1</f>
        <v>0</v>
      </c>
      <c r="CR13" s="3284" t="e">
        <f t="shared" si="18"/>
        <v>#DIV/0!</v>
      </c>
      <c r="CS13" s="1158"/>
      <c r="CT13" s="3285"/>
      <c r="CU13" s="3285"/>
      <c r="CV13" s="3286">
        <f>CT13+CU13*1</f>
        <v>0</v>
      </c>
      <c r="CW13" s="3284" t="e">
        <f t="shared" si="19"/>
        <v>#DIV/0!</v>
      </c>
      <c r="CX13" s="1158"/>
      <c r="CY13" s="3274">
        <f t="shared" si="32"/>
        <v>0</v>
      </c>
      <c r="CZ13" s="3274">
        <f t="shared" si="33"/>
        <v>0</v>
      </c>
      <c r="DA13" s="3283">
        <f t="shared" si="34"/>
        <v>0</v>
      </c>
      <c r="DB13" s="3284">
        <f t="shared" si="1"/>
        <v>0</v>
      </c>
      <c r="DC13" s="1449"/>
    </row>
    <row r="14" spans="1:107" s="1411" customFormat="1" ht="13.8" x14ac:dyDescent="0.25">
      <c r="A14" s="1586"/>
      <c r="B14" s="1061" t="s">
        <v>70</v>
      </c>
      <c r="C14" s="3288"/>
      <c r="D14" s="3274"/>
      <c r="E14" s="3283">
        <f t="shared" si="21"/>
        <v>0</v>
      </c>
      <c r="F14" s="3284">
        <f t="shared" si="0"/>
        <v>0</v>
      </c>
      <c r="G14" s="1449"/>
      <c r="H14" s="3274"/>
      <c r="I14" s="3274"/>
      <c r="J14" s="3283">
        <f t="shared" si="22"/>
        <v>0</v>
      </c>
      <c r="K14" s="3284">
        <f t="shared" si="23"/>
        <v>0</v>
      </c>
      <c r="L14" s="1449"/>
      <c r="M14" s="3274"/>
      <c r="N14" s="3274"/>
      <c r="O14" s="3283">
        <f t="shared" si="24"/>
        <v>0</v>
      </c>
      <c r="P14" s="3284">
        <f t="shared" si="2"/>
        <v>0</v>
      </c>
      <c r="Q14" s="1449"/>
      <c r="R14" s="3274"/>
      <c r="S14" s="3274"/>
      <c r="T14" s="3283">
        <f t="shared" si="25"/>
        <v>0</v>
      </c>
      <c r="U14" s="3284">
        <f t="shared" si="3"/>
        <v>0</v>
      </c>
      <c r="V14" s="1449"/>
      <c r="W14" s="3274"/>
      <c r="X14" s="3274"/>
      <c r="Y14" s="3283">
        <f t="shared" si="26"/>
        <v>0</v>
      </c>
      <c r="Z14" s="3284">
        <f t="shared" si="4"/>
        <v>0</v>
      </c>
      <c r="AA14" s="1449"/>
      <c r="AB14" s="3274"/>
      <c r="AC14" s="3274"/>
      <c r="AD14" s="3283">
        <f t="shared" si="27"/>
        <v>0</v>
      </c>
      <c r="AE14" s="3284">
        <f t="shared" si="5"/>
        <v>0</v>
      </c>
      <c r="AF14" s="1449"/>
      <c r="AG14" s="3274">
        <v>0</v>
      </c>
      <c r="AH14" s="3274">
        <v>0</v>
      </c>
      <c r="AI14" s="3283">
        <v>0</v>
      </c>
      <c r="AJ14" s="3284">
        <v>0</v>
      </c>
      <c r="AK14" s="1449"/>
      <c r="AL14" s="3274">
        <f t="shared" si="6"/>
        <v>0</v>
      </c>
      <c r="AM14" s="3274">
        <f t="shared" si="6"/>
        <v>0</v>
      </c>
      <c r="AN14" s="3283">
        <f t="shared" si="28"/>
        <v>0</v>
      </c>
      <c r="AO14" s="3284">
        <f t="shared" si="7"/>
        <v>0</v>
      </c>
      <c r="AP14" s="1449"/>
      <c r="AQ14" s="3274"/>
      <c r="AR14" s="3274"/>
      <c r="AS14" s="3283">
        <f t="shared" si="29"/>
        <v>0</v>
      </c>
      <c r="AT14" s="3284">
        <f t="shared" si="8"/>
        <v>0</v>
      </c>
      <c r="AU14" s="1449"/>
      <c r="AV14" s="3274"/>
      <c r="AW14" s="3274"/>
      <c r="AX14" s="3283">
        <f t="shared" si="30"/>
        <v>0</v>
      </c>
      <c r="AY14" s="3284">
        <f t="shared" si="9"/>
        <v>0</v>
      </c>
      <c r="AZ14" s="3276"/>
      <c r="BA14" s="3285"/>
      <c r="BB14" s="3285"/>
      <c r="BC14" s="3286">
        <f t="shared" si="31"/>
        <v>0</v>
      </c>
      <c r="BD14" s="3284">
        <f t="shared" si="10"/>
        <v>0</v>
      </c>
      <c r="BE14" s="1158"/>
      <c r="BF14" s="3285"/>
      <c r="BG14" s="3285"/>
      <c r="BH14" s="3286">
        <f t="shared" ref="BH14:BH33" si="35">BF14+BG14*1</f>
        <v>0</v>
      </c>
      <c r="BI14" s="3284">
        <f t="shared" si="11"/>
        <v>0</v>
      </c>
      <c r="BJ14" s="1158"/>
      <c r="BK14" s="3285"/>
      <c r="BL14" s="3285"/>
      <c r="BM14" s="3286">
        <f t="shared" ref="BM14:BM33" si="36">BK14+BL14*1</f>
        <v>0</v>
      </c>
      <c r="BN14" s="3284">
        <f t="shared" si="12"/>
        <v>0</v>
      </c>
      <c r="BO14" s="1158"/>
      <c r="BP14" s="3285"/>
      <c r="BQ14" s="3285"/>
      <c r="BR14" s="3286">
        <f t="shared" ref="BR14:BR33" si="37">BP14+BQ14*1</f>
        <v>0</v>
      </c>
      <c r="BS14" s="3284">
        <f t="shared" si="13"/>
        <v>0</v>
      </c>
      <c r="BT14" s="1158"/>
      <c r="BU14" s="3285"/>
      <c r="BV14" s="3285"/>
      <c r="BW14" s="3286">
        <f t="shared" ref="BW14:BW33" si="38">BU14+BV14*1</f>
        <v>0</v>
      </c>
      <c r="BX14" s="3284" t="e">
        <f t="shared" si="14"/>
        <v>#DIV/0!</v>
      </c>
      <c r="BY14" s="1158"/>
      <c r="BZ14" s="3285"/>
      <c r="CA14" s="3285"/>
      <c r="CB14" s="3286">
        <f t="shared" ref="CB14:CB33" si="39">BZ14+CA14*1</f>
        <v>0</v>
      </c>
      <c r="CC14" s="3284" t="e">
        <f t="shared" si="15"/>
        <v>#DIV/0!</v>
      </c>
      <c r="CD14" s="1158"/>
      <c r="CE14" s="3285"/>
      <c r="CF14" s="3285"/>
      <c r="CG14" s="3286">
        <f t="shared" ref="CG14:CG33" si="40">CE14+CF14*1</f>
        <v>0</v>
      </c>
      <c r="CH14" s="3284" t="e">
        <f t="shared" si="16"/>
        <v>#DIV/0!</v>
      </c>
      <c r="CI14" s="1158"/>
      <c r="CJ14" s="3285"/>
      <c r="CK14" s="3285"/>
      <c r="CL14" s="3286">
        <f t="shared" ref="CL14:CL33" si="41">CJ14+CK14*1</f>
        <v>0</v>
      </c>
      <c r="CM14" s="3284" t="e">
        <f t="shared" si="17"/>
        <v>#DIV/0!</v>
      </c>
      <c r="CN14" s="1158"/>
      <c r="CO14" s="3285"/>
      <c r="CP14" s="3285"/>
      <c r="CQ14" s="3286">
        <f t="shared" ref="CQ14:CQ33" si="42">CO14+CP14*1</f>
        <v>0</v>
      </c>
      <c r="CR14" s="3284" t="e">
        <f t="shared" si="18"/>
        <v>#DIV/0!</v>
      </c>
      <c r="CS14" s="1158"/>
      <c r="CT14" s="3285"/>
      <c r="CU14" s="3285"/>
      <c r="CV14" s="3286">
        <f t="shared" ref="CV14:CV33" si="43">CT14+CU14*1</f>
        <v>0</v>
      </c>
      <c r="CW14" s="3284" t="e">
        <f t="shared" si="19"/>
        <v>#DIV/0!</v>
      </c>
      <c r="CX14" s="1158"/>
      <c r="CY14" s="3274">
        <f t="shared" si="32"/>
        <v>0</v>
      </c>
      <c r="CZ14" s="3274">
        <f t="shared" si="33"/>
        <v>0</v>
      </c>
      <c r="DA14" s="3283">
        <f t="shared" si="34"/>
        <v>0</v>
      </c>
      <c r="DB14" s="3284">
        <f t="shared" si="1"/>
        <v>0</v>
      </c>
      <c r="DC14" s="1449"/>
    </row>
    <row r="15" spans="1:107" s="1411" customFormat="1" ht="13.8" x14ac:dyDescent="0.25">
      <c r="A15" s="1586"/>
      <c r="B15" s="3289" t="s">
        <v>20</v>
      </c>
      <c r="C15" s="3288"/>
      <c r="D15" s="3274"/>
      <c r="E15" s="3283">
        <f t="shared" si="21"/>
        <v>0</v>
      </c>
      <c r="F15" s="3284">
        <f t="shared" si="0"/>
        <v>0</v>
      </c>
      <c r="G15" s="1449"/>
      <c r="H15" s="3274"/>
      <c r="I15" s="3274"/>
      <c r="J15" s="3283">
        <f t="shared" si="22"/>
        <v>0</v>
      </c>
      <c r="K15" s="3284">
        <f t="shared" si="23"/>
        <v>0</v>
      </c>
      <c r="L15" s="1449"/>
      <c r="M15" s="3274"/>
      <c r="N15" s="3274"/>
      <c r="O15" s="3283">
        <f t="shared" si="24"/>
        <v>0</v>
      </c>
      <c r="P15" s="3284">
        <f t="shared" si="2"/>
        <v>0</v>
      </c>
      <c r="Q15" s="1449"/>
      <c r="R15" s="3274"/>
      <c r="S15" s="3274"/>
      <c r="T15" s="3283">
        <f t="shared" si="25"/>
        <v>0</v>
      </c>
      <c r="U15" s="3284">
        <f t="shared" si="3"/>
        <v>0</v>
      </c>
      <c r="V15" s="1449"/>
      <c r="W15" s="3274"/>
      <c r="X15" s="3274"/>
      <c r="Y15" s="3283">
        <f t="shared" si="26"/>
        <v>0</v>
      </c>
      <c r="Z15" s="3284">
        <f t="shared" si="4"/>
        <v>0</v>
      </c>
      <c r="AA15" s="1449"/>
      <c r="AB15" s="3274"/>
      <c r="AC15" s="3274"/>
      <c r="AD15" s="3283">
        <f t="shared" si="27"/>
        <v>0</v>
      </c>
      <c r="AE15" s="3284">
        <f t="shared" si="5"/>
        <v>0</v>
      </c>
      <c r="AF15" s="1449"/>
      <c r="AG15" s="3274">
        <v>0</v>
      </c>
      <c r="AH15" s="3274">
        <v>0</v>
      </c>
      <c r="AI15" s="3283">
        <v>0</v>
      </c>
      <c r="AJ15" s="3284">
        <v>0</v>
      </c>
      <c r="AK15" s="1449"/>
      <c r="AL15" s="3274">
        <f t="shared" si="6"/>
        <v>0</v>
      </c>
      <c r="AM15" s="3274">
        <f t="shared" si="6"/>
        <v>0</v>
      </c>
      <c r="AN15" s="3283">
        <f t="shared" si="28"/>
        <v>0</v>
      </c>
      <c r="AO15" s="3284">
        <f t="shared" si="7"/>
        <v>0</v>
      </c>
      <c r="AP15" s="1449"/>
      <c r="AQ15" s="3274"/>
      <c r="AR15" s="3274"/>
      <c r="AS15" s="3283">
        <f t="shared" si="29"/>
        <v>0</v>
      </c>
      <c r="AT15" s="3284">
        <f t="shared" si="8"/>
        <v>0</v>
      </c>
      <c r="AU15" s="1449"/>
      <c r="AV15" s="3274"/>
      <c r="AW15" s="3274"/>
      <c r="AX15" s="3283">
        <f t="shared" si="30"/>
        <v>0</v>
      </c>
      <c r="AY15" s="3284">
        <f t="shared" si="9"/>
        <v>0</v>
      </c>
      <c r="AZ15" s="3276"/>
      <c r="BA15" s="3285"/>
      <c r="BB15" s="3285"/>
      <c r="BC15" s="3286">
        <f t="shared" si="31"/>
        <v>0</v>
      </c>
      <c r="BD15" s="3284">
        <f t="shared" si="10"/>
        <v>0</v>
      </c>
      <c r="BE15" s="1158"/>
      <c r="BF15" s="3285"/>
      <c r="BG15" s="3285"/>
      <c r="BH15" s="3286">
        <f t="shared" si="35"/>
        <v>0</v>
      </c>
      <c r="BI15" s="3284">
        <f t="shared" si="11"/>
        <v>0</v>
      </c>
      <c r="BJ15" s="1158"/>
      <c r="BK15" s="3285"/>
      <c r="BL15" s="3285"/>
      <c r="BM15" s="3286">
        <f t="shared" si="36"/>
        <v>0</v>
      </c>
      <c r="BN15" s="3284">
        <f t="shared" si="12"/>
        <v>0</v>
      </c>
      <c r="BO15" s="1158"/>
      <c r="BP15" s="3285"/>
      <c r="BQ15" s="3285"/>
      <c r="BR15" s="3286">
        <f t="shared" si="37"/>
        <v>0</v>
      </c>
      <c r="BS15" s="3284">
        <f t="shared" si="13"/>
        <v>0</v>
      </c>
      <c r="BT15" s="1158"/>
      <c r="BU15" s="3285"/>
      <c r="BV15" s="3285"/>
      <c r="BW15" s="3286">
        <f t="shared" si="38"/>
        <v>0</v>
      </c>
      <c r="BX15" s="3284" t="e">
        <f t="shared" si="14"/>
        <v>#DIV/0!</v>
      </c>
      <c r="BY15" s="1158"/>
      <c r="BZ15" s="3285"/>
      <c r="CA15" s="3285"/>
      <c r="CB15" s="3286">
        <f t="shared" si="39"/>
        <v>0</v>
      </c>
      <c r="CC15" s="3284" t="e">
        <f t="shared" si="15"/>
        <v>#DIV/0!</v>
      </c>
      <c r="CD15" s="1158"/>
      <c r="CE15" s="3285"/>
      <c r="CF15" s="3285"/>
      <c r="CG15" s="3286">
        <f t="shared" si="40"/>
        <v>0</v>
      </c>
      <c r="CH15" s="3284" t="e">
        <f t="shared" si="16"/>
        <v>#DIV/0!</v>
      </c>
      <c r="CI15" s="1158"/>
      <c r="CJ15" s="3285"/>
      <c r="CK15" s="3285"/>
      <c r="CL15" s="3286">
        <f t="shared" si="41"/>
        <v>0</v>
      </c>
      <c r="CM15" s="3284" t="e">
        <f t="shared" si="17"/>
        <v>#DIV/0!</v>
      </c>
      <c r="CN15" s="1158"/>
      <c r="CO15" s="3285"/>
      <c r="CP15" s="3285"/>
      <c r="CQ15" s="3286">
        <f t="shared" si="42"/>
        <v>0</v>
      </c>
      <c r="CR15" s="3284" t="e">
        <f t="shared" si="18"/>
        <v>#DIV/0!</v>
      </c>
      <c r="CS15" s="1158"/>
      <c r="CT15" s="3285"/>
      <c r="CU15" s="3285"/>
      <c r="CV15" s="3286">
        <f t="shared" si="43"/>
        <v>0</v>
      </c>
      <c r="CW15" s="3284" t="e">
        <f t="shared" si="19"/>
        <v>#DIV/0!</v>
      </c>
      <c r="CX15" s="1158"/>
      <c r="CY15" s="3274">
        <f t="shared" si="32"/>
        <v>0</v>
      </c>
      <c r="CZ15" s="3274">
        <f t="shared" si="33"/>
        <v>0</v>
      </c>
      <c r="DA15" s="3283">
        <f t="shared" si="34"/>
        <v>0</v>
      </c>
      <c r="DB15" s="3284">
        <f t="shared" si="1"/>
        <v>0</v>
      </c>
      <c r="DC15" s="1449"/>
    </row>
    <row r="16" spans="1:107" s="1411" customFormat="1" ht="13.8" x14ac:dyDescent="0.25">
      <c r="A16" s="3290"/>
      <c r="B16" s="3289" t="s">
        <v>21</v>
      </c>
      <c r="C16" s="3288"/>
      <c r="D16" s="3274"/>
      <c r="E16" s="3283">
        <f t="shared" si="21"/>
        <v>0</v>
      </c>
      <c r="F16" s="3284">
        <f t="shared" si="0"/>
        <v>0</v>
      </c>
      <c r="G16" s="1449"/>
      <c r="H16" s="3274"/>
      <c r="I16" s="3274"/>
      <c r="J16" s="3283">
        <f t="shared" si="22"/>
        <v>0</v>
      </c>
      <c r="K16" s="3284">
        <f t="shared" si="23"/>
        <v>0</v>
      </c>
      <c r="L16" s="1449"/>
      <c r="M16" s="3274"/>
      <c r="N16" s="3274"/>
      <c r="O16" s="3283">
        <f t="shared" si="24"/>
        <v>0</v>
      </c>
      <c r="P16" s="3284">
        <f t="shared" si="2"/>
        <v>0</v>
      </c>
      <c r="Q16" s="1449"/>
      <c r="R16" s="3274"/>
      <c r="S16" s="3274"/>
      <c r="T16" s="3283">
        <f t="shared" si="25"/>
        <v>0</v>
      </c>
      <c r="U16" s="3284">
        <f t="shared" si="3"/>
        <v>0</v>
      </c>
      <c r="V16" s="1449"/>
      <c r="W16" s="3274"/>
      <c r="X16" s="3274"/>
      <c r="Y16" s="3283">
        <f t="shared" si="26"/>
        <v>0</v>
      </c>
      <c r="Z16" s="3284">
        <f t="shared" si="4"/>
        <v>0</v>
      </c>
      <c r="AA16" s="1449"/>
      <c r="AB16" s="3274"/>
      <c r="AC16" s="3274"/>
      <c r="AD16" s="3283">
        <f t="shared" si="27"/>
        <v>0</v>
      </c>
      <c r="AE16" s="3284">
        <f t="shared" si="5"/>
        <v>0</v>
      </c>
      <c r="AF16" s="1449"/>
      <c r="AG16" s="3274">
        <v>0</v>
      </c>
      <c r="AH16" s="3274">
        <v>0</v>
      </c>
      <c r="AI16" s="3283">
        <v>0</v>
      </c>
      <c r="AJ16" s="3284">
        <v>0</v>
      </c>
      <c r="AK16" s="1449"/>
      <c r="AL16" s="3274">
        <f t="shared" si="6"/>
        <v>0</v>
      </c>
      <c r="AM16" s="3274">
        <f t="shared" si="6"/>
        <v>0</v>
      </c>
      <c r="AN16" s="3283">
        <f t="shared" si="28"/>
        <v>0</v>
      </c>
      <c r="AO16" s="3284">
        <f t="shared" si="7"/>
        <v>0</v>
      </c>
      <c r="AP16" s="1449"/>
      <c r="AQ16" s="3274"/>
      <c r="AR16" s="3274"/>
      <c r="AS16" s="3283">
        <f t="shared" si="29"/>
        <v>0</v>
      </c>
      <c r="AT16" s="3284">
        <f t="shared" si="8"/>
        <v>0</v>
      </c>
      <c r="AU16" s="1449"/>
      <c r="AV16" s="3274"/>
      <c r="AW16" s="3274"/>
      <c r="AX16" s="3283">
        <f t="shared" si="30"/>
        <v>0</v>
      </c>
      <c r="AY16" s="3284">
        <f t="shared" si="9"/>
        <v>0</v>
      </c>
      <c r="AZ16" s="3276"/>
      <c r="BA16" s="3285"/>
      <c r="BB16" s="3285"/>
      <c r="BC16" s="3286">
        <f t="shared" si="31"/>
        <v>0</v>
      </c>
      <c r="BD16" s="3284">
        <f t="shared" si="10"/>
        <v>0</v>
      </c>
      <c r="BE16" s="1158"/>
      <c r="BF16" s="3285"/>
      <c r="BG16" s="3285"/>
      <c r="BH16" s="3286">
        <f t="shared" si="35"/>
        <v>0</v>
      </c>
      <c r="BI16" s="3284">
        <f t="shared" si="11"/>
        <v>0</v>
      </c>
      <c r="BJ16" s="1158"/>
      <c r="BK16" s="3285"/>
      <c r="BL16" s="3285"/>
      <c r="BM16" s="3286">
        <f t="shared" si="36"/>
        <v>0</v>
      </c>
      <c r="BN16" s="3284">
        <f t="shared" si="12"/>
        <v>0</v>
      </c>
      <c r="BO16" s="1158"/>
      <c r="BP16" s="3285"/>
      <c r="BQ16" s="3285"/>
      <c r="BR16" s="3286">
        <f t="shared" si="37"/>
        <v>0</v>
      </c>
      <c r="BS16" s="3284">
        <f t="shared" si="13"/>
        <v>0</v>
      </c>
      <c r="BT16" s="1158"/>
      <c r="BU16" s="3285"/>
      <c r="BV16" s="3285"/>
      <c r="BW16" s="3286">
        <f t="shared" si="38"/>
        <v>0</v>
      </c>
      <c r="BX16" s="3284" t="e">
        <f t="shared" si="14"/>
        <v>#DIV/0!</v>
      </c>
      <c r="BY16" s="1158"/>
      <c r="BZ16" s="3285"/>
      <c r="CA16" s="3285"/>
      <c r="CB16" s="3286">
        <f t="shared" si="39"/>
        <v>0</v>
      </c>
      <c r="CC16" s="3284" t="e">
        <f t="shared" si="15"/>
        <v>#DIV/0!</v>
      </c>
      <c r="CD16" s="1158"/>
      <c r="CE16" s="3285"/>
      <c r="CF16" s="3285"/>
      <c r="CG16" s="3286">
        <f t="shared" si="40"/>
        <v>0</v>
      </c>
      <c r="CH16" s="3284" t="e">
        <f t="shared" si="16"/>
        <v>#DIV/0!</v>
      </c>
      <c r="CI16" s="1158"/>
      <c r="CJ16" s="3285"/>
      <c r="CK16" s="3285"/>
      <c r="CL16" s="3286">
        <f t="shared" si="41"/>
        <v>0</v>
      </c>
      <c r="CM16" s="3284" t="e">
        <f t="shared" si="17"/>
        <v>#DIV/0!</v>
      </c>
      <c r="CN16" s="1158"/>
      <c r="CO16" s="3285"/>
      <c r="CP16" s="3285"/>
      <c r="CQ16" s="3286">
        <f t="shared" si="42"/>
        <v>0</v>
      </c>
      <c r="CR16" s="3284" t="e">
        <f t="shared" si="18"/>
        <v>#DIV/0!</v>
      </c>
      <c r="CS16" s="1158"/>
      <c r="CT16" s="3285"/>
      <c r="CU16" s="3285"/>
      <c r="CV16" s="3286">
        <f t="shared" si="43"/>
        <v>0</v>
      </c>
      <c r="CW16" s="3284" t="e">
        <f t="shared" si="19"/>
        <v>#DIV/0!</v>
      </c>
      <c r="CX16" s="1158"/>
      <c r="CY16" s="3274">
        <f t="shared" si="32"/>
        <v>0</v>
      </c>
      <c r="CZ16" s="3274">
        <f t="shared" si="33"/>
        <v>0</v>
      </c>
      <c r="DA16" s="3283">
        <f t="shared" si="34"/>
        <v>0</v>
      </c>
      <c r="DB16" s="3284">
        <f t="shared" si="1"/>
        <v>0</v>
      </c>
      <c r="DC16" s="1449"/>
    </row>
    <row r="17" spans="1:107" s="1411" customFormat="1" ht="13.8" x14ac:dyDescent="0.25">
      <c r="A17" s="1586"/>
      <c r="B17" s="3289" t="s">
        <v>22</v>
      </c>
      <c r="C17" s="3288"/>
      <c r="D17" s="3274"/>
      <c r="E17" s="3283">
        <f t="shared" si="21"/>
        <v>0</v>
      </c>
      <c r="F17" s="3284">
        <f t="shared" si="0"/>
        <v>0</v>
      </c>
      <c r="G17" s="1449"/>
      <c r="H17" s="3274"/>
      <c r="I17" s="3274"/>
      <c r="J17" s="3283">
        <f t="shared" si="22"/>
        <v>0</v>
      </c>
      <c r="K17" s="3284">
        <f t="shared" si="23"/>
        <v>0</v>
      </c>
      <c r="L17" s="1449"/>
      <c r="M17" s="3274"/>
      <c r="N17" s="3274"/>
      <c r="O17" s="3283">
        <f t="shared" si="24"/>
        <v>0</v>
      </c>
      <c r="P17" s="3284">
        <f t="shared" si="2"/>
        <v>0</v>
      </c>
      <c r="Q17" s="1449"/>
      <c r="R17" s="3274"/>
      <c r="S17" s="3274"/>
      <c r="T17" s="3283">
        <f t="shared" si="25"/>
        <v>0</v>
      </c>
      <c r="U17" s="3284">
        <f t="shared" si="3"/>
        <v>0</v>
      </c>
      <c r="V17" s="1449"/>
      <c r="W17" s="3274"/>
      <c r="X17" s="3274"/>
      <c r="Y17" s="3283">
        <f t="shared" si="26"/>
        <v>0</v>
      </c>
      <c r="Z17" s="3284">
        <f t="shared" si="4"/>
        <v>0</v>
      </c>
      <c r="AA17" s="1449"/>
      <c r="AB17" s="3274"/>
      <c r="AC17" s="3274"/>
      <c r="AD17" s="3283">
        <f t="shared" si="27"/>
        <v>0</v>
      </c>
      <c r="AE17" s="3284">
        <f t="shared" si="5"/>
        <v>0</v>
      </c>
      <c r="AF17" s="1449"/>
      <c r="AG17" s="3274">
        <v>0</v>
      </c>
      <c r="AH17" s="3274">
        <v>0</v>
      </c>
      <c r="AI17" s="3283">
        <v>0</v>
      </c>
      <c r="AJ17" s="3284">
        <v>0</v>
      </c>
      <c r="AK17" s="1449"/>
      <c r="AL17" s="3274">
        <f t="shared" si="6"/>
        <v>0</v>
      </c>
      <c r="AM17" s="3274">
        <f t="shared" si="6"/>
        <v>0</v>
      </c>
      <c r="AN17" s="3283">
        <f t="shared" si="28"/>
        <v>0</v>
      </c>
      <c r="AO17" s="3284">
        <f t="shared" si="7"/>
        <v>0</v>
      </c>
      <c r="AP17" s="1449"/>
      <c r="AQ17" s="3274"/>
      <c r="AR17" s="3274"/>
      <c r="AS17" s="3283">
        <f t="shared" si="29"/>
        <v>0</v>
      </c>
      <c r="AT17" s="3284">
        <f t="shared" si="8"/>
        <v>0</v>
      </c>
      <c r="AU17" s="1449"/>
      <c r="AV17" s="3274"/>
      <c r="AW17" s="3274"/>
      <c r="AX17" s="3283">
        <f t="shared" si="30"/>
        <v>0</v>
      </c>
      <c r="AY17" s="3284">
        <f t="shared" si="9"/>
        <v>0</v>
      </c>
      <c r="AZ17" s="3276"/>
      <c r="BA17" s="3285"/>
      <c r="BB17" s="3285"/>
      <c r="BC17" s="3286">
        <f t="shared" si="31"/>
        <v>0</v>
      </c>
      <c r="BD17" s="3284">
        <f t="shared" si="10"/>
        <v>0</v>
      </c>
      <c r="BE17" s="1158"/>
      <c r="BF17" s="3285"/>
      <c r="BG17" s="3285"/>
      <c r="BH17" s="3286">
        <f t="shared" si="35"/>
        <v>0</v>
      </c>
      <c r="BI17" s="3284">
        <f t="shared" si="11"/>
        <v>0</v>
      </c>
      <c r="BJ17" s="1158"/>
      <c r="BK17" s="3285"/>
      <c r="BL17" s="3285"/>
      <c r="BM17" s="3286">
        <f t="shared" si="36"/>
        <v>0</v>
      </c>
      <c r="BN17" s="3284">
        <f t="shared" si="12"/>
        <v>0</v>
      </c>
      <c r="BO17" s="1158"/>
      <c r="BP17" s="3285"/>
      <c r="BQ17" s="3285"/>
      <c r="BR17" s="3286">
        <f t="shared" si="37"/>
        <v>0</v>
      </c>
      <c r="BS17" s="3284">
        <f t="shared" si="13"/>
        <v>0</v>
      </c>
      <c r="BT17" s="1158"/>
      <c r="BU17" s="3285"/>
      <c r="BV17" s="3285"/>
      <c r="BW17" s="3286">
        <f t="shared" si="38"/>
        <v>0</v>
      </c>
      <c r="BX17" s="3284" t="e">
        <f t="shared" si="14"/>
        <v>#DIV/0!</v>
      </c>
      <c r="BY17" s="1158"/>
      <c r="BZ17" s="3285"/>
      <c r="CA17" s="3285"/>
      <c r="CB17" s="3286">
        <f t="shared" si="39"/>
        <v>0</v>
      </c>
      <c r="CC17" s="3284" t="e">
        <f t="shared" si="15"/>
        <v>#DIV/0!</v>
      </c>
      <c r="CD17" s="1158"/>
      <c r="CE17" s="3285"/>
      <c r="CF17" s="3285"/>
      <c r="CG17" s="3286">
        <f t="shared" si="40"/>
        <v>0</v>
      </c>
      <c r="CH17" s="3284" t="e">
        <f t="shared" si="16"/>
        <v>#DIV/0!</v>
      </c>
      <c r="CI17" s="1158"/>
      <c r="CJ17" s="3285"/>
      <c r="CK17" s="3285"/>
      <c r="CL17" s="3286">
        <f t="shared" si="41"/>
        <v>0</v>
      </c>
      <c r="CM17" s="3284" t="e">
        <f t="shared" si="17"/>
        <v>#DIV/0!</v>
      </c>
      <c r="CN17" s="1158"/>
      <c r="CO17" s="3285"/>
      <c r="CP17" s="3285"/>
      <c r="CQ17" s="3286">
        <f t="shared" si="42"/>
        <v>0</v>
      </c>
      <c r="CR17" s="3284" t="e">
        <f t="shared" si="18"/>
        <v>#DIV/0!</v>
      </c>
      <c r="CS17" s="1158"/>
      <c r="CT17" s="3285"/>
      <c r="CU17" s="3285"/>
      <c r="CV17" s="3286">
        <f t="shared" si="43"/>
        <v>0</v>
      </c>
      <c r="CW17" s="3284" t="e">
        <f t="shared" si="19"/>
        <v>#DIV/0!</v>
      </c>
      <c r="CX17" s="1158"/>
      <c r="CY17" s="3274">
        <f t="shared" si="32"/>
        <v>0</v>
      </c>
      <c r="CZ17" s="3274">
        <f t="shared" si="33"/>
        <v>0</v>
      </c>
      <c r="DA17" s="3283">
        <f t="shared" si="34"/>
        <v>0</v>
      </c>
      <c r="DB17" s="3284">
        <f t="shared" si="1"/>
        <v>0</v>
      </c>
      <c r="DC17" s="1449"/>
    </row>
    <row r="18" spans="1:107" s="1411" customFormat="1" ht="41.4" x14ac:dyDescent="0.25">
      <c r="A18" s="1586"/>
      <c r="B18" s="3289" t="s">
        <v>0</v>
      </c>
      <c r="C18" s="3288"/>
      <c r="D18" s="3274"/>
      <c r="E18" s="3283">
        <f t="shared" si="21"/>
        <v>0</v>
      </c>
      <c r="F18" s="3284">
        <f t="shared" si="0"/>
        <v>0</v>
      </c>
      <c r="G18" s="3275"/>
      <c r="H18" s="3274"/>
      <c r="I18" s="3274"/>
      <c r="J18" s="3283">
        <f t="shared" si="22"/>
        <v>0</v>
      </c>
      <c r="K18" s="3284">
        <f t="shared" si="23"/>
        <v>0</v>
      </c>
      <c r="L18" s="3275"/>
      <c r="M18" s="3274">
        <f>160+4850</f>
        <v>5010</v>
      </c>
      <c r="N18" s="3274">
        <v>7470</v>
      </c>
      <c r="O18" s="3283">
        <f t="shared" si="24"/>
        <v>12480</v>
      </c>
      <c r="P18" s="3284">
        <f t="shared" si="2"/>
        <v>6.307857894565061E-2</v>
      </c>
      <c r="Q18" s="3275" t="s">
        <v>1249</v>
      </c>
      <c r="R18" s="3274"/>
      <c r="S18" s="3274"/>
      <c r="T18" s="3283">
        <f t="shared" si="25"/>
        <v>0</v>
      </c>
      <c r="U18" s="3284">
        <f t="shared" si="3"/>
        <v>0</v>
      </c>
      <c r="V18" s="3275"/>
      <c r="W18" s="3274">
        <f>4800+2825</f>
        <v>7625</v>
      </c>
      <c r="X18" s="3274">
        <v>6316.5</v>
      </c>
      <c r="Y18" s="3283">
        <f t="shared" si="26"/>
        <v>13941.5</v>
      </c>
      <c r="Z18" s="3284">
        <f t="shared" si="4"/>
        <v>7.046554554253108E-2</v>
      </c>
      <c r="AA18" s="3358" t="s">
        <v>1424</v>
      </c>
      <c r="AB18" s="3274">
        <v>305</v>
      </c>
      <c r="AC18" s="3274"/>
      <c r="AD18" s="3283">
        <f t="shared" si="27"/>
        <v>305</v>
      </c>
      <c r="AE18" s="3284">
        <f t="shared" si="5"/>
        <v>1.5415838604505958E-3</v>
      </c>
      <c r="AF18" s="3276" t="s">
        <v>1270</v>
      </c>
      <c r="AG18" s="3274">
        <v>30049.19</v>
      </c>
      <c r="AH18" s="3274">
        <v>25940.11</v>
      </c>
      <c r="AI18" s="3283">
        <v>55989.3</v>
      </c>
      <c r="AJ18" s="3284">
        <v>0.79883551414186893</v>
      </c>
      <c r="AK18" s="3275"/>
      <c r="AL18" s="3274">
        <f t="shared" si="6"/>
        <v>0</v>
      </c>
      <c r="AM18" s="3274">
        <f t="shared" si="6"/>
        <v>0</v>
      </c>
      <c r="AN18" s="3283">
        <f t="shared" si="28"/>
        <v>0</v>
      </c>
      <c r="AO18" s="3284">
        <f t="shared" si="7"/>
        <v>0</v>
      </c>
      <c r="AP18" s="3275"/>
      <c r="AQ18" s="3274"/>
      <c r="AR18" s="3274"/>
      <c r="AS18" s="3283">
        <f t="shared" si="29"/>
        <v>0</v>
      </c>
      <c r="AT18" s="3284">
        <f t="shared" si="8"/>
        <v>0</v>
      </c>
      <c r="AU18" s="3276"/>
      <c r="AV18" s="3274"/>
      <c r="AW18" s="3274"/>
      <c r="AX18" s="3283">
        <f t="shared" si="30"/>
        <v>0</v>
      </c>
      <c r="AY18" s="3284">
        <f t="shared" si="9"/>
        <v>0</v>
      </c>
      <c r="AZ18" s="3276"/>
      <c r="BA18" s="3285"/>
      <c r="BB18" s="3285"/>
      <c r="BC18" s="3286">
        <f t="shared" si="31"/>
        <v>0</v>
      </c>
      <c r="BD18" s="3284">
        <f t="shared" si="10"/>
        <v>0</v>
      </c>
      <c r="BE18" s="3291"/>
      <c r="BF18" s="3285"/>
      <c r="BG18" s="3285"/>
      <c r="BH18" s="3286">
        <f t="shared" si="35"/>
        <v>0</v>
      </c>
      <c r="BI18" s="3284">
        <f t="shared" si="11"/>
        <v>0</v>
      </c>
      <c r="BJ18" s="3291"/>
      <c r="BK18" s="3285"/>
      <c r="BL18" s="3285"/>
      <c r="BM18" s="3286">
        <f t="shared" si="36"/>
        <v>0</v>
      </c>
      <c r="BN18" s="3284">
        <f t="shared" si="12"/>
        <v>0</v>
      </c>
      <c r="BO18" s="3291"/>
      <c r="BP18" s="3285"/>
      <c r="BQ18" s="3285"/>
      <c r="BR18" s="3286">
        <f t="shared" si="37"/>
        <v>0</v>
      </c>
      <c r="BS18" s="3284">
        <f t="shared" si="13"/>
        <v>0</v>
      </c>
      <c r="BT18" s="3291"/>
      <c r="BU18" s="3285"/>
      <c r="BV18" s="3285"/>
      <c r="BW18" s="3286">
        <f t="shared" si="38"/>
        <v>0</v>
      </c>
      <c r="BX18" s="3284" t="e">
        <f t="shared" si="14"/>
        <v>#DIV/0!</v>
      </c>
      <c r="BY18" s="3291"/>
      <c r="BZ18" s="3285"/>
      <c r="CA18" s="3285"/>
      <c r="CB18" s="3286">
        <f t="shared" si="39"/>
        <v>0</v>
      </c>
      <c r="CC18" s="3284" t="e">
        <f t="shared" si="15"/>
        <v>#DIV/0!</v>
      </c>
      <c r="CD18" s="3291"/>
      <c r="CE18" s="3285"/>
      <c r="CF18" s="3285"/>
      <c r="CG18" s="3286">
        <f t="shared" si="40"/>
        <v>0</v>
      </c>
      <c r="CH18" s="3284" t="e">
        <f t="shared" si="16"/>
        <v>#DIV/0!</v>
      </c>
      <c r="CI18" s="3291"/>
      <c r="CJ18" s="3285"/>
      <c r="CK18" s="3285"/>
      <c r="CL18" s="3286">
        <f t="shared" si="41"/>
        <v>0</v>
      </c>
      <c r="CM18" s="3284" t="e">
        <f t="shared" si="17"/>
        <v>#DIV/0!</v>
      </c>
      <c r="CN18" s="3291"/>
      <c r="CO18" s="3285"/>
      <c r="CP18" s="3285"/>
      <c r="CQ18" s="3286">
        <f t="shared" si="42"/>
        <v>0</v>
      </c>
      <c r="CR18" s="3284" t="e">
        <f t="shared" si="18"/>
        <v>#DIV/0!</v>
      </c>
      <c r="CS18" s="3291"/>
      <c r="CT18" s="3285"/>
      <c r="CU18" s="3285"/>
      <c r="CV18" s="3286">
        <f t="shared" si="43"/>
        <v>0</v>
      </c>
      <c r="CW18" s="3284" t="e">
        <f t="shared" si="19"/>
        <v>#DIV/0!</v>
      </c>
      <c r="CX18" s="3291"/>
      <c r="CY18" s="3274">
        <f t="shared" si="32"/>
        <v>42989.19</v>
      </c>
      <c r="CZ18" s="3274">
        <f t="shared" si="33"/>
        <v>39726.61</v>
      </c>
      <c r="DA18" s="3283">
        <f t="shared" si="34"/>
        <v>82715.8</v>
      </c>
      <c r="DB18" s="3284">
        <f t="shared" si="1"/>
        <v>4.3373919422740249E-2</v>
      </c>
      <c r="DC18" s="1449"/>
    </row>
    <row r="19" spans="1:107" s="1411" customFormat="1" ht="13.8" x14ac:dyDescent="0.25">
      <c r="A19" s="1586"/>
      <c r="B19" s="3289" t="s">
        <v>53</v>
      </c>
      <c r="C19" s="3288"/>
      <c r="D19" s="3274"/>
      <c r="E19" s="3283">
        <f t="shared" si="21"/>
        <v>0</v>
      </c>
      <c r="F19" s="3284">
        <f t="shared" si="0"/>
        <v>0</v>
      </c>
      <c r="G19" s="1409"/>
      <c r="H19" s="3274"/>
      <c r="I19" s="3274"/>
      <c r="J19" s="3283">
        <f t="shared" si="22"/>
        <v>0</v>
      </c>
      <c r="K19" s="3284">
        <f t="shared" si="23"/>
        <v>0</v>
      </c>
      <c r="L19" s="1409"/>
      <c r="M19" s="3274"/>
      <c r="N19" s="3274"/>
      <c r="O19" s="3283">
        <f t="shared" si="24"/>
        <v>0</v>
      </c>
      <c r="P19" s="3284">
        <f t="shared" si="2"/>
        <v>0</v>
      </c>
      <c r="Q19" s="1409"/>
      <c r="R19" s="3274"/>
      <c r="S19" s="3274"/>
      <c r="T19" s="3283">
        <f t="shared" si="25"/>
        <v>0</v>
      </c>
      <c r="U19" s="3284">
        <f t="shared" si="3"/>
        <v>0</v>
      </c>
      <c r="V19" s="1409"/>
      <c r="W19" s="3274"/>
      <c r="X19" s="3274"/>
      <c r="Y19" s="3283">
        <f t="shared" si="26"/>
        <v>0</v>
      </c>
      <c r="Z19" s="3284">
        <f t="shared" si="4"/>
        <v>0</v>
      </c>
      <c r="AA19" s="1409"/>
      <c r="AB19" s="3274"/>
      <c r="AC19" s="3274"/>
      <c r="AD19" s="3283">
        <f t="shared" si="27"/>
        <v>0</v>
      </c>
      <c r="AE19" s="3284">
        <f t="shared" si="5"/>
        <v>0</v>
      </c>
      <c r="AF19" s="1409"/>
      <c r="AG19" s="3274">
        <v>0</v>
      </c>
      <c r="AH19" s="3274">
        <v>0</v>
      </c>
      <c r="AI19" s="3283">
        <v>0</v>
      </c>
      <c r="AJ19" s="3284">
        <v>0</v>
      </c>
      <c r="AK19" s="1409"/>
      <c r="AL19" s="3274">
        <f t="shared" si="6"/>
        <v>0</v>
      </c>
      <c r="AM19" s="3274">
        <f t="shared" si="6"/>
        <v>0</v>
      </c>
      <c r="AN19" s="3283">
        <f t="shared" si="28"/>
        <v>0</v>
      </c>
      <c r="AO19" s="3284">
        <f t="shared" si="7"/>
        <v>0</v>
      </c>
      <c r="AP19" s="1409"/>
      <c r="AQ19" s="3274"/>
      <c r="AR19" s="3274"/>
      <c r="AS19" s="3283">
        <f t="shared" si="29"/>
        <v>0</v>
      </c>
      <c r="AT19" s="3284">
        <f t="shared" si="8"/>
        <v>0</v>
      </c>
      <c r="AU19" s="1409"/>
      <c r="AV19" s="3274"/>
      <c r="AW19" s="3274"/>
      <c r="AX19" s="3283">
        <f t="shared" si="30"/>
        <v>0</v>
      </c>
      <c r="AY19" s="3284">
        <f t="shared" si="9"/>
        <v>0</v>
      </c>
      <c r="AZ19" s="3276"/>
      <c r="BA19" s="3285"/>
      <c r="BB19" s="3285"/>
      <c r="BC19" s="3286">
        <f t="shared" si="31"/>
        <v>0</v>
      </c>
      <c r="BD19" s="3284">
        <f t="shared" si="10"/>
        <v>0</v>
      </c>
      <c r="BE19" s="1107"/>
      <c r="BF19" s="3285"/>
      <c r="BG19" s="3285"/>
      <c r="BH19" s="3286">
        <f t="shared" si="35"/>
        <v>0</v>
      </c>
      <c r="BI19" s="3284">
        <f t="shared" si="11"/>
        <v>0</v>
      </c>
      <c r="BJ19" s="1107"/>
      <c r="BK19" s="3285"/>
      <c r="BL19" s="3285"/>
      <c r="BM19" s="3286">
        <f t="shared" si="36"/>
        <v>0</v>
      </c>
      <c r="BN19" s="3284">
        <f t="shared" si="12"/>
        <v>0</v>
      </c>
      <c r="BO19" s="1107"/>
      <c r="BP19" s="3285"/>
      <c r="BQ19" s="3285"/>
      <c r="BR19" s="3286">
        <f t="shared" si="37"/>
        <v>0</v>
      </c>
      <c r="BS19" s="3284">
        <f t="shared" si="13"/>
        <v>0</v>
      </c>
      <c r="BT19" s="1107"/>
      <c r="BU19" s="3285"/>
      <c r="BV19" s="3285"/>
      <c r="BW19" s="3286">
        <f t="shared" si="38"/>
        <v>0</v>
      </c>
      <c r="BX19" s="3284" t="e">
        <f t="shared" si="14"/>
        <v>#DIV/0!</v>
      </c>
      <c r="BY19" s="1107"/>
      <c r="BZ19" s="3285"/>
      <c r="CA19" s="3285"/>
      <c r="CB19" s="3286">
        <f t="shared" si="39"/>
        <v>0</v>
      </c>
      <c r="CC19" s="3284" t="e">
        <f t="shared" si="15"/>
        <v>#DIV/0!</v>
      </c>
      <c r="CD19" s="1107"/>
      <c r="CE19" s="3285"/>
      <c r="CF19" s="3285"/>
      <c r="CG19" s="3286">
        <f t="shared" si="40"/>
        <v>0</v>
      </c>
      <c r="CH19" s="3284" t="e">
        <f t="shared" si="16"/>
        <v>#DIV/0!</v>
      </c>
      <c r="CI19" s="1107"/>
      <c r="CJ19" s="3285"/>
      <c r="CK19" s="3285"/>
      <c r="CL19" s="3286">
        <f t="shared" si="41"/>
        <v>0</v>
      </c>
      <c r="CM19" s="3284" t="e">
        <f t="shared" si="17"/>
        <v>#DIV/0!</v>
      </c>
      <c r="CN19" s="1107"/>
      <c r="CO19" s="3285"/>
      <c r="CP19" s="3285"/>
      <c r="CQ19" s="3286">
        <f t="shared" si="42"/>
        <v>0</v>
      </c>
      <c r="CR19" s="3284" t="e">
        <f t="shared" si="18"/>
        <v>#DIV/0!</v>
      </c>
      <c r="CS19" s="1107"/>
      <c r="CT19" s="3285"/>
      <c r="CU19" s="3285"/>
      <c r="CV19" s="3286">
        <f t="shared" si="43"/>
        <v>0</v>
      </c>
      <c r="CW19" s="3284" t="e">
        <f t="shared" si="19"/>
        <v>#DIV/0!</v>
      </c>
      <c r="CX19" s="1107"/>
      <c r="CY19" s="3274">
        <f t="shared" si="32"/>
        <v>0</v>
      </c>
      <c r="CZ19" s="3274">
        <f t="shared" si="33"/>
        <v>0</v>
      </c>
      <c r="DA19" s="3283">
        <f t="shared" si="34"/>
        <v>0</v>
      </c>
      <c r="DB19" s="3284">
        <f t="shared" si="1"/>
        <v>0</v>
      </c>
      <c r="DC19" s="1449"/>
    </row>
    <row r="20" spans="1:107" s="1411" customFormat="1" ht="13.8" x14ac:dyDescent="0.25">
      <c r="A20" s="1586"/>
      <c r="B20" s="3289" t="s">
        <v>57</v>
      </c>
      <c r="C20" s="3288"/>
      <c r="D20" s="3274"/>
      <c r="E20" s="3283">
        <f t="shared" si="21"/>
        <v>0</v>
      </c>
      <c r="F20" s="3284">
        <f t="shared" si="0"/>
        <v>0</v>
      </c>
      <c r="G20" s="1608"/>
      <c r="H20" s="3274"/>
      <c r="I20" s="3274"/>
      <c r="J20" s="3283">
        <f t="shared" si="22"/>
        <v>0</v>
      </c>
      <c r="K20" s="3284">
        <f t="shared" si="23"/>
        <v>0</v>
      </c>
      <c r="L20" s="1608"/>
      <c r="M20" s="3274"/>
      <c r="N20" s="3274"/>
      <c r="O20" s="3283">
        <f t="shared" si="24"/>
        <v>0</v>
      </c>
      <c r="P20" s="3284">
        <f t="shared" si="2"/>
        <v>0</v>
      </c>
      <c r="Q20" s="1608"/>
      <c r="R20" s="3274"/>
      <c r="S20" s="3274"/>
      <c r="T20" s="3283">
        <f t="shared" si="25"/>
        <v>0</v>
      </c>
      <c r="U20" s="3284">
        <f t="shared" si="3"/>
        <v>0</v>
      </c>
      <c r="V20" s="1608"/>
      <c r="W20" s="3274"/>
      <c r="X20" s="3274"/>
      <c r="Y20" s="3283">
        <f t="shared" si="26"/>
        <v>0</v>
      </c>
      <c r="Z20" s="3284">
        <f t="shared" si="4"/>
        <v>0</v>
      </c>
      <c r="AA20" s="1608"/>
      <c r="AB20" s="3274"/>
      <c r="AC20" s="3274"/>
      <c r="AD20" s="3283">
        <f t="shared" si="27"/>
        <v>0</v>
      </c>
      <c r="AE20" s="3284">
        <f t="shared" si="5"/>
        <v>0</v>
      </c>
      <c r="AF20" s="1608"/>
      <c r="AG20" s="3274">
        <v>0</v>
      </c>
      <c r="AH20" s="3274">
        <v>0</v>
      </c>
      <c r="AI20" s="3283">
        <v>0</v>
      </c>
      <c r="AJ20" s="3284">
        <v>0</v>
      </c>
      <c r="AK20" s="1608"/>
      <c r="AL20" s="3274">
        <f t="shared" si="6"/>
        <v>0</v>
      </c>
      <c r="AM20" s="3274">
        <f t="shared" si="6"/>
        <v>0</v>
      </c>
      <c r="AN20" s="3283">
        <f t="shared" si="28"/>
        <v>0</v>
      </c>
      <c r="AO20" s="3284">
        <f t="shared" si="7"/>
        <v>0</v>
      </c>
      <c r="AP20" s="1608"/>
      <c r="AQ20" s="3274"/>
      <c r="AR20" s="3274"/>
      <c r="AS20" s="3283">
        <f t="shared" si="29"/>
        <v>0</v>
      </c>
      <c r="AT20" s="3284">
        <f t="shared" si="8"/>
        <v>0</v>
      </c>
      <c r="AU20" s="1608"/>
      <c r="AV20" s="3274"/>
      <c r="AW20" s="3274"/>
      <c r="AX20" s="3283">
        <f t="shared" si="30"/>
        <v>0</v>
      </c>
      <c r="AY20" s="3284">
        <f t="shared" si="9"/>
        <v>0</v>
      </c>
      <c r="AZ20" s="3276"/>
      <c r="BA20" s="3285"/>
      <c r="BB20" s="3285"/>
      <c r="BC20" s="3286">
        <f t="shared" si="31"/>
        <v>0</v>
      </c>
      <c r="BD20" s="3284">
        <f t="shared" si="10"/>
        <v>0</v>
      </c>
      <c r="BE20" s="1158"/>
      <c r="BF20" s="3285"/>
      <c r="BG20" s="3285"/>
      <c r="BH20" s="3286">
        <f t="shared" si="35"/>
        <v>0</v>
      </c>
      <c r="BI20" s="3284">
        <f t="shared" si="11"/>
        <v>0</v>
      </c>
      <c r="BJ20" s="1158"/>
      <c r="BK20" s="3285"/>
      <c r="BL20" s="3285"/>
      <c r="BM20" s="3286">
        <f t="shared" si="36"/>
        <v>0</v>
      </c>
      <c r="BN20" s="3284">
        <f t="shared" si="12"/>
        <v>0</v>
      </c>
      <c r="BO20" s="1158"/>
      <c r="BP20" s="3285"/>
      <c r="BQ20" s="3285"/>
      <c r="BR20" s="3286">
        <f t="shared" si="37"/>
        <v>0</v>
      </c>
      <c r="BS20" s="3284">
        <f t="shared" si="13"/>
        <v>0</v>
      </c>
      <c r="BT20" s="1158"/>
      <c r="BU20" s="3285"/>
      <c r="BV20" s="3285"/>
      <c r="BW20" s="3286">
        <f t="shared" si="38"/>
        <v>0</v>
      </c>
      <c r="BX20" s="3284" t="e">
        <f t="shared" si="14"/>
        <v>#DIV/0!</v>
      </c>
      <c r="BY20" s="1158"/>
      <c r="BZ20" s="3285"/>
      <c r="CA20" s="3285"/>
      <c r="CB20" s="3286">
        <f t="shared" si="39"/>
        <v>0</v>
      </c>
      <c r="CC20" s="3284" t="e">
        <f t="shared" si="15"/>
        <v>#DIV/0!</v>
      </c>
      <c r="CD20" s="1158"/>
      <c r="CE20" s="3285"/>
      <c r="CF20" s="3285"/>
      <c r="CG20" s="3286">
        <f t="shared" si="40"/>
        <v>0</v>
      </c>
      <c r="CH20" s="3284" t="e">
        <f t="shared" si="16"/>
        <v>#DIV/0!</v>
      </c>
      <c r="CI20" s="1158"/>
      <c r="CJ20" s="3285"/>
      <c r="CK20" s="3285"/>
      <c r="CL20" s="3286">
        <f t="shared" si="41"/>
        <v>0</v>
      </c>
      <c r="CM20" s="3284" t="e">
        <f t="shared" si="17"/>
        <v>#DIV/0!</v>
      </c>
      <c r="CN20" s="1158"/>
      <c r="CO20" s="3285"/>
      <c r="CP20" s="3285"/>
      <c r="CQ20" s="3286">
        <f t="shared" si="42"/>
        <v>0</v>
      </c>
      <c r="CR20" s="3284" t="e">
        <f t="shared" si="18"/>
        <v>#DIV/0!</v>
      </c>
      <c r="CS20" s="1158"/>
      <c r="CT20" s="3285"/>
      <c r="CU20" s="3285"/>
      <c r="CV20" s="3286">
        <f t="shared" si="43"/>
        <v>0</v>
      </c>
      <c r="CW20" s="3284" t="e">
        <f t="shared" si="19"/>
        <v>#DIV/0!</v>
      </c>
      <c r="CX20" s="1158"/>
      <c r="CY20" s="3274">
        <f t="shared" si="32"/>
        <v>0</v>
      </c>
      <c r="CZ20" s="3274">
        <f t="shared" si="33"/>
        <v>0</v>
      </c>
      <c r="DA20" s="3283">
        <f t="shared" si="34"/>
        <v>0</v>
      </c>
      <c r="DB20" s="3284">
        <f t="shared" si="1"/>
        <v>0</v>
      </c>
      <c r="DC20" s="1449"/>
    </row>
    <row r="21" spans="1:107" s="1411" customFormat="1" ht="13.8" x14ac:dyDescent="0.25">
      <c r="A21" s="1586"/>
      <c r="B21" s="3289" t="s">
        <v>58</v>
      </c>
      <c r="C21" s="3288"/>
      <c r="D21" s="3274"/>
      <c r="E21" s="3283">
        <f t="shared" si="21"/>
        <v>0</v>
      </c>
      <c r="F21" s="3284">
        <f t="shared" si="0"/>
        <v>0</v>
      </c>
      <c r="G21" s="1608"/>
      <c r="H21" s="3274"/>
      <c r="I21" s="3274"/>
      <c r="J21" s="3283">
        <f t="shared" si="22"/>
        <v>0</v>
      </c>
      <c r="K21" s="3284">
        <f t="shared" si="23"/>
        <v>0</v>
      </c>
      <c r="L21" s="1608"/>
      <c r="M21" s="3274"/>
      <c r="N21" s="3274"/>
      <c r="O21" s="3283">
        <f t="shared" si="24"/>
        <v>0</v>
      </c>
      <c r="P21" s="3284">
        <f t="shared" si="2"/>
        <v>0</v>
      </c>
      <c r="Q21" s="1608"/>
      <c r="R21" s="3274"/>
      <c r="S21" s="3274"/>
      <c r="T21" s="3283">
        <f t="shared" si="25"/>
        <v>0</v>
      </c>
      <c r="U21" s="3284">
        <f t="shared" si="3"/>
        <v>0</v>
      </c>
      <c r="V21" s="1608"/>
      <c r="W21" s="3274"/>
      <c r="X21" s="3274"/>
      <c r="Y21" s="3283">
        <f t="shared" si="26"/>
        <v>0</v>
      </c>
      <c r="Z21" s="3284">
        <f t="shared" si="4"/>
        <v>0</v>
      </c>
      <c r="AA21" s="1608"/>
      <c r="AB21" s="3274"/>
      <c r="AC21" s="3274"/>
      <c r="AD21" s="3283">
        <f t="shared" si="27"/>
        <v>0</v>
      </c>
      <c r="AE21" s="3284">
        <f t="shared" si="5"/>
        <v>0</v>
      </c>
      <c r="AF21" s="1608"/>
      <c r="AG21" s="3274">
        <v>0</v>
      </c>
      <c r="AH21" s="3274">
        <v>0</v>
      </c>
      <c r="AI21" s="3283">
        <v>0</v>
      </c>
      <c r="AJ21" s="3284">
        <v>0</v>
      </c>
      <c r="AK21" s="1608"/>
      <c r="AL21" s="3274">
        <f t="shared" si="6"/>
        <v>0</v>
      </c>
      <c r="AM21" s="3274">
        <f t="shared" si="6"/>
        <v>0</v>
      </c>
      <c r="AN21" s="3283">
        <f t="shared" si="28"/>
        <v>0</v>
      </c>
      <c r="AO21" s="3284">
        <f t="shared" si="7"/>
        <v>0</v>
      </c>
      <c r="AP21" s="1608"/>
      <c r="AQ21" s="3274"/>
      <c r="AR21" s="3274"/>
      <c r="AS21" s="3283">
        <f t="shared" si="29"/>
        <v>0</v>
      </c>
      <c r="AT21" s="3284">
        <f t="shared" si="8"/>
        <v>0</v>
      </c>
      <c r="AU21" s="1608"/>
      <c r="AV21" s="3274"/>
      <c r="AW21" s="3274"/>
      <c r="AX21" s="3283">
        <f t="shared" si="30"/>
        <v>0</v>
      </c>
      <c r="AY21" s="3284">
        <f t="shared" si="9"/>
        <v>0</v>
      </c>
      <c r="AZ21" s="1608"/>
      <c r="BA21" s="3285"/>
      <c r="BB21" s="3285"/>
      <c r="BC21" s="3286">
        <f t="shared" si="31"/>
        <v>0</v>
      </c>
      <c r="BD21" s="3284">
        <f t="shared" si="10"/>
        <v>0</v>
      </c>
      <c r="BE21" s="1158"/>
      <c r="BF21" s="3285"/>
      <c r="BG21" s="3285"/>
      <c r="BH21" s="3286">
        <f t="shared" si="35"/>
        <v>0</v>
      </c>
      <c r="BI21" s="3284">
        <f t="shared" si="11"/>
        <v>0</v>
      </c>
      <c r="BJ21" s="1158"/>
      <c r="BK21" s="3285"/>
      <c r="BL21" s="3285"/>
      <c r="BM21" s="3286">
        <f t="shared" si="36"/>
        <v>0</v>
      </c>
      <c r="BN21" s="3284">
        <f t="shared" si="12"/>
        <v>0</v>
      </c>
      <c r="BO21" s="1158"/>
      <c r="BP21" s="3285"/>
      <c r="BQ21" s="3285"/>
      <c r="BR21" s="3286">
        <f t="shared" si="37"/>
        <v>0</v>
      </c>
      <c r="BS21" s="3284">
        <f t="shared" si="13"/>
        <v>0</v>
      </c>
      <c r="BT21" s="1158"/>
      <c r="BU21" s="3285"/>
      <c r="BV21" s="3285"/>
      <c r="BW21" s="3286">
        <f t="shared" si="38"/>
        <v>0</v>
      </c>
      <c r="BX21" s="3284" t="e">
        <f t="shared" si="14"/>
        <v>#DIV/0!</v>
      </c>
      <c r="BY21" s="1158"/>
      <c r="BZ21" s="3285"/>
      <c r="CA21" s="3285"/>
      <c r="CB21" s="3286">
        <f t="shared" si="39"/>
        <v>0</v>
      </c>
      <c r="CC21" s="3284" t="e">
        <f t="shared" si="15"/>
        <v>#DIV/0!</v>
      </c>
      <c r="CD21" s="1158"/>
      <c r="CE21" s="3285"/>
      <c r="CF21" s="3285"/>
      <c r="CG21" s="3286">
        <f t="shared" si="40"/>
        <v>0</v>
      </c>
      <c r="CH21" s="3284" t="e">
        <f t="shared" si="16"/>
        <v>#DIV/0!</v>
      </c>
      <c r="CI21" s="1158"/>
      <c r="CJ21" s="3285"/>
      <c r="CK21" s="3285"/>
      <c r="CL21" s="3286">
        <f t="shared" si="41"/>
        <v>0</v>
      </c>
      <c r="CM21" s="3284" t="e">
        <f t="shared" si="17"/>
        <v>#DIV/0!</v>
      </c>
      <c r="CN21" s="1158"/>
      <c r="CO21" s="3285"/>
      <c r="CP21" s="3285"/>
      <c r="CQ21" s="3286">
        <f t="shared" si="42"/>
        <v>0</v>
      </c>
      <c r="CR21" s="3284" t="e">
        <f t="shared" si="18"/>
        <v>#DIV/0!</v>
      </c>
      <c r="CS21" s="1158"/>
      <c r="CT21" s="3285"/>
      <c r="CU21" s="3285"/>
      <c r="CV21" s="3286">
        <f t="shared" si="43"/>
        <v>0</v>
      </c>
      <c r="CW21" s="3284" t="e">
        <f t="shared" si="19"/>
        <v>#DIV/0!</v>
      </c>
      <c r="CX21" s="1158"/>
      <c r="CY21" s="3274">
        <f t="shared" si="32"/>
        <v>0</v>
      </c>
      <c r="CZ21" s="3274">
        <f t="shared" si="33"/>
        <v>0</v>
      </c>
      <c r="DA21" s="3283">
        <f t="shared" si="34"/>
        <v>0</v>
      </c>
      <c r="DB21" s="3284">
        <f t="shared" si="1"/>
        <v>0</v>
      </c>
      <c r="DC21" s="1449"/>
    </row>
    <row r="22" spans="1:107" s="1411" customFormat="1" ht="13.8" x14ac:dyDescent="0.25">
      <c r="A22" s="1586"/>
      <c r="B22" s="3289" t="s">
        <v>621</v>
      </c>
      <c r="C22" s="3288"/>
      <c r="D22" s="3274"/>
      <c r="E22" s="3283"/>
      <c r="F22" s="3284">
        <f t="shared" si="0"/>
        <v>0</v>
      </c>
      <c r="G22" s="1608"/>
      <c r="H22" s="3274"/>
      <c r="I22" s="3274"/>
      <c r="J22" s="3283"/>
      <c r="K22" s="3284">
        <f t="shared" si="23"/>
        <v>0</v>
      </c>
      <c r="L22" s="1608"/>
      <c r="M22" s="3274"/>
      <c r="N22" s="3274"/>
      <c r="O22" s="3283"/>
      <c r="P22" s="3284">
        <f t="shared" si="2"/>
        <v>0</v>
      </c>
      <c r="Q22" s="1608"/>
      <c r="R22" s="3274"/>
      <c r="S22" s="3274"/>
      <c r="T22" s="3283"/>
      <c r="U22" s="3284">
        <f t="shared" si="3"/>
        <v>0</v>
      </c>
      <c r="V22" s="1608"/>
      <c r="W22" s="3274"/>
      <c r="X22" s="3274"/>
      <c r="Y22" s="3283"/>
      <c r="Z22" s="3284">
        <f t="shared" si="4"/>
        <v>0</v>
      </c>
      <c r="AA22" s="1608"/>
      <c r="AB22" s="3274"/>
      <c r="AC22" s="3274"/>
      <c r="AD22" s="3283"/>
      <c r="AE22" s="3284">
        <f t="shared" si="5"/>
        <v>0</v>
      </c>
      <c r="AF22" s="1608"/>
      <c r="AG22" s="3274">
        <v>0</v>
      </c>
      <c r="AH22" s="3274">
        <v>0</v>
      </c>
      <c r="AI22" s="3283"/>
      <c r="AJ22" s="3284">
        <v>0</v>
      </c>
      <c r="AK22" s="1608"/>
      <c r="AL22" s="3274">
        <f t="shared" si="6"/>
        <v>0</v>
      </c>
      <c r="AM22" s="3274">
        <f t="shared" si="6"/>
        <v>0</v>
      </c>
      <c r="AN22" s="3283"/>
      <c r="AO22" s="3284">
        <f t="shared" si="7"/>
        <v>0</v>
      </c>
      <c r="AP22" s="1608"/>
      <c r="AQ22" s="3274"/>
      <c r="AR22" s="3274"/>
      <c r="AS22" s="3283"/>
      <c r="AT22" s="3284">
        <f t="shared" si="8"/>
        <v>0</v>
      </c>
      <c r="AU22" s="1608"/>
      <c r="AV22" s="3274"/>
      <c r="AW22" s="3274"/>
      <c r="AX22" s="3283">
        <f t="shared" si="30"/>
        <v>0</v>
      </c>
      <c r="AY22" s="3284">
        <f t="shared" si="9"/>
        <v>0</v>
      </c>
      <c r="AZ22" s="1608"/>
      <c r="BA22" s="3285"/>
      <c r="BB22" s="3285"/>
      <c r="BC22" s="3286">
        <f t="shared" si="31"/>
        <v>0</v>
      </c>
      <c r="BD22" s="3284">
        <f t="shared" si="10"/>
        <v>0</v>
      </c>
      <c r="BE22" s="1158"/>
      <c r="BF22" s="3285"/>
      <c r="BG22" s="3285"/>
      <c r="BH22" s="3286">
        <f t="shared" si="35"/>
        <v>0</v>
      </c>
      <c r="BI22" s="3284">
        <f t="shared" si="11"/>
        <v>0</v>
      </c>
      <c r="BJ22" s="1158"/>
      <c r="BK22" s="3285"/>
      <c r="BL22" s="3285"/>
      <c r="BM22" s="3286">
        <f t="shared" si="36"/>
        <v>0</v>
      </c>
      <c r="BN22" s="3284">
        <f t="shared" si="12"/>
        <v>0</v>
      </c>
      <c r="BO22" s="1158"/>
      <c r="BP22" s="3285"/>
      <c r="BQ22" s="3285"/>
      <c r="BR22" s="3286">
        <f t="shared" si="37"/>
        <v>0</v>
      </c>
      <c r="BS22" s="3284">
        <f t="shared" si="13"/>
        <v>0</v>
      </c>
      <c r="BT22" s="1158"/>
      <c r="BU22" s="3285"/>
      <c r="BV22" s="3285"/>
      <c r="BW22" s="3286">
        <f t="shared" si="38"/>
        <v>0</v>
      </c>
      <c r="BX22" s="3284" t="e">
        <f t="shared" si="14"/>
        <v>#DIV/0!</v>
      </c>
      <c r="BY22" s="1158"/>
      <c r="BZ22" s="3285"/>
      <c r="CA22" s="3285"/>
      <c r="CB22" s="3286">
        <f t="shared" si="39"/>
        <v>0</v>
      </c>
      <c r="CC22" s="3284" t="e">
        <f t="shared" si="15"/>
        <v>#DIV/0!</v>
      </c>
      <c r="CD22" s="1158"/>
      <c r="CE22" s="3285"/>
      <c r="CF22" s="3285"/>
      <c r="CG22" s="3286">
        <f t="shared" si="40"/>
        <v>0</v>
      </c>
      <c r="CH22" s="3284" t="e">
        <f t="shared" si="16"/>
        <v>#DIV/0!</v>
      </c>
      <c r="CI22" s="1158"/>
      <c r="CJ22" s="3285"/>
      <c r="CK22" s="3285"/>
      <c r="CL22" s="3286">
        <f t="shared" si="41"/>
        <v>0</v>
      </c>
      <c r="CM22" s="3284" t="e">
        <f t="shared" si="17"/>
        <v>#DIV/0!</v>
      </c>
      <c r="CN22" s="1158"/>
      <c r="CO22" s="3285"/>
      <c r="CP22" s="3285"/>
      <c r="CQ22" s="3286">
        <f t="shared" si="42"/>
        <v>0</v>
      </c>
      <c r="CR22" s="3284" t="e">
        <f t="shared" si="18"/>
        <v>#DIV/0!</v>
      </c>
      <c r="CS22" s="1158"/>
      <c r="CT22" s="3285"/>
      <c r="CU22" s="3285"/>
      <c r="CV22" s="3286">
        <f t="shared" si="43"/>
        <v>0</v>
      </c>
      <c r="CW22" s="3284" t="e">
        <f t="shared" si="19"/>
        <v>#DIV/0!</v>
      </c>
      <c r="CX22" s="1158"/>
      <c r="CY22" s="3274">
        <f t="shared" si="32"/>
        <v>0</v>
      </c>
      <c r="CZ22" s="3274">
        <f t="shared" si="33"/>
        <v>0</v>
      </c>
      <c r="DA22" s="3283"/>
      <c r="DB22" s="3284"/>
      <c r="DC22" s="1449"/>
    </row>
    <row r="23" spans="1:107" s="1411" customFormat="1" ht="13.8" x14ac:dyDescent="0.25">
      <c r="A23" s="1586"/>
      <c r="B23" s="3289" t="s">
        <v>630</v>
      </c>
      <c r="C23" s="3288"/>
      <c r="D23" s="3274"/>
      <c r="E23" s="3283"/>
      <c r="F23" s="3284">
        <f t="shared" si="0"/>
        <v>0</v>
      </c>
      <c r="G23" s="1608"/>
      <c r="H23" s="3274"/>
      <c r="I23" s="3274"/>
      <c r="J23" s="3283"/>
      <c r="K23" s="3284">
        <f t="shared" si="23"/>
        <v>0</v>
      </c>
      <c r="L23" s="1608"/>
      <c r="M23" s="3274"/>
      <c r="N23" s="3274"/>
      <c r="O23" s="3283"/>
      <c r="P23" s="3284">
        <f t="shared" si="2"/>
        <v>0</v>
      </c>
      <c r="Q23" s="1608"/>
      <c r="R23" s="3274"/>
      <c r="S23" s="3274"/>
      <c r="T23" s="3283"/>
      <c r="U23" s="3284">
        <f t="shared" si="3"/>
        <v>0</v>
      </c>
      <c r="V23" s="1608"/>
      <c r="W23" s="3274"/>
      <c r="X23" s="3274"/>
      <c r="Y23" s="3283"/>
      <c r="Z23" s="3284">
        <f t="shared" si="4"/>
        <v>0</v>
      </c>
      <c r="AA23" s="1608"/>
      <c r="AB23" s="3274"/>
      <c r="AC23" s="3274"/>
      <c r="AD23" s="3283"/>
      <c r="AE23" s="3284">
        <f t="shared" si="5"/>
        <v>0</v>
      </c>
      <c r="AF23" s="1608"/>
      <c r="AG23" s="3274">
        <v>0</v>
      </c>
      <c r="AH23" s="3274">
        <v>0</v>
      </c>
      <c r="AI23" s="3283"/>
      <c r="AJ23" s="3284">
        <v>0</v>
      </c>
      <c r="AK23" s="1608"/>
      <c r="AL23" s="3274">
        <f t="shared" si="6"/>
        <v>0</v>
      </c>
      <c r="AM23" s="3274">
        <f t="shared" si="6"/>
        <v>0</v>
      </c>
      <c r="AN23" s="3283"/>
      <c r="AO23" s="3284">
        <f t="shared" si="7"/>
        <v>0</v>
      </c>
      <c r="AP23" s="1608"/>
      <c r="AQ23" s="3274"/>
      <c r="AR23" s="3274"/>
      <c r="AS23" s="3283"/>
      <c r="AT23" s="3284">
        <f t="shared" si="8"/>
        <v>0</v>
      </c>
      <c r="AU23" s="1608"/>
      <c r="AV23" s="3274"/>
      <c r="AW23" s="3274"/>
      <c r="AX23" s="3283">
        <f t="shared" si="30"/>
        <v>0</v>
      </c>
      <c r="AY23" s="3284">
        <f t="shared" si="9"/>
        <v>0</v>
      </c>
      <c r="AZ23" s="3276"/>
      <c r="BA23" s="3285"/>
      <c r="BB23" s="3285"/>
      <c r="BC23" s="3286">
        <f t="shared" si="31"/>
        <v>0</v>
      </c>
      <c r="BD23" s="3284">
        <f t="shared" si="10"/>
        <v>0</v>
      </c>
      <c r="BE23" s="3291"/>
      <c r="BF23" s="3285"/>
      <c r="BG23" s="3285"/>
      <c r="BH23" s="3286">
        <f t="shared" si="35"/>
        <v>0</v>
      </c>
      <c r="BI23" s="3284">
        <f t="shared" si="11"/>
        <v>0</v>
      </c>
      <c r="BJ23" s="3291"/>
      <c r="BK23" s="3285"/>
      <c r="BL23" s="3285"/>
      <c r="BM23" s="3286">
        <f t="shared" si="36"/>
        <v>0</v>
      </c>
      <c r="BN23" s="3284">
        <f t="shared" si="12"/>
        <v>0</v>
      </c>
      <c r="BO23" s="3291"/>
      <c r="BP23" s="3285"/>
      <c r="BQ23" s="3285"/>
      <c r="BR23" s="3286">
        <f t="shared" si="37"/>
        <v>0</v>
      </c>
      <c r="BS23" s="3284">
        <f t="shared" si="13"/>
        <v>0</v>
      </c>
      <c r="BT23" s="3291"/>
      <c r="BU23" s="3285"/>
      <c r="BV23" s="3285"/>
      <c r="BW23" s="3286">
        <f t="shared" si="38"/>
        <v>0</v>
      </c>
      <c r="BX23" s="3284" t="e">
        <f t="shared" si="14"/>
        <v>#DIV/0!</v>
      </c>
      <c r="BY23" s="3291"/>
      <c r="BZ23" s="3285"/>
      <c r="CA23" s="3285"/>
      <c r="CB23" s="3286">
        <f t="shared" si="39"/>
        <v>0</v>
      </c>
      <c r="CC23" s="3284" t="e">
        <f t="shared" si="15"/>
        <v>#DIV/0!</v>
      </c>
      <c r="CD23" s="3291"/>
      <c r="CE23" s="3285"/>
      <c r="CF23" s="3285"/>
      <c r="CG23" s="3286">
        <f t="shared" si="40"/>
        <v>0</v>
      </c>
      <c r="CH23" s="3284" t="e">
        <f t="shared" si="16"/>
        <v>#DIV/0!</v>
      </c>
      <c r="CI23" s="3291"/>
      <c r="CJ23" s="3285"/>
      <c r="CK23" s="3285"/>
      <c r="CL23" s="3286">
        <f t="shared" si="41"/>
        <v>0</v>
      </c>
      <c r="CM23" s="3284" t="e">
        <f t="shared" si="17"/>
        <v>#DIV/0!</v>
      </c>
      <c r="CN23" s="3291"/>
      <c r="CO23" s="3285"/>
      <c r="CP23" s="3285"/>
      <c r="CQ23" s="3286">
        <f t="shared" si="42"/>
        <v>0</v>
      </c>
      <c r="CR23" s="3284" t="e">
        <f t="shared" si="18"/>
        <v>#DIV/0!</v>
      </c>
      <c r="CS23" s="3291"/>
      <c r="CT23" s="3285"/>
      <c r="CU23" s="3285"/>
      <c r="CV23" s="3286">
        <f t="shared" si="43"/>
        <v>0</v>
      </c>
      <c r="CW23" s="3284" t="e">
        <f t="shared" si="19"/>
        <v>#DIV/0!</v>
      </c>
      <c r="CX23" s="3291"/>
      <c r="CY23" s="3274">
        <f t="shared" si="32"/>
        <v>0</v>
      </c>
      <c r="CZ23" s="3274">
        <f t="shared" si="33"/>
        <v>0</v>
      </c>
      <c r="DA23" s="3283"/>
      <c r="DB23" s="3284"/>
      <c r="DC23" s="1449"/>
    </row>
    <row r="24" spans="1:107" s="1411" customFormat="1" ht="13.8" x14ac:dyDescent="0.25">
      <c r="A24" s="1586"/>
      <c r="B24" s="3289" t="s">
        <v>23</v>
      </c>
      <c r="C24" s="3288"/>
      <c r="D24" s="3274"/>
      <c r="E24" s="3283">
        <f t="shared" ref="E24:E33" si="44">C24+D24*1</f>
        <v>0</v>
      </c>
      <c r="F24" s="3284">
        <f t="shared" si="0"/>
        <v>0</v>
      </c>
      <c r="G24" s="1608"/>
      <c r="H24" s="3274"/>
      <c r="I24" s="3274"/>
      <c r="J24" s="3283">
        <f t="shared" ref="J24:J33" si="45">H24+I24*1</f>
        <v>0</v>
      </c>
      <c r="K24" s="3284">
        <f t="shared" si="23"/>
        <v>0</v>
      </c>
      <c r="L24" s="1608"/>
      <c r="M24" s="3274"/>
      <c r="N24" s="3274"/>
      <c r="O24" s="3283">
        <f t="shared" ref="O24:O33" si="46">M24+N24*1</f>
        <v>0</v>
      </c>
      <c r="P24" s="3284">
        <f t="shared" si="2"/>
        <v>0</v>
      </c>
      <c r="Q24" s="1608"/>
      <c r="R24" s="3274"/>
      <c r="S24" s="3274"/>
      <c r="T24" s="3283">
        <f t="shared" ref="T24:T33" si="47">R24+S24*1</f>
        <v>0</v>
      </c>
      <c r="U24" s="3284">
        <f t="shared" si="3"/>
        <v>0</v>
      </c>
      <c r="V24" s="1608"/>
      <c r="W24" s="3274"/>
      <c r="X24" s="3274"/>
      <c r="Y24" s="3283">
        <f t="shared" ref="Y24:Y33" si="48">W24+X24*1</f>
        <v>0</v>
      </c>
      <c r="Z24" s="3284">
        <f t="shared" si="4"/>
        <v>0</v>
      </c>
      <c r="AA24" s="1608"/>
      <c r="AB24" s="3274"/>
      <c r="AC24" s="3274"/>
      <c r="AD24" s="3283">
        <f t="shared" ref="AD24:AD33" si="49">AB24+AC24*1</f>
        <v>0</v>
      </c>
      <c r="AE24" s="3284">
        <f t="shared" si="5"/>
        <v>0</v>
      </c>
      <c r="AF24" s="1608"/>
      <c r="AG24" s="3274">
        <v>0</v>
      </c>
      <c r="AH24" s="3274">
        <v>0</v>
      </c>
      <c r="AI24" s="3283">
        <v>0</v>
      </c>
      <c r="AJ24" s="3284">
        <v>0</v>
      </c>
      <c r="AK24" s="3276"/>
      <c r="AL24" s="3274">
        <f t="shared" si="6"/>
        <v>0</v>
      </c>
      <c r="AM24" s="3274">
        <f t="shared" si="6"/>
        <v>0</v>
      </c>
      <c r="AN24" s="3283">
        <f t="shared" ref="AN24:AN33" si="50">AL24+AM24*1</f>
        <v>0</v>
      </c>
      <c r="AO24" s="3284">
        <f t="shared" si="7"/>
        <v>0</v>
      </c>
      <c r="AP24" s="3276"/>
      <c r="AQ24" s="3274"/>
      <c r="AR24" s="3274"/>
      <c r="AS24" s="3283">
        <f t="shared" ref="AS24:AS33" si="51">AQ24+AR24*1</f>
        <v>0</v>
      </c>
      <c r="AT24" s="3284">
        <f t="shared" si="8"/>
        <v>0</v>
      </c>
      <c r="AU24" s="1608"/>
      <c r="AV24" s="3274"/>
      <c r="AW24" s="3274"/>
      <c r="AX24" s="3283">
        <f t="shared" si="30"/>
        <v>0</v>
      </c>
      <c r="AY24" s="3284">
        <f t="shared" si="9"/>
        <v>0</v>
      </c>
      <c r="AZ24" s="3276"/>
      <c r="BA24" s="3285"/>
      <c r="BB24" s="3285"/>
      <c r="BC24" s="3286">
        <f t="shared" si="31"/>
        <v>0</v>
      </c>
      <c r="BD24" s="3284">
        <f t="shared" si="10"/>
        <v>0</v>
      </c>
      <c r="BE24" s="3291"/>
      <c r="BF24" s="3285"/>
      <c r="BG24" s="3285"/>
      <c r="BH24" s="3286">
        <f t="shared" si="35"/>
        <v>0</v>
      </c>
      <c r="BI24" s="3284">
        <f t="shared" si="11"/>
        <v>0</v>
      </c>
      <c r="BJ24" s="3291"/>
      <c r="BK24" s="3285"/>
      <c r="BL24" s="3285"/>
      <c r="BM24" s="3286">
        <f t="shared" si="36"/>
        <v>0</v>
      </c>
      <c r="BN24" s="3284">
        <f t="shared" si="12"/>
        <v>0</v>
      </c>
      <c r="BO24" s="3291"/>
      <c r="BP24" s="3285"/>
      <c r="BQ24" s="3285"/>
      <c r="BR24" s="3286">
        <f t="shared" si="37"/>
        <v>0</v>
      </c>
      <c r="BS24" s="3284">
        <f t="shared" si="13"/>
        <v>0</v>
      </c>
      <c r="BT24" s="3291"/>
      <c r="BU24" s="3285"/>
      <c r="BV24" s="3285"/>
      <c r="BW24" s="3286">
        <f t="shared" si="38"/>
        <v>0</v>
      </c>
      <c r="BX24" s="3284" t="e">
        <f t="shared" si="14"/>
        <v>#DIV/0!</v>
      </c>
      <c r="BY24" s="3291"/>
      <c r="BZ24" s="3285"/>
      <c r="CA24" s="3285"/>
      <c r="CB24" s="3286">
        <f t="shared" si="39"/>
        <v>0</v>
      </c>
      <c r="CC24" s="3284" t="e">
        <f t="shared" si="15"/>
        <v>#DIV/0!</v>
      </c>
      <c r="CD24" s="3291"/>
      <c r="CE24" s="3285"/>
      <c r="CF24" s="3285"/>
      <c r="CG24" s="3286">
        <f t="shared" si="40"/>
        <v>0</v>
      </c>
      <c r="CH24" s="3284" t="e">
        <f t="shared" si="16"/>
        <v>#DIV/0!</v>
      </c>
      <c r="CI24" s="3291"/>
      <c r="CJ24" s="3285"/>
      <c r="CK24" s="3285"/>
      <c r="CL24" s="3286">
        <f t="shared" si="41"/>
        <v>0</v>
      </c>
      <c r="CM24" s="3284" t="e">
        <f t="shared" si="17"/>
        <v>#DIV/0!</v>
      </c>
      <c r="CN24" s="3291"/>
      <c r="CO24" s="3285"/>
      <c r="CP24" s="3285"/>
      <c r="CQ24" s="3286">
        <f t="shared" si="42"/>
        <v>0</v>
      </c>
      <c r="CR24" s="3284" t="e">
        <f t="shared" si="18"/>
        <v>#DIV/0!</v>
      </c>
      <c r="CS24" s="3291"/>
      <c r="CT24" s="3285"/>
      <c r="CU24" s="3285"/>
      <c r="CV24" s="3286">
        <f t="shared" si="43"/>
        <v>0</v>
      </c>
      <c r="CW24" s="3284" t="e">
        <f t="shared" si="19"/>
        <v>#DIV/0!</v>
      </c>
      <c r="CX24" s="3291"/>
      <c r="CY24" s="3274">
        <f t="shared" si="32"/>
        <v>0</v>
      </c>
      <c r="CZ24" s="3274">
        <f t="shared" si="33"/>
        <v>0</v>
      </c>
      <c r="DA24" s="3283">
        <f t="shared" si="34"/>
        <v>0</v>
      </c>
      <c r="DB24" s="3284">
        <f t="shared" ref="DB24:DB33" si="52">DA24/$DA$89</f>
        <v>0</v>
      </c>
      <c r="DC24" s="1449"/>
    </row>
    <row r="25" spans="1:107" s="1411" customFormat="1" ht="96" x14ac:dyDescent="0.25">
      <c r="A25" s="1586"/>
      <c r="B25" s="3289" t="s">
        <v>24</v>
      </c>
      <c r="C25" s="3288"/>
      <c r="D25" s="3274"/>
      <c r="E25" s="3283">
        <f t="shared" si="44"/>
        <v>0</v>
      </c>
      <c r="F25" s="3284">
        <f t="shared" si="0"/>
        <v>0</v>
      </c>
      <c r="G25" s="1376"/>
      <c r="H25" s="3274"/>
      <c r="I25" s="3274"/>
      <c r="J25" s="3283">
        <f t="shared" si="45"/>
        <v>0</v>
      </c>
      <c r="K25" s="3284">
        <f t="shared" si="23"/>
        <v>0</v>
      </c>
      <c r="L25" s="1376"/>
      <c r="M25" s="3274"/>
      <c r="N25" s="3274">
        <v>320</v>
      </c>
      <c r="O25" s="3283">
        <f t="shared" si="46"/>
        <v>320</v>
      </c>
      <c r="P25" s="3284">
        <f t="shared" si="2"/>
        <v>1.6173994601448873E-3</v>
      </c>
      <c r="Q25" s="3275" t="s">
        <v>1250</v>
      </c>
      <c r="R25" s="3274"/>
      <c r="S25" s="3274">
        <v>350</v>
      </c>
      <c r="T25" s="3283">
        <f t="shared" si="47"/>
        <v>350</v>
      </c>
      <c r="U25" s="3284">
        <f t="shared" si="3"/>
        <v>1.7690306595334706E-3</v>
      </c>
      <c r="V25" s="1376" t="s">
        <v>1314</v>
      </c>
      <c r="W25" s="3274"/>
      <c r="X25" s="3274"/>
      <c r="Y25" s="3283">
        <f t="shared" si="48"/>
        <v>0</v>
      </c>
      <c r="Z25" s="3284">
        <f t="shared" si="4"/>
        <v>0</v>
      </c>
      <c r="AA25" s="1376"/>
      <c r="AB25" s="3274">
        <f>(196.32/5+770.5/5+160.9/5+209.1/5+154.6/5+536.82/3+448.53/3+1387.35/3+102.14/3+308.16/6+1558.88+1336.24/5+1617.76/5+989.12/5)*1.2</f>
        <v>4226.5136000000002</v>
      </c>
      <c r="AC25" s="3274"/>
      <c r="AD25" s="3283">
        <f t="shared" si="49"/>
        <v>4226.5136000000002</v>
      </c>
      <c r="AE25" s="3284">
        <f t="shared" si="5"/>
        <v>2.1362377546671953E-2</v>
      </c>
      <c r="AF25" s="3276" t="s">
        <v>1476</v>
      </c>
      <c r="AG25" s="3274">
        <v>2326.4639999999999</v>
      </c>
      <c r="AH25" s="3274">
        <v>0</v>
      </c>
      <c r="AI25" s="3283">
        <v>2326.4639999999999</v>
      </c>
      <c r="AJ25" s="3284">
        <v>3.3193164864939353E-2</v>
      </c>
      <c r="AK25" s="1376"/>
      <c r="AL25" s="3274">
        <f t="shared" si="6"/>
        <v>0</v>
      </c>
      <c r="AM25" s="3274">
        <f t="shared" si="6"/>
        <v>0</v>
      </c>
      <c r="AN25" s="3283">
        <f t="shared" si="50"/>
        <v>0</v>
      </c>
      <c r="AO25" s="3284">
        <f t="shared" si="7"/>
        <v>0</v>
      </c>
      <c r="AP25" s="1376"/>
      <c r="AQ25" s="3274"/>
      <c r="AR25" s="3274"/>
      <c r="AS25" s="3283">
        <f t="shared" si="51"/>
        <v>0</v>
      </c>
      <c r="AT25" s="3284">
        <f t="shared" si="8"/>
        <v>0</v>
      </c>
      <c r="AU25" s="3276"/>
      <c r="AV25" s="3274"/>
      <c r="AW25" s="3274"/>
      <c r="AX25" s="3283">
        <f t="shared" si="30"/>
        <v>0</v>
      </c>
      <c r="AY25" s="3284">
        <f t="shared" si="9"/>
        <v>0</v>
      </c>
      <c r="AZ25" s="3276"/>
      <c r="BA25" s="3285"/>
      <c r="BB25" s="3285"/>
      <c r="BC25" s="3286">
        <f t="shared" si="31"/>
        <v>0</v>
      </c>
      <c r="BD25" s="3284">
        <f t="shared" si="10"/>
        <v>0</v>
      </c>
      <c r="BE25" s="3291"/>
      <c r="BF25" s="3285"/>
      <c r="BG25" s="3285"/>
      <c r="BH25" s="3286">
        <f t="shared" si="35"/>
        <v>0</v>
      </c>
      <c r="BI25" s="3284">
        <f t="shared" si="11"/>
        <v>0</v>
      </c>
      <c r="BJ25" s="3291"/>
      <c r="BK25" s="3285"/>
      <c r="BL25" s="3285"/>
      <c r="BM25" s="3286">
        <f t="shared" si="36"/>
        <v>0</v>
      </c>
      <c r="BN25" s="3284">
        <f t="shared" si="12"/>
        <v>0</v>
      </c>
      <c r="BO25" s="3291"/>
      <c r="BP25" s="3285"/>
      <c r="BQ25" s="3285"/>
      <c r="BR25" s="3286">
        <f t="shared" si="37"/>
        <v>0</v>
      </c>
      <c r="BS25" s="3284">
        <f t="shared" si="13"/>
        <v>0</v>
      </c>
      <c r="BT25" s="3291"/>
      <c r="BU25" s="3285"/>
      <c r="BV25" s="3285"/>
      <c r="BW25" s="3286">
        <f t="shared" si="38"/>
        <v>0</v>
      </c>
      <c r="BX25" s="3284" t="e">
        <f t="shared" si="14"/>
        <v>#DIV/0!</v>
      </c>
      <c r="BY25" s="3291"/>
      <c r="BZ25" s="3285"/>
      <c r="CA25" s="3285"/>
      <c r="CB25" s="3286">
        <f t="shared" si="39"/>
        <v>0</v>
      </c>
      <c r="CC25" s="3284" t="e">
        <f t="shared" si="15"/>
        <v>#DIV/0!</v>
      </c>
      <c r="CD25" s="3291"/>
      <c r="CE25" s="3285"/>
      <c r="CF25" s="3285"/>
      <c r="CG25" s="3286">
        <f t="shared" si="40"/>
        <v>0</v>
      </c>
      <c r="CH25" s="3284" t="e">
        <f t="shared" si="16"/>
        <v>#DIV/0!</v>
      </c>
      <c r="CI25" s="3291"/>
      <c r="CJ25" s="3285"/>
      <c r="CK25" s="3285"/>
      <c r="CL25" s="3286">
        <f t="shared" si="41"/>
        <v>0</v>
      </c>
      <c r="CM25" s="3284" t="e">
        <f t="shared" si="17"/>
        <v>#DIV/0!</v>
      </c>
      <c r="CN25" s="3291"/>
      <c r="CO25" s="3285"/>
      <c r="CP25" s="3285"/>
      <c r="CQ25" s="3286">
        <f t="shared" si="42"/>
        <v>0</v>
      </c>
      <c r="CR25" s="3284" t="e">
        <f t="shared" si="18"/>
        <v>#DIV/0!</v>
      </c>
      <c r="CS25" s="3291"/>
      <c r="CT25" s="3285"/>
      <c r="CU25" s="3285"/>
      <c r="CV25" s="3286">
        <f t="shared" si="43"/>
        <v>0</v>
      </c>
      <c r="CW25" s="3284" t="e">
        <f t="shared" si="19"/>
        <v>#DIV/0!</v>
      </c>
      <c r="CX25" s="3291"/>
      <c r="CY25" s="3274">
        <f t="shared" si="32"/>
        <v>6552.9776000000002</v>
      </c>
      <c r="CZ25" s="3274">
        <f t="shared" si="33"/>
        <v>670</v>
      </c>
      <c r="DA25" s="3283">
        <f t="shared" si="34"/>
        <v>7222.9776000000002</v>
      </c>
      <c r="DB25" s="3284">
        <f t="shared" si="52"/>
        <v>3.7875333178746715E-3</v>
      </c>
      <c r="DC25" s="1449"/>
    </row>
    <row r="26" spans="1:107" s="1411" customFormat="1" ht="13.8" x14ac:dyDescent="0.25">
      <c r="A26" s="1586"/>
      <c r="B26" s="3289" t="s">
        <v>45</v>
      </c>
      <c r="C26" s="3288"/>
      <c r="D26" s="3274"/>
      <c r="E26" s="3283">
        <f t="shared" si="44"/>
        <v>0</v>
      </c>
      <c r="F26" s="3284">
        <f t="shared" si="0"/>
        <v>0</v>
      </c>
      <c r="G26" s="1608"/>
      <c r="H26" s="3274"/>
      <c r="I26" s="3274"/>
      <c r="J26" s="3283">
        <f t="shared" si="45"/>
        <v>0</v>
      </c>
      <c r="K26" s="3284">
        <f t="shared" si="23"/>
        <v>0</v>
      </c>
      <c r="L26" s="1608"/>
      <c r="M26" s="3274"/>
      <c r="N26" s="3274"/>
      <c r="O26" s="3283">
        <f t="shared" si="46"/>
        <v>0</v>
      </c>
      <c r="P26" s="3284">
        <f t="shared" si="2"/>
        <v>0</v>
      </c>
      <c r="Q26" s="1608"/>
      <c r="R26" s="3274"/>
      <c r="S26" s="3274"/>
      <c r="T26" s="3283">
        <f t="shared" si="47"/>
        <v>0</v>
      </c>
      <c r="U26" s="3284">
        <f t="shared" si="3"/>
        <v>0</v>
      </c>
      <c r="V26" s="1608"/>
      <c r="W26" s="3274"/>
      <c r="X26" s="3274"/>
      <c r="Y26" s="3283">
        <f t="shared" si="48"/>
        <v>0</v>
      </c>
      <c r="Z26" s="3284">
        <f t="shared" si="4"/>
        <v>0</v>
      </c>
      <c r="AA26" s="1608"/>
      <c r="AB26" s="3274"/>
      <c r="AC26" s="3274"/>
      <c r="AD26" s="3283">
        <f t="shared" si="49"/>
        <v>0</v>
      </c>
      <c r="AE26" s="3284">
        <f t="shared" si="5"/>
        <v>0</v>
      </c>
      <c r="AF26" s="1608"/>
      <c r="AG26" s="3274">
        <v>0</v>
      </c>
      <c r="AH26" s="3274">
        <v>0</v>
      </c>
      <c r="AI26" s="3283">
        <v>0</v>
      </c>
      <c r="AJ26" s="3284">
        <v>0</v>
      </c>
      <c r="AK26" s="1608"/>
      <c r="AL26" s="3274">
        <f t="shared" si="6"/>
        <v>0</v>
      </c>
      <c r="AM26" s="3274">
        <f t="shared" si="6"/>
        <v>0</v>
      </c>
      <c r="AN26" s="3283">
        <f t="shared" si="50"/>
        <v>0</v>
      </c>
      <c r="AO26" s="3284">
        <f t="shared" si="7"/>
        <v>0</v>
      </c>
      <c r="AP26" s="1608"/>
      <c r="AQ26" s="3274"/>
      <c r="AR26" s="3274"/>
      <c r="AS26" s="3283">
        <f t="shared" si="51"/>
        <v>0</v>
      </c>
      <c r="AT26" s="3284">
        <f t="shared" si="8"/>
        <v>0</v>
      </c>
      <c r="AU26" s="1608"/>
      <c r="AV26" s="3274"/>
      <c r="AW26" s="3274"/>
      <c r="AX26" s="3283">
        <f t="shared" si="30"/>
        <v>0</v>
      </c>
      <c r="AY26" s="3284">
        <f t="shared" si="9"/>
        <v>0</v>
      </c>
      <c r="AZ26" s="1608"/>
      <c r="BA26" s="3285"/>
      <c r="BB26" s="3285"/>
      <c r="BC26" s="3286">
        <f t="shared" si="31"/>
        <v>0</v>
      </c>
      <c r="BD26" s="3284">
        <f t="shared" si="10"/>
        <v>0</v>
      </c>
      <c r="BE26" s="1158"/>
      <c r="BF26" s="3285"/>
      <c r="BG26" s="3285"/>
      <c r="BH26" s="3286">
        <f t="shared" si="35"/>
        <v>0</v>
      </c>
      <c r="BI26" s="3284">
        <f t="shared" si="11"/>
        <v>0</v>
      </c>
      <c r="BJ26" s="1158"/>
      <c r="BK26" s="3285"/>
      <c r="BL26" s="3285"/>
      <c r="BM26" s="3286">
        <f t="shared" si="36"/>
        <v>0</v>
      </c>
      <c r="BN26" s="3284">
        <f t="shared" si="12"/>
        <v>0</v>
      </c>
      <c r="BO26" s="1158"/>
      <c r="BP26" s="3285"/>
      <c r="BQ26" s="3285"/>
      <c r="BR26" s="3286">
        <f t="shared" si="37"/>
        <v>0</v>
      </c>
      <c r="BS26" s="3284">
        <f t="shared" si="13"/>
        <v>0</v>
      </c>
      <c r="BT26" s="1158"/>
      <c r="BU26" s="3285"/>
      <c r="BV26" s="3285"/>
      <c r="BW26" s="3286">
        <f t="shared" si="38"/>
        <v>0</v>
      </c>
      <c r="BX26" s="3284" t="e">
        <f t="shared" si="14"/>
        <v>#DIV/0!</v>
      </c>
      <c r="BY26" s="1158"/>
      <c r="BZ26" s="3285"/>
      <c r="CA26" s="3285"/>
      <c r="CB26" s="3286">
        <f t="shared" si="39"/>
        <v>0</v>
      </c>
      <c r="CC26" s="3284" t="e">
        <f t="shared" si="15"/>
        <v>#DIV/0!</v>
      </c>
      <c r="CD26" s="1158"/>
      <c r="CE26" s="3285"/>
      <c r="CF26" s="3285"/>
      <c r="CG26" s="3286">
        <f t="shared" si="40"/>
        <v>0</v>
      </c>
      <c r="CH26" s="3284" t="e">
        <f t="shared" si="16"/>
        <v>#DIV/0!</v>
      </c>
      <c r="CI26" s="1158"/>
      <c r="CJ26" s="3285"/>
      <c r="CK26" s="3285"/>
      <c r="CL26" s="3286">
        <f t="shared" si="41"/>
        <v>0</v>
      </c>
      <c r="CM26" s="3284" t="e">
        <f t="shared" si="17"/>
        <v>#DIV/0!</v>
      </c>
      <c r="CN26" s="1158"/>
      <c r="CO26" s="3285"/>
      <c r="CP26" s="3285"/>
      <c r="CQ26" s="3286">
        <f t="shared" si="42"/>
        <v>0</v>
      </c>
      <c r="CR26" s="3284" t="e">
        <f t="shared" si="18"/>
        <v>#DIV/0!</v>
      </c>
      <c r="CS26" s="1158"/>
      <c r="CT26" s="3285"/>
      <c r="CU26" s="3285"/>
      <c r="CV26" s="3286">
        <f t="shared" si="43"/>
        <v>0</v>
      </c>
      <c r="CW26" s="3284" t="e">
        <f t="shared" si="19"/>
        <v>#DIV/0!</v>
      </c>
      <c r="CX26" s="1158"/>
      <c r="CY26" s="3274">
        <f t="shared" si="32"/>
        <v>0</v>
      </c>
      <c r="CZ26" s="3274">
        <f t="shared" si="33"/>
        <v>0</v>
      </c>
      <c r="DA26" s="3283">
        <f t="shared" si="34"/>
        <v>0</v>
      </c>
      <c r="DB26" s="3284">
        <f t="shared" si="52"/>
        <v>0</v>
      </c>
      <c r="DC26" s="1449"/>
    </row>
    <row r="27" spans="1:107" s="1411" customFormat="1" ht="13.8" x14ac:dyDescent="0.25">
      <c r="A27" s="1586"/>
      <c r="B27" s="3289" t="s">
        <v>25</v>
      </c>
      <c r="C27" s="3288"/>
      <c r="D27" s="3274"/>
      <c r="E27" s="3283">
        <f t="shared" si="44"/>
        <v>0</v>
      </c>
      <c r="F27" s="3284">
        <f t="shared" si="0"/>
        <v>0</v>
      </c>
      <c r="G27" s="1608"/>
      <c r="H27" s="3274">
        <f>89179</f>
        <v>89179</v>
      </c>
      <c r="I27" s="3274"/>
      <c r="J27" s="3283">
        <f t="shared" si="45"/>
        <v>89179</v>
      </c>
      <c r="K27" s="3284">
        <f t="shared" si="23"/>
        <v>1.2723744057464144</v>
      </c>
      <c r="L27" s="3359" t="s">
        <v>1175</v>
      </c>
      <c r="M27" s="3274"/>
      <c r="N27" s="3274"/>
      <c r="O27" s="3283">
        <f t="shared" si="46"/>
        <v>0</v>
      </c>
      <c r="P27" s="3284">
        <f t="shared" si="2"/>
        <v>0</v>
      </c>
      <c r="Q27" s="1608"/>
      <c r="R27" s="3274"/>
      <c r="S27" s="3274"/>
      <c r="T27" s="3283">
        <f t="shared" si="47"/>
        <v>0</v>
      </c>
      <c r="U27" s="3284">
        <f t="shared" si="3"/>
        <v>0</v>
      </c>
      <c r="V27" s="1608"/>
      <c r="W27" s="3274"/>
      <c r="X27" s="3274"/>
      <c r="Y27" s="3283">
        <f t="shared" si="48"/>
        <v>0</v>
      </c>
      <c r="Z27" s="3284">
        <f t="shared" si="4"/>
        <v>0</v>
      </c>
      <c r="AA27" s="1608"/>
      <c r="AB27" s="3274"/>
      <c r="AC27" s="3274"/>
      <c r="AD27" s="3283">
        <f t="shared" si="49"/>
        <v>0</v>
      </c>
      <c r="AE27" s="3284">
        <f t="shared" si="5"/>
        <v>0</v>
      </c>
      <c r="AF27" s="1608"/>
      <c r="AG27" s="3274">
        <v>116819.43000000001</v>
      </c>
      <c r="AH27" s="3274">
        <v>0</v>
      </c>
      <c r="AI27" s="3283">
        <v>116819.43000000001</v>
      </c>
      <c r="AJ27" s="3284">
        <v>1.6667382772388664</v>
      </c>
      <c r="AK27" s="1608"/>
      <c r="AL27" s="3274">
        <f t="shared" si="6"/>
        <v>0</v>
      </c>
      <c r="AM27" s="3274">
        <f t="shared" si="6"/>
        <v>0</v>
      </c>
      <c r="AN27" s="3283">
        <f t="shared" si="50"/>
        <v>0</v>
      </c>
      <c r="AO27" s="3284">
        <f t="shared" si="7"/>
        <v>0</v>
      </c>
      <c r="AP27" s="1608"/>
      <c r="AQ27" s="3274"/>
      <c r="AR27" s="3274"/>
      <c r="AS27" s="3283">
        <f t="shared" si="51"/>
        <v>0</v>
      </c>
      <c r="AT27" s="3284">
        <f t="shared" si="8"/>
        <v>0</v>
      </c>
      <c r="AU27" s="1608"/>
      <c r="AV27" s="3292"/>
      <c r="AW27" s="3274"/>
      <c r="AX27" s="3283">
        <f t="shared" si="30"/>
        <v>0</v>
      </c>
      <c r="AY27" s="3284">
        <f t="shared" si="9"/>
        <v>0</v>
      </c>
      <c r="AZ27" s="3293"/>
      <c r="BA27" s="3285"/>
      <c r="BB27" s="3285"/>
      <c r="BC27" s="3286">
        <f t="shared" si="31"/>
        <v>0</v>
      </c>
      <c r="BD27" s="3284">
        <f t="shared" si="10"/>
        <v>0</v>
      </c>
      <c r="BE27" s="3291"/>
      <c r="BF27" s="3285"/>
      <c r="BG27" s="3285"/>
      <c r="BH27" s="3286">
        <f t="shared" si="35"/>
        <v>0</v>
      </c>
      <c r="BI27" s="3284">
        <f t="shared" si="11"/>
        <v>0</v>
      </c>
      <c r="BJ27" s="3291"/>
      <c r="BK27" s="3285"/>
      <c r="BL27" s="3285"/>
      <c r="BM27" s="3286">
        <f t="shared" si="36"/>
        <v>0</v>
      </c>
      <c r="BN27" s="3284">
        <f t="shared" si="12"/>
        <v>0</v>
      </c>
      <c r="BO27" s="3291"/>
      <c r="BP27" s="3285"/>
      <c r="BQ27" s="3285"/>
      <c r="BR27" s="3286">
        <f t="shared" si="37"/>
        <v>0</v>
      </c>
      <c r="BS27" s="3284">
        <f t="shared" si="13"/>
        <v>0</v>
      </c>
      <c r="BT27" s="3291"/>
      <c r="BU27" s="3285"/>
      <c r="BV27" s="3285"/>
      <c r="BW27" s="3286">
        <f t="shared" si="38"/>
        <v>0</v>
      </c>
      <c r="BX27" s="3284" t="e">
        <f t="shared" si="14"/>
        <v>#DIV/0!</v>
      </c>
      <c r="BY27" s="3291"/>
      <c r="BZ27" s="3285"/>
      <c r="CA27" s="3285"/>
      <c r="CB27" s="3286">
        <f t="shared" si="39"/>
        <v>0</v>
      </c>
      <c r="CC27" s="3284" t="e">
        <f t="shared" si="15"/>
        <v>#DIV/0!</v>
      </c>
      <c r="CD27" s="3291"/>
      <c r="CE27" s="3285"/>
      <c r="CF27" s="3285"/>
      <c r="CG27" s="3286">
        <f t="shared" si="40"/>
        <v>0</v>
      </c>
      <c r="CH27" s="3284" t="e">
        <f t="shared" si="16"/>
        <v>#DIV/0!</v>
      </c>
      <c r="CI27" s="3291"/>
      <c r="CJ27" s="3285"/>
      <c r="CK27" s="3285"/>
      <c r="CL27" s="3286">
        <f t="shared" si="41"/>
        <v>0</v>
      </c>
      <c r="CM27" s="3284" t="e">
        <f t="shared" si="17"/>
        <v>#DIV/0!</v>
      </c>
      <c r="CN27" s="3291"/>
      <c r="CO27" s="3285"/>
      <c r="CP27" s="3285"/>
      <c r="CQ27" s="3286">
        <f t="shared" si="42"/>
        <v>0</v>
      </c>
      <c r="CR27" s="3284" t="e">
        <f t="shared" si="18"/>
        <v>#DIV/0!</v>
      </c>
      <c r="CS27" s="3291"/>
      <c r="CT27" s="3285"/>
      <c r="CU27" s="3285"/>
      <c r="CV27" s="3286">
        <f t="shared" si="43"/>
        <v>0</v>
      </c>
      <c r="CW27" s="3284" t="e">
        <f t="shared" si="19"/>
        <v>#DIV/0!</v>
      </c>
      <c r="CX27" s="3291"/>
      <c r="CY27" s="3274">
        <f t="shared" si="32"/>
        <v>205998.43</v>
      </c>
      <c r="CZ27" s="3274">
        <f t="shared" si="33"/>
        <v>0</v>
      </c>
      <c r="DA27" s="3283">
        <f t="shared" si="34"/>
        <v>205998.43</v>
      </c>
      <c r="DB27" s="3284">
        <f t="shared" si="52"/>
        <v>0.10801998292987551</v>
      </c>
      <c r="DC27" s="1449"/>
    </row>
    <row r="28" spans="1:107" s="1411" customFormat="1" ht="120" x14ac:dyDescent="0.25">
      <c r="A28" s="1586"/>
      <c r="B28" s="3289" t="s">
        <v>52</v>
      </c>
      <c r="C28" s="3288"/>
      <c r="D28" s="3274">
        <f>200+33800</f>
        <v>34000</v>
      </c>
      <c r="E28" s="3283">
        <f t="shared" si="44"/>
        <v>34000</v>
      </c>
      <c r="F28" s="3284">
        <f t="shared" si="0"/>
        <v>0.54115365617167632</v>
      </c>
      <c r="G28" s="3275" t="s">
        <v>1125</v>
      </c>
      <c r="H28" s="3274">
        <f>1465*53.62</f>
        <v>78553.3</v>
      </c>
      <c r="I28" s="3274">
        <f>100+360</f>
        <v>460</v>
      </c>
      <c r="J28" s="3283">
        <f t="shared" si="45"/>
        <v>79013.3</v>
      </c>
      <c r="K28" s="3284">
        <f t="shared" si="23"/>
        <v>1.1273337964494239</v>
      </c>
      <c r="L28" s="3360" t="s">
        <v>1176</v>
      </c>
      <c r="M28" s="3274">
        <f>90776+1349.53+9900</f>
        <v>102025.53</v>
      </c>
      <c r="N28" s="3274">
        <v>30089</v>
      </c>
      <c r="O28" s="3283">
        <f t="shared" si="46"/>
        <v>132114.53</v>
      </c>
      <c r="P28" s="3284">
        <f t="shared" si="2"/>
        <v>0.66775615468529848</v>
      </c>
      <c r="Q28" s="3275" t="s">
        <v>1251</v>
      </c>
      <c r="R28" s="3274">
        <f>531.14+475*52</f>
        <v>25231.14</v>
      </c>
      <c r="S28" s="3274"/>
      <c r="T28" s="3283">
        <f t="shared" si="47"/>
        <v>25231.14</v>
      </c>
      <c r="U28" s="3284">
        <f t="shared" si="3"/>
        <v>0.12752760067137522</v>
      </c>
      <c r="V28" s="3275" t="s">
        <v>1341</v>
      </c>
      <c r="W28" s="3274">
        <f>1876.7+5743+ 500+871.28+13456.01+889*52.53</f>
        <v>69146.16</v>
      </c>
      <c r="X28" s="3274">
        <v>16538.5</v>
      </c>
      <c r="Y28" s="3283">
        <f t="shared" si="48"/>
        <v>85684.66</v>
      </c>
      <c r="Z28" s="3284">
        <f t="shared" si="4"/>
        <v>0.43308225883343199</v>
      </c>
      <c r="AA28" s="3276" t="s">
        <v>1460</v>
      </c>
      <c r="AB28" s="3274">
        <f>6212.36+1784*54+(13588.47-4696.25)</f>
        <v>111440.58</v>
      </c>
      <c r="AC28" s="3274">
        <f>5*22*42</f>
        <v>4620</v>
      </c>
      <c r="AD28" s="3283">
        <f t="shared" si="49"/>
        <v>116060.58</v>
      </c>
      <c r="AE28" s="3284">
        <f t="shared" si="5"/>
        <v>0.58661349823782039</v>
      </c>
      <c r="AF28" s="3276" t="s">
        <v>1514</v>
      </c>
      <c r="AG28" s="3274">
        <v>566956.58799999999</v>
      </c>
      <c r="AH28" s="3274">
        <v>29273.440000000002</v>
      </c>
      <c r="AI28" s="3283">
        <v>596230.02799999993</v>
      </c>
      <c r="AJ28" s="3284">
        <v>8.5067989948829652</v>
      </c>
      <c r="AK28" s="3275"/>
      <c r="AL28" s="3274">
        <f t="shared" si="6"/>
        <v>0</v>
      </c>
      <c r="AM28" s="3274">
        <f t="shared" si="6"/>
        <v>0</v>
      </c>
      <c r="AN28" s="3283">
        <f t="shared" si="50"/>
        <v>0</v>
      </c>
      <c r="AO28" s="3284">
        <f t="shared" si="7"/>
        <v>0</v>
      </c>
      <c r="AP28" s="3275"/>
      <c r="AQ28" s="3274"/>
      <c r="AR28" s="3274"/>
      <c r="AS28" s="3283">
        <f t="shared" si="51"/>
        <v>0</v>
      </c>
      <c r="AT28" s="3284">
        <f t="shared" si="8"/>
        <v>0</v>
      </c>
      <c r="AU28" s="3361"/>
      <c r="AV28" s="3274"/>
      <c r="AW28" s="3274"/>
      <c r="AX28" s="3283">
        <f t="shared" si="30"/>
        <v>0</v>
      </c>
      <c r="AY28" s="3284">
        <f t="shared" si="9"/>
        <v>0</v>
      </c>
      <c r="AZ28" s="3291"/>
      <c r="BA28" s="3285"/>
      <c r="BB28" s="3285"/>
      <c r="BC28" s="3286">
        <f t="shared" si="31"/>
        <v>0</v>
      </c>
      <c r="BD28" s="3284">
        <f t="shared" si="10"/>
        <v>0</v>
      </c>
      <c r="BE28" s="3291"/>
      <c r="BF28" s="3285"/>
      <c r="BG28" s="3285"/>
      <c r="BH28" s="3286">
        <f t="shared" si="35"/>
        <v>0</v>
      </c>
      <c r="BI28" s="3284">
        <f t="shared" si="11"/>
        <v>0</v>
      </c>
      <c r="BJ28" s="3291"/>
      <c r="BK28" s="3285"/>
      <c r="BL28" s="3285"/>
      <c r="BM28" s="3286">
        <f t="shared" si="36"/>
        <v>0</v>
      </c>
      <c r="BN28" s="3284">
        <f t="shared" si="12"/>
        <v>0</v>
      </c>
      <c r="BO28" s="3291"/>
      <c r="BP28" s="3285"/>
      <c r="BQ28" s="3285"/>
      <c r="BR28" s="3286">
        <f t="shared" si="37"/>
        <v>0</v>
      </c>
      <c r="BS28" s="3284">
        <f t="shared" si="13"/>
        <v>0</v>
      </c>
      <c r="BT28" s="3291"/>
      <c r="BU28" s="3285"/>
      <c r="BV28" s="3285"/>
      <c r="BW28" s="3286">
        <f t="shared" si="38"/>
        <v>0</v>
      </c>
      <c r="BX28" s="3284" t="e">
        <f t="shared" si="14"/>
        <v>#DIV/0!</v>
      </c>
      <c r="BY28" s="3291"/>
      <c r="BZ28" s="3285"/>
      <c r="CA28" s="3285"/>
      <c r="CB28" s="3286">
        <f t="shared" si="39"/>
        <v>0</v>
      </c>
      <c r="CC28" s="3284" t="e">
        <f t="shared" si="15"/>
        <v>#DIV/0!</v>
      </c>
      <c r="CD28" s="3291"/>
      <c r="CE28" s="3285"/>
      <c r="CF28" s="3285"/>
      <c r="CG28" s="3286">
        <f t="shared" si="40"/>
        <v>0</v>
      </c>
      <c r="CH28" s="3284" t="e">
        <f t="shared" si="16"/>
        <v>#DIV/0!</v>
      </c>
      <c r="CI28" s="3291"/>
      <c r="CJ28" s="3285"/>
      <c r="CK28" s="3285"/>
      <c r="CL28" s="3286">
        <f t="shared" si="41"/>
        <v>0</v>
      </c>
      <c r="CM28" s="3284" t="e">
        <f t="shared" si="17"/>
        <v>#DIV/0!</v>
      </c>
      <c r="CN28" s="3291"/>
      <c r="CO28" s="3285"/>
      <c r="CP28" s="3285"/>
      <c r="CQ28" s="3286">
        <f t="shared" si="42"/>
        <v>0</v>
      </c>
      <c r="CR28" s="3284" t="e">
        <f t="shared" si="18"/>
        <v>#DIV/0!</v>
      </c>
      <c r="CS28" s="3291"/>
      <c r="CT28" s="3285"/>
      <c r="CU28" s="3285"/>
      <c r="CV28" s="3286">
        <f t="shared" si="43"/>
        <v>0</v>
      </c>
      <c r="CW28" s="3284" t="e">
        <f t="shared" si="19"/>
        <v>#DIV/0!</v>
      </c>
      <c r="CX28" s="3291"/>
      <c r="CY28" s="3274">
        <f t="shared" si="32"/>
        <v>953353.29799999995</v>
      </c>
      <c r="CZ28" s="3274">
        <f t="shared" si="33"/>
        <v>114980.94</v>
      </c>
      <c r="DA28" s="3283">
        <f t="shared" si="34"/>
        <v>1068334.2379999999</v>
      </c>
      <c r="DB28" s="3284">
        <f>DA28/$DA$89</f>
        <v>0.56020546444048902</v>
      </c>
      <c r="DC28" s="1449"/>
    </row>
    <row r="29" spans="1:107" s="1411" customFormat="1" ht="13.8" x14ac:dyDescent="0.25">
      <c r="A29" s="1586"/>
      <c r="B29" s="3289" t="s">
        <v>31</v>
      </c>
      <c r="C29" s="3288"/>
      <c r="D29" s="3274"/>
      <c r="E29" s="3283">
        <f t="shared" si="44"/>
        <v>0</v>
      </c>
      <c r="F29" s="3284">
        <f t="shared" si="0"/>
        <v>0</v>
      </c>
      <c r="G29" s="3294"/>
      <c r="H29" s="3274"/>
      <c r="I29" s="3274"/>
      <c r="J29" s="3283">
        <f t="shared" si="45"/>
        <v>0</v>
      </c>
      <c r="K29" s="3284">
        <f t="shared" si="23"/>
        <v>0</v>
      </c>
      <c r="L29" s="3294"/>
      <c r="M29" s="3274"/>
      <c r="N29" s="3274"/>
      <c r="O29" s="3283">
        <f t="shared" si="46"/>
        <v>0</v>
      </c>
      <c r="P29" s="3284">
        <f t="shared" si="2"/>
        <v>0</v>
      </c>
      <c r="Q29" s="3294"/>
      <c r="R29" s="3274"/>
      <c r="S29" s="3274"/>
      <c r="T29" s="3283">
        <f t="shared" si="47"/>
        <v>0</v>
      </c>
      <c r="U29" s="3284">
        <f t="shared" si="3"/>
        <v>0</v>
      </c>
      <c r="V29" s="3294"/>
      <c r="W29" s="3274">
        <v>6000</v>
      </c>
      <c r="X29" s="3274"/>
      <c r="Y29" s="3283">
        <f t="shared" si="48"/>
        <v>6000</v>
      </c>
      <c r="Z29" s="3284">
        <f t="shared" si="4"/>
        <v>3.0326239877716637E-2</v>
      </c>
      <c r="AA29" s="3358" t="s">
        <v>1417</v>
      </c>
      <c r="AB29" s="3274">
        <f>300*9+300*22</f>
        <v>9300</v>
      </c>
      <c r="AC29" s="3274"/>
      <c r="AD29" s="3283">
        <f t="shared" si="49"/>
        <v>9300</v>
      </c>
      <c r="AE29" s="3284">
        <f t="shared" si="5"/>
        <v>4.7005671810460788E-2</v>
      </c>
      <c r="AF29" s="3276" t="s">
        <v>1473</v>
      </c>
      <c r="AG29" s="3274">
        <v>9900</v>
      </c>
      <c r="AH29" s="3274">
        <v>0</v>
      </c>
      <c r="AI29" s="3283">
        <v>9900</v>
      </c>
      <c r="AJ29" s="3284">
        <v>0.14124969574551749</v>
      </c>
      <c r="AK29" s="3294"/>
      <c r="AL29" s="3274">
        <f t="shared" si="6"/>
        <v>0</v>
      </c>
      <c r="AM29" s="3274">
        <f t="shared" si="6"/>
        <v>0</v>
      </c>
      <c r="AN29" s="3283">
        <f t="shared" si="50"/>
        <v>0</v>
      </c>
      <c r="AO29" s="3284">
        <f t="shared" si="7"/>
        <v>0</v>
      </c>
      <c r="AP29" s="3294"/>
      <c r="AQ29" s="3274"/>
      <c r="AR29" s="3274"/>
      <c r="AS29" s="3283">
        <f t="shared" si="51"/>
        <v>0</v>
      </c>
      <c r="AT29" s="3284">
        <f t="shared" si="8"/>
        <v>0</v>
      </c>
      <c r="AU29" s="3276"/>
      <c r="AV29" s="3274"/>
      <c r="AW29" s="3274"/>
      <c r="AX29" s="3283">
        <f t="shared" si="30"/>
        <v>0</v>
      </c>
      <c r="AY29" s="3284">
        <f t="shared" si="9"/>
        <v>0</v>
      </c>
      <c r="AZ29" s="3293"/>
      <c r="BA29" s="3285"/>
      <c r="BB29" s="3285"/>
      <c r="BC29" s="3286">
        <f t="shared" si="31"/>
        <v>0</v>
      </c>
      <c r="BD29" s="3284">
        <f t="shared" si="10"/>
        <v>0</v>
      </c>
      <c r="BE29" s="3291"/>
      <c r="BF29" s="3285"/>
      <c r="BG29" s="3285"/>
      <c r="BH29" s="3286">
        <f t="shared" si="35"/>
        <v>0</v>
      </c>
      <c r="BI29" s="3284">
        <f t="shared" si="11"/>
        <v>0</v>
      </c>
      <c r="BJ29" s="3291"/>
      <c r="BK29" s="3285"/>
      <c r="BL29" s="3285"/>
      <c r="BM29" s="3286">
        <f t="shared" si="36"/>
        <v>0</v>
      </c>
      <c r="BN29" s="3284">
        <f t="shared" si="12"/>
        <v>0</v>
      </c>
      <c r="BO29" s="3291"/>
      <c r="BP29" s="3285"/>
      <c r="BQ29" s="3285"/>
      <c r="BR29" s="3286">
        <f t="shared" si="37"/>
        <v>0</v>
      </c>
      <c r="BS29" s="3284">
        <f t="shared" si="13"/>
        <v>0</v>
      </c>
      <c r="BT29" s="3291"/>
      <c r="BU29" s="3285"/>
      <c r="BV29" s="3285"/>
      <c r="BW29" s="3286">
        <f t="shared" si="38"/>
        <v>0</v>
      </c>
      <c r="BX29" s="3284" t="e">
        <f t="shared" si="14"/>
        <v>#DIV/0!</v>
      </c>
      <c r="BY29" s="3291"/>
      <c r="BZ29" s="3285"/>
      <c r="CA29" s="3285"/>
      <c r="CB29" s="3286">
        <f t="shared" si="39"/>
        <v>0</v>
      </c>
      <c r="CC29" s="3284" t="e">
        <f t="shared" si="15"/>
        <v>#DIV/0!</v>
      </c>
      <c r="CD29" s="3291"/>
      <c r="CE29" s="3285"/>
      <c r="CF29" s="3285"/>
      <c r="CG29" s="3286">
        <f t="shared" si="40"/>
        <v>0</v>
      </c>
      <c r="CH29" s="3284" t="e">
        <f t="shared" si="16"/>
        <v>#DIV/0!</v>
      </c>
      <c r="CI29" s="3291"/>
      <c r="CJ29" s="3285"/>
      <c r="CK29" s="3285"/>
      <c r="CL29" s="3286">
        <f t="shared" si="41"/>
        <v>0</v>
      </c>
      <c r="CM29" s="3284" t="e">
        <f t="shared" si="17"/>
        <v>#DIV/0!</v>
      </c>
      <c r="CN29" s="3291"/>
      <c r="CO29" s="3285"/>
      <c r="CP29" s="3285"/>
      <c r="CQ29" s="3286">
        <f t="shared" si="42"/>
        <v>0</v>
      </c>
      <c r="CR29" s="3284" t="e">
        <f t="shared" si="18"/>
        <v>#DIV/0!</v>
      </c>
      <c r="CS29" s="3291"/>
      <c r="CT29" s="3285"/>
      <c r="CU29" s="3285"/>
      <c r="CV29" s="3286">
        <f t="shared" si="43"/>
        <v>0</v>
      </c>
      <c r="CW29" s="3284" t="e">
        <f t="shared" si="19"/>
        <v>#DIV/0!</v>
      </c>
      <c r="CX29" s="3291"/>
      <c r="CY29" s="3274">
        <f t="shared" si="32"/>
        <v>25200</v>
      </c>
      <c r="CZ29" s="3274">
        <f t="shared" si="33"/>
        <v>0</v>
      </c>
      <c r="DA29" s="3283">
        <f t="shared" si="34"/>
        <v>25200</v>
      </c>
      <c r="DB29" s="3284">
        <f t="shared" si="52"/>
        <v>1.3214195709321004E-2</v>
      </c>
      <c r="DC29" s="3295"/>
    </row>
    <row r="30" spans="1:107" s="1411" customFormat="1" ht="13.8" x14ac:dyDescent="0.25">
      <c r="A30" s="1586"/>
      <c r="B30" s="3289" t="s">
        <v>62</v>
      </c>
      <c r="C30" s="3288"/>
      <c r="D30" s="3274"/>
      <c r="E30" s="3283">
        <f t="shared" si="44"/>
        <v>0</v>
      </c>
      <c r="F30" s="3284">
        <f t="shared" si="0"/>
        <v>0</v>
      </c>
      <c r="G30" s="3296"/>
      <c r="H30" s="3274"/>
      <c r="I30" s="3274"/>
      <c r="J30" s="3283">
        <f t="shared" si="45"/>
        <v>0</v>
      </c>
      <c r="K30" s="3284">
        <f t="shared" si="23"/>
        <v>0</v>
      </c>
      <c r="L30" s="3296"/>
      <c r="M30" s="3274"/>
      <c r="N30" s="3274">
        <v>350</v>
      </c>
      <c r="O30" s="3283">
        <f t="shared" si="46"/>
        <v>350</v>
      </c>
      <c r="P30" s="3284">
        <f t="shared" si="2"/>
        <v>1.7690306595334706E-3</v>
      </c>
      <c r="Q30" s="3275" t="s">
        <v>1252</v>
      </c>
      <c r="R30" s="3274"/>
      <c r="S30" s="3274"/>
      <c r="T30" s="3283">
        <f t="shared" si="47"/>
        <v>0</v>
      </c>
      <c r="U30" s="3284">
        <f t="shared" si="3"/>
        <v>0</v>
      </c>
      <c r="V30" s="3296"/>
      <c r="W30" s="3274"/>
      <c r="X30" s="3274"/>
      <c r="Y30" s="3283">
        <f t="shared" si="48"/>
        <v>0</v>
      </c>
      <c r="Z30" s="3284">
        <f t="shared" si="4"/>
        <v>0</v>
      </c>
      <c r="AA30" s="3296"/>
      <c r="AB30" s="3274"/>
      <c r="AC30" s="3274"/>
      <c r="AD30" s="3283">
        <f t="shared" si="49"/>
        <v>0</v>
      </c>
      <c r="AE30" s="3284">
        <f t="shared" si="5"/>
        <v>0</v>
      </c>
      <c r="AF30" s="3296"/>
      <c r="AG30" s="3274">
        <v>0</v>
      </c>
      <c r="AH30" s="3274">
        <v>0</v>
      </c>
      <c r="AI30" s="3283">
        <v>0</v>
      </c>
      <c r="AJ30" s="3284">
        <v>0</v>
      </c>
      <c r="AK30" s="3296"/>
      <c r="AL30" s="3274">
        <f t="shared" si="6"/>
        <v>0</v>
      </c>
      <c r="AM30" s="3274">
        <f t="shared" si="6"/>
        <v>0</v>
      </c>
      <c r="AN30" s="3283">
        <f t="shared" si="50"/>
        <v>0</v>
      </c>
      <c r="AO30" s="3284">
        <f t="shared" si="7"/>
        <v>0</v>
      </c>
      <c r="AP30" s="3296"/>
      <c r="AQ30" s="3274"/>
      <c r="AR30" s="3274"/>
      <c r="AS30" s="3283">
        <f t="shared" si="51"/>
        <v>0</v>
      </c>
      <c r="AT30" s="3284">
        <f t="shared" si="8"/>
        <v>0</v>
      </c>
      <c r="AU30" s="3296"/>
      <c r="AV30" s="3274"/>
      <c r="AW30" s="3274"/>
      <c r="AX30" s="3283">
        <f t="shared" si="30"/>
        <v>0</v>
      </c>
      <c r="AY30" s="3284">
        <f t="shared" si="9"/>
        <v>0</v>
      </c>
      <c r="AZ30" s="3296"/>
      <c r="BA30" s="3285"/>
      <c r="BB30" s="3285"/>
      <c r="BC30" s="3286">
        <f t="shared" si="31"/>
        <v>0</v>
      </c>
      <c r="BD30" s="3284">
        <f t="shared" si="10"/>
        <v>0</v>
      </c>
      <c r="BE30" s="3297"/>
      <c r="BF30" s="3285"/>
      <c r="BG30" s="3285"/>
      <c r="BH30" s="3286">
        <f t="shared" si="35"/>
        <v>0</v>
      </c>
      <c r="BI30" s="3284">
        <f t="shared" si="11"/>
        <v>0</v>
      </c>
      <c r="BJ30" s="3297"/>
      <c r="BK30" s="3285"/>
      <c r="BL30" s="3285"/>
      <c r="BM30" s="3286">
        <f t="shared" si="36"/>
        <v>0</v>
      </c>
      <c r="BN30" s="3284">
        <f t="shared" si="12"/>
        <v>0</v>
      </c>
      <c r="BO30" s="3297"/>
      <c r="BP30" s="3285"/>
      <c r="BQ30" s="3285"/>
      <c r="BR30" s="3286">
        <f t="shared" si="37"/>
        <v>0</v>
      </c>
      <c r="BS30" s="3284">
        <f t="shared" si="13"/>
        <v>0</v>
      </c>
      <c r="BT30" s="3297"/>
      <c r="BU30" s="3285"/>
      <c r="BV30" s="3285"/>
      <c r="BW30" s="3286">
        <f t="shared" si="38"/>
        <v>0</v>
      </c>
      <c r="BX30" s="3284" t="e">
        <f t="shared" si="14"/>
        <v>#DIV/0!</v>
      </c>
      <c r="BY30" s="3297"/>
      <c r="BZ30" s="3285"/>
      <c r="CA30" s="3285"/>
      <c r="CB30" s="3286">
        <f t="shared" si="39"/>
        <v>0</v>
      </c>
      <c r="CC30" s="3284" t="e">
        <f t="shared" si="15"/>
        <v>#DIV/0!</v>
      </c>
      <c r="CD30" s="1158"/>
      <c r="CE30" s="3285"/>
      <c r="CF30" s="3285"/>
      <c r="CG30" s="3286">
        <f t="shared" si="40"/>
        <v>0</v>
      </c>
      <c r="CH30" s="3284" t="e">
        <f t="shared" si="16"/>
        <v>#DIV/0!</v>
      </c>
      <c r="CI30" s="1158"/>
      <c r="CJ30" s="3285"/>
      <c r="CK30" s="3285"/>
      <c r="CL30" s="3286">
        <f t="shared" si="41"/>
        <v>0</v>
      </c>
      <c r="CM30" s="3284" t="e">
        <f t="shared" si="17"/>
        <v>#DIV/0!</v>
      </c>
      <c r="CN30" s="1158"/>
      <c r="CO30" s="3285"/>
      <c r="CP30" s="3285"/>
      <c r="CQ30" s="3286">
        <f t="shared" si="42"/>
        <v>0</v>
      </c>
      <c r="CR30" s="3284" t="e">
        <f t="shared" si="18"/>
        <v>#DIV/0!</v>
      </c>
      <c r="CS30" s="1158"/>
      <c r="CT30" s="3285"/>
      <c r="CU30" s="3285"/>
      <c r="CV30" s="3286">
        <f t="shared" si="43"/>
        <v>0</v>
      </c>
      <c r="CW30" s="3284" t="e">
        <f t="shared" si="19"/>
        <v>#DIV/0!</v>
      </c>
      <c r="CX30" s="1158"/>
      <c r="CY30" s="3274">
        <f t="shared" si="32"/>
        <v>0</v>
      </c>
      <c r="CZ30" s="3274">
        <f t="shared" si="33"/>
        <v>350</v>
      </c>
      <c r="DA30" s="3283">
        <f>CY30+CZ30*1</f>
        <v>350</v>
      </c>
      <c r="DB30" s="3284">
        <f t="shared" si="52"/>
        <v>1.8353049596279172E-4</v>
      </c>
      <c r="DC30" s="3295"/>
    </row>
    <row r="31" spans="1:107" s="1411" customFormat="1" ht="13.8" x14ac:dyDescent="0.25">
      <c r="A31" s="1586"/>
      <c r="B31" s="3289" t="s">
        <v>34</v>
      </c>
      <c r="C31" s="3288"/>
      <c r="D31" s="3274"/>
      <c r="E31" s="3283">
        <f t="shared" si="44"/>
        <v>0</v>
      </c>
      <c r="F31" s="3284">
        <f t="shared" si="0"/>
        <v>0</v>
      </c>
      <c r="G31" s="3296"/>
      <c r="H31" s="3274"/>
      <c r="I31" s="3274"/>
      <c r="J31" s="3283">
        <f t="shared" si="45"/>
        <v>0</v>
      </c>
      <c r="K31" s="3284">
        <f t="shared" si="23"/>
        <v>0</v>
      </c>
      <c r="L31" s="3296"/>
      <c r="M31" s="3274"/>
      <c r="N31" s="3274"/>
      <c r="O31" s="3283">
        <f t="shared" si="46"/>
        <v>0</v>
      </c>
      <c r="P31" s="3284">
        <f t="shared" si="2"/>
        <v>0</v>
      </c>
      <c r="Q31" s="3296"/>
      <c r="R31" s="3274"/>
      <c r="S31" s="3274"/>
      <c r="T31" s="3283">
        <f t="shared" si="47"/>
        <v>0</v>
      </c>
      <c r="U31" s="3284">
        <f t="shared" si="3"/>
        <v>0</v>
      </c>
      <c r="V31" s="3296"/>
      <c r="W31" s="3274"/>
      <c r="X31" s="3274"/>
      <c r="Y31" s="3283">
        <f t="shared" si="48"/>
        <v>0</v>
      </c>
      <c r="Z31" s="3284">
        <f t="shared" si="4"/>
        <v>0</v>
      </c>
      <c r="AA31" s="3296"/>
      <c r="AB31" s="3274"/>
      <c r="AC31" s="3274"/>
      <c r="AD31" s="3283">
        <f t="shared" si="49"/>
        <v>0</v>
      </c>
      <c r="AE31" s="3284">
        <f t="shared" si="5"/>
        <v>0</v>
      </c>
      <c r="AF31" s="3296"/>
      <c r="AG31" s="3274">
        <v>0</v>
      </c>
      <c r="AH31" s="3274">
        <v>0</v>
      </c>
      <c r="AI31" s="3283">
        <v>0</v>
      </c>
      <c r="AJ31" s="3284">
        <v>0</v>
      </c>
      <c r="AK31" s="3276"/>
      <c r="AL31" s="3274">
        <f t="shared" si="6"/>
        <v>0</v>
      </c>
      <c r="AM31" s="3274">
        <f t="shared" si="6"/>
        <v>0</v>
      </c>
      <c r="AN31" s="3283">
        <f t="shared" si="50"/>
        <v>0</v>
      </c>
      <c r="AO31" s="3284">
        <f t="shared" si="7"/>
        <v>0</v>
      </c>
      <c r="AP31" s="3276"/>
      <c r="AQ31" s="3274"/>
      <c r="AR31" s="3274"/>
      <c r="AS31" s="3283">
        <f t="shared" si="51"/>
        <v>0</v>
      </c>
      <c r="AT31" s="3284">
        <f t="shared" si="8"/>
        <v>0</v>
      </c>
      <c r="AU31" s="3296"/>
      <c r="AV31" s="3274"/>
      <c r="AW31" s="3274"/>
      <c r="AX31" s="3283">
        <f t="shared" si="30"/>
        <v>0</v>
      </c>
      <c r="AY31" s="3284">
        <f t="shared" si="9"/>
        <v>0</v>
      </c>
      <c r="AZ31" s="3296"/>
      <c r="BA31" s="3285"/>
      <c r="BB31" s="3285"/>
      <c r="BC31" s="3286">
        <f t="shared" si="31"/>
        <v>0</v>
      </c>
      <c r="BD31" s="3284">
        <f t="shared" si="10"/>
        <v>0</v>
      </c>
      <c r="BE31" s="3297"/>
      <c r="BF31" s="3285"/>
      <c r="BG31" s="3285"/>
      <c r="BH31" s="3286">
        <f t="shared" si="35"/>
        <v>0</v>
      </c>
      <c r="BI31" s="3284">
        <f t="shared" si="11"/>
        <v>0</v>
      </c>
      <c r="BJ31" s="3297"/>
      <c r="BK31" s="3285"/>
      <c r="BL31" s="3285"/>
      <c r="BM31" s="3286">
        <f t="shared" si="36"/>
        <v>0</v>
      </c>
      <c r="BN31" s="3284">
        <f t="shared" si="12"/>
        <v>0</v>
      </c>
      <c r="BO31" s="3297"/>
      <c r="BP31" s="3285"/>
      <c r="BQ31" s="3285"/>
      <c r="BR31" s="3286">
        <f t="shared" si="37"/>
        <v>0</v>
      </c>
      <c r="BS31" s="3284">
        <f t="shared" si="13"/>
        <v>0</v>
      </c>
      <c r="BT31" s="3297"/>
      <c r="BU31" s="3285"/>
      <c r="BV31" s="3285"/>
      <c r="BW31" s="3286">
        <f t="shared" si="38"/>
        <v>0</v>
      </c>
      <c r="BX31" s="3284" t="e">
        <f t="shared" si="14"/>
        <v>#DIV/0!</v>
      </c>
      <c r="BY31" s="3297"/>
      <c r="BZ31" s="3285"/>
      <c r="CA31" s="3285"/>
      <c r="CB31" s="3286">
        <f t="shared" si="39"/>
        <v>0</v>
      </c>
      <c r="CC31" s="3284" t="e">
        <f t="shared" si="15"/>
        <v>#DIV/0!</v>
      </c>
      <c r="CD31" s="1158"/>
      <c r="CE31" s="3285"/>
      <c r="CF31" s="3285"/>
      <c r="CG31" s="3286">
        <f t="shared" si="40"/>
        <v>0</v>
      </c>
      <c r="CH31" s="3284" t="e">
        <f t="shared" si="16"/>
        <v>#DIV/0!</v>
      </c>
      <c r="CI31" s="1158"/>
      <c r="CJ31" s="3285"/>
      <c r="CK31" s="3285"/>
      <c r="CL31" s="3286">
        <f t="shared" si="41"/>
        <v>0</v>
      </c>
      <c r="CM31" s="3284" t="e">
        <f t="shared" si="17"/>
        <v>#DIV/0!</v>
      </c>
      <c r="CN31" s="1158"/>
      <c r="CO31" s="3285"/>
      <c r="CP31" s="3285"/>
      <c r="CQ31" s="3286">
        <f t="shared" si="42"/>
        <v>0</v>
      </c>
      <c r="CR31" s="3284" t="e">
        <f t="shared" si="18"/>
        <v>#DIV/0!</v>
      </c>
      <c r="CS31" s="1158"/>
      <c r="CT31" s="3285"/>
      <c r="CU31" s="3285"/>
      <c r="CV31" s="3286">
        <f t="shared" si="43"/>
        <v>0</v>
      </c>
      <c r="CW31" s="3284" t="e">
        <f t="shared" si="19"/>
        <v>#DIV/0!</v>
      </c>
      <c r="CX31" s="1158"/>
      <c r="CY31" s="3274">
        <f t="shared" si="32"/>
        <v>0</v>
      </c>
      <c r="CZ31" s="3274">
        <f t="shared" si="33"/>
        <v>0</v>
      </c>
      <c r="DA31" s="3283">
        <f t="shared" si="34"/>
        <v>0</v>
      </c>
      <c r="DB31" s="3284">
        <f>DA31/$DA$89</f>
        <v>0</v>
      </c>
      <c r="DC31" s="3295"/>
    </row>
    <row r="32" spans="1:107" s="1411" customFormat="1" ht="48" x14ac:dyDescent="0.25">
      <c r="A32" s="1586"/>
      <c r="B32" s="3298" t="s">
        <v>2</v>
      </c>
      <c r="C32" s="3288"/>
      <c r="D32" s="3274">
        <v>18000</v>
      </c>
      <c r="E32" s="3283">
        <f t="shared" si="44"/>
        <v>18000</v>
      </c>
      <c r="F32" s="3284">
        <f t="shared" si="0"/>
        <v>0.28649311209088746</v>
      </c>
      <c r="G32" s="3275" t="s">
        <v>1124</v>
      </c>
      <c r="H32" s="3274">
        <f>(511.67+1943+2550)*1.2</f>
        <v>6005.6040000000003</v>
      </c>
      <c r="I32" s="3274">
        <f>17000+2500+200</f>
        <v>19700</v>
      </c>
      <c r="J32" s="3283">
        <f t="shared" si="45"/>
        <v>25705.603999999999</v>
      </c>
      <c r="K32" s="3284">
        <f t="shared" si="23"/>
        <v>0.36675845898532899</v>
      </c>
      <c r="L32" s="3359" t="s">
        <v>1177</v>
      </c>
      <c r="M32" s="3274">
        <v>3201.75</v>
      </c>
      <c r="N32" s="3274"/>
      <c r="O32" s="3283">
        <f t="shared" si="46"/>
        <v>3201.75</v>
      </c>
      <c r="P32" s="3284">
        <f t="shared" si="2"/>
        <v>1.6182839754746541E-2</v>
      </c>
      <c r="Q32" s="3275" t="s">
        <v>1253</v>
      </c>
      <c r="R32" s="3274"/>
      <c r="S32" s="3274"/>
      <c r="T32" s="3283">
        <f t="shared" si="47"/>
        <v>0</v>
      </c>
      <c r="U32" s="3284">
        <f t="shared" si="3"/>
        <v>0</v>
      </c>
      <c r="V32" s="3299"/>
      <c r="W32" s="3274"/>
      <c r="X32" s="3274"/>
      <c r="Y32" s="3283">
        <f t="shared" si="48"/>
        <v>0</v>
      </c>
      <c r="Z32" s="3284">
        <f t="shared" si="4"/>
        <v>0</v>
      </c>
      <c r="AA32" s="3299"/>
      <c r="AB32" s="3274"/>
      <c r="AC32" s="3274"/>
      <c r="AD32" s="3283">
        <f t="shared" si="49"/>
        <v>0</v>
      </c>
      <c r="AE32" s="3284">
        <f t="shared" si="5"/>
        <v>0</v>
      </c>
      <c r="AF32" s="3299"/>
      <c r="AG32" s="3274">
        <v>4677</v>
      </c>
      <c r="AH32" s="3274">
        <v>0</v>
      </c>
      <c r="AI32" s="3283">
        <v>4677</v>
      </c>
      <c r="AJ32" s="3284">
        <v>6.6729780505230832E-2</v>
      </c>
      <c r="AK32" s="3299"/>
      <c r="AL32" s="3274">
        <f t="shared" si="6"/>
        <v>0</v>
      </c>
      <c r="AM32" s="3274">
        <f t="shared" si="6"/>
        <v>0</v>
      </c>
      <c r="AN32" s="3283">
        <f t="shared" si="50"/>
        <v>0</v>
      </c>
      <c r="AO32" s="3284">
        <f t="shared" si="7"/>
        <v>0</v>
      </c>
      <c r="AP32" s="3299"/>
      <c r="AQ32" s="3274"/>
      <c r="AR32" s="3274"/>
      <c r="AS32" s="3283">
        <f t="shared" si="51"/>
        <v>0</v>
      </c>
      <c r="AT32" s="3284">
        <f t="shared" si="8"/>
        <v>0</v>
      </c>
      <c r="AU32" s="3299"/>
      <c r="AV32" s="3274"/>
      <c r="AW32" s="3274"/>
      <c r="AX32" s="3283">
        <f t="shared" si="30"/>
        <v>0</v>
      </c>
      <c r="AY32" s="3284">
        <f t="shared" si="9"/>
        <v>0</v>
      </c>
      <c r="AZ32" s="3276"/>
      <c r="BA32" s="3285"/>
      <c r="BB32" s="3285"/>
      <c r="BC32" s="3286">
        <f t="shared" si="31"/>
        <v>0</v>
      </c>
      <c r="BD32" s="3284">
        <f t="shared" si="10"/>
        <v>0</v>
      </c>
      <c r="BE32" s="3291"/>
      <c r="BF32" s="3285"/>
      <c r="BG32" s="3285"/>
      <c r="BH32" s="3286">
        <f t="shared" si="35"/>
        <v>0</v>
      </c>
      <c r="BI32" s="3284">
        <f t="shared" si="11"/>
        <v>0</v>
      </c>
      <c r="BJ32" s="3291"/>
      <c r="BK32" s="3285"/>
      <c r="BL32" s="3285"/>
      <c r="BM32" s="3286">
        <f t="shared" si="36"/>
        <v>0</v>
      </c>
      <c r="BN32" s="3284">
        <f t="shared" si="12"/>
        <v>0</v>
      </c>
      <c r="BO32" s="3291"/>
      <c r="BP32" s="3285"/>
      <c r="BQ32" s="3285"/>
      <c r="BR32" s="3286">
        <f t="shared" si="37"/>
        <v>0</v>
      </c>
      <c r="BS32" s="3284">
        <f t="shared" si="13"/>
        <v>0</v>
      </c>
      <c r="BT32" s="3291"/>
      <c r="BU32" s="3285"/>
      <c r="BV32" s="3285"/>
      <c r="BW32" s="3286">
        <f t="shared" si="38"/>
        <v>0</v>
      </c>
      <c r="BX32" s="3284" t="e">
        <f t="shared" si="14"/>
        <v>#DIV/0!</v>
      </c>
      <c r="BY32" s="3291"/>
      <c r="BZ32" s="3285"/>
      <c r="CA32" s="3285"/>
      <c r="CB32" s="3286">
        <f t="shared" si="39"/>
        <v>0</v>
      </c>
      <c r="CC32" s="3284" t="e">
        <f t="shared" si="15"/>
        <v>#DIV/0!</v>
      </c>
      <c r="CD32" s="3291"/>
      <c r="CE32" s="3285"/>
      <c r="CF32" s="3285"/>
      <c r="CG32" s="3286">
        <f t="shared" si="40"/>
        <v>0</v>
      </c>
      <c r="CH32" s="3284" t="e">
        <f t="shared" si="16"/>
        <v>#DIV/0!</v>
      </c>
      <c r="CI32" s="3291"/>
      <c r="CJ32" s="3285"/>
      <c r="CK32" s="3285"/>
      <c r="CL32" s="3286">
        <f t="shared" si="41"/>
        <v>0</v>
      </c>
      <c r="CM32" s="3284" t="e">
        <f t="shared" si="17"/>
        <v>#DIV/0!</v>
      </c>
      <c r="CN32" s="3291"/>
      <c r="CO32" s="3285"/>
      <c r="CP32" s="3285"/>
      <c r="CQ32" s="3286">
        <f t="shared" si="42"/>
        <v>0</v>
      </c>
      <c r="CR32" s="3284" t="e">
        <f t="shared" si="18"/>
        <v>#DIV/0!</v>
      </c>
      <c r="CS32" s="3291"/>
      <c r="CT32" s="3285"/>
      <c r="CU32" s="3285"/>
      <c r="CV32" s="3286">
        <f t="shared" si="43"/>
        <v>0</v>
      </c>
      <c r="CW32" s="3284" t="e">
        <f t="shared" si="19"/>
        <v>#DIV/0!</v>
      </c>
      <c r="CX32" s="3291"/>
      <c r="CY32" s="3274">
        <f t="shared" si="32"/>
        <v>13884.353999999999</v>
      </c>
      <c r="CZ32" s="3274">
        <f t="shared" si="33"/>
        <v>37700</v>
      </c>
      <c r="DA32" s="3283">
        <f t="shared" si="34"/>
        <v>51584.353999999999</v>
      </c>
      <c r="DB32" s="3284">
        <f t="shared" si="52"/>
        <v>2.7049434495829198E-2</v>
      </c>
      <c r="DC32" s="3295"/>
    </row>
    <row r="33" spans="1:107" s="1411" customFormat="1" ht="14.4" thickBot="1" x14ac:dyDescent="0.3">
      <c r="A33" s="1586"/>
      <c r="B33" s="3144" t="s">
        <v>75</v>
      </c>
      <c r="C33" s="3323"/>
      <c r="D33" s="3314"/>
      <c r="E33" s="3305">
        <f t="shared" si="44"/>
        <v>0</v>
      </c>
      <c r="F33" s="2883">
        <f t="shared" si="0"/>
        <v>0</v>
      </c>
      <c r="G33" s="2885"/>
      <c r="H33" s="3314"/>
      <c r="I33" s="3314"/>
      <c r="J33" s="3305">
        <f t="shared" si="45"/>
        <v>0</v>
      </c>
      <c r="K33" s="3284">
        <f t="shared" si="23"/>
        <v>0</v>
      </c>
      <c r="L33" s="2885"/>
      <c r="M33" s="3278"/>
      <c r="N33" s="3278"/>
      <c r="O33" s="3362">
        <f t="shared" si="46"/>
        <v>0</v>
      </c>
      <c r="P33" s="3228">
        <f t="shared" si="2"/>
        <v>0</v>
      </c>
      <c r="Q33" s="3229"/>
      <c r="R33" s="3314"/>
      <c r="S33" s="3314"/>
      <c r="T33" s="3305">
        <f t="shared" si="47"/>
        <v>0</v>
      </c>
      <c r="U33" s="3284">
        <f t="shared" si="3"/>
        <v>0</v>
      </c>
      <c r="V33" s="2885"/>
      <c r="W33" s="3314"/>
      <c r="X33" s="3314"/>
      <c r="Y33" s="3305">
        <f t="shared" si="48"/>
        <v>0</v>
      </c>
      <c r="Z33" s="3284">
        <f t="shared" si="4"/>
        <v>0</v>
      </c>
      <c r="AA33" s="2885"/>
      <c r="AB33" s="3300"/>
      <c r="AC33" s="3301"/>
      <c r="AD33" s="3302">
        <f t="shared" si="49"/>
        <v>0</v>
      </c>
      <c r="AE33" s="2883">
        <f t="shared" si="5"/>
        <v>0</v>
      </c>
      <c r="AF33" s="2885"/>
      <c r="AG33" s="3274">
        <v>0</v>
      </c>
      <c r="AH33" s="3274">
        <v>0</v>
      </c>
      <c r="AI33" s="3362">
        <v>0</v>
      </c>
      <c r="AJ33" s="3228">
        <v>0</v>
      </c>
      <c r="AK33" s="3229"/>
      <c r="AL33" s="3274">
        <f t="shared" si="6"/>
        <v>0</v>
      </c>
      <c r="AM33" s="3274">
        <f t="shared" si="6"/>
        <v>0</v>
      </c>
      <c r="AN33" s="3362">
        <f t="shared" si="50"/>
        <v>0</v>
      </c>
      <c r="AO33" s="3228">
        <f t="shared" si="7"/>
        <v>0</v>
      </c>
      <c r="AP33" s="3229"/>
      <c r="AQ33" s="3300"/>
      <c r="AR33" s="3301"/>
      <c r="AS33" s="3302">
        <f t="shared" si="51"/>
        <v>0</v>
      </c>
      <c r="AT33" s="2883">
        <f t="shared" si="8"/>
        <v>0</v>
      </c>
      <c r="AU33" s="2885"/>
      <c r="AV33" s="3314"/>
      <c r="AW33" s="3314"/>
      <c r="AX33" s="3305">
        <f t="shared" si="30"/>
        <v>0</v>
      </c>
      <c r="AY33" s="3026">
        <f t="shared" si="9"/>
        <v>0</v>
      </c>
      <c r="AZ33" s="2885"/>
      <c r="BA33" s="3363"/>
      <c r="BB33" s="3363"/>
      <c r="BC33" s="3364">
        <f t="shared" si="31"/>
        <v>0</v>
      </c>
      <c r="BD33" s="3228">
        <f t="shared" si="10"/>
        <v>0</v>
      </c>
      <c r="BE33" s="3216"/>
      <c r="BF33" s="3363"/>
      <c r="BG33" s="3363"/>
      <c r="BH33" s="3364">
        <f t="shared" si="35"/>
        <v>0</v>
      </c>
      <c r="BI33" s="3228">
        <f t="shared" si="11"/>
        <v>0</v>
      </c>
      <c r="BJ33" s="3216"/>
      <c r="BK33" s="3363"/>
      <c r="BL33" s="3363"/>
      <c r="BM33" s="3364">
        <f t="shared" si="36"/>
        <v>0</v>
      </c>
      <c r="BN33" s="3228">
        <f t="shared" si="12"/>
        <v>0</v>
      </c>
      <c r="BO33" s="3216"/>
      <c r="BP33" s="3363"/>
      <c r="BQ33" s="3363"/>
      <c r="BR33" s="3364">
        <f t="shared" si="37"/>
        <v>0</v>
      </c>
      <c r="BS33" s="3228">
        <f t="shared" si="13"/>
        <v>0</v>
      </c>
      <c r="BT33" s="3216"/>
      <c r="BU33" s="3363"/>
      <c r="BV33" s="3363"/>
      <c r="BW33" s="3364">
        <f t="shared" si="38"/>
        <v>0</v>
      </c>
      <c r="BX33" s="3228" t="e">
        <f t="shared" si="14"/>
        <v>#DIV/0!</v>
      </c>
      <c r="BY33" s="3216"/>
      <c r="BZ33" s="3363"/>
      <c r="CA33" s="3363"/>
      <c r="CB33" s="3364">
        <f t="shared" si="39"/>
        <v>0</v>
      </c>
      <c r="CC33" s="3228" t="e">
        <f t="shared" si="15"/>
        <v>#DIV/0!</v>
      </c>
      <c r="CD33" s="3216"/>
      <c r="CE33" s="3363"/>
      <c r="CF33" s="3363"/>
      <c r="CG33" s="3364">
        <f t="shared" si="40"/>
        <v>0</v>
      </c>
      <c r="CH33" s="3228" t="e">
        <f t="shared" si="16"/>
        <v>#DIV/0!</v>
      </c>
      <c r="CI33" s="3216"/>
      <c r="CJ33" s="3363"/>
      <c r="CK33" s="3363"/>
      <c r="CL33" s="3364">
        <f t="shared" si="41"/>
        <v>0</v>
      </c>
      <c r="CM33" s="3228" t="e">
        <f t="shared" si="17"/>
        <v>#DIV/0!</v>
      </c>
      <c r="CN33" s="3216"/>
      <c r="CO33" s="3363"/>
      <c r="CP33" s="3363"/>
      <c r="CQ33" s="3364">
        <f t="shared" si="42"/>
        <v>0</v>
      </c>
      <c r="CR33" s="3228" t="e">
        <f t="shared" si="18"/>
        <v>#DIV/0!</v>
      </c>
      <c r="CS33" s="3216"/>
      <c r="CT33" s="3363"/>
      <c r="CU33" s="3363"/>
      <c r="CV33" s="3364">
        <f t="shared" si="43"/>
        <v>0</v>
      </c>
      <c r="CW33" s="3228" t="e">
        <f t="shared" si="19"/>
        <v>#DIV/0!</v>
      </c>
      <c r="CX33" s="3216"/>
      <c r="CY33" s="3274">
        <f t="shared" si="20"/>
        <v>0</v>
      </c>
      <c r="CZ33" s="3274">
        <f t="shared" si="20"/>
        <v>0</v>
      </c>
      <c r="DA33" s="3305">
        <f t="shared" si="34"/>
        <v>0</v>
      </c>
      <c r="DB33" s="2883">
        <f t="shared" si="52"/>
        <v>0</v>
      </c>
      <c r="DC33" s="2885"/>
    </row>
    <row r="34" spans="1:107" s="1411" customFormat="1" ht="13.8" x14ac:dyDescent="0.25">
      <c r="A34" s="1586"/>
      <c r="B34" s="1631"/>
      <c r="C34" s="3274"/>
      <c r="D34" s="3274"/>
      <c r="E34" s="3306"/>
      <c r="F34" s="3306"/>
      <c r="G34" s="3306"/>
      <c r="H34" s="3274"/>
      <c r="I34" s="3274"/>
      <c r="J34" s="3306"/>
      <c r="K34" s="3306"/>
      <c r="L34" s="3306"/>
      <c r="M34" s="3280"/>
      <c r="N34" s="3280"/>
      <c r="O34" s="3365"/>
      <c r="P34" s="3365"/>
      <c r="Q34" s="3365"/>
      <c r="R34" s="3274"/>
      <c r="S34" s="3274"/>
      <c r="T34" s="3306"/>
      <c r="U34" s="3306"/>
      <c r="V34" s="3306"/>
      <c r="W34" s="3274"/>
      <c r="X34" s="3274"/>
      <c r="Y34" s="3306"/>
      <c r="Z34" s="3306"/>
      <c r="AA34" s="3306"/>
      <c r="AB34" s="3274"/>
      <c r="AC34" s="3274"/>
      <c r="AD34" s="3306"/>
      <c r="AE34" s="3306"/>
      <c r="AF34" s="3306"/>
      <c r="AG34" s="3280"/>
      <c r="AH34" s="3280"/>
      <c r="AI34" s="3365"/>
      <c r="AJ34" s="3365"/>
      <c r="AK34" s="3365"/>
      <c r="AL34" s="3280"/>
      <c r="AM34" s="3280"/>
      <c r="AN34" s="3365"/>
      <c r="AO34" s="3365"/>
      <c r="AP34" s="3365"/>
      <c r="AQ34" s="3274"/>
      <c r="AR34" s="3274"/>
      <c r="AS34" s="3306"/>
      <c r="AT34" s="3306"/>
      <c r="AU34" s="3306"/>
      <c r="AV34" s="3274"/>
      <c r="AW34" s="3274"/>
      <c r="AX34" s="3306"/>
      <c r="AY34" s="3306"/>
      <c r="AZ34" s="3306"/>
      <c r="BA34" s="3274"/>
      <c r="BB34" s="3274"/>
      <c r="BC34" s="3306"/>
      <c r="BD34" s="3365"/>
      <c r="BE34" s="3306"/>
      <c r="BF34" s="3274"/>
      <c r="BG34" s="3274"/>
      <c r="BH34" s="3306"/>
      <c r="BI34" s="3365"/>
      <c r="BJ34" s="3306"/>
      <c r="BK34" s="3274"/>
      <c r="BL34" s="3274"/>
      <c r="BM34" s="3306"/>
      <c r="BN34" s="3365"/>
      <c r="BO34" s="3306"/>
      <c r="BP34" s="3274"/>
      <c r="BQ34" s="3274"/>
      <c r="BR34" s="3306"/>
      <c r="BS34" s="3365"/>
      <c r="BT34" s="3306"/>
      <c r="BU34" s="3274"/>
      <c r="BV34" s="3274"/>
      <c r="BW34" s="3306"/>
      <c r="BX34" s="3365"/>
      <c r="BY34" s="3306"/>
      <c r="BZ34" s="3274"/>
      <c r="CA34" s="3274"/>
      <c r="CB34" s="3306"/>
      <c r="CC34" s="3365"/>
      <c r="CD34" s="3306"/>
      <c r="CE34" s="3274"/>
      <c r="CF34" s="3274"/>
      <c r="CG34" s="3306"/>
      <c r="CH34" s="3365"/>
      <c r="CI34" s="3306"/>
      <c r="CJ34" s="3274"/>
      <c r="CK34" s="3274"/>
      <c r="CL34" s="3306"/>
      <c r="CM34" s="3365"/>
      <c r="CN34" s="3306"/>
      <c r="CO34" s="3274"/>
      <c r="CP34" s="3274"/>
      <c r="CQ34" s="3306"/>
      <c r="CR34" s="3365"/>
      <c r="CS34" s="3306"/>
      <c r="CT34" s="3274"/>
      <c r="CU34" s="3274"/>
      <c r="CV34" s="3306"/>
      <c r="CW34" s="3365"/>
      <c r="CX34" s="3306"/>
      <c r="CY34" s="3274"/>
      <c r="CZ34" s="3274"/>
      <c r="DA34" s="3306"/>
      <c r="DB34" s="3306"/>
      <c r="DC34" s="3306"/>
    </row>
    <row r="35" spans="1:107" s="2483" customFormat="1" ht="13.8" x14ac:dyDescent="0.25">
      <c r="A35" s="1586"/>
      <c r="B35" s="3307" t="s">
        <v>80</v>
      </c>
      <c r="C35" s="3308">
        <f>C36</f>
        <v>0</v>
      </c>
      <c r="D35" s="3308">
        <f>D36</f>
        <v>0</v>
      </c>
      <c r="E35" s="3309">
        <f>E36</f>
        <v>0</v>
      </c>
      <c r="F35" s="3309">
        <f t="shared" si="0"/>
        <v>0</v>
      </c>
      <c r="G35" s="3309"/>
      <c r="H35" s="3308">
        <f>H36</f>
        <v>0</v>
      </c>
      <c r="I35" s="3308">
        <f>I36</f>
        <v>0</v>
      </c>
      <c r="J35" s="3309">
        <f>J36</f>
        <v>0</v>
      </c>
      <c r="K35" s="3309">
        <f>J35/$T$89</f>
        <v>0</v>
      </c>
      <c r="L35" s="3309"/>
      <c r="M35" s="3308">
        <f>M36</f>
        <v>0</v>
      </c>
      <c r="N35" s="3308">
        <f>N36</f>
        <v>0</v>
      </c>
      <c r="O35" s="3309">
        <f>O36</f>
        <v>0</v>
      </c>
      <c r="P35" s="3309">
        <f t="shared" si="2"/>
        <v>0</v>
      </c>
      <c r="Q35" s="3309"/>
      <c r="R35" s="3308">
        <f>R36</f>
        <v>0</v>
      </c>
      <c r="S35" s="3308">
        <f>S36</f>
        <v>0</v>
      </c>
      <c r="T35" s="3309">
        <f>T36</f>
        <v>0</v>
      </c>
      <c r="U35" s="3309">
        <f>T35/$O$89</f>
        <v>0</v>
      </c>
      <c r="V35" s="3309"/>
      <c r="W35" s="3308">
        <f>W36</f>
        <v>0</v>
      </c>
      <c r="X35" s="3308">
        <f>X36</f>
        <v>0</v>
      </c>
      <c r="Y35" s="3309">
        <f>Y36</f>
        <v>0</v>
      </c>
      <c r="Z35" s="3309">
        <f>Y35/$O$89</f>
        <v>0</v>
      </c>
      <c r="AA35" s="3309"/>
      <c r="AB35" s="3308">
        <f>AB36</f>
        <v>0</v>
      </c>
      <c r="AC35" s="3308">
        <f>AC36</f>
        <v>0</v>
      </c>
      <c r="AD35" s="3309">
        <f>AD36</f>
        <v>0</v>
      </c>
      <c r="AE35" s="3309">
        <f>AD35/$O$89</f>
        <v>0</v>
      </c>
      <c r="AF35" s="3309"/>
      <c r="AG35" s="3308">
        <v>0</v>
      </c>
      <c r="AH35" s="3308">
        <v>0</v>
      </c>
      <c r="AI35" s="3309">
        <v>0</v>
      </c>
      <c r="AJ35" s="3309">
        <v>0</v>
      </c>
      <c r="AK35" s="3309"/>
      <c r="AL35" s="3308">
        <f>AL36</f>
        <v>0</v>
      </c>
      <c r="AM35" s="3308">
        <f>AM36</f>
        <v>0</v>
      </c>
      <c r="AN35" s="3309">
        <f>AN36</f>
        <v>0</v>
      </c>
      <c r="AO35" s="3309">
        <f t="shared" ref="AO35:AO36" si="53">AN35/$T$89</f>
        <v>0</v>
      </c>
      <c r="AP35" s="3309"/>
      <c r="AQ35" s="3308">
        <f>AQ36</f>
        <v>0</v>
      </c>
      <c r="AR35" s="3308">
        <f>AR36</f>
        <v>0</v>
      </c>
      <c r="AS35" s="3309">
        <f>AS36</f>
        <v>0</v>
      </c>
      <c r="AT35" s="3309">
        <f>AS35/$O$89</f>
        <v>0</v>
      </c>
      <c r="AU35" s="3309"/>
      <c r="AV35" s="3308">
        <f>AV36</f>
        <v>0</v>
      </c>
      <c r="AW35" s="3308">
        <f>AW36</f>
        <v>0</v>
      </c>
      <c r="AX35" s="3309">
        <f>AX36</f>
        <v>0</v>
      </c>
      <c r="AY35" s="3309">
        <f>AX35/$E$89</f>
        <v>0</v>
      </c>
      <c r="AZ35" s="3309"/>
      <c r="BA35" s="3308">
        <f>BA36</f>
        <v>0</v>
      </c>
      <c r="BB35" s="3308">
        <f>BB36</f>
        <v>0</v>
      </c>
      <c r="BC35" s="3309">
        <f>BC36</f>
        <v>0</v>
      </c>
      <c r="BD35" s="3309">
        <f>BC35/$AD$89</f>
        <v>0</v>
      </c>
      <c r="BE35" s="3309"/>
      <c r="BF35" s="3308">
        <f>BF36</f>
        <v>0</v>
      </c>
      <c r="BG35" s="3308">
        <f>BG36</f>
        <v>0</v>
      </c>
      <c r="BH35" s="3309">
        <f>BH36</f>
        <v>0</v>
      </c>
      <c r="BI35" s="3309">
        <f>BH35/$AD$89</f>
        <v>0</v>
      </c>
      <c r="BJ35" s="3309"/>
      <c r="BK35" s="3308">
        <f>BK36</f>
        <v>0</v>
      </c>
      <c r="BL35" s="3308">
        <f>BL36</f>
        <v>0</v>
      </c>
      <c r="BM35" s="3309">
        <f>BM36</f>
        <v>0</v>
      </c>
      <c r="BN35" s="3309">
        <f>BM35/$AD$89</f>
        <v>0</v>
      </c>
      <c r="BO35" s="3309"/>
      <c r="BP35" s="3308">
        <f>BP36</f>
        <v>0</v>
      </c>
      <c r="BQ35" s="3308">
        <f>BQ36</f>
        <v>0</v>
      </c>
      <c r="BR35" s="3309">
        <f>BR36</f>
        <v>0</v>
      </c>
      <c r="BS35" s="3309">
        <f>BR35/$AD$89</f>
        <v>0</v>
      </c>
      <c r="BT35" s="3309"/>
      <c r="BU35" s="3308">
        <f>BU36</f>
        <v>0</v>
      </c>
      <c r="BV35" s="3308">
        <f>BV36</f>
        <v>0</v>
      </c>
      <c r="BW35" s="3309">
        <f>BW36</f>
        <v>0</v>
      </c>
      <c r="BX35" s="3309" t="e">
        <f>BW35/$AN$89</f>
        <v>#DIV/0!</v>
      </c>
      <c r="BY35" s="3309"/>
      <c r="BZ35" s="3308">
        <f>BZ36</f>
        <v>0</v>
      </c>
      <c r="CA35" s="3308">
        <f>CA36</f>
        <v>0</v>
      </c>
      <c r="CB35" s="3309">
        <f>CB36</f>
        <v>0</v>
      </c>
      <c r="CC35" s="3309" t="e">
        <f>CB35/$AN$89</f>
        <v>#DIV/0!</v>
      </c>
      <c r="CD35" s="3308"/>
      <c r="CE35" s="3308">
        <f>CE36</f>
        <v>0</v>
      </c>
      <c r="CF35" s="3308">
        <f>CF36</f>
        <v>0</v>
      </c>
      <c r="CG35" s="3309">
        <f>CG36</f>
        <v>0</v>
      </c>
      <c r="CH35" s="3309" t="e">
        <f>CG35/$AN$89</f>
        <v>#DIV/0!</v>
      </c>
      <c r="CI35" s="3308"/>
      <c r="CJ35" s="3308">
        <f>CJ36</f>
        <v>0</v>
      </c>
      <c r="CK35" s="3308">
        <f>CK36</f>
        <v>0</v>
      </c>
      <c r="CL35" s="3309">
        <f>CL36</f>
        <v>0</v>
      </c>
      <c r="CM35" s="3309" t="e">
        <f>CL35/$AN$89</f>
        <v>#DIV/0!</v>
      </c>
      <c r="CN35" s="3308"/>
      <c r="CO35" s="3308">
        <f>CO36</f>
        <v>0</v>
      </c>
      <c r="CP35" s="3308">
        <f>CP36</f>
        <v>0</v>
      </c>
      <c r="CQ35" s="3309">
        <f>CQ36</f>
        <v>0</v>
      </c>
      <c r="CR35" s="3309" t="e">
        <f>CQ35/$AN$89</f>
        <v>#DIV/0!</v>
      </c>
      <c r="CS35" s="3308"/>
      <c r="CT35" s="3308">
        <f>CT36</f>
        <v>0</v>
      </c>
      <c r="CU35" s="3308">
        <f>CU36</f>
        <v>0</v>
      </c>
      <c r="CV35" s="3309">
        <f>CV36</f>
        <v>0</v>
      </c>
      <c r="CW35" s="3309" t="e">
        <f>CV35/$AN$89</f>
        <v>#DIV/0!</v>
      </c>
      <c r="CX35" s="3308"/>
      <c r="CY35" s="3308">
        <f>CY36</f>
        <v>0</v>
      </c>
      <c r="CZ35" s="3308">
        <f>CZ36</f>
        <v>0</v>
      </c>
      <c r="DA35" s="3309">
        <f>DA36</f>
        <v>0</v>
      </c>
      <c r="DB35" s="3309"/>
      <c r="DC35" s="3309"/>
    </row>
    <row r="36" spans="1:107" s="1411" customFormat="1" ht="13.8" x14ac:dyDescent="0.25">
      <c r="A36" s="1586"/>
      <c r="B36" s="3310" t="s">
        <v>81</v>
      </c>
      <c r="C36" s="3274"/>
      <c r="D36" s="3274"/>
      <c r="E36" s="2028">
        <f>C36+D36*1</f>
        <v>0</v>
      </c>
      <c r="F36" s="3284">
        <f t="shared" si="0"/>
        <v>0</v>
      </c>
      <c r="G36" s="3311"/>
      <c r="H36" s="3274"/>
      <c r="I36" s="3274"/>
      <c r="J36" s="2028">
        <f>H36+I36*1</f>
        <v>0</v>
      </c>
      <c r="K36" s="3284">
        <f>J36/$T$89</f>
        <v>0</v>
      </c>
      <c r="L36" s="3311"/>
      <c r="M36" s="3274"/>
      <c r="N36" s="3274"/>
      <c r="O36" s="2028">
        <f>M36+N36*1</f>
        <v>0</v>
      </c>
      <c r="P36" s="3284">
        <f t="shared" si="2"/>
        <v>0</v>
      </c>
      <c r="Q36" s="3311"/>
      <c r="R36" s="3274"/>
      <c r="S36" s="3274"/>
      <c r="T36" s="2028">
        <f>R36+S36*1</f>
        <v>0</v>
      </c>
      <c r="U36" s="3284">
        <f>T36/$O$89</f>
        <v>0</v>
      </c>
      <c r="V36" s="3311"/>
      <c r="W36" s="3274"/>
      <c r="X36" s="3274"/>
      <c r="Y36" s="2028">
        <f>W36+X36*1</f>
        <v>0</v>
      </c>
      <c r="Z36" s="3284">
        <f>Y36/$O$89</f>
        <v>0</v>
      </c>
      <c r="AA36" s="3311"/>
      <c r="AB36" s="3274"/>
      <c r="AC36" s="3274"/>
      <c r="AD36" s="2028">
        <f>AB36+AC36*1</f>
        <v>0</v>
      </c>
      <c r="AE36" s="3284">
        <f>AD36/$O$89</f>
        <v>0</v>
      </c>
      <c r="AF36" s="3311"/>
      <c r="AG36" s="3274">
        <v>0</v>
      </c>
      <c r="AH36" s="3274">
        <v>0</v>
      </c>
      <c r="AI36" s="2028">
        <v>0</v>
      </c>
      <c r="AJ36" s="3284">
        <v>0</v>
      </c>
      <c r="AK36" s="3311"/>
      <c r="AL36" s="3274">
        <f>AQ36+AV36+BA36+BF36+BK36+BP36+BU36+BZ36+CE36+CJ36+CO36+CT36</f>
        <v>0</v>
      </c>
      <c r="AM36" s="3274">
        <f>AR36+AW36+BB36+BG36+BL36+BQ36+BV36+CA36+CF36+CK36+CP36+CU36</f>
        <v>0</v>
      </c>
      <c r="AN36" s="2028">
        <f>AL36+AM36*1</f>
        <v>0</v>
      </c>
      <c r="AO36" s="3284">
        <f t="shared" si="53"/>
        <v>0</v>
      </c>
      <c r="AP36" s="3311"/>
      <c r="AQ36" s="3274"/>
      <c r="AR36" s="3274"/>
      <c r="AS36" s="2028">
        <f>AQ36+AR36*1</f>
        <v>0</v>
      </c>
      <c r="AT36" s="3284">
        <f>AS36/$O$89</f>
        <v>0</v>
      </c>
      <c r="AU36" s="3311"/>
      <c r="AV36" s="3274"/>
      <c r="AW36" s="3274"/>
      <c r="AX36" s="2028">
        <f>AV36+AW36*1</f>
        <v>0</v>
      </c>
      <c r="AY36" s="3284">
        <f>AX36/$E$89</f>
        <v>0</v>
      </c>
      <c r="AZ36" s="3276"/>
      <c r="BA36" s="3274"/>
      <c r="BB36" s="3274"/>
      <c r="BC36" s="2028">
        <f>BA36+BB36*1</f>
        <v>0</v>
      </c>
      <c r="BD36" s="3284">
        <f>BC36/$AD$89</f>
        <v>0</v>
      </c>
      <c r="BE36" s="3276"/>
      <c r="BF36" s="3274"/>
      <c r="BG36" s="3274"/>
      <c r="BH36" s="2028">
        <f>BF36+BG36*1</f>
        <v>0</v>
      </c>
      <c r="BI36" s="3284">
        <f>BH36/$AD$89</f>
        <v>0</v>
      </c>
      <c r="BJ36" s="3276"/>
      <c r="BK36" s="3274"/>
      <c r="BL36" s="3274"/>
      <c r="BM36" s="2028">
        <f>BK36+BL36*1</f>
        <v>0</v>
      </c>
      <c r="BN36" s="3284">
        <f>BM36/$AD$89</f>
        <v>0</v>
      </c>
      <c r="BO36" s="3276"/>
      <c r="BP36" s="3274"/>
      <c r="BQ36" s="3274"/>
      <c r="BR36" s="2028">
        <f>BP36+BQ36*1</f>
        <v>0</v>
      </c>
      <c r="BS36" s="3284">
        <f>BR36/$AD$89</f>
        <v>0</v>
      </c>
      <c r="BT36" s="3276"/>
      <c r="BU36" s="3274"/>
      <c r="BV36" s="3274"/>
      <c r="BW36" s="2028">
        <f>BU36+BV36*1</f>
        <v>0</v>
      </c>
      <c r="BX36" s="3284" t="e">
        <f>BW36/$AN$89</f>
        <v>#DIV/0!</v>
      </c>
      <c r="BY36" s="3276"/>
      <c r="BZ36" s="3274"/>
      <c r="CA36" s="3274"/>
      <c r="CB36" s="2028">
        <f>BZ36+CA36*1</f>
        <v>0</v>
      </c>
      <c r="CC36" s="3284" t="e">
        <f>CB36/$AN$89</f>
        <v>#DIV/0!</v>
      </c>
      <c r="CD36" s="3276"/>
      <c r="CE36" s="3274"/>
      <c r="CF36" s="3274"/>
      <c r="CG36" s="2028">
        <f>CE36+CF36*1</f>
        <v>0</v>
      </c>
      <c r="CH36" s="3284" t="e">
        <f>CG36/$AN$89</f>
        <v>#DIV/0!</v>
      </c>
      <c r="CI36" s="3276"/>
      <c r="CJ36" s="3274"/>
      <c r="CK36" s="3274"/>
      <c r="CL36" s="2028">
        <f>CJ36+CK36*1</f>
        <v>0</v>
      </c>
      <c r="CM36" s="3284" t="e">
        <f>CL36/$AN$89</f>
        <v>#DIV/0!</v>
      </c>
      <c r="CN36" s="3276"/>
      <c r="CO36" s="3274"/>
      <c r="CP36" s="3274"/>
      <c r="CQ36" s="2028">
        <f>CO36+CP36*1</f>
        <v>0</v>
      </c>
      <c r="CR36" s="3284" t="e">
        <f>CQ36/$AN$89</f>
        <v>#DIV/0!</v>
      </c>
      <c r="CS36" s="3276"/>
      <c r="CT36" s="3274"/>
      <c r="CU36" s="3274"/>
      <c r="CV36" s="2028">
        <f>CT36+CU36*1</f>
        <v>0</v>
      </c>
      <c r="CW36" s="3284" t="e">
        <f>CV36/$AN$89</f>
        <v>#DIV/0!</v>
      </c>
      <c r="CX36" s="3276"/>
      <c r="CY36" s="3274">
        <f>C36+H36+M36+R36+W36+AB36+AQ36+AV36+BA36+BF36+BK36+BP36+BU36+BZ36+CE36+CJ36+CO36+CT36+AG36</f>
        <v>0</v>
      </c>
      <c r="CZ36" s="3274">
        <f>D36+I36+N36+S36+X36+AC36+AR36+AW36+BB36+BG36+BL36+BQ36+BV36+CA36+CF36+CK36+CP36+CU36+AH36</f>
        <v>0</v>
      </c>
      <c r="DA36" s="2028">
        <f>CY36+CZ36*1</f>
        <v>0</v>
      </c>
      <c r="DB36" s="3284">
        <f>DA36/$DA$89</f>
        <v>0</v>
      </c>
      <c r="DC36" s="3311"/>
    </row>
    <row r="37" spans="1:107" s="1411" customFormat="1" ht="14.4" thickBot="1" x14ac:dyDescent="0.3">
      <c r="A37" s="1413"/>
      <c r="B37" s="3312"/>
      <c r="C37" s="3274"/>
      <c r="D37" s="3274"/>
      <c r="E37" s="3313"/>
      <c r="F37" s="3313"/>
      <c r="G37" s="3313"/>
      <c r="H37" s="3274"/>
      <c r="I37" s="3274"/>
      <c r="J37" s="3313"/>
      <c r="K37" s="3313"/>
      <c r="L37" s="3313"/>
      <c r="M37" s="3314"/>
      <c r="N37" s="3314"/>
      <c r="O37" s="3313"/>
      <c r="P37" s="3313"/>
      <c r="Q37" s="3313"/>
      <c r="R37" s="3274"/>
      <c r="S37" s="3274"/>
      <c r="T37" s="3313"/>
      <c r="U37" s="3313"/>
      <c r="V37" s="3313"/>
      <c r="W37" s="3274"/>
      <c r="X37" s="3274"/>
      <c r="Y37" s="3313"/>
      <c r="Z37" s="3313"/>
      <c r="AA37" s="3313"/>
      <c r="AB37" s="3274"/>
      <c r="AC37" s="3274"/>
      <c r="AD37" s="3313"/>
      <c r="AE37" s="3313"/>
      <c r="AF37" s="3313"/>
      <c r="AG37" s="3314"/>
      <c r="AH37" s="3314"/>
      <c r="AI37" s="3313"/>
      <c r="AJ37" s="3313"/>
      <c r="AK37" s="3313"/>
      <c r="AL37" s="3314"/>
      <c r="AM37" s="3314"/>
      <c r="AN37" s="3313"/>
      <c r="AO37" s="3313"/>
      <c r="AP37" s="3313"/>
      <c r="AQ37" s="3274"/>
      <c r="AR37" s="3274"/>
      <c r="AS37" s="3313"/>
      <c r="AT37" s="3313"/>
      <c r="AU37" s="3313"/>
      <c r="AV37" s="3274"/>
      <c r="AW37" s="3274"/>
      <c r="AX37" s="3313"/>
      <c r="AY37" s="3313"/>
      <c r="AZ37" s="3313"/>
      <c r="BA37" s="3274"/>
      <c r="BB37" s="3274"/>
      <c r="BC37" s="3313"/>
      <c r="BD37" s="3313"/>
      <c r="BE37" s="3313"/>
      <c r="BF37" s="3274"/>
      <c r="BG37" s="3274"/>
      <c r="BH37" s="3313"/>
      <c r="BI37" s="3313"/>
      <c r="BJ37" s="3313"/>
      <c r="BK37" s="3274"/>
      <c r="BL37" s="3274"/>
      <c r="BM37" s="3313"/>
      <c r="BN37" s="3313"/>
      <c r="BO37" s="3313"/>
      <c r="BP37" s="3274"/>
      <c r="BQ37" s="3274"/>
      <c r="BR37" s="3313"/>
      <c r="BS37" s="3313"/>
      <c r="BT37" s="3313"/>
      <c r="BU37" s="3274"/>
      <c r="BV37" s="3274"/>
      <c r="BW37" s="3313"/>
      <c r="BX37" s="3313"/>
      <c r="BY37" s="3313"/>
      <c r="BZ37" s="3274"/>
      <c r="CA37" s="3274"/>
      <c r="CB37" s="3313"/>
      <c r="CC37" s="3313"/>
      <c r="CD37" s="3315"/>
      <c r="CE37" s="3274"/>
      <c r="CF37" s="3274"/>
      <c r="CG37" s="3313"/>
      <c r="CH37" s="3313"/>
      <c r="CI37" s="3315"/>
      <c r="CJ37" s="3274"/>
      <c r="CK37" s="3274"/>
      <c r="CL37" s="3313"/>
      <c r="CM37" s="3313"/>
      <c r="CN37" s="3315"/>
      <c r="CO37" s="3274"/>
      <c r="CP37" s="3274"/>
      <c r="CQ37" s="3313"/>
      <c r="CR37" s="3313"/>
      <c r="CS37" s="3315"/>
      <c r="CT37" s="3274"/>
      <c r="CU37" s="3274"/>
      <c r="CV37" s="3313"/>
      <c r="CW37" s="3313"/>
      <c r="CX37" s="3315"/>
      <c r="CY37" s="3274"/>
      <c r="CZ37" s="3274"/>
      <c r="DA37" s="3313"/>
      <c r="DB37" s="3313"/>
      <c r="DC37" s="3313"/>
    </row>
    <row r="38" spans="1:107" ht="14.4" thickBot="1" x14ac:dyDescent="0.3">
      <c r="A38" s="1441"/>
      <c r="B38" s="1442" t="s">
        <v>46</v>
      </c>
      <c r="C38" s="2018">
        <f>(C5)-(C8)</f>
        <v>0</v>
      </c>
      <c r="D38" s="2018">
        <f>(D5)-(D8)</f>
        <v>-53600</v>
      </c>
      <c r="E38" s="2018">
        <f>(E5)-(E8)</f>
        <v>-53600</v>
      </c>
      <c r="F38" s="2018"/>
      <c r="G38" s="2018"/>
      <c r="H38" s="2018">
        <f>(H5)-(H8)</f>
        <v>110178.09600000002</v>
      </c>
      <c r="I38" s="2018">
        <f>(I5)-(I8)</f>
        <v>-36724.17</v>
      </c>
      <c r="J38" s="2018">
        <f>(J5)-(J8)</f>
        <v>73453.926000000007</v>
      </c>
      <c r="K38" s="2018"/>
      <c r="L38" s="2018"/>
      <c r="M38" s="2018">
        <f>(M5)-(M8)</f>
        <v>270798.14</v>
      </c>
      <c r="N38" s="2018">
        <f>(N5)-(N8)</f>
        <v>-62267</v>
      </c>
      <c r="O38" s="2018">
        <f>(O5)-(O8)</f>
        <v>208531.14</v>
      </c>
      <c r="P38" s="2018">
        <f t="shared" si="2"/>
        <v>1.0539942289356186</v>
      </c>
      <c r="Q38" s="2018"/>
      <c r="R38" s="2018">
        <f>(R5)-(R8)</f>
        <v>264020.86</v>
      </c>
      <c r="S38" s="2018">
        <f>(S5)-(S8)</f>
        <v>-32016</v>
      </c>
      <c r="T38" s="2018">
        <f>(T5)-(T8)</f>
        <v>232004.86</v>
      </c>
      <c r="U38" s="2018">
        <f t="shared" ref="U38:U48" si="54">T38/$O$89</f>
        <v>1.1726391728593442</v>
      </c>
      <c r="V38" s="2018"/>
      <c r="W38" s="2018">
        <f>(W5)-(W8)</f>
        <v>251928.37999999998</v>
      </c>
      <c r="X38" s="2018">
        <f>(X5)-(X8)</f>
        <v>-43595.5</v>
      </c>
      <c r="Y38" s="2018">
        <f>(Y5)-(Y8)</f>
        <v>208332.87999999998</v>
      </c>
      <c r="Z38" s="2018">
        <f t="shared" ref="Z38:Z48" si="55">Y38/$O$89</f>
        <v>1.0529921488825924</v>
      </c>
      <c r="AA38" s="2018"/>
      <c r="AB38" s="2018">
        <f>(AB5)-(AB8)</f>
        <v>146473.90639999998</v>
      </c>
      <c r="AC38" s="2018">
        <f>(AC5)-(AC8)</f>
        <v>-4620</v>
      </c>
      <c r="AD38" s="2018">
        <f>(AD5)-(AD8)</f>
        <v>141853.90639999998</v>
      </c>
      <c r="AE38" s="2018">
        <f t="shared" ref="AE38:AE48" si="56">AD38/$O$89</f>
        <v>0.71698259884626048</v>
      </c>
      <c r="AF38" s="2018"/>
      <c r="AG38" s="2018">
        <v>263028.36800000002</v>
      </c>
      <c r="AH38" s="2018">
        <v>-55726.049999999988</v>
      </c>
      <c r="AI38" s="2018">
        <v>207302.3180000002</v>
      </c>
      <c r="AJ38" s="2018">
        <v>2.9577160954384385</v>
      </c>
      <c r="AK38" s="2018"/>
      <c r="AL38" s="2018">
        <f>(AL5)-(AL8)</f>
        <v>0</v>
      </c>
      <c r="AM38" s="2018">
        <f>(AM5)-(AM8)</f>
        <v>0</v>
      </c>
      <c r="AN38" s="2018">
        <f>(AN5)-(AN8)</f>
        <v>0</v>
      </c>
      <c r="AO38" s="2018">
        <f t="shared" ref="AO38:AO48" si="57">AN38/$T$89</f>
        <v>0</v>
      </c>
      <c r="AP38" s="2018"/>
      <c r="AQ38" s="2018">
        <f>(AQ5)-(AQ8)</f>
        <v>0</v>
      </c>
      <c r="AR38" s="2018">
        <f>(AR5)-(AR8)</f>
        <v>0</v>
      </c>
      <c r="AS38" s="2018">
        <f>(AS5)-(AS8)</f>
        <v>0</v>
      </c>
      <c r="AT38" s="2018">
        <f t="shared" ref="AT38:AT48" si="58">AS38/$O$89</f>
        <v>0</v>
      </c>
      <c r="AU38" s="2018"/>
      <c r="AV38" s="2018">
        <f>(AV5)-(AV8)</f>
        <v>0</v>
      </c>
      <c r="AW38" s="2018">
        <f>(AW5)-(AW8)</f>
        <v>0</v>
      </c>
      <c r="AX38" s="2018">
        <f>(AX5)-(AX8)</f>
        <v>0</v>
      </c>
      <c r="AY38" s="2018">
        <f t="shared" ref="AY38:AY48" si="59">AX38/$E$89</f>
        <v>0</v>
      </c>
      <c r="AZ38" s="2018"/>
      <c r="BA38" s="2018">
        <f>(BA5)-(BA8)</f>
        <v>0</v>
      </c>
      <c r="BB38" s="2018">
        <f>(BB5)-(BB8)</f>
        <v>0</v>
      </c>
      <c r="BC38" s="2018">
        <f>(BC5)-(BC8)</f>
        <v>0</v>
      </c>
      <c r="BD38" s="2018">
        <f>BC38/$AD$89</f>
        <v>0</v>
      </c>
      <c r="BE38" s="2018"/>
      <c r="BF38" s="2018">
        <f>(BF5)-(BF8)</f>
        <v>0</v>
      </c>
      <c r="BG38" s="2018">
        <f>(BG5)-(BG8)</f>
        <v>0</v>
      </c>
      <c r="BH38" s="2018">
        <f>(BH5)-(BH8)</f>
        <v>0</v>
      </c>
      <c r="BI38" s="2018">
        <f>BH38/$AD$89</f>
        <v>0</v>
      </c>
      <c r="BJ38" s="2018"/>
      <c r="BK38" s="2018">
        <f>(BK5)-(BK8)</f>
        <v>0</v>
      </c>
      <c r="BL38" s="2018">
        <f>(BL5)-(BL8)</f>
        <v>0</v>
      </c>
      <c r="BM38" s="2018">
        <f>(BM5)-(BM8)</f>
        <v>0</v>
      </c>
      <c r="BN38" s="2018">
        <f>BM38/$AD$89</f>
        <v>0</v>
      </c>
      <c r="BO38" s="2018"/>
      <c r="BP38" s="2018">
        <f>(BP5)-(BP8)</f>
        <v>0</v>
      </c>
      <c r="BQ38" s="2018">
        <f>(BQ5)-(BQ8)</f>
        <v>0</v>
      </c>
      <c r="BR38" s="2018">
        <f>(BR5)-(BR8)</f>
        <v>0</v>
      </c>
      <c r="BS38" s="2018">
        <f>BR38/$AD$89</f>
        <v>0</v>
      </c>
      <c r="BT38" s="2018"/>
      <c r="BU38" s="2018">
        <f>(BU5)-(BU8)</f>
        <v>0</v>
      </c>
      <c r="BV38" s="2018">
        <f>(BV5)-(BV8)</f>
        <v>0</v>
      </c>
      <c r="BW38" s="2018">
        <f>(BW5)-(BW8)</f>
        <v>0</v>
      </c>
      <c r="BX38" s="2018" t="e">
        <f>BW38/$AN$89</f>
        <v>#DIV/0!</v>
      </c>
      <c r="BY38" s="2018"/>
      <c r="BZ38" s="2018">
        <f>(BZ5)-(BZ8)</f>
        <v>0</v>
      </c>
      <c r="CA38" s="2018">
        <f>(CA5)-(CA8)</f>
        <v>0</v>
      </c>
      <c r="CB38" s="2018">
        <f>(CB5)-(CB8)</f>
        <v>0</v>
      </c>
      <c r="CC38" s="2018" t="e">
        <f>CB38/$AN$89</f>
        <v>#DIV/0!</v>
      </c>
      <c r="CD38" s="2018"/>
      <c r="CE38" s="2018">
        <f>(CE5)-(CE8)</f>
        <v>0</v>
      </c>
      <c r="CF38" s="2018">
        <f>(CF5)-(CF8)</f>
        <v>0</v>
      </c>
      <c r="CG38" s="2018">
        <f>(CG5)-(CG8)</f>
        <v>0</v>
      </c>
      <c r="CH38" s="2018" t="e">
        <f>CG38/$AN$89</f>
        <v>#DIV/0!</v>
      </c>
      <c r="CI38" s="2018"/>
      <c r="CJ38" s="2018">
        <f>(CJ5)-(CJ8)</f>
        <v>0</v>
      </c>
      <c r="CK38" s="2018">
        <f>(CK5)-(CK8)</f>
        <v>0</v>
      </c>
      <c r="CL38" s="2018">
        <f>(CL5)-(CL8)</f>
        <v>0</v>
      </c>
      <c r="CM38" s="2018" t="e">
        <f>CL38/$AN$89</f>
        <v>#DIV/0!</v>
      </c>
      <c r="CN38" s="2018"/>
      <c r="CO38" s="2018">
        <f>(CO5)-(CO8)</f>
        <v>0</v>
      </c>
      <c r="CP38" s="2018">
        <f>(CP5)-(CP8)</f>
        <v>0</v>
      </c>
      <c r="CQ38" s="2018">
        <f>(CQ5)-(CQ8)</f>
        <v>0</v>
      </c>
      <c r="CR38" s="2018" t="e">
        <f>CQ38/$AN$89</f>
        <v>#DIV/0!</v>
      </c>
      <c r="CS38" s="2018"/>
      <c r="CT38" s="2018">
        <f>(CT5)-(CT8)</f>
        <v>0</v>
      </c>
      <c r="CU38" s="2018">
        <f>(CU5)-(CU8)</f>
        <v>0</v>
      </c>
      <c r="CV38" s="2018">
        <f>(CV5)-(CV8)</f>
        <v>0</v>
      </c>
      <c r="CW38" s="2018" t="e">
        <f>CV38/$AN$89</f>
        <v>#DIV/0!</v>
      </c>
      <c r="CX38" s="2018"/>
      <c r="CY38" s="2018">
        <f>(CY5)-(CY8)</f>
        <v>1306427.7504</v>
      </c>
      <c r="CZ38" s="2018">
        <f>(CZ5)-(CZ8)</f>
        <v>-288548.71999999997</v>
      </c>
      <c r="DA38" s="2018">
        <f>(DA5)-(DA8)</f>
        <v>1017879.0304000003</v>
      </c>
      <c r="DB38" s="2018"/>
      <c r="DC38" s="2018"/>
    </row>
    <row r="39" spans="1:107" ht="13.8" x14ac:dyDescent="0.25">
      <c r="A39" s="1580"/>
      <c r="B39" s="1423" t="s">
        <v>47</v>
      </c>
      <c r="C39" s="2019" t="e">
        <f>C38/(C5)</f>
        <v>#DIV/0!</v>
      </c>
      <c r="D39" s="2019" t="e">
        <f>D38/(D5)</f>
        <v>#DIV/0!</v>
      </c>
      <c r="E39" s="2020" t="e">
        <f>E38/(E5)</f>
        <v>#DIV/0!</v>
      </c>
      <c r="F39" s="2020"/>
      <c r="G39" s="2020"/>
      <c r="H39" s="2019">
        <f>H38/(H5)</f>
        <v>0.38806582228546477</v>
      </c>
      <c r="I39" s="2019" t="e">
        <f>I38/(I5)</f>
        <v>#DIV/0!</v>
      </c>
      <c r="J39" s="2020">
        <f>J38/(J5)</f>
        <v>0.2587171064681103</v>
      </c>
      <c r="K39" s="2020"/>
      <c r="L39" s="2020"/>
      <c r="M39" s="2019">
        <f>M38/(M5)</f>
        <v>0.68353246653854638</v>
      </c>
      <c r="N39" s="2019" t="e">
        <f>N38/(N5)</f>
        <v>#DIV/0!</v>
      </c>
      <c r="O39" s="2020">
        <f>O38/(O5)</f>
        <v>0.5263618297906143</v>
      </c>
      <c r="P39" s="2020">
        <f t="shared" si="2"/>
        <v>2.6604291854506709E-6</v>
      </c>
      <c r="Q39" s="2020"/>
      <c r="R39" s="2019">
        <f>R38/(R5)</f>
        <v>0.8779624235168928</v>
      </c>
      <c r="S39" s="2019" t="e">
        <f>S38/(S5)</f>
        <v>#DIV/0!</v>
      </c>
      <c r="T39" s="2020">
        <f>T38/(T5)</f>
        <v>0.77149793828145774</v>
      </c>
      <c r="U39" s="2020">
        <f t="shared" si="54"/>
        <v>3.8994385902478858E-6</v>
      </c>
      <c r="V39" s="2020"/>
      <c r="W39" s="2019">
        <f>W38/(W5)</f>
        <v>0.72776430742177611</v>
      </c>
      <c r="X39" s="2019" t="e">
        <f>X38/(X5)</f>
        <v>#DIV/0!</v>
      </c>
      <c r="Y39" s="2020">
        <f>Y38/(Y5)</f>
        <v>0.60182673395662689</v>
      </c>
      <c r="Z39" s="2020">
        <f t="shared" si="55"/>
        <v>3.0418569831319033E-6</v>
      </c>
      <c r="AA39" s="2020"/>
      <c r="AB39" s="2019">
        <f>AB38/(AB5)</f>
        <v>0.52703622049510646</v>
      </c>
      <c r="AC39" s="2019" t="e">
        <f>AC38/(AC5)</f>
        <v>#DIV/0!</v>
      </c>
      <c r="AD39" s="2020">
        <f>AD38/(AD5)</f>
        <v>0.51041273172135859</v>
      </c>
      <c r="AE39" s="2020">
        <f t="shared" si="56"/>
        <v>2.5798164898037583E-6</v>
      </c>
      <c r="AF39" s="2020"/>
      <c r="AG39" s="2019">
        <v>0.24133516953380157</v>
      </c>
      <c r="AH39" s="2019">
        <v>-0.33333462936100844</v>
      </c>
      <c r="AI39" s="2020">
        <v>0.16490968459756647</v>
      </c>
      <c r="AJ39" s="2020">
        <v>2.3528730075652035E-6</v>
      </c>
      <c r="AK39" s="2020"/>
      <c r="AL39" s="2019" t="e">
        <f>AL38/(AL5)</f>
        <v>#DIV/0!</v>
      </c>
      <c r="AM39" s="2019" t="e">
        <f>AM38/(AM5)</f>
        <v>#DIV/0!</v>
      </c>
      <c r="AN39" s="2020" t="e">
        <f>AN38/(AN5)</f>
        <v>#DIV/0!</v>
      </c>
      <c r="AO39" s="2020" t="e">
        <f t="shared" si="57"/>
        <v>#DIV/0!</v>
      </c>
      <c r="AP39" s="2020"/>
      <c r="AQ39" s="2019" t="e">
        <f>AQ38/(AQ5)</f>
        <v>#DIV/0!</v>
      </c>
      <c r="AR39" s="2019" t="e">
        <f>AR38/(AR5)</f>
        <v>#DIV/0!</v>
      </c>
      <c r="AS39" s="2020" t="e">
        <f>AS38/(AS5)</f>
        <v>#DIV/0!</v>
      </c>
      <c r="AT39" s="2020" t="e">
        <f t="shared" si="58"/>
        <v>#DIV/0!</v>
      </c>
      <c r="AU39" s="2020"/>
      <c r="AV39" s="2019" t="e">
        <f>AV38/(AV5)</f>
        <v>#DIV/0!</v>
      </c>
      <c r="AW39" s="2019" t="e">
        <f>AW38/(AW5)</f>
        <v>#DIV/0!</v>
      </c>
      <c r="AX39" s="2020" t="e">
        <f>AX38/(AX5)</f>
        <v>#DIV/0!</v>
      </c>
      <c r="AY39" s="2020" t="e">
        <f t="shared" si="59"/>
        <v>#DIV/0!</v>
      </c>
      <c r="AZ39" s="2020"/>
      <c r="BA39" s="2019" t="e">
        <f>BA38/(BA5)</f>
        <v>#DIV/0!</v>
      </c>
      <c r="BB39" s="2019" t="e">
        <f>BB38/(BB5)</f>
        <v>#DIV/0!</v>
      </c>
      <c r="BC39" s="2020" t="e">
        <f>BC38/(BC5)</f>
        <v>#DIV/0!</v>
      </c>
      <c r="BD39" s="2020" t="e">
        <f>BC39/$AD$89</f>
        <v>#DIV/0!</v>
      </c>
      <c r="BE39" s="2020"/>
      <c r="BF39" s="2019" t="e">
        <f>BF38/(BF5)</f>
        <v>#DIV/0!</v>
      </c>
      <c r="BG39" s="2019" t="e">
        <f>BG38/(BG5)</f>
        <v>#DIV/0!</v>
      </c>
      <c r="BH39" s="2020" t="e">
        <f>BH38/(BH5)</f>
        <v>#DIV/0!</v>
      </c>
      <c r="BI39" s="2020" t="e">
        <f>BH39/$AD$89</f>
        <v>#DIV/0!</v>
      </c>
      <c r="BJ39" s="2020"/>
      <c r="BK39" s="2019" t="e">
        <f>BK38/(BK5)</f>
        <v>#DIV/0!</v>
      </c>
      <c r="BL39" s="2019" t="e">
        <f>BL38/(BL5)</f>
        <v>#DIV/0!</v>
      </c>
      <c r="BM39" s="2020" t="e">
        <f>BM38/(BM5)</f>
        <v>#DIV/0!</v>
      </c>
      <c r="BN39" s="2020" t="e">
        <f>BM39/$AD$89</f>
        <v>#DIV/0!</v>
      </c>
      <c r="BO39" s="2020"/>
      <c r="BP39" s="2019" t="e">
        <f>BP38/(BP5)</f>
        <v>#DIV/0!</v>
      </c>
      <c r="BQ39" s="2019" t="e">
        <f>BQ38/(BQ5)</f>
        <v>#DIV/0!</v>
      </c>
      <c r="BR39" s="2020" t="e">
        <f>BR38/(BR5)</f>
        <v>#DIV/0!</v>
      </c>
      <c r="BS39" s="2020" t="e">
        <f>BR39/$AD$89</f>
        <v>#DIV/0!</v>
      </c>
      <c r="BT39" s="2020"/>
      <c r="BU39" s="2019" t="e">
        <f>BU38/(BU5)</f>
        <v>#DIV/0!</v>
      </c>
      <c r="BV39" s="2019" t="e">
        <f>BV38/(BV5)</f>
        <v>#DIV/0!</v>
      </c>
      <c r="BW39" s="2020" t="e">
        <f>BW38/(BW5)</f>
        <v>#DIV/0!</v>
      </c>
      <c r="BX39" s="2020" t="e">
        <f>BW39/$AN$89</f>
        <v>#DIV/0!</v>
      </c>
      <c r="BY39" s="2020"/>
      <c r="BZ39" s="2019" t="e">
        <f>BZ38/(BZ5)</f>
        <v>#DIV/0!</v>
      </c>
      <c r="CA39" s="2019" t="e">
        <f>CA38/(CA5)</f>
        <v>#DIV/0!</v>
      </c>
      <c r="CB39" s="2020" t="e">
        <f>CB38/(CB5)</f>
        <v>#DIV/0!</v>
      </c>
      <c r="CC39" s="2020" t="e">
        <f>CB39/$AN$89</f>
        <v>#DIV/0!</v>
      </c>
      <c r="CD39" s="2019"/>
      <c r="CE39" s="2019" t="e">
        <f>CE38/(CE5)</f>
        <v>#DIV/0!</v>
      </c>
      <c r="CF39" s="2019" t="e">
        <f>CF38/(CF5)</f>
        <v>#DIV/0!</v>
      </c>
      <c r="CG39" s="2020" t="e">
        <f>CG38/(CG5)</f>
        <v>#DIV/0!</v>
      </c>
      <c r="CH39" s="2020" t="e">
        <f>CG39/$AN$89</f>
        <v>#DIV/0!</v>
      </c>
      <c r="CI39" s="2019"/>
      <c r="CJ39" s="2019" t="e">
        <f>CJ38/(CJ5)</f>
        <v>#DIV/0!</v>
      </c>
      <c r="CK39" s="2019" t="e">
        <f>CK38/(CK5)</f>
        <v>#DIV/0!</v>
      </c>
      <c r="CL39" s="2020" t="e">
        <f>CL38/(CL5)</f>
        <v>#DIV/0!</v>
      </c>
      <c r="CM39" s="2020" t="e">
        <f>CL39/$AN$89</f>
        <v>#DIV/0!</v>
      </c>
      <c r="CN39" s="2019"/>
      <c r="CO39" s="2019" t="e">
        <f>CO38/(CO5)</f>
        <v>#DIV/0!</v>
      </c>
      <c r="CP39" s="2019" t="e">
        <f>CP38/(CP5)</f>
        <v>#DIV/0!</v>
      </c>
      <c r="CQ39" s="2020" t="e">
        <f>CQ38/(CQ5)</f>
        <v>#DIV/0!</v>
      </c>
      <c r="CR39" s="2020" t="e">
        <f>CQ39/$AN$89</f>
        <v>#DIV/0!</v>
      </c>
      <c r="CS39" s="2019"/>
      <c r="CT39" s="2019" t="e">
        <f>CT38/(CT5)</f>
        <v>#DIV/0!</v>
      </c>
      <c r="CU39" s="2019" t="e">
        <f>CU38/(CU5)</f>
        <v>#DIV/0!</v>
      </c>
      <c r="CV39" s="2020" t="e">
        <f>CV38/(CV5)</f>
        <v>#DIV/0!</v>
      </c>
      <c r="CW39" s="2020" t="e">
        <f>CV39/$AN$89</f>
        <v>#DIV/0!</v>
      </c>
      <c r="CX39" s="2019"/>
      <c r="CY39" s="2019">
        <f>CY38/(CY5)</f>
        <v>0.48479827344825721</v>
      </c>
      <c r="CZ39" s="2019">
        <f>CZ38/(CZ5)</f>
        <v>-1.7260021234914984</v>
      </c>
      <c r="DA39" s="2020">
        <f>DA38/(DA5)</f>
        <v>0.35565754774516184</v>
      </c>
      <c r="DB39" s="2020"/>
      <c r="DC39" s="2020"/>
    </row>
    <row r="40" spans="1:107" ht="14.4" thickBot="1" x14ac:dyDescent="0.3">
      <c r="A40" s="1582"/>
      <c r="B40" s="3316"/>
      <c r="C40" s="3317"/>
      <c r="D40" s="3317"/>
      <c r="E40" s="3317"/>
      <c r="F40" s="3317"/>
      <c r="G40" s="3317"/>
      <c r="H40" s="3317"/>
      <c r="I40" s="3317"/>
      <c r="J40" s="3317"/>
      <c r="K40" s="3317"/>
      <c r="L40" s="3317"/>
      <c r="M40" s="3317"/>
      <c r="N40" s="3317"/>
      <c r="O40" s="3317"/>
      <c r="P40" s="3317">
        <f t="shared" si="2"/>
        <v>0</v>
      </c>
      <c r="Q40" s="3317"/>
      <c r="R40" s="3317"/>
      <c r="S40" s="3317"/>
      <c r="T40" s="3317"/>
      <c r="U40" s="3317">
        <f t="shared" si="54"/>
        <v>0</v>
      </c>
      <c r="V40" s="3317"/>
      <c r="W40" s="3317"/>
      <c r="X40" s="3317"/>
      <c r="Y40" s="3317"/>
      <c r="Z40" s="3317">
        <f t="shared" si="55"/>
        <v>0</v>
      </c>
      <c r="AA40" s="3317"/>
      <c r="AB40" s="3317"/>
      <c r="AC40" s="3317"/>
      <c r="AD40" s="3317"/>
      <c r="AE40" s="3317">
        <f t="shared" si="56"/>
        <v>0</v>
      </c>
      <c r="AF40" s="3317"/>
      <c r="AG40" s="3317"/>
      <c r="AH40" s="3317"/>
      <c r="AI40" s="3317"/>
      <c r="AJ40" s="3317">
        <v>0</v>
      </c>
      <c r="AK40" s="3317"/>
      <c r="AL40" s="3317"/>
      <c r="AM40" s="3317"/>
      <c r="AN40" s="3317"/>
      <c r="AO40" s="3317">
        <f t="shared" si="57"/>
        <v>0</v>
      </c>
      <c r="AP40" s="3317"/>
      <c r="AQ40" s="3317"/>
      <c r="AR40" s="3317"/>
      <c r="AS40" s="3317"/>
      <c r="AT40" s="3317">
        <f t="shared" si="58"/>
        <v>0</v>
      </c>
      <c r="AU40" s="3317"/>
      <c r="AV40" s="3317"/>
      <c r="AW40" s="3317"/>
      <c r="AX40" s="3317"/>
      <c r="AY40" s="3317">
        <f t="shared" si="59"/>
        <v>0</v>
      </c>
      <c r="AZ40" s="3317"/>
      <c r="BA40" s="3317"/>
      <c r="BB40" s="3317"/>
      <c r="BC40" s="3317"/>
      <c r="BD40" s="3317"/>
      <c r="BE40" s="3317"/>
      <c r="BF40" s="3317"/>
      <c r="BG40" s="3317"/>
      <c r="BH40" s="3317"/>
      <c r="BI40" s="3317"/>
      <c r="BJ40" s="3317"/>
      <c r="BK40" s="3317"/>
      <c r="BL40" s="3317"/>
      <c r="BM40" s="3317"/>
      <c r="BN40" s="3317"/>
      <c r="BO40" s="3317"/>
      <c r="BP40" s="3317"/>
      <c r="BQ40" s="3317"/>
      <c r="BR40" s="3317"/>
      <c r="BS40" s="3317"/>
      <c r="BT40" s="3317"/>
      <c r="BU40" s="3317"/>
      <c r="BV40" s="3317"/>
      <c r="BW40" s="3317"/>
      <c r="BX40" s="3317"/>
      <c r="BY40" s="3317"/>
      <c r="BZ40" s="3317"/>
      <c r="CA40" s="3317"/>
      <c r="CB40" s="3317"/>
      <c r="CC40" s="3317"/>
      <c r="CD40" s="3317"/>
      <c r="CE40" s="3317"/>
      <c r="CF40" s="3317"/>
      <c r="CG40" s="3317"/>
      <c r="CH40" s="3317"/>
      <c r="CI40" s="3317"/>
      <c r="CJ40" s="3317"/>
      <c r="CK40" s="3317"/>
      <c r="CL40" s="3317"/>
      <c r="CM40" s="3317"/>
      <c r="CN40" s="3317"/>
      <c r="CO40" s="3317"/>
      <c r="CP40" s="3317"/>
      <c r="CQ40" s="3317"/>
      <c r="CR40" s="3317"/>
      <c r="CS40" s="3317"/>
      <c r="CT40" s="3317"/>
      <c r="CU40" s="3317"/>
      <c r="CV40" s="3317"/>
      <c r="CW40" s="3317"/>
      <c r="CX40" s="3317"/>
      <c r="CY40" s="3317"/>
      <c r="CZ40" s="3317"/>
      <c r="DA40" s="3317"/>
      <c r="DB40" s="3317"/>
      <c r="DC40" s="3317"/>
    </row>
    <row r="41" spans="1:107" ht="13.8" x14ac:dyDescent="0.25">
      <c r="A41" s="1420"/>
      <c r="B41" s="1430" t="s">
        <v>26</v>
      </c>
      <c r="C41" s="2029">
        <f>SUM(C42:C48)</f>
        <v>0</v>
      </c>
      <c r="D41" s="2029">
        <f>SUM(D42:D48)</f>
        <v>0</v>
      </c>
      <c r="E41" s="2030">
        <f>SUM(E42:E48)</f>
        <v>0</v>
      </c>
      <c r="F41" s="3318">
        <f t="shared" ref="F41:F48" si="60">E41/$E$89</f>
        <v>0</v>
      </c>
      <c r="G41" s="2022"/>
      <c r="H41" s="2029">
        <f>SUM(H42:H48)</f>
        <v>0</v>
      </c>
      <c r="I41" s="2029">
        <f>SUM(I42:I48)</f>
        <v>0</v>
      </c>
      <c r="J41" s="2030">
        <f>SUM(J42:J48)</f>
        <v>0</v>
      </c>
      <c r="K41" s="3318">
        <f t="shared" ref="K41:K48" si="61">J41/$T$89</f>
        <v>0</v>
      </c>
      <c r="L41" s="2022"/>
      <c r="M41" s="2029">
        <f>SUM(M42:M48)</f>
        <v>0</v>
      </c>
      <c r="N41" s="2029">
        <f>SUM(N42:N48)</f>
        <v>0</v>
      </c>
      <c r="O41" s="2030">
        <f>SUM(O42:O48)</f>
        <v>0</v>
      </c>
      <c r="P41" s="3318">
        <f t="shared" si="2"/>
        <v>0</v>
      </c>
      <c r="Q41" s="2022"/>
      <c r="R41" s="2029">
        <f>SUM(R42:R48)</f>
        <v>0</v>
      </c>
      <c r="S41" s="2029">
        <f>SUM(S42:S48)</f>
        <v>0</v>
      </c>
      <c r="T41" s="2030">
        <f>SUM(T42:T48)</f>
        <v>0</v>
      </c>
      <c r="U41" s="3318">
        <f t="shared" si="54"/>
        <v>0</v>
      </c>
      <c r="V41" s="2022"/>
      <c r="W41" s="2029">
        <f>SUM(W42:W48)</f>
        <v>0</v>
      </c>
      <c r="X41" s="2029">
        <f>SUM(X42:X48)</f>
        <v>0</v>
      </c>
      <c r="Y41" s="2030">
        <f>SUM(Y42:Y48)</f>
        <v>0</v>
      </c>
      <c r="Z41" s="3318">
        <f t="shared" si="55"/>
        <v>0</v>
      </c>
      <c r="AA41" s="2022"/>
      <c r="AB41" s="2029">
        <f>SUM(AB42:AB48)</f>
        <v>0</v>
      </c>
      <c r="AC41" s="2029">
        <f>SUM(AC42:AC48)</f>
        <v>0</v>
      </c>
      <c r="AD41" s="2030">
        <f>SUM(AD42:AD48)</f>
        <v>0</v>
      </c>
      <c r="AE41" s="3318">
        <f t="shared" si="56"/>
        <v>0</v>
      </c>
      <c r="AF41" s="2022"/>
      <c r="AG41" s="2029">
        <v>0</v>
      </c>
      <c r="AH41" s="2029">
        <v>140</v>
      </c>
      <c r="AI41" s="2030">
        <v>140</v>
      </c>
      <c r="AJ41" s="3318">
        <v>1.9974704448861057E-3</v>
      </c>
      <c r="AK41" s="2022"/>
      <c r="AL41" s="2029">
        <f>SUM(AL42:AL48)</f>
        <v>0</v>
      </c>
      <c r="AM41" s="2029">
        <f>SUM(AM42:AM48)</f>
        <v>0</v>
      </c>
      <c r="AN41" s="2030">
        <f>SUM(AN42:AN48)</f>
        <v>0</v>
      </c>
      <c r="AO41" s="3318">
        <f t="shared" si="57"/>
        <v>0</v>
      </c>
      <c r="AP41" s="2022"/>
      <c r="AQ41" s="2029">
        <f>SUM(AQ42:AQ48)</f>
        <v>0</v>
      </c>
      <c r="AR41" s="2029">
        <f>SUM(AR42:AR48)</f>
        <v>0</v>
      </c>
      <c r="AS41" s="2030">
        <f>SUM(AS42:AS48)</f>
        <v>0</v>
      </c>
      <c r="AT41" s="3318">
        <f t="shared" si="58"/>
        <v>0</v>
      </c>
      <c r="AU41" s="2022"/>
      <c r="AV41" s="2029">
        <f>SUM(AV42:AV48)</f>
        <v>0</v>
      </c>
      <c r="AW41" s="2029">
        <f>SUM(AW42:AW48)</f>
        <v>0</v>
      </c>
      <c r="AX41" s="2030">
        <f>SUM(AX42:AX48)</f>
        <v>0</v>
      </c>
      <c r="AY41" s="3318">
        <f t="shared" si="59"/>
        <v>0</v>
      </c>
      <c r="AZ41" s="2022"/>
      <c r="BA41" s="2029">
        <f>SUM(BA42:BA48)</f>
        <v>0</v>
      </c>
      <c r="BB41" s="2029">
        <f>SUM(BB42:BB48)</f>
        <v>0</v>
      </c>
      <c r="BC41" s="2030">
        <f>SUM(BC42:BC48)</f>
        <v>0</v>
      </c>
      <c r="BD41" s="3318">
        <f t="shared" ref="BD41:BD52" si="62">BC41/$AD$89</f>
        <v>0</v>
      </c>
      <c r="BE41" s="2022"/>
      <c r="BF41" s="2029">
        <f>SUM(BF42:BF48)</f>
        <v>0</v>
      </c>
      <c r="BG41" s="2029">
        <f>SUM(BG42:BG48)</f>
        <v>0</v>
      </c>
      <c r="BH41" s="2030">
        <f>SUM(BH42:BH48)</f>
        <v>0</v>
      </c>
      <c r="BI41" s="3318">
        <f t="shared" ref="BI41:BI52" si="63">BH41/$AD$89</f>
        <v>0</v>
      </c>
      <c r="BJ41" s="2022"/>
      <c r="BK41" s="2029">
        <f>SUM(BK42:BK48)</f>
        <v>0</v>
      </c>
      <c r="BL41" s="2029">
        <f>SUM(BL42:BL48)</f>
        <v>0</v>
      </c>
      <c r="BM41" s="2030">
        <f>SUM(BM42:BM48)</f>
        <v>0</v>
      </c>
      <c r="BN41" s="3318">
        <f t="shared" ref="BN41:BN52" si="64">BM41/$AD$89</f>
        <v>0</v>
      </c>
      <c r="BO41" s="2022"/>
      <c r="BP41" s="2029">
        <f>SUM(BP42:BP48)</f>
        <v>0</v>
      </c>
      <c r="BQ41" s="2029">
        <f>SUM(BQ42:BQ48)</f>
        <v>0</v>
      </c>
      <c r="BR41" s="2030">
        <f>SUM(BR42:BR48)</f>
        <v>0</v>
      </c>
      <c r="BS41" s="3318">
        <f t="shared" ref="BS41:BS52" si="65">BR41/$AD$89</f>
        <v>0</v>
      </c>
      <c r="BT41" s="2022"/>
      <c r="BU41" s="2029">
        <f>SUM(BU42:BU48)</f>
        <v>0</v>
      </c>
      <c r="BV41" s="2029">
        <f>SUM(BV42:BV48)</f>
        <v>0</v>
      </c>
      <c r="BW41" s="2030">
        <f>SUM(BW42:BW48)</f>
        <v>0</v>
      </c>
      <c r="BX41" s="3318" t="e">
        <f t="shared" ref="BX41:BX52" si="66">BW41/$AN$89</f>
        <v>#DIV/0!</v>
      </c>
      <c r="BY41" s="2022"/>
      <c r="BZ41" s="2029">
        <f>SUM(BZ42:BZ48)</f>
        <v>0</v>
      </c>
      <c r="CA41" s="2029">
        <f>SUM(CA42:CA48)</f>
        <v>0</v>
      </c>
      <c r="CB41" s="2030">
        <f>SUM(CB42:CB48)</f>
        <v>0</v>
      </c>
      <c r="CC41" s="3318" t="e">
        <f t="shared" ref="CC41:CC52" si="67">CB41/$AN$89</f>
        <v>#DIV/0!</v>
      </c>
      <c r="CD41" s="1329"/>
      <c r="CE41" s="2029">
        <f>SUM(CE42:CE48)</f>
        <v>0</v>
      </c>
      <c r="CF41" s="2029">
        <f>SUM(CF42:CF48)</f>
        <v>0</v>
      </c>
      <c r="CG41" s="2030">
        <f>SUM(CG42:CG48)</f>
        <v>0</v>
      </c>
      <c r="CH41" s="3318" t="e">
        <f t="shared" ref="CH41:CH52" si="68">CG41/$AN$89</f>
        <v>#DIV/0!</v>
      </c>
      <c r="CI41" s="1329"/>
      <c r="CJ41" s="2029">
        <f>SUM(CJ42:CJ48)</f>
        <v>0</v>
      </c>
      <c r="CK41" s="2029">
        <f>SUM(CK42:CK48)</f>
        <v>0</v>
      </c>
      <c r="CL41" s="2030">
        <f>SUM(CL42:CL48)</f>
        <v>0</v>
      </c>
      <c r="CM41" s="3318" t="e">
        <f t="shared" ref="CM41:CM52" si="69">CL41/$AN$89</f>
        <v>#DIV/0!</v>
      </c>
      <c r="CN41" s="1329"/>
      <c r="CO41" s="2029">
        <f>SUM(CO42:CO48)</f>
        <v>0</v>
      </c>
      <c r="CP41" s="2029">
        <f>SUM(CP42:CP48)</f>
        <v>0</v>
      </c>
      <c r="CQ41" s="2030">
        <f>SUM(CQ42:CQ48)</f>
        <v>0</v>
      </c>
      <c r="CR41" s="3318" t="e">
        <f t="shared" ref="CR41:CR52" si="70">CQ41/$AN$89</f>
        <v>#DIV/0!</v>
      </c>
      <c r="CS41" s="1329"/>
      <c r="CT41" s="2029">
        <f>SUM(CT42:CT48)</f>
        <v>0</v>
      </c>
      <c r="CU41" s="2029">
        <f>SUM(CU42:CU48)</f>
        <v>0</v>
      </c>
      <c r="CV41" s="2030">
        <f>SUM(CV42:CV48)</f>
        <v>0</v>
      </c>
      <c r="CW41" s="3318" t="e">
        <f t="shared" ref="CW41:CW52" si="71">CV41/$AN$89</f>
        <v>#DIV/0!</v>
      </c>
      <c r="CX41" s="1329"/>
      <c r="CY41" s="2029">
        <f>SUM(CY42:CY48)</f>
        <v>0</v>
      </c>
      <c r="CZ41" s="2029">
        <f>SUM(CZ42:CZ48)</f>
        <v>140</v>
      </c>
      <c r="DA41" s="2030">
        <f>SUM(DA42:DA48)</f>
        <v>140</v>
      </c>
      <c r="DB41" s="3318">
        <f t="shared" ref="DB41:DB71" si="72">DA41/$DA$89</f>
        <v>7.3412198385116692E-5</v>
      </c>
      <c r="DC41" s="2022"/>
    </row>
    <row r="42" spans="1:107" ht="13.8" x14ac:dyDescent="0.25">
      <c r="A42" s="4015"/>
      <c r="B42" s="3319" t="s">
        <v>7</v>
      </c>
      <c r="C42" s="3274"/>
      <c r="D42" s="3274"/>
      <c r="E42" s="2028">
        <f t="shared" ref="E42:E48" si="73">C42+D42*1</f>
        <v>0</v>
      </c>
      <c r="F42" s="3284">
        <f t="shared" si="60"/>
        <v>0</v>
      </c>
      <c r="G42" s="3295"/>
      <c r="H42" s="3274"/>
      <c r="I42" s="3274"/>
      <c r="J42" s="2028">
        <f t="shared" ref="J42:J48" si="74">H42+I42*1</f>
        <v>0</v>
      </c>
      <c r="K42" s="3284">
        <f t="shared" si="61"/>
        <v>0</v>
      </c>
      <c r="L42" s="3295"/>
      <c r="M42" s="3274"/>
      <c r="N42" s="3274"/>
      <c r="O42" s="2028">
        <f t="shared" ref="O42:O48" si="75">M42+N42*1</f>
        <v>0</v>
      </c>
      <c r="P42" s="3284">
        <f t="shared" si="2"/>
        <v>0</v>
      </c>
      <c r="Q42" s="3295"/>
      <c r="R42" s="3274"/>
      <c r="S42" s="3274"/>
      <c r="T42" s="2028">
        <f t="shared" ref="T42:T48" si="76">R42+S42*1</f>
        <v>0</v>
      </c>
      <c r="U42" s="3284">
        <f t="shared" si="54"/>
        <v>0</v>
      </c>
      <c r="V42" s="3295"/>
      <c r="W42" s="3274"/>
      <c r="X42" s="3274"/>
      <c r="Y42" s="2028">
        <f t="shared" ref="Y42:Y48" si="77">W42+X42*1</f>
        <v>0</v>
      </c>
      <c r="Z42" s="3284">
        <f t="shared" si="55"/>
        <v>0</v>
      </c>
      <c r="AA42" s="3295"/>
      <c r="AB42" s="3274"/>
      <c r="AC42" s="3274"/>
      <c r="AD42" s="2028">
        <f t="shared" ref="AD42:AD48" si="78">AB42+AC42*1</f>
        <v>0</v>
      </c>
      <c r="AE42" s="3284">
        <f t="shared" si="56"/>
        <v>0</v>
      </c>
      <c r="AF42" s="3295"/>
      <c r="AG42" s="3274">
        <v>0</v>
      </c>
      <c r="AH42" s="3274">
        <v>0</v>
      </c>
      <c r="AI42" s="2028">
        <v>0</v>
      </c>
      <c r="AJ42" s="3284">
        <v>0</v>
      </c>
      <c r="AK42" s="3276"/>
      <c r="AL42" s="3274">
        <f t="shared" ref="AL42:AM48" si="79">AQ42+AV42+BA42+BF42+BK42+BP42+BU42+BZ42+CE42+CJ42+CO42+CT42</f>
        <v>0</v>
      </c>
      <c r="AM42" s="3274">
        <f t="shared" si="79"/>
        <v>0</v>
      </c>
      <c r="AN42" s="2028">
        <f t="shared" ref="AN42:AN48" si="80">AL42+AM42*1</f>
        <v>0</v>
      </c>
      <c r="AO42" s="3284">
        <f t="shared" si="57"/>
        <v>0</v>
      </c>
      <c r="AP42" s="3276"/>
      <c r="AQ42" s="3274"/>
      <c r="AR42" s="3274"/>
      <c r="AS42" s="2028">
        <f t="shared" ref="AS42:AS48" si="81">AQ42+AR42*1</f>
        <v>0</v>
      </c>
      <c r="AT42" s="3284">
        <f t="shared" si="58"/>
        <v>0</v>
      </c>
      <c r="AU42" s="3295"/>
      <c r="AV42" s="3274"/>
      <c r="AW42" s="3274"/>
      <c r="AX42" s="2028">
        <f t="shared" ref="AX42:AX48" si="82">AV42+AW42*1</f>
        <v>0</v>
      </c>
      <c r="AY42" s="3284">
        <f t="shared" si="59"/>
        <v>0</v>
      </c>
      <c r="AZ42" s="3295"/>
      <c r="BA42" s="3274"/>
      <c r="BB42" s="3274"/>
      <c r="BC42" s="2028">
        <f t="shared" ref="BC42:BC48" si="83">BA42+BB42*1</f>
        <v>0</v>
      </c>
      <c r="BD42" s="3284">
        <f t="shared" si="62"/>
        <v>0</v>
      </c>
      <c r="BE42" s="3295"/>
      <c r="BF42" s="3274"/>
      <c r="BG42" s="3274"/>
      <c r="BH42" s="2028">
        <f t="shared" ref="BH42:BH48" si="84">BF42+BG42*1</f>
        <v>0</v>
      </c>
      <c r="BI42" s="3284">
        <f t="shared" si="63"/>
        <v>0</v>
      </c>
      <c r="BJ42" s="3295"/>
      <c r="BK42" s="3274"/>
      <c r="BL42" s="3274"/>
      <c r="BM42" s="2028">
        <f t="shared" ref="BM42:BM48" si="85">BK42+BL42*1</f>
        <v>0</v>
      </c>
      <c r="BN42" s="3284">
        <f t="shared" si="64"/>
        <v>0</v>
      </c>
      <c r="BO42" s="3295"/>
      <c r="BP42" s="3274"/>
      <c r="BQ42" s="3274"/>
      <c r="BR42" s="2028">
        <f t="shared" ref="BR42:BR48" si="86">BP42+BQ42*1</f>
        <v>0</v>
      </c>
      <c r="BS42" s="3284">
        <f t="shared" si="65"/>
        <v>0</v>
      </c>
      <c r="BT42" s="3295"/>
      <c r="BU42" s="3274"/>
      <c r="BV42" s="3274"/>
      <c r="BW42" s="2028">
        <f t="shared" ref="BW42:BW48" si="87">BU42+BV42*1</f>
        <v>0</v>
      </c>
      <c r="BX42" s="3284" t="e">
        <f t="shared" si="66"/>
        <v>#DIV/0!</v>
      </c>
      <c r="BY42" s="3295"/>
      <c r="BZ42" s="3274"/>
      <c r="CA42" s="3274"/>
      <c r="CB42" s="2028">
        <f t="shared" ref="CB42:CB48" si="88">BZ42+CA42*1</f>
        <v>0</v>
      </c>
      <c r="CC42" s="3284" t="e">
        <f t="shared" si="67"/>
        <v>#DIV/0!</v>
      </c>
      <c r="CD42" s="1449"/>
      <c r="CE42" s="3274"/>
      <c r="CF42" s="3274"/>
      <c r="CG42" s="2028">
        <f t="shared" ref="CG42:CG48" si="89">CE42+CF42*1</f>
        <v>0</v>
      </c>
      <c r="CH42" s="3284" t="e">
        <f t="shared" si="68"/>
        <v>#DIV/0!</v>
      </c>
      <c r="CI42" s="1449"/>
      <c r="CJ42" s="3274"/>
      <c r="CK42" s="3274"/>
      <c r="CL42" s="2028">
        <f t="shared" ref="CL42:CL48" si="90">CJ42+CK42*1</f>
        <v>0</v>
      </c>
      <c r="CM42" s="3284" t="e">
        <f t="shared" si="69"/>
        <v>#DIV/0!</v>
      </c>
      <c r="CN42" s="1449"/>
      <c r="CO42" s="3274"/>
      <c r="CP42" s="3274"/>
      <c r="CQ42" s="2028">
        <f t="shared" ref="CQ42:CQ48" si="91">CO42+CP42*1</f>
        <v>0</v>
      </c>
      <c r="CR42" s="3284" t="e">
        <f t="shared" si="70"/>
        <v>#DIV/0!</v>
      </c>
      <c r="CS42" s="1449"/>
      <c r="CT42" s="3274"/>
      <c r="CU42" s="3274"/>
      <c r="CV42" s="2028">
        <f t="shared" ref="CV42:CV48" si="92">CT42+CU42*1</f>
        <v>0</v>
      </c>
      <c r="CW42" s="3284" t="e">
        <f t="shared" si="71"/>
        <v>#DIV/0!</v>
      </c>
      <c r="CX42" s="1449"/>
      <c r="CY42" s="3274">
        <f t="shared" ref="CY42:CZ48" si="93">C42+H42+M42+R42+W42+AB42+AQ42+AV42+BA42+BF42+BK42+BP42+BU42+BZ42+CE42+CJ42+CO42+CT42+AG42</f>
        <v>0</v>
      </c>
      <c r="CZ42" s="3274">
        <f t="shared" si="93"/>
        <v>0</v>
      </c>
      <c r="DA42" s="2028">
        <f t="shared" ref="DA42:DA48" si="94">CY42+CZ42*1</f>
        <v>0</v>
      </c>
      <c r="DB42" s="3284">
        <f t="shared" si="72"/>
        <v>0</v>
      </c>
      <c r="DC42" s="3295"/>
    </row>
    <row r="43" spans="1:107" ht="13.8" x14ac:dyDescent="0.25">
      <c r="A43" s="4015"/>
      <c r="B43" s="3319" t="s">
        <v>27</v>
      </c>
      <c r="C43" s="3274"/>
      <c r="D43" s="3274"/>
      <c r="E43" s="2028">
        <f t="shared" si="73"/>
        <v>0</v>
      </c>
      <c r="F43" s="3284">
        <f t="shared" si="60"/>
        <v>0</v>
      </c>
      <c r="G43" s="3295"/>
      <c r="H43" s="3274"/>
      <c r="I43" s="3274"/>
      <c r="J43" s="2028">
        <f t="shared" si="74"/>
        <v>0</v>
      </c>
      <c r="K43" s="3284">
        <f t="shared" si="61"/>
        <v>0</v>
      </c>
      <c r="L43" s="3295"/>
      <c r="M43" s="3274"/>
      <c r="N43" s="3274"/>
      <c r="O43" s="2028">
        <f t="shared" si="75"/>
        <v>0</v>
      </c>
      <c r="P43" s="3284">
        <f t="shared" si="2"/>
        <v>0</v>
      </c>
      <c r="Q43" s="3295"/>
      <c r="R43" s="3274"/>
      <c r="S43" s="3274"/>
      <c r="T43" s="2028">
        <f t="shared" si="76"/>
        <v>0</v>
      </c>
      <c r="U43" s="3284">
        <f t="shared" si="54"/>
        <v>0</v>
      </c>
      <c r="V43" s="3295"/>
      <c r="W43" s="3274"/>
      <c r="X43" s="3274"/>
      <c r="Y43" s="2028">
        <f t="shared" si="77"/>
        <v>0</v>
      </c>
      <c r="Z43" s="3284">
        <f t="shared" si="55"/>
        <v>0</v>
      </c>
      <c r="AA43" s="3295"/>
      <c r="AB43" s="3274"/>
      <c r="AC43" s="3274"/>
      <c r="AD43" s="2028">
        <f t="shared" si="78"/>
        <v>0</v>
      </c>
      <c r="AE43" s="3284">
        <f t="shared" si="56"/>
        <v>0</v>
      </c>
      <c r="AF43" s="3295"/>
      <c r="AG43" s="3274">
        <v>0</v>
      </c>
      <c r="AH43" s="3274">
        <v>0</v>
      </c>
      <c r="AI43" s="2028">
        <v>0</v>
      </c>
      <c r="AJ43" s="3284">
        <v>0</v>
      </c>
      <c r="AK43" s="3276"/>
      <c r="AL43" s="3274">
        <f t="shared" si="79"/>
        <v>0</v>
      </c>
      <c r="AM43" s="3274">
        <f t="shared" si="79"/>
        <v>0</v>
      </c>
      <c r="AN43" s="2028">
        <f t="shared" si="80"/>
        <v>0</v>
      </c>
      <c r="AO43" s="3284">
        <f t="shared" si="57"/>
        <v>0</v>
      </c>
      <c r="AP43" s="3276"/>
      <c r="AQ43" s="3274"/>
      <c r="AR43" s="3274"/>
      <c r="AS43" s="2028">
        <f t="shared" si="81"/>
        <v>0</v>
      </c>
      <c r="AT43" s="3284">
        <f t="shared" si="58"/>
        <v>0</v>
      </c>
      <c r="AU43" s="3295"/>
      <c r="AV43" s="3274"/>
      <c r="AW43" s="3274"/>
      <c r="AX43" s="2028">
        <f t="shared" si="82"/>
        <v>0</v>
      </c>
      <c r="AY43" s="3284">
        <f t="shared" si="59"/>
        <v>0</v>
      </c>
      <c r="AZ43" s="3295"/>
      <c r="BA43" s="3274"/>
      <c r="BB43" s="3274"/>
      <c r="BC43" s="2028">
        <f t="shared" si="83"/>
        <v>0</v>
      </c>
      <c r="BD43" s="3284">
        <f t="shared" si="62"/>
        <v>0</v>
      </c>
      <c r="BE43" s="3295"/>
      <c r="BF43" s="3274"/>
      <c r="BG43" s="3274"/>
      <c r="BH43" s="2028">
        <f t="shared" si="84"/>
        <v>0</v>
      </c>
      <c r="BI43" s="3284">
        <f t="shared" si="63"/>
        <v>0</v>
      </c>
      <c r="BJ43" s="3295"/>
      <c r="BK43" s="3274"/>
      <c r="BL43" s="3274"/>
      <c r="BM43" s="2028">
        <f t="shared" si="85"/>
        <v>0</v>
      </c>
      <c r="BN43" s="3284">
        <f t="shared" si="64"/>
        <v>0</v>
      </c>
      <c r="BO43" s="3295"/>
      <c r="BP43" s="3274"/>
      <c r="BQ43" s="3274"/>
      <c r="BR43" s="2028">
        <f t="shared" si="86"/>
        <v>0</v>
      </c>
      <c r="BS43" s="3284">
        <f t="shared" si="65"/>
        <v>0</v>
      </c>
      <c r="BT43" s="3295"/>
      <c r="BU43" s="3274"/>
      <c r="BV43" s="3274"/>
      <c r="BW43" s="2028">
        <f t="shared" si="87"/>
        <v>0</v>
      </c>
      <c r="BX43" s="3284" t="e">
        <f t="shared" si="66"/>
        <v>#DIV/0!</v>
      </c>
      <c r="BY43" s="3295"/>
      <c r="BZ43" s="3274"/>
      <c r="CA43" s="3274"/>
      <c r="CB43" s="2028">
        <f t="shared" si="88"/>
        <v>0</v>
      </c>
      <c r="CC43" s="3284" t="e">
        <f t="shared" si="67"/>
        <v>#DIV/0!</v>
      </c>
      <c r="CD43" s="1449"/>
      <c r="CE43" s="3274"/>
      <c r="CF43" s="3274"/>
      <c r="CG43" s="2028">
        <f t="shared" si="89"/>
        <v>0</v>
      </c>
      <c r="CH43" s="3284" t="e">
        <f t="shared" si="68"/>
        <v>#DIV/0!</v>
      </c>
      <c r="CI43" s="1449"/>
      <c r="CJ43" s="3274"/>
      <c r="CK43" s="3274"/>
      <c r="CL43" s="2028">
        <f t="shared" si="90"/>
        <v>0</v>
      </c>
      <c r="CM43" s="3284" t="e">
        <f t="shared" si="69"/>
        <v>#DIV/0!</v>
      </c>
      <c r="CN43" s="1449"/>
      <c r="CO43" s="3274"/>
      <c r="CP43" s="3274"/>
      <c r="CQ43" s="2028">
        <f t="shared" si="91"/>
        <v>0</v>
      </c>
      <c r="CR43" s="3284" t="e">
        <f t="shared" si="70"/>
        <v>#DIV/0!</v>
      </c>
      <c r="CS43" s="1449"/>
      <c r="CT43" s="3274"/>
      <c r="CU43" s="3274"/>
      <c r="CV43" s="2028">
        <f t="shared" si="92"/>
        <v>0</v>
      </c>
      <c r="CW43" s="3284" t="e">
        <f t="shared" si="71"/>
        <v>#DIV/0!</v>
      </c>
      <c r="CX43" s="1449"/>
      <c r="CY43" s="3274">
        <f t="shared" si="93"/>
        <v>0</v>
      </c>
      <c r="CZ43" s="3274">
        <f t="shared" si="93"/>
        <v>0</v>
      </c>
      <c r="DA43" s="2028">
        <f t="shared" si="94"/>
        <v>0</v>
      </c>
      <c r="DB43" s="3284">
        <f t="shared" si="72"/>
        <v>0</v>
      </c>
      <c r="DC43" s="3295"/>
    </row>
    <row r="44" spans="1:107" ht="13.8" x14ac:dyDescent="0.25">
      <c r="A44" s="4015"/>
      <c r="B44" s="3310" t="s">
        <v>28</v>
      </c>
      <c r="C44" s="3274"/>
      <c r="D44" s="3274"/>
      <c r="E44" s="2028">
        <f t="shared" si="73"/>
        <v>0</v>
      </c>
      <c r="F44" s="3284">
        <f t="shared" si="60"/>
        <v>0</v>
      </c>
      <c r="G44" s="3295"/>
      <c r="H44" s="3274"/>
      <c r="I44" s="3274"/>
      <c r="J44" s="2028">
        <f t="shared" si="74"/>
        <v>0</v>
      </c>
      <c r="K44" s="3284">
        <f t="shared" si="61"/>
        <v>0</v>
      </c>
      <c r="L44" s="3295"/>
      <c r="M44" s="3274"/>
      <c r="N44" s="3274"/>
      <c r="O44" s="2028">
        <f t="shared" si="75"/>
        <v>0</v>
      </c>
      <c r="P44" s="3284">
        <f t="shared" si="2"/>
        <v>0</v>
      </c>
      <c r="Q44" s="3295"/>
      <c r="R44" s="3274"/>
      <c r="S44" s="3274"/>
      <c r="T44" s="2028">
        <f t="shared" si="76"/>
        <v>0</v>
      </c>
      <c r="U44" s="3284">
        <f t="shared" si="54"/>
        <v>0</v>
      </c>
      <c r="V44" s="3295"/>
      <c r="W44" s="3274"/>
      <c r="X44" s="3274"/>
      <c r="Y44" s="2028">
        <f t="shared" si="77"/>
        <v>0</v>
      </c>
      <c r="Z44" s="3284">
        <f t="shared" si="55"/>
        <v>0</v>
      </c>
      <c r="AA44" s="3295"/>
      <c r="AB44" s="3274"/>
      <c r="AC44" s="3274"/>
      <c r="AD44" s="2028">
        <f t="shared" si="78"/>
        <v>0</v>
      </c>
      <c r="AE44" s="3284">
        <f t="shared" si="56"/>
        <v>0</v>
      </c>
      <c r="AF44" s="3295"/>
      <c r="AG44" s="3274">
        <v>0</v>
      </c>
      <c r="AH44" s="3274">
        <v>0</v>
      </c>
      <c r="AI44" s="2028">
        <v>0</v>
      </c>
      <c r="AJ44" s="3284">
        <v>0</v>
      </c>
      <c r="AK44" s="3276"/>
      <c r="AL44" s="3274">
        <f t="shared" si="79"/>
        <v>0</v>
      </c>
      <c r="AM44" s="3274">
        <f t="shared" si="79"/>
        <v>0</v>
      </c>
      <c r="AN44" s="2028">
        <f t="shared" si="80"/>
        <v>0</v>
      </c>
      <c r="AO44" s="3284">
        <f t="shared" si="57"/>
        <v>0</v>
      </c>
      <c r="AP44" s="3276"/>
      <c r="AQ44" s="3274"/>
      <c r="AR44" s="3274"/>
      <c r="AS44" s="2028">
        <f t="shared" si="81"/>
        <v>0</v>
      </c>
      <c r="AT44" s="3284">
        <f t="shared" si="58"/>
        <v>0</v>
      </c>
      <c r="AU44" s="3295"/>
      <c r="AV44" s="3274"/>
      <c r="AW44" s="3274"/>
      <c r="AX44" s="2028">
        <f t="shared" si="82"/>
        <v>0</v>
      </c>
      <c r="AY44" s="3284">
        <f t="shared" si="59"/>
        <v>0</v>
      </c>
      <c r="AZ44" s="3295"/>
      <c r="BA44" s="3274"/>
      <c r="BB44" s="3274"/>
      <c r="BC44" s="2028">
        <f t="shared" si="83"/>
        <v>0</v>
      </c>
      <c r="BD44" s="3284">
        <f t="shared" si="62"/>
        <v>0</v>
      </c>
      <c r="BE44" s="3295"/>
      <c r="BF44" s="3274"/>
      <c r="BG44" s="3274"/>
      <c r="BH44" s="2028">
        <f t="shared" si="84"/>
        <v>0</v>
      </c>
      <c r="BI44" s="3284">
        <f t="shared" si="63"/>
        <v>0</v>
      </c>
      <c r="BJ44" s="3295"/>
      <c r="BK44" s="3274"/>
      <c r="BL44" s="3274"/>
      <c r="BM44" s="2028">
        <f t="shared" si="85"/>
        <v>0</v>
      </c>
      <c r="BN44" s="3284">
        <f t="shared" si="64"/>
        <v>0</v>
      </c>
      <c r="BO44" s="3295"/>
      <c r="BP44" s="3274"/>
      <c r="BQ44" s="3274"/>
      <c r="BR44" s="2028">
        <f t="shared" si="86"/>
        <v>0</v>
      </c>
      <c r="BS44" s="3284">
        <f t="shared" si="65"/>
        <v>0</v>
      </c>
      <c r="BT44" s="3295"/>
      <c r="BU44" s="3274"/>
      <c r="BV44" s="3274"/>
      <c r="BW44" s="2028">
        <f t="shared" si="87"/>
        <v>0</v>
      </c>
      <c r="BX44" s="3284" t="e">
        <f t="shared" si="66"/>
        <v>#DIV/0!</v>
      </c>
      <c r="BY44" s="3295"/>
      <c r="BZ44" s="3274"/>
      <c r="CA44" s="3274"/>
      <c r="CB44" s="2028">
        <f t="shared" si="88"/>
        <v>0</v>
      </c>
      <c r="CC44" s="3284" t="e">
        <f t="shared" si="67"/>
        <v>#DIV/0!</v>
      </c>
      <c r="CD44" s="1449"/>
      <c r="CE44" s="3274"/>
      <c r="CF44" s="3274"/>
      <c r="CG44" s="2028">
        <f t="shared" si="89"/>
        <v>0</v>
      </c>
      <c r="CH44" s="3284" t="e">
        <f t="shared" si="68"/>
        <v>#DIV/0!</v>
      </c>
      <c r="CI44" s="1449"/>
      <c r="CJ44" s="3274"/>
      <c r="CK44" s="3274"/>
      <c r="CL44" s="2028">
        <f t="shared" si="90"/>
        <v>0</v>
      </c>
      <c r="CM44" s="3284" t="e">
        <f t="shared" si="69"/>
        <v>#DIV/0!</v>
      </c>
      <c r="CN44" s="1449"/>
      <c r="CO44" s="3274"/>
      <c r="CP44" s="3274"/>
      <c r="CQ44" s="2028">
        <f t="shared" si="91"/>
        <v>0</v>
      </c>
      <c r="CR44" s="3284" t="e">
        <f t="shared" si="70"/>
        <v>#DIV/0!</v>
      </c>
      <c r="CS44" s="1449"/>
      <c r="CT44" s="3274"/>
      <c r="CU44" s="3274"/>
      <c r="CV44" s="2028">
        <f t="shared" si="92"/>
        <v>0</v>
      </c>
      <c r="CW44" s="3284" t="e">
        <f t="shared" si="71"/>
        <v>#DIV/0!</v>
      </c>
      <c r="CX44" s="1449"/>
      <c r="CY44" s="3274">
        <f t="shared" si="93"/>
        <v>0</v>
      </c>
      <c r="CZ44" s="3274">
        <f t="shared" si="93"/>
        <v>0</v>
      </c>
      <c r="DA44" s="2028">
        <f t="shared" si="94"/>
        <v>0</v>
      </c>
      <c r="DB44" s="3284">
        <f t="shared" si="72"/>
        <v>0</v>
      </c>
      <c r="DC44" s="3295"/>
    </row>
    <row r="45" spans="1:107" ht="13.8" x14ac:dyDescent="0.25">
      <c r="A45" s="4015"/>
      <c r="B45" s="3319" t="s">
        <v>8</v>
      </c>
      <c r="C45" s="3274"/>
      <c r="D45" s="3274"/>
      <c r="E45" s="2028">
        <f t="shared" si="73"/>
        <v>0</v>
      </c>
      <c r="F45" s="3284">
        <f t="shared" si="60"/>
        <v>0</v>
      </c>
      <c r="G45" s="3295"/>
      <c r="H45" s="3274"/>
      <c r="I45" s="3274"/>
      <c r="J45" s="2028">
        <f t="shared" si="74"/>
        <v>0</v>
      </c>
      <c r="K45" s="3284">
        <f t="shared" si="61"/>
        <v>0</v>
      </c>
      <c r="L45" s="3295"/>
      <c r="M45" s="3274"/>
      <c r="N45" s="3274"/>
      <c r="O45" s="2028">
        <f t="shared" si="75"/>
        <v>0</v>
      </c>
      <c r="P45" s="3284">
        <f t="shared" si="2"/>
        <v>0</v>
      </c>
      <c r="Q45" s="3295"/>
      <c r="R45" s="3274"/>
      <c r="S45" s="3274"/>
      <c r="T45" s="2028">
        <f t="shared" si="76"/>
        <v>0</v>
      </c>
      <c r="U45" s="3284">
        <f t="shared" si="54"/>
        <v>0</v>
      </c>
      <c r="V45" s="3295"/>
      <c r="W45" s="3274"/>
      <c r="X45" s="3274"/>
      <c r="Y45" s="2028">
        <f t="shared" si="77"/>
        <v>0</v>
      </c>
      <c r="Z45" s="3284">
        <f t="shared" si="55"/>
        <v>0</v>
      </c>
      <c r="AA45" s="3295"/>
      <c r="AB45" s="3274"/>
      <c r="AC45" s="3274"/>
      <c r="AD45" s="2028">
        <f t="shared" si="78"/>
        <v>0</v>
      </c>
      <c r="AE45" s="3284">
        <f t="shared" si="56"/>
        <v>0</v>
      </c>
      <c r="AF45" s="3295"/>
      <c r="AG45" s="3274">
        <v>0</v>
      </c>
      <c r="AH45" s="3274">
        <v>0</v>
      </c>
      <c r="AI45" s="2028">
        <v>0</v>
      </c>
      <c r="AJ45" s="3284">
        <v>0</v>
      </c>
      <c r="AK45" s="3295"/>
      <c r="AL45" s="3274">
        <f t="shared" si="79"/>
        <v>0</v>
      </c>
      <c r="AM45" s="3274">
        <f t="shared" si="79"/>
        <v>0</v>
      </c>
      <c r="AN45" s="2028">
        <f t="shared" si="80"/>
        <v>0</v>
      </c>
      <c r="AO45" s="3284">
        <f t="shared" si="57"/>
        <v>0</v>
      </c>
      <c r="AP45" s="3295"/>
      <c r="AQ45" s="3274"/>
      <c r="AR45" s="3274"/>
      <c r="AS45" s="2028">
        <f t="shared" si="81"/>
        <v>0</v>
      </c>
      <c r="AT45" s="3284">
        <f t="shared" si="58"/>
        <v>0</v>
      </c>
      <c r="AU45" s="3295"/>
      <c r="AV45" s="3274"/>
      <c r="AW45" s="3274"/>
      <c r="AX45" s="2028">
        <f t="shared" si="82"/>
        <v>0</v>
      </c>
      <c r="AY45" s="3284">
        <f t="shared" si="59"/>
        <v>0</v>
      </c>
      <c r="AZ45" s="3295"/>
      <c r="BA45" s="3274"/>
      <c r="BB45" s="3274"/>
      <c r="BC45" s="2028">
        <f t="shared" si="83"/>
        <v>0</v>
      </c>
      <c r="BD45" s="3284">
        <f t="shared" si="62"/>
        <v>0</v>
      </c>
      <c r="BE45" s="3295"/>
      <c r="BF45" s="3274"/>
      <c r="BG45" s="3274"/>
      <c r="BH45" s="2028">
        <f t="shared" si="84"/>
        <v>0</v>
      </c>
      <c r="BI45" s="3284">
        <f t="shared" si="63"/>
        <v>0</v>
      </c>
      <c r="BJ45" s="3295"/>
      <c r="BK45" s="3274"/>
      <c r="BL45" s="3274"/>
      <c r="BM45" s="2028">
        <f t="shared" si="85"/>
        <v>0</v>
      </c>
      <c r="BN45" s="3284">
        <f t="shared" si="64"/>
        <v>0</v>
      </c>
      <c r="BO45" s="3295"/>
      <c r="BP45" s="3274"/>
      <c r="BQ45" s="3274"/>
      <c r="BR45" s="2028">
        <f t="shared" si="86"/>
        <v>0</v>
      </c>
      <c r="BS45" s="3284">
        <f t="shared" si="65"/>
        <v>0</v>
      </c>
      <c r="BT45" s="3295"/>
      <c r="BU45" s="3274"/>
      <c r="BV45" s="3274"/>
      <c r="BW45" s="2028">
        <f t="shared" si="87"/>
        <v>0</v>
      </c>
      <c r="BX45" s="3284" t="e">
        <f t="shared" si="66"/>
        <v>#DIV/0!</v>
      </c>
      <c r="BY45" s="3295"/>
      <c r="BZ45" s="3274"/>
      <c r="CA45" s="3274"/>
      <c r="CB45" s="2028">
        <f t="shared" si="88"/>
        <v>0</v>
      </c>
      <c r="CC45" s="3284" t="e">
        <f t="shared" si="67"/>
        <v>#DIV/0!</v>
      </c>
      <c r="CD45" s="1449"/>
      <c r="CE45" s="3274"/>
      <c r="CF45" s="3274"/>
      <c r="CG45" s="2028">
        <f t="shared" si="89"/>
        <v>0</v>
      </c>
      <c r="CH45" s="3284" t="e">
        <f t="shared" si="68"/>
        <v>#DIV/0!</v>
      </c>
      <c r="CI45" s="1449"/>
      <c r="CJ45" s="3274"/>
      <c r="CK45" s="3274"/>
      <c r="CL45" s="2028">
        <f t="shared" si="90"/>
        <v>0</v>
      </c>
      <c r="CM45" s="3284" t="e">
        <f t="shared" si="69"/>
        <v>#DIV/0!</v>
      </c>
      <c r="CN45" s="1449"/>
      <c r="CO45" s="3274"/>
      <c r="CP45" s="3274"/>
      <c r="CQ45" s="2028">
        <f t="shared" si="91"/>
        <v>0</v>
      </c>
      <c r="CR45" s="3284" t="e">
        <f t="shared" si="70"/>
        <v>#DIV/0!</v>
      </c>
      <c r="CS45" s="1449"/>
      <c r="CT45" s="3274"/>
      <c r="CU45" s="3274"/>
      <c r="CV45" s="2028">
        <f t="shared" si="92"/>
        <v>0</v>
      </c>
      <c r="CW45" s="3284" t="e">
        <f t="shared" si="71"/>
        <v>#DIV/0!</v>
      </c>
      <c r="CX45" s="1449"/>
      <c r="CY45" s="3274">
        <f t="shared" si="93"/>
        <v>0</v>
      </c>
      <c r="CZ45" s="3274">
        <f t="shared" si="93"/>
        <v>0</v>
      </c>
      <c r="DA45" s="2028">
        <f t="shared" si="94"/>
        <v>0</v>
      </c>
      <c r="DB45" s="3284">
        <f t="shared" si="72"/>
        <v>0</v>
      </c>
      <c r="DC45" s="3295"/>
    </row>
    <row r="46" spans="1:107" ht="13.8" x14ac:dyDescent="0.25">
      <c r="A46" s="4015"/>
      <c r="B46" s="3319" t="s">
        <v>29</v>
      </c>
      <c r="C46" s="3274"/>
      <c r="D46" s="3274"/>
      <c r="E46" s="2028">
        <f t="shared" si="73"/>
        <v>0</v>
      </c>
      <c r="F46" s="3284">
        <f t="shared" si="60"/>
        <v>0</v>
      </c>
      <c r="G46" s="3295"/>
      <c r="H46" s="3274"/>
      <c r="I46" s="3274"/>
      <c r="J46" s="2028">
        <f t="shared" si="74"/>
        <v>0</v>
      </c>
      <c r="K46" s="3284">
        <f t="shared" si="61"/>
        <v>0</v>
      </c>
      <c r="L46" s="3295"/>
      <c r="M46" s="3274"/>
      <c r="N46" s="3274"/>
      <c r="O46" s="2028">
        <f t="shared" si="75"/>
        <v>0</v>
      </c>
      <c r="P46" s="3284">
        <f t="shared" si="2"/>
        <v>0</v>
      </c>
      <c r="Q46" s="3295"/>
      <c r="R46" s="3274"/>
      <c r="S46" s="3274"/>
      <c r="T46" s="2028">
        <f t="shared" si="76"/>
        <v>0</v>
      </c>
      <c r="U46" s="3284">
        <f t="shared" si="54"/>
        <v>0</v>
      </c>
      <c r="V46" s="3295"/>
      <c r="W46" s="3274"/>
      <c r="X46" s="3274"/>
      <c r="Y46" s="2028">
        <f t="shared" si="77"/>
        <v>0</v>
      </c>
      <c r="Z46" s="3284">
        <f t="shared" si="55"/>
        <v>0</v>
      </c>
      <c r="AA46" s="3295"/>
      <c r="AB46" s="3274"/>
      <c r="AC46" s="3274"/>
      <c r="AD46" s="2028">
        <f t="shared" si="78"/>
        <v>0</v>
      </c>
      <c r="AE46" s="3284">
        <f t="shared" si="56"/>
        <v>0</v>
      </c>
      <c r="AF46" s="3295"/>
      <c r="AG46" s="3274">
        <v>0</v>
      </c>
      <c r="AH46" s="3274">
        <v>0</v>
      </c>
      <c r="AI46" s="2028">
        <v>0</v>
      </c>
      <c r="AJ46" s="3284">
        <v>0</v>
      </c>
      <c r="AK46" s="3295"/>
      <c r="AL46" s="3274">
        <f t="shared" si="79"/>
        <v>0</v>
      </c>
      <c r="AM46" s="3274">
        <f t="shared" si="79"/>
        <v>0</v>
      </c>
      <c r="AN46" s="2028">
        <f t="shared" si="80"/>
        <v>0</v>
      </c>
      <c r="AO46" s="3284">
        <f t="shared" si="57"/>
        <v>0</v>
      </c>
      <c r="AP46" s="3295"/>
      <c r="AQ46" s="3274"/>
      <c r="AR46" s="3274"/>
      <c r="AS46" s="2028">
        <f t="shared" si="81"/>
        <v>0</v>
      </c>
      <c r="AT46" s="3284">
        <f t="shared" si="58"/>
        <v>0</v>
      </c>
      <c r="AU46" s="3295"/>
      <c r="AV46" s="3274"/>
      <c r="AW46" s="3274"/>
      <c r="AX46" s="2028">
        <f t="shared" si="82"/>
        <v>0</v>
      </c>
      <c r="AY46" s="3284">
        <f t="shared" si="59"/>
        <v>0</v>
      </c>
      <c r="AZ46" s="3295"/>
      <c r="BA46" s="3274"/>
      <c r="BB46" s="3274"/>
      <c r="BC46" s="2028">
        <f t="shared" si="83"/>
        <v>0</v>
      </c>
      <c r="BD46" s="3284">
        <f t="shared" si="62"/>
        <v>0</v>
      </c>
      <c r="BE46" s="3295"/>
      <c r="BF46" s="3274"/>
      <c r="BG46" s="3274"/>
      <c r="BH46" s="2028">
        <f t="shared" si="84"/>
        <v>0</v>
      </c>
      <c r="BI46" s="3284">
        <f t="shared" si="63"/>
        <v>0</v>
      </c>
      <c r="BJ46" s="3295"/>
      <c r="BK46" s="3274"/>
      <c r="BL46" s="3274"/>
      <c r="BM46" s="2028">
        <f t="shared" si="85"/>
        <v>0</v>
      </c>
      <c r="BN46" s="3284">
        <f t="shared" si="64"/>
        <v>0</v>
      </c>
      <c r="BO46" s="3295"/>
      <c r="BP46" s="3274"/>
      <c r="BQ46" s="3274"/>
      <c r="BR46" s="2028">
        <f t="shared" si="86"/>
        <v>0</v>
      </c>
      <c r="BS46" s="3284">
        <f t="shared" si="65"/>
        <v>0</v>
      </c>
      <c r="BT46" s="3295"/>
      <c r="BU46" s="3274"/>
      <c r="BV46" s="3274"/>
      <c r="BW46" s="2028">
        <f t="shared" si="87"/>
        <v>0</v>
      </c>
      <c r="BX46" s="3284" t="e">
        <f t="shared" si="66"/>
        <v>#DIV/0!</v>
      </c>
      <c r="BY46" s="3295"/>
      <c r="BZ46" s="3274"/>
      <c r="CA46" s="3274"/>
      <c r="CB46" s="2028">
        <f t="shared" si="88"/>
        <v>0</v>
      </c>
      <c r="CC46" s="3284" t="e">
        <f t="shared" si="67"/>
        <v>#DIV/0!</v>
      </c>
      <c r="CD46" s="1449"/>
      <c r="CE46" s="3274"/>
      <c r="CF46" s="3274"/>
      <c r="CG46" s="2028">
        <f t="shared" si="89"/>
        <v>0</v>
      </c>
      <c r="CH46" s="3284" t="e">
        <f t="shared" si="68"/>
        <v>#DIV/0!</v>
      </c>
      <c r="CI46" s="1449"/>
      <c r="CJ46" s="3274"/>
      <c r="CK46" s="3274"/>
      <c r="CL46" s="2028">
        <f t="shared" si="90"/>
        <v>0</v>
      </c>
      <c r="CM46" s="3284" t="e">
        <f t="shared" si="69"/>
        <v>#DIV/0!</v>
      </c>
      <c r="CN46" s="1449"/>
      <c r="CO46" s="3274"/>
      <c r="CP46" s="3274"/>
      <c r="CQ46" s="2028">
        <f t="shared" si="91"/>
        <v>0</v>
      </c>
      <c r="CR46" s="3284" t="e">
        <f t="shared" si="70"/>
        <v>#DIV/0!</v>
      </c>
      <c r="CS46" s="1449"/>
      <c r="CT46" s="3274"/>
      <c r="CU46" s="3274"/>
      <c r="CV46" s="2028">
        <f t="shared" si="92"/>
        <v>0</v>
      </c>
      <c r="CW46" s="3284" t="e">
        <f t="shared" si="71"/>
        <v>#DIV/0!</v>
      </c>
      <c r="CX46" s="1449"/>
      <c r="CY46" s="3274">
        <f t="shared" si="93"/>
        <v>0</v>
      </c>
      <c r="CZ46" s="3274">
        <f t="shared" si="93"/>
        <v>0</v>
      </c>
      <c r="DA46" s="2028">
        <f t="shared" si="94"/>
        <v>0</v>
      </c>
      <c r="DB46" s="3284">
        <f t="shared" si="72"/>
        <v>0</v>
      </c>
      <c r="DC46" s="3295"/>
    </row>
    <row r="47" spans="1:107" ht="13.8" x14ac:dyDescent="0.25">
      <c r="A47" s="4015"/>
      <c r="B47" s="3319" t="s">
        <v>30</v>
      </c>
      <c r="C47" s="3274"/>
      <c r="D47" s="3274"/>
      <c r="E47" s="2028">
        <f t="shared" si="73"/>
        <v>0</v>
      </c>
      <c r="F47" s="3284">
        <f t="shared" si="60"/>
        <v>0</v>
      </c>
      <c r="G47" s="3295"/>
      <c r="H47" s="3274"/>
      <c r="I47" s="3274"/>
      <c r="J47" s="2028">
        <f t="shared" si="74"/>
        <v>0</v>
      </c>
      <c r="K47" s="3284">
        <f t="shared" si="61"/>
        <v>0</v>
      </c>
      <c r="L47" s="3295"/>
      <c r="M47" s="3274"/>
      <c r="N47" s="3274"/>
      <c r="O47" s="2028">
        <f t="shared" si="75"/>
        <v>0</v>
      </c>
      <c r="P47" s="3284">
        <f t="shared" si="2"/>
        <v>0</v>
      </c>
      <c r="Q47" s="3295"/>
      <c r="R47" s="3274"/>
      <c r="S47" s="3274"/>
      <c r="T47" s="2028">
        <f t="shared" si="76"/>
        <v>0</v>
      </c>
      <c r="U47" s="3284">
        <f t="shared" si="54"/>
        <v>0</v>
      </c>
      <c r="V47" s="3295"/>
      <c r="W47" s="3274"/>
      <c r="X47" s="3274"/>
      <c r="Y47" s="2028">
        <f t="shared" si="77"/>
        <v>0</v>
      </c>
      <c r="Z47" s="3284">
        <f t="shared" si="55"/>
        <v>0</v>
      </c>
      <c r="AA47" s="3295"/>
      <c r="AB47" s="3274"/>
      <c r="AC47" s="3274"/>
      <c r="AD47" s="2028">
        <f t="shared" si="78"/>
        <v>0</v>
      </c>
      <c r="AE47" s="3284">
        <f t="shared" si="56"/>
        <v>0</v>
      </c>
      <c r="AF47" s="3295"/>
      <c r="AG47" s="3274">
        <v>0</v>
      </c>
      <c r="AH47" s="3274">
        <v>140</v>
      </c>
      <c r="AI47" s="2028">
        <v>140</v>
      </c>
      <c r="AJ47" s="3284">
        <v>1.9974704448861057E-3</v>
      </c>
      <c r="AK47" s="3276"/>
      <c r="AL47" s="3274">
        <f t="shared" si="79"/>
        <v>0</v>
      </c>
      <c r="AM47" s="3274">
        <f t="shared" si="79"/>
        <v>0</v>
      </c>
      <c r="AN47" s="2028">
        <f t="shared" si="80"/>
        <v>0</v>
      </c>
      <c r="AO47" s="3284">
        <f t="shared" si="57"/>
        <v>0</v>
      </c>
      <c r="AP47" s="3276"/>
      <c r="AQ47" s="3274"/>
      <c r="AR47" s="3274"/>
      <c r="AS47" s="2028">
        <f t="shared" si="81"/>
        <v>0</v>
      </c>
      <c r="AT47" s="3284">
        <f t="shared" si="58"/>
        <v>0</v>
      </c>
      <c r="AU47" s="3295"/>
      <c r="AV47" s="3274"/>
      <c r="AW47" s="3274"/>
      <c r="AX47" s="2028">
        <f t="shared" si="82"/>
        <v>0</v>
      </c>
      <c r="AY47" s="3284">
        <f t="shared" si="59"/>
        <v>0</v>
      </c>
      <c r="AZ47" s="3295"/>
      <c r="BA47" s="3274"/>
      <c r="BB47" s="3274"/>
      <c r="BC47" s="2028">
        <f t="shared" si="83"/>
        <v>0</v>
      </c>
      <c r="BD47" s="3284">
        <f t="shared" si="62"/>
        <v>0</v>
      </c>
      <c r="BE47" s="3295"/>
      <c r="BF47" s="3274"/>
      <c r="BG47" s="3274"/>
      <c r="BH47" s="2028">
        <f t="shared" si="84"/>
        <v>0</v>
      </c>
      <c r="BI47" s="3284">
        <f t="shared" si="63"/>
        <v>0</v>
      </c>
      <c r="BJ47" s="3295"/>
      <c r="BK47" s="3274"/>
      <c r="BL47" s="3274"/>
      <c r="BM47" s="2028">
        <f t="shared" si="85"/>
        <v>0</v>
      </c>
      <c r="BN47" s="3284">
        <f t="shared" si="64"/>
        <v>0</v>
      </c>
      <c r="BO47" s="3295"/>
      <c r="BP47" s="3274"/>
      <c r="BQ47" s="3274"/>
      <c r="BR47" s="2028">
        <f t="shared" si="86"/>
        <v>0</v>
      </c>
      <c r="BS47" s="3284">
        <f t="shared" si="65"/>
        <v>0</v>
      </c>
      <c r="BT47" s="3295"/>
      <c r="BU47" s="3274"/>
      <c r="BV47" s="3274"/>
      <c r="BW47" s="2028">
        <f t="shared" si="87"/>
        <v>0</v>
      </c>
      <c r="BX47" s="3284" t="e">
        <f t="shared" si="66"/>
        <v>#DIV/0!</v>
      </c>
      <c r="BY47" s="3295"/>
      <c r="BZ47" s="3274"/>
      <c r="CA47" s="3274"/>
      <c r="CB47" s="2028">
        <f t="shared" si="88"/>
        <v>0</v>
      </c>
      <c r="CC47" s="3284" t="e">
        <f t="shared" si="67"/>
        <v>#DIV/0!</v>
      </c>
      <c r="CD47" s="1449"/>
      <c r="CE47" s="3274"/>
      <c r="CF47" s="3274"/>
      <c r="CG47" s="2028">
        <f t="shared" si="89"/>
        <v>0</v>
      </c>
      <c r="CH47" s="3284" t="e">
        <f t="shared" si="68"/>
        <v>#DIV/0!</v>
      </c>
      <c r="CI47" s="1449"/>
      <c r="CJ47" s="3274"/>
      <c r="CK47" s="3274"/>
      <c r="CL47" s="2028">
        <f t="shared" si="90"/>
        <v>0</v>
      </c>
      <c r="CM47" s="3284" t="e">
        <f t="shared" si="69"/>
        <v>#DIV/0!</v>
      </c>
      <c r="CN47" s="1449"/>
      <c r="CO47" s="3274"/>
      <c r="CP47" s="3274"/>
      <c r="CQ47" s="2028">
        <f t="shared" si="91"/>
        <v>0</v>
      </c>
      <c r="CR47" s="3284" t="e">
        <f t="shared" si="70"/>
        <v>#DIV/0!</v>
      </c>
      <c r="CS47" s="1449"/>
      <c r="CT47" s="3274"/>
      <c r="CU47" s="3274"/>
      <c r="CV47" s="2028">
        <f t="shared" si="92"/>
        <v>0</v>
      </c>
      <c r="CW47" s="3284" t="e">
        <f t="shared" si="71"/>
        <v>#DIV/0!</v>
      </c>
      <c r="CX47" s="1449"/>
      <c r="CY47" s="3274">
        <f t="shared" si="93"/>
        <v>0</v>
      </c>
      <c r="CZ47" s="3274">
        <f t="shared" si="93"/>
        <v>140</v>
      </c>
      <c r="DA47" s="2028">
        <f t="shared" si="94"/>
        <v>140</v>
      </c>
      <c r="DB47" s="3284">
        <f t="shared" si="72"/>
        <v>7.3412198385116692E-5</v>
      </c>
      <c r="DC47" s="3295"/>
    </row>
    <row r="48" spans="1:107" ht="13.8" x14ac:dyDescent="0.25">
      <c r="A48" s="4015"/>
      <c r="B48" s="3319" t="s">
        <v>15</v>
      </c>
      <c r="C48" s="3274"/>
      <c r="D48" s="3274"/>
      <c r="E48" s="2028">
        <f t="shared" si="73"/>
        <v>0</v>
      </c>
      <c r="F48" s="3284">
        <f t="shared" si="60"/>
        <v>0</v>
      </c>
      <c r="G48" s="3295"/>
      <c r="H48" s="3274"/>
      <c r="I48" s="3274"/>
      <c r="J48" s="2028">
        <f t="shared" si="74"/>
        <v>0</v>
      </c>
      <c r="K48" s="3284">
        <f t="shared" si="61"/>
        <v>0</v>
      </c>
      <c r="L48" s="3295"/>
      <c r="M48" s="3274"/>
      <c r="N48" s="3274"/>
      <c r="O48" s="2028">
        <f t="shared" si="75"/>
        <v>0</v>
      </c>
      <c r="P48" s="3284">
        <f t="shared" si="2"/>
        <v>0</v>
      </c>
      <c r="Q48" s="3295"/>
      <c r="R48" s="3274"/>
      <c r="S48" s="3274"/>
      <c r="T48" s="2028">
        <f t="shared" si="76"/>
        <v>0</v>
      </c>
      <c r="U48" s="3284">
        <f t="shared" si="54"/>
        <v>0</v>
      </c>
      <c r="V48" s="3295"/>
      <c r="W48" s="3274"/>
      <c r="X48" s="3274"/>
      <c r="Y48" s="2028">
        <f t="shared" si="77"/>
        <v>0</v>
      </c>
      <c r="Z48" s="3284">
        <f t="shared" si="55"/>
        <v>0</v>
      </c>
      <c r="AA48" s="3295"/>
      <c r="AB48" s="3274"/>
      <c r="AC48" s="3274"/>
      <c r="AD48" s="2028">
        <f t="shared" si="78"/>
        <v>0</v>
      </c>
      <c r="AE48" s="3284">
        <f t="shared" si="56"/>
        <v>0</v>
      </c>
      <c r="AF48" s="3295"/>
      <c r="AG48" s="3274">
        <v>0</v>
      </c>
      <c r="AH48" s="3274">
        <v>0</v>
      </c>
      <c r="AI48" s="2028">
        <v>0</v>
      </c>
      <c r="AJ48" s="3284">
        <v>0</v>
      </c>
      <c r="AK48" s="3295"/>
      <c r="AL48" s="3274">
        <f t="shared" si="79"/>
        <v>0</v>
      </c>
      <c r="AM48" s="3274">
        <f t="shared" si="79"/>
        <v>0</v>
      </c>
      <c r="AN48" s="2028">
        <f t="shared" si="80"/>
        <v>0</v>
      </c>
      <c r="AO48" s="3284">
        <f t="shared" si="57"/>
        <v>0</v>
      </c>
      <c r="AP48" s="3295"/>
      <c r="AQ48" s="3274"/>
      <c r="AR48" s="3274"/>
      <c r="AS48" s="2028">
        <f t="shared" si="81"/>
        <v>0</v>
      </c>
      <c r="AT48" s="3284">
        <f t="shared" si="58"/>
        <v>0</v>
      </c>
      <c r="AU48" s="3295"/>
      <c r="AV48" s="3274"/>
      <c r="AW48" s="3274"/>
      <c r="AX48" s="2028">
        <f t="shared" si="82"/>
        <v>0</v>
      </c>
      <c r="AY48" s="3284">
        <f t="shared" si="59"/>
        <v>0</v>
      </c>
      <c r="AZ48" s="3295"/>
      <c r="BA48" s="3274"/>
      <c r="BB48" s="3274"/>
      <c r="BC48" s="2028">
        <f t="shared" si="83"/>
        <v>0</v>
      </c>
      <c r="BD48" s="3284">
        <f t="shared" si="62"/>
        <v>0</v>
      </c>
      <c r="BE48" s="3295"/>
      <c r="BF48" s="3274"/>
      <c r="BG48" s="3274"/>
      <c r="BH48" s="2028">
        <f t="shared" si="84"/>
        <v>0</v>
      </c>
      <c r="BI48" s="3284">
        <f t="shared" si="63"/>
        <v>0</v>
      </c>
      <c r="BJ48" s="3295"/>
      <c r="BK48" s="3274"/>
      <c r="BL48" s="3274"/>
      <c r="BM48" s="2028">
        <f t="shared" si="85"/>
        <v>0</v>
      </c>
      <c r="BN48" s="3284">
        <f t="shared" si="64"/>
        <v>0</v>
      </c>
      <c r="BO48" s="3295"/>
      <c r="BP48" s="3274"/>
      <c r="BQ48" s="3274"/>
      <c r="BR48" s="2028">
        <f t="shared" si="86"/>
        <v>0</v>
      </c>
      <c r="BS48" s="3284">
        <f t="shared" si="65"/>
        <v>0</v>
      </c>
      <c r="BT48" s="3295"/>
      <c r="BU48" s="3274"/>
      <c r="BV48" s="3274"/>
      <c r="BW48" s="2028">
        <f t="shared" si="87"/>
        <v>0</v>
      </c>
      <c r="BX48" s="3284" t="e">
        <f t="shared" si="66"/>
        <v>#DIV/0!</v>
      </c>
      <c r="BY48" s="3295"/>
      <c r="BZ48" s="3274"/>
      <c r="CA48" s="3274"/>
      <c r="CB48" s="2028">
        <f t="shared" si="88"/>
        <v>0</v>
      </c>
      <c r="CC48" s="3284" t="e">
        <f t="shared" si="67"/>
        <v>#DIV/0!</v>
      </c>
      <c r="CD48" s="1449"/>
      <c r="CE48" s="3274"/>
      <c r="CF48" s="3274"/>
      <c r="CG48" s="2028">
        <f t="shared" si="89"/>
        <v>0</v>
      </c>
      <c r="CH48" s="3284" t="e">
        <f t="shared" si="68"/>
        <v>#DIV/0!</v>
      </c>
      <c r="CI48" s="1449"/>
      <c r="CJ48" s="3274"/>
      <c r="CK48" s="3274"/>
      <c r="CL48" s="2028">
        <f t="shared" si="90"/>
        <v>0</v>
      </c>
      <c r="CM48" s="3284" t="e">
        <f t="shared" si="69"/>
        <v>#DIV/0!</v>
      </c>
      <c r="CN48" s="1449"/>
      <c r="CO48" s="3274"/>
      <c r="CP48" s="3274"/>
      <c r="CQ48" s="2028">
        <f t="shared" si="91"/>
        <v>0</v>
      </c>
      <c r="CR48" s="3284" t="e">
        <f t="shared" si="70"/>
        <v>#DIV/0!</v>
      </c>
      <c r="CS48" s="1449"/>
      <c r="CT48" s="3274"/>
      <c r="CU48" s="3274"/>
      <c r="CV48" s="2028">
        <f t="shared" si="92"/>
        <v>0</v>
      </c>
      <c r="CW48" s="3284" t="e">
        <f t="shared" si="71"/>
        <v>#DIV/0!</v>
      </c>
      <c r="CX48" s="1449"/>
      <c r="CY48" s="3274">
        <f t="shared" si="93"/>
        <v>0</v>
      </c>
      <c r="CZ48" s="3274">
        <f t="shared" si="93"/>
        <v>0</v>
      </c>
      <c r="DA48" s="2028">
        <f t="shared" si="94"/>
        <v>0</v>
      </c>
      <c r="DB48" s="3284">
        <f t="shared" si="72"/>
        <v>0</v>
      </c>
      <c r="DC48" s="3295"/>
    </row>
    <row r="49" spans="1:107" s="1411" customFormat="1" ht="14.4" thickBot="1" x14ac:dyDescent="0.3">
      <c r="A49" s="1420"/>
      <c r="B49" s="3320"/>
      <c r="C49" s="3274"/>
      <c r="D49" s="3274"/>
      <c r="E49" s="3313"/>
      <c r="F49" s="3284"/>
      <c r="G49" s="3313"/>
      <c r="H49" s="3274"/>
      <c r="I49" s="3274"/>
      <c r="J49" s="3313"/>
      <c r="K49" s="3284"/>
      <c r="L49" s="3313"/>
      <c r="M49" s="3274"/>
      <c r="N49" s="3274"/>
      <c r="O49" s="3313"/>
      <c r="P49" s="3284"/>
      <c r="Q49" s="3313"/>
      <c r="R49" s="3274"/>
      <c r="S49" s="3274"/>
      <c r="T49" s="3313"/>
      <c r="U49" s="3284"/>
      <c r="V49" s="3313"/>
      <c r="W49" s="3274"/>
      <c r="X49" s="3274"/>
      <c r="Y49" s="3313"/>
      <c r="Z49" s="3284"/>
      <c r="AA49" s="3313"/>
      <c r="AB49" s="3274"/>
      <c r="AC49" s="3274"/>
      <c r="AD49" s="3313"/>
      <c r="AE49" s="3284"/>
      <c r="AF49" s="3313"/>
      <c r="AG49" s="3274"/>
      <c r="AH49" s="3274"/>
      <c r="AI49" s="3313"/>
      <c r="AJ49" s="3284"/>
      <c r="AK49" s="3313"/>
      <c r="AL49" s="3274"/>
      <c r="AM49" s="3274"/>
      <c r="AN49" s="3313"/>
      <c r="AO49" s="3284"/>
      <c r="AP49" s="3313"/>
      <c r="AQ49" s="3274"/>
      <c r="AR49" s="3274"/>
      <c r="AS49" s="3313"/>
      <c r="AT49" s="3284"/>
      <c r="AU49" s="3313"/>
      <c r="AV49" s="3274"/>
      <c r="AW49" s="3274"/>
      <c r="AX49" s="3313"/>
      <c r="AY49" s="3284"/>
      <c r="AZ49" s="3313"/>
      <c r="BA49" s="3274"/>
      <c r="BB49" s="3274"/>
      <c r="BC49" s="3313"/>
      <c r="BD49" s="3284">
        <f t="shared" si="62"/>
        <v>0</v>
      </c>
      <c r="BE49" s="3313"/>
      <c r="BF49" s="3274"/>
      <c r="BG49" s="3274"/>
      <c r="BH49" s="3313"/>
      <c r="BI49" s="3284">
        <f t="shared" si="63"/>
        <v>0</v>
      </c>
      <c r="BJ49" s="3313"/>
      <c r="BK49" s="3274"/>
      <c r="BL49" s="3274"/>
      <c r="BM49" s="3313"/>
      <c r="BN49" s="3284">
        <f t="shared" si="64"/>
        <v>0</v>
      </c>
      <c r="BO49" s="3313"/>
      <c r="BP49" s="3274"/>
      <c r="BQ49" s="3274"/>
      <c r="BR49" s="3313"/>
      <c r="BS49" s="3284">
        <f t="shared" si="65"/>
        <v>0</v>
      </c>
      <c r="BT49" s="3313"/>
      <c r="BU49" s="3274"/>
      <c r="BV49" s="3274"/>
      <c r="BW49" s="3313"/>
      <c r="BX49" s="3284" t="e">
        <f t="shared" si="66"/>
        <v>#DIV/0!</v>
      </c>
      <c r="BY49" s="3313"/>
      <c r="BZ49" s="3274"/>
      <c r="CA49" s="3274"/>
      <c r="CB49" s="3313"/>
      <c r="CC49" s="3284" t="e">
        <f t="shared" si="67"/>
        <v>#DIV/0!</v>
      </c>
      <c r="CD49" s="3315"/>
      <c r="CE49" s="3274"/>
      <c r="CF49" s="3274"/>
      <c r="CG49" s="3313"/>
      <c r="CH49" s="3284" t="e">
        <f t="shared" si="68"/>
        <v>#DIV/0!</v>
      </c>
      <c r="CI49" s="3315"/>
      <c r="CJ49" s="3274"/>
      <c r="CK49" s="3274"/>
      <c r="CL49" s="3313"/>
      <c r="CM49" s="3284" t="e">
        <f t="shared" si="69"/>
        <v>#DIV/0!</v>
      </c>
      <c r="CN49" s="3315"/>
      <c r="CO49" s="3274"/>
      <c r="CP49" s="3274"/>
      <c r="CQ49" s="3313"/>
      <c r="CR49" s="3284" t="e">
        <f t="shared" si="70"/>
        <v>#DIV/0!</v>
      </c>
      <c r="CS49" s="3315"/>
      <c r="CT49" s="3274"/>
      <c r="CU49" s="3274"/>
      <c r="CV49" s="3313"/>
      <c r="CW49" s="3284" t="e">
        <f t="shared" si="71"/>
        <v>#DIV/0!</v>
      </c>
      <c r="CX49" s="3315"/>
      <c r="CY49" s="3274"/>
      <c r="CZ49" s="3274"/>
      <c r="DA49" s="3313"/>
      <c r="DB49" s="3284"/>
      <c r="DC49" s="3313"/>
    </row>
    <row r="50" spans="1:107" s="1411" customFormat="1" ht="13.8" x14ac:dyDescent="0.25">
      <c r="A50" s="1580"/>
      <c r="B50" s="1425" t="s">
        <v>59</v>
      </c>
      <c r="C50" s="2031">
        <f>C52+C51</f>
        <v>0</v>
      </c>
      <c r="D50" s="2031">
        <f>D52+D51</f>
        <v>0</v>
      </c>
      <c r="E50" s="2031">
        <f>SUM(E51:E52)</f>
        <v>0</v>
      </c>
      <c r="F50" s="2022">
        <f>E50/$E$89</f>
        <v>0</v>
      </c>
      <c r="G50" s="2022"/>
      <c r="H50" s="2031">
        <f>H52+H51</f>
        <v>0</v>
      </c>
      <c r="I50" s="2031">
        <f>I52+I51</f>
        <v>0</v>
      </c>
      <c r="J50" s="2031">
        <f>SUM(J51:J52)</f>
        <v>0</v>
      </c>
      <c r="K50" s="2022">
        <f>J50/$T$89</f>
        <v>0</v>
      </c>
      <c r="L50" s="2022"/>
      <c r="M50" s="2031">
        <f>M52+M51</f>
        <v>0</v>
      </c>
      <c r="N50" s="2031">
        <f>N52+N51</f>
        <v>0</v>
      </c>
      <c r="O50" s="2031">
        <f>SUM(O51:O52)</f>
        <v>0</v>
      </c>
      <c r="P50" s="2022">
        <f t="shared" si="2"/>
        <v>0</v>
      </c>
      <c r="Q50" s="2022"/>
      <c r="R50" s="2031">
        <f>R52+R51</f>
        <v>0</v>
      </c>
      <c r="S50" s="2031">
        <f>S52+S51</f>
        <v>0</v>
      </c>
      <c r="T50" s="2031">
        <f>SUM(T51:T52)</f>
        <v>0</v>
      </c>
      <c r="U50" s="2022">
        <f>T50/$O$89</f>
        <v>0</v>
      </c>
      <c r="V50" s="2022"/>
      <c r="W50" s="2031">
        <f>W52+W51</f>
        <v>0</v>
      </c>
      <c r="X50" s="2031">
        <f>X52+X51</f>
        <v>0</v>
      </c>
      <c r="Y50" s="2031">
        <f>SUM(Y51:Y52)</f>
        <v>0</v>
      </c>
      <c r="Z50" s="2022">
        <f>Y50/$O$89</f>
        <v>0</v>
      </c>
      <c r="AA50" s="2022"/>
      <c r="AB50" s="2031">
        <f>AB52+AB51</f>
        <v>0</v>
      </c>
      <c r="AC50" s="2031">
        <f>AC52+AC51</f>
        <v>0</v>
      </c>
      <c r="AD50" s="2031">
        <f>SUM(AD51:AD52)</f>
        <v>0</v>
      </c>
      <c r="AE50" s="2022">
        <f>AD50/$O$89</f>
        <v>0</v>
      </c>
      <c r="AF50" s="2022"/>
      <c r="AG50" s="2031">
        <v>0</v>
      </c>
      <c r="AH50" s="2031">
        <v>0</v>
      </c>
      <c r="AI50" s="2031">
        <v>0</v>
      </c>
      <c r="AJ50" s="2022">
        <v>0</v>
      </c>
      <c r="AK50" s="2022"/>
      <c r="AL50" s="2031">
        <f>AL52+AL51</f>
        <v>0</v>
      </c>
      <c r="AM50" s="2031">
        <f>AM52+AM51</f>
        <v>0</v>
      </c>
      <c r="AN50" s="2031">
        <f>SUM(AN51:AN52)</f>
        <v>0</v>
      </c>
      <c r="AO50" s="2022">
        <f t="shared" ref="AO50:AO52" si="95">AN50/$T$89</f>
        <v>0</v>
      </c>
      <c r="AP50" s="2022"/>
      <c r="AQ50" s="2031">
        <f>AQ52+AQ51</f>
        <v>0</v>
      </c>
      <c r="AR50" s="2031">
        <f>AR52+AR51</f>
        <v>0</v>
      </c>
      <c r="AS50" s="2031">
        <f>SUM(AS51:AS52)</f>
        <v>0</v>
      </c>
      <c r="AT50" s="2022">
        <f>AS50/$O$89</f>
        <v>0</v>
      </c>
      <c r="AU50" s="2022"/>
      <c r="AV50" s="2031">
        <f>AV52+AV51</f>
        <v>0</v>
      </c>
      <c r="AW50" s="2031">
        <f>AW52+AW51</f>
        <v>0</v>
      </c>
      <c r="AX50" s="2031">
        <f>SUM(AX51:AX52)</f>
        <v>0</v>
      </c>
      <c r="AY50" s="2022">
        <f>AX50/$E$89</f>
        <v>0</v>
      </c>
      <c r="AZ50" s="2022"/>
      <c r="BA50" s="2031">
        <f>BA52+BA51</f>
        <v>0</v>
      </c>
      <c r="BB50" s="2031">
        <f>BB52+BB51</f>
        <v>0</v>
      </c>
      <c r="BC50" s="2031">
        <f>SUM(BC51:BC52)</f>
        <v>0</v>
      </c>
      <c r="BD50" s="2022">
        <f t="shared" si="62"/>
        <v>0</v>
      </c>
      <c r="BE50" s="2022"/>
      <c r="BF50" s="2031">
        <f>BF52+BF51</f>
        <v>0</v>
      </c>
      <c r="BG50" s="2031">
        <f>BG52+BG51</f>
        <v>0</v>
      </c>
      <c r="BH50" s="2031">
        <f>SUM(BH51:BH52)</f>
        <v>0</v>
      </c>
      <c r="BI50" s="2022">
        <f t="shared" si="63"/>
        <v>0</v>
      </c>
      <c r="BJ50" s="2022"/>
      <c r="BK50" s="2031">
        <f>BK52+BK51</f>
        <v>0</v>
      </c>
      <c r="BL50" s="2031">
        <f>BL52+BL51</f>
        <v>0</v>
      </c>
      <c r="BM50" s="2031">
        <f>SUM(BM51:BM52)</f>
        <v>0</v>
      </c>
      <c r="BN50" s="2022">
        <f t="shared" si="64"/>
        <v>0</v>
      </c>
      <c r="BO50" s="2022"/>
      <c r="BP50" s="2031">
        <f>BP52+BP51</f>
        <v>0</v>
      </c>
      <c r="BQ50" s="2031">
        <f>BQ52+BQ51</f>
        <v>0</v>
      </c>
      <c r="BR50" s="2031">
        <f>SUM(BR51:BR52)</f>
        <v>0</v>
      </c>
      <c r="BS50" s="2022">
        <f t="shared" si="65"/>
        <v>0</v>
      </c>
      <c r="BT50" s="2022"/>
      <c r="BU50" s="2031">
        <f>BU52+BU51</f>
        <v>0</v>
      </c>
      <c r="BV50" s="2031">
        <f>BV52+BV51</f>
        <v>0</v>
      </c>
      <c r="BW50" s="2031">
        <f>SUM(BW51:BW52)</f>
        <v>0</v>
      </c>
      <c r="BX50" s="2022" t="e">
        <f t="shared" si="66"/>
        <v>#DIV/0!</v>
      </c>
      <c r="BY50" s="2022"/>
      <c r="BZ50" s="2031">
        <f>BZ52+BZ51</f>
        <v>0</v>
      </c>
      <c r="CA50" s="2031">
        <f>CA52+CA51</f>
        <v>0</v>
      </c>
      <c r="CB50" s="2031">
        <f>SUM(CB51:CB52)</f>
        <v>0</v>
      </c>
      <c r="CC50" s="2022" t="e">
        <f t="shared" si="67"/>
        <v>#DIV/0!</v>
      </c>
      <c r="CD50" s="1460"/>
      <c r="CE50" s="2031">
        <f>CE52+CE51</f>
        <v>0</v>
      </c>
      <c r="CF50" s="2031">
        <f>CF52+CF51</f>
        <v>0</v>
      </c>
      <c r="CG50" s="2031">
        <f>SUM(CG51:CG52)</f>
        <v>0</v>
      </c>
      <c r="CH50" s="2022" t="e">
        <f t="shared" si="68"/>
        <v>#DIV/0!</v>
      </c>
      <c r="CI50" s="1460"/>
      <c r="CJ50" s="2031">
        <f>CJ52+CJ51</f>
        <v>0</v>
      </c>
      <c r="CK50" s="2031">
        <f>CK52+CK51</f>
        <v>0</v>
      </c>
      <c r="CL50" s="2031">
        <f>SUM(CL51:CL52)</f>
        <v>0</v>
      </c>
      <c r="CM50" s="2022" t="e">
        <f t="shared" si="69"/>
        <v>#DIV/0!</v>
      </c>
      <c r="CN50" s="1460"/>
      <c r="CO50" s="2031">
        <f>CO52+CO51</f>
        <v>0</v>
      </c>
      <c r="CP50" s="2031">
        <f>CP52+CP51</f>
        <v>0</v>
      </c>
      <c r="CQ50" s="2031">
        <f>SUM(CQ51:CQ52)</f>
        <v>0</v>
      </c>
      <c r="CR50" s="2022" t="e">
        <f t="shared" si="70"/>
        <v>#DIV/0!</v>
      </c>
      <c r="CS50" s="1460"/>
      <c r="CT50" s="2031">
        <f>CT52+CT51</f>
        <v>0</v>
      </c>
      <c r="CU50" s="2031">
        <f>CU52+CU51</f>
        <v>0</v>
      </c>
      <c r="CV50" s="2031">
        <f>SUM(CV51:CV52)</f>
        <v>0</v>
      </c>
      <c r="CW50" s="2022" t="e">
        <f t="shared" si="71"/>
        <v>#DIV/0!</v>
      </c>
      <c r="CX50" s="1460"/>
      <c r="CY50" s="2031">
        <f>CY52+CY51</f>
        <v>0</v>
      </c>
      <c r="CZ50" s="2031">
        <f>CZ52+CZ51</f>
        <v>0</v>
      </c>
      <c r="DA50" s="2031">
        <f>SUM(DA51:DA52)</f>
        <v>0</v>
      </c>
      <c r="DB50" s="2022"/>
      <c r="DC50" s="2022"/>
    </row>
    <row r="51" spans="1:107" s="1411" customFormat="1" ht="13.8" x14ac:dyDescent="0.25">
      <c r="A51" s="1581"/>
      <c r="B51" s="3319" t="s">
        <v>60</v>
      </c>
      <c r="C51" s="3274"/>
      <c r="D51" s="3274"/>
      <c r="E51" s="2028">
        <f>C51+D51*1</f>
        <v>0</v>
      </c>
      <c r="F51" s="3284">
        <f>E51/$E$89</f>
        <v>0</v>
      </c>
      <c r="G51" s="3311"/>
      <c r="H51" s="3274"/>
      <c r="I51" s="3274"/>
      <c r="J51" s="2028">
        <f>H51+I51*1</f>
        <v>0</v>
      </c>
      <c r="K51" s="3284">
        <f>J51/$T$89</f>
        <v>0</v>
      </c>
      <c r="L51" s="3311"/>
      <c r="M51" s="3274"/>
      <c r="N51" s="3274"/>
      <c r="O51" s="2028">
        <f>M51+N51*1</f>
        <v>0</v>
      </c>
      <c r="P51" s="3284">
        <f t="shared" si="2"/>
        <v>0</v>
      </c>
      <c r="Q51" s="3311"/>
      <c r="R51" s="3274"/>
      <c r="S51" s="3274"/>
      <c r="T51" s="2028">
        <f>R51+S51*1</f>
        <v>0</v>
      </c>
      <c r="U51" s="3284">
        <f>T51/$O$89</f>
        <v>0</v>
      </c>
      <c r="V51" s="3311"/>
      <c r="W51" s="3274"/>
      <c r="X51" s="3274"/>
      <c r="Y51" s="2028">
        <f>W51+X51*1</f>
        <v>0</v>
      </c>
      <c r="Z51" s="3284">
        <f>Y51/$O$89</f>
        <v>0</v>
      </c>
      <c r="AA51" s="3311"/>
      <c r="AB51" s="3274"/>
      <c r="AC51" s="3274"/>
      <c r="AD51" s="2028">
        <f>AB51+AC51*1</f>
        <v>0</v>
      </c>
      <c r="AE51" s="3284">
        <f>AD51/$O$89</f>
        <v>0</v>
      </c>
      <c r="AF51" s="3311"/>
      <c r="AG51" s="3274">
        <v>0</v>
      </c>
      <c r="AH51" s="3274">
        <v>0</v>
      </c>
      <c r="AI51" s="2028">
        <v>0</v>
      </c>
      <c r="AJ51" s="3284">
        <v>0</v>
      </c>
      <c r="AK51" s="3311"/>
      <c r="AL51" s="3274">
        <f t="shared" ref="AL51:AM52" si="96">AQ51+AV51+BA51+BF51+BK51+BP51+BU51+BZ51+CE51+CJ51+CO51+CT51</f>
        <v>0</v>
      </c>
      <c r="AM51" s="3274">
        <f t="shared" si="96"/>
        <v>0</v>
      </c>
      <c r="AN51" s="2028">
        <f>AL51+AM51*1</f>
        <v>0</v>
      </c>
      <c r="AO51" s="3284">
        <f t="shared" si="95"/>
        <v>0</v>
      </c>
      <c r="AP51" s="3311"/>
      <c r="AQ51" s="3274"/>
      <c r="AR51" s="3274"/>
      <c r="AS51" s="2028">
        <f>AQ51+AR51*1</f>
        <v>0</v>
      </c>
      <c r="AT51" s="3284">
        <f>AS51/$O$89</f>
        <v>0</v>
      </c>
      <c r="AU51" s="3311"/>
      <c r="AV51" s="3274"/>
      <c r="AW51" s="3274"/>
      <c r="AX51" s="2028">
        <f>AV51+AW51*1</f>
        <v>0</v>
      </c>
      <c r="AY51" s="3284">
        <f>AX51/$E$89</f>
        <v>0</v>
      </c>
      <c r="AZ51" s="3311"/>
      <c r="BA51" s="3274"/>
      <c r="BB51" s="3274"/>
      <c r="BC51" s="2028">
        <f>BA51+BB51*1</f>
        <v>0</v>
      </c>
      <c r="BD51" s="3284">
        <f t="shared" si="62"/>
        <v>0</v>
      </c>
      <c r="BE51" s="3311"/>
      <c r="BF51" s="3274"/>
      <c r="BG51" s="3274"/>
      <c r="BH51" s="2028">
        <f>BF51+BG51*1</f>
        <v>0</v>
      </c>
      <c r="BI51" s="3284">
        <f t="shared" si="63"/>
        <v>0</v>
      </c>
      <c r="BJ51" s="3311"/>
      <c r="BK51" s="3274"/>
      <c r="BL51" s="3274"/>
      <c r="BM51" s="2028">
        <f>BK51+BL51*1</f>
        <v>0</v>
      </c>
      <c r="BN51" s="3284">
        <f t="shared" si="64"/>
        <v>0</v>
      </c>
      <c r="BO51" s="3311"/>
      <c r="BP51" s="3274"/>
      <c r="BQ51" s="3274"/>
      <c r="BR51" s="2028">
        <f>BP51+BQ51*1</f>
        <v>0</v>
      </c>
      <c r="BS51" s="3284">
        <f t="shared" si="65"/>
        <v>0</v>
      </c>
      <c r="BT51" s="3311"/>
      <c r="BU51" s="3274"/>
      <c r="BV51" s="3274"/>
      <c r="BW51" s="2028">
        <f>BU51+BV51*1</f>
        <v>0</v>
      </c>
      <c r="BX51" s="3284" t="e">
        <f t="shared" si="66"/>
        <v>#DIV/0!</v>
      </c>
      <c r="BY51" s="3311"/>
      <c r="BZ51" s="3274"/>
      <c r="CA51" s="3274"/>
      <c r="CB51" s="2028">
        <f>BZ51+CA51*1</f>
        <v>0</v>
      </c>
      <c r="CC51" s="3284" t="e">
        <f t="shared" si="67"/>
        <v>#DIV/0!</v>
      </c>
      <c r="CD51" s="3321"/>
      <c r="CE51" s="3274"/>
      <c r="CF51" s="3274"/>
      <c r="CG51" s="2028">
        <f>CE51+CF51*1</f>
        <v>0</v>
      </c>
      <c r="CH51" s="3284" t="e">
        <f t="shared" si="68"/>
        <v>#DIV/0!</v>
      </c>
      <c r="CI51" s="3321"/>
      <c r="CJ51" s="3274"/>
      <c r="CK51" s="3274"/>
      <c r="CL51" s="2028">
        <f>CJ51+CK51*1</f>
        <v>0</v>
      </c>
      <c r="CM51" s="3284" t="e">
        <f t="shared" si="69"/>
        <v>#DIV/0!</v>
      </c>
      <c r="CN51" s="3321"/>
      <c r="CO51" s="3274"/>
      <c r="CP51" s="3274"/>
      <c r="CQ51" s="2028">
        <f>CO51+CP51*1</f>
        <v>0</v>
      </c>
      <c r="CR51" s="3284" t="e">
        <f t="shared" si="70"/>
        <v>#DIV/0!</v>
      </c>
      <c r="CS51" s="3321"/>
      <c r="CT51" s="3274"/>
      <c r="CU51" s="3274"/>
      <c r="CV51" s="2028">
        <f>CT51+CU51*1</f>
        <v>0</v>
      </c>
      <c r="CW51" s="3284" t="e">
        <f t="shared" si="71"/>
        <v>#DIV/0!</v>
      </c>
      <c r="CX51" s="3321"/>
      <c r="CY51" s="3274">
        <f t="shared" ref="CY51:CZ52" si="97">C51+H51+M51+R51+W51+AB51+AQ51+AV51+BA51+BF51+BK51+BP51+BU51+BZ51+CE51+CJ51+CO51+CT51+AG51</f>
        <v>0</v>
      </c>
      <c r="CZ51" s="3274">
        <f t="shared" si="97"/>
        <v>0</v>
      </c>
      <c r="DA51" s="2028">
        <f>CY51+CZ51*1</f>
        <v>0</v>
      </c>
      <c r="DB51" s="3284">
        <f t="shared" si="72"/>
        <v>0</v>
      </c>
      <c r="DC51" s="3311"/>
    </row>
    <row r="52" spans="1:107" ht="13.8" x14ac:dyDescent="0.25">
      <c r="A52" s="1581"/>
      <c r="B52" s="3319" t="s">
        <v>61</v>
      </c>
      <c r="C52" s="3274"/>
      <c r="D52" s="3274"/>
      <c r="E52" s="2028">
        <f>C52+D52*1</f>
        <v>0</v>
      </c>
      <c r="F52" s="3284">
        <f>E52/$E$89</f>
        <v>0</v>
      </c>
      <c r="G52" s="3311"/>
      <c r="H52" s="3274"/>
      <c r="I52" s="3274"/>
      <c r="J52" s="2028">
        <f>H52+I52*1</f>
        <v>0</v>
      </c>
      <c r="K52" s="3284">
        <f>J52/$T$89</f>
        <v>0</v>
      </c>
      <c r="L52" s="3311"/>
      <c r="M52" s="3274"/>
      <c r="N52" s="3274"/>
      <c r="O52" s="2028">
        <f>M52+N52*1</f>
        <v>0</v>
      </c>
      <c r="P52" s="3284">
        <f t="shared" si="2"/>
        <v>0</v>
      </c>
      <c r="Q52" s="3311"/>
      <c r="R52" s="3274"/>
      <c r="S52" s="3274"/>
      <c r="T52" s="2028">
        <f>R52+S52*1</f>
        <v>0</v>
      </c>
      <c r="U52" s="3284">
        <f>T52/$O$89</f>
        <v>0</v>
      </c>
      <c r="V52" s="3311"/>
      <c r="W52" s="3274"/>
      <c r="X52" s="3274"/>
      <c r="Y52" s="2028">
        <f>W52+X52*1</f>
        <v>0</v>
      </c>
      <c r="Z52" s="3284">
        <f>Y52/$O$89</f>
        <v>0</v>
      </c>
      <c r="AA52" s="3311"/>
      <c r="AB52" s="3274"/>
      <c r="AC52" s="3274"/>
      <c r="AD52" s="2028">
        <f>AB52+AC52*1</f>
        <v>0</v>
      </c>
      <c r="AE52" s="3284">
        <f>AD52/$O$89</f>
        <v>0</v>
      </c>
      <c r="AF52" s="3311"/>
      <c r="AG52" s="3274">
        <v>0</v>
      </c>
      <c r="AH52" s="3274">
        <v>0</v>
      </c>
      <c r="AI52" s="2028">
        <v>0</v>
      </c>
      <c r="AJ52" s="3284">
        <v>0</v>
      </c>
      <c r="AK52" s="3311"/>
      <c r="AL52" s="3274">
        <f t="shared" si="96"/>
        <v>0</v>
      </c>
      <c r="AM52" s="3274">
        <f t="shared" si="96"/>
        <v>0</v>
      </c>
      <c r="AN52" s="2028">
        <f>AL52+AM52*1</f>
        <v>0</v>
      </c>
      <c r="AO52" s="3284">
        <f t="shared" si="95"/>
        <v>0</v>
      </c>
      <c r="AP52" s="3311"/>
      <c r="AQ52" s="3274"/>
      <c r="AR52" s="3274"/>
      <c r="AS52" s="2028">
        <f>AQ52+AR52*1</f>
        <v>0</v>
      </c>
      <c r="AT52" s="3284">
        <f>AS52/$O$89</f>
        <v>0</v>
      </c>
      <c r="AU52" s="3311"/>
      <c r="AV52" s="3274"/>
      <c r="AW52" s="3274"/>
      <c r="AX52" s="2028">
        <f>AV52+AW52*1</f>
        <v>0</v>
      </c>
      <c r="AY52" s="3284">
        <f>AX52/$E$89</f>
        <v>0</v>
      </c>
      <c r="AZ52" s="3311"/>
      <c r="BA52" s="3274"/>
      <c r="BB52" s="3274"/>
      <c r="BC52" s="2028">
        <f>BA52+BB52*1</f>
        <v>0</v>
      </c>
      <c r="BD52" s="3284">
        <f t="shared" si="62"/>
        <v>0</v>
      </c>
      <c r="BE52" s="3311"/>
      <c r="BF52" s="3274"/>
      <c r="BG52" s="3274"/>
      <c r="BH52" s="2028">
        <f>BF52+BG52*1</f>
        <v>0</v>
      </c>
      <c r="BI52" s="3284">
        <f t="shared" si="63"/>
        <v>0</v>
      </c>
      <c r="BJ52" s="3311"/>
      <c r="BK52" s="3274"/>
      <c r="BL52" s="3274"/>
      <c r="BM52" s="2028">
        <f>BK52+BL52*1</f>
        <v>0</v>
      </c>
      <c r="BN52" s="3284">
        <f t="shared" si="64"/>
        <v>0</v>
      </c>
      <c r="BO52" s="3311"/>
      <c r="BP52" s="3274"/>
      <c r="BQ52" s="3274"/>
      <c r="BR52" s="2028">
        <f>BP52+BQ52*1</f>
        <v>0</v>
      </c>
      <c r="BS52" s="3284">
        <f t="shared" si="65"/>
        <v>0</v>
      </c>
      <c r="BT52" s="3311"/>
      <c r="BU52" s="3274"/>
      <c r="BV52" s="3274"/>
      <c r="BW52" s="2028">
        <f>BU52+BV52*1</f>
        <v>0</v>
      </c>
      <c r="BX52" s="3284" t="e">
        <f t="shared" si="66"/>
        <v>#DIV/0!</v>
      </c>
      <c r="BY52" s="3311"/>
      <c r="BZ52" s="3274"/>
      <c r="CA52" s="3274"/>
      <c r="CB52" s="2028">
        <f>BZ52+CA52*1</f>
        <v>0</v>
      </c>
      <c r="CC52" s="3284" t="e">
        <f t="shared" si="67"/>
        <v>#DIV/0!</v>
      </c>
      <c r="CD52" s="3321"/>
      <c r="CE52" s="3274"/>
      <c r="CF52" s="3274"/>
      <c r="CG52" s="2028">
        <f>CE52+CF52*1</f>
        <v>0</v>
      </c>
      <c r="CH52" s="3284" t="e">
        <f t="shared" si="68"/>
        <v>#DIV/0!</v>
      </c>
      <c r="CI52" s="3321"/>
      <c r="CJ52" s="3274"/>
      <c r="CK52" s="3274"/>
      <c r="CL52" s="2028">
        <f>CJ52+CK52*1</f>
        <v>0</v>
      </c>
      <c r="CM52" s="3284" t="e">
        <f t="shared" si="69"/>
        <v>#DIV/0!</v>
      </c>
      <c r="CN52" s="3321"/>
      <c r="CO52" s="3274"/>
      <c r="CP52" s="3274"/>
      <c r="CQ52" s="2028">
        <f>CO52+CP52*1</f>
        <v>0</v>
      </c>
      <c r="CR52" s="3284" t="e">
        <f t="shared" si="70"/>
        <v>#DIV/0!</v>
      </c>
      <c r="CS52" s="3321"/>
      <c r="CT52" s="3274"/>
      <c r="CU52" s="3274"/>
      <c r="CV52" s="2028">
        <f>CT52+CU52*1</f>
        <v>0</v>
      </c>
      <c r="CW52" s="3284" t="e">
        <f t="shared" si="71"/>
        <v>#DIV/0!</v>
      </c>
      <c r="CX52" s="3321"/>
      <c r="CY52" s="3274">
        <f t="shared" si="97"/>
        <v>0</v>
      </c>
      <c r="CZ52" s="3274">
        <f t="shared" si="97"/>
        <v>0</v>
      </c>
      <c r="DA52" s="2028">
        <f>CY52+CZ52*1</f>
        <v>0</v>
      </c>
      <c r="DB52" s="3284">
        <f t="shared" si="72"/>
        <v>0</v>
      </c>
      <c r="DC52" s="3311"/>
    </row>
    <row r="53" spans="1:107" ht="14.4" thickBot="1" x14ac:dyDescent="0.3">
      <c r="A53" s="1428"/>
      <c r="B53" s="3322"/>
      <c r="C53" s="3274"/>
      <c r="D53" s="3274"/>
      <c r="E53" s="3227"/>
      <c r="F53" s="3227"/>
      <c r="G53" s="3227"/>
      <c r="H53" s="3274"/>
      <c r="I53" s="3274"/>
      <c r="J53" s="3227"/>
      <c r="K53" s="3227"/>
      <c r="L53" s="3227"/>
      <c r="M53" s="3274"/>
      <c r="N53" s="3274"/>
      <c r="O53" s="3227"/>
      <c r="P53" s="3227"/>
      <c r="Q53" s="3227"/>
      <c r="R53" s="3274"/>
      <c r="S53" s="3274"/>
      <c r="T53" s="3227"/>
      <c r="U53" s="3227"/>
      <c r="V53" s="3227"/>
      <c r="W53" s="3274"/>
      <c r="X53" s="3274"/>
      <c r="Y53" s="3227"/>
      <c r="Z53" s="3227"/>
      <c r="AA53" s="3227"/>
      <c r="AB53" s="3274"/>
      <c r="AC53" s="3274"/>
      <c r="AD53" s="3227"/>
      <c r="AE53" s="3227"/>
      <c r="AF53" s="3227"/>
      <c r="AG53" s="3274"/>
      <c r="AH53" s="3274"/>
      <c r="AI53" s="3227"/>
      <c r="AJ53" s="3227"/>
      <c r="AK53" s="3227"/>
      <c r="AL53" s="3274"/>
      <c r="AM53" s="3274"/>
      <c r="AN53" s="3227"/>
      <c r="AO53" s="3227"/>
      <c r="AP53" s="3227"/>
      <c r="AQ53" s="3274"/>
      <c r="AR53" s="3274"/>
      <c r="AS53" s="3227"/>
      <c r="AT53" s="3227"/>
      <c r="AU53" s="3227"/>
      <c r="AV53" s="3274"/>
      <c r="AW53" s="3274"/>
      <c r="AX53" s="3227"/>
      <c r="AY53" s="3227"/>
      <c r="AZ53" s="3227"/>
      <c r="BA53" s="3274"/>
      <c r="BB53" s="3274"/>
      <c r="BC53" s="3227"/>
      <c r="BD53" s="3227"/>
      <c r="BE53" s="3227"/>
      <c r="BF53" s="3274"/>
      <c r="BG53" s="3274"/>
      <c r="BH53" s="3227"/>
      <c r="BI53" s="3227"/>
      <c r="BJ53" s="3227"/>
      <c r="BK53" s="3274"/>
      <c r="BL53" s="3274"/>
      <c r="BM53" s="3227"/>
      <c r="BN53" s="3227"/>
      <c r="BO53" s="3227"/>
      <c r="BP53" s="3274"/>
      <c r="BQ53" s="3274"/>
      <c r="BR53" s="3227"/>
      <c r="BS53" s="3227"/>
      <c r="BT53" s="3227"/>
      <c r="BU53" s="3274"/>
      <c r="BV53" s="3274"/>
      <c r="BW53" s="3227"/>
      <c r="BX53" s="3227"/>
      <c r="BY53" s="3227"/>
      <c r="BZ53" s="3274"/>
      <c r="CA53" s="3274"/>
      <c r="CB53" s="3227"/>
      <c r="CC53" s="3227"/>
      <c r="CD53" s="1328"/>
      <c r="CE53" s="3274"/>
      <c r="CF53" s="3274"/>
      <c r="CG53" s="3227"/>
      <c r="CH53" s="3227"/>
      <c r="CI53" s="1328"/>
      <c r="CJ53" s="3274"/>
      <c r="CK53" s="3274"/>
      <c r="CL53" s="3227"/>
      <c r="CM53" s="3227"/>
      <c r="CN53" s="1328"/>
      <c r="CO53" s="3274"/>
      <c r="CP53" s="3274"/>
      <c r="CQ53" s="3227"/>
      <c r="CR53" s="3227"/>
      <c r="CS53" s="1328"/>
      <c r="CT53" s="3274"/>
      <c r="CU53" s="3274"/>
      <c r="CV53" s="3227"/>
      <c r="CW53" s="3227"/>
      <c r="CX53" s="1328"/>
      <c r="CY53" s="3274"/>
      <c r="CZ53" s="3274"/>
      <c r="DA53" s="3227"/>
      <c r="DB53" s="3227"/>
      <c r="DC53" s="3227"/>
    </row>
    <row r="54" spans="1:107" ht="13.8" x14ac:dyDescent="0.25">
      <c r="A54" s="1585"/>
      <c r="B54" s="1425" t="s">
        <v>1</v>
      </c>
      <c r="C54" s="2031">
        <f>SUM(C55:C72)</f>
        <v>0</v>
      </c>
      <c r="D54" s="2031">
        <f>SUM(D55:D72)</f>
        <v>1061</v>
      </c>
      <c r="E54" s="2031">
        <f>SUM(E55:E72)</f>
        <v>1061</v>
      </c>
      <c r="F54" s="3318">
        <f t="shared" ref="F54:F71" si="98">E54/$E$89</f>
        <v>1.6887177329357312E-2</v>
      </c>
      <c r="G54" s="2022"/>
      <c r="H54" s="2031">
        <f>SUM(H55:H72)</f>
        <v>0</v>
      </c>
      <c r="I54" s="2031">
        <f>SUM(I55:I72)</f>
        <v>0</v>
      </c>
      <c r="J54" s="2031">
        <f>SUM(J55:J72)</f>
        <v>0</v>
      </c>
      <c r="K54" s="3318">
        <f t="shared" ref="K54:K71" si="99">J54/$T$89</f>
        <v>0</v>
      </c>
      <c r="L54" s="2022"/>
      <c r="M54" s="2031">
        <f>SUM(M55:M72)</f>
        <v>0</v>
      </c>
      <c r="N54" s="2031">
        <f>SUM(N55:N72)</f>
        <v>59</v>
      </c>
      <c r="O54" s="2031">
        <f>SUM(O55:O72)</f>
        <v>59</v>
      </c>
      <c r="P54" s="3318">
        <f t="shared" si="2"/>
        <v>2.9820802546421358E-4</v>
      </c>
      <c r="Q54" s="2022"/>
      <c r="R54" s="2031">
        <f>SUM(R55:R72)</f>
        <v>0</v>
      </c>
      <c r="S54" s="2031">
        <f>SUM(S55:S72)</f>
        <v>0</v>
      </c>
      <c r="T54" s="2031">
        <f>SUM(T55:T72)</f>
        <v>0</v>
      </c>
      <c r="U54" s="3318">
        <f t="shared" ref="U54:U71" si="100">T54/$O$89</f>
        <v>0</v>
      </c>
      <c r="V54" s="2022"/>
      <c r="W54" s="2031">
        <f>SUM(W55:W72)</f>
        <v>0</v>
      </c>
      <c r="X54" s="2031">
        <f>SUM(X55:X72)</f>
        <v>0</v>
      </c>
      <c r="Y54" s="2031">
        <f>SUM(Y55:Y72)</f>
        <v>0</v>
      </c>
      <c r="Z54" s="3318">
        <f t="shared" ref="Z54:Z71" si="101">Y54/$O$89</f>
        <v>0</v>
      </c>
      <c r="AA54" s="2022"/>
      <c r="AB54" s="2031">
        <f>SUM(AB55:AB72)</f>
        <v>0</v>
      </c>
      <c r="AC54" s="2031">
        <f>SUM(AC55:AC72)</f>
        <v>0</v>
      </c>
      <c r="AD54" s="2031">
        <f>SUM(AD55:AD72)</f>
        <v>0</v>
      </c>
      <c r="AE54" s="3318">
        <f t="shared" ref="AE54:AE71" si="102">AD54/$O$89</f>
        <v>0</v>
      </c>
      <c r="AF54" s="2022"/>
      <c r="AG54" s="2031">
        <v>0</v>
      </c>
      <c r="AH54" s="2031">
        <v>30</v>
      </c>
      <c r="AI54" s="2031">
        <v>30</v>
      </c>
      <c r="AJ54" s="3318">
        <v>4.2802938104702267E-4</v>
      </c>
      <c r="AK54" s="2022"/>
      <c r="AL54" s="2031">
        <f>SUM(AL55:AL72)</f>
        <v>0</v>
      </c>
      <c r="AM54" s="2031">
        <f>SUM(AM55:AM72)</f>
        <v>0</v>
      </c>
      <c r="AN54" s="2031">
        <f>SUM(AN55:AN72)</f>
        <v>0</v>
      </c>
      <c r="AO54" s="3318">
        <f t="shared" ref="AO54:AO71" si="103">AN54/$T$89</f>
        <v>0</v>
      </c>
      <c r="AP54" s="2022"/>
      <c r="AQ54" s="2031">
        <f>SUM(AQ55:AQ72)</f>
        <v>0</v>
      </c>
      <c r="AR54" s="2031">
        <f>SUM(AR55:AR72)</f>
        <v>0</v>
      </c>
      <c r="AS54" s="2031">
        <f>SUM(AS55:AS72)</f>
        <v>0</v>
      </c>
      <c r="AT54" s="3318">
        <f t="shared" ref="AT54:AT71" si="104">AS54/$O$89</f>
        <v>0</v>
      </c>
      <c r="AU54" s="2022"/>
      <c r="AV54" s="2031">
        <f>SUM(AV55:AV72)</f>
        <v>0</v>
      </c>
      <c r="AW54" s="2031">
        <f>SUM(AW55:AW72)</f>
        <v>0</v>
      </c>
      <c r="AX54" s="2031">
        <f>SUM(AX55:AX72)</f>
        <v>0</v>
      </c>
      <c r="AY54" s="3318">
        <f t="shared" ref="AY54:AY71" si="105">AX54/$E$89</f>
        <v>0</v>
      </c>
      <c r="AZ54" s="2022"/>
      <c r="BA54" s="2031">
        <f>SUM(BA55:BA72)</f>
        <v>0</v>
      </c>
      <c r="BB54" s="2031">
        <f>SUM(BB55:BB72)</f>
        <v>0</v>
      </c>
      <c r="BC54" s="2031">
        <f>SUM(BC55:BC72)</f>
        <v>0</v>
      </c>
      <c r="BD54" s="3318">
        <f t="shared" ref="BD54:BD71" si="106">BC54/$AD$89</f>
        <v>0</v>
      </c>
      <c r="BE54" s="2022"/>
      <c r="BF54" s="2031">
        <f>SUM(BF55:BF72)</f>
        <v>0</v>
      </c>
      <c r="BG54" s="2031">
        <f>SUM(BG55:BG72)</f>
        <v>0</v>
      </c>
      <c r="BH54" s="2031">
        <f>SUM(BH55:BH72)</f>
        <v>0</v>
      </c>
      <c r="BI54" s="3318">
        <f t="shared" ref="BI54:BI71" si="107">BH54/$AD$89</f>
        <v>0</v>
      </c>
      <c r="BJ54" s="2022"/>
      <c r="BK54" s="2031">
        <f>SUM(BK55:BK72)</f>
        <v>0</v>
      </c>
      <c r="BL54" s="2031">
        <f>SUM(BL55:BL72)</f>
        <v>0</v>
      </c>
      <c r="BM54" s="2031">
        <f>SUM(BM55:BM72)</f>
        <v>0</v>
      </c>
      <c r="BN54" s="3318">
        <f t="shared" ref="BN54:BN71" si="108">BM54/$AD$89</f>
        <v>0</v>
      </c>
      <c r="BO54" s="2022"/>
      <c r="BP54" s="2031">
        <f>SUM(BP55:BP72)</f>
        <v>0</v>
      </c>
      <c r="BQ54" s="2031">
        <f>SUM(BQ55:BQ72)</f>
        <v>0</v>
      </c>
      <c r="BR54" s="2031">
        <f>SUM(BR55:BR72)</f>
        <v>0</v>
      </c>
      <c r="BS54" s="3318">
        <f t="shared" ref="BS54:BS71" si="109">BR54/$AD$89</f>
        <v>0</v>
      </c>
      <c r="BT54" s="2022"/>
      <c r="BU54" s="2031">
        <f>SUM(BU55:BU72)</f>
        <v>0</v>
      </c>
      <c r="BV54" s="2031">
        <f>SUM(BV55:BV72)</f>
        <v>0</v>
      </c>
      <c r="BW54" s="2031">
        <f>SUM(BW55:BW72)</f>
        <v>0</v>
      </c>
      <c r="BX54" s="3318" t="e">
        <f t="shared" ref="BX54:BX71" si="110">BW54/$AN$89</f>
        <v>#DIV/0!</v>
      </c>
      <c r="BY54" s="2022"/>
      <c r="BZ54" s="2031">
        <f>SUM(BZ55:BZ72)</f>
        <v>0</v>
      </c>
      <c r="CA54" s="2031">
        <f>SUM(CA55:CA72)</f>
        <v>0</v>
      </c>
      <c r="CB54" s="2031">
        <f>SUM(CB55:CB72)</f>
        <v>0</v>
      </c>
      <c r="CC54" s="3318" t="e">
        <f t="shared" ref="CC54:CC71" si="111">CB54/$AN$89</f>
        <v>#DIV/0!</v>
      </c>
      <c r="CD54" s="1460"/>
      <c r="CE54" s="2031">
        <f>SUM(CE55:CE72)</f>
        <v>0</v>
      </c>
      <c r="CF54" s="2031">
        <f>SUM(CF55:CF72)</f>
        <v>0</v>
      </c>
      <c r="CG54" s="2031">
        <f>SUM(CG55:CG72)</f>
        <v>0</v>
      </c>
      <c r="CH54" s="3318" t="e">
        <f t="shared" ref="CH54:CH71" si="112">CG54/$AN$89</f>
        <v>#DIV/0!</v>
      </c>
      <c r="CI54" s="1460"/>
      <c r="CJ54" s="2031">
        <f>SUM(CJ55:CJ72)</f>
        <v>0</v>
      </c>
      <c r="CK54" s="2031">
        <f>SUM(CK55:CK72)</f>
        <v>0</v>
      </c>
      <c r="CL54" s="2031">
        <f>SUM(CL55:CL72)</f>
        <v>0</v>
      </c>
      <c r="CM54" s="3318" t="e">
        <f t="shared" ref="CM54:CM71" si="113">CL54/$AN$89</f>
        <v>#DIV/0!</v>
      </c>
      <c r="CN54" s="1460"/>
      <c r="CO54" s="2031">
        <f>SUM(CO55:CO72)</f>
        <v>0</v>
      </c>
      <c r="CP54" s="2031">
        <f>SUM(CP55:CP72)</f>
        <v>0</v>
      </c>
      <c r="CQ54" s="2031">
        <f>SUM(CQ55:CQ72)</f>
        <v>0</v>
      </c>
      <c r="CR54" s="3318" t="e">
        <f t="shared" ref="CR54:CR71" si="114">CQ54/$AN$89</f>
        <v>#DIV/0!</v>
      </c>
      <c r="CS54" s="1460"/>
      <c r="CT54" s="2031">
        <f>SUM(CT55:CT72)</f>
        <v>0</v>
      </c>
      <c r="CU54" s="2031">
        <f>SUM(CU55:CU72)</f>
        <v>0</v>
      </c>
      <c r="CV54" s="2031">
        <f>SUM(CV55:CV72)</f>
        <v>0</v>
      </c>
      <c r="CW54" s="3318" t="e">
        <f t="shared" ref="CW54:CW71" si="115">CV54/$AN$89</f>
        <v>#DIV/0!</v>
      </c>
      <c r="CX54" s="1460"/>
      <c r="CY54" s="2031">
        <f>SUM(CY55:CY72)</f>
        <v>0</v>
      </c>
      <c r="CZ54" s="2031">
        <f>SUM(CZ55:CZ72)</f>
        <v>1150</v>
      </c>
      <c r="DA54" s="2031">
        <f>SUM(DA55:DA72)</f>
        <v>1150</v>
      </c>
      <c r="DB54" s="1549">
        <f t="shared" si="72"/>
        <v>6.030287724491728E-4</v>
      </c>
      <c r="DC54" s="2022"/>
    </row>
    <row r="55" spans="1:107" ht="13.8" x14ac:dyDescent="0.25">
      <c r="A55" s="1586"/>
      <c r="B55" s="3310" t="s">
        <v>77</v>
      </c>
      <c r="C55" s="3283"/>
      <c r="D55" s="3283"/>
      <c r="E55" s="2028">
        <f t="shared" ref="E55:E71" si="116">C55+D55*1</f>
        <v>0</v>
      </c>
      <c r="F55" s="3284">
        <f t="shared" si="98"/>
        <v>0</v>
      </c>
      <c r="G55" s="3295"/>
      <c r="H55" s="3283"/>
      <c r="I55" s="3283"/>
      <c r="J55" s="2028">
        <f t="shared" ref="J55:J71" si="117">H55+I55*1</f>
        <v>0</v>
      </c>
      <c r="K55" s="3284">
        <f t="shared" si="99"/>
        <v>0</v>
      </c>
      <c r="L55" s="3295"/>
      <c r="M55" s="3283"/>
      <c r="N55" s="3283"/>
      <c r="O55" s="2028">
        <f t="shared" ref="O55:O71" si="118">M55+N55*1</f>
        <v>0</v>
      </c>
      <c r="P55" s="3284">
        <f t="shared" si="2"/>
        <v>0</v>
      </c>
      <c r="Q55" s="3295"/>
      <c r="R55" s="3283"/>
      <c r="S55" s="3283"/>
      <c r="T55" s="2028">
        <f t="shared" ref="T55:T71" si="119">R55+S55*1</f>
        <v>0</v>
      </c>
      <c r="U55" s="3284">
        <f t="shared" si="100"/>
        <v>0</v>
      </c>
      <c r="V55" s="3295"/>
      <c r="W55" s="3283"/>
      <c r="X55" s="3283"/>
      <c r="Y55" s="2028">
        <f t="shared" ref="Y55:Y71" si="120">W55+X55*1</f>
        <v>0</v>
      </c>
      <c r="Z55" s="3284">
        <f t="shared" si="101"/>
        <v>0</v>
      </c>
      <c r="AA55" s="3295"/>
      <c r="AB55" s="3283"/>
      <c r="AC55" s="3283"/>
      <c r="AD55" s="2028">
        <f t="shared" ref="AD55:AD71" si="121">AB55+AC55*1</f>
        <v>0</v>
      </c>
      <c r="AE55" s="3284">
        <f t="shared" si="102"/>
        <v>0</v>
      </c>
      <c r="AF55" s="3295"/>
      <c r="AG55" s="3274">
        <v>0</v>
      </c>
      <c r="AH55" s="3274">
        <v>0</v>
      </c>
      <c r="AI55" s="2028">
        <v>0</v>
      </c>
      <c r="AJ55" s="3284">
        <v>0</v>
      </c>
      <c r="AK55" s="3295"/>
      <c r="AL55" s="3274">
        <f t="shared" ref="AL55:AM71" si="122">AQ55+AV55+BA55+BF55+BK55+BP55+BU55+BZ55+CE55+CJ55+CO55+CT55</f>
        <v>0</v>
      </c>
      <c r="AM55" s="3274">
        <f t="shared" si="122"/>
        <v>0</v>
      </c>
      <c r="AN55" s="2028">
        <f t="shared" ref="AN55:AN71" si="123">AL55+AM55*1</f>
        <v>0</v>
      </c>
      <c r="AO55" s="3284">
        <f t="shared" si="103"/>
        <v>0</v>
      </c>
      <c r="AP55" s="3295"/>
      <c r="AQ55" s="3283"/>
      <c r="AR55" s="3283"/>
      <c r="AS55" s="2028">
        <f t="shared" ref="AS55:AS71" si="124">AQ55+AR55*1</f>
        <v>0</v>
      </c>
      <c r="AT55" s="3284">
        <f t="shared" si="104"/>
        <v>0</v>
      </c>
      <c r="AU55" s="3295"/>
      <c r="AV55" s="3283"/>
      <c r="AW55" s="3283"/>
      <c r="AX55" s="2028">
        <f t="shared" ref="AX55:AX71" si="125">AV55+AW55*1</f>
        <v>0</v>
      </c>
      <c r="AY55" s="3284">
        <f t="shared" si="105"/>
        <v>0</v>
      </c>
      <c r="AZ55" s="3295"/>
      <c r="BA55" s="3283"/>
      <c r="BB55" s="3283"/>
      <c r="BC55" s="2028">
        <f t="shared" ref="BC55:BC71" si="126">BA55+BB55*1</f>
        <v>0</v>
      </c>
      <c r="BD55" s="3284">
        <f t="shared" si="106"/>
        <v>0</v>
      </c>
      <c r="BE55" s="3295"/>
      <c r="BF55" s="3283"/>
      <c r="BG55" s="3283"/>
      <c r="BH55" s="2028">
        <f t="shared" ref="BH55:BH71" si="127">BF55+BG55*1</f>
        <v>0</v>
      </c>
      <c r="BI55" s="3284">
        <f t="shared" si="107"/>
        <v>0</v>
      </c>
      <c r="BJ55" s="3295"/>
      <c r="BK55" s="3283"/>
      <c r="BL55" s="3283"/>
      <c r="BM55" s="2028">
        <f t="shared" ref="BM55:BM71" si="128">BK55+BL55*1</f>
        <v>0</v>
      </c>
      <c r="BN55" s="3284">
        <f t="shared" si="108"/>
        <v>0</v>
      </c>
      <c r="BO55" s="3295"/>
      <c r="BP55" s="3283"/>
      <c r="BQ55" s="3283"/>
      <c r="BR55" s="2028">
        <f t="shared" ref="BR55:BR71" si="129">BP55+BQ55*1</f>
        <v>0</v>
      </c>
      <c r="BS55" s="3284">
        <f t="shared" si="109"/>
        <v>0</v>
      </c>
      <c r="BT55" s="3295"/>
      <c r="BU55" s="3283"/>
      <c r="BV55" s="3283"/>
      <c r="BW55" s="2028">
        <f t="shared" ref="BW55:BW71" si="130">BU55+BV55*1</f>
        <v>0</v>
      </c>
      <c r="BX55" s="3284" t="e">
        <f t="shared" si="110"/>
        <v>#DIV/0!</v>
      </c>
      <c r="BY55" s="3295"/>
      <c r="BZ55" s="3283"/>
      <c r="CA55" s="3283"/>
      <c r="CB55" s="2028">
        <f t="shared" ref="CB55:CB71" si="131">BZ55+CA55*1</f>
        <v>0</v>
      </c>
      <c r="CC55" s="3284" t="e">
        <f t="shared" si="111"/>
        <v>#DIV/0!</v>
      </c>
      <c r="CD55" s="1449"/>
      <c r="CE55" s="3283"/>
      <c r="CF55" s="3283"/>
      <c r="CG55" s="2028">
        <f t="shared" ref="CG55:CG71" si="132">CE55+CF55*1</f>
        <v>0</v>
      </c>
      <c r="CH55" s="3284" t="e">
        <f t="shared" si="112"/>
        <v>#DIV/0!</v>
      </c>
      <c r="CI55" s="1449"/>
      <c r="CJ55" s="3283"/>
      <c r="CK55" s="3283"/>
      <c r="CL55" s="2028">
        <f t="shared" ref="CL55:CL71" si="133">CJ55+CK55*1</f>
        <v>0</v>
      </c>
      <c r="CM55" s="3284" t="e">
        <f t="shared" si="113"/>
        <v>#DIV/0!</v>
      </c>
      <c r="CN55" s="1449"/>
      <c r="CO55" s="3283"/>
      <c r="CP55" s="3283"/>
      <c r="CQ55" s="2028">
        <f t="shared" ref="CQ55:CQ71" si="134">CO55+CP55*1</f>
        <v>0</v>
      </c>
      <c r="CR55" s="3284" t="e">
        <f t="shared" si="114"/>
        <v>#DIV/0!</v>
      </c>
      <c r="CS55" s="1449"/>
      <c r="CT55" s="3283"/>
      <c r="CU55" s="3283"/>
      <c r="CV55" s="2028">
        <f t="shared" ref="CV55:CV71" si="135">CT55+CU55*1</f>
        <v>0</v>
      </c>
      <c r="CW55" s="3284" t="e">
        <f t="shared" si="115"/>
        <v>#DIV/0!</v>
      </c>
      <c r="CX55" s="1449"/>
      <c r="CY55" s="3274">
        <f t="shared" ref="CY55:CZ71" si="136">C55+H55+M55+R55+W55+AB55+AQ55+AV55+BA55+BF55+BK55+BP55+BU55+BZ55+CE55+CJ55+CO55+CT55+AG55</f>
        <v>0</v>
      </c>
      <c r="CZ55" s="3274">
        <f t="shared" si="136"/>
        <v>0</v>
      </c>
      <c r="DA55" s="2028">
        <f t="shared" ref="DA55:DA71" si="137">CY55+CZ55*1</f>
        <v>0</v>
      </c>
      <c r="DB55" s="3284">
        <f t="shared" si="72"/>
        <v>0</v>
      </c>
      <c r="DC55" s="3295"/>
    </row>
    <row r="56" spans="1:107" ht="13.8" x14ac:dyDescent="0.25">
      <c r="A56" s="1586"/>
      <c r="B56" s="3310" t="s">
        <v>76</v>
      </c>
      <c r="C56" s="3283"/>
      <c r="D56" s="3283"/>
      <c r="E56" s="2028">
        <f t="shared" si="116"/>
        <v>0</v>
      </c>
      <c r="F56" s="3284">
        <f t="shared" si="98"/>
        <v>0</v>
      </c>
      <c r="G56" s="3295"/>
      <c r="H56" s="3283"/>
      <c r="I56" s="3283"/>
      <c r="J56" s="2028">
        <f t="shared" si="117"/>
        <v>0</v>
      </c>
      <c r="K56" s="3284">
        <f t="shared" si="99"/>
        <v>0</v>
      </c>
      <c r="L56" s="3295"/>
      <c r="M56" s="3283"/>
      <c r="N56" s="3283"/>
      <c r="O56" s="2028">
        <f t="shared" si="118"/>
        <v>0</v>
      </c>
      <c r="P56" s="3284">
        <f t="shared" si="2"/>
        <v>0</v>
      </c>
      <c r="Q56" s="3295"/>
      <c r="R56" s="3283"/>
      <c r="S56" s="3283"/>
      <c r="T56" s="2028">
        <f t="shared" si="119"/>
        <v>0</v>
      </c>
      <c r="U56" s="3284">
        <f t="shared" si="100"/>
        <v>0</v>
      </c>
      <c r="V56" s="3295"/>
      <c r="W56" s="3283"/>
      <c r="X56" s="3283"/>
      <c r="Y56" s="2028">
        <f t="shared" si="120"/>
        <v>0</v>
      </c>
      <c r="Z56" s="3284">
        <f t="shared" si="101"/>
        <v>0</v>
      </c>
      <c r="AA56" s="3295"/>
      <c r="AB56" s="3283"/>
      <c r="AC56" s="3283"/>
      <c r="AD56" s="2028">
        <f t="shared" si="121"/>
        <v>0</v>
      </c>
      <c r="AE56" s="3284">
        <f t="shared" si="102"/>
        <v>0</v>
      </c>
      <c r="AF56" s="3295"/>
      <c r="AG56" s="3274">
        <v>0</v>
      </c>
      <c r="AH56" s="3274">
        <v>0</v>
      </c>
      <c r="AI56" s="2028">
        <v>0</v>
      </c>
      <c r="AJ56" s="3284">
        <v>0</v>
      </c>
      <c r="AK56" s="3295"/>
      <c r="AL56" s="3274">
        <f t="shared" si="122"/>
        <v>0</v>
      </c>
      <c r="AM56" s="3274">
        <f t="shared" si="122"/>
        <v>0</v>
      </c>
      <c r="AN56" s="2028">
        <f t="shared" si="123"/>
        <v>0</v>
      </c>
      <c r="AO56" s="3284">
        <f t="shared" si="103"/>
        <v>0</v>
      </c>
      <c r="AP56" s="3295"/>
      <c r="AQ56" s="3283"/>
      <c r="AR56" s="3283"/>
      <c r="AS56" s="2028">
        <f t="shared" si="124"/>
        <v>0</v>
      </c>
      <c r="AT56" s="3284">
        <f t="shared" si="104"/>
        <v>0</v>
      </c>
      <c r="AU56" s="3295"/>
      <c r="AV56" s="3283"/>
      <c r="AW56" s="3283"/>
      <c r="AX56" s="2028">
        <f t="shared" si="125"/>
        <v>0</v>
      </c>
      <c r="AY56" s="3284">
        <f t="shared" si="105"/>
        <v>0</v>
      </c>
      <c r="AZ56" s="3295"/>
      <c r="BA56" s="3283"/>
      <c r="BB56" s="3283"/>
      <c r="BC56" s="2028">
        <f t="shared" si="126"/>
        <v>0</v>
      </c>
      <c r="BD56" s="3284">
        <f t="shared" si="106"/>
        <v>0</v>
      </c>
      <c r="BE56" s="3295"/>
      <c r="BF56" s="3283"/>
      <c r="BG56" s="3283"/>
      <c r="BH56" s="2028">
        <f t="shared" si="127"/>
        <v>0</v>
      </c>
      <c r="BI56" s="3284">
        <f t="shared" si="107"/>
        <v>0</v>
      </c>
      <c r="BJ56" s="3295"/>
      <c r="BK56" s="3283"/>
      <c r="BL56" s="3283"/>
      <c r="BM56" s="2028">
        <f t="shared" si="128"/>
        <v>0</v>
      </c>
      <c r="BN56" s="3284">
        <f t="shared" si="108"/>
        <v>0</v>
      </c>
      <c r="BO56" s="3295"/>
      <c r="BP56" s="3283"/>
      <c r="BQ56" s="3283"/>
      <c r="BR56" s="2028">
        <f t="shared" si="129"/>
        <v>0</v>
      </c>
      <c r="BS56" s="3284">
        <f t="shared" si="109"/>
        <v>0</v>
      </c>
      <c r="BT56" s="3295"/>
      <c r="BU56" s="3283"/>
      <c r="BV56" s="3283"/>
      <c r="BW56" s="2028">
        <f t="shared" si="130"/>
        <v>0</v>
      </c>
      <c r="BX56" s="3284" t="e">
        <f t="shared" si="110"/>
        <v>#DIV/0!</v>
      </c>
      <c r="BY56" s="3295"/>
      <c r="BZ56" s="3283"/>
      <c r="CA56" s="3283"/>
      <c r="CB56" s="2028">
        <f t="shared" si="131"/>
        <v>0</v>
      </c>
      <c r="CC56" s="3284" t="e">
        <f t="shared" si="111"/>
        <v>#DIV/0!</v>
      </c>
      <c r="CD56" s="1449"/>
      <c r="CE56" s="3283"/>
      <c r="CF56" s="3283"/>
      <c r="CG56" s="2028">
        <f t="shared" si="132"/>
        <v>0</v>
      </c>
      <c r="CH56" s="3284" t="e">
        <f t="shared" si="112"/>
        <v>#DIV/0!</v>
      </c>
      <c r="CI56" s="1449"/>
      <c r="CJ56" s="3283"/>
      <c r="CK56" s="3283"/>
      <c r="CL56" s="2028">
        <f t="shared" si="133"/>
        <v>0</v>
      </c>
      <c r="CM56" s="3284" t="e">
        <f t="shared" si="113"/>
        <v>#DIV/0!</v>
      </c>
      <c r="CN56" s="1449"/>
      <c r="CO56" s="3283"/>
      <c r="CP56" s="3283"/>
      <c r="CQ56" s="2028">
        <f t="shared" si="134"/>
        <v>0</v>
      </c>
      <c r="CR56" s="3284" t="e">
        <f t="shared" si="114"/>
        <v>#DIV/0!</v>
      </c>
      <c r="CS56" s="1449"/>
      <c r="CT56" s="3283"/>
      <c r="CU56" s="3283"/>
      <c r="CV56" s="2028">
        <f t="shared" si="135"/>
        <v>0</v>
      </c>
      <c r="CW56" s="3284" t="e">
        <f t="shared" si="115"/>
        <v>#DIV/0!</v>
      </c>
      <c r="CX56" s="1449"/>
      <c r="CY56" s="3274">
        <f t="shared" si="136"/>
        <v>0</v>
      </c>
      <c r="CZ56" s="3274">
        <f t="shared" si="136"/>
        <v>0</v>
      </c>
      <c r="DA56" s="2028">
        <f t="shared" si="137"/>
        <v>0</v>
      </c>
      <c r="DB56" s="3284">
        <f t="shared" si="72"/>
        <v>0</v>
      </c>
      <c r="DC56" s="3295"/>
    </row>
    <row r="57" spans="1:107" ht="13.8" x14ac:dyDescent="0.25">
      <c r="A57" s="1586"/>
      <c r="B57" s="3310" t="s">
        <v>68</v>
      </c>
      <c r="C57" s="3283"/>
      <c r="D57" s="3283"/>
      <c r="E57" s="2028">
        <f t="shared" si="116"/>
        <v>0</v>
      </c>
      <c r="F57" s="3284">
        <f t="shared" si="98"/>
        <v>0</v>
      </c>
      <c r="G57" s="3295"/>
      <c r="H57" s="3283"/>
      <c r="I57" s="3283"/>
      <c r="J57" s="2028">
        <f t="shared" si="117"/>
        <v>0</v>
      </c>
      <c r="K57" s="3284">
        <f t="shared" si="99"/>
        <v>0</v>
      </c>
      <c r="L57" s="3295"/>
      <c r="M57" s="3283"/>
      <c r="N57" s="3283"/>
      <c r="O57" s="2028">
        <f t="shared" si="118"/>
        <v>0</v>
      </c>
      <c r="P57" s="3284">
        <f t="shared" si="2"/>
        <v>0</v>
      </c>
      <c r="Q57" s="3295"/>
      <c r="R57" s="3283"/>
      <c r="S57" s="3283"/>
      <c r="T57" s="2028">
        <f t="shared" si="119"/>
        <v>0</v>
      </c>
      <c r="U57" s="3284">
        <f t="shared" si="100"/>
        <v>0</v>
      </c>
      <c r="V57" s="3295"/>
      <c r="W57" s="3283"/>
      <c r="X57" s="3283"/>
      <c r="Y57" s="2028">
        <f t="shared" si="120"/>
        <v>0</v>
      </c>
      <c r="Z57" s="3284">
        <f t="shared" si="101"/>
        <v>0</v>
      </c>
      <c r="AA57" s="3295"/>
      <c r="AB57" s="3283"/>
      <c r="AC57" s="3283"/>
      <c r="AD57" s="2028">
        <f t="shared" si="121"/>
        <v>0</v>
      </c>
      <c r="AE57" s="3284">
        <f t="shared" si="102"/>
        <v>0</v>
      </c>
      <c r="AF57" s="3295"/>
      <c r="AG57" s="3274">
        <v>0</v>
      </c>
      <c r="AH57" s="3274">
        <v>0</v>
      </c>
      <c r="AI57" s="2028">
        <v>0</v>
      </c>
      <c r="AJ57" s="3284">
        <v>0</v>
      </c>
      <c r="AK57" s="3295"/>
      <c r="AL57" s="3274">
        <f t="shared" si="122"/>
        <v>0</v>
      </c>
      <c r="AM57" s="3274">
        <f t="shared" si="122"/>
        <v>0</v>
      </c>
      <c r="AN57" s="2028">
        <f t="shared" si="123"/>
        <v>0</v>
      </c>
      <c r="AO57" s="3284">
        <f t="shared" si="103"/>
        <v>0</v>
      </c>
      <c r="AP57" s="3295"/>
      <c r="AQ57" s="3283"/>
      <c r="AR57" s="3283"/>
      <c r="AS57" s="2028">
        <f t="shared" si="124"/>
        <v>0</v>
      </c>
      <c r="AT57" s="3284">
        <f t="shared" si="104"/>
        <v>0</v>
      </c>
      <c r="AU57" s="3295"/>
      <c r="AV57" s="3283"/>
      <c r="AW57" s="3283"/>
      <c r="AX57" s="2028">
        <f t="shared" si="125"/>
        <v>0</v>
      </c>
      <c r="AY57" s="3284">
        <f t="shared" si="105"/>
        <v>0</v>
      </c>
      <c r="AZ57" s="3295"/>
      <c r="BA57" s="3283"/>
      <c r="BB57" s="3283"/>
      <c r="BC57" s="2028">
        <f t="shared" si="126"/>
        <v>0</v>
      </c>
      <c r="BD57" s="3284">
        <f t="shared" si="106"/>
        <v>0</v>
      </c>
      <c r="BE57" s="3295"/>
      <c r="BF57" s="3283"/>
      <c r="BG57" s="3283"/>
      <c r="BH57" s="2028">
        <f t="shared" si="127"/>
        <v>0</v>
      </c>
      <c r="BI57" s="3284">
        <f t="shared" si="107"/>
        <v>0</v>
      </c>
      <c r="BJ57" s="3295"/>
      <c r="BK57" s="3283"/>
      <c r="BL57" s="3283"/>
      <c r="BM57" s="2028">
        <f t="shared" si="128"/>
        <v>0</v>
      </c>
      <c r="BN57" s="3284">
        <f t="shared" si="108"/>
        <v>0</v>
      </c>
      <c r="BO57" s="3295"/>
      <c r="BP57" s="3283"/>
      <c r="BQ57" s="3283"/>
      <c r="BR57" s="2028">
        <f t="shared" si="129"/>
        <v>0</v>
      </c>
      <c r="BS57" s="3284">
        <f t="shared" si="109"/>
        <v>0</v>
      </c>
      <c r="BT57" s="3295"/>
      <c r="BU57" s="3283"/>
      <c r="BV57" s="3283"/>
      <c r="BW57" s="2028">
        <f t="shared" si="130"/>
        <v>0</v>
      </c>
      <c r="BX57" s="3284" t="e">
        <f t="shared" si="110"/>
        <v>#DIV/0!</v>
      </c>
      <c r="BY57" s="3295"/>
      <c r="BZ57" s="3283"/>
      <c r="CA57" s="3283"/>
      <c r="CB57" s="2028">
        <f t="shared" si="131"/>
        <v>0</v>
      </c>
      <c r="CC57" s="3284" t="e">
        <f t="shared" si="111"/>
        <v>#DIV/0!</v>
      </c>
      <c r="CD57" s="1449"/>
      <c r="CE57" s="3283"/>
      <c r="CF57" s="3283"/>
      <c r="CG57" s="2028">
        <f t="shared" si="132"/>
        <v>0</v>
      </c>
      <c r="CH57" s="3284" t="e">
        <f t="shared" si="112"/>
        <v>#DIV/0!</v>
      </c>
      <c r="CI57" s="1449"/>
      <c r="CJ57" s="3283"/>
      <c r="CK57" s="3283"/>
      <c r="CL57" s="2028">
        <f t="shared" si="133"/>
        <v>0</v>
      </c>
      <c r="CM57" s="3284" t="e">
        <f t="shared" si="113"/>
        <v>#DIV/0!</v>
      </c>
      <c r="CN57" s="1449"/>
      <c r="CO57" s="3283"/>
      <c r="CP57" s="3283"/>
      <c r="CQ57" s="2028">
        <f t="shared" si="134"/>
        <v>0</v>
      </c>
      <c r="CR57" s="3284" t="e">
        <f t="shared" si="114"/>
        <v>#DIV/0!</v>
      </c>
      <c r="CS57" s="1449"/>
      <c r="CT57" s="3283"/>
      <c r="CU57" s="3283"/>
      <c r="CV57" s="2028">
        <f t="shared" si="135"/>
        <v>0</v>
      </c>
      <c r="CW57" s="3284" t="e">
        <f t="shared" si="115"/>
        <v>#DIV/0!</v>
      </c>
      <c r="CX57" s="1449"/>
      <c r="CY57" s="3274">
        <f t="shared" si="136"/>
        <v>0</v>
      </c>
      <c r="CZ57" s="3274">
        <f t="shared" si="136"/>
        <v>0</v>
      </c>
      <c r="DA57" s="2028">
        <f t="shared" si="137"/>
        <v>0</v>
      </c>
      <c r="DB57" s="3284">
        <f t="shared" si="72"/>
        <v>0</v>
      </c>
      <c r="DC57" s="3295"/>
    </row>
    <row r="58" spans="1:107" ht="13.8" x14ac:dyDescent="0.25">
      <c r="A58" s="1586"/>
      <c r="B58" s="3310" t="s">
        <v>67</v>
      </c>
      <c r="C58" s="3283"/>
      <c r="D58" s="3283"/>
      <c r="E58" s="2028">
        <f t="shared" si="116"/>
        <v>0</v>
      </c>
      <c r="F58" s="3284">
        <f t="shared" si="98"/>
        <v>0</v>
      </c>
      <c r="G58" s="3295"/>
      <c r="H58" s="3283"/>
      <c r="I58" s="3283"/>
      <c r="J58" s="2028">
        <f t="shared" si="117"/>
        <v>0</v>
      </c>
      <c r="K58" s="3284">
        <f t="shared" si="99"/>
        <v>0</v>
      </c>
      <c r="L58" s="3295"/>
      <c r="M58" s="3283"/>
      <c r="N58" s="3283"/>
      <c r="O58" s="2028">
        <f t="shared" si="118"/>
        <v>0</v>
      </c>
      <c r="P58" s="3284">
        <f t="shared" si="2"/>
        <v>0</v>
      </c>
      <c r="Q58" s="3295"/>
      <c r="R58" s="3283"/>
      <c r="S58" s="3283"/>
      <c r="T58" s="2028">
        <f t="shared" si="119"/>
        <v>0</v>
      </c>
      <c r="U58" s="3284">
        <f t="shared" si="100"/>
        <v>0</v>
      </c>
      <c r="V58" s="3295"/>
      <c r="W58" s="3283"/>
      <c r="X58" s="3283"/>
      <c r="Y58" s="2028">
        <f t="shared" si="120"/>
        <v>0</v>
      </c>
      <c r="Z58" s="3284">
        <f t="shared" si="101"/>
        <v>0</v>
      </c>
      <c r="AA58" s="3295"/>
      <c r="AB58" s="3283"/>
      <c r="AC58" s="3283"/>
      <c r="AD58" s="2028">
        <f t="shared" si="121"/>
        <v>0</v>
      </c>
      <c r="AE58" s="3284">
        <f t="shared" si="102"/>
        <v>0</v>
      </c>
      <c r="AF58" s="3295"/>
      <c r="AG58" s="3274">
        <v>0</v>
      </c>
      <c r="AH58" s="3274">
        <v>0</v>
      </c>
      <c r="AI58" s="2028">
        <v>0</v>
      </c>
      <c r="AJ58" s="3284">
        <v>0</v>
      </c>
      <c r="AK58" s="3295"/>
      <c r="AL58" s="3274">
        <f t="shared" si="122"/>
        <v>0</v>
      </c>
      <c r="AM58" s="3274">
        <f t="shared" si="122"/>
        <v>0</v>
      </c>
      <c r="AN58" s="2028">
        <f t="shared" si="123"/>
        <v>0</v>
      </c>
      <c r="AO58" s="3284">
        <f t="shared" si="103"/>
        <v>0</v>
      </c>
      <c r="AP58" s="3295"/>
      <c r="AQ58" s="3283"/>
      <c r="AR58" s="3283"/>
      <c r="AS58" s="2028">
        <f t="shared" si="124"/>
        <v>0</v>
      </c>
      <c r="AT58" s="3284">
        <f t="shared" si="104"/>
        <v>0</v>
      </c>
      <c r="AU58" s="3295"/>
      <c r="AV58" s="3283"/>
      <c r="AW58" s="3283"/>
      <c r="AX58" s="2028">
        <f t="shared" si="125"/>
        <v>0</v>
      </c>
      <c r="AY58" s="3284">
        <f t="shared" si="105"/>
        <v>0</v>
      </c>
      <c r="AZ58" s="3295"/>
      <c r="BA58" s="3283"/>
      <c r="BB58" s="3283"/>
      <c r="BC58" s="2028">
        <f t="shared" si="126"/>
        <v>0</v>
      </c>
      <c r="BD58" s="3284">
        <f t="shared" si="106"/>
        <v>0</v>
      </c>
      <c r="BE58" s="3295"/>
      <c r="BF58" s="3283"/>
      <c r="BG58" s="3283"/>
      <c r="BH58" s="2028">
        <f t="shared" si="127"/>
        <v>0</v>
      </c>
      <c r="BI58" s="3284">
        <f t="shared" si="107"/>
        <v>0</v>
      </c>
      <c r="BJ58" s="3295"/>
      <c r="BK58" s="3283"/>
      <c r="BL58" s="3283"/>
      <c r="BM58" s="2028">
        <f t="shared" si="128"/>
        <v>0</v>
      </c>
      <c r="BN58" s="3284">
        <f t="shared" si="108"/>
        <v>0</v>
      </c>
      <c r="BO58" s="3295"/>
      <c r="BP58" s="3283"/>
      <c r="BQ58" s="3283"/>
      <c r="BR58" s="2028">
        <f t="shared" si="129"/>
        <v>0</v>
      </c>
      <c r="BS58" s="3284">
        <f t="shared" si="109"/>
        <v>0</v>
      </c>
      <c r="BT58" s="3295"/>
      <c r="BU58" s="3283"/>
      <c r="BV58" s="3283"/>
      <c r="BW58" s="2028">
        <f t="shared" si="130"/>
        <v>0</v>
      </c>
      <c r="BX58" s="3284" t="e">
        <f t="shared" si="110"/>
        <v>#DIV/0!</v>
      </c>
      <c r="BY58" s="3295"/>
      <c r="BZ58" s="3283"/>
      <c r="CA58" s="3283"/>
      <c r="CB58" s="2028">
        <f t="shared" si="131"/>
        <v>0</v>
      </c>
      <c r="CC58" s="3284" t="e">
        <f t="shared" si="111"/>
        <v>#DIV/0!</v>
      </c>
      <c r="CD58" s="1449"/>
      <c r="CE58" s="3283"/>
      <c r="CF58" s="3283"/>
      <c r="CG58" s="2028">
        <f t="shared" si="132"/>
        <v>0</v>
      </c>
      <c r="CH58" s="3284" t="e">
        <f t="shared" si="112"/>
        <v>#DIV/0!</v>
      </c>
      <c r="CI58" s="1449"/>
      <c r="CJ58" s="3283"/>
      <c r="CK58" s="3283"/>
      <c r="CL58" s="2028">
        <f t="shared" si="133"/>
        <v>0</v>
      </c>
      <c r="CM58" s="3284" t="e">
        <f t="shared" si="113"/>
        <v>#DIV/0!</v>
      </c>
      <c r="CN58" s="1449"/>
      <c r="CO58" s="3283"/>
      <c r="CP58" s="3283"/>
      <c r="CQ58" s="2028">
        <f t="shared" si="134"/>
        <v>0</v>
      </c>
      <c r="CR58" s="3284" t="e">
        <f t="shared" si="114"/>
        <v>#DIV/0!</v>
      </c>
      <c r="CS58" s="1449"/>
      <c r="CT58" s="3283"/>
      <c r="CU58" s="3283"/>
      <c r="CV58" s="2028">
        <f t="shared" si="135"/>
        <v>0</v>
      </c>
      <c r="CW58" s="3284" t="e">
        <f t="shared" si="115"/>
        <v>#DIV/0!</v>
      </c>
      <c r="CX58" s="1449"/>
      <c r="CY58" s="3274">
        <f t="shared" si="136"/>
        <v>0</v>
      </c>
      <c r="CZ58" s="3274">
        <f t="shared" si="136"/>
        <v>0</v>
      </c>
      <c r="DA58" s="2028">
        <f t="shared" si="137"/>
        <v>0</v>
      </c>
      <c r="DB58" s="3284">
        <f t="shared" si="72"/>
        <v>0</v>
      </c>
      <c r="DC58" s="3295"/>
    </row>
    <row r="59" spans="1:107" ht="13.8" x14ac:dyDescent="0.25">
      <c r="A59" s="1586"/>
      <c r="B59" s="3310" t="s">
        <v>66</v>
      </c>
      <c r="C59" s="3283"/>
      <c r="D59" s="3283"/>
      <c r="E59" s="2028">
        <f t="shared" si="116"/>
        <v>0</v>
      </c>
      <c r="F59" s="3284">
        <f t="shared" si="98"/>
        <v>0</v>
      </c>
      <c r="G59" s="3295"/>
      <c r="H59" s="3283"/>
      <c r="I59" s="3283"/>
      <c r="J59" s="2028">
        <f t="shared" si="117"/>
        <v>0</v>
      </c>
      <c r="K59" s="3284">
        <f t="shared" si="99"/>
        <v>0</v>
      </c>
      <c r="L59" s="3295"/>
      <c r="M59" s="3283"/>
      <c r="N59" s="3283"/>
      <c r="O59" s="2028">
        <f t="shared" si="118"/>
        <v>0</v>
      </c>
      <c r="P59" s="3284">
        <f t="shared" si="2"/>
        <v>0</v>
      </c>
      <c r="Q59" s="3295"/>
      <c r="R59" s="3283"/>
      <c r="S59" s="3283"/>
      <c r="T59" s="2028">
        <f t="shared" si="119"/>
        <v>0</v>
      </c>
      <c r="U59" s="3284">
        <f t="shared" si="100"/>
        <v>0</v>
      </c>
      <c r="V59" s="3295"/>
      <c r="W59" s="3283"/>
      <c r="X59" s="3283"/>
      <c r="Y59" s="2028">
        <f t="shared" si="120"/>
        <v>0</v>
      </c>
      <c r="Z59" s="3284">
        <f t="shared" si="101"/>
        <v>0</v>
      </c>
      <c r="AA59" s="3295"/>
      <c r="AB59" s="3283"/>
      <c r="AC59" s="3283"/>
      <c r="AD59" s="2028">
        <f t="shared" si="121"/>
        <v>0</v>
      </c>
      <c r="AE59" s="3284">
        <f t="shared" si="102"/>
        <v>0</v>
      </c>
      <c r="AF59" s="3295"/>
      <c r="AG59" s="3274">
        <v>0</v>
      </c>
      <c r="AH59" s="3274">
        <v>0</v>
      </c>
      <c r="AI59" s="2028">
        <v>0</v>
      </c>
      <c r="AJ59" s="3284">
        <v>0</v>
      </c>
      <c r="AK59" s="3295"/>
      <c r="AL59" s="3274">
        <f t="shared" si="122"/>
        <v>0</v>
      </c>
      <c r="AM59" s="3274">
        <f t="shared" si="122"/>
        <v>0</v>
      </c>
      <c r="AN59" s="2028">
        <f t="shared" si="123"/>
        <v>0</v>
      </c>
      <c r="AO59" s="3284">
        <f t="shared" si="103"/>
        <v>0</v>
      </c>
      <c r="AP59" s="3295"/>
      <c r="AQ59" s="3283"/>
      <c r="AR59" s="3283"/>
      <c r="AS59" s="2028">
        <f t="shared" si="124"/>
        <v>0</v>
      </c>
      <c r="AT59" s="3284">
        <f t="shared" si="104"/>
        <v>0</v>
      </c>
      <c r="AU59" s="3295"/>
      <c r="AV59" s="3283"/>
      <c r="AW59" s="3283"/>
      <c r="AX59" s="2028">
        <f t="shared" si="125"/>
        <v>0</v>
      </c>
      <c r="AY59" s="3284">
        <f t="shared" si="105"/>
        <v>0</v>
      </c>
      <c r="AZ59" s="3295"/>
      <c r="BA59" s="3283"/>
      <c r="BB59" s="3283"/>
      <c r="BC59" s="2028">
        <f t="shared" si="126"/>
        <v>0</v>
      </c>
      <c r="BD59" s="3284">
        <f t="shared" si="106"/>
        <v>0</v>
      </c>
      <c r="BE59" s="3295"/>
      <c r="BF59" s="3283"/>
      <c r="BG59" s="3283"/>
      <c r="BH59" s="2028">
        <f t="shared" si="127"/>
        <v>0</v>
      </c>
      <c r="BI59" s="3284">
        <f t="shared" si="107"/>
        <v>0</v>
      </c>
      <c r="BJ59" s="3295"/>
      <c r="BK59" s="3283"/>
      <c r="BL59" s="3283"/>
      <c r="BM59" s="2028">
        <f t="shared" si="128"/>
        <v>0</v>
      </c>
      <c r="BN59" s="3284">
        <f t="shared" si="108"/>
        <v>0</v>
      </c>
      <c r="BO59" s="3295"/>
      <c r="BP59" s="3283"/>
      <c r="BQ59" s="3283"/>
      <c r="BR59" s="2028">
        <f t="shared" si="129"/>
        <v>0</v>
      </c>
      <c r="BS59" s="3284">
        <f t="shared" si="109"/>
        <v>0</v>
      </c>
      <c r="BT59" s="3295"/>
      <c r="BU59" s="3283"/>
      <c r="BV59" s="3283"/>
      <c r="BW59" s="2028">
        <f t="shared" si="130"/>
        <v>0</v>
      </c>
      <c r="BX59" s="3284" t="e">
        <f t="shared" si="110"/>
        <v>#DIV/0!</v>
      </c>
      <c r="BY59" s="3295"/>
      <c r="BZ59" s="3283"/>
      <c r="CA59" s="3283"/>
      <c r="CB59" s="2028">
        <f t="shared" si="131"/>
        <v>0</v>
      </c>
      <c r="CC59" s="3284" t="e">
        <f t="shared" si="111"/>
        <v>#DIV/0!</v>
      </c>
      <c r="CD59" s="1449"/>
      <c r="CE59" s="3283"/>
      <c r="CF59" s="3283"/>
      <c r="CG59" s="2028">
        <f t="shared" si="132"/>
        <v>0</v>
      </c>
      <c r="CH59" s="3284" t="e">
        <f t="shared" si="112"/>
        <v>#DIV/0!</v>
      </c>
      <c r="CI59" s="1449"/>
      <c r="CJ59" s="3283"/>
      <c r="CK59" s="3283"/>
      <c r="CL59" s="2028">
        <f t="shared" si="133"/>
        <v>0</v>
      </c>
      <c r="CM59" s="3284" t="e">
        <f t="shared" si="113"/>
        <v>#DIV/0!</v>
      </c>
      <c r="CN59" s="1449"/>
      <c r="CO59" s="3283"/>
      <c r="CP59" s="3283"/>
      <c r="CQ59" s="2028">
        <f t="shared" si="134"/>
        <v>0</v>
      </c>
      <c r="CR59" s="3284" t="e">
        <f t="shared" si="114"/>
        <v>#DIV/0!</v>
      </c>
      <c r="CS59" s="1449"/>
      <c r="CT59" s="3283"/>
      <c r="CU59" s="3283"/>
      <c r="CV59" s="2028">
        <f t="shared" si="135"/>
        <v>0</v>
      </c>
      <c r="CW59" s="3284" t="e">
        <f t="shared" si="115"/>
        <v>#DIV/0!</v>
      </c>
      <c r="CX59" s="1449"/>
      <c r="CY59" s="3274">
        <f t="shared" si="136"/>
        <v>0</v>
      </c>
      <c r="CZ59" s="3274">
        <f t="shared" si="136"/>
        <v>0</v>
      </c>
      <c r="DA59" s="2028">
        <f t="shared" si="137"/>
        <v>0</v>
      </c>
      <c r="DB59" s="3284">
        <f t="shared" si="72"/>
        <v>0</v>
      </c>
      <c r="DC59" s="3295"/>
    </row>
    <row r="60" spans="1:107" ht="13.8" x14ac:dyDescent="0.25">
      <c r="A60" s="1586"/>
      <c r="B60" s="3310" t="s">
        <v>65</v>
      </c>
      <c r="C60" s="3283"/>
      <c r="D60" s="3283"/>
      <c r="E60" s="2028">
        <f t="shared" si="116"/>
        <v>0</v>
      </c>
      <c r="F60" s="3284">
        <f t="shared" si="98"/>
        <v>0</v>
      </c>
      <c r="G60" s="3295"/>
      <c r="H60" s="3283"/>
      <c r="I60" s="3283"/>
      <c r="J60" s="2028">
        <f t="shared" si="117"/>
        <v>0</v>
      </c>
      <c r="K60" s="3284">
        <f t="shared" si="99"/>
        <v>0</v>
      </c>
      <c r="L60" s="3295"/>
      <c r="M60" s="3283"/>
      <c r="N60" s="3283"/>
      <c r="O60" s="2028">
        <f t="shared" si="118"/>
        <v>0</v>
      </c>
      <c r="P60" s="3284">
        <f t="shared" si="2"/>
        <v>0</v>
      </c>
      <c r="Q60" s="3295"/>
      <c r="R60" s="3283"/>
      <c r="S60" s="3283"/>
      <c r="T60" s="2028">
        <f t="shared" si="119"/>
        <v>0</v>
      </c>
      <c r="U60" s="3284">
        <f t="shared" si="100"/>
        <v>0</v>
      </c>
      <c r="V60" s="3295"/>
      <c r="W60" s="3283"/>
      <c r="X60" s="3283"/>
      <c r="Y60" s="2028">
        <f t="shared" si="120"/>
        <v>0</v>
      </c>
      <c r="Z60" s="3284">
        <f t="shared" si="101"/>
        <v>0</v>
      </c>
      <c r="AA60" s="3295"/>
      <c r="AB60" s="3283"/>
      <c r="AC60" s="3283"/>
      <c r="AD60" s="2028">
        <f t="shared" si="121"/>
        <v>0</v>
      </c>
      <c r="AE60" s="3284">
        <f t="shared" si="102"/>
        <v>0</v>
      </c>
      <c r="AF60" s="3295"/>
      <c r="AG60" s="3274">
        <v>0</v>
      </c>
      <c r="AH60" s="3274">
        <v>0</v>
      </c>
      <c r="AI60" s="2028">
        <v>0</v>
      </c>
      <c r="AJ60" s="3284">
        <v>0</v>
      </c>
      <c r="AK60" s="3295"/>
      <c r="AL60" s="3274">
        <f t="shared" si="122"/>
        <v>0</v>
      </c>
      <c r="AM60" s="3274">
        <f t="shared" si="122"/>
        <v>0</v>
      </c>
      <c r="AN60" s="2028">
        <f t="shared" si="123"/>
        <v>0</v>
      </c>
      <c r="AO60" s="3284">
        <f t="shared" si="103"/>
        <v>0</v>
      </c>
      <c r="AP60" s="3295"/>
      <c r="AQ60" s="3283"/>
      <c r="AR60" s="3283"/>
      <c r="AS60" s="2028">
        <f t="shared" si="124"/>
        <v>0</v>
      </c>
      <c r="AT60" s="3284">
        <f t="shared" si="104"/>
        <v>0</v>
      </c>
      <c r="AU60" s="3295"/>
      <c r="AV60" s="3283"/>
      <c r="AW60" s="3283"/>
      <c r="AX60" s="2028">
        <f t="shared" si="125"/>
        <v>0</v>
      </c>
      <c r="AY60" s="3284">
        <f t="shared" si="105"/>
        <v>0</v>
      </c>
      <c r="AZ60" s="3295"/>
      <c r="BA60" s="3283"/>
      <c r="BB60" s="3283"/>
      <c r="BC60" s="2028">
        <f t="shared" si="126"/>
        <v>0</v>
      </c>
      <c r="BD60" s="3284">
        <f t="shared" si="106"/>
        <v>0</v>
      </c>
      <c r="BE60" s="3295"/>
      <c r="BF60" s="3283"/>
      <c r="BG60" s="3283"/>
      <c r="BH60" s="2028">
        <f t="shared" si="127"/>
        <v>0</v>
      </c>
      <c r="BI60" s="3284">
        <f t="shared" si="107"/>
        <v>0</v>
      </c>
      <c r="BJ60" s="3295"/>
      <c r="BK60" s="3283"/>
      <c r="BL60" s="3283"/>
      <c r="BM60" s="2028">
        <f t="shared" si="128"/>
        <v>0</v>
      </c>
      <c r="BN60" s="3284">
        <f t="shared" si="108"/>
        <v>0</v>
      </c>
      <c r="BO60" s="3295"/>
      <c r="BP60" s="3283"/>
      <c r="BQ60" s="3283"/>
      <c r="BR60" s="2028">
        <f t="shared" si="129"/>
        <v>0</v>
      </c>
      <c r="BS60" s="3284">
        <f t="shared" si="109"/>
        <v>0</v>
      </c>
      <c r="BT60" s="3295"/>
      <c r="BU60" s="3283"/>
      <c r="BV60" s="3283"/>
      <c r="BW60" s="2028">
        <f t="shared" si="130"/>
        <v>0</v>
      </c>
      <c r="BX60" s="3284" t="e">
        <f t="shared" si="110"/>
        <v>#DIV/0!</v>
      </c>
      <c r="BY60" s="3295"/>
      <c r="BZ60" s="3283"/>
      <c r="CA60" s="3283"/>
      <c r="CB60" s="2028">
        <f t="shared" si="131"/>
        <v>0</v>
      </c>
      <c r="CC60" s="3284" t="e">
        <f t="shared" si="111"/>
        <v>#DIV/0!</v>
      </c>
      <c r="CD60" s="1449"/>
      <c r="CE60" s="3283"/>
      <c r="CF60" s="3283"/>
      <c r="CG60" s="2028">
        <f t="shared" si="132"/>
        <v>0</v>
      </c>
      <c r="CH60" s="3284" t="e">
        <f t="shared" si="112"/>
        <v>#DIV/0!</v>
      </c>
      <c r="CI60" s="1449"/>
      <c r="CJ60" s="3283"/>
      <c r="CK60" s="3283"/>
      <c r="CL60" s="2028">
        <f t="shared" si="133"/>
        <v>0</v>
      </c>
      <c r="CM60" s="3284" t="e">
        <f t="shared" si="113"/>
        <v>#DIV/0!</v>
      </c>
      <c r="CN60" s="1449"/>
      <c r="CO60" s="3283"/>
      <c r="CP60" s="3283"/>
      <c r="CQ60" s="2028">
        <f t="shared" si="134"/>
        <v>0</v>
      </c>
      <c r="CR60" s="3284" t="e">
        <f t="shared" si="114"/>
        <v>#DIV/0!</v>
      </c>
      <c r="CS60" s="1449"/>
      <c r="CT60" s="3283"/>
      <c r="CU60" s="3283"/>
      <c r="CV60" s="2028">
        <f t="shared" si="135"/>
        <v>0</v>
      </c>
      <c r="CW60" s="3284" t="e">
        <f t="shared" si="115"/>
        <v>#DIV/0!</v>
      </c>
      <c r="CX60" s="1449"/>
      <c r="CY60" s="3274">
        <f t="shared" si="136"/>
        <v>0</v>
      </c>
      <c r="CZ60" s="3274">
        <f t="shared" si="136"/>
        <v>0</v>
      </c>
      <c r="DA60" s="2028">
        <f t="shared" si="137"/>
        <v>0</v>
      </c>
      <c r="DB60" s="3284">
        <f t="shared" si="72"/>
        <v>0</v>
      </c>
      <c r="DC60" s="3295"/>
    </row>
    <row r="61" spans="1:107" ht="13.8" x14ac:dyDescent="0.25">
      <c r="A61" s="1586"/>
      <c r="B61" s="3310" t="s">
        <v>32</v>
      </c>
      <c r="C61" s="3283"/>
      <c r="D61" s="3283"/>
      <c r="E61" s="2028">
        <f t="shared" si="116"/>
        <v>0</v>
      </c>
      <c r="F61" s="3284">
        <f t="shared" si="98"/>
        <v>0</v>
      </c>
      <c r="G61" s="3295"/>
      <c r="H61" s="3283"/>
      <c r="I61" s="3283"/>
      <c r="J61" s="2028">
        <f t="shared" si="117"/>
        <v>0</v>
      </c>
      <c r="K61" s="3284">
        <f t="shared" si="99"/>
        <v>0</v>
      </c>
      <c r="L61" s="3295"/>
      <c r="M61" s="3283"/>
      <c r="N61" s="3283"/>
      <c r="O61" s="2028">
        <f t="shared" si="118"/>
        <v>0</v>
      </c>
      <c r="P61" s="3284">
        <f t="shared" si="2"/>
        <v>0</v>
      </c>
      <c r="Q61" s="3295"/>
      <c r="R61" s="3283"/>
      <c r="S61" s="3283"/>
      <c r="T61" s="2028">
        <f t="shared" si="119"/>
        <v>0</v>
      </c>
      <c r="U61" s="3284">
        <f t="shared" si="100"/>
        <v>0</v>
      </c>
      <c r="V61" s="3295"/>
      <c r="W61" s="3283"/>
      <c r="X61" s="3283"/>
      <c r="Y61" s="2028">
        <f t="shared" si="120"/>
        <v>0</v>
      </c>
      <c r="Z61" s="3284">
        <f t="shared" si="101"/>
        <v>0</v>
      </c>
      <c r="AA61" s="3295"/>
      <c r="AB61" s="3283"/>
      <c r="AC61" s="3283"/>
      <c r="AD61" s="2028">
        <f t="shared" si="121"/>
        <v>0</v>
      </c>
      <c r="AE61" s="3284">
        <f t="shared" si="102"/>
        <v>0</v>
      </c>
      <c r="AF61" s="3295"/>
      <c r="AG61" s="3274">
        <v>0</v>
      </c>
      <c r="AH61" s="3274">
        <v>0</v>
      </c>
      <c r="AI61" s="2028">
        <v>0</v>
      </c>
      <c r="AJ61" s="3284">
        <v>0</v>
      </c>
      <c r="AK61" s="3276"/>
      <c r="AL61" s="3274">
        <f t="shared" si="122"/>
        <v>0</v>
      </c>
      <c r="AM61" s="3274">
        <f t="shared" si="122"/>
        <v>0</v>
      </c>
      <c r="AN61" s="2028">
        <f t="shared" si="123"/>
        <v>0</v>
      </c>
      <c r="AO61" s="3284">
        <f t="shared" si="103"/>
        <v>0</v>
      </c>
      <c r="AP61" s="3276"/>
      <c r="AQ61" s="3283"/>
      <c r="AR61" s="3283"/>
      <c r="AS61" s="2028">
        <f t="shared" si="124"/>
        <v>0</v>
      </c>
      <c r="AT61" s="3284">
        <f t="shared" si="104"/>
        <v>0</v>
      </c>
      <c r="AU61" s="3295"/>
      <c r="AV61" s="3283"/>
      <c r="AW61" s="3283"/>
      <c r="AX61" s="2028">
        <f t="shared" si="125"/>
        <v>0</v>
      </c>
      <c r="AY61" s="3284">
        <f t="shared" si="105"/>
        <v>0</v>
      </c>
      <c r="AZ61" s="3295"/>
      <c r="BA61" s="3283"/>
      <c r="BB61" s="3283"/>
      <c r="BC61" s="2028">
        <f t="shared" si="126"/>
        <v>0</v>
      </c>
      <c r="BD61" s="3284">
        <f t="shared" si="106"/>
        <v>0</v>
      </c>
      <c r="BE61" s="3295"/>
      <c r="BF61" s="3283"/>
      <c r="BG61" s="3283"/>
      <c r="BH61" s="2028">
        <f t="shared" si="127"/>
        <v>0</v>
      </c>
      <c r="BI61" s="3284">
        <f t="shared" si="107"/>
        <v>0</v>
      </c>
      <c r="BJ61" s="3295"/>
      <c r="BK61" s="3283"/>
      <c r="BL61" s="3283"/>
      <c r="BM61" s="2028">
        <f t="shared" si="128"/>
        <v>0</v>
      </c>
      <c r="BN61" s="3284">
        <f t="shared" si="108"/>
        <v>0</v>
      </c>
      <c r="BO61" s="3295"/>
      <c r="BP61" s="3283"/>
      <c r="BQ61" s="3283"/>
      <c r="BR61" s="2028">
        <f t="shared" si="129"/>
        <v>0</v>
      </c>
      <c r="BS61" s="3284">
        <f t="shared" si="109"/>
        <v>0</v>
      </c>
      <c r="BT61" s="3295"/>
      <c r="BU61" s="3283"/>
      <c r="BV61" s="3283"/>
      <c r="BW61" s="2028">
        <f t="shared" si="130"/>
        <v>0</v>
      </c>
      <c r="BX61" s="3284" t="e">
        <f t="shared" si="110"/>
        <v>#DIV/0!</v>
      </c>
      <c r="BY61" s="3295"/>
      <c r="BZ61" s="3283"/>
      <c r="CA61" s="3283"/>
      <c r="CB61" s="2028">
        <f t="shared" si="131"/>
        <v>0</v>
      </c>
      <c r="CC61" s="3284" t="e">
        <f t="shared" si="111"/>
        <v>#DIV/0!</v>
      </c>
      <c r="CD61" s="1449"/>
      <c r="CE61" s="3283"/>
      <c r="CF61" s="3283"/>
      <c r="CG61" s="2028">
        <f t="shared" si="132"/>
        <v>0</v>
      </c>
      <c r="CH61" s="3284" t="e">
        <f t="shared" si="112"/>
        <v>#DIV/0!</v>
      </c>
      <c r="CI61" s="1449"/>
      <c r="CJ61" s="3283"/>
      <c r="CK61" s="3283"/>
      <c r="CL61" s="2028">
        <f t="shared" si="133"/>
        <v>0</v>
      </c>
      <c r="CM61" s="3284" t="e">
        <f t="shared" si="113"/>
        <v>#DIV/0!</v>
      </c>
      <c r="CN61" s="1449"/>
      <c r="CO61" s="3283"/>
      <c r="CP61" s="3283"/>
      <c r="CQ61" s="2028">
        <f t="shared" si="134"/>
        <v>0</v>
      </c>
      <c r="CR61" s="3284" t="e">
        <f t="shared" si="114"/>
        <v>#DIV/0!</v>
      </c>
      <c r="CS61" s="1449"/>
      <c r="CT61" s="3283"/>
      <c r="CU61" s="3283"/>
      <c r="CV61" s="2028">
        <f t="shared" si="135"/>
        <v>0</v>
      </c>
      <c r="CW61" s="3284" t="e">
        <f t="shared" si="115"/>
        <v>#DIV/0!</v>
      </c>
      <c r="CX61" s="1449"/>
      <c r="CY61" s="3274">
        <f t="shared" si="136"/>
        <v>0</v>
      </c>
      <c r="CZ61" s="3274">
        <f t="shared" si="136"/>
        <v>0</v>
      </c>
      <c r="DA61" s="2028">
        <f t="shared" si="137"/>
        <v>0</v>
      </c>
      <c r="DB61" s="3284">
        <f t="shared" si="72"/>
        <v>0</v>
      </c>
      <c r="DC61" s="3295"/>
    </row>
    <row r="62" spans="1:107" ht="13.8" x14ac:dyDescent="0.25">
      <c r="A62" s="1586"/>
      <c r="B62" s="3310" t="s">
        <v>33</v>
      </c>
      <c r="C62" s="3283"/>
      <c r="D62" s="3283"/>
      <c r="E62" s="2028">
        <f t="shared" si="116"/>
        <v>0</v>
      </c>
      <c r="F62" s="3284">
        <f t="shared" si="98"/>
        <v>0</v>
      </c>
      <c r="G62" s="3295"/>
      <c r="H62" s="3283"/>
      <c r="I62" s="3283"/>
      <c r="J62" s="2028">
        <f t="shared" si="117"/>
        <v>0</v>
      </c>
      <c r="K62" s="3284">
        <f t="shared" si="99"/>
        <v>0</v>
      </c>
      <c r="L62" s="3295"/>
      <c r="M62" s="3283"/>
      <c r="N62" s="3283"/>
      <c r="O62" s="2028">
        <f t="shared" si="118"/>
        <v>0</v>
      </c>
      <c r="P62" s="3284">
        <f t="shared" si="2"/>
        <v>0</v>
      </c>
      <c r="Q62" s="3295"/>
      <c r="R62" s="3283"/>
      <c r="S62" s="3283"/>
      <c r="T62" s="2028">
        <f t="shared" si="119"/>
        <v>0</v>
      </c>
      <c r="U62" s="3284">
        <f t="shared" si="100"/>
        <v>0</v>
      </c>
      <c r="V62" s="3295"/>
      <c r="W62" s="3283"/>
      <c r="X62" s="3283"/>
      <c r="Y62" s="2028">
        <f t="shared" si="120"/>
        <v>0</v>
      </c>
      <c r="Z62" s="3284">
        <f t="shared" si="101"/>
        <v>0</v>
      </c>
      <c r="AA62" s="3295"/>
      <c r="AB62" s="3283"/>
      <c r="AC62" s="3283"/>
      <c r="AD62" s="2028">
        <f t="shared" si="121"/>
        <v>0</v>
      </c>
      <c r="AE62" s="3284">
        <f t="shared" si="102"/>
        <v>0</v>
      </c>
      <c r="AF62" s="3295"/>
      <c r="AG62" s="3274">
        <v>0</v>
      </c>
      <c r="AH62" s="3274">
        <v>0</v>
      </c>
      <c r="AI62" s="2028">
        <v>0</v>
      </c>
      <c r="AJ62" s="3284">
        <v>0</v>
      </c>
      <c r="AK62" s="3276"/>
      <c r="AL62" s="3274">
        <f t="shared" si="122"/>
        <v>0</v>
      </c>
      <c r="AM62" s="3274">
        <f t="shared" si="122"/>
        <v>0</v>
      </c>
      <c r="AN62" s="2028">
        <f t="shared" si="123"/>
        <v>0</v>
      </c>
      <c r="AO62" s="3284">
        <f t="shared" si="103"/>
        <v>0</v>
      </c>
      <c r="AP62" s="3276"/>
      <c r="AQ62" s="3283"/>
      <c r="AR62" s="3283"/>
      <c r="AS62" s="2028">
        <f t="shared" si="124"/>
        <v>0</v>
      </c>
      <c r="AT62" s="3284">
        <f t="shared" si="104"/>
        <v>0</v>
      </c>
      <c r="AU62" s="3295"/>
      <c r="AV62" s="3283"/>
      <c r="AW62" s="3283"/>
      <c r="AX62" s="2028">
        <f t="shared" si="125"/>
        <v>0</v>
      </c>
      <c r="AY62" s="3284">
        <f t="shared" si="105"/>
        <v>0</v>
      </c>
      <c r="AZ62" s="3295"/>
      <c r="BA62" s="3283"/>
      <c r="BB62" s="3283"/>
      <c r="BC62" s="2028">
        <f t="shared" si="126"/>
        <v>0</v>
      </c>
      <c r="BD62" s="3284">
        <f t="shared" si="106"/>
        <v>0</v>
      </c>
      <c r="BE62" s="3295"/>
      <c r="BF62" s="3283"/>
      <c r="BG62" s="3283"/>
      <c r="BH62" s="2028">
        <f t="shared" si="127"/>
        <v>0</v>
      </c>
      <c r="BI62" s="3284">
        <f t="shared" si="107"/>
        <v>0</v>
      </c>
      <c r="BJ62" s="3295"/>
      <c r="BK62" s="3283"/>
      <c r="BL62" s="3283"/>
      <c r="BM62" s="2028">
        <f t="shared" si="128"/>
        <v>0</v>
      </c>
      <c r="BN62" s="3284">
        <f t="shared" si="108"/>
        <v>0</v>
      </c>
      <c r="BO62" s="3295"/>
      <c r="BP62" s="3283"/>
      <c r="BQ62" s="3283"/>
      <c r="BR62" s="2028">
        <f t="shared" si="129"/>
        <v>0</v>
      </c>
      <c r="BS62" s="3284">
        <f t="shared" si="109"/>
        <v>0</v>
      </c>
      <c r="BT62" s="3295"/>
      <c r="BU62" s="3283"/>
      <c r="BV62" s="3283"/>
      <c r="BW62" s="2028">
        <f t="shared" si="130"/>
        <v>0</v>
      </c>
      <c r="BX62" s="3284" t="e">
        <f t="shared" si="110"/>
        <v>#DIV/0!</v>
      </c>
      <c r="BY62" s="3295"/>
      <c r="BZ62" s="3283"/>
      <c r="CA62" s="3283"/>
      <c r="CB62" s="2028">
        <f t="shared" si="131"/>
        <v>0</v>
      </c>
      <c r="CC62" s="3284" t="e">
        <f t="shared" si="111"/>
        <v>#DIV/0!</v>
      </c>
      <c r="CD62" s="1449"/>
      <c r="CE62" s="3283"/>
      <c r="CF62" s="3283"/>
      <c r="CG62" s="2028">
        <f t="shared" si="132"/>
        <v>0</v>
      </c>
      <c r="CH62" s="3284" t="e">
        <f t="shared" si="112"/>
        <v>#DIV/0!</v>
      </c>
      <c r="CI62" s="1449"/>
      <c r="CJ62" s="3283"/>
      <c r="CK62" s="3283"/>
      <c r="CL62" s="2028">
        <f t="shared" si="133"/>
        <v>0</v>
      </c>
      <c r="CM62" s="3284" t="e">
        <f t="shared" si="113"/>
        <v>#DIV/0!</v>
      </c>
      <c r="CN62" s="1449"/>
      <c r="CO62" s="3283"/>
      <c r="CP62" s="3283"/>
      <c r="CQ62" s="2028">
        <f t="shared" si="134"/>
        <v>0</v>
      </c>
      <c r="CR62" s="3284" t="e">
        <f t="shared" si="114"/>
        <v>#DIV/0!</v>
      </c>
      <c r="CS62" s="1449"/>
      <c r="CT62" s="3283"/>
      <c r="CU62" s="3283"/>
      <c r="CV62" s="2028">
        <f t="shared" si="135"/>
        <v>0</v>
      </c>
      <c r="CW62" s="3284" t="e">
        <f t="shared" si="115"/>
        <v>#DIV/0!</v>
      </c>
      <c r="CX62" s="1449"/>
      <c r="CY62" s="3274">
        <f t="shared" si="136"/>
        <v>0</v>
      </c>
      <c r="CZ62" s="3274">
        <f t="shared" si="136"/>
        <v>0</v>
      </c>
      <c r="DA62" s="2028">
        <f t="shared" si="137"/>
        <v>0</v>
      </c>
      <c r="DB62" s="3284">
        <f t="shared" si="72"/>
        <v>0</v>
      </c>
      <c r="DC62" s="3295"/>
    </row>
    <row r="63" spans="1:107" ht="13.8" x14ac:dyDescent="0.25">
      <c r="A63" s="1586"/>
      <c r="B63" s="3310" t="s">
        <v>35</v>
      </c>
      <c r="C63" s="3283"/>
      <c r="D63" s="3283"/>
      <c r="E63" s="2028">
        <f t="shared" si="116"/>
        <v>0</v>
      </c>
      <c r="F63" s="3284">
        <f t="shared" si="98"/>
        <v>0</v>
      </c>
      <c r="G63" s="3295"/>
      <c r="H63" s="3283"/>
      <c r="I63" s="3283"/>
      <c r="J63" s="2028">
        <f t="shared" si="117"/>
        <v>0</v>
      </c>
      <c r="K63" s="3284">
        <f t="shared" si="99"/>
        <v>0</v>
      </c>
      <c r="L63" s="3295"/>
      <c r="M63" s="3283"/>
      <c r="N63" s="3283"/>
      <c r="O63" s="2028">
        <f t="shared" si="118"/>
        <v>0</v>
      </c>
      <c r="P63" s="3284">
        <f t="shared" si="2"/>
        <v>0</v>
      </c>
      <c r="Q63" s="3295"/>
      <c r="R63" s="3283"/>
      <c r="S63" s="3283"/>
      <c r="T63" s="2028">
        <f t="shared" si="119"/>
        <v>0</v>
      </c>
      <c r="U63" s="3284">
        <f t="shared" si="100"/>
        <v>0</v>
      </c>
      <c r="V63" s="3295"/>
      <c r="W63" s="3283"/>
      <c r="X63" s="3283"/>
      <c r="Y63" s="2028">
        <f t="shared" si="120"/>
        <v>0</v>
      </c>
      <c r="Z63" s="3284">
        <f t="shared" si="101"/>
        <v>0</v>
      </c>
      <c r="AA63" s="3295"/>
      <c r="AB63" s="3283"/>
      <c r="AC63" s="3283"/>
      <c r="AD63" s="2028">
        <f t="shared" si="121"/>
        <v>0</v>
      </c>
      <c r="AE63" s="3284">
        <f t="shared" si="102"/>
        <v>0</v>
      </c>
      <c r="AF63" s="3295"/>
      <c r="AG63" s="3274">
        <v>0</v>
      </c>
      <c r="AH63" s="3274">
        <v>0</v>
      </c>
      <c r="AI63" s="2028">
        <v>0</v>
      </c>
      <c r="AJ63" s="3284">
        <v>0</v>
      </c>
      <c r="AK63" s="3276"/>
      <c r="AL63" s="3274">
        <f t="shared" si="122"/>
        <v>0</v>
      </c>
      <c r="AM63" s="3274">
        <f t="shared" si="122"/>
        <v>0</v>
      </c>
      <c r="AN63" s="2028">
        <f t="shared" si="123"/>
        <v>0</v>
      </c>
      <c r="AO63" s="3284">
        <f t="shared" si="103"/>
        <v>0</v>
      </c>
      <c r="AP63" s="3276"/>
      <c r="AQ63" s="3283"/>
      <c r="AR63" s="3283"/>
      <c r="AS63" s="2028">
        <f t="shared" si="124"/>
        <v>0</v>
      </c>
      <c r="AT63" s="3284">
        <f t="shared" si="104"/>
        <v>0</v>
      </c>
      <c r="AU63" s="3295"/>
      <c r="AV63" s="3283"/>
      <c r="AW63" s="3283"/>
      <c r="AX63" s="2028">
        <f t="shared" si="125"/>
        <v>0</v>
      </c>
      <c r="AY63" s="3284">
        <f t="shared" si="105"/>
        <v>0</v>
      </c>
      <c r="AZ63" s="3295"/>
      <c r="BA63" s="3283"/>
      <c r="BB63" s="3283"/>
      <c r="BC63" s="2028">
        <f t="shared" si="126"/>
        <v>0</v>
      </c>
      <c r="BD63" s="3284">
        <f t="shared" si="106"/>
        <v>0</v>
      </c>
      <c r="BE63" s="3295"/>
      <c r="BF63" s="3283"/>
      <c r="BG63" s="3283"/>
      <c r="BH63" s="2028">
        <f t="shared" si="127"/>
        <v>0</v>
      </c>
      <c r="BI63" s="3284">
        <f t="shared" si="107"/>
        <v>0</v>
      </c>
      <c r="BJ63" s="3295"/>
      <c r="BK63" s="3283"/>
      <c r="BL63" s="3283"/>
      <c r="BM63" s="2028">
        <f t="shared" si="128"/>
        <v>0</v>
      </c>
      <c r="BN63" s="3284">
        <f t="shared" si="108"/>
        <v>0</v>
      </c>
      <c r="BO63" s="3295"/>
      <c r="BP63" s="3283"/>
      <c r="BQ63" s="3283"/>
      <c r="BR63" s="2028">
        <f t="shared" si="129"/>
        <v>0</v>
      </c>
      <c r="BS63" s="3284">
        <f t="shared" si="109"/>
        <v>0</v>
      </c>
      <c r="BT63" s="3295"/>
      <c r="BU63" s="3283"/>
      <c r="BV63" s="3283"/>
      <c r="BW63" s="2028">
        <f t="shared" si="130"/>
        <v>0</v>
      </c>
      <c r="BX63" s="3284" t="e">
        <f t="shared" si="110"/>
        <v>#DIV/0!</v>
      </c>
      <c r="BY63" s="3295"/>
      <c r="BZ63" s="3283"/>
      <c r="CA63" s="3283"/>
      <c r="CB63" s="2028">
        <f t="shared" si="131"/>
        <v>0</v>
      </c>
      <c r="CC63" s="3284" t="e">
        <f t="shared" si="111"/>
        <v>#DIV/0!</v>
      </c>
      <c r="CD63" s="1449"/>
      <c r="CE63" s="3283"/>
      <c r="CF63" s="3283"/>
      <c r="CG63" s="2028">
        <f t="shared" si="132"/>
        <v>0</v>
      </c>
      <c r="CH63" s="3284" t="e">
        <f t="shared" si="112"/>
        <v>#DIV/0!</v>
      </c>
      <c r="CI63" s="1449"/>
      <c r="CJ63" s="3283"/>
      <c r="CK63" s="3283"/>
      <c r="CL63" s="2028">
        <f t="shared" si="133"/>
        <v>0</v>
      </c>
      <c r="CM63" s="3284" t="e">
        <f t="shared" si="113"/>
        <v>#DIV/0!</v>
      </c>
      <c r="CN63" s="1449"/>
      <c r="CO63" s="3283"/>
      <c r="CP63" s="3283"/>
      <c r="CQ63" s="2028">
        <f t="shared" si="134"/>
        <v>0</v>
      </c>
      <c r="CR63" s="3284" t="e">
        <f t="shared" si="114"/>
        <v>#DIV/0!</v>
      </c>
      <c r="CS63" s="1449"/>
      <c r="CT63" s="3283"/>
      <c r="CU63" s="3283"/>
      <c r="CV63" s="2028">
        <f t="shared" si="135"/>
        <v>0</v>
      </c>
      <c r="CW63" s="3284" t="e">
        <f t="shared" si="115"/>
        <v>#DIV/0!</v>
      </c>
      <c r="CX63" s="1449"/>
      <c r="CY63" s="3274">
        <f t="shared" si="136"/>
        <v>0</v>
      </c>
      <c r="CZ63" s="3274">
        <f t="shared" si="136"/>
        <v>0</v>
      </c>
      <c r="DA63" s="2028">
        <f t="shared" si="137"/>
        <v>0</v>
      </c>
      <c r="DB63" s="3284">
        <f t="shared" si="72"/>
        <v>0</v>
      </c>
      <c r="DC63" s="3295"/>
    </row>
    <row r="64" spans="1:107" ht="13.8" x14ac:dyDescent="0.25">
      <c r="A64" s="1586"/>
      <c r="B64" s="3310" t="s">
        <v>63</v>
      </c>
      <c r="C64" s="3283"/>
      <c r="D64" s="3283"/>
      <c r="E64" s="2028">
        <f t="shared" si="116"/>
        <v>0</v>
      </c>
      <c r="F64" s="3284">
        <f t="shared" si="98"/>
        <v>0</v>
      </c>
      <c r="G64" s="3295"/>
      <c r="H64" s="3283"/>
      <c r="I64" s="3283"/>
      <c r="J64" s="2028">
        <f t="shared" si="117"/>
        <v>0</v>
      </c>
      <c r="K64" s="3284">
        <f t="shared" si="99"/>
        <v>0</v>
      </c>
      <c r="L64" s="3295"/>
      <c r="M64" s="3283"/>
      <c r="N64" s="3283"/>
      <c r="O64" s="2028">
        <f t="shared" si="118"/>
        <v>0</v>
      </c>
      <c r="P64" s="3284">
        <f t="shared" si="2"/>
        <v>0</v>
      </c>
      <c r="Q64" s="3295"/>
      <c r="R64" s="3283"/>
      <c r="S64" s="3283"/>
      <c r="T64" s="2028">
        <f t="shared" si="119"/>
        <v>0</v>
      </c>
      <c r="U64" s="3284">
        <f t="shared" si="100"/>
        <v>0</v>
      </c>
      <c r="V64" s="3295"/>
      <c r="W64" s="3283"/>
      <c r="X64" s="3283"/>
      <c r="Y64" s="2028">
        <f t="shared" si="120"/>
        <v>0</v>
      </c>
      <c r="Z64" s="3284">
        <f t="shared" si="101"/>
        <v>0</v>
      </c>
      <c r="AA64" s="3295"/>
      <c r="AB64" s="3283"/>
      <c r="AC64" s="3283"/>
      <c r="AD64" s="2028">
        <f t="shared" si="121"/>
        <v>0</v>
      </c>
      <c r="AE64" s="3284">
        <f t="shared" si="102"/>
        <v>0</v>
      </c>
      <c r="AF64" s="3295"/>
      <c r="AG64" s="3274">
        <v>0</v>
      </c>
      <c r="AH64" s="3274">
        <v>0</v>
      </c>
      <c r="AI64" s="2028">
        <v>0</v>
      </c>
      <c r="AJ64" s="3284">
        <v>0</v>
      </c>
      <c r="AK64" s="3276"/>
      <c r="AL64" s="3274">
        <f t="shared" si="122"/>
        <v>0</v>
      </c>
      <c r="AM64" s="3274">
        <f t="shared" si="122"/>
        <v>0</v>
      </c>
      <c r="AN64" s="2028">
        <f t="shared" si="123"/>
        <v>0</v>
      </c>
      <c r="AO64" s="3284">
        <f t="shared" si="103"/>
        <v>0</v>
      </c>
      <c r="AP64" s="3276"/>
      <c r="AQ64" s="3283"/>
      <c r="AR64" s="3283"/>
      <c r="AS64" s="2028">
        <f t="shared" si="124"/>
        <v>0</v>
      </c>
      <c r="AT64" s="3284">
        <f t="shared" si="104"/>
        <v>0</v>
      </c>
      <c r="AU64" s="3295"/>
      <c r="AV64" s="3283"/>
      <c r="AW64" s="3283"/>
      <c r="AX64" s="2028">
        <f t="shared" si="125"/>
        <v>0</v>
      </c>
      <c r="AY64" s="3284">
        <f t="shared" si="105"/>
        <v>0</v>
      </c>
      <c r="AZ64" s="3295"/>
      <c r="BA64" s="3283"/>
      <c r="BB64" s="3283"/>
      <c r="BC64" s="2028">
        <f t="shared" si="126"/>
        <v>0</v>
      </c>
      <c r="BD64" s="3284">
        <f t="shared" si="106"/>
        <v>0</v>
      </c>
      <c r="BE64" s="3295"/>
      <c r="BF64" s="3283"/>
      <c r="BG64" s="3283"/>
      <c r="BH64" s="2028">
        <f t="shared" si="127"/>
        <v>0</v>
      </c>
      <c r="BI64" s="3284">
        <f t="shared" si="107"/>
        <v>0</v>
      </c>
      <c r="BJ64" s="3295"/>
      <c r="BK64" s="3283"/>
      <c r="BL64" s="3283"/>
      <c r="BM64" s="2028">
        <f t="shared" si="128"/>
        <v>0</v>
      </c>
      <c r="BN64" s="3284">
        <f t="shared" si="108"/>
        <v>0</v>
      </c>
      <c r="BO64" s="3295"/>
      <c r="BP64" s="3283"/>
      <c r="BQ64" s="3283"/>
      <c r="BR64" s="2028">
        <f t="shared" si="129"/>
        <v>0</v>
      </c>
      <c r="BS64" s="3284">
        <f t="shared" si="109"/>
        <v>0</v>
      </c>
      <c r="BT64" s="3295"/>
      <c r="BU64" s="3283"/>
      <c r="BV64" s="3283"/>
      <c r="BW64" s="2028">
        <f t="shared" si="130"/>
        <v>0</v>
      </c>
      <c r="BX64" s="3284" t="e">
        <f t="shared" si="110"/>
        <v>#DIV/0!</v>
      </c>
      <c r="BY64" s="3295"/>
      <c r="BZ64" s="3283"/>
      <c r="CA64" s="3283"/>
      <c r="CB64" s="2028">
        <f t="shared" si="131"/>
        <v>0</v>
      </c>
      <c r="CC64" s="3284" t="e">
        <f t="shared" si="111"/>
        <v>#DIV/0!</v>
      </c>
      <c r="CD64" s="1449"/>
      <c r="CE64" s="3283"/>
      <c r="CF64" s="3283"/>
      <c r="CG64" s="2028">
        <f t="shared" si="132"/>
        <v>0</v>
      </c>
      <c r="CH64" s="3284" t="e">
        <f t="shared" si="112"/>
        <v>#DIV/0!</v>
      </c>
      <c r="CI64" s="1449"/>
      <c r="CJ64" s="3283"/>
      <c r="CK64" s="3283"/>
      <c r="CL64" s="2028">
        <f t="shared" si="133"/>
        <v>0</v>
      </c>
      <c r="CM64" s="3284" t="e">
        <f t="shared" si="113"/>
        <v>#DIV/0!</v>
      </c>
      <c r="CN64" s="1449"/>
      <c r="CO64" s="3283"/>
      <c r="CP64" s="3283"/>
      <c r="CQ64" s="2028">
        <f t="shared" si="134"/>
        <v>0</v>
      </c>
      <c r="CR64" s="3284" t="e">
        <f t="shared" si="114"/>
        <v>#DIV/0!</v>
      </c>
      <c r="CS64" s="1449"/>
      <c r="CT64" s="3283"/>
      <c r="CU64" s="3283"/>
      <c r="CV64" s="2028">
        <f t="shared" si="135"/>
        <v>0</v>
      </c>
      <c r="CW64" s="3284" t="e">
        <f t="shared" si="115"/>
        <v>#DIV/0!</v>
      </c>
      <c r="CX64" s="1449"/>
      <c r="CY64" s="3274">
        <f t="shared" si="136"/>
        <v>0</v>
      </c>
      <c r="CZ64" s="3274">
        <f t="shared" si="136"/>
        <v>0</v>
      </c>
      <c r="DA64" s="2028">
        <f t="shared" si="137"/>
        <v>0</v>
      </c>
      <c r="DB64" s="3284">
        <f t="shared" si="72"/>
        <v>0</v>
      </c>
      <c r="DC64" s="3295"/>
    </row>
    <row r="65" spans="1:107" ht="13.8" x14ac:dyDescent="0.25">
      <c r="A65" s="1586"/>
      <c r="B65" s="3310" t="s">
        <v>36</v>
      </c>
      <c r="C65" s="3274"/>
      <c r="D65" s="3274">
        <v>1061</v>
      </c>
      <c r="E65" s="2028">
        <f t="shared" si="116"/>
        <v>1061</v>
      </c>
      <c r="F65" s="3284">
        <f t="shared" si="98"/>
        <v>1.6887177329357312E-2</v>
      </c>
      <c r="G65" s="3295"/>
      <c r="H65" s="3274"/>
      <c r="I65" s="3274"/>
      <c r="J65" s="2028">
        <f t="shared" si="117"/>
        <v>0</v>
      </c>
      <c r="K65" s="3284">
        <f t="shared" si="99"/>
        <v>0</v>
      </c>
      <c r="L65" s="3295"/>
      <c r="M65" s="3274"/>
      <c r="N65" s="3274"/>
      <c r="O65" s="2028">
        <f t="shared" si="118"/>
        <v>0</v>
      </c>
      <c r="P65" s="3284">
        <f t="shared" si="2"/>
        <v>0</v>
      </c>
      <c r="Q65" s="3295"/>
      <c r="R65" s="3274"/>
      <c r="S65" s="3274"/>
      <c r="T65" s="2028">
        <f t="shared" si="119"/>
        <v>0</v>
      </c>
      <c r="U65" s="3284">
        <f t="shared" si="100"/>
        <v>0</v>
      </c>
      <c r="V65" s="3295"/>
      <c r="W65" s="3274"/>
      <c r="X65" s="3274"/>
      <c r="Y65" s="2028">
        <f t="shared" si="120"/>
        <v>0</v>
      </c>
      <c r="Z65" s="3284">
        <f t="shared" si="101"/>
        <v>0</v>
      </c>
      <c r="AA65" s="3295"/>
      <c r="AB65" s="3274"/>
      <c r="AC65" s="3274"/>
      <c r="AD65" s="2028">
        <f t="shared" si="121"/>
        <v>0</v>
      </c>
      <c r="AE65" s="3284">
        <f t="shared" si="102"/>
        <v>0</v>
      </c>
      <c r="AF65" s="3295"/>
      <c r="AG65" s="3274">
        <v>0</v>
      </c>
      <c r="AH65" s="3274">
        <v>0</v>
      </c>
      <c r="AI65" s="2028">
        <v>0</v>
      </c>
      <c r="AJ65" s="3284">
        <v>0</v>
      </c>
      <c r="AK65" s="3276"/>
      <c r="AL65" s="3274">
        <f t="shared" si="122"/>
        <v>0</v>
      </c>
      <c r="AM65" s="3274">
        <f t="shared" si="122"/>
        <v>0</v>
      </c>
      <c r="AN65" s="2028">
        <f t="shared" si="123"/>
        <v>0</v>
      </c>
      <c r="AO65" s="3284">
        <f t="shared" si="103"/>
        <v>0</v>
      </c>
      <c r="AP65" s="3276"/>
      <c r="AQ65" s="3274"/>
      <c r="AR65" s="3274"/>
      <c r="AS65" s="2028">
        <f t="shared" si="124"/>
        <v>0</v>
      </c>
      <c r="AT65" s="3284">
        <f t="shared" si="104"/>
        <v>0</v>
      </c>
      <c r="AU65" s="3295"/>
      <c r="AV65" s="3274"/>
      <c r="AW65" s="3274"/>
      <c r="AX65" s="2028">
        <f t="shared" si="125"/>
        <v>0</v>
      </c>
      <c r="AY65" s="3284">
        <f t="shared" si="105"/>
        <v>0</v>
      </c>
      <c r="AZ65" s="3295"/>
      <c r="BA65" s="3274"/>
      <c r="BB65" s="3274"/>
      <c r="BC65" s="2028">
        <f t="shared" si="126"/>
        <v>0</v>
      </c>
      <c r="BD65" s="3284">
        <f t="shared" si="106"/>
        <v>0</v>
      </c>
      <c r="BE65" s="3295"/>
      <c r="BF65" s="3274"/>
      <c r="BG65" s="3274"/>
      <c r="BH65" s="2028">
        <f t="shared" si="127"/>
        <v>0</v>
      </c>
      <c r="BI65" s="3284">
        <f t="shared" si="107"/>
        <v>0</v>
      </c>
      <c r="BJ65" s="3295"/>
      <c r="BK65" s="3274"/>
      <c r="BL65" s="3274"/>
      <c r="BM65" s="2028">
        <f t="shared" si="128"/>
        <v>0</v>
      </c>
      <c r="BN65" s="3284">
        <f t="shared" si="108"/>
        <v>0</v>
      </c>
      <c r="BO65" s="3295"/>
      <c r="BP65" s="3274"/>
      <c r="BQ65" s="3274"/>
      <c r="BR65" s="2028">
        <f t="shared" si="129"/>
        <v>0</v>
      </c>
      <c r="BS65" s="3284">
        <f t="shared" si="109"/>
        <v>0</v>
      </c>
      <c r="BT65" s="3295"/>
      <c r="BU65" s="3274"/>
      <c r="BV65" s="3274"/>
      <c r="BW65" s="2028">
        <f t="shared" si="130"/>
        <v>0</v>
      </c>
      <c r="BX65" s="3284" t="e">
        <f t="shared" si="110"/>
        <v>#DIV/0!</v>
      </c>
      <c r="BY65" s="3295"/>
      <c r="BZ65" s="3274"/>
      <c r="CA65" s="3274"/>
      <c r="CB65" s="2028">
        <f t="shared" si="131"/>
        <v>0</v>
      </c>
      <c r="CC65" s="3284" t="e">
        <f t="shared" si="111"/>
        <v>#DIV/0!</v>
      </c>
      <c r="CD65" s="1449"/>
      <c r="CE65" s="3274"/>
      <c r="CF65" s="3274"/>
      <c r="CG65" s="2028">
        <f t="shared" si="132"/>
        <v>0</v>
      </c>
      <c r="CH65" s="3284" t="e">
        <f t="shared" si="112"/>
        <v>#DIV/0!</v>
      </c>
      <c r="CI65" s="1449"/>
      <c r="CJ65" s="3274"/>
      <c r="CK65" s="3274"/>
      <c r="CL65" s="2028">
        <f t="shared" si="133"/>
        <v>0</v>
      </c>
      <c r="CM65" s="3284" t="e">
        <f t="shared" si="113"/>
        <v>#DIV/0!</v>
      </c>
      <c r="CN65" s="1449"/>
      <c r="CO65" s="3274"/>
      <c r="CP65" s="3274"/>
      <c r="CQ65" s="2028">
        <f t="shared" si="134"/>
        <v>0</v>
      </c>
      <c r="CR65" s="3284" t="e">
        <f t="shared" si="114"/>
        <v>#DIV/0!</v>
      </c>
      <c r="CS65" s="1449"/>
      <c r="CT65" s="3274"/>
      <c r="CU65" s="3274"/>
      <c r="CV65" s="2028">
        <f t="shared" si="135"/>
        <v>0</v>
      </c>
      <c r="CW65" s="3284" t="e">
        <f t="shared" si="115"/>
        <v>#DIV/0!</v>
      </c>
      <c r="CX65" s="1449"/>
      <c r="CY65" s="3274">
        <f t="shared" si="136"/>
        <v>0</v>
      </c>
      <c r="CZ65" s="3274">
        <f t="shared" si="136"/>
        <v>1061</v>
      </c>
      <c r="DA65" s="2028">
        <f t="shared" si="137"/>
        <v>1061</v>
      </c>
      <c r="DB65" s="3284">
        <f t="shared" si="72"/>
        <v>5.5635958919006293E-4</v>
      </c>
      <c r="DC65" s="3295"/>
    </row>
    <row r="66" spans="1:107" s="1411" customFormat="1" ht="13.8" x14ac:dyDescent="0.25">
      <c r="A66" s="1586"/>
      <c r="B66" s="3310" t="s">
        <v>37</v>
      </c>
      <c r="C66" s="3274"/>
      <c r="D66" s="3274"/>
      <c r="E66" s="2028">
        <f t="shared" si="116"/>
        <v>0</v>
      </c>
      <c r="F66" s="3284">
        <f t="shared" si="98"/>
        <v>0</v>
      </c>
      <c r="G66" s="3295"/>
      <c r="H66" s="3274"/>
      <c r="I66" s="3274"/>
      <c r="J66" s="2028">
        <f t="shared" si="117"/>
        <v>0</v>
      </c>
      <c r="K66" s="3284">
        <f t="shared" si="99"/>
        <v>0</v>
      </c>
      <c r="L66" s="3295"/>
      <c r="M66" s="3274"/>
      <c r="N66" s="3274"/>
      <c r="O66" s="2028">
        <f t="shared" si="118"/>
        <v>0</v>
      </c>
      <c r="P66" s="3284">
        <f t="shared" si="2"/>
        <v>0</v>
      </c>
      <c r="Q66" s="3295"/>
      <c r="R66" s="3274"/>
      <c r="S66" s="3274"/>
      <c r="T66" s="2028">
        <f t="shared" si="119"/>
        <v>0</v>
      </c>
      <c r="U66" s="3284">
        <f t="shared" si="100"/>
        <v>0</v>
      </c>
      <c r="V66" s="3295"/>
      <c r="W66" s="3274"/>
      <c r="X66" s="3274"/>
      <c r="Y66" s="2028">
        <f t="shared" si="120"/>
        <v>0</v>
      </c>
      <c r="Z66" s="3284">
        <f t="shared" si="101"/>
        <v>0</v>
      </c>
      <c r="AA66" s="3295"/>
      <c r="AB66" s="3274"/>
      <c r="AC66" s="3274"/>
      <c r="AD66" s="2028">
        <f t="shared" si="121"/>
        <v>0</v>
      </c>
      <c r="AE66" s="3284">
        <f t="shared" si="102"/>
        <v>0</v>
      </c>
      <c r="AF66" s="3295"/>
      <c r="AG66" s="3274">
        <v>0</v>
      </c>
      <c r="AH66" s="3274">
        <v>0</v>
      </c>
      <c r="AI66" s="2028">
        <v>0</v>
      </c>
      <c r="AJ66" s="3284">
        <v>0</v>
      </c>
      <c r="AK66" s="3276"/>
      <c r="AL66" s="3274">
        <f t="shared" si="122"/>
        <v>0</v>
      </c>
      <c r="AM66" s="3274">
        <f t="shared" si="122"/>
        <v>0</v>
      </c>
      <c r="AN66" s="2028">
        <f t="shared" si="123"/>
        <v>0</v>
      </c>
      <c r="AO66" s="3284">
        <f t="shared" si="103"/>
        <v>0</v>
      </c>
      <c r="AP66" s="3276"/>
      <c r="AQ66" s="3274"/>
      <c r="AR66" s="3274"/>
      <c r="AS66" s="2028">
        <f t="shared" si="124"/>
        <v>0</v>
      </c>
      <c r="AT66" s="3284">
        <f t="shared" si="104"/>
        <v>0</v>
      </c>
      <c r="AU66" s="3295"/>
      <c r="AV66" s="3274"/>
      <c r="AW66" s="3274"/>
      <c r="AX66" s="2028">
        <f t="shared" si="125"/>
        <v>0</v>
      </c>
      <c r="AY66" s="3284">
        <f t="shared" si="105"/>
        <v>0</v>
      </c>
      <c r="AZ66" s="3295"/>
      <c r="BA66" s="3274"/>
      <c r="BB66" s="3274"/>
      <c r="BC66" s="2028">
        <f t="shared" si="126"/>
        <v>0</v>
      </c>
      <c r="BD66" s="3284">
        <f t="shared" si="106"/>
        <v>0</v>
      </c>
      <c r="BE66" s="3295"/>
      <c r="BF66" s="3274"/>
      <c r="BG66" s="3274"/>
      <c r="BH66" s="2028">
        <f t="shared" si="127"/>
        <v>0</v>
      </c>
      <c r="BI66" s="3284">
        <f t="shared" si="107"/>
        <v>0</v>
      </c>
      <c r="BJ66" s="3295"/>
      <c r="BK66" s="3274"/>
      <c r="BL66" s="3274"/>
      <c r="BM66" s="2028">
        <f t="shared" si="128"/>
        <v>0</v>
      </c>
      <c r="BN66" s="3284">
        <f t="shared" si="108"/>
        <v>0</v>
      </c>
      <c r="BO66" s="3295"/>
      <c r="BP66" s="3274"/>
      <c r="BQ66" s="3274"/>
      <c r="BR66" s="2028">
        <f t="shared" si="129"/>
        <v>0</v>
      </c>
      <c r="BS66" s="3284">
        <f t="shared" si="109"/>
        <v>0</v>
      </c>
      <c r="BT66" s="3295"/>
      <c r="BU66" s="3274"/>
      <c r="BV66" s="3274"/>
      <c r="BW66" s="2028">
        <f t="shared" si="130"/>
        <v>0</v>
      </c>
      <c r="BX66" s="3284" t="e">
        <f t="shared" si="110"/>
        <v>#DIV/0!</v>
      </c>
      <c r="BY66" s="3295"/>
      <c r="BZ66" s="3274"/>
      <c r="CA66" s="3274"/>
      <c r="CB66" s="2028">
        <f t="shared" si="131"/>
        <v>0</v>
      </c>
      <c r="CC66" s="3284" t="e">
        <f t="shared" si="111"/>
        <v>#DIV/0!</v>
      </c>
      <c r="CD66" s="1449"/>
      <c r="CE66" s="3274"/>
      <c r="CF66" s="3274"/>
      <c r="CG66" s="2028">
        <f t="shared" si="132"/>
        <v>0</v>
      </c>
      <c r="CH66" s="3284" t="e">
        <f t="shared" si="112"/>
        <v>#DIV/0!</v>
      </c>
      <c r="CI66" s="1449"/>
      <c r="CJ66" s="3274"/>
      <c r="CK66" s="3274"/>
      <c r="CL66" s="2028">
        <f t="shared" si="133"/>
        <v>0</v>
      </c>
      <c r="CM66" s="3284" t="e">
        <f t="shared" si="113"/>
        <v>#DIV/0!</v>
      </c>
      <c r="CN66" s="1449"/>
      <c r="CO66" s="3274"/>
      <c r="CP66" s="3274"/>
      <c r="CQ66" s="2028">
        <f t="shared" si="134"/>
        <v>0</v>
      </c>
      <c r="CR66" s="3284" t="e">
        <f t="shared" si="114"/>
        <v>#DIV/0!</v>
      </c>
      <c r="CS66" s="1449"/>
      <c r="CT66" s="3274"/>
      <c r="CU66" s="3274"/>
      <c r="CV66" s="2028">
        <f t="shared" si="135"/>
        <v>0</v>
      </c>
      <c r="CW66" s="3284" t="e">
        <f t="shared" si="115"/>
        <v>#DIV/0!</v>
      </c>
      <c r="CX66" s="1449"/>
      <c r="CY66" s="3274">
        <f t="shared" si="136"/>
        <v>0</v>
      </c>
      <c r="CZ66" s="3274">
        <f t="shared" si="136"/>
        <v>0</v>
      </c>
      <c r="DA66" s="2028">
        <f t="shared" si="137"/>
        <v>0</v>
      </c>
      <c r="DB66" s="3284">
        <f t="shared" si="72"/>
        <v>0</v>
      </c>
      <c r="DC66" s="3295"/>
    </row>
    <row r="67" spans="1:107" s="1411" customFormat="1" ht="13.8" x14ac:dyDescent="0.25">
      <c r="A67" s="1586"/>
      <c r="B67" s="3310" t="s">
        <v>3</v>
      </c>
      <c r="C67" s="3274"/>
      <c r="D67" s="3274"/>
      <c r="E67" s="2028">
        <f t="shared" si="116"/>
        <v>0</v>
      </c>
      <c r="F67" s="3284">
        <f t="shared" si="98"/>
        <v>0</v>
      </c>
      <c r="G67" s="3295"/>
      <c r="H67" s="3274"/>
      <c r="I67" s="3274"/>
      <c r="J67" s="2028">
        <f t="shared" si="117"/>
        <v>0</v>
      </c>
      <c r="K67" s="3284">
        <f t="shared" si="99"/>
        <v>0</v>
      </c>
      <c r="L67" s="3295"/>
      <c r="M67" s="3274"/>
      <c r="N67" s="3274"/>
      <c r="O67" s="2028">
        <f t="shared" si="118"/>
        <v>0</v>
      </c>
      <c r="P67" s="3284">
        <f t="shared" si="2"/>
        <v>0</v>
      </c>
      <c r="Q67" s="3295"/>
      <c r="R67" s="3274"/>
      <c r="S67" s="3274"/>
      <c r="T67" s="2028">
        <f t="shared" si="119"/>
        <v>0</v>
      </c>
      <c r="U67" s="3284">
        <f t="shared" si="100"/>
        <v>0</v>
      </c>
      <c r="V67" s="3295"/>
      <c r="W67" s="3274"/>
      <c r="X67" s="3274"/>
      <c r="Y67" s="2028">
        <f t="shared" si="120"/>
        <v>0</v>
      </c>
      <c r="Z67" s="3284">
        <f t="shared" si="101"/>
        <v>0</v>
      </c>
      <c r="AA67" s="3295"/>
      <c r="AB67" s="3274"/>
      <c r="AC67" s="3274"/>
      <c r="AD67" s="2028">
        <f t="shared" si="121"/>
        <v>0</v>
      </c>
      <c r="AE67" s="3284">
        <f t="shared" si="102"/>
        <v>0</v>
      </c>
      <c r="AF67" s="3295"/>
      <c r="AG67" s="3274">
        <v>0</v>
      </c>
      <c r="AH67" s="3274">
        <v>0</v>
      </c>
      <c r="AI67" s="2028">
        <v>0</v>
      </c>
      <c r="AJ67" s="3284">
        <v>0</v>
      </c>
      <c r="AK67" s="3276"/>
      <c r="AL67" s="3274">
        <f t="shared" si="122"/>
        <v>0</v>
      </c>
      <c r="AM67" s="3274">
        <f t="shared" si="122"/>
        <v>0</v>
      </c>
      <c r="AN67" s="2028">
        <f t="shared" si="123"/>
        <v>0</v>
      </c>
      <c r="AO67" s="3284">
        <f t="shared" si="103"/>
        <v>0</v>
      </c>
      <c r="AP67" s="3276"/>
      <c r="AQ67" s="3274"/>
      <c r="AR67" s="3274"/>
      <c r="AS67" s="2028">
        <f t="shared" si="124"/>
        <v>0</v>
      </c>
      <c r="AT67" s="3284">
        <f t="shared" si="104"/>
        <v>0</v>
      </c>
      <c r="AU67" s="3295"/>
      <c r="AV67" s="3274"/>
      <c r="AW67" s="3274"/>
      <c r="AX67" s="2028">
        <f t="shared" si="125"/>
        <v>0</v>
      </c>
      <c r="AY67" s="3284">
        <f t="shared" si="105"/>
        <v>0</v>
      </c>
      <c r="AZ67" s="3295"/>
      <c r="BA67" s="3274"/>
      <c r="BB67" s="3274"/>
      <c r="BC67" s="2028">
        <f t="shared" si="126"/>
        <v>0</v>
      </c>
      <c r="BD67" s="3284">
        <f t="shared" si="106"/>
        <v>0</v>
      </c>
      <c r="BE67" s="3295"/>
      <c r="BF67" s="3274"/>
      <c r="BG67" s="3274"/>
      <c r="BH67" s="2028">
        <f t="shared" si="127"/>
        <v>0</v>
      </c>
      <c r="BI67" s="3284">
        <f t="shared" si="107"/>
        <v>0</v>
      </c>
      <c r="BJ67" s="3295"/>
      <c r="BK67" s="3274"/>
      <c r="BL67" s="3274"/>
      <c r="BM67" s="2028">
        <f t="shared" si="128"/>
        <v>0</v>
      </c>
      <c r="BN67" s="3284">
        <f t="shared" si="108"/>
        <v>0</v>
      </c>
      <c r="BO67" s="3295"/>
      <c r="BP67" s="3274"/>
      <c r="BQ67" s="3274"/>
      <c r="BR67" s="2028">
        <f t="shared" si="129"/>
        <v>0</v>
      </c>
      <c r="BS67" s="3284">
        <f t="shared" si="109"/>
        <v>0</v>
      </c>
      <c r="BT67" s="3295"/>
      <c r="BU67" s="3274"/>
      <c r="BV67" s="3274"/>
      <c r="BW67" s="2028">
        <f t="shared" si="130"/>
        <v>0</v>
      </c>
      <c r="BX67" s="3284" t="e">
        <f t="shared" si="110"/>
        <v>#DIV/0!</v>
      </c>
      <c r="BY67" s="3295"/>
      <c r="BZ67" s="3274"/>
      <c r="CA67" s="3274"/>
      <c r="CB67" s="2028">
        <f t="shared" si="131"/>
        <v>0</v>
      </c>
      <c r="CC67" s="3284" t="e">
        <f t="shared" si="111"/>
        <v>#DIV/0!</v>
      </c>
      <c r="CD67" s="1449"/>
      <c r="CE67" s="3274"/>
      <c r="CF67" s="3274"/>
      <c r="CG67" s="2028">
        <f t="shared" si="132"/>
        <v>0</v>
      </c>
      <c r="CH67" s="3284" t="e">
        <f t="shared" si="112"/>
        <v>#DIV/0!</v>
      </c>
      <c r="CI67" s="1449"/>
      <c r="CJ67" s="3274"/>
      <c r="CK67" s="3274"/>
      <c r="CL67" s="2028">
        <f t="shared" si="133"/>
        <v>0</v>
      </c>
      <c r="CM67" s="3284" t="e">
        <f t="shared" si="113"/>
        <v>#DIV/0!</v>
      </c>
      <c r="CN67" s="1449"/>
      <c r="CO67" s="3274"/>
      <c r="CP67" s="3274"/>
      <c r="CQ67" s="2028">
        <f t="shared" si="134"/>
        <v>0</v>
      </c>
      <c r="CR67" s="3284" t="e">
        <f t="shared" si="114"/>
        <v>#DIV/0!</v>
      </c>
      <c r="CS67" s="1449"/>
      <c r="CT67" s="3274"/>
      <c r="CU67" s="3274"/>
      <c r="CV67" s="2028">
        <f t="shared" si="135"/>
        <v>0</v>
      </c>
      <c r="CW67" s="3284" t="e">
        <f t="shared" si="115"/>
        <v>#DIV/0!</v>
      </c>
      <c r="CX67" s="1449"/>
      <c r="CY67" s="3274">
        <f t="shared" si="136"/>
        <v>0</v>
      </c>
      <c r="CZ67" s="3274">
        <f t="shared" si="136"/>
        <v>0</v>
      </c>
      <c r="DA67" s="2028">
        <f t="shared" si="137"/>
        <v>0</v>
      </c>
      <c r="DB67" s="3284">
        <f t="shared" si="72"/>
        <v>0</v>
      </c>
      <c r="DC67" s="3295"/>
    </row>
    <row r="68" spans="1:107" s="1411" customFormat="1" ht="13.8" x14ac:dyDescent="0.25">
      <c r="A68" s="1586"/>
      <c r="B68" s="3310" t="s">
        <v>5</v>
      </c>
      <c r="C68" s="3274"/>
      <c r="D68" s="3274"/>
      <c r="E68" s="2028">
        <f t="shared" si="116"/>
        <v>0</v>
      </c>
      <c r="F68" s="3284">
        <f t="shared" si="98"/>
        <v>0</v>
      </c>
      <c r="G68" s="3274" t="s">
        <v>546</v>
      </c>
      <c r="H68" s="3274"/>
      <c r="I68" s="3274"/>
      <c r="J68" s="2028">
        <f t="shared" si="117"/>
        <v>0</v>
      </c>
      <c r="K68" s="3284">
        <f t="shared" si="99"/>
        <v>0</v>
      </c>
      <c r="L68" s="3274" t="s">
        <v>546</v>
      </c>
      <c r="M68" s="3274"/>
      <c r="N68" s="3274">
        <v>59</v>
      </c>
      <c r="O68" s="2028">
        <f t="shared" si="118"/>
        <v>59</v>
      </c>
      <c r="P68" s="3284">
        <f t="shared" si="2"/>
        <v>2.9820802546421358E-4</v>
      </c>
      <c r="Q68" s="3274"/>
      <c r="R68" s="3274"/>
      <c r="S68" s="3274"/>
      <c r="T68" s="2028">
        <f t="shared" si="119"/>
        <v>0</v>
      </c>
      <c r="U68" s="3284">
        <f t="shared" si="100"/>
        <v>0</v>
      </c>
      <c r="V68" s="3274"/>
      <c r="W68" s="3274"/>
      <c r="X68" s="3274"/>
      <c r="Y68" s="2028">
        <f t="shared" si="120"/>
        <v>0</v>
      </c>
      <c r="Z68" s="3284">
        <f t="shared" si="101"/>
        <v>0</v>
      </c>
      <c r="AA68" s="3274"/>
      <c r="AB68" s="3274"/>
      <c r="AC68" s="3274"/>
      <c r="AD68" s="2028">
        <f t="shared" si="121"/>
        <v>0</v>
      </c>
      <c r="AE68" s="3284">
        <f t="shared" si="102"/>
        <v>0</v>
      </c>
      <c r="AF68" s="3274"/>
      <c r="AG68" s="3274">
        <v>0</v>
      </c>
      <c r="AH68" s="3274">
        <v>30</v>
      </c>
      <c r="AI68" s="2028">
        <v>30</v>
      </c>
      <c r="AJ68" s="3284">
        <v>4.2802938104702267E-4</v>
      </c>
      <c r="AK68" s="3276"/>
      <c r="AL68" s="3274">
        <f t="shared" si="122"/>
        <v>0</v>
      </c>
      <c r="AM68" s="3274">
        <f t="shared" si="122"/>
        <v>0</v>
      </c>
      <c r="AN68" s="2028">
        <f t="shared" si="123"/>
        <v>0</v>
      </c>
      <c r="AO68" s="3284">
        <f t="shared" si="103"/>
        <v>0</v>
      </c>
      <c r="AP68" s="3276"/>
      <c r="AQ68" s="3274"/>
      <c r="AR68" s="3274"/>
      <c r="AS68" s="2028">
        <f t="shared" si="124"/>
        <v>0</v>
      </c>
      <c r="AT68" s="3284">
        <f t="shared" si="104"/>
        <v>0</v>
      </c>
      <c r="AU68" s="3274"/>
      <c r="AV68" s="3274"/>
      <c r="AW68" s="3274"/>
      <c r="AX68" s="2028">
        <f t="shared" si="125"/>
        <v>0</v>
      </c>
      <c r="AY68" s="3284">
        <f t="shared" si="105"/>
        <v>0</v>
      </c>
      <c r="AZ68" s="3274"/>
      <c r="BA68" s="3274"/>
      <c r="BB68" s="3274"/>
      <c r="BC68" s="2028">
        <f t="shared" si="126"/>
        <v>0</v>
      </c>
      <c r="BD68" s="3284">
        <f t="shared" si="106"/>
        <v>0</v>
      </c>
      <c r="BE68" s="3274"/>
      <c r="BF68" s="3274"/>
      <c r="BG68" s="3274"/>
      <c r="BH68" s="2028">
        <f t="shared" si="127"/>
        <v>0</v>
      </c>
      <c r="BI68" s="3284">
        <f t="shared" si="107"/>
        <v>0</v>
      </c>
      <c r="BJ68" s="3274"/>
      <c r="BK68" s="3274"/>
      <c r="BL68" s="3274"/>
      <c r="BM68" s="2028">
        <f t="shared" si="128"/>
        <v>0</v>
      </c>
      <c r="BN68" s="3284">
        <f t="shared" si="108"/>
        <v>0</v>
      </c>
      <c r="BO68" s="3274"/>
      <c r="BP68" s="3274"/>
      <c r="BQ68" s="3274"/>
      <c r="BR68" s="2028">
        <f t="shared" si="129"/>
        <v>0</v>
      </c>
      <c r="BS68" s="3284">
        <f t="shared" si="109"/>
        <v>0</v>
      </c>
      <c r="BT68" s="3274"/>
      <c r="BU68" s="3274"/>
      <c r="BV68" s="3274"/>
      <c r="BW68" s="2028">
        <f t="shared" si="130"/>
        <v>0</v>
      </c>
      <c r="BX68" s="3284" t="e">
        <f t="shared" si="110"/>
        <v>#DIV/0!</v>
      </c>
      <c r="BY68" s="3274"/>
      <c r="BZ68" s="3274"/>
      <c r="CA68" s="3274"/>
      <c r="CB68" s="2028">
        <f t="shared" si="131"/>
        <v>0</v>
      </c>
      <c r="CC68" s="3284" t="e">
        <f t="shared" si="111"/>
        <v>#DIV/0!</v>
      </c>
      <c r="CD68" s="3274"/>
      <c r="CE68" s="3274"/>
      <c r="CF68" s="3274"/>
      <c r="CG68" s="2028">
        <f t="shared" si="132"/>
        <v>0</v>
      </c>
      <c r="CH68" s="3284" t="e">
        <f t="shared" si="112"/>
        <v>#DIV/0!</v>
      </c>
      <c r="CI68" s="3274"/>
      <c r="CJ68" s="3274"/>
      <c r="CK68" s="3274"/>
      <c r="CL68" s="2028">
        <f t="shared" si="133"/>
        <v>0</v>
      </c>
      <c r="CM68" s="3284" t="e">
        <f t="shared" si="113"/>
        <v>#DIV/0!</v>
      </c>
      <c r="CN68" s="3274"/>
      <c r="CO68" s="3274"/>
      <c r="CP68" s="3274"/>
      <c r="CQ68" s="2028">
        <f t="shared" si="134"/>
        <v>0</v>
      </c>
      <c r="CR68" s="3284" t="e">
        <f t="shared" si="114"/>
        <v>#DIV/0!</v>
      </c>
      <c r="CS68" s="3274"/>
      <c r="CT68" s="3274"/>
      <c r="CU68" s="3274"/>
      <c r="CV68" s="2028">
        <f t="shared" si="135"/>
        <v>0</v>
      </c>
      <c r="CW68" s="3284" t="e">
        <f t="shared" si="115"/>
        <v>#DIV/0!</v>
      </c>
      <c r="CX68" s="3274"/>
      <c r="CY68" s="3274">
        <f t="shared" si="136"/>
        <v>0</v>
      </c>
      <c r="CZ68" s="3274">
        <f t="shared" si="136"/>
        <v>89</v>
      </c>
      <c r="DA68" s="2028">
        <f t="shared" si="137"/>
        <v>89</v>
      </c>
      <c r="DB68" s="3284">
        <f t="shared" si="72"/>
        <v>4.6669183259109896E-5</v>
      </c>
      <c r="DC68" s="3295"/>
    </row>
    <row r="69" spans="1:107" s="1411" customFormat="1" ht="13.8" x14ac:dyDescent="0.25">
      <c r="A69" s="1586"/>
      <c r="B69" s="3310" t="s">
        <v>42</v>
      </c>
      <c r="C69" s="3274"/>
      <c r="D69" s="3274"/>
      <c r="E69" s="2028">
        <f t="shared" si="116"/>
        <v>0</v>
      </c>
      <c r="F69" s="3284">
        <f t="shared" si="98"/>
        <v>0</v>
      </c>
      <c r="G69" s="3274"/>
      <c r="H69" s="3274"/>
      <c r="I69" s="3274"/>
      <c r="J69" s="2028">
        <f t="shared" si="117"/>
        <v>0</v>
      </c>
      <c r="K69" s="3284">
        <f t="shared" si="99"/>
        <v>0</v>
      </c>
      <c r="L69" s="3274"/>
      <c r="M69" s="3274"/>
      <c r="N69" s="3274"/>
      <c r="O69" s="2028">
        <f t="shared" si="118"/>
        <v>0</v>
      </c>
      <c r="P69" s="3284">
        <f t="shared" si="2"/>
        <v>0</v>
      </c>
      <c r="Q69" s="3274"/>
      <c r="R69" s="3274"/>
      <c r="S69" s="3274"/>
      <c r="T69" s="2028">
        <f t="shared" si="119"/>
        <v>0</v>
      </c>
      <c r="U69" s="3284">
        <f t="shared" si="100"/>
        <v>0</v>
      </c>
      <c r="V69" s="3274"/>
      <c r="W69" s="3274"/>
      <c r="X69" s="3274"/>
      <c r="Y69" s="2028">
        <f t="shared" si="120"/>
        <v>0</v>
      </c>
      <c r="Z69" s="3284">
        <f t="shared" si="101"/>
        <v>0</v>
      </c>
      <c r="AA69" s="3274"/>
      <c r="AB69" s="3274"/>
      <c r="AC69" s="3274"/>
      <c r="AD69" s="2028">
        <f t="shared" si="121"/>
        <v>0</v>
      </c>
      <c r="AE69" s="3284">
        <f t="shared" si="102"/>
        <v>0</v>
      </c>
      <c r="AF69" s="3274"/>
      <c r="AG69" s="3274">
        <v>0</v>
      </c>
      <c r="AH69" s="3274">
        <v>0</v>
      </c>
      <c r="AI69" s="2028">
        <v>0</v>
      </c>
      <c r="AJ69" s="3284">
        <v>0</v>
      </c>
      <c r="AK69" s="3276"/>
      <c r="AL69" s="3274">
        <f t="shared" si="122"/>
        <v>0</v>
      </c>
      <c r="AM69" s="3274">
        <f t="shared" si="122"/>
        <v>0</v>
      </c>
      <c r="AN69" s="2028">
        <f t="shared" si="123"/>
        <v>0</v>
      </c>
      <c r="AO69" s="3284">
        <f t="shared" si="103"/>
        <v>0</v>
      </c>
      <c r="AP69" s="3276"/>
      <c r="AQ69" s="3274"/>
      <c r="AR69" s="3274"/>
      <c r="AS69" s="2028">
        <f t="shared" si="124"/>
        <v>0</v>
      </c>
      <c r="AT69" s="3284">
        <f t="shared" si="104"/>
        <v>0</v>
      </c>
      <c r="AU69" s="3274"/>
      <c r="AV69" s="3274"/>
      <c r="AW69" s="3274"/>
      <c r="AX69" s="2028">
        <f t="shared" si="125"/>
        <v>0</v>
      </c>
      <c r="AY69" s="3284">
        <f t="shared" si="105"/>
        <v>0</v>
      </c>
      <c r="AZ69" s="3274"/>
      <c r="BA69" s="3274"/>
      <c r="BB69" s="3274"/>
      <c r="BC69" s="2028">
        <f t="shared" si="126"/>
        <v>0</v>
      </c>
      <c r="BD69" s="3284">
        <f t="shared" si="106"/>
        <v>0</v>
      </c>
      <c r="BE69" s="3274"/>
      <c r="BF69" s="3274"/>
      <c r="BG69" s="3274"/>
      <c r="BH69" s="2028">
        <f t="shared" si="127"/>
        <v>0</v>
      </c>
      <c r="BI69" s="3284">
        <f t="shared" si="107"/>
        <v>0</v>
      </c>
      <c r="BJ69" s="3274"/>
      <c r="BK69" s="3274"/>
      <c r="BL69" s="3274"/>
      <c r="BM69" s="2028">
        <f t="shared" si="128"/>
        <v>0</v>
      </c>
      <c r="BN69" s="3284">
        <f t="shared" si="108"/>
        <v>0</v>
      </c>
      <c r="BO69" s="3274"/>
      <c r="BP69" s="3274"/>
      <c r="BQ69" s="3274"/>
      <c r="BR69" s="2028">
        <f t="shared" si="129"/>
        <v>0</v>
      </c>
      <c r="BS69" s="3284">
        <f t="shared" si="109"/>
        <v>0</v>
      </c>
      <c r="BT69" s="3274"/>
      <c r="BU69" s="3274"/>
      <c r="BV69" s="3274"/>
      <c r="BW69" s="2028">
        <f t="shared" si="130"/>
        <v>0</v>
      </c>
      <c r="BX69" s="3284" t="e">
        <f t="shared" si="110"/>
        <v>#DIV/0!</v>
      </c>
      <c r="BY69" s="3274"/>
      <c r="BZ69" s="3274"/>
      <c r="CA69" s="3274"/>
      <c r="CB69" s="2028">
        <f t="shared" si="131"/>
        <v>0</v>
      </c>
      <c r="CC69" s="3284" t="e">
        <f t="shared" si="111"/>
        <v>#DIV/0!</v>
      </c>
      <c r="CD69" s="3274"/>
      <c r="CE69" s="3274"/>
      <c r="CF69" s="3274"/>
      <c r="CG69" s="2028">
        <f t="shared" si="132"/>
        <v>0</v>
      </c>
      <c r="CH69" s="3284" t="e">
        <f t="shared" si="112"/>
        <v>#DIV/0!</v>
      </c>
      <c r="CI69" s="3274"/>
      <c r="CJ69" s="3274"/>
      <c r="CK69" s="3274"/>
      <c r="CL69" s="2028">
        <f t="shared" si="133"/>
        <v>0</v>
      </c>
      <c r="CM69" s="3284" t="e">
        <f t="shared" si="113"/>
        <v>#DIV/0!</v>
      </c>
      <c r="CN69" s="3274"/>
      <c r="CO69" s="3274"/>
      <c r="CP69" s="3274"/>
      <c r="CQ69" s="2028">
        <f t="shared" si="134"/>
        <v>0</v>
      </c>
      <c r="CR69" s="3284" t="e">
        <f t="shared" si="114"/>
        <v>#DIV/0!</v>
      </c>
      <c r="CS69" s="3274"/>
      <c r="CT69" s="3274"/>
      <c r="CU69" s="3274"/>
      <c r="CV69" s="2028">
        <f t="shared" si="135"/>
        <v>0</v>
      </c>
      <c r="CW69" s="3284" t="e">
        <f t="shared" si="115"/>
        <v>#DIV/0!</v>
      </c>
      <c r="CX69" s="3274"/>
      <c r="CY69" s="3274">
        <f t="shared" si="136"/>
        <v>0</v>
      </c>
      <c r="CZ69" s="3274">
        <f t="shared" si="136"/>
        <v>0</v>
      </c>
      <c r="DA69" s="2028">
        <f t="shared" si="137"/>
        <v>0</v>
      </c>
      <c r="DB69" s="3284">
        <f t="shared" si="72"/>
        <v>0</v>
      </c>
      <c r="DC69" s="3295"/>
    </row>
    <row r="70" spans="1:107" s="1411" customFormat="1" ht="13.8" x14ac:dyDescent="0.25">
      <c r="A70" s="1586"/>
      <c r="B70" s="3310" t="s">
        <v>6</v>
      </c>
      <c r="C70" s="3274"/>
      <c r="D70" s="3274"/>
      <c r="E70" s="2028">
        <f t="shared" si="116"/>
        <v>0</v>
      </c>
      <c r="F70" s="3284">
        <f t="shared" si="98"/>
        <v>0</v>
      </c>
      <c r="G70" s="3295"/>
      <c r="H70" s="3274"/>
      <c r="I70" s="3274"/>
      <c r="J70" s="2028">
        <f t="shared" si="117"/>
        <v>0</v>
      </c>
      <c r="K70" s="3284">
        <f t="shared" si="99"/>
        <v>0</v>
      </c>
      <c r="L70" s="3295"/>
      <c r="M70" s="3274"/>
      <c r="N70" s="3274"/>
      <c r="O70" s="2028">
        <f t="shared" si="118"/>
        <v>0</v>
      </c>
      <c r="P70" s="3284">
        <f t="shared" si="2"/>
        <v>0</v>
      </c>
      <c r="Q70" s="3295"/>
      <c r="R70" s="3274"/>
      <c r="S70" s="3274"/>
      <c r="T70" s="2028">
        <f t="shared" si="119"/>
        <v>0</v>
      </c>
      <c r="U70" s="3284">
        <f t="shared" si="100"/>
        <v>0</v>
      </c>
      <c r="V70" s="3295"/>
      <c r="W70" s="3274"/>
      <c r="X70" s="3274"/>
      <c r="Y70" s="2028">
        <f t="shared" si="120"/>
        <v>0</v>
      </c>
      <c r="Z70" s="3284">
        <f t="shared" si="101"/>
        <v>0</v>
      </c>
      <c r="AA70" s="3295"/>
      <c r="AB70" s="3274"/>
      <c r="AC70" s="3274"/>
      <c r="AD70" s="2028">
        <f t="shared" si="121"/>
        <v>0</v>
      </c>
      <c r="AE70" s="3284">
        <f t="shared" si="102"/>
        <v>0</v>
      </c>
      <c r="AF70" s="3295"/>
      <c r="AG70" s="3274">
        <v>0</v>
      </c>
      <c r="AH70" s="3274">
        <v>0</v>
      </c>
      <c r="AI70" s="2028">
        <v>0</v>
      </c>
      <c r="AJ70" s="3284">
        <v>0</v>
      </c>
      <c r="AK70" s="3276"/>
      <c r="AL70" s="3274">
        <f t="shared" si="122"/>
        <v>0</v>
      </c>
      <c r="AM70" s="3274">
        <f t="shared" si="122"/>
        <v>0</v>
      </c>
      <c r="AN70" s="2028">
        <f t="shared" si="123"/>
        <v>0</v>
      </c>
      <c r="AO70" s="3284">
        <f t="shared" si="103"/>
        <v>0</v>
      </c>
      <c r="AP70" s="3276"/>
      <c r="AQ70" s="3274"/>
      <c r="AR70" s="3274"/>
      <c r="AS70" s="2028">
        <f t="shared" si="124"/>
        <v>0</v>
      </c>
      <c r="AT70" s="3284">
        <f t="shared" si="104"/>
        <v>0</v>
      </c>
      <c r="AU70" s="3295"/>
      <c r="AV70" s="3274"/>
      <c r="AW70" s="3274"/>
      <c r="AX70" s="2028">
        <f t="shared" si="125"/>
        <v>0</v>
      </c>
      <c r="AY70" s="3284">
        <f t="shared" si="105"/>
        <v>0</v>
      </c>
      <c r="AZ70" s="3295"/>
      <c r="BA70" s="3274"/>
      <c r="BB70" s="3274"/>
      <c r="BC70" s="2028">
        <f t="shared" si="126"/>
        <v>0</v>
      </c>
      <c r="BD70" s="3284">
        <f t="shared" si="106"/>
        <v>0</v>
      </c>
      <c r="BE70" s="3295"/>
      <c r="BF70" s="3274"/>
      <c r="BG70" s="3274"/>
      <c r="BH70" s="2028">
        <f t="shared" si="127"/>
        <v>0</v>
      </c>
      <c r="BI70" s="3284">
        <f t="shared" si="107"/>
        <v>0</v>
      </c>
      <c r="BJ70" s="3295"/>
      <c r="BK70" s="3274"/>
      <c r="BL70" s="3274"/>
      <c r="BM70" s="2028">
        <f t="shared" si="128"/>
        <v>0</v>
      </c>
      <c r="BN70" s="3284">
        <f t="shared" si="108"/>
        <v>0</v>
      </c>
      <c r="BO70" s="3295"/>
      <c r="BP70" s="3274"/>
      <c r="BQ70" s="3274"/>
      <c r="BR70" s="2028">
        <f t="shared" si="129"/>
        <v>0</v>
      </c>
      <c r="BS70" s="3284">
        <f t="shared" si="109"/>
        <v>0</v>
      </c>
      <c r="BT70" s="3295"/>
      <c r="BU70" s="3274"/>
      <c r="BV70" s="3274"/>
      <c r="BW70" s="2028">
        <f t="shared" si="130"/>
        <v>0</v>
      </c>
      <c r="BX70" s="3284" t="e">
        <f t="shared" si="110"/>
        <v>#DIV/0!</v>
      </c>
      <c r="BY70" s="3295"/>
      <c r="BZ70" s="3274"/>
      <c r="CA70" s="3274"/>
      <c r="CB70" s="2028">
        <f t="shared" si="131"/>
        <v>0</v>
      </c>
      <c r="CC70" s="3284" t="e">
        <f t="shared" si="111"/>
        <v>#DIV/0!</v>
      </c>
      <c r="CD70" s="1449"/>
      <c r="CE70" s="3274"/>
      <c r="CF70" s="3274"/>
      <c r="CG70" s="2028">
        <f t="shared" si="132"/>
        <v>0</v>
      </c>
      <c r="CH70" s="3284" t="e">
        <f t="shared" si="112"/>
        <v>#DIV/0!</v>
      </c>
      <c r="CI70" s="1449"/>
      <c r="CJ70" s="3274"/>
      <c r="CK70" s="3274"/>
      <c r="CL70" s="2028">
        <f t="shared" si="133"/>
        <v>0</v>
      </c>
      <c r="CM70" s="3284" t="e">
        <f t="shared" si="113"/>
        <v>#DIV/0!</v>
      </c>
      <c r="CN70" s="1449"/>
      <c r="CO70" s="3274"/>
      <c r="CP70" s="3274"/>
      <c r="CQ70" s="2028">
        <f t="shared" si="134"/>
        <v>0</v>
      </c>
      <c r="CR70" s="3284" t="e">
        <f t="shared" si="114"/>
        <v>#DIV/0!</v>
      </c>
      <c r="CS70" s="1449"/>
      <c r="CT70" s="3274"/>
      <c r="CU70" s="3274"/>
      <c r="CV70" s="2028">
        <f t="shared" si="135"/>
        <v>0</v>
      </c>
      <c r="CW70" s="3284" t="e">
        <f t="shared" si="115"/>
        <v>#DIV/0!</v>
      </c>
      <c r="CX70" s="1449"/>
      <c r="CY70" s="3274">
        <f t="shared" si="136"/>
        <v>0</v>
      </c>
      <c r="CZ70" s="3274">
        <f t="shared" si="136"/>
        <v>0</v>
      </c>
      <c r="DA70" s="2028">
        <f t="shared" si="137"/>
        <v>0</v>
      </c>
      <c r="DB70" s="3284">
        <f t="shared" si="72"/>
        <v>0</v>
      </c>
      <c r="DC70" s="3295"/>
    </row>
    <row r="71" spans="1:107" s="1411" customFormat="1" ht="13.8" x14ac:dyDescent="0.25">
      <c r="A71" s="1586"/>
      <c r="B71" s="3310" t="s">
        <v>78</v>
      </c>
      <c r="C71" s="3274"/>
      <c r="D71" s="3274"/>
      <c r="E71" s="2028">
        <f t="shared" si="116"/>
        <v>0</v>
      </c>
      <c r="F71" s="3284">
        <f t="shared" si="98"/>
        <v>0</v>
      </c>
      <c r="G71" s="3274"/>
      <c r="H71" s="3274"/>
      <c r="I71" s="3274"/>
      <c r="J71" s="2028">
        <f t="shared" si="117"/>
        <v>0</v>
      </c>
      <c r="K71" s="3284">
        <f t="shared" si="99"/>
        <v>0</v>
      </c>
      <c r="L71" s="3274"/>
      <c r="M71" s="3274"/>
      <c r="N71" s="3274"/>
      <c r="O71" s="2028">
        <f t="shared" si="118"/>
        <v>0</v>
      </c>
      <c r="P71" s="3284">
        <f t="shared" si="2"/>
        <v>0</v>
      </c>
      <c r="Q71" s="3274"/>
      <c r="R71" s="3274"/>
      <c r="S71" s="3274"/>
      <c r="T71" s="2028">
        <f t="shared" si="119"/>
        <v>0</v>
      </c>
      <c r="U71" s="3284">
        <f t="shared" si="100"/>
        <v>0</v>
      </c>
      <c r="V71" s="3274"/>
      <c r="W71" s="3274"/>
      <c r="X71" s="3274"/>
      <c r="Y71" s="2028">
        <f t="shared" si="120"/>
        <v>0</v>
      </c>
      <c r="Z71" s="3284">
        <f t="shared" si="101"/>
        <v>0</v>
      </c>
      <c r="AA71" s="3274"/>
      <c r="AB71" s="3274"/>
      <c r="AC71" s="3274"/>
      <c r="AD71" s="2028">
        <f t="shared" si="121"/>
        <v>0</v>
      </c>
      <c r="AE71" s="3284">
        <f t="shared" si="102"/>
        <v>0</v>
      </c>
      <c r="AF71" s="3274"/>
      <c r="AG71" s="3274">
        <v>0</v>
      </c>
      <c r="AH71" s="3274">
        <v>0</v>
      </c>
      <c r="AI71" s="2028">
        <v>0</v>
      </c>
      <c r="AJ71" s="3284">
        <v>0</v>
      </c>
      <c r="AK71" s="3276"/>
      <c r="AL71" s="3274">
        <f t="shared" si="122"/>
        <v>0</v>
      </c>
      <c r="AM71" s="3274">
        <f t="shared" si="122"/>
        <v>0</v>
      </c>
      <c r="AN71" s="2028">
        <f t="shared" si="123"/>
        <v>0</v>
      </c>
      <c r="AO71" s="3284">
        <f t="shared" si="103"/>
        <v>0</v>
      </c>
      <c r="AP71" s="3276"/>
      <c r="AQ71" s="3274"/>
      <c r="AR71" s="3274"/>
      <c r="AS71" s="2028">
        <f t="shared" si="124"/>
        <v>0</v>
      </c>
      <c r="AT71" s="3284">
        <f t="shared" si="104"/>
        <v>0</v>
      </c>
      <c r="AU71" s="3274"/>
      <c r="AV71" s="3274"/>
      <c r="AW71" s="3274"/>
      <c r="AX71" s="2028">
        <f t="shared" si="125"/>
        <v>0</v>
      </c>
      <c r="AY71" s="3284">
        <f t="shared" si="105"/>
        <v>0</v>
      </c>
      <c r="AZ71" s="3274"/>
      <c r="BA71" s="3274"/>
      <c r="BB71" s="3274"/>
      <c r="BC71" s="2028">
        <f t="shared" si="126"/>
        <v>0</v>
      </c>
      <c r="BD71" s="3284">
        <f t="shared" si="106"/>
        <v>0</v>
      </c>
      <c r="BE71" s="3274"/>
      <c r="BF71" s="3274"/>
      <c r="BG71" s="3274"/>
      <c r="BH71" s="2028">
        <f t="shared" si="127"/>
        <v>0</v>
      </c>
      <c r="BI71" s="3284">
        <f t="shared" si="107"/>
        <v>0</v>
      </c>
      <c r="BJ71" s="3274"/>
      <c r="BK71" s="3274"/>
      <c r="BL71" s="3274"/>
      <c r="BM71" s="2028">
        <f t="shared" si="128"/>
        <v>0</v>
      </c>
      <c r="BN71" s="3284">
        <f t="shared" si="108"/>
        <v>0</v>
      </c>
      <c r="BO71" s="3274"/>
      <c r="BP71" s="3274"/>
      <c r="BQ71" s="3274"/>
      <c r="BR71" s="2028">
        <f t="shared" si="129"/>
        <v>0</v>
      </c>
      <c r="BS71" s="3284">
        <f t="shared" si="109"/>
        <v>0</v>
      </c>
      <c r="BT71" s="3274"/>
      <c r="BU71" s="3274"/>
      <c r="BV71" s="3274"/>
      <c r="BW71" s="2028">
        <f t="shared" si="130"/>
        <v>0</v>
      </c>
      <c r="BX71" s="3284" t="e">
        <f t="shared" si="110"/>
        <v>#DIV/0!</v>
      </c>
      <c r="BY71" s="3274"/>
      <c r="BZ71" s="3274"/>
      <c r="CA71" s="3274"/>
      <c r="CB71" s="2028">
        <f t="shared" si="131"/>
        <v>0</v>
      </c>
      <c r="CC71" s="3284" t="e">
        <f t="shared" si="111"/>
        <v>#DIV/0!</v>
      </c>
      <c r="CD71" s="3274"/>
      <c r="CE71" s="3274"/>
      <c r="CF71" s="3274"/>
      <c r="CG71" s="2028">
        <f t="shared" si="132"/>
        <v>0</v>
      </c>
      <c r="CH71" s="3284" t="e">
        <f t="shared" si="112"/>
        <v>#DIV/0!</v>
      </c>
      <c r="CI71" s="3274"/>
      <c r="CJ71" s="3274"/>
      <c r="CK71" s="3274"/>
      <c r="CL71" s="2028">
        <f t="shared" si="133"/>
        <v>0</v>
      </c>
      <c r="CM71" s="3284" t="e">
        <f t="shared" si="113"/>
        <v>#DIV/0!</v>
      </c>
      <c r="CN71" s="3274"/>
      <c r="CO71" s="3274"/>
      <c r="CP71" s="3274"/>
      <c r="CQ71" s="2028">
        <f t="shared" si="134"/>
        <v>0</v>
      </c>
      <c r="CR71" s="3284" t="e">
        <f t="shared" si="114"/>
        <v>#DIV/0!</v>
      </c>
      <c r="CS71" s="3274"/>
      <c r="CT71" s="3274"/>
      <c r="CU71" s="3274"/>
      <c r="CV71" s="2028">
        <f t="shared" si="135"/>
        <v>0</v>
      </c>
      <c r="CW71" s="3284" t="e">
        <f t="shared" si="115"/>
        <v>#DIV/0!</v>
      </c>
      <c r="CX71" s="3274"/>
      <c r="CY71" s="3274">
        <f t="shared" si="136"/>
        <v>0</v>
      </c>
      <c r="CZ71" s="3274">
        <f t="shared" si="136"/>
        <v>0</v>
      </c>
      <c r="DA71" s="2028">
        <f t="shared" si="137"/>
        <v>0</v>
      </c>
      <c r="DB71" s="3284">
        <f t="shared" si="72"/>
        <v>0</v>
      </c>
      <c r="DC71" s="3295"/>
    </row>
    <row r="72" spans="1:107" s="1411" customFormat="1" ht="14.4" thickBot="1" x14ac:dyDescent="0.3">
      <c r="A72" s="1586"/>
      <c r="B72" s="3310"/>
      <c r="C72" s="3274"/>
      <c r="D72" s="3274"/>
      <c r="E72" s="2028"/>
      <c r="F72" s="3284"/>
      <c r="G72" s="3295"/>
      <c r="H72" s="3274"/>
      <c r="I72" s="3274"/>
      <c r="J72" s="2028"/>
      <c r="K72" s="3284"/>
      <c r="L72" s="3295"/>
      <c r="M72" s="3278"/>
      <c r="N72" s="3278"/>
      <c r="O72" s="2046"/>
      <c r="P72" s="3228"/>
      <c r="Q72" s="3229"/>
      <c r="R72" s="3274"/>
      <c r="S72" s="3274"/>
      <c r="T72" s="2028"/>
      <c r="U72" s="3284"/>
      <c r="V72" s="3295"/>
      <c r="W72" s="3278"/>
      <c r="X72" s="3278"/>
      <c r="Y72" s="2046"/>
      <c r="Z72" s="3228"/>
      <c r="AA72" s="3229"/>
      <c r="AB72" s="3278"/>
      <c r="AC72" s="3278"/>
      <c r="AD72" s="2046"/>
      <c r="AE72" s="3228"/>
      <c r="AF72" s="3229"/>
      <c r="AG72" s="3278"/>
      <c r="AH72" s="3278"/>
      <c r="AI72" s="2046"/>
      <c r="AJ72" s="3228"/>
      <c r="AK72" s="3229"/>
      <c r="AL72" s="3278"/>
      <c r="AM72" s="3278"/>
      <c r="AN72" s="2046"/>
      <c r="AO72" s="3228"/>
      <c r="AP72" s="3229"/>
      <c r="AQ72" s="3278"/>
      <c r="AR72" s="3278"/>
      <c r="AS72" s="2046"/>
      <c r="AT72" s="3228"/>
      <c r="AU72" s="3229"/>
      <c r="AV72" s="3278"/>
      <c r="AW72" s="3278"/>
      <c r="AX72" s="2046"/>
      <c r="AY72" s="3228"/>
      <c r="AZ72" s="3229"/>
      <c r="BA72" s="3278"/>
      <c r="BB72" s="3278"/>
      <c r="BC72" s="2046"/>
      <c r="BD72" s="3228"/>
      <c r="BE72" s="3229"/>
      <c r="BF72" s="3278"/>
      <c r="BG72" s="3278"/>
      <c r="BH72" s="2046"/>
      <c r="BI72" s="3228"/>
      <c r="BJ72" s="3229"/>
      <c r="BK72" s="3278"/>
      <c r="BL72" s="3278"/>
      <c r="BM72" s="2046"/>
      <c r="BN72" s="3228"/>
      <c r="BO72" s="3229"/>
      <c r="BP72" s="3278"/>
      <c r="BQ72" s="3278"/>
      <c r="BR72" s="2046"/>
      <c r="BS72" s="3228"/>
      <c r="BT72" s="3229"/>
      <c r="BU72" s="3278"/>
      <c r="BV72" s="3278"/>
      <c r="BW72" s="2046"/>
      <c r="BX72" s="3228"/>
      <c r="BY72" s="3229"/>
      <c r="BZ72" s="3278"/>
      <c r="CA72" s="3278"/>
      <c r="CB72" s="2046"/>
      <c r="CC72" s="3228"/>
      <c r="CD72" s="1325"/>
      <c r="CE72" s="3278"/>
      <c r="CF72" s="3278"/>
      <c r="CG72" s="2046"/>
      <c r="CH72" s="3228"/>
      <c r="CI72" s="1325"/>
      <c r="CJ72" s="3278"/>
      <c r="CK72" s="3278"/>
      <c r="CL72" s="2046"/>
      <c r="CM72" s="3228"/>
      <c r="CN72" s="1325"/>
      <c r="CO72" s="3278"/>
      <c r="CP72" s="3278"/>
      <c r="CQ72" s="2046"/>
      <c r="CR72" s="3228"/>
      <c r="CS72" s="1325"/>
      <c r="CT72" s="3278"/>
      <c r="CU72" s="3278"/>
      <c r="CV72" s="2046"/>
      <c r="CW72" s="3228"/>
      <c r="CX72" s="1325"/>
      <c r="CY72" s="3274"/>
      <c r="CZ72" s="3274"/>
      <c r="DA72" s="1643"/>
      <c r="DB72" s="2883"/>
      <c r="DC72" s="2885"/>
    </row>
    <row r="73" spans="1:107" s="1411" customFormat="1" ht="14.4" thickBot="1" x14ac:dyDescent="0.3">
      <c r="A73" s="1586"/>
      <c r="B73" s="3324" t="s">
        <v>4</v>
      </c>
      <c r="C73" s="2865">
        <f>C74</f>
        <v>0</v>
      </c>
      <c r="D73" s="3325">
        <f>D74</f>
        <v>0</v>
      </c>
      <c r="E73" s="2022">
        <f>E74</f>
        <v>0</v>
      </c>
      <c r="F73" s="3325"/>
      <c r="G73" s="3325"/>
      <c r="H73" s="2865">
        <f>H74</f>
        <v>0</v>
      </c>
      <c r="I73" s="3325">
        <f>I74</f>
        <v>0</v>
      </c>
      <c r="J73" s="2022">
        <f>J74</f>
        <v>0</v>
      </c>
      <c r="K73" s="3325"/>
      <c r="L73" s="3325"/>
      <c r="M73" s="1599">
        <f>M74</f>
        <v>0</v>
      </c>
      <c r="N73" s="1704">
        <f>N74</f>
        <v>0</v>
      </c>
      <c r="O73" s="1703">
        <f>O74</f>
        <v>0</v>
      </c>
      <c r="P73" s="1704"/>
      <c r="Q73" s="1704"/>
      <c r="R73" s="2865">
        <f>R74</f>
        <v>0</v>
      </c>
      <c r="S73" s="3325">
        <f>S74</f>
        <v>0</v>
      </c>
      <c r="T73" s="2022">
        <f>T74</f>
        <v>0</v>
      </c>
      <c r="U73" s="3325"/>
      <c r="V73" s="3325"/>
      <c r="W73" s="1599">
        <f>W74</f>
        <v>0</v>
      </c>
      <c r="X73" s="1704">
        <f>X74</f>
        <v>0</v>
      </c>
      <c r="Y73" s="1703">
        <f>Y74</f>
        <v>0</v>
      </c>
      <c r="Z73" s="1704"/>
      <c r="AA73" s="1704"/>
      <c r="AB73" s="1599">
        <f>AB74</f>
        <v>0</v>
      </c>
      <c r="AC73" s="1704">
        <f>AC74</f>
        <v>0</v>
      </c>
      <c r="AD73" s="1703">
        <f>AD74</f>
        <v>0</v>
      </c>
      <c r="AE73" s="1704"/>
      <c r="AF73" s="1704"/>
      <c r="AG73" s="1599">
        <v>0</v>
      </c>
      <c r="AH73" s="1704">
        <v>0</v>
      </c>
      <c r="AI73" s="1703">
        <v>0</v>
      </c>
      <c r="AJ73" s="1704"/>
      <c r="AK73" s="1704"/>
      <c r="AL73" s="1599">
        <f>AL74</f>
        <v>0</v>
      </c>
      <c r="AM73" s="1704">
        <f>AM74</f>
        <v>0</v>
      </c>
      <c r="AN73" s="1703">
        <f>AN74</f>
        <v>0</v>
      </c>
      <c r="AO73" s="1704"/>
      <c r="AP73" s="1704"/>
      <c r="AQ73" s="1599">
        <f>AQ74</f>
        <v>0</v>
      </c>
      <c r="AR73" s="1704">
        <f>AR74</f>
        <v>0</v>
      </c>
      <c r="AS73" s="1703">
        <f>AS74</f>
        <v>0</v>
      </c>
      <c r="AT73" s="1704"/>
      <c r="AU73" s="1704"/>
      <c r="AV73" s="1599">
        <f>AV74</f>
        <v>0</v>
      </c>
      <c r="AW73" s="1704">
        <f>AW74</f>
        <v>0</v>
      </c>
      <c r="AX73" s="1703">
        <f>AX74</f>
        <v>0</v>
      </c>
      <c r="AY73" s="1704"/>
      <c r="AZ73" s="1704"/>
      <c r="BA73" s="1599">
        <f>BA74</f>
        <v>0</v>
      </c>
      <c r="BB73" s="1704">
        <f>BB74</f>
        <v>0</v>
      </c>
      <c r="BC73" s="1703">
        <f>BC74</f>
        <v>0</v>
      </c>
      <c r="BD73" s="1704"/>
      <c r="BE73" s="1704"/>
      <c r="BF73" s="1599">
        <f>BF74</f>
        <v>0</v>
      </c>
      <c r="BG73" s="1704">
        <f>BG74</f>
        <v>0</v>
      </c>
      <c r="BH73" s="1703">
        <f>BH74</f>
        <v>0</v>
      </c>
      <c r="BI73" s="1704"/>
      <c r="BJ73" s="1704"/>
      <c r="BK73" s="1599">
        <f>BK74</f>
        <v>0</v>
      </c>
      <c r="BL73" s="1704">
        <f>BL74</f>
        <v>0</v>
      </c>
      <c r="BM73" s="1703">
        <f>BM74</f>
        <v>0</v>
      </c>
      <c r="BN73" s="1704"/>
      <c r="BO73" s="1704"/>
      <c r="BP73" s="1599">
        <f>BP74</f>
        <v>0</v>
      </c>
      <c r="BQ73" s="1704">
        <f>BQ74</f>
        <v>0</v>
      </c>
      <c r="BR73" s="1703">
        <f>BR74</f>
        <v>0</v>
      </c>
      <c r="BS73" s="1704"/>
      <c r="BT73" s="1704"/>
      <c r="BU73" s="1599">
        <f>BU74</f>
        <v>0</v>
      </c>
      <c r="BV73" s="1704">
        <f>BV74</f>
        <v>0</v>
      </c>
      <c r="BW73" s="1703">
        <f>BW74</f>
        <v>0</v>
      </c>
      <c r="BX73" s="1704"/>
      <c r="BY73" s="1704"/>
      <c r="BZ73" s="1599">
        <f>BZ74</f>
        <v>0</v>
      </c>
      <c r="CA73" s="1704">
        <f>CA74</f>
        <v>0</v>
      </c>
      <c r="CB73" s="1703">
        <f>CB74</f>
        <v>0</v>
      </c>
      <c r="CC73" s="1704"/>
      <c r="CD73" s="1719"/>
      <c r="CE73" s="1599">
        <f>CE74</f>
        <v>0</v>
      </c>
      <c r="CF73" s="1704">
        <f>CF74</f>
        <v>0</v>
      </c>
      <c r="CG73" s="1703">
        <f>CG74</f>
        <v>0</v>
      </c>
      <c r="CH73" s="1704"/>
      <c r="CI73" s="1719"/>
      <c r="CJ73" s="1599">
        <f>CJ74</f>
        <v>0</v>
      </c>
      <c r="CK73" s="1704">
        <f>CK74</f>
        <v>0</v>
      </c>
      <c r="CL73" s="1703">
        <f>CL74</f>
        <v>0</v>
      </c>
      <c r="CM73" s="1704"/>
      <c r="CN73" s="1719"/>
      <c r="CO73" s="1599">
        <f>CO74</f>
        <v>0</v>
      </c>
      <c r="CP73" s="1704">
        <f>CP74</f>
        <v>0</v>
      </c>
      <c r="CQ73" s="1703">
        <f>CQ74</f>
        <v>0</v>
      </c>
      <c r="CR73" s="1704"/>
      <c r="CS73" s="1719"/>
      <c r="CT73" s="1599">
        <f>CT74</f>
        <v>0</v>
      </c>
      <c r="CU73" s="1704">
        <f>CU74</f>
        <v>0</v>
      </c>
      <c r="CV73" s="1703">
        <f>CV74</f>
        <v>0</v>
      </c>
      <c r="CW73" s="1704"/>
      <c r="CX73" s="1719"/>
      <c r="CY73" s="1599">
        <f>CY74</f>
        <v>0</v>
      </c>
      <c r="CZ73" s="1704">
        <f>CZ74</f>
        <v>0</v>
      </c>
      <c r="DA73" s="1703">
        <f>DA74</f>
        <v>0</v>
      </c>
      <c r="DB73" s="1704"/>
      <c r="DC73" s="1704"/>
    </row>
    <row r="74" spans="1:107" s="1411" customFormat="1" ht="14.4" thickBot="1" x14ac:dyDescent="0.3">
      <c r="A74" s="1428"/>
      <c r="B74" s="3289" t="s">
        <v>64</v>
      </c>
      <c r="C74" s="3274"/>
      <c r="D74" s="3274"/>
      <c r="E74" s="2028">
        <f>C74+D74*1</f>
        <v>0</v>
      </c>
      <c r="F74" s="3328"/>
      <c r="G74" s="3328"/>
      <c r="H74" s="3274"/>
      <c r="I74" s="3274"/>
      <c r="J74" s="3326">
        <f>H74+I74*1</f>
        <v>0</v>
      </c>
      <c r="K74" s="3328"/>
      <c r="L74" s="3328"/>
      <c r="M74" s="3274"/>
      <c r="N74" s="3274"/>
      <c r="O74" s="3329">
        <f>M74+N74*1</f>
        <v>0</v>
      </c>
      <c r="P74" s="3327"/>
      <c r="Q74" s="3327"/>
      <c r="R74" s="3274"/>
      <c r="S74" s="3274"/>
      <c r="T74" s="3326">
        <f>R74+S74*1</f>
        <v>0</v>
      </c>
      <c r="U74" s="3328"/>
      <c r="V74" s="3328"/>
      <c r="W74" s="3274"/>
      <c r="X74" s="3274"/>
      <c r="Y74" s="3329">
        <f>W74+X74*1</f>
        <v>0</v>
      </c>
      <c r="Z74" s="3327"/>
      <c r="AA74" s="3327"/>
      <c r="AB74" s="3274"/>
      <c r="AC74" s="3274"/>
      <c r="AD74" s="3329">
        <f>AB74+AC74*1</f>
        <v>0</v>
      </c>
      <c r="AE74" s="3327"/>
      <c r="AF74" s="3327"/>
      <c r="AG74" s="3274">
        <v>0</v>
      </c>
      <c r="AH74" s="3274">
        <v>0</v>
      </c>
      <c r="AI74" s="2028">
        <v>0</v>
      </c>
      <c r="AJ74" s="3327"/>
      <c r="AK74" s="3276"/>
      <c r="AL74" s="3274">
        <f>AQ74+AV74+BA74+BF74+BK74+BP74+BU74+BZ74+CE74+CJ74+CO74+CT74</f>
        <v>0</v>
      </c>
      <c r="AM74" s="3274">
        <f>AR74+AW74+BB74+BG74+BL74+BQ74+BV74+CA74+CF74+CK74+CP74+CU74</f>
        <v>0</v>
      </c>
      <c r="AN74" s="2028">
        <f>AL74+AM74*1</f>
        <v>0</v>
      </c>
      <c r="AO74" s="3327"/>
      <c r="AP74" s="3276"/>
      <c r="AQ74" s="3274"/>
      <c r="AR74" s="3274"/>
      <c r="AS74" s="3329">
        <f>AQ74+AR74*1</f>
        <v>0</v>
      </c>
      <c r="AT74" s="3327"/>
      <c r="AU74" s="3327"/>
      <c r="AV74" s="3274"/>
      <c r="AW74" s="3274"/>
      <c r="AX74" s="3329">
        <f>AV74+AW74*1</f>
        <v>0</v>
      </c>
      <c r="AY74" s="3327"/>
      <c r="AZ74" s="3327"/>
      <c r="BA74" s="3274"/>
      <c r="BB74" s="3274"/>
      <c r="BC74" s="3329">
        <f>BA74+BB74*1</f>
        <v>0</v>
      </c>
      <c r="BD74" s="3327"/>
      <c r="BE74" s="3327"/>
      <c r="BF74" s="3274"/>
      <c r="BG74" s="3274"/>
      <c r="BH74" s="3329">
        <f>BF74+BG74*1</f>
        <v>0</v>
      </c>
      <c r="BI74" s="3327"/>
      <c r="BJ74" s="3327"/>
      <c r="BK74" s="3274"/>
      <c r="BL74" s="3274"/>
      <c r="BM74" s="3329">
        <f>BK74+BL74*1</f>
        <v>0</v>
      </c>
      <c r="BN74" s="3327"/>
      <c r="BO74" s="3327"/>
      <c r="BP74" s="3274"/>
      <c r="BQ74" s="3274"/>
      <c r="BR74" s="3329">
        <f>BP74+BQ74*1</f>
        <v>0</v>
      </c>
      <c r="BS74" s="3327"/>
      <c r="BT74" s="3327"/>
      <c r="BU74" s="3274"/>
      <c r="BV74" s="3274"/>
      <c r="BW74" s="3329">
        <f>BU74+BV74*1</f>
        <v>0</v>
      </c>
      <c r="BX74" s="3327"/>
      <c r="BY74" s="3327"/>
      <c r="BZ74" s="3274"/>
      <c r="CA74" s="3274"/>
      <c r="CB74" s="3329">
        <f>BZ74+CA74*1</f>
        <v>0</v>
      </c>
      <c r="CC74" s="3327"/>
      <c r="CD74" s="3330"/>
      <c r="CE74" s="3274"/>
      <c r="CF74" s="3274"/>
      <c r="CG74" s="3329">
        <f>CE74+CF74*1</f>
        <v>0</v>
      </c>
      <c r="CH74" s="3327"/>
      <c r="CI74" s="3330"/>
      <c r="CJ74" s="3274"/>
      <c r="CK74" s="3274"/>
      <c r="CL74" s="3329">
        <f>CJ74+CK74*1</f>
        <v>0</v>
      </c>
      <c r="CM74" s="3327"/>
      <c r="CN74" s="3330"/>
      <c r="CO74" s="3274"/>
      <c r="CP74" s="3274"/>
      <c r="CQ74" s="3329">
        <f>CO74+CP74*1</f>
        <v>0</v>
      </c>
      <c r="CR74" s="3327"/>
      <c r="CS74" s="3330"/>
      <c r="CT74" s="3274"/>
      <c r="CU74" s="3274"/>
      <c r="CV74" s="3329">
        <f>CT74+CU74*1</f>
        <v>0</v>
      </c>
      <c r="CW74" s="3327"/>
      <c r="CX74" s="3330"/>
      <c r="CY74" s="3274">
        <f>C74+H74+M74+R74+W74+AB74+AQ74+AV74+BA74+BF74+BK74+BP74+BU74+BZ74+CE74+CJ74+CO74+CT74+AG74</f>
        <v>0</v>
      </c>
      <c r="CZ74" s="3274">
        <f>D74+I74+N74+S74+X74+AC74+AR74+AW74+BB74+BG74+BL74+BQ74+BV74+CA74+CF74+CK74+CP74+CU74+AH74</f>
        <v>0</v>
      </c>
      <c r="DA74" s="2028">
        <f>CY74+CZ74*1</f>
        <v>0</v>
      </c>
      <c r="DB74" s="3327"/>
      <c r="DC74" s="3327"/>
    </row>
    <row r="75" spans="1:107" s="1411" customFormat="1" ht="14.4" thickBot="1" x14ac:dyDescent="0.3">
      <c r="A75" s="1414"/>
      <c r="B75" s="1431" t="s">
        <v>48</v>
      </c>
      <c r="C75" s="1465">
        <f>C38-C41-C50-C54</f>
        <v>0</v>
      </c>
      <c r="D75" s="1465">
        <f>D38-D41-D50-D54</f>
        <v>-54661</v>
      </c>
      <c r="E75" s="1523">
        <f>E38-E41-E50-E54</f>
        <v>-54661</v>
      </c>
      <c r="F75" s="1969"/>
      <c r="G75" s="1969"/>
      <c r="H75" s="1465">
        <f>H38-H41-H50-H54</f>
        <v>110178.09600000002</v>
      </c>
      <c r="I75" s="1465">
        <f>I38-I41-I50-I54</f>
        <v>-36724.17</v>
      </c>
      <c r="J75" s="1523">
        <f>J38-J41-J50-J54</f>
        <v>73453.926000000007</v>
      </c>
      <c r="K75" s="1969"/>
      <c r="L75" s="1969"/>
      <c r="M75" s="1465">
        <f>M38-M41-M50-M54</f>
        <v>270798.14</v>
      </c>
      <c r="N75" s="1465">
        <f>N38-N41-N50-N54</f>
        <v>-62326</v>
      </c>
      <c r="O75" s="1523">
        <f>O38-O41-O50-O54</f>
        <v>208472.14</v>
      </c>
      <c r="P75" s="1969"/>
      <c r="Q75" s="1969"/>
      <c r="R75" s="1465">
        <f>R38-R41-R50-R54</f>
        <v>264020.86</v>
      </c>
      <c r="S75" s="1465">
        <f>S38-S41-S50-S54</f>
        <v>-32016</v>
      </c>
      <c r="T75" s="1523">
        <f>T38-T41-T50-T54</f>
        <v>232004.86</v>
      </c>
      <c r="U75" s="1969"/>
      <c r="V75" s="1969"/>
      <c r="W75" s="1465">
        <f>W38-W41-W50-W54</f>
        <v>251928.37999999998</v>
      </c>
      <c r="X75" s="1465">
        <f>X38-X41-X50-X54</f>
        <v>-43595.5</v>
      </c>
      <c r="Y75" s="1523">
        <f>Y38-Y41-Y50-Y54</f>
        <v>208332.87999999998</v>
      </c>
      <c r="Z75" s="1969"/>
      <c r="AA75" s="1969"/>
      <c r="AB75" s="1465">
        <f>AB38-AB41-AB50-AB54</f>
        <v>146473.90639999998</v>
      </c>
      <c r="AC75" s="1465">
        <f>AC38-AC41-AC50-AC54</f>
        <v>-4620</v>
      </c>
      <c r="AD75" s="1523">
        <f>AD38-AD41-AD50-AD54</f>
        <v>141853.90639999998</v>
      </c>
      <c r="AE75" s="1969"/>
      <c r="AF75" s="1969"/>
      <c r="AG75" s="1465">
        <v>263028.36800000002</v>
      </c>
      <c r="AH75" s="1465">
        <v>-55896.049999999988</v>
      </c>
      <c r="AI75" s="1523">
        <v>207132.3180000002</v>
      </c>
      <c r="AJ75" s="1969"/>
      <c r="AK75" s="1969"/>
      <c r="AL75" s="1465">
        <f>AL38-AL41-AL50-AL54</f>
        <v>0</v>
      </c>
      <c r="AM75" s="1465">
        <f>AM38-AM41-AM50-AM54</f>
        <v>0</v>
      </c>
      <c r="AN75" s="1523">
        <f>AN38-AN41-AN50-AN54</f>
        <v>0</v>
      </c>
      <c r="AO75" s="1969"/>
      <c r="AP75" s="1969"/>
      <c r="AQ75" s="1465">
        <f>AQ38-AQ41-AQ50-AQ54</f>
        <v>0</v>
      </c>
      <c r="AR75" s="1465">
        <f>AR38-AR41-AR50-AR54</f>
        <v>0</v>
      </c>
      <c r="AS75" s="1523">
        <f>AS38-AS41-AS50-AS54</f>
        <v>0</v>
      </c>
      <c r="AT75" s="1969"/>
      <c r="AU75" s="1969"/>
      <c r="AV75" s="1465">
        <f>AV38-AV41-AV50-AV54</f>
        <v>0</v>
      </c>
      <c r="AW75" s="1465">
        <f>AW38-AW41-AW50-AW54</f>
        <v>0</v>
      </c>
      <c r="AX75" s="1523">
        <f>AX38-AX41-AX50-AX54</f>
        <v>0</v>
      </c>
      <c r="AY75" s="1969"/>
      <c r="AZ75" s="1969"/>
      <c r="BA75" s="1465">
        <f>BA38-BA41-BA50-BA54</f>
        <v>0</v>
      </c>
      <c r="BB75" s="1465">
        <f>BB38-BB41-BB50-BB54</f>
        <v>0</v>
      </c>
      <c r="BC75" s="1523">
        <f>BC38-BC41-BC50-BC54</f>
        <v>0</v>
      </c>
      <c r="BD75" s="1969"/>
      <c r="BE75" s="1969"/>
      <c r="BF75" s="1465">
        <f>BF38-BF41-BF50-BF54</f>
        <v>0</v>
      </c>
      <c r="BG75" s="1465">
        <f>BG38-BG41-BG50-BG54</f>
        <v>0</v>
      </c>
      <c r="BH75" s="1523">
        <f>BH38-BH41-BH50-BH54</f>
        <v>0</v>
      </c>
      <c r="BI75" s="1969"/>
      <c r="BJ75" s="1969"/>
      <c r="BK75" s="1465">
        <f>BK38-BK41-BK50-BK54</f>
        <v>0</v>
      </c>
      <c r="BL75" s="1465">
        <f>BL38-BL41-BL50-BL54</f>
        <v>0</v>
      </c>
      <c r="BM75" s="1523">
        <f>BM38-BM41-BM50-BM54</f>
        <v>0</v>
      </c>
      <c r="BN75" s="1969"/>
      <c r="BO75" s="1969"/>
      <c r="BP75" s="1465">
        <f>BP38-BP41-BP50-BP54</f>
        <v>0</v>
      </c>
      <c r="BQ75" s="1465">
        <f>BQ38-BQ41-BQ50-BQ54</f>
        <v>0</v>
      </c>
      <c r="BR75" s="1523">
        <f>BR38-BR41-BR50-BR54</f>
        <v>0</v>
      </c>
      <c r="BS75" s="1969"/>
      <c r="BT75" s="1969"/>
      <c r="BU75" s="1465">
        <f>BU38-BU41-BU50-BU54</f>
        <v>0</v>
      </c>
      <c r="BV75" s="1465">
        <f>BV38-BV41-BV50-BV54</f>
        <v>0</v>
      </c>
      <c r="BW75" s="1523">
        <f>BW38-BW41-BW50-BW54</f>
        <v>0</v>
      </c>
      <c r="BX75" s="1969"/>
      <c r="BY75" s="1969"/>
      <c r="BZ75" s="1465">
        <f>BZ38-BZ41-BZ50-BZ54</f>
        <v>0</v>
      </c>
      <c r="CA75" s="1465">
        <f>CA38-CA41-CA50-CA54</f>
        <v>0</v>
      </c>
      <c r="CB75" s="1523">
        <f>CB38-CB41-CB50-CB54</f>
        <v>0</v>
      </c>
      <c r="CC75" s="1969"/>
      <c r="CD75" s="1465"/>
      <c r="CE75" s="1465">
        <f>CE38-CE41-CE50-CE54</f>
        <v>0</v>
      </c>
      <c r="CF75" s="1465">
        <f>CF38-CF41-CF50-CF54</f>
        <v>0</v>
      </c>
      <c r="CG75" s="1523">
        <f>CG38-CG41-CG50-CG54</f>
        <v>0</v>
      </c>
      <c r="CH75" s="1969"/>
      <c r="CI75" s="1465"/>
      <c r="CJ75" s="1465">
        <f>CJ38-CJ41-CJ50-CJ54</f>
        <v>0</v>
      </c>
      <c r="CK75" s="1465">
        <f>CK38-CK41-CK50-CK54</f>
        <v>0</v>
      </c>
      <c r="CL75" s="1523">
        <f>CL38-CL41-CL50-CL54</f>
        <v>0</v>
      </c>
      <c r="CM75" s="1969"/>
      <c r="CN75" s="1465"/>
      <c r="CO75" s="1465">
        <f>CO38-CO41-CO50-CO54</f>
        <v>0</v>
      </c>
      <c r="CP75" s="1465">
        <f>CP38-CP41-CP50-CP54</f>
        <v>0</v>
      </c>
      <c r="CQ75" s="1523">
        <f>CQ38-CQ41-CQ50-CQ54</f>
        <v>0</v>
      </c>
      <c r="CR75" s="1969"/>
      <c r="CS75" s="1465"/>
      <c r="CT75" s="1465">
        <f>CT38-CT41-CT50-CT54</f>
        <v>0</v>
      </c>
      <c r="CU75" s="1465">
        <f>CU38-CU41-CU50-CU54</f>
        <v>0</v>
      </c>
      <c r="CV75" s="1523">
        <f>CV38-CV41-CV50-CV54</f>
        <v>0</v>
      </c>
      <c r="CW75" s="1969"/>
      <c r="CX75" s="1465"/>
      <c r="CY75" s="1465">
        <f>CY38-CY41-CY50-CY54</f>
        <v>1306427.7504</v>
      </c>
      <c r="CZ75" s="1465">
        <f>CZ38-CZ41-CZ50-CZ54</f>
        <v>-289838.71999999997</v>
      </c>
      <c r="DA75" s="1523">
        <f>DA38-DA41-DA50-DA54</f>
        <v>1016589.0304000003</v>
      </c>
      <c r="DB75" s="1969"/>
      <c r="DC75" s="1969"/>
    </row>
    <row r="76" spans="1:107" s="1411" customFormat="1" ht="13.8" x14ac:dyDescent="0.25">
      <c r="A76" s="1581"/>
      <c r="B76" s="1444" t="s">
        <v>49</v>
      </c>
      <c r="C76" s="2019" t="e">
        <f>C75/C5</f>
        <v>#DIV/0!</v>
      </c>
      <c r="D76" s="2019" t="e">
        <f>D75/D5</f>
        <v>#DIV/0!</v>
      </c>
      <c r="E76" s="2020" t="e">
        <f>E75/E5</f>
        <v>#DIV/0!</v>
      </c>
      <c r="F76" s="2020"/>
      <c r="G76" s="2020"/>
      <c r="H76" s="2019">
        <f>H75/H5</f>
        <v>0.38806582228546477</v>
      </c>
      <c r="I76" s="2019" t="e">
        <f>I75/I5</f>
        <v>#DIV/0!</v>
      </c>
      <c r="J76" s="2020">
        <f>J75/J5</f>
        <v>0.2587171064681103</v>
      </c>
      <c r="K76" s="2020"/>
      <c r="L76" s="2020"/>
      <c r="M76" s="2019">
        <f>M75/M5</f>
        <v>0.68353246653854638</v>
      </c>
      <c r="N76" s="2019" t="e">
        <f>N75/N5</f>
        <v>#DIV/0!</v>
      </c>
      <c r="O76" s="2020">
        <f>O75/O5</f>
        <v>0.52621290551984279</v>
      </c>
      <c r="P76" s="2020"/>
      <c r="Q76" s="2020"/>
      <c r="R76" s="2019">
        <f>R75/R5</f>
        <v>0.8779624235168928</v>
      </c>
      <c r="S76" s="2019" t="e">
        <f>S75/S5</f>
        <v>#DIV/0!</v>
      </c>
      <c r="T76" s="2020">
        <f>T75/T5</f>
        <v>0.77149793828145774</v>
      </c>
      <c r="U76" s="2020"/>
      <c r="V76" s="2020"/>
      <c r="W76" s="2019">
        <f>W75/W5</f>
        <v>0.72776430742177611</v>
      </c>
      <c r="X76" s="2019" t="e">
        <f>X75/X5</f>
        <v>#DIV/0!</v>
      </c>
      <c r="Y76" s="2020">
        <f>Y75/Y5</f>
        <v>0.60182673395662689</v>
      </c>
      <c r="Z76" s="2020"/>
      <c r="AA76" s="2020"/>
      <c r="AB76" s="2019">
        <f>AB75/AB5</f>
        <v>0.52703622049510646</v>
      </c>
      <c r="AC76" s="2019" t="e">
        <f>AC75/AC5</f>
        <v>#DIV/0!</v>
      </c>
      <c r="AD76" s="2020">
        <f>AD75/AD5</f>
        <v>0.51041273172135859</v>
      </c>
      <c r="AE76" s="2020"/>
      <c r="AF76" s="2020"/>
      <c r="AG76" s="2019">
        <v>0.24133516953380157</v>
      </c>
      <c r="AH76" s="2019">
        <v>-0.3343515126138385</v>
      </c>
      <c r="AI76" s="2020">
        <v>0.16477444903121075</v>
      </c>
      <c r="AJ76" s="2020"/>
      <c r="AK76" s="2020"/>
      <c r="AL76" s="2019" t="e">
        <f>AL75/AL5</f>
        <v>#DIV/0!</v>
      </c>
      <c r="AM76" s="2019" t="e">
        <f>AM75/AM5</f>
        <v>#DIV/0!</v>
      </c>
      <c r="AN76" s="2020" t="e">
        <f>AN75/AN5</f>
        <v>#DIV/0!</v>
      </c>
      <c r="AO76" s="2020"/>
      <c r="AP76" s="2020"/>
      <c r="AQ76" s="2019" t="e">
        <f>AQ75/AQ5</f>
        <v>#DIV/0!</v>
      </c>
      <c r="AR76" s="2019" t="e">
        <f>AR75/AR5</f>
        <v>#DIV/0!</v>
      </c>
      <c r="AS76" s="2020" t="e">
        <f>AS75/AS5</f>
        <v>#DIV/0!</v>
      </c>
      <c r="AT76" s="2020"/>
      <c r="AU76" s="2020"/>
      <c r="AV76" s="2019" t="e">
        <f>AV75/AV5</f>
        <v>#DIV/0!</v>
      </c>
      <c r="AW76" s="2019" t="e">
        <f>AW75/AW5</f>
        <v>#DIV/0!</v>
      </c>
      <c r="AX76" s="2020" t="e">
        <f>AX75/AX5</f>
        <v>#DIV/0!</v>
      </c>
      <c r="AY76" s="2020"/>
      <c r="AZ76" s="2020"/>
      <c r="BA76" s="2019" t="e">
        <f>BA75/BA5</f>
        <v>#DIV/0!</v>
      </c>
      <c r="BB76" s="2019" t="e">
        <f>BB75/BB5</f>
        <v>#DIV/0!</v>
      </c>
      <c r="BC76" s="2020" t="e">
        <f>BC75/BC5</f>
        <v>#DIV/0!</v>
      </c>
      <c r="BD76" s="2020"/>
      <c r="BE76" s="2020"/>
      <c r="BF76" s="2019" t="e">
        <f>BF75/BF5</f>
        <v>#DIV/0!</v>
      </c>
      <c r="BG76" s="2019" t="e">
        <f>BG75/BG5</f>
        <v>#DIV/0!</v>
      </c>
      <c r="BH76" s="2020" t="e">
        <f>BH75/BH5</f>
        <v>#DIV/0!</v>
      </c>
      <c r="BI76" s="2020"/>
      <c r="BJ76" s="2020"/>
      <c r="BK76" s="2019" t="e">
        <f>BK75/BK5</f>
        <v>#DIV/0!</v>
      </c>
      <c r="BL76" s="2019" t="e">
        <f>BL75/BL5</f>
        <v>#DIV/0!</v>
      </c>
      <c r="BM76" s="2020" t="e">
        <f>BM75/BM5</f>
        <v>#DIV/0!</v>
      </c>
      <c r="BN76" s="2020"/>
      <c r="BO76" s="2020"/>
      <c r="BP76" s="2019" t="e">
        <f>BP75/BP5</f>
        <v>#DIV/0!</v>
      </c>
      <c r="BQ76" s="2019" t="e">
        <f>BQ75/BQ5</f>
        <v>#DIV/0!</v>
      </c>
      <c r="BR76" s="2020" t="e">
        <f>BR75/BR5</f>
        <v>#DIV/0!</v>
      </c>
      <c r="BS76" s="2020"/>
      <c r="BT76" s="2020"/>
      <c r="BU76" s="2019" t="e">
        <f>BU75/BU5</f>
        <v>#DIV/0!</v>
      </c>
      <c r="BV76" s="2019" t="e">
        <f>BV75/BV5</f>
        <v>#DIV/0!</v>
      </c>
      <c r="BW76" s="2020" t="e">
        <f>BW75/BW5</f>
        <v>#DIV/0!</v>
      </c>
      <c r="BX76" s="2020"/>
      <c r="BY76" s="2020"/>
      <c r="BZ76" s="2019" t="e">
        <f>BZ75/BZ5</f>
        <v>#DIV/0!</v>
      </c>
      <c r="CA76" s="2019" t="e">
        <f>CA75/CA5</f>
        <v>#DIV/0!</v>
      </c>
      <c r="CB76" s="2020" t="e">
        <f>CB75/CB5</f>
        <v>#DIV/0!</v>
      </c>
      <c r="CC76" s="2020"/>
      <c r="CD76" s="2019"/>
      <c r="CE76" s="2019" t="e">
        <f>CE75/CE5</f>
        <v>#DIV/0!</v>
      </c>
      <c r="CF76" s="2019" t="e">
        <f>CF75/CF5</f>
        <v>#DIV/0!</v>
      </c>
      <c r="CG76" s="2020" t="e">
        <f>CG75/CG5</f>
        <v>#DIV/0!</v>
      </c>
      <c r="CH76" s="2020"/>
      <c r="CI76" s="2019"/>
      <c r="CJ76" s="2019" t="e">
        <f>CJ75/CJ5</f>
        <v>#DIV/0!</v>
      </c>
      <c r="CK76" s="2019" t="e">
        <f>CK75/CK5</f>
        <v>#DIV/0!</v>
      </c>
      <c r="CL76" s="2020" t="e">
        <f>CL75/CL5</f>
        <v>#DIV/0!</v>
      </c>
      <c r="CM76" s="2020"/>
      <c r="CN76" s="2019"/>
      <c r="CO76" s="2019" t="e">
        <f>CO75/CO5</f>
        <v>#DIV/0!</v>
      </c>
      <c r="CP76" s="2019" t="e">
        <f>CP75/CP5</f>
        <v>#DIV/0!</v>
      </c>
      <c r="CQ76" s="2020" t="e">
        <f>CQ75/CQ5</f>
        <v>#DIV/0!</v>
      </c>
      <c r="CR76" s="2020"/>
      <c r="CS76" s="2019"/>
      <c r="CT76" s="2019" t="e">
        <f>CT75/CT5</f>
        <v>#DIV/0!</v>
      </c>
      <c r="CU76" s="2019" t="e">
        <f>CU75/CU5</f>
        <v>#DIV/0!</v>
      </c>
      <c r="CV76" s="2020" t="e">
        <f>CV75/CV5</f>
        <v>#DIV/0!</v>
      </c>
      <c r="CW76" s="2020"/>
      <c r="CX76" s="2019"/>
      <c r="CY76" s="2019">
        <f>CY75/CY5</f>
        <v>0.48479827344825721</v>
      </c>
      <c r="CZ76" s="2019">
        <f>CZ75/CZ5</f>
        <v>-1.7337184728806208</v>
      </c>
      <c r="DA76" s="2020">
        <f>DA75/DA5</f>
        <v>0.35520680829293932</v>
      </c>
      <c r="DB76" s="2020"/>
      <c r="DC76" s="2020"/>
    </row>
    <row r="77" spans="1:107" s="1411" customFormat="1" ht="14.4" thickBot="1" x14ac:dyDescent="0.3">
      <c r="A77" s="1581"/>
      <c r="B77" s="3331" t="s">
        <v>9</v>
      </c>
      <c r="C77" s="2865">
        <f>C78-C79</f>
        <v>-8167.7356321839088</v>
      </c>
      <c r="D77" s="2865">
        <f>D78-D79</f>
        <v>0</v>
      </c>
      <c r="E77" s="2866">
        <f>E78-E79</f>
        <v>-8167.7356321839088</v>
      </c>
      <c r="F77" s="2868"/>
      <c r="G77" s="2868"/>
      <c r="H77" s="2865">
        <f>H78-H79</f>
        <v>-5978.3217474313333</v>
      </c>
      <c r="I77" s="2865">
        <f>I78-I79</f>
        <v>0</v>
      </c>
      <c r="J77" s="2866">
        <f>J78-J79</f>
        <v>-5978.3217474313333</v>
      </c>
      <c r="K77" s="2868"/>
      <c r="L77" s="2868"/>
      <c r="M77" s="2865">
        <f>M78-M79</f>
        <v>-10146.094702303208</v>
      </c>
      <c r="N77" s="2865">
        <f>N78-N79</f>
        <v>0</v>
      </c>
      <c r="O77" s="2866">
        <f>O78-O79</f>
        <v>-10146.094702303208</v>
      </c>
      <c r="P77" s="2868"/>
      <c r="Q77" s="2868"/>
      <c r="R77" s="2865">
        <f>R78-R79</f>
        <v>-1373.506547149628</v>
      </c>
      <c r="S77" s="2865">
        <f>S78-S79</f>
        <v>0</v>
      </c>
      <c r="T77" s="2866">
        <f>T78-T79</f>
        <v>-1373.506547149628</v>
      </c>
      <c r="U77" s="2868"/>
      <c r="V77" s="2868"/>
      <c r="W77" s="2865">
        <f>W78-W79</f>
        <v>-5388.2078651685388</v>
      </c>
      <c r="X77" s="2865">
        <f>X78-X79</f>
        <v>0</v>
      </c>
      <c r="Y77" s="2866">
        <f>Y78-Y79</f>
        <v>-5388.2078651685388</v>
      </c>
      <c r="Z77" s="2868"/>
      <c r="AA77" s="2868"/>
      <c r="AB77" s="2865">
        <f>AB78-AB79</f>
        <v>-609.17143031031173</v>
      </c>
      <c r="AC77" s="2865">
        <f>AC78-AC79</f>
        <v>0</v>
      </c>
      <c r="AD77" s="2866">
        <f>AD78-AD79</f>
        <v>-609.17143031031173</v>
      </c>
      <c r="AE77" s="2868"/>
      <c r="AF77" s="2868"/>
      <c r="AG77" s="2865">
        <v>-30002.19870772936</v>
      </c>
      <c r="AH77" s="2865">
        <v>0</v>
      </c>
      <c r="AI77" s="2866">
        <v>-30002.19870772936</v>
      </c>
      <c r="AJ77" s="2868"/>
      <c r="AK77" s="2868"/>
      <c r="AL77" s="2865">
        <f>AL78-AL79</f>
        <v>0</v>
      </c>
      <c r="AM77" s="2865">
        <f>AM78-AM79</f>
        <v>0</v>
      </c>
      <c r="AN77" s="2866">
        <f>AN78-AN79</f>
        <v>0</v>
      </c>
      <c r="AO77" s="2868"/>
      <c r="AP77" s="2868"/>
      <c r="AQ77" s="2865">
        <f>AQ78-AQ79</f>
        <v>0</v>
      </c>
      <c r="AR77" s="2865">
        <f>AR78-AR79</f>
        <v>0</v>
      </c>
      <c r="AS77" s="2866">
        <f>AS78-AS79</f>
        <v>0</v>
      </c>
      <c r="AT77" s="2868"/>
      <c r="AU77" s="2868"/>
      <c r="AV77" s="2865">
        <f>AV78-AV79</f>
        <v>0</v>
      </c>
      <c r="AW77" s="2865">
        <f>AW78-AW79</f>
        <v>0</v>
      </c>
      <c r="AX77" s="2866">
        <f>AX78-AX79</f>
        <v>0</v>
      </c>
      <c r="AY77" s="2868"/>
      <c r="AZ77" s="2868"/>
      <c r="BA77" s="2865">
        <f>BA78-BA79</f>
        <v>0</v>
      </c>
      <c r="BB77" s="2865">
        <f>BB78-BB79</f>
        <v>0</v>
      </c>
      <c r="BC77" s="2866">
        <f>BC78-BC79</f>
        <v>0</v>
      </c>
      <c r="BD77" s="2868"/>
      <c r="BE77" s="2868"/>
      <c r="BF77" s="2865">
        <f>BF78-BF79</f>
        <v>0</v>
      </c>
      <c r="BG77" s="2865">
        <f>BG78-BG79</f>
        <v>0</v>
      </c>
      <c r="BH77" s="2866">
        <f>BH78-BH79</f>
        <v>0</v>
      </c>
      <c r="BI77" s="2868"/>
      <c r="BJ77" s="2868"/>
      <c r="BK77" s="2865">
        <f>BK78-BK79</f>
        <v>0</v>
      </c>
      <c r="BL77" s="2865">
        <f>BL78-BL79</f>
        <v>0</v>
      </c>
      <c r="BM77" s="2866">
        <f>BM78-BM79</f>
        <v>0</v>
      </c>
      <c r="BN77" s="2868"/>
      <c r="BO77" s="2868"/>
      <c r="BP77" s="2865">
        <f>BP78-BP79</f>
        <v>0</v>
      </c>
      <c r="BQ77" s="2865">
        <f>BQ78-BQ79</f>
        <v>0</v>
      </c>
      <c r="BR77" s="2866">
        <f>BR78-BR79</f>
        <v>0</v>
      </c>
      <c r="BS77" s="2868"/>
      <c r="BT77" s="2868"/>
      <c r="BU77" s="2865">
        <f>BU78-BU79</f>
        <v>0</v>
      </c>
      <c r="BV77" s="2865">
        <f>BV78-BV79</f>
        <v>0</v>
      </c>
      <c r="BW77" s="2866">
        <f>BW78-BW79</f>
        <v>0</v>
      </c>
      <c r="BX77" s="2868"/>
      <c r="BY77" s="2868"/>
      <c r="BZ77" s="2865">
        <f>BZ78-BZ79</f>
        <v>0</v>
      </c>
      <c r="CA77" s="2865">
        <f>CA78-CA79</f>
        <v>0</v>
      </c>
      <c r="CB77" s="2866">
        <f>CB78-CB79</f>
        <v>0</v>
      </c>
      <c r="CC77" s="2868"/>
      <c r="CD77" s="3138"/>
      <c r="CE77" s="2865">
        <f>CE78-CE79</f>
        <v>0</v>
      </c>
      <c r="CF77" s="2865">
        <f>CF78-CF79</f>
        <v>0</v>
      </c>
      <c r="CG77" s="2866">
        <f>CG78-CG79</f>
        <v>0</v>
      </c>
      <c r="CH77" s="2868"/>
      <c r="CI77" s="3138"/>
      <c r="CJ77" s="2865">
        <f>CJ78-CJ79</f>
        <v>0</v>
      </c>
      <c r="CK77" s="2865">
        <f>CK78-CK79</f>
        <v>0</v>
      </c>
      <c r="CL77" s="2866">
        <f>CL78-CL79</f>
        <v>0</v>
      </c>
      <c r="CM77" s="2868"/>
      <c r="CN77" s="3138"/>
      <c r="CO77" s="2865">
        <f>CO78-CO79</f>
        <v>0</v>
      </c>
      <c r="CP77" s="2865">
        <f>CP78-CP79</f>
        <v>0</v>
      </c>
      <c r="CQ77" s="2866">
        <f>CQ78-CQ79</f>
        <v>0</v>
      </c>
      <c r="CR77" s="2868"/>
      <c r="CS77" s="3138"/>
      <c r="CT77" s="2865">
        <f>CT78-CT79</f>
        <v>0</v>
      </c>
      <c r="CU77" s="2865">
        <f>CU78-CU79</f>
        <v>0</v>
      </c>
      <c r="CV77" s="2866">
        <f>CV78-CV79</f>
        <v>0</v>
      </c>
      <c r="CW77" s="2868"/>
      <c r="CX77" s="3138"/>
      <c r="CY77" s="2865">
        <f>CY78-CY79</f>
        <v>-61665.236632276283</v>
      </c>
      <c r="CZ77" s="2865">
        <f>CZ78-CZ79</f>
        <v>0</v>
      </c>
      <c r="DA77" s="2866">
        <f>DA78-DA79</f>
        <v>-61665.236632276283</v>
      </c>
      <c r="DB77" s="2868"/>
      <c r="DC77" s="2868"/>
    </row>
    <row r="78" spans="1:107" s="1411" customFormat="1" ht="14.4" thickBot="1" x14ac:dyDescent="0.3">
      <c r="A78" s="1420"/>
      <c r="B78" s="1415" t="s">
        <v>43</v>
      </c>
      <c r="C78" s="3274"/>
      <c r="D78" s="3274"/>
      <c r="E78" s="3332">
        <f>C78+D78*1.15</f>
        <v>0</v>
      </c>
      <c r="F78" s="3333"/>
      <c r="G78" s="3333"/>
      <c r="H78" s="3274"/>
      <c r="I78" s="3274"/>
      <c r="J78" s="3332">
        <f>H78+I78*1.15</f>
        <v>0</v>
      </c>
      <c r="K78" s="3333"/>
      <c r="L78" s="3333"/>
      <c r="M78" s="3274"/>
      <c r="N78" s="3274"/>
      <c r="O78" s="3332">
        <f>M78+N78*1.15</f>
        <v>0</v>
      </c>
      <c r="P78" s="3333"/>
      <c r="Q78" s="3333"/>
      <c r="R78" s="3274"/>
      <c r="S78" s="3274"/>
      <c r="T78" s="3332">
        <f>R78+S78*1.15</f>
        <v>0</v>
      </c>
      <c r="U78" s="3333"/>
      <c r="V78" s="3333"/>
      <c r="W78" s="3274"/>
      <c r="X78" s="3274"/>
      <c r="Y78" s="3332">
        <f>W78+X78*1.15</f>
        <v>0</v>
      </c>
      <c r="Z78" s="3333"/>
      <c r="AA78" s="3333"/>
      <c r="AB78" s="3274"/>
      <c r="AC78" s="3274"/>
      <c r="AD78" s="3332">
        <f>AB78+AC78*1.15</f>
        <v>0</v>
      </c>
      <c r="AE78" s="3333"/>
      <c r="AF78" s="3333"/>
      <c r="AG78" s="3274">
        <v>0</v>
      </c>
      <c r="AH78" s="3274">
        <v>0</v>
      </c>
      <c r="AI78" s="3274">
        <v>0</v>
      </c>
      <c r="AJ78" s="3333"/>
      <c r="AK78" s="3333"/>
      <c r="AL78" s="3274">
        <f t="shared" ref="AL78:AM79" si="138">AQ78+AV78+BA78+BF78+BK78+BP78+BU78+BZ78+CE78+CJ78+CO78+CT78</f>
        <v>0</v>
      </c>
      <c r="AM78" s="3274">
        <f t="shared" si="138"/>
        <v>0</v>
      </c>
      <c r="AN78" s="3274">
        <f>AL78+AM78</f>
        <v>0</v>
      </c>
      <c r="AO78" s="3333"/>
      <c r="AP78" s="3333"/>
      <c r="AQ78" s="3274"/>
      <c r="AR78" s="3274"/>
      <c r="AS78" s="3332">
        <f>AQ78+AR78*1.15</f>
        <v>0</v>
      </c>
      <c r="AT78" s="3333"/>
      <c r="AU78" s="3333"/>
      <c r="AV78" s="3274"/>
      <c r="AW78" s="3274"/>
      <c r="AX78" s="3332">
        <f>AV78+AW78*1.15</f>
        <v>0</v>
      </c>
      <c r="AY78" s="3333"/>
      <c r="AZ78" s="3333"/>
      <c r="BA78" s="3274"/>
      <c r="BB78" s="3274"/>
      <c r="BC78" s="3332">
        <f>BA78+BB78*1.15</f>
        <v>0</v>
      </c>
      <c r="BD78" s="3333"/>
      <c r="BE78" s="3333"/>
      <c r="BF78" s="3274"/>
      <c r="BG78" s="3274"/>
      <c r="BH78" s="3332">
        <f>BF78+BG78*1.15</f>
        <v>0</v>
      </c>
      <c r="BI78" s="3333"/>
      <c r="BJ78" s="3333"/>
      <c r="BK78" s="3274"/>
      <c r="BL78" s="3274"/>
      <c r="BM78" s="3332">
        <f>BK78+BL78*1.15</f>
        <v>0</v>
      </c>
      <c r="BN78" s="3333"/>
      <c r="BO78" s="3333"/>
      <c r="BP78" s="3274"/>
      <c r="BQ78" s="3274"/>
      <c r="BR78" s="3366">
        <f>BP78+BQ78*1.15</f>
        <v>0</v>
      </c>
      <c r="BS78" s="3333"/>
      <c r="BT78" s="3333"/>
      <c r="BU78" s="3274"/>
      <c r="BV78" s="3274"/>
      <c r="BW78" s="3332">
        <f>BU78+BV78*1.15</f>
        <v>0</v>
      </c>
      <c r="BX78" s="3333"/>
      <c r="BY78" s="3333"/>
      <c r="BZ78" s="3274"/>
      <c r="CA78" s="3274"/>
      <c r="CB78" s="3332">
        <f>BZ78+CA78*1.15</f>
        <v>0</v>
      </c>
      <c r="CC78" s="3333"/>
      <c r="CD78" s="3334"/>
      <c r="CE78" s="3274"/>
      <c r="CF78" s="3274"/>
      <c r="CG78" s="3332">
        <f>CE78+CF78*1.15</f>
        <v>0</v>
      </c>
      <c r="CH78" s="3333"/>
      <c r="CI78" s="3334"/>
      <c r="CJ78" s="3274"/>
      <c r="CK78" s="3274"/>
      <c r="CL78" s="3332">
        <f>CJ78+CK78*1.15</f>
        <v>0</v>
      </c>
      <c r="CM78" s="3333"/>
      <c r="CN78" s="3334"/>
      <c r="CO78" s="3274"/>
      <c r="CP78" s="3274"/>
      <c r="CQ78" s="3332">
        <f>CO78+CP78*1.15</f>
        <v>0</v>
      </c>
      <c r="CR78" s="3333"/>
      <c r="CS78" s="3334"/>
      <c r="CT78" s="3274"/>
      <c r="CU78" s="3274"/>
      <c r="CV78" s="3332">
        <f>CT78+CU78*1.15</f>
        <v>0</v>
      </c>
      <c r="CW78" s="3333"/>
      <c r="CX78" s="3334"/>
      <c r="CY78" s="3274">
        <f t="shared" ref="CY78:CZ79" si="139">C78+H78+M78+R78+W78+AB78+AQ78+AV78+BA78+BF78+BK78+BP78+BU78+BZ78+CE78+CJ78+CO78+CT78+AG78</f>
        <v>0</v>
      </c>
      <c r="CZ78" s="3274">
        <f t="shared" si="139"/>
        <v>0</v>
      </c>
      <c r="DA78" s="2028">
        <f>CY78+CZ78*1.15</f>
        <v>0</v>
      </c>
      <c r="DB78" s="3333"/>
      <c r="DC78" s="3333"/>
    </row>
    <row r="79" spans="1:107" s="1411" customFormat="1" ht="13.8" x14ac:dyDescent="0.25">
      <c r="A79" s="1420"/>
      <c r="B79" s="3289" t="s">
        <v>79</v>
      </c>
      <c r="C79" s="3274">
        <f>(D8+D41+D50+D54)/(1-'расчет 2022'!E6)*'расчет 2022'!E6</f>
        <v>8167.7356321839088</v>
      </c>
      <c r="D79" s="3274"/>
      <c r="E79" s="3332">
        <f>C79+D79*1.15</f>
        <v>8167.7356321839088</v>
      </c>
      <c r="F79" s="3311"/>
      <c r="G79" s="3311"/>
      <c r="H79" s="3274">
        <f>(I8+I41+I50+I54)/(1-'расчет 2022'!I7)*'расчет 2022'!I7</f>
        <v>5978.3217474313333</v>
      </c>
      <c r="I79" s="3274"/>
      <c r="J79" s="3332">
        <f>H79+I79*1.15</f>
        <v>5978.3217474313333</v>
      </c>
      <c r="K79" s="3311"/>
      <c r="L79" s="3311"/>
      <c r="M79" s="3274">
        <f>(N8+N41+N50+N54)/(1-'расчет 2022'!I8)*'расчет 2022'!I8</f>
        <v>10146.094702303208</v>
      </c>
      <c r="N79" s="3274"/>
      <c r="O79" s="3332">
        <f>M79+N79*1.15</f>
        <v>10146.094702303208</v>
      </c>
      <c r="P79" s="3311"/>
      <c r="Q79" s="3311"/>
      <c r="R79" s="3274">
        <f>(S8+S41+S50+S54)/(1-'расчет 2022'!I9)*'расчет 2022'!I9</f>
        <v>1373.506547149628</v>
      </c>
      <c r="S79" s="3274"/>
      <c r="T79" s="3332">
        <f>R79+S79*1.15</f>
        <v>1373.506547149628</v>
      </c>
      <c r="U79" s="3311"/>
      <c r="V79" s="3311"/>
      <c r="W79" s="3274">
        <f>(X8+X41+X50+X54)/(1-'расчет 2022'!I10)*'расчет 2022'!I10</f>
        <v>5388.2078651685388</v>
      </c>
      <c r="X79" s="3274"/>
      <c r="Y79" s="3332">
        <f>W79+X79*1.15</f>
        <v>5388.2078651685388</v>
      </c>
      <c r="Z79" s="3311"/>
      <c r="AA79" s="3311"/>
      <c r="AB79" s="3274">
        <f>(AC8+AC41+AC50+AC54)/(1-'расчет 2022'!I11)*'расчет 2022'!I11</f>
        <v>609.17143031031173</v>
      </c>
      <c r="AC79" s="3274"/>
      <c r="AD79" s="3332">
        <f>AB79+AC79*1.15</f>
        <v>609.17143031031173</v>
      </c>
      <c r="AE79" s="3311"/>
      <c r="AF79" s="3311"/>
      <c r="AG79" s="3274">
        <v>30002.19870772936</v>
      </c>
      <c r="AH79" s="3274">
        <v>0</v>
      </c>
      <c r="AI79" s="3274">
        <v>30002.19870772936</v>
      </c>
      <c r="AJ79" s="3311"/>
      <c r="AK79" s="3276"/>
      <c r="AL79" s="3274">
        <f t="shared" si="138"/>
        <v>0</v>
      </c>
      <c r="AM79" s="3274">
        <f t="shared" si="138"/>
        <v>0</v>
      </c>
      <c r="AN79" s="3274">
        <f>AL79+AM79</f>
        <v>0</v>
      </c>
      <c r="AO79" s="3311"/>
      <c r="AP79" s="3276"/>
      <c r="AQ79" s="3274">
        <f>(AR8+AR41+AR50+AR54)/(1-'расчет 2022'!I11)*'расчет 2022'!I11</f>
        <v>0</v>
      </c>
      <c r="AR79" s="3274"/>
      <c r="AS79" s="3332">
        <f>AQ79+AR79*1.15</f>
        <v>0</v>
      </c>
      <c r="AT79" s="3311"/>
      <c r="AU79" s="3311"/>
      <c r="AV79" s="3274">
        <f>(AW8+AW41+AW50+AW54)/(1-'расчет 2022'!I13)*'расчет 2022'!I13</f>
        <v>0</v>
      </c>
      <c r="AW79" s="3274"/>
      <c r="AX79" s="3332">
        <f>AV79+AW79*1.15</f>
        <v>0</v>
      </c>
      <c r="AY79" s="3311"/>
      <c r="AZ79" s="3276"/>
      <c r="BA79" s="3274">
        <f>(BB8+BB41+BB50+BB54)/(1-'расчет 2022'!I13)*'расчет 2022'!I13</f>
        <v>0</v>
      </c>
      <c r="BB79" s="3274"/>
      <c r="BC79" s="3332">
        <f>BA79+BB79*1.15</f>
        <v>0</v>
      </c>
      <c r="BD79" s="3311"/>
      <c r="BE79" s="3276"/>
      <c r="BF79" s="3274">
        <f>(BG8+BG41+BG50+BG54)/(1-'расчет 2022'!I15)*'расчет 2022'!I15</f>
        <v>0</v>
      </c>
      <c r="BG79" s="3274"/>
      <c r="BH79" s="3332">
        <f>BF79+BG79*1.15</f>
        <v>0</v>
      </c>
      <c r="BI79" s="3311"/>
      <c r="BJ79" s="3276"/>
      <c r="BK79" s="3274"/>
      <c r="BL79" s="3274"/>
      <c r="BM79" s="3332">
        <f>BK79+BL79*1.15</f>
        <v>0</v>
      </c>
      <c r="BN79" s="3311"/>
      <c r="BO79" s="3276"/>
      <c r="BP79" s="3274">
        <f>(BQ8+BQ41+BQ50+BQ54)/(1-'расчет 2022'!I17)*'расчет 2022'!I17</f>
        <v>0</v>
      </c>
      <c r="BQ79" s="3274"/>
      <c r="BR79" s="3367">
        <f>BP79+BQ79*1.15</f>
        <v>0</v>
      </c>
      <c r="BS79" s="3311"/>
      <c r="BT79" s="3276"/>
      <c r="BU79" s="3274"/>
      <c r="BV79" s="3274"/>
      <c r="BW79" s="3274">
        <f>BU79+BV79*1.15</f>
        <v>0</v>
      </c>
      <c r="BX79" s="3311"/>
      <c r="BY79" s="3276"/>
      <c r="BZ79" s="3274"/>
      <c r="CA79" s="3274"/>
      <c r="CB79" s="3274">
        <f>BZ79+CA79*1.15</f>
        <v>0</v>
      </c>
      <c r="CC79" s="3311"/>
      <c r="CD79" s="3276"/>
      <c r="CE79" s="3274"/>
      <c r="CF79" s="3274"/>
      <c r="CG79" s="3274">
        <f>CE79+CF79*1.15</f>
        <v>0</v>
      </c>
      <c r="CH79" s="3311"/>
      <c r="CI79" s="3276"/>
      <c r="CJ79" s="3274"/>
      <c r="CK79" s="3274"/>
      <c r="CL79" s="3274">
        <f>CJ79+CK79*1.15</f>
        <v>0</v>
      </c>
      <c r="CM79" s="3311"/>
      <c r="CN79" s="3276"/>
      <c r="CO79" s="3274"/>
      <c r="CP79" s="3274"/>
      <c r="CQ79" s="3274">
        <f>CO79+CP79*1.15</f>
        <v>0</v>
      </c>
      <c r="CR79" s="3311"/>
      <c r="CS79" s="3276"/>
      <c r="CT79" s="3274"/>
      <c r="CU79" s="3274"/>
      <c r="CV79" s="3274">
        <f>CT79+CU79*1.15</f>
        <v>0</v>
      </c>
      <c r="CW79" s="3311"/>
      <c r="CX79" s="3276"/>
      <c r="CY79" s="3274">
        <f t="shared" si="139"/>
        <v>61665.236632276283</v>
      </c>
      <c r="CZ79" s="3274">
        <f t="shared" si="139"/>
        <v>0</v>
      </c>
      <c r="DA79" s="2028">
        <f>CY79+CZ79*1.15</f>
        <v>61665.236632276283</v>
      </c>
      <c r="DB79" s="3311"/>
      <c r="DC79" s="3311"/>
    </row>
    <row r="80" spans="1:107" ht="13.8" x14ac:dyDescent="0.25">
      <c r="A80" s="1412"/>
      <c r="B80" s="3335"/>
      <c r="C80" s="3274"/>
      <c r="D80" s="3274"/>
      <c r="E80" s="3336"/>
      <c r="F80" s="3336"/>
      <c r="G80" s="3336"/>
      <c r="H80" s="3274"/>
      <c r="I80" s="3274"/>
      <c r="J80" s="3336"/>
      <c r="K80" s="3336"/>
      <c r="L80" s="3336"/>
      <c r="M80" s="3274"/>
      <c r="N80" s="3274"/>
      <c r="O80" s="3336"/>
      <c r="P80" s="3336"/>
      <c r="Q80" s="3336"/>
      <c r="R80" s="3274"/>
      <c r="S80" s="3274"/>
      <c r="T80" s="3336"/>
      <c r="U80" s="3336"/>
      <c r="V80" s="3336"/>
      <c r="W80" s="3274"/>
      <c r="X80" s="3274"/>
      <c r="Y80" s="3336"/>
      <c r="Z80" s="3336"/>
      <c r="AA80" s="3336"/>
      <c r="AB80" s="3274"/>
      <c r="AC80" s="3274"/>
      <c r="AD80" s="3336"/>
      <c r="AE80" s="3336"/>
      <c r="AF80" s="3336"/>
      <c r="AG80" s="3274"/>
      <c r="AH80" s="3274"/>
      <c r="AI80" s="3336"/>
      <c r="AJ80" s="3336"/>
      <c r="AK80" s="3336"/>
      <c r="AL80" s="3274"/>
      <c r="AM80" s="3274"/>
      <c r="AN80" s="3336"/>
      <c r="AO80" s="3336"/>
      <c r="AP80" s="3336"/>
      <c r="AQ80" s="3274"/>
      <c r="AR80" s="3274"/>
      <c r="AS80" s="3336"/>
      <c r="AT80" s="3336"/>
      <c r="AU80" s="3336"/>
      <c r="AV80" s="3274"/>
      <c r="AW80" s="3274"/>
      <c r="AX80" s="3336"/>
      <c r="AY80" s="3336"/>
      <c r="AZ80" s="3336"/>
      <c r="BA80" s="3274"/>
      <c r="BB80" s="3274"/>
      <c r="BC80" s="3336"/>
      <c r="BD80" s="3336"/>
      <c r="BE80" s="3336"/>
      <c r="BF80" s="3274"/>
      <c r="BG80" s="3274"/>
      <c r="BH80" s="3336"/>
      <c r="BI80" s="3336"/>
      <c r="BJ80" s="3336"/>
      <c r="BK80" s="3274"/>
      <c r="BL80" s="3274"/>
      <c r="BM80" s="3336"/>
      <c r="BN80" s="3336"/>
      <c r="BO80" s="3336"/>
      <c r="BP80" s="3274"/>
      <c r="BQ80" s="3274"/>
      <c r="BR80" s="3336"/>
      <c r="BS80" s="3336"/>
      <c r="BT80" s="3336"/>
      <c r="BU80" s="3274"/>
      <c r="BV80" s="3274"/>
      <c r="BW80" s="3336"/>
      <c r="BX80" s="3336"/>
      <c r="BY80" s="3336"/>
      <c r="BZ80" s="3274"/>
      <c r="CA80" s="3274"/>
      <c r="CB80" s="3336"/>
      <c r="CC80" s="3336"/>
      <c r="CD80" s="3306"/>
      <c r="CE80" s="3274"/>
      <c r="CF80" s="3274"/>
      <c r="CG80" s="3336"/>
      <c r="CH80" s="3336"/>
      <c r="CI80" s="3306"/>
      <c r="CJ80" s="3274"/>
      <c r="CK80" s="3274"/>
      <c r="CL80" s="3336"/>
      <c r="CM80" s="3336"/>
      <c r="CN80" s="3306"/>
      <c r="CO80" s="3274"/>
      <c r="CP80" s="3274"/>
      <c r="CQ80" s="3336"/>
      <c r="CR80" s="3336"/>
      <c r="CS80" s="3306"/>
      <c r="CT80" s="3274"/>
      <c r="CU80" s="3274"/>
      <c r="CV80" s="3336"/>
      <c r="CW80" s="3336"/>
      <c r="CX80" s="3306"/>
      <c r="CY80" s="3274"/>
      <c r="CZ80" s="3274"/>
      <c r="DA80" s="3336"/>
      <c r="DB80" s="3336"/>
      <c r="DC80" s="3336"/>
    </row>
    <row r="81" spans="1:107" s="1411" customFormat="1" ht="14.4" thickBot="1" x14ac:dyDescent="0.3">
      <c r="A81" s="1434"/>
      <c r="B81" s="3331" t="s">
        <v>12</v>
      </c>
      <c r="C81" s="2865">
        <f>(C75+C78)-C79</f>
        <v>-8167.7356321839088</v>
      </c>
      <c r="D81" s="2865">
        <f>(D75+D78)-D79</f>
        <v>-54661</v>
      </c>
      <c r="E81" s="2866">
        <f>(E75+E78)-E79</f>
        <v>-62828.735632183911</v>
      </c>
      <c r="F81" s="2868"/>
      <c r="G81" s="2868"/>
      <c r="H81" s="2865">
        <f>(H75+H78)-H79</f>
        <v>104199.77425256869</v>
      </c>
      <c r="I81" s="2865">
        <f>(I75+I78)-I79</f>
        <v>-36724.17</v>
      </c>
      <c r="J81" s="2866">
        <f>(J75+J78)-J79</f>
        <v>67475.604252568679</v>
      </c>
      <c r="K81" s="2868"/>
      <c r="L81" s="2868"/>
      <c r="M81" s="2865">
        <f>(M75+M78)-M79</f>
        <v>260652.04529769681</v>
      </c>
      <c r="N81" s="2865">
        <f>(N75+N78)-N79</f>
        <v>-62326</v>
      </c>
      <c r="O81" s="2866">
        <f>(O75+O78)-O79</f>
        <v>198326.04529769681</v>
      </c>
      <c r="P81" s="2868"/>
      <c r="Q81" s="2868"/>
      <c r="R81" s="2865">
        <f>(R75+R78)-R79</f>
        <v>262647.35345285037</v>
      </c>
      <c r="S81" s="2865">
        <f>(S75+S78)-S79</f>
        <v>-32016</v>
      </c>
      <c r="T81" s="2866">
        <f>(T75+T78)-T79</f>
        <v>230631.35345285037</v>
      </c>
      <c r="U81" s="2868"/>
      <c r="V81" s="2868"/>
      <c r="W81" s="2865">
        <f>(W75+W78)-W79</f>
        <v>246540.17213483143</v>
      </c>
      <c r="X81" s="2865">
        <f>(X75+X78)-X79</f>
        <v>-43595.5</v>
      </c>
      <c r="Y81" s="2866">
        <f>(Y75+Y78)-Y79</f>
        <v>202944.67213483143</v>
      </c>
      <c r="Z81" s="2868"/>
      <c r="AA81" s="2868"/>
      <c r="AB81" s="2865">
        <f>(AB75+AB78)-AB79</f>
        <v>145864.73496968966</v>
      </c>
      <c r="AC81" s="2865">
        <f>(AC75+AC78)-AC79</f>
        <v>-4620</v>
      </c>
      <c r="AD81" s="2866">
        <f>(AD75+AD78)-AD79</f>
        <v>141244.73496968966</v>
      </c>
      <c r="AE81" s="2868"/>
      <c r="AF81" s="2868"/>
      <c r="AG81" s="2865">
        <v>233026.16929227067</v>
      </c>
      <c r="AH81" s="2865">
        <v>-55896.049999999988</v>
      </c>
      <c r="AI81" s="2866">
        <v>177130.11929227086</v>
      </c>
      <c r="AJ81" s="2868"/>
      <c r="AK81" s="2868"/>
      <c r="AL81" s="2865">
        <f>(AL75+AL78)-AL79</f>
        <v>0</v>
      </c>
      <c r="AM81" s="2865">
        <f>(AM75+AM78)-AM79</f>
        <v>0</v>
      </c>
      <c r="AN81" s="2866">
        <f>(AN75+AN78)-AN79</f>
        <v>0</v>
      </c>
      <c r="AO81" s="2868"/>
      <c r="AP81" s="2868"/>
      <c r="AQ81" s="2865">
        <f>(AQ75+AQ78)-AQ79</f>
        <v>0</v>
      </c>
      <c r="AR81" s="2865">
        <f>(AR75+AR78)-AR79</f>
        <v>0</v>
      </c>
      <c r="AS81" s="2866">
        <f>(AS75+AS78)-AS79</f>
        <v>0</v>
      </c>
      <c r="AT81" s="2868"/>
      <c r="AU81" s="2868"/>
      <c r="AV81" s="2865">
        <f>(AV75+AV78)-AV79</f>
        <v>0</v>
      </c>
      <c r="AW81" s="2865">
        <f>(AW75+AW78)-AW79</f>
        <v>0</v>
      </c>
      <c r="AX81" s="2866">
        <f>(AX75+AX78)-AX79</f>
        <v>0</v>
      </c>
      <c r="AY81" s="2868"/>
      <c r="AZ81" s="2868"/>
      <c r="BA81" s="2865">
        <f>(BA75+BA78)-BA79</f>
        <v>0</v>
      </c>
      <c r="BB81" s="2865">
        <f>(BB75+BB78)-BB79</f>
        <v>0</v>
      </c>
      <c r="BC81" s="2866">
        <f>(BC75+BC78)-BC79</f>
        <v>0</v>
      </c>
      <c r="BD81" s="2868"/>
      <c r="BE81" s="2868"/>
      <c r="BF81" s="2865">
        <f>(BF75+BF78)-BF79</f>
        <v>0</v>
      </c>
      <c r="BG81" s="2865">
        <f>(BG75+BG78)-BG79</f>
        <v>0</v>
      </c>
      <c r="BH81" s="2866">
        <f>(BH75+BH78)-BH79</f>
        <v>0</v>
      </c>
      <c r="BI81" s="2868"/>
      <c r="BJ81" s="2868"/>
      <c r="BK81" s="2865">
        <f>(BK75+BK78)-BK79</f>
        <v>0</v>
      </c>
      <c r="BL81" s="2865">
        <f>(BL75+BL78)-BL79</f>
        <v>0</v>
      </c>
      <c r="BM81" s="2866">
        <f>(BM75+BM78)-BM79</f>
        <v>0</v>
      </c>
      <c r="BN81" s="2868"/>
      <c r="BO81" s="2868"/>
      <c r="BP81" s="2865">
        <f>(BP75+BP78)-BP79</f>
        <v>0</v>
      </c>
      <c r="BQ81" s="2865">
        <f>(BQ75+BQ78)-BQ79</f>
        <v>0</v>
      </c>
      <c r="BR81" s="2866">
        <f>(BR75+BR78)-BR79</f>
        <v>0</v>
      </c>
      <c r="BS81" s="2868"/>
      <c r="BT81" s="2868"/>
      <c r="BU81" s="2865">
        <f>(BU75+BU78)-BU79</f>
        <v>0</v>
      </c>
      <c r="BV81" s="2865">
        <f>(BV75+BV78)-BV79</f>
        <v>0</v>
      </c>
      <c r="BW81" s="2866">
        <f>(BW75+BW78)-BW79</f>
        <v>0</v>
      </c>
      <c r="BX81" s="2868"/>
      <c r="BY81" s="2868"/>
      <c r="BZ81" s="2865">
        <f>(BZ75+BZ78)-BZ79</f>
        <v>0</v>
      </c>
      <c r="CA81" s="2865">
        <f>(CA75+CA78)-CA79</f>
        <v>0</v>
      </c>
      <c r="CB81" s="2866">
        <f>(CB75+CB78)-CB79</f>
        <v>0</v>
      </c>
      <c r="CC81" s="2868"/>
      <c r="CD81" s="3138"/>
      <c r="CE81" s="2865">
        <f>(CE75+CE78)-CE79</f>
        <v>0</v>
      </c>
      <c r="CF81" s="2865">
        <f>(CF75+CF78)-CF79</f>
        <v>0</v>
      </c>
      <c r="CG81" s="2866">
        <f>(CG75+CG78)-CG79</f>
        <v>0</v>
      </c>
      <c r="CH81" s="2868"/>
      <c r="CI81" s="3138"/>
      <c r="CJ81" s="2865">
        <f>(CJ75+CJ78)-CJ79</f>
        <v>0</v>
      </c>
      <c r="CK81" s="2865">
        <f>(CK75+CK78)-CK79</f>
        <v>0</v>
      </c>
      <c r="CL81" s="2866">
        <f>(CL75+CL78)-CL79</f>
        <v>0</v>
      </c>
      <c r="CM81" s="2868"/>
      <c r="CN81" s="3138"/>
      <c r="CO81" s="2865">
        <f>(CO75+CO78)-CO79</f>
        <v>0</v>
      </c>
      <c r="CP81" s="2865">
        <f>(CP75+CP78)-CP79</f>
        <v>0</v>
      </c>
      <c r="CQ81" s="2866">
        <f>(CQ75+CQ78)-CQ79</f>
        <v>0</v>
      </c>
      <c r="CR81" s="2868"/>
      <c r="CS81" s="3138"/>
      <c r="CT81" s="2865">
        <f>(CT75+CT78)-CT79</f>
        <v>0</v>
      </c>
      <c r="CU81" s="2865">
        <f>(CU75+CU78)-CU79</f>
        <v>0</v>
      </c>
      <c r="CV81" s="2866">
        <f>(CV75+CV78)-CV79</f>
        <v>0</v>
      </c>
      <c r="CW81" s="2868"/>
      <c r="CX81" s="3138"/>
      <c r="CY81" s="2865">
        <f>(CY75+CY78)-CY79</f>
        <v>1244762.5137677237</v>
      </c>
      <c r="CZ81" s="2865">
        <f>(CZ75+CZ78)-CZ79</f>
        <v>-289838.71999999997</v>
      </c>
      <c r="DA81" s="2866">
        <f>(DA75+DA78)-DA79</f>
        <v>954923.79376772395</v>
      </c>
      <c r="DB81" s="2868"/>
      <c r="DC81" s="2868"/>
    </row>
    <row r="82" spans="1:107" s="1411" customFormat="1" ht="13.8" x14ac:dyDescent="0.25">
      <c r="A82" s="1580"/>
      <c r="B82" s="1415" t="s">
        <v>38</v>
      </c>
      <c r="C82" s="3274"/>
      <c r="D82" s="3274"/>
      <c r="E82" s="3332">
        <f>C82+D82</f>
        <v>0</v>
      </c>
      <c r="F82" s="3321"/>
      <c r="G82" s="3321"/>
      <c r="H82" s="3274"/>
      <c r="I82" s="3274"/>
      <c r="J82" s="3332">
        <f>H82+I82</f>
        <v>0</v>
      </c>
      <c r="K82" s="3321"/>
      <c r="L82" s="3321"/>
      <c r="M82" s="3274"/>
      <c r="N82" s="3274"/>
      <c r="O82" s="3332">
        <f>M82+N82</f>
        <v>0</v>
      </c>
      <c r="P82" s="3321"/>
      <c r="Q82" s="3321"/>
      <c r="R82" s="3274"/>
      <c r="S82" s="3274"/>
      <c r="T82" s="3332">
        <f>R82+S82</f>
        <v>0</v>
      </c>
      <c r="U82" s="3321"/>
      <c r="V82" s="3321"/>
      <c r="W82" s="3274"/>
      <c r="X82" s="3274"/>
      <c r="Y82" s="3332">
        <f>W82+X82</f>
        <v>0</v>
      </c>
      <c r="Z82" s="3321"/>
      <c r="AA82" s="3321"/>
      <c r="AB82" s="3274"/>
      <c r="AC82" s="3274"/>
      <c r="AD82" s="3332">
        <f>AB82+AC82</f>
        <v>0</v>
      </c>
      <c r="AE82" s="3321"/>
      <c r="AF82" s="3321"/>
      <c r="AG82" s="3274">
        <v>0</v>
      </c>
      <c r="AH82" s="3274">
        <v>0</v>
      </c>
      <c r="AI82" s="3332">
        <v>0</v>
      </c>
      <c r="AJ82" s="3321"/>
      <c r="AK82" s="3321"/>
      <c r="AL82" s="3274">
        <f>AQ82+AV82+BA82+BF82+BK82+BP82+BU82+BZ82+CE82+CJ82+CO82+CT82</f>
        <v>0</v>
      </c>
      <c r="AM82" s="3274">
        <f>AR82+AW82+BB82+BG82+BL82+BQ82+BV82+CA82+CF82+CK82+CP82+CU82</f>
        <v>0</v>
      </c>
      <c r="AN82" s="3332">
        <f>AL82+AM82</f>
        <v>0</v>
      </c>
      <c r="AO82" s="3321"/>
      <c r="AP82" s="3321"/>
      <c r="AQ82" s="3274"/>
      <c r="AR82" s="3274"/>
      <c r="AS82" s="3332">
        <f>AQ82+AR82</f>
        <v>0</v>
      </c>
      <c r="AT82" s="3321"/>
      <c r="AU82" s="3321"/>
      <c r="AV82" s="3274"/>
      <c r="AW82" s="3274"/>
      <c r="AX82" s="3332">
        <f>AV82+AW82</f>
        <v>0</v>
      </c>
      <c r="AY82" s="3321"/>
      <c r="AZ82" s="3321"/>
      <c r="BA82" s="3274"/>
      <c r="BB82" s="3274"/>
      <c r="BC82" s="3332">
        <f>BA82+BB82</f>
        <v>0</v>
      </c>
      <c r="BD82" s="3321"/>
      <c r="BE82" s="3321"/>
      <c r="BF82" s="3274"/>
      <c r="BG82" s="3274"/>
      <c r="BH82" s="3332">
        <f>BF82+BG82</f>
        <v>0</v>
      </c>
      <c r="BI82" s="3321"/>
      <c r="BJ82" s="3321"/>
      <c r="BK82" s="3274"/>
      <c r="BL82" s="3274"/>
      <c r="BM82" s="3332">
        <f>BK82+BL82</f>
        <v>0</v>
      </c>
      <c r="BN82" s="3321"/>
      <c r="BO82" s="3321"/>
      <c r="BP82" s="3274"/>
      <c r="BQ82" s="3274"/>
      <c r="BR82" s="3332">
        <f>BP82+BQ82</f>
        <v>0</v>
      </c>
      <c r="BS82" s="3321"/>
      <c r="BT82" s="3321"/>
      <c r="BU82" s="3274"/>
      <c r="BV82" s="3274"/>
      <c r="BW82" s="3332">
        <f>BU82+BV82</f>
        <v>0</v>
      </c>
      <c r="BX82" s="3321"/>
      <c r="BY82" s="3321"/>
      <c r="BZ82" s="3274"/>
      <c r="CA82" s="3274"/>
      <c r="CB82" s="3332">
        <f>BZ82+CA82</f>
        <v>0</v>
      </c>
      <c r="CC82" s="3321"/>
      <c r="CD82" s="3321"/>
      <c r="CE82" s="3274"/>
      <c r="CF82" s="3274"/>
      <c r="CG82" s="3332">
        <f>CE82+CF82</f>
        <v>0</v>
      </c>
      <c r="CH82" s="3321"/>
      <c r="CI82" s="3321"/>
      <c r="CJ82" s="3274"/>
      <c r="CK82" s="3274"/>
      <c r="CL82" s="3332">
        <f>CJ82+CK82</f>
        <v>0</v>
      </c>
      <c r="CM82" s="3321"/>
      <c r="CN82" s="3321"/>
      <c r="CO82" s="3274"/>
      <c r="CP82" s="3274"/>
      <c r="CQ82" s="3332">
        <f>CO82+CP82</f>
        <v>0</v>
      </c>
      <c r="CR82" s="3321"/>
      <c r="CS82" s="3321"/>
      <c r="CT82" s="3274"/>
      <c r="CU82" s="3274"/>
      <c r="CV82" s="3332">
        <f>CT82+CU82</f>
        <v>0</v>
      </c>
      <c r="CW82" s="3321"/>
      <c r="CX82" s="3321"/>
      <c r="CY82" s="3274">
        <f>C82+H82+M82+R82+W82+AB82+AQ82+AV82+BA82+BF82+BK82+BP82+BU82+BZ82+CE82+CJ82+CO82+CT82+AG82</f>
        <v>0</v>
      </c>
      <c r="CZ82" s="3274">
        <f>D82+I82+N82+S82+X82+AC82+AR82+AW82+BB82+BG82+BL82+BQ82+BV82+CA82+CF82+CK82+CP82+CU82+AH82</f>
        <v>0</v>
      </c>
      <c r="DA82" s="3332">
        <f>CY82+CZ82</f>
        <v>0</v>
      </c>
      <c r="DB82" s="3321"/>
      <c r="DC82" s="3321"/>
    </row>
    <row r="83" spans="1:107" s="1411" customFormat="1" ht="14.4" thickBot="1" x14ac:dyDescent="0.3">
      <c r="A83" s="1420"/>
      <c r="B83" s="3337" t="s">
        <v>13</v>
      </c>
      <c r="C83" s="3338">
        <f>(C81+C7)-C36</f>
        <v>-8167.7356321839088</v>
      </c>
      <c r="D83" s="3338">
        <f>(D81+D7)-D36</f>
        <v>-54661</v>
      </c>
      <c r="E83" s="3339">
        <f>(E81+E7)-E36</f>
        <v>-62828.735632183911</v>
      </c>
      <c r="F83" s="3340"/>
      <c r="G83" s="3340"/>
      <c r="H83" s="3338">
        <f>(H81+H7)-H36</f>
        <v>104199.77425256869</v>
      </c>
      <c r="I83" s="3338">
        <f>(I81+I7)-I36</f>
        <v>-36724.17</v>
      </c>
      <c r="J83" s="3339">
        <f>(J81+J7)-J36</f>
        <v>67475.604252568679</v>
      </c>
      <c r="K83" s="3340"/>
      <c r="L83" s="3340"/>
      <c r="M83" s="3338">
        <f>(M81+M7)-M36</f>
        <v>260652.04529769681</v>
      </c>
      <c r="N83" s="3338">
        <f>(N81+N7)-N36</f>
        <v>-62326</v>
      </c>
      <c r="O83" s="3339">
        <f>(O81+O7)-O36</f>
        <v>198326.04529769681</v>
      </c>
      <c r="P83" s="3340"/>
      <c r="Q83" s="3340"/>
      <c r="R83" s="3338">
        <f>(R81+R7)-R36</f>
        <v>262647.35345285037</v>
      </c>
      <c r="S83" s="3338">
        <f>(S81+S7)-S36</f>
        <v>-32016</v>
      </c>
      <c r="T83" s="3339">
        <f>(T81+T7)-T36</f>
        <v>230631.35345285037</v>
      </c>
      <c r="U83" s="3340"/>
      <c r="V83" s="3340"/>
      <c r="W83" s="3338">
        <f>(W81+W7)-W36</f>
        <v>246540.17213483143</v>
      </c>
      <c r="X83" s="3338">
        <f>(X81+X7)-X36</f>
        <v>-43595.5</v>
      </c>
      <c r="Y83" s="3339">
        <f>(Y81+Y7)-Y36</f>
        <v>202944.67213483143</v>
      </c>
      <c r="Z83" s="3340"/>
      <c r="AA83" s="3340"/>
      <c r="AB83" s="3338">
        <f>(AB81+AB7)-AB36</f>
        <v>145864.73496968966</v>
      </c>
      <c r="AC83" s="3338">
        <f>(AC81+AC7)-AC36</f>
        <v>-4620</v>
      </c>
      <c r="AD83" s="3339">
        <f>(AD81+AD7)-AD36</f>
        <v>141244.73496968966</v>
      </c>
      <c r="AE83" s="3340"/>
      <c r="AF83" s="3340"/>
      <c r="AG83" s="3338">
        <v>233026.16929227067</v>
      </c>
      <c r="AH83" s="3338">
        <v>-55896.049999999988</v>
      </c>
      <c r="AI83" s="3338">
        <v>177130.11929227086</v>
      </c>
      <c r="AJ83" s="3340"/>
      <c r="AK83" s="3340"/>
      <c r="AL83" s="3338">
        <f>AL81-AL36</f>
        <v>0</v>
      </c>
      <c r="AM83" s="3338">
        <f>AM81-AM36</f>
        <v>0</v>
      </c>
      <c r="AN83" s="3338">
        <f>AN81-AN36</f>
        <v>0</v>
      </c>
      <c r="AO83" s="3340"/>
      <c r="AP83" s="3340"/>
      <c r="AQ83" s="3338">
        <f>(AQ81+AQ7)-AQ36</f>
        <v>0</v>
      </c>
      <c r="AR83" s="3338">
        <f>(AR81+AR7)-AR36</f>
        <v>0</v>
      </c>
      <c r="AS83" s="3339">
        <f>(AS81+AS7)-AS36</f>
        <v>0</v>
      </c>
      <c r="AT83" s="3340"/>
      <c r="AU83" s="3340"/>
      <c r="AV83" s="3338">
        <f>(AV81+AV7)-AV36</f>
        <v>0</v>
      </c>
      <c r="AW83" s="3338">
        <f>(AW81+AW7)-AW36</f>
        <v>0</v>
      </c>
      <c r="AX83" s="3339">
        <f>(AX81+AX7)-AX36</f>
        <v>0</v>
      </c>
      <c r="AY83" s="3340"/>
      <c r="AZ83" s="3340"/>
      <c r="BA83" s="3338">
        <f>(BA81+BA7)-BA36</f>
        <v>0</v>
      </c>
      <c r="BB83" s="3338">
        <f>(BB81+BB7)-BB36</f>
        <v>0</v>
      </c>
      <c r="BC83" s="3339">
        <f>(BC81+BC7)-BC36</f>
        <v>0</v>
      </c>
      <c r="BD83" s="3340"/>
      <c r="BE83" s="3340"/>
      <c r="BF83" s="3338">
        <f>(BF81+BF7)-BF36</f>
        <v>0</v>
      </c>
      <c r="BG83" s="3338">
        <f>(BG81+BG7)-BG36</f>
        <v>0</v>
      </c>
      <c r="BH83" s="3339">
        <f>(BH81+BH7)-BH36</f>
        <v>0</v>
      </c>
      <c r="BI83" s="3340"/>
      <c r="BJ83" s="3340"/>
      <c r="BK83" s="3338">
        <f>(BK81+BK7)-BK36</f>
        <v>0</v>
      </c>
      <c r="BL83" s="3338">
        <f>(BL81+BL7)-BL36</f>
        <v>0</v>
      </c>
      <c r="BM83" s="3339">
        <f>(BM81+BM7)-BM36</f>
        <v>0</v>
      </c>
      <c r="BN83" s="3340"/>
      <c r="BO83" s="3340"/>
      <c r="BP83" s="3338">
        <f>(BP81+BP7)-BP36</f>
        <v>0</v>
      </c>
      <c r="BQ83" s="3338">
        <f>(BQ81+BQ7)-BQ36</f>
        <v>0</v>
      </c>
      <c r="BR83" s="3339">
        <f>(BR81+BR7)-BR36</f>
        <v>0</v>
      </c>
      <c r="BS83" s="3340"/>
      <c r="BT83" s="3340"/>
      <c r="BU83" s="3338">
        <f>(BU81+BU7)-BU36</f>
        <v>0</v>
      </c>
      <c r="BV83" s="3338">
        <f>(BV81+BV7)-BV36</f>
        <v>0</v>
      </c>
      <c r="BW83" s="3339">
        <f>(BW81+BW7)-BW36</f>
        <v>0</v>
      </c>
      <c r="BX83" s="3340"/>
      <c r="BY83" s="3340"/>
      <c r="BZ83" s="3338">
        <f>(BZ81+BZ7)-BZ36</f>
        <v>0</v>
      </c>
      <c r="CA83" s="3338">
        <f>(CA81+CA7)-CA36</f>
        <v>0</v>
      </c>
      <c r="CB83" s="3339">
        <f>(CB81+CB7)-CB36</f>
        <v>0</v>
      </c>
      <c r="CC83" s="3340"/>
      <c r="CD83" s="3341"/>
      <c r="CE83" s="3338">
        <f>(CE81+CE7)-CE36</f>
        <v>0</v>
      </c>
      <c r="CF83" s="3338">
        <f>(CF81+CF7)-CF36</f>
        <v>0</v>
      </c>
      <c r="CG83" s="3339">
        <f>(CG81+CG7)-CG36</f>
        <v>0</v>
      </c>
      <c r="CH83" s="3340"/>
      <c r="CI83" s="3341"/>
      <c r="CJ83" s="3338">
        <f>(CJ81+CJ7)-CJ36</f>
        <v>0</v>
      </c>
      <c r="CK83" s="3338">
        <f>(CK81+CK7)-CK36</f>
        <v>0</v>
      </c>
      <c r="CL83" s="3339">
        <f>(CL81+CL7)-CL36</f>
        <v>0</v>
      </c>
      <c r="CM83" s="3340"/>
      <c r="CN83" s="3341"/>
      <c r="CO83" s="3338">
        <f>(CO81+CO7)-CO36</f>
        <v>0</v>
      </c>
      <c r="CP83" s="3338">
        <f>(CP81+CP7)-CP36</f>
        <v>0</v>
      </c>
      <c r="CQ83" s="3339">
        <f>(CQ81+CQ7)-CQ36</f>
        <v>0</v>
      </c>
      <c r="CR83" s="3340"/>
      <c r="CS83" s="3341"/>
      <c r="CT83" s="3338">
        <f>(CT81+CT7)-CT36</f>
        <v>0</v>
      </c>
      <c r="CU83" s="3338">
        <f>(CU81+CU7)-CU36</f>
        <v>0</v>
      </c>
      <c r="CV83" s="3339">
        <f>(CV81+CV7)-CV36</f>
        <v>0</v>
      </c>
      <c r="CW83" s="3340"/>
      <c r="CX83" s="3341"/>
      <c r="CY83" s="3338">
        <f>(CY81)-CY36</f>
        <v>1244762.5137677237</v>
      </c>
      <c r="CZ83" s="3338">
        <f>(CZ81)-CZ36</f>
        <v>-289838.71999999997</v>
      </c>
      <c r="DA83" s="3339">
        <f>(DA81)-DA36</f>
        <v>954923.79376772395</v>
      </c>
      <c r="DB83" s="3340"/>
      <c r="DC83" s="3340"/>
    </row>
    <row r="84" spans="1:107" s="1411" customFormat="1" ht="14.4" thickBot="1" x14ac:dyDescent="0.3">
      <c r="A84" s="1420"/>
      <c r="B84" s="3368" t="s">
        <v>14</v>
      </c>
      <c r="C84" s="3344">
        <f>C83-C73-C82</f>
        <v>-8167.7356321839088</v>
      </c>
      <c r="D84" s="3344">
        <f>D83-D73-D82</f>
        <v>-54661</v>
      </c>
      <c r="E84" s="3344">
        <f>E83-E73-E82</f>
        <v>-62828.735632183911</v>
      </c>
      <c r="F84" s="3345"/>
      <c r="G84" s="3345"/>
      <c r="H84" s="3344">
        <f>H83-H73-H82</f>
        <v>104199.77425256869</v>
      </c>
      <c r="I84" s="3344">
        <f>I83-I73-I82</f>
        <v>-36724.17</v>
      </c>
      <c r="J84" s="3344">
        <f>J83-J73-J82</f>
        <v>67475.604252568679</v>
      </c>
      <c r="K84" s="3345"/>
      <c r="L84" s="3345"/>
      <c r="M84" s="3344">
        <f>M83-M73-M82</f>
        <v>260652.04529769681</v>
      </c>
      <c r="N84" s="3344">
        <f>N83-N73-N82</f>
        <v>-62326</v>
      </c>
      <c r="O84" s="3344">
        <f>O83-O73-O82</f>
        <v>198326.04529769681</v>
      </c>
      <c r="P84" s="3345"/>
      <c r="Q84" s="3345"/>
      <c r="R84" s="3344">
        <f>R83-R73-R82</f>
        <v>262647.35345285037</v>
      </c>
      <c r="S84" s="3344">
        <f>S83-S73-S82</f>
        <v>-32016</v>
      </c>
      <c r="T84" s="3344">
        <f>T83-T73-T82</f>
        <v>230631.35345285037</v>
      </c>
      <c r="U84" s="3345"/>
      <c r="V84" s="3345"/>
      <c r="W84" s="3344">
        <f>W83-W73-W82</f>
        <v>246540.17213483143</v>
      </c>
      <c r="X84" s="3344">
        <f>X83-X73-X82</f>
        <v>-43595.5</v>
      </c>
      <c r="Y84" s="3344">
        <f>Y83-Y73-Y82</f>
        <v>202944.67213483143</v>
      </c>
      <c r="Z84" s="3345"/>
      <c r="AA84" s="3345"/>
      <c r="AB84" s="3344">
        <f>AB83-AB73-AB82</f>
        <v>145864.73496968966</v>
      </c>
      <c r="AC84" s="3344">
        <f>AC83-AC73-AC82</f>
        <v>-4620</v>
      </c>
      <c r="AD84" s="3344">
        <f>AD83-AD73-AD82</f>
        <v>141244.73496968966</v>
      </c>
      <c r="AE84" s="3345"/>
      <c r="AF84" s="3345"/>
      <c r="AG84" s="2873">
        <v>233026.16929227067</v>
      </c>
      <c r="AH84" s="2873">
        <v>-55896.049999999988</v>
      </c>
      <c r="AI84" s="3344">
        <v>177130.11929227086</v>
      </c>
      <c r="AJ84" s="3345"/>
      <c r="AK84" s="3345"/>
      <c r="AL84" s="2873">
        <f>AL83-AL73-AL82</f>
        <v>0</v>
      </c>
      <c r="AM84" s="2873">
        <f>AM83-AM73-AM82</f>
        <v>0</v>
      </c>
      <c r="AN84" s="3344">
        <f>AN83-AN73-AN82</f>
        <v>0</v>
      </c>
      <c r="AO84" s="3345"/>
      <c r="AP84" s="3345"/>
      <c r="AQ84" s="3344">
        <f>AQ83-AQ73-AQ82</f>
        <v>0</v>
      </c>
      <c r="AR84" s="3344">
        <f>AR83-AR73-AR82</f>
        <v>0</v>
      </c>
      <c r="AS84" s="3344">
        <f>AS83-AS73-AS82</f>
        <v>0</v>
      </c>
      <c r="AT84" s="3345"/>
      <c r="AU84" s="3345"/>
      <c r="AV84" s="3344">
        <f>AV83-AV73-AV82</f>
        <v>0</v>
      </c>
      <c r="AW84" s="3344">
        <f>AW83-AW73-AW82</f>
        <v>0</v>
      </c>
      <c r="AX84" s="3344">
        <f>AX83-AX73-AX82</f>
        <v>0</v>
      </c>
      <c r="AY84" s="3345"/>
      <c r="AZ84" s="3345"/>
      <c r="BA84" s="3344">
        <f>BA83-BA73-BA82</f>
        <v>0</v>
      </c>
      <c r="BB84" s="3344">
        <f>BB83-BB73-BB82</f>
        <v>0</v>
      </c>
      <c r="BC84" s="3344">
        <f>BC83-BC73-BC82</f>
        <v>0</v>
      </c>
      <c r="BD84" s="3345"/>
      <c r="BE84" s="3345"/>
      <c r="BF84" s="3344">
        <f>BF83-BF73-BF82</f>
        <v>0</v>
      </c>
      <c r="BG84" s="3344">
        <f>BG83-BG73-BG82</f>
        <v>0</v>
      </c>
      <c r="BH84" s="3344">
        <f>BH83-BH73-BH82</f>
        <v>0</v>
      </c>
      <c r="BI84" s="3345"/>
      <c r="BJ84" s="3345"/>
      <c r="BK84" s="3344">
        <f>BK83-BK73-BK82</f>
        <v>0</v>
      </c>
      <c r="BL84" s="3344">
        <f>BL83-BL73-BL82</f>
        <v>0</v>
      </c>
      <c r="BM84" s="3344">
        <f>BM83-BM73-BM82</f>
        <v>0</v>
      </c>
      <c r="BN84" s="3345"/>
      <c r="BO84" s="3345"/>
      <c r="BP84" s="3344">
        <f>BP83-BP73-BP82</f>
        <v>0</v>
      </c>
      <c r="BQ84" s="3344">
        <f>BQ83-BQ73-BQ82</f>
        <v>0</v>
      </c>
      <c r="BR84" s="3344">
        <f>BR83-BR73-BR82</f>
        <v>0</v>
      </c>
      <c r="BS84" s="3345"/>
      <c r="BT84" s="3345"/>
      <c r="BU84" s="3344">
        <f>BU83-BU73-BU82</f>
        <v>0</v>
      </c>
      <c r="BV84" s="3344">
        <f>BV83-BV73-BV82</f>
        <v>0</v>
      </c>
      <c r="BW84" s="3344">
        <f>BW83-BW73-BW82</f>
        <v>0</v>
      </c>
      <c r="BX84" s="2874"/>
      <c r="BY84" s="3342"/>
      <c r="BZ84" s="3344">
        <f>BZ83-BZ73-BZ82</f>
        <v>0</v>
      </c>
      <c r="CA84" s="3344">
        <f>CA83-CA73-CA82</f>
        <v>0</v>
      </c>
      <c r="CB84" s="3344">
        <f>CB83-CB73-CB82</f>
        <v>0</v>
      </c>
      <c r="CC84" s="2874"/>
      <c r="CD84" s="3343"/>
      <c r="CE84" s="3344">
        <f>CE83-CE73-CE82</f>
        <v>0</v>
      </c>
      <c r="CF84" s="3344">
        <f>CF83-CF73-CF82</f>
        <v>0</v>
      </c>
      <c r="CG84" s="3344">
        <f>CG83-CG73-CG82</f>
        <v>0</v>
      </c>
      <c r="CH84" s="2874"/>
      <c r="CI84" s="3343"/>
      <c r="CJ84" s="3344">
        <f>CJ83-CJ73-CJ82</f>
        <v>0</v>
      </c>
      <c r="CK84" s="3344">
        <f>CK83-CK73-CK82</f>
        <v>0</v>
      </c>
      <c r="CL84" s="3344">
        <f>CL83-CL73-CL82</f>
        <v>0</v>
      </c>
      <c r="CM84" s="2874"/>
      <c r="CN84" s="3343"/>
      <c r="CO84" s="3344">
        <f>CO83-CO73-CO82</f>
        <v>0</v>
      </c>
      <c r="CP84" s="3344">
        <f>CP83-CP73-CP82</f>
        <v>0</v>
      </c>
      <c r="CQ84" s="3344">
        <f>CQ83-CQ73-CQ82</f>
        <v>0</v>
      </c>
      <c r="CR84" s="2874"/>
      <c r="CS84" s="3343"/>
      <c r="CT84" s="3344">
        <f>CT83-CT73-CT82</f>
        <v>0</v>
      </c>
      <c r="CU84" s="3344">
        <f>CU83-CU73-CU82</f>
        <v>0</v>
      </c>
      <c r="CV84" s="3344">
        <f>CV83-CV73-CV82</f>
        <v>0</v>
      </c>
      <c r="CW84" s="2874"/>
      <c r="CX84" s="3343"/>
      <c r="CY84" s="2873">
        <f>CY83-CY73-CY82</f>
        <v>1244762.5137677237</v>
      </c>
      <c r="CZ84" s="2873">
        <f>CZ83-CZ73-CZ82</f>
        <v>-289838.71999999997</v>
      </c>
      <c r="DA84" s="3344">
        <f>DA83-DA73-DA82</f>
        <v>954923.79376772395</v>
      </c>
      <c r="DB84" s="3345"/>
      <c r="DC84" s="3345"/>
    </row>
    <row r="85" spans="1:107" s="1411" customFormat="1" ht="13.8" x14ac:dyDescent="0.25">
      <c r="A85" s="1580"/>
      <c r="B85" s="1415" t="s">
        <v>44</v>
      </c>
      <c r="C85" s="3280"/>
      <c r="D85" s="3280"/>
      <c r="E85" s="2141">
        <f>C85+D85*1.15</f>
        <v>0</v>
      </c>
      <c r="F85" s="3352"/>
      <c r="G85" s="3352"/>
      <c r="H85" s="3280"/>
      <c r="I85" s="3280"/>
      <c r="J85" s="2141">
        <f>H85+I85*1.15</f>
        <v>0</v>
      </c>
      <c r="K85" s="3352"/>
      <c r="L85" s="3352"/>
      <c r="M85" s="3280"/>
      <c r="N85" s="3280"/>
      <c r="O85" s="2141">
        <f>M85+N85*1.15</f>
        <v>0</v>
      </c>
      <c r="P85" s="3352"/>
      <c r="Q85" s="3352"/>
      <c r="R85" s="3280"/>
      <c r="S85" s="3280"/>
      <c r="T85" s="2141">
        <f>R85+S85*1.15</f>
        <v>0</v>
      </c>
      <c r="U85" s="3352"/>
      <c r="V85" s="3352"/>
      <c r="W85" s="3280"/>
      <c r="X85" s="3280"/>
      <c r="Y85" s="2141">
        <f>W85+X85*1.15</f>
        <v>0</v>
      </c>
      <c r="Z85" s="3352"/>
      <c r="AA85" s="3352"/>
      <c r="AB85" s="3280"/>
      <c r="AC85" s="3280"/>
      <c r="AD85" s="2141">
        <f>AB85+AC85*1.15</f>
        <v>0</v>
      </c>
      <c r="AE85" s="3352"/>
      <c r="AF85" s="3352"/>
      <c r="AG85" s="3274">
        <v>0</v>
      </c>
      <c r="AH85" s="3274">
        <v>0</v>
      </c>
      <c r="AI85" s="2141">
        <v>0</v>
      </c>
      <c r="AJ85" s="3352"/>
      <c r="AK85" s="3352"/>
      <c r="AL85" s="3274">
        <f>AQ85+AV85+BA85+BF85+BK85+BP85+BU85+BZ85+CE85+CJ85+CO85+CT85</f>
        <v>0</v>
      </c>
      <c r="AM85" s="3274">
        <f>AR85+AW85+BB85+BG85+BL85+BQ85+BV85+CA85+CF85+CK85+CP85+CU85</f>
        <v>0</v>
      </c>
      <c r="AN85" s="2141">
        <f>AL85+AM85*1.15</f>
        <v>0</v>
      </c>
      <c r="AO85" s="3352"/>
      <c r="AP85" s="3352"/>
      <c r="AQ85" s="3280"/>
      <c r="AR85" s="3280"/>
      <c r="AS85" s="2141">
        <f>AQ85+AR85*1.15</f>
        <v>0</v>
      </c>
      <c r="AT85" s="3352"/>
      <c r="AU85" s="3352"/>
      <c r="AV85" s="3280"/>
      <c r="AW85" s="3280"/>
      <c r="AX85" s="2141"/>
      <c r="AY85" s="3352"/>
      <c r="AZ85" s="3369"/>
      <c r="BA85" s="3280"/>
      <c r="BB85" s="3280"/>
      <c r="BC85" s="2141"/>
      <c r="BD85" s="3352"/>
      <c r="BE85" s="3370"/>
      <c r="BF85" s="3280"/>
      <c r="BG85" s="3371">
        <f>(BH38/2*0.885+BC38)*0</f>
        <v>0</v>
      </c>
      <c r="BH85" s="1358"/>
      <c r="BI85" s="3372"/>
      <c r="BJ85" s="3369"/>
      <c r="BK85" s="3280"/>
      <c r="BL85" s="3371">
        <f>(BM38/2*0.885+BH38)*0</f>
        <v>0</v>
      </c>
      <c r="BM85" s="1358"/>
      <c r="BN85" s="3372"/>
      <c r="BO85" s="3369"/>
      <c r="BP85" s="3280"/>
      <c r="BQ85" s="3371">
        <f>(BR38/2*0.885+BM38)*0</f>
        <v>0</v>
      </c>
      <c r="BR85" s="1358"/>
      <c r="BS85" s="3372"/>
      <c r="BT85" s="3369"/>
      <c r="BU85" s="3280"/>
      <c r="BV85" s="3373"/>
      <c r="BW85" s="1874">
        <f>BU85+BV85</f>
        <v>0</v>
      </c>
      <c r="BX85" s="3351"/>
      <c r="BZ85" s="3280"/>
      <c r="CA85" s="3373"/>
      <c r="CB85" s="1874">
        <f>BZ85+CA85</f>
        <v>0</v>
      </c>
      <c r="CC85" s="3351"/>
      <c r="CE85" s="3280"/>
      <c r="CF85" s="3373"/>
      <c r="CG85" s="1874">
        <f>CE85+CF85</f>
        <v>0</v>
      </c>
      <c r="CH85" s="3351"/>
      <c r="CJ85" s="3280"/>
      <c r="CK85" s="3373"/>
      <c r="CL85" s="1874">
        <f>CJ85+CK85</f>
        <v>0</v>
      </c>
      <c r="CM85" s="3351"/>
      <c r="CO85" s="3280"/>
      <c r="CP85" s="3373"/>
      <c r="CQ85" s="1874">
        <f>CO85+CP85</f>
        <v>0</v>
      </c>
      <c r="CR85" s="3351"/>
      <c r="CT85" s="3280"/>
      <c r="CU85" s="3373"/>
      <c r="CV85" s="1874">
        <f>CT85+CU85</f>
        <v>0</v>
      </c>
      <c r="CW85" s="3351"/>
      <c r="CY85" s="3274">
        <f>C85+H85+M85+R85+W85+AB85+AQ85+AV85+BA85+BF85+BK85+BP85+BU85+BZ85+CE85+CJ85+CO85+CT85+AG85</f>
        <v>0</v>
      </c>
      <c r="CZ85" s="3274">
        <f>D85+I85+N85+S85+X85+AC85+AR85+AW85+BB85+BG85+BL85+BQ85+BV85+CA85+CF85+CK85+CP85+CU85+AH85</f>
        <v>0</v>
      </c>
      <c r="DA85" s="2141">
        <f>CY85+CZ85*1.15</f>
        <v>0</v>
      </c>
      <c r="DB85" s="3352"/>
      <c r="DC85" s="3352"/>
    </row>
    <row r="86" spans="1:107" s="1411" customFormat="1" ht="27.6" x14ac:dyDescent="0.25">
      <c r="A86" s="1420"/>
      <c r="B86" s="3353" t="s">
        <v>50</v>
      </c>
      <c r="C86" s="3354">
        <f>C84-C85</f>
        <v>-8167.7356321839088</v>
      </c>
      <c r="D86" s="3354">
        <f>D84-D85</f>
        <v>-54661</v>
      </c>
      <c r="E86" s="3354">
        <f>E84-E85</f>
        <v>-62828.735632183911</v>
      </c>
      <c r="F86" s="3355"/>
      <c r="G86" s="3355"/>
      <c r="H86" s="3354">
        <f>H84-H85</f>
        <v>104199.77425256869</v>
      </c>
      <c r="I86" s="3354">
        <f>I84-I85</f>
        <v>-36724.17</v>
      </c>
      <c r="J86" s="3354">
        <f>J84-J85</f>
        <v>67475.604252568679</v>
      </c>
      <c r="K86" s="3355"/>
      <c r="L86" s="3355"/>
      <c r="M86" s="3354">
        <f>M84-M85</f>
        <v>260652.04529769681</v>
      </c>
      <c r="N86" s="3354">
        <f>N84-N85</f>
        <v>-62326</v>
      </c>
      <c r="O86" s="3354">
        <f>O84-O85</f>
        <v>198326.04529769681</v>
      </c>
      <c r="P86" s="3355"/>
      <c r="Q86" s="3355"/>
      <c r="R86" s="3354">
        <f>R84-R85</f>
        <v>262647.35345285037</v>
      </c>
      <c r="S86" s="3354">
        <f>S84-S85</f>
        <v>-32016</v>
      </c>
      <c r="T86" s="3354">
        <f>T84-T85</f>
        <v>230631.35345285037</v>
      </c>
      <c r="U86" s="3355"/>
      <c r="V86" s="3355"/>
      <c r="W86" s="3354">
        <f>W84-W85</f>
        <v>246540.17213483143</v>
      </c>
      <c r="X86" s="3354">
        <f>X84-X85</f>
        <v>-43595.5</v>
      </c>
      <c r="Y86" s="3354">
        <f>Y84-Y85</f>
        <v>202944.67213483143</v>
      </c>
      <c r="Z86" s="3355"/>
      <c r="AA86" s="3355"/>
      <c r="AB86" s="3354">
        <f>AB84-AB85</f>
        <v>145864.73496968966</v>
      </c>
      <c r="AC86" s="3354">
        <f>AC84-AC85</f>
        <v>-4620</v>
      </c>
      <c r="AD86" s="3354">
        <f>AD84-AD85</f>
        <v>141244.73496968966</v>
      </c>
      <c r="AE86" s="3355"/>
      <c r="AF86" s="3355"/>
      <c r="AG86" s="3354">
        <v>233026.16929227067</v>
      </c>
      <c r="AH86" s="3354">
        <v>-55896.049999999988</v>
      </c>
      <c r="AI86" s="3354">
        <v>177130.11929227086</v>
      </c>
      <c r="AJ86" s="3355"/>
      <c r="AK86" s="3355"/>
      <c r="AL86" s="3354">
        <f>AL84-AL85</f>
        <v>0</v>
      </c>
      <c r="AM86" s="3354">
        <f>AM84-AM85</f>
        <v>0</v>
      </c>
      <c r="AN86" s="3354">
        <f>AN84-AN85</f>
        <v>0</v>
      </c>
      <c r="AO86" s="3355"/>
      <c r="AP86" s="3355"/>
      <c r="AQ86" s="3354">
        <f>AQ84-AQ85</f>
        <v>0</v>
      </c>
      <c r="AR86" s="3354">
        <f>AR84-AR85</f>
        <v>0</v>
      </c>
      <c r="AS86" s="3354">
        <f>AS84-AS85</f>
        <v>0</v>
      </c>
      <c r="AT86" s="3355"/>
      <c r="AU86" s="3355"/>
      <c r="AV86" s="3354">
        <f>AV84-AV85</f>
        <v>0</v>
      </c>
      <c r="AW86" s="3354">
        <f>AW84-AW85</f>
        <v>0</v>
      </c>
      <c r="AX86" s="3354">
        <f>AX84-AX85</f>
        <v>0</v>
      </c>
      <c r="AY86" s="3355"/>
      <c r="AZ86" s="3355"/>
      <c r="BA86" s="3354">
        <f>BA84-BA85</f>
        <v>0</v>
      </c>
      <c r="BB86" s="3354">
        <f>BB84-BB85</f>
        <v>0</v>
      </c>
      <c r="BC86" s="3354">
        <f>BC84</f>
        <v>0</v>
      </c>
      <c r="BD86" s="3355"/>
      <c r="BE86" s="3355"/>
      <c r="BF86" s="3354">
        <f>BF84-BF85</f>
        <v>0</v>
      </c>
      <c r="BG86" s="3354">
        <f>BG84-BG85</f>
        <v>0</v>
      </c>
      <c r="BH86" s="3354">
        <f>BH84</f>
        <v>0</v>
      </c>
      <c r="BI86" s="3355"/>
      <c r="BJ86" s="3355"/>
      <c r="BK86" s="3354">
        <f>BK84-BK85</f>
        <v>0</v>
      </c>
      <c r="BL86" s="3354">
        <f>BL84-BL85</f>
        <v>0</v>
      </c>
      <c r="BM86" s="3354">
        <f>BM84</f>
        <v>0</v>
      </c>
      <c r="BN86" s="3355"/>
      <c r="BO86" s="3355"/>
      <c r="BP86" s="3354">
        <f>BP84-BP85</f>
        <v>0</v>
      </c>
      <c r="BQ86" s="3354">
        <f>BQ84-BQ85</f>
        <v>0</v>
      </c>
      <c r="BR86" s="3354">
        <f>BR84</f>
        <v>0</v>
      </c>
      <c r="BS86" s="3355"/>
      <c r="BT86" s="3355"/>
      <c r="BU86" s="3354">
        <f>BU84-BU85</f>
        <v>0</v>
      </c>
      <c r="BV86" s="3354">
        <f>BV84-BV85</f>
        <v>0</v>
      </c>
      <c r="BW86" s="3354">
        <f>BW84-BW85</f>
        <v>0</v>
      </c>
      <c r="BX86" s="3355"/>
      <c r="BY86" s="3355"/>
      <c r="BZ86" s="3354">
        <f>BZ84-BZ85</f>
        <v>0</v>
      </c>
      <c r="CA86" s="3354">
        <f>CA84-CA85</f>
        <v>0</v>
      </c>
      <c r="CB86" s="3354">
        <f>CB84-CB85</f>
        <v>0</v>
      </c>
      <c r="CC86" s="3355"/>
      <c r="CD86" s="3355"/>
      <c r="CE86" s="3354">
        <f>CE84-CE85</f>
        <v>0</v>
      </c>
      <c r="CF86" s="3354">
        <f>CF84-CF85</f>
        <v>0</v>
      </c>
      <c r="CG86" s="3354">
        <f>CG84-CG85</f>
        <v>0</v>
      </c>
      <c r="CH86" s="3355"/>
      <c r="CI86" s="3355"/>
      <c r="CJ86" s="3354">
        <f>CJ84-CJ85</f>
        <v>0</v>
      </c>
      <c r="CK86" s="3354">
        <f>CK84-CK85</f>
        <v>0</v>
      </c>
      <c r="CL86" s="3354">
        <f>CL84-CL85</f>
        <v>0</v>
      </c>
      <c r="CM86" s="3355"/>
      <c r="CN86" s="3355"/>
      <c r="CO86" s="3354">
        <f>CO84-CO85</f>
        <v>0</v>
      </c>
      <c r="CP86" s="3354">
        <f>CP84-CP85</f>
        <v>0</v>
      </c>
      <c r="CQ86" s="3354">
        <f>CQ84-CQ85</f>
        <v>0</v>
      </c>
      <c r="CR86" s="3355"/>
      <c r="CS86" s="3355"/>
      <c r="CT86" s="3354">
        <f>CT84-CT85</f>
        <v>0</v>
      </c>
      <c r="CU86" s="3354">
        <f>CU84-CU85</f>
        <v>0</v>
      </c>
      <c r="CV86" s="3354">
        <f>CV84-CV85</f>
        <v>0</v>
      </c>
      <c r="CW86" s="3355"/>
      <c r="CX86" s="3355"/>
      <c r="CY86" s="3354">
        <f>CY84-CY85</f>
        <v>1244762.5137677237</v>
      </c>
      <c r="CZ86" s="3354">
        <f>CZ84-CZ85</f>
        <v>-289838.71999999997</v>
      </c>
      <c r="DA86" s="3354">
        <f>DA84-DA85</f>
        <v>954923.79376772395</v>
      </c>
      <c r="DB86" s="3355"/>
      <c r="DC86" s="3355"/>
    </row>
    <row r="87" spans="1:107" s="1411" customFormat="1" ht="14.4" thickBot="1" x14ac:dyDescent="0.3">
      <c r="A87" s="1582"/>
      <c r="B87" s="3356" t="s">
        <v>51</v>
      </c>
      <c r="C87" s="2877" t="e">
        <f>C86/C5</f>
        <v>#DIV/0!</v>
      </c>
      <c r="D87" s="2878" t="e">
        <f>D86/D5</f>
        <v>#DIV/0!</v>
      </c>
      <c r="E87" s="2879" t="e">
        <f>E86/E5</f>
        <v>#DIV/0!</v>
      </c>
      <c r="F87" s="2881"/>
      <c r="G87" s="2881"/>
      <c r="H87" s="2877">
        <f>H86/H5</f>
        <v>0.36700916557210123</v>
      </c>
      <c r="I87" s="2878" t="e">
        <f>I86/I5</f>
        <v>#DIV/0!</v>
      </c>
      <c r="J87" s="2879">
        <f>J86/J5</f>
        <v>0.23766044975474676</v>
      </c>
      <c r="K87" s="2881"/>
      <c r="L87" s="2881"/>
      <c r="M87" s="2877">
        <f>M86/M5</f>
        <v>0.65792230120432738</v>
      </c>
      <c r="N87" s="2878" t="e">
        <f>N86/N5</f>
        <v>#DIV/0!</v>
      </c>
      <c r="O87" s="2879">
        <f>O86/O5</f>
        <v>0.50060274018562378</v>
      </c>
      <c r="P87" s="2881"/>
      <c r="Q87" s="2881"/>
      <c r="R87" s="2877">
        <f>R86/R5</f>
        <v>0.8733950301039185</v>
      </c>
      <c r="S87" s="2878" t="e">
        <f>S86/S5</f>
        <v>#DIV/0!</v>
      </c>
      <c r="T87" s="2879">
        <f>T86/T5</f>
        <v>0.76693054486848355</v>
      </c>
      <c r="U87" s="2881"/>
      <c r="V87" s="2881"/>
      <c r="W87" s="2877">
        <f>W86/W5</f>
        <v>0.71219898935304982</v>
      </c>
      <c r="X87" s="2878" t="e">
        <f>X86/X5</f>
        <v>#DIV/0!</v>
      </c>
      <c r="Y87" s="2879">
        <f>Y86/Y5</f>
        <v>0.58626141588790048</v>
      </c>
      <c r="Z87" s="2881"/>
      <c r="AA87" s="2881"/>
      <c r="AB87" s="2877">
        <f>AB86/AB5</f>
        <v>0.52484432559617755</v>
      </c>
      <c r="AC87" s="2878" t="e">
        <f>AC86/AC5</f>
        <v>#DIV/0!</v>
      </c>
      <c r="AD87" s="2879">
        <f>AD86/AD5</f>
        <v>0.50822083682242969</v>
      </c>
      <c r="AE87" s="2881"/>
      <c r="AF87" s="2881"/>
      <c r="AG87" s="2877">
        <v>0.21380739461517886</v>
      </c>
      <c r="AH87" s="2878">
        <v>-0.3343515126138385</v>
      </c>
      <c r="AI87" s="2879">
        <v>0.1409076000067577</v>
      </c>
      <c r="AJ87" s="2881"/>
      <c r="AK87" s="2881"/>
      <c r="AL87" s="2877" t="e">
        <f>AL86/AL5</f>
        <v>#DIV/0!</v>
      </c>
      <c r="AM87" s="2878" t="e">
        <f>AM86/AM5</f>
        <v>#DIV/0!</v>
      </c>
      <c r="AN87" s="2879" t="e">
        <f>AN86/AN5</f>
        <v>#DIV/0!</v>
      </c>
      <c r="AO87" s="2881"/>
      <c r="AP87" s="2881"/>
      <c r="AQ87" s="2877" t="e">
        <f>AQ86/AQ5</f>
        <v>#DIV/0!</v>
      </c>
      <c r="AR87" s="2878" t="e">
        <f>AR86/AR5</f>
        <v>#DIV/0!</v>
      </c>
      <c r="AS87" s="2879" t="e">
        <f>AS86/AS5</f>
        <v>#DIV/0!</v>
      </c>
      <c r="AT87" s="2881"/>
      <c r="AU87" s="2881"/>
      <c r="AV87" s="2877" t="e">
        <f>AV86/AV5</f>
        <v>#DIV/0!</v>
      </c>
      <c r="AW87" s="2878" t="e">
        <f>AW86/AW5</f>
        <v>#DIV/0!</v>
      </c>
      <c r="AX87" s="2879" t="e">
        <f>AX86/AX5</f>
        <v>#DIV/0!</v>
      </c>
      <c r="AY87" s="2881"/>
      <c r="AZ87" s="2881"/>
      <c r="BA87" s="2877" t="e">
        <f>BA86/BA5</f>
        <v>#DIV/0!</v>
      </c>
      <c r="BB87" s="2878" t="e">
        <f>BB86/BB5</f>
        <v>#DIV/0!</v>
      </c>
      <c r="BC87" s="2879" t="e">
        <f>BC86/BC5</f>
        <v>#DIV/0!</v>
      </c>
      <c r="BD87" s="2881"/>
      <c r="BE87" s="2881"/>
      <c r="BF87" s="2877" t="e">
        <f>BF86/BF5</f>
        <v>#DIV/0!</v>
      </c>
      <c r="BG87" s="2878" t="e">
        <f>BG86/BG5</f>
        <v>#DIV/0!</v>
      </c>
      <c r="BH87" s="2879" t="e">
        <f>BH86/BH5</f>
        <v>#DIV/0!</v>
      </c>
      <c r="BI87" s="2881"/>
      <c r="BJ87" s="2881"/>
      <c r="BK87" s="2877" t="e">
        <f>BK86/BK5</f>
        <v>#DIV/0!</v>
      </c>
      <c r="BL87" s="2878" t="e">
        <f>BL86/BL5</f>
        <v>#DIV/0!</v>
      </c>
      <c r="BM87" s="2879" t="e">
        <f>BM86/BM5</f>
        <v>#DIV/0!</v>
      </c>
      <c r="BN87" s="2881"/>
      <c r="BO87" s="2881"/>
      <c r="BP87" s="2877" t="e">
        <f>BP86/BP5</f>
        <v>#DIV/0!</v>
      </c>
      <c r="BQ87" s="2878" t="e">
        <f>BQ86/BQ5</f>
        <v>#DIV/0!</v>
      </c>
      <c r="BR87" s="2879" t="e">
        <f>BR86/BR5</f>
        <v>#DIV/0!</v>
      </c>
      <c r="BS87" s="2881"/>
      <c r="BT87" s="2881"/>
      <c r="BU87" s="2877" t="e">
        <f>BU86/BU5</f>
        <v>#DIV/0!</v>
      </c>
      <c r="BV87" s="2878" t="e">
        <f>BV86/BV5</f>
        <v>#DIV/0!</v>
      </c>
      <c r="BW87" s="2879" t="e">
        <f>BW86/BW5</f>
        <v>#DIV/0!</v>
      </c>
      <c r="BX87" s="2881"/>
      <c r="BY87" s="2881"/>
      <c r="BZ87" s="2877" t="e">
        <f>BZ86/BZ5</f>
        <v>#DIV/0!</v>
      </c>
      <c r="CA87" s="2878" t="e">
        <f>CA86/CA5</f>
        <v>#DIV/0!</v>
      </c>
      <c r="CB87" s="2879" t="e">
        <f>CB86/CB5</f>
        <v>#DIV/0!</v>
      </c>
      <c r="CC87" s="2881"/>
      <c r="CD87" s="3139"/>
      <c r="CE87" s="2877" t="e">
        <f>CE86/CE5</f>
        <v>#DIV/0!</v>
      </c>
      <c r="CF87" s="2878" t="e">
        <f>CF86/CF5</f>
        <v>#DIV/0!</v>
      </c>
      <c r="CG87" s="2879" t="e">
        <f>CG86/CG5</f>
        <v>#DIV/0!</v>
      </c>
      <c r="CH87" s="2881"/>
      <c r="CI87" s="3139" t="s">
        <v>2043</v>
      </c>
      <c r="CJ87" s="2877" t="e">
        <f>CJ86/CJ5</f>
        <v>#DIV/0!</v>
      </c>
      <c r="CK87" s="2878" t="e">
        <f>CK86/CK5</f>
        <v>#DIV/0!</v>
      </c>
      <c r="CL87" s="2879" t="e">
        <f>CL86/CL5</f>
        <v>#DIV/0!</v>
      </c>
      <c r="CM87" s="2881"/>
      <c r="CN87" s="3139" t="s">
        <v>2043</v>
      </c>
      <c r="CO87" s="2877" t="e">
        <f>CO86/CO5</f>
        <v>#DIV/0!</v>
      </c>
      <c r="CP87" s="2878" t="e">
        <f>CP86/CP5</f>
        <v>#DIV/0!</v>
      </c>
      <c r="CQ87" s="2879" t="e">
        <f>CQ86/CQ5</f>
        <v>#DIV/0!</v>
      </c>
      <c r="CR87" s="2881"/>
      <c r="CS87" s="3139" t="s">
        <v>2043</v>
      </c>
      <c r="CT87" s="2877" t="e">
        <f>CT86/CT5</f>
        <v>#DIV/0!</v>
      </c>
      <c r="CU87" s="2878" t="e">
        <f>CU86/CU5</f>
        <v>#DIV/0!</v>
      </c>
      <c r="CV87" s="2879" t="e">
        <f>CV86/CV5</f>
        <v>#DIV/0!</v>
      </c>
      <c r="CW87" s="2881"/>
      <c r="CX87" s="3139" t="s">
        <v>2043</v>
      </c>
      <c r="CY87" s="2877">
        <f>CY86/CY5</f>
        <v>0.46191510961317139</v>
      </c>
      <c r="CZ87" s="2878">
        <f>CZ86/CZ5</f>
        <v>-1.7337184728806208</v>
      </c>
      <c r="DA87" s="2879">
        <f>DA86/DA5</f>
        <v>0.33366033156363495</v>
      </c>
      <c r="DB87" s="2881"/>
      <c r="DC87" s="2881"/>
    </row>
    <row r="88" spans="1:107" ht="13.8" x14ac:dyDescent="0.25">
      <c r="A88" s="1438"/>
      <c r="B88" s="1438"/>
      <c r="C88" s="1970"/>
      <c r="D88" s="1970"/>
      <c r="E88" s="1970"/>
      <c r="F88" s="1970"/>
      <c r="G88" s="1970"/>
      <c r="H88" s="1970"/>
      <c r="I88" s="1970"/>
      <c r="J88" s="1970"/>
      <c r="K88" s="1970"/>
      <c r="L88" s="1970"/>
      <c r="M88" s="1970"/>
      <c r="N88" s="1970"/>
      <c r="O88" s="1970"/>
      <c r="P88" s="1970"/>
      <c r="Q88" s="1970"/>
      <c r="R88" s="1970"/>
      <c r="S88" s="1970"/>
      <c r="T88" s="1970"/>
      <c r="U88" s="1970"/>
      <c r="V88" s="1970"/>
      <c r="W88" s="1970"/>
      <c r="X88" s="1970"/>
      <c r="Y88" s="1970"/>
      <c r="Z88" s="1970"/>
      <c r="AA88" s="1970"/>
      <c r="AB88" s="1970"/>
      <c r="AC88" s="1970"/>
      <c r="AD88" s="1970"/>
      <c r="AE88" s="1970"/>
      <c r="AF88" s="1970"/>
      <c r="AG88" s="1970"/>
      <c r="AH88" s="1970"/>
      <c r="AI88" s="1970"/>
      <c r="AJ88" s="1970"/>
      <c r="AK88" s="1970"/>
      <c r="AL88" s="1970"/>
      <c r="AM88" s="1970"/>
      <c r="AN88" s="1970"/>
      <c r="AO88" s="1970"/>
      <c r="AP88" s="1970"/>
      <c r="AQ88" s="1970"/>
      <c r="AR88" s="1970"/>
      <c r="AS88" s="1970"/>
      <c r="AT88" s="1970"/>
      <c r="AU88" s="1970"/>
      <c r="AV88" s="1970"/>
      <c r="AW88" s="1970"/>
      <c r="AX88" s="1970"/>
      <c r="AY88" s="1970"/>
      <c r="AZ88" s="1970"/>
      <c r="BA88" s="1970"/>
      <c r="BB88" s="1970"/>
      <c r="BC88" s="1970"/>
      <c r="BD88" s="1970"/>
      <c r="BE88" s="1970"/>
      <c r="BF88" s="1970"/>
      <c r="BG88" s="1970"/>
      <c r="BH88" s="1970"/>
      <c r="BI88" s="1970"/>
      <c r="BJ88" s="1970"/>
      <c r="BK88" s="1970"/>
      <c r="BL88" s="1970"/>
      <c r="BM88" s="1970"/>
      <c r="BN88" s="1970"/>
      <c r="BO88" s="1970"/>
      <c r="BP88" s="1970"/>
      <c r="BQ88" s="1970"/>
      <c r="BR88" s="1970"/>
      <c r="BS88" s="1970"/>
      <c r="BT88" s="1970"/>
      <c r="BU88" s="1970"/>
      <c r="BV88" s="1970"/>
      <c r="BW88" s="1970"/>
      <c r="BX88" s="1970"/>
      <c r="BY88" s="1970"/>
      <c r="BZ88" s="1970"/>
      <c r="CA88" s="1970"/>
      <c r="CB88" s="1970"/>
      <c r="CC88" s="1970"/>
      <c r="CD88" s="1970"/>
      <c r="CE88" s="1970"/>
      <c r="CF88" s="1970"/>
      <c r="CG88" s="1970"/>
      <c r="CH88" s="1970"/>
      <c r="CI88" s="1970"/>
      <c r="CJ88" s="1970"/>
      <c r="CK88" s="1970"/>
      <c r="CL88" s="1970"/>
      <c r="CM88" s="1970"/>
      <c r="CN88" s="1970"/>
      <c r="CO88" s="1970"/>
      <c r="CP88" s="1970"/>
      <c r="CQ88" s="1970"/>
      <c r="CR88" s="1970"/>
      <c r="CS88" s="1970"/>
      <c r="CT88" s="1970"/>
      <c r="CU88" s="1970"/>
      <c r="CV88" s="1970"/>
      <c r="CW88" s="1970"/>
      <c r="CX88" s="1970"/>
      <c r="CY88" s="1970"/>
      <c r="CZ88" s="1970"/>
      <c r="DA88" s="1970"/>
      <c r="DB88" s="1970"/>
      <c r="DC88" s="1970"/>
    </row>
    <row r="89" spans="1:107" x14ac:dyDescent="0.25">
      <c r="B89" s="1577" t="s">
        <v>56</v>
      </c>
      <c r="E89" s="1976">
        <f>E8+E36+E41+E50+E54+E73+E79+E82+E85</f>
        <v>62828.735632183911</v>
      </c>
      <c r="J89" s="1976">
        <f>J8+J36+J41+J50+J54+J73+J79+J82+J85</f>
        <v>216440.39574743132</v>
      </c>
      <c r="O89" s="1976">
        <f>O8+O36+O41+O50+O54+O73+O79+O82+O85</f>
        <v>197848.4647023032</v>
      </c>
      <c r="T89" s="1976">
        <f>T8+T36+T41+T50+T54+T73+T79+T82+T85</f>
        <v>70088.646547149634</v>
      </c>
      <c r="Y89" s="1976">
        <f>Y8+Y36+Y41+Y50+Y54+Y73+Y79+Y82+Y85</f>
        <v>143222.86786516855</v>
      </c>
      <c r="AD89" s="1976">
        <f>AD8+AD36+AD41+AD50+AD54+AD73+AD79+AD82+AD85</f>
        <v>136675.26503031034</v>
      </c>
      <c r="AI89" s="1976">
        <f>AI8+AI36+AI41+AI50+AI54+AI73+AI79+AI82+AI85</f>
        <v>1079935.6407077292</v>
      </c>
      <c r="AN89" s="1976">
        <f>AN8+AN36+AN41+AN50+AN54+AN73+AN79+AN82+AN85</f>
        <v>0</v>
      </c>
      <c r="AS89" s="1976">
        <f>AS8+AS36+AS41+AS50+AS54+AS73+AS79+AS82+AS85</f>
        <v>0</v>
      </c>
      <c r="AX89" s="1976">
        <f>AX8+AX36+AX41+AX50+AX54+AX73+AX79+AX82+AX85</f>
        <v>0</v>
      </c>
      <c r="BC89" s="1976">
        <f>BC8+BC36+BC41+BC50+BC54+BC73+BC79+BC82+BC85</f>
        <v>0</v>
      </c>
      <c r="BH89" s="1976">
        <f>BH8+BH36+BH41+BH50+BH54+BH73+BH79+BH82+BH85</f>
        <v>0</v>
      </c>
      <c r="BM89" s="1976">
        <f>BM8+BM36+BM41+BM50+BM54+BM73+BM79+BM82+BM85</f>
        <v>0</v>
      </c>
      <c r="BR89" s="1976">
        <f>BR8+BR36+BR41+BR50+BR54+BR73+BR79+BR82+BR85</f>
        <v>0</v>
      </c>
      <c r="BW89" s="1976">
        <f>BW8+BW36+BW41+BW50+BW54+BW73+BW79+BW82+BW85</f>
        <v>0</v>
      </c>
      <c r="CB89" s="1976">
        <f>CB8+CB36+CB41+CB50+CB54+CB73+CB79+CB82+CB85</f>
        <v>0</v>
      </c>
      <c r="CG89" s="1976">
        <f>CG8+CG36+CG41+CG50+CG54+CG73+CG79+CG82+CG85</f>
        <v>0</v>
      </c>
      <c r="CL89" s="1976">
        <f>CL8+CL36+CL41+CL50+CL54+CL73+CL79+CL82+CL85</f>
        <v>0</v>
      </c>
      <c r="CQ89" s="1976">
        <f>CQ8+CQ36+CQ41+CQ50+CQ54+CQ73+CQ79+CQ82+CQ85</f>
        <v>0</v>
      </c>
      <c r="CV89" s="1976">
        <f>CV8+CV36+CV41+CV50+CV54+CV73+CV79+CV82+CV85</f>
        <v>0</v>
      </c>
      <c r="DA89" s="1976">
        <f>DA8+DA36+DA41+DA50+DA54+DA73+DA79+DA82+DA85</f>
        <v>1907040.0162322761</v>
      </c>
    </row>
    <row r="90" spans="1:107" x14ac:dyDescent="0.25">
      <c r="DA90" s="1607" t="b">
        <f>ROUND(E89+J89+O89+T89+Y89+AD89+AS89+AX89+BC89+BH89+BM89+BR89+BW89+CB89+CG89+CL89+CQ89+CV89+AI89,2)=ROUND(DA89,2)</f>
        <v>1</v>
      </c>
    </row>
    <row r="91" spans="1:107" s="1411" customFormat="1" x14ac:dyDescent="0.25">
      <c r="A91" s="1417"/>
      <c r="B91" s="1417"/>
      <c r="C91" s="1968"/>
      <c r="D91" s="1968"/>
      <c r="E91" s="1968"/>
      <c r="F91" s="1968"/>
      <c r="G91" s="1968"/>
      <c r="H91" s="1968"/>
      <c r="I91" s="1968"/>
      <c r="J91" s="1968"/>
      <c r="K91" s="1968"/>
      <c r="L91" s="1968"/>
      <c r="M91" s="1968"/>
      <c r="N91" s="1968"/>
      <c r="O91" s="1968"/>
      <c r="P91" s="1968"/>
      <c r="Q91" s="1968"/>
      <c r="R91" s="1968"/>
      <c r="S91" s="1968"/>
      <c r="T91" s="1968"/>
      <c r="U91" s="1968"/>
      <c r="V91" s="1968"/>
      <c r="W91" s="1968"/>
      <c r="X91" s="1968"/>
      <c r="Y91" s="1185">
        <f>Y5-Y89</f>
        <v>202944.67213483143</v>
      </c>
      <c r="Z91" s="1968"/>
      <c r="AA91" s="1968"/>
      <c r="AB91" s="1968"/>
      <c r="AC91" s="1968"/>
      <c r="AD91" s="1185">
        <f>AD5-AD89</f>
        <v>141244.73496968966</v>
      </c>
      <c r="AE91" s="1968"/>
      <c r="AF91" s="1968"/>
      <c r="AG91" s="1968"/>
      <c r="AH91" s="1968"/>
      <c r="AI91" s="1968">
        <f>AI5-AI89</f>
        <v>177130.11929227086</v>
      </c>
      <c r="AJ91" s="1968"/>
      <c r="AK91" s="1968"/>
      <c r="AL91" s="1968"/>
      <c r="AM91" s="1968"/>
      <c r="AN91" s="1185">
        <f>AN5-AN89</f>
        <v>0</v>
      </c>
      <c r="AO91" s="1968"/>
      <c r="AP91" s="1968"/>
      <c r="AQ91" s="1968"/>
      <c r="AR91" s="1968"/>
      <c r="AS91" s="1185">
        <f>AS5-AS89</f>
        <v>0</v>
      </c>
      <c r="AT91" s="1968"/>
      <c r="AU91" s="1968"/>
      <c r="AV91" s="1968"/>
      <c r="AW91" s="1968"/>
      <c r="AX91" s="1185">
        <f>AX5-AX89</f>
        <v>0</v>
      </c>
      <c r="AY91" s="1968"/>
      <c r="AZ91" s="1968"/>
      <c r="BA91" s="1968"/>
      <c r="BB91" s="1968"/>
      <c r="BC91" s="1185">
        <f>BC5-BC89</f>
        <v>0</v>
      </c>
      <c r="BD91" s="1968"/>
      <c r="BE91" s="1968"/>
      <c r="BF91" s="1968"/>
      <c r="BG91" s="1968"/>
      <c r="BH91" s="1185">
        <f>BH5-BH89</f>
        <v>0</v>
      </c>
      <c r="BI91" s="1968"/>
      <c r="BJ91" s="1968"/>
      <c r="BK91" s="1968"/>
      <c r="BL91" s="1968"/>
      <c r="BM91" s="1185">
        <f>BM5-BM89</f>
        <v>0</v>
      </c>
      <c r="BN91" s="1968"/>
      <c r="BO91" s="1968"/>
      <c r="BP91" s="1968"/>
      <c r="BQ91" s="1968"/>
      <c r="BR91" s="1185">
        <f>BR5-BR89</f>
        <v>0</v>
      </c>
      <c r="BS91" s="1968"/>
      <c r="BT91" s="1968"/>
      <c r="BU91" s="1968"/>
      <c r="BV91" s="1968"/>
      <c r="BW91" s="1185">
        <f>BW5-BW89</f>
        <v>0</v>
      </c>
      <c r="BX91" s="1968"/>
      <c r="BY91" s="1968"/>
      <c r="BZ91" s="1968"/>
      <c r="CA91" s="1968"/>
      <c r="CB91" s="1185">
        <f>CB5-CB89</f>
        <v>0</v>
      </c>
      <c r="CC91" s="1968"/>
      <c r="CD91" s="1968"/>
      <c r="CE91" s="1968"/>
      <c r="CF91" s="1968"/>
      <c r="CG91" s="1185">
        <f>CG5-CG89</f>
        <v>0</v>
      </c>
      <c r="CH91" s="1968"/>
      <c r="CI91" s="1968"/>
      <c r="CJ91" s="1968"/>
      <c r="CK91" s="1968"/>
      <c r="CL91" s="1185">
        <f>CL5-CL89</f>
        <v>0</v>
      </c>
      <c r="CM91" s="1968"/>
      <c r="CN91" s="1968"/>
      <c r="CO91" s="1968"/>
      <c r="CP91" s="1968"/>
      <c r="CQ91" s="1185">
        <f>CQ5-CQ89</f>
        <v>0</v>
      </c>
      <c r="CR91" s="1968"/>
      <c r="CS91" s="1968"/>
      <c r="CT91" s="1968"/>
      <c r="CU91" s="1968"/>
      <c r="CV91" s="1185">
        <f>CV5-CV89</f>
        <v>0</v>
      </c>
      <c r="CW91" s="1968"/>
      <c r="CX91" s="1968"/>
      <c r="CY91" s="1968"/>
      <c r="CZ91" s="1968"/>
      <c r="DA91" s="1968"/>
      <c r="DB91" s="1968"/>
      <c r="DC91" s="1968"/>
    </row>
    <row r="92" spans="1:107" x14ac:dyDescent="0.25">
      <c r="DA92" s="1185">
        <f>DA5-DA89</f>
        <v>954923.79376772395</v>
      </c>
    </row>
    <row r="93" spans="1:107" s="1411" customFormat="1" x14ac:dyDescent="0.25">
      <c r="A93" s="1417"/>
      <c r="B93" s="1417"/>
      <c r="C93" s="1968"/>
      <c r="D93" s="1968"/>
      <c r="E93" s="1968"/>
      <c r="F93" s="1968"/>
      <c r="G93" s="1968"/>
      <c r="H93" s="1968"/>
      <c r="I93" s="1968"/>
      <c r="J93" s="1968"/>
      <c r="K93" s="1968"/>
      <c r="L93" s="1968"/>
      <c r="M93" s="1968"/>
      <c r="N93" s="1968"/>
      <c r="O93" s="1968"/>
      <c r="P93" s="1968"/>
      <c r="Q93" s="1968"/>
      <c r="R93" s="1968"/>
      <c r="S93" s="1968"/>
      <c r="T93" s="1968"/>
      <c r="U93" s="1968"/>
      <c r="V93" s="1968"/>
      <c r="W93" s="1968"/>
      <c r="X93" s="1968"/>
      <c r="Y93" s="1968"/>
      <c r="Z93" s="1968"/>
      <c r="AA93" s="1968"/>
      <c r="AB93" s="1968"/>
      <c r="AC93" s="1968"/>
      <c r="AD93" s="1968"/>
      <c r="AE93" s="1968"/>
      <c r="AF93" s="1968"/>
      <c r="AG93" s="1968"/>
      <c r="AH93" s="1968"/>
      <c r="AI93" s="1968"/>
      <c r="AJ93" s="1968"/>
      <c r="AK93" s="1968"/>
      <c r="AL93" s="1968"/>
      <c r="AM93" s="1968"/>
      <c r="AN93" s="1968"/>
      <c r="AO93" s="1968"/>
      <c r="AP93" s="1968"/>
      <c r="AQ93" s="1968"/>
      <c r="AR93" s="1968"/>
      <c r="AS93" s="1968"/>
      <c r="AT93" s="1968"/>
      <c r="AU93" s="1968"/>
      <c r="AV93" s="1968"/>
      <c r="AW93" s="1968"/>
      <c r="AX93" s="1968"/>
      <c r="AY93" s="1968"/>
      <c r="AZ93" s="1968"/>
      <c r="BA93" s="1968"/>
      <c r="BB93" s="1968"/>
      <c r="BC93" s="1968"/>
      <c r="BD93" s="1968"/>
      <c r="BE93" s="1968"/>
      <c r="BF93" s="1968"/>
      <c r="BG93" s="1968"/>
      <c r="BH93" s="1968"/>
      <c r="BI93" s="1968"/>
      <c r="BJ93" s="1968"/>
      <c r="BK93" s="1968"/>
      <c r="BL93" s="1968"/>
      <c r="BM93" s="1968"/>
      <c r="BN93" s="1968"/>
      <c r="BO93" s="1968"/>
      <c r="BP93" s="1968"/>
      <c r="BQ93" s="1968"/>
      <c r="BR93" s="1968"/>
      <c r="BS93" s="1968"/>
      <c r="BT93" s="1968"/>
      <c r="BU93" s="1968"/>
      <c r="BV93" s="1968"/>
      <c r="BW93" s="1968"/>
      <c r="BX93" s="1968"/>
      <c r="BY93" s="1968"/>
      <c r="BZ93" s="1968"/>
      <c r="CA93" s="1968"/>
      <c r="CB93" s="1968"/>
      <c r="CC93" s="1968"/>
      <c r="CD93" s="1968"/>
      <c r="CE93" s="1968"/>
      <c r="CF93" s="1968"/>
      <c r="CG93" s="1968"/>
      <c r="CH93" s="1968"/>
      <c r="CI93" s="1968"/>
      <c r="CJ93" s="1968"/>
      <c r="CK93" s="1968"/>
      <c r="CL93" s="1968"/>
      <c r="CM93" s="1968"/>
      <c r="CN93" s="1968"/>
      <c r="CO93" s="1968"/>
      <c r="CP93" s="1968"/>
      <c r="CQ93" s="1968"/>
      <c r="CR93" s="1968"/>
      <c r="CS93" s="1968"/>
      <c r="CT93" s="1968"/>
      <c r="CU93" s="1968"/>
      <c r="CV93" s="1968"/>
      <c r="CW93" s="1968"/>
      <c r="CX93" s="1968"/>
      <c r="CY93" s="1968"/>
      <c r="CZ93" s="1968"/>
      <c r="DA93" s="1968"/>
      <c r="DB93" s="1968"/>
      <c r="DC93" s="1968"/>
    </row>
    <row r="94" spans="1:107" s="1411" customFormat="1" x14ac:dyDescent="0.25">
      <c r="A94" s="1417"/>
      <c r="B94" s="1417"/>
      <c r="C94" s="1968"/>
      <c r="D94" s="1968"/>
      <c r="E94" s="1968"/>
      <c r="F94" s="1968"/>
      <c r="G94" s="1968"/>
      <c r="H94" s="1968"/>
      <c r="I94" s="1968"/>
      <c r="J94" s="1968"/>
      <c r="K94" s="1968"/>
      <c r="L94" s="1968"/>
      <c r="M94" s="1968"/>
      <c r="N94" s="1968"/>
      <c r="O94" s="1968"/>
      <c r="P94" s="1968"/>
      <c r="Q94" s="1968"/>
      <c r="R94" s="1968"/>
      <c r="S94" s="1968"/>
      <c r="T94" s="1968"/>
      <c r="U94" s="1968"/>
      <c r="V94" s="1968"/>
      <c r="W94" s="1968"/>
      <c r="X94" s="1968"/>
      <c r="Y94" s="1968"/>
      <c r="Z94" s="1968"/>
      <c r="AA94" s="1968"/>
      <c r="AB94" s="1968"/>
      <c r="AC94" s="1968"/>
      <c r="AD94" s="1968"/>
      <c r="AE94" s="1968"/>
      <c r="AF94" s="1968"/>
      <c r="AG94" s="1968"/>
      <c r="AH94" s="1968"/>
      <c r="AI94" s="1968"/>
      <c r="AJ94" s="1968"/>
      <c r="AK94" s="1968"/>
      <c r="AL94" s="1968"/>
      <c r="AM94" s="1968"/>
      <c r="AN94" s="1968"/>
      <c r="AO94" s="1968"/>
      <c r="AP94" s="1968"/>
      <c r="AQ94" s="1968"/>
      <c r="AR94" s="1968"/>
      <c r="AS94" s="1968"/>
      <c r="AT94" s="1968"/>
      <c r="AU94" s="1968"/>
      <c r="AV94" s="1968"/>
      <c r="AW94" s="1968"/>
      <c r="AX94" s="1968"/>
      <c r="AY94" s="1968"/>
      <c r="AZ94" s="1968"/>
      <c r="BA94" s="1968"/>
      <c r="BB94" s="1968"/>
      <c r="BC94" s="1968"/>
      <c r="BD94" s="1968"/>
      <c r="BE94" s="1968"/>
      <c r="BF94" s="1968"/>
      <c r="BG94" s="1968"/>
      <c r="BH94" s="1968"/>
      <c r="BI94" s="1968"/>
      <c r="BJ94" s="1968"/>
      <c r="BK94" s="1968"/>
      <c r="BL94" s="1968"/>
      <c r="BM94" s="1968"/>
      <c r="BN94" s="1968"/>
      <c r="BO94" s="1968"/>
      <c r="BP94" s="1968"/>
      <c r="BQ94" s="1968"/>
      <c r="BR94" s="1968"/>
      <c r="BS94" s="1968"/>
      <c r="BT94" s="1968"/>
      <c r="BU94" s="1968"/>
      <c r="BV94" s="1968"/>
      <c r="BW94" s="1968"/>
      <c r="BX94" s="1968"/>
      <c r="BY94" s="1968"/>
      <c r="BZ94" s="1968"/>
      <c r="CA94" s="1968"/>
      <c r="CB94" s="1968"/>
      <c r="CC94" s="1968"/>
      <c r="CD94" s="1968"/>
      <c r="CE94" s="1968"/>
      <c r="CF94" s="1968"/>
      <c r="CG94" s="1968"/>
      <c r="CH94" s="1968"/>
      <c r="CI94" s="1968"/>
      <c r="CJ94" s="1968"/>
      <c r="CK94" s="1968"/>
      <c r="CL94" s="1968"/>
      <c r="CM94" s="1968"/>
      <c r="CN94" s="1968"/>
      <c r="CO94" s="1968"/>
      <c r="CP94" s="1968"/>
      <c r="CQ94" s="1968"/>
      <c r="CR94" s="1968"/>
      <c r="CS94" s="1968"/>
      <c r="CT94" s="1968"/>
      <c r="CU94" s="1968"/>
      <c r="CV94" s="1968"/>
      <c r="CW94" s="1968"/>
      <c r="CX94" s="1968"/>
      <c r="CY94" s="1968"/>
      <c r="CZ94" s="1968"/>
      <c r="DA94" s="1968"/>
      <c r="DB94" s="1968"/>
      <c r="DC94" s="1968"/>
    </row>
    <row r="95" spans="1:107" s="1411" customFormat="1" x14ac:dyDescent="0.25">
      <c r="A95" s="1417"/>
      <c r="B95" s="1417"/>
      <c r="C95" s="1968"/>
      <c r="D95" s="1968"/>
      <c r="E95" s="1968"/>
      <c r="F95" s="1968"/>
      <c r="G95" s="1968"/>
      <c r="H95" s="1968"/>
      <c r="I95" s="1968"/>
      <c r="J95" s="1968"/>
      <c r="K95" s="1968"/>
      <c r="L95" s="1968"/>
      <c r="M95" s="1968"/>
      <c r="N95" s="1968"/>
      <c r="O95" s="1968"/>
      <c r="P95" s="1968"/>
      <c r="Q95" s="1968"/>
      <c r="R95" s="1968"/>
      <c r="S95" s="1968"/>
      <c r="T95" s="1968"/>
      <c r="U95" s="1968"/>
      <c r="V95" s="1968"/>
      <c r="W95" s="1968"/>
      <c r="X95" s="1968"/>
      <c r="Y95" s="1968"/>
      <c r="Z95" s="1968"/>
      <c r="AA95" s="1968"/>
      <c r="AB95" s="1968"/>
      <c r="AC95" s="1968"/>
      <c r="AD95" s="1968"/>
      <c r="AE95" s="1968"/>
      <c r="AF95" s="1968"/>
      <c r="AG95" s="1968"/>
      <c r="AH95" s="1968"/>
      <c r="AI95" s="1968"/>
      <c r="AJ95" s="1968"/>
      <c r="AK95" s="1968"/>
      <c r="AL95" s="1968"/>
      <c r="AM95" s="1968"/>
      <c r="AN95" s="1968"/>
      <c r="AO95" s="1968"/>
      <c r="AP95" s="1968"/>
      <c r="AQ95" s="1968"/>
      <c r="AR95" s="1968"/>
      <c r="AS95" s="1968"/>
      <c r="AT95" s="1968"/>
      <c r="AU95" s="1968"/>
      <c r="AV95" s="1968"/>
      <c r="AW95" s="1968"/>
      <c r="AX95" s="1968"/>
      <c r="AY95" s="1968"/>
      <c r="AZ95" s="1968"/>
      <c r="BA95" s="1968"/>
      <c r="BB95" s="1968"/>
      <c r="BC95" s="1968"/>
      <c r="BD95" s="1968"/>
      <c r="BE95" s="1968"/>
      <c r="BF95" s="1968"/>
      <c r="BG95" s="1968"/>
      <c r="BH95" s="1968"/>
      <c r="BI95" s="1968"/>
      <c r="BJ95" s="1968"/>
      <c r="BK95" s="1968"/>
      <c r="BL95" s="1968"/>
      <c r="BM95" s="1968"/>
      <c r="BN95" s="1968"/>
      <c r="BO95" s="1968"/>
      <c r="BP95" s="1968"/>
      <c r="BQ95" s="1968"/>
      <c r="BR95" s="1968"/>
      <c r="BS95" s="1968"/>
      <c r="BT95" s="1968"/>
      <c r="BU95" s="1968"/>
      <c r="BV95" s="1968"/>
      <c r="BW95" s="1968"/>
      <c r="BX95" s="1968"/>
      <c r="BY95" s="1968"/>
      <c r="BZ95" s="1968"/>
      <c r="CA95" s="1968"/>
      <c r="CB95" s="1968"/>
      <c r="CC95" s="1968"/>
      <c r="CD95" s="1968"/>
      <c r="CE95" s="1968"/>
      <c r="CF95" s="1968"/>
      <c r="CG95" s="1968"/>
      <c r="CH95" s="1968"/>
      <c r="CI95" s="1968"/>
      <c r="CJ95" s="1968"/>
      <c r="CK95" s="1968"/>
      <c r="CL95" s="1968"/>
      <c r="CM95" s="1968"/>
      <c r="CN95" s="1968"/>
      <c r="CO95" s="1968"/>
      <c r="CP95" s="1968"/>
      <c r="CQ95" s="1968"/>
      <c r="CR95" s="1968"/>
      <c r="CS95" s="1968"/>
      <c r="CT95" s="1968"/>
      <c r="CU95" s="1968"/>
      <c r="CV95" s="1968"/>
      <c r="CW95" s="1968"/>
      <c r="CX95" s="1968"/>
      <c r="CY95" s="1968"/>
      <c r="CZ95" s="1968"/>
      <c r="DA95" s="1968"/>
      <c r="DB95" s="1968"/>
      <c r="DC95" s="1968"/>
    </row>
    <row r="96" spans="1:107" s="1411" customFormat="1" x14ac:dyDescent="0.25">
      <c r="A96" s="1417"/>
      <c r="B96" s="1417"/>
      <c r="C96" s="1968"/>
      <c r="D96" s="1968"/>
      <c r="E96" s="1968"/>
      <c r="F96" s="1968"/>
      <c r="G96" s="1968"/>
      <c r="H96" s="1968"/>
      <c r="I96" s="1968"/>
      <c r="J96" s="1968"/>
      <c r="K96" s="1968"/>
      <c r="L96" s="1968"/>
      <c r="M96" s="1968"/>
      <c r="N96" s="1968"/>
      <c r="O96" s="1968"/>
      <c r="P96" s="1968"/>
      <c r="Q96" s="1968"/>
      <c r="R96" s="1968"/>
      <c r="S96" s="1968"/>
      <c r="T96" s="1968"/>
      <c r="U96" s="1968"/>
      <c r="V96" s="1968"/>
      <c r="W96" s="1968"/>
      <c r="X96" s="1968"/>
      <c r="Y96" s="1968"/>
      <c r="Z96" s="1968"/>
      <c r="AA96" s="1968"/>
      <c r="AB96" s="1968"/>
      <c r="AC96" s="1968"/>
      <c r="AD96" s="1968"/>
      <c r="AE96" s="1968"/>
      <c r="AF96" s="1968"/>
      <c r="AG96" s="1968"/>
      <c r="AH96" s="1968"/>
      <c r="AI96" s="1968"/>
      <c r="AJ96" s="1968"/>
      <c r="AK96" s="1968"/>
      <c r="AL96" s="1968"/>
      <c r="AM96" s="1968"/>
      <c r="AN96" s="1968"/>
      <c r="AO96" s="1968"/>
      <c r="AP96" s="1968"/>
      <c r="AQ96" s="1968"/>
      <c r="AR96" s="1968"/>
      <c r="AS96" s="1968"/>
      <c r="AT96" s="1968"/>
      <c r="AU96" s="1968"/>
      <c r="AV96" s="1968"/>
      <c r="AW96" s="1968"/>
      <c r="AX96" s="1968"/>
      <c r="AY96" s="1968"/>
      <c r="AZ96" s="1968"/>
      <c r="BA96" s="1968"/>
      <c r="BB96" s="1968"/>
      <c r="BC96" s="1968"/>
      <c r="BD96" s="1968"/>
      <c r="BE96" s="1968"/>
      <c r="BF96" s="1968"/>
      <c r="BG96" s="1968"/>
      <c r="BH96" s="1968"/>
      <c r="BI96" s="1968"/>
      <c r="BJ96" s="1968"/>
      <c r="BK96" s="1968"/>
      <c r="BL96" s="1968"/>
      <c r="BM96" s="1968"/>
      <c r="BN96" s="1968"/>
      <c r="BO96" s="1968"/>
      <c r="BP96" s="1968"/>
      <c r="BQ96" s="1968"/>
      <c r="BR96" s="1968"/>
      <c r="BS96" s="1968"/>
      <c r="BT96" s="1968"/>
      <c r="BU96" s="1968"/>
      <c r="BV96" s="1968"/>
      <c r="BW96" s="1968"/>
      <c r="BX96" s="1968"/>
      <c r="BY96" s="1968"/>
      <c r="BZ96" s="1968"/>
      <c r="CA96" s="1968"/>
      <c r="CB96" s="1968"/>
      <c r="CC96" s="1968"/>
      <c r="CD96" s="1968"/>
      <c r="CE96" s="1968"/>
      <c r="CF96" s="1968"/>
      <c r="CG96" s="1968"/>
      <c r="CH96" s="1968"/>
      <c r="CI96" s="1968"/>
      <c r="CJ96" s="1968"/>
      <c r="CK96" s="1968"/>
      <c r="CL96" s="1968"/>
      <c r="CM96" s="1968"/>
      <c r="CN96" s="1968"/>
      <c r="CO96" s="1968"/>
      <c r="CP96" s="1968"/>
      <c r="CQ96" s="1968"/>
      <c r="CR96" s="1968"/>
      <c r="CS96" s="1968"/>
      <c r="CT96" s="1968"/>
      <c r="CU96" s="1968"/>
      <c r="CV96" s="1968"/>
      <c r="CW96" s="1968"/>
      <c r="CX96" s="1968"/>
      <c r="CY96" s="1968"/>
      <c r="CZ96" s="1968"/>
      <c r="DA96" s="1968"/>
      <c r="DB96" s="1968"/>
      <c r="DC96" s="1968"/>
    </row>
    <row r="98" spans="1:107" s="1411" customFormat="1" x14ac:dyDescent="0.25">
      <c r="A98" s="1417"/>
      <c r="B98" s="1417"/>
      <c r="C98" s="1968"/>
      <c r="D98" s="1968"/>
      <c r="E98" s="1968"/>
      <c r="F98" s="1968"/>
      <c r="G98" s="1968"/>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O98" s="1968"/>
      <c r="CP98" s="1968"/>
      <c r="CQ98" s="1968"/>
      <c r="CR98" s="1968"/>
      <c r="CS98" s="1968"/>
      <c r="CT98" s="1968"/>
      <c r="CU98" s="1968"/>
      <c r="CV98" s="1968"/>
      <c r="CW98" s="1968"/>
      <c r="CX98" s="1968"/>
      <c r="CY98" s="1968"/>
      <c r="CZ98" s="1968"/>
      <c r="DA98" s="1968"/>
      <c r="DB98" s="1968"/>
      <c r="DC98" s="1968"/>
    </row>
  </sheetData>
  <mergeCells count="24">
    <mergeCell ref="AB2:AF3"/>
    <mergeCell ref="A42:A48"/>
    <mergeCell ref="A2:B2"/>
    <mergeCell ref="M2:Q3"/>
    <mergeCell ref="R2:V3"/>
    <mergeCell ref="W2:AA3"/>
    <mergeCell ref="H2:L3"/>
    <mergeCell ref="A3:B3"/>
    <mergeCell ref="C2:F3"/>
    <mergeCell ref="AG2:AK3"/>
    <mergeCell ref="BK2:BO3"/>
    <mergeCell ref="AQ2:AU3"/>
    <mergeCell ref="AL2:AP3"/>
    <mergeCell ref="BP2:BT3"/>
    <mergeCell ref="CY2:DC3"/>
    <mergeCell ref="CT2:CX3"/>
    <mergeCell ref="CO2:CS3"/>
    <mergeCell ref="AV2:AZ3"/>
    <mergeCell ref="BA2:BE3"/>
    <mergeCell ref="BF2:BJ3"/>
    <mergeCell ref="BU2:BY3"/>
    <mergeCell ref="BZ2:CD3"/>
    <mergeCell ref="CE2:CI3"/>
    <mergeCell ref="CJ2:CN3"/>
  </mergeCells>
  <pageMargins left="0.7" right="0.7" top="0.75" bottom="0.75" header="0.3" footer="0.3"/>
  <pageSetup paperSize="9" orientation="portrait" r:id="rId1"/>
  <legacy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6" tint="0.59999389629810485"/>
  </sheetPr>
  <dimension ref="A1:CS98"/>
  <sheetViews>
    <sheetView topLeftCell="B1" zoomScale="85" zoomScaleNormal="85" workbookViewId="0">
      <pane xSplit="1" ySplit="4" topLeftCell="AE5" activePane="bottomRight" state="frozen"/>
      <selection activeCell="BP79" sqref="BP79"/>
      <selection pane="topRight" activeCell="BP79" sqref="BP79"/>
      <selection pane="bottomLeft" activeCell="BP79" sqref="BP79"/>
      <selection pane="bottomRight" activeCell="AR75" sqref="AR75"/>
    </sheetView>
  </sheetViews>
  <sheetFormatPr defaultColWidth="7.44140625" defaultRowHeight="13.2" outlineLevelCol="1" x14ac:dyDescent="0.25"/>
  <cols>
    <col min="1" max="1" width="5.5546875" style="1417" customWidth="1"/>
    <col min="2" max="2" width="53.33203125" style="1417" customWidth="1"/>
    <col min="3" max="7" width="17.6640625" style="1417" hidden="1" customWidth="1" outlineLevel="1"/>
    <col min="8" max="11" width="14.33203125" style="1968" hidden="1" customWidth="1" outlineLevel="1"/>
    <col min="12" max="12" width="21.44140625" style="1968" hidden="1" customWidth="1" outlineLevel="1"/>
    <col min="13" max="16" width="14.44140625" style="1968" hidden="1" customWidth="1" outlineLevel="1"/>
    <col min="17" max="17" width="27.33203125" style="1968" hidden="1" customWidth="1" outlineLevel="1"/>
    <col min="18" max="18" width="14.6640625" style="1968" hidden="1" customWidth="1" outlineLevel="1"/>
    <col min="19" max="19" width="14.44140625" style="1968" hidden="1" customWidth="1" outlineLevel="1"/>
    <col min="20" max="20" width="13.88671875" style="1968" hidden="1" customWidth="1" outlineLevel="1"/>
    <col min="21" max="21" width="11.5546875" style="1968" hidden="1" customWidth="1" outlineLevel="1"/>
    <col min="22" max="22" width="34.109375" style="1968" hidden="1" customWidth="1" outlineLevel="1"/>
    <col min="23" max="23" width="13.33203125" style="1968" hidden="1" customWidth="1" outlineLevel="1" collapsed="1"/>
    <col min="24" max="27" width="13.33203125" style="1968" hidden="1" customWidth="1" outlineLevel="1"/>
    <col min="28" max="28" width="14.33203125" style="1968" customWidth="1" collapsed="1"/>
    <col min="29" max="32" width="14.33203125" style="1968" customWidth="1"/>
    <col min="33" max="35" width="14.33203125" style="1968" hidden="1" customWidth="1" outlineLevel="1"/>
    <col min="36" max="36" width="9.33203125" style="1968" hidden="1" customWidth="1" outlineLevel="1"/>
    <col min="37" max="37" width="27.5546875" style="1968" hidden="1" customWidth="1" outlineLevel="1"/>
    <col min="38" max="41" width="13.88671875" style="1968" hidden="1" customWidth="1" outlineLevel="1"/>
    <col min="42" max="42" width="31.88671875" style="1968" hidden="1" customWidth="1" outlineLevel="1"/>
    <col min="43" max="43" width="13.88671875" style="1968" customWidth="1" collapsed="1"/>
    <col min="44" max="46" width="13.88671875" style="1968" customWidth="1"/>
    <col min="47" max="47" width="19.109375" style="1968" customWidth="1"/>
    <col min="48" max="51" width="13.88671875" style="1968" hidden="1" customWidth="1" outlineLevel="1"/>
    <col min="52" max="52" width="19.109375" style="1968" hidden="1" customWidth="1" outlineLevel="1"/>
    <col min="53" max="56" width="13.88671875" style="1968" hidden="1" customWidth="1" outlineLevel="1"/>
    <col min="57" max="57" width="19.109375" style="1968" hidden="1" customWidth="1" outlineLevel="1"/>
    <col min="58" max="61" width="13.88671875" style="1968" hidden="1" customWidth="1" outlineLevel="1"/>
    <col min="62" max="62" width="19.109375" style="1968" hidden="1" customWidth="1" outlineLevel="1"/>
    <col min="63" max="63" width="13.88671875" style="1968" hidden="1" customWidth="1" outlineLevel="1" collapsed="1"/>
    <col min="64" max="66" width="13.88671875" style="1968" hidden="1" customWidth="1" outlineLevel="1"/>
    <col min="67" max="67" width="19.109375" style="1968" hidden="1" customWidth="1" outlineLevel="1"/>
    <col min="68" max="72" width="13.5546875" style="1968" hidden="1" customWidth="1" outlineLevel="1"/>
    <col min="73" max="73" width="13.5546875" style="1968" hidden="1" customWidth="1" outlineLevel="1" collapsed="1"/>
    <col min="74" max="76" width="13.5546875" style="1968" hidden="1" customWidth="1" outlineLevel="1"/>
    <col min="77" max="77" width="27" style="1968" hidden="1" customWidth="1" outlineLevel="1"/>
    <col min="78" max="78" width="13.5546875" style="1968" hidden="1" customWidth="1" outlineLevel="1" collapsed="1"/>
    <col min="79" max="81" width="13.5546875" style="1968" hidden="1" customWidth="1" outlineLevel="1"/>
    <col min="82" max="82" width="27" style="1968" hidden="1" customWidth="1" outlineLevel="1"/>
    <col min="83" max="83" width="13.5546875" style="1968" hidden="1" customWidth="1" outlineLevel="1" collapsed="1"/>
    <col min="84" max="86" width="13.5546875" style="1968" hidden="1" customWidth="1" outlineLevel="1"/>
    <col min="87" max="87" width="27" style="1968" hidden="1" customWidth="1" outlineLevel="1"/>
    <col min="88" max="88" width="14.5546875" style="1968" hidden="1" customWidth="1" outlineLevel="1" collapsed="1"/>
    <col min="89" max="91" width="14.5546875" style="1968" hidden="1" customWidth="1" outlineLevel="1"/>
    <col min="92" max="92" width="27" style="1968" hidden="1" customWidth="1" outlineLevel="1"/>
    <col min="93" max="93" width="16.33203125" style="1968" customWidth="1" collapsed="1"/>
    <col min="94" max="95" width="16.33203125" style="1968" customWidth="1"/>
    <col min="96" max="96" width="13" style="1968" bestFit="1" customWidth="1"/>
    <col min="97" max="97" width="16.33203125" style="1968" customWidth="1"/>
    <col min="98" max="16384" width="7.44140625" style="1410"/>
  </cols>
  <sheetData>
    <row r="1" spans="1:97" ht="13.8" thickBot="1" x14ac:dyDescent="0.3"/>
    <row r="2" spans="1:97" ht="14.4" customHeight="1" x14ac:dyDescent="0.25">
      <c r="A2" s="4016" t="s">
        <v>1454</v>
      </c>
      <c r="B2" s="4018"/>
      <c r="C2" s="4071" t="s">
        <v>1161</v>
      </c>
      <c r="D2" s="4072"/>
      <c r="E2" s="4072"/>
      <c r="F2" s="4072"/>
      <c r="G2" s="4073"/>
      <c r="H2" s="4071" t="s">
        <v>1303</v>
      </c>
      <c r="I2" s="4072"/>
      <c r="J2" s="4072"/>
      <c r="K2" s="4072"/>
      <c r="L2" s="4073"/>
      <c r="M2" s="4077" t="s">
        <v>1383</v>
      </c>
      <c r="N2" s="4078"/>
      <c r="O2" s="4078"/>
      <c r="P2" s="4078"/>
      <c r="Q2" s="4079"/>
      <c r="R2" s="4053" t="s">
        <v>1470</v>
      </c>
      <c r="S2" s="4054"/>
      <c r="T2" s="4054"/>
      <c r="U2" s="4054"/>
      <c r="V2" s="4055"/>
      <c r="W2" s="4059" t="s">
        <v>1668</v>
      </c>
      <c r="X2" s="4060"/>
      <c r="Y2" s="4060"/>
      <c r="Z2" s="4060"/>
      <c r="AA2" s="4061"/>
      <c r="AB2" s="4083">
        <v>2024</v>
      </c>
      <c r="AC2" s="4084"/>
      <c r="AD2" s="4084"/>
      <c r="AE2" s="4084"/>
      <c r="AF2" s="4085"/>
      <c r="AG2" s="4256">
        <v>45292</v>
      </c>
      <c r="AH2" s="4382"/>
      <c r="AI2" s="4382"/>
      <c r="AJ2" s="4382"/>
      <c r="AK2" s="4383"/>
      <c r="AL2" s="4269">
        <v>45323</v>
      </c>
      <c r="AM2" s="4397"/>
      <c r="AN2" s="4397"/>
      <c r="AO2" s="4397"/>
      <c r="AP2" s="4398"/>
      <c r="AQ2" s="4276">
        <v>45352</v>
      </c>
      <c r="AR2" s="4402"/>
      <c r="AS2" s="4402"/>
      <c r="AT2" s="4402"/>
      <c r="AU2" s="4403"/>
      <c r="AV2" s="4277">
        <v>45383</v>
      </c>
      <c r="AW2" s="4407"/>
      <c r="AX2" s="4407"/>
      <c r="AY2" s="4407"/>
      <c r="AZ2" s="4408"/>
      <c r="BA2" s="4290">
        <v>45413</v>
      </c>
      <c r="BB2" s="4377"/>
      <c r="BC2" s="4377"/>
      <c r="BD2" s="4377"/>
      <c r="BE2" s="4378"/>
      <c r="BF2" s="4283">
        <v>45444</v>
      </c>
      <c r="BG2" s="4387"/>
      <c r="BH2" s="4387"/>
      <c r="BI2" s="4387"/>
      <c r="BJ2" s="4388"/>
      <c r="BK2" s="4376">
        <v>45474</v>
      </c>
      <c r="BL2" s="4392"/>
      <c r="BM2" s="4392"/>
      <c r="BN2" s="4392"/>
      <c r="BO2" s="4393"/>
      <c r="BP2" s="4356">
        <v>45505</v>
      </c>
      <c r="BQ2" s="4357"/>
      <c r="BR2" s="4357"/>
      <c r="BS2" s="4357"/>
      <c r="BT2" s="4358"/>
      <c r="BU2" s="4362">
        <v>45536</v>
      </c>
      <c r="BV2" s="4363"/>
      <c r="BW2" s="4363"/>
      <c r="BX2" s="4363"/>
      <c r="BY2" s="4364"/>
      <c r="BZ2" s="4095">
        <v>45566</v>
      </c>
      <c r="CA2" s="4096"/>
      <c r="CB2" s="4096"/>
      <c r="CC2" s="4096"/>
      <c r="CD2" s="4097"/>
      <c r="CE2" s="4244">
        <v>45597</v>
      </c>
      <c r="CF2" s="4245"/>
      <c r="CG2" s="4245"/>
      <c r="CH2" s="4245"/>
      <c r="CI2" s="4246"/>
      <c r="CJ2" s="4250">
        <v>45627</v>
      </c>
      <c r="CK2" s="4251"/>
      <c r="CL2" s="4251"/>
      <c r="CM2" s="4251"/>
      <c r="CN2" s="4252"/>
      <c r="CO2" s="4089" t="s">
        <v>2201</v>
      </c>
      <c r="CP2" s="4090"/>
      <c r="CQ2" s="4090"/>
      <c r="CR2" s="4090"/>
      <c r="CS2" s="4091"/>
    </row>
    <row r="3" spans="1:97" ht="15" customHeight="1" thickBot="1" x14ac:dyDescent="0.3">
      <c r="A3" s="4035" t="s">
        <v>54</v>
      </c>
      <c r="B3" s="4037"/>
      <c r="C3" s="4074"/>
      <c r="D3" s="4075"/>
      <c r="E3" s="4075"/>
      <c r="F3" s="4075"/>
      <c r="G3" s="4076"/>
      <c r="H3" s="4074"/>
      <c r="I3" s="4075"/>
      <c r="J3" s="4075"/>
      <c r="K3" s="4075"/>
      <c r="L3" s="4076"/>
      <c r="M3" s="4080"/>
      <c r="N3" s="4081"/>
      <c r="O3" s="4081"/>
      <c r="P3" s="4081"/>
      <c r="Q3" s="4082"/>
      <c r="R3" s="4056"/>
      <c r="S3" s="4057"/>
      <c r="T3" s="4057"/>
      <c r="U3" s="4057"/>
      <c r="V3" s="4058"/>
      <c r="W3" s="4062"/>
      <c r="X3" s="4063"/>
      <c r="Y3" s="4063"/>
      <c r="Z3" s="4063"/>
      <c r="AA3" s="4064"/>
      <c r="AB3" s="4086"/>
      <c r="AC3" s="4087"/>
      <c r="AD3" s="4087"/>
      <c r="AE3" s="4087"/>
      <c r="AF3" s="4088"/>
      <c r="AG3" s="4384"/>
      <c r="AH3" s="4385"/>
      <c r="AI3" s="4385"/>
      <c r="AJ3" s="4385"/>
      <c r="AK3" s="4386"/>
      <c r="AL3" s="4399"/>
      <c r="AM3" s="4400"/>
      <c r="AN3" s="4400"/>
      <c r="AO3" s="4400"/>
      <c r="AP3" s="4401"/>
      <c r="AQ3" s="4404"/>
      <c r="AR3" s="4405"/>
      <c r="AS3" s="4405"/>
      <c r="AT3" s="4405"/>
      <c r="AU3" s="4406"/>
      <c r="AV3" s="4409"/>
      <c r="AW3" s="4410"/>
      <c r="AX3" s="4410"/>
      <c r="AY3" s="4410"/>
      <c r="AZ3" s="4411"/>
      <c r="BA3" s="4379"/>
      <c r="BB3" s="4380"/>
      <c r="BC3" s="4380"/>
      <c r="BD3" s="4380"/>
      <c r="BE3" s="4381"/>
      <c r="BF3" s="4389"/>
      <c r="BG3" s="4390"/>
      <c r="BH3" s="4390"/>
      <c r="BI3" s="4390"/>
      <c r="BJ3" s="4391"/>
      <c r="BK3" s="4394"/>
      <c r="BL3" s="4395"/>
      <c r="BM3" s="4395"/>
      <c r="BN3" s="4395"/>
      <c r="BO3" s="4396"/>
      <c r="BP3" s="4359"/>
      <c r="BQ3" s="4360"/>
      <c r="BR3" s="4360"/>
      <c r="BS3" s="4360"/>
      <c r="BT3" s="4361"/>
      <c r="BU3" s="4365"/>
      <c r="BV3" s="4366"/>
      <c r="BW3" s="4366"/>
      <c r="BX3" s="4366"/>
      <c r="BY3" s="4367"/>
      <c r="BZ3" s="4098"/>
      <c r="CA3" s="4099"/>
      <c r="CB3" s="4099"/>
      <c r="CC3" s="4099"/>
      <c r="CD3" s="4100"/>
      <c r="CE3" s="4247"/>
      <c r="CF3" s="4248"/>
      <c r="CG3" s="4248"/>
      <c r="CH3" s="4248"/>
      <c r="CI3" s="4249"/>
      <c r="CJ3" s="4253"/>
      <c r="CK3" s="4254"/>
      <c r="CL3" s="4254"/>
      <c r="CM3" s="4254"/>
      <c r="CN3" s="4255"/>
      <c r="CO3" s="4092"/>
      <c r="CP3" s="4093"/>
      <c r="CQ3" s="4093"/>
      <c r="CR3" s="4093"/>
      <c r="CS3" s="4094"/>
    </row>
    <row r="4" spans="1:97" ht="41.4" thickBot="1" x14ac:dyDescent="0.3">
      <c r="A4" s="1486"/>
      <c r="B4" s="1487" t="s">
        <v>11</v>
      </c>
      <c r="C4" s="1972" t="s">
        <v>55</v>
      </c>
      <c r="D4" s="1972" t="s">
        <v>18</v>
      </c>
      <c r="E4" s="1489" t="s">
        <v>39</v>
      </c>
      <c r="F4" s="1978" t="s">
        <v>40</v>
      </c>
      <c r="G4" s="1489" t="s">
        <v>19</v>
      </c>
      <c r="H4" s="1972" t="s">
        <v>55</v>
      </c>
      <c r="I4" s="1972" t="s">
        <v>18</v>
      </c>
      <c r="J4" s="1489" t="s">
        <v>39</v>
      </c>
      <c r="K4" s="1978" t="s">
        <v>40</v>
      </c>
      <c r="L4" s="1489" t="s">
        <v>19</v>
      </c>
      <c r="M4" s="1972" t="s">
        <v>55</v>
      </c>
      <c r="N4" s="1972" t="s">
        <v>18</v>
      </c>
      <c r="O4" s="1489" t="s">
        <v>39</v>
      </c>
      <c r="P4" s="1978" t="s">
        <v>40</v>
      </c>
      <c r="Q4" s="1489" t="s">
        <v>19</v>
      </c>
      <c r="R4" s="1972" t="s">
        <v>55</v>
      </c>
      <c r="S4" s="1972" t="s">
        <v>18</v>
      </c>
      <c r="T4" s="1489" t="s">
        <v>39</v>
      </c>
      <c r="U4" s="1978" t="s">
        <v>40</v>
      </c>
      <c r="V4" s="1489" t="s">
        <v>19</v>
      </c>
      <c r="W4" s="1972" t="s">
        <v>968</v>
      </c>
      <c r="X4" s="1972" t="s">
        <v>18</v>
      </c>
      <c r="Y4" s="1489" t="s">
        <v>39</v>
      </c>
      <c r="Z4" s="1978" t="s">
        <v>40</v>
      </c>
      <c r="AA4" s="1489" t="s">
        <v>19</v>
      </c>
      <c r="AB4" s="1972" t="s">
        <v>55</v>
      </c>
      <c r="AC4" s="1972" t="s">
        <v>18</v>
      </c>
      <c r="AD4" s="1489" t="s">
        <v>39</v>
      </c>
      <c r="AE4" s="1978" t="s">
        <v>40</v>
      </c>
      <c r="AF4" s="1489" t="s">
        <v>19</v>
      </c>
      <c r="AG4" s="1972" t="s">
        <v>55</v>
      </c>
      <c r="AH4" s="1972" t="s">
        <v>18</v>
      </c>
      <c r="AI4" s="1489" t="s">
        <v>39</v>
      </c>
      <c r="AJ4" s="1978" t="s">
        <v>40</v>
      </c>
      <c r="AK4" s="1489" t="s">
        <v>19</v>
      </c>
      <c r="AL4" s="1972" t="s">
        <v>55</v>
      </c>
      <c r="AM4" s="1972" t="s">
        <v>18</v>
      </c>
      <c r="AN4" s="1489" t="s">
        <v>39</v>
      </c>
      <c r="AO4" s="1978" t="s">
        <v>40</v>
      </c>
      <c r="AP4" s="1489" t="s">
        <v>19</v>
      </c>
      <c r="AQ4" s="1972" t="s">
        <v>968</v>
      </c>
      <c r="AR4" s="1972" t="s">
        <v>18</v>
      </c>
      <c r="AS4" s="1489" t="s">
        <v>39</v>
      </c>
      <c r="AT4" s="1978" t="s">
        <v>40</v>
      </c>
      <c r="AU4" s="1489" t="s">
        <v>19</v>
      </c>
      <c r="AV4" s="1972" t="s">
        <v>55</v>
      </c>
      <c r="AW4" s="1972" t="s">
        <v>18</v>
      </c>
      <c r="AX4" s="1489" t="s">
        <v>39</v>
      </c>
      <c r="AY4" s="1978" t="s">
        <v>40</v>
      </c>
      <c r="AZ4" s="1489" t="s">
        <v>19</v>
      </c>
      <c r="BA4" s="1972" t="s">
        <v>55</v>
      </c>
      <c r="BB4" s="1972" t="s">
        <v>18</v>
      </c>
      <c r="BC4" s="1489" t="s">
        <v>39</v>
      </c>
      <c r="BD4" s="1978" t="s">
        <v>40</v>
      </c>
      <c r="BE4" s="1489" t="s">
        <v>19</v>
      </c>
      <c r="BF4" s="1972" t="s">
        <v>55</v>
      </c>
      <c r="BG4" s="1972" t="s">
        <v>18</v>
      </c>
      <c r="BH4" s="1489" t="s">
        <v>39</v>
      </c>
      <c r="BI4" s="1978" t="s">
        <v>40</v>
      </c>
      <c r="BJ4" s="1489" t="s">
        <v>19</v>
      </c>
      <c r="BK4" s="1972" t="s">
        <v>55</v>
      </c>
      <c r="BL4" s="1972" t="s">
        <v>18</v>
      </c>
      <c r="BM4" s="1489" t="s">
        <v>39</v>
      </c>
      <c r="BN4" s="1978" t="s">
        <v>40</v>
      </c>
      <c r="BO4" s="1489" t="s">
        <v>19</v>
      </c>
      <c r="BP4" s="1972" t="s">
        <v>55</v>
      </c>
      <c r="BQ4" s="1972" t="s">
        <v>18</v>
      </c>
      <c r="BR4" s="1489" t="s">
        <v>39</v>
      </c>
      <c r="BS4" s="1978" t="s">
        <v>40</v>
      </c>
      <c r="BT4" s="1489" t="s">
        <v>19</v>
      </c>
      <c r="BU4" s="1972" t="s">
        <v>55</v>
      </c>
      <c r="BV4" s="1972" t="s">
        <v>18</v>
      </c>
      <c r="BW4" s="1489" t="s">
        <v>39</v>
      </c>
      <c r="BX4" s="1978" t="s">
        <v>40</v>
      </c>
      <c r="BY4" s="1489" t="s">
        <v>19</v>
      </c>
      <c r="BZ4" s="1972" t="s">
        <v>55</v>
      </c>
      <c r="CA4" s="1972" t="s">
        <v>18</v>
      </c>
      <c r="CB4" s="1489" t="s">
        <v>39</v>
      </c>
      <c r="CC4" s="1978" t="s">
        <v>40</v>
      </c>
      <c r="CD4" s="1489" t="s">
        <v>19</v>
      </c>
      <c r="CE4" s="1972" t="s">
        <v>55</v>
      </c>
      <c r="CF4" s="1972" t="s">
        <v>18</v>
      </c>
      <c r="CG4" s="1489" t="s">
        <v>39</v>
      </c>
      <c r="CH4" s="1978" t="s">
        <v>40</v>
      </c>
      <c r="CI4" s="1489" t="s">
        <v>19</v>
      </c>
      <c r="CJ4" s="1972" t="s">
        <v>55</v>
      </c>
      <c r="CK4" s="1972" t="s">
        <v>18</v>
      </c>
      <c r="CL4" s="1489" t="s">
        <v>39</v>
      </c>
      <c r="CM4" s="1978" t="s">
        <v>40</v>
      </c>
      <c r="CN4" s="1489" t="s">
        <v>19</v>
      </c>
      <c r="CO4" s="1972" t="s">
        <v>55</v>
      </c>
      <c r="CP4" s="1972" t="s">
        <v>18</v>
      </c>
      <c r="CQ4" s="1489" t="s">
        <v>39</v>
      </c>
      <c r="CR4" s="1978" t="s">
        <v>40</v>
      </c>
      <c r="CS4" s="1489" t="s">
        <v>19</v>
      </c>
    </row>
    <row r="5" spans="1:97" s="2483" customFormat="1" ht="14.4" thickBot="1" x14ac:dyDescent="0.3">
      <c r="A5" s="1477"/>
      <c r="B5" s="1478" t="s">
        <v>10</v>
      </c>
      <c r="C5" s="1481">
        <f>C6</f>
        <v>0</v>
      </c>
      <c r="D5" s="1481">
        <f>D6</f>
        <v>0</v>
      </c>
      <c r="E5" s="1481">
        <f>E6</f>
        <v>0</v>
      </c>
      <c r="F5" s="1481"/>
      <c r="G5" s="1481"/>
      <c r="H5" s="1481">
        <f>H6</f>
        <v>5000</v>
      </c>
      <c r="I5" s="1481">
        <f>I6</f>
        <v>0</v>
      </c>
      <c r="J5" s="1481">
        <f>J6</f>
        <v>5000</v>
      </c>
      <c r="K5" s="1481"/>
      <c r="L5" s="1481"/>
      <c r="M5" s="1481">
        <f>M6</f>
        <v>71151.39</v>
      </c>
      <c r="N5" s="1481">
        <f>N6</f>
        <v>169600</v>
      </c>
      <c r="O5" s="1481">
        <f>O6</f>
        <v>240751.39</v>
      </c>
      <c r="P5" s="1481"/>
      <c r="Q5" s="1481"/>
      <c r="R5" s="1481">
        <f>R6</f>
        <v>40000</v>
      </c>
      <c r="S5" s="1481">
        <f>S6</f>
        <v>263890</v>
      </c>
      <c r="T5" s="1481">
        <f>T6</f>
        <v>303890</v>
      </c>
      <c r="U5" s="1481"/>
      <c r="V5" s="1481"/>
      <c r="W5" s="1481">
        <v>1284227.72</v>
      </c>
      <c r="X5" s="1481">
        <v>0</v>
      </c>
      <c r="Y5" s="1481">
        <v>1284227.72</v>
      </c>
      <c r="Z5" s="1481"/>
      <c r="AA5" s="1481"/>
      <c r="AB5" s="1481">
        <f>AB6+AB7</f>
        <v>373830</v>
      </c>
      <c r="AC5" s="1481">
        <f>AC6+AC7</f>
        <v>32950</v>
      </c>
      <c r="AD5" s="1481">
        <f>AD6+AD7</f>
        <v>406780</v>
      </c>
      <c r="AE5" s="1481"/>
      <c r="AF5" s="1481"/>
      <c r="AG5" s="1481">
        <f>AG6</f>
        <v>61360</v>
      </c>
      <c r="AH5" s="1481">
        <f>AH6</f>
        <v>0</v>
      </c>
      <c r="AI5" s="1481">
        <f>AI6+AI7</f>
        <v>61360</v>
      </c>
      <c r="AJ5" s="1481"/>
      <c r="AK5" s="1481"/>
      <c r="AL5" s="1481">
        <f>AL6</f>
        <v>203850</v>
      </c>
      <c r="AM5" s="1481">
        <f>AM6</f>
        <v>12300</v>
      </c>
      <c r="AN5" s="1481">
        <f>AN6+AN7</f>
        <v>216150</v>
      </c>
      <c r="AO5" s="1481"/>
      <c r="AP5" s="1481"/>
      <c r="AQ5" s="1481">
        <f>AQ6</f>
        <v>108620</v>
      </c>
      <c r="AR5" s="1481">
        <f>AR6</f>
        <v>20650</v>
      </c>
      <c r="AS5" s="1481">
        <f>AS6+AS7</f>
        <v>129270</v>
      </c>
      <c r="AT5" s="1481"/>
      <c r="AU5" s="1481"/>
      <c r="AV5" s="1481">
        <f>AV6</f>
        <v>0</v>
      </c>
      <c r="AW5" s="1481">
        <f>AW6</f>
        <v>0</v>
      </c>
      <c r="AX5" s="1481">
        <f>AX6+AX7</f>
        <v>0</v>
      </c>
      <c r="AY5" s="1481"/>
      <c r="AZ5" s="1481"/>
      <c r="BA5" s="1481">
        <f>BA6</f>
        <v>0</v>
      </c>
      <c r="BB5" s="1481">
        <f>BB6</f>
        <v>0</v>
      </c>
      <c r="BC5" s="1481">
        <f>BC6+BC7</f>
        <v>0</v>
      </c>
      <c r="BD5" s="1481"/>
      <c r="BE5" s="1481"/>
      <c r="BF5" s="1481">
        <f>BF6</f>
        <v>0</v>
      </c>
      <c r="BG5" s="1481">
        <f>BG6</f>
        <v>0</v>
      </c>
      <c r="BH5" s="1481">
        <f>BH6+BH7</f>
        <v>0</v>
      </c>
      <c r="BI5" s="1481"/>
      <c r="BJ5" s="1481"/>
      <c r="BK5" s="1481">
        <f>BK6</f>
        <v>0</v>
      </c>
      <c r="BL5" s="1481">
        <f>BL6</f>
        <v>0</v>
      </c>
      <c r="BM5" s="1481">
        <f>BM6+BM7</f>
        <v>0</v>
      </c>
      <c r="BN5" s="1481"/>
      <c r="BO5" s="1481"/>
      <c r="BP5" s="1481">
        <f>BP6</f>
        <v>0</v>
      </c>
      <c r="BQ5" s="1481">
        <f>BQ6</f>
        <v>0</v>
      </c>
      <c r="BR5" s="1481">
        <f>BR6+BR7</f>
        <v>0</v>
      </c>
      <c r="BS5" s="1481"/>
      <c r="BT5" s="1481"/>
      <c r="BU5" s="1481">
        <f>BU6</f>
        <v>0</v>
      </c>
      <c r="BV5" s="1481">
        <f>BV6</f>
        <v>0</v>
      </c>
      <c r="BW5" s="1481">
        <f>BW6+BW7</f>
        <v>0</v>
      </c>
      <c r="BX5" s="1481"/>
      <c r="BY5" s="1481"/>
      <c r="BZ5" s="1481">
        <f>BZ6</f>
        <v>0</v>
      </c>
      <c r="CA5" s="1481">
        <f>CA6</f>
        <v>0</v>
      </c>
      <c r="CB5" s="1481">
        <f>CB6+CB7</f>
        <v>0</v>
      </c>
      <c r="CC5" s="1481"/>
      <c r="CD5" s="1481"/>
      <c r="CE5" s="1481">
        <f>CE6</f>
        <v>0</v>
      </c>
      <c r="CF5" s="1481">
        <f>CF6</f>
        <v>0</v>
      </c>
      <c r="CG5" s="1481">
        <f>CG6+CG7</f>
        <v>0</v>
      </c>
      <c r="CH5" s="1481"/>
      <c r="CI5" s="1481"/>
      <c r="CJ5" s="1481">
        <f>CJ6</f>
        <v>0</v>
      </c>
      <c r="CK5" s="1481">
        <f>CK6</f>
        <v>0</v>
      </c>
      <c r="CL5" s="1481">
        <f>CL6+CL7</f>
        <v>0</v>
      </c>
      <c r="CM5" s="1481"/>
      <c r="CN5" s="1481"/>
      <c r="CO5" s="1481">
        <f>CO6+CO7</f>
        <v>1774209.1099999999</v>
      </c>
      <c r="CP5" s="1481">
        <f>CP6+CP7</f>
        <v>466440</v>
      </c>
      <c r="CQ5" s="1481">
        <f>CQ6+CQ7</f>
        <v>2240649.11</v>
      </c>
      <c r="CR5" s="1481"/>
      <c r="CS5" s="1481"/>
    </row>
    <row r="6" spans="1:97" s="1411" customFormat="1" ht="49.95" customHeight="1" x14ac:dyDescent="0.25">
      <c r="A6" s="3273">
        <v>0</v>
      </c>
      <c r="B6" s="1418" t="s">
        <v>17</v>
      </c>
      <c r="C6" s="3274"/>
      <c r="D6" s="3274"/>
      <c r="E6" s="2028">
        <f>C6+D6</f>
        <v>0</v>
      </c>
      <c r="F6" s="3274"/>
      <c r="G6" s="3275"/>
      <c r="H6" s="3274">
        <v>5000</v>
      </c>
      <c r="I6" s="3274"/>
      <c r="J6" s="2028">
        <f>H6+I6</f>
        <v>5000</v>
      </c>
      <c r="K6" s="3274"/>
      <c r="L6" s="3275" t="s">
        <v>1329</v>
      </c>
      <c r="M6" s="3274">
        <v>71151.39</v>
      </c>
      <c r="N6" s="3274">
        <v>169600</v>
      </c>
      <c r="O6" s="2028">
        <f>M6+N6</f>
        <v>240751.39</v>
      </c>
      <c r="P6" s="3274"/>
      <c r="Q6" s="3276" t="s">
        <v>1425</v>
      </c>
      <c r="R6" s="3274">
        <f>40000</f>
        <v>40000</v>
      </c>
      <c r="S6" s="3274">
        <v>263890</v>
      </c>
      <c r="T6" s="2028">
        <f>R6+S6</f>
        <v>303890</v>
      </c>
      <c r="U6" s="3274"/>
      <c r="V6" s="3276" t="s">
        <v>1490</v>
      </c>
      <c r="W6" s="3274">
        <v>1284227.72</v>
      </c>
      <c r="X6" s="3274">
        <v>0</v>
      </c>
      <c r="Y6" s="2028">
        <v>1284227.72</v>
      </c>
      <c r="Z6" s="3274"/>
      <c r="AA6" s="3276"/>
      <c r="AB6" s="3274">
        <f>AG6+AL6+AQ6+AV6+BA6+BF6+BK6+BP6+BU6+BZ6+CE6+CJ6</f>
        <v>373830</v>
      </c>
      <c r="AC6" s="3274">
        <f>AH6+AM6+AR6+AW6+BB6+BG6+BL6+BQ6+BV6+CA6+CF6+CK6</f>
        <v>32950</v>
      </c>
      <c r="AD6" s="2028">
        <f>AB6+AC6</f>
        <v>406780</v>
      </c>
      <c r="AE6" s="3274"/>
      <c r="AF6" s="3276"/>
      <c r="AG6" s="3274">
        <v>61360</v>
      </c>
      <c r="AH6" s="3274"/>
      <c r="AI6" s="2028">
        <f>AG6+AH6</f>
        <v>61360</v>
      </c>
      <c r="AJ6" s="3274"/>
      <c r="AK6" s="3276" t="s">
        <v>2120</v>
      </c>
      <c r="AL6" s="3274">
        <v>203850</v>
      </c>
      <c r="AM6" s="3274">
        <v>12300</v>
      </c>
      <c r="AN6" s="2028">
        <f>AL6+AM6</f>
        <v>216150</v>
      </c>
      <c r="AO6" s="3274"/>
      <c r="AP6" s="3276" t="s">
        <v>2165</v>
      </c>
      <c r="AQ6" s="3274">
        <f>129270-AR6</f>
        <v>108620</v>
      </c>
      <c r="AR6" s="3274">
        <v>20650</v>
      </c>
      <c r="AS6" s="2028">
        <f>AQ6+AR6</f>
        <v>129270</v>
      </c>
      <c r="AT6" s="3274"/>
      <c r="AU6" s="3276" t="s">
        <v>2189</v>
      </c>
      <c r="AV6" s="3274"/>
      <c r="AW6" s="3274"/>
      <c r="AX6" s="2028">
        <f>AV6+AW6</f>
        <v>0</v>
      </c>
      <c r="AY6" s="3274"/>
      <c r="AZ6" s="3276"/>
      <c r="BA6" s="3274"/>
      <c r="BB6" s="3274"/>
      <c r="BC6" s="2028">
        <f>BA6+BB6</f>
        <v>0</v>
      </c>
      <c r="BD6" s="3274"/>
      <c r="BE6" s="3276"/>
      <c r="BF6" s="3274"/>
      <c r="BG6" s="3274"/>
      <c r="BH6" s="2028">
        <f>BF6+BG6</f>
        <v>0</v>
      </c>
      <c r="BI6" s="3274"/>
      <c r="BJ6" s="3276"/>
      <c r="BK6" s="3274"/>
      <c r="BL6" s="3274"/>
      <c r="BM6" s="2028">
        <f>BK6+BL6</f>
        <v>0</v>
      </c>
      <c r="BN6" s="3274"/>
      <c r="BO6" s="3276"/>
      <c r="BP6" s="3274"/>
      <c r="BQ6" s="3274"/>
      <c r="BR6" s="2028">
        <f>BP6+BQ6</f>
        <v>0</v>
      </c>
      <c r="BS6" s="3274"/>
      <c r="BT6" s="3276"/>
      <c r="BU6" s="3274"/>
      <c r="BV6" s="3274"/>
      <c r="BW6" s="2028">
        <f>BU6+BV6</f>
        <v>0</v>
      </c>
      <c r="BX6" s="3274"/>
      <c r="BY6" s="3276"/>
      <c r="BZ6" s="3274"/>
      <c r="CA6" s="3274"/>
      <c r="CB6" s="2028">
        <f>BZ6+CA6</f>
        <v>0</v>
      </c>
      <c r="CC6" s="3274"/>
      <c r="CD6" s="3276"/>
      <c r="CE6" s="3274"/>
      <c r="CF6" s="3274"/>
      <c r="CG6" s="2028">
        <f>CE6+CF6</f>
        <v>0</v>
      </c>
      <c r="CH6" s="3274"/>
      <c r="CI6" s="3276"/>
      <c r="CJ6" s="3274"/>
      <c r="CK6" s="3274"/>
      <c r="CL6" s="2028">
        <f>CJ6+CK6</f>
        <v>0</v>
      </c>
      <c r="CM6" s="3274"/>
      <c r="CN6" s="3276"/>
      <c r="CO6" s="3274">
        <f>H6+M6+R6+AG6+AL6+C6+AQ6+AV6+BA6+BF6+BK6+BP6+BU6+BZ6+CE6+CJ6+W6</f>
        <v>1774209.1099999999</v>
      </c>
      <c r="CP6" s="3274">
        <f>I6+N6+S6+AH6+AM6+D6+AR6+AW6+BB6+BG6+BL6+BQ6+BV6+CA6+CF6+CK6+X6</f>
        <v>466440</v>
      </c>
      <c r="CQ6" s="2028">
        <f>CO6+CP6</f>
        <v>2240649.11</v>
      </c>
      <c r="CR6" s="3274"/>
      <c r="CS6" s="3274"/>
    </row>
    <row r="7" spans="1:97" s="1411" customFormat="1" ht="15" customHeight="1" thickBot="1" x14ac:dyDescent="0.3">
      <c r="A7" s="1586"/>
      <c r="B7" s="3231" t="s">
        <v>41</v>
      </c>
      <c r="C7" s="3274"/>
      <c r="D7" s="3274"/>
      <c r="E7" s="2028">
        <f>C7+D7</f>
        <v>0</v>
      </c>
      <c r="F7" s="3277"/>
      <c r="G7" s="3277"/>
      <c r="H7" s="3274"/>
      <c r="I7" s="3274"/>
      <c r="J7" s="2028">
        <f>H7+I7</f>
        <v>0</v>
      </c>
      <c r="K7" s="3277"/>
      <c r="L7" s="3277"/>
      <c r="M7" s="3274"/>
      <c r="N7" s="3274"/>
      <c r="O7" s="2028">
        <f>M7+N7</f>
        <v>0</v>
      </c>
      <c r="P7" s="3277"/>
      <c r="Q7" s="3277"/>
      <c r="R7" s="3274"/>
      <c r="S7" s="3274"/>
      <c r="T7" s="2028">
        <f>R7+S7</f>
        <v>0</v>
      </c>
      <c r="U7" s="3277"/>
      <c r="V7" s="3277"/>
      <c r="W7" s="3274">
        <v>0</v>
      </c>
      <c r="X7" s="3274">
        <v>0</v>
      </c>
      <c r="Y7" s="2028">
        <v>0</v>
      </c>
      <c r="Z7" s="3277"/>
      <c r="AA7" s="3276"/>
      <c r="AB7" s="3274">
        <f>AG7+AL7+AQ7+AV7+BA7+BF7+BK7+BP7+BU7+BZ7+CE7+CJ7</f>
        <v>0</v>
      </c>
      <c r="AC7" s="3274">
        <f>AH7+AM7+AR7+AW7+BB7+BG7+BL7+BQ7+BV7+CA7+CF7+CK7</f>
        <v>0</v>
      </c>
      <c r="AD7" s="2028">
        <f>AB7+AC7</f>
        <v>0</v>
      </c>
      <c r="AE7" s="3277"/>
      <c r="AF7" s="3276"/>
      <c r="AG7" s="3274"/>
      <c r="AH7" s="3274"/>
      <c r="AI7" s="2028">
        <f>AG7+AH7</f>
        <v>0</v>
      </c>
      <c r="AJ7" s="3277"/>
      <c r="AK7" s="3277"/>
      <c r="AL7" s="3274"/>
      <c r="AM7" s="3274"/>
      <c r="AN7" s="2028">
        <f>AL7+AM7</f>
        <v>0</v>
      </c>
      <c r="AO7" s="3277"/>
      <c r="AP7" s="3277"/>
      <c r="AQ7" s="3274"/>
      <c r="AR7" s="3274"/>
      <c r="AS7" s="2028">
        <f>AQ7+AR7</f>
        <v>0</v>
      </c>
      <c r="AT7" s="3277"/>
      <c r="AU7" s="3277"/>
      <c r="AV7" s="3274"/>
      <c r="AW7" s="3274"/>
      <c r="AX7" s="2028">
        <f>AV7+AW7</f>
        <v>0</v>
      </c>
      <c r="AY7" s="3277"/>
      <c r="AZ7" s="3277"/>
      <c r="BA7" s="3274"/>
      <c r="BB7" s="3274"/>
      <c r="BC7" s="2028">
        <f>BA7+BB7</f>
        <v>0</v>
      </c>
      <c r="BD7" s="3277"/>
      <c r="BE7" s="3277"/>
      <c r="BF7" s="3274"/>
      <c r="BG7" s="3274"/>
      <c r="BH7" s="2028">
        <f>BF7+BG7</f>
        <v>0</v>
      </c>
      <c r="BI7" s="3277"/>
      <c r="BJ7" s="3277"/>
      <c r="BK7" s="3274"/>
      <c r="BL7" s="3274"/>
      <c r="BM7" s="2028">
        <f>BK7+BL7</f>
        <v>0</v>
      </c>
      <c r="BN7" s="3277"/>
      <c r="BO7" s="3277"/>
      <c r="BP7" s="3274"/>
      <c r="BQ7" s="3274"/>
      <c r="BR7" s="2028">
        <f>BP7+BQ7</f>
        <v>0</v>
      </c>
      <c r="BS7" s="3277"/>
      <c r="BT7" s="3278"/>
      <c r="BU7" s="3274"/>
      <c r="BV7" s="3274"/>
      <c r="BW7" s="2028">
        <f>BU7+BV7</f>
        <v>0</v>
      </c>
      <c r="BX7" s="3277"/>
      <c r="BY7" s="3278"/>
      <c r="BZ7" s="3274"/>
      <c r="CA7" s="3274"/>
      <c r="CB7" s="2028">
        <f>BZ7+CA7</f>
        <v>0</v>
      </c>
      <c r="CC7" s="3277"/>
      <c r="CD7" s="3278"/>
      <c r="CE7" s="3274"/>
      <c r="CF7" s="3274"/>
      <c r="CG7" s="2028">
        <f>CE7+CF7</f>
        <v>0</v>
      </c>
      <c r="CH7" s="3277"/>
      <c r="CI7" s="3278"/>
      <c r="CJ7" s="3274"/>
      <c r="CK7" s="3274"/>
      <c r="CL7" s="2028">
        <f>CJ7+CK7</f>
        <v>0</v>
      </c>
      <c r="CM7" s="3277"/>
      <c r="CN7" s="3278"/>
      <c r="CO7" s="3274">
        <f>H7+M7+R7+AG7+AL7+C7+AQ7+AV7+BA7+BF7+BK7+BP7+BU7+BZ7+CE7+CJ7+W7</f>
        <v>0</v>
      </c>
      <c r="CP7" s="3274">
        <f>I7+N7+S7+AH7+AM7+D7+AR7+AW7+BB7+BG7+BL7+BQ7+BV7+CA7+CF7+CK7+X7</f>
        <v>0</v>
      </c>
      <c r="CQ7" s="2028">
        <f>CO7+CP7</f>
        <v>0</v>
      </c>
      <c r="CR7" s="3277"/>
      <c r="CS7" s="3277"/>
    </row>
    <row r="8" spans="1:97" s="2483" customFormat="1" ht="14.4" thickBot="1" x14ac:dyDescent="0.3">
      <c r="A8" s="1586"/>
      <c r="B8" s="1478" t="s">
        <v>16</v>
      </c>
      <c r="C8" s="1973">
        <f>SUM(C9:C33)</f>
        <v>0</v>
      </c>
      <c r="D8" s="1973">
        <f>SUM(D9:D33)</f>
        <v>0</v>
      </c>
      <c r="E8" s="1499">
        <f>SUM(E9:E33)</f>
        <v>0</v>
      </c>
      <c r="F8" s="1543">
        <f>E8/$O$89</f>
        <v>0</v>
      </c>
      <c r="G8" s="1481"/>
      <c r="H8" s="1973">
        <f>SUM(H9:H33)</f>
        <v>146343.22</v>
      </c>
      <c r="I8" s="1973">
        <f>SUM(I9:I33)</f>
        <v>42700</v>
      </c>
      <c r="J8" s="1499">
        <f>SUM(J9:J33)</f>
        <v>189043.22</v>
      </c>
      <c r="K8" s="1543">
        <f>J8/$O$89</f>
        <v>0.96025592390962444</v>
      </c>
      <c r="L8" s="1481"/>
      <c r="M8" s="1973">
        <f>SUM(M9:M33)</f>
        <v>128849.28</v>
      </c>
      <c r="N8" s="1973">
        <f>SUM(N9:N33)</f>
        <v>19351.5</v>
      </c>
      <c r="O8" s="1499">
        <f>SUM(O9:O33)</f>
        <v>148200.78</v>
      </c>
      <c r="P8" s="1543">
        <f>J8/$J$89</f>
        <v>0.99040284933762623</v>
      </c>
      <c r="Q8" s="1481"/>
      <c r="R8" s="1973">
        <f>SUM(R9:R33)</f>
        <v>212889.07279999999</v>
      </c>
      <c r="S8" s="1973">
        <f>SUM(S9:S33)</f>
        <v>57910.01</v>
      </c>
      <c r="T8" s="1499">
        <f>SUM(T9:T33)</f>
        <v>270799.08279999997</v>
      </c>
      <c r="U8" s="1543">
        <f>J8/$T$89</f>
        <v>0.64086830596350863</v>
      </c>
      <c r="V8" s="1481"/>
      <c r="W8" s="1973">
        <v>990836.88399999985</v>
      </c>
      <c r="X8" s="1973">
        <v>178872.25</v>
      </c>
      <c r="Y8" s="1499">
        <v>1169709.1339999998</v>
      </c>
      <c r="Z8" s="1543">
        <v>3.9653869161592921</v>
      </c>
      <c r="AA8" s="1481"/>
      <c r="AB8" s="1973">
        <f>SUM(AB9:AB33)</f>
        <v>255585.05399999997</v>
      </c>
      <c r="AC8" s="1973">
        <f>SUM(AC9:AC33)</f>
        <v>71683</v>
      </c>
      <c r="AD8" s="1499">
        <f>SUM(AD9:AD33)</f>
        <v>327268.054</v>
      </c>
      <c r="AE8" s="1543">
        <f>AD8/$T$89</f>
        <v>1.1094591139685097</v>
      </c>
      <c r="AF8" s="1481"/>
      <c r="AG8" s="1973">
        <f>SUM(AG9:AG33)</f>
        <v>47216.92</v>
      </c>
      <c r="AH8" s="1973">
        <f>SUM(AH9:AH33)</f>
        <v>4980</v>
      </c>
      <c r="AI8" s="1499">
        <f>SUM(AI9:AI33)</f>
        <v>52196.92</v>
      </c>
      <c r="AJ8" s="1543">
        <f>AI8/$AI$89</f>
        <v>0.98532821195763687</v>
      </c>
      <c r="AK8" s="1481"/>
      <c r="AL8" s="1973">
        <f>SUM(AL9:AL33)</f>
        <v>136835.69</v>
      </c>
      <c r="AM8" s="1973">
        <f>SUM(AM9:AM33)</f>
        <v>44200</v>
      </c>
      <c r="AN8" s="1499">
        <f>SUM(AN9:AN33)</f>
        <v>181035.69</v>
      </c>
      <c r="AO8" s="1543">
        <f>AN8/$AN$89</f>
        <v>0.96329420160892665</v>
      </c>
      <c r="AP8" s="1481"/>
      <c r="AQ8" s="1973">
        <f>SUM(AQ9:AQ33)</f>
        <v>71532.443999999989</v>
      </c>
      <c r="AR8" s="1973">
        <f>SUM(AR9:AR33)</f>
        <v>22503</v>
      </c>
      <c r="AS8" s="1499">
        <f>SUM(AS9:AS33)</f>
        <v>94035.443999999989</v>
      </c>
      <c r="AT8" s="1543">
        <f>AS8/$AN$89</f>
        <v>0.50036430910899898</v>
      </c>
      <c r="AU8" s="1481"/>
      <c r="AV8" s="1973">
        <f>SUM(AV9:AV33)</f>
        <v>0</v>
      </c>
      <c r="AW8" s="1973">
        <f>SUM(AW9:AW33)</f>
        <v>0</v>
      </c>
      <c r="AX8" s="1499">
        <f>SUM(AX9:AX33)</f>
        <v>0</v>
      </c>
      <c r="AY8" s="1543">
        <f>AX8/$AN$89</f>
        <v>0</v>
      </c>
      <c r="AZ8" s="1481"/>
      <c r="BA8" s="1973">
        <f>SUM(BA9:BA33)</f>
        <v>0</v>
      </c>
      <c r="BB8" s="1973">
        <f>SUM(BB9:BB33)</f>
        <v>0</v>
      </c>
      <c r="BC8" s="1499">
        <f>SUM(BC9:BC33)</f>
        <v>0</v>
      </c>
      <c r="BD8" s="1543">
        <f>BC8/$AN$89</f>
        <v>0</v>
      </c>
      <c r="BE8" s="1481"/>
      <c r="BF8" s="1973">
        <f>SUM(BF9:BF33)</f>
        <v>0</v>
      </c>
      <c r="BG8" s="1973">
        <f>SUM(BG9:BG33)</f>
        <v>0</v>
      </c>
      <c r="BH8" s="1499">
        <f>SUM(BH9:BH33)</f>
        <v>0</v>
      </c>
      <c r="BI8" s="1543">
        <f>BH8/$AN$89</f>
        <v>0</v>
      </c>
      <c r="BJ8" s="1481"/>
      <c r="BK8" s="1973">
        <f>SUM(BK9:BK33)</f>
        <v>0</v>
      </c>
      <c r="BL8" s="1973">
        <f>SUM(BL9:BL33)</f>
        <v>0</v>
      </c>
      <c r="BM8" s="1499">
        <f>SUM(BM9:BM33)</f>
        <v>0</v>
      </c>
      <c r="BN8" s="1543">
        <f>BM8/$AN$89</f>
        <v>0</v>
      </c>
      <c r="BO8" s="1481"/>
      <c r="BP8" s="1973">
        <f>SUM(BP9:BP33)</f>
        <v>0</v>
      </c>
      <c r="BQ8" s="1973">
        <f>SUM(BQ9:BQ33)</f>
        <v>0</v>
      </c>
      <c r="BR8" s="1499">
        <f>SUM(BR9:BR33)</f>
        <v>0</v>
      </c>
      <c r="BS8" s="1543">
        <f>BR8/$AN$89</f>
        <v>0</v>
      </c>
      <c r="BT8" s="1982"/>
      <c r="BU8" s="1973">
        <f>SUM(BU9:BU33)</f>
        <v>0</v>
      </c>
      <c r="BV8" s="1973">
        <f>SUM(BV9:BV33)</f>
        <v>0</v>
      </c>
      <c r="BW8" s="1499">
        <f>SUM(BW9:BW33)</f>
        <v>0</v>
      </c>
      <c r="BX8" s="1543">
        <f>BW8/$AN$89</f>
        <v>0</v>
      </c>
      <c r="BY8" s="1982"/>
      <c r="BZ8" s="1973">
        <f>SUM(BZ9:BZ33)</f>
        <v>0</v>
      </c>
      <c r="CA8" s="1973">
        <f>SUM(CA9:CA33)</f>
        <v>0</v>
      </c>
      <c r="CB8" s="1499">
        <f>SUM(CB9:CB33)</f>
        <v>0</v>
      </c>
      <c r="CC8" s="1543">
        <f>CB8/$AN$89</f>
        <v>0</v>
      </c>
      <c r="CD8" s="1982"/>
      <c r="CE8" s="1973">
        <f>SUM(CE9:CE33)</f>
        <v>0</v>
      </c>
      <c r="CF8" s="1973">
        <f>SUM(CF9:CF33)</f>
        <v>0</v>
      </c>
      <c r="CG8" s="1499">
        <f>SUM(CG9:CG33)</f>
        <v>0</v>
      </c>
      <c r="CH8" s="1543">
        <f>CG8/$AN$89</f>
        <v>0</v>
      </c>
      <c r="CI8" s="1982"/>
      <c r="CJ8" s="1973">
        <f>SUM(CJ9:CJ33)</f>
        <v>0</v>
      </c>
      <c r="CK8" s="1973">
        <f>SUM(CK9:CK33)</f>
        <v>0</v>
      </c>
      <c r="CL8" s="1499">
        <f>SUM(CL9:CL33)</f>
        <v>0</v>
      </c>
      <c r="CM8" s="1543">
        <f>CL8/$AN$89</f>
        <v>0</v>
      </c>
      <c r="CN8" s="1982"/>
      <c r="CO8" s="1973">
        <f>SUM(CO9:CO33)</f>
        <v>1734503.5107999996</v>
      </c>
      <c r="CP8" s="1973">
        <f>SUM(CP9:CP33)</f>
        <v>370516.76</v>
      </c>
      <c r="CQ8" s="1499">
        <f>SUM(CQ9:CQ33)</f>
        <v>2105020.2707999996</v>
      </c>
      <c r="CR8" s="1543">
        <f t="shared" ref="CR8:CR21" si="0">CQ8/$CQ$89</f>
        <v>0.92541525097743293</v>
      </c>
      <c r="CS8" s="1481"/>
    </row>
    <row r="9" spans="1:97" s="1411" customFormat="1" ht="23.25" customHeight="1" x14ac:dyDescent="0.25">
      <c r="A9" s="1586"/>
      <c r="B9" s="1061" t="s">
        <v>74</v>
      </c>
      <c r="C9" s="3279"/>
      <c r="D9" s="3280"/>
      <c r="E9" s="3281">
        <f>C9+D9*1</f>
        <v>0</v>
      </c>
      <c r="F9" s="1574">
        <f t="shared" ref="F9:F33" si="1">E9/$O$89</f>
        <v>0</v>
      </c>
      <c r="G9" s="3282"/>
      <c r="H9" s="3279"/>
      <c r="I9" s="3280"/>
      <c r="J9" s="3281">
        <f>H9+I9*1</f>
        <v>0</v>
      </c>
      <c r="K9" s="1574">
        <f t="shared" ref="K9:K33" si="2">J9/$O$89</f>
        <v>0</v>
      </c>
      <c r="L9" s="3282"/>
      <c r="M9" s="3282">
        <v>7567</v>
      </c>
      <c r="N9" s="3274">
        <v>19071.5</v>
      </c>
      <c r="O9" s="3283">
        <f>M9+N9*1</f>
        <v>26638.5</v>
      </c>
      <c r="P9" s="3284">
        <f t="shared" ref="P9:P71" si="3">J9/$J$89</f>
        <v>0</v>
      </c>
      <c r="Q9" s="3275" t="s">
        <v>1426</v>
      </c>
      <c r="R9" s="3282">
        <v>7567</v>
      </c>
      <c r="S9" s="3274">
        <v>40823</v>
      </c>
      <c r="T9" s="3283">
        <f>R9+S9*1</f>
        <v>48390</v>
      </c>
      <c r="U9" s="3284">
        <f t="shared" ref="U9:U71" si="4">J9/$T$89</f>
        <v>0</v>
      </c>
      <c r="V9" s="3275" t="s">
        <v>1426</v>
      </c>
      <c r="W9" s="3274">
        <v>64006.739999999991</v>
      </c>
      <c r="X9" s="3274">
        <v>160406.25</v>
      </c>
      <c r="Y9" s="3283">
        <v>224412.99</v>
      </c>
      <c r="Z9" s="3284">
        <v>0.76077403218960082</v>
      </c>
      <c r="AA9" s="3275"/>
      <c r="AB9" s="3274">
        <f>AG9+AL9+AQ9+AV9+BA9+BF9+BK9+BP9+BU9+BZ9+CE9+CJ9</f>
        <v>22701</v>
      </c>
      <c r="AC9" s="3274">
        <f t="shared" ref="AB9:AC33" si="5">AH9+AM9+AR9+AW9+BB9+BG9+BL9+BQ9+BV9+CA9+CF9+CK9</f>
        <v>70683</v>
      </c>
      <c r="AD9" s="3283">
        <f>AB9+AC9*1</f>
        <v>93384</v>
      </c>
      <c r="AE9" s="3284">
        <f t="shared" ref="AE9:AE33" si="6">AD9/$T$89</f>
        <v>0.31657758413179954</v>
      </c>
      <c r="AF9" s="3275"/>
      <c r="AG9" s="3283">
        <v>7567</v>
      </c>
      <c r="AH9" s="3274">
        <v>4980</v>
      </c>
      <c r="AI9" s="3283">
        <f>AG9+AH9*1</f>
        <v>12547</v>
      </c>
      <c r="AJ9" s="3284">
        <f t="shared" ref="AJ9:AJ71" si="7">AI9/$AI$89</f>
        <v>0.2368513903776788</v>
      </c>
      <c r="AK9" s="3276" t="s">
        <v>2121</v>
      </c>
      <c r="AL9" s="3285">
        <v>7567</v>
      </c>
      <c r="AM9" s="3285">
        <v>43200</v>
      </c>
      <c r="AN9" s="3286">
        <f>AL9+AM9*1</f>
        <v>50767</v>
      </c>
      <c r="AO9" s="3284">
        <f t="shared" ref="AO9:AO71" si="8">AN9/$AN$89</f>
        <v>0.27013213103493777</v>
      </c>
      <c r="AP9" s="3276" t="s">
        <v>2164</v>
      </c>
      <c r="AQ9" s="3285">
        <v>7567</v>
      </c>
      <c r="AR9" s="3285">
        <v>22503</v>
      </c>
      <c r="AS9" s="3286">
        <f>AQ9+AR9*1</f>
        <v>30070</v>
      </c>
      <c r="AT9" s="3284">
        <f t="shared" ref="AT9:AT33" si="9">AS9/$AN$89</f>
        <v>0.16000301731874209</v>
      </c>
      <c r="AU9" s="3291" t="s">
        <v>2190</v>
      </c>
      <c r="AV9" s="3285"/>
      <c r="AW9" s="3285"/>
      <c r="AX9" s="3286">
        <f>AV9+AW9*1</f>
        <v>0</v>
      </c>
      <c r="AY9" s="3284">
        <f t="shared" ref="AY9:AY33" si="10">AX9/$AN$89</f>
        <v>0</v>
      </c>
      <c r="AZ9" s="3287"/>
      <c r="BA9" s="3285"/>
      <c r="BB9" s="3285"/>
      <c r="BC9" s="3286">
        <f>BA9+BB9*1</f>
        <v>0</v>
      </c>
      <c r="BD9" s="3284">
        <f t="shared" ref="BD9:BD33" si="11">BC9/$AN$89</f>
        <v>0</v>
      </c>
      <c r="BE9" s="3287"/>
      <c r="BF9" s="3285"/>
      <c r="BG9" s="3285"/>
      <c r="BH9" s="3286">
        <f>BF9+BG9*1</f>
        <v>0</v>
      </c>
      <c r="BI9" s="3284">
        <f t="shared" ref="BI9:BI33" si="12">BH9/$AN$89</f>
        <v>0</v>
      </c>
      <c r="BJ9" s="3287"/>
      <c r="BK9" s="3285"/>
      <c r="BL9" s="3285"/>
      <c r="BM9" s="3286">
        <f>BK9+BL9*1</f>
        <v>0</v>
      </c>
      <c r="BN9" s="3284">
        <f t="shared" ref="BN9:BN33" si="13">BM9/$AN$89</f>
        <v>0</v>
      </c>
      <c r="BO9" s="3287"/>
      <c r="BP9" s="3285"/>
      <c r="BQ9" s="3285"/>
      <c r="BR9" s="3286">
        <f>BP9+BQ9*1</f>
        <v>0</v>
      </c>
      <c r="BS9" s="3284">
        <f t="shared" ref="BS9:BS33" si="14">BR9/$AN$89</f>
        <v>0</v>
      </c>
      <c r="BT9" s="3287"/>
      <c r="BU9" s="3285"/>
      <c r="BV9" s="3285"/>
      <c r="BW9" s="3286">
        <f>BU9+BV9*1</f>
        <v>0</v>
      </c>
      <c r="BX9" s="3284">
        <f t="shared" ref="BX9:BX33" si="15">BW9/$AN$89</f>
        <v>0</v>
      </c>
      <c r="BY9" s="3287"/>
      <c r="BZ9" s="3285"/>
      <c r="CA9" s="3285"/>
      <c r="CB9" s="3286">
        <f>BZ9+CA9*1</f>
        <v>0</v>
      </c>
      <c r="CC9" s="3284">
        <f t="shared" ref="CC9:CC33" si="16">CB9/$AN$89</f>
        <v>0</v>
      </c>
      <c r="CD9" s="3287"/>
      <c r="CE9" s="3285"/>
      <c r="CF9" s="3285"/>
      <c r="CG9" s="3286">
        <f>CE9+CF9*1</f>
        <v>0</v>
      </c>
      <c r="CH9" s="3284">
        <f t="shared" ref="CH9:CH33" si="17">CG9/$AN$89</f>
        <v>0</v>
      </c>
      <c r="CI9" s="3287"/>
      <c r="CJ9" s="3285"/>
      <c r="CK9" s="3285"/>
      <c r="CL9" s="3286">
        <f>CJ9+CK9*1</f>
        <v>0</v>
      </c>
      <c r="CM9" s="3284">
        <f t="shared" ref="CM9:CM33" si="18">CL9/$AN$89</f>
        <v>0</v>
      </c>
      <c r="CN9" s="3287"/>
      <c r="CO9" s="3274">
        <f>H9+M9+R9+AG9+AL9+C9+AQ9+AV9+BA9+BF9+BK9+BP9+BU9+BZ9+CE9+CJ9+W9</f>
        <v>101841.73999999999</v>
      </c>
      <c r="CP9" s="3274">
        <f t="shared" ref="CP9" si="19">I9+N9+S9+AH9+AM9+D9+AR9+AW9+BB9+BG9+BL9+BQ9+BV9+CA9+CF9+CK9+X9</f>
        <v>290983.75</v>
      </c>
      <c r="CQ9" s="3281">
        <f>CO9+CP9*1</f>
        <v>392825.49</v>
      </c>
      <c r="CR9" s="1574">
        <f t="shared" si="0"/>
        <v>0.17269510629488002</v>
      </c>
      <c r="CS9" s="1595"/>
    </row>
    <row r="10" spans="1:97" s="1411" customFormat="1" ht="13.8" x14ac:dyDescent="0.25">
      <c r="A10" s="1586"/>
      <c r="B10" s="1061" t="s">
        <v>72</v>
      </c>
      <c r="C10" s="3288"/>
      <c r="D10" s="3274"/>
      <c r="E10" s="3283">
        <f t="shared" ref="E10:E21" si="20">C10+D10*1</f>
        <v>0</v>
      </c>
      <c r="F10" s="3284">
        <f t="shared" si="1"/>
        <v>0</v>
      </c>
      <c r="G10" s="1449"/>
      <c r="H10" s="3288"/>
      <c r="I10" s="3274"/>
      <c r="J10" s="3283">
        <f t="shared" ref="J10:J21" si="21">H10+I10*1</f>
        <v>0</v>
      </c>
      <c r="K10" s="3284">
        <f t="shared" si="2"/>
        <v>0</v>
      </c>
      <c r="L10" s="1449"/>
      <c r="M10" s="3274">
        <v>1833</v>
      </c>
      <c r="N10" s="3274"/>
      <c r="O10" s="3283">
        <f t="shared" ref="O10:O21" si="22">M10+N10*1</f>
        <v>1833</v>
      </c>
      <c r="P10" s="3284">
        <f t="shared" si="3"/>
        <v>0</v>
      </c>
      <c r="Q10" s="1449"/>
      <c r="R10" s="3274">
        <v>1833</v>
      </c>
      <c r="S10" s="3274"/>
      <c r="T10" s="3283">
        <f t="shared" ref="T10:T33" si="23">R10+S10*1</f>
        <v>1833</v>
      </c>
      <c r="U10" s="3284">
        <f t="shared" si="4"/>
        <v>0</v>
      </c>
      <c r="V10" s="1449"/>
      <c r="W10" s="3274">
        <v>14048.04</v>
      </c>
      <c r="X10" s="3274">
        <v>0</v>
      </c>
      <c r="Y10" s="3283">
        <v>14048.04</v>
      </c>
      <c r="Z10" s="3284">
        <v>4.7623731741913873E-2</v>
      </c>
      <c r="AA10" s="1449"/>
      <c r="AB10" s="3274">
        <f t="shared" si="5"/>
        <v>5499</v>
      </c>
      <c r="AC10" s="3274">
        <f t="shared" si="5"/>
        <v>0</v>
      </c>
      <c r="AD10" s="3283">
        <f t="shared" ref="AD10:AD21" si="24">AB10+AC10*1</f>
        <v>5499</v>
      </c>
      <c r="AE10" s="3284">
        <f t="shared" si="6"/>
        <v>1.86419529591875E-2</v>
      </c>
      <c r="AF10" s="1449"/>
      <c r="AG10" s="3283">
        <v>1833</v>
      </c>
      <c r="AH10" s="3274"/>
      <c r="AI10" s="3283">
        <f t="shared" ref="AI10:AI33" si="25">AG10+AH10*1</f>
        <v>1833</v>
      </c>
      <c r="AJ10" s="3284">
        <f t="shared" si="7"/>
        <v>3.4601785172733338E-2</v>
      </c>
      <c r="AK10" s="1449"/>
      <c r="AL10" s="3285">
        <v>1833</v>
      </c>
      <c r="AM10" s="3285"/>
      <c r="AN10" s="3286">
        <f t="shared" ref="AN10:AN33" si="26">AL10+AM10*1</f>
        <v>1833</v>
      </c>
      <c r="AO10" s="3284">
        <f t="shared" si="8"/>
        <v>9.7534263633273777E-3</v>
      </c>
      <c r="AP10" s="1158"/>
      <c r="AQ10" s="3285">
        <v>1833</v>
      </c>
      <c r="AR10" s="3285"/>
      <c r="AS10" s="3286">
        <f t="shared" ref="AS10:AS33" si="27">AQ10+AR10*1</f>
        <v>1833</v>
      </c>
      <c r="AT10" s="3284">
        <f t="shared" si="9"/>
        <v>9.7534263633273777E-3</v>
      </c>
      <c r="AU10" s="1158"/>
      <c r="AV10" s="3285"/>
      <c r="AW10" s="3285"/>
      <c r="AX10" s="3286">
        <f>AV10+AW10*1</f>
        <v>0</v>
      </c>
      <c r="AY10" s="3284">
        <f t="shared" si="10"/>
        <v>0</v>
      </c>
      <c r="AZ10" s="1158"/>
      <c r="BA10" s="3285"/>
      <c r="BB10" s="3285"/>
      <c r="BC10" s="3286">
        <f>BA10+BB10*1</f>
        <v>0</v>
      </c>
      <c r="BD10" s="3284">
        <f t="shared" si="11"/>
        <v>0</v>
      </c>
      <c r="BE10" s="1158"/>
      <c r="BF10" s="3285"/>
      <c r="BG10" s="3285"/>
      <c r="BH10" s="3286">
        <f>BF10+BG10*1</f>
        <v>0</v>
      </c>
      <c r="BI10" s="3284">
        <f t="shared" si="12"/>
        <v>0</v>
      </c>
      <c r="BJ10" s="1158"/>
      <c r="BK10" s="3285"/>
      <c r="BL10" s="3285"/>
      <c r="BM10" s="3286">
        <f>BK10+BL10*1</f>
        <v>0</v>
      </c>
      <c r="BN10" s="3284">
        <f t="shared" si="13"/>
        <v>0</v>
      </c>
      <c r="BO10" s="1158"/>
      <c r="BP10" s="3285"/>
      <c r="BQ10" s="3285"/>
      <c r="BR10" s="3286">
        <f>BP10+BQ10*1</f>
        <v>0</v>
      </c>
      <c r="BS10" s="3284">
        <f t="shared" si="14"/>
        <v>0</v>
      </c>
      <c r="BT10" s="1158"/>
      <c r="BU10" s="3285"/>
      <c r="BV10" s="3285"/>
      <c r="BW10" s="3286">
        <f>BU10+BV10*1</f>
        <v>0</v>
      </c>
      <c r="BX10" s="3284">
        <f t="shared" si="15"/>
        <v>0</v>
      </c>
      <c r="BY10" s="1158"/>
      <c r="BZ10" s="3285"/>
      <c r="CA10" s="3285"/>
      <c r="CB10" s="3286">
        <f>BZ10+CA10*1</f>
        <v>0</v>
      </c>
      <c r="CC10" s="3284">
        <f t="shared" si="16"/>
        <v>0</v>
      </c>
      <c r="CD10" s="1158"/>
      <c r="CE10" s="3285"/>
      <c r="CF10" s="3285"/>
      <c r="CG10" s="3286">
        <f>CE10+CF10*1</f>
        <v>0</v>
      </c>
      <c r="CH10" s="3284">
        <f t="shared" si="17"/>
        <v>0</v>
      </c>
      <c r="CI10" s="1158"/>
      <c r="CJ10" s="3285"/>
      <c r="CK10" s="3285"/>
      <c r="CL10" s="3286">
        <f>CJ10+CK10*1</f>
        <v>0</v>
      </c>
      <c r="CM10" s="3284">
        <f t="shared" si="18"/>
        <v>0</v>
      </c>
      <c r="CN10" s="1158"/>
      <c r="CO10" s="3274">
        <f t="shared" ref="CO10:CO33" si="28">H10+M10+R10+AG10+AL10+C10+AQ10+AV10+BA10+BF10+BK10+BP10+BU10+BZ10+CE10+CJ10+W10</f>
        <v>23213.040000000001</v>
      </c>
      <c r="CP10" s="3274">
        <f t="shared" ref="CP10:CP33" si="29">I10+N10+S10+AH10+AM10+D10+AR10+AW10+BB10+BG10+BL10+BQ10+BV10+CA10+CF10+CK10+X10</f>
        <v>0</v>
      </c>
      <c r="CQ10" s="3283">
        <f t="shared" ref="CQ10:CQ33" si="30">CO10+CP10*1</f>
        <v>23213.040000000001</v>
      </c>
      <c r="CR10" s="3284">
        <f t="shared" si="0"/>
        <v>1.0204985450988179E-2</v>
      </c>
      <c r="CS10" s="1449"/>
    </row>
    <row r="11" spans="1:97" s="1411" customFormat="1" ht="13.8" x14ac:dyDescent="0.25">
      <c r="A11" s="1586"/>
      <c r="B11" s="1061" t="s">
        <v>69</v>
      </c>
      <c r="C11" s="3288"/>
      <c r="D11" s="3274"/>
      <c r="E11" s="3283">
        <f t="shared" si="20"/>
        <v>0</v>
      </c>
      <c r="F11" s="3284">
        <f t="shared" si="1"/>
        <v>0</v>
      </c>
      <c r="G11" s="1449"/>
      <c r="H11" s="3288"/>
      <c r="I11" s="3274"/>
      <c r="J11" s="3283">
        <f t="shared" si="21"/>
        <v>0</v>
      </c>
      <c r="K11" s="3284">
        <f t="shared" si="2"/>
        <v>0</v>
      </c>
      <c r="L11" s="1449"/>
      <c r="M11" s="3274">
        <v>2068</v>
      </c>
      <c r="N11" s="3274"/>
      <c r="O11" s="3283">
        <f t="shared" si="22"/>
        <v>2068</v>
      </c>
      <c r="P11" s="3284">
        <f t="shared" si="3"/>
        <v>0</v>
      </c>
      <c r="Q11" s="1449"/>
      <c r="R11" s="3274">
        <v>2068</v>
      </c>
      <c r="S11" s="3274"/>
      <c r="T11" s="3283">
        <f t="shared" si="23"/>
        <v>2068</v>
      </c>
      <c r="U11" s="3284">
        <f t="shared" si="4"/>
        <v>0</v>
      </c>
      <c r="V11" s="1449"/>
      <c r="W11" s="3274">
        <v>15732.49</v>
      </c>
      <c r="X11" s="3274">
        <v>0</v>
      </c>
      <c r="Y11" s="3283">
        <v>15732.49</v>
      </c>
      <c r="Z11" s="3284">
        <v>5.3334122296942676E-2</v>
      </c>
      <c r="AA11" s="1449"/>
      <c r="AB11" s="3274">
        <f t="shared" si="5"/>
        <v>6204</v>
      </c>
      <c r="AC11" s="3274">
        <f t="shared" si="5"/>
        <v>0</v>
      </c>
      <c r="AD11" s="3283">
        <f t="shared" si="24"/>
        <v>6204</v>
      </c>
      <c r="AE11" s="3284">
        <f t="shared" si="6"/>
        <v>2.1031946928314102E-2</v>
      </c>
      <c r="AF11" s="1449"/>
      <c r="AG11" s="3283">
        <v>2068</v>
      </c>
      <c r="AH11" s="3274"/>
      <c r="AI11" s="3283">
        <f t="shared" si="25"/>
        <v>2068</v>
      </c>
      <c r="AJ11" s="3284">
        <f t="shared" si="7"/>
        <v>3.9037911476929921E-2</v>
      </c>
      <c r="AK11" s="1449"/>
      <c r="AL11" s="3285">
        <v>2068</v>
      </c>
      <c r="AM11" s="3285"/>
      <c r="AN11" s="3286">
        <f t="shared" si="26"/>
        <v>2068</v>
      </c>
      <c r="AO11" s="3284">
        <f t="shared" si="8"/>
        <v>1.1003865640677041E-2</v>
      </c>
      <c r="AP11" s="1158"/>
      <c r="AQ11" s="3285">
        <v>2068</v>
      </c>
      <c r="AR11" s="3285"/>
      <c r="AS11" s="3286">
        <f t="shared" si="27"/>
        <v>2068</v>
      </c>
      <c r="AT11" s="3284">
        <f t="shared" si="9"/>
        <v>1.1003865640677041E-2</v>
      </c>
      <c r="AU11" s="1158"/>
      <c r="AV11" s="3285"/>
      <c r="AW11" s="3285"/>
      <c r="AX11" s="3286">
        <f>AV11+AW11*1</f>
        <v>0</v>
      </c>
      <c r="AY11" s="3284">
        <f t="shared" si="10"/>
        <v>0</v>
      </c>
      <c r="AZ11" s="1158"/>
      <c r="BA11" s="3285"/>
      <c r="BB11" s="3285"/>
      <c r="BC11" s="3286">
        <f>BA11+BB11*1</f>
        <v>0</v>
      </c>
      <c r="BD11" s="3284">
        <f t="shared" si="11"/>
        <v>0</v>
      </c>
      <c r="BE11" s="1158"/>
      <c r="BF11" s="3285"/>
      <c r="BG11" s="3285"/>
      <c r="BH11" s="3286">
        <f>BF11+BG11*1</f>
        <v>0</v>
      </c>
      <c r="BI11" s="3284">
        <f t="shared" si="12"/>
        <v>0</v>
      </c>
      <c r="BJ11" s="1158"/>
      <c r="BK11" s="3285"/>
      <c r="BL11" s="3285"/>
      <c r="BM11" s="3286">
        <f>BK11+BL11*1</f>
        <v>0</v>
      </c>
      <c r="BN11" s="3284">
        <f t="shared" si="13"/>
        <v>0</v>
      </c>
      <c r="BO11" s="1158"/>
      <c r="BP11" s="3285"/>
      <c r="BQ11" s="3285"/>
      <c r="BR11" s="3286">
        <f>BP11+BQ11*1</f>
        <v>0</v>
      </c>
      <c r="BS11" s="3284">
        <f t="shared" si="14"/>
        <v>0</v>
      </c>
      <c r="BT11" s="1158"/>
      <c r="BU11" s="3285"/>
      <c r="BV11" s="3285"/>
      <c r="BW11" s="3286">
        <f>BU11+BV11*1</f>
        <v>0</v>
      </c>
      <c r="BX11" s="3284">
        <f t="shared" si="15"/>
        <v>0</v>
      </c>
      <c r="BY11" s="1158"/>
      <c r="BZ11" s="3285"/>
      <c r="CA11" s="3285"/>
      <c r="CB11" s="3286">
        <f>BZ11+CA11*1</f>
        <v>0</v>
      </c>
      <c r="CC11" s="3284">
        <f t="shared" si="16"/>
        <v>0</v>
      </c>
      <c r="CD11" s="1158"/>
      <c r="CE11" s="3285"/>
      <c r="CF11" s="3285"/>
      <c r="CG11" s="3286">
        <f>CE11+CF11*1</f>
        <v>0</v>
      </c>
      <c r="CH11" s="3284">
        <f t="shared" si="17"/>
        <v>0</v>
      </c>
      <c r="CI11" s="1158"/>
      <c r="CJ11" s="3285"/>
      <c r="CK11" s="3285"/>
      <c r="CL11" s="3286">
        <f>CJ11+CK11*1</f>
        <v>0</v>
      </c>
      <c r="CM11" s="3284">
        <f t="shared" si="18"/>
        <v>0</v>
      </c>
      <c r="CN11" s="1158"/>
      <c r="CO11" s="3274">
        <f t="shared" si="28"/>
        <v>26072.489999999998</v>
      </c>
      <c r="CP11" s="3274">
        <f t="shared" si="29"/>
        <v>0</v>
      </c>
      <c r="CQ11" s="3283">
        <f t="shared" si="30"/>
        <v>26072.489999999998</v>
      </c>
      <c r="CR11" s="3284">
        <f t="shared" si="0"/>
        <v>1.1462065335735204E-2</v>
      </c>
      <c r="CS11" s="1449"/>
    </row>
    <row r="12" spans="1:97" s="1411" customFormat="1" ht="13.8" x14ac:dyDescent="0.25">
      <c r="A12" s="1586"/>
      <c r="B12" s="1061" t="s">
        <v>73</v>
      </c>
      <c r="C12" s="3288"/>
      <c r="D12" s="3274"/>
      <c r="E12" s="3283">
        <f t="shared" si="20"/>
        <v>0</v>
      </c>
      <c r="F12" s="3284">
        <f t="shared" si="1"/>
        <v>0</v>
      </c>
      <c r="G12" s="1449"/>
      <c r="H12" s="3288"/>
      <c r="I12" s="3274"/>
      <c r="J12" s="3283">
        <f t="shared" si="21"/>
        <v>0</v>
      </c>
      <c r="K12" s="3284">
        <f t="shared" si="2"/>
        <v>0</v>
      </c>
      <c r="L12" s="1449"/>
      <c r="M12" s="3274"/>
      <c r="N12" s="3274"/>
      <c r="O12" s="3283">
        <f t="shared" si="22"/>
        <v>0</v>
      </c>
      <c r="P12" s="3284">
        <f t="shared" si="3"/>
        <v>0</v>
      </c>
      <c r="Q12" s="1449"/>
      <c r="R12" s="3274"/>
      <c r="S12" s="3274"/>
      <c r="T12" s="3283">
        <f t="shared" si="23"/>
        <v>0</v>
      </c>
      <c r="U12" s="3284">
        <f t="shared" si="4"/>
        <v>0</v>
      </c>
      <c r="V12" s="1449"/>
      <c r="W12" s="3274">
        <v>0</v>
      </c>
      <c r="X12" s="3274">
        <v>0</v>
      </c>
      <c r="Y12" s="3283">
        <v>0</v>
      </c>
      <c r="Z12" s="3284">
        <v>0</v>
      </c>
      <c r="AA12" s="1449"/>
      <c r="AB12" s="3274">
        <f t="shared" si="5"/>
        <v>0</v>
      </c>
      <c r="AC12" s="3274">
        <f t="shared" si="5"/>
        <v>0</v>
      </c>
      <c r="AD12" s="3283">
        <f t="shared" si="24"/>
        <v>0</v>
      </c>
      <c r="AE12" s="3284">
        <f t="shared" si="6"/>
        <v>0</v>
      </c>
      <c r="AF12" s="1449"/>
      <c r="AG12" s="3274"/>
      <c r="AH12" s="3274"/>
      <c r="AI12" s="3283">
        <f t="shared" si="25"/>
        <v>0</v>
      </c>
      <c r="AJ12" s="3284">
        <f t="shared" si="7"/>
        <v>0</v>
      </c>
      <c r="AK12" s="1449"/>
      <c r="AL12" s="3285"/>
      <c r="AM12" s="3285"/>
      <c r="AN12" s="3286">
        <f t="shared" si="26"/>
        <v>0</v>
      </c>
      <c r="AO12" s="3284">
        <f t="shared" si="8"/>
        <v>0</v>
      </c>
      <c r="AP12" s="1158"/>
      <c r="AQ12" s="3285"/>
      <c r="AR12" s="3285"/>
      <c r="AS12" s="3286">
        <f t="shared" si="27"/>
        <v>0</v>
      </c>
      <c r="AT12" s="3284">
        <f t="shared" si="9"/>
        <v>0</v>
      </c>
      <c r="AU12" s="1158"/>
      <c r="AV12" s="3285"/>
      <c r="AW12" s="3285"/>
      <c r="AX12" s="3286">
        <f>AV12+AW12*1</f>
        <v>0</v>
      </c>
      <c r="AY12" s="3284">
        <f t="shared" si="10"/>
        <v>0</v>
      </c>
      <c r="AZ12" s="1158"/>
      <c r="BA12" s="3285"/>
      <c r="BB12" s="3285"/>
      <c r="BC12" s="3286">
        <f>BA12+BB12*1</f>
        <v>0</v>
      </c>
      <c r="BD12" s="3284">
        <f t="shared" si="11"/>
        <v>0</v>
      </c>
      <c r="BE12" s="1158"/>
      <c r="BF12" s="3285"/>
      <c r="BG12" s="3285"/>
      <c r="BH12" s="3286">
        <f>BF12+BG12*1</f>
        <v>0</v>
      </c>
      <c r="BI12" s="3284">
        <f t="shared" si="12"/>
        <v>0</v>
      </c>
      <c r="BJ12" s="1158"/>
      <c r="BK12" s="3285"/>
      <c r="BL12" s="3285"/>
      <c r="BM12" s="3286">
        <f>BK12+BL12*1</f>
        <v>0</v>
      </c>
      <c r="BN12" s="3284">
        <f t="shared" si="13"/>
        <v>0</v>
      </c>
      <c r="BO12" s="1158"/>
      <c r="BP12" s="3285"/>
      <c r="BQ12" s="3285"/>
      <c r="BR12" s="3286">
        <f>BP12+BQ12*1</f>
        <v>0</v>
      </c>
      <c r="BS12" s="3284">
        <f t="shared" si="14"/>
        <v>0</v>
      </c>
      <c r="BT12" s="1158"/>
      <c r="BU12" s="3285"/>
      <c r="BV12" s="3285"/>
      <c r="BW12" s="3286">
        <f>BU12+BV12*1</f>
        <v>0</v>
      </c>
      <c r="BX12" s="3284">
        <f t="shared" si="15"/>
        <v>0</v>
      </c>
      <c r="BY12" s="1158"/>
      <c r="BZ12" s="3285"/>
      <c r="CA12" s="3285"/>
      <c r="CB12" s="3286">
        <f>BZ12+CA12*1</f>
        <v>0</v>
      </c>
      <c r="CC12" s="3284">
        <f t="shared" si="16"/>
        <v>0</v>
      </c>
      <c r="CD12" s="1158"/>
      <c r="CE12" s="3285"/>
      <c r="CF12" s="3285"/>
      <c r="CG12" s="3286">
        <f>CE12+CF12*1</f>
        <v>0</v>
      </c>
      <c r="CH12" s="3284">
        <f t="shared" si="17"/>
        <v>0</v>
      </c>
      <c r="CI12" s="1158"/>
      <c r="CJ12" s="3285"/>
      <c r="CK12" s="3285"/>
      <c r="CL12" s="3286">
        <f>CJ12+CK12*1</f>
        <v>0</v>
      </c>
      <c r="CM12" s="3284">
        <f t="shared" si="18"/>
        <v>0</v>
      </c>
      <c r="CN12" s="1158"/>
      <c r="CO12" s="3274">
        <f t="shared" si="28"/>
        <v>0</v>
      </c>
      <c r="CP12" s="3274">
        <f t="shared" si="29"/>
        <v>0</v>
      </c>
      <c r="CQ12" s="3283">
        <f t="shared" si="30"/>
        <v>0</v>
      </c>
      <c r="CR12" s="3284">
        <f t="shared" si="0"/>
        <v>0</v>
      </c>
      <c r="CS12" s="1449"/>
    </row>
    <row r="13" spans="1:97" s="1411" customFormat="1" ht="13.8" x14ac:dyDescent="0.25">
      <c r="A13" s="1586"/>
      <c r="B13" s="1061" t="s">
        <v>71</v>
      </c>
      <c r="C13" s="3288"/>
      <c r="D13" s="3274"/>
      <c r="E13" s="3283">
        <f t="shared" si="20"/>
        <v>0</v>
      </c>
      <c r="F13" s="3284">
        <f t="shared" si="1"/>
        <v>0</v>
      </c>
      <c r="G13" s="1449"/>
      <c r="H13" s="3288"/>
      <c r="I13" s="3274"/>
      <c r="J13" s="3283">
        <f t="shared" si="21"/>
        <v>0</v>
      </c>
      <c r="K13" s="3284">
        <f t="shared" si="2"/>
        <v>0</v>
      </c>
      <c r="L13" s="1449"/>
      <c r="M13" s="3274"/>
      <c r="N13" s="3274"/>
      <c r="O13" s="3283">
        <f t="shared" si="22"/>
        <v>0</v>
      </c>
      <c r="P13" s="3284">
        <f t="shared" si="3"/>
        <v>0</v>
      </c>
      <c r="Q13" s="1449"/>
      <c r="R13" s="3274"/>
      <c r="S13" s="3274"/>
      <c r="T13" s="3283">
        <f t="shared" si="23"/>
        <v>0</v>
      </c>
      <c r="U13" s="3284">
        <f t="shared" si="4"/>
        <v>0</v>
      </c>
      <c r="V13" s="1449"/>
      <c r="W13" s="3274">
        <v>0</v>
      </c>
      <c r="X13" s="3274">
        <v>0</v>
      </c>
      <c r="Y13" s="3283">
        <v>0</v>
      </c>
      <c r="Z13" s="3284">
        <v>0</v>
      </c>
      <c r="AA13" s="1449"/>
      <c r="AB13" s="3274">
        <f t="shared" si="5"/>
        <v>0</v>
      </c>
      <c r="AC13" s="3274">
        <f t="shared" si="5"/>
        <v>0</v>
      </c>
      <c r="AD13" s="3283">
        <f t="shared" si="24"/>
        <v>0</v>
      </c>
      <c r="AE13" s="3284">
        <f t="shared" si="6"/>
        <v>0</v>
      </c>
      <c r="AF13" s="1449"/>
      <c r="AG13" s="3274"/>
      <c r="AH13" s="3274"/>
      <c r="AI13" s="3283">
        <f t="shared" si="25"/>
        <v>0</v>
      </c>
      <c r="AJ13" s="3284">
        <f t="shared" si="7"/>
        <v>0</v>
      </c>
      <c r="AK13" s="1449"/>
      <c r="AL13" s="3285"/>
      <c r="AM13" s="3285"/>
      <c r="AN13" s="3286">
        <f t="shared" si="26"/>
        <v>0</v>
      </c>
      <c r="AO13" s="3284">
        <f t="shared" si="8"/>
        <v>0</v>
      </c>
      <c r="AP13" s="1158"/>
      <c r="AQ13" s="3285"/>
      <c r="AR13" s="3285"/>
      <c r="AS13" s="3286">
        <f>AQ13+AR13*1</f>
        <v>0</v>
      </c>
      <c r="AT13" s="3284">
        <f t="shared" si="9"/>
        <v>0</v>
      </c>
      <c r="AU13" s="1158"/>
      <c r="AV13" s="3285"/>
      <c r="AW13" s="3285"/>
      <c r="AX13" s="3286">
        <f>AV13+AW13*1</f>
        <v>0</v>
      </c>
      <c r="AY13" s="3284">
        <f t="shared" si="10"/>
        <v>0</v>
      </c>
      <c r="AZ13" s="1158"/>
      <c r="BA13" s="3285"/>
      <c r="BB13" s="3285"/>
      <c r="BC13" s="3286">
        <f>BA13+BB13*1</f>
        <v>0</v>
      </c>
      <c r="BD13" s="3284">
        <f t="shared" si="11"/>
        <v>0</v>
      </c>
      <c r="BE13" s="1158"/>
      <c r="BF13" s="3285"/>
      <c r="BG13" s="3285"/>
      <c r="BH13" s="3286">
        <f>BF13+BG13*1</f>
        <v>0</v>
      </c>
      <c r="BI13" s="3284">
        <f t="shared" si="12"/>
        <v>0</v>
      </c>
      <c r="BJ13" s="1158"/>
      <c r="BK13" s="3285"/>
      <c r="BL13" s="3285"/>
      <c r="BM13" s="3286">
        <f>BK13+BL13*1</f>
        <v>0</v>
      </c>
      <c r="BN13" s="3284">
        <f t="shared" si="13"/>
        <v>0</v>
      </c>
      <c r="BO13" s="1158"/>
      <c r="BP13" s="3285"/>
      <c r="BQ13" s="3285"/>
      <c r="BR13" s="3286">
        <f>BP13+BQ13*1</f>
        <v>0</v>
      </c>
      <c r="BS13" s="3284">
        <f t="shared" si="14"/>
        <v>0</v>
      </c>
      <c r="BT13" s="1158"/>
      <c r="BU13" s="3285"/>
      <c r="BV13" s="3285"/>
      <c r="BW13" s="3286">
        <f>BU13+BV13*1</f>
        <v>0</v>
      </c>
      <c r="BX13" s="3284">
        <f t="shared" si="15"/>
        <v>0</v>
      </c>
      <c r="BY13" s="1158"/>
      <c r="BZ13" s="3285"/>
      <c r="CA13" s="3285"/>
      <c r="CB13" s="3286">
        <f>BZ13+CA13*1</f>
        <v>0</v>
      </c>
      <c r="CC13" s="3284">
        <f t="shared" si="16"/>
        <v>0</v>
      </c>
      <c r="CD13" s="1158"/>
      <c r="CE13" s="3285"/>
      <c r="CF13" s="3285"/>
      <c r="CG13" s="3286">
        <f>CE13+CF13*1</f>
        <v>0</v>
      </c>
      <c r="CH13" s="3284">
        <f t="shared" si="17"/>
        <v>0</v>
      </c>
      <c r="CI13" s="1158"/>
      <c r="CJ13" s="3285"/>
      <c r="CK13" s="3285"/>
      <c r="CL13" s="3286">
        <f>CJ13+CK13*1</f>
        <v>0</v>
      </c>
      <c r="CM13" s="3284">
        <f t="shared" si="18"/>
        <v>0</v>
      </c>
      <c r="CN13" s="1158"/>
      <c r="CO13" s="3274">
        <f t="shared" si="28"/>
        <v>0</v>
      </c>
      <c r="CP13" s="3274">
        <f t="shared" si="29"/>
        <v>0</v>
      </c>
      <c r="CQ13" s="3283">
        <f t="shared" si="30"/>
        <v>0</v>
      </c>
      <c r="CR13" s="3284">
        <f t="shared" si="0"/>
        <v>0</v>
      </c>
      <c r="CS13" s="1449"/>
    </row>
    <row r="14" spans="1:97" s="1411" customFormat="1" ht="13.8" x14ac:dyDescent="0.25">
      <c r="A14" s="1586"/>
      <c r="B14" s="1061" t="s">
        <v>70</v>
      </c>
      <c r="C14" s="3288"/>
      <c r="D14" s="3274"/>
      <c r="E14" s="3283">
        <f t="shared" si="20"/>
        <v>0</v>
      </c>
      <c r="F14" s="3284">
        <f t="shared" si="1"/>
        <v>0</v>
      </c>
      <c r="G14" s="1449"/>
      <c r="H14" s="3288"/>
      <c r="I14" s="3274"/>
      <c r="J14" s="3283">
        <f t="shared" si="21"/>
        <v>0</v>
      </c>
      <c r="K14" s="3284">
        <f t="shared" si="2"/>
        <v>0</v>
      </c>
      <c r="L14" s="1449"/>
      <c r="M14" s="3274"/>
      <c r="N14" s="3274"/>
      <c r="O14" s="3283">
        <f t="shared" si="22"/>
        <v>0</v>
      </c>
      <c r="P14" s="3284">
        <f t="shared" si="3"/>
        <v>0</v>
      </c>
      <c r="Q14" s="1449"/>
      <c r="R14" s="3274"/>
      <c r="S14" s="3274"/>
      <c r="T14" s="3283">
        <f t="shared" si="23"/>
        <v>0</v>
      </c>
      <c r="U14" s="3284">
        <f t="shared" si="4"/>
        <v>0</v>
      </c>
      <c r="V14" s="1449"/>
      <c r="W14" s="3274">
        <v>0</v>
      </c>
      <c r="X14" s="3274">
        <v>0</v>
      </c>
      <c r="Y14" s="3283">
        <v>0</v>
      </c>
      <c r="Z14" s="3284">
        <v>0</v>
      </c>
      <c r="AA14" s="1449"/>
      <c r="AB14" s="3274">
        <f t="shared" si="5"/>
        <v>0</v>
      </c>
      <c r="AC14" s="3274">
        <f t="shared" si="5"/>
        <v>0</v>
      </c>
      <c r="AD14" s="3283">
        <f t="shared" si="24"/>
        <v>0</v>
      </c>
      <c r="AE14" s="3284">
        <f t="shared" si="6"/>
        <v>0</v>
      </c>
      <c r="AF14" s="1449"/>
      <c r="AG14" s="3274"/>
      <c r="AH14" s="3274"/>
      <c r="AI14" s="3283">
        <f t="shared" si="25"/>
        <v>0</v>
      </c>
      <c r="AJ14" s="3284">
        <f t="shared" si="7"/>
        <v>0</v>
      </c>
      <c r="AK14" s="1449"/>
      <c r="AL14" s="3285"/>
      <c r="AM14" s="3285"/>
      <c r="AN14" s="3286">
        <f t="shared" si="26"/>
        <v>0</v>
      </c>
      <c r="AO14" s="3284">
        <f t="shared" si="8"/>
        <v>0</v>
      </c>
      <c r="AP14" s="1158"/>
      <c r="AQ14" s="3285"/>
      <c r="AR14" s="3285"/>
      <c r="AS14" s="3286">
        <f t="shared" si="27"/>
        <v>0</v>
      </c>
      <c r="AT14" s="3284">
        <f t="shared" si="9"/>
        <v>0</v>
      </c>
      <c r="AU14" s="1158"/>
      <c r="AV14" s="3285"/>
      <c r="AW14" s="3285"/>
      <c r="AX14" s="3286">
        <f t="shared" ref="AX14:AX33" si="31">AV14+AW14*1</f>
        <v>0</v>
      </c>
      <c r="AY14" s="3284">
        <f t="shared" si="10"/>
        <v>0</v>
      </c>
      <c r="AZ14" s="1158"/>
      <c r="BA14" s="3285"/>
      <c r="BB14" s="3285"/>
      <c r="BC14" s="3286">
        <f t="shared" ref="BC14:BC33" si="32">BA14+BB14*1</f>
        <v>0</v>
      </c>
      <c r="BD14" s="3284">
        <f t="shared" si="11"/>
        <v>0</v>
      </c>
      <c r="BE14" s="1158"/>
      <c r="BF14" s="3285"/>
      <c r="BG14" s="3285"/>
      <c r="BH14" s="3286">
        <f t="shared" ref="BH14:BH33" si="33">BF14+BG14*1</f>
        <v>0</v>
      </c>
      <c r="BI14" s="3284">
        <f t="shared" si="12"/>
        <v>0</v>
      </c>
      <c r="BJ14" s="1158"/>
      <c r="BK14" s="3285"/>
      <c r="BL14" s="3285"/>
      <c r="BM14" s="3286">
        <f t="shared" ref="BM14:BM33" si="34">BK14+BL14*1</f>
        <v>0</v>
      </c>
      <c r="BN14" s="3284">
        <f t="shared" si="13"/>
        <v>0</v>
      </c>
      <c r="BO14" s="1158"/>
      <c r="BP14" s="3285"/>
      <c r="BQ14" s="3285"/>
      <c r="BR14" s="3286">
        <f t="shared" ref="BR14:BR33" si="35">BP14+BQ14*1</f>
        <v>0</v>
      </c>
      <c r="BS14" s="3284">
        <f t="shared" si="14"/>
        <v>0</v>
      </c>
      <c r="BT14" s="1158"/>
      <c r="BU14" s="3285"/>
      <c r="BV14" s="3285"/>
      <c r="BW14" s="3286">
        <f t="shared" ref="BW14:BW33" si="36">BU14+BV14*1</f>
        <v>0</v>
      </c>
      <c r="BX14" s="3284">
        <f t="shared" si="15"/>
        <v>0</v>
      </c>
      <c r="BY14" s="1158"/>
      <c r="BZ14" s="3285"/>
      <c r="CA14" s="3285"/>
      <c r="CB14" s="3286">
        <f t="shared" ref="CB14:CB33" si="37">BZ14+CA14*1</f>
        <v>0</v>
      </c>
      <c r="CC14" s="3284">
        <f t="shared" si="16"/>
        <v>0</v>
      </c>
      <c r="CD14" s="1158"/>
      <c r="CE14" s="3285"/>
      <c r="CF14" s="3285"/>
      <c r="CG14" s="3286">
        <f t="shared" ref="CG14:CG33" si="38">CE14+CF14*1</f>
        <v>0</v>
      </c>
      <c r="CH14" s="3284">
        <f t="shared" si="17"/>
        <v>0</v>
      </c>
      <c r="CI14" s="1158"/>
      <c r="CJ14" s="3285"/>
      <c r="CK14" s="3285"/>
      <c r="CL14" s="3286">
        <f t="shared" ref="CL14:CL33" si="39">CJ14+CK14*1</f>
        <v>0</v>
      </c>
      <c r="CM14" s="3284">
        <f t="shared" si="18"/>
        <v>0</v>
      </c>
      <c r="CN14" s="1158"/>
      <c r="CO14" s="3274">
        <f t="shared" si="28"/>
        <v>0</v>
      </c>
      <c r="CP14" s="3274">
        <f t="shared" si="29"/>
        <v>0</v>
      </c>
      <c r="CQ14" s="3283">
        <f t="shared" si="30"/>
        <v>0</v>
      </c>
      <c r="CR14" s="3284">
        <f t="shared" si="0"/>
        <v>0</v>
      </c>
      <c r="CS14" s="1449"/>
    </row>
    <row r="15" spans="1:97" s="1411" customFormat="1" ht="13.8" x14ac:dyDescent="0.25">
      <c r="A15" s="1586"/>
      <c r="B15" s="3289" t="s">
        <v>20</v>
      </c>
      <c r="C15" s="3288"/>
      <c r="D15" s="3274"/>
      <c r="E15" s="3283">
        <f t="shared" si="20"/>
        <v>0</v>
      </c>
      <c r="F15" s="3284">
        <f t="shared" si="1"/>
        <v>0</v>
      </c>
      <c r="G15" s="1449"/>
      <c r="H15" s="3288"/>
      <c r="I15" s="3274"/>
      <c r="J15" s="3283">
        <f t="shared" si="21"/>
        <v>0</v>
      </c>
      <c r="K15" s="3284">
        <f t="shared" si="2"/>
        <v>0</v>
      </c>
      <c r="L15" s="1449"/>
      <c r="M15" s="3274"/>
      <c r="N15" s="3274"/>
      <c r="O15" s="3283">
        <f t="shared" si="22"/>
        <v>0</v>
      </c>
      <c r="P15" s="3284">
        <f t="shared" si="3"/>
        <v>0</v>
      </c>
      <c r="Q15" s="1449"/>
      <c r="R15" s="3274"/>
      <c r="S15" s="3274"/>
      <c r="T15" s="3283">
        <f t="shared" si="23"/>
        <v>0</v>
      </c>
      <c r="U15" s="3284">
        <f t="shared" si="4"/>
        <v>0</v>
      </c>
      <c r="V15" s="1449"/>
      <c r="W15" s="3274">
        <v>0</v>
      </c>
      <c r="X15" s="3274">
        <v>0</v>
      </c>
      <c r="Y15" s="3283">
        <v>0</v>
      </c>
      <c r="Z15" s="3284">
        <v>0</v>
      </c>
      <c r="AA15" s="1449"/>
      <c r="AB15" s="3274">
        <f t="shared" si="5"/>
        <v>0</v>
      </c>
      <c r="AC15" s="3274">
        <f t="shared" si="5"/>
        <v>0</v>
      </c>
      <c r="AD15" s="3283">
        <f t="shared" si="24"/>
        <v>0</v>
      </c>
      <c r="AE15" s="3284">
        <f t="shared" si="6"/>
        <v>0</v>
      </c>
      <c r="AF15" s="1449"/>
      <c r="AG15" s="3274"/>
      <c r="AH15" s="3274"/>
      <c r="AI15" s="3283">
        <f t="shared" si="25"/>
        <v>0</v>
      </c>
      <c r="AJ15" s="3284">
        <f t="shared" si="7"/>
        <v>0</v>
      </c>
      <c r="AK15" s="1449"/>
      <c r="AL15" s="3285"/>
      <c r="AM15" s="3285"/>
      <c r="AN15" s="3286">
        <f t="shared" si="26"/>
        <v>0</v>
      </c>
      <c r="AO15" s="3284">
        <f t="shared" si="8"/>
        <v>0</v>
      </c>
      <c r="AP15" s="1158"/>
      <c r="AQ15" s="3285"/>
      <c r="AR15" s="3285"/>
      <c r="AS15" s="3286">
        <f t="shared" si="27"/>
        <v>0</v>
      </c>
      <c r="AT15" s="3284">
        <f t="shared" si="9"/>
        <v>0</v>
      </c>
      <c r="AU15" s="1158"/>
      <c r="AV15" s="3285"/>
      <c r="AW15" s="3285"/>
      <c r="AX15" s="3286">
        <f t="shared" si="31"/>
        <v>0</v>
      </c>
      <c r="AY15" s="3284">
        <f t="shared" si="10"/>
        <v>0</v>
      </c>
      <c r="AZ15" s="1158"/>
      <c r="BA15" s="3285"/>
      <c r="BB15" s="3285"/>
      <c r="BC15" s="3286">
        <f t="shared" si="32"/>
        <v>0</v>
      </c>
      <c r="BD15" s="3284">
        <f t="shared" si="11"/>
        <v>0</v>
      </c>
      <c r="BE15" s="1158"/>
      <c r="BF15" s="3285"/>
      <c r="BG15" s="3285"/>
      <c r="BH15" s="3286">
        <f t="shared" si="33"/>
        <v>0</v>
      </c>
      <c r="BI15" s="3284">
        <f t="shared" si="12"/>
        <v>0</v>
      </c>
      <c r="BJ15" s="1158"/>
      <c r="BK15" s="3285"/>
      <c r="BL15" s="3285"/>
      <c r="BM15" s="3286">
        <f t="shared" si="34"/>
        <v>0</v>
      </c>
      <c r="BN15" s="3284">
        <f t="shared" si="13"/>
        <v>0</v>
      </c>
      <c r="BO15" s="1158"/>
      <c r="BP15" s="3285"/>
      <c r="BQ15" s="3285"/>
      <c r="BR15" s="3286">
        <f t="shared" si="35"/>
        <v>0</v>
      </c>
      <c r="BS15" s="3284">
        <f t="shared" si="14"/>
        <v>0</v>
      </c>
      <c r="BT15" s="1158"/>
      <c r="BU15" s="3285"/>
      <c r="BV15" s="3285"/>
      <c r="BW15" s="3286">
        <f t="shared" si="36"/>
        <v>0</v>
      </c>
      <c r="BX15" s="3284">
        <f t="shared" si="15"/>
        <v>0</v>
      </c>
      <c r="BY15" s="1158"/>
      <c r="BZ15" s="3285"/>
      <c r="CA15" s="3285"/>
      <c r="CB15" s="3286">
        <f t="shared" si="37"/>
        <v>0</v>
      </c>
      <c r="CC15" s="3284">
        <f t="shared" si="16"/>
        <v>0</v>
      </c>
      <c r="CD15" s="1158"/>
      <c r="CE15" s="3285"/>
      <c r="CF15" s="3285"/>
      <c r="CG15" s="3286">
        <f t="shared" si="38"/>
        <v>0</v>
      </c>
      <c r="CH15" s="3284">
        <f t="shared" si="17"/>
        <v>0</v>
      </c>
      <c r="CI15" s="1158"/>
      <c r="CJ15" s="3285"/>
      <c r="CK15" s="3285"/>
      <c r="CL15" s="3286">
        <f t="shared" si="39"/>
        <v>0</v>
      </c>
      <c r="CM15" s="3284">
        <f t="shared" si="18"/>
        <v>0</v>
      </c>
      <c r="CN15" s="1158"/>
      <c r="CO15" s="3274">
        <f t="shared" si="28"/>
        <v>0</v>
      </c>
      <c r="CP15" s="3274">
        <f t="shared" si="29"/>
        <v>0</v>
      </c>
      <c r="CQ15" s="3283">
        <f t="shared" si="30"/>
        <v>0</v>
      </c>
      <c r="CR15" s="3284">
        <f t="shared" si="0"/>
        <v>0</v>
      </c>
      <c r="CS15" s="1449"/>
    </row>
    <row r="16" spans="1:97" s="1411" customFormat="1" ht="13.8" x14ac:dyDescent="0.25">
      <c r="A16" s="3290"/>
      <c r="B16" s="3289" t="s">
        <v>21</v>
      </c>
      <c r="C16" s="3288"/>
      <c r="D16" s="3274"/>
      <c r="E16" s="3283">
        <f t="shared" si="20"/>
        <v>0</v>
      </c>
      <c r="F16" s="3284">
        <f t="shared" si="1"/>
        <v>0</v>
      </c>
      <c r="G16" s="1449"/>
      <c r="H16" s="3288"/>
      <c r="I16" s="3274"/>
      <c r="J16" s="3283">
        <f t="shared" si="21"/>
        <v>0</v>
      </c>
      <c r="K16" s="3284">
        <f t="shared" si="2"/>
        <v>0</v>
      </c>
      <c r="L16" s="1449"/>
      <c r="M16" s="3274"/>
      <c r="N16" s="3274"/>
      <c r="O16" s="3283">
        <f t="shared" si="22"/>
        <v>0</v>
      </c>
      <c r="P16" s="3284">
        <f t="shared" si="3"/>
        <v>0</v>
      </c>
      <c r="Q16" s="1449"/>
      <c r="R16" s="3274"/>
      <c r="S16" s="3274"/>
      <c r="T16" s="3283">
        <f t="shared" si="23"/>
        <v>0</v>
      </c>
      <c r="U16" s="3284">
        <f t="shared" si="4"/>
        <v>0</v>
      </c>
      <c r="V16" s="1449"/>
      <c r="W16" s="3274">
        <v>0</v>
      </c>
      <c r="X16" s="3274">
        <v>0</v>
      </c>
      <c r="Y16" s="3283">
        <v>0</v>
      </c>
      <c r="Z16" s="3284">
        <v>0</v>
      </c>
      <c r="AA16" s="1449"/>
      <c r="AB16" s="3274">
        <f t="shared" si="5"/>
        <v>0</v>
      </c>
      <c r="AC16" s="3274">
        <f t="shared" si="5"/>
        <v>0</v>
      </c>
      <c r="AD16" s="3283">
        <f t="shared" si="24"/>
        <v>0</v>
      </c>
      <c r="AE16" s="3284">
        <f t="shared" si="6"/>
        <v>0</v>
      </c>
      <c r="AF16" s="1449"/>
      <c r="AG16" s="3274"/>
      <c r="AH16" s="3274"/>
      <c r="AI16" s="3283">
        <f t="shared" si="25"/>
        <v>0</v>
      </c>
      <c r="AJ16" s="3284">
        <f t="shared" si="7"/>
        <v>0</v>
      </c>
      <c r="AK16" s="1449"/>
      <c r="AL16" s="3285"/>
      <c r="AM16" s="3285"/>
      <c r="AN16" s="3286">
        <f t="shared" si="26"/>
        <v>0</v>
      </c>
      <c r="AO16" s="3284">
        <f t="shared" si="8"/>
        <v>0</v>
      </c>
      <c r="AP16" s="1158"/>
      <c r="AQ16" s="3285"/>
      <c r="AR16" s="3285"/>
      <c r="AS16" s="3286">
        <f t="shared" si="27"/>
        <v>0</v>
      </c>
      <c r="AT16" s="3284">
        <f t="shared" si="9"/>
        <v>0</v>
      </c>
      <c r="AU16" s="1158"/>
      <c r="AV16" s="3285"/>
      <c r="AW16" s="3285"/>
      <c r="AX16" s="3286">
        <f t="shared" si="31"/>
        <v>0</v>
      </c>
      <c r="AY16" s="3284">
        <f t="shared" si="10"/>
        <v>0</v>
      </c>
      <c r="AZ16" s="1158"/>
      <c r="BA16" s="3285"/>
      <c r="BB16" s="3285"/>
      <c r="BC16" s="3286">
        <f t="shared" si="32"/>
        <v>0</v>
      </c>
      <c r="BD16" s="3284">
        <f t="shared" si="11"/>
        <v>0</v>
      </c>
      <c r="BE16" s="1158"/>
      <c r="BF16" s="3285"/>
      <c r="BG16" s="3285"/>
      <c r="BH16" s="3286">
        <f t="shared" si="33"/>
        <v>0</v>
      </c>
      <c r="BI16" s="3284">
        <f t="shared" si="12"/>
        <v>0</v>
      </c>
      <c r="BJ16" s="1158"/>
      <c r="BK16" s="3285"/>
      <c r="BL16" s="3285"/>
      <c r="BM16" s="3286">
        <f t="shared" si="34"/>
        <v>0</v>
      </c>
      <c r="BN16" s="3284">
        <f t="shared" si="13"/>
        <v>0</v>
      </c>
      <c r="BO16" s="1158"/>
      <c r="BP16" s="3285"/>
      <c r="BQ16" s="3285"/>
      <c r="BR16" s="3286">
        <f t="shared" si="35"/>
        <v>0</v>
      </c>
      <c r="BS16" s="3284">
        <f t="shared" si="14"/>
        <v>0</v>
      </c>
      <c r="BT16" s="1158"/>
      <c r="BU16" s="3285"/>
      <c r="BV16" s="3285"/>
      <c r="BW16" s="3286">
        <f t="shared" si="36"/>
        <v>0</v>
      </c>
      <c r="BX16" s="3284">
        <f t="shared" si="15"/>
        <v>0</v>
      </c>
      <c r="BY16" s="1158"/>
      <c r="BZ16" s="3285"/>
      <c r="CA16" s="3285"/>
      <c r="CB16" s="3286">
        <f t="shared" si="37"/>
        <v>0</v>
      </c>
      <c r="CC16" s="3284">
        <f t="shared" si="16"/>
        <v>0</v>
      </c>
      <c r="CD16" s="1158"/>
      <c r="CE16" s="3285"/>
      <c r="CF16" s="3285"/>
      <c r="CG16" s="3286">
        <f t="shared" si="38"/>
        <v>0</v>
      </c>
      <c r="CH16" s="3284">
        <f t="shared" si="17"/>
        <v>0</v>
      </c>
      <c r="CI16" s="1158"/>
      <c r="CJ16" s="3285"/>
      <c r="CK16" s="3285"/>
      <c r="CL16" s="3286">
        <f t="shared" si="39"/>
        <v>0</v>
      </c>
      <c r="CM16" s="3284">
        <f t="shared" si="18"/>
        <v>0</v>
      </c>
      <c r="CN16" s="1158"/>
      <c r="CO16" s="3274">
        <f t="shared" si="28"/>
        <v>0</v>
      </c>
      <c r="CP16" s="3274">
        <f t="shared" si="29"/>
        <v>0</v>
      </c>
      <c r="CQ16" s="3283">
        <f t="shared" si="30"/>
        <v>0</v>
      </c>
      <c r="CR16" s="3284">
        <f t="shared" si="0"/>
        <v>0</v>
      </c>
      <c r="CS16" s="1449"/>
    </row>
    <row r="17" spans="1:97" s="1411" customFormat="1" ht="13.8" x14ac:dyDescent="0.25">
      <c r="A17" s="1586"/>
      <c r="B17" s="3289" t="s">
        <v>22</v>
      </c>
      <c r="C17" s="3288"/>
      <c r="D17" s="3274"/>
      <c r="E17" s="3283">
        <f t="shared" si="20"/>
        <v>0</v>
      </c>
      <c r="F17" s="3284">
        <f t="shared" si="1"/>
        <v>0</v>
      </c>
      <c r="G17" s="1449"/>
      <c r="H17" s="3288"/>
      <c r="I17" s="3274"/>
      <c r="J17" s="3283">
        <f t="shared" si="21"/>
        <v>0</v>
      </c>
      <c r="K17" s="3284">
        <f t="shared" si="2"/>
        <v>0</v>
      </c>
      <c r="L17" s="1449"/>
      <c r="M17" s="3274"/>
      <c r="N17" s="3274"/>
      <c r="O17" s="3283">
        <f t="shared" si="22"/>
        <v>0</v>
      </c>
      <c r="P17" s="3284">
        <f t="shared" si="3"/>
        <v>0</v>
      </c>
      <c r="Q17" s="1449"/>
      <c r="R17" s="3274"/>
      <c r="S17" s="3274"/>
      <c r="T17" s="3283">
        <f t="shared" si="23"/>
        <v>0</v>
      </c>
      <c r="U17" s="3284">
        <f t="shared" si="4"/>
        <v>0</v>
      </c>
      <c r="V17" s="1449"/>
      <c r="W17" s="3274">
        <v>0</v>
      </c>
      <c r="X17" s="3274">
        <v>0</v>
      </c>
      <c r="Y17" s="3283">
        <v>0</v>
      </c>
      <c r="Z17" s="3284">
        <v>0</v>
      </c>
      <c r="AA17" s="1449"/>
      <c r="AB17" s="3274">
        <f t="shared" si="5"/>
        <v>0</v>
      </c>
      <c r="AC17" s="3274">
        <f t="shared" si="5"/>
        <v>0</v>
      </c>
      <c r="AD17" s="3283">
        <f t="shared" si="24"/>
        <v>0</v>
      </c>
      <c r="AE17" s="3284">
        <f t="shared" si="6"/>
        <v>0</v>
      </c>
      <c r="AF17" s="1449"/>
      <c r="AG17" s="3274"/>
      <c r="AH17" s="3274"/>
      <c r="AI17" s="3283">
        <f t="shared" si="25"/>
        <v>0</v>
      </c>
      <c r="AJ17" s="3284">
        <f t="shared" si="7"/>
        <v>0</v>
      </c>
      <c r="AK17" s="1449"/>
      <c r="AL17" s="3285"/>
      <c r="AM17" s="3285"/>
      <c r="AN17" s="3286">
        <f t="shared" si="26"/>
        <v>0</v>
      </c>
      <c r="AO17" s="3284">
        <f t="shared" si="8"/>
        <v>0</v>
      </c>
      <c r="AP17" s="1158"/>
      <c r="AQ17" s="3285"/>
      <c r="AR17" s="3285"/>
      <c r="AS17" s="3286">
        <f t="shared" si="27"/>
        <v>0</v>
      </c>
      <c r="AT17" s="3284">
        <f t="shared" si="9"/>
        <v>0</v>
      </c>
      <c r="AU17" s="1158"/>
      <c r="AV17" s="3285"/>
      <c r="AW17" s="3285"/>
      <c r="AX17" s="3286">
        <f t="shared" si="31"/>
        <v>0</v>
      </c>
      <c r="AY17" s="3284">
        <f t="shared" si="10"/>
        <v>0</v>
      </c>
      <c r="AZ17" s="1158"/>
      <c r="BA17" s="3285"/>
      <c r="BB17" s="3285"/>
      <c r="BC17" s="3286">
        <f t="shared" si="32"/>
        <v>0</v>
      </c>
      <c r="BD17" s="3284">
        <f t="shared" si="11"/>
        <v>0</v>
      </c>
      <c r="BE17" s="1158"/>
      <c r="BF17" s="3285"/>
      <c r="BG17" s="3285"/>
      <c r="BH17" s="3286">
        <f t="shared" si="33"/>
        <v>0</v>
      </c>
      <c r="BI17" s="3284">
        <f t="shared" si="12"/>
        <v>0</v>
      </c>
      <c r="BJ17" s="1158"/>
      <c r="BK17" s="3285"/>
      <c r="BL17" s="3285"/>
      <c r="BM17" s="3286">
        <f t="shared" si="34"/>
        <v>0</v>
      </c>
      <c r="BN17" s="3284">
        <f t="shared" si="13"/>
        <v>0</v>
      </c>
      <c r="BO17" s="1158"/>
      <c r="BP17" s="3285"/>
      <c r="BQ17" s="3285"/>
      <c r="BR17" s="3286">
        <f t="shared" si="35"/>
        <v>0</v>
      </c>
      <c r="BS17" s="3284">
        <f t="shared" si="14"/>
        <v>0</v>
      </c>
      <c r="BT17" s="1158"/>
      <c r="BU17" s="3285"/>
      <c r="BV17" s="3285"/>
      <c r="BW17" s="3286">
        <f t="shared" si="36"/>
        <v>0</v>
      </c>
      <c r="BX17" s="3284">
        <f t="shared" si="15"/>
        <v>0</v>
      </c>
      <c r="BY17" s="1158"/>
      <c r="BZ17" s="3285"/>
      <c r="CA17" s="3285"/>
      <c r="CB17" s="3286">
        <f t="shared" si="37"/>
        <v>0</v>
      </c>
      <c r="CC17" s="3284">
        <f t="shared" si="16"/>
        <v>0</v>
      </c>
      <c r="CD17" s="1158"/>
      <c r="CE17" s="3285"/>
      <c r="CF17" s="3285"/>
      <c r="CG17" s="3286">
        <f t="shared" si="38"/>
        <v>0</v>
      </c>
      <c r="CH17" s="3284">
        <f t="shared" si="17"/>
        <v>0</v>
      </c>
      <c r="CI17" s="1158"/>
      <c r="CJ17" s="3285"/>
      <c r="CK17" s="3285"/>
      <c r="CL17" s="3286">
        <f t="shared" si="39"/>
        <v>0</v>
      </c>
      <c r="CM17" s="3284">
        <f t="shared" si="18"/>
        <v>0</v>
      </c>
      <c r="CN17" s="1158"/>
      <c r="CO17" s="3274">
        <f t="shared" si="28"/>
        <v>0</v>
      </c>
      <c r="CP17" s="3274">
        <f t="shared" si="29"/>
        <v>0</v>
      </c>
      <c r="CQ17" s="3283">
        <f t="shared" si="30"/>
        <v>0</v>
      </c>
      <c r="CR17" s="3284">
        <f t="shared" si="0"/>
        <v>0</v>
      </c>
      <c r="CS17" s="1449"/>
    </row>
    <row r="18" spans="1:97" s="1411" customFormat="1" ht="53.4" customHeight="1" x14ac:dyDescent="0.25">
      <c r="A18" s="1586"/>
      <c r="B18" s="3289" t="s">
        <v>0</v>
      </c>
      <c r="C18" s="3288"/>
      <c r="D18" s="3274"/>
      <c r="E18" s="3283">
        <f t="shared" si="20"/>
        <v>0</v>
      </c>
      <c r="F18" s="3284">
        <f t="shared" si="1"/>
        <v>0</v>
      </c>
      <c r="G18" s="3275"/>
      <c r="H18" s="3288"/>
      <c r="I18" s="3274"/>
      <c r="J18" s="3283">
        <f t="shared" si="21"/>
        <v>0</v>
      </c>
      <c r="K18" s="3284">
        <f t="shared" si="2"/>
        <v>0</v>
      </c>
      <c r="L18" s="3275"/>
      <c r="M18" s="3274"/>
      <c r="N18" s="3274"/>
      <c r="O18" s="3283">
        <f t="shared" si="22"/>
        <v>0</v>
      </c>
      <c r="P18" s="3284">
        <f t="shared" si="3"/>
        <v>0</v>
      </c>
      <c r="Q18" s="3275"/>
      <c r="R18" s="3274">
        <v>305</v>
      </c>
      <c r="S18" s="3274"/>
      <c r="T18" s="3283">
        <f t="shared" si="23"/>
        <v>305</v>
      </c>
      <c r="U18" s="3284">
        <f t="shared" si="4"/>
        <v>0</v>
      </c>
      <c r="V18" s="3276" t="s">
        <v>1270</v>
      </c>
      <c r="W18" s="3274">
        <v>16957.5</v>
      </c>
      <c r="X18" s="3274">
        <v>0</v>
      </c>
      <c r="Y18" s="3283">
        <v>16957.5</v>
      </c>
      <c r="Z18" s="3284">
        <v>5.7486982597821791E-2</v>
      </c>
      <c r="AA18" s="3275"/>
      <c r="AB18" s="3274">
        <f t="shared" si="5"/>
        <v>2470</v>
      </c>
      <c r="AC18" s="3274">
        <f t="shared" si="5"/>
        <v>0</v>
      </c>
      <c r="AD18" s="3283">
        <f t="shared" si="24"/>
        <v>2470</v>
      </c>
      <c r="AE18" s="3284">
        <f t="shared" si="6"/>
        <v>8.373454047861998E-3</v>
      </c>
      <c r="AF18" s="3275"/>
      <c r="AG18" s="3274">
        <v>160</v>
      </c>
      <c r="AH18" s="3274"/>
      <c r="AI18" s="3283">
        <f t="shared" si="25"/>
        <v>160</v>
      </c>
      <c r="AJ18" s="3284">
        <f t="shared" si="7"/>
        <v>3.0203413134955452E-3</v>
      </c>
      <c r="AK18" s="3276" t="s">
        <v>1270</v>
      </c>
      <c r="AL18" s="3285">
        <f>160</f>
        <v>160</v>
      </c>
      <c r="AM18" s="3285"/>
      <c r="AN18" s="3286">
        <f t="shared" si="26"/>
        <v>160</v>
      </c>
      <c r="AO18" s="3284">
        <f t="shared" si="8"/>
        <v>8.5136291223806898E-4</v>
      </c>
      <c r="AP18" s="3276" t="s">
        <v>2166</v>
      </c>
      <c r="AQ18" s="3285">
        <f>1990+160</f>
        <v>2150</v>
      </c>
      <c r="AR18" s="3285"/>
      <c r="AS18" s="3286">
        <f t="shared" si="27"/>
        <v>2150</v>
      </c>
      <c r="AT18" s="3284">
        <f t="shared" si="9"/>
        <v>1.1440189133199052E-2</v>
      </c>
      <c r="AU18" s="3291" t="s">
        <v>2191</v>
      </c>
      <c r="AV18" s="3285"/>
      <c r="AW18" s="3285"/>
      <c r="AX18" s="3286">
        <f t="shared" si="31"/>
        <v>0</v>
      </c>
      <c r="AY18" s="3284">
        <f t="shared" si="10"/>
        <v>0</v>
      </c>
      <c r="AZ18" s="3291"/>
      <c r="BA18" s="3285"/>
      <c r="BB18" s="3285"/>
      <c r="BC18" s="3286">
        <f t="shared" si="32"/>
        <v>0</v>
      </c>
      <c r="BD18" s="3284">
        <f t="shared" si="11"/>
        <v>0</v>
      </c>
      <c r="BE18" s="3291"/>
      <c r="BF18" s="3285"/>
      <c r="BG18" s="3285"/>
      <c r="BH18" s="3286">
        <f t="shared" si="33"/>
        <v>0</v>
      </c>
      <c r="BI18" s="3284">
        <f t="shared" si="12"/>
        <v>0</v>
      </c>
      <c r="BJ18" s="3291"/>
      <c r="BK18" s="3285"/>
      <c r="BL18" s="3285"/>
      <c r="BM18" s="3286">
        <f t="shared" si="34"/>
        <v>0</v>
      </c>
      <c r="BN18" s="3284">
        <f t="shared" si="13"/>
        <v>0</v>
      </c>
      <c r="BO18" s="3291"/>
      <c r="BP18" s="3285"/>
      <c r="BQ18" s="3285"/>
      <c r="BR18" s="3286">
        <f t="shared" si="35"/>
        <v>0</v>
      </c>
      <c r="BS18" s="3284">
        <f t="shared" si="14"/>
        <v>0</v>
      </c>
      <c r="BT18" s="3291"/>
      <c r="BU18" s="3285"/>
      <c r="BV18" s="3285"/>
      <c r="BW18" s="3286">
        <f t="shared" si="36"/>
        <v>0</v>
      </c>
      <c r="BX18" s="3284">
        <f t="shared" si="15"/>
        <v>0</v>
      </c>
      <c r="BY18" s="3291"/>
      <c r="BZ18" s="3285"/>
      <c r="CA18" s="3285"/>
      <c r="CB18" s="3286">
        <f t="shared" si="37"/>
        <v>0</v>
      </c>
      <c r="CC18" s="3284">
        <f t="shared" si="16"/>
        <v>0</v>
      </c>
      <c r="CD18" s="3291"/>
      <c r="CE18" s="3285"/>
      <c r="CF18" s="3285"/>
      <c r="CG18" s="3286">
        <f t="shared" si="38"/>
        <v>0</v>
      </c>
      <c r="CH18" s="3284">
        <f t="shared" si="17"/>
        <v>0</v>
      </c>
      <c r="CI18" s="3291"/>
      <c r="CJ18" s="3285"/>
      <c r="CK18" s="3285"/>
      <c r="CL18" s="3286">
        <f t="shared" si="39"/>
        <v>0</v>
      </c>
      <c r="CM18" s="3284">
        <f t="shared" si="18"/>
        <v>0</v>
      </c>
      <c r="CN18" s="3291"/>
      <c r="CO18" s="3274">
        <f t="shared" si="28"/>
        <v>19732.5</v>
      </c>
      <c r="CP18" s="3274">
        <f t="shared" si="29"/>
        <v>0</v>
      </c>
      <c r="CQ18" s="3283">
        <f t="shared" si="30"/>
        <v>19732.5</v>
      </c>
      <c r="CR18" s="3284">
        <f t="shared" si="0"/>
        <v>8.6748601394571415E-3</v>
      </c>
      <c r="CS18" s="1449"/>
    </row>
    <row r="19" spans="1:97" s="1411" customFormat="1" ht="13.8" x14ac:dyDescent="0.25">
      <c r="A19" s="1586"/>
      <c r="B19" s="3289" t="s">
        <v>53</v>
      </c>
      <c r="C19" s="3288"/>
      <c r="D19" s="3274"/>
      <c r="E19" s="3283">
        <f t="shared" si="20"/>
        <v>0</v>
      </c>
      <c r="F19" s="3284">
        <f t="shared" si="1"/>
        <v>0</v>
      </c>
      <c r="G19" s="1409"/>
      <c r="H19" s="3288"/>
      <c r="I19" s="3274"/>
      <c r="J19" s="3283">
        <f t="shared" si="21"/>
        <v>0</v>
      </c>
      <c r="K19" s="3284">
        <f t="shared" si="2"/>
        <v>0</v>
      </c>
      <c r="L19" s="1409"/>
      <c r="M19" s="3274"/>
      <c r="N19" s="3274"/>
      <c r="O19" s="3283">
        <f t="shared" si="22"/>
        <v>0</v>
      </c>
      <c r="P19" s="3284">
        <f t="shared" si="3"/>
        <v>0</v>
      </c>
      <c r="Q19" s="1409"/>
      <c r="R19" s="3274"/>
      <c r="S19" s="3274"/>
      <c r="T19" s="3283">
        <f t="shared" si="23"/>
        <v>0</v>
      </c>
      <c r="U19" s="3284">
        <f t="shared" si="4"/>
        <v>0</v>
      </c>
      <c r="V19" s="1409"/>
      <c r="W19" s="3274">
        <v>0</v>
      </c>
      <c r="X19" s="3274">
        <v>0</v>
      </c>
      <c r="Y19" s="3283">
        <v>0</v>
      </c>
      <c r="Z19" s="3284">
        <v>0</v>
      </c>
      <c r="AA19" s="1409"/>
      <c r="AB19" s="3274">
        <f t="shared" si="5"/>
        <v>0</v>
      </c>
      <c r="AC19" s="3274">
        <f t="shared" si="5"/>
        <v>0</v>
      </c>
      <c r="AD19" s="3283">
        <f t="shared" si="24"/>
        <v>0</v>
      </c>
      <c r="AE19" s="3284">
        <f t="shared" si="6"/>
        <v>0</v>
      </c>
      <c r="AF19" s="1409"/>
      <c r="AG19" s="3274"/>
      <c r="AH19" s="3274"/>
      <c r="AI19" s="3283">
        <f t="shared" si="25"/>
        <v>0</v>
      </c>
      <c r="AJ19" s="3284">
        <f t="shared" si="7"/>
        <v>0</v>
      </c>
      <c r="AK19" s="1409"/>
      <c r="AL19" s="3285"/>
      <c r="AM19" s="3285"/>
      <c r="AN19" s="3286">
        <f t="shared" si="26"/>
        <v>0</v>
      </c>
      <c r="AO19" s="3284">
        <f t="shared" si="8"/>
        <v>0</v>
      </c>
      <c r="AP19" s="1107"/>
      <c r="AQ19" s="3285"/>
      <c r="AR19" s="3285"/>
      <c r="AS19" s="3286">
        <f t="shared" si="27"/>
        <v>0</v>
      </c>
      <c r="AT19" s="3284">
        <f t="shared" si="9"/>
        <v>0</v>
      </c>
      <c r="AU19" s="1107"/>
      <c r="AV19" s="3285"/>
      <c r="AW19" s="3285"/>
      <c r="AX19" s="3286">
        <f t="shared" si="31"/>
        <v>0</v>
      </c>
      <c r="AY19" s="3284">
        <f t="shared" si="10"/>
        <v>0</v>
      </c>
      <c r="AZ19" s="1107"/>
      <c r="BA19" s="3285"/>
      <c r="BB19" s="3285"/>
      <c r="BC19" s="3286">
        <f t="shared" si="32"/>
        <v>0</v>
      </c>
      <c r="BD19" s="3284">
        <f t="shared" si="11"/>
        <v>0</v>
      </c>
      <c r="BE19" s="1107"/>
      <c r="BF19" s="3285"/>
      <c r="BG19" s="3285"/>
      <c r="BH19" s="3286">
        <f t="shared" si="33"/>
        <v>0</v>
      </c>
      <c r="BI19" s="3284">
        <f t="shared" si="12"/>
        <v>0</v>
      </c>
      <c r="BJ19" s="1107"/>
      <c r="BK19" s="3285"/>
      <c r="BL19" s="3285"/>
      <c r="BM19" s="3286">
        <f t="shared" si="34"/>
        <v>0</v>
      </c>
      <c r="BN19" s="3284">
        <f t="shared" si="13"/>
        <v>0</v>
      </c>
      <c r="BO19" s="1107"/>
      <c r="BP19" s="3285"/>
      <c r="BQ19" s="3285"/>
      <c r="BR19" s="3286">
        <f t="shared" si="35"/>
        <v>0</v>
      </c>
      <c r="BS19" s="3284">
        <f t="shared" si="14"/>
        <v>0</v>
      </c>
      <c r="BT19" s="1107"/>
      <c r="BU19" s="3285"/>
      <c r="BV19" s="3285"/>
      <c r="BW19" s="3286">
        <f t="shared" si="36"/>
        <v>0</v>
      </c>
      <c r="BX19" s="3284">
        <f t="shared" si="15"/>
        <v>0</v>
      </c>
      <c r="BY19" s="1107"/>
      <c r="BZ19" s="3285"/>
      <c r="CA19" s="3285"/>
      <c r="CB19" s="3286">
        <f t="shared" si="37"/>
        <v>0</v>
      </c>
      <c r="CC19" s="3284">
        <f t="shared" si="16"/>
        <v>0</v>
      </c>
      <c r="CD19" s="1107"/>
      <c r="CE19" s="3285"/>
      <c r="CF19" s="3285"/>
      <c r="CG19" s="3286">
        <f t="shared" si="38"/>
        <v>0</v>
      </c>
      <c r="CH19" s="3284">
        <f t="shared" si="17"/>
        <v>0</v>
      </c>
      <c r="CI19" s="1107"/>
      <c r="CJ19" s="3285"/>
      <c r="CK19" s="3285"/>
      <c r="CL19" s="3286">
        <f t="shared" si="39"/>
        <v>0</v>
      </c>
      <c r="CM19" s="3284">
        <f t="shared" si="18"/>
        <v>0</v>
      </c>
      <c r="CN19" s="1107"/>
      <c r="CO19" s="3274">
        <f t="shared" si="28"/>
        <v>0</v>
      </c>
      <c r="CP19" s="3274">
        <f t="shared" si="29"/>
        <v>0</v>
      </c>
      <c r="CQ19" s="3283">
        <f t="shared" si="30"/>
        <v>0</v>
      </c>
      <c r="CR19" s="3284">
        <f t="shared" si="0"/>
        <v>0</v>
      </c>
      <c r="CS19" s="1449"/>
    </row>
    <row r="20" spans="1:97" s="1411" customFormat="1" ht="13.8" x14ac:dyDescent="0.25">
      <c r="A20" s="1586"/>
      <c r="B20" s="3289" t="s">
        <v>57</v>
      </c>
      <c r="C20" s="3288"/>
      <c r="D20" s="3274"/>
      <c r="E20" s="3283">
        <f t="shared" si="20"/>
        <v>0</v>
      </c>
      <c r="F20" s="3284">
        <f t="shared" si="1"/>
        <v>0</v>
      </c>
      <c r="G20" s="1608"/>
      <c r="H20" s="3288"/>
      <c r="I20" s="3274"/>
      <c r="J20" s="3283">
        <f t="shared" si="21"/>
        <v>0</v>
      </c>
      <c r="K20" s="3284">
        <f t="shared" si="2"/>
        <v>0</v>
      </c>
      <c r="L20" s="1608"/>
      <c r="M20" s="3274"/>
      <c r="N20" s="3274"/>
      <c r="O20" s="3283">
        <f t="shared" si="22"/>
        <v>0</v>
      </c>
      <c r="P20" s="3284">
        <f t="shared" si="3"/>
        <v>0</v>
      </c>
      <c r="Q20" s="1608"/>
      <c r="R20" s="3274"/>
      <c r="S20" s="3274"/>
      <c r="T20" s="3283">
        <f t="shared" si="23"/>
        <v>0</v>
      </c>
      <c r="U20" s="3284">
        <f t="shared" si="4"/>
        <v>0</v>
      </c>
      <c r="V20" s="1608"/>
      <c r="W20" s="3274">
        <v>0</v>
      </c>
      <c r="X20" s="3274">
        <v>0</v>
      </c>
      <c r="Y20" s="3283">
        <v>0</v>
      </c>
      <c r="Z20" s="3284">
        <v>0</v>
      </c>
      <c r="AA20" s="1608"/>
      <c r="AB20" s="3274">
        <f t="shared" si="5"/>
        <v>0</v>
      </c>
      <c r="AC20" s="3274">
        <f t="shared" si="5"/>
        <v>0</v>
      </c>
      <c r="AD20" s="3283">
        <f t="shared" si="24"/>
        <v>0</v>
      </c>
      <c r="AE20" s="3284">
        <f t="shared" si="6"/>
        <v>0</v>
      </c>
      <c r="AF20" s="1608"/>
      <c r="AG20" s="3274"/>
      <c r="AH20" s="3274"/>
      <c r="AI20" s="3283">
        <f t="shared" si="25"/>
        <v>0</v>
      </c>
      <c r="AJ20" s="3284">
        <f t="shared" si="7"/>
        <v>0</v>
      </c>
      <c r="AK20" s="1608"/>
      <c r="AL20" s="3285"/>
      <c r="AM20" s="3285"/>
      <c r="AN20" s="3286">
        <f t="shared" si="26"/>
        <v>0</v>
      </c>
      <c r="AO20" s="3284">
        <f t="shared" si="8"/>
        <v>0</v>
      </c>
      <c r="AP20" s="1158"/>
      <c r="AQ20" s="3285"/>
      <c r="AR20" s="3285"/>
      <c r="AS20" s="3286">
        <f t="shared" si="27"/>
        <v>0</v>
      </c>
      <c r="AT20" s="3284">
        <f t="shared" si="9"/>
        <v>0</v>
      </c>
      <c r="AU20" s="1158"/>
      <c r="AV20" s="3285"/>
      <c r="AW20" s="3285"/>
      <c r="AX20" s="3286">
        <f t="shared" si="31"/>
        <v>0</v>
      </c>
      <c r="AY20" s="3284">
        <f t="shared" si="10"/>
        <v>0</v>
      </c>
      <c r="AZ20" s="1158"/>
      <c r="BA20" s="3285"/>
      <c r="BB20" s="3285"/>
      <c r="BC20" s="3286">
        <f t="shared" si="32"/>
        <v>0</v>
      </c>
      <c r="BD20" s="3284">
        <f t="shared" si="11"/>
        <v>0</v>
      </c>
      <c r="BE20" s="1158"/>
      <c r="BF20" s="3285"/>
      <c r="BG20" s="3285"/>
      <c r="BH20" s="3286">
        <f t="shared" si="33"/>
        <v>0</v>
      </c>
      <c r="BI20" s="3284">
        <f t="shared" si="12"/>
        <v>0</v>
      </c>
      <c r="BJ20" s="1158"/>
      <c r="BK20" s="3285"/>
      <c r="BL20" s="3285"/>
      <c r="BM20" s="3286">
        <f t="shared" si="34"/>
        <v>0</v>
      </c>
      <c r="BN20" s="3284">
        <f t="shared" si="13"/>
        <v>0</v>
      </c>
      <c r="BO20" s="1158"/>
      <c r="BP20" s="3285"/>
      <c r="BQ20" s="3285"/>
      <c r="BR20" s="3286">
        <f t="shared" si="35"/>
        <v>0</v>
      </c>
      <c r="BS20" s="3284">
        <f t="shared" si="14"/>
        <v>0</v>
      </c>
      <c r="BT20" s="1158"/>
      <c r="BU20" s="3285"/>
      <c r="BV20" s="3285"/>
      <c r="BW20" s="3286">
        <f t="shared" si="36"/>
        <v>0</v>
      </c>
      <c r="BX20" s="3284">
        <f t="shared" si="15"/>
        <v>0</v>
      </c>
      <c r="BY20" s="1158"/>
      <c r="BZ20" s="3285"/>
      <c r="CA20" s="3285"/>
      <c r="CB20" s="3286">
        <f t="shared" si="37"/>
        <v>0</v>
      </c>
      <c r="CC20" s="3284">
        <f t="shared" si="16"/>
        <v>0</v>
      </c>
      <c r="CD20" s="1158"/>
      <c r="CE20" s="3285"/>
      <c r="CF20" s="3285"/>
      <c r="CG20" s="3286">
        <f t="shared" si="38"/>
        <v>0</v>
      </c>
      <c r="CH20" s="3284">
        <f t="shared" si="17"/>
        <v>0</v>
      </c>
      <c r="CI20" s="1158"/>
      <c r="CJ20" s="3285"/>
      <c r="CK20" s="3285"/>
      <c r="CL20" s="3286">
        <f t="shared" si="39"/>
        <v>0</v>
      </c>
      <c r="CM20" s="3284">
        <f t="shared" si="18"/>
        <v>0</v>
      </c>
      <c r="CN20" s="1158"/>
      <c r="CO20" s="3274">
        <f t="shared" si="28"/>
        <v>0</v>
      </c>
      <c r="CP20" s="3274">
        <f t="shared" si="29"/>
        <v>0</v>
      </c>
      <c r="CQ20" s="3283">
        <f t="shared" si="30"/>
        <v>0</v>
      </c>
      <c r="CR20" s="3284">
        <f t="shared" si="0"/>
        <v>0</v>
      </c>
      <c r="CS20" s="1449"/>
    </row>
    <row r="21" spans="1:97" s="1411" customFormat="1" ht="13.8" x14ac:dyDescent="0.25">
      <c r="A21" s="1586"/>
      <c r="B21" s="3289" t="s">
        <v>58</v>
      </c>
      <c r="C21" s="3288"/>
      <c r="D21" s="3274"/>
      <c r="E21" s="3283">
        <f t="shared" si="20"/>
        <v>0</v>
      </c>
      <c r="F21" s="3284">
        <f t="shared" si="1"/>
        <v>0</v>
      </c>
      <c r="G21" s="1608"/>
      <c r="H21" s="3288"/>
      <c r="I21" s="3274"/>
      <c r="J21" s="3283">
        <f t="shared" si="21"/>
        <v>0</v>
      </c>
      <c r="K21" s="3284">
        <f t="shared" si="2"/>
        <v>0</v>
      </c>
      <c r="L21" s="1608"/>
      <c r="M21" s="3274"/>
      <c r="N21" s="3274"/>
      <c r="O21" s="3283">
        <f t="shared" si="22"/>
        <v>0</v>
      </c>
      <c r="P21" s="3284">
        <f t="shared" si="3"/>
        <v>0</v>
      </c>
      <c r="Q21" s="1608"/>
      <c r="R21" s="3274"/>
      <c r="S21" s="3274"/>
      <c r="T21" s="3283">
        <f t="shared" si="23"/>
        <v>0</v>
      </c>
      <c r="U21" s="3284">
        <f t="shared" si="4"/>
        <v>0</v>
      </c>
      <c r="V21" s="1608"/>
      <c r="W21" s="3274">
        <v>0</v>
      </c>
      <c r="X21" s="3274">
        <v>0</v>
      </c>
      <c r="Y21" s="3283">
        <v>0</v>
      </c>
      <c r="Z21" s="3284">
        <v>0</v>
      </c>
      <c r="AA21" s="1608"/>
      <c r="AB21" s="3274">
        <f t="shared" si="5"/>
        <v>0</v>
      </c>
      <c r="AC21" s="3274">
        <f t="shared" si="5"/>
        <v>0</v>
      </c>
      <c r="AD21" s="3283">
        <f t="shared" si="24"/>
        <v>0</v>
      </c>
      <c r="AE21" s="3284">
        <f t="shared" si="6"/>
        <v>0</v>
      </c>
      <c r="AF21" s="1608"/>
      <c r="AG21" s="3274"/>
      <c r="AH21" s="3274"/>
      <c r="AI21" s="3283">
        <f t="shared" si="25"/>
        <v>0</v>
      </c>
      <c r="AJ21" s="3284">
        <f t="shared" si="7"/>
        <v>0</v>
      </c>
      <c r="AK21" s="1608"/>
      <c r="AL21" s="3285"/>
      <c r="AM21" s="3285"/>
      <c r="AN21" s="3286">
        <f t="shared" si="26"/>
        <v>0</v>
      </c>
      <c r="AO21" s="3284">
        <f t="shared" si="8"/>
        <v>0</v>
      </c>
      <c r="AP21" s="1158"/>
      <c r="AQ21" s="3285"/>
      <c r="AR21" s="3285"/>
      <c r="AS21" s="3286">
        <f t="shared" si="27"/>
        <v>0</v>
      </c>
      <c r="AT21" s="3284">
        <f t="shared" si="9"/>
        <v>0</v>
      </c>
      <c r="AU21" s="1158"/>
      <c r="AV21" s="3285"/>
      <c r="AW21" s="3285"/>
      <c r="AX21" s="3286">
        <f t="shared" si="31"/>
        <v>0</v>
      </c>
      <c r="AY21" s="3284">
        <f t="shared" si="10"/>
        <v>0</v>
      </c>
      <c r="AZ21" s="1158"/>
      <c r="BA21" s="3285"/>
      <c r="BB21" s="3285"/>
      <c r="BC21" s="3286">
        <f t="shared" si="32"/>
        <v>0</v>
      </c>
      <c r="BD21" s="3284">
        <f t="shared" si="11"/>
        <v>0</v>
      </c>
      <c r="BE21" s="1158"/>
      <c r="BF21" s="3285"/>
      <c r="BG21" s="3285"/>
      <c r="BH21" s="3286">
        <f t="shared" si="33"/>
        <v>0</v>
      </c>
      <c r="BI21" s="3284">
        <f t="shared" si="12"/>
        <v>0</v>
      </c>
      <c r="BJ21" s="1158"/>
      <c r="BK21" s="3285"/>
      <c r="BL21" s="3285"/>
      <c r="BM21" s="3286">
        <f t="shared" si="34"/>
        <v>0</v>
      </c>
      <c r="BN21" s="3284">
        <f t="shared" si="13"/>
        <v>0</v>
      </c>
      <c r="BO21" s="1158"/>
      <c r="BP21" s="3285"/>
      <c r="BQ21" s="3285"/>
      <c r="BR21" s="3286">
        <f t="shared" si="35"/>
        <v>0</v>
      </c>
      <c r="BS21" s="3284">
        <f t="shared" si="14"/>
        <v>0</v>
      </c>
      <c r="BT21" s="1158"/>
      <c r="BU21" s="3285"/>
      <c r="BV21" s="3285"/>
      <c r="BW21" s="3286">
        <f t="shared" si="36"/>
        <v>0</v>
      </c>
      <c r="BX21" s="3284">
        <f t="shared" si="15"/>
        <v>0</v>
      </c>
      <c r="BY21" s="1158"/>
      <c r="BZ21" s="3285"/>
      <c r="CA21" s="3285"/>
      <c r="CB21" s="3286">
        <f t="shared" si="37"/>
        <v>0</v>
      </c>
      <c r="CC21" s="3284">
        <f t="shared" si="16"/>
        <v>0</v>
      </c>
      <c r="CD21" s="1158"/>
      <c r="CE21" s="3285"/>
      <c r="CF21" s="3285"/>
      <c r="CG21" s="3286">
        <f t="shared" si="38"/>
        <v>0</v>
      </c>
      <c r="CH21" s="3284">
        <f t="shared" si="17"/>
        <v>0</v>
      </c>
      <c r="CI21" s="1158"/>
      <c r="CJ21" s="3285"/>
      <c r="CK21" s="3285"/>
      <c r="CL21" s="3286">
        <f t="shared" si="39"/>
        <v>0</v>
      </c>
      <c r="CM21" s="3284">
        <f t="shared" si="18"/>
        <v>0</v>
      </c>
      <c r="CN21" s="1158"/>
      <c r="CO21" s="3274">
        <f t="shared" si="28"/>
        <v>0</v>
      </c>
      <c r="CP21" s="3274">
        <f t="shared" si="29"/>
        <v>0</v>
      </c>
      <c r="CQ21" s="3283">
        <f t="shared" si="30"/>
        <v>0</v>
      </c>
      <c r="CR21" s="3284">
        <f t="shared" si="0"/>
        <v>0</v>
      </c>
      <c r="CS21" s="1449"/>
    </row>
    <row r="22" spans="1:97" s="1411" customFormat="1" ht="13.8" x14ac:dyDescent="0.25">
      <c r="A22" s="1586"/>
      <c r="B22" s="3289" t="s">
        <v>621</v>
      </c>
      <c r="C22" s="3288"/>
      <c r="D22" s="3274"/>
      <c r="E22" s="3283"/>
      <c r="F22" s="3284">
        <f t="shared" si="1"/>
        <v>0</v>
      </c>
      <c r="G22" s="1608"/>
      <c r="H22" s="3288"/>
      <c r="I22" s="3274"/>
      <c r="J22" s="3283"/>
      <c r="K22" s="3284">
        <f t="shared" si="2"/>
        <v>0</v>
      </c>
      <c r="L22" s="1608"/>
      <c r="M22" s="3274"/>
      <c r="N22" s="3274"/>
      <c r="O22" s="3283"/>
      <c r="P22" s="3284">
        <f t="shared" si="3"/>
        <v>0</v>
      </c>
      <c r="Q22" s="1608"/>
      <c r="R22" s="3274"/>
      <c r="S22" s="3274"/>
      <c r="T22" s="3283">
        <f t="shared" si="23"/>
        <v>0</v>
      </c>
      <c r="U22" s="3284">
        <f t="shared" si="4"/>
        <v>0</v>
      </c>
      <c r="V22" s="1608"/>
      <c r="W22" s="3274">
        <v>0</v>
      </c>
      <c r="X22" s="3274">
        <v>0</v>
      </c>
      <c r="Y22" s="3283"/>
      <c r="Z22" s="3284">
        <v>0</v>
      </c>
      <c r="AA22" s="1608"/>
      <c r="AB22" s="3274">
        <f t="shared" si="5"/>
        <v>0</v>
      </c>
      <c r="AC22" s="3274">
        <f t="shared" si="5"/>
        <v>0</v>
      </c>
      <c r="AD22" s="3283"/>
      <c r="AE22" s="3284">
        <f t="shared" si="6"/>
        <v>0</v>
      </c>
      <c r="AF22" s="1608"/>
      <c r="AG22" s="3274"/>
      <c r="AH22" s="3274"/>
      <c r="AI22" s="3283">
        <f t="shared" si="25"/>
        <v>0</v>
      </c>
      <c r="AJ22" s="3284">
        <f t="shared" si="7"/>
        <v>0</v>
      </c>
      <c r="AK22" s="1608"/>
      <c r="AL22" s="3285"/>
      <c r="AM22" s="3285"/>
      <c r="AN22" s="3286">
        <f t="shared" si="26"/>
        <v>0</v>
      </c>
      <c r="AO22" s="3284">
        <f t="shared" si="8"/>
        <v>0</v>
      </c>
      <c r="AP22" s="1158"/>
      <c r="AQ22" s="3285"/>
      <c r="AR22" s="3285"/>
      <c r="AS22" s="3286">
        <f t="shared" si="27"/>
        <v>0</v>
      </c>
      <c r="AT22" s="3284">
        <f t="shared" si="9"/>
        <v>0</v>
      </c>
      <c r="AU22" s="1158"/>
      <c r="AV22" s="3285"/>
      <c r="AW22" s="3285"/>
      <c r="AX22" s="3286">
        <f t="shared" si="31"/>
        <v>0</v>
      </c>
      <c r="AY22" s="3284">
        <f t="shared" si="10"/>
        <v>0</v>
      </c>
      <c r="AZ22" s="1158"/>
      <c r="BA22" s="3285"/>
      <c r="BB22" s="3285"/>
      <c r="BC22" s="3286">
        <f t="shared" si="32"/>
        <v>0</v>
      </c>
      <c r="BD22" s="3284">
        <f t="shared" si="11"/>
        <v>0</v>
      </c>
      <c r="BE22" s="1158"/>
      <c r="BF22" s="3285"/>
      <c r="BG22" s="3285"/>
      <c r="BH22" s="3286">
        <f t="shared" si="33"/>
        <v>0</v>
      </c>
      <c r="BI22" s="3284">
        <f t="shared" si="12"/>
        <v>0</v>
      </c>
      <c r="BJ22" s="1158"/>
      <c r="BK22" s="3285"/>
      <c r="BL22" s="3285"/>
      <c r="BM22" s="3286">
        <f t="shared" si="34"/>
        <v>0</v>
      </c>
      <c r="BN22" s="3284">
        <f t="shared" si="13"/>
        <v>0</v>
      </c>
      <c r="BO22" s="1158"/>
      <c r="BP22" s="3285"/>
      <c r="BQ22" s="3285"/>
      <c r="BR22" s="3286">
        <f t="shared" si="35"/>
        <v>0</v>
      </c>
      <c r="BS22" s="3284">
        <f t="shared" si="14"/>
        <v>0</v>
      </c>
      <c r="BT22" s="1158"/>
      <c r="BU22" s="3285"/>
      <c r="BV22" s="3285"/>
      <c r="BW22" s="3286">
        <f t="shared" si="36"/>
        <v>0</v>
      </c>
      <c r="BX22" s="3284">
        <f t="shared" si="15"/>
        <v>0</v>
      </c>
      <c r="BY22" s="1158"/>
      <c r="BZ22" s="3285"/>
      <c r="CA22" s="3285"/>
      <c r="CB22" s="3286">
        <f t="shared" si="37"/>
        <v>0</v>
      </c>
      <c r="CC22" s="3284">
        <f t="shared" si="16"/>
        <v>0</v>
      </c>
      <c r="CD22" s="1158"/>
      <c r="CE22" s="3285"/>
      <c r="CF22" s="3285"/>
      <c r="CG22" s="3286">
        <f t="shared" si="38"/>
        <v>0</v>
      </c>
      <c r="CH22" s="3284">
        <f t="shared" si="17"/>
        <v>0</v>
      </c>
      <c r="CI22" s="1158"/>
      <c r="CJ22" s="3285"/>
      <c r="CK22" s="3285"/>
      <c r="CL22" s="3286">
        <f t="shared" si="39"/>
        <v>0</v>
      </c>
      <c r="CM22" s="3284">
        <f t="shared" si="18"/>
        <v>0</v>
      </c>
      <c r="CN22" s="1158"/>
      <c r="CO22" s="3274">
        <f t="shared" si="28"/>
        <v>0</v>
      </c>
      <c r="CP22" s="3274">
        <f t="shared" si="29"/>
        <v>0</v>
      </c>
      <c r="CQ22" s="3283"/>
      <c r="CR22" s="3284"/>
      <c r="CS22" s="1449"/>
    </row>
    <row r="23" spans="1:97" s="1411" customFormat="1" ht="13.8" x14ac:dyDescent="0.25">
      <c r="A23" s="1586"/>
      <c r="B23" s="3289" t="s">
        <v>630</v>
      </c>
      <c r="C23" s="3288"/>
      <c r="D23" s="3274"/>
      <c r="E23" s="3283"/>
      <c r="F23" s="3284">
        <f t="shared" si="1"/>
        <v>0</v>
      </c>
      <c r="G23" s="1608"/>
      <c r="H23" s="3288"/>
      <c r="I23" s="3274"/>
      <c r="J23" s="3283"/>
      <c r="K23" s="3284">
        <f t="shared" si="2"/>
        <v>0</v>
      </c>
      <c r="L23" s="1608"/>
      <c r="M23" s="3274"/>
      <c r="N23" s="3274"/>
      <c r="O23" s="3283"/>
      <c r="P23" s="3284">
        <f t="shared" si="3"/>
        <v>0</v>
      </c>
      <c r="Q23" s="1608"/>
      <c r="R23" s="3274"/>
      <c r="S23" s="3274"/>
      <c r="T23" s="3283">
        <f t="shared" si="23"/>
        <v>0</v>
      </c>
      <c r="U23" s="3284">
        <f t="shared" si="4"/>
        <v>0</v>
      </c>
      <c r="V23" s="3276"/>
      <c r="W23" s="3274">
        <v>0</v>
      </c>
      <c r="X23" s="3274">
        <v>0</v>
      </c>
      <c r="Y23" s="3283"/>
      <c r="Z23" s="3284">
        <v>0</v>
      </c>
      <c r="AA23" s="1608"/>
      <c r="AB23" s="3274">
        <f t="shared" si="5"/>
        <v>0</v>
      </c>
      <c r="AC23" s="3274">
        <f t="shared" si="5"/>
        <v>0</v>
      </c>
      <c r="AD23" s="3283"/>
      <c r="AE23" s="3284">
        <f t="shared" si="6"/>
        <v>0</v>
      </c>
      <c r="AF23" s="1608"/>
      <c r="AG23" s="3274"/>
      <c r="AH23" s="3274"/>
      <c r="AI23" s="3283">
        <f t="shared" si="25"/>
        <v>0</v>
      </c>
      <c r="AJ23" s="3284">
        <f t="shared" si="7"/>
        <v>0</v>
      </c>
      <c r="AK23" s="3276"/>
      <c r="AL23" s="3285"/>
      <c r="AM23" s="3285"/>
      <c r="AN23" s="3286">
        <f t="shared" si="26"/>
        <v>0</v>
      </c>
      <c r="AO23" s="3284">
        <f t="shared" si="8"/>
        <v>0</v>
      </c>
      <c r="AP23" s="3291"/>
      <c r="AQ23" s="3285"/>
      <c r="AR23" s="3285"/>
      <c r="AS23" s="3286">
        <f t="shared" si="27"/>
        <v>0</v>
      </c>
      <c r="AT23" s="3284">
        <f t="shared" si="9"/>
        <v>0</v>
      </c>
      <c r="AU23" s="3291"/>
      <c r="AV23" s="3285"/>
      <c r="AW23" s="3285"/>
      <c r="AX23" s="3286">
        <f t="shared" si="31"/>
        <v>0</v>
      </c>
      <c r="AY23" s="3284">
        <f t="shared" si="10"/>
        <v>0</v>
      </c>
      <c r="AZ23" s="3291"/>
      <c r="BA23" s="3285"/>
      <c r="BB23" s="3285"/>
      <c r="BC23" s="3286">
        <f t="shared" si="32"/>
        <v>0</v>
      </c>
      <c r="BD23" s="3284">
        <f t="shared" si="11"/>
        <v>0</v>
      </c>
      <c r="BE23" s="3291"/>
      <c r="BF23" s="3285"/>
      <c r="BG23" s="3285"/>
      <c r="BH23" s="3286">
        <f t="shared" si="33"/>
        <v>0</v>
      </c>
      <c r="BI23" s="3284">
        <f t="shared" si="12"/>
        <v>0</v>
      </c>
      <c r="BJ23" s="3291"/>
      <c r="BK23" s="3285"/>
      <c r="BL23" s="3285"/>
      <c r="BM23" s="3286">
        <f t="shared" si="34"/>
        <v>0</v>
      </c>
      <c r="BN23" s="3284">
        <f t="shared" si="13"/>
        <v>0</v>
      </c>
      <c r="BO23" s="3291"/>
      <c r="BP23" s="3285"/>
      <c r="BQ23" s="3285"/>
      <c r="BR23" s="3286">
        <f t="shared" si="35"/>
        <v>0</v>
      </c>
      <c r="BS23" s="3284">
        <f t="shared" si="14"/>
        <v>0</v>
      </c>
      <c r="BT23" s="3291"/>
      <c r="BU23" s="3285"/>
      <c r="BV23" s="3285"/>
      <c r="BW23" s="3286">
        <f t="shared" si="36"/>
        <v>0</v>
      </c>
      <c r="BX23" s="3284">
        <f t="shared" si="15"/>
        <v>0</v>
      </c>
      <c r="BY23" s="3291"/>
      <c r="BZ23" s="3285"/>
      <c r="CA23" s="3285"/>
      <c r="CB23" s="3286">
        <f t="shared" si="37"/>
        <v>0</v>
      </c>
      <c r="CC23" s="3284">
        <f t="shared" si="16"/>
        <v>0</v>
      </c>
      <c r="CD23" s="3291"/>
      <c r="CE23" s="3285"/>
      <c r="CF23" s="3285"/>
      <c r="CG23" s="3286">
        <f t="shared" si="38"/>
        <v>0</v>
      </c>
      <c r="CH23" s="3284">
        <f t="shared" si="17"/>
        <v>0</v>
      </c>
      <c r="CI23" s="3291"/>
      <c r="CJ23" s="3285"/>
      <c r="CK23" s="3285"/>
      <c r="CL23" s="3286">
        <f t="shared" si="39"/>
        <v>0</v>
      </c>
      <c r="CM23" s="3284">
        <f t="shared" si="18"/>
        <v>0</v>
      </c>
      <c r="CN23" s="3291"/>
      <c r="CO23" s="3274">
        <f t="shared" si="28"/>
        <v>0</v>
      </c>
      <c r="CP23" s="3274">
        <f t="shared" si="29"/>
        <v>0</v>
      </c>
      <c r="CQ23" s="3283"/>
      <c r="CR23" s="3284"/>
      <c r="CS23" s="1449"/>
    </row>
    <row r="24" spans="1:97" s="1411" customFormat="1" ht="13.8" x14ac:dyDescent="0.25">
      <c r="A24" s="1586"/>
      <c r="B24" s="3289" t="s">
        <v>23</v>
      </c>
      <c r="C24" s="3288"/>
      <c r="D24" s="3274"/>
      <c r="E24" s="3283">
        <f t="shared" ref="E24:E33" si="40">C24+D24*1</f>
        <v>0</v>
      </c>
      <c r="F24" s="3284">
        <f t="shared" si="1"/>
        <v>0</v>
      </c>
      <c r="G24" s="1608"/>
      <c r="H24" s="3288"/>
      <c r="I24" s="3274"/>
      <c r="J24" s="3283">
        <f t="shared" ref="J24:J33" si="41">H24+I24*1</f>
        <v>0</v>
      </c>
      <c r="K24" s="3284">
        <f t="shared" si="2"/>
        <v>0</v>
      </c>
      <c r="L24" s="1608"/>
      <c r="M24" s="3274"/>
      <c r="N24" s="3274"/>
      <c r="O24" s="3283">
        <f t="shared" ref="O24:O33" si="42">M24+N24*1</f>
        <v>0</v>
      </c>
      <c r="P24" s="3284">
        <f t="shared" si="3"/>
        <v>0</v>
      </c>
      <c r="Q24" s="1608"/>
      <c r="R24" s="3274"/>
      <c r="S24" s="3274">
        <v>4050</v>
      </c>
      <c r="T24" s="3283">
        <f t="shared" si="23"/>
        <v>4050</v>
      </c>
      <c r="U24" s="3284">
        <f t="shared" si="4"/>
        <v>0</v>
      </c>
      <c r="V24" s="3276" t="s">
        <v>1471</v>
      </c>
      <c r="W24" s="3274">
        <v>0</v>
      </c>
      <c r="X24" s="3274">
        <v>0</v>
      </c>
      <c r="Y24" s="3283">
        <v>0</v>
      </c>
      <c r="Z24" s="3284">
        <v>0</v>
      </c>
      <c r="AA24" s="3276"/>
      <c r="AB24" s="3274">
        <f t="shared" si="5"/>
        <v>0</v>
      </c>
      <c r="AC24" s="3274">
        <f t="shared" si="5"/>
        <v>0</v>
      </c>
      <c r="AD24" s="3283">
        <f t="shared" ref="AD24:AD33" si="43">AB24+AC24*1</f>
        <v>0</v>
      </c>
      <c r="AE24" s="3284">
        <f t="shared" si="6"/>
        <v>0</v>
      </c>
      <c r="AF24" s="3276"/>
      <c r="AG24" s="3274"/>
      <c r="AH24" s="3274"/>
      <c r="AI24" s="3283">
        <f t="shared" si="25"/>
        <v>0</v>
      </c>
      <c r="AJ24" s="3284">
        <f t="shared" si="7"/>
        <v>0</v>
      </c>
      <c r="AK24" s="3276"/>
      <c r="AL24" s="3285"/>
      <c r="AM24" s="3285"/>
      <c r="AN24" s="3286">
        <f t="shared" si="26"/>
        <v>0</v>
      </c>
      <c r="AO24" s="3284">
        <f t="shared" si="8"/>
        <v>0</v>
      </c>
      <c r="AP24" s="3291"/>
      <c r="AQ24" s="3285"/>
      <c r="AR24" s="3285"/>
      <c r="AS24" s="3286">
        <f t="shared" si="27"/>
        <v>0</v>
      </c>
      <c r="AT24" s="3284">
        <f t="shared" si="9"/>
        <v>0</v>
      </c>
      <c r="AU24" s="3291"/>
      <c r="AV24" s="3285"/>
      <c r="AW24" s="3285"/>
      <c r="AX24" s="3286">
        <f t="shared" si="31"/>
        <v>0</v>
      </c>
      <c r="AY24" s="3284">
        <f t="shared" si="10"/>
        <v>0</v>
      </c>
      <c r="AZ24" s="3291"/>
      <c r="BA24" s="3285"/>
      <c r="BB24" s="3285"/>
      <c r="BC24" s="3286">
        <f t="shared" si="32"/>
        <v>0</v>
      </c>
      <c r="BD24" s="3284">
        <f t="shared" si="11"/>
        <v>0</v>
      </c>
      <c r="BE24" s="3291"/>
      <c r="BF24" s="3285"/>
      <c r="BG24" s="3285"/>
      <c r="BH24" s="3286">
        <f t="shared" si="33"/>
        <v>0</v>
      </c>
      <c r="BI24" s="3284">
        <f t="shared" si="12"/>
        <v>0</v>
      </c>
      <c r="BJ24" s="3291"/>
      <c r="BK24" s="3285"/>
      <c r="BL24" s="3285"/>
      <c r="BM24" s="3286">
        <f t="shared" si="34"/>
        <v>0</v>
      </c>
      <c r="BN24" s="3284">
        <f t="shared" si="13"/>
        <v>0</v>
      </c>
      <c r="BO24" s="3291"/>
      <c r="BP24" s="3285"/>
      <c r="BQ24" s="3285"/>
      <c r="BR24" s="3286">
        <f t="shared" si="35"/>
        <v>0</v>
      </c>
      <c r="BS24" s="3284">
        <f t="shared" si="14"/>
        <v>0</v>
      </c>
      <c r="BT24" s="3291"/>
      <c r="BU24" s="3285"/>
      <c r="BV24" s="3285"/>
      <c r="BW24" s="3286">
        <f t="shared" si="36"/>
        <v>0</v>
      </c>
      <c r="BX24" s="3284">
        <f t="shared" si="15"/>
        <v>0</v>
      </c>
      <c r="BY24" s="3291"/>
      <c r="BZ24" s="3285"/>
      <c r="CA24" s="3285"/>
      <c r="CB24" s="3286">
        <f t="shared" si="37"/>
        <v>0</v>
      </c>
      <c r="CC24" s="3284">
        <f t="shared" si="16"/>
        <v>0</v>
      </c>
      <c r="CD24" s="3291"/>
      <c r="CE24" s="3285"/>
      <c r="CF24" s="3285"/>
      <c r="CG24" s="3286">
        <f t="shared" si="38"/>
        <v>0</v>
      </c>
      <c r="CH24" s="3284">
        <f t="shared" si="17"/>
        <v>0</v>
      </c>
      <c r="CI24" s="3291"/>
      <c r="CJ24" s="3285"/>
      <c r="CK24" s="3285"/>
      <c r="CL24" s="3286">
        <f t="shared" si="39"/>
        <v>0</v>
      </c>
      <c r="CM24" s="3284">
        <f t="shared" si="18"/>
        <v>0</v>
      </c>
      <c r="CN24" s="3291"/>
      <c r="CO24" s="3274">
        <f t="shared" si="28"/>
        <v>0</v>
      </c>
      <c r="CP24" s="3274">
        <f t="shared" si="29"/>
        <v>4050</v>
      </c>
      <c r="CQ24" s="3283">
        <f t="shared" si="30"/>
        <v>4050</v>
      </c>
      <c r="CR24" s="3284">
        <f t="shared" ref="CR24:CR33" si="44">CQ24/$CQ$89</f>
        <v>1.7804730046776347E-3</v>
      </c>
      <c r="CS24" s="1449"/>
    </row>
    <row r="25" spans="1:97" s="1411" customFormat="1" ht="60" x14ac:dyDescent="0.25">
      <c r="A25" s="1586"/>
      <c r="B25" s="3289" t="s">
        <v>24</v>
      </c>
      <c r="C25" s="3288"/>
      <c r="D25" s="3274"/>
      <c r="E25" s="3283">
        <f t="shared" si="40"/>
        <v>0</v>
      </c>
      <c r="F25" s="3284">
        <f t="shared" si="1"/>
        <v>0</v>
      </c>
      <c r="G25" s="1376"/>
      <c r="H25" s="3288"/>
      <c r="I25" s="3274"/>
      <c r="J25" s="3283">
        <f t="shared" si="41"/>
        <v>0</v>
      </c>
      <c r="K25" s="3284">
        <f t="shared" si="2"/>
        <v>0</v>
      </c>
      <c r="L25" s="1376"/>
      <c r="M25" s="3274">
        <v>5586.03</v>
      </c>
      <c r="N25" s="3274"/>
      <c r="O25" s="3283">
        <f t="shared" si="42"/>
        <v>5586.03</v>
      </c>
      <c r="P25" s="3284">
        <f t="shared" si="3"/>
        <v>0</v>
      </c>
      <c r="Q25" s="3276" t="s">
        <v>1455</v>
      </c>
      <c r="R25" s="3274">
        <f>(6420+12840+1601.46+104.97+2022.41+1185.78+844.34+513.6+462.37+1725.78+308.16/6+(1336.24+1617.76+989.12)/5)*1.2</f>
        <v>34272.832799999996</v>
      </c>
      <c r="S25" s="3274">
        <v>1736</v>
      </c>
      <c r="T25" s="3283">
        <f t="shared" si="23"/>
        <v>36008.832799999996</v>
      </c>
      <c r="U25" s="3284">
        <f t="shared" si="4"/>
        <v>0</v>
      </c>
      <c r="V25" s="3276" t="s">
        <v>1475</v>
      </c>
      <c r="W25" s="3274">
        <v>898.9799999999999</v>
      </c>
      <c r="X25" s="3274">
        <v>0</v>
      </c>
      <c r="Y25" s="3283">
        <v>898.9799999999999</v>
      </c>
      <c r="Z25" s="3284">
        <v>3.0475982671850114E-3</v>
      </c>
      <c r="AA25" s="1376"/>
      <c r="AB25" s="3274">
        <f t="shared" si="5"/>
        <v>0</v>
      </c>
      <c r="AC25" s="3274">
        <f t="shared" si="5"/>
        <v>0</v>
      </c>
      <c r="AD25" s="3283">
        <f t="shared" si="43"/>
        <v>0</v>
      </c>
      <c r="AE25" s="3284">
        <f t="shared" si="6"/>
        <v>0</v>
      </c>
      <c r="AF25" s="1376"/>
      <c r="AG25" s="3274"/>
      <c r="AH25" s="3274"/>
      <c r="AI25" s="3283">
        <f t="shared" si="25"/>
        <v>0</v>
      </c>
      <c r="AJ25" s="3284">
        <f t="shared" si="7"/>
        <v>0</v>
      </c>
      <c r="AK25" s="3276"/>
      <c r="AL25" s="3285"/>
      <c r="AM25" s="3285"/>
      <c r="AN25" s="3286">
        <f t="shared" si="26"/>
        <v>0</v>
      </c>
      <c r="AO25" s="3284">
        <f t="shared" si="8"/>
        <v>0</v>
      </c>
      <c r="AP25" s="3291"/>
      <c r="AQ25" s="3285"/>
      <c r="AR25" s="3285"/>
      <c r="AS25" s="3286">
        <f t="shared" si="27"/>
        <v>0</v>
      </c>
      <c r="AT25" s="3284">
        <f t="shared" si="9"/>
        <v>0</v>
      </c>
      <c r="AU25" s="3291"/>
      <c r="AV25" s="3285"/>
      <c r="AW25" s="3285"/>
      <c r="AX25" s="3286">
        <f t="shared" si="31"/>
        <v>0</v>
      </c>
      <c r="AY25" s="3284">
        <f t="shared" si="10"/>
        <v>0</v>
      </c>
      <c r="AZ25" s="3291"/>
      <c r="BA25" s="3285"/>
      <c r="BB25" s="3285"/>
      <c r="BC25" s="3286">
        <f t="shared" si="32"/>
        <v>0</v>
      </c>
      <c r="BD25" s="3284">
        <f t="shared" si="11"/>
        <v>0</v>
      </c>
      <c r="BE25" s="3291"/>
      <c r="BF25" s="3285"/>
      <c r="BG25" s="3285"/>
      <c r="BH25" s="3286">
        <f t="shared" si="33"/>
        <v>0</v>
      </c>
      <c r="BI25" s="3284">
        <f t="shared" si="12"/>
        <v>0</v>
      </c>
      <c r="BJ25" s="3291"/>
      <c r="BK25" s="3285"/>
      <c r="BL25" s="3285"/>
      <c r="BM25" s="3286">
        <f t="shared" si="34"/>
        <v>0</v>
      </c>
      <c r="BN25" s="3284">
        <f t="shared" si="13"/>
        <v>0</v>
      </c>
      <c r="BO25" s="3291"/>
      <c r="BP25" s="3285"/>
      <c r="BQ25" s="3285"/>
      <c r="BR25" s="3286">
        <f t="shared" si="35"/>
        <v>0</v>
      </c>
      <c r="BS25" s="3284">
        <f t="shared" si="14"/>
        <v>0</v>
      </c>
      <c r="BT25" s="3291"/>
      <c r="BU25" s="3285"/>
      <c r="BV25" s="3285"/>
      <c r="BW25" s="3286">
        <f t="shared" si="36"/>
        <v>0</v>
      </c>
      <c r="BX25" s="3284">
        <f t="shared" si="15"/>
        <v>0</v>
      </c>
      <c r="BY25" s="3291"/>
      <c r="BZ25" s="3285"/>
      <c r="CA25" s="3285"/>
      <c r="CB25" s="3286">
        <f t="shared" si="37"/>
        <v>0</v>
      </c>
      <c r="CC25" s="3284">
        <f t="shared" si="16"/>
        <v>0</v>
      </c>
      <c r="CD25" s="3291"/>
      <c r="CE25" s="3285"/>
      <c r="CF25" s="3285"/>
      <c r="CG25" s="3286">
        <f t="shared" si="38"/>
        <v>0</v>
      </c>
      <c r="CH25" s="3284">
        <f t="shared" si="17"/>
        <v>0</v>
      </c>
      <c r="CI25" s="3291"/>
      <c r="CJ25" s="3285"/>
      <c r="CK25" s="3285"/>
      <c r="CL25" s="3286">
        <f t="shared" si="39"/>
        <v>0</v>
      </c>
      <c r="CM25" s="3284">
        <f t="shared" si="18"/>
        <v>0</v>
      </c>
      <c r="CN25" s="3291"/>
      <c r="CO25" s="3274">
        <f t="shared" si="28"/>
        <v>40757.842799999999</v>
      </c>
      <c r="CP25" s="3274">
        <f t="shared" si="29"/>
        <v>1736</v>
      </c>
      <c r="CQ25" s="3283">
        <f t="shared" si="30"/>
        <v>42493.842799999999</v>
      </c>
      <c r="CR25" s="3284">
        <f t="shared" si="44"/>
        <v>1.8681269128497546E-2</v>
      </c>
      <c r="CS25" s="1449"/>
    </row>
    <row r="26" spans="1:97" s="1411" customFormat="1" ht="13.8" x14ac:dyDescent="0.25">
      <c r="A26" s="1586"/>
      <c r="B26" s="3289" t="s">
        <v>45</v>
      </c>
      <c r="C26" s="3288"/>
      <c r="D26" s="3274"/>
      <c r="E26" s="3283">
        <f t="shared" si="40"/>
        <v>0</v>
      </c>
      <c r="F26" s="3284">
        <f t="shared" si="1"/>
        <v>0</v>
      </c>
      <c r="G26" s="1608"/>
      <c r="H26" s="3288"/>
      <c r="I26" s="3274"/>
      <c r="J26" s="3283">
        <f t="shared" si="41"/>
        <v>0</v>
      </c>
      <c r="K26" s="3284">
        <f t="shared" si="2"/>
        <v>0</v>
      </c>
      <c r="L26" s="1608"/>
      <c r="M26" s="3274"/>
      <c r="N26" s="3274"/>
      <c r="O26" s="3283">
        <f t="shared" si="42"/>
        <v>0</v>
      </c>
      <c r="P26" s="3284">
        <f t="shared" si="3"/>
        <v>0</v>
      </c>
      <c r="Q26" s="1608"/>
      <c r="R26" s="3274"/>
      <c r="S26" s="3274"/>
      <c r="T26" s="3283">
        <f t="shared" si="23"/>
        <v>0</v>
      </c>
      <c r="U26" s="3284">
        <f t="shared" si="4"/>
        <v>0</v>
      </c>
      <c r="V26" s="1608"/>
      <c r="W26" s="3274">
        <v>0</v>
      </c>
      <c r="X26" s="3274">
        <v>0</v>
      </c>
      <c r="Y26" s="3283">
        <v>0</v>
      </c>
      <c r="Z26" s="3284">
        <v>0</v>
      </c>
      <c r="AA26" s="1608"/>
      <c r="AB26" s="3274">
        <f t="shared" si="5"/>
        <v>0</v>
      </c>
      <c r="AC26" s="3274">
        <f t="shared" si="5"/>
        <v>0</v>
      </c>
      <c r="AD26" s="3283">
        <f t="shared" si="43"/>
        <v>0</v>
      </c>
      <c r="AE26" s="3284">
        <f t="shared" si="6"/>
        <v>0</v>
      </c>
      <c r="AF26" s="1608"/>
      <c r="AG26" s="3274"/>
      <c r="AH26" s="3274"/>
      <c r="AI26" s="3283">
        <f t="shared" si="25"/>
        <v>0</v>
      </c>
      <c r="AJ26" s="3284">
        <f t="shared" si="7"/>
        <v>0</v>
      </c>
      <c r="AK26" s="1608"/>
      <c r="AL26" s="3285"/>
      <c r="AM26" s="3285"/>
      <c r="AN26" s="3286">
        <f t="shared" si="26"/>
        <v>0</v>
      </c>
      <c r="AO26" s="3284">
        <f t="shared" si="8"/>
        <v>0</v>
      </c>
      <c r="AP26" s="1158"/>
      <c r="AQ26" s="3285"/>
      <c r="AR26" s="3285"/>
      <c r="AS26" s="3286">
        <f t="shared" si="27"/>
        <v>0</v>
      </c>
      <c r="AT26" s="3284">
        <f t="shared" si="9"/>
        <v>0</v>
      </c>
      <c r="AU26" s="1158"/>
      <c r="AV26" s="3285"/>
      <c r="AW26" s="3285"/>
      <c r="AX26" s="3286">
        <f t="shared" si="31"/>
        <v>0</v>
      </c>
      <c r="AY26" s="3284">
        <f t="shared" si="10"/>
        <v>0</v>
      </c>
      <c r="AZ26" s="1158"/>
      <c r="BA26" s="3285"/>
      <c r="BB26" s="3285"/>
      <c r="BC26" s="3286">
        <f t="shared" si="32"/>
        <v>0</v>
      </c>
      <c r="BD26" s="3284">
        <f t="shared" si="11"/>
        <v>0</v>
      </c>
      <c r="BE26" s="1158"/>
      <c r="BF26" s="3285"/>
      <c r="BG26" s="3285"/>
      <c r="BH26" s="3286">
        <f t="shared" si="33"/>
        <v>0</v>
      </c>
      <c r="BI26" s="3284">
        <f t="shared" si="12"/>
        <v>0</v>
      </c>
      <c r="BJ26" s="1158"/>
      <c r="BK26" s="3285"/>
      <c r="BL26" s="3285"/>
      <c r="BM26" s="3286">
        <f t="shared" si="34"/>
        <v>0</v>
      </c>
      <c r="BN26" s="3284">
        <f t="shared" si="13"/>
        <v>0</v>
      </c>
      <c r="BO26" s="1158"/>
      <c r="BP26" s="3285"/>
      <c r="BQ26" s="3285"/>
      <c r="BR26" s="3286">
        <f t="shared" si="35"/>
        <v>0</v>
      </c>
      <c r="BS26" s="3284">
        <f t="shared" si="14"/>
        <v>0</v>
      </c>
      <c r="BT26" s="1158"/>
      <c r="BU26" s="3285"/>
      <c r="BV26" s="3285"/>
      <c r="BW26" s="3286">
        <f t="shared" si="36"/>
        <v>0</v>
      </c>
      <c r="BX26" s="3284">
        <f t="shared" si="15"/>
        <v>0</v>
      </c>
      <c r="BY26" s="1158"/>
      <c r="BZ26" s="3285"/>
      <c r="CA26" s="3285"/>
      <c r="CB26" s="3286">
        <f t="shared" si="37"/>
        <v>0</v>
      </c>
      <c r="CC26" s="3284">
        <f t="shared" si="16"/>
        <v>0</v>
      </c>
      <c r="CD26" s="1158"/>
      <c r="CE26" s="3285"/>
      <c r="CF26" s="3285"/>
      <c r="CG26" s="3286">
        <f t="shared" si="38"/>
        <v>0</v>
      </c>
      <c r="CH26" s="3284">
        <f t="shared" si="17"/>
        <v>0</v>
      </c>
      <c r="CI26" s="1158"/>
      <c r="CJ26" s="3285"/>
      <c r="CK26" s="3285"/>
      <c r="CL26" s="3286">
        <f t="shared" si="39"/>
        <v>0</v>
      </c>
      <c r="CM26" s="3284">
        <f t="shared" si="18"/>
        <v>0</v>
      </c>
      <c r="CN26" s="1158"/>
      <c r="CO26" s="3274">
        <f t="shared" si="28"/>
        <v>0</v>
      </c>
      <c r="CP26" s="3274">
        <f t="shared" si="29"/>
        <v>0</v>
      </c>
      <c r="CQ26" s="3283">
        <f t="shared" si="30"/>
        <v>0</v>
      </c>
      <c r="CR26" s="3284">
        <f t="shared" si="44"/>
        <v>0</v>
      </c>
      <c r="CS26" s="1449"/>
    </row>
    <row r="27" spans="1:97" s="1411" customFormat="1" ht="26.4" customHeight="1" x14ac:dyDescent="0.25">
      <c r="A27" s="1586"/>
      <c r="B27" s="3289" t="s">
        <v>25</v>
      </c>
      <c r="C27" s="3288"/>
      <c r="D27" s="3274"/>
      <c r="E27" s="3283">
        <f t="shared" si="40"/>
        <v>0</v>
      </c>
      <c r="F27" s="3284">
        <f t="shared" si="1"/>
        <v>0</v>
      </c>
      <c r="G27" s="3275"/>
      <c r="H27" s="3288">
        <f>22728+102428.22+4300</f>
        <v>129456.22</v>
      </c>
      <c r="I27" s="3274"/>
      <c r="J27" s="3283">
        <f t="shared" si="41"/>
        <v>129456.22</v>
      </c>
      <c r="K27" s="3284">
        <f t="shared" si="2"/>
        <v>0.65758032550412338</v>
      </c>
      <c r="L27" s="3275" t="s">
        <v>1600</v>
      </c>
      <c r="M27" s="3274"/>
      <c r="N27" s="3274"/>
      <c r="O27" s="3283">
        <f t="shared" si="42"/>
        <v>0</v>
      </c>
      <c r="P27" s="3284">
        <f t="shared" si="3"/>
        <v>0.6782248480134786</v>
      </c>
      <c r="Q27" s="1608"/>
      <c r="R27" s="3292"/>
      <c r="S27" s="3274"/>
      <c r="T27" s="3283">
        <f t="shared" si="23"/>
        <v>0</v>
      </c>
      <c r="U27" s="3284">
        <f t="shared" si="4"/>
        <v>0.43886465966798111</v>
      </c>
      <c r="V27" s="3293"/>
      <c r="W27" s="3274">
        <v>7428</v>
      </c>
      <c r="X27" s="3274">
        <v>0</v>
      </c>
      <c r="Y27" s="3283">
        <v>7428</v>
      </c>
      <c r="Z27" s="3284">
        <v>2.5181383266201993E-2</v>
      </c>
      <c r="AA27" s="1608"/>
      <c r="AB27" s="3274">
        <f t="shared" si="5"/>
        <v>48291.473999999995</v>
      </c>
      <c r="AC27" s="3274">
        <f t="shared" si="5"/>
        <v>0</v>
      </c>
      <c r="AD27" s="3283">
        <f t="shared" si="43"/>
        <v>48291.473999999995</v>
      </c>
      <c r="AE27" s="3284">
        <f t="shared" si="6"/>
        <v>0.16371110868118316</v>
      </c>
      <c r="AF27" s="1608"/>
      <c r="AG27" s="3292"/>
      <c r="AH27" s="3274"/>
      <c r="AI27" s="3283">
        <f t="shared" si="25"/>
        <v>0</v>
      </c>
      <c r="AJ27" s="3284">
        <f t="shared" si="7"/>
        <v>0</v>
      </c>
      <c r="AK27" s="3293"/>
      <c r="AL27" s="3285">
        <v>39729.99</v>
      </c>
      <c r="AM27" s="3285"/>
      <c r="AN27" s="3286">
        <f t="shared" si="26"/>
        <v>39729.99</v>
      </c>
      <c r="AO27" s="3284">
        <f t="shared" si="8"/>
        <v>0.21140399993493347</v>
      </c>
      <c r="AP27" s="3291" t="s">
        <v>2167</v>
      </c>
      <c r="AQ27" s="3285">
        <f>(7134.57)*1.2</f>
        <v>8561.4839999999986</v>
      </c>
      <c r="AR27" s="3285"/>
      <c r="AS27" s="3286">
        <f t="shared" si="27"/>
        <v>8561.4839999999986</v>
      </c>
      <c r="AT27" s="3284">
        <f t="shared" si="9"/>
        <v>4.555581219574769E-2</v>
      </c>
      <c r="AU27" s="3291" t="s">
        <v>2192</v>
      </c>
      <c r="AV27" s="3285"/>
      <c r="AW27" s="3285"/>
      <c r="AX27" s="3286">
        <f t="shared" si="31"/>
        <v>0</v>
      </c>
      <c r="AY27" s="3284">
        <f t="shared" si="10"/>
        <v>0</v>
      </c>
      <c r="AZ27" s="3291"/>
      <c r="BA27" s="3285"/>
      <c r="BB27" s="3285"/>
      <c r="BC27" s="3286">
        <f t="shared" si="32"/>
        <v>0</v>
      </c>
      <c r="BD27" s="3284">
        <f t="shared" si="11"/>
        <v>0</v>
      </c>
      <c r="BE27" s="3291"/>
      <c r="BF27" s="3285"/>
      <c r="BG27" s="3285"/>
      <c r="BH27" s="3286">
        <f t="shared" si="33"/>
        <v>0</v>
      </c>
      <c r="BI27" s="3284">
        <f t="shared" si="12"/>
        <v>0</v>
      </c>
      <c r="BJ27" s="3291"/>
      <c r="BK27" s="3285"/>
      <c r="BL27" s="3285"/>
      <c r="BM27" s="3286">
        <f t="shared" si="34"/>
        <v>0</v>
      </c>
      <c r="BN27" s="3284">
        <f t="shared" si="13"/>
        <v>0</v>
      </c>
      <c r="BO27" s="3291"/>
      <c r="BP27" s="3285"/>
      <c r="BQ27" s="3285"/>
      <c r="BR27" s="3286">
        <f t="shared" si="35"/>
        <v>0</v>
      </c>
      <c r="BS27" s="3284">
        <f t="shared" si="14"/>
        <v>0</v>
      </c>
      <c r="BT27" s="3291"/>
      <c r="BU27" s="3285"/>
      <c r="BV27" s="3285"/>
      <c r="BW27" s="3286">
        <f t="shared" si="36"/>
        <v>0</v>
      </c>
      <c r="BX27" s="3284">
        <f t="shared" si="15"/>
        <v>0</v>
      </c>
      <c r="BY27" s="3291"/>
      <c r="BZ27" s="3285"/>
      <c r="CA27" s="3285"/>
      <c r="CB27" s="3286">
        <f t="shared" si="37"/>
        <v>0</v>
      </c>
      <c r="CC27" s="3284">
        <f t="shared" si="16"/>
        <v>0</v>
      </c>
      <c r="CD27" s="3291"/>
      <c r="CE27" s="3285"/>
      <c r="CF27" s="3285"/>
      <c r="CG27" s="3286">
        <f t="shared" si="38"/>
        <v>0</v>
      </c>
      <c r="CH27" s="3284">
        <f t="shared" si="17"/>
        <v>0</v>
      </c>
      <c r="CI27" s="3291"/>
      <c r="CJ27" s="3285"/>
      <c r="CK27" s="3285"/>
      <c r="CL27" s="3286">
        <f t="shared" si="39"/>
        <v>0</v>
      </c>
      <c r="CM27" s="3284">
        <f t="shared" si="18"/>
        <v>0</v>
      </c>
      <c r="CN27" s="3291"/>
      <c r="CO27" s="3274">
        <f t="shared" si="28"/>
        <v>185175.69399999999</v>
      </c>
      <c r="CP27" s="3274">
        <f t="shared" si="29"/>
        <v>0</v>
      </c>
      <c r="CQ27" s="3283">
        <f t="shared" si="30"/>
        <v>185175.69399999999</v>
      </c>
      <c r="CR27" s="3284">
        <f t="shared" si="44"/>
        <v>8.1407487478875606E-2</v>
      </c>
      <c r="CS27" s="1449"/>
    </row>
    <row r="28" spans="1:97" s="1411" customFormat="1" ht="72" x14ac:dyDescent="0.25">
      <c r="A28" s="1586"/>
      <c r="B28" s="3289" t="s">
        <v>52</v>
      </c>
      <c r="C28" s="3288"/>
      <c r="D28" s="3274"/>
      <c r="E28" s="3283">
        <f t="shared" si="40"/>
        <v>0</v>
      </c>
      <c r="F28" s="3284">
        <f t="shared" si="1"/>
        <v>0</v>
      </c>
      <c r="G28" s="3275"/>
      <c r="H28" s="3288">
        <f>72*52</f>
        <v>3744</v>
      </c>
      <c r="I28" s="3274">
        <v>7000</v>
      </c>
      <c r="J28" s="3283">
        <f t="shared" si="41"/>
        <v>10744</v>
      </c>
      <c r="K28" s="3284">
        <f t="shared" si="2"/>
        <v>5.4574766799280104E-2</v>
      </c>
      <c r="L28" s="3275" t="s">
        <v>1601</v>
      </c>
      <c r="M28" s="3274">
        <f>2970.72+500+21660.62+1547*52.53</f>
        <v>106395.25</v>
      </c>
      <c r="N28" s="3274">
        <v>280</v>
      </c>
      <c r="O28" s="3283">
        <f t="shared" si="42"/>
        <v>106675.25</v>
      </c>
      <c r="P28" s="3284">
        <f t="shared" si="3"/>
        <v>5.6288124024143557E-2</v>
      </c>
      <c r="Q28" s="3276" t="s">
        <v>1456</v>
      </c>
      <c r="R28" s="3274">
        <f>7007.58+1690*54+8075.66+50000</f>
        <v>156343.24</v>
      </c>
      <c r="S28" s="3274">
        <f>13037.01-1736</f>
        <v>11301.01</v>
      </c>
      <c r="T28" s="3283">
        <f t="shared" si="23"/>
        <v>167644.25</v>
      </c>
      <c r="U28" s="3284">
        <f t="shared" si="4"/>
        <v>3.6422830077015911E-2</v>
      </c>
      <c r="V28" s="3276" t="s">
        <v>1511</v>
      </c>
      <c r="W28" s="3274">
        <v>859522.74399999983</v>
      </c>
      <c r="X28" s="3274">
        <v>18466</v>
      </c>
      <c r="Y28" s="3283">
        <v>877988.74399999983</v>
      </c>
      <c r="Z28" s="3284">
        <v>2.9764366001716884</v>
      </c>
      <c r="AA28" s="3275"/>
      <c r="AB28" s="3274">
        <f t="shared" si="5"/>
        <v>156823.57999999999</v>
      </c>
      <c r="AC28" s="3274">
        <f t="shared" si="5"/>
        <v>1000</v>
      </c>
      <c r="AD28" s="3283">
        <f t="shared" si="43"/>
        <v>157823.57999999999</v>
      </c>
      <c r="AE28" s="3284">
        <f t="shared" si="6"/>
        <v>0.5350317792708793</v>
      </c>
      <c r="AF28" s="3275"/>
      <c r="AG28" s="2059">
        <f>400*51.3+1472.92</f>
        <v>21992.92</v>
      </c>
      <c r="AH28" s="3274"/>
      <c r="AI28" s="3283">
        <f t="shared" si="25"/>
        <v>21992.92</v>
      </c>
      <c r="AJ28" s="3284">
        <f t="shared" si="7"/>
        <v>0.41516328050251528</v>
      </c>
      <c r="AK28" s="3276" t="s">
        <v>2122</v>
      </c>
      <c r="AL28" s="3285">
        <f>1609*51.3+2936</f>
        <v>85477.7</v>
      </c>
      <c r="AM28" s="3285">
        <v>1000</v>
      </c>
      <c r="AN28" s="3286">
        <f t="shared" si="26"/>
        <v>86477.7</v>
      </c>
      <c r="AO28" s="3284">
        <f t="shared" si="8"/>
        <v>0.46014941572281282</v>
      </c>
      <c r="AP28" s="3291" t="s">
        <v>2170</v>
      </c>
      <c r="AQ28" s="3285">
        <f>(800*1.2)+(982*49.28)</f>
        <v>49352.959999999999</v>
      </c>
      <c r="AR28" s="3285"/>
      <c r="AS28" s="3286">
        <f t="shared" si="27"/>
        <v>49352.959999999999</v>
      </c>
      <c r="AT28" s="3284">
        <f t="shared" si="9"/>
        <v>0.26260799845730581</v>
      </c>
      <c r="AU28" s="3291" t="s">
        <v>2193</v>
      </c>
      <c r="AV28" s="3285"/>
      <c r="AW28" s="3285"/>
      <c r="AX28" s="3286">
        <f t="shared" si="31"/>
        <v>0</v>
      </c>
      <c r="AY28" s="3284">
        <f t="shared" si="10"/>
        <v>0</v>
      </c>
      <c r="AZ28" s="3291"/>
      <c r="BA28" s="3285"/>
      <c r="BB28" s="3285"/>
      <c r="BC28" s="3286">
        <f t="shared" si="32"/>
        <v>0</v>
      </c>
      <c r="BD28" s="3284">
        <f t="shared" si="11"/>
        <v>0</v>
      </c>
      <c r="BE28" s="3291"/>
      <c r="BF28" s="3285"/>
      <c r="BG28" s="3285"/>
      <c r="BH28" s="3286">
        <f t="shared" si="33"/>
        <v>0</v>
      </c>
      <c r="BI28" s="3284">
        <f t="shared" si="12"/>
        <v>0</v>
      </c>
      <c r="BJ28" s="3291"/>
      <c r="BK28" s="3285"/>
      <c r="BL28" s="3285"/>
      <c r="BM28" s="3286">
        <f t="shared" si="34"/>
        <v>0</v>
      </c>
      <c r="BN28" s="3284">
        <f t="shared" si="13"/>
        <v>0</v>
      </c>
      <c r="BO28" s="3291"/>
      <c r="BP28" s="3285"/>
      <c r="BQ28" s="3285"/>
      <c r="BR28" s="3286">
        <f t="shared" si="35"/>
        <v>0</v>
      </c>
      <c r="BS28" s="3284">
        <f t="shared" si="14"/>
        <v>0</v>
      </c>
      <c r="BT28" s="3291"/>
      <c r="BU28" s="3285"/>
      <c r="BV28" s="3285"/>
      <c r="BW28" s="3286">
        <f t="shared" si="36"/>
        <v>0</v>
      </c>
      <c r="BX28" s="3284">
        <f t="shared" si="15"/>
        <v>0</v>
      </c>
      <c r="BY28" s="3291"/>
      <c r="BZ28" s="3285"/>
      <c r="CA28" s="3285"/>
      <c r="CB28" s="3286">
        <f t="shared" si="37"/>
        <v>0</v>
      </c>
      <c r="CC28" s="3284">
        <f t="shared" si="16"/>
        <v>0</v>
      </c>
      <c r="CD28" s="3291"/>
      <c r="CE28" s="3285"/>
      <c r="CF28" s="3285"/>
      <c r="CG28" s="3286">
        <f t="shared" si="38"/>
        <v>0</v>
      </c>
      <c r="CH28" s="3284">
        <f t="shared" si="17"/>
        <v>0</v>
      </c>
      <c r="CI28" s="3291"/>
      <c r="CJ28" s="3285"/>
      <c r="CK28" s="3285"/>
      <c r="CL28" s="3286">
        <f t="shared" si="39"/>
        <v>0</v>
      </c>
      <c r="CM28" s="3284">
        <f t="shared" si="18"/>
        <v>0</v>
      </c>
      <c r="CN28" s="3291"/>
      <c r="CO28" s="3274">
        <f t="shared" si="28"/>
        <v>1282828.8139999998</v>
      </c>
      <c r="CP28" s="3274">
        <f t="shared" si="29"/>
        <v>38047.01</v>
      </c>
      <c r="CQ28" s="3283">
        <f t="shared" si="30"/>
        <v>1320875.8239999998</v>
      </c>
      <c r="CR28" s="3284">
        <f t="shared" si="44"/>
        <v>0.58068734497859908</v>
      </c>
      <c r="CS28" s="1449"/>
    </row>
    <row r="29" spans="1:97" s="1411" customFormat="1" ht="13.8" x14ac:dyDescent="0.25">
      <c r="A29" s="1586"/>
      <c r="B29" s="3289" t="s">
        <v>31</v>
      </c>
      <c r="C29" s="3288"/>
      <c r="D29" s="3274"/>
      <c r="E29" s="3283">
        <f t="shared" si="40"/>
        <v>0</v>
      </c>
      <c r="F29" s="3284">
        <f t="shared" si="1"/>
        <v>0</v>
      </c>
      <c r="G29" s="3294"/>
      <c r="H29" s="3288"/>
      <c r="I29" s="3274"/>
      <c r="J29" s="3283">
        <f t="shared" si="41"/>
        <v>0</v>
      </c>
      <c r="K29" s="3284">
        <f t="shared" si="2"/>
        <v>0</v>
      </c>
      <c r="L29" s="3294"/>
      <c r="M29" s="3274">
        <v>5400</v>
      </c>
      <c r="N29" s="3274"/>
      <c r="O29" s="3283">
        <f t="shared" si="42"/>
        <v>5400</v>
      </c>
      <c r="P29" s="3284">
        <f t="shared" si="3"/>
        <v>0</v>
      </c>
      <c r="Q29" s="3276" t="s">
        <v>1417</v>
      </c>
      <c r="R29" s="3274">
        <f>300*(23-7)+300*19</f>
        <v>10500</v>
      </c>
      <c r="S29" s="3274"/>
      <c r="T29" s="3283">
        <f t="shared" si="23"/>
        <v>10500</v>
      </c>
      <c r="U29" s="3284">
        <f t="shared" si="4"/>
        <v>0</v>
      </c>
      <c r="V29" s="3276" t="s">
        <v>1474</v>
      </c>
      <c r="W29" s="3274">
        <v>7050</v>
      </c>
      <c r="X29" s="3274">
        <v>0</v>
      </c>
      <c r="Y29" s="3283">
        <v>7050</v>
      </c>
      <c r="Z29" s="3284">
        <v>2.3899939691266026E-2</v>
      </c>
      <c r="AA29" s="3294"/>
      <c r="AB29" s="3274">
        <f t="shared" si="5"/>
        <v>0</v>
      </c>
      <c r="AC29" s="3274">
        <f t="shared" si="5"/>
        <v>0</v>
      </c>
      <c r="AD29" s="3283">
        <f t="shared" si="43"/>
        <v>0</v>
      </c>
      <c r="AE29" s="3284">
        <f t="shared" si="6"/>
        <v>0</v>
      </c>
      <c r="AF29" s="3294"/>
      <c r="AG29" s="3274"/>
      <c r="AH29" s="3274"/>
      <c r="AI29" s="3283">
        <f t="shared" si="25"/>
        <v>0</v>
      </c>
      <c r="AJ29" s="3284">
        <f t="shared" si="7"/>
        <v>0</v>
      </c>
      <c r="AK29" s="3276"/>
      <c r="AL29" s="3285"/>
      <c r="AM29" s="3285"/>
      <c r="AN29" s="3286">
        <f t="shared" si="26"/>
        <v>0</v>
      </c>
      <c r="AO29" s="3284">
        <f t="shared" si="8"/>
        <v>0</v>
      </c>
      <c r="AP29" s="3291"/>
      <c r="AQ29" s="3285"/>
      <c r="AR29" s="3285"/>
      <c r="AS29" s="3286">
        <f t="shared" si="27"/>
        <v>0</v>
      </c>
      <c r="AT29" s="3284">
        <f t="shared" si="9"/>
        <v>0</v>
      </c>
      <c r="AU29" s="3291"/>
      <c r="AV29" s="3285"/>
      <c r="AW29" s="3285"/>
      <c r="AX29" s="3286">
        <f t="shared" si="31"/>
        <v>0</v>
      </c>
      <c r="AY29" s="3284">
        <f t="shared" si="10"/>
        <v>0</v>
      </c>
      <c r="AZ29" s="3291"/>
      <c r="BA29" s="3285"/>
      <c r="BB29" s="3285"/>
      <c r="BC29" s="3286">
        <f t="shared" si="32"/>
        <v>0</v>
      </c>
      <c r="BD29" s="3284">
        <f t="shared" si="11"/>
        <v>0</v>
      </c>
      <c r="BE29" s="3291"/>
      <c r="BF29" s="3285"/>
      <c r="BG29" s="3285"/>
      <c r="BH29" s="3286">
        <f t="shared" si="33"/>
        <v>0</v>
      </c>
      <c r="BI29" s="3284">
        <f t="shared" si="12"/>
        <v>0</v>
      </c>
      <c r="BJ29" s="3291"/>
      <c r="BK29" s="3285"/>
      <c r="BL29" s="3285"/>
      <c r="BM29" s="3286">
        <f t="shared" si="34"/>
        <v>0</v>
      </c>
      <c r="BN29" s="3284">
        <f t="shared" si="13"/>
        <v>0</v>
      </c>
      <c r="BO29" s="3291"/>
      <c r="BP29" s="3285"/>
      <c r="BQ29" s="3285"/>
      <c r="BR29" s="3286">
        <f t="shared" si="35"/>
        <v>0</v>
      </c>
      <c r="BS29" s="3284">
        <f t="shared" si="14"/>
        <v>0</v>
      </c>
      <c r="BT29" s="3291"/>
      <c r="BU29" s="3285"/>
      <c r="BV29" s="3285"/>
      <c r="BW29" s="3286">
        <f t="shared" si="36"/>
        <v>0</v>
      </c>
      <c r="BX29" s="3284">
        <f t="shared" si="15"/>
        <v>0</v>
      </c>
      <c r="BY29" s="3291"/>
      <c r="BZ29" s="3285"/>
      <c r="CA29" s="3285"/>
      <c r="CB29" s="3286">
        <f t="shared" si="37"/>
        <v>0</v>
      </c>
      <c r="CC29" s="3284">
        <f t="shared" si="16"/>
        <v>0</v>
      </c>
      <c r="CD29" s="3291"/>
      <c r="CE29" s="3285"/>
      <c r="CF29" s="3285"/>
      <c r="CG29" s="3286">
        <f t="shared" si="38"/>
        <v>0</v>
      </c>
      <c r="CH29" s="3284">
        <f t="shared" si="17"/>
        <v>0</v>
      </c>
      <c r="CI29" s="3291"/>
      <c r="CJ29" s="3285"/>
      <c r="CK29" s="3285"/>
      <c r="CL29" s="3286">
        <f t="shared" si="39"/>
        <v>0</v>
      </c>
      <c r="CM29" s="3284">
        <f t="shared" si="18"/>
        <v>0</v>
      </c>
      <c r="CN29" s="3291"/>
      <c r="CO29" s="3274">
        <f t="shared" si="28"/>
        <v>22950</v>
      </c>
      <c r="CP29" s="3274">
        <f t="shared" si="29"/>
        <v>0</v>
      </c>
      <c r="CQ29" s="3283">
        <f t="shared" si="30"/>
        <v>22950</v>
      </c>
      <c r="CR29" s="3284">
        <f t="shared" si="44"/>
        <v>1.0089347026506596E-2</v>
      </c>
      <c r="CS29" s="3295"/>
    </row>
    <row r="30" spans="1:97" s="1411" customFormat="1" ht="13.8" x14ac:dyDescent="0.25">
      <c r="A30" s="1586"/>
      <c r="B30" s="3289" t="s">
        <v>62</v>
      </c>
      <c r="C30" s="3288"/>
      <c r="D30" s="3274"/>
      <c r="E30" s="3283">
        <f t="shared" si="40"/>
        <v>0</v>
      </c>
      <c r="F30" s="3284">
        <f t="shared" si="1"/>
        <v>0</v>
      </c>
      <c r="G30" s="3296"/>
      <c r="H30" s="3288"/>
      <c r="I30" s="3274"/>
      <c r="J30" s="3283">
        <f t="shared" si="41"/>
        <v>0</v>
      </c>
      <c r="K30" s="3284">
        <f t="shared" si="2"/>
        <v>0</v>
      </c>
      <c r="L30" s="3296"/>
      <c r="M30" s="3274"/>
      <c r="N30" s="3274"/>
      <c r="O30" s="3283">
        <f t="shared" si="42"/>
        <v>0</v>
      </c>
      <c r="P30" s="3284">
        <f t="shared" si="3"/>
        <v>0</v>
      </c>
      <c r="Q30" s="3296"/>
      <c r="R30" s="3274"/>
      <c r="S30" s="3274"/>
      <c r="T30" s="3283">
        <f t="shared" si="23"/>
        <v>0</v>
      </c>
      <c r="U30" s="3284">
        <f t="shared" si="4"/>
        <v>0</v>
      </c>
      <c r="V30" s="3296"/>
      <c r="W30" s="3274">
        <v>0</v>
      </c>
      <c r="X30" s="3274">
        <v>0</v>
      </c>
      <c r="Y30" s="3283">
        <v>0</v>
      </c>
      <c r="Z30" s="3284">
        <v>0</v>
      </c>
      <c r="AA30" s="3296"/>
      <c r="AB30" s="3274">
        <f t="shared" si="5"/>
        <v>0</v>
      </c>
      <c r="AC30" s="3274">
        <f t="shared" si="5"/>
        <v>0</v>
      </c>
      <c r="AD30" s="3283">
        <f t="shared" si="43"/>
        <v>0</v>
      </c>
      <c r="AE30" s="3284">
        <f t="shared" si="6"/>
        <v>0</v>
      </c>
      <c r="AF30" s="3296"/>
      <c r="AG30" s="3274"/>
      <c r="AH30" s="3274"/>
      <c r="AI30" s="3283">
        <f t="shared" si="25"/>
        <v>0</v>
      </c>
      <c r="AJ30" s="3284">
        <f t="shared" si="7"/>
        <v>0</v>
      </c>
      <c r="AK30" s="3296"/>
      <c r="AL30" s="3285"/>
      <c r="AM30" s="3285"/>
      <c r="AN30" s="3286">
        <f t="shared" si="26"/>
        <v>0</v>
      </c>
      <c r="AO30" s="3284">
        <f t="shared" si="8"/>
        <v>0</v>
      </c>
      <c r="AP30" s="3297"/>
      <c r="AQ30" s="3285"/>
      <c r="AR30" s="3285"/>
      <c r="AS30" s="3286">
        <f t="shared" si="27"/>
        <v>0</v>
      </c>
      <c r="AT30" s="3284">
        <f t="shared" si="9"/>
        <v>0</v>
      </c>
      <c r="AU30" s="3297"/>
      <c r="AV30" s="3285"/>
      <c r="AW30" s="3285"/>
      <c r="AX30" s="3286">
        <f t="shared" si="31"/>
        <v>0</v>
      </c>
      <c r="AY30" s="3284">
        <f t="shared" si="10"/>
        <v>0</v>
      </c>
      <c r="AZ30" s="3297"/>
      <c r="BA30" s="3285"/>
      <c r="BB30" s="3285"/>
      <c r="BC30" s="3286">
        <f t="shared" si="32"/>
        <v>0</v>
      </c>
      <c r="BD30" s="3284">
        <f t="shared" si="11"/>
        <v>0</v>
      </c>
      <c r="BE30" s="3297"/>
      <c r="BF30" s="3285"/>
      <c r="BG30" s="3285"/>
      <c r="BH30" s="3286">
        <f t="shared" si="33"/>
        <v>0</v>
      </c>
      <c r="BI30" s="3284">
        <f t="shared" si="12"/>
        <v>0</v>
      </c>
      <c r="BJ30" s="3297"/>
      <c r="BK30" s="3285"/>
      <c r="BL30" s="3285"/>
      <c r="BM30" s="3286">
        <f t="shared" si="34"/>
        <v>0</v>
      </c>
      <c r="BN30" s="3284">
        <f t="shared" si="13"/>
        <v>0</v>
      </c>
      <c r="BO30" s="3297"/>
      <c r="BP30" s="3285"/>
      <c r="BQ30" s="3285"/>
      <c r="BR30" s="3286">
        <f t="shared" si="35"/>
        <v>0</v>
      </c>
      <c r="BS30" s="3284">
        <f t="shared" si="14"/>
        <v>0</v>
      </c>
      <c r="BT30" s="1158"/>
      <c r="BU30" s="3285"/>
      <c r="BV30" s="3285"/>
      <c r="BW30" s="3286">
        <f t="shared" si="36"/>
        <v>0</v>
      </c>
      <c r="BX30" s="3284">
        <f t="shared" si="15"/>
        <v>0</v>
      </c>
      <c r="BY30" s="1158"/>
      <c r="BZ30" s="3285"/>
      <c r="CA30" s="3285"/>
      <c r="CB30" s="3286">
        <f t="shared" si="37"/>
        <v>0</v>
      </c>
      <c r="CC30" s="3284">
        <f t="shared" si="16"/>
        <v>0</v>
      </c>
      <c r="CD30" s="1158"/>
      <c r="CE30" s="3285"/>
      <c r="CF30" s="3285"/>
      <c r="CG30" s="3286">
        <f t="shared" si="38"/>
        <v>0</v>
      </c>
      <c r="CH30" s="3284">
        <f t="shared" si="17"/>
        <v>0</v>
      </c>
      <c r="CI30" s="1158"/>
      <c r="CJ30" s="3285"/>
      <c r="CK30" s="3285"/>
      <c r="CL30" s="3286">
        <f t="shared" si="39"/>
        <v>0</v>
      </c>
      <c r="CM30" s="3284">
        <f t="shared" si="18"/>
        <v>0</v>
      </c>
      <c r="CN30" s="1158"/>
      <c r="CO30" s="3274">
        <f t="shared" si="28"/>
        <v>0</v>
      </c>
      <c r="CP30" s="3274">
        <f t="shared" si="29"/>
        <v>0</v>
      </c>
      <c r="CQ30" s="3283">
        <f t="shared" si="30"/>
        <v>0</v>
      </c>
      <c r="CR30" s="3284">
        <f t="shared" si="44"/>
        <v>0</v>
      </c>
      <c r="CS30" s="3295"/>
    </row>
    <row r="31" spans="1:97" s="1411" customFormat="1" ht="13.8" x14ac:dyDescent="0.25">
      <c r="A31" s="1586"/>
      <c r="B31" s="3289" t="s">
        <v>34</v>
      </c>
      <c r="C31" s="3288"/>
      <c r="D31" s="3274"/>
      <c r="E31" s="3283">
        <f t="shared" si="40"/>
        <v>0</v>
      </c>
      <c r="F31" s="3284">
        <f t="shared" si="1"/>
        <v>0</v>
      </c>
      <c r="G31" s="3296"/>
      <c r="H31" s="3288"/>
      <c r="I31" s="3274"/>
      <c r="J31" s="3283">
        <f t="shared" si="41"/>
        <v>0</v>
      </c>
      <c r="K31" s="3284">
        <f t="shared" si="2"/>
        <v>0</v>
      </c>
      <c r="L31" s="3296"/>
      <c r="M31" s="3274"/>
      <c r="N31" s="3274"/>
      <c r="O31" s="3283">
        <f t="shared" si="42"/>
        <v>0</v>
      </c>
      <c r="P31" s="3284">
        <f t="shared" si="3"/>
        <v>0</v>
      </c>
      <c r="Q31" s="3296"/>
      <c r="R31" s="3274"/>
      <c r="S31" s="3274"/>
      <c r="T31" s="3283">
        <f t="shared" si="23"/>
        <v>0</v>
      </c>
      <c r="U31" s="3284">
        <f t="shared" si="4"/>
        <v>0</v>
      </c>
      <c r="V31" s="3296"/>
      <c r="W31" s="3274">
        <v>0</v>
      </c>
      <c r="X31" s="3274">
        <v>0</v>
      </c>
      <c r="Y31" s="3283">
        <v>0</v>
      </c>
      <c r="Z31" s="3284">
        <v>0</v>
      </c>
      <c r="AA31" s="3276"/>
      <c r="AB31" s="3274">
        <f t="shared" si="5"/>
        <v>0</v>
      </c>
      <c r="AC31" s="3274">
        <f t="shared" si="5"/>
        <v>0</v>
      </c>
      <c r="AD31" s="3283">
        <f t="shared" si="43"/>
        <v>0</v>
      </c>
      <c r="AE31" s="3284">
        <f t="shared" si="6"/>
        <v>0</v>
      </c>
      <c r="AF31" s="3276"/>
      <c r="AG31" s="3274"/>
      <c r="AH31" s="3274"/>
      <c r="AI31" s="3283">
        <f t="shared" si="25"/>
        <v>0</v>
      </c>
      <c r="AJ31" s="3284">
        <f t="shared" si="7"/>
        <v>0</v>
      </c>
      <c r="AK31" s="3296"/>
      <c r="AL31" s="3285"/>
      <c r="AM31" s="3285"/>
      <c r="AN31" s="3286">
        <f t="shared" si="26"/>
        <v>0</v>
      </c>
      <c r="AO31" s="3284">
        <f t="shared" si="8"/>
        <v>0</v>
      </c>
      <c r="AP31" s="3297"/>
      <c r="AQ31" s="3285"/>
      <c r="AR31" s="3285"/>
      <c r="AS31" s="3286">
        <f t="shared" si="27"/>
        <v>0</v>
      </c>
      <c r="AT31" s="3284">
        <f t="shared" si="9"/>
        <v>0</v>
      </c>
      <c r="AU31" s="3297"/>
      <c r="AV31" s="3285"/>
      <c r="AW31" s="3285"/>
      <c r="AX31" s="3286">
        <f t="shared" si="31"/>
        <v>0</v>
      </c>
      <c r="AY31" s="3284">
        <f t="shared" si="10"/>
        <v>0</v>
      </c>
      <c r="AZ31" s="3297"/>
      <c r="BA31" s="3285"/>
      <c r="BB31" s="3285"/>
      <c r="BC31" s="3286">
        <f t="shared" si="32"/>
        <v>0</v>
      </c>
      <c r="BD31" s="3284">
        <f t="shared" si="11"/>
        <v>0</v>
      </c>
      <c r="BE31" s="3297"/>
      <c r="BF31" s="3285"/>
      <c r="BG31" s="3285"/>
      <c r="BH31" s="3286">
        <f t="shared" si="33"/>
        <v>0</v>
      </c>
      <c r="BI31" s="3284">
        <f t="shared" si="12"/>
        <v>0</v>
      </c>
      <c r="BJ31" s="3297"/>
      <c r="BK31" s="3285"/>
      <c r="BL31" s="3285"/>
      <c r="BM31" s="3286">
        <f t="shared" si="34"/>
        <v>0</v>
      </c>
      <c r="BN31" s="3284">
        <f t="shared" si="13"/>
        <v>0</v>
      </c>
      <c r="BO31" s="3297"/>
      <c r="BP31" s="3285"/>
      <c r="BQ31" s="3285"/>
      <c r="BR31" s="3286">
        <f t="shared" si="35"/>
        <v>0</v>
      </c>
      <c r="BS31" s="3284">
        <f t="shared" si="14"/>
        <v>0</v>
      </c>
      <c r="BT31" s="1158"/>
      <c r="BU31" s="3285"/>
      <c r="BV31" s="3285"/>
      <c r="BW31" s="3286">
        <f t="shared" si="36"/>
        <v>0</v>
      </c>
      <c r="BX31" s="3284">
        <f t="shared" si="15"/>
        <v>0</v>
      </c>
      <c r="BY31" s="1158"/>
      <c r="BZ31" s="3285"/>
      <c r="CA31" s="3285"/>
      <c r="CB31" s="3286">
        <f t="shared" si="37"/>
        <v>0</v>
      </c>
      <c r="CC31" s="3284">
        <f t="shared" si="16"/>
        <v>0</v>
      </c>
      <c r="CD31" s="1158"/>
      <c r="CE31" s="3285"/>
      <c r="CF31" s="3285"/>
      <c r="CG31" s="3286">
        <f t="shared" si="38"/>
        <v>0</v>
      </c>
      <c r="CH31" s="3284">
        <f t="shared" si="17"/>
        <v>0</v>
      </c>
      <c r="CI31" s="1158"/>
      <c r="CJ31" s="3285"/>
      <c r="CK31" s="3285"/>
      <c r="CL31" s="3286">
        <f t="shared" si="39"/>
        <v>0</v>
      </c>
      <c r="CM31" s="3284">
        <f t="shared" si="18"/>
        <v>0</v>
      </c>
      <c r="CN31" s="1158"/>
      <c r="CO31" s="3274">
        <f t="shared" si="28"/>
        <v>0</v>
      </c>
      <c r="CP31" s="3274">
        <f t="shared" si="29"/>
        <v>0</v>
      </c>
      <c r="CQ31" s="3283">
        <f t="shared" si="30"/>
        <v>0</v>
      </c>
      <c r="CR31" s="3284">
        <f t="shared" si="44"/>
        <v>0</v>
      </c>
      <c r="CS31" s="3295"/>
    </row>
    <row r="32" spans="1:97" s="1411" customFormat="1" ht="60" x14ac:dyDescent="0.25">
      <c r="A32" s="1586"/>
      <c r="B32" s="3298" t="s">
        <v>2</v>
      </c>
      <c r="C32" s="3288"/>
      <c r="D32" s="3274"/>
      <c r="E32" s="3283">
        <f t="shared" si="40"/>
        <v>0</v>
      </c>
      <c r="F32" s="3284">
        <f t="shared" si="1"/>
        <v>0</v>
      </c>
      <c r="G32" s="3276"/>
      <c r="H32" s="3288">
        <f>4300+8120+723</f>
        <v>13143</v>
      </c>
      <c r="I32" s="3274">
        <v>35700</v>
      </c>
      <c r="J32" s="3283">
        <f t="shared" si="41"/>
        <v>48843</v>
      </c>
      <c r="K32" s="3284">
        <f t="shared" si="2"/>
        <v>0.24810083160622098</v>
      </c>
      <c r="L32" s="3276" t="s">
        <v>1602</v>
      </c>
      <c r="M32" s="3274"/>
      <c r="N32" s="3274"/>
      <c r="O32" s="3283">
        <f t="shared" si="42"/>
        <v>0</v>
      </c>
      <c r="P32" s="3284">
        <f t="shared" si="3"/>
        <v>0.25588987730000406</v>
      </c>
      <c r="Q32" s="3299"/>
      <c r="R32" s="3274"/>
      <c r="S32" s="3274"/>
      <c r="T32" s="3283">
        <f t="shared" si="23"/>
        <v>0</v>
      </c>
      <c r="U32" s="3284">
        <f t="shared" si="4"/>
        <v>0.16558081621851156</v>
      </c>
      <c r="V32" s="3299"/>
      <c r="W32" s="3274">
        <v>5192.3900000000003</v>
      </c>
      <c r="X32" s="3274">
        <v>0</v>
      </c>
      <c r="Y32" s="3283">
        <v>5192.3900000000003</v>
      </c>
      <c r="Z32" s="3284">
        <v>1.7602525936671321E-2</v>
      </c>
      <c r="AA32" s="3299"/>
      <c r="AB32" s="3274">
        <f t="shared" si="5"/>
        <v>13596</v>
      </c>
      <c r="AC32" s="3274">
        <f t="shared" si="5"/>
        <v>0</v>
      </c>
      <c r="AD32" s="3283">
        <f t="shared" si="43"/>
        <v>13596</v>
      </c>
      <c r="AE32" s="3284">
        <f t="shared" si="6"/>
        <v>4.6091287949284097E-2</v>
      </c>
      <c r="AF32" s="3299"/>
      <c r="AG32" s="3274">
        <f>9196+4400</f>
        <v>13596</v>
      </c>
      <c r="AH32" s="3274"/>
      <c r="AI32" s="3283">
        <f t="shared" si="25"/>
        <v>13596</v>
      </c>
      <c r="AJ32" s="3284">
        <f t="shared" si="7"/>
        <v>0.25665350311428398</v>
      </c>
      <c r="AK32" s="3276" t="s">
        <v>2123</v>
      </c>
      <c r="AL32" s="3285"/>
      <c r="AM32" s="3285"/>
      <c r="AN32" s="3286">
        <f t="shared" si="26"/>
        <v>0</v>
      </c>
      <c r="AO32" s="3284">
        <f t="shared" si="8"/>
        <v>0</v>
      </c>
      <c r="AP32" s="3291"/>
      <c r="AQ32" s="3285"/>
      <c r="AR32" s="3285"/>
      <c r="AS32" s="3286">
        <f t="shared" si="27"/>
        <v>0</v>
      </c>
      <c r="AT32" s="3284">
        <f t="shared" si="9"/>
        <v>0</v>
      </c>
      <c r="AU32" s="3291"/>
      <c r="AV32" s="3285"/>
      <c r="AW32" s="3285"/>
      <c r="AX32" s="3286">
        <f t="shared" si="31"/>
        <v>0</v>
      </c>
      <c r="AY32" s="3284">
        <f t="shared" si="10"/>
        <v>0</v>
      </c>
      <c r="AZ32" s="3291"/>
      <c r="BA32" s="3285"/>
      <c r="BB32" s="3285"/>
      <c r="BC32" s="3286">
        <f t="shared" si="32"/>
        <v>0</v>
      </c>
      <c r="BD32" s="3284">
        <f t="shared" si="11"/>
        <v>0</v>
      </c>
      <c r="BE32" s="3291"/>
      <c r="BF32" s="3285"/>
      <c r="BG32" s="3285"/>
      <c r="BH32" s="3286">
        <f t="shared" si="33"/>
        <v>0</v>
      </c>
      <c r="BI32" s="3284">
        <f t="shared" si="12"/>
        <v>0</v>
      </c>
      <c r="BJ32" s="3291"/>
      <c r="BK32" s="3285"/>
      <c r="BL32" s="3285"/>
      <c r="BM32" s="3286">
        <f t="shared" si="34"/>
        <v>0</v>
      </c>
      <c r="BN32" s="3284">
        <f t="shared" si="13"/>
        <v>0</v>
      </c>
      <c r="BO32" s="3291"/>
      <c r="BP32" s="3285"/>
      <c r="BQ32" s="3285"/>
      <c r="BR32" s="3286">
        <f t="shared" si="35"/>
        <v>0</v>
      </c>
      <c r="BS32" s="3284">
        <f t="shared" si="14"/>
        <v>0</v>
      </c>
      <c r="BT32" s="3291"/>
      <c r="BU32" s="3285"/>
      <c r="BV32" s="3285"/>
      <c r="BW32" s="3286">
        <f t="shared" si="36"/>
        <v>0</v>
      </c>
      <c r="BX32" s="3284">
        <f t="shared" si="15"/>
        <v>0</v>
      </c>
      <c r="BY32" s="3291"/>
      <c r="BZ32" s="3285"/>
      <c r="CA32" s="3285"/>
      <c r="CB32" s="3286">
        <f t="shared" si="37"/>
        <v>0</v>
      </c>
      <c r="CC32" s="3284">
        <f t="shared" si="16"/>
        <v>0</v>
      </c>
      <c r="CD32" s="3291"/>
      <c r="CE32" s="3285"/>
      <c r="CF32" s="3285"/>
      <c r="CG32" s="3286">
        <f t="shared" si="38"/>
        <v>0</v>
      </c>
      <c r="CH32" s="3284">
        <f t="shared" si="17"/>
        <v>0</v>
      </c>
      <c r="CI32" s="3291"/>
      <c r="CJ32" s="3285"/>
      <c r="CK32" s="3285"/>
      <c r="CL32" s="3286">
        <f t="shared" si="39"/>
        <v>0</v>
      </c>
      <c r="CM32" s="3284">
        <f t="shared" si="18"/>
        <v>0</v>
      </c>
      <c r="CN32" s="3291"/>
      <c r="CO32" s="3274">
        <f t="shared" si="28"/>
        <v>31931.39</v>
      </c>
      <c r="CP32" s="3274">
        <f t="shared" si="29"/>
        <v>35700</v>
      </c>
      <c r="CQ32" s="3283">
        <f t="shared" si="30"/>
        <v>67631.39</v>
      </c>
      <c r="CR32" s="3284">
        <f t="shared" si="44"/>
        <v>2.9732312139216031E-2</v>
      </c>
      <c r="CS32" s="3295"/>
    </row>
    <row r="33" spans="1:97" s="1411" customFormat="1" ht="14.4" thickBot="1" x14ac:dyDescent="0.3">
      <c r="A33" s="1586"/>
      <c r="B33" s="3144" t="s">
        <v>75</v>
      </c>
      <c r="C33" s="3300"/>
      <c r="D33" s="3301"/>
      <c r="E33" s="3302">
        <f t="shared" si="40"/>
        <v>0</v>
      </c>
      <c r="F33" s="2883">
        <f t="shared" si="1"/>
        <v>0</v>
      </c>
      <c r="G33" s="2885"/>
      <c r="H33" s="3300"/>
      <c r="I33" s="3301"/>
      <c r="J33" s="3302">
        <f t="shared" si="41"/>
        <v>0</v>
      </c>
      <c r="K33" s="2883">
        <f t="shared" si="2"/>
        <v>0</v>
      </c>
      <c r="L33" s="2885"/>
      <c r="M33" s="3301"/>
      <c r="N33" s="3301"/>
      <c r="O33" s="3302">
        <f t="shared" si="42"/>
        <v>0</v>
      </c>
      <c r="P33" s="2883">
        <f t="shared" si="3"/>
        <v>0</v>
      </c>
      <c r="Q33" s="2885"/>
      <c r="R33" s="3301"/>
      <c r="S33" s="3301"/>
      <c r="T33" s="3302">
        <f t="shared" si="23"/>
        <v>0</v>
      </c>
      <c r="U33" s="2883">
        <f t="shared" si="4"/>
        <v>0</v>
      </c>
      <c r="V33" s="2885"/>
      <c r="W33" s="3300">
        <v>0</v>
      </c>
      <c r="X33" s="3301">
        <v>0</v>
      </c>
      <c r="Y33" s="3302">
        <v>0</v>
      </c>
      <c r="Z33" s="2883">
        <v>0</v>
      </c>
      <c r="AA33" s="2885"/>
      <c r="AB33" s="3300">
        <f t="shared" si="5"/>
        <v>0</v>
      </c>
      <c r="AC33" s="3301">
        <f t="shared" si="5"/>
        <v>0</v>
      </c>
      <c r="AD33" s="3302">
        <f t="shared" si="43"/>
        <v>0</v>
      </c>
      <c r="AE33" s="2883">
        <f t="shared" si="6"/>
        <v>0</v>
      </c>
      <c r="AF33" s="2885"/>
      <c r="AG33" s="3301"/>
      <c r="AH33" s="3301"/>
      <c r="AI33" s="3302">
        <f t="shared" si="25"/>
        <v>0</v>
      </c>
      <c r="AJ33" s="2883">
        <f t="shared" si="7"/>
        <v>0</v>
      </c>
      <c r="AK33" s="2885"/>
      <c r="AL33" s="3303"/>
      <c r="AM33" s="3303"/>
      <c r="AN33" s="3304">
        <f t="shared" si="26"/>
        <v>0</v>
      </c>
      <c r="AO33" s="2883">
        <f t="shared" si="8"/>
        <v>0</v>
      </c>
      <c r="AP33" s="3216"/>
      <c r="AQ33" s="3303"/>
      <c r="AR33" s="3303"/>
      <c r="AS33" s="3304">
        <f t="shared" si="27"/>
        <v>0</v>
      </c>
      <c r="AT33" s="2883">
        <f t="shared" si="9"/>
        <v>0</v>
      </c>
      <c r="AU33" s="3216"/>
      <c r="AV33" s="3303"/>
      <c r="AW33" s="3303"/>
      <c r="AX33" s="3304">
        <f t="shared" si="31"/>
        <v>0</v>
      </c>
      <c r="AY33" s="2883">
        <f t="shared" si="10"/>
        <v>0</v>
      </c>
      <c r="AZ33" s="3216"/>
      <c r="BA33" s="3303"/>
      <c r="BB33" s="3303"/>
      <c r="BC33" s="3304">
        <f t="shared" si="32"/>
        <v>0</v>
      </c>
      <c r="BD33" s="2883">
        <f t="shared" si="11"/>
        <v>0</v>
      </c>
      <c r="BE33" s="3216"/>
      <c r="BF33" s="3303"/>
      <c r="BG33" s="3303"/>
      <c r="BH33" s="3304">
        <f t="shared" si="33"/>
        <v>0</v>
      </c>
      <c r="BI33" s="2883">
        <f t="shared" si="12"/>
        <v>0</v>
      </c>
      <c r="BJ33" s="3216"/>
      <c r="BK33" s="3303"/>
      <c r="BL33" s="3303"/>
      <c r="BM33" s="3304">
        <f t="shared" si="34"/>
        <v>0</v>
      </c>
      <c r="BN33" s="2883">
        <f t="shared" si="13"/>
        <v>0</v>
      </c>
      <c r="BO33" s="3216"/>
      <c r="BP33" s="3303"/>
      <c r="BQ33" s="3303"/>
      <c r="BR33" s="3304">
        <f t="shared" si="35"/>
        <v>0</v>
      </c>
      <c r="BS33" s="2883">
        <f t="shared" si="14"/>
        <v>0</v>
      </c>
      <c r="BT33" s="3216"/>
      <c r="BU33" s="3303"/>
      <c r="BV33" s="3303"/>
      <c r="BW33" s="3304">
        <f t="shared" si="36"/>
        <v>0</v>
      </c>
      <c r="BX33" s="2883">
        <f t="shared" si="15"/>
        <v>0</v>
      </c>
      <c r="BY33" s="3216"/>
      <c r="BZ33" s="3303"/>
      <c r="CA33" s="3303"/>
      <c r="CB33" s="3304">
        <f t="shared" si="37"/>
        <v>0</v>
      </c>
      <c r="CC33" s="2883">
        <f t="shared" si="16"/>
        <v>0</v>
      </c>
      <c r="CD33" s="3216"/>
      <c r="CE33" s="3303"/>
      <c r="CF33" s="3303"/>
      <c r="CG33" s="3304">
        <f t="shared" si="38"/>
        <v>0</v>
      </c>
      <c r="CH33" s="2883">
        <f t="shared" si="17"/>
        <v>0</v>
      </c>
      <c r="CI33" s="3216"/>
      <c r="CJ33" s="3303"/>
      <c r="CK33" s="3303"/>
      <c r="CL33" s="3304">
        <f t="shared" si="39"/>
        <v>0</v>
      </c>
      <c r="CM33" s="2883">
        <f t="shared" si="18"/>
        <v>0</v>
      </c>
      <c r="CN33" s="3216"/>
      <c r="CO33" s="3274">
        <f t="shared" si="28"/>
        <v>0</v>
      </c>
      <c r="CP33" s="3274">
        <f t="shared" si="29"/>
        <v>0</v>
      </c>
      <c r="CQ33" s="3305">
        <f t="shared" si="30"/>
        <v>0</v>
      </c>
      <c r="CR33" s="2883">
        <f t="shared" si="44"/>
        <v>0</v>
      </c>
      <c r="CS33" s="2885"/>
    </row>
    <row r="34" spans="1:97" s="1411" customFormat="1" ht="13.8" x14ac:dyDescent="0.25">
      <c r="A34" s="1586"/>
      <c r="B34" s="1631"/>
      <c r="C34" s="3274"/>
      <c r="D34" s="3274"/>
      <c r="E34" s="3306"/>
      <c r="F34" s="3306"/>
      <c r="G34" s="3306"/>
      <c r="H34" s="3274"/>
      <c r="I34" s="3274"/>
      <c r="J34" s="3306"/>
      <c r="K34" s="3306"/>
      <c r="L34" s="3306"/>
      <c r="M34" s="3274"/>
      <c r="N34" s="3274"/>
      <c r="O34" s="3306"/>
      <c r="P34" s="3306">
        <f t="shared" si="3"/>
        <v>0</v>
      </c>
      <c r="Q34" s="3306"/>
      <c r="R34" s="3274"/>
      <c r="S34" s="3274"/>
      <c r="T34" s="3306"/>
      <c r="U34" s="3306">
        <f t="shared" si="4"/>
        <v>0</v>
      </c>
      <c r="V34" s="3306"/>
      <c r="W34" s="3274"/>
      <c r="X34" s="3274"/>
      <c r="Y34" s="3306"/>
      <c r="Z34" s="3306"/>
      <c r="AA34" s="3306"/>
      <c r="AB34" s="3274"/>
      <c r="AC34" s="3274"/>
      <c r="AD34" s="3306"/>
      <c r="AE34" s="3306"/>
      <c r="AF34" s="3306"/>
      <c r="AG34" s="3274"/>
      <c r="AH34" s="3274"/>
      <c r="AI34" s="3306"/>
      <c r="AJ34" s="3306">
        <f t="shared" si="7"/>
        <v>0</v>
      </c>
      <c r="AK34" s="3306"/>
      <c r="AL34" s="3274"/>
      <c r="AM34" s="3274"/>
      <c r="AN34" s="3306"/>
      <c r="AO34" s="3306"/>
      <c r="AP34" s="3306"/>
      <c r="AQ34" s="3274"/>
      <c r="AR34" s="3274"/>
      <c r="AS34" s="3306"/>
      <c r="AT34" s="3306"/>
      <c r="AU34" s="3306"/>
      <c r="AV34" s="3274"/>
      <c r="AW34" s="3274"/>
      <c r="AX34" s="3306"/>
      <c r="AY34" s="3306"/>
      <c r="AZ34" s="3306"/>
      <c r="BA34" s="3274"/>
      <c r="BB34" s="3274"/>
      <c r="BC34" s="3306"/>
      <c r="BD34" s="3306"/>
      <c r="BE34" s="3306"/>
      <c r="BF34" s="3274"/>
      <c r="BG34" s="3274"/>
      <c r="BH34" s="3306"/>
      <c r="BI34" s="3306"/>
      <c r="BJ34" s="3306"/>
      <c r="BK34" s="3274"/>
      <c r="BL34" s="3274"/>
      <c r="BM34" s="3306"/>
      <c r="BN34" s="3306"/>
      <c r="BO34" s="3306"/>
      <c r="BP34" s="3274"/>
      <c r="BQ34" s="3274"/>
      <c r="BR34" s="3306"/>
      <c r="BS34" s="3306"/>
      <c r="BT34" s="3306"/>
      <c r="BU34" s="3274"/>
      <c r="BV34" s="3274"/>
      <c r="BW34" s="3306"/>
      <c r="BX34" s="3306"/>
      <c r="BY34" s="3306"/>
      <c r="BZ34" s="3274"/>
      <c r="CA34" s="3274"/>
      <c r="CB34" s="3306"/>
      <c r="CC34" s="3306"/>
      <c r="CD34" s="3306"/>
      <c r="CE34" s="3274"/>
      <c r="CF34" s="3274"/>
      <c r="CG34" s="3306"/>
      <c r="CH34" s="3306"/>
      <c r="CI34" s="3306"/>
      <c r="CJ34" s="3274"/>
      <c r="CK34" s="3274"/>
      <c r="CL34" s="3306"/>
      <c r="CM34" s="3306"/>
      <c r="CN34" s="3306"/>
      <c r="CO34" s="3288"/>
      <c r="CP34" s="3274"/>
      <c r="CQ34" s="3306"/>
      <c r="CR34" s="3306"/>
      <c r="CS34" s="3306"/>
    </row>
    <row r="35" spans="1:97" s="2483" customFormat="1" ht="13.8" x14ac:dyDescent="0.25">
      <c r="A35" s="1586"/>
      <c r="B35" s="3307" t="s">
        <v>80</v>
      </c>
      <c r="C35" s="3308">
        <f>C36</f>
        <v>0</v>
      </c>
      <c r="D35" s="3308">
        <f>D36</f>
        <v>0</v>
      </c>
      <c r="E35" s="3309">
        <f>E36</f>
        <v>0</v>
      </c>
      <c r="F35" s="3309">
        <f>E35/$O$89</f>
        <v>0</v>
      </c>
      <c r="G35" s="3309"/>
      <c r="H35" s="3308">
        <f>H36</f>
        <v>0</v>
      </c>
      <c r="I35" s="3308">
        <f>I36</f>
        <v>0</v>
      </c>
      <c r="J35" s="3309">
        <f>J36</f>
        <v>0</v>
      </c>
      <c r="K35" s="3309">
        <f>J35/$O$89</f>
        <v>0</v>
      </c>
      <c r="L35" s="3309"/>
      <c r="M35" s="3308">
        <f>M36</f>
        <v>0</v>
      </c>
      <c r="N35" s="3308">
        <f>N36</f>
        <v>0</v>
      </c>
      <c r="O35" s="3309">
        <f>O36</f>
        <v>0</v>
      </c>
      <c r="P35" s="3309">
        <f t="shared" si="3"/>
        <v>0</v>
      </c>
      <c r="Q35" s="3309"/>
      <c r="R35" s="3308">
        <f>R36</f>
        <v>0</v>
      </c>
      <c r="S35" s="3308">
        <f>S36</f>
        <v>0</v>
      </c>
      <c r="T35" s="3309">
        <f>T36</f>
        <v>0</v>
      </c>
      <c r="U35" s="3309">
        <f t="shared" si="4"/>
        <v>0</v>
      </c>
      <c r="V35" s="3309"/>
      <c r="W35" s="3308">
        <v>0</v>
      </c>
      <c r="X35" s="3308">
        <v>0</v>
      </c>
      <c r="Y35" s="3309">
        <v>0</v>
      </c>
      <c r="Z35" s="3309">
        <v>0</v>
      </c>
      <c r="AA35" s="3309"/>
      <c r="AB35" s="3308">
        <f>AB36</f>
        <v>0</v>
      </c>
      <c r="AC35" s="3308">
        <f>AC36</f>
        <v>0</v>
      </c>
      <c r="AD35" s="3309">
        <f>AD36</f>
        <v>0</v>
      </c>
      <c r="AE35" s="3309">
        <f t="shared" ref="AE35:AE36" si="45">AD35/$T$89</f>
        <v>0</v>
      </c>
      <c r="AF35" s="3309"/>
      <c r="AG35" s="3308">
        <f>AG36</f>
        <v>0</v>
      </c>
      <c r="AH35" s="3308">
        <f>AH36</f>
        <v>0</v>
      </c>
      <c r="AI35" s="3309">
        <f>AI36</f>
        <v>0</v>
      </c>
      <c r="AJ35" s="3309">
        <f t="shared" si="7"/>
        <v>0</v>
      </c>
      <c r="AK35" s="3309"/>
      <c r="AL35" s="3308">
        <f>AL36</f>
        <v>0</v>
      </c>
      <c r="AM35" s="3308">
        <f>AM36</f>
        <v>0</v>
      </c>
      <c r="AN35" s="3309">
        <f>AN36</f>
        <v>0</v>
      </c>
      <c r="AO35" s="3309">
        <f t="shared" si="8"/>
        <v>0</v>
      </c>
      <c r="AP35" s="3309"/>
      <c r="AQ35" s="3308">
        <f>AQ36</f>
        <v>0</v>
      </c>
      <c r="AR35" s="3308">
        <f>AR36</f>
        <v>0</v>
      </c>
      <c r="AS35" s="3309">
        <f>AS36</f>
        <v>0</v>
      </c>
      <c r="AT35" s="3309">
        <f>AS35/$AN$89</f>
        <v>0</v>
      </c>
      <c r="AU35" s="3309"/>
      <c r="AV35" s="3308">
        <f>AV36</f>
        <v>0</v>
      </c>
      <c r="AW35" s="3308">
        <f>AW36</f>
        <v>0</v>
      </c>
      <c r="AX35" s="3309">
        <f>AX36</f>
        <v>0</v>
      </c>
      <c r="AY35" s="3309">
        <f>AX35/$AN$89</f>
        <v>0</v>
      </c>
      <c r="AZ35" s="3309"/>
      <c r="BA35" s="3308">
        <f>BA36</f>
        <v>0</v>
      </c>
      <c r="BB35" s="3308">
        <f>BB36</f>
        <v>0</v>
      </c>
      <c r="BC35" s="3309">
        <f>BC36</f>
        <v>0</v>
      </c>
      <c r="BD35" s="3309">
        <f>BC35/$AN$89</f>
        <v>0</v>
      </c>
      <c r="BE35" s="3309"/>
      <c r="BF35" s="3308">
        <f>BF36</f>
        <v>0</v>
      </c>
      <c r="BG35" s="3308">
        <f>BG36</f>
        <v>0</v>
      </c>
      <c r="BH35" s="3309">
        <f>BH36</f>
        <v>0</v>
      </c>
      <c r="BI35" s="3309">
        <f>BH35/$AN$89</f>
        <v>0</v>
      </c>
      <c r="BJ35" s="3309"/>
      <c r="BK35" s="3308">
        <f>BK36</f>
        <v>0</v>
      </c>
      <c r="BL35" s="3308">
        <f>BL36</f>
        <v>0</v>
      </c>
      <c r="BM35" s="3309">
        <f>BM36</f>
        <v>0</v>
      </c>
      <c r="BN35" s="3309">
        <f>BM35/$AN$89</f>
        <v>0</v>
      </c>
      <c r="BO35" s="3309"/>
      <c r="BP35" s="3308">
        <f>BP36</f>
        <v>0</v>
      </c>
      <c r="BQ35" s="3308">
        <f>BQ36</f>
        <v>0</v>
      </c>
      <c r="BR35" s="3309">
        <f>BR36</f>
        <v>0</v>
      </c>
      <c r="BS35" s="3309">
        <f>BR35/$AN$89</f>
        <v>0</v>
      </c>
      <c r="BT35" s="3308"/>
      <c r="BU35" s="3308">
        <f>BU36</f>
        <v>0</v>
      </c>
      <c r="BV35" s="3308">
        <f>BV36</f>
        <v>0</v>
      </c>
      <c r="BW35" s="3309">
        <f>BW36</f>
        <v>0</v>
      </c>
      <c r="BX35" s="3309">
        <f>BW35/$AN$89</f>
        <v>0</v>
      </c>
      <c r="BY35" s="3308"/>
      <c r="BZ35" s="3308">
        <f>BZ36</f>
        <v>0</v>
      </c>
      <c r="CA35" s="3308">
        <f>CA36</f>
        <v>0</v>
      </c>
      <c r="CB35" s="3309">
        <f>CB36</f>
        <v>0</v>
      </c>
      <c r="CC35" s="3309">
        <f>CB35/$AN$89</f>
        <v>0</v>
      </c>
      <c r="CD35" s="3308"/>
      <c r="CE35" s="3308">
        <f>CE36</f>
        <v>0</v>
      </c>
      <c r="CF35" s="3308">
        <f>CF36</f>
        <v>0</v>
      </c>
      <c r="CG35" s="3309">
        <f>CG36</f>
        <v>0</v>
      </c>
      <c r="CH35" s="3309">
        <f>CG35/$AN$89</f>
        <v>0</v>
      </c>
      <c r="CI35" s="3308"/>
      <c r="CJ35" s="3308">
        <f>CJ36</f>
        <v>0</v>
      </c>
      <c r="CK35" s="3308">
        <f>CK36</f>
        <v>0</v>
      </c>
      <c r="CL35" s="3309">
        <f>CL36</f>
        <v>0</v>
      </c>
      <c r="CM35" s="3309">
        <f>CL35/$AN$89</f>
        <v>0</v>
      </c>
      <c r="CN35" s="3308"/>
      <c r="CO35" s="3308">
        <f>CO36</f>
        <v>0</v>
      </c>
      <c r="CP35" s="3308">
        <f>CP36</f>
        <v>0</v>
      </c>
      <c r="CQ35" s="3309">
        <f>CQ36</f>
        <v>0</v>
      </c>
      <c r="CR35" s="3309"/>
      <c r="CS35" s="3309"/>
    </row>
    <row r="36" spans="1:97" s="1411" customFormat="1" ht="13.8" x14ac:dyDescent="0.25">
      <c r="A36" s="1586"/>
      <c r="B36" s="3310" t="s">
        <v>81</v>
      </c>
      <c r="C36" s="3274"/>
      <c r="D36" s="3274"/>
      <c r="E36" s="2028">
        <f>C36+D36*1</f>
        <v>0</v>
      </c>
      <c r="F36" s="3284">
        <f>E36/$O$89</f>
        <v>0</v>
      </c>
      <c r="G36" s="3311" t="s">
        <v>1603</v>
      </c>
      <c r="H36" s="3274"/>
      <c r="I36" s="3274"/>
      <c r="J36" s="2028">
        <f>H36+I36*1</f>
        <v>0</v>
      </c>
      <c r="K36" s="3284">
        <f>J36/$O$89</f>
        <v>0</v>
      </c>
      <c r="L36" s="3311" t="s">
        <v>1603</v>
      </c>
      <c r="M36" s="3274"/>
      <c r="N36" s="3274"/>
      <c r="O36" s="2028">
        <f>M36+N36*1</f>
        <v>0</v>
      </c>
      <c r="P36" s="3284">
        <f t="shared" si="3"/>
        <v>0</v>
      </c>
      <c r="Q36" s="3276"/>
      <c r="R36" s="3274"/>
      <c r="S36" s="3274"/>
      <c r="T36" s="2028">
        <f>R36+S36*1</f>
        <v>0</v>
      </c>
      <c r="U36" s="3284">
        <f t="shared" si="4"/>
        <v>0</v>
      </c>
      <c r="V36" s="3276"/>
      <c r="W36" s="3274">
        <v>0</v>
      </c>
      <c r="X36" s="3274">
        <v>0</v>
      </c>
      <c r="Y36" s="2028">
        <v>0</v>
      </c>
      <c r="Z36" s="3284">
        <v>0</v>
      </c>
      <c r="AA36" s="3311"/>
      <c r="AB36" s="3274">
        <f>AG36+AL36+AQ36+AV36+BA36+BF36+BK36+BP36+BU36+BZ36+CE36+CJ36</f>
        <v>0</v>
      </c>
      <c r="AC36" s="3274">
        <f>AH36+AM36+AR36+AW36+BB36+BG36+BL36+BQ36+BV36+CA36+CF36+CK36</f>
        <v>0</v>
      </c>
      <c r="AD36" s="2028">
        <f>AB36+AC36*1</f>
        <v>0</v>
      </c>
      <c r="AE36" s="3284">
        <f t="shared" si="45"/>
        <v>0</v>
      </c>
      <c r="AF36" s="3311"/>
      <c r="AG36" s="3274"/>
      <c r="AH36" s="3274"/>
      <c r="AI36" s="2028">
        <f>AG36+AH36*1</f>
        <v>0</v>
      </c>
      <c r="AJ36" s="3284">
        <f t="shared" si="7"/>
        <v>0</v>
      </c>
      <c r="AK36" s="3276"/>
      <c r="AL36" s="3274"/>
      <c r="AM36" s="3274"/>
      <c r="AN36" s="2028">
        <f>AL36+AM36*1</f>
        <v>0</v>
      </c>
      <c r="AO36" s="3284">
        <f t="shared" si="8"/>
        <v>0</v>
      </c>
      <c r="AP36" s="3276"/>
      <c r="AQ36" s="3274"/>
      <c r="AR36" s="3274"/>
      <c r="AS36" s="2028">
        <f>AQ36+AR36*1</f>
        <v>0</v>
      </c>
      <c r="AT36" s="3284">
        <f>AS36/$AN$89</f>
        <v>0</v>
      </c>
      <c r="AU36" s="3276"/>
      <c r="AV36" s="3274"/>
      <c r="AW36" s="3274"/>
      <c r="AX36" s="2028">
        <f>AV36+AW36*1</f>
        <v>0</v>
      </c>
      <c r="AY36" s="3284">
        <f>AX36/$AN$89</f>
        <v>0</v>
      </c>
      <c r="AZ36" s="3276"/>
      <c r="BA36" s="3274"/>
      <c r="BB36" s="3274"/>
      <c r="BC36" s="2028">
        <f>BA36+BB36*1</f>
        <v>0</v>
      </c>
      <c r="BD36" s="3284">
        <f>BC36/$AN$89</f>
        <v>0</v>
      </c>
      <c r="BE36" s="3276"/>
      <c r="BF36" s="3274"/>
      <c r="BG36" s="3274"/>
      <c r="BH36" s="2028">
        <f>BF36+BG36*1</f>
        <v>0</v>
      </c>
      <c r="BI36" s="3284">
        <f>BH36/$AN$89</f>
        <v>0</v>
      </c>
      <c r="BJ36" s="3276"/>
      <c r="BK36" s="3274"/>
      <c r="BL36" s="3274"/>
      <c r="BM36" s="2028">
        <f>BK36+BL36*1</f>
        <v>0</v>
      </c>
      <c r="BN36" s="3284">
        <f>BM36/$AN$89</f>
        <v>0</v>
      </c>
      <c r="BO36" s="3276"/>
      <c r="BP36" s="3274"/>
      <c r="BQ36" s="3274"/>
      <c r="BR36" s="2028">
        <f>BP36+BQ36*1</f>
        <v>0</v>
      </c>
      <c r="BS36" s="3284">
        <f>BR36/$AN$89</f>
        <v>0</v>
      </c>
      <c r="BT36" s="3276"/>
      <c r="BU36" s="3274"/>
      <c r="BV36" s="3274"/>
      <c r="BW36" s="2028">
        <f>BU36+BV36*1</f>
        <v>0</v>
      </c>
      <c r="BX36" s="3284">
        <f>BW36/$AN$89</f>
        <v>0</v>
      </c>
      <c r="BY36" s="3276"/>
      <c r="BZ36" s="3274"/>
      <c r="CA36" s="3274"/>
      <c r="CB36" s="2028">
        <f>BZ36+CA36*1</f>
        <v>0</v>
      </c>
      <c r="CC36" s="3284">
        <f>CB36/$AN$89</f>
        <v>0</v>
      </c>
      <c r="CD36" s="3276"/>
      <c r="CE36" s="3274"/>
      <c r="CF36" s="3274"/>
      <c r="CG36" s="2028">
        <f>CE36+CF36*1</f>
        <v>0</v>
      </c>
      <c r="CH36" s="3284">
        <f>CG36/$AN$89</f>
        <v>0</v>
      </c>
      <c r="CI36" s="3276"/>
      <c r="CJ36" s="3274"/>
      <c r="CK36" s="3274"/>
      <c r="CL36" s="2028">
        <f>CJ36+CK36*1</f>
        <v>0</v>
      </c>
      <c r="CM36" s="3284">
        <f>CL36/$AN$89</f>
        <v>0</v>
      </c>
      <c r="CN36" s="3276"/>
      <c r="CO36" s="3274">
        <f>H36+M36+R36+AG36+AL36+C36+AQ36+AV36+BA36+BF36+BK36+BP36+BU36+BZ36+CE36+CJ36+W36</f>
        <v>0</v>
      </c>
      <c r="CP36" s="3274">
        <f>I36+N36+S36+AH36+AM36+D36+AR36+AW36+BB36+BG36+BL36+BQ36+BV36+CA36+CF36+CK36+X36</f>
        <v>0</v>
      </c>
      <c r="CQ36" s="2028">
        <f>CO36+CP36*1</f>
        <v>0</v>
      </c>
      <c r="CR36" s="3284">
        <f>CQ36/$CQ$89</f>
        <v>0</v>
      </c>
      <c r="CS36" s="3311"/>
    </row>
    <row r="37" spans="1:97" s="1411" customFormat="1" ht="14.4" thickBot="1" x14ac:dyDescent="0.3">
      <c r="A37" s="1413"/>
      <c r="B37" s="3312"/>
      <c r="C37" s="3274"/>
      <c r="D37" s="3274"/>
      <c r="E37" s="3313"/>
      <c r="F37" s="3313"/>
      <c r="G37" s="3313"/>
      <c r="H37" s="3274"/>
      <c r="I37" s="3274"/>
      <c r="J37" s="3313"/>
      <c r="K37" s="3313"/>
      <c r="L37" s="3313"/>
      <c r="M37" s="3274"/>
      <c r="N37" s="3274"/>
      <c r="O37" s="3313"/>
      <c r="P37" s="3313">
        <f t="shared" si="3"/>
        <v>0</v>
      </c>
      <c r="Q37" s="3313"/>
      <c r="R37" s="3274"/>
      <c r="S37" s="3274"/>
      <c r="T37" s="3313"/>
      <c r="U37" s="3313">
        <f t="shared" si="4"/>
        <v>0</v>
      </c>
      <c r="V37" s="3313"/>
      <c r="W37" s="3314"/>
      <c r="X37" s="3314"/>
      <c r="Y37" s="3313"/>
      <c r="Z37" s="3313"/>
      <c r="AA37" s="3313"/>
      <c r="AB37" s="3314"/>
      <c r="AC37" s="3314"/>
      <c r="AD37" s="3313"/>
      <c r="AE37" s="3313"/>
      <c r="AF37" s="3313"/>
      <c r="AG37" s="3274"/>
      <c r="AH37" s="3274"/>
      <c r="AI37" s="3313"/>
      <c r="AJ37" s="3313">
        <f t="shared" si="7"/>
        <v>0</v>
      </c>
      <c r="AK37" s="3313"/>
      <c r="AL37" s="3274"/>
      <c r="AM37" s="3274"/>
      <c r="AN37" s="3313"/>
      <c r="AO37" s="3313"/>
      <c r="AP37" s="3313"/>
      <c r="AQ37" s="3274"/>
      <c r="AR37" s="3274"/>
      <c r="AS37" s="3313"/>
      <c r="AT37" s="3313"/>
      <c r="AU37" s="3313"/>
      <c r="AV37" s="3274"/>
      <c r="AW37" s="3274"/>
      <c r="AX37" s="3313"/>
      <c r="AY37" s="3313"/>
      <c r="AZ37" s="3313"/>
      <c r="BA37" s="3274"/>
      <c r="BB37" s="3274"/>
      <c r="BC37" s="3313"/>
      <c r="BD37" s="3313"/>
      <c r="BE37" s="3313"/>
      <c r="BF37" s="3274"/>
      <c r="BG37" s="3274"/>
      <c r="BH37" s="3313"/>
      <c r="BI37" s="3313"/>
      <c r="BJ37" s="3313"/>
      <c r="BK37" s="3274"/>
      <c r="BL37" s="3274"/>
      <c r="BM37" s="3313"/>
      <c r="BN37" s="3313"/>
      <c r="BO37" s="3313"/>
      <c r="BP37" s="3274"/>
      <c r="BQ37" s="3274"/>
      <c r="BR37" s="3313"/>
      <c r="BS37" s="3313"/>
      <c r="BT37" s="3315"/>
      <c r="BU37" s="3274"/>
      <c r="BV37" s="3274"/>
      <c r="BW37" s="3313"/>
      <c r="BX37" s="3313"/>
      <c r="BY37" s="3315"/>
      <c r="BZ37" s="3274"/>
      <c r="CA37" s="3274"/>
      <c r="CB37" s="3313"/>
      <c r="CC37" s="3313"/>
      <c r="CD37" s="3315"/>
      <c r="CE37" s="3274"/>
      <c r="CF37" s="3274"/>
      <c r="CG37" s="3313"/>
      <c r="CH37" s="3313"/>
      <c r="CI37" s="3315"/>
      <c r="CJ37" s="3274"/>
      <c r="CK37" s="3274"/>
      <c r="CL37" s="3313"/>
      <c r="CM37" s="3313"/>
      <c r="CN37" s="3315"/>
      <c r="CO37" s="3274"/>
      <c r="CP37" s="3274"/>
      <c r="CQ37" s="3313"/>
      <c r="CR37" s="3313"/>
      <c r="CS37" s="3313"/>
    </row>
    <row r="38" spans="1:97" ht="14.4" thickBot="1" x14ac:dyDescent="0.3">
      <c r="A38" s="1441"/>
      <c r="B38" s="1442" t="s">
        <v>46</v>
      </c>
      <c r="C38" s="2018">
        <f>(C5)-(C8)</f>
        <v>0</v>
      </c>
      <c r="D38" s="2018">
        <f>(D5)-(D8)</f>
        <v>0</v>
      </c>
      <c r="E38" s="2018">
        <f>(E5)-(E8)</f>
        <v>0</v>
      </c>
      <c r="F38" s="2018">
        <f t="shared" ref="F38:F48" si="46">E38/$O$89</f>
        <v>0</v>
      </c>
      <c r="G38" s="2018"/>
      <c r="H38" s="2018">
        <f>(H5)-(H8)</f>
        <v>-141343.22</v>
      </c>
      <c r="I38" s="2018">
        <f>(I5)-(I8)</f>
        <v>-42700</v>
      </c>
      <c r="J38" s="2018">
        <f>(J5)-(J8)</f>
        <v>-184043.22</v>
      </c>
      <c r="K38" s="2018">
        <f t="shared" ref="K38:K48" si="47">J38/$O$89</f>
        <v>-0.93485813593527589</v>
      </c>
      <c r="L38" s="2018"/>
      <c r="M38" s="2018">
        <f>(M5)-(M8)</f>
        <v>-57697.89</v>
      </c>
      <c r="N38" s="2018">
        <f>(N5)-(N8)</f>
        <v>150248.5</v>
      </c>
      <c r="O38" s="2018">
        <f>(O5)-(O8)</f>
        <v>92550.610000000015</v>
      </c>
      <c r="P38" s="2018">
        <f t="shared" si="3"/>
        <v>-0.96420770599057504</v>
      </c>
      <c r="Q38" s="2018"/>
      <c r="R38" s="2018">
        <f>(R5)-(R8)</f>
        <v>-172889.07279999999</v>
      </c>
      <c r="S38" s="2018">
        <f>(S5)-(S8)</f>
        <v>205979.99</v>
      </c>
      <c r="T38" s="2018">
        <f>(T5)-(T8)</f>
        <v>33090.917200000025</v>
      </c>
      <c r="U38" s="2018">
        <f t="shared" si="4"/>
        <v>-0.62391799412573123</v>
      </c>
      <c r="V38" s="2018"/>
      <c r="W38" s="2018">
        <v>293390.83600000013</v>
      </c>
      <c r="X38" s="2018">
        <v>-178872.25</v>
      </c>
      <c r="Y38" s="2018">
        <v>114518.58600000013</v>
      </c>
      <c r="Z38" s="2018">
        <v>0.38822514878426456</v>
      </c>
      <c r="AA38" s="2018"/>
      <c r="AB38" s="2018">
        <f>(AB5)-(AB8)</f>
        <v>118244.94600000003</v>
      </c>
      <c r="AC38" s="2018">
        <f>(AC5)-(AC8)</f>
        <v>-38733</v>
      </c>
      <c r="AD38" s="2018">
        <f>(AD5)-(AD8)</f>
        <v>79511.945999999996</v>
      </c>
      <c r="AE38" s="2018">
        <f t="shared" ref="AE38:AE48" si="48">AD38/$T$89</f>
        <v>0.26955045590570226</v>
      </c>
      <c r="AF38" s="2018"/>
      <c r="AG38" s="2018">
        <f>(AG5)-(AG8)</f>
        <v>14143.080000000002</v>
      </c>
      <c r="AH38" s="2018">
        <f>(AH5)-(AH8)</f>
        <v>-4980</v>
      </c>
      <c r="AI38" s="2018">
        <f>(AI5)-(AI8)</f>
        <v>9163.0800000000017</v>
      </c>
      <c r="AJ38" s="2018">
        <f t="shared" si="7"/>
        <v>0.17297268176790478</v>
      </c>
      <c r="AK38" s="2018"/>
      <c r="AL38" s="2018">
        <f>(AL5)-(AL8)</f>
        <v>67014.31</v>
      </c>
      <c r="AM38" s="2018">
        <f>(AM5)-(AM8)</f>
        <v>-31900</v>
      </c>
      <c r="AN38" s="2018">
        <f>(AN5)-(AN8)</f>
        <v>35114.31</v>
      </c>
      <c r="AO38" s="2018">
        <f t="shared" si="8"/>
        <v>0.18684388264268967</v>
      </c>
      <c r="AP38" s="2018"/>
      <c r="AQ38" s="2018">
        <f>(AQ5)-(AQ8)</f>
        <v>37087.556000000011</v>
      </c>
      <c r="AR38" s="2018">
        <f>(AR5)-(AR8)</f>
        <v>-1853</v>
      </c>
      <c r="AS38" s="2018">
        <f>(AS5)-(AS8)</f>
        <v>35234.556000000011</v>
      </c>
      <c r="AT38" s="2018">
        <f>AS38/$AN$89</f>
        <v>0.18748371379734585</v>
      </c>
      <c r="AU38" s="2018"/>
      <c r="AV38" s="2018">
        <f>(AV5)-(AV8)</f>
        <v>0</v>
      </c>
      <c r="AW38" s="2018">
        <f>(AW5)-(AW8)</f>
        <v>0</v>
      </c>
      <c r="AX38" s="2018">
        <f>(AX5)-(AX8)</f>
        <v>0</v>
      </c>
      <c r="AY38" s="2018">
        <f>AX38/$AN$89</f>
        <v>0</v>
      </c>
      <c r="AZ38" s="2018"/>
      <c r="BA38" s="2018">
        <f>(BA5)-(BA8)</f>
        <v>0</v>
      </c>
      <c r="BB38" s="2018">
        <f>(BB5)-(BB8)</f>
        <v>0</v>
      </c>
      <c r="BC38" s="2018">
        <f>(BC5)-(BC8)</f>
        <v>0</v>
      </c>
      <c r="BD38" s="2018">
        <f>BC38/$AN$89</f>
        <v>0</v>
      </c>
      <c r="BE38" s="2018"/>
      <c r="BF38" s="2018">
        <f>(BF5)-(BF8)</f>
        <v>0</v>
      </c>
      <c r="BG38" s="2018">
        <f>(BG5)-(BG8)</f>
        <v>0</v>
      </c>
      <c r="BH38" s="2018">
        <f>(BH5)-(BH8)</f>
        <v>0</v>
      </c>
      <c r="BI38" s="2018">
        <f>BH38/$AN$89</f>
        <v>0</v>
      </c>
      <c r="BJ38" s="2018"/>
      <c r="BK38" s="2018">
        <f>(BK5)-(BK8)</f>
        <v>0</v>
      </c>
      <c r="BL38" s="2018">
        <f>(BL5)-(BL8)</f>
        <v>0</v>
      </c>
      <c r="BM38" s="2018">
        <f>(BM5)-(BM8)</f>
        <v>0</v>
      </c>
      <c r="BN38" s="2018">
        <f>BM38/$AN$89</f>
        <v>0</v>
      </c>
      <c r="BO38" s="2018"/>
      <c r="BP38" s="2018">
        <f>(BP5)-(BP8)</f>
        <v>0</v>
      </c>
      <c r="BQ38" s="2018">
        <f>(BQ5)-(BQ8)</f>
        <v>0</v>
      </c>
      <c r="BR38" s="2018">
        <f>(BR5)-(BR8)</f>
        <v>0</v>
      </c>
      <c r="BS38" s="2018">
        <f>BR38/$AN$89</f>
        <v>0</v>
      </c>
      <c r="BT38" s="2018"/>
      <c r="BU38" s="2018">
        <f>(BU5)-(BU8)</f>
        <v>0</v>
      </c>
      <c r="BV38" s="2018">
        <f>(BV5)-(BV8)</f>
        <v>0</v>
      </c>
      <c r="BW38" s="2018">
        <f>(BW5)-(BW8)</f>
        <v>0</v>
      </c>
      <c r="BX38" s="2018">
        <f>BW38/$AN$89</f>
        <v>0</v>
      </c>
      <c r="BY38" s="2018"/>
      <c r="BZ38" s="2018">
        <f>(BZ5)-(BZ8)</f>
        <v>0</v>
      </c>
      <c r="CA38" s="2018">
        <f>(CA5)-(CA8)</f>
        <v>0</v>
      </c>
      <c r="CB38" s="2018">
        <f>(CB5)-(CB8)</f>
        <v>0</v>
      </c>
      <c r="CC38" s="2018">
        <f>CB38/$AN$89</f>
        <v>0</v>
      </c>
      <c r="CD38" s="2018"/>
      <c r="CE38" s="2018">
        <f>(CE5)-(CE8)</f>
        <v>0</v>
      </c>
      <c r="CF38" s="2018">
        <f>(CF5)-(CF8)</f>
        <v>0</v>
      </c>
      <c r="CG38" s="2018">
        <f>(CG5)-(CG8)</f>
        <v>0</v>
      </c>
      <c r="CH38" s="2018">
        <f>CG38/$AN$89</f>
        <v>0</v>
      </c>
      <c r="CI38" s="2018"/>
      <c r="CJ38" s="2018">
        <f>(CJ5)-(CJ8)</f>
        <v>0</v>
      </c>
      <c r="CK38" s="2018">
        <f>(CK5)-(CK8)</f>
        <v>0</v>
      </c>
      <c r="CL38" s="2018">
        <f>(CL5)-(CL8)</f>
        <v>0</v>
      </c>
      <c r="CM38" s="2018">
        <f>CL38/$AN$89</f>
        <v>0</v>
      </c>
      <c r="CN38" s="2018"/>
      <c r="CO38" s="2018">
        <f>(CO5)-(CO8)</f>
        <v>39705.599200000288</v>
      </c>
      <c r="CP38" s="2018">
        <f>(CP5)-(CP8)</f>
        <v>95923.239999999991</v>
      </c>
      <c r="CQ38" s="2018">
        <f>(CQ5)-(CQ8)</f>
        <v>135628.83920000028</v>
      </c>
      <c r="CR38" s="2018"/>
      <c r="CS38" s="2018"/>
    </row>
    <row r="39" spans="1:97" ht="13.8" x14ac:dyDescent="0.25">
      <c r="A39" s="1580"/>
      <c r="B39" s="1423" t="s">
        <v>47</v>
      </c>
      <c r="C39" s="2019" t="e">
        <f>C38/(C5)</f>
        <v>#DIV/0!</v>
      </c>
      <c r="D39" s="2019" t="e">
        <f>D38/(D5)</f>
        <v>#DIV/0!</v>
      </c>
      <c r="E39" s="2020" t="e">
        <f>E38/(E5)</f>
        <v>#DIV/0!</v>
      </c>
      <c r="F39" s="2020" t="e">
        <f t="shared" si="46"/>
        <v>#DIV/0!</v>
      </c>
      <c r="G39" s="2020"/>
      <c r="H39" s="2019">
        <f>H38/(H5)</f>
        <v>-28.268644000000002</v>
      </c>
      <c r="I39" s="2019" t="e">
        <f>I38/(I5)</f>
        <v>#DIV/0!</v>
      </c>
      <c r="J39" s="2020">
        <f>J38/(J5)</f>
        <v>-36.808644000000001</v>
      </c>
      <c r="K39" s="2020">
        <f t="shared" si="47"/>
        <v>-1.8697162718705519E-4</v>
      </c>
      <c r="L39" s="2020"/>
      <c r="M39" s="2019">
        <f>M38/(M5)</f>
        <v>-0.81091725685190408</v>
      </c>
      <c r="N39" s="2019">
        <f>N38/(N5)</f>
        <v>0.88589917452830191</v>
      </c>
      <c r="O39" s="2020">
        <f>O38/(O5)</f>
        <v>0.38442399024155172</v>
      </c>
      <c r="P39" s="2020">
        <f t="shared" si="3"/>
        <v>-1.9284154119811502E-4</v>
      </c>
      <c r="Q39" s="2020"/>
      <c r="R39" s="2019">
        <f>R38/(R5)</f>
        <v>-4.32222682</v>
      </c>
      <c r="S39" s="2019">
        <f>S38/(S5)</f>
        <v>0.7805524650422524</v>
      </c>
      <c r="T39" s="2020">
        <f>T38/(T5)</f>
        <v>0.10889110270163554</v>
      </c>
      <c r="U39" s="2020">
        <f t="shared" si="4"/>
        <v>-1.2478359882514626E-4</v>
      </c>
      <c r="V39" s="2020"/>
      <c r="W39" s="2019">
        <v>0.22845701851070474</v>
      </c>
      <c r="X39" s="2019" t="e">
        <v>#DIV/0!</v>
      </c>
      <c r="Y39" s="2020">
        <v>8.9173114874050635E-2</v>
      </c>
      <c r="Z39" s="2020">
        <v>3.0230242093221952E-7</v>
      </c>
      <c r="AA39" s="2020"/>
      <c r="AB39" s="2019">
        <f>AB38/(AB5)</f>
        <v>0.31630673300698187</v>
      </c>
      <c r="AC39" s="2019">
        <f>AC38/(AC5)</f>
        <v>-1.1755083459787556</v>
      </c>
      <c r="AD39" s="2020">
        <f>AD38/(AD5)</f>
        <v>0.19546670436107969</v>
      </c>
      <c r="AE39" s="2020">
        <f t="shared" si="48"/>
        <v>6.6264431856458584E-7</v>
      </c>
      <c r="AF39" s="2020"/>
      <c r="AG39" s="2019">
        <f>AG38/(AG5)</f>
        <v>0.23049348109517603</v>
      </c>
      <c r="AH39" s="2019" t="e">
        <f>AH38/(AH5)</f>
        <v>#DIV/0!</v>
      </c>
      <c r="AI39" s="2020">
        <f>AI38/(AI5)</f>
        <v>0.1493331160365059</v>
      </c>
      <c r="AJ39" s="2020">
        <f t="shared" si="7"/>
        <v>2.818981123988018E-6</v>
      </c>
      <c r="AK39" s="2020"/>
      <c r="AL39" s="2019">
        <f>AL38/(AL5)</f>
        <v>0.32874324258032867</v>
      </c>
      <c r="AM39" s="2019">
        <f>AM38/(AM5)</f>
        <v>-2.5934959349593494</v>
      </c>
      <c r="AN39" s="2020">
        <f>AN38/(AN5)</f>
        <v>0.1624534351145038</v>
      </c>
      <c r="AO39" s="2020">
        <f t="shared" si="8"/>
        <v>8.6441768513851331E-7</v>
      </c>
      <c r="AP39" s="2020"/>
      <c r="AQ39" s="2019">
        <f>AQ38/(AQ5)</f>
        <v>0.34144315963910893</v>
      </c>
      <c r="AR39" s="2019">
        <f>AR38/(AR5)</f>
        <v>-8.9733656174334139E-2</v>
      </c>
      <c r="AS39" s="2020">
        <f>AS38/(AS5)</f>
        <v>0.27256560686934334</v>
      </c>
      <c r="AT39" s="2020">
        <f>AS39/$AN$89</f>
        <v>1.4503265552513797E-6</v>
      </c>
      <c r="AU39" s="2020"/>
      <c r="AV39" s="2019" t="e">
        <f>AV38/(AV5)</f>
        <v>#DIV/0!</v>
      </c>
      <c r="AW39" s="2019" t="e">
        <f>AW38/(AW5)</f>
        <v>#DIV/0!</v>
      </c>
      <c r="AX39" s="2020" t="e">
        <f>AX38/(AX5)</f>
        <v>#DIV/0!</v>
      </c>
      <c r="AY39" s="2020" t="e">
        <f>AX39/$AN$89</f>
        <v>#DIV/0!</v>
      </c>
      <c r="AZ39" s="2020"/>
      <c r="BA39" s="2019" t="e">
        <f>BA38/(BA5)</f>
        <v>#DIV/0!</v>
      </c>
      <c r="BB39" s="2019" t="e">
        <f>BB38/(BB5)</f>
        <v>#DIV/0!</v>
      </c>
      <c r="BC39" s="2020" t="e">
        <f>BC38/(BC5)</f>
        <v>#DIV/0!</v>
      </c>
      <c r="BD39" s="2020" t="e">
        <f>BC39/$AN$89</f>
        <v>#DIV/0!</v>
      </c>
      <c r="BE39" s="2020"/>
      <c r="BF39" s="2019" t="e">
        <f>BF38/(BF5)</f>
        <v>#DIV/0!</v>
      </c>
      <c r="BG39" s="2019" t="e">
        <f>BG38/(BG5)</f>
        <v>#DIV/0!</v>
      </c>
      <c r="BH39" s="2020" t="e">
        <f>BH38/(BH5)</f>
        <v>#DIV/0!</v>
      </c>
      <c r="BI39" s="2020" t="e">
        <f>BH39/$AN$89</f>
        <v>#DIV/0!</v>
      </c>
      <c r="BJ39" s="2020"/>
      <c r="BK39" s="2019" t="e">
        <f>BK38/(BK5)</f>
        <v>#DIV/0!</v>
      </c>
      <c r="BL39" s="2019" t="e">
        <f>BL38/(BL5)</f>
        <v>#DIV/0!</v>
      </c>
      <c r="BM39" s="2020" t="e">
        <f>BM38/(BM5)</f>
        <v>#DIV/0!</v>
      </c>
      <c r="BN39" s="2020" t="e">
        <f>BM39/$AN$89</f>
        <v>#DIV/0!</v>
      </c>
      <c r="BO39" s="2020"/>
      <c r="BP39" s="2019" t="e">
        <f>BP38/(BP5)</f>
        <v>#DIV/0!</v>
      </c>
      <c r="BQ39" s="2019" t="e">
        <f>BQ38/(BQ5)</f>
        <v>#DIV/0!</v>
      </c>
      <c r="BR39" s="2020" t="e">
        <f>BR38/(BR5)</f>
        <v>#DIV/0!</v>
      </c>
      <c r="BS39" s="2020" t="e">
        <f>BR39/$AN$89</f>
        <v>#DIV/0!</v>
      </c>
      <c r="BT39" s="2019"/>
      <c r="BU39" s="2019" t="e">
        <f>BU38/(BU5)</f>
        <v>#DIV/0!</v>
      </c>
      <c r="BV39" s="2019" t="e">
        <f>BV38/(BV5)</f>
        <v>#DIV/0!</v>
      </c>
      <c r="BW39" s="2020" t="e">
        <f>BW38/(BW5)</f>
        <v>#DIV/0!</v>
      </c>
      <c r="BX39" s="2020" t="e">
        <f>BW39/$AN$89</f>
        <v>#DIV/0!</v>
      </c>
      <c r="BY39" s="2019"/>
      <c r="BZ39" s="2019" t="e">
        <f>BZ38/(BZ5)</f>
        <v>#DIV/0!</v>
      </c>
      <c r="CA39" s="2019" t="e">
        <f>CA38/(CA5)</f>
        <v>#DIV/0!</v>
      </c>
      <c r="CB39" s="2020" t="e">
        <f>CB38/(CB5)</f>
        <v>#DIV/0!</v>
      </c>
      <c r="CC39" s="2020" t="e">
        <f>CB39/$AN$89</f>
        <v>#DIV/0!</v>
      </c>
      <c r="CD39" s="2019"/>
      <c r="CE39" s="2019" t="e">
        <f>CE38/(CE5)</f>
        <v>#DIV/0!</v>
      </c>
      <c r="CF39" s="2019" t="e">
        <f>CF38/(CF5)</f>
        <v>#DIV/0!</v>
      </c>
      <c r="CG39" s="2020" t="e">
        <f>CG38/(CG5)</f>
        <v>#DIV/0!</v>
      </c>
      <c r="CH39" s="2020" t="e">
        <f>CG39/$AN$89</f>
        <v>#DIV/0!</v>
      </c>
      <c r="CI39" s="2019"/>
      <c r="CJ39" s="2019" t="e">
        <f>CJ38/(CJ5)</f>
        <v>#DIV/0!</v>
      </c>
      <c r="CK39" s="2019" t="e">
        <f>CK38/(CK5)</f>
        <v>#DIV/0!</v>
      </c>
      <c r="CL39" s="2020" t="e">
        <f>CL38/(CL5)</f>
        <v>#DIV/0!</v>
      </c>
      <c r="CM39" s="2020" t="e">
        <f>CL39/$AN$89</f>
        <v>#DIV/0!</v>
      </c>
      <c r="CN39" s="2019"/>
      <c r="CO39" s="2019">
        <f>CO38/(CO5)</f>
        <v>2.2379323258012292E-2</v>
      </c>
      <c r="CP39" s="2019">
        <f>CP38/(CP5)</f>
        <v>0.20564968699082409</v>
      </c>
      <c r="CQ39" s="2020">
        <f>CQ38/(CQ5)</f>
        <v>6.053104816577027E-2</v>
      </c>
      <c r="CR39" s="2020"/>
      <c r="CS39" s="2020"/>
    </row>
    <row r="40" spans="1:97" ht="14.4" thickBot="1" x14ac:dyDescent="0.3">
      <c r="A40" s="1582"/>
      <c r="B40" s="3316"/>
      <c r="C40" s="3317"/>
      <c r="D40" s="3317"/>
      <c r="E40" s="3317"/>
      <c r="F40" s="3317">
        <f t="shared" si="46"/>
        <v>0</v>
      </c>
      <c r="G40" s="3317"/>
      <c r="H40" s="3317"/>
      <c r="I40" s="3317"/>
      <c r="J40" s="3317"/>
      <c r="K40" s="3317">
        <f t="shared" si="47"/>
        <v>0</v>
      </c>
      <c r="L40" s="3317"/>
      <c r="M40" s="3317"/>
      <c r="N40" s="3317"/>
      <c r="O40" s="3317"/>
      <c r="P40" s="3317">
        <f t="shared" si="3"/>
        <v>0</v>
      </c>
      <c r="Q40" s="3317"/>
      <c r="R40" s="3317"/>
      <c r="S40" s="3317"/>
      <c r="T40" s="3317"/>
      <c r="U40" s="3317">
        <f t="shared" si="4"/>
        <v>0</v>
      </c>
      <c r="V40" s="3317"/>
      <c r="W40" s="3317"/>
      <c r="X40" s="3317"/>
      <c r="Y40" s="3317"/>
      <c r="Z40" s="3317">
        <v>0</v>
      </c>
      <c r="AA40" s="3317"/>
      <c r="AB40" s="3317"/>
      <c r="AC40" s="3317"/>
      <c r="AD40" s="3317"/>
      <c r="AE40" s="3317">
        <f t="shared" si="48"/>
        <v>0</v>
      </c>
      <c r="AF40" s="3317"/>
      <c r="AG40" s="3317"/>
      <c r="AH40" s="3317"/>
      <c r="AI40" s="3317"/>
      <c r="AJ40" s="3317">
        <f t="shared" si="7"/>
        <v>0</v>
      </c>
      <c r="AK40" s="3317"/>
      <c r="AL40" s="3317"/>
      <c r="AM40" s="3317"/>
      <c r="AN40" s="3317"/>
      <c r="AO40" s="3317"/>
      <c r="AP40" s="3317"/>
      <c r="AQ40" s="3317"/>
      <c r="AR40" s="3317"/>
      <c r="AS40" s="3317"/>
      <c r="AT40" s="3317"/>
      <c r="AU40" s="3317"/>
      <c r="AV40" s="3317"/>
      <c r="AW40" s="3317"/>
      <c r="AX40" s="3317"/>
      <c r="AY40" s="3317"/>
      <c r="AZ40" s="3317"/>
      <c r="BA40" s="3317"/>
      <c r="BB40" s="3317"/>
      <c r="BC40" s="3317"/>
      <c r="BD40" s="3317"/>
      <c r="BE40" s="3317"/>
      <c r="BF40" s="3317"/>
      <c r="BG40" s="3317"/>
      <c r="BH40" s="3317"/>
      <c r="BI40" s="3317"/>
      <c r="BJ40" s="3317"/>
      <c r="BK40" s="3317"/>
      <c r="BL40" s="3317"/>
      <c r="BM40" s="3317"/>
      <c r="BN40" s="3317"/>
      <c r="BO40" s="3317"/>
      <c r="BP40" s="3317"/>
      <c r="BQ40" s="3317"/>
      <c r="BR40" s="3317"/>
      <c r="BS40" s="3317"/>
      <c r="BT40" s="3317"/>
      <c r="BU40" s="3317"/>
      <c r="BV40" s="3317"/>
      <c r="BW40" s="3317"/>
      <c r="BX40" s="3317"/>
      <c r="BY40" s="3317"/>
      <c r="BZ40" s="3317"/>
      <c r="CA40" s="3317"/>
      <c r="CB40" s="3317"/>
      <c r="CC40" s="3317"/>
      <c r="CD40" s="3317"/>
      <c r="CE40" s="3317"/>
      <c r="CF40" s="3317"/>
      <c r="CG40" s="3317"/>
      <c r="CH40" s="3317"/>
      <c r="CI40" s="3317"/>
      <c r="CJ40" s="3317"/>
      <c r="CK40" s="3317"/>
      <c r="CL40" s="3317"/>
      <c r="CM40" s="3317"/>
      <c r="CN40" s="3317"/>
      <c r="CO40" s="3317"/>
      <c r="CP40" s="3317"/>
      <c r="CQ40" s="3317"/>
      <c r="CR40" s="3317"/>
      <c r="CS40" s="3317"/>
    </row>
    <row r="41" spans="1:97" ht="13.8" x14ac:dyDescent="0.25">
      <c r="A41" s="1420"/>
      <c r="B41" s="1430" t="s">
        <v>26</v>
      </c>
      <c r="C41" s="2029">
        <f>SUM(C42:C48)</f>
        <v>0</v>
      </c>
      <c r="D41" s="2029">
        <f>SUM(D42:D48)</f>
        <v>0</v>
      </c>
      <c r="E41" s="2030">
        <f>SUM(E42:E48)</f>
        <v>0</v>
      </c>
      <c r="F41" s="3318">
        <f t="shared" si="46"/>
        <v>0</v>
      </c>
      <c r="G41" s="2022"/>
      <c r="H41" s="2029">
        <f>SUM(H42:H48)</f>
        <v>0</v>
      </c>
      <c r="I41" s="2029">
        <f>SUM(I42:I48)</f>
        <v>0</v>
      </c>
      <c r="J41" s="2030">
        <f>SUM(J42:J48)</f>
        <v>0</v>
      </c>
      <c r="K41" s="3318">
        <f t="shared" si="47"/>
        <v>0</v>
      </c>
      <c r="L41" s="2022"/>
      <c r="M41" s="2029">
        <f>SUM(M42:M48)</f>
        <v>0</v>
      </c>
      <c r="N41" s="2029">
        <f>SUM(N42:N48)</f>
        <v>0</v>
      </c>
      <c r="O41" s="2030">
        <f>SUM(O42:O48)</f>
        <v>0</v>
      </c>
      <c r="P41" s="3318">
        <f t="shared" si="3"/>
        <v>0</v>
      </c>
      <c r="Q41" s="2022"/>
      <c r="R41" s="2029">
        <f>SUM(R42:R48)</f>
        <v>0</v>
      </c>
      <c r="S41" s="2029">
        <f>SUM(S42:S48)</f>
        <v>0</v>
      </c>
      <c r="T41" s="2030">
        <f>SUM(T42:T48)</f>
        <v>0</v>
      </c>
      <c r="U41" s="3318">
        <f t="shared" si="4"/>
        <v>0</v>
      </c>
      <c r="V41" s="2022"/>
      <c r="W41" s="2029">
        <v>0</v>
      </c>
      <c r="X41" s="2029">
        <v>0</v>
      </c>
      <c r="Y41" s="2030">
        <v>0</v>
      </c>
      <c r="Z41" s="3318">
        <v>0</v>
      </c>
      <c r="AA41" s="2022"/>
      <c r="AB41" s="2029">
        <f>SUM(AB42:AB48)</f>
        <v>0</v>
      </c>
      <c r="AC41" s="2029">
        <f>SUM(AC42:AC48)</f>
        <v>0</v>
      </c>
      <c r="AD41" s="2030">
        <f>SUM(AD42:AD48)</f>
        <v>0</v>
      </c>
      <c r="AE41" s="3318">
        <f t="shared" si="48"/>
        <v>0</v>
      </c>
      <c r="AF41" s="2022"/>
      <c r="AG41" s="2029">
        <f>SUM(AG42:AG48)</f>
        <v>0</v>
      </c>
      <c r="AH41" s="2029">
        <f>SUM(AH42:AH48)</f>
        <v>0</v>
      </c>
      <c r="AI41" s="2030">
        <f>SUM(AI42:AI48)</f>
        <v>0</v>
      </c>
      <c r="AJ41" s="3318">
        <f t="shared" si="7"/>
        <v>0</v>
      </c>
      <c r="AK41" s="2022"/>
      <c r="AL41" s="2029">
        <f>SUM(AL42:AL48)</f>
        <v>0</v>
      </c>
      <c r="AM41" s="2029">
        <f>SUM(AM42:AM48)</f>
        <v>0</v>
      </c>
      <c r="AN41" s="2030">
        <f>SUM(AN42:AN48)</f>
        <v>0</v>
      </c>
      <c r="AO41" s="3318">
        <f t="shared" si="8"/>
        <v>0</v>
      </c>
      <c r="AP41" s="2022"/>
      <c r="AQ41" s="2029">
        <f>SUM(AQ42:AQ48)</f>
        <v>0</v>
      </c>
      <c r="AR41" s="2029">
        <f>SUM(AR42:AR48)</f>
        <v>0</v>
      </c>
      <c r="AS41" s="2030">
        <f>SUM(AS42:AS48)</f>
        <v>0</v>
      </c>
      <c r="AT41" s="3318">
        <f t="shared" ref="AT41:AT52" si="49">AS41/$AN$89</f>
        <v>0</v>
      </c>
      <c r="AU41" s="2022"/>
      <c r="AV41" s="2029">
        <f>SUM(AV42:AV48)</f>
        <v>0</v>
      </c>
      <c r="AW41" s="2029">
        <f>SUM(AW42:AW48)</f>
        <v>0</v>
      </c>
      <c r="AX41" s="2030">
        <f>SUM(AX42:AX48)</f>
        <v>0</v>
      </c>
      <c r="AY41" s="3318">
        <f t="shared" ref="AY41:AY52" si="50">AX41/$AN$89</f>
        <v>0</v>
      </c>
      <c r="AZ41" s="2022"/>
      <c r="BA41" s="2029">
        <f>SUM(BA42:BA48)</f>
        <v>0</v>
      </c>
      <c r="BB41" s="2029">
        <f>SUM(BB42:BB48)</f>
        <v>0</v>
      </c>
      <c r="BC41" s="2030">
        <f>SUM(BC42:BC48)</f>
        <v>0</v>
      </c>
      <c r="BD41" s="3318">
        <f t="shared" ref="BD41:BD52" si="51">BC41/$AN$89</f>
        <v>0</v>
      </c>
      <c r="BE41" s="2022"/>
      <c r="BF41" s="2029">
        <f>SUM(BF42:BF48)</f>
        <v>0</v>
      </c>
      <c r="BG41" s="2029">
        <f>SUM(BG42:BG48)</f>
        <v>0</v>
      </c>
      <c r="BH41" s="2030">
        <f>SUM(BH42:BH48)</f>
        <v>0</v>
      </c>
      <c r="BI41" s="3318">
        <f t="shared" ref="BI41:BI52" si="52">BH41/$AN$89</f>
        <v>0</v>
      </c>
      <c r="BJ41" s="2022"/>
      <c r="BK41" s="2029">
        <f>SUM(BK42:BK48)</f>
        <v>0</v>
      </c>
      <c r="BL41" s="2029">
        <f>SUM(BL42:BL48)</f>
        <v>0</v>
      </c>
      <c r="BM41" s="2030">
        <f>SUM(BM42:BM48)</f>
        <v>0</v>
      </c>
      <c r="BN41" s="3318">
        <f t="shared" ref="BN41:BN52" si="53">BM41/$AN$89</f>
        <v>0</v>
      </c>
      <c r="BO41" s="2022"/>
      <c r="BP41" s="2029">
        <f>SUM(BP42:BP48)</f>
        <v>0</v>
      </c>
      <c r="BQ41" s="2029">
        <f>SUM(BQ42:BQ48)</f>
        <v>0</v>
      </c>
      <c r="BR41" s="2030">
        <f>SUM(BR42:BR48)</f>
        <v>0</v>
      </c>
      <c r="BS41" s="3318">
        <f t="shared" ref="BS41:BS52" si="54">BR41/$AN$89</f>
        <v>0</v>
      </c>
      <c r="BT41" s="1329"/>
      <c r="BU41" s="2029">
        <f>SUM(BU42:BU48)</f>
        <v>0</v>
      </c>
      <c r="BV41" s="2029">
        <f>SUM(BV42:BV48)</f>
        <v>0</v>
      </c>
      <c r="BW41" s="2030">
        <f>SUM(BW42:BW48)</f>
        <v>0</v>
      </c>
      <c r="BX41" s="3318">
        <f t="shared" ref="BX41:BX52" si="55">BW41/$AN$89</f>
        <v>0</v>
      </c>
      <c r="BY41" s="1329"/>
      <c r="BZ41" s="2029">
        <f>SUM(BZ42:BZ48)</f>
        <v>0</v>
      </c>
      <c r="CA41" s="2029">
        <f>SUM(CA42:CA48)</f>
        <v>0</v>
      </c>
      <c r="CB41" s="2030">
        <f>SUM(CB42:CB48)</f>
        <v>0</v>
      </c>
      <c r="CC41" s="3318">
        <f t="shared" ref="CC41:CC52" si="56">CB41/$AN$89</f>
        <v>0</v>
      </c>
      <c r="CD41" s="1329"/>
      <c r="CE41" s="2029">
        <f>SUM(CE42:CE48)</f>
        <v>0</v>
      </c>
      <c r="CF41" s="2029">
        <f>SUM(CF42:CF48)</f>
        <v>0</v>
      </c>
      <c r="CG41" s="2030">
        <f>SUM(CG42:CG48)</f>
        <v>0</v>
      </c>
      <c r="CH41" s="3318">
        <f t="shared" ref="CH41:CH52" si="57">CG41/$AN$89</f>
        <v>0</v>
      </c>
      <c r="CI41" s="1329"/>
      <c r="CJ41" s="2029">
        <f>SUM(CJ42:CJ48)</f>
        <v>0</v>
      </c>
      <c r="CK41" s="2029">
        <f>SUM(CK42:CK48)</f>
        <v>0</v>
      </c>
      <c r="CL41" s="2030">
        <f>SUM(CL42:CL48)</f>
        <v>0</v>
      </c>
      <c r="CM41" s="3318">
        <f t="shared" ref="CM41:CM52" si="58">CL41/$AN$89</f>
        <v>0</v>
      </c>
      <c r="CN41" s="1329"/>
      <c r="CO41" s="2029">
        <f>SUM(CO42:CO48)</f>
        <v>0</v>
      </c>
      <c r="CP41" s="2029">
        <f>SUM(CP42:CP48)</f>
        <v>0</v>
      </c>
      <c r="CQ41" s="2030">
        <f>SUM(CQ42:CQ48)</f>
        <v>0</v>
      </c>
      <c r="CR41" s="3318">
        <f t="shared" ref="CR41:CR71" si="59">CQ41/$CQ$89</f>
        <v>0</v>
      </c>
      <c r="CS41" s="2022"/>
    </row>
    <row r="42" spans="1:97" ht="13.8" x14ac:dyDescent="0.25">
      <c r="A42" s="4015"/>
      <c r="B42" s="3319" t="s">
        <v>7</v>
      </c>
      <c r="C42" s="3274"/>
      <c r="D42" s="3274"/>
      <c r="E42" s="2028">
        <f t="shared" ref="E42:E48" si="60">C42+D42*1</f>
        <v>0</v>
      </c>
      <c r="F42" s="3284">
        <f t="shared" si="46"/>
        <v>0</v>
      </c>
      <c r="G42" s="3295"/>
      <c r="H42" s="3274"/>
      <c r="I42" s="3274"/>
      <c r="J42" s="2028">
        <f t="shared" ref="J42:J48" si="61">H42+I42*1</f>
        <v>0</v>
      </c>
      <c r="K42" s="3284">
        <f t="shared" si="47"/>
        <v>0</v>
      </c>
      <c r="L42" s="3295"/>
      <c r="M42" s="3274"/>
      <c r="N42" s="3274"/>
      <c r="O42" s="2028">
        <f t="shared" ref="O42:O48" si="62">M42+N42*1</f>
        <v>0</v>
      </c>
      <c r="P42" s="3284">
        <f t="shared" si="3"/>
        <v>0</v>
      </c>
      <c r="Q42" s="3295"/>
      <c r="R42" s="3274"/>
      <c r="S42" s="3274"/>
      <c r="T42" s="2028">
        <f t="shared" ref="T42:T48" si="63">R42+S42*1</f>
        <v>0</v>
      </c>
      <c r="U42" s="3284">
        <f t="shared" si="4"/>
        <v>0</v>
      </c>
      <c r="V42" s="3295"/>
      <c r="W42" s="3274">
        <v>0</v>
      </c>
      <c r="X42" s="3274">
        <v>0</v>
      </c>
      <c r="Y42" s="2028">
        <v>0</v>
      </c>
      <c r="Z42" s="3284">
        <v>0</v>
      </c>
      <c r="AA42" s="3276"/>
      <c r="AB42" s="3274">
        <f t="shared" ref="AB42:AC48" si="64">AG42+AL42+AQ42+AV42+BA42+BF42+BK42+BP42+BU42+BZ42+CE42+CJ42</f>
        <v>0</v>
      </c>
      <c r="AC42" s="3274">
        <f t="shared" si="64"/>
        <v>0</v>
      </c>
      <c r="AD42" s="2028">
        <f t="shared" ref="AD42:AD48" si="65">AB42+AC42*1</f>
        <v>0</v>
      </c>
      <c r="AE42" s="3284">
        <f t="shared" si="48"/>
        <v>0</v>
      </c>
      <c r="AF42" s="3276"/>
      <c r="AG42" s="3274"/>
      <c r="AH42" s="3274"/>
      <c r="AI42" s="2028">
        <f t="shared" ref="AI42:AI48" si="66">AG42+AH42*1</f>
        <v>0</v>
      </c>
      <c r="AJ42" s="3284">
        <f t="shared" si="7"/>
        <v>0</v>
      </c>
      <c r="AK42" s="3295"/>
      <c r="AL42" s="3274"/>
      <c r="AM42" s="3274"/>
      <c r="AN42" s="2028">
        <f t="shared" ref="AN42:AN48" si="67">AL42+AM42*1</f>
        <v>0</v>
      </c>
      <c r="AO42" s="3284">
        <f t="shared" si="8"/>
        <v>0</v>
      </c>
      <c r="AP42" s="3295"/>
      <c r="AQ42" s="3274"/>
      <c r="AR42" s="3274"/>
      <c r="AS42" s="2028">
        <f t="shared" ref="AS42:AS48" si="68">AQ42+AR42*1</f>
        <v>0</v>
      </c>
      <c r="AT42" s="3284">
        <f t="shared" si="49"/>
        <v>0</v>
      </c>
      <c r="AU42" s="3295"/>
      <c r="AV42" s="3274"/>
      <c r="AW42" s="3274"/>
      <c r="AX42" s="2028">
        <f t="shared" ref="AX42:AX48" si="69">AV42+AW42*1</f>
        <v>0</v>
      </c>
      <c r="AY42" s="3284">
        <f t="shared" si="50"/>
        <v>0</v>
      </c>
      <c r="AZ42" s="3295"/>
      <c r="BA42" s="3274"/>
      <c r="BB42" s="3274"/>
      <c r="BC42" s="2028">
        <f t="shared" ref="BC42:BC48" si="70">BA42+BB42*1</f>
        <v>0</v>
      </c>
      <c r="BD42" s="3284">
        <f t="shared" si="51"/>
        <v>0</v>
      </c>
      <c r="BE42" s="3295"/>
      <c r="BF42" s="3274"/>
      <c r="BG42" s="3274"/>
      <c r="BH42" s="2028">
        <f t="shared" ref="BH42:BH48" si="71">BF42+BG42*1</f>
        <v>0</v>
      </c>
      <c r="BI42" s="3284">
        <f t="shared" si="52"/>
        <v>0</v>
      </c>
      <c r="BJ42" s="3295"/>
      <c r="BK42" s="3274"/>
      <c r="BL42" s="3274"/>
      <c r="BM42" s="2028">
        <f t="shared" ref="BM42:BM48" si="72">BK42+BL42*1</f>
        <v>0</v>
      </c>
      <c r="BN42" s="3284">
        <f t="shared" si="53"/>
        <v>0</v>
      </c>
      <c r="BO42" s="3295"/>
      <c r="BP42" s="3274"/>
      <c r="BQ42" s="3274"/>
      <c r="BR42" s="2028">
        <f t="shared" ref="BR42:BR48" si="73">BP42+BQ42*1</f>
        <v>0</v>
      </c>
      <c r="BS42" s="3284">
        <f t="shared" si="54"/>
        <v>0</v>
      </c>
      <c r="BT42" s="1449"/>
      <c r="BU42" s="3274"/>
      <c r="BV42" s="3274"/>
      <c r="BW42" s="2028">
        <f t="shared" ref="BW42:BW48" si="74">BU42+BV42*1</f>
        <v>0</v>
      </c>
      <c r="BX42" s="3284">
        <f t="shared" si="55"/>
        <v>0</v>
      </c>
      <c r="BY42" s="1449"/>
      <c r="BZ42" s="3274"/>
      <c r="CA42" s="3274"/>
      <c r="CB42" s="2028">
        <f t="shared" ref="CB42:CB48" si="75">BZ42+CA42*1</f>
        <v>0</v>
      </c>
      <c r="CC42" s="3284">
        <f t="shared" si="56"/>
        <v>0</v>
      </c>
      <c r="CD42" s="1449"/>
      <c r="CE42" s="3274"/>
      <c r="CF42" s="3274"/>
      <c r="CG42" s="2028">
        <f t="shared" ref="CG42:CG48" si="76">CE42+CF42*1</f>
        <v>0</v>
      </c>
      <c r="CH42" s="3284">
        <f t="shared" si="57"/>
        <v>0</v>
      </c>
      <c r="CI42" s="1449"/>
      <c r="CJ42" s="3274"/>
      <c r="CK42" s="3274"/>
      <c r="CL42" s="2028">
        <f t="shared" ref="CL42:CL48" si="77">CJ42+CK42*1</f>
        <v>0</v>
      </c>
      <c r="CM42" s="3284">
        <f t="shared" si="58"/>
        <v>0</v>
      </c>
      <c r="CN42" s="1449"/>
      <c r="CO42" s="3274">
        <f t="shared" ref="CO42:CP48" si="78">H42+M42+R42+AG42+AL42+C42+AQ42+AV42+BA42+BF42+BK42+BP42+BU42+BZ42+CE42+CJ42+W42</f>
        <v>0</v>
      </c>
      <c r="CP42" s="3274">
        <f t="shared" si="78"/>
        <v>0</v>
      </c>
      <c r="CQ42" s="2028">
        <f t="shared" ref="CQ42:CQ48" si="79">CO42+CP42*1</f>
        <v>0</v>
      </c>
      <c r="CR42" s="3284">
        <f t="shared" si="59"/>
        <v>0</v>
      </c>
      <c r="CS42" s="3295"/>
    </row>
    <row r="43" spans="1:97" ht="13.8" x14ac:dyDescent="0.25">
      <c r="A43" s="4015"/>
      <c r="B43" s="3319" t="s">
        <v>27</v>
      </c>
      <c r="C43" s="3274"/>
      <c r="D43" s="3274"/>
      <c r="E43" s="2028">
        <f t="shared" si="60"/>
        <v>0</v>
      </c>
      <c r="F43" s="3284">
        <f t="shared" si="46"/>
        <v>0</v>
      </c>
      <c r="G43" s="3295"/>
      <c r="H43" s="3274"/>
      <c r="I43" s="3274"/>
      <c r="J43" s="2028">
        <f t="shared" si="61"/>
        <v>0</v>
      </c>
      <c r="K43" s="3284">
        <f t="shared" si="47"/>
        <v>0</v>
      </c>
      <c r="L43" s="3295"/>
      <c r="M43" s="3274"/>
      <c r="N43" s="3274"/>
      <c r="O43" s="2028">
        <f t="shared" si="62"/>
        <v>0</v>
      </c>
      <c r="P43" s="3284">
        <f t="shared" si="3"/>
        <v>0</v>
      </c>
      <c r="Q43" s="3295"/>
      <c r="R43" s="3274"/>
      <c r="S43" s="3274"/>
      <c r="T43" s="2028">
        <f t="shared" si="63"/>
        <v>0</v>
      </c>
      <c r="U43" s="3284">
        <f t="shared" si="4"/>
        <v>0</v>
      </c>
      <c r="V43" s="3295"/>
      <c r="W43" s="3274">
        <v>0</v>
      </c>
      <c r="X43" s="3274">
        <v>0</v>
      </c>
      <c r="Y43" s="2028">
        <v>0</v>
      </c>
      <c r="Z43" s="3284">
        <v>0</v>
      </c>
      <c r="AA43" s="3276"/>
      <c r="AB43" s="3274">
        <f t="shared" si="64"/>
        <v>0</v>
      </c>
      <c r="AC43" s="3274">
        <f t="shared" si="64"/>
        <v>0</v>
      </c>
      <c r="AD43" s="2028">
        <f t="shared" si="65"/>
        <v>0</v>
      </c>
      <c r="AE43" s="3284">
        <f t="shared" si="48"/>
        <v>0</v>
      </c>
      <c r="AF43" s="3276"/>
      <c r="AG43" s="3274"/>
      <c r="AH43" s="3274"/>
      <c r="AI43" s="2028">
        <f t="shared" si="66"/>
        <v>0</v>
      </c>
      <c r="AJ43" s="3284">
        <f t="shared" si="7"/>
        <v>0</v>
      </c>
      <c r="AK43" s="3295"/>
      <c r="AL43" s="3274"/>
      <c r="AM43" s="3274"/>
      <c r="AN43" s="2028">
        <f t="shared" si="67"/>
        <v>0</v>
      </c>
      <c r="AO43" s="3284">
        <f t="shared" si="8"/>
        <v>0</v>
      </c>
      <c r="AP43" s="3295"/>
      <c r="AQ43" s="3274"/>
      <c r="AR43" s="3274"/>
      <c r="AS43" s="2028">
        <f t="shared" si="68"/>
        <v>0</v>
      </c>
      <c r="AT43" s="3284">
        <f t="shared" si="49"/>
        <v>0</v>
      </c>
      <c r="AU43" s="3295"/>
      <c r="AV43" s="3274"/>
      <c r="AW43" s="3274"/>
      <c r="AX43" s="2028">
        <f t="shared" si="69"/>
        <v>0</v>
      </c>
      <c r="AY43" s="3284">
        <f t="shared" si="50"/>
        <v>0</v>
      </c>
      <c r="AZ43" s="3295"/>
      <c r="BA43" s="3274"/>
      <c r="BB43" s="3274"/>
      <c r="BC43" s="2028">
        <f t="shared" si="70"/>
        <v>0</v>
      </c>
      <c r="BD43" s="3284">
        <f t="shared" si="51"/>
        <v>0</v>
      </c>
      <c r="BE43" s="3295"/>
      <c r="BF43" s="3274"/>
      <c r="BG43" s="3274"/>
      <c r="BH43" s="2028">
        <f t="shared" si="71"/>
        <v>0</v>
      </c>
      <c r="BI43" s="3284">
        <f t="shared" si="52"/>
        <v>0</v>
      </c>
      <c r="BJ43" s="3295"/>
      <c r="BK43" s="3274"/>
      <c r="BL43" s="3274"/>
      <c r="BM43" s="2028">
        <f t="shared" si="72"/>
        <v>0</v>
      </c>
      <c r="BN43" s="3284">
        <f t="shared" si="53"/>
        <v>0</v>
      </c>
      <c r="BO43" s="3295"/>
      <c r="BP43" s="3274"/>
      <c r="BQ43" s="3274"/>
      <c r="BR43" s="2028">
        <f t="shared" si="73"/>
        <v>0</v>
      </c>
      <c r="BS43" s="3284">
        <f t="shared" si="54"/>
        <v>0</v>
      </c>
      <c r="BT43" s="1449"/>
      <c r="BU43" s="3274"/>
      <c r="BV43" s="3274"/>
      <c r="BW43" s="2028">
        <f t="shared" si="74"/>
        <v>0</v>
      </c>
      <c r="BX43" s="3284">
        <f t="shared" si="55"/>
        <v>0</v>
      </c>
      <c r="BY43" s="1449"/>
      <c r="BZ43" s="3274"/>
      <c r="CA43" s="3274"/>
      <c r="CB43" s="2028">
        <f t="shared" si="75"/>
        <v>0</v>
      </c>
      <c r="CC43" s="3284">
        <f t="shared" si="56"/>
        <v>0</v>
      </c>
      <c r="CD43" s="1449"/>
      <c r="CE43" s="3274"/>
      <c r="CF43" s="3274"/>
      <c r="CG43" s="2028">
        <f t="shared" si="76"/>
        <v>0</v>
      </c>
      <c r="CH43" s="3284">
        <f t="shared" si="57"/>
        <v>0</v>
      </c>
      <c r="CI43" s="1449"/>
      <c r="CJ43" s="3274"/>
      <c r="CK43" s="3274"/>
      <c r="CL43" s="2028">
        <f t="shared" si="77"/>
        <v>0</v>
      </c>
      <c r="CM43" s="3284">
        <f t="shared" si="58"/>
        <v>0</v>
      </c>
      <c r="CN43" s="1449"/>
      <c r="CO43" s="3274">
        <f t="shared" si="78"/>
        <v>0</v>
      </c>
      <c r="CP43" s="3274">
        <f t="shared" si="78"/>
        <v>0</v>
      </c>
      <c r="CQ43" s="2028">
        <f t="shared" si="79"/>
        <v>0</v>
      </c>
      <c r="CR43" s="3284">
        <f t="shared" si="59"/>
        <v>0</v>
      </c>
      <c r="CS43" s="3295"/>
    </row>
    <row r="44" spans="1:97" ht="13.8" x14ac:dyDescent="0.25">
      <c r="A44" s="4015"/>
      <c r="B44" s="3310" t="s">
        <v>28</v>
      </c>
      <c r="C44" s="3274"/>
      <c r="D44" s="3274"/>
      <c r="E44" s="2028">
        <f t="shared" si="60"/>
        <v>0</v>
      </c>
      <c r="F44" s="3284">
        <f t="shared" si="46"/>
        <v>0</v>
      </c>
      <c r="G44" s="3295"/>
      <c r="H44" s="3274"/>
      <c r="I44" s="3274"/>
      <c r="J44" s="2028">
        <f t="shared" si="61"/>
        <v>0</v>
      </c>
      <c r="K44" s="3284">
        <f t="shared" si="47"/>
        <v>0</v>
      </c>
      <c r="L44" s="3295"/>
      <c r="M44" s="3274"/>
      <c r="N44" s="3274"/>
      <c r="O44" s="2028">
        <f t="shared" si="62"/>
        <v>0</v>
      </c>
      <c r="P44" s="3284">
        <f t="shared" si="3"/>
        <v>0</v>
      </c>
      <c r="Q44" s="3295"/>
      <c r="R44" s="3274"/>
      <c r="S44" s="3274"/>
      <c r="T44" s="2028">
        <f t="shared" si="63"/>
        <v>0</v>
      </c>
      <c r="U44" s="3284">
        <f t="shared" si="4"/>
        <v>0</v>
      </c>
      <c r="V44" s="3295"/>
      <c r="W44" s="3274">
        <v>0</v>
      </c>
      <c r="X44" s="3274">
        <v>0</v>
      </c>
      <c r="Y44" s="2028">
        <v>0</v>
      </c>
      <c r="Z44" s="3284">
        <v>0</v>
      </c>
      <c r="AA44" s="3276"/>
      <c r="AB44" s="3274">
        <f t="shared" si="64"/>
        <v>0</v>
      </c>
      <c r="AC44" s="3274">
        <f t="shared" si="64"/>
        <v>0</v>
      </c>
      <c r="AD44" s="2028">
        <f t="shared" si="65"/>
        <v>0</v>
      </c>
      <c r="AE44" s="3284">
        <f t="shared" si="48"/>
        <v>0</v>
      </c>
      <c r="AF44" s="3276"/>
      <c r="AG44" s="3274"/>
      <c r="AH44" s="3274"/>
      <c r="AI44" s="2028">
        <f t="shared" si="66"/>
        <v>0</v>
      </c>
      <c r="AJ44" s="3284">
        <f t="shared" si="7"/>
        <v>0</v>
      </c>
      <c r="AK44" s="3295"/>
      <c r="AL44" s="3274"/>
      <c r="AM44" s="3274"/>
      <c r="AN44" s="2028">
        <f t="shared" si="67"/>
        <v>0</v>
      </c>
      <c r="AO44" s="3284">
        <f t="shared" si="8"/>
        <v>0</v>
      </c>
      <c r="AP44" s="3295"/>
      <c r="AQ44" s="3274"/>
      <c r="AR44" s="3274"/>
      <c r="AS44" s="2028">
        <f t="shared" si="68"/>
        <v>0</v>
      </c>
      <c r="AT44" s="3284">
        <f t="shared" si="49"/>
        <v>0</v>
      </c>
      <c r="AU44" s="3295"/>
      <c r="AV44" s="3274"/>
      <c r="AW44" s="3274"/>
      <c r="AX44" s="2028">
        <f t="shared" si="69"/>
        <v>0</v>
      </c>
      <c r="AY44" s="3284">
        <f t="shared" si="50"/>
        <v>0</v>
      </c>
      <c r="AZ44" s="3295"/>
      <c r="BA44" s="3274"/>
      <c r="BB44" s="3274"/>
      <c r="BC44" s="2028">
        <f t="shared" si="70"/>
        <v>0</v>
      </c>
      <c r="BD44" s="3284">
        <f t="shared" si="51"/>
        <v>0</v>
      </c>
      <c r="BE44" s="3295"/>
      <c r="BF44" s="3274"/>
      <c r="BG44" s="3274"/>
      <c r="BH44" s="2028">
        <f t="shared" si="71"/>
        <v>0</v>
      </c>
      <c r="BI44" s="3284">
        <f t="shared" si="52"/>
        <v>0</v>
      </c>
      <c r="BJ44" s="3295"/>
      <c r="BK44" s="3274"/>
      <c r="BL44" s="3274"/>
      <c r="BM44" s="2028">
        <f t="shared" si="72"/>
        <v>0</v>
      </c>
      <c r="BN44" s="3284">
        <f t="shared" si="53"/>
        <v>0</v>
      </c>
      <c r="BO44" s="3295"/>
      <c r="BP44" s="3274"/>
      <c r="BQ44" s="3274"/>
      <c r="BR44" s="2028">
        <f t="shared" si="73"/>
        <v>0</v>
      </c>
      <c r="BS44" s="3284">
        <f t="shared" si="54"/>
        <v>0</v>
      </c>
      <c r="BT44" s="1449"/>
      <c r="BU44" s="3274"/>
      <c r="BV44" s="3274"/>
      <c r="BW44" s="2028">
        <f t="shared" si="74"/>
        <v>0</v>
      </c>
      <c r="BX44" s="3284">
        <f t="shared" si="55"/>
        <v>0</v>
      </c>
      <c r="BY44" s="1449"/>
      <c r="BZ44" s="3274"/>
      <c r="CA44" s="3274"/>
      <c r="CB44" s="2028">
        <f t="shared" si="75"/>
        <v>0</v>
      </c>
      <c r="CC44" s="3284">
        <f t="shared" si="56"/>
        <v>0</v>
      </c>
      <c r="CD44" s="1449"/>
      <c r="CE44" s="3274"/>
      <c r="CF44" s="3274"/>
      <c r="CG44" s="2028">
        <f t="shared" si="76"/>
        <v>0</v>
      </c>
      <c r="CH44" s="3284">
        <f t="shared" si="57"/>
        <v>0</v>
      </c>
      <c r="CI44" s="1449"/>
      <c r="CJ44" s="3274"/>
      <c r="CK44" s="3274"/>
      <c r="CL44" s="2028">
        <f t="shared" si="77"/>
        <v>0</v>
      </c>
      <c r="CM44" s="3284">
        <f t="shared" si="58"/>
        <v>0</v>
      </c>
      <c r="CN44" s="1449"/>
      <c r="CO44" s="3274">
        <f t="shared" si="78"/>
        <v>0</v>
      </c>
      <c r="CP44" s="3274">
        <f t="shared" si="78"/>
        <v>0</v>
      </c>
      <c r="CQ44" s="2028">
        <f t="shared" si="79"/>
        <v>0</v>
      </c>
      <c r="CR44" s="3284">
        <f t="shared" si="59"/>
        <v>0</v>
      </c>
      <c r="CS44" s="3295"/>
    </row>
    <row r="45" spans="1:97" ht="13.8" x14ac:dyDescent="0.25">
      <c r="A45" s="4015"/>
      <c r="B45" s="3319" t="s">
        <v>8</v>
      </c>
      <c r="C45" s="3274"/>
      <c r="D45" s="3274"/>
      <c r="E45" s="2028">
        <f t="shared" si="60"/>
        <v>0</v>
      </c>
      <c r="F45" s="3284">
        <f t="shared" si="46"/>
        <v>0</v>
      </c>
      <c r="G45" s="3295"/>
      <c r="H45" s="3274"/>
      <c r="I45" s="3274"/>
      <c r="J45" s="2028">
        <f t="shared" si="61"/>
        <v>0</v>
      </c>
      <c r="K45" s="3284">
        <f t="shared" si="47"/>
        <v>0</v>
      </c>
      <c r="L45" s="3295"/>
      <c r="M45" s="3274"/>
      <c r="N45" s="3274"/>
      <c r="O45" s="2028">
        <f t="shared" si="62"/>
        <v>0</v>
      </c>
      <c r="P45" s="3284">
        <f t="shared" si="3"/>
        <v>0</v>
      </c>
      <c r="Q45" s="3295"/>
      <c r="R45" s="3274"/>
      <c r="S45" s="3274"/>
      <c r="T45" s="2028">
        <f t="shared" si="63"/>
        <v>0</v>
      </c>
      <c r="U45" s="3284">
        <f t="shared" si="4"/>
        <v>0</v>
      </c>
      <c r="V45" s="3295"/>
      <c r="W45" s="3274">
        <v>0</v>
      </c>
      <c r="X45" s="3274">
        <v>0</v>
      </c>
      <c r="Y45" s="2028">
        <v>0</v>
      </c>
      <c r="Z45" s="3284">
        <v>0</v>
      </c>
      <c r="AA45" s="3295"/>
      <c r="AB45" s="3274">
        <f t="shared" si="64"/>
        <v>0</v>
      </c>
      <c r="AC45" s="3274">
        <f t="shared" si="64"/>
        <v>0</v>
      </c>
      <c r="AD45" s="2028">
        <f t="shared" si="65"/>
        <v>0</v>
      </c>
      <c r="AE45" s="3284">
        <f t="shared" si="48"/>
        <v>0</v>
      </c>
      <c r="AF45" s="3295"/>
      <c r="AG45" s="3274"/>
      <c r="AH45" s="3274"/>
      <c r="AI45" s="2028">
        <f t="shared" si="66"/>
        <v>0</v>
      </c>
      <c r="AJ45" s="3284">
        <f t="shared" si="7"/>
        <v>0</v>
      </c>
      <c r="AK45" s="3295"/>
      <c r="AL45" s="3274"/>
      <c r="AM45" s="3274"/>
      <c r="AN45" s="2028">
        <f t="shared" si="67"/>
        <v>0</v>
      </c>
      <c r="AO45" s="3284">
        <f t="shared" si="8"/>
        <v>0</v>
      </c>
      <c r="AP45" s="3295"/>
      <c r="AQ45" s="3274"/>
      <c r="AR45" s="3274"/>
      <c r="AS45" s="2028">
        <f t="shared" si="68"/>
        <v>0</v>
      </c>
      <c r="AT45" s="3284">
        <f t="shared" si="49"/>
        <v>0</v>
      </c>
      <c r="AU45" s="3295"/>
      <c r="AV45" s="3274"/>
      <c r="AW45" s="3274"/>
      <c r="AX45" s="2028">
        <f t="shared" si="69"/>
        <v>0</v>
      </c>
      <c r="AY45" s="3284">
        <f t="shared" si="50"/>
        <v>0</v>
      </c>
      <c r="AZ45" s="3295"/>
      <c r="BA45" s="3274"/>
      <c r="BB45" s="3274"/>
      <c r="BC45" s="2028">
        <f t="shared" si="70"/>
        <v>0</v>
      </c>
      <c r="BD45" s="3284">
        <f t="shared" si="51"/>
        <v>0</v>
      </c>
      <c r="BE45" s="3295"/>
      <c r="BF45" s="3274"/>
      <c r="BG45" s="3274"/>
      <c r="BH45" s="2028">
        <f t="shared" si="71"/>
        <v>0</v>
      </c>
      <c r="BI45" s="3284">
        <f t="shared" si="52"/>
        <v>0</v>
      </c>
      <c r="BJ45" s="3295"/>
      <c r="BK45" s="3274"/>
      <c r="BL45" s="3274"/>
      <c r="BM45" s="2028">
        <f t="shared" si="72"/>
        <v>0</v>
      </c>
      <c r="BN45" s="3284">
        <f t="shared" si="53"/>
        <v>0</v>
      </c>
      <c r="BO45" s="3295"/>
      <c r="BP45" s="3274"/>
      <c r="BQ45" s="3274"/>
      <c r="BR45" s="2028">
        <f t="shared" si="73"/>
        <v>0</v>
      </c>
      <c r="BS45" s="3284">
        <f t="shared" si="54"/>
        <v>0</v>
      </c>
      <c r="BT45" s="1449"/>
      <c r="BU45" s="3274"/>
      <c r="BV45" s="3274"/>
      <c r="BW45" s="2028">
        <f t="shared" si="74"/>
        <v>0</v>
      </c>
      <c r="BX45" s="3284">
        <f t="shared" si="55"/>
        <v>0</v>
      </c>
      <c r="BY45" s="1449"/>
      <c r="BZ45" s="3274"/>
      <c r="CA45" s="3274"/>
      <c r="CB45" s="2028">
        <f t="shared" si="75"/>
        <v>0</v>
      </c>
      <c r="CC45" s="3284">
        <f t="shared" si="56"/>
        <v>0</v>
      </c>
      <c r="CD45" s="1449"/>
      <c r="CE45" s="3274"/>
      <c r="CF45" s="3274"/>
      <c r="CG45" s="2028">
        <f t="shared" si="76"/>
        <v>0</v>
      </c>
      <c r="CH45" s="3284">
        <f t="shared" si="57"/>
        <v>0</v>
      </c>
      <c r="CI45" s="1449"/>
      <c r="CJ45" s="3274"/>
      <c r="CK45" s="3274"/>
      <c r="CL45" s="2028">
        <f t="shared" si="77"/>
        <v>0</v>
      </c>
      <c r="CM45" s="3284">
        <f t="shared" si="58"/>
        <v>0</v>
      </c>
      <c r="CN45" s="1449"/>
      <c r="CO45" s="3274">
        <f t="shared" si="78"/>
        <v>0</v>
      </c>
      <c r="CP45" s="3274">
        <f t="shared" si="78"/>
        <v>0</v>
      </c>
      <c r="CQ45" s="2028">
        <f t="shared" si="79"/>
        <v>0</v>
      </c>
      <c r="CR45" s="3284">
        <f t="shared" si="59"/>
        <v>0</v>
      </c>
      <c r="CS45" s="3295"/>
    </row>
    <row r="46" spans="1:97" ht="13.8" x14ac:dyDescent="0.25">
      <c r="A46" s="4015"/>
      <c r="B46" s="3319" t="s">
        <v>29</v>
      </c>
      <c r="C46" s="3274"/>
      <c r="D46" s="3274"/>
      <c r="E46" s="2028">
        <f t="shared" si="60"/>
        <v>0</v>
      </c>
      <c r="F46" s="3284">
        <f t="shared" si="46"/>
        <v>0</v>
      </c>
      <c r="G46" s="3295"/>
      <c r="H46" s="3274"/>
      <c r="I46" s="3274"/>
      <c r="J46" s="2028">
        <f t="shared" si="61"/>
        <v>0</v>
      </c>
      <c r="K46" s="3284">
        <f t="shared" si="47"/>
        <v>0</v>
      </c>
      <c r="L46" s="3295"/>
      <c r="M46" s="3274"/>
      <c r="N46" s="3274"/>
      <c r="O46" s="2028">
        <f t="shared" si="62"/>
        <v>0</v>
      </c>
      <c r="P46" s="3284">
        <f t="shared" si="3"/>
        <v>0</v>
      </c>
      <c r="Q46" s="3295"/>
      <c r="R46" s="3274"/>
      <c r="S46" s="3274"/>
      <c r="T46" s="2028">
        <f t="shared" si="63"/>
        <v>0</v>
      </c>
      <c r="U46" s="3284">
        <f t="shared" si="4"/>
        <v>0</v>
      </c>
      <c r="V46" s="3295"/>
      <c r="W46" s="3274">
        <v>0</v>
      </c>
      <c r="X46" s="3274">
        <v>0</v>
      </c>
      <c r="Y46" s="2028">
        <v>0</v>
      </c>
      <c r="Z46" s="3284">
        <v>0</v>
      </c>
      <c r="AA46" s="3295"/>
      <c r="AB46" s="3274">
        <f t="shared" si="64"/>
        <v>0</v>
      </c>
      <c r="AC46" s="3274">
        <f t="shared" si="64"/>
        <v>0</v>
      </c>
      <c r="AD46" s="2028">
        <f t="shared" si="65"/>
        <v>0</v>
      </c>
      <c r="AE46" s="3284">
        <f t="shared" si="48"/>
        <v>0</v>
      </c>
      <c r="AF46" s="3295"/>
      <c r="AG46" s="3274"/>
      <c r="AH46" s="3274"/>
      <c r="AI46" s="2028">
        <f t="shared" si="66"/>
        <v>0</v>
      </c>
      <c r="AJ46" s="3284">
        <f t="shared" si="7"/>
        <v>0</v>
      </c>
      <c r="AK46" s="3295"/>
      <c r="AL46" s="3274"/>
      <c r="AM46" s="3274"/>
      <c r="AN46" s="2028">
        <f t="shared" si="67"/>
        <v>0</v>
      </c>
      <c r="AO46" s="3284">
        <f t="shared" si="8"/>
        <v>0</v>
      </c>
      <c r="AP46" s="3295"/>
      <c r="AQ46" s="3274"/>
      <c r="AR46" s="3274"/>
      <c r="AS46" s="2028">
        <f t="shared" si="68"/>
        <v>0</v>
      </c>
      <c r="AT46" s="3284">
        <f t="shared" si="49"/>
        <v>0</v>
      </c>
      <c r="AU46" s="3295"/>
      <c r="AV46" s="3274"/>
      <c r="AW46" s="3274"/>
      <c r="AX46" s="2028">
        <f t="shared" si="69"/>
        <v>0</v>
      </c>
      <c r="AY46" s="3284">
        <f t="shared" si="50"/>
        <v>0</v>
      </c>
      <c r="AZ46" s="3295"/>
      <c r="BA46" s="3274"/>
      <c r="BB46" s="3274"/>
      <c r="BC46" s="2028">
        <f t="shared" si="70"/>
        <v>0</v>
      </c>
      <c r="BD46" s="3284">
        <f t="shared" si="51"/>
        <v>0</v>
      </c>
      <c r="BE46" s="3295"/>
      <c r="BF46" s="3274"/>
      <c r="BG46" s="3274"/>
      <c r="BH46" s="2028">
        <f t="shared" si="71"/>
        <v>0</v>
      </c>
      <c r="BI46" s="3284">
        <f t="shared" si="52"/>
        <v>0</v>
      </c>
      <c r="BJ46" s="3295"/>
      <c r="BK46" s="3274"/>
      <c r="BL46" s="3274"/>
      <c r="BM46" s="2028">
        <f t="shared" si="72"/>
        <v>0</v>
      </c>
      <c r="BN46" s="3284">
        <f t="shared" si="53"/>
        <v>0</v>
      </c>
      <c r="BO46" s="3295"/>
      <c r="BP46" s="3274"/>
      <c r="BQ46" s="3274"/>
      <c r="BR46" s="2028">
        <f t="shared" si="73"/>
        <v>0</v>
      </c>
      <c r="BS46" s="3284">
        <f t="shared" si="54"/>
        <v>0</v>
      </c>
      <c r="BT46" s="1449"/>
      <c r="BU46" s="3274"/>
      <c r="BV46" s="3274"/>
      <c r="BW46" s="2028">
        <f t="shared" si="74"/>
        <v>0</v>
      </c>
      <c r="BX46" s="3284">
        <f t="shared" si="55"/>
        <v>0</v>
      </c>
      <c r="BY46" s="1449"/>
      <c r="BZ46" s="3274"/>
      <c r="CA46" s="3274"/>
      <c r="CB46" s="2028">
        <f t="shared" si="75"/>
        <v>0</v>
      </c>
      <c r="CC46" s="3284">
        <f t="shared" si="56"/>
        <v>0</v>
      </c>
      <c r="CD46" s="1449"/>
      <c r="CE46" s="3274"/>
      <c r="CF46" s="3274"/>
      <c r="CG46" s="2028">
        <f t="shared" si="76"/>
        <v>0</v>
      </c>
      <c r="CH46" s="3284">
        <f t="shared" si="57"/>
        <v>0</v>
      </c>
      <c r="CI46" s="1449"/>
      <c r="CJ46" s="3274"/>
      <c r="CK46" s="3274"/>
      <c r="CL46" s="2028">
        <f t="shared" si="77"/>
        <v>0</v>
      </c>
      <c r="CM46" s="3284">
        <f t="shared" si="58"/>
        <v>0</v>
      </c>
      <c r="CN46" s="1449"/>
      <c r="CO46" s="3274">
        <f t="shared" si="78"/>
        <v>0</v>
      </c>
      <c r="CP46" s="3274">
        <f t="shared" si="78"/>
        <v>0</v>
      </c>
      <c r="CQ46" s="2028">
        <f t="shared" si="79"/>
        <v>0</v>
      </c>
      <c r="CR46" s="3284">
        <f t="shared" si="59"/>
        <v>0</v>
      </c>
      <c r="CS46" s="3295"/>
    </row>
    <row r="47" spans="1:97" ht="13.8" x14ac:dyDescent="0.25">
      <c r="A47" s="4015"/>
      <c r="B47" s="3319" t="s">
        <v>30</v>
      </c>
      <c r="C47" s="3274"/>
      <c r="D47" s="3274"/>
      <c r="E47" s="2028">
        <f t="shared" si="60"/>
        <v>0</v>
      </c>
      <c r="F47" s="3284">
        <f t="shared" si="46"/>
        <v>0</v>
      </c>
      <c r="G47" s="3295"/>
      <c r="H47" s="3274"/>
      <c r="I47" s="3274"/>
      <c r="J47" s="2028">
        <f t="shared" si="61"/>
        <v>0</v>
      </c>
      <c r="K47" s="3284">
        <f t="shared" si="47"/>
        <v>0</v>
      </c>
      <c r="L47" s="3295"/>
      <c r="M47" s="3274"/>
      <c r="N47" s="3274"/>
      <c r="O47" s="2028">
        <f t="shared" si="62"/>
        <v>0</v>
      </c>
      <c r="P47" s="3284">
        <f t="shared" si="3"/>
        <v>0</v>
      </c>
      <c r="Q47" s="3295"/>
      <c r="R47" s="3274"/>
      <c r="S47" s="3274"/>
      <c r="T47" s="2028">
        <f t="shared" si="63"/>
        <v>0</v>
      </c>
      <c r="U47" s="3284">
        <f t="shared" si="4"/>
        <v>0</v>
      </c>
      <c r="V47" s="3295"/>
      <c r="W47" s="3274">
        <v>0</v>
      </c>
      <c r="X47" s="3274">
        <v>0</v>
      </c>
      <c r="Y47" s="2028">
        <v>0</v>
      </c>
      <c r="Z47" s="3284">
        <v>0</v>
      </c>
      <c r="AA47" s="3276"/>
      <c r="AB47" s="3274">
        <f t="shared" si="64"/>
        <v>0</v>
      </c>
      <c r="AC47" s="3274">
        <f t="shared" si="64"/>
        <v>0</v>
      </c>
      <c r="AD47" s="2028">
        <f t="shared" si="65"/>
        <v>0</v>
      </c>
      <c r="AE47" s="3284">
        <f t="shared" si="48"/>
        <v>0</v>
      </c>
      <c r="AF47" s="3276"/>
      <c r="AG47" s="3274"/>
      <c r="AH47" s="3274"/>
      <c r="AI47" s="2028">
        <f t="shared" si="66"/>
        <v>0</v>
      </c>
      <c r="AJ47" s="3284">
        <f t="shared" si="7"/>
        <v>0</v>
      </c>
      <c r="AK47" s="3295"/>
      <c r="AL47" s="3274"/>
      <c r="AM47" s="3274"/>
      <c r="AN47" s="2028">
        <f t="shared" si="67"/>
        <v>0</v>
      </c>
      <c r="AO47" s="3284">
        <f t="shared" si="8"/>
        <v>0</v>
      </c>
      <c r="AP47" s="3295"/>
      <c r="AQ47" s="3274"/>
      <c r="AR47" s="3274"/>
      <c r="AS47" s="2028">
        <f t="shared" si="68"/>
        <v>0</v>
      </c>
      <c r="AT47" s="3284">
        <f t="shared" si="49"/>
        <v>0</v>
      </c>
      <c r="AU47" s="3295"/>
      <c r="AV47" s="3274"/>
      <c r="AW47" s="3274"/>
      <c r="AX47" s="2028">
        <f t="shared" si="69"/>
        <v>0</v>
      </c>
      <c r="AY47" s="3284">
        <f t="shared" si="50"/>
        <v>0</v>
      </c>
      <c r="AZ47" s="3295"/>
      <c r="BA47" s="3274"/>
      <c r="BB47" s="3274"/>
      <c r="BC47" s="2028">
        <f t="shared" si="70"/>
        <v>0</v>
      </c>
      <c r="BD47" s="3284">
        <f t="shared" si="51"/>
        <v>0</v>
      </c>
      <c r="BE47" s="3295"/>
      <c r="BF47" s="3274"/>
      <c r="BG47" s="3274"/>
      <c r="BH47" s="2028">
        <f t="shared" si="71"/>
        <v>0</v>
      </c>
      <c r="BI47" s="3284">
        <f t="shared" si="52"/>
        <v>0</v>
      </c>
      <c r="BJ47" s="3295"/>
      <c r="BK47" s="3274"/>
      <c r="BL47" s="3274"/>
      <c r="BM47" s="2028">
        <f t="shared" si="72"/>
        <v>0</v>
      </c>
      <c r="BN47" s="3284">
        <f t="shared" si="53"/>
        <v>0</v>
      </c>
      <c r="BO47" s="3295"/>
      <c r="BP47" s="3274"/>
      <c r="BQ47" s="3274"/>
      <c r="BR47" s="2028">
        <f t="shared" si="73"/>
        <v>0</v>
      </c>
      <c r="BS47" s="3284">
        <f t="shared" si="54"/>
        <v>0</v>
      </c>
      <c r="BT47" s="1449"/>
      <c r="BU47" s="3274"/>
      <c r="BV47" s="3274"/>
      <c r="BW47" s="2028">
        <f t="shared" si="74"/>
        <v>0</v>
      </c>
      <c r="BX47" s="3284">
        <f t="shared" si="55"/>
        <v>0</v>
      </c>
      <c r="BY47" s="1449"/>
      <c r="BZ47" s="3274"/>
      <c r="CA47" s="3274"/>
      <c r="CB47" s="2028">
        <f t="shared" si="75"/>
        <v>0</v>
      </c>
      <c r="CC47" s="3284">
        <f t="shared" si="56"/>
        <v>0</v>
      </c>
      <c r="CD47" s="1449"/>
      <c r="CE47" s="3274"/>
      <c r="CF47" s="3274"/>
      <c r="CG47" s="2028">
        <f t="shared" si="76"/>
        <v>0</v>
      </c>
      <c r="CH47" s="3284">
        <f t="shared" si="57"/>
        <v>0</v>
      </c>
      <c r="CI47" s="1449"/>
      <c r="CJ47" s="3274"/>
      <c r="CK47" s="3274"/>
      <c r="CL47" s="2028">
        <f t="shared" si="77"/>
        <v>0</v>
      </c>
      <c r="CM47" s="3284">
        <f t="shared" si="58"/>
        <v>0</v>
      </c>
      <c r="CN47" s="1449"/>
      <c r="CO47" s="3274">
        <f t="shared" si="78"/>
        <v>0</v>
      </c>
      <c r="CP47" s="3274">
        <f t="shared" si="78"/>
        <v>0</v>
      </c>
      <c r="CQ47" s="2028">
        <f t="shared" si="79"/>
        <v>0</v>
      </c>
      <c r="CR47" s="3284">
        <f t="shared" si="59"/>
        <v>0</v>
      </c>
      <c r="CS47" s="3295"/>
    </row>
    <row r="48" spans="1:97" ht="13.8" x14ac:dyDescent="0.25">
      <c r="A48" s="4015"/>
      <c r="B48" s="3319" t="s">
        <v>15</v>
      </c>
      <c r="C48" s="3274"/>
      <c r="D48" s="3274"/>
      <c r="E48" s="2028">
        <f t="shared" si="60"/>
        <v>0</v>
      </c>
      <c r="F48" s="3284">
        <f t="shared" si="46"/>
        <v>0</v>
      </c>
      <c r="G48" s="3295"/>
      <c r="H48" s="3274"/>
      <c r="I48" s="3274"/>
      <c r="J48" s="2028">
        <f t="shared" si="61"/>
        <v>0</v>
      </c>
      <c r="K48" s="3284">
        <f t="shared" si="47"/>
        <v>0</v>
      </c>
      <c r="L48" s="3295"/>
      <c r="M48" s="3274"/>
      <c r="N48" s="3274"/>
      <c r="O48" s="2028">
        <f t="shared" si="62"/>
        <v>0</v>
      </c>
      <c r="P48" s="3284">
        <f t="shared" si="3"/>
        <v>0</v>
      </c>
      <c r="Q48" s="3295"/>
      <c r="R48" s="3274"/>
      <c r="S48" s="3274"/>
      <c r="T48" s="2028">
        <f t="shared" si="63"/>
        <v>0</v>
      </c>
      <c r="U48" s="3284">
        <f t="shared" si="4"/>
        <v>0</v>
      </c>
      <c r="V48" s="3295"/>
      <c r="W48" s="3274">
        <v>0</v>
      </c>
      <c r="X48" s="3274">
        <v>0</v>
      </c>
      <c r="Y48" s="2028">
        <v>0</v>
      </c>
      <c r="Z48" s="3284">
        <v>0</v>
      </c>
      <c r="AA48" s="3295"/>
      <c r="AB48" s="3274">
        <f t="shared" si="64"/>
        <v>0</v>
      </c>
      <c r="AC48" s="3274">
        <f t="shared" si="64"/>
        <v>0</v>
      </c>
      <c r="AD48" s="2028">
        <f t="shared" si="65"/>
        <v>0</v>
      </c>
      <c r="AE48" s="3284">
        <f t="shared" si="48"/>
        <v>0</v>
      </c>
      <c r="AF48" s="3295"/>
      <c r="AG48" s="3274"/>
      <c r="AH48" s="3274"/>
      <c r="AI48" s="2028">
        <f t="shared" si="66"/>
        <v>0</v>
      </c>
      <c r="AJ48" s="3284">
        <f t="shared" si="7"/>
        <v>0</v>
      </c>
      <c r="AK48" s="3295"/>
      <c r="AL48" s="3274"/>
      <c r="AM48" s="3274"/>
      <c r="AN48" s="2028">
        <f t="shared" si="67"/>
        <v>0</v>
      </c>
      <c r="AO48" s="3284">
        <f t="shared" si="8"/>
        <v>0</v>
      </c>
      <c r="AP48" s="3295"/>
      <c r="AQ48" s="3274"/>
      <c r="AR48" s="3274"/>
      <c r="AS48" s="2028">
        <f t="shared" si="68"/>
        <v>0</v>
      </c>
      <c r="AT48" s="3284">
        <f t="shared" si="49"/>
        <v>0</v>
      </c>
      <c r="AU48" s="3295"/>
      <c r="AV48" s="3274"/>
      <c r="AW48" s="3274"/>
      <c r="AX48" s="2028">
        <f t="shared" si="69"/>
        <v>0</v>
      </c>
      <c r="AY48" s="3284">
        <f t="shared" si="50"/>
        <v>0</v>
      </c>
      <c r="AZ48" s="3295"/>
      <c r="BA48" s="3274"/>
      <c r="BB48" s="3274"/>
      <c r="BC48" s="2028">
        <f t="shared" si="70"/>
        <v>0</v>
      </c>
      <c r="BD48" s="3284">
        <f t="shared" si="51"/>
        <v>0</v>
      </c>
      <c r="BE48" s="3295"/>
      <c r="BF48" s="3274"/>
      <c r="BG48" s="3274"/>
      <c r="BH48" s="2028">
        <f t="shared" si="71"/>
        <v>0</v>
      </c>
      <c r="BI48" s="3284">
        <f t="shared" si="52"/>
        <v>0</v>
      </c>
      <c r="BJ48" s="3295"/>
      <c r="BK48" s="3274"/>
      <c r="BL48" s="3274"/>
      <c r="BM48" s="2028">
        <f t="shared" si="72"/>
        <v>0</v>
      </c>
      <c r="BN48" s="3284">
        <f t="shared" si="53"/>
        <v>0</v>
      </c>
      <c r="BO48" s="3295"/>
      <c r="BP48" s="3274"/>
      <c r="BQ48" s="3274"/>
      <c r="BR48" s="2028">
        <f t="shared" si="73"/>
        <v>0</v>
      </c>
      <c r="BS48" s="3284">
        <f t="shared" si="54"/>
        <v>0</v>
      </c>
      <c r="BT48" s="1449"/>
      <c r="BU48" s="3274"/>
      <c r="BV48" s="3274"/>
      <c r="BW48" s="2028">
        <f t="shared" si="74"/>
        <v>0</v>
      </c>
      <c r="BX48" s="3284">
        <f t="shared" si="55"/>
        <v>0</v>
      </c>
      <c r="BY48" s="1449"/>
      <c r="BZ48" s="3274"/>
      <c r="CA48" s="3274"/>
      <c r="CB48" s="2028">
        <f t="shared" si="75"/>
        <v>0</v>
      </c>
      <c r="CC48" s="3284">
        <f t="shared" si="56"/>
        <v>0</v>
      </c>
      <c r="CD48" s="1449"/>
      <c r="CE48" s="3274"/>
      <c r="CF48" s="3274"/>
      <c r="CG48" s="2028">
        <f t="shared" si="76"/>
        <v>0</v>
      </c>
      <c r="CH48" s="3284">
        <f t="shared" si="57"/>
        <v>0</v>
      </c>
      <c r="CI48" s="1449"/>
      <c r="CJ48" s="3274"/>
      <c r="CK48" s="3274"/>
      <c r="CL48" s="2028">
        <f t="shared" si="77"/>
        <v>0</v>
      </c>
      <c r="CM48" s="3284">
        <f t="shared" si="58"/>
        <v>0</v>
      </c>
      <c r="CN48" s="1449"/>
      <c r="CO48" s="3274">
        <f t="shared" si="78"/>
        <v>0</v>
      </c>
      <c r="CP48" s="3274">
        <f t="shared" si="78"/>
        <v>0</v>
      </c>
      <c r="CQ48" s="2028">
        <f t="shared" si="79"/>
        <v>0</v>
      </c>
      <c r="CR48" s="3284">
        <f t="shared" si="59"/>
        <v>0</v>
      </c>
      <c r="CS48" s="3295"/>
    </row>
    <row r="49" spans="1:97" s="1411" customFormat="1" ht="14.4" thickBot="1" x14ac:dyDescent="0.3">
      <c r="A49" s="1420"/>
      <c r="B49" s="3320"/>
      <c r="C49" s="3274"/>
      <c r="D49" s="3274"/>
      <c r="E49" s="3313"/>
      <c r="F49" s="3284"/>
      <c r="G49" s="3313"/>
      <c r="H49" s="3274"/>
      <c r="I49" s="3274"/>
      <c r="J49" s="3313"/>
      <c r="K49" s="3284"/>
      <c r="L49" s="3313"/>
      <c r="M49" s="3274"/>
      <c r="N49" s="3274"/>
      <c r="O49" s="3313"/>
      <c r="P49" s="3284">
        <f t="shared" si="3"/>
        <v>0</v>
      </c>
      <c r="Q49" s="3313"/>
      <c r="R49" s="3274"/>
      <c r="S49" s="3274"/>
      <c r="T49" s="3313"/>
      <c r="U49" s="3284">
        <f t="shared" si="4"/>
        <v>0</v>
      </c>
      <c r="V49" s="3313"/>
      <c r="W49" s="3274"/>
      <c r="X49" s="3274"/>
      <c r="Y49" s="3313"/>
      <c r="Z49" s="3284"/>
      <c r="AA49" s="3313"/>
      <c r="AB49" s="3274"/>
      <c r="AC49" s="3274"/>
      <c r="AD49" s="3313"/>
      <c r="AE49" s="3284"/>
      <c r="AF49" s="3313"/>
      <c r="AG49" s="3274"/>
      <c r="AH49" s="3274"/>
      <c r="AI49" s="3313"/>
      <c r="AJ49" s="3284">
        <f t="shared" si="7"/>
        <v>0</v>
      </c>
      <c r="AK49" s="3313"/>
      <c r="AL49" s="3274"/>
      <c r="AM49" s="3274"/>
      <c r="AN49" s="3313"/>
      <c r="AO49" s="3284">
        <f t="shared" si="8"/>
        <v>0</v>
      </c>
      <c r="AP49" s="3313"/>
      <c r="AQ49" s="3274"/>
      <c r="AR49" s="3274"/>
      <c r="AS49" s="3313"/>
      <c r="AT49" s="3284">
        <f t="shared" si="49"/>
        <v>0</v>
      </c>
      <c r="AU49" s="3313"/>
      <c r="AV49" s="3274"/>
      <c r="AW49" s="3274"/>
      <c r="AX49" s="3313"/>
      <c r="AY49" s="3284">
        <f t="shared" si="50"/>
        <v>0</v>
      </c>
      <c r="AZ49" s="3313"/>
      <c r="BA49" s="3274"/>
      <c r="BB49" s="3274"/>
      <c r="BC49" s="3313"/>
      <c r="BD49" s="3284">
        <f t="shared" si="51"/>
        <v>0</v>
      </c>
      <c r="BE49" s="3313"/>
      <c r="BF49" s="3274"/>
      <c r="BG49" s="3274"/>
      <c r="BH49" s="3313"/>
      <c r="BI49" s="3284">
        <f t="shared" si="52"/>
        <v>0</v>
      </c>
      <c r="BJ49" s="3313"/>
      <c r="BK49" s="3274"/>
      <c r="BL49" s="3274"/>
      <c r="BM49" s="3313"/>
      <c r="BN49" s="3284">
        <f t="shared" si="53"/>
        <v>0</v>
      </c>
      <c r="BO49" s="3313"/>
      <c r="BP49" s="3274"/>
      <c r="BQ49" s="3274"/>
      <c r="BR49" s="3313"/>
      <c r="BS49" s="3284">
        <f t="shared" si="54"/>
        <v>0</v>
      </c>
      <c r="BT49" s="3315"/>
      <c r="BU49" s="3274"/>
      <c r="BV49" s="3274"/>
      <c r="BW49" s="3313"/>
      <c r="BX49" s="3284">
        <f t="shared" si="55"/>
        <v>0</v>
      </c>
      <c r="BY49" s="3315"/>
      <c r="BZ49" s="3274"/>
      <c r="CA49" s="3274"/>
      <c r="CB49" s="3313"/>
      <c r="CC49" s="3284">
        <f t="shared" si="56"/>
        <v>0</v>
      </c>
      <c r="CD49" s="3315"/>
      <c r="CE49" s="3274"/>
      <c r="CF49" s="3274"/>
      <c r="CG49" s="3313"/>
      <c r="CH49" s="3284">
        <f t="shared" si="57"/>
        <v>0</v>
      </c>
      <c r="CI49" s="3315"/>
      <c r="CJ49" s="3274"/>
      <c r="CK49" s="3274"/>
      <c r="CL49" s="3313"/>
      <c r="CM49" s="3284">
        <f t="shared" si="58"/>
        <v>0</v>
      </c>
      <c r="CN49" s="3315"/>
      <c r="CO49" s="3274"/>
      <c r="CP49" s="3274"/>
      <c r="CQ49" s="3313"/>
      <c r="CR49" s="3284"/>
      <c r="CS49" s="3313"/>
    </row>
    <row r="50" spans="1:97" s="1411" customFormat="1" ht="13.8" x14ac:dyDescent="0.25">
      <c r="A50" s="1580"/>
      <c r="B50" s="1425" t="s">
        <v>59</v>
      </c>
      <c r="C50" s="2031">
        <f>C52+C51</f>
        <v>0</v>
      </c>
      <c r="D50" s="2031">
        <f>D52+D51</f>
        <v>0</v>
      </c>
      <c r="E50" s="2031">
        <f>SUM(E51:E52)</f>
        <v>0</v>
      </c>
      <c r="F50" s="2022">
        <f>E50/$O$89</f>
        <v>0</v>
      </c>
      <c r="G50" s="2022"/>
      <c r="H50" s="2031">
        <f>H52+H51</f>
        <v>0</v>
      </c>
      <c r="I50" s="2031">
        <f>I52+I51</f>
        <v>0</v>
      </c>
      <c r="J50" s="2031">
        <f>SUM(J51:J52)</f>
        <v>0</v>
      </c>
      <c r="K50" s="2022">
        <f>J50/$O$89</f>
        <v>0</v>
      </c>
      <c r="L50" s="2022"/>
      <c r="M50" s="2031">
        <f>M52+M51</f>
        <v>0</v>
      </c>
      <c r="N50" s="2031">
        <f>N52+N51</f>
        <v>0</v>
      </c>
      <c r="O50" s="2031">
        <f>SUM(O51:O52)</f>
        <v>0</v>
      </c>
      <c r="P50" s="2022">
        <f t="shared" si="3"/>
        <v>0</v>
      </c>
      <c r="Q50" s="2022"/>
      <c r="R50" s="2031">
        <f>R52+R51</f>
        <v>0</v>
      </c>
      <c r="S50" s="2031">
        <f>S52+S51</f>
        <v>0</v>
      </c>
      <c r="T50" s="2031">
        <f>SUM(T51:T52)</f>
        <v>0</v>
      </c>
      <c r="U50" s="2022">
        <f t="shared" si="4"/>
        <v>0</v>
      </c>
      <c r="V50" s="2022"/>
      <c r="W50" s="2031">
        <v>0</v>
      </c>
      <c r="X50" s="2031">
        <v>0</v>
      </c>
      <c r="Y50" s="2031">
        <v>0</v>
      </c>
      <c r="Z50" s="2022">
        <v>0</v>
      </c>
      <c r="AA50" s="2022"/>
      <c r="AB50" s="2031">
        <f>AB52+AB51</f>
        <v>0</v>
      </c>
      <c r="AC50" s="2031">
        <f>AC52+AC51</f>
        <v>0</v>
      </c>
      <c r="AD50" s="2031">
        <f>SUM(AD51:AD52)</f>
        <v>0</v>
      </c>
      <c r="AE50" s="2022">
        <f t="shared" ref="AE50:AE52" si="80">AD50/$T$89</f>
        <v>0</v>
      </c>
      <c r="AF50" s="2022"/>
      <c r="AG50" s="2031">
        <f>AG52+AG51</f>
        <v>0</v>
      </c>
      <c r="AH50" s="2031">
        <f>AH52+AH51</f>
        <v>0</v>
      </c>
      <c r="AI50" s="2031">
        <f>SUM(AI51:AI52)</f>
        <v>0</v>
      </c>
      <c r="AJ50" s="2022">
        <f t="shared" si="7"/>
        <v>0</v>
      </c>
      <c r="AK50" s="2022"/>
      <c r="AL50" s="2031">
        <f>AL52+AL51</f>
        <v>0</v>
      </c>
      <c r="AM50" s="2031">
        <f>AM52+AM51</f>
        <v>0</v>
      </c>
      <c r="AN50" s="2031">
        <f>SUM(AN51:AN52)</f>
        <v>0</v>
      </c>
      <c r="AO50" s="2022">
        <f t="shared" si="8"/>
        <v>0</v>
      </c>
      <c r="AP50" s="2022"/>
      <c r="AQ50" s="2031">
        <f>AQ52+AQ51</f>
        <v>0</v>
      </c>
      <c r="AR50" s="2031">
        <f>AR52+AR51</f>
        <v>0</v>
      </c>
      <c r="AS50" s="2031">
        <f>SUM(AS51:AS52)</f>
        <v>0</v>
      </c>
      <c r="AT50" s="2022">
        <f t="shared" si="49"/>
        <v>0</v>
      </c>
      <c r="AU50" s="2022"/>
      <c r="AV50" s="2031">
        <f>AV52+AV51</f>
        <v>0</v>
      </c>
      <c r="AW50" s="2031">
        <f>AW52+AW51</f>
        <v>0</v>
      </c>
      <c r="AX50" s="2031">
        <f>SUM(AX51:AX52)</f>
        <v>0</v>
      </c>
      <c r="AY50" s="2022">
        <f t="shared" si="50"/>
        <v>0</v>
      </c>
      <c r="AZ50" s="2022"/>
      <c r="BA50" s="2031">
        <f>BA52+BA51</f>
        <v>0</v>
      </c>
      <c r="BB50" s="2031">
        <f>BB52+BB51</f>
        <v>0</v>
      </c>
      <c r="BC50" s="2031">
        <f>SUM(BC51:BC52)</f>
        <v>0</v>
      </c>
      <c r="BD50" s="2022">
        <f t="shared" si="51"/>
        <v>0</v>
      </c>
      <c r="BE50" s="2022"/>
      <c r="BF50" s="2031">
        <f>BF52+BF51</f>
        <v>0</v>
      </c>
      <c r="BG50" s="2031">
        <f>BG52+BG51</f>
        <v>0</v>
      </c>
      <c r="BH50" s="2031">
        <f>SUM(BH51:BH52)</f>
        <v>0</v>
      </c>
      <c r="BI50" s="2022">
        <f t="shared" si="52"/>
        <v>0</v>
      </c>
      <c r="BJ50" s="2022"/>
      <c r="BK50" s="2031">
        <f>BK52+BK51</f>
        <v>0</v>
      </c>
      <c r="BL50" s="2031">
        <f>BL52+BL51</f>
        <v>0</v>
      </c>
      <c r="BM50" s="2031">
        <f>SUM(BM51:BM52)</f>
        <v>0</v>
      </c>
      <c r="BN50" s="2022">
        <f t="shared" si="53"/>
        <v>0</v>
      </c>
      <c r="BO50" s="2022"/>
      <c r="BP50" s="2031">
        <f>BP52+BP51</f>
        <v>0</v>
      </c>
      <c r="BQ50" s="2031">
        <f>BQ52+BQ51</f>
        <v>0</v>
      </c>
      <c r="BR50" s="2031">
        <f>SUM(BR51:BR52)</f>
        <v>0</v>
      </c>
      <c r="BS50" s="2022">
        <f t="shared" si="54"/>
        <v>0</v>
      </c>
      <c r="BT50" s="1460"/>
      <c r="BU50" s="2031">
        <f>BU52+BU51</f>
        <v>0</v>
      </c>
      <c r="BV50" s="2031">
        <f>BV52+BV51</f>
        <v>0</v>
      </c>
      <c r="BW50" s="2031">
        <f>SUM(BW51:BW52)</f>
        <v>0</v>
      </c>
      <c r="BX50" s="2022">
        <f t="shared" si="55"/>
        <v>0</v>
      </c>
      <c r="BY50" s="1460"/>
      <c r="BZ50" s="2031">
        <f>BZ52+BZ51</f>
        <v>0</v>
      </c>
      <c r="CA50" s="2031">
        <f>CA52+CA51</f>
        <v>0</v>
      </c>
      <c r="CB50" s="2031">
        <f>SUM(CB51:CB52)</f>
        <v>0</v>
      </c>
      <c r="CC50" s="2022">
        <f t="shared" si="56"/>
        <v>0</v>
      </c>
      <c r="CD50" s="1460"/>
      <c r="CE50" s="2031">
        <f>CE52+CE51</f>
        <v>0</v>
      </c>
      <c r="CF50" s="2031">
        <f>CF52+CF51</f>
        <v>0</v>
      </c>
      <c r="CG50" s="2031">
        <f>SUM(CG51:CG52)</f>
        <v>0</v>
      </c>
      <c r="CH50" s="2022">
        <f t="shared" si="57"/>
        <v>0</v>
      </c>
      <c r="CI50" s="1460"/>
      <c r="CJ50" s="2031">
        <f>CJ52+CJ51</f>
        <v>0</v>
      </c>
      <c r="CK50" s="2031">
        <f>CK52+CK51</f>
        <v>0</v>
      </c>
      <c r="CL50" s="2031">
        <f>SUM(CL51:CL52)</f>
        <v>0</v>
      </c>
      <c r="CM50" s="2022">
        <f t="shared" si="58"/>
        <v>0</v>
      </c>
      <c r="CN50" s="1460"/>
      <c r="CO50" s="2031">
        <f>CO52+CO51</f>
        <v>0</v>
      </c>
      <c r="CP50" s="2031">
        <f>CP52+CP51</f>
        <v>0</v>
      </c>
      <c r="CQ50" s="2031">
        <f>SUM(CQ51:CQ52)</f>
        <v>0</v>
      </c>
      <c r="CR50" s="2022"/>
      <c r="CS50" s="2022"/>
    </row>
    <row r="51" spans="1:97" s="1411" customFormat="1" ht="13.8" x14ac:dyDescent="0.25">
      <c r="A51" s="1581"/>
      <c r="B51" s="3319" t="s">
        <v>60</v>
      </c>
      <c r="C51" s="3274"/>
      <c r="D51" s="3274"/>
      <c r="E51" s="2028">
        <f>C51+D51*1</f>
        <v>0</v>
      </c>
      <c r="F51" s="3284">
        <f>E51/$O$89</f>
        <v>0</v>
      </c>
      <c r="G51" s="3311"/>
      <c r="H51" s="3274"/>
      <c r="I51" s="3274"/>
      <c r="J51" s="2028">
        <f>H51+I51*1</f>
        <v>0</v>
      </c>
      <c r="K51" s="3284">
        <f>J51/$O$89</f>
        <v>0</v>
      </c>
      <c r="L51" s="3311"/>
      <c r="M51" s="3274"/>
      <c r="N51" s="3274"/>
      <c r="O51" s="2028">
        <f>M51+N51*1</f>
        <v>0</v>
      </c>
      <c r="P51" s="3284">
        <f t="shared" si="3"/>
        <v>0</v>
      </c>
      <c r="Q51" s="3311"/>
      <c r="R51" s="3274"/>
      <c r="S51" s="3274"/>
      <c r="T51" s="2028">
        <f>R51+S51*1</f>
        <v>0</v>
      </c>
      <c r="U51" s="3284">
        <f t="shared" si="4"/>
        <v>0</v>
      </c>
      <c r="V51" s="3311"/>
      <c r="W51" s="3274">
        <v>0</v>
      </c>
      <c r="X51" s="3274">
        <v>0</v>
      </c>
      <c r="Y51" s="2028">
        <v>0</v>
      </c>
      <c r="Z51" s="3284">
        <v>0</v>
      </c>
      <c r="AA51" s="3311"/>
      <c r="AB51" s="3274">
        <f t="shared" ref="AB51:AC52" si="81">AG51+AL51+AQ51+AV51+BA51+BF51+BK51+BP51+BU51+BZ51+CE51+CJ51</f>
        <v>0</v>
      </c>
      <c r="AC51" s="3274">
        <f t="shared" si="81"/>
        <v>0</v>
      </c>
      <c r="AD51" s="2028">
        <f>AB51+AC51*1</f>
        <v>0</v>
      </c>
      <c r="AE51" s="3284">
        <f t="shared" si="80"/>
        <v>0</v>
      </c>
      <c r="AF51" s="3311"/>
      <c r="AG51" s="3274"/>
      <c r="AH51" s="3274"/>
      <c r="AI51" s="2028">
        <f>AG51+AH51*1</f>
        <v>0</v>
      </c>
      <c r="AJ51" s="3284">
        <f t="shared" si="7"/>
        <v>0</v>
      </c>
      <c r="AK51" s="3311"/>
      <c r="AL51" s="3274"/>
      <c r="AM51" s="3274"/>
      <c r="AN51" s="2028">
        <f>AL51+AM51*1</f>
        <v>0</v>
      </c>
      <c r="AO51" s="3284">
        <f t="shared" si="8"/>
        <v>0</v>
      </c>
      <c r="AP51" s="3311"/>
      <c r="AQ51" s="3274"/>
      <c r="AR51" s="3274"/>
      <c r="AS51" s="2028">
        <f>AQ51+AR51*1</f>
        <v>0</v>
      </c>
      <c r="AT51" s="3284">
        <f t="shared" si="49"/>
        <v>0</v>
      </c>
      <c r="AU51" s="3311"/>
      <c r="AV51" s="3274"/>
      <c r="AW51" s="3274"/>
      <c r="AX51" s="2028">
        <f>AV51+AW51*1</f>
        <v>0</v>
      </c>
      <c r="AY51" s="3284">
        <f t="shared" si="50"/>
        <v>0</v>
      </c>
      <c r="AZ51" s="3311"/>
      <c r="BA51" s="3274"/>
      <c r="BB51" s="3274"/>
      <c r="BC51" s="2028">
        <f>BA51+BB51*1</f>
        <v>0</v>
      </c>
      <c r="BD51" s="3284">
        <f t="shared" si="51"/>
        <v>0</v>
      </c>
      <c r="BE51" s="3311"/>
      <c r="BF51" s="3274"/>
      <c r="BG51" s="3274"/>
      <c r="BH51" s="2028">
        <f>BF51+BG51*1</f>
        <v>0</v>
      </c>
      <c r="BI51" s="3284">
        <f t="shared" si="52"/>
        <v>0</v>
      </c>
      <c r="BJ51" s="3311"/>
      <c r="BK51" s="3274"/>
      <c r="BL51" s="3274"/>
      <c r="BM51" s="2028">
        <f>BK51+BL51*1</f>
        <v>0</v>
      </c>
      <c r="BN51" s="3284">
        <f t="shared" si="53"/>
        <v>0</v>
      </c>
      <c r="BO51" s="3311"/>
      <c r="BP51" s="3274"/>
      <c r="BQ51" s="3274"/>
      <c r="BR51" s="2028">
        <f>BP51+BQ51*1</f>
        <v>0</v>
      </c>
      <c r="BS51" s="3284">
        <f t="shared" si="54"/>
        <v>0</v>
      </c>
      <c r="BT51" s="3321"/>
      <c r="BU51" s="3274"/>
      <c r="BV51" s="3274"/>
      <c r="BW51" s="2028">
        <f>BU51+BV51*1</f>
        <v>0</v>
      </c>
      <c r="BX51" s="3284">
        <f t="shared" si="55"/>
        <v>0</v>
      </c>
      <c r="BY51" s="3321"/>
      <c r="BZ51" s="3274"/>
      <c r="CA51" s="3274"/>
      <c r="CB51" s="2028">
        <f>BZ51+CA51*1</f>
        <v>0</v>
      </c>
      <c r="CC51" s="3284">
        <f t="shared" si="56"/>
        <v>0</v>
      </c>
      <c r="CD51" s="3321"/>
      <c r="CE51" s="3274"/>
      <c r="CF51" s="3274"/>
      <c r="CG51" s="2028">
        <f>CE51+CF51*1</f>
        <v>0</v>
      </c>
      <c r="CH51" s="3284">
        <f t="shared" si="57"/>
        <v>0</v>
      </c>
      <c r="CI51" s="3321"/>
      <c r="CJ51" s="3274"/>
      <c r="CK51" s="3274"/>
      <c r="CL51" s="2028">
        <f>CJ51+CK51*1</f>
        <v>0</v>
      </c>
      <c r="CM51" s="3284">
        <f t="shared" si="58"/>
        <v>0</v>
      </c>
      <c r="CN51" s="3321"/>
      <c r="CO51" s="3274">
        <f t="shared" ref="CO51:CP52" si="82">H51+M51+R51+AG51+AL51+C51+AQ51+AV51+BA51+BF51+BK51+BP51+BU51+BZ51+CE51+CJ51+W51</f>
        <v>0</v>
      </c>
      <c r="CP51" s="3274">
        <f t="shared" si="82"/>
        <v>0</v>
      </c>
      <c r="CQ51" s="2028">
        <f>CO51+CP51*1</f>
        <v>0</v>
      </c>
      <c r="CR51" s="3284">
        <f t="shared" si="59"/>
        <v>0</v>
      </c>
      <c r="CS51" s="3311"/>
    </row>
    <row r="52" spans="1:97" ht="13.8" x14ac:dyDescent="0.25">
      <c r="A52" s="1581"/>
      <c r="B52" s="3319" t="s">
        <v>61</v>
      </c>
      <c r="C52" s="3274"/>
      <c r="D52" s="3274"/>
      <c r="E52" s="2028">
        <f>C52+D52*1</f>
        <v>0</v>
      </c>
      <c r="F52" s="3284">
        <f>E52/$O$89</f>
        <v>0</v>
      </c>
      <c r="G52" s="3311"/>
      <c r="H52" s="3274"/>
      <c r="I52" s="3274"/>
      <c r="J52" s="2028">
        <f>H52+I52*1</f>
        <v>0</v>
      </c>
      <c r="K52" s="3284">
        <f>J52/$O$89</f>
        <v>0</v>
      </c>
      <c r="L52" s="3311"/>
      <c r="M52" s="3274"/>
      <c r="N52" s="3274"/>
      <c r="O52" s="2028">
        <f>M52+N52*1</f>
        <v>0</v>
      </c>
      <c r="P52" s="3284">
        <f t="shared" si="3"/>
        <v>0</v>
      </c>
      <c r="Q52" s="3311"/>
      <c r="R52" s="3274"/>
      <c r="S52" s="3274"/>
      <c r="T52" s="2028">
        <f>R52+S52*1</f>
        <v>0</v>
      </c>
      <c r="U52" s="3284">
        <f t="shared" si="4"/>
        <v>0</v>
      </c>
      <c r="V52" s="3311"/>
      <c r="W52" s="3274">
        <v>0</v>
      </c>
      <c r="X52" s="3274">
        <v>0</v>
      </c>
      <c r="Y52" s="2028">
        <v>0</v>
      </c>
      <c r="Z52" s="3284">
        <v>0</v>
      </c>
      <c r="AA52" s="3311"/>
      <c r="AB52" s="3274">
        <f t="shared" si="81"/>
        <v>0</v>
      </c>
      <c r="AC52" s="3274">
        <f t="shared" si="81"/>
        <v>0</v>
      </c>
      <c r="AD52" s="2028">
        <f>AB52+AC52*1</f>
        <v>0</v>
      </c>
      <c r="AE52" s="3284">
        <f t="shared" si="80"/>
        <v>0</v>
      </c>
      <c r="AF52" s="3311"/>
      <c r="AG52" s="3274"/>
      <c r="AH52" s="3274"/>
      <c r="AI52" s="2028">
        <f>AG52+AH52*1</f>
        <v>0</v>
      </c>
      <c r="AJ52" s="3284">
        <f t="shared" si="7"/>
        <v>0</v>
      </c>
      <c r="AK52" s="3311"/>
      <c r="AL52" s="3274"/>
      <c r="AM52" s="3274"/>
      <c r="AN52" s="2028">
        <f>AL52+AM52*1</f>
        <v>0</v>
      </c>
      <c r="AO52" s="3284">
        <f t="shared" si="8"/>
        <v>0</v>
      </c>
      <c r="AP52" s="3311"/>
      <c r="AQ52" s="3274"/>
      <c r="AR52" s="3274"/>
      <c r="AS52" s="2028">
        <f>AQ52+AR52*1</f>
        <v>0</v>
      </c>
      <c r="AT52" s="3284">
        <f t="shared" si="49"/>
        <v>0</v>
      </c>
      <c r="AU52" s="3311"/>
      <c r="AV52" s="3274"/>
      <c r="AW52" s="3274"/>
      <c r="AX52" s="2028">
        <f>AV52+AW52*1</f>
        <v>0</v>
      </c>
      <c r="AY52" s="3284">
        <f t="shared" si="50"/>
        <v>0</v>
      </c>
      <c r="AZ52" s="3311"/>
      <c r="BA52" s="3274"/>
      <c r="BB52" s="3274"/>
      <c r="BC52" s="2028">
        <f>BA52+BB52*1</f>
        <v>0</v>
      </c>
      <c r="BD52" s="3284">
        <f t="shared" si="51"/>
        <v>0</v>
      </c>
      <c r="BE52" s="3311"/>
      <c r="BF52" s="3274"/>
      <c r="BG52" s="3274"/>
      <c r="BH52" s="2028">
        <f>BF52+BG52*1</f>
        <v>0</v>
      </c>
      <c r="BI52" s="3284">
        <f t="shared" si="52"/>
        <v>0</v>
      </c>
      <c r="BJ52" s="3311"/>
      <c r="BK52" s="3274"/>
      <c r="BL52" s="3274"/>
      <c r="BM52" s="2028">
        <f>BK52+BL52*1</f>
        <v>0</v>
      </c>
      <c r="BN52" s="3284">
        <f t="shared" si="53"/>
        <v>0</v>
      </c>
      <c r="BO52" s="3311"/>
      <c r="BP52" s="3274"/>
      <c r="BQ52" s="3274"/>
      <c r="BR52" s="2028">
        <f>BP52+BQ52*1</f>
        <v>0</v>
      </c>
      <c r="BS52" s="3284">
        <f t="shared" si="54"/>
        <v>0</v>
      </c>
      <c r="BT52" s="3321"/>
      <c r="BU52" s="3274"/>
      <c r="BV52" s="3274"/>
      <c r="BW52" s="2028">
        <f>BU52+BV52*1</f>
        <v>0</v>
      </c>
      <c r="BX52" s="3284">
        <f t="shared" si="55"/>
        <v>0</v>
      </c>
      <c r="BY52" s="3321"/>
      <c r="BZ52" s="3274"/>
      <c r="CA52" s="3274"/>
      <c r="CB52" s="2028">
        <f>BZ52+CA52*1</f>
        <v>0</v>
      </c>
      <c r="CC52" s="3284">
        <f t="shared" si="56"/>
        <v>0</v>
      </c>
      <c r="CD52" s="3321"/>
      <c r="CE52" s="3274"/>
      <c r="CF52" s="3274"/>
      <c r="CG52" s="2028">
        <f>CE52+CF52*1</f>
        <v>0</v>
      </c>
      <c r="CH52" s="3284">
        <f t="shared" si="57"/>
        <v>0</v>
      </c>
      <c r="CI52" s="3321"/>
      <c r="CJ52" s="3274"/>
      <c r="CK52" s="3274"/>
      <c r="CL52" s="2028">
        <f>CJ52+CK52*1</f>
        <v>0</v>
      </c>
      <c r="CM52" s="3284">
        <f t="shared" si="58"/>
        <v>0</v>
      </c>
      <c r="CN52" s="3321"/>
      <c r="CO52" s="3274">
        <f t="shared" si="82"/>
        <v>0</v>
      </c>
      <c r="CP52" s="3274">
        <f t="shared" si="82"/>
        <v>0</v>
      </c>
      <c r="CQ52" s="2028">
        <f>CO52+CP52*1</f>
        <v>0</v>
      </c>
      <c r="CR52" s="3284">
        <f t="shared" si="59"/>
        <v>0</v>
      </c>
      <c r="CS52" s="3311"/>
    </row>
    <row r="53" spans="1:97" ht="14.4" thickBot="1" x14ac:dyDescent="0.3">
      <c r="A53" s="1428"/>
      <c r="B53" s="3322"/>
      <c r="C53" s="3274"/>
      <c r="D53" s="3274"/>
      <c r="E53" s="3227"/>
      <c r="F53" s="3227"/>
      <c r="G53" s="3227"/>
      <c r="H53" s="3274"/>
      <c r="I53" s="3274"/>
      <c r="J53" s="3227"/>
      <c r="K53" s="3227"/>
      <c r="L53" s="3227"/>
      <c r="M53" s="3274"/>
      <c r="N53" s="3274"/>
      <c r="O53" s="3227"/>
      <c r="P53" s="3227">
        <f t="shared" si="3"/>
        <v>0</v>
      </c>
      <c r="Q53" s="3227"/>
      <c r="R53" s="3274"/>
      <c r="S53" s="3274"/>
      <c r="T53" s="3227"/>
      <c r="U53" s="3227"/>
      <c r="V53" s="3227"/>
      <c r="W53" s="3274"/>
      <c r="X53" s="3274"/>
      <c r="Y53" s="3227"/>
      <c r="Z53" s="3227"/>
      <c r="AA53" s="3227"/>
      <c r="AB53" s="3274"/>
      <c r="AC53" s="3274"/>
      <c r="AD53" s="3227"/>
      <c r="AE53" s="3227"/>
      <c r="AF53" s="3227"/>
      <c r="AG53" s="3274"/>
      <c r="AH53" s="3274"/>
      <c r="AI53" s="3227"/>
      <c r="AJ53" s="3227"/>
      <c r="AK53" s="3227"/>
      <c r="AL53" s="3274"/>
      <c r="AM53" s="3274"/>
      <c r="AN53" s="3227"/>
      <c r="AO53" s="3227"/>
      <c r="AP53" s="3227"/>
      <c r="AQ53" s="3274"/>
      <c r="AR53" s="3274"/>
      <c r="AS53" s="3227"/>
      <c r="AT53" s="3227"/>
      <c r="AU53" s="3227"/>
      <c r="AV53" s="3274"/>
      <c r="AW53" s="3274"/>
      <c r="AX53" s="3227"/>
      <c r="AY53" s="3227"/>
      <c r="AZ53" s="3227"/>
      <c r="BA53" s="3274"/>
      <c r="BB53" s="3274"/>
      <c r="BC53" s="3227"/>
      <c r="BD53" s="3227"/>
      <c r="BE53" s="3227"/>
      <c r="BF53" s="3274"/>
      <c r="BG53" s="3274"/>
      <c r="BH53" s="3227"/>
      <c r="BI53" s="3227"/>
      <c r="BJ53" s="3227"/>
      <c r="BK53" s="3274"/>
      <c r="BL53" s="3274"/>
      <c r="BM53" s="3227"/>
      <c r="BN53" s="3227"/>
      <c r="BO53" s="3227"/>
      <c r="BP53" s="3274"/>
      <c r="BQ53" s="3274"/>
      <c r="BR53" s="3227"/>
      <c r="BS53" s="3227"/>
      <c r="BT53" s="1328"/>
      <c r="BU53" s="3274"/>
      <c r="BV53" s="3274"/>
      <c r="BW53" s="3227"/>
      <c r="BX53" s="3227"/>
      <c r="BY53" s="1328"/>
      <c r="BZ53" s="3274"/>
      <c r="CA53" s="3274"/>
      <c r="CB53" s="3227"/>
      <c r="CC53" s="3227"/>
      <c r="CD53" s="1328"/>
      <c r="CE53" s="3274"/>
      <c r="CF53" s="3274"/>
      <c r="CG53" s="3227"/>
      <c r="CH53" s="3227"/>
      <c r="CI53" s="1328"/>
      <c r="CJ53" s="3274"/>
      <c r="CK53" s="3274"/>
      <c r="CL53" s="3227"/>
      <c r="CM53" s="3227"/>
      <c r="CN53" s="1328"/>
      <c r="CO53" s="3274"/>
      <c r="CP53" s="3274"/>
      <c r="CQ53" s="3227"/>
      <c r="CR53" s="3227"/>
      <c r="CS53" s="3227"/>
    </row>
    <row r="54" spans="1:97" ht="13.8" x14ac:dyDescent="0.25">
      <c r="A54" s="1585"/>
      <c r="B54" s="1425" t="s">
        <v>1</v>
      </c>
      <c r="C54" s="2031">
        <f>SUM(C55:C72)</f>
        <v>0</v>
      </c>
      <c r="D54" s="2031">
        <f>SUM(D55:D72)</f>
        <v>0</v>
      </c>
      <c r="E54" s="2031">
        <f>SUM(E55:E72)</f>
        <v>0</v>
      </c>
      <c r="F54" s="3318">
        <f t="shared" ref="F54:F71" si="83">E54/$O$89</f>
        <v>0</v>
      </c>
      <c r="G54" s="2022"/>
      <c r="H54" s="2031">
        <f>SUM(H55:H72)</f>
        <v>0</v>
      </c>
      <c r="I54" s="2031">
        <f>SUM(I55:I72)</f>
        <v>0</v>
      </c>
      <c r="J54" s="2031">
        <f>SUM(J55:J72)</f>
        <v>0</v>
      </c>
      <c r="K54" s="3318">
        <f t="shared" ref="K54:K71" si="84">J54/$O$89</f>
        <v>0</v>
      </c>
      <c r="L54" s="2022"/>
      <c r="M54" s="2031">
        <f>SUM(M55:M72)</f>
        <v>0</v>
      </c>
      <c r="N54" s="2031">
        <f>SUM(N55:N72)</f>
        <v>0</v>
      </c>
      <c r="O54" s="2031">
        <f>SUM(O55:O72)</f>
        <v>0</v>
      </c>
      <c r="P54" s="3318">
        <f t="shared" si="3"/>
        <v>0</v>
      </c>
      <c r="Q54" s="2022"/>
      <c r="R54" s="2031">
        <f>SUM(R55:R72)</f>
        <v>0</v>
      </c>
      <c r="S54" s="2031">
        <f>SUM(S55:S72)</f>
        <v>0</v>
      </c>
      <c r="T54" s="2031">
        <f>SUM(T55:T72)</f>
        <v>0</v>
      </c>
      <c r="U54" s="3318">
        <f t="shared" si="4"/>
        <v>0</v>
      </c>
      <c r="V54" s="2022"/>
      <c r="W54" s="2031">
        <v>105</v>
      </c>
      <c r="X54" s="2031">
        <v>5</v>
      </c>
      <c r="Y54" s="2031">
        <v>110</v>
      </c>
      <c r="Z54" s="3318">
        <v>3.7290686043110115E-4</v>
      </c>
      <c r="AA54" s="2022"/>
      <c r="AB54" s="2031">
        <f>SUM(AB55:AB72)</f>
        <v>0</v>
      </c>
      <c r="AC54" s="2031">
        <f>SUM(AC55:AC72)</f>
        <v>0</v>
      </c>
      <c r="AD54" s="2031">
        <f>SUM(AD55:AD72)</f>
        <v>0</v>
      </c>
      <c r="AE54" s="3318">
        <f t="shared" ref="AE54:AE71" si="85">AD54/$T$89</f>
        <v>0</v>
      </c>
      <c r="AF54" s="2022"/>
      <c r="AG54" s="2031">
        <f>SUM(AG55:AG72)</f>
        <v>0</v>
      </c>
      <c r="AH54" s="2031">
        <f>SUM(AH55:AH72)</f>
        <v>0</v>
      </c>
      <c r="AI54" s="2031">
        <f>SUM(AI55:AI72)</f>
        <v>0</v>
      </c>
      <c r="AJ54" s="3318">
        <f t="shared" si="7"/>
        <v>0</v>
      </c>
      <c r="AK54" s="2022"/>
      <c r="AL54" s="2031">
        <f>SUM(AL55:AL72)</f>
        <v>0</v>
      </c>
      <c r="AM54" s="2031">
        <f>SUM(AM55:AM72)</f>
        <v>0</v>
      </c>
      <c r="AN54" s="2031">
        <f>SUM(AN55:AN72)</f>
        <v>0</v>
      </c>
      <c r="AO54" s="3318">
        <f t="shared" si="8"/>
        <v>0</v>
      </c>
      <c r="AP54" s="2022"/>
      <c r="AQ54" s="2031">
        <f>SUM(AQ55:AQ72)</f>
        <v>0</v>
      </c>
      <c r="AR54" s="2031">
        <f>SUM(AR55:AR72)</f>
        <v>0</v>
      </c>
      <c r="AS54" s="2031">
        <f>SUM(AS55:AS72)</f>
        <v>0</v>
      </c>
      <c r="AT54" s="3318">
        <f t="shared" ref="AT54:AT71" si="86">AS54/$AN$89</f>
        <v>0</v>
      </c>
      <c r="AU54" s="2022"/>
      <c r="AV54" s="2031">
        <f>SUM(AV55:AV72)</f>
        <v>0</v>
      </c>
      <c r="AW54" s="2031">
        <f>SUM(AW55:AW72)</f>
        <v>0</v>
      </c>
      <c r="AX54" s="2031">
        <f>SUM(AX55:AX72)</f>
        <v>0</v>
      </c>
      <c r="AY54" s="3318">
        <f t="shared" ref="AY54:AY71" si="87">AX54/$AN$89</f>
        <v>0</v>
      </c>
      <c r="AZ54" s="2022"/>
      <c r="BA54" s="2031">
        <f>SUM(BA55:BA72)</f>
        <v>0</v>
      </c>
      <c r="BB54" s="2031">
        <f>SUM(BB55:BB72)</f>
        <v>0</v>
      </c>
      <c r="BC54" s="2031">
        <f>SUM(BC55:BC72)</f>
        <v>0</v>
      </c>
      <c r="BD54" s="3318">
        <f t="shared" ref="BD54:BD71" si="88">BC54/$AN$89</f>
        <v>0</v>
      </c>
      <c r="BE54" s="2022"/>
      <c r="BF54" s="2031">
        <f>SUM(BF55:BF72)</f>
        <v>0</v>
      </c>
      <c r="BG54" s="2031">
        <f>SUM(BG55:BG72)</f>
        <v>0</v>
      </c>
      <c r="BH54" s="2031">
        <f>SUM(BH55:BH72)</f>
        <v>0</v>
      </c>
      <c r="BI54" s="3318">
        <f t="shared" ref="BI54:BI71" si="89">BH54/$AN$89</f>
        <v>0</v>
      </c>
      <c r="BJ54" s="2022"/>
      <c r="BK54" s="2031">
        <f>SUM(BK55:BK72)</f>
        <v>0</v>
      </c>
      <c r="BL54" s="2031">
        <f>SUM(BL55:BL72)</f>
        <v>0</v>
      </c>
      <c r="BM54" s="2031">
        <f>SUM(BM55:BM72)</f>
        <v>0</v>
      </c>
      <c r="BN54" s="3318">
        <f t="shared" ref="BN54:BN71" si="90">BM54/$AN$89</f>
        <v>0</v>
      </c>
      <c r="BO54" s="2022"/>
      <c r="BP54" s="2031">
        <f>SUM(BP55:BP72)</f>
        <v>0</v>
      </c>
      <c r="BQ54" s="2031">
        <f>SUM(BQ55:BQ72)</f>
        <v>0</v>
      </c>
      <c r="BR54" s="2031">
        <f>SUM(BR55:BR72)</f>
        <v>0</v>
      </c>
      <c r="BS54" s="3318">
        <f t="shared" ref="BS54:BS71" si="91">BR54/$AN$89</f>
        <v>0</v>
      </c>
      <c r="BT54" s="1460"/>
      <c r="BU54" s="2031">
        <f>SUM(BU55:BU72)</f>
        <v>0</v>
      </c>
      <c r="BV54" s="2031">
        <f>SUM(BV55:BV72)</f>
        <v>0</v>
      </c>
      <c r="BW54" s="2031">
        <f>SUM(BW55:BW72)</f>
        <v>0</v>
      </c>
      <c r="BX54" s="3318">
        <f t="shared" ref="BX54:BX71" si="92">BW54/$AN$89</f>
        <v>0</v>
      </c>
      <c r="BY54" s="1460"/>
      <c r="BZ54" s="2031">
        <f>SUM(BZ55:BZ72)</f>
        <v>0</v>
      </c>
      <c r="CA54" s="2031">
        <f>SUM(CA55:CA72)</f>
        <v>0</v>
      </c>
      <c r="CB54" s="2031">
        <f>SUM(CB55:CB72)</f>
        <v>0</v>
      </c>
      <c r="CC54" s="3318">
        <f t="shared" ref="CC54:CC71" si="93">CB54/$AN$89</f>
        <v>0</v>
      </c>
      <c r="CD54" s="1460"/>
      <c r="CE54" s="2031">
        <f>SUM(CE55:CE72)</f>
        <v>0</v>
      </c>
      <c r="CF54" s="2031">
        <f>SUM(CF55:CF72)</f>
        <v>0</v>
      </c>
      <c r="CG54" s="2031">
        <f>SUM(CG55:CG72)</f>
        <v>0</v>
      </c>
      <c r="CH54" s="3318">
        <f t="shared" ref="CH54:CH71" si="94">CG54/$AN$89</f>
        <v>0</v>
      </c>
      <c r="CI54" s="1460"/>
      <c r="CJ54" s="2031">
        <f>SUM(CJ55:CJ72)</f>
        <v>0</v>
      </c>
      <c r="CK54" s="2031">
        <f>SUM(CK55:CK72)</f>
        <v>0</v>
      </c>
      <c r="CL54" s="2031">
        <f>SUM(CL55:CL72)</f>
        <v>0</v>
      </c>
      <c r="CM54" s="3318">
        <f t="shared" ref="CM54:CM71" si="95">CL54/$AN$89</f>
        <v>0</v>
      </c>
      <c r="CN54" s="1460"/>
      <c r="CO54" s="2031">
        <f>SUM(CO55:CO72)</f>
        <v>105</v>
      </c>
      <c r="CP54" s="2031">
        <f>SUM(CP55:CP72)</f>
        <v>5</v>
      </c>
      <c r="CQ54" s="2031">
        <f>SUM(CQ55:CQ72)</f>
        <v>110</v>
      </c>
      <c r="CR54" s="1549">
        <f t="shared" si="59"/>
        <v>4.8358526052972796E-5</v>
      </c>
      <c r="CS54" s="2022"/>
    </row>
    <row r="55" spans="1:97" ht="13.8" x14ac:dyDescent="0.25">
      <c r="A55" s="1586"/>
      <c r="B55" s="3310" t="s">
        <v>77</v>
      </c>
      <c r="C55" s="3283"/>
      <c r="D55" s="3283"/>
      <c r="E55" s="2028">
        <f t="shared" ref="E55:E71" si="96">C55+D55*1</f>
        <v>0</v>
      </c>
      <c r="F55" s="3284">
        <f t="shared" si="83"/>
        <v>0</v>
      </c>
      <c r="G55" s="3295"/>
      <c r="H55" s="3283"/>
      <c r="I55" s="3283"/>
      <c r="J55" s="2028">
        <f t="shared" ref="J55:J71" si="97">H55+I55*1</f>
        <v>0</v>
      </c>
      <c r="K55" s="3284">
        <f t="shared" si="84"/>
        <v>0</v>
      </c>
      <c r="L55" s="3295"/>
      <c r="M55" s="3283"/>
      <c r="N55" s="3283"/>
      <c r="O55" s="2028">
        <f t="shared" ref="O55:O71" si="98">M55+N55*1</f>
        <v>0</v>
      </c>
      <c r="P55" s="3284">
        <f t="shared" si="3"/>
        <v>0</v>
      </c>
      <c r="Q55" s="3295"/>
      <c r="R55" s="3283"/>
      <c r="S55" s="3283"/>
      <c r="T55" s="2028">
        <f t="shared" ref="T55:T71" si="99">R55+S55*1</f>
        <v>0</v>
      </c>
      <c r="U55" s="3284">
        <f t="shared" si="4"/>
        <v>0</v>
      </c>
      <c r="V55" s="3295"/>
      <c r="W55" s="3274">
        <v>0</v>
      </c>
      <c r="X55" s="3274">
        <v>0</v>
      </c>
      <c r="Y55" s="2028">
        <v>0</v>
      </c>
      <c r="Z55" s="3284">
        <v>0</v>
      </c>
      <c r="AA55" s="3295"/>
      <c r="AB55" s="3274">
        <f t="shared" ref="AB55:AC71" si="100">AG55+AL55+AQ55+AV55+BA55+BF55+BK55+BP55+BU55+BZ55+CE55+CJ55</f>
        <v>0</v>
      </c>
      <c r="AC55" s="3274">
        <f t="shared" si="100"/>
        <v>0</v>
      </c>
      <c r="AD55" s="2028">
        <f t="shared" ref="AD55:AD71" si="101">AB55+AC55*1</f>
        <v>0</v>
      </c>
      <c r="AE55" s="3284">
        <f t="shared" si="85"/>
        <v>0</v>
      </c>
      <c r="AF55" s="3295"/>
      <c r="AG55" s="3283"/>
      <c r="AH55" s="3283"/>
      <c r="AI55" s="2028">
        <f t="shared" ref="AI55:AI71" si="102">AG55+AH55*1</f>
        <v>0</v>
      </c>
      <c r="AJ55" s="3284">
        <f t="shared" si="7"/>
        <v>0</v>
      </c>
      <c r="AK55" s="3295"/>
      <c r="AL55" s="3283"/>
      <c r="AM55" s="3283"/>
      <c r="AN55" s="2028">
        <f t="shared" ref="AN55:AN71" si="103">AL55+AM55*1</f>
        <v>0</v>
      </c>
      <c r="AO55" s="3284">
        <f t="shared" si="8"/>
        <v>0</v>
      </c>
      <c r="AP55" s="3295"/>
      <c r="AQ55" s="3283"/>
      <c r="AR55" s="3283"/>
      <c r="AS55" s="2028">
        <f t="shared" ref="AS55:AS71" si="104">AQ55+AR55*1</f>
        <v>0</v>
      </c>
      <c r="AT55" s="3284">
        <f t="shared" si="86"/>
        <v>0</v>
      </c>
      <c r="AU55" s="3295"/>
      <c r="AV55" s="3283"/>
      <c r="AW55" s="3283"/>
      <c r="AX55" s="2028">
        <f t="shared" ref="AX55:AX71" si="105">AV55+AW55*1</f>
        <v>0</v>
      </c>
      <c r="AY55" s="3284">
        <f t="shared" si="87"/>
        <v>0</v>
      </c>
      <c r="AZ55" s="3295"/>
      <c r="BA55" s="3283"/>
      <c r="BB55" s="3283"/>
      <c r="BC55" s="2028">
        <f t="shared" ref="BC55:BC71" si="106">BA55+BB55*1</f>
        <v>0</v>
      </c>
      <c r="BD55" s="3284">
        <f t="shared" si="88"/>
        <v>0</v>
      </c>
      <c r="BE55" s="3295"/>
      <c r="BF55" s="3283"/>
      <c r="BG55" s="3283"/>
      <c r="BH55" s="2028">
        <f t="shared" ref="BH55:BH71" si="107">BF55+BG55*1</f>
        <v>0</v>
      </c>
      <c r="BI55" s="3284">
        <f t="shared" si="89"/>
        <v>0</v>
      </c>
      <c r="BJ55" s="3295"/>
      <c r="BK55" s="3283"/>
      <c r="BL55" s="3283"/>
      <c r="BM55" s="2028">
        <f t="shared" ref="BM55:BM71" si="108">BK55+BL55*1</f>
        <v>0</v>
      </c>
      <c r="BN55" s="3284">
        <f t="shared" si="90"/>
        <v>0</v>
      </c>
      <c r="BO55" s="3295"/>
      <c r="BP55" s="3283"/>
      <c r="BQ55" s="3283"/>
      <c r="BR55" s="2028">
        <f t="shared" ref="BR55:BR71" si="109">BP55+BQ55*1</f>
        <v>0</v>
      </c>
      <c r="BS55" s="3284">
        <f t="shared" si="91"/>
        <v>0</v>
      </c>
      <c r="BT55" s="1449"/>
      <c r="BU55" s="3283"/>
      <c r="BV55" s="3283"/>
      <c r="BW55" s="2028">
        <f t="shared" ref="BW55:BW71" si="110">BU55+BV55*1</f>
        <v>0</v>
      </c>
      <c r="BX55" s="3284">
        <f t="shared" si="92"/>
        <v>0</v>
      </c>
      <c r="BY55" s="1449"/>
      <c r="BZ55" s="3283"/>
      <c r="CA55" s="3283"/>
      <c r="CB55" s="2028">
        <f t="shared" ref="CB55:CB71" si="111">BZ55+CA55*1</f>
        <v>0</v>
      </c>
      <c r="CC55" s="3284">
        <f t="shared" si="93"/>
        <v>0</v>
      </c>
      <c r="CD55" s="1449"/>
      <c r="CE55" s="3283"/>
      <c r="CF55" s="3283"/>
      <c r="CG55" s="2028">
        <f t="shared" ref="CG55:CG71" si="112">CE55+CF55*1</f>
        <v>0</v>
      </c>
      <c r="CH55" s="3284">
        <f t="shared" si="94"/>
        <v>0</v>
      </c>
      <c r="CI55" s="1449"/>
      <c r="CJ55" s="3283"/>
      <c r="CK55" s="3283"/>
      <c r="CL55" s="2028">
        <f t="shared" ref="CL55:CL71" si="113">CJ55+CK55*1</f>
        <v>0</v>
      </c>
      <c r="CM55" s="3284">
        <f t="shared" si="95"/>
        <v>0</v>
      </c>
      <c r="CN55" s="1449"/>
      <c r="CO55" s="3274">
        <f t="shared" ref="CO55:CP71" si="114">H55+M55+R55+AG55+AL55+C55+AQ55+AV55+BA55+BF55+BK55+BP55+BU55+BZ55+CE55+CJ55+W55</f>
        <v>0</v>
      </c>
      <c r="CP55" s="3274">
        <f t="shared" si="114"/>
        <v>0</v>
      </c>
      <c r="CQ55" s="2028">
        <f t="shared" ref="CQ55:CQ71" si="115">CO55+CP55*1</f>
        <v>0</v>
      </c>
      <c r="CR55" s="3284">
        <f t="shared" si="59"/>
        <v>0</v>
      </c>
      <c r="CS55" s="3295"/>
    </row>
    <row r="56" spans="1:97" ht="13.8" x14ac:dyDescent="0.25">
      <c r="A56" s="1586"/>
      <c r="B56" s="3310" t="s">
        <v>76</v>
      </c>
      <c r="C56" s="3283"/>
      <c r="D56" s="3283"/>
      <c r="E56" s="2028">
        <f t="shared" si="96"/>
        <v>0</v>
      </c>
      <c r="F56" s="3284">
        <f t="shared" si="83"/>
        <v>0</v>
      </c>
      <c r="G56" s="3295"/>
      <c r="H56" s="3283"/>
      <c r="I56" s="3283"/>
      <c r="J56" s="2028">
        <f t="shared" si="97"/>
        <v>0</v>
      </c>
      <c r="K56" s="3284">
        <f t="shared" si="84"/>
        <v>0</v>
      </c>
      <c r="L56" s="3295"/>
      <c r="M56" s="3283"/>
      <c r="N56" s="3283"/>
      <c r="O56" s="2028">
        <f t="shared" si="98"/>
        <v>0</v>
      </c>
      <c r="P56" s="3284">
        <f t="shared" si="3"/>
        <v>0</v>
      </c>
      <c r="Q56" s="3295"/>
      <c r="R56" s="3283"/>
      <c r="S56" s="3283"/>
      <c r="T56" s="2028">
        <f t="shared" si="99"/>
        <v>0</v>
      </c>
      <c r="U56" s="3284">
        <f t="shared" si="4"/>
        <v>0</v>
      </c>
      <c r="V56" s="3295"/>
      <c r="W56" s="3274">
        <v>0</v>
      </c>
      <c r="X56" s="3274">
        <v>0</v>
      </c>
      <c r="Y56" s="2028">
        <v>0</v>
      </c>
      <c r="Z56" s="3284">
        <v>0</v>
      </c>
      <c r="AA56" s="3295"/>
      <c r="AB56" s="3274">
        <f t="shared" si="100"/>
        <v>0</v>
      </c>
      <c r="AC56" s="3274">
        <f t="shared" si="100"/>
        <v>0</v>
      </c>
      <c r="AD56" s="2028">
        <f t="shared" si="101"/>
        <v>0</v>
      </c>
      <c r="AE56" s="3284">
        <f t="shared" si="85"/>
        <v>0</v>
      </c>
      <c r="AF56" s="3295"/>
      <c r="AG56" s="3283"/>
      <c r="AH56" s="3283"/>
      <c r="AI56" s="2028">
        <f t="shared" si="102"/>
        <v>0</v>
      </c>
      <c r="AJ56" s="3284">
        <f t="shared" si="7"/>
        <v>0</v>
      </c>
      <c r="AK56" s="3295"/>
      <c r="AL56" s="3283"/>
      <c r="AM56" s="3283"/>
      <c r="AN56" s="2028">
        <f t="shared" si="103"/>
        <v>0</v>
      </c>
      <c r="AO56" s="3284">
        <f t="shared" si="8"/>
        <v>0</v>
      </c>
      <c r="AP56" s="3295"/>
      <c r="AQ56" s="3283"/>
      <c r="AR56" s="3283"/>
      <c r="AS56" s="2028">
        <f t="shared" si="104"/>
        <v>0</v>
      </c>
      <c r="AT56" s="3284">
        <f t="shared" si="86"/>
        <v>0</v>
      </c>
      <c r="AU56" s="3295"/>
      <c r="AV56" s="3283"/>
      <c r="AW56" s="3283"/>
      <c r="AX56" s="2028">
        <f t="shared" si="105"/>
        <v>0</v>
      </c>
      <c r="AY56" s="3284">
        <f t="shared" si="87"/>
        <v>0</v>
      </c>
      <c r="AZ56" s="3295"/>
      <c r="BA56" s="3283"/>
      <c r="BB56" s="3283"/>
      <c r="BC56" s="2028">
        <f t="shared" si="106"/>
        <v>0</v>
      </c>
      <c r="BD56" s="3284">
        <f t="shared" si="88"/>
        <v>0</v>
      </c>
      <c r="BE56" s="3295"/>
      <c r="BF56" s="3283"/>
      <c r="BG56" s="3283"/>
      <c r="BH56" s="2028">
        <f t="shared" si="107"/>
        <v>0</v>
      </c>
      <c r="BI56" s="3284">
        <f t="shared" si="89"/>
        <v>0</v>
      </c>
      <c r="BJ56" s="3295"/>
      <c r="BK56" s="3283"/>
      <c r="BL56" s="3283"/>
      <c r="BM56" s="2028">
        <f t="shared" si="108"/>
        <v>0</v>
      </c>
      <c r="BN56" s="3284">
        <f t="shared" si="90"/>
        <v>0</v>
      </c>
      <c r="BO56" s="3295"/>
      <c r="BP56" s="3283"/>
      <c r="BQ56" s="3283"/>
      <c r="BR56" s="2028">
        <f t="shared" si="109"/>
        <v>0</v>
      </c>
      <c r="BS56" s="3284">
        <f t="shared" si="91"/>
        <v>0</v>
      </c>
      <c r="BT56" s="1449"/>
      <c r="BU56" s="3283"/>
      <c r="BV56" s="3283"/>
      <c r="BW56" s="2028">
        <f t="shared" si="110"/>
        <v>0</v>
      </c>
      <c r="BX56" s="3284">
        <f t="shared" si="92"/>
        <v>0</v>
      </c>
      <c r="BY56" s="1449"/>
      <c r="BZ56" s="3283"/>
      <c r="CA56" s="3283"/>
      <c r="CB56" s="2028">
        <f t="shared" si="111"/>
        <v>0</v>
      </c>
      <c r="CC56" s="3284">
        <f t="shared" si="93"/>
        <v>0</v>
      </c>
      <c r="CD56" s="1449"/>
      <c r="CE56" s="3283"/>
      <c r="CF56" s="3283"/>
      <c r="CG56" s="2028">
        <f t="shared" si="112"/>
        <v>0</v>
      </c>
      <c r="CH56" s="3284">
        <f t="shared" si="94"/>
        <v>0</v>
      </c>
      <c r="CI56" s="1449"/>
      <c r="CJ56" s="3283"/>
      <c r="CK56" s="3283"/>
      <c r="CL56" s="2028">
        <f t="shared" si="113"/>
        <v>0</v>
      </c>
      <c r="CM56" s="3284">
        <f t="shared" si="95"/>
        <v>0</v>
      </c>
      <c r="CN56" s="1449"/>
      <c r="CO56" s="3274">
        <f t="shared" si="114"/>
        <v>0</v>
      </c>
      <c r="CP56" s="3274">
        <f t="shared" si="114"/>
        <v>0</v>
      </c>
      <c r="CQ56" s="2028">
        <f t="shared" si="115"/>
        <v>0</v>
      </c>
      <c r="CR56" s="3284">
        <f t="shared" si="59"/>
        <v>0</v>
      </c>
      <c r="CS56" s="3295"/>
    </row>
    <row r="57" spans="1:97" ht="13.8" x14ac:dyDescent="0.25">
      <c r="A57" s="1586"/>
      <c r="B57" s="3310" t="s">
        <v>68</v>
      </c>
      <c r="C57" s="3283"/>
      <c r="D57" s="3283"/>
      <c r="E57" s="2028">
        <f t="shared" si="96"/>
        <v>0</v>
      </c>
      <c r="F57" s="3284">
        <f t="shared" si="83"/>
        <v>0</v>
      </c>
      <c r="G57" s="3295"/>
      <c r="H57" s="3283"/>
      <c r="I57" s="3283"/>
      <c r="J57" s="2028">
        <f t="shared" si="97"/>
        <v>0</v>
      </c>
      <c r="K57" s="3284">
        <f t="shared" si="84"/>
        <v>0</v>
      </c>
      <c r="L57" s="3295"/>
      <c r="M57" s="3283"/>
      <c r="N57" s="3283"/>
      <c r="O57" s="2028">
        <f t="shared" si="98"/>
        <v>0</v>
      </c>
      <c r="P57" s="3284">
        <f t="shared" si="3"/>
        <v>0</v>
      </c>
      <c r="Q57" s="3295"/>
      <c r="R57" s="3283"/>
      <c r="S57" s="3283"/>
      <c r="T57" s="2028">
        <f t="shared" si="99"/>
        <v>0</v>
      </c>
      <c r="U57" s="3284">
        <f t="shared" si="4"/>
        <v>0</v>
      </c>
      <c r="V57" s="3295"/>
      <c r="W57" s="3274">
        <v>0</v>
      </c>
      <c r="X57" s="3274">
        <v>0</v>
      </c>
      <c r="Y57" s="2028">
        <v>0</v>
      </c>
      <c r="Z57" s="3284">
        <v>0</v>
      </c>
      <c r="AA57" s="3295"/>
      <c r="AB57" s="3274">
        <f t="shared" si="100"/>
        <v>0</v>
      </c>
      <c r="AC57" s="3274">
        <f t="shared" si="100"/>
        <v>0</v>
      </c>
      <c r="AD57" s="2028">
        <f t="shared" si="101"/>
        <v>0</v>
      </c>
      <c r="AE57" s="3284">
        <f t="shared" si="85"/>
        <v>0</v>
      </c>
      <c r="AF57" s="3295"/>
      <c r="AG57" s="3283"/>
      <c r="AH57" s="3283"/>
      <c r="AI57" s="2028">
        <f t="shared" si="102"/>
        <v>0</v>
      </c>
      <c r="AJ57" s="3284">
        <f t="shared" si="7"/>
        <v>0</v>
      </c>
      <c r="AK57" s="3295"/>
      <c r="AL57" s="3283"/>
      <c r="AM57" s="3283"/>
      <c r="AN57" s="2028">
        <f t="shared" si="103"/>
        <v>0</v>
      </c>
      <c r="AO57" s="3284">
        <f t="shared" si="8"/>
        <v>0</v>
      </c>
      <c r="AP57" s="3295"/>
      <c r="AQ57" s="3283"/>
      <c r="AR57" s="3283"/>
      <c r="AS57" s="2028">
        <f t="shared" si="104"/>
        <v>0</v>
      </c>
      <c r="AT57" s="3284">
        <f t="shared" si="86"/>
        <v>0</v>
      </c>
      <c r="AU57" s="3295"/>
      <c r="AV57" s="3283"/>
      <c r="AW57" s="3283"/>
      <c r="AX57" s="2028">
        <f t="shared" si="105"/>
        <v>0</v>
      </c>
      <c r="AY57" s="3284">
        <f t="shared" si="87"/>
        <v>0</v>
      </c>
      <c r="AZ57" s="3295"/>
      <c r="BA57" s="3283"/>
      <c r="BB57" s="3283"/>
      <c r="BC57" s="2028">
        <f t="shared" si="106"/>
        <v>0</v>
      </c>
      <c r="BD57" s="3284">
        <f t="shared" si="88"/>
        <v>0</v>
      </c>
      <c r="BE57" s="3295"/>
      <c r="BF57" s="3283"/>
      <c r="BG57" s="3283"/>
      <c r="BH57" s="2028">
        <f t="shared" si="107"/>
        <v>0</v>
      </c>
      <c r="BI57" s="3284">
        <f t="shared" si="89"/>
        <v>0</v>
      </c>
      <c r="BJ57" s="3295"/>
      <c r="BK57" s="3283"/>
      <c r="BL57" s="3283"/>
      <c r="BM57" s="2028">
        <f t="shared" si="108"/>
        <v>0</v>
      </c>
      <c r="BN57" s="3284">
        <f t="shared" si="90"/>
        <v>0</v>
      </c>
      <c r="BO57" s="3295"/>
      <c r="BP57" s="3283"/>
      <c r="BQ57" s="3283"/>
      <c r="BR57" s="2028">
        <f t="shared" si="109"/>
        <v>0</v>
      </c>
      <c r="BS57" s="3284">
        <f t="shared" si="91"/>
        <v>0</v>
      </c>
      <c r="BT57" s="1449"/>
      <c r="BU57" s="3283"/>
      <c r="BV57" s="3283"/>
      <c r="BW57" s="2028">
        <f t="shared" si="110"/>
        <v>0</v>
      </c>
      <c r="BX57" s="3284">
        <f t="shared" si="92"/>
        <v>0</v>
      </c>
      <c r="BY57" s="1449"/>
      <c r="BZ57" s="3283"/>
      <c r="CA57" s="3283"/>
      <c r="CB57" s="2028">
        <f t="shared" si="111"/>
        <v>0</v>
      </c>
      <c r="CC57" s="3284">
        <f t="shared" si="93"/>
        <v>0</v>
      </c>
      <c r="CD57" s="1449"/>
      <c r="CE57" s="3283"/>
      <c r="CF57" s="3283"/>
      <c r="CG57" s="2028">
        <f t="shared" si="112"/>
        <v>0</v>
      </c>
      <c r="CH57" s="3284">
        <f t="shared" si="94"/>
        <v>0</v>
      </c>
      <c r="CI57" s="1449"/>
      <c r="CJ57" s="3283"/>
      <c r="CK57" s="3283"/>
      <c r="CL57" s="2028">
        <f t="shared" si="113"/>
        <v>0</v>
      </c>
      <c r="CM57" s="3284">
        <f t="shared" si="95"/>
        <v>0</v>
      </c>
      <c r="CN57" s="1449"/>
      <c r="CO57" s="3274">
        <f t="shared" si="114"/>
        <v>0</v>
      </c>
      <c r="CP57" s="3274">
        <f t="shared" si="114"/>
        <v>0</v>
      </c>
      <c r="CQ57" s="2028">
        <f t="shared" si="115"/>
        <v>0</v>
      </c>
      <c r="CR57" s="3284">
        <f t="shared" si="59"/>
        <v>0</v>
      </c>
      <c r="CS57" s="3295"/>
    </row>
    <row r="58" spans="1:97" ht="13.8" x14ac:dyDescent="0.25">
      <c r="A58" s="1586"/>
      <c r="B58" s="3310" t="s">
        <v>67</v>
      </c>
      <c r="C58" s="3283"/>
      <c r="D58" s="3283"/>
      <c r="E58" s="2028">
        <f t="shared" si="96"/>
        <v>0</v>
      </c>
      <c r="F58" s="3284">
        <f t="shared" si="83"/>
        <v>0</v>
      </c>
      <c r="G58" s="3295"/>
      <c r="H58" s="3283"/>
      <c r="I58" s="3283"/>
      <c r="J58" s="2028">
        <f t="shared" si="97"/>
        <v>0</v>
      </c>
      <c r="K58" s="3284">
        <f t="shared" si="84"/>
        <v>0</v>
      </c>
      <c r="L58" s="3295"/>
      <c r="M58" s="3283"/>
      <c r="N58" s="3283"/>
      <c r="O58" s="2028">
        <f t="shared" si="98"/>
        <v>0</v>
      </c>
      <c r="P58" s="3284">
        <f t="shared" si="3"/>
        <v>0</v>
      </c>
      <c r="Q58" s="3295"/>
      <c r="R58" s="3283"/>
      <c r="S58" s="3283"/>
      <c r="T58" s="2028">
        <f t="shared" si="99"/>
        <v>0</v>
      </c>
      <c r="U58" s="3284">
        <f t="shared" si="4"/>
        <v>0</v>
      </c>
      <c r="V58" s="3295"/>
      <c r="W58" s="3274">
        <v>0</v>
      </c>
      <c r="X58" s="3274">
        <v>0</v>
      </c>
      <c r="Y58" s="2028">
        <v>0</v>
      </c>
      <c r="Z58" s="3284">
        <v>0</v>
      </c>
      <c r="AA58" s="3295"/>
      <c r="AB58" s="3274">
        <f t="shared" si="100"/>
        <v>0</v>
      </c>
      <c r="AC58" s="3274">
        <f t="shared" si="100"/>
        <v>0</v>
      </c>
      <c r="AD58" s="2028">
        <f t="shared" si="101"/>
        <v>0</v>
      </c>
      <c r="AE58" s="3284">
        <f t="shared" si="85"/>
        <v>0</v>
      </c>
      <c r="AF58" s="3295"/>
      <c r="AG58" s="3283"/>
      <c r="AH58" s="3283"/>
      <c r="AI58" s="2028">
        <f t="shared" si="102"/>
        <v>0</v>
      </c>
      <c r="AJ58" s="3284">
        <f t="shared" si="7"/>
        <v>0</v>
      </c>
      <c r="AK58" s="3295"/>
      <c r="AL58" s="3283"/>
      <c r="AM58" s="3283"/>
      <c r="AN58" s="2028">
        <f t="shared" si="103"/>
        <v>0</v>
      </c>
      <c r="AO58" s="3284">
        <f t="shared" si="8"/>
        <v>0</v>
      </c>
      <c r="AP58" s="3295"/>
      <c r="AQ58" s="3283"/>
      <c r="AR58" s="3283"/>
      <c r="AS58" s="2028">
        <f t="shared" si="104"/>
        <v>0</v>
      </c>
      <c r="AT58" s="3284">
        <f t="shared" si="86"/>
        <v>0</v>
      </c>
      <c r="AU58" s="3295"/>
      <c r="AV58" s="3283"/>
      <c r="AW58" s="3283"/>
      <c r="AX58" s="2028">
        <f t="shared" si="105"/>
        <v>0</v>
      </c>
      <c r="AY58" s="3284">
        <f t="shared" si="87"/>
        <v>0</v>
      </c>
      <c r="AZ58" s="3295"/>
      <c r="BA58" s="3283"/>
      <c r="BB58" s="3283"/>
      <c r="BC58" s="2028">
        <f t="shared" si="106"/>
        <v>0</v>
      </c>
      <c r="BD58" s="3284">
        <f t="shared" si="88"/>
        <v>0</v>
      </c>
      <c r="BE58" s="3295"/>
      <c r="BF58" s="3283"/>
      <c r="BG58" s="3283"/>
      <c r="BH58" s="2028">
        <f t="shared" si="107"/>
        <v>0</v>
      </c>
      <c r="BI58" s="3284">
        <f t="shared" si="89"/>
        <v>0</v>
      </c>
      <c r="BJ58" s="3295"/>
      <c r="BK58" s="3283"/>
      <c r="BL58" s="3283"/>
      <c r="BM58" s="2028">
        <f t="shared" si="108"/>
        <v>0</v>
      </c>
      <c r="BN58" s="3284">
        <f t="shared" si="90"/>
        <v>0</v>
      </c>
      <c r="BO58" s="3295"/>
      <c r="BP58" s="3283"/>
      <c r="BQ58" s="3283"/>
      <c r="BR58" s="2028">
        <f t="shared" si="109"/>
        <v>0</v>
      </c>
      <c r="BS58" s="3284">
        <f t="shared" si="91"/>
        <v>0</v>
      </c>
      <c r="BT58" s="1449"/>
      <c r="BU58" s="3283"/>
      <c r="BV58" s="3283"/>
      <c r="BW58" s="2028">
        <f t="shared" si="110"/>
        <v>0</v>
      </c>
      <c r="BX58" s="3284">
        <f t="shared" si="92"/>
        <v>0</v>
      </c>
      <c r="BY58" s="1449"/>
      <c r="BZ58" s="3283"/>
      <c r="CA58" s="3283"/>
      <c r="CB58" s="2028">
        <f t="shared" si="111"/>
        <v>0</v>
      </c>
      <c r="CC58" s="3284">
        <f t="shared" si="93"/>
        <v>0</v>
      </c>
      <c r="CD58" s="1449"/>
      <c r="CE58" s="3283"/>
      <c r="CF58" s="3283"/>
      <c r="CG58" s="2028">
        <f t="shared" si="112"/>
        <v>0</v>
      </c>
      <c r="CH58" s="3284">
        <f t="shared" si="94"/>
        <v>0</v>
      </c>
      <c r="CI58" s="1449"/>
      <c r="CJ58" s="3283"/>
      <c r="CK58" s="3283"/>
      <c r="CL58" s="2028">
        <f t="shared" si="113"/>
        <v>0</v>
      </c>
      <c r="CM58" s="3284">
        <f t="shared" si="95"/>
        <v>0</v>
      </c>
      <c r="CN58" s="1449"/>
      <c r="CO58" s="3274">
        <f t="shared" si="114"/>
        <v>0</v>
      </c>
      <c r="CP58" s="3274">
        <f t="shared" si="114"/>
        <v>0</v>
      </c>
      <c r="CQ58" s="2028">
        <f t="shared" si="115"/>
        <v>0</v>
      </c>
      <c r="CR58" s="3284">
        <f t="shared" si="59"/>
        <v>0</v>
      </c>
      <c r="CS58" s="3295"/>
    </row>
    <row r="59" spans="1:97" ht="13.8" x14ac:dyDescent="0.25">
      <c r="A59" s="1586"/>
      <c r="B59" s="3310" t="s">
        <v>66</v>
      </c>
      <c r="C59" s="3283"/>
      <c r="D59" s="3283"/>
      <c r="E59" s="2028">
        <f t="shared" si="96"/>
        <v>0</v>
      </c>
      <c r="F59" s="3284">
        <f t="shared" si="83"/>
        <v>0</v>
      </c>
      <c r="G59" s="3295"/>
      <c r="H59" s="3283"/>
      <c r="I59" s="3283"/>
      <c r="J59" s="2028">
        <f t="shared" si="97"/>
        <v>0</v>
      </c>
      <c r="K59" s="3284">
        <f t="shared" si="84"/>
        <v>0</v>
      </c>
      <c r="L59" s="3295"/>
      <c r="M59" s="3283"/>
      <c r="N59" s="3283"/>
      <c r="O59" s="2028">
        <f t="shared" si="98"/>
        <v>0</v>
      </c>
      <c r="P59" s="3284">
        <f t="shared" si="3"/>
        <v>0</v>
      </c>
      <c r="Q59" s="3295"/>
      <c r="R59" s="3283"/>
      <c r="S59" s="3283"/>
      <c r="T59" s="2028">
        <f t="shared" si="99"/>
        <v>0</v>
      </c>
      <c r="U59" s="3284">
        <f t="shared" si="4"/>
        <v>0</v>
      </c>
      <c r="V59" s="3295"/>
      <c r="W59" s="3274">
        <v>0</v>
      </c>
      <c r="X59" s="3274">
        <v>0</v>
      </c>
      <c r="Y59" s="2028">
        <v>0</v>
      </c>
      <c r="Z59" s="3284">
        <v>0</v>
      </c>
      <c r="AA59" s="3295"/>
      <c r="AB59" s="3274">
        <f t="shared" si="100"/>
        <v>0</v>
      </c>
      <c r="AC59" s="3274">
        <f t="shared" si="100"/>
        <v>0</v>
      </c>
      <c r="AD59" s="2028">
        <f t="shared" si="101"/>
        <v>0</v>
      </c>
      <c r="AE59" s="3284">
        <f t="shared" si="85"/>
        <v>0</v>
      </c>
      <c r="AF59" s="3295"/>
      <c r="AG59" s="3283"/>
      <c r="AH59" s="3283"/>
      <c r="AI59" s="2028">
        <f t="shared" si="102"/>
        <v>0</v>
      </c>
      <c r="AJ59" s="3284">
        <f t="shared" si="7"/>
        <v>0</v>
      </c>
      <c r="AK59" s="3295"/>
      <c r="AL59" s="3283"/>
      <c r="AM59" s="3283"/>
      <c r="AN59" s="2028">
        <f t="shared" si="103"/>
        <v>0</v>
      </c>
      <c r="AO59" s="3284">
        <f t="shared" si="8"/>
        <v>0</v>
      </c>
      <c r="AP59" s="3295"/>
      <c r="AQ59" s="3283"/>
      <c r="AR59" s="3283"/>
      <c r="AS59" s="2028">
        <f t="shared" si="104"/>
        <v>0</v>
      </c>
      <c r="AT59" s="3284">
        <f t="shared" si="86"/>
        <v>0</v>
      </c>
      <c r="AU59" s="3295"/>
      <c r="AV59" s="3283"/>
      <c r="AW59" s="3283"/>
      <c r="AX59" s="2028">
        <f t="shared" si="105"/>
        <v>0</v>
      </c>
      <c r="AY59" s="3284">
        <f t="shared" si="87"/>
        <v>0</v>
      </c>
      <c r="AZ59" s="3295"/>
      <c r="BA59" s="3283"/>
      <c r="BB59" s="3283"/>
      <c r="BC59" s="2028">
        <f t="shared" si="106"/>
        <v>0</v>
      </c>
      <c r="BD59" s="3284">
        <f t="shared" si="88"/>
        <v>0</v>
      </c>
      <c r="BE59" s="3295"/>
      <c r="BF59" s="3283"/>
      <c r="BG59" s="3283"/>
      <c r="BH59" s="2028">
        <f t="shared" si="107"/>
        <v>0</v>
      </c>
      <c r="BI59" s="3284">
        <f t="shared" si="89"/>
        <v>0</v>
      </c>
      <c r="BJ59" s="3295"/>
      <c r="BK59" s="3283"/>
      <c r="BL59" s="3283"/>
      <c r="BM59" s="2028">
        <f t="shared" si="108"/>
        <v>0</v>
      </c>
      <c r="BN59" s="3284">
        <f t="shared" si="90"/>
        <v>0</v>
      </c>
      <c r="BO59" s="3295"/>
      <c r="BP59" s="3283"/>
      <c r="BQ59" s="3283"/>
      <c r="BR59" s="2028">
        <f t="shared" si="109"/>
        <v>0</v>
      </c>
      <c r="BS59" s="3284">
        <f t="shared" si="91"/>
        <v>0</v>
      </c>
      <c r="BT59" s="1449"/>
      <c r="BU59" s="3283"/>
      <c r="BV59" s="3283"/>
      <c r="BW59" s="2028">
        <f t="shared" si="110"/>
        <v>0</v>
      </c>
      <c r="BX59" s="3284">
        <f t="shared" si="92"/>
        <v>0</v>
      </c>
      <c r="BY59" s="1449"/>
      <c r="BZ59" s="3283"/>
      <c r="CA59" s="3283"/>
      <c r="CB59" s="2028">
        <f t="shared" si="111"/>
        <v>0</v>
      </c>
      <c r="CC59" s="3284">
        <f t="shared" si="93"/>
        <v>0</v>
      </c>
      <c r="CD59" s="1449"/>
      <c r="CE59" s="3283"/>
      <c r="CF59" s="3283"/>
      <c r="CG59" s="2028">
        <f t="shared" si="112"/>
        <v>0</v>
      </c>
      <c r="CH59" s="3284">
        <f t="shared" si="94"/>
        <v>0</v>
      </c>
      <c r="CI59" s="1449"/>
      <c r="CJ59" s="3283"/>
      <c r="CK59" s="3283"/>
      <c r="CL59" s="2028">
        <f t="shared" si="113"/>
        <v>0</v>
      </c>
      <c r="CM59" s="3284">
        <f t="shared" si="95"/>
        <v>0</v>
      </c>
      <c r="CN59" s="1449"/>
      <c r="CO59" s="3274">
        <f t="shared" si="114"/>
        <v>0</v>
      </c>
      <c r="CP59" s="3274">
        <f t="shared" si="114"/>
        <v>0</v>
      </c>
      <c r="CQ59" s="2028">
        <f t="shared" si="115"/>
        <v>0</v>
      </c>
      <c r="CR59" s="3284">
        <f t="shared" si="59"/>
        <v>0</v>
      </c>
      <c r="CS59" s="3295"/>
    </row>
    <row r="60" spans="1:97" ht="13.8" x14ac:dyDescent="0.25">
      <c r="A60" s="1586"/>
      <c r="B60" s="3310" t="s">
        <v>65</v>
      </c>
      <c r="C60" s="3283"/>
      <c r="D60" s="3283"/>
      <c r="E60" s="2028">
        <f t="shared" si="96"/>
        <v>0</v>
      </c>
      <c r="F60" s="3284">
        <f t="shared" si="83"/>
        <v>0</v>
      </c>
      <c r="G60" s="3295"/>
      <c r="H60" s="3283"/>
      <c r="I60" s="3283"/>
      <c r="J60" s="2028">
        <f t="shared" si="97"/>
        <v>0</v>
      </c>
      <c r="K60" s="3284">
        <f t="shared" si="84"/>
        <v>0</v>
      </c>
      <c r="L60" s="3295"/>
      <c r="M60" s="3283"/>
      <c r="N60" s="3283"/>
      <c r="O60" s="2028">
        <f t="shared" si="98"/>
        <v>0</v>
      </c>
      <c r="P60" s="3284">
        <f t="shared" si="3"/>
        <v>0</v>
      </c>
      <c r="Q60" s="3295"/>
      <c r="R60" s="3283"/>
      <c r="S60" s="3283"/>
      <c r="T60" s="2028">
        <f t="shared" si="99"/>
        <v>0</v>
      </c>
      <c r="U60" s="3284">
        <f t="shared" si="4"/>
        <v>0</v>
      </c>
      <c r="V60" s="3295"/>
      <c r="W60" s="3274">
        <v>0</v>
      </c>
      <c r="X60" s="3274">
        <v>0</v>
      </c>
      <c r="Y60" s="2028">
        <v>0</v>
      </c>
      <c r="Z60" s="3284">
        <v>0</v>
      </c>
      <c r="AA60" s="3295"/>
      <c r="AB60" s="3274">
        <f t="shared" si="100"/>
        <v>0</v>
      </c>
      <c r="AC60" s="3274">
        <f t="shared" si="100"/>
        <v>0</v>
      </c>
      <c r="AD60" s="2028">
        <f t="shared" si="101"/>
        <v>0</v>
      </c>
      <c r="AE60" s="3284">
        <f t="shared" si="85"/>
        <v>0</v>
      </c>
      <c r="AF60" s="3295"/>
      <c r="AG60" s="3283"/>
      <c r="AH60" s="3283"/>
      <c r="AI60" s="2028">
        <f t="shared" si="102"/>
        <v>0</v>
      </c>
      <c r="AJ60" s="3284">
        <f t="shared" si="7"/>
        <v>0</v>
      </c>
      <c r="AK60" s="3295"/>
      <c r="AL60" s="3283"/>
      <c r="AM60" s="3283"/>
      <c r="AN60" s="2028">
        <f t="shared" si="103"/>
        <v>0</v>
      </c>
      <c r="AO60" s="3284">
        <f t="shared" si="8"/>
        <v>0</v>
      </c>
      <c r="AP60" s="3295"/>
      <c r="AQ60" s="3283"/>
      <c r="AR60" s="3283"/>
      <c r="AS60" s="2028">
        <f t="shared" si="104"/>
        <v>0</v>
      </c>
      <c r="AT60" s="3284">
        <f t="shared" si="86"/>
        <v>0</v>
      </c>
      <c r="AU60" s="3295"/>
      <c r="AV60" s="3283"/>
      <c r="AW60" s="3283"/>
      <c r="AX60" s="2028">
        <f t="shared" si="105"/>
        <v>0</v>
      </c>
      <c r="AY60" s="3284">
        <f t="shared" si="87"/>
        <v>0</v>
      </c>
      <c r="AZ60" s="3295"/>
      <c r="BA60" s="3283"/>
      <c r="BB60" s="3283"/>
      <c r="BC60" s="2028">
        <f t="shared" si="106"/>
        <v>0</v>
      </c>
      <c r="BD60" s="3284">
        <f t="shared" si="88"/>
        <v>0</v>
      </c>
      <c r="BE60" s="3295"/>
      <c r="BF60" s="3283"/>
      <c r="BG60" s="3283"/>
      <c r="BH60" s="2028">
        <f t="shared" si="107"/>
        <v>0</v>
      </c>
      <c r="BI60" s="3284">
        <f t="shared" si="89"/>
        <v>0</v>
      </c>
      <c r="BJ60" s="3295"/>
      <c r="BK60" s="3283"/>
      <c r="BL60" s="3283"/>
      <c r="BM60" s="2028">
        <f t="shared" si="108"/>
        <v>0</v>
      </c>
      <c r="BN60" s="3284">
        <f t="shared" si="90"/>
        <v>0</v>
      </c>
      <c r="BO60" s="3295"/>
      <c r="BP60" s="3283"/>
      <c r="BQ60" s="3283"/>
      <c r="BR60" s="2028">
        <f t="shared" si="109"/>
        <v>0</v>
      </c>
      <c r="BS60" s="3284">
        <f t="shared" si="91"/>
        <v>0</v>
      </c>
      <c r="BT60" s="1449"/>
      <c r="BU60" s="3283"/>
      <c r="BV60" s="3283"/>
      <c r="BW60" s="2028">
        <f t="shared" si="110"/>
        <v>0</v>
      </c>
      <c r="BX60" s="3284">
        <f t="shared" si="92"/>
        <v>0</v>
      </c>
      <c r="BY60" s="1449"/>
      <c r="BZ60" s="3283"/>
      <c r="CA60" s="3283"/>
      <c r="CB60" s="2028">
        <f t="shared" si="111"/>
        <v>0</v>
      </c>
      <c r="CC60" s="3284">
        <f t="shared" si="93"/>
        <v>0</v>
      </c>
      <c r="CD60" s="1449"/>
      <c r="CE60" s="3283"/>
      <c r="CF60" s="3283"/>
      <c r="CG60" s="2028">
        <f t="shared" si="112"/>
        <v>0</v>
      </c>
      <c r="CH60" s="3284">
        <f t="shared" si="94"/>
        <v>0</v>
      </c>
      <c r="CI60" s="1449"/>
      <c r="CJ60" s="3283"/>
      <c r="CK60" s="3283"/>
      <c r="CL60" s="2028">
        <f t="shared" si="113"/>
        <v>0</v>
      </c>
      <c r="CM60" s="3284">
        <f t="shared" si="95"/>
        <v>0</v>
      </c>
      <c r="CN60" s="1449"/>
      <c r="CO60" s="3274">
        <f t="shared" si="114"/>
        <v>0</v>
      </c>
      <c r="CP60" s="3274">
        <f t="shared" si="114"/>
        <v>0</v>
      </c>
      <c r="CQ60" s="2028">
        <f t="shared" si="115"/>
        <v>0</v>
      </c>
      <c r="CR60" s="3284">
        <f t="shared" si="59"/>
        <v>0</v>
      </c>
      <c r="CS60" s="3295"/>
    </row>
    <row r="61" spans="1:97" ht="13.8" x14ac:dyDescent="0.25">
      <c r="A61" s="1586"/>
      <c r="B61" s="3310" t="s">
        <v>32</v>
      </c>
      <c r="C61" s="3283"/>
      <c r="D61" s="3283"/>
      <c r="E61" s="2028">
        <f t="shared" si="96"/>
        <v>0</v>
      </c>
      <c r="F61" s="3284">
        <f t="shared" si="83"/>
        <v>0</v>
      </c>
      <c r="G61" s="3295"/>
      <c r="H61" s="3283"/>
      <c r="I61" s="3283"/>
      <c r="J61" s="2028">
        <f t="shared" si="97"/>
        <v>0</v>
      </c>
      <c r="K61" s="3284">
        <f t="shared" si="84"/>
        <v>0</v>
      </c>
      <c r="L61" s="3295"/>
      <c r="M61" s="3283"/>
      <c r="N61" s="3283"/>
      <c r="O61" s="2028">
        <f t="shared" si="98"/>
        <v>0</v>
      </c>
      <c r="P61" s="3284">
        <f t="shared" si="3"/>
        <v>0</v>
      </c>
      <c r="Q61" s="3295"/>
      <c r="R61" s="3283"/>
      <c r="S61" s="3283"/>
      <c r="T61" s="2028">
        <f t="shared" si="99"/>
        <v>0</v>
      </c>
      <c r="U61" s="3284">
        <f t="shared" si="4"/>
        <v>0</v>
      </c>
      <c r="V61" s="3295"/>
      <c r="W61" s="3274">
        <v>0</v>
      </c>
      <c r="X61" s="3274">
        <v>0</v>
      </c>
      <c r="Y61" s="2028">
        <v>0</v>
      </c>
      <c r="Z61" s="3284">
        <v>0</v>
      </c>
      <c r="AA61" s="3276"/>
      <c r="AB61" s="3274">
        <f t="shared" si="100"/>
        <v>0</v>
      </c>
      <c r="AC61" s="3274">
        <f t="shared" si="100"/>
        <v>0</v>
      </c>
      <c r="AD61" s="2028">
        <f t="shared" si="101"/>
        <v>0</v>
      </c>
      <c r="AE61" s="3284">
        <f t="shared" si="85"/>
        <v>0</v>
      </c>
      <c r="AF61" s="3276"/>
      <c r="AG61" s="3283"/>
      <c r="AH61" s="3283"/>
      <c r="AI61" s="2028">
        <f t="shared" si="102"/>
        <v>0</v>
      </c>
      <c r="AJ61" s="3284">
        <f t="shared" si="7"/>
        <v>0</v>
      </c>
      <c r="AK61" s="3295"/>
      <c r="AL61" s="3283"/>
      <c r="AM61" s="3283"/>
      <c r="AN61" s="2028">
        <f t="shared" si="103"/>
        <v>0</v>
      </c>
      <c r="AO61" s="3284">
        <f t="shared" si="8"/>
        <v>0</v>
      </c>
      <c r="AP61" s="3295"/>
      <c r="AQ61" s="3283"/>
      <c r="AR61" s="3283"/>
      <c r="AS61" s="2028">
        <f t="shared" si="104"/>
        <v>0</v>
      </c>
      <c r="AT61" s="3284">
        <f t="shared" si="86"/>
        <v>0</v>
      </c>
      <c r="AU61" s="3295"/>
      <c r="AV61" s="3283"/>
      <c r="AW61" s="3283"/>
      <c r="AX61" s="2028">
        <f t="shared" si="105"/>
        <v>0</v>
      </c>
      <c r="AY61" s="3284">
        <f t="shared" si="87"/>
        <v>0</v>
      </c>
      <c r="AZ61" s="3295"/>
      <c r="BA61" s="3283"/>
      <c r="BB61" s="3283"/>
      <c r="BC61" s="2028">
        <f t="shared" si="106"/>
        <v>0</v>
      </c>
      <c r="BD61" s="3284">
        <f t="shared" si="88"/>
        <v>0</v>
      </c>
      <c r="BE61" s="3295"/>
      <c r="BF61" s="3283"/>
      <c r="BG61" s="3283"/>
      <c r="BH61" s="2028">
        <f t="shared" si="107"/>
        <v>0</v>
      </c>
      <c r="BI61" s="3284">
        <f t="shared" si="89"/>
        <v>0</v>
      </c>
      <c r="BJ61" s="3295"/>
      <c r="BK61" s="3283"/>
      <c r="BL61" s="3283"/>
      <c r="BM61" s="2028">
        <f t="shared" si="108"/>
        <v>0</v>
      </c>
      <c r="BN61" s="3284">
        <f t="shared" si="90"/>
        <v>0</v>
      </c>
      <c r="BO61" s="3295"/>
      <c r="BP61" s="3283"/>
      <c r="BQ61" s="3283"/>
      <c r="BR61" s="2028">
        <f t="shared" si="109"/>
        <v>0</v>
      </c>
      <c r="BS61" s="3284">
        <f t="shared" si="91"/>
        <v>0</v>
      </c>
      <c r="BT61" s="1449"/>
      <c r="BU61" s="3283"/>
      <c r="BV61" s="3283"/>
      <c r="BW61" s="2028">
        <f t="shared" si="110"/>
        <v>0</v>
      </c>
      <c r="BX61" s="3284">
        <f t="shared" si="92"/>
        <v>0</v>
      </c>
      <c r="BY61" s="1449"/>
      <c r="BZ61" s="3283"/>
      <c r="CA61" s="3283"/>
      <c r="CB61" s="2028">
        <f t="shared" si="111"/>
        <v>0</v>
      </c>
      <c r="CC61" s="3284">
        <f t="shared" si="93"/>
        <v>0</v>
      </c>
      <c r="CD61" s="1449"/>
      <c r="CE61" s="3283"/>
      <c r="CF61" s="3283"/>
      <c r="CG61" s="2028">
        <f t="shared" si="112"/>
        <v>0</v>
      </c>
      <c r="CH61" s="3284">
        <f t="shared" si="94"/>
        <v>0</v>
      </c>
      <c r="CI61" s="1449"/>
      <c r="CJ61" s="3283"/>
      <c r="CK61" s="3283"/>
      <c r="CL61" s="2028">
        <f t="shared" si="113"/>
        <v>0</v>
      </c>
      <c r="CM61" s="3284">
        <f t="shared" si="95"/>
        <v>0</v>
      </c>
      <c r="CN61" s="1449"/>
      <c r="CO61" s="3274">
        <f t="shared" si="114"/>
        <v>0</v>
      </c>
      <c r="CP61" s="3274">
        <f t="shared" si="114"/>
        <v>0</v>
      </c>
      <c r="CQ61" s="2028">
        <f t="shared" si="115"/>
        <v>0</v>
      </c>
      <c r="CR61" s="3284">
        <f t="shared" si="59"/>
        <v>0</v>
      </c>
      <c r="CS61" s="3295"/>
    </row>
    <row r="62" spans="1:97" ht="13.8" x14ac:dyDescent="0.25">
      <c r="A62" s="1586"/>
      <c r="B62" s="3310" t="s">
        <v>33</v>
      </c>
      <c r="C62" s="3283"/>
      <c r="D62" s="3283"/>
      <c r="E62" s="2028">
        <f t="shared" si="96"/>
        <v>0</v>
      </c>
      <c r="F62" s="3284">
        <f t="shared" si="83"/>
        <v>0</v>
      </c>
      <c r="G62" s="3295"/>
      <c r="H62" s="3283"/>
      <c r="I62" s="3283"/>
      <c r="J62" s="2028">
        <f t="shared" si="97"/>
        <v>0</v>
      </c>
      <c r="K62" s="3284">
        <f t="shared" si="84"/>
        <v>0</v>
      </c>
      <c r="L62" s="3295"/>
      <c r="M62" s="3283"/>
      <c r="N62" s="3283"/>
      <c r="O62" s="2028">
        <f t="shared" si="98"/>
        <v>0</v>
      </c>
      <c r="P62" s="3284">
        <f t="shared" si="3"/>
        <v>0</v>
      </c>
      <c r="Q62" s="3295"/>
      <c r="R62" s="3283"/>
      <c r="S62" s="3283"/>
      <c r="T62" s="2028">
        <f t="shared" si="99"/>
        <v>0</v>
      </c>
      <c r="U62" s="3284">
        <f t="shared" si="4"/>
        <v>0</v>
      </c>
      <c r="V62" s="3295"/>
      <c r="W62" s="3274">
        <v>0</v>
      </c>
      <c r="X62" s="3274">
        <v>0</v>
      </c>
      <c r="Y62" s="2028">
        <v>0</v>
      </c>
      <c r="Z62" s="3284">
        <v>0</v>
      </c>
      <c r="AA62" s="3276"/>
      <c r="AB62" s="3274">
        <f t="shared" si="100"/>
        <v>0</v>
      </c>
      <c r="AC62" s="3274">
        <f t="shared" si="100"/>
        <v>0</v>
      </c>
      <c r="AD62" s="2028">
        <f t="shared" si="101"/>
        <v>0</v>
      </c>
      <c r="AE62" s="3284">
        <f t="shared" si="85"/>
        <v>0</v>
      </c>
      <c r="AF62" s="3276"/>
      <c r="AG62" s="3283"/>
      <c r="AH62" s="3283"/>
      <c r="AI62" s="2028">
        <f t="shared" si="102"/>
        <v>0</v>
      </c>
      <c r="AJ62" s="3284">
        <f t="shared" si="7"/>
        <v>0</v>
      </c>
      <c r="AK62" s="3295"/>
      <c r="AL62" s="3283"/>
      <c r="AM62" s="3283"/>
      <c r="AN62" s="2028">
        <f t="shared" si="103"/>
        <v>0</v>
      </c>
      <c r="AO62" s="3284">
        <f t="shared" si="8"/>
        <v>0</v>
      </c>
      <c r="AP62" s="3295"/>
      <c r="AQ62" s="3283"/>
      <c r="AR62" s="3283"/>
      <c r="AS62" s="2028">
        <f t="shared" si="104"/>
        <v>0</v>
      </c>
      <c r="AT62" s="3284">
        <f t="shared" si="86"/>
        <v>0</v>
      </c>
      <c r="AU62" s="3295"/>
      <c r="AV62" s="3283"/>
      <c r="AW62" s="3283"/>
      <c r="AX62" s="2028">
        <f t="shared" si="105"/>
        <v>0</v>
      </c>
      <c r="AY62" s="3284">
        <f t="shared" si="87"/>
        <v>0</v>
      </c>
      <c r="AZ62" s="3295"/>
      <c r="BA62" s="3283"/>
      <c r="BB62" s="3283"/>
      <c r="BC62" s="2028">
        <f t="shared" si="106"/>
        <v>0</v>
      </c>
      <c r="BD62" s="3284">
        <f t="shared" si="88"/>
        <v>0</v>
      </c>
      <c r="BE62" s="3295"/>
      <c r="BF62" s="3283"/>
      <c r="BG62" s="3283"/>
      <c r="BH62" s="2028">
        <f t="shared" si="107"/>
        <v>0</v>
      </c>
      <c r="BI62" s="3284">
        <f t="shared" si="89"/>
        <v>0</v>
      </c>
      <c r="BJ62" s="3295"/>
      <c r="BK62" s="3283"/>
      <c r="BL62" s="3283"/>
      <c r="BM62" s="2028">
        <f t="shared" si="108"/>
        <v>0</v>
      </c>
      <c r="BN62" s="3284">
        <f t="shared" si="90"/>
        <v>0</v>
      </c>
      <c r="BO62" s="3295"/>
      <c r="BP62" s="3283"/>
      <c r="BQ62" s="3283"/>
      <c r="BR62" s="2028">
        <f t="shared" si="109"/>
        <v>0</v>
      </c>
      <c r="BS62" s="3284">
        <f t="shared" si="91"/>
        <v>0</v>
      </c>
      <c r="BT62" s="1449"/>
      <c r="BU62" s="3283"/>
      <c r="BV62" s="3283"/>
      <c r="BW62" s="2028">
        <f t="shared" si="110"/>
        <v>0</v>
      </c>
      <c r="BX62" s="3284">
        <f t="shared" si="92"/>
        <v>0</v>
      </c>
      <c r="BY62" s="1449"/>
      <c r="BZ62" s="3283"/>
      <c r="CA62" s="3283"/>
      <c r="CB62" s="2028">
        <f t="shared" si="111"/>
        <v>0</v>
      </c>
      <c r="CC62" s="3284">
        <f t="shared" si="93"/>
        <v>0</v>
      </c>
      <c r="CD62" s="1449"/>
      <c r="CE62" s="3283"/>
      <c r="CF62" s="3283"/>
      <c r="CG62" s="2028">
        <f t="shared" si="112"/>
        <v>0</v>
      </c>
      <c r="CH62" s="3284">
        <f t="shared" si="94"/>
        <v>0</v>
      </c>
      <c r="CI62" s="1449"/>
      <c r="CJ62" s="3283"/>
      <c r="CK62" s="3283"/>
      <c r="CL62" s="2028">
        <f t="shared" si="113"/>
        <v>0</v>
      </c>
      <c r="CM62" s="3284">
        <f t="shared" si="95"/>
        <v>0</v>
      </c>
      <c r="CN62" s="1449"/>
      <c r="CO62" s="3274">
        <f t="shared" si="114"/>
        <v>0</v>
      </c>
      <c r="CP62" s="3274">
        <f t="shared" si="114"/>
        <v>0</v>
      </c>
      <c r="CQ62" s="2028">
        <f t="shared" si="115"/>
        <v>0</v>
      </c>
      <c r="CR62" s="3284">
        <f t="shared" si="59"/>
        <v>0</v>
      </c>
      <c r="CS62" s="3295"/>
    </row>
    <row r="63" spans="1:97" ht="13.8" x14ac:dyDescent="0.25">
      <c r="A63" s="1586"/>
      <c r="B63" s="3310" t="s">
        <v>35</v>
      </c>
      <c r="C63" s="3283"/>
      <c r="D63" s="3283"/>
      <c r="E63" s="2028">
        <f t="shared" si="96"/>
        <v>0</v>
      </c>
      <c r="F63" s="3284">
        <f t="shared" si="83"/>
        <v>0</v>
      </c>
      <c r="G63" s="3295"/>
      <c r="H63" s="3283"/>
      <c r="I63" s="3283"/>
      <c r="J63" s="2028">
        <f t="shared" si="97"/>
        <v>0</v>
      </c>
      <c r="K63" s="3284">
        <f t="shared" si="84"/>
        <v>0</v>
      </c>
      <c r="L63" s="3295"/>
      <c r="M63" s="3283"/>
      <c r="N63" s="3283"/>
      <c r="O63" s="2028">
        <f t="shared" si="98"/>
        <v>0</v>
      </c>
      <c r="P63" s="3284">
        <f t="shared" si="3"/>
        <v>0</v>
      </c>
      <c r="Q63" s="3295"/>
      <c r="R63" s="3283"/>
      <c r="S63" s="3283"/>
      <c r="T63" s="2028">
        <f t="shared" si="99"/>
        <v>0</v>
      </c>
      <c r="U63" s="3284">
        <f t="shared" si="4"/>
        <v>0</v>
      </c>
      <c r="V63" s="3295"/>
      <c r="W63" s="3274">
        <v>0</v>
      </c>
      <c r="X63" s="3274">
        <v>0</v>
      </c>
      <c r="Y63" s="2028">
        <v>0</v>
      </c>
      <c r="Z63" s="3284">
        <v>0</v>
      </c>
      <c r="AA63" s="3276"/>
      <c r="AB63" s="3274">
        <f t="shared" si="100"/>
        <v>0</v>
      </c>
      <c r="AC63" s="3274">
        <f t="shared" si="100"/>
        <v>0</v>
      </c>
      <c r="AD63" s="2028">
        <f t="shared" si="101"/>
        <v>0</v>
      </c>
      <c r="AE63" s="3284">
        <f t="shared" si="85"/>
        <v>0</v>
      </c>
      <c r="AF63" s="3276"/>
      <c r="AG63" s="3283"/>
      <c r="AH63" s="3283"/>
      <c r="AI63" s="2028">
        <f t="shared" si="102"/>
        <v>0</v>
      </c>
      <c r="AJ63" s="3284">
        <f t="shared" si="7"/>
        <v>0</v>
      </c>
      <c r="AK63" s="3295"/>
      <c r="AL63" s="3283"/>
      <c r="AM63" s="3283"/>
      <c r="AN63" s="2028">
        <f t="shared" si="103"/>
        <v>0</v>
      </c>
      <c r="AO63" s="3284">
        <f t="shared" si="8"/>
        <v>0</v>
      </c>
      <c r="AP63" s="3295"/>
      <c r="AQ63" s="3283"/>
      <c r="AR63" s="3283"/>
      <c r="AS63" s="2028">
        <f t="shared" si="104"/>
        <v>0</v>
      </c>
      <c r="AT63" s="3284">
        <f t="shared" si="86"/>
        <v>0</v>
      </c>
      <c r="AU63" s="3295"/>
      <c r="AV63" s="3283"/>
      <c r="AW63" s="3283"/>
      <c r="AX63" s="2028">
        <f t="shared" si="105"/>
        <v>0</v>
      </c>
      <c r="AY63" s="3284">
        <f t="shared" si="87"/>
        <v>0</v>
      </c>
      <c r="AZ63" s="3295"/>
      <c r="BA63" s="3283"/>
      <c r="BB63" s="3283"/>
      <c r="BC63" s="2028">
        <f t="shared" si="106"/>
        <v>0</v>
      </c>
      <c r="BD63" s="3284">
        <f t="shared" si="88"/>
        <v>0</v>
      </c>
      <c r="BE63" s="3295"/>
      <c r="BF63" s="3283"/>
      <c r="BG63" s="3283"/>
      <c r="BH63" s="2028">
        <f t="shared" si="107"/>
        <v>0</v>
      </c>
      <c r="BI63" s="3284">
        <f t="shared" si="89"/>
        <v>0</v>
      </c>
      <c r="BJ63" s="3295"/>
      <c r="BK63" s="3283"/>
      <c r="BL63" s="3283"/>
      <c r="BM63" s="2028">
        <f t="shared" si="108"/>
        <v>0</v>
      </c>
      <c r="BN63" s="3284">
        <f t="shared" si="90"/>
        <v>0</v>
      </c>
      <c r="BO63" s="3295"/>
      <c r="BP63" s="3283"/>
      <c r="BQ63" s="3283"/>
      <c r="BR63" s="2028">
        <f t="shared" si="109"/>
        <v>0</v>
      </c>
      <c r="BS63" s="3284">
        <f t="shared" si="91"/>
        <v>0</v>
      </c>
      <c r="BT63" s="1449"/>
      <c r="BU63" s="3283"/>
      <c r="BV63" s="3283"/>
      <c r="BW63" s="2028">
        <f t="shared" si="110"/>
        <v>0</v>
      </c>
      <c r="BX63" s="3284">
        <f t="shared" si="92"/>
        <v>0</v>
      </c>
      <c r="BY63" s="1449"/>
      <c r="BZ63" s="3283"/>
      <c r="CA63" s="3283"/>
      <c r="CB63" s="2028">
        <f t="shared" si="111"/>
        <v>0</v>
      </c>
      <c r="CC63" s="3284">
        <f t="shared" si="93"/>
        <v>0</v>
      </c>
      <c r="CD63" s="1449"/>
      <c r="CE63" s="3283"/>
      <c r="CF63" s="3283"/>
      <c r="CG63" s="2028">
        <f t="shared" si="112"/>
        <v>0</v>
      </c>
      <c r="CH63" s="3284">
        <f t="shared" si="94"/>
        <v>0</v>
      </c>
      <c r="CI63" s="1449"/>
      <c r="CJ63" s="3283"/>
      <c r="CK63" s="3283"/>
      <c r="CL63" s="2028">
        <f t="shared" si="113"/>
        <v>0</v>
      </c>
      <c r="CM63" s="3284">
        <f t="shared" si="95"/>
        <v>0</v>
      </c>
      <c r="CN63" s="1449"/>
      <c r="CO63" s="3274">
        <f t="shared" si="114"/>
        <v>0</v>
      </c>
      <c r="CP63" s="3274">
        <f t="shared" si="114"/>
        <v>0</v>
      </c>
      <c r="CQ63" s="2028">
        <f t="shared" si="115"/>
        <v>0</v>
      </c>
      <c r="CR63" s="3284">
        <f t="shared" si="59"/>
        <v>0</v>
      </c>
      <c r="CS63" s="3295"/>
    </row>
    <row r="64" spans="1:97" ht="13.8" x14ac:dyDescent="0.25">
      <c r="A64" s="1586"/>
      <c r="B64" s="3310" t="s">
        <v>63</v>
      </c>
      <c r="C64" s="3283"/>
      <c r="D64" s="3283"/>
      <c r="E64" s="2028">
        <f t="shared" si="96"/>
        <v>0</v>
      </c>
      <c r="F64" s="3284">
        <f t="shared" si="83"/>
        <v>0</v>
      </c>
      <c r="G64" s="3295"/>
      <c r="H64" s="3283"/>
      <c r="I64" s="3283"/>
      <c r="J64" s="2028">
        <f t="shared" si="97"/>
        <v>0</v>
      </c>
      <c r="K64" s="3284">
        <f t="shared" si="84"/>
        <v>0</v>
      </c>
      <c r="L64" s="3295"/>
      <c r="M64" s="3283"/>
      <c r="N64" s="3283"/>
      <c r="O64" s="2028">
        <f t="shared" si="98"/>
        <v>0</v>
      </c>
      <c r="P64" s="3284">
        <f t="shared" si="3"/>
        <v>0</v>
      </c>
      <c r="Q64" s="3295"/>
      <c r="R64" s="3283"/>
      <c r="S64" s="3283"/>
      <c r="T64" s="2028">
        <f t="shared" si="99"/>
        <v>0</v>
      </c>
      <c r="U64" s="3284">
        <f t="shared" si="4"/>
        <v>0</v>
      </c>
      <c r="V64" s="3295"/>
      <c r="W64" s="3274">
        <v>0</v>
      </c>
      <c r="X64" s="3274">
        <v>0</v>
      </c>
      <c r="Y64" s="2028">
        <v>0</v>
      </c>
      <c r="Z64" s="3284">
        <v>0</v>
      </c>
      <c r="AA64" s="3276"/>
      <c r="AB64" s="3274">
        <f t="shared" si="100"/>
        <v>0</v>
      </c>
      <c r="AC64" s="3274">
        <f t="shared" si="100"/>
        <v>0</v>
      </c>
      <c r="AD64" s="2028">
        <f t="shared" si="101"/>
        <v>0</v>
      </c>
      <c r="AE64" s="3284">
        <f t="shared" si="85"/>
        <v>0</v>
      </c>
      <c r="AF64" s="3276"/>
      <c r="AG64" s="3283"/>
      <c r="AH64" s="3283"/>
      <c r="AI64" s="2028">
        <f t="shared" si="102"/>
        <v>0</v>
      </c>
      <c r="AJ64" s="3284">
        <f t="shared" si="7"/>
        <v>0</v>
      </c>
      <c r="AK64" s="3295"/>
      <c r="AL64" s="3283"/>
      <c r="AM64" s="3283"/>
      <c r="AN64" s="2028">
        <f t="shared" si="103"/>
        <v>0</v>
      </c>
      <c r="AO64" s="3284">
        <f t="shared" si="8"/>
        <v>0</v>
      </c>
      <c r="AP64" s="3295"/>
      <c r="AQ64" s="3283"/>
      <c r="AR64" s="3283"/>
      <c r="AS64" s="2028">
        <f t="shared" si="104"/>
        <v>0</v>
      </c>
      <c r="AT64" s="3284">
        <f t="shared" si="86"/>
        <v>0</v>
      </c>
      <c r="AU64" s="3295"/>
      <c r="AV64" s="3283"/>
      <c r="AW64" s="3283"/>
      <c r="AX64" s="2028">
        <f t="shared" si="105"/>
        <v>0</v>
      </c>
      <c r="AY64" s="3284">
        <f t="shared" si="87"/>
        <v>0</v>
      </c>
      <c r="AZ64" s="3295"/>
      <c r="BA64" s="3283"/>
      <c r="BB64" s="3283"/>
      <c r="BC64" s="2028">
        <f t="shared" si="106"/>
        <v>0</v>
      </c>
      <c r="BD64" s="3284">
        <f t="shared" si="88"/>
        <v>0</v>
      </c>
      <c r="BE64" s="3295"/>
      <c r="BF64" s="3283"/>
      <c r="BG64" s="3283"/>
      <c r="BH64" s="2028">
        <f t="shared" si="107"/>
        <v>0</v>
      </c>
      <c r="BI64" s="3284">
        <f t="shared" si="89"/>
        <v>0</v>
      </c>
      <c r="BJ64" s="3295"/>
      <c r="BK64" s="3283"/>
      <c r="BL64" s="3283"/>
      <c r="BM64" s="2028">
        <f t="shared" si="108"/>
        <v>0</v>
      </c>
      <c r="BN64" s="3284">
        <f t="shared" si="90"/>
        <v>0</v>
      </c>
      <c r="BO64" s="3295"/>
      <c r="BP64" s="3283"/>
      <c r="BQ64" s="3283"/>
      <c r="BR64" s="2028">
        <f t="shared" si="109"/>
        <v>0</v>
      </c>
      <c r="BS64" s="3284">
        <f t="shared" si="91"/>
        <v>0</v>
      </c>
      <c r="BT64" s="1449"/>
      <c r="BU64" s="3283"/>
      <c r="BV64" s="3283"/>
      <c r="BW64" s="2028">
        <f t="shared" si="110"/>
        <v>0</v>
      </c>
      <c r="BX64" s="3284">
        <f t="shared" si="92"/>
        <v>0</v>
      </c>
      <c r="BY64" s="1449"/>
      <c r="BZ64" s="3283"/>
      <c r="CA64" s="3283"/>
      <c r="CB64" s="2028">
        <f t="shared" si="111"/>
        <v>0</v>
      </c>
      <c r="CC64" s="3284">
        <f t="shared" si="93"/>
        <v>0</v>
      </c>
      <c r="CD64" s="1449"/>
      <c r="CE64" s="3283"/>
      <c r="CF64" s="3283"/>
      <c r="CG64" s="2028">
        <f t="shared" si="112"/>
        <v>0</v>
      </c>
      <c r="CH64" s="3284">
        <f t="shared" si="94"/>
        <v>0</v>
      </c>
      <c r="CI64" s="1449"/>
      <c r="CJ64" s="3283"/>
      <c r="CK64" s="3283"/>
      <c r="CL64" s="2028">
        <f t="shared" si="113"/>
        <v>0</v>
      </c>
      <c r="CM64" s="3284">
        <f t="shared" si="95"/>
        <v>0</v>
      </c>
      <c r="CN64" s="1449"/>
      <c r="CO64" s="3274">
        <f t="shared" si="114"/>
        <v>0</v>
      </c>
      <c r="CP64" s="3274">
        <f t="shared" si="114"/>
        <v>0</v>
      </c>
      <c r="CQ64" s="2028">
        <f t="shared" si="115"/>
        <v>0</v>
      </c>
      <c r="CR64" s="3284">
        <f t="shared" si="59"/>
        <v>0</v>
      </c>
      <c r="CS64" s="3295"/>
    </row>
    <row r="65" spans="1:97" ht="13.8" x14ac:dyDescent="0.25">
      <c r="A65" s="1586"/>
      <c r="B65" s="3310" t="s">
        <v>36</v>
      </c>
      <c r="C65" s="3274"/>
      <c r="D65" s="3274"/>
      <c r="E65" s="2028">
        <f t="shared" si="96"/>
        <v>0</v>
      </c>
      <c r="F65" s="3284">
        <f t="shared" si="83"/>
        <v>0</v>
      </c>
      <c r="G65" s="3295"/>
      <c r="H65" s="3274"/>
      <c r="I65" s="3274"/>
      <c r="J65" s="2028">
        <f t="shared" si="97"/>
        <v>0</v>
      </c>
      <c r="K65" s="3284">
        <f t="shared" si="84"/>
        <v>0</v>
      </c>
      <c r="L65" s="3295"/>
      <c r="M65" s="3274"/>
      <c r="N65" s="3274"/>
      <c r="O65" s="2028">
        <f t="shared" si="98"/>
        <v>0</v>
      </c>
      <c r="P65" s="3284">
        <f t="shared" si="3"/>
        <v>0</v>
      </c>
      <c r="Q65" s="3295"/>
      <c r="R65" s="3274"/>
      <c r="S65" s="3274"/>
      <c r="T65" s="2028">
        <f t="shared" si="99"/>
        <v>0</v>
      </c>
      <c r="U65" s="3284">
        <f t="shared" si="4"/>
        <v>0</v>
      </c>
      <c r="V65" s="3295"/>
      <c r="W65" s="3274">
        <v>0</v>
      </c>
      <c r="X65" s="3274">
        <v>0</v>
      </c>
      <c r="Y65" s="2028">
        <v>0</v>
      </c>
      <c r="Z65" s="3284">
        <v>0</v>
      </c>
      <c r="AA65" s="3276"/>
      <c r="AB65" s="3274">
        <f t="shared" si="100"/>
        <v>0</v>
      </c>
      <c r="AC65" s="3274">
        <f t="shared" si="100"/>
        <v>0</v>
      </c>
      <c r="AD65" s="2028">
        <f t="shared" si="101"/>
        <v>0</v>
      </c>
      <c r="AE65" s="3284">
        <f t="shared" si="85"/>
        <v>0</v>
      </c>
      <c r="AF65" s="3276"/>
      <c r="AG65" s="3274"/>
      <c r="AH65" s="3274"/>
      <c r="AI65" s="2028">
        <f t="shared" si="102"/>
        <v>0</v>
      </c>
      <c r="AJ65" s="3284">
        <f t="shared" si="7"/>
        <v>0</v>
      </c>
      <c r="AK65" s="3295"/>
      <c r="AL65" s="3274"/>
      <c r="AM65" s="3274"/>
      <c r="AN65" s="2028">
        <f t="shared" si="103"/>
        <v>0</v>
      </c>
      <c r="AO65" s="3284">
        <f t="shared" si="8"/>
        <v>0</v>
      </c>
      <c r="AP65" s="3295"/>
      <c r="AQ65" s="3274"/>
      <c r="AR65" s="3274"/>
      <c r="AS65" s="2028">
        <f t="shared" si="104"/>
        <v>0</v>
      </c>
      <c r="AT65" s="3284">
        <f t="shared" si="86"/>
        <v>0</v>
      </c>
      <c r="AU65" s="3295"/>
      <c r="AV65" s="3274"/>
      <c r="AW65" s="3274"/>
      <c r="AX65" s="2028">
        <f t="shared" si="105"/>
        <v>0</v>
      </c>
      <c r="AY65" s="3284">
        <f t="shared" si="87"/>
        <v>0</v>
      </c>
      <c r="AZ65" s="3295"/>
      <c r="BA65" s="3274"/>
      <c r="BB65" s="3274"/>
      <c r="BC65" s="2028">
        <f t="shared" si="106"/>
        <v>0</v>
      </c>
      <c r="BD65" s="3284">
        <f t="shared" si="88"/>
        <v>0</v>
      </c>
      <c r="BE65" s="3295"/>
      <c r="BF65" s="3274"/>
      <c r="BG65" s="3274"/>
      <c r="BH65" s="2028">
        <f t="shared" si="107"/>
        <v>0</v>
      </c>
      <c r="BI65" s="3284">
        <f t="shared" si="89"/>
        <v>0</v>
      </c>
      <c r="BJ65" s="3295"/>
      <c r="BK65" s="3274"/>
      <c r="BL65" s="3274"/>
      <c r="BM65" s="2028">
        <f t="shared" si="108"/>
        <v>0</v>
      </c>
      <c r="BN65" s="3284">
        <f t="shared" si="90"/>
        <v>0</v>
      </c>
      <c r="BO65" s="3295"/>
      <c r="BP65" s="3274"/>
      <c r="BQ65" s="3274"/>
      <c r="BR65" s="2028">
        <f t="shared" si="109"/>
        <v>0</v>
      </c>
      <c r="BS65" s="3284">
        <f t="shared" si="91"/>
        <v>0</v>
      </c>
      <c r="BT65" s="1449"/>
      <c r="BU65" s="3274"/>
      <c r="BV65" s="3274"/>
      <c r="BW65" s="2028">
        <f t="shared" si="110"/>
        <v>0</v>
      </c>
      <c r="BX65" s="3284">
        <f t="shared" si="92"/>
        <v>0</v>
      </c>
      <c r="BY65" s="1449"/>
      <c r="BZ65" s="3274"/>
      <c r="CA65" s="3274"/>
      <c r="CB65" s="2028">
        <f t="shared" si="111"/>
        <v>0</v>
      </c>
      <c r="CC65" s="3284">
        <f t="shared" si="93"/>
        <v>0</v>
      </c>
      <c r="CD65" s="1449"/>
      <c r="CE65" s="3274"/>
      <c r="CF65" s="3274"/>
      <c r="CG65" s="2028">
        <f t="shared" si="112"/>
        <v>0</v>
      </c>
      <c r="CH65" s="3284">
        <f t="shared" si="94"/>
        <v>0</v>
      </c>
      <c r="CI65" s="1449"/>
      <c r="CJ65" s="3274"/>
      <c r="CK65" s="3274"/>
      <c r="CL65" s="2028">
        <f t="shared" si="113"/>
        <v>0</v>
      </c>
      <c r="CM65" s="3284">
        <f t="shared" si="95"/>
        <v>0</v>
      </c>
      <c r="CN65" s="1449"/>
      <c r="CO65" s="3274">
        <f t="shared" si="114"/>
        <v>0</v>
      </c>
      <c r="CP65" s="3274">
        <f t="shared" si="114"/>
        <v>0</v>
      </c>
      <c r="CQ65" s="2028">
        <f t="shared" si="115"/>
        <v>0</v>
      </c>
      <c r="CR65" s="3284">
        <f t="shared" si="59"/>
        <v>0</v>
      </c>
      <c r="CS65" s="3295"/>
    </row>
    <row r="66" spans="1:97" s="1411" customFormat="1" ht="13.8" x14ac:dyDescent="0.25">
      <c r="A66" s="1586"/>
      <c r="B66" s="3310" t="s">
        <v>37</v>
      </c>
      <c r="C66" s="3274"/>
      <c r="D66" s="3274"/>
      <c r="E66" s="2028">
        <f t="shared" si="96"/>
        <v>0</v>
      </c>
      <c r="F66" s="3284">
        <f t="shared" si="83"/>
        <v>0</v>
      </c>
      <c r="G66" s="3295"/>
      <c r="H66" s="3274"/>
      <c r="I66" s="3274"/>
      <c r="J66" s="2028">
        <f t="shared" si="97"/>
        <v>0</v>
      </c>
      <c r="K66" s="3284">
        <f t="shared" si="84"/>
        <v>0</v>
      </c>
      <c r="L66" s="3295"/>
      <c r="M66" s="3274"/>
      <c r="N66" s="3274"/>
      <c r="O66" s="2028">
        <f t="shared" si="98"/>
        <v>0</v>
      </c>
      <c r="P66" s="3284">
        <f t="shared" si="3"/>
        <v>0</v>
      </c>
      <c r="Q66" s="3295"/>
      <c r="R66" s="3274"/>
      <c r="S66" s="3274"/>
      <c r="T66" s="2028">
        <f t="shared" si="99"/>
        <v>0</v>
      </c>
      <c r="U66" s="3284">
        <f t="shared" si="4"/>
        <v>0</v>
      </c>
      <c r="V66" s="3295"/>
      <c r="W66" s="3274">
        <v>0</v>
      </c>
      <c r="X66" s="3274">
        <v>0</v>
      </c>
      <c r="Y66" s="2028">
        <v>0</v>
      </c>
      <c r="Z66" s="3284">
        <v>0</v>
      </c>
      <c r="AA66" s="3276"/>
      <c r="AB66" s="3274">
        <f t="shared" si="100"/>
        <v>0</v>
      </c>
      <c r="AC66" s="3274">
        <f t="shared" si="100"/>
        <v>0</v>
      </c>
      <c r="AD66" s="2028">
        <f t="shared" si="101"/>
        <v>0</v>
      </c>
      <c r="AE66" s="3284">
        <f t="shared" si="85"/>
        <v>0</v>
      </c>
      <c r="AF66" s="3276"/>
      <c r="AG66" s="3274"/>
      <c r="AH66" s="3274"/>
      <c r="AI66" s="2028">
        <f t="shared" si="102"/>
        <v>0</v>
      </c>
      <c r="AJ66" s="3284">
        <f t="shared" si="7"/>
        <v>0</v>
      </c>
      <c r="AK66" s="3295"/>
      <c r="AL66" s="3274"/>
      <c r="AM66" s="3274"/>
      <c r="AN66" s="2028">
        <f t="shared" si="103"/>
        <v>0</v>
      </c>
      <c r="AO66" s="3284">
        <f t="shared" si="8"/>
        <v>0</v>
      </c>
      <c r="AP66" s="3295"/>
      <c r="AQ66" s="3274"/>
      <c r="AR66" s="3274"/>
      <c r="AS66" s="2028">
        <f t="shared" si="104"/>
        <v>0</v>
      </c>
      <c r="AT66" s="3284">
        <f t="shared" si="86"/>
        <v>0</v>
      </c>
      <c r="AU66" s="3295"/>
      <c r="AV66" s="3274"/>
      <c r="AW66" s="3274"/>
      <c r="AX66" s="2028">
        <f t="shared" si="105"/>
        <v>0</v>
      </c>
      <c r="AY66" s="3284">
        <f t="shared" si="87"/>
        <v>0</v>
      </c>
      <c r="AZ66" s="3295"/>
      <c r="BA66" s="3274"/>
      <c r="BB66" s="3274"/>
      <c r="BC66" s="2028">
        <f t="shared" si="106"/>
        <v>0</v>
      </c>
      <c r="BD66" s="3284">
        <f t="shared" si="88"/>
        <v>0</v>
      </c>
      <c r="BE66" s="3295"/>
      <c r="BF66" s="3274"/>
      <c r="BG66" s="3274"/>
      <c r="BH66" s="2028">
        <f t="shared" si="107"/>
        <v>0</v>
      </c>
      <c r="BI66" s="3284">
        <f t="shared" si="89"/>
        <v>0</v>
      </c>
      <c r="BJ66" s="3295"/>
      <c r="BK66" s="3274"/>
      <c r="BL66" s="3274"/>
      <c r="BM66" s="2028">
        <f t="shared" si="108"/>
        <v>0</v>
      </c>
      <c r="BN66" s="3284">
        <f t="shared" si="90"/>
        <v>0</v>
      </c>
      <c r="BO66" s="3295"/>
      <c r="BP66" s="3274"/>
      <c r="BQ66" s="3274"/>
      <c r="BR66" s="2028">
        <f t="shared" si="109"/>
        <v>0</v>
      </c>
      <c r="BS66" s="3284">
        <f t="shared" si="91"/>
        <v>0</v>
      </c>
      <c r="BT66" s="1449"/>
      <c r="BU66" s="3274"/>
      <c r="BV66" s="3274"/>
      <c r="BW66" s="2028">
        <f t="shared" si="110"/>
        <v>0</v>
      </c>
      <c r="BX66" s="3284">
        <f t="shared" si="92"/>
        <v>0</v>
      </c>
      <c r="BY66" s="1449"/>
      <c r="BZ66" s="3274"/>
      <c r="CA66" s="3274"/>
      <c r="CB66" s="2028">
        <f t="shared" si="111"/>
        <v>0</v>
      </c>
      <c r="CC66" s="3284">
        <f t="shared" si="93"/>
        <v>0</v>
      </c>
      <c r="CD66" s="1449"/>
      <c r="CE66" s="3274"/>
      <c r="CF66" s="3274"/>
      <c r="CG66" s="2028">
        <f t="shared" si="112"/>
        <v>0</v>
      </c>
      <c r="CH66" s="3284">
        <f t="shared" si="94"/>
        <v>0</v>
      </c>
      <c r="CI66" s="1449"/>
      <c r="CJ66" s="3274"/>
      <c r="CK66" s="3274"/>
      <c r="CL66" s="2028">
        <f t="shared" si="113"/>
        <v>0</v>
      </c>
      <c r="CM66" s="3284">
        <f t="shared" si="95"/>
        <v>0</v>
      </c>
      <c r="CN66" s="1449"/>
      <c r="CO66" s="3274">
        <f t="shared" si="114"/>
        <v>0</v>
      </c>
      <c r="CP66" s="3274">
        <f t="shared" si="114"/>
        <v>0</v>
      </c>
      <c r="CQ66" s="2028">
        <f t="shared" si="115"/>
        <v>0</v>
      </c>
      <c r="CR66" s="3284">
        <f t="shared" si="59"/>
        <v>0</v>
      </c>
      <c r="CS66" s="3295"/>
    </row>
    <row r="67" spans="1:97" s="1411" customFormat="1" ht="13.8" x14ac:dyDescent="0.25">
      <c r="A67" s="1586"/>
      <c r="B67" s="3310" t="s">
        <v>3</v>
      </c>
      <c r="C67" s="3274"/>
      <c r="D67" s="3274"/>
      <c r="E67" s="2028">
        <f t="shared" si="96"/>
        <v>0</v>
      </c>
      <c r="F67" s="3284">
        <f t="shared" si="83"/>
        <v>0</v>
      </c>
      <c r="G67" s="3295"/>
      <c r="H67" s="3274"/>
      <c r="I67" s="3274"/>
      <c r="J67" s="2028">
        <f t="shared" si="97"/>
        <v>0</v>
      </c>
      <c r="K67" s="3284">
        <f t="shared" si="84"/>
        <v>0</v>
      </c>
      <c r="L67" s="3295"/>
      <c r="M67" s="3274"/>
      <c r="N67" s="3274"/>
      <c r="O67" s="2028">
        <f t="shared" si="98"/>
        <v>0</v>
      </c>
      <c r="P67" s="3284">
        <f t="shared" si="3"/>
        <v>0</v>
      </c>
      <c r="Q67" s="3295"/>
      <c r="R67" s="3274"/>
      <c r="S67" s="3274"/>
      <c r="T67" s="2028">
        <f t="shared" si="99"/>
        <v>0</v>
      </c>
      <c r="U67" s="3284">
        <f t="shared" si="4"/>
        <v>0</v>
      </c>
      <c r="V67" s="3295"/>
      <c r="W67" s="3274">
        <v>0</v>
      </c>
      <c r="X67" s="3274">
        <v>0</v>
      </c>
      <c r="Y67" s="2028">
        <v>0</v>
      </c>
      <c r="Z67" s="3284">
        <v>0</v>
      </c>
      <c r="AA67" s="3276"/>
      <c r="AB67" s="3274">
        <f t="shared" si="100"/>
        <v>0</v>
      </c>
      <c r="AC67" s="3274">
        <f t="shared" si="100"/>
        <v>0</v>
      </c>
      <c r="AD67" s="2028">
        <f t="shared" si="101"/>
        <v>0</v>
      </c>
      <c r="AE67" s="3284">
        <f t="shared" si="85"/>
        <v>0</v>
      </c>
      <c r="AF67" s="3276"/>
      <c r="AG67" s="3274"/>
      <c r="AH67" s="3274"/>
      <c r="AI67" s="2028">
        <f t="shared" si="102"/>
        <v>0</v>
      </c>
      <c r="AJ67" s="3284">
        <f t="shared" si="7"/>
        <v>0</v>
      </c>
      <c r="AK67" s="3295"/>
      <c r="AL67" s="3274"/>
      <c r="AM67" s="3274"/>
      <c r="AN67" s="2028">
        <f t="shared" si="103"/>
        <v>0</v>
      </c>
      <c r="AO67" s="3284">
        <f t="shared" si="8"/>
        <v>0</v>
      </c>
      <c r="AP67" s="3295"/>
      <c r="AQ67" s="3274"/>
      <c r="AR67" s="3274"/>
      <c r="AS67" s="2028">
        <f t="shared" si="104"/>
        <v>0</v>
      </c>
      <c r="AT67" s="3284">
        <f t="shared" si="86"/>
        <v>0</v>
      </c>
      <c r="AU67" s="3295"/>
      <c r="AV67" s="3274"/>
      <c r="AW67" s="3274"/>
      <c r="AX67" s="2028">
        <f t="shared" si="105"/>
        <v>0</v>
      </c>
      <c r="AY67" s="3284">
        <f t="shared" si="87"/>
        <v>0</v>
      </c>
      <c r="AZ67" s="3295"/>
      <c r="BA67" s="3274"/>
      <c r="BB67" s="3274"/>
      <c r="BC67" s="2028">
        <f t="shared" si="106"/>
        <v>0</v>
      </c>
      <c r="BD67" s="3284">
        <f t="shared" si="88"/>
        <v>0</v>
      </c>
      <c r="BE67" s="3295"/>
      <c r="BF67" s="3274"/>
      <c r="BG67" s="3274"/>
      <c r="BH67" s="2028">
        <f t="shared" si="107"/>
        <v>0</v>
      </c>
      <c r="BI67" s="3284">
        <f t="shared" si="89"/>
        <v>0</v>
      </c>
      <c r="BJ67" s="3295"/>
      <c r="BK67" s="3274"/>
      <c r="BL67" s="3274"/>
      <c r="BM67" s="2028">
        <f t="shared" si="108"/>
        <v>0</v>
      </c>
      <c r="BN67" s="3284">
        <f t="shared" si="90"/>
        <v>0</v>
      </c>
      <c r="BO67" s="3295"/>
      <c r="BP67" s="3274"/>
      <c r="BQ67" s="3274"/>
      <c r="BR67" s="2028">
        <f t="shared" si="109"/>
        <v>0</v>
      </c>
      <c r="BS67" s="3284">
        <f t="shared" si="91"/>
        <v>0</v>
      </c>
      <c r="BT67" s="1449"/>
      <c r="BU67" s="3274"/>
      <c r="BV67" s="3274"/>
      <c r="BW67" s="2028">
        <f t="shared" si="110"/>
        <v>0</v>
      </c>
      <c r="BX67" s="3284">
        <f t="shared" si="92"/>
        <v>0</v>
      </c>
      <c r="BY67" s="1449"/>
      <c r="BZ67" s="3274"/>
      <c r="CA67" s="3274"/>
      <c r="CB67" s="2028">
        <f t="shared" si="111"/>
        <v>0</v>
      </c>
      <c r="CC67" s="3284">
        <f t="shared" si="93"/>
        <v>0</v>
      </c>
      <c r="CD67" s="1449"/>
      <c r="CE67" s="3274"/>
      <c r="CF67" s="3274"/>
      <c r="CG67" s="2028">
        <f t="shared" si="112"/>
        <v>0</v>
      </c>
      <c r="CH67" s="3284">
        <f t="shared" si="94"/>
        <v>0</v>
      </c>
      <c r="CI67" s="1449"/>
      <c r="CJ67" s="3274"/>
      <c r="CK67" s="3274"/>
      <c r="CL67" s="2028">
        <f t="shared" si="113"/>
        <v>0</v>
      </c>
      <c r="CM67" s="3284">
        <f t="shared" si="95"/>
        <v>0</v>
      </c>
      <c r="CN67" s="1449"/>
      <c r="CO67" s="3274">
        <f t="shared" si="114"/>
        <v>0</v>
      </c>
      <c r="CP67" s="3274">
        <f t="shared" si="114"/>
        <v>0</v>
      </c>
      <c r="CQ67" s="2028">
        <f t="shared" si="115"/>
        <v>0</v>
      </c>
      <c r="CR67" s="3284">
        <f t="shared" si="59"/>
        <v>0</v>
      </c>
      <c r="CS67" s="3295"/>
    </row>
    <row r="68" spans="1:97" s="1411" customFormat="1" ht="13.8" x14ac:dyDescent="0.25">
      <c r="A68" s="1586"/>
      <c r="B68" s="3310" t="s">
        <v>5</v>
      </c>
      <c r="C68" s="3274"/>
      <c r="D68" s="3274"/>
      <c r="E68" s="2028">
        <f t="shared" si="96"/>
        <v>0</v>
      </c>
      <c r="F68" s="3284">
        <f t="shared" si="83"/>
        <v>0</v>
      </c>
      <c r="G68" s="3274"/>
      <c r="H68" s="3274"/>
      <c r="I68" s="3274"/>
      <c r="J68" s="2028">
        <f t="shared" si="97"/>
        <v>0</v>
      </c>
      <c r="K68" s="3284">
        <f t="shared" si="84"/>
        <v>0</v>
      </c>
      <c r="L68" s="3274"/>
      <c r="M68" s="3274"/>
      <c r="N68" s="3274"/>
      <c r="O68" s="2028">
        <f t="shared" si="98"/>
        <v>0</v>
      </c>
      <c r="P68" s="3284">
        <f t="shared" si="3"/>
        <v>0</v>
      </c>
      <c r="Q68" s="3274"/>
      <c r="R68" s="3274"/>
      <c r="S68" s="3274"/>
      <c r="T68" s="2028">
        <f t="shared" si="99"/>
        <v>0</v>
      </c>
      <c r="U68" s="3284">
        <f t="shared" si="4"/>
        <v>0</v>
      </c>
      <c r="V68" s="3274"/>
      <c r="W68" s="3274">
        <v>105</v>
      </c>
      <c r="X68" s="3274">
        <v>5</v>
      </c>
      <c r="Y68" s="2028">
        <v>110</v>
      </c>
      <c r="Z68" s="3284">
        <v>3.7290686043110115E-4</v>
      </c>
      <c r="AA68" s="3276"/>
      <c r="AB68" s="3274">
        <f t="shared" si="100"/>
        <v>0</v>
      </c>
      <c r="AC68" s="3274">
        <f t="shared" si="100"/>
        <v>0</v>
      </c>
      <c r="AD68" s="2028">
        <f t="shared" si="101"/>
        <v>0</v>
      </c>
      <c r="AE68" s="3284">
        <f t="shared" si="85"/>
        <v>0</v>
      </c>
      <c r="AF68" s="3276"/>
      <c r="AG68" s="3274"/>
      <c r="AH68" s="3274"/>
      <c r="AI68" s="2028">
        <f t="shared" si="102"/>
        <v>0</v>
      </c>
      <c r="AJ68" s="3284">
        <f t="shared" si="7"/>
        <v>0</v>
      </c>
      <c r="AK68" s="3274"/>
      <c r="AL68" s="3274"/>
      <c r="AM68" s="3274"/>
      <c r="AN68" s="2028">
        <f t="shared" si="103"/>
        <v>0</v>
      </c>
      <c r="AO68" s="3284">
        <f t="shared" si="8"/>
        <v>0</v>
      </c>
      <c r="AP68" s="3274"/>
      <c r="AQ68" s="3274"/>
      <c r="AR68" s="3274"/>
      <c r="AS68" s="2028">
        <f t="shared" si="104"/>
        <v>0</v>
      </c>
      <c r="AT68" s="3284">
        <f t="shared" si="86"/>
        <v>0</v>
      </c>
      <c r="AU68" s="3274"/>
      <c r="AV68" s="3274"/>
      <c r="AW68" s="3274"/>
      <c r="AX68" s="2028">
        <f t="shared" si="105"/>
        <v>0</v>
      </c>
      <c r="AY68" s="3284">
        <f t="shared" si="87"/>
        <v>0</v>
      </c>
      <c r="AZ68" s="3274"/>
      <c r="BA68" s="3274"/>
      <c r="BB68" s="3274"/>
      <c r="BC68" s="2028">
        <f t="shared" si="106"/>
        <v>0</v>
      </c>
      <c r="BD68" s="3284">
        <f t="shared" si="88"/>
        <v>0</v>
      </c>
      <c r="BE68" s="3274"/>
      <c r="BF68" s="3274"/>
      <c r="BG68" s="3274"/>
      <c r="BH68" s="2028">
        <f t="shared" si="107"/>
        <v>0</v>
      </c>
      <c r="BI68" s="3284">
        <f t="shared" si="89"/>
        <v>0</v>
      </c>
      <c r="BJ68" s="3274"/>
      <c r="BK68" s="3274"/>
      <c r="BL68" s="3274"/>
      <c r="BM68" s="2028">
        <f t="shared" si="108"/>
        <v>0</v>
      </c>
      <c r="BN68" s="3284">
        <f t="shared" si="90"/>
        <v>0</v>
      </c>
      <c r="BO68" s="3274"/>
      <c r="BP68" s="3274"/>
      <c r="BQ68" s="3274"/>
      <c r="BR68" s="2028">
        <f t="shared" si="109"/>
        <v>0</v>
      </c>
      <c r="BS68" s="3284">
        <f t="shared" si="91"/>
        <v>0</v>
      </c>
      <c r="BT68" s="3274"/>
      <c r="BU68" s="3274"/>
      <c r="BV68" s="3274"/>
      <c r="BW68" s="2028">
        <f t="shared" si="110"/>
        <v>0</v>
      </c>
      <c r="BX68" s="3284">
        <f t="shared" si="92"/>
        <v>0</v>
      </c>
      <c r="BY68" s="3274"/>
      <c r="BZ68" s="3274"/>
      <c r="CA68" s="3274"/>
      <c r="CB68" s="2028">
        <f t="shared" si="111"/>
        <v>0</v>
      </c>
      <c r="CC68" s="3284">
        <f t="shared" si="93"/>
        <v>0</v>
      </c>
      <c r="CD68" s="3274"/>
      <c r="CE68" s="3274"/>
      <c r="CF68" s="3274"/>
      <c r="CG68" s="2028">
        <f t="shared" si="112"/>
        <v>0</v>
      </c>
      <c r="CH68" s="3284">
        <f t="shared" si="94"/>
        <v>0</v>
      </c>
      <c r="CI68" s="3274"/>
      <c r="CJ68" s="3274"/>
      <c r="CK68" s="3274"/>
      <c r="CL68" s="2028">
        <f t="shared" si="113"/>
        <v>0</v>
      </c>
      <c r="CM68" s="3284">
        <f t="shared" si="95"/>
        <v>0</v>
      </c>
      <c r="CN68" s="3274"/>
      <c r="CO68" s="3274">
        <f t="shared" si="114"/>
        <v>105</v>
      </c>
      <c r="CP68" s="3274">
        <f t="shared" si="114"/>
        <v>5</v>
      </c>
      <c r="CQ68" s="2028">
        <f t="shared" si="115"/>
        <v>110</v>
      </c>
      <c r="CR68" s="3284">
        <f t="shared" si="59"/>
        <v>4.8358526052972796E-5</v>
      </c>
      <c r="CS68" s="3295"/>
    </row>
    <row r="69" spans="1:97" s="1411" customFormat="1" ht="13.8" x14ac:dyDescent="0.25">
      <c r="A69" s="1586"/>
      <c r="B69" s="3310" t="s">
        <v>42</v>
      </c>
      <c r="C69" s="3274"/>
      <c r="D69" s="3274"/>
      <c r="E69" s="2028">
        <f t="shared" si="96"/>
        <v>0</v>
      </c>
      <c r="F69" s="3284">
        <f t="shared" si="83"/>
        <v>0</v>
      </c>
      <c r="G69" s="3274"/>
      <c r="H69" s="3274"/>
      <c r="I69" s="3274"/>
      <c r="J69" s="2028">
        <f t="shared" si="97"/>
        <v>0</v>
      </c>
      <c r="K69" s="3284">
        <f t="shared" si="84"/>
        <v>0</v>
      </c>
      <c r="L69" s="3274"/>
      <c r="M69" s="3274"/>
      <c r="N69" s="3274"/>
      <c r="O69" s="2028">
        <f t="shared" si="98"/>
        <v>0</v>
      </c>
      <c r="P69" s="3284">
        <f t="shared" si="3"/>
        <v>0</v>
      </c>
      <c r="Q69" s="3274"/>
      <c r="R69" s="3274"/>
      <c r="S69" s="3274"/>
      <c r="T69" s="2028">
        <f t="shared" si="99"/>
        <v>0</v>
      </c>
      <c r="U69" s="3284">
        <f t="shared" si="4"/>
        <v>0</v>
      </c>
      <c r="V69" s="3274"/>
      <c r="W69" s="3274">
        <v>0</v>
      </c>
      <c r="X69" s="3274">
        <v>0</v>
      </c>
      <c r="Y69" s="2028">
        <v>0</v>
      </c>
      <c r="Z69" s="3284">
        <v>0</v>
      </c>
      <c r="AA69" s="3276"/>
      <c r="AB69" s="3274">
        <f t="shared" si="100"/>
        <v>0</v>
      </c>
      <c r="AC69" s="3274">
        <f t="shared" si="100"/>
        <v>0</v>
      </c>
      <c r="AD69" s="2028">
        <f t="shared" si="101"/>
        <v>0</v>
      </c>
      <c r="AE69" s="3284">
        <f t="shared" si="85"/>
        <v>0</v>
      </c>
      <c r="AF69" s="3276"/>
      <c r="AG69" s="3274"/>
      <c r="AH69" s="3274"/>
      <c r="AI69" s="2028">
        <f t="shared" si="102"/>
        <v>0</v>
      </c>
      <c r="AJ69" s="3284">
        <f t="shared" si="7"/>
        <v>0</v>
      </c>
      <c r="AK69" s="3274"/>
      <c r="AL69" s="3274"/>
      <c r="AM69" s="3274"/>
      <c r="AN69" s="2028">
        <f t="shared" si="103"/>
        <v>0</v>
      </c>
      <c r="AO69" s="3284">
        <f t="shared" si="8"/>
        <v>0</v>
      </c>
      <c r="AP69" s="3274"/>
      <c r="AQ69" s="3274"/>
      <c r="AR69" s="3274"/>
      <c r="AS69" s="2028">
        <f t="shared" si="104"/>
        <v>0</v>
      </c>
      <c r="AT69" s="3284">
        <f t="shared" si="86"/>
        <v>0</v>
      </c>
      <c r="AU69" s="3274"/>
      <c r="AV69" s="3274"/>
      <c r="AW69" s="3274"/>
      <c r="AX69" s="2028">
        <f t="shared" si="105"/>
        <v>0</v>
      </c>
      <c r="AY69" s="3284">
        <f t="shared" si="87"/>
        <v>0</v>
      </c>
      <c r="AZ69" s="3274"/>
      <c r="BA69" s="3274"/>
      <c r="BB69" s="3274"/>
      <c r="BC69" s="2028">
        <f t="shared" si="106"/>
        <v>0</v>
      </c>
      <c r="BD69" s="3284">
        <f t="shared" si="88"/>
        <v>0</v>
      </c>
      <c r="BE69" s="3274"/>
      <c r="BF69" s="3274"/>
      <c r="BG69" s="3274"/>
      <c r="BH69" s="2028">
        <f t="shared" si="107"/>
        <v>0</v>
      </c>
      <c r="BI69" s="3284">
        <f t="shared" si="89"/>
        <v>0</v>
      </c>
      <c r="BJ69" s="3274"/>
      <c r="BK69" s="3274"/>
      <c r="BL69" s="3274"/>
      <c r="BM69" s="2028">
        <f t="shared" si="108"/>
        <v>0</v>
      </c>
      <c r="BN69" s="3284">
        <f t="shared" si="90"/>
        <v>0</v>
      </c>
      <c r="BO69" s="3274"/>
      <c r="BP69" s="3274"/>
      <c r="BQ69" s="3274"/>
      <c r="BR69" s="2028">
        <f t="shared" si="109"/>
        <v>0</v>
      </c>
      <c r="BS69" s="3284">
        <f t="shared" si="91"/>
        <v>0</v>
      </c>
      <c r="BT69" s="3274"/>
      <c r="BU69" s="3274"/>
      <c r="BV69" s="3274"/>
      <c r="BW69" s="2028">
        <f t="shared" si="110"/>
        <v>0</v>
      </c>
      <c r="BX69" s="3284">
        <f t="shared" si="92"/>
        <v>0</v>
      </c>
      <c r="BY69" s="3274"/>
      <c r="BZ69" s="3274"/>
      <c r="CA69" s="3274"/>
      <c r="CB69" s="2028">
        <f t="shared" si="111"/>
        <v>0</v>
      </c>
      <c r="CC69" s="3284">
        <f t="shared" si="93"/>
        <v>0</v>
      </c>
      <c r="CD69" s="3274"/>
      <c r="CE69" s="3274"/>
      <c r="CF69" s="3274"/>
      <c r="CG69" s="2028">
        <f t="shared" si="112"/>
        <v>0</v>
      </c>
      <c r="CH69" s="3284">
        <f t="shared" si="94"/>
        <v>0</v>
      </c>
      <c r="CI69" s="3274"/>
      <c r="CJ69" s="3274"/>
      <c r="CK69" s="3274"/>
      <c r="CL69" s="2028">
        <f t="shared" si="113"/>
        <v>0</v>
      </c>
      <c r="CM69" s="3284">
        <f t="shared" si="95"/>
        <v>0</v>
      </c>
      <c r="CN69" s="3274"/>
      <c r="CO69" s="3274">
        <f t="shared" si="114"/>
        <v>0</v>
      </c>
      <c r="CP69" s="3274">
        <f t="shared" si="114"/>
        <v>0</v>
      </c>
      <c r="CQ69" s="2028">
        <f t="shared" si="115"/>
        <v>0</v>
      </c>
      <c r="CR69" s="3284">
        <f t="shared" si="59"/>
        <v>0</v>
      </c>
      <c r="CS69" s="3295"/>
    </row>
    <row r="70" spans="1:97" s="1411" customFormat="1" ht="13.8" x14ac:dyDescent="0.25">
      <c r="A70" s="1586"/>
      <c r="B70" s="3310" t="s">
        <v>6</v>
      </c>
      <c r="C70" s="3274"/>
      <c r="D70" s="3274"/>
      <c r="E70" s="2028">
        <f t="shared" si="96"/>
        <v>0</v>
      </c>
      <c r="F70" s="3284">
        <f t="shared" si="83"/>
        <v>0</v>
      </c>
      <c r="G70" s="3295"/>
      <c r="H70" s="3274"/>
      <c r="I70" s="3274"/>
      <c r="J70" s="2028">
        <f t="shared" si="97"/>
        <v>0</v>
      </c>
      <c r="K70" s="3284">
        <f t="shared" si="84"/>
        <v>0</v>
      </c>
      <c r="L70" s="3295"/>
      <c r="M70" s="3274"/>
      <c r="N70" s="3274"/>
      <c r="O70" s="2028">
        <f t="shared" si="98"/>
        <v>0</v>
      </c>
      <c r="P70" s="3284">
        <f t="shared" si="3"/>
        <v>0</v>
      </c>
      <c r="Q70" s="3295"/>
      <c r="R70" s="3274"/>
      <c r="S70" s="3274"/>
      <c r="T70" s="2028">
        <f t="shared" si="99"/>
        <v>0</v>
      </c>
      <c r="U70" s="3284">
        <f t="shared" si="4"/>
        <v>0</v>
      </c>
      <c r="V70" s="3295"/>
      <c r="W70" s="3274">
        <v>0</v>
      </c>
      <c r="X70" s="3274">
        <v>0</v>
      </c>
      <c r="Y70" s="2028">
        <v>0</v>
      </c>
      <c r="Z70" s="3284">
        <v>0</v>
      </c>
      <c r="AA70" s="3276"/>
      <c r="AB70" s="3274">
        <f t="shared" si="100"/>
        <v>0</v>
      </c>
      <c r="AC70" s="3274">
        <f t="shared" si="100"/>
        <v>0</v>
      </c>
      <c r="AD70" s="2028">
        <f t="shared" si="101"/>
        <v>0</v>
      </c>
      <c r="AE70" s="3284">
        <f t="shared" si="85"/>
        <v>0</v>
      </c>
      <c r="AF70" s="3276"/>
      <c r="AG70" s="3274"/>
      <c r="AH70" s="3274"/>
      <c r="AI70" s="2028">
        <f t="shared" si="102"/>
        <v>0</v>
      </c>
      <c r="AJ70" s="3284">
        <f t="shared" si="7"/>
        <v>0</v>
      </c>
      <c r="AK70" s="3295"/>
      <c r="AL70" s="3274"/>
      <c r="AM70" s="3274"/>
      <c r="AN70" s="2028">
        <f t="shared" si="103"/>
        <v>0</v>
      </c>
      <c r="AO70" s="3284">
        <f t="shared" si="8"/>
        <v>0</v>
      </c>
      <c r="AP70" s="3295"/>
      <c r="AQ70" s="3274"/>
      <c r="AR70" s="3274"/>
      <c r="AS70" s="2028">
        <f t="shared" si="104"/>
        <v>0</v>
      </c>
      <c r="AT70" s="3284">
        <f t="shared" si="86"/>
        <v>0</v>
      </c>
      <c r="AU70" s="3295"/>
      <c r="AV70" s="3274"/>
      <c r="AW70" s="3274"/>
      <c r="AX70" s="2028">
        <f t="shared" si="105"/>
        <v>0</v>
      </c>
      <c r="AY70" s="3284">
        <f t="shared" si="87"/>
        <v>0</v>
      </c>
      <c r="AZ70" s="3295"/>
      <c r="BA70" s="3274"/>
      <c r="BB70" s="3274"/>
      <c r="BC70" s="2028">
        <f t="shared" si="106"/>
        <v>0</v>
      </c>
      <c r="BD70" s="3284">
        <f t="shared" si="88"/>
        <v>0</v>
      </c>
      <c r="BE70" s="3295"/>
      <c r="BF70" s="3274"/>
      <c r="BG70" s="3274"/>
      <c r="BH70" s="2028">
        <f t="shared" si="107"/>
        <v>0</v>
      </c>
      <c r="BI70" s="3284">
        <f t="shared" si="89"/>
        <v>0</v>
      </c>
      <c r="BJ70" s="3295"/>
      <c r="BK70" s="3274"/>
      <c r="BL70" s="3274"/>
      <c r="BM70" s="2028">
        <f t="shared" si="108"/>
        <v>0</v>
      </c>
      <c r="BN70" s="3284">
        <f t="shared" si="90"/>
        <v>0</v>
      </c>
      <c r="BO70" s="3295"/>
      <c r="BP70" s="3274"/>
      <c r="BQ70" s="3274"/>
      <c r="BR70" s="2028">
        <f t="shared" si="109"/>
        <v>0</v>
      </c>
      <c r="BS70" s="3284">
        <f t="shared" si="91"/>
        <v>0</v>
      </c>
      <c r="BT70" s="1449"/>
      <c r="BU70" s="3274"/>
      <c r="BV70" s="3274"/>
      <c r="BW70" s="2028">
        <f t="shared" si="110"/>
        <v>0</v>
      </c>
      <c r="BX70" s="3284">
        <f t="shared" si="92"/>
        <v>0</v>
      </c>
      <c r="BY70" s="1449"/>
      <c r="BZ70" s="3274"/>
      <c r="CA70" s="3274"/>
      <c r="CB70" s="2028">
        <f t="shared" si="111"/>
        <v>0</v>
      </c>
      <c r="CC70" s="3284">
        <f t="shared" si="93"/>
        <v>0</v>
      </c>
      <c r="CD70" s="1449"/>
      <c r="CE70" s="3274"/>
      <c r="CF70" s="3274"/>
      <c r="CG70" s="2028">
        <f t="shared" si="112"/>
        <v>0</v>
      </c>
      <c r="CH70" s="3284">
        <f t="shared" si="94"/>
        <v>0</v>
      </c>
      <c r="CI70" s="1449"/>
      <c r="CJ70" s="3274"/>
      <c r="CK70" s="3274"/>
      <c r="CL70" s="2028">
        <f t="shared" si="113"/>
        <v>0</v>
      </c>
      <c r="CM70" s="3284">
        <f t="shared" si="95"/>
        <v>0</v>
      </c>
      <c r="CN70" s="1449"/>
      <c r="CO70" s="3274">
        <f t="shared" si="114"/>
        <v>0</v>
      </c>
      <c r="CP70" s="3274">
        <f t="shared" si="114"/>
        <v>0</v>
      </c>
      <c r="CQ70" s="2028">
        <f t="shared" si="115"/>
        <v>0</v>
      </c>
      <c r="CR70" s="3284">
        <f t="shared" si="59"/>
        <v>0</v>
      </c>
      <c r="CS70" s="3295"/>
    </row>
    <row r="71" spans="1:97" s="1411" customFormat="1" ht="13.8" x14ac:dyDescent="0.25">
      <c r="A71" s="1586"/>
      <c r="B71" s="3310" t="s">
        <v>78</v>
      </c>
      <c r="C71" s="3274"/>
      <c r="D71" s="3274"/>
      <c r="E71" s="2028">
        <f t="shared" si="96"/>
        <v>0</v>
      </c>
      <c r="F71" s="3284">
        <f t="shared" si="83"/>
        <v>0</v>
      </c>
      <c r="G71" s="3274"/>
      <c r="H71" s="3274"/>
      <c r="I71" s="3274"/>
      <c r="J71" s="2028">
        <f t="shared" si="97"/>
        <v>0</v>
      </c>
      <c r="K71" s="3284">
        <f t="shared" si="84"/>
        <v>0</v>
      </c>
      <c r="L71" s="3274"/>
      <c r="M71" s="3274"/>
      <c r="N71" s="3274"/>
      <c r="O71" s="2028">
        <f t="shared" si="98"/>
        <v>0</v>
      </c>
      <c r="P71" s="3284">
        <f t="shared" si="3"/>
        <v>0</v>
      </c>
      <c r="Q71" s="3274"/>
      <c r="R71" s="3274"/>
      <c r="S71" s="3274"/>
      <c r="T71" s="2028">
        <f t="shared" si="99"/>
        <v>0</v>
      </c>
      <c r="U71" s="3284">
        <f t="shared" si="4"/>
        <v>0</v>
      </c>
      <c r="V71" s="3274"/>
      <c r="W71" s="3274">
        <v>0</v>
      </c>
      <c r="X71" s="3274">
        <v>0</v>
      </c>
      <c r="Y71" s="2028">
        <v>0</v>
      </c>
      <c r="Z71" s="3284">
        <v>0</v>
      </c>
      <c r="AA71" s="3276"/>
      <c r="AB71" s="3274">
        <f t="shared" si="100"/>
        <v>0</v>
      </c>
      <c r="AC71" s="3274">
        <f t="shared" si="100"/>
        <v>0</v>
      </c>
      <c r="AD71" s="2028">
        <f t="shared" si="101"/>
        <v>0</v>
      </c>
      <c r="AE71" s="3284">
        <f t="shared" si="85"/>
        <v>0</v>
      </c>
      <c r="AF71" s="3276"/>
      <c r="AG71" s="3274"/>
      <c r="AH71" s="3274"/>
      <c r="AI71" s="2028">
        <f t="shared" si="102"/>
        <v>0</v>
      </c>
      <c r="AJ71" s="3284">
        <f t="shared" si="7"/>
        <v>0</v>
      </c>
      <c r="AK71" s="3274"/>
      <c r="AL71" s="3274"/>
      <c r="AM71" s="3274"/>
      <c r="AN71" s="2028">
        <f t="shared" si="103"/>
        <v>0</v>
      </c>
      <c r="AO71" s="3284">
        <f t="shared" si="8"/>
        <v>0</v>
      </c>
      <c r="AP71" s="3274"/>
      <c r="AQ71" s="3274"/>
      <c r="AR71" s="3274"/>
      <c r="AS71" s="2028">
        <f t="shared" si="104"/>
        <v>0</v>
      </c>
      <c r="AT71" s="3284">
        <f t="shared" si="86"/>
        <v>0</v>
      </c>
      <c r="AU71" s="3274"/>
      <c r="AV71" s="3274"/>
      <c r="AW71" s="3274"/>
      <c r="AX71" s="2028">
        <f t="shared" si="105"/>
        <v>0</v>
      </c>
      <c r="AY71" s="3284">
        <f t="shared" si="87"/>
        <v>0</v>
      </c>
      <c r="AZ71" s="3274"/>
      <c r="BA71" s="3274"/>
      <c r="BB71" s="3274"/>
      <c r="BC71" s="2028">
        <f t="shared" si="106"/>
        <v>0</v>
      </c>
      <c r="BD71" s="3284">
        <f t="shared" si="88"/>
        <v>0</v>
      </c>
      <c r="BE71" s="3274"/>
      <c r="BF71" s="3274"/>
      <c r="BG71" s="3274"/>
      <c r="BH71" s="2028">
        <f t="shared" si="107"/>
        <v>0</v>
      </c>
      <c r="BI71" s="3284">
        <f t="shared" si="89"/>
        <v>0</v>
      </c>
      <c r="BJ71" s="3274"/>
      <c r="BK71" s="3274"/>
      <c r="BL71" s="3274"/>
      <c r="BM71" s="2028">
        <f t="shared" si="108"/>
        <v>0</v>
      </c>
      <c r="BN71" s="3284">
        <f t="shared" si="90"/>
        <v>0</v>
      </c>
      <c r="BO71" s="3274"/>
      <c r="BP71" s="3274"/>
      <c r="BQ71" s="3274"/>
      <c r="BR71" s="2028">
        <f t="shared" si="109"/>
        <v>0</v>
      </c>
      <c r="BS71" s="3284">
        <f t="shared" si="91"/>
        <v>0</v>
      </c>
      <c r="BT71" s="3274"/>
      <c r="BU71" s="3274"/>
      <c r="BV71" s="3274"/>
      <c r="BW71" s="2028">
        <f t="shared" si="110"/>
        <v>0</v>
      </c>
      <c r="BX71" s="3284">
        <f t="shared" si="92"/>
        <v>0</v>
      </c>
      <c r="BY71" s="3274"/>
      <c r="BZ71" s="3274"/>
      <c r="CA71" s="3274"/>
      <c r="CB71" s="2028">
        <f t="shared" si="111"/>
        <v>0</v>
      </c>
      <c r="CC71" s="3284">
        <f t="shared" si="93"/>
        <v>0</v>
      </c>
      <c r="CD71" s="3274"/>
      <c r="CE71" s="3274"/>
      <c r="CF71" s="3274"/>
      <c r="CG71" s="2028">
        <f t="shared" si="112"/>
        <v>0</v>
      </c>
      <c r="CH71" s="3284">
        <f t="shared" si="94"/>
        <v>0</v>
      </c>
      <c r="CI71" s="3274"/>
      <c r="CJ71" s="3274"/>
      <c r="CK71" s="3274"/>
      <c r="CL71" s="2028">
        <f t="shared" si="113"/>
        <v>0</v>
      </c>
      <c r="CM71" s="3284">
        <f t="shared" si="95"/>
        <v>0</v>
      </c>
      <c r="CN71" s="3274"/>
      <c r="CO71" s="3274">
        <f t="shared" si="114"/>
        <v>0</v>
      </c>
      <c r="CP71" s="3274">
        <f t="shared" si="114"/>
        <v>0</v>
      </c>
      <c r="CQ71" s="2028">
        <f t="shared" si="115"/>
        <v>0</v>
      </c>
      <c r="CR71" s="3284">
        <f t="shared" si="59"/>
        <v>0</v>
      </c>
      <c r="CS71" s="3295"/>
    </row>
    <row r="72" spans="1:97" s="1411" customFormat="1" ht="14.4" thickBot="1" x14ac:dyDescent="0.3">
      <c r="A72" s="1586"/>
      <c r="B72" s="3310"/>
      <c r="C72" s="3274"/>
      <c r="D72" s="3274"/>
      <c r="E72" s="2028"/>
      <c r="F72" s="3284"/>
      <c r="G72" s="3295"/>
      <c r="H72" s="3274"/>
      <c r="I72" s="3274"/>
      <c r="J72" s="2028"/>
      <c r="K72" s="3284"/>
      <c r="L72" s="3295"/>
      <c r="M72" s="3278"/>
      <c r="N72" s="3278"/>
      <c r="O72" s="2046"/>
      <c r="P72" s="3228"/>
      <c r="Q72" s="3229"/>
      <c r="R72" s="3278"/>
      <c r="S72" s="3278"/>
      <c r="T72" s="2046"/>
      <c r="U72" s="3228"/>
      <c r="V72" s="3229"/>
      <c r="W72" s="3278"/>
      <c r="X72" s="3278"/>
      <c r="Y72" s="2046"/>
      <c r="Z72" s="3228"/>
      <c r="AA72" s="3229"/>
      <c r="AB72" s="3278"/>
      <c r="AC72" s="3278"/>
      <c r="AD72" s="2046"/>
      <c r="AE72" s="3228"/>
      <c r="AF72" s="3229"/>
      <c r="AG72" s="3278"/>
      <c r="AH72" s="3278"/>
      <c r="AI72" s="2046"/>
      <c r="AJ72" s="3228"/>
      <c r="AK72" s="3229"/>
      <c r="AL72" s="3278"/>
      <c r="AM72" s="3278"/>
      <c r="AN72" s="2046"/>
      <c r="AO72" s="3228"/>
      <c r="AP72" s="3229"/>
      <c r="AQ72" s="3278"/>
      <c r="AR72" s="3278"/>
      <c r="AS72" s="2046"/>
      <c r="AT72" s="3228"/>
      <c r="AU72" s="3229"/>
      <c r="AV72" s="3278"/>
      <c r="AW72" s="3278"/>
      <c r="AX72" s="2046"/>
      <c r="AY72" s="3228"/>
      <c r="AZ72" s="3229"/>
      <c r="BA72" s="3278"/>
      <c r="BB72" s="3278"/>
      <c r="BC72" s="2046"/>
      <c r="BD72" s="3228"/>
      <c r="BE72" s="3229"/>
      <c r="BF72" s="3278"/>
      <c r="BG72" s="3278"/>
      <c r="BH72" s="2046"/>
      <c r="BI72" s="3228"/>
      <c r="BJ72" s="3229"/>
      <c r="BK72" s="3278"/>
      <c r="BL72" s="3278"/>
      <c r="BM72" s="2046"/>
      <c r="BN72" s="3228"/>
      <c r="BO72" s="3229"/>
      <c r="BP72" s="3278"/>
      <c r="BQ72" s="3278"/>
      <c r="BR72" s="2046"/>
      <c r="BS72" s="3228"/>
      <c r="BT72" s="1325"/>
      <c r="BU72" s="3278"/>
      <c r="BV72" s="3278"/>
      <c r="BW72" s="2046"/>
      <c r="BX72" s="3228"/>
      <c r="BY72" s="1325"/>
      <c r="BZ72" s="3278"/>
      <c r="CA72" s="3278"/>
      <c r="CB72" s="2046"/>
      <c r="CC72" s="3228"/>
      <c r="CD72" s="1325"/>
      <c r="CE72" s="3278"/>
      <c r="CF72" s="3278"/>
      <c r="CG72" s="2046"/>
      <c r="CH72" s="3228"/>
      <c r="CI72" s="1325"/>
      <c r="CJ72" s="3278"/>
      <c r="CK72" s="3278"/>
      <c r="CL72" s="2046"/>
      <c r="CM72" s="3228"/>
      <c r="CN72" s="1325"/>
      <c r="CO72" s="3323"/>
      <c r="CP72" s="3314"/>
      <c r="CQ72" s="1643"/>
      <c r="CR72" s="2883"/>
      <c r="CS72" s="2885"/>
    </row>
    <row r="73" spans="1:97" s="1411" customFormat="1" ht="14.4" thickBot="1" x14ac:dyDescent="0.3">
      <c r="A73" s="1586"/>
      <c r="B73" s="3324" t="s">
        <v>4</v>
      </c>
      <c r="C73" s="2865">
        <f>C74</f>
        <v>0</v>
      </c>
      <c r="D73" s="3325">
        <f>D74</f>
        <v>0</v>
      </c>
      <c r="E73" s="2022">
        <f>E74</f>
        <v>0</v>
      </c>
      <c r="F73" s="1704"/>
      <c r="G73" s="3325"/>
      <c r="H73" s="2865">
        <f>H74</f>
        <v>0</v>
      </c>
      <c r="I73" s="3325">
        <f>I74</f>
        <v>0</v>
      </c>
      <c r="J73" s="2022">
        <f>J74</f>
        <v>0</v>
      </c>
      <c r="K73" s="1704"/>
      <c r="L73" s="3325"/>
      <c r="M73" s="1599">
        <f>M74</f>
        <v>0</v>
      </c>
      <c r="N73" s="1704">
        <f>N74</f>
        <v>0</v>
      </c>
      <c r="O73" s="1703">
        <f>O74</f>
        <v>0</v>
      </c>
      <c r="P73" s="1704"/>
      <c r="Q73" s="1704"/>
      <c r="R73" s="1599">
        <f>R74</f>
        <v>0</v>
      </c>
      <c r="S73" s="1704">
        <f>S74</f>
        <v>0</v>
      </c>
      <c r="T73" s="1703">
        <f>T74</f>
        <v>0</v>
      </c>
      <c r="U73" s="1704"/>
      <c r="V73" s="1704"/>
      <c r="W73" s="1599">
        <v>0</v>
      </c>
      <c r="X73" s="1704">
        <v>0</v>
      </c>
      <c r="Y73" s="1703">
        <v>0</v>
      </c>
      <c r="Z73" s="1704"/>
      <c r="AA73" s="1704"/>
      <c r="AB73" s="1599">
        <f>AB74</f>
        <v>0</v>
      </c>
      <c r="AC73" s="1704">
        <f>AC74</f>
        <v>0</v>
      </c>
      <c r="AD73" s="1703">
        <f>AD74</f>
        <v>0</v>
      </c>
      <c r="AE73" s="1704"/>
      <c r="AF73" s="1704"/>
      <c r="AG73" s="1599">
        <f>AG74</f>
        <v>0</v>
      </c>
      <c r="AH73" s="1704">
        <f>AH74</f>
        <v>0</v>
      </c>
      <c r="AI73" s="1703">
        <f>AI74</f>
        <v>0</v>
      </c>
      <c r="AJ73" s="1704"/>
      <c r="AK73" s="1704"/>
      <c r="AL73" s="1599">
        <f>AL74</f>
        <v>0</v>
      </c>
      <c r="AM73" s="1704">
        <f>AM74</f>
        <v>0</v>
      </c>
      <c r="AN73" s="1703">
        <f>AN74</f>
        <v>0</v>
      </c>
      <c r="AO73" s="1704"/>
      <c r="AP73" s="1704"/>
      <c r="AQ73" s="1599">
        <f>AQ74</f>
        <v>0</v>
      </c>
      <c r="AR73" s="1704">
        <f>AR74</f>
        <v>0</v>
      </c>
      <c r="AS73" s="1703">
        <f>AS74</f>
        <v>0</v>
      </c>
      <c r="AT73" s="1704"/>
      <c r="AU73" s="1704"/>
      <c r="AV73" s="1599">
        <f>AV74</f>
        <v>0</v>
      </c>
      <c r="AW73" s="1704">
        <f>AW74</f>
        <v>0</v>
      </c>
      <c r="AX73" s="1703">
        <f>AX74</f>
        <v>0</v>
      </c>
      <c r="AY73" s="1704"/>
      <c r="AZ73" s="1704"/>
      <c r="BA73" s="1599">
        <f>BA74</f>
        <v>0</v>
      </c>
      <c r="BB73" s="1704">
        <f>BB74</f>
        <v>0</v>
      </c>
      <c r="BC73" s="1703">
        <f>BC74</f>
        <v>0</v>
      </c>
      <c r="BD73" s="1704"/>
      <c r="BE73" s="1704"/>
      <c r="BF73" s="1599">
        <f>BF74</f>
        <v>0</v>
      </c>
      <c r="BG73" s="1704">
        <f>BG74</f>
        <v>0</v>
      </c>
      <c r="BH73" s="1703">
        <f>BH74</f>
        <v>0</v>
      </c>
      <c r="BI73" s="1704"/>
      <c r="BJ73" s="1704"/>
      <c r="BK73" s="1599">
        <f>BK74</f>
        <v>0</v>
      </c>
      <c r="BL73" s="1704">
        <f>BL74</f>
        <v>0</v>
      </c>
      <c r="BM73" s="1703">
        <f>BM74</f>
        <v>0</v>
      </c>
      <c r="BN73" s="1704"/>
      <c r="BO73" s="1704"/>
      <c r="BP73" s="1599">
        <f>BP74</f>
        <v>0</v>
      </c>
      <c r="BQ73" s="1704">
        <f>BQ74</f>
        <v>0</v>
      </c>
      <c r="BR73" s="1703">
        <f>BR74</f>
        <v>0</v>
      </c>
      <c r="BS73" s="1704"/>
      <c r="BT73" s="1719"/>
      <c r="BU73" s="1599">
        <f>BU74</f>
        <v>0</v>
      </c>
      <c r="BV73" s="1704">
        <f>BV74</f>
        <v>0</v>
      </c>
      <c r="BW73" s="1703">
        <f>BW74</f>
        <v>0</v>
      </c>
      <c r="BX73" s="1704"/>
      <c r="BY73" s="1719"/>
      <c r="BZ73" s="1599">
        <f>BZ74</f>
        <v>0</v>
      </c>
      <c r="CA73" s="1704">
        <f>CA74</f>
        <v>0</v>
      </c>
      <c r="CB73" s="1703">
        <f>CB74</f>
        <v>0</v>
      </c>
      <c r="CC73" s="1704"/>
      <c r="CD73" s="1719"/>
      <c r="CE73" s="1599">
        <f>CE74</f>
        <v>0</v>
      </c>
      <c r="CF73" s="1704">
        <f>CF74</f>
        <v>0</v>
      </c>
      <c r="CG73" s="1703">
        <f>CG74</f>
        <v>0</v>
      </c>
      <c r="CH73" s="1704"/>
      <c r="CI73" s="1719"/>
      <c r="CJ73" s="1599">
        <f>CJ74</f>
        <v>0</v>
      </c>
      <c r="CK73" s="1704">
        <f>CK74</f>
        <v>0</v>
      </c>
      <c r="CL73" s="1703">
        <f>CL74</f>
        <v>0</v>
      </c>
      <c r="CM73" s="1704"/>
      <c r="CN73" s="1719"/>
      <c r="CO73" s="1599">
        <f>CO74</f>
        <v>0</v>
      </c>
      <c r="CP73" s="1704">
        <f>CP74</f>
        <v>0</v>
      </c>
      <c r="CQ73" s="1703">
        <f>CQ74</f>
        <v>0</v>
      </c>
      <c r="CR73" s="1704"/>
      <c r="CS73" s="1704"/>
    </row>
    <row r="74" spans="1:97" s="1411" customFormat="1" ht="14.4" thickBot="1" x14ac:dyDescent="0.3">
      <c r="A74" s="1428"/>
      <c r="B74" s="3289" t="s">
        <v>64</v>
      </c>
      <c r="C74" s="3274"/>
      <c r="D74" s="3274"/>
      <c r="E74" s="3326">
        <f>C74+D74*1</f>
        <v>0</v>
      </c>
      <c r="F74" s="3327"/>
      <c r="G74" s="3328"/>
      <c r="H74" s="3274"/>
      <c r="I74" s="3274"/>
      <c r="J74" s="3326">
        <f>H74+I74*1</f>
        <v>0</v>
      </c>
      <c r="K74" s="3327"/>
      <c r="L74" s="3328"/>
      <c r="M74" s="3274"/>
      <c r="N74" s="3274"/>
      <c r="O74" s="3329">
        <f>M74+N74*1</f>
        <v>0</v>
      </c>
      <c r="P74" s="3327"/>
      <c r="Q74" s="3327"/>
      <c r="R74" s="3274"/>
      <c r="S74" s="3274"/>
      <c r="T74" s="3329">
        <f>R74+S74*1</f>
        <v>0</v>
      </c>
      <c r="U74" s="3327"/>
      <c r="V74" s="3327"/>
      <c r="W74" s="3274">
        <v>0</v>
      </c>
      <c r="X74" s="3274">
        <v>0</v>
      </c>
      <c r="Y74" s="2028">
        <v>0</v>
      </c>
      <c r="Z74" s="3327"/>
      <c r="AA74" s="3276"/>
      <c r="AB74" s="3274">
        <f>AG74+AL74+AQ74+AV74+BA74+BF74+BK74+BP74+BU74+BZ74+CE74+CJ74</f>
        <v>0</v>
      </c>
      <c r="AC74" s="3274">
        <f>AH74+AM74+AR74+AW74+BB74+BG74+BL74+BQ74+BV74+CA74+CF74+CK74</f>
        <v>0</v>
      </c>
      <c r="AD74" s="2028">
        <f>AB74+AC74*1</f>
        <v>0</v>
      </c>
      <c r="AE74" s="3327"/>
      <c r="AF74" s="3276"/>
      <c r="AG74" s="3274"/>
      <c r="AH74" s="3274"/>
      <c r="AI74" s="3329">
        <f>AG74+AH74*1</f>
        <v>0</v>
      </c>
      <c r="AJ74" s="3327"/>
      <c r="AK74" s="3327"/>
      <c r="AL74" s="3274"/>
      <c r="AM74" s="3274"/>
      <c r="AN74" s="3329">
        <f>AL74+AM74*1</f>
        <v>0</v>
      </c>
      <c r="AO74" s="3327"/>
      <c r="AP74" s="3327"/>
      <c r="AQ74" s="3274"/>
      <c r="AR74" s="3274"/>
      <c r="AS74" s="3329">
        <f>AQ74+AR74*1</f>
        <v>0</v>
      </c>
      <c r="AT74" s="3327"/>
      <c r="AU74" s="3327"/>
      <c r="AV74" s="3274"/>
      <c r="AW74" s="3274"/>
      <c r="AX74" s="3329">
        <f>AV74+AW74*1</f>
        <v>0</v>
      </c>
      <c r="AY74" s="3327"/>
      <c r="AZ74" s="3327"/>
      <c r="BA74" s="3274"/>
      <c r="BB74" s="3274"/>
      <c r="BC74" s="3329">
        <f>BA74+BB74*1</f>
        <v>0</v>
      </c>
      <c r="BD74" s="3327"/>
      <c r="BE74" s="3327"/>
      <c r="BF74" s="3274"/>
      <c r="BG74" s="3274"/>
      <c r="BH74" s="3329">
        <f>BF74+BG74*1</f>
        <v>0</v>
      </c>
      <c r="BI74" s="3327"/>
      <c r="BJ74" s="3327"/>
      <c r="BK74" s="3274"/>
      <c r="BL74" s="3274"/>
      <c r="BM74" s="3329">
        <f>BK74+BL74*1</f>
        <v>0</v>
      </c>
      <c r="BN74" s="3327"/>
      <c r="BO74" s="3327"/>
      <c r="BP74" s="3274"/>
      <c r="BQ74" s="3274"/>
      <c r="BR74" s="3329">
        <f>BP74+BQ74*1</f>
        <v>0</v>
      </c>
      <c r="BS74" s="3327"/>
      <c r="BT74" s="3330"/>
      <c r="BU74" s="3274"/>
      <c r="BV74" s="3274"/>
      <c r="BW74" s="3329">
        <f>BU74+BV74*1</f>
        <v>0</v>
      </c>
      <c r="BX74" s="3327"/>
      <c r="BY74" s="3330"/>
      <c r="BZ74" s="3274"/>
      <c r="CA74" s="3274"/>
      <c r="CB74" s="3329">
        <f>BZ74+CA74*1</f>
        <v>0</v>
      </c>
      <c r="CC74" s="3327"/>
      <c r="CD74" s="3330"/>
      <c r="CE74" s="3274"/>
      <c r="CF74" s="3274"/>
      <c r="CG74" s="3329">
        <f>CE74+CF74*1</f>
        <v>0</v>
      </c>
      <c r="CH74" s="3327"/>
      <c r="CI74" s="3330"/>
      <c r="CJ74" s="3274"/>
      <c r="CK74" s="3274"/>
      <c r="CL74" s="3329">
        <f>CJ74+CK74*1</f>
        <v>0</v>
      </c>
      <c r="CM74" s="3327"/>
      <c r="CN74" s="3330"/>
      <c r="CO74" s="3274">
        <f>H74+M74+R74+AG74+AL74+C74+AQ74+AV74+BA74+BF74+BK74+BP74+BU74+BZ74+CE74+CJ74+W74</f>
        <v>0</v>
      </c>
      <c r="CP74" s="3274">
        <f>I74+N74+S74+AH74+AM74+D74+AR74+AW74+BB74+BG74+BL74+BQ74+BV74+CA74+CF74+CK74+X74</f>
        <v>0</v>
      </c>
      <c r="CQ74" s="2028">
        <f>CO74+CP74*1</f>
        <v>0</v>
      </c>
      <c r="CR74" s="3327"/>
      <c r="CS74" s="3327"/>
    </row>
    <row r="75" spans="1:97" s="1411" customFormat="1" ht="14.4" thickBot="1" x14ac:dyDescent="0.3">
      <c r="A75" s="1414"/>
      <c r="B75" s="1431" t="s">
        <v>48</v>
      </c>
      <c r="C75" s="1465">
        <f>C38-C41-C50-C54</f>
        <v>0</v>
      </c>
      <c r="D75" s="1465">
        <f>D38-D41-D50-D54</f>
        <v>0</v>
      </c>
      <c r="E75" s="1523">
        <f>E38-E41-E50-E54</f>
        <v>0</v>
      </c>
      <c r="F75" s="1969"/>
      <c r="G75" s="1969"/>
      <c r="H75" s="1465">
        <f>H38-H41-H50-H54</f>
        <v>-141343.22</v>
      </c>
      <c r="I75" s="1465">
        <f>I38-I41-I50-I54</f>
        <v>-42700</v>
      </c>
      <c r="J75" s="1523">
        <f>J38-J41-J50-J54</f>
        <v>-184043.22</v>
      </c>
      <c r="K75" s="1969"/>
      <c r="L75" s="1969"/>
      <c r="M75" s="1465">
        <f>M38-M41-M50-M54</f>
        <v>-57697.89</v>
      </c>
      <c r="N75" s="1465">
        <f>N38-N41-N50-N54</f>
        <v>150248.5</v>
      </c>
      <c r="O75" s="1523">
        <f>O38-O41-O50-O54</f>
        <v>92550.610000000015</v>
      </c>
      <c r="P75" s="1969"/>
      <c r="Q75" s="1969"/>
      <c r="R75" s="1465">
        <f>R38-R41-R50-R54</f>
        <v>-172889.07279999999</v>
      </c>
      <c r="S75" s="1465">
        <f>S38-S41-S50-S54</f>
        <v>205979.99</v>
      </c>
      <c r="T75" s="1523">
        <f>T38-T41-T50-T54</f>
        <v>33090.917200000025</v>
      </c>
      <c r="U75" s="1969"/>
      <c r="V75" s="1969"/>
      <c r="W75" s="1465">
        <v>293285.83600000013</v>
      </c>
      <c r="X75" s="1465">
        <v>-178877.25</v>
      </c>
      <c r="Y75" s="1523">
        <v>114408.58600000013</v>
      </c>
      <c r="Z75" s="1969"/>
      <c r="AA75" s="1969"/>
      <c r="AB75" s="1465">
        <f>AB38-AB41-AB50-AB54</f>
        <v>118244.94600000003</v>
      </c>
      <c r="AC75" s="1465">
        <f>AC38-AC41-AC50-AC54</f>
        <v>-38733</v>
      </c>
      <c r="AD75" s="1523">
        <f>AD38-AD41-AD50-AD54</f>
        <v>79511.945999999996</v>
      </c>
      <c r="AE75" s="1969"/>
      <c r="AF75" s="1969"/>
      <c r="AG75" s="1465">
        <f>AG38-AG41-AG50-AG54</f>
        <v>14143.080000000002</v>
      </c>
      <c r="AH75" s="1465">
        <f>AH38-AH41-AH50-AH54</f>
        <v>-4980</v>
      </c>
      <c r="AI75" s="1523">
        <f>AI38-AI41-AI50-AI54</f>
        <v>9163.0800000000017</v>
      </c>
      <c r="AJ75" s="1969"/>
      <c r="AK75" s="1969"/>
      <c r="AL75" s="1465">
        <f>AL38-AL41-AL50-AL54</f>
        <v>67014.31</v>
      </c>
      <c r="AM75" s="1465">
        <f>AM38-AM41-AM50-AM54</f>
        <v>-31900</v>
      </c>
      <c r="AN75" s="1523">
        <f>AN38-AN41-AN50-AN54</f>
        <v>35114.31</v>
      </c>
      <c r="AO75" s="1969"/>
      <c r="AP75" s="1969"/>
      <c r="AQ75" s="1465">
        <f>AQ38-AQ41-AQ50-AQ54</f>
        <v>37087.556000000011</v>
      </c>
      <c r="AR75" s="1465">
        <f>AR38-AR41-AR50-AR54</f>
        <v>-1853</v>
      </c>
      <c r="AS75" s="1523">
        <f>AS38-AS41-AS50-AS54</f>
        <v>35234.556000000011</v>
      </c>
      <c r="AT75" s="1969"/>
      <c r="AU75" s="1969"/>
      <c r="AV75" s="1465">
        <f>AV38-AV41-AV50-AV54</f>
        <v>0</v>
      </c>
      <c r="AW75" s="1465">
        <f>AW38-AW41-AW50-AW54</f>
        <v>0</v>
      </c>
      <c r="AX75" s="1523">
        <f>AX38-AX41-AX50-AX54</f>
        <v>0</v>
      </c>
      <c r="AY75" s="1969"/>
      <c r="AZ75" s="1969"/>
      <c r="BA75" s="1465">
        <f>BA38-BA41-BA50-BA54</f>
        <v>0</v>
      </c>
      <c r="BB75" s="1465">
        <f>BB38-BB41-BB50-BB54</f>
        <v>0</v>
      </c>
      <c r="BC75" s="1523">
        <f>BC38-BC41-BC50-BC54</f>
        <v>0</v>
      </c>
      <c r="BD75" s="1969"/>
      <c r="BE75" s="1969"/>
      <c r="BF75" s="1465">
        <f>BF38-BF41-BF50-BF54</f>
        <v>0</v>
      </c>
      <c r="BG75" s="1465">
        <f>BG38-BG41-BG50-BG54</f>
        <v>0</v>
      </c>
      <c r="BH75" s="1523">
        <f>BH38-BH41-BH50-BH54</f>
        <v>0</v>
      </c>
      <c r="BI75" s="1969"/>
      <c r="BJ75" s="1969"/>
      <c r="BK75" s="1465">
        <f>BK38-BK41-BK50-BK54</f>
        <v>0</v>
      </c>
      <c r="BL75" s="1465">
        <f>BL38-BL41-BL50-BL54</f>
        <v>0</v>
      </c>
      <c r="BM75" s="1523">
        <f>BM38-BM41-BM50-BM54</f>
        <v>0</v>
      </c>
      <c r="BN75" s="1969"/>
      <c r="BO75" s="1969"/>
      <c r="BP75" s="1465">
        <f>BP38-BP41-BP50-BP54</f>
        <v>0</v>
      </c>
      <c r="BQ75" s="1465">
        <f>BQ38-BQ41-BQ50-BQ54</f>
        <v>0</v>
      </c>
      <c r="BR75" s="1523">
        <f>BR38-BR41-BR50-BR54</f>
        <v>0</v>
      </c>
      <c r="BS75" s="1969"/>
      <c r="BT75" s="1465"/>
      <c r="BU75" s="1465">
        <f>BU38-BU41-BU50-BU54</f>
        <v>0</v>
      </c>
      <c r="BV75" s="1465">
        <f>BV38-BV41-BV50-BV54</f>
        <v>0</v>
      </c>
      <c r="BW75" s="1523">
        <f>BW38-BW41-BW50-BW54</f>
        <v>0</v>
      </c>
      <c r="BX75" s="1969"/>
      <c r="BY75" s="1465"/>
      <c r="BZ75" s="1465">
        <f>BZ38-BZ41-BZ50-BZ54</f>
        <v>0</v>
      </c>
      <c r="CA75" s="1465">
        <f>CA38-CA41-CA50-CA54</f>
        <v>0</v>
      </c>
      <c r="CB75" s="1523">
        <f>CB38-CB41-CB50-CB54</f>
        <v>0</v>
      </c>
      <c r="CC75" s="1969"/>
      <c r="CD75" s="1465"/>
      <c r="CE75" s="1465">
        <f>CE38-CE41-CE50-CE54</f>
        <v>0</v>
      </c>
      <c r="CF75" s="1465">
        <f>CF38-CF41-CF50-CF54</f>
        <v>0</v>
      </c>
      <c r="CG75" s="1523">
        <f>CG38-CG41-CG50-CG54</f>
        <v>0</v>
      </c>
      <c r="CH75" s="1969"/>
      <c r="CI75" s="1465"/>
      <c r="CJ75" s="1465">
        <f>CJ38-CJ41-CJ50-CJ54</f>
        <v>0</v>
      </c>
      <c r="CK75" s="1465">
        <f>CK38-CK41-CK50-CK54</f>
        <v>0</v>
      </c>
      <c r="CL75" s="1523">
        <f>CL38-CL41-CL50-CL54</f>
        <v>0</v>
      </c>
      <c r="CM75" s="1969"/>
      <c r="CN75" s="1465"/>
      <c r="CO75" s="1465">
        <f>CO38-CO41-CO50-CO54</f>
        <v>39600.599200000288</v>
      </c>
      <c r="CP75" s="1465">
        <f>CP38-CP41-CP50-CP54</f>
        <v>95918.239999999991</v>
      </c>
      <c r="CQ75" s="1523">
        <f>CQ38-CQ41-CQ50-CQ54</f>
        <v>135518.83920000028</v>
      </c>
      <c r="CR75" s="1969"/>
      <c r="CS75" s="1969"/>
    </row>
    <row r="76" spans="1:97" s="1411" customFormat="1" ht="13.8" x14ac:dyDescent="0.25">
      <c r="A76" s="1581"/>
      <c r="B76" s="1444" t="s">
        <v>49</v>
      </c>
      <c r="C76" s="2019" t="e">
        <f>C75/C5</f>
        <v>#DIV/0!</v>
      </c>
      <c r="D76" s="2019" t="e">
        <f>D75/D5</f>
        <v>#DIV/0!</v>
      </c>
      <c r="E76" s="2020" t="e">
        <f>E75/E5</f>
        <v>#DIV/0!</v>
      </c>
      <c r="F76" s="2020"/>
      <c r="G76" s="2020"/>
      <c r="H76" s="2019">
        <f>H75/H5</f>
        <v>-28.268644000000002</v>
      </c>
      <c r="I76" s="2019" t="e">
        <f>I75/I5</f>
        <v>#DIV/0!</v>
      </c>
      <c r="J76" s="2020">
        <f>J75/J5</f>
        <v>-36.808644000000001</v>
      </c>
      <c r="K76" s="2020"/>
      <c r="L76" s="2020"/>
      <c r="M76" s="2019">
        <f>M75/M5</f>
        <v>-0.81091725685190408</v>
      </c>
      <c r="N76" s="2019">
        <f>N75/N5</f>
        <v>0.88589917452830191</v>
      </c>
      <c r="O76" s="2020">
        <f>O75/O5</f>
        <v>0.38442399024155172</v>
      </c>
      <c r="P76" s="2020"/>
      <c r="Q76" s="2020"/>
      <c r="R76" s="2019">
        <f>R75/R5</f>
        <v>-4.32222682</v>
      </c>
      <c r="S76" s="2019">
        <f>S75/S5</f>
        <v>0.7805524650422524</v>
      </c>
      <c r="T76" s="2020">
        <f>T75/T5</f>
        <v>0.10889110270163554</v>
      </c>
      <c r="U76" s="2020"/>
      <c r="V76" s="2020"/>
      <c r="W76" s="2019">
        <v>0.2283752573102846</v>
      </c>
      <c r="X76" s="2019" t="e">
        <v>#DIV/0!</v>
      </c>
      <c r="Y76" s="2020">
        <v>8.9087460283134315E-2</v>
      </c>
      <c r="Z76" s="2020"/>
      <c r="AA76" s="2020"/>
      <c r="AB76" s="2019">
        <f>AB75/AB5</f>
        <v>0.31630673300698187</v>
      </c>
      <c r="AC76" s="2019">
        <f>AC75/AC5</f>
        <v>-1.1755083459787556</v>
      </c>
      <c r="AD76" s="2020">
        <f>AD75/AD5</f>
        <v>0.19546670436107969</v>
      </c>
      <c r="AE76" s="2020"/>
      <c r="AF76" s="2020"/>
      <c r="AG76" s="2019">
        <f>AG75/AG5</f>
        <v>0.23049348109517603</v>
      </c>
      <c r="AH76" s="2019" t="e">
        <f>AH75/AH5</f>
        <v>#DIV/0!</v>
      </c>
      <c r="AI76" s="2020">
        <f>AI75/AI5</f>
        <v>0.1493331160365059</v>
      </c>
      <c r="AJ76" s="2020"/>
      <c r="AK76" s="2020"/>
      <c r="AL76" s="2019">
        <f>AL75/AL5</f>
        <v>0.32874324258032867</v>
      </c>
      <c r="AM76" s="2019">
        <f>AM75/AM5</f>
        <v>-2.5934959349593494</v>
      </c>
      <c r="AN76" s="2020">
        <f>AN75/AN5</f>
        <v>0.1624534351145038</v>
      </c>
      <c r="AO76" s="2020"/>
      <c r="AP76" s="2020"/>
      <c r="AQ76" s="2019">
        <f>AQ75/AQ5</f>
        <v>0.34144315963910893</v>
      </c>
      <c r="AR76" s="2019">
        <f>AR75/AR5</f>
        <v>-8.9733656174334139E-2</v>
      </c>
      <c r="AS76" s="2020">
        <f>AS75/AS5</f>
        <v>0.27256560686934334</v>
      </c>
      <c r="AT76" s="2020"/>
      <c r="AU76" s="2020"/>
      <c r="AV76" s="2019" t="e">
        <f>AV75/AV5</f>
        <v>#DIV/0!</v>
      </c>
      <c r="AW76" s="2019" t="e">
        <f>AW75/AW5</f>
        <v>#DIV/0!</v>
      </c>
      <c r="AX76" s="2020" t="e">
        <f>AX75/AX5</f>
        <v>#DIV/0!</v>
      </c>
      <c r="AY76" s="2020"/>
      <c r="AZ76" s="2020"/>
      <c r="BA76" s="2019" t="e">
        <f>BA75/BA5</f>
        <v>#DIV/0!</v>
      </c>
      <c r="BB76" s="2019" t="e">
        <f>BB75/BB5</f>
        <v>#DIV/0!</v>
      </c>
      <c r="BC76" s="2020" t="e">
        <f>BC75/BC5</f>
        <v>#DIV/0!</v>
      </c>
      <c r="BD76" s="2020"/>
      <c r="BE76" s="2020"/>
      <c r="BF76" s="2019" t="e">
        <f>BF75/BF5</f>
        <v>#DIV/0!</v>
      </c>
      <c r="BG76" s="2019" t="e">
        <f>BG75/BG5</f>
        <v>#DIV/0!</v>
      </c>
      <c r="BH76" s="2020" t="e">
        <f>BH75/BH5</f>
        <v>#DIV/0!</v>
      </c>
      <c r="BI76" s="2020"/>
      <c r="BJ76" s="2020"/>
      <c r="BK76" s="2019" t="e">
        <f>BK75/BK5</f>
        <v>#DIV/0!</v>
      </c>
      <c r="BL76" s="2019" t="e">
        <f>BL75/BL5</f>
        <v>#DIV/0!</v>
      </c>
      <c r="BM76" s="2020" t="e">
        <f>BM75/BM5</f>
        <v>#DIV/0!</v>
      </c>
      <c r="BN76" s="2020"/>
      <c r="BO76" s="2020"/>
      <c r="BP76" s="2019" t="e">
        <f>BP75/BP5</f>
        <v>#DIV/0!</v>
      </c>
      <c r="BQ76" s="2019" t="e">
        <f>BQ75/BQ5</f>
        <v>#DIV/0!</v>
      </c>
      <c r="BR76" s="2020" t="e">
        <f>BR75/BR5</f>
        <v>#DIV/0!</v>
      </c>
      <c r="BS76" s="2020"/>
      <c r="BT76" s="2019"/>
      <c r="BU76" s="2019" t="e">
        <f>BU75/BU5</f>
        <v>#DIV/0!</v>
      </c>
      <c r="BV76" s="2019" t="e">
        <f>BV75/BV5</f>
        <v>#DIV/0!</v>
      </c>
      <c r="BW76" s="2020" t="e">
        <f>BW75/BW5</f>
        <v>#DIV/0!</v>
      </c>
      <c r="BX76" s="2020"/>
      <c r="BY76" s="2019"/>
      <c r="BZ76" s="2019" t="e">
        <f>BZ75/BZ5</f>
        <v>#DIV/0!</v>
      </c>
      <c r="CA76" s="2019" t="e">
        <f>CA75/CA5</f>
        <v>#DIV/0!</v>
      </c>
      <c r="CB76" s="2020" t="e">
        <f>CB75/CB5</f>
        <v>#DIV/0!</v>
      </c>
      <c r="CC76" s="2020"/>
      <c r="CD76" s="2019"/>
      <c r="CE76" s="2019" t="e">
        <f>CE75/CE5</f>
        <v>#DIV/0!</v>
      </c>
      <c r="CF76" s="2019" t="e">
        <f>CF75/CF5</f>
        <v>#DIV/0!</v>
      </c>
      <c r="CG76" s="2020" t="e">
        <f>CG75/CG5</f>
        <v>#DIV/0!</v>
      </c>
      <c r="CH76" s="2020"/>
      <c r="CI76" s="2019"/>
      <c r="CJ76" s="2019" t="e">
        <f>CJ75/CJ5</f>
        <v>#DIV/0!</v>
      </c>
      <c r="CK76" s="2019" t="e">
        <f>CK75/CK5</f>
        <v>#DIV/0!</v>
      </c>
      <c r="CL76" s="2020" t="e">
        <f>CL75/CL5</f>
        <v>#DIV/0!</v>
      </c>
      <c r="CM76" s="2020"/>
      <c r="CN76" s="2019"/>
      <c r="CO76" s="2019">
        <f>CO75/CO5</f>
        <v>2.2320141958915029E-2</v>
      </c>
      <c r="CP76" s="2019">
        <f>CP75/CP5</f>
        <v>0.20563896749849925</v>
      </c>
      <c r="CQ76" s="2020">
        <f>CQ75/CQ5</f>
        <v>6.0481955249119881E-2</v>
      </c>
      <c r="CR76" s="2020"/>
      <c r="CS76" s="2020"/>
    </row>
    <row r="77" spans="1:97" s="1411" customFormat="1" ht="14.4" thickBot="1" x14ac:dyDescent="0.3">
      <c r="A77" s="1581"/>
      <c r="B77" s="3331" t="s">
        <v>9</v>
      </c>
      <c r="C77" s="2865">
        <f>C78-C79</f>
        <v>0</v>
      </c>
      <c r="D77" s="2865">
        <f>D78-D79</f>
        <v>0</v>
      </c>
      <c r="E77" s="2866">
        <f>E78-E79</f>
        <v>0</v>
      </c>
      <c r="F77" s="2868"/>
      <c r="G77" s="2868"/>
      <c r="H77" s="2865">
        <f>H78-H79</f>
        <v>-1831.8568704175761</v>
      </c>
      <c r="I77" s="2865">
        <f>I78-I79</f>
        <v>0</v>
      </c>
      <c r="J77" s="2866">
        <f>J78-J79</f>
        <v>-1831.8568704175761</v>
      </c>
      <c r="K77" s="2868"/>
      <c r="L77" s="2868"/>
      <c r="M77" s="2865">
        <f>M78-M79</f>
        <v>-2391.7584269662921</v>
      </c>
      <c r="N77" s="2865">
        <f>N78-N79</f>
        <v>-46275</v>
      </c>
      <c r="O77" s="2866">
        <f>O78-O79</f>
        <v>-48666.758426966291</v>
      </c>
      <c r="P77" s="2868"/>
      <c r="Q77" s="2868"/>
      <c r="R77" s="2865">
        <f>R78-R79</f>
        <v>-7635.7410435031288</v>
      </c>
      <c r="S77" s="2865">
        <f>S78-S79</f>
        <v>-16545</v>
      </c>
      <c r="T77" s="2866">
        <f>T78-T79</f>
        <v>-24180.741043503127</v>
      </c>
      <c r="U77" s="2868"/>
      <c r="V77" s="2868"/>
      <c r="W77" s="2865">
        <v>-23597.806649298302</v>
      </c>
      <c r="X77" s="2865">
        <v>-60231</v>
      </c>
      <c r="Y77" s="2866">
        <v>-83828.806649298305</v>
      </c>
      <c r="Z77" s="2868"/>
      <c r="AA77" s="2868"/>
      <c r="AB77" s="2865">
        <f>AB78-AB79</f>
        <v>-11038.00857085908</v>
      </c>
      <c r="AC77" s="2865">
        <f>AC78-AC79</f>
        <v>0</v>
      </c>
      <c r="AD77" s="2866">
        <f>AD78-AD79</f>
        <v>-11038.00857085908</v>
      </c>
      <c r="AE77" s="2868"/>
      <c r="AF77" s="2868"/>
      <c r="AG77" s="2865">
        <f>AG78-AG79</f>
        <v>-777.22543352601156</v>
      </c>
      <c r="AH77" s="2865">
        <f>AH78-AH79</f>
        <v>0</v>
      </c>
      <c r="AI77" s="2866">
        <f>AI78-AI79</f>
        <v>-777.22543352601156</v>
      </c>
      <c r="AJ77" s="2868"/>
      <c r="AK77" s="2868"/>
      <c r="AL77" s="2865">
        <f>AL78-AL79</f>
        <v>-6898.2658959537575</v>
      </c>
      <c r="AM77" s="2865">
        <f>AM78-AM79</f>
        <v>0</v>
      </c>
      <c r="AN77" s="2866">
        <f>AN78-AN79</f>
        <v>-6898.2658959537575</v>
      </c>
      <c r="AO77" s="2868"/>
      <c r="AP77" s="2868"/>
      <c r="AQ77" s="2865">
        <f>AQ78-AQ79</f>
        <v>-3362.5172413793107</v>
      </c>
      <c r="AR77" s="2865">
        <f>AR78-AR79</f>
        <v>0</v>
      </c>
      <c r="AS77" s="2866">
        <f>AS78-AS79</f>
        <v>-3362.5172413793107</v>
      </c>
      <c r="AT77" s="2868"/>
      <c r="AU77" s="2868"/>
      <c r="AV77" s="2865">
        <f>AV78-AV79</f>
        <v>0</v>
      </c>
      <c r="AW77" s="2865">
        <f>AW78-AW79</f>
        <v>0</v>
      </c>
      <c r="AX77" s="2866">
        <f>AX78-AX79</f>
        <v>0</v>
      </c>
      <c r="AY77" s="2868"/>
      <c r="AZ77" s="2868"/>
      <c r="BA77" s="2865">
        <f>BA78-BA79</f>
        <v>0</v>
      </c>
      <c r="BB77" s="2865">
        <f>BB78-BB79</f>
        <v>0</v>
      </c>
      <c r="BC77" s="2866">
        <f>BC78-BC79</f>
        <v>0</v>
      </c>
      <c r="BD77" s="2868"/>
      <c r="BE77" s="2868"/>
      <c r="BF77" s="2865">
        <f>BF78-BF79</f>
        <v>0</v>
      </c>
      <c r="BG77" s="2865">
        <f>BG78-BG79</f>
        <v>0</v>
      </c>
      <c r="BH77" s="2866">
        <f>BH78-BH79</f>
        <v>0</v>
      </c>
      <c r="BI77" s="2868"/>
      <c r="BJ77" s="2868"/>
      <c r="BK77" s="2865">
        <f>BK78-BK79</f>
        <v>0</v>
      </c>
      <c r="BL77" s="2865">
        <f>BL78-BL79</f>
        <v>0</v>
      </c>
      <c r="BM77" s="2866">
        <f>BM78-BM79</f>
        <v>0</v>
      </c>
      <c r="BN77" s="2868"/>
      <c r="BO77" s="2868"/>
      <c r="BP77" s="2865">
        <f>BP78-BP79</f>
        <v>0</v>
      </c>
      <c r="BQ77" s="2865">
        <f>BQ78-BQ79</f>
        <v>0</v>
      </c>
      <c r="BR77" s="2866">
        <f>BR78-BR79</f>
        <v>0</v>
      </c>
      <c r="BS77" s="2868"/>
      <c r="BT77" s="3138"/>
      <c r="BU77" s="2865">
        <f>BU78-BU79</f>
        <v>0</v>
      </c>
      <c r="BV77" s="2865">
        <f>BV78-BV79</f>
        <v>0</v>
      </c>
      <c r="BW77" s="2866">
        <f>BW78-BW79</f>
        <v>0</v>
      </c>
      <c r="BX77" s="2868"/>
      <c r="BY77" s="3138"/>
      <c r="BZ77" s="2865">
        <f>BZ78-BZ79</f>
        <v>0</v>
      </c>
      <c r="CA77" s="2865">
        <f>CA78-CA79</f>
        <v>0</v>
      </c>
      <c r="CB77" s="2866">
        <f>CB78-CB79</f>
        <v>0</v>
      </c>
      <c r="CC77" s="2868"/>
      <c r="CD77" s="3138"/>
      <c r="CE77" s="2865">
        <f>CE78-CE79</f>
        <v>0</v>
      </c>
      <c r="CF77" s="2865">
        <f>CF78-CF79</f>
        <v>0</v>
      </c>
      <c r="CG77" s="2866">
        <f>CG78-CG79</f>
        <v>0</v>
      </c>
      <c r="CH77" s="2868"/>
      <c r="CI77" s="3138"/>
      <c r="CJ77" s="2865">
        <f>CJ78-CJ79</f>
        <v>0</v>
      </c>
      <c r="CK77" s="2865">
        <f>CK78-CK79</f>
        <v>0</v>
      </c>
      <c r="CL77" s="2866">
        <f>CL78-CL79</f>
        <v>0</v>
      </c>
      <c r="CM77" s="2868"/>
      <c r="CN77" s="3138"/>
      <c r="CO77" s="2865">
        <f>CO78-CO79</f>
        <v>-46495.171561044379</v>
      </c>
      <c r="CP77" s="2865">
        <f>CP78-CP79</f>
        <v>-123051</v>
      </c>
      <c r="CQ77" s="2866">
        <f>CQ78-CQ79</f>
        <v>-169546.17156104438</v>
      </c>
      <c r="CR77" s="2868"/>
      <c r="CS77" s="2868"/>
    </row>
    <row r="78" spans="1:97" s="1411" customFormat="1" ht="14.4" thickBot="1" x14ac:dyDescent="0.3">
      <c r="A78" s="1420"/>
      <c r="B78" s="1415" t="s">
        <v>43</v>
      </c>
      <c r="C78" s="3274"/>
      <c r="D78" s="3274"/>
      <c r="E78" s="3332">
        <f>C78+D78</f>
        <v>0</v>
      </c>
      <c r="F78" s="3333"/>
      <c r="G78" s="3275"/>
      <c r="H78" s="3274"/>
      <c r="I78" s="3274"/>
      <c r="J78" s="3332">
        <f>H78+I78*1.15</f>
        <v>0</v>
      </c>
      <c r="K78" s="3333"/>
      <c r="L78" s="3333"/>
      <c r="M78" s="3274"/>
      <c r="N78" s="3274"/>
      <c r="O78" s="3332">
        <f>M78+N78*1.15</f>
        <v>0</v>
      </c>
      <c r="P78" s="3333"/>
      <c r="Q78" s="3333"/>
      <c r="R78" s="3274"/>
      <c r="S78" s="3274"/>
      <c r="T78" s="3332">
        <f>R78+S78*1.15</f>
        <v>0</v>
      </c>
      <c r="U78" s="3333"/>
      <c r="V78" s="3333"/>
      <c r="W78" s="3274">
        <v>0</v>
      </c>
      <c r="X78" s="3274">
        <v>0</v>
      </c>
      <c r="Y78" s="3274">
        <v>0</v>
      </c>
      <c r="Z78" s="3333"/>
      <c r="AA78" s="3333"/>
      <c r="AB78" s="3274">
        <f t="shared" ref="AB78:AC79" si="116">AG78+AL78+AQ78+AV78+BA78+BF78+BK78+BP78+BU78+BZ78+CE78+CJ78</f>
        <v>0</v>
      </c>
      <c r="AC78" s="3274">
        <f t="shared" si="116"/>
        <v>0</v>
      </c>
      <c r="AD78" s="3274">
        <f>AB78+AC78</f>
        <v>0</v>
      </c>
      <c r="AE78" s="3333"/>
      <c r="AF78" s="3333"/>
      <c r="AG78" s="3274"/>
      <c r="AH78" s="3274"/>
      <c r="AI78" s="3377">
        <f>AG78+AH78*1.15</f>
        <v>0</v>
      </c>
      <c r="AJ78" s="3333"/>
      <c r="AK78" s="3333"/>
      <c r="AL78" s="3274"/>
      <c r="AM78" s="3274"/>
      <c r="AN78" s="3274">
        <f>AL78+AM78*1.15</f>
        <v>0</v>
      </c>
      <c r="AO78" s="3333"/>
      <c r="AP78" s="3333"/>
      <c r="AQ78" s="3274"/>
      <c r="AR78" s="3274"/>
      <c r="AS78" s="3274">
        <f>AQ78+AR78*1.15</f>
        <v>0</v>
      </c>
      <c r="AT78" s="3333"/>
      <c r="AU78" s="3333"/>
      <c r="AV78" s="3274"/>
      <c r="AW78" s="3274"/>
      <c r="AX78" s="3332">
        <f>AV78+AW78*1.15</f>
        <v>0</v>
      </c>
      <c r="AY78" s="3333"/>
      <c r="AZ78" s="3333"/>
      <c r="BA78" s="3274"/>
      <c r="BB78" s="3274"/>
      <c r="BC78" s="3332">
        <f>BA78+BB78*1.15</f>
        <v>0</v>
      </c>
      <c r="BD78" s="3333"/>
      <c r="BE78" s="3333"/>
      <c r="BF78" s="3274"/>
      <c r="BG78" s="3274"/>
      <c r="BH78" s="3332">
        <f>BF78+BG78*1.15</f>
        <v>0</v>
      </c>
      <c r="BI78" s="3333"/>
      <c r="BJ78" s="3333"/>
      <c r="BK78" s="3274"/>
      <c r="BL78" s="3274"/>
      <c r="BM78" s="3332">
        <f>BK78+BL78*1.15</f>
        <v>0</v>
      </c>
      <c r="BN78" s="3333"/>
      <c r="BO78" s="3333"/>
      <c r="BP78" s="3274"/>
      <c r="BQ78" s="3274"/>
      <c r="BR78" s="3332">
        <f>BP78+BQ78*1.15</f>
        <v>0</v>
      </c>
      <c r="BS78" s="3333"/>
      <c r="BT78" s="3334"/>
      <c r="BU78" s="3274"/>
      <c r="BV78" s="3274"/>
      <c r="BW78" s="3332">
        <f>BU78+BV78*1.15</f>
        <v>0</v>
      </c>
      <c r="BX78" s="3333"/>
      <c r="BY78" s="3334"/>
      <c r="BZ78" s="3274"/>
      <c r="CA78" s="3274"/>
      <c r="CB78" s="3332">
        <f>BZ78+CA78*1.15</f>
        <v>0</v>
      </c>
      <c r="CC78" s="3333"/>
      <c r="CD78" s="3334"/>
      <c r="CE78" s="3274"/>
      <c r="CF78" s="3274"/>
      <c r="CG78" s="3332">
        <f>CE78+CF78*1.15</f>
        <v>0</v>
      </c>
      <c r="CH78" s="3333"/>
      <c r="CI78" s="3334"/>
      <c r="CJ78" s="3274"/>
      <c r="CK78" s="3274"/>
      <c r="CL78" s="3332">
        <f>CJ78+CK78*1.15</f>
        <v>0</v>
      </c>
      <c r="CM78" s="3333"/>
      <c r="CN78" s="3334"/>
      <c r="CO78" s="3274">
        <f t="shared" ref="CO78:CP79" si="117">H78+M78+R78+AG78+AL78+C78+AQ78+AV78+BA78+BF78+BK78+BP78+BU78+BZ78+CE78+CJ78+W78</f>
        <v>0</v>
      </c>
      <c r="CP78" s="3274">
        <f t="shared" si="117"/>
        <v>0</v>
      </c>
      <c r="CQ78" s="2028">
        <f>CO78+CP78</f>
        <v>0</v>
      </c>
      <c r="CR78" s="3333"/>
      <c r="CS78" s="3333"/>
    </row>
    <row r="79" spans="1:97" s="1411" customFormat="1" ht="13.8" x14ac:dyDescent="0.25">
      <c r="A79" s="1420"/>
      <c r="B79" s="3289" t="s">
        <v>79</v>
      </c>
      <c r="C79" s="3274">
        <f>(D8+D41+D50+D54)/(1-'расчет 2022'!I8)*'расчет 2022'!I8</f>
        <v>0</v>
      </c>
      <c r="D79" s="3274"/>
      <c r="E79" s="3332">
        <f>C79+D79</f>
        <v>0</v>
      </c>
      <c r="F79" s="3311"/>
      <c r="G79" s="3311"/>
      <c r="H79" s="3274">
        <f>(I8+I41+I50+I54)/(1-'расчет 2022'!I9)*'расчет 2022'!I9</f>
        <v>1831.8568704175761</v>
      </c>
      <c r="I79" s="3274"/>
      <c r="J79" s="3332">
        <f>H79+I79</f>
        <v>1831.8568704175761</v>
      </c>
      <c r="K79" s="3311"/>
      <c r="L79" s="3311"/>
      <c r="M79" s="3274">
        <f>(N8+N41+N50+N54)/(1-'расчет 2022'!I10)*'расчет 2022'!I10</f>
        <v>2391.7584269662921</v>
      </c>
      <c r="N79" s="3274">
        <v>46275</v>
      </c>
      <c r="O79" s="3332">
        <f>M79+N79</f>
        <v>48666.758426966291</v>
      </c>
      <c r="P79" s="3311"/>
      <c r="Q79" s="3311"/>
      <c r="R79" s="3274">
        <f>(S8+S41+S50+S54)/(1-'расчет 2022'!I11)*'расчет 2022'!I11</f>
        <v>7635.7410435031288</v>
      </c>
      <c r="S79" s="3274">
        <v>16545</v>
      </c>
      <c r="T79" s="3332">
        <f>R79+S79</f>
        <v>24180.741043503127</v>
      </c>
      <c r="U79" s="3311"/>
      <c r="V79" s="3276"/>
      <c r="W79" s="3274">
        <v>23597.806649298302</v>
      </c>
      <c r="X79" s="3274">
        <v>60231</v>
      </c>
      <c r="Y79" s="3274">
        <v>83828.806649298305</v>
      </c>
      <c r="Z79" s="3311"/>
      <c r="AA79" s="3276"/>
      <c r="AB79" s="3274">
        <f t="shared" si="116"/>
        <v>11038.00857085908</v>
      </c>
      <c r="AC79" s="3274">
        <f t="shared" si="116"/>
        <v>0</v>
      </c>
      <c r="AD79" s="3274">
        <f>AB79+AC79</f>
        <v>11038.00857085908</v>
      </c>
      <c r="AE79" s="3311"/>
      <c r="AF79" s="3276"/>
      <c r="AG79" s="3274">
        <f>(AH8+AH41+AH50+AH54)/(1-'расчет 2022'!I24)*'расчет 2022'!I24</f>
        <v>777.22543352601156</v>
      </c>
      <c r="AH79" s="3274"/>
      <c r="AI79" s="3944">
        <f>AG79+AH79</f>
        <v>777.22543352601156</v>
      </c>
      <c r="AJ79" s="3311"/>
      <c r="AK79" s="3276"/>
      <c r="AL79" s="2059">
        <f>(AM8+AM41+AM50+AM54)/(1-'расчет 2022'!I25)*'расчет 2022'!I25</f>
        <v>6898.2658959537575</v>
      </c>
      <c r="AM79" s="3274"/>
      <c r="AN79" s="3332">
        <f>AL79+AM79</f>
        <v>6898.2658959537575</v>
      </c>
      <c r="AO79" s="3311"/>
      <c r="AP79" s="3276"/>
      <c r="AQ79" s="2059">
        <f>(AR8+AR41+AR50+AR54)/(1-'расчет 2022'!I26)*'расчет 2022'!I26</f>
        <v>3362.5172413793107</v>
      </c>
      <c r="AR79" s="3274"/>
      <c r="AS79" s="3274">
        <f>AQ79+AR79</f>
        <v>3362.5172413793107</v>
      </c>
      <c r="AT79" s="3311"/>
      <c r="AU79" s="3276"/>
      <c r="AV79" s="3274"/>
      <c r="AW79" s="3274"/>
      <c r="AX79" s="3274">
        <f>AV79+AW79</f>
        <v>0</v>
      </c>
      <c r="AY79" s="3311"/>
      <c r="AZ79" s="3276"/>
      <c r="BA79" s="3274"/>
      <c r="BB79" s="3274"/>
      <c r="BC79" s="3274">
        <f>BA79+BB79</f>
        <v>0</v>
      </c>
      <c r="BD79" s="3311"/>
      <c r="BE79" s="3276"/>
      <c r="BF79" s="3274"/>
      <c r="BG79" s="3274"/>
      <c r="BH79" s="3274">
        <f>BF79+BG79</f>
        <v>0</v>
      </c>
      <c r="BI79" s="3311"/>
      <c r="BJ79" s="3276"/>
      <c r="BK79" s="3274">
        <f>(BL8+BL41+BL50+BL54)/(1-'расчет 2022'!$I$18)*'расчет 2022'!$I$18</f>
        <v>0</v>
      </c>
      <c r="BL79" s="3274"/>
      <c r="BM79" s="3274">
        <f>BK79+BL79*1.15</f>
        <v>0</v>
      </c>
      <c r="BN79" s="3311"/>
      <c r="BO79" s="3276"/>
      <c r="BP79" s="3274"/>
      <c r="BQ79" s="3274"/>
      <c r="BR79" s="3274">
        <f>BP79+BQ79*1.15</f>
        <v>0</v>
      </c>
      <c r="BS79" s="3311"/>
      <c r="BT79" s="3276"/>
      <c r="BU79" s="3274"/>
      <c r="BV79" s="3274"/>
      <c r="BW79" s="3274">
        <f>BU79+BV79*1.15</f>
        <v>0</v>
      </c>
      <c r="BX79" s="3311"/>
      <c r="BY79" s="3276"/>
      <c r="BZ79" s="3274"/>
      <c r="CA79" s="3274"/>
      <c r="CB79" s="3274">
        <f>BZ79+CA79*1.15</f>
        <v>0</v>
      </c>
      <c r="CC79" s="3311"/>
      <c r="CD79" s="3276"/>
      <c r="CE79" s="3274"/>
      <c r="CF79" s="3274"/>
      <c r="CG79" s="3274">
        <f>CE79+CF79*1.15</f>
        <v>0</v>
      </c>
      <c r="CH79" s="3311"/>
      <c r="CI79" s="3276"/>
      <c r="CJ79" s="3274"/>
      <c r="CK79" s="3274"/>
      <c r="CL79" s="3274">
        <f>CJ79+CK79*1.15</f>
        <v>0</v>
      </c>
      <c r="CM79" s="3311"/>
      <c r="CN79" s="3276"/>
      <c r="CO79" s="3274">
        <f t="shared" si="117"/>
        <v>46495.171561044379</v>
      </c>
      <c r="CP79" s="3274">
        <f t="shared" si="117"/>
        <v>123051</v>
      </c>
      <c r="CQ79" s="2028">
        <f>CO79+CP79</f>
        <v>169546.17156104438</v>
      </c>
      <c r="CR79" s="3311"/>
      <c r="CS79" s="3311"/>
    </row>
    <row r="80" spans="1:97" ht="13.8" x14ac:dyDescent="0.25">
      <c r="A80" s="1412"/>
      <c r="B80" s="3335"/>
      <c r="C80" s="3274"/>
      <c r="D80" s="3274"/>
      <c r="E80" s="3336"/>
      <c r="F80" s="3336"/>
      <c r="G80" s="3336"/>
      <c r="H80" s="3274"/>
      <c r="I80" s="3274"/>
      <c r="J80" s="3336"/>
      <c r="K80" s="3336"/>
      <c r="L80" s="3336"/>
      <c r="M80" s="3274"/>
      <c r="N80" s="3274"/>
      <c r="O80" s="3336"/>
      <c r="P80" s="3336"/>
      <c r="Q80" s="3336"/>
      <c r="R80" s="3274"/>
      <c r="S80" s="3274"/>
      <c r="T80" s="3336"/>
      <c r="U80" s="3336"/>
      <c r="V80" s="3336"/>
      <c r="W80" s="3274"/>
      <c r="X80" s="3274"/>
      <c r="Y80" s="3336"/>
      <c r="Z80" s="3336"/>
      <c r="AA80" s="3336"/>
      <c r="AB80" s="3274"/>
      <c r="AC80" s="3274"/>
      <c r="AD80" s="3336"/>
      <c r="AE80" s="3336"/>
      <c r="AF80" s="3336"/>
      <c r="AG80" s="3274"/>
      <c r="AH80" s="3274"/>
      <c r="AI80" s="3336"/>
      <c r="AJ80" s="3336"/>
      <c r="AK80" s="3336"/>
      <c r="AL80" s="3274"/>
      <c r="AM80" s="3274"/>
      <c r="AN80" s="3336"/>
      <c r="AO80" s="3336"/>
      <c r="AP80" s="3336"/>
      <c r="AQ80" s="3274"/>
      <c r="AR80" s="3274"/>
      <c r="AS80" s="3336"/>
      <c r="AT80" s="3336"/>
      <c r="AU80" s="3336"/>
      <c r="AV80" s="3274"/>
      <c r="AW80" s="3274"/>
      <c r="AX80" s="3336"/>
      <c r="AY80" s="3336"/>
      <c r="AZ80" s="3336"/>
      <c r="BA80" s="3274"/>
      <c r="BB80" s="3274"/>
      <c r="BC80" s="3336"/>
      <c r="BD80" s="3336"/>
      <c r="BE80" s="3336"/>
      <c r="BF80" s="3274"/>
      <c r="BG80" s="3274"/>
      <c r="BH80" s="3336"/>
      <c r="BI80" s="3336"/>
      <c r="BJ80" s="3336"/>
      <c r="BK80" s="3274"/>
      <c r="BL80" s="3274"/>
      <c r="BM80" s="3336"/>
      <c r="BN80" s="3336"/>
      <c r="BO80" s="3336"/>
      <c r="BP80" s="3274"/>
      <c r="BQ80" s="3274"/>
      <c r="BR80" s="3336"/>
      <c r="BS80" s="3336"/>
      <c r="BT80" s="3306"/>
      <c r="BU80" s="3274"/>
      <c r="BV80" s="3274"/>
      <c r="BW80" s="3336"/>
      <c r="BX80" s="3336"/>
      <c r="BY80" s="3306"/>
      <c r="BZ80" s="3274"/>
      <c r="CA80" s="3274"/>
      <c r="CB80" s="3336"/>
      <c r="CC80" s="3336"/>
      <c r="CD80" s="3306"/>
      <c r="CE80" s="3274"/>
      <c r="CF80" s="3274"/>
      <c r="CG80" s="3336"/>
      <c r="CH80" s="3336"/>
      <c r="CI80" s="3306"/>
      <c r="CJ80" s="3274"/>
      <c r="CK80" s="3274"/>
      <c r="CL80" s="3336"/>
      <c r="CM80" s="3336"/>
      <c r="CN80" s="3306"/>
      <c r="CO80" s="3274"/>
      <c r="CP80" s="3274"/>
      <c r="CQ80" s="3336"/>
      <c r="CR80" s="3336"/>
      <c r="CS80" s="3336"/>
    </row>
    <row r="81" spans="1:97" s="1411" customFormat="1" ht="14.4" thickBot="1" x14ac:dyDescent="0.3">
      <c r="A81" s="1434"/>
      <c r="B81" s="3331" t="s">
        <v>12</v>
      </c>
      <c r="C81" s="2865">
        <f>(C75+C78)-C79</f>
        <v>0</v>
      </c>
      <c r="D81" s="2865">
        <f>(D75+D78)-D79</f>
        <v>0</v>
      </c>
      <c r="E81" s="2866">
        <f>(E75+E78)-E79</f>
        <v>0</v>
      </c>
      <c r="F81" s="2868"/>
      <c r="G81" s="2868"/>
      <c r="H81" s="2865">
        <f>(H75+H78)-H79</f>
        <v>-143175.07687041757</v>
      </c>
      <c r="I81" s="2865">
        <f>(I75+I78)-I79</f>
        <v>-42700</v>
      </c>
      <c r="J81" s="2866">
        <f>(J75+J78)-J79</f>
        <v>-185875.07687041757</v>
      </c>
      <c r="K81" s="2868"/>
      <c r="L81" s="2868"/>
      <c r="M81" s="2865">
        <f>(M75+M78)-M79</f>
        <v>-60089.648426966291</v>
      </c>
      <c r="N81" s="2865">
        <f>(N75+N78)-N79</f>
        <v>103973.5</v>
      </c>
      <c r="O81" s="2866">
        <f>(O75+O78)-O79</f>
        <v>43883.851573033724</v>
      </c>
      <c r="P81" s="2868"/>
      <c r="Q81" s="2868"/>
      <c r="R81" s="2865">
        <f>(R75+R78)-R79</f>
        <v>-180524.81384350313</v>
      </c>
      <c r="S81" s="2865">
        <f>(S75+S78)-S79</f>
        <v>189434.99</v>
      </c>
      <c r="T81" s="2866">
        <f>(T75+T78)-T79</f>
        <v>8910.1761564968983</v>
      </c>
      <c r="U81" s="2868"/>
      <c r="V81" s="2868"/>
      <c r="W81" s="2865">
        <v>269688.02935070184</v>
      </c>
      <c r="X81" s="2865">
        <v>-239108.25</v>
      </c>
      <c r="Y81" s="2866">
        <v>30579.779350701821</v>
      </c>
      <c r="Z81" s="2868"/>
      <c r="AA81" s="2868"/>
      <c r="AB81" s="2865">
        <f>(AB75+AB78)-AB79</f>
        <v>107206.93742914095</v>
      </c>
      <c r="AC81" s="2865">
        <f>(AC75+AC78)-AC79</f>
        <v>-38733</v>
      </c>
      <c r="AD81" s="2866">
        <f>(AD75+AD78)-AD79</f>
        <v>68473.937429140919</v>
      </c>
      <c r="AE81" s="2868"/>
      <c r="AF81" s="2868"/>
      <c r="AG81" s="2865">
        <f>(AG75+AG78)-AG79</f>
        <v>13365.85456647399</v>
      </c>
      <c r="AH81" s="2865">
        <f>(AH75+AH78)-AH79</f>
        <v>-4980</v>
      </c>
      <c r="AI81" s="2866">
        <f>(AI75+AI78)-AI79</f>
        <v>8385.8545664739904</v>
      </c>
      <c r="AJ81" s="2868"/>
      <c r="AK81" s="2868"/>
      <c r="AL81" s="2865">
        <f>(AL75+AL78)-AL79</f>
        <v>60116.044104046239</v>
      </c>
      <c r="AM81" s="2865">
        <f>(AM75+AM78)-AM79</f>
        <v>-31900</v>
      </c>
      <c r="AN81" s="2866">
        <f>(AN75+AN78)-AN79</f>
        <v>28216.044104046239</v>
      </c>
      <c r="AO81" s="2868"/>
      <c r="AP81" s="2868"/>
      <c r="AQ81" s="2865">
        <f>(AQ75+AQ78)-AQ79</f>
        <v>33725.0387586207</v>
      </c>
      <c r="AR81" s="2865">
        <f>(AR75+AR78)-AR79</f>
        <v>-1853</v>
      </c>
      <c r="AS81" s="2866">
        <f>(AS75+AS78)-AS79</f>
        <v>31872.0387586207</v>
      </c>
      <c r="AT81" s="2868"/>
      <c r="AU81" s="2868"/>
      <c r="AV81" s="2865">
        <f>(AV75+AV78)-AV79</f>
        <v>0</v>
      </c>
      <c r="AW81" s="2865">
        <f>(AW75+AW78)-AW79</f>
        <v>0</v>
      </c>
      <c r="AX81" s="2866">
        <f>(AX75+AX78)-AX79</f>
        <v>0</v>
      </c>
      <c r="AY81" s="2868"/>
      <c r="AZ81" s="2868"/>
      <c r="BA81" s="2865">
        <f>(BA75+BA78)-BA79</f>
        <v>0</v>
      </c>
      <c r="BB81" s="2865">
        <f>(BB75+BB78)-BB79</f>
        <v>0</v>
      </c>
      <c r="BC81" s="2866">
        <f>(BC75+BC78)-BC79</f>
        <v>0</v>
      </c>
      <c r="BD81" s="2868"/>
      <c r="BE81" s="2868"/>
      <c r="BF81" s="2865">
        <f>(BF75+BF78)-BF79</f>
        <v>0</v>
      </c>
      <c r="BG81" s="2865">
        <f>(BG75+BG78)-BG79</f>
        <v>0</v>
      </c>
      <c r="BH81" s="2866">
        <f>(BH75+BH78)-BH79</f>
        <v>0</v>
      </c>
      <c r="BI81" s="2868"/>
      <c r="BJ81" s="2868"/>
      <c r="BK81" s="2865">
        <f>(BK75+BK78)-BK79</f>
        <v>0</v>
      </c>
      <c r="BL81" s="2865">
        <f>(BL75+BL78)-BL79</f>
        <v>0</v>
      </c>
      <c r="BM81" s="2866">
        <f>(BM75+BM78)-BM79</f>
        <v>0</v>
      </c>
      <c r="BN81" s="2868"/>
      <c r="BO81" s="2868"/>
      <c r="BP81" s="2865">
        <f>(BP75+BP78)-BP79</f>
        <v>0</v>
      </c>
      <c r="BQ81" s="2865">
        <f>(BQ75+BQ78)-BQ79</f>
        <v>0</v>
      </c>
      <c r="BR81" s="2866">
        <f>(BR75+BR78)-BR79</f>
        <v>0</v>
      </c>
      <c r="BS81" s="2868"/>
      <c r="BT81" s="3138"/>
      <c r="BU81" s="2865">
        <f>(BU75+BU78)-BU79</f>
        <v>0</v>
      </c>
      <c r="BV81" s="2865">
        <f>(BV75+BV78)-BV79</f>
        <v>0</v>
      </c>
      <c r="BW81" s="2866">
        <f>(BW75+BW78)-BW79</f>
        <v>0</v>
      </c>
      <c r="BX81" s="2868"/>
      <c r="BY81" s="3138"/>
      <c r="BZ81" s="2865">
        <f>(BZ75+BZ78)-BZ79</f>
        <v>0</v>
      </c>
      <c r="CA81" s="2865">
        <f>(CA75+CA78)-CA79</f>
        <v>0</v>
      </c>
      <c r="CB81" s="2866">
        <f>(CB75+CB78)-CB79</f>
        <v>0</v>
      </c>
      <c r="CC81" s="2868"/>
      <c r="CD81" s="3138"/>
      <c r="CE81" s="2865">
        <f>(CE75+CE78)-CE79</f>
        <v>0</v>
      </c>
      <c r="CF81" s="2865">
        <f>(CF75+CF78)-CF79</f>
        <v>0</v>
      </c>
      <c r="CG81" s="2866">
        <f>(CG75+CG78)-CG79</f>
        <v>0</v>
      </c>
      <c r="CH81" s="2868"/>
      <c r="CI81" s="3138"/>
      <c r="CJ81" s="2865">
        <f>(CJ75+CJ78)-CJ79</f>
        <v>0</v>
      </c>
      <c r="CK81" s="2865">
        <f>(CK75+CK78)-CK79</f>
        <v>0</v>
      </c>
      <c r="CL81" s="2866">
        <f>(CL75+CL78)-CL79</f>
        <v>0</v>
      </c>
      <c r="CM81" s="2868"/>
      <c r="CN81" s="3138"/>
      <c r="CO81" s="2865">
        <f>(CO75+CO78)-CO79</f>
        <v>-6894.5723610440909</v>
      </c>
      <c r="CP81" s="2865">
        <f>(CP75+CP78)-CP79</f>
        <v>-27132.760000000009</v>
      </c>
      <c r="CQ81" s="2866">
        <f>(CQ75+CQ78)-CQ79</f>
        <v>-34027.3323610441</v>
      </c>
      <c r="CR81" s="2868"/>
      <c r="CS81" s="2868"/>
    </row>
    <row r="82" spans="1:97" s="1411" customFormat="1" ht="13.8" x14ac:dyDescent="0.25">
      <c r="A82" s="1580"/>
      <c r="B82" s="1415" t="s">
        <v>38</v>
      </c>
      <c r="C82" s="3274"/>
      <c r="D82" s="3274"/>
      <c r="E82" s="3332">
        <f>C82+D82</f>
        <v>0</v>
      </c>
      <c r="F82" s="3321"/>
      <c r="G82" s="3321"/>
      <c r="H82" s="3274"/>
      <c r="I82" s="3274"/>
      <c r="J82" s="3332">
        <f>H82+I82</f>
        <v>0</v>
      </c>
      <c r="K82" s="3321"/>
      <c r="L82" s="3321"/>
      <c r="M82" s="3274"/>
      <c r="N82" s="3274"/>
      <c r="O82" s="3332">
        <f>M82+N82</f>
        <v>0</v>
      </c>
      <c r="P82" s="3321"/>
      <c r="Q82" s="3321"/>
      <c r="R82" s="3274"/>
      <c r="S82" s="3274"/>
      <c r="T82" s="3332">
        <f>R82+S82</f>
        <v>0</v>
      </c>
      <c r="U82" s="3321"/>
      <c r="V82" s="3321"/>
      <c r="W82" s="3274">
        <v>0</v>
      </c>
      <c r="X82" s="3274">
        <v>0</v>
      </c>
      <c r="Y82" s="3332">
        <v>0</v>
      </c>
      <c r="Z82" s="3321"/>
      <c r="AA82" s="3321"/>
      <c r="AB82" s="3274">
        <f t="shared" ref="AB82:AC82" si="118">AG82+AL82+AQ82+AV82+BA82+BF82+BK82+BP82+BU82+BZ82+CE82+CJ82</f>
        <v>0</v>
      </c>
      <c r="AC82" s="3274">
        <f t="shared" si="118"/>
        <v>0</v>
      </c>
      <c r="AD82" s="3332">
        <f>AB82+AC82</f>
        <v>0</v>
      </c>
      <c r="AE82" s="3321"/>
      <c r="AF82" s="3321"/>
      <c r="AG82" s="3274"/>
      <c r="AH82" s="3274"/>
      <c r="AI82" s="3332">
        <f>AG82+AH82</f>
        <v>0</v>
      </c>
      <c r="AJ82" s="3321"/>
      <c r="AK82" s="3321"/>
      <c r="AL82" s="3274"/>
      <c r="AM82" s="3274"/>
      <c r="AN82" s="3332">
        <f>AL82+AM82</f>
        <v>0</v>
      </c>
      <c r="AO82" s="3321"/>
      <c r="AP82" s="3321"/>
      <c r="AQ82" s="3274"/>
      <c r="AR82" s="3274"/>
      <c r="AS82" s="3332">
        <f>AQ82+AR82</f>
        <v>0</v>
      </c>
      <c r="AT82" s="3321"/>
      <c r="AU82" s="3321"/>
      <c r="AV82" s="3274"/>
      <c r="AW82" s="3274"/>
      <c r="AX82" s="3332">
        <f>AV82+AW82</f>
        <v>0</v>
      </c>
      <c r="AY82" s="3321"/>
      <c r="AZ82" s="3321"/>
      <c r="BA82" s="3274"/>
      <c r="BB82" s="3274"/>
      <c r="BC82" s="3332">
        <f>BA82+BB82</f>
        <v>0</v>
      </c>
      <c r="BD82" s="3321"/>
      <c r="BE82" s="3321"/>
      <c r="BF82" s="3274"/>
      <c r="BG82" s="3274"/>
      <c r="BH82" s="3332">
        <f>BF82+BG82</f>
        <v>0</v>
      </c>
      <c r="BI82" s="3321"/>
      <c r="BJ82" s="3321"/>
      <c r="BK82" s="3274"/>
      <c r="BL82" s="3274"/>
      <c r="BM82" s="3332">
        <f>BK82+BL82</f>
        <v>0</v>
      </c>
      <c r="BN82" s="3321"/>
      <c r="BO82" s="3321"/>
      <c r="BP82" s="3274"/>
      <c r="BQ82" s="3274"/>
      <c r="BR82" s="3332">
        <f>BP82+BQ82</f>
        <v>0</v>
      </c>
      <c r="BS82" s="3321"/>
      <c r="BT82" s="3321"/>
      <c r="BU82" s="3274"/>
      <c r="BV82" s="3274"/>
      <c r="BW82" s="3332">
        <f>BU82+BV82</f>
        <v>0</v>
      </c>
      <c r="BX82" s="3321"/>
      <c r="BY82" s="3321"/>
      <c r="BZ82" s="3274"/>
      <c r="CA82" s="3274"/>
      <c r="CB82" s="3332">
        <f>BZ82+CA82</f>
        <v>0</v>
      </c>
      <c r="CC82" s="3321"/>
      <c r="CD82" s="3321"/>
      <c r="CE82" s="3274"/>
      <c r="CF82" s="3274"/>
      <c r="CG82" s="3332">
        <f>CE82+CF82</f>
        <v>0</v>
      </c>
      <c r="CH82" s="3321"/>
      <c r="CI82" s="3321"/>
      <c r="CJ82" s="3274"/>
      <c r="CK82" s="3274"/>
      <c r="CL82" s="3332">
        <f>CJ82+CK82</f>
        <v>0</v>
      </c>
      <c r="CM82" s="3321"/>
      <c r="CN82" s="3321"/>
      <c r="CO82" s="3274">
        <f>H82+M82+R82+AG82+AL82+C82+AQ82+AV82+BA82+BF82+BK82+BP82+BU82+BZ82+CE82+CJ82+W82</f>
        <v>0</v>
      </c>
      <c r="CP82" s="3274">
        <f>I82+N82+S82+AH82+AM82+D82+AR82+AW82+BB82+BG82+BL82+BQ82+BV82+CA82+CF82+CK82+X82</f>
        <v>0</v>
      </c>
      <c r="CQ82" s="3332">
        <f>CO82+CP82</f>
        <v>0</v>
      </c>
      <c r="CR82" s="3321"/>
      <c r="CS82" s="3321"/>
    </row>
    <row r="83" spans="1:97" s="1411" customFormat="1" ht="14.4" thickBot="1" x14ac:dyDescent="0.3">
      <c r="A83" s="1420"/>
      <c r="B83" s="3337" t="s">
        <v>13</v>
      </c>
      <c r="C83" s="3338">
        <f>(C81+C7)-C36</f>
        <v>0</v>
      </c>
      <c r="D83" s="3338">
        <f>(D81+D7)-D36</f>
        <v>0</v>
      </c>
      <c r="E83" s="3339">
        <f>(E81+E7)-E36</f>
        <v>0</v>
      </c>
      <c r="F83" s="3340"/>
      <c r="G83" s="3340"/>
      <c r="H83" s="3338">
        <f>(H81+H7)-H36</f>
        <v>-143175.07687041757</v>
      </c>
      <c r="I83" s="3338">
        <f>(I81+I7)-I36</f>
        <v>-42700</v>
      </c>
      <c r="J83" s="3339">
        <f>(J81+J7)-J36</f>
        <v>-185875.07687041757</v>
      </c>
      <c r="K83" s="3340"/>
      <c r="L83" s="3340"/>
      <c r="M83" s="3338">
        <f>(M81+M7)-M36</f>
        <v>-60089.648426966291</v>
      </c>
      <c r="N83" s="3338">
        <f>(N81+N7)-N36</f>
        <v>103973.5</v>
      </c>
      <c r="O83" s="3339">
        <f>(O81+O7)-O36</f>
        <v>43883.851573033724</v>
      </c>
      <c r="P83" s="3340"/>
      <c r="Q83" s="3340"/>
      <c r="R83" s="3338">
        <f>(R81+R7)-R36</f>
        <v>-180524.81384350313</v>
      </c>
      <c r="S83" s="3338">
        <f>(S81+S7)-S36</f>
        <v>189434.99</v>
      </c>
      <c r="T83" s="3339">
        <f>(T81+T7)-T36</f>
        <v>8910.1761564968983</v>
      </c>
      <c r="U83" s="3340"/>
      <c r="V83" s="3340"/>
      <c r="W83" s="3338">
        <v>269688.02935070184</v>
      </c>
      <c r="X83" s="3338">
        <v>-239108.25</v>
      </c>
      <c r="Y83" s="3338">
        <v>30579.779350701821</v>
      </c>
      <c r="Z83" s="3340"/>
      <c r="AA83" s="3340"/>
      <c r="AB83" s="3338">
        <f>AB81-AB36</f>
        <v>107206.93742914095</v>
      </c>
      <c r="AC83" s="3338">
        <f>AC81-AC36</f>
        <v>-38733</v>
      </c>
      <c r="AD83" s="3338">
        <f>AD81-AD36</f>
        <v>68473.937429140919</v>
      </c>
      <c r="AE83" s="3340"/>
      <c r="AF83" s="3340"/>
      <c r="AG83" s="3338">
        <f>(AG81+AG7)-AG36</f>
        <v>13365.85456647399</v>
      </c>
      <c r="AH83" s="3338">
        <f>(AH81+AH7)-AH36</f>
        <v>-4980</v>
      </c>
      <c r="AI83" s="3339">
        <f>(AI81+AI7)-AI36</f>
        <v>8385.8545664739904</v>
      </c>
      <c r="AJ83" s="3340"/>
      <c r="AK83" s="3340"/>
      <c r="AL83" s="3338">
        <f>(AL81+AL7)-AL36</f>
        <v>60116.044104046239</v>
      </c>
      <c r="AM83" s="3338">
        <f>(AM81+AM7)-AM36</f>
        <v>-31900</v>
      </c>
      <c r="AN83" s="3339">
        <f>(AN81+AN7)-AN36</f>
        <v>28216.044104046239</v>
      </c>
      <c r="AO83" s="3340"/>
      <c r="AP83" s="3340"/>
      <c r="AQ83" s="3338">
        <f>(AQ81+AQ7)-AQ36</f>
        <v>33725.0387586207</v>
      </c>
      <c r="AR83" s="3338">
        <f>(AR81+AR7)-AR36</f>
        <v>-1853</v>
      </c>
      <c r="AS83" s="3339">
        <f>(AS81+AS7)-AS36</f>
        <v>31872.0387586207</v>
      </c>
      <c r="AT83" s="3340"/>
      <c r="AU83" s="3340"/>
      <c r="AV83" s="3338">
        <f>(AV81+AV7)-AV36</f>
        <v>0</v>
      </c>
      <c r="AW83" s="3338">
        <f>(AW81+AW7)-AW36</f>
        <v>0</v>
      </c>
      <c r="AX83" s="3339">
        <f>(AX81+AX7)-AX36</f>
        <v>0</v>
      </c>
      <c r="AY83" s="3340"/>
      <c r="AZ83" s="3340"/>
      <c r="BA83" s="3338">
        <f>(BA81+BA7)-BA36</f>
        <v>0</v>
      </c>
      <c r="BB83" s="3338">
        <f>(BB81+BB7)-BB36</f>
        <v>0</v>
      </c>
      <c r="BC83" s="3339">
        <f>(BC81+BC7)-BC36</f>
        <v>0</v>
      </c>
      <c r="BD83" s="3340"/>
      <c r="BE83" s="3340"/>
      <c r="BF83" s="3338">
        <f>(BF81+BF7)-BF36</f>
        <v>0</v>
      </c>
      <c r="BG83" s="3338">
        <f>(BG81+BG7)-BG36</f>
        <v>0</v>
      </c>
      <c r="BH83" s="3339">
        <f>(BH81+BH7)-BH36</f>
        <v>0</v>
      </c>
      <c r="BI83" s="3340"/>
      <c r="BJ83" s="3340"/>
      <c r="BK83" s="3338">
        <f>(BK81+BK7)-BK36</f>
        <v>0</v>
      </c>
      <c r="BL83" s="3338">
        <f>(BL81+BL7)-BL36</f>
        <v>0</v>
      </c>
      <c r="BM83" s="3339">
        <f>(BM81+BM7)-BM36</f>
        <v>0</v>
      </c>
      <c r="BN83" s="3340"/>
      <c r="BO83" s="3340"/>
      <c r="BP83" s="3338">
        <f>(BP81+BP7)-BP36</f>
        <v>0</v>
      </c>
      <c r="BQ83" s="3338">
        <f>(BQ81+BQ7)-BQ36</f>
        <v>0</v>
      </c>
      <c r="BR83" s="3339">
        <f>(BR81+BR7)-BR36</f>
        <v>0</v>
      </c>
      <c r="BS83" s="3340"/>
      <c r="BT83" s="3341"/>
      <c r="BU83" s="3338">
        <f>(BU81+BU7)-BU36</f>
        <v>0</v>
      </c>
      <c r="BV83" s="3338">
        <f>(BV81+BV7)-BV36</f>
        <v>0</v>
      </c>
      <c r="BW83" s="3339">
        <f>(BW81+BW7)-BW36</f>
        <v>0</v>
      </c>
      <c r="BX83" s="3340"/>
      <c r="BY83" s="3341"/>
      <c r="BZ83" s="3338">
        <f>(BZ81+BZ7)-BZ36</f>
        <v>0</v>
      </c>
      <c r="CA83" s="3338">
        <f>(CA81+CA7)-CA36</f>
        <v>0</v>
      </c>
      <c r="CB83" s="3339">
        <f>(CB81+CB7)-CB36</f>
        <v>0</v>
      </c>
      <c r="CC83" s="3340"/>
      <c r="CD83" s="3341"/>
      <c r="CE83" s="3338">
        <f>(CE81+CE7)-CE36</f>
        <v>0</v>
      </c>
      <c r="CF83" s="3338">
        <f>(CF81+CF7)-CF36</f>
        <v>0</v>
      </c>
      <c r="CG83" s="3339">
        <f>(CG81+CG7)-CG36</f>
        <v>0</v>
      </c>
      <c r="CH83" s="3340"/>
      <c r="CI83" s="3341"/>
      <c r="CJ83" s="3338">
        <f>(CJ81+CJ7)-CJ36</f>
        <v>0</v>
      </c>
      <c r="CK83" s="3338">
        <f>(CK81+CK7)-CK36</f>
        <v>0</v>
      </c>
      <c r="CL83" s="3339">
        <f>(CL81+CL7)-CL36</f>
        <v>0</v>
      </c>
      <c r="CM83" s="3340"/>
      <c r="CN83" s="3341"/>
      <c r="CO83" s="3339">
        <f>(CO81)-CO36</f>
        <v>-6894.5723610440909</v>
      </c>
      <c r="CP83" s="3338">
        <f>(CP81)-CP36</f>
        <v>-27132.760000000009</v>
      </c>
      <c r="CQ83" s="3339">
        <f>(CQ81)-CQ36</f>
        <v>-34027.3323610441</v>
      </c>
      <c r="CR83" s="3340"/>
      <c r="CS83" s="3340"/>
    </row>
    <row r="84" spans="1:97" s="1411" customFormat="1" ht="14.4" thickBot="1" x14ac:dyDescent="0.3">
      <c r="A84" s="1420"/>
      <c r="B84" s="3146" t="s">
        <v>14</v>
      </c>
      <c r="C84" s="2873">
        <f>C83-C73-C82</f>
        <v>0</v>
      </c>
      <c r="D84" s="2873">
        <f>D83-D73-D82</f>
        <v>0</v>
      </c>
      <c r="E84" s="2873">
        <f>E83-E73-E82</f>
        <v>0</v>
      </c>
      <c r="F84" s="2874"/>
      <c r="G84" s="2874"/>
      <c r="H84" s="2873">
        <f>H83-H73-H82</f>
        <v>-143175.07687041757</v>
      </c>
      <c r="I84" s="2873">
        <f>I83-I73-I82</f>
        <v>-42700</v>
      </c>
      <c r="J84" s="2873">
        <f>J83-J73-J82</f>
        <v>-185875.07687041757</v>
      </c>
      <c r="K84" s="2874"/>
      <c r="L84" s="2874"/>
      <c r="M84" s="2873">
        <f>M83-M73-M82</f>
        <v>-60089.648426966291</v>
      </c>
      <c r="N84" s="2873">
        <f>N83-N73-N82</f>
        <v>103973.5</v>
      </c>
      <c r="O84" s="2873">
        <f>O83-O73-O82</f>
        <v>43883.851573033724</v>
      </c>
      <c r="P84" s="2874"/>
      <c r="Q84" s="2874"/>
      <c r="R84" s="2873">
        <f>R83-R73-R82</f>
        <v>-180524.81384350313</v>
      </c>
      <c r="S84" s="2873">
        <f>S83-S73-S82</f>
        <v>189434.99</v>
      </c>
      <c r="T84" s="2873">
        <f>T83-T73-T82</f>
        <v>8910.1761564968983</v>
      </c>
      <c r="U84" s="2874"/>
      <c r="V84" s="2874"/>
      <c r="W84" s="2873">
        <v>269688.02935070184</v>
      </c>
      <c r="X84" s="2873">
        <v>-239108.25</v>
      </c>
      <c r="Y84" s="2873">
        <v>30579.779350701821</v>
      </c>
      <c r="Z84" s="2874"/>
      <c r="AA84" s="2874"/>
      <c r="AB84" s="2873">
        <f>AB83-AB73-AB82</f>
        <v>107206.93742914095</v>
      </c>
      <c r="AC84" s="2873">
        <f>AC83-AC73-AC82</f>
        <v>-38733</v>
      </c>
      <c r="AD84" s="2873">
        <f>AD83-AD73-AD82</f>
        <v>68473.937429140919</v>
      </c>
      <c r="AE84" s="2874"/>
      <c r="AF84" s="2874"/>
      <c r="AG84" s="2873">
        <f>AG83-AG73-AG82</f>
        <v>13365.85456647399</v>
      </c>
      <c r="AH84" s="2873">
        <f>AH83-AH73-AH82</f>
        <v>-4980</v>
      </c>
      <c r="AI84" s="2873">
        <f>AI83-AI73-AI82</f>
        <v>8385.8545664739904</v>
      </c>
      <c r="AJ84" s="2874"/>
      <c r="AK84" s="2874"/>
      <c r="AL84" s="2873">
        <f>AL83-AL73-AL82</f>
        <v>60116.044104046239</v>
      </c>
      <c r="AM84" s="2873">
        <f>AM83-AM73-AM82</f>
        <v>-31900</v>
      </c>
      <c r="AN84" s="2873">
        <f>AN83-AN73-AN82</f>
        <v>28216.044104046239</v>
      </c>
      <c r="AO84" s="2874"/>
      <c r="AP84" s="2874"/>
      <c r="AQ84" s="2873">
        <f>AQ83-AQ73-AQ82</f>
        <v>33725.0387586207</v>
      </c>
      <c r="AR84" s="2873">
        <f>AR83-AR73-AR82</f>
        <v>-1853</v>
      </c>
      <c r="AS84" s="2873">
        <f>AS83-AS73-AS82</f>
        <v>31872.0387586207</v>
      </c>
      <c r="AT84" s="2874"/>
      <c r="AU84" s="2874"/>
      <c r="AV84" s="2873">
        <f>AV83-AV73-AV82</f>
        <v>0</v>
      </c>
      <c r="AW84" s="2873">
        <f>AW83-AW73-AW82</f>
        <v>0</v>
      </c>
      <c r="AX84" s="2873">
        <f>AX83-AX73-AX82</f>
        <v>0</v>
      </c>
      <c r="AY84" s="2874"/>
      <c r="AZ84" s="2874"/>
      <c r="BA84" s="2873">
        <f>BA83-BA73-BA82</f>
        <v>0</v>
      </c>
      <c r="BB84" s="2873">
        <f>BB83-BB73-BB82</f>
        <v>0</v>
      </c>
      <c r="BC84" s="2873">
        <f>BC83-BC73-BC82</f>
        <v>0</v>
      </c>
      <c r="BD84" s="2874"/>
      <c r="BE84" s="2874"/>
      <c r="BF84" s="2873">
        <f>BF83-BF73-BF82</f>
        <v>0</v>
      </c>
      <c r="BG84" s="2873">
        <f>BG83-BG73-BG82</f>
        <v>0</v>
      </c>
      <c r="BH84" s="2873">
        <f>BH83-BH73-BH82</f>
        <v>0</v>
      </c>
      <c r="BI84" s="2874"/>
      <c r="BJ84" s="3342"/>
      <c r="BK84" s="2873">
        <f>BK83-BK73-BK82</f>
        <v>0</v>
      </c>
      <c r="BL84" s="2873">
        <f>BL83-BL73-BL82</f>
        <v>0</v>
      </c>
      <c r="BM84" s="2873">
        <f>BM83-BM73-BM82</f>
        <v>0</v>
      </c>
      <c r="BN84" s="2874"/>
      <c r="BO84" s="3342"/>
      <c r="BP84" s="2873">
        <f>BP83-BP73-BP82</f>
        <v>0</v>
      </c>
      <c r="BQ84" s="2873">
        <f>BQ83-BQ73-BQ82</f>
        <v>0</v>
      </c>
      <c r="BR84" s="2873">
        <f>BR83-BR73-BR82</f>
        <v>0</v>
      </c>
      <c r="BS84" s="2874"/>
      <c r="BT84" s="3343"/>
      <c r="BU84" s="2873">
        <f>BU83-BU73-BU82</f>
        <v>0</v>
      </c>
      <c r="BV84" s="2873">
        <f>BV83-BV73-BV82</f>
        <v>0</v>
      </c>
      <c r="BW84" s="2873">
        <f>BW83-BW73-BW82</f>
        <v>0</v>
      </c>
      <c r="BX84" s="2874"/>
      <c r="BY84" s="3343"/>
      <c r="BZ84" s="2873">
        <f>BZ83-BZ73-BZ82</f>
        <v>0</v>
      </c>
      <c r="CA84" s="2873">
        <f>CA83-CA73-CA82</f>
        <v>0</v>
      </c>
      <c r="CB84" s="2873">
        <f>CB83-CB73-CB82</f>
        <v>0</v>
      </c>
      <c r="CC84" s="2874"/>
      <c r="CD84" s="3343"/>
      <c r="CE84" s="2873">
        <f>CE83-CE73-CE82</f>
        <v>0</v>
      </c>
      <c r="CF84" s="2873">
        <f>CF83-CF73-CF82</f>
        <v>0</v>
      </c>
      <c r="CG84" s="2873">
        <f>CG83-CG73-CG82</f>
        <v>0</v>
      </c>
      <c r="CH84" s="2874"/>
      <c r="CI84" s="3343"/>
      <c r="CJ84" s="2873">
        <f>CJ83-CJ73-CJ82</f>
        <v>0</v>
      </c>
      <c r="CK84" s="2873">
        <f>CK83-CK73-CK82</f>
        <v>0</v>
      </c>
      <c r="CL84" s="2873">
        <f>CL83-CL73-CL82</f>
        <v>0</v>
      </c>
      <c r="CM84" s="2874"/>
      <c r="CN84" s="3343"/>
      <c r="CO84" s="2873">
        <f>CO83-CO73-CO82</f>
        <v>-6894.5723610440909</v>
      </c>
      <c r="CP84" s="2873">
        <f>CP83-CP73-CP82</f>
        <v>-27132.760000000009</v>
      </c>
      <c r="CQ84" s="3344">
        <f>CQ83-CQ73-CQ82</f>
        <v>-34027.3323610441</v>
      </c>
      <c r="CR84" s="3345"/>
      <c r="CS84" s="3345"/>
    </row>
    <row r="85" spans="1:97" s="1411" customFormat="1" ht="27.6" x14ac:dyDescent="0.25">
      <c r="A85" s="1580"/>
      <c r="B85" s="1061" t="s">
        <v>44</v>
      </c>
      <c r="C85" s="3274"/>
      <c r="D85" s="3274"/>
      <c r="E85" s="2028">
        <f>C85+D85*1.15</f>
        <v>0</v>
      </c>
      <c r="F85" s="3321"/>
      <c r="G85" s="3321"/>
      <c r="H85" s="3274"/>
      <c r="I85" s="3274"/>
      <c r="J85" s="2028">
        <f>H85+I85*1.15</f>
        <v>0</v>
      </c>
      <c r="K85" s="3321"/>
      <c r="L85" s="3321"/>
      <c r="M85" s="3274"/>
      <c r="N85" s="3274"/>
      <c r="O85" s="2497"/>
      <c r="P85" s="3321"/>
      <c r="Q85" s="3346" t="s">
        <v>1510</v>
      </c>
      <c r="R85" s="3274"/>
      <c r="S85" s="3274"/>
      <c r="T85" s="2497"/>
      <c r="U85" s="3321"/>
      <c r="V85" s="3347" t="s">
        <v>1512</v>
      </c>
      <c r="W85" s="3274">
        <v>0</v>
      </c>
      <c r="X85" s="3274">
        <v>0</v>
      </c>
      <c r="Y85" s="2028">
        <v>0</v>
      </c>
      <c r="Z85" s="3321"/>
      <c r="AA85" s="3321"/>
      <c r="AB85" s="3274">
        <f t="shared" ref="AB85:AC85" si="119">AG85+AL85+AQ85+AV85+BA85+BF85+BK85+BP85+BU85+BZ85+CE85+CJ85</f>
        <v>0</v>
      </c>
      <c r="AC85" s="3274">
        <f t="shared" si="119"/>
        <v>0</v>
      </c>
      <c r="AD85" s="2028">
        <f>AB85+AC85</f>
        <v>0</v>
      </c>
      <c r="AE85" s="3321"/>
      <c r="AF85" s="3321"/>
      <c r="AG85" s="3274"/>
      <c r="AH85" s="3274"/>
      <c r="AI85" s="2028"/>
      <c r="AJ85" s="3321"/>
      <c r="AK85" s="3347"/>
      <c r="AL85" s="3274"/>
      <c r="AM85" s="3274"/>
      <c r="AN85" s="2028"/>
      <c r="AO85" s="3321"/>
      <c r="AP85" s="3348"/>
      <c r="AQ85" s="3274"/>
      <c r="AR85" s="3349">
        <f>(AS38/2*0.885+AN38)*0</f>
        <v>0</v>
      </c>
      <c r="AS85" s="1873"/>
      <c r="AT85" s="3350"/>
      <c r="AU85" s="3347"/>
      <c r="AV85" s="3274"/>
      <c r="AW85" s="3349"/>
      <c r="AX85" s="2049">
        <f>AV85+AW85</f>
        <v>0</v>
      </c>
      <c r="AY85" s="3351"/>
      <c r="AZ85" s="3348"/>
      <c r="BA85" s="3274"/>
      <c r="BB85" s="3349"/>
      <c r="BC85" s="2049">
        <f>BA85+BB85</f>
        <v>0</v>
      </c>
      <c r="BD85" s="3351"/>
      <c r="BE85" s="3348"/>
      <c r="BF85" s="3274"/>
      <c r="BG85" s="3349"/>
      <c r="BH85" s="2049">
        <f>BF85+BG85</f>
        <v>0</v>
      </c>
      <c r="BI85" s="3351"/>
      <c r="BK85" s="3274"/>
      <c r="BL85" s="3349"/>
      <c r="BM85" s="2049">
        <f>BK85+BL85</f>
        <v>0</v>
      </c>
      <c r="BN85" s="3351"/>
      <c r="BO85" s="3351"/>
      <c r="BP85" s="3274"/>
      <c r="BQ85" s="3349"/>
      <c r="BR85" s="2049">
        <f>BP85+BQ85</f>
        <v>0</v>
      </c>
      <c r="BS85" s="3351"/>
      <c r="BT85" s="3351"/>
      <c r="BU85" s="3274"/>
      <c r="BV85" s="3349"/>
      <c r="BW85" s="2049">
        <f>BU85+BV85</f>
        <v>0</v>
      </c>
      <c r="BX85" s="3351"/>
      <c r="BY85" s="3351"/>
      <c r="BZ85" s="3274"/>
      <c r="CA85" s="3349"/>
      <c r="CB85" s="2049">
        <f>BZ85+CA85</f>
        <v>0</v>
      </c>
      <c r="CC85" s="3351"/>
      <c r="CD85" s="3351"/>
      <c r="CE85" s="3274"/>
      <c r="CF85" s="3349"/>
      <c r="CG85" s="2049">
        <f>CE85+CF85</f>
        <v>0</v>
      </c>
      <c r="CH85" s="3351"/>
      <c r="CI85" s="3351"/>
      <c r="CJ85" s="3274"/>
      <c r="CK85" s="3349"/>
      <c r="CL85" s="2049">
        <f>CJ85+CK85</f>
        <v>0</v>
      </c>
      <c r="CM85" s="3351"/>
      <c r="CN85" s="3351"/>
      <c r="CO85" s="3274">
        <f>H85+M85+R85+AG85+AL85+C85+AQ85+AV85+BA85+BF85+BK85+BP85+BU85+BZ85+CE85+CJ85+W85</f>
        <v>0</v>
      </c>
      <c r="CP85" s="3274">
        <f>I85+N85+S85+AH85+AM85+D85+AR85+AW85+BB85+BG85+BL85+BQ85+BV85+CA85+CF85+CK85+X85</f>
        <v>0</v>
      </c>
      <c r="CQ85" s="3280">
        <f>J85+O85+T85+AI85+AN85+E85+AS85+AX85</f>
        <v>0</v>
      </c>
      <c r="CR85" s="3352"/>
      <c r="CS85" s="3352"/>
    </row>
    <row r="86" spans="1:97" s="1411" customFormat="1" ht="27.6" x14ac:dyDescent="0.25">
      <c r="A86" s="1420"/>
      <c r="B86" s="3353" t="s">
        <v>50</v>
      </c>
      <c r="C86" s="3354">
        <f>C84-C85</f>
        <v>0</v>
      </c>
      <c r="D86" s="3354">
        <f>D84-D85</f>
        <v>0</v>
      </c>
      <c r="E86" s="3354">
        <f>E84-E85</f>
        <v>0</v>
      </c>
      <c r="F86" s="3355"/>
      <c r="G86" s="3355"/>
      <c r="H86" s="3354">
        <f>H84-H85</f>
        <v>-143175.07687041757</v>
      </c>
      <c r="I86" s="3354">
        <f>I84-I85</f>
        <v>-42700</v>
      </c>
      <c r="J86" s="3354">
        <f>J84-J85</f>
        <v>-185875.07687041757</v>
      </c>
      <c r="K86" s="3355"/>
      <c r="L86" s="3355"/>
      <c r="M86" s="3354">
        <f>M84-M85</f>
        <v>-60089.648426966291</v>
      </c>
      <c r="N86" s="3354">
        <f>N84-N85</f>
        <v>103973.5</v>
      </c>
      <c r="O86" s="3354">
        <f>O84-O85</f>
        <v>43883.851573033724</v>
      </c>
      <c r="P86" s="3355"/>
      <c r="Q86" s="3355"/>
      <c r="R86" s="3354">
        <f>R84-R85</f>
        <v>-180524.81384350313</v>
      </c>
      <c r="S86" s="3354">
        <f>S84-S85</f>
        <v>189434.99</v>
      </c>
      <c r="T86" s="3354">
        <f>T84-T85</f>
        <v>8910.1761564968983</v>
      </c>
      <c r="U86" s="3355"/>
      <c r="V86" s="3355"/>
      <c r="W86" s="3354">
        <v>269688.02935070184</v>
      </c>
      <c r="X86" s="3354">
        <v>-239108.25</v>
      </c>
      <c r="Y86" s="3354">
        <v>30579.779350701821</v>
      </c>
      <c r="Z86" s="3355"/>
      <c r="AA86" s="3355"/>
      <c r="AB86" s="3354">
        <f>AB84-AB85</f>
        <v>107206.93742914095</v>
      </c>
      <c r="AC86" s="3354">
        <f>AC84-AC85</f>
        <v>-38733</v>
      </c>
      <c r="AD86" s="3354">
        <f>AD84</f>
        <v>68473.937429140919</v>
      </c>
      <c r="AE86" s="3355"/>
      <c r="AF86" s="3355"/>
      <c r="AG86" s="3354">
        <f>AG84-AG85</f>
        <v>13365.85456647399</v>
      </c>
      <c r="AH86" s="3354">
        <f>AH84-AH85</f>
        <v>-4980</v>
      </c>
      <c r="AI86" s="3354">
        <f>AI84-AI85</f>
        <v>8385.8545664739904</v>
      </c>
      <c r="AJ86" s="3355"/>
      <c r="AK86" s="3355"/>
      <c r="AL86" s="3354">
        <f>AL84-AL85</f>
        <v>60116.044104046239</v>
      </c>
      <c r="AM86" s="3354">
        <f>AM84-AM85</f>
        <v>-31900</v>
      </c>
      <c r="AN86" s="3354">
        <f>AN84</f>
        <v>28216.044104046239</v>
      </c>
      <c r="AO86" s="3355"/>
      <c r="AP86" s="3355"/>
      <c r="AQ86" s="3354">
        <f>AQ84-AQ85</f>
        <v>33725.0387586207</v>
      </c>
      <c r="AR86" s="3354">
        <f>AR84-AR85</f>
        <v>-1853</v>
      </c>
      <c r="AS86" s="3354">
        <f>AS84</f>
        <v>31872.0387586207</v>
      </c>
      <c r="AT86" s="3355"/>
      <c r="AU86" s="3355"/>
      <c r="AV86" s="3354">
        <f>AV84-AV85</f>
        <v>0</v>
      </c>
      <c r="AW86" s="3354">
        <f>AW84-AW85</f>
        <v>0</v>
      </c>
      <c r="AX86" s="3354">
        <f>AX84-AX85</f>
        <v>0</v>
      </c>
      <c r="AY86" s="3355"/>
      <c r="AZ86" s="3355"/>
      <c r="BA86" s="3354">
        <f>BA84-BA85</f>
        <v>0</v>
      </c>
      <c r="BB86" s="3354">
        <f>BB84-BB85</f>
        <v>0</v>
      </c>
      <c r="BC86" s="3354">
        <f>BC84-BC85</f>
        <v>0</v>
      </c>
      <c r="BD86" s="3355"/>
      <c r="BE86" s="3355"/>
      <c r="BF86" s="3354">
        <f>BF84-BF85</f>
        <v>0</v>
      </c>
      <c r="BG86" s="3354">
        <f>BG84-BG85</f>
        <v>0</v>
      </c>
      <c r="BH86" s="3354">
        <f>BH84-BH85</f>
        <v>0</v>
      </c>
      <c r="BI86" s="3355"/>
      <c r="BJ86" s="3355"/>
      <c r="BK86" s="3354">
        <f>BK84-BK85</f>
        <v>0</v>
      </c>
      <c r="BL86" s="3354">
        <f>BL84-BL85</f>
        <v>0</v>
      </c>
      <c r="BM86" s="3354">
        <f>BM84-BM85</f>
        <v>0</v>
      </c>
      <c r="BN86" s="3355"/>
      <c r="BO86" s="3355"/>
      <c r="BP86" s="3354">
        <f>BP84-BP85</f>
        <v>0</v>
      </c>
      <c r="BQ86" s="3354">
        <f>BQ84-BQ85</f>
        <v>0</v>
      </c>
      <c r="BR86" s="3354">
        <f>BR84-BR85</f>
        <v>0</v>
      </c>
      <c r="BS86" s="3355"/>
      <c r="BT86" s="3355"/>
      <c r="BU86" s="3354">
        <f>BU84-BU85</f>
        <v>0</v>
      </c>
      <c r="BV86" s="3354">
        <f>BV84-BV85</f>
        <v>0</v>
      </c>
      <c r="BW86" s="3354">
        <f>BW84-BW85</f>
        <v>0</v>
      </c>
      <c r="BX86" s="3355"/>
      <c r="BY86" s="3355"/>
      <c r="BZ86" s="3354">
        <f>BZ84-BZ85</f>
        <v>0</v>
      </c>
      <c r="CA86" s="3354">
        <f>CA84-CA85</f>
        <v>0</v>
      </c>
      <c r="CB86" s="3354">
        <f>CB84-CB85</f>
        <v>0</v>
      </c>
      <c r="CC86" s="3355"/>
      <c r="CD86" s="3355"/>
      <c r="CE86" s="3354">
        <f>CE84-CE85</f>
        <v>0</v>
      </c>
      <c r="CF86" s="3354">
        <f>CF84-CF85</f>
        <v>0</v>
      </c>
      <c r="CG86" s="3354">
        <f>CG84-CG85</f>
        <v>0</v>
      </c>
      <c r="CH86" s="3355"/>
      <c r="CI86" s="3355"/>
      <c r="CJ86" s="3354">
        <f>CJ84-CJ85</f>
        <v>0</v>
      </c>
      <c r="CK86" s="3354">
        <f>CK84-CK85</f>
        <v>0</v>
      </c>
      <c r="CL86" s="3354">
        <f>CL84-CL85</f>
        <v>0</v>
      </c>
      <c r="CM86" s="3355"/>
      <c r="CN86" s="3355"/>
      <c r="CO86" s="3354">
        <f>CO84-CO85</f>
        <v>-6894.5723610440909</v>
      </c>
      <c r="CP86" s="3354">
        <f>CP84-CP85</f>
        <v>-27132.760000000009</v>
      </c>
      <c r="CQ86" s="3354">
        <f>CQ84-CQ85</f>
        <v>-34027.3323610441</v>
      </c>
      <c r="CR86" s="3355"/>
      <c r="CS86" s="3355"/>
    </row>
    <row r="87" spans="1:97" s="1411" customFormat="1" ht="14.4" thickBot="1" x14ac:dyDescent="0.3">
      <c r="A87" s="1582"/>
      <c r="B87" s="3356" t="s">
        <v>51</v>
      </c>
      <c r="C87" s="2877" t="e">
        <f>C86/C5</f>
        <v>#DIV/0!</v>
      </c>
      <c r="D87" s="2878" t="e">
        <f>D86/D5</f>
        <v>#DIV/0!</v>
      </c>
      <c r="E87" s="2879" t="e">
        <f>E86/E5</f>
        <v>#DIV/0!</v>
      </c>
      <c r="F87" s="2881"/>
      <c r="G87" s="2881"/>
      <c r="H87" s="2877">
        <f>H86/H5</f>
        <v>-28.635015374083515</v>
      </c>
      <c r="I87" s="2878" t="e">
        <f>I86/I5</f>
        <v>#DIV/0!</v>
      </c>
      <c r="J87" s="2879">
        <f>J86/J5</f>
        <v>-37.175015374083515</v>
      </c>
      <c r="K87" s="2881"/>
      <c r="L87" s="2881"/>
      <c r="M87" s="2877">
        <f>M86/M5</f>
        <v>-0.84453231942434703</v>
      </c>
      <c r="N87" s="2878">
        <f>N86/N5</f>
        <v>0.61305129716981133</v>
      </c>
      <c r="O87" s="2879">
        <f>O86/O5</f>
        <v>0.18227870490398299</v>
      </c>
      <c r="P87" s="2881"/>
      <c r="Q87" s="2881"/>
      <c r="R87" s="2877">
        <f>R86/R5</f>
        <v>-4.5131203460875779</v>
      </c>
      <c r="S87" s="2878">
        <f>S86/S5</f>
        <v>0.7178558869225814</v>
      </c>
      <c r="T87" s="2879">
        <f>T86/T5</f>
        <v>2.9320399343502248E-2</v>
      </c>
      <c r="U87" s="2881"/>
      <c r="V87" s="2881"/>
      <c r="W87" s="2877">
        <v>0.21000016208239286</v>
      </c>
      <c r="X87" s="2878" t="e">
        <v>#DIV/0!</v>
      </c>
      <c r="Y87" s="2879">
        <v>2.3811804459961214E-2</v>
      </c>
      <c r="Z87" s="2881"/>
      <c r="AA87" s="2881"/>
      <c r="AB87" s="2877">
        <f>AB86/AB5</f>
        <v>0.28677991982757123</v>
      </c>
      <c r="AC87" s="2878">
        <f>AC86/AC5</f>
        <v>-1.1755083459787556</v>
      </c>
      <c r="AD87" s="2879">
        <f>AD86/AD5</f>
        <v>0.16833162257028594</v>
      </c>
      <c r="AE87" s="2881"/>
      <c r="AF87" s="2881"/>
      <c r="AG87" s="2877">
        <f>AG86/AG5</f>
        <v>0.21782683452532578</v>
      </c>
      <c r="AH87" s="2878" t="e">
        <f>AH86/AH5</f>
        <v>#DIV/0!</v>
      </c>
      <c r="AI87" s="2879">
        <f>AI86/AI5</f>
        <v>0.13666646946665564</v>
      </c>
      <c r="AJ87" s="2881"/>
      <c r="AK87" s="2881"/>
      <c r="AL87" s="2877">
        <f>AL86/AL5</f>
        <v>0.29490333139095531</v>
      </c>
      <c r="AM87" s="2878">
        <f>AM86/AM5</f>
        <v>-2.5934959349593494</v>
      </c>
      <c r="AN87" s="2879">
        <f>AN86/AN5</f>
        <v>0.13053918160558056</v>
      </c>
      <c r="AO87" s="2881"/>
      <c r="AP87" s="2881"/>
      <c r="AQ87" s="2877">
        <f>AQ86/AQ5</f>
        <v>0.31048645515209627</v>
      </c>
      <c r="AR87" s="2878">
        <f>AR86/AR5</f>
        <v>-8.9733656174334139E-2</v>
      </c>
      <c r="AS87" s="2879">
        <f>AS86/AS5</f>
        <v>0.24655402458900519</v>
      </c>
      <c r="AT87" s="2881"/>
      <c r="AU87" s="2881"/>
      <c r="AV87" s="2877" t="e">
        <f>AV86/AV5</f>
        <v>#DIV/0!</v>
      </c>
      <c r="AW87" s="2878" t="e">
        <f>AW86/AW5</f>
        <v>#DIV/0!</v>
      </c>
      <c r="AX87" s="2879" t="e">
        <f>AX86/AX5</f>
        <v>#DIV/0!</v>
      </c>
      <c r="AY87" s="2881"/>
      <c r="AZ87" s="2881"/>
      <c r="BA87" s="2877" t="e">
        <f>BA86/BA5</f>
        <v>#DIV/0!</v>
      </c>
      <c r="BB87" s="2878" t="e">
        <f>BB86/BB5</f>
        <v>#DIV/0!</v>
      </c>
      <c r="BC87" s="2879" t="e">
        <f>BC86/BC5</f>
        <v>#DIV/0!</v>
      </c>
      <c r="BD87" s="2881"/>
      <c r="BE87" s="2881"/>
      <c r="BF87" s="2877" t="e">
        <f>BF86/BF5</f>
        <v>#DIV/0!</v>
      </c>
      <c r="BG87" s="2878" t="e">
        <f>BG86/BG5</f>
        <v>#DIV/0!</v>
      </c>
      <c r="BH87" s="2879" t="e">
        <f>BH86/BH5</f>
        <v>#DIV/0!</v>
      </c>
      <c r="BI87" s="2881"/>
      <c r="BJ87" s="2881"/>
      <c r="BK87" s="2877" t="e">
        <f>BK86/BK5</f>
        <v>#DIV/0!</v>
      </c>
      <c r="BL87" s="2878" t="e">
        <f>BL86/BL5</f>
        <v>#DIV/0!</v>
      </c>
      <c r="BM87" s="2879" t="e">
        <f>BM86/BM5</f>
        <v>#DIV/0!</v>
      </c>
      <c r="BN87" s="2881"/>
      <c r="BO87" s="2881"/>
      <c r="BP87" s="2877" t="e">
        <f>BP86/BP5</f>
        <v>#DIV/0!</v>
      </c>
      <c r="BQ87" s="2878" t="e">
        <f>BQ86/BQ5</f>
        <v>#DIV/0!</v>
      </c>
      <c r="BR87" s="2879" t="e">
        <f>BR86/BR5</f>
        <v>#DIV/0!</v>
      </c>
      <c r="BS87" s="2881"/>
      <c r="BT87" s="3139"/>
      <c r="BU87" s="2877" t="e">
        <f>BU86/BU5</f>
        <v>#DIV/0!</v>
      </c>
      <c r="BV87" s="2878" t="e">
        <f>BV86/BV5</f>
        <v>#DIV/0!</v>
      </c>
      <c r="BW87" s="2879" t="e">
        <f>BW86/BW5</f>
        <v>#DIV/0!</v>
      </c>
      <c r="BX87" s="2881"/>
      <c r="BY87" s="3139"/>
      <c r="BZ87" s="2877" t="e">
        <f>BZ86/BZ5</f>
        <v>#DIV/0!</v>
      </c>
      <c r="CA87" s="2878" t="e">
        <f>CA86/CA5</f>
        <v>#DIV/0!</v>
      </c>
      <c r="CB87" s="2879" t="e">
        <f>CB86/CB5</f>
        <v>#DIV/0!</v>
      </c>
      <c r="CC87" s="2881"/>
      <c r="CD87" s="3139"/>
      <c r="CE87" s="2877" t="e">
        <f>CE86/CE5</f>
        <v>#DIV/0!</v>
      </c>
      <c r="CF87" s="2878" t="e">
        <f>CF86/CF5</f>
        <v>#DIV/0!</v>
      </c>
      <c r="CG87" s="2879" t="e">
        <f>CG86/CG5</f>
        <v>#DIV/0!</v>
      </c>
      <c r="CH87" s="2881"/>
      <c r="CI87" s="3139"/>
      <c r="CJ87" s="2877" t="e">
        <f>CJ86/CJ5</f>
        <v>#DIV/0!</v>
      </c>
      <c r="CK87" s="2878" t="e">
        <f>CK86/CK5</f>
        <v>#DIV/0!</v>
      </c>
      <c r="CL87" s="2879" t="e">
        <f>CL86/CL5</f>
        <v>#DIV/0!</v>
      </c>
      <c r="CM87" s="2881"/>
      <c r="CN87" s="3139"/>
      <c r="CO87" s="2877">
        <f>CO86/CO5</f>
        <v>-3.8859976099683601E-3</v>
      </c>
      <c r="CP87" s="2878">
        <f>CP86/CP5</f>
        <v>-5.8169882514364141E-2</v>
      </c>
      <c r="CQ87" s="2879">
        <f>CQ86/CQ5</f>
        <v>-1.5186372649416803E-2</v>
      </c>
      <c r="CR87" s="2881"/>
      <c r="CS87" s="2881"/>
    </row>
    <row r="88" spans="1:97" ht="13.8" x14ac:dyDescent="0.25">
      <c r="A88" s="1438"/>
      <c r="B88" s="1438"/>
      <c r="C88" s="1438"/>
      <c r="D88" s="1438"/>
      <c r="E88" s="1438"/>
      <c r="F88" s="1438"/>
      <c r="G88" s="1438"/>
      <c r="H88" s="1970"/>
      <c r="I88" s="1970"/>
      <c r="J88" s="1970"/>
      <c r="K88" s="1970"/>
      <c r="L88" s="1970"/>
      <c r="M88" s="1970"/>
      <c r="N88" s="1970"/>
      <c r="O88" s="1970"/>
      <c r="P88" s="1970"/>
      <c r="Q88" s="1970"/>
      <c r="R88" s="1970"/>
      <c r="S88" s="1970"/>
      <c r="T88" s="1970"/>
      <c r="U88" s="1970"/>
      <c r="V88" s="1970"/>
      <c r="W88" s="1970"/>
      <c r="X88" s="1970"/>
      <c r="Y88" s="1970"/>
      <c r="Z88" s="1970"/>
      <c r="AA88" s="1970"/>
      <c r="AB88" s="1970"/>
      <c r="AC88" s="1970"/>
      <c r="AD88" s="1970"/>
      <c r="AE88" s="1970"/>
      <c r="AF88" s="1970"/>
      <c r="AG88" s="1970"/>
      <c r="AH88" s="1970"/>
      <c r="AI88" s="1970"/>
      <c r="AJ88" s="1970"/>
      <c r="AK88" s="1970"/>
      <c r="AL88" s="1970"/>
      <c r="AM88" s="1970"/>
      <c r="AN88" s="1970"/>
      <c r="AO88" s="1970"/>
      <c r="AP88" s="1970"/>
      <c r="AQ88" s="1970"/>
      <c r="AR88" s="1970"/>
      <c r="AS88" s="1970"/>
      <c r="AT88" s="1970"/>
      <c r="AU88" s="1970"/>
      <c r="AV88" s="1970"/>
      <c r="AW88" s="1970"/>
      <c r="AX88" s="1970"/>
      <c r="AY88" s="1970"/>
      <c r="AZ88" s="1970"/>
      <c r="BA88" s="1970"/>
      <c r="BB88" s="1970"/>
      <c r="BC88" s="1970"/>
      <c r="BD88" s="1970"/>
      <c r="BE88" s="1970"/>
      <c r="BF88" s="1970"/>
      <c r="BG88" s="1970"/>
      <c r="BH88" s="1970"/>
      <c r="BI88" s="1970"/>
      <c r="BJ88" s="1970"/>
      <c r="BK88" s="1970"/>
      <c r="BL88" s="1970"/>
      <c r="BM88" s="1970"/>
      <c r="BN88" s="1970"/>
      <c r="BO88" s="1970"/>
      <c r="BP88" s="1970"/>
      <c r="BQ88" s="1970"/>
      <c r="BR88" s="1970"/>
      <c r="BS88" s="1970"/>
      <c r="BT88" s="1970"/>
      <c r="BU88" s="1970"/>
      <c r="BV88" s="1970"/>
      <c r="BW88" s="1970"/>
      <c r="BX88" s="1970"/>
      <c r="BY88" s="1970"/>
      <c r="BZ88" s="1970"/>
      <c r="CA88" s="1970"/>
      <c r="CB88" s="1970"/>
      <c r="CC88" s="1970"/>
      <c r="CD88" s="1970"/>
      <c r="CE88" s="1970"/>
      <c r="CF88" s="1970"/>
      <c r="CG88" s="1970"/>
      <c r="CH88" s="1970"/>
      <c r="CI88" s="1970"/>
      <c r="CJ88" s="1970"/>
      <c r="CK88" s="1970"/>
      <c r="CL88" s="1970"/>
      <c r="CM88" s="1970"/>
      <c r="CN88" s="1970"/>
      <c r="CO88" s="1970"/>
      <c r="CP88" s="1970"/>
      <c r="CQ88" s="1970"/>
      <c r="CR88" s="1970"/>
      <c r="CS88" s="1970"/>
    </row>
    <row r="89" spans="1:97" x14ac:dyDescent="0.25">
      <c r="B89" s="1577" t="s">
        <v>56</v>
      </c>
      <c r="C89" s="1577"/>
      <c r="D89" s="1577"/>
      <c r="E89" s="1976">
        <f>E8+E36+E41+E50+E54+E73+E79+E82+E85</f>
        <v>0</v>
      </c>
      <c r="F89" s="1577"/>
      <c r="G89" s="1577"/>
      <c r="J89" s="1976">
        <f>J8+J36+J41+J50+J54+J73+J79+J82+J85</f>
        <v>190875.07687041757</v>
      </c>
      <c r="O89" s="1976">
        <f>O8+O36+O41+O50+O54+O73+O79+O82+O85</f>
        <v>196867.53842696629</v>
      </c>
      <c r="T89" s="1976">
        <f>T8+T36+T41+T50+T54+T73+T79+T82+T85</f>
        <v>294979.82384350308</v>
      </c>
      <c r="Y89" s="1976">
        <f>Y8+Y36+Y41+Y50+Y54+Y73+Y79+Y82</f>
        <v>1253647.9406492983</v>
      </c>
      <c r="AD89" s="1976">
        <f>AD8+AD36+AD41+AD50+AD54+AD73+AD79+AD82</f>
        <v>338306.0625708591</v>
      </c>
      <c r="AI89" s="1976">
        <f>AI8+AI36+AI41+AI50+AI54+AI73+AI79+AI82</f>
        <v>52974.145433526013</v>
      </c>
      <c r="AN89" s="1976">
        <f>AN8+AN36+AN41+AN50+AN54+AN73+AN79+AN82+AN85</f>
        <v>187933.95589595375</v>
      </c>
      <c r="AS89" s="1976">
        <f>AS8+AS36+AS41+AS50+AS54+AS73+AS79+AS82+AS85</f>
        <v>97397.961241379293</v>
      </c>
      <c r="AX89" s="1976">
        <f>AX8+AX36+AX41+AX50+AX54+AX73+AX79+AX82+AX85</f>
        <v>0</v>
      </c>
      <c r="BC89" s="1976">
        <f>BC8+BC36+BC41+BC50+BC54+BC73+BC79+BC82+BC85</f>
        <v>0</v>
      </c>
      <c r="BH89" s="1976">
        <f>BH8+BH36+BH41+BH50+BH54+BH73+BH79+BH82+BH85</f>
        <v>0</v>
      </c>
      <c r="BM89" s="1976">
        <f>BM8+BM36+BM41+BM50+BM54+BM73+BM79+BM82+BM85</f>
        <v>0</v>
      </c>
      <c r="BR89" s="1976">
        <f>BR8+BR36+BR41+BR50+BR54+BR73+BR79+BR82+BR85</f>
        <v>0</v>
      </c>
      <c r="BW89" s="1976">
        <f>BW8+BW36+BW41+BW50+BW54+BW73+BW79+BW82+BW85</f>
        <v>0</v>
      </c>
      <c r="CB89" s="1976">
        <f>CB8+CB36+CB41+CB50+CB54+CB73+CB79+CB82+CB85</f>
        <v>0</v>
      </c>
      <c r="CG89" s="1976">
        <f>CG8+CG36+CG41+CG50+CG54+CG73+CG79+CG82+CG85</f>
        <v>0</v>
      </c>
      <c r="CL89" s="1976">
        <f>CL8+CL36+CL41+CL50+CL54+CL73+CL79+CL82+CL85</f>
        <v>0</v>
      </c>
      <c r="CQ89" s="1976">
        <f>CQ8+CQ36+CQ41+CQ50+CQ54+CQ73+CQ79+CQ82+CQ85</f>
        <v>2274676.4423610438</v>
      </c>
    </row>
    <row r="90" spans="1:97" x14ac:dyDescent="0.25">
      <c r="CQ90" s="1607" t="b">
        <f>ROUND((E89+J89+O89+T89+AI89+AN89+AS89+AX89+BC89+BH89+BM89)+BR89+BW89+CB89+CG89+CL89+Y89,2)=ROUND(CQ89,2)</f>
        <v>1</v>
      </c>
    </row>
    <row r="91" spans="1:97" s="1411" customFormat="1" x14ac:dyDescent="0.25">
      <c r="A91" s="1417"/>
      <c r="B91" s="1417"/>
      <c r="C91" s="1417"/>
      <c r="D91" s="1417"/>
      <c r="E91" s="1417"/>
      <c r="F91" s="1417"/>
      <c r="G91" s="1417"/>
      <c r="H91" s="1968"/>
      <c r="I91" s="1968"/>
      <c r="J91" s="1968"/>
      <c r="K91" s="1968"/>
      <c r="L91" s="1968"/>
      <c r="M91" s="1968"/>
      <c r="N91" s="1968"/>
      <c r="O91" s="1185">
        <f>O5-O89</f>
        <v>43883.851573033724</v>
      </c>
      <c r="P91" s="1968"/>
      <c r="Q91" s="1968"/>
      <c r="R91" s="1968"/>
      <c r="S91" s="1968"/>
      <c r="T91" s="1185">
        <f>T5-T89</f>
        <v>8910.1761564969202</v>
      </c>
      <c r="U91" s="1968"/>
      <c r="V91" s="1968"/>
      <c r="W91" s="1968"/>
      <c r="X91" s="1968"/>
      <c r="Y91" s="1968">
        <f>Y5-Y89</f>
        <v>30579.77935070172</v>
      </c>
      <c r="Z91" s="1968"/>
      <c r="AA91" s="1968"/>
      <c r="AB91" s="1968"/>
      <c r="AC91" s="1968"/>
      <c r="AD91" s="1185">
        <f>AD5-AD89</f>
        <v>68473.937429140904</v>
      </c>
      <c r="AE91" s="1968"/>
      <c r="AF91" s="1968"/>
      <c r="AG91" s="1968"/>
      <c r="AH91" s="1968"/>
      <c r="AI91" s="1185">
        <f>AI5-AI89</f>
        <v>8385.8545664739868</v>
      </c>
      <c r="AJ91" s="1968"/>
      <c r="AK91" s="1968"/>
      <c r="AL91" s="1968"/>
      <c r="AM91" s="1968"/>
      <c r="AN91" s="1185">
        <f>AN5-AN89</f>
        <v>28216.044104046247</v>
      </c>
      <c r="AO91" s="1968"/>
      <c r="AP91" s="1968"/>
      <c r="AQ91" s="1968"/>
      <c r="AR91" s="1968"/>
      <c r="AS91" s="1185">
        <f>AS5-AS89</f>
        <v>31872.038758620707</v>
      </c>
      <c r="AT91" s="1968"/>
      <c r="AU91" s="1968"/>
      <c r="AV91" s="1968"/>
      <c r="AW91" s="1968"/>
      <c r="AX91" s="1185">
        <f>AX5-AX89</f>
        <v>0</v>
      </c>
      <c r="AY91" s="1968"/>
      <c r="AZ91" s="1968"/>
      <c r="BA91" s="1968"/>
      <c r="BB91" s="1968"/>
      <c r="BC91" s="1185">
        <f>BC5-BC89</f>
        <v>0</v>
      </c>
      <c r="BD91" s="1968"/>
      <c r="BE91" s="1968"/>
      <c r="BF91" s="1968"/>
      <c r="BG91" s="1968"/>
      <c r="BH91" s="1185">
        <f>BH5-BH89</f>
        <v>0</v>
      </c>
      <c r="BI91" s="1968"/>
      <c r="BJ91" s="1968"/>
      <c r="BK91" s="1968"/>
      <c r="BL91" s="1968"/>
      <c r="BM91" s="1185">
        <f>BM5-BM89</f>
        <v>0</v>
      </c>
      <c r="BN91" s="1968"/>
      <c r="BO91" s="1968"/>
      <c r="BP91" s="1968"/>
      <c r="BQ91" s="1968"/>
      <c r="BR91" s="1185">
        <f>BR5-BR89</f>
        <v>0</v>
      </c>
      <c r="BS91" s="1968"/>
      <c r="BT91" s="1968"/>
      <c r="BU91" s="1968"/>
      <c r="BV91" s="1968"/>
      <c r="BW91" s="1185">
        <f>BW5-BW89</f>
        <v>0</v>
      </c>
      <c r="BX91" s="1968"/>
      <c r="BY91" s="1968"/>
      <c r="BZ91" s="1968"/>
      <c r="CA91" s="1968"/>
      <c r="CB91" s="1185">
        <f>CB5-CB89</f>
        <v>0</v>
      </c>
      <c r="CC91" s="1968"/>
      <c r="CD91" s="1968"/>
      <c r="CE91" s="1968"/>
      <c r="CF91" s="1968"/>
      <c r="CG91" s="1185">
        <f>CG5-CG89</f>
        <v>0</v>
      </c>
      <c r="CH91" s="1968"/>
      <c r="CI91" s="1968"/>
      <c r="CJ91" s="1968"/>
      <c r="CK91" s="1968"/>
      <c r="CL91" s="1185">
        <f>CL5-CL89</f>
        <v>0</v>
      </c>
      <c r="CM91" s="1968"/>
      <c r="CN91" s="1968"/>
      <c r="CO91" s="1968"/>
      <c r="CP91" s="1968"/>
      <c r="CQ91" s="1681">
        <f>CQ5-CQ89+CQ78</f>
        <v>-34027.332361043897</v>
      </c>
      <c r="CR91" s="1968"/>
      <c r="CS91" s="1968"/>
    </row>
    <row r="93" spans="1:97" s="1411" customFormat="1" x14ac:dyDescent="0.25">
      <c r="A93" s="1417"/>
      <c r="B93" s="1417"/>
      <c r="C93" s="1417"/>
      <c r="D93" s="1417"/>
      <c r="E93" s="1417"/>
      <c r="F93" s="1417"/>
      <c r="G93" s="1417"/>
      <c r="H93" s="1968"/>
      <c r="I93" s="1968"/>
      <c r="J93" s="1968"/>
      <c r="K93" s="1968"/>
      <c r="L93" s="1968"/>
      <c r="M93" s="1968"/>
      <c r="N93" s="1968"/>
      <c r="O93" s="1968"/>
      <c r="P93" s="1968"/>
      <c r="Q93" s="1968"/>
      <c r="R93" s="1968"/>
      <c r="S93" s="1968"/>
      <c r="T93" s="1968"/>
      <c r="U93" s="1968"/>
      <c r="V93" s="1968"/>
      <c r="W93" s="1968"/>
      <c r="X93" s="1968"/>
      <c r="Y93" s="1185">
        <f>Y91-Y86</f>
        <v>-1.0186340659856796E-10</v>
      </c>
      <c r="Z93" s="1968"/>
      <c r="AA93" s="1968"/>
      <c r="AB93" s="1968"/>
      <c r="AC93" s="1968"/>
      <c r="AD93" s="1185">
        <f>AI89+AN89+AS89+AX89+BC89+BH89+BM89</f>
        <v>338306.0625708591</v>
      </c>
      <c r="AE93" s="1968"/>
      <c r="AF93" s="1968"/>
      <c r="AG93" s="1968"/>
      <c r="AH93" s="1968"/>
      <c r="AI93" s="1968"/>
      <c r="AJ93" s="1968"/>
      <c r="AK93" s="1968"/>
      <c r="AL93" s="1968"/>
      <c r="AM93" s="1968"/>
      <c r="AN93" s="1968"/>
      <c r="AO93" s="1968"/>
      <c r="AP93" s="1968"/>
      <c r="AQ93" s="1968"/>
      <c r="AR93" s="1968"/>
      <c r="AS93" s="1968"/>
      <c r="AT93" s="1968"/>
      <c r="AU93" s="1968"/>
      <c r="AV93" s="1968"/>
      <c r="AW93" s="1968"/>
      <c r="AX93" s="1968"/>
      <c r="AY93" s="1968"/>
      <c r="AZ93" s="1968"/>
      <c r="BA93" s="1968"/>
      <c r="BB93" s="1968"/>
      <c r="BC93" s="1968"/>
      <c r="BD93" s="1968"/>
      <c r="BE93" s="1968"/>
      <c r="BF93" s="1968"/>
      <c r="BG93" s="1968"/>
      <c r="BH93" s="1968"/>
      <c r="BI93" s="1968"/>
      <c r="BJ93" s="1968"/>
      <c r="BK93" s="1968"/>
      <c r="BL93" s="1968"/>
      <c r="BM93" s="1968"/>
      <c r="BN93" s="1968"/>
      <c r="BO93" s="1968"/>
      <c r="BP93" s="1968"/>
      <c r="BQ93" s="1968"/>
      <c r="BR93" s="1968"/>
      <c r="BS93" s="1968"/>
      <c r="BT93" s="1968"/>
      <c r="BU93" s="1968"/>
      <c r="BV93" s="1968"/>
      <c r="BW93" s="1968"/>
      <c r="BX93" s="1968"/>
      <c r="BY93" s="1968"/>
      <c r="BZ93" s="1968"/>
      <c r="CA93" s="1968"/>
      <c r="CB93" s="1968"/>
      <c r="CC93" s="1968"/>
      <c r="CD93" s="1968"/>
      <c r="CE93" s="1968"/>
      <c r="CF93" s="1968"/>
      <c r="CG93" s="1968"/>
      <c r="CH93" s="1968"/>
      <c r="CI93" s="1968"/>
      <c r="CJ93" s="1968"/>
      <c r="CK93" s="1968"/>
      <c r="CL93" s="1968"/>
      <c r="CM93" s="1968"/>
      <c r="CN93" s="1968"/>
      <c r="CO93" s="1968"/>
      <c r="CP93" s="1968"/>
      <c r="CQ93" s="1968"/>
      <c r="CR93" s="1968"/>
      <c r="CS93" s="1968"/>
    </row>
    <row r="94" spans="1:97" s="1411" customFormat="1" x14ac:dyDescent="0.25">
      <c r="A94" s="1417"/>
      <c r="B94" s="1417"/>
      <c r="C94" s="1417"/>
      <c r="D94" s="1417"/>
      <c r="E94" s="1417"/>
      <c r="F94" s="1417"/>
      <c r="G94" s="1417"/>
      <c r="H94" s="1968"/>
      <c r="I94" s="1968"/>
      <c r="J94" s="1968"/>
      <c r="K94" s="1968"/>
      <c r="L94" s="1968"/>
      <c r="M94" s="1968"/>
      <c r="N94" s="1968"/>
      <c r="O94" s="1968"/>
      <c r="P94" s="1968"/>
      <c r="Q94" s="1968"/>
      <c r="R94" s="1968"/>
      <c r="S94" s="1968"/>
      <c r="T94" s="1968"/>
      <c r="U94" s="1968"/>
      <c r="V94" s="1968"/>
      <c r="W94" s="1968"/>
      <c r="X94" s="1968"/>
      <c r="Y94" s="1968"/>
      <c r="Z94" s="1968"/>
      <c r="AA94" s="1968"/>
      <c r="AB94" s="1968"/>
      <c r="AC94" s="1968"/>
      <c r="AD94" s="1968"/>
      <c r="AE94" s="1968"/>
      <c r="AF94" s="1968"/>
      <c r="AG94" s="1968"/>
      <c r="AH94" s="1968"/>
      <c r="AI94" s="1968"/>
      <c r="AJ94" s="1968"/>
      <c r="AK94" s="1968"/>
      <c r="AL94" s="1968"/>
      <c r="AM94" s="1968"/>
      <c r="AN94" s="1968"/>
      <c r="AO94" s="1968"/>
      <c r="AP94" s="1968"/>
      <c r="AQ94" s="1968"/>
      <c r="AR94" s="1968"/>
      <c r="AS94" s="1968"/>
      <c r="AT94" s="1968"/>
      <c r="AU94" s="1968"/>
      <c r="AV94" s="1968"/>
      <c r="AW94" s="1968"/>
      <c r="AX94" s="1968"/>
      <c r="AY94" s="1968"/>
      <c r="AZ94" s="1968"/>
      <c r="BA94" s="1968"/>
      <c r="BB94" s="1968"/>
      <c r="BC94" s="1968"/>
      <c r="BD94" s="1968"/>
      <c r="BE94" s="1968"/>
      <c r="BF94" s="1968"/>
      <c r="BG94" s="1968"/>
      <c r="BH94" s="1968"/>
      <c r="BI94" s="1968"/>
      <c r="BJ94" s="1968"/>
      <c r="BK94" s="1968"/>
      <c r="BL94" s="1968"/>
      <c r="BM94" s="1968"/>
      <c r="BN94" s="1968"/>
      <c r="BO94" s="1968"/>
      <c r="BP94" s="1968"/>
      <c r="BQ94" s="1968"/>
      <c r="BR94" s="1968"/>
      <c r="BS94" s="1968"/>
      <c r="BT94" s="1968"/>
      <c r="BU94" s="1968"/>
      <c r="BV94" s="1968"/>
      <c r="BW94" s="1968"/>
      <c r="BX94" s="1968"/>
      <c r="BY94" s="1968"/>
      <c r="BZ94" s="1968"/>
      <c r="CA94" s="1968"/>
      <c r="CB94" s="1968"/>
      <c r="CC94" s="1968"/>
      <c r="CD94" s="1968"/>
      <c r="CE94" s="1968"/>
      <c r="CF94" s="1968"/>
      <c r="CG94" s="1968"/>
      <c r="CH94" s="1968"/>
      <c r="CI94" s="1968"/>
      <c r="CJ94" s="1968"/>
      <c r="CK94" s="1968"/>
      <c r="CL94" s="1968"/>
      <c r="CM94" s="1968"/>
      <c r="CN94" s="1968"/>
      <c r="CO94" s="1968"/>
      <c r="CP94" s="1968"/>
      <c r="CQ94" s="1968"/>
      <c r="CR94" s="1968"/>
      <c r="CS94" s="1968"/>
    </row>
    <row r="95" spans="1:97" s="1411" customFormat="1" x14ac:dyDescent="0.25">
      <c r="A95" s="1417"/>
      <c r="B95" s="1417"/>
      <c r="C95" s="1417"/>
      <c r="D95" s="1417"/>
      <c r="E95" s="1417"/>
      <c r="F95" s="1417"/>
      <c r="G95" s="1417"/>
      <c r="H95" s="1968"/>
      <c r="I95" s="1968"/>
      <c r="J95" s="1968"/>
      <c r="K95" s="1968"/>
      <c r="L95" s="1968"/>
      <c r="M95" s="1968"/>
      <c r="N95" s="1968"/>
      <c r="O95" s="1968"/>
      <c r="P95" s="1968"/>
      <c r="Q95" s="1968"/>
      <c r="R95" s="1968"/>
      <c r="S95" s="1968"/>
      <c r="T95" s="1968"/>
      <c r="U95" s="1968"/>
      <c r="V95" s="1968"/>
      <c r="W95" s="1968"/>
      <c r="X95" s="1968"/>
      <c r="Y95" s="1968"/>
      <c r="Z95" s="1968"/>
      <c r="AA95" s="1968"/>
      <c r="AB95" s="1968"/>
      <c r="AC95" s="1968"/>
      <c r="AD95" s="1968"/>
      <c r="AE95" s="1968"/>
      <c r="AF95" s="1968"/>
      <c r="AG95" s="1968"/>
      <c r="AH95" s="1968"/>
      <c r="AI95" s="1968"/>
      <c r="AJ95" s="1968"/>
      <c r="AK95" s="1968"/>
      <c r="AL95" s="1968"/>
      <c r="AM95" s="1968"/>
      <c r="AN95" s="1968"/>
      <c r="AO95" s="1968"/>
      <c r="AP95" s="1968"/>
      <c r="AQ95" s="1968"/>
      <c r="AR95" s="1968"/>
      <c r="AS95" s="1968"/>
      <c r="AT95" s="1968"/>
      <c r="AU95" s="1968"/>
      <c r="AV95" s="1968"/>
      <c r="AW95" s="1968"/>
      <c r="AX95" s="1968"/>
      <c r="AY95" s="1968"/>
      <c r="AZ95" s="1968"/>
      <c r="BA95" s="1968"/>
      <c r="BB95" s="1968"/>
      <c r="BC95" s="1968"/>
      <c r="BD95" s="1968"/>
      <c r="BE95" s="1968"/>
      <c r="BF95" s="1968"/>
      <c r="BG95" s="1968"/>
      <c r="BH95" s="1968"/>
      <c r="BI95" s="1968"/>
      <c r="BJ95" s="1968"/>
      <c r="BK95" s="1968"/>
      <c r="BL95" s="1968"/>
      <c r="BM95" s="1968"/>
      <c r="BN95" s="1968"/>
      <c r="BO95" s="1968"/>
      <c r="BP95" s="1968"/>
      <c r="BQ95" s="1968"/>
      <c r="BR95" s="1968"/>
      <c r="BS95" s="1968"/>
      <c r="BT95" s="1968"/>
      <c r="BU95" s="1968"/>
      <c r="BV95" s="1968"/>
      <c r="BW95" s="1968"/>
      <c r="BX95" s="1968"/>
      <c r="BY95" s="1968"/>
      <c r="BZ95" s="1968"/>
      <c r="CA95" s="1968"/>
      <c r="CB95" s="1968"/>
      <c r="CC95" s="1968"/>
      <c r="CD95" s="1968"/>
      <c r="CE95" s="1968"/>
      <c r="CF95" s="1968"/>
      <c r="CG95" s="1968"/>
      <c r="CH95" s="1968"/>
      <c r="CI95" s="1968"/>
      <c r="CJ95" s="1968"/>
      <c r="CK95" s="1968"/>
      <c r="CL95" s="1968"/>
      <c r="CM95" s="1968"/>
      <c r="CN95" s="1968"/>
      <c r="CO95" s="1968"/>
      <c r="CP95" s="1968"/>
      <c r="CQ95" s="1968"/>
      <c r="CR95" s="1968"/>
      <c r="CS95" s="1968"/>
    </row>
    <row r="96" spans="1:97" s="1411" customFormat="1" x14ac:dyDescent="0.25">
      <c r="A96" s="1417"/>
      <c r="B96" s="1417"/>
      <c r="C96" s="1417"/>
      <c r="D96" s="1417"/>
      <c r="E96" s="1417"/>
      <c r="F96" s="1417"/>
      <c r="G96" s="1417"/>
      <c r="H96" s="1968"/>
      <c r="I96" s="1968"/>
      <c r="J96" s="1968"/>
      <c r="K96" s="1968"/>
      <c r="L96" s="1968"/>
      <c r="M96" s="1968"/>
      <c r="N96" s="1968"/>
      <c r="O96" s="1968"/>
      <c r="P96" s="1968"/>
      <c r="Q96" s="1968"/>
      <c r="R96" s="1968"/>
      <c r="S96" s="1968"/>
      <c r="T96" s="1968"/>
      <c r="U96" s="1968"/>
      <c r="V96" s="1968"/>
      <c r="W96" s="1968"/>
      <c r="X96" s="1968"/>
      <c r="Y96" s="1968"/>
      <c r="Z96" s="1968"/>
      <c r="AA96" s="1968"/>
      <c r="AB96" s="1968"/>
      <c r="AC96" s="1968"/>
      <c r="AD96" s="1968"/>
      <c r="AE96" s="1968"/>
      <c r="AF96" s="1968"/>
      <c r="AG96" s="1968"/>
      <c r="AH96" s="1968"/>
      <c r="AI96" s="1968"/>
      <c r="AJ96" s="1968"/>
      <c r="AK96" s="1968"/>
      <c r="AL96" s="1968"/>
      <c r="AM96" s="1968"/>
      <c r="AN96" s="1968"/>
      <c r="AO96" s="1968"/>
      <c r="AP96" s="1968"/>
      <c r="AQ96" s="1968"/>
      <c r="AR96" s="1968"/>
      <c r="AS96" s="1968"/>
      <c r="AT96" s="1968"/>
      <c r="AU96" s="1968"/>
      <c r="AV96" s="1968"/>
      <c r="AW96" s="1968"/>
      <c r="AX96" s="1968"/>
      <c r="AY96" s="1968"/>
      <c r="AZ96" s="1968"/>
      <c r="BA96" s="1968"/>
      <c r="BB96" s="1968"/>
      <c r="BC96" s="1968"/>
      <c r="BD96" s="1968"/>
      <c r="BE96" s="1968"/>
      <c r="BF96" s="1968"/>
      <c r="BG96" s="1968"/>
      <c r="BH96" s="1968"/>
      <c r="BI96" s="1968"/>
      <c r="BJ96" s="1968"/>
      <c r="BK96" s="1968"/>
      <c r="BL96" s="1968"/>
      <c r="BM96" s="1968"/>
      <c r="BN96" s="1968"/>
      <c r="BO96" s="1968"/>
      <c r="BP96" s="1968"/>
      <c r="BQ96" s="1968"/>
      <c r="BR96" s="1968"/>
      <c r="BS96" s="1968"/>
      <c r="BT96" s="1968"/>
      <c r="BU96" s="1968"/>
      <c r="BV96" s="1968"/>
      <c r="BW96" s="1968"/>
      <c r="BX96" s="1968"/>
      <c r="BY96" s="1968"/>
      <c r="BZ96" s="1968"/>
      <c r="CA96" s="1968"/>
      <c r="CB96" s="1968"/>
      <c r="CC96" s="1968"/>
      <c r="CD96" s="1968"/>
      <c r="CE96" s="1968"/>
      <c r="CF96" s="1968"/>
      <c r="CG96" s="1968"/>
      <c r="CH96" s="1968"/>
      <c r="CI96" s="1968"/>
      <c r="CJ96" s="1968"/>
      <c r="CK96" s="1968"/>
      <c r="CL96" s="1968"/>
      <c r="CM96" s="1968"/>
      <c r="CN96" s="1968"/>
      <c r="CO96" s="1968"/>
      <c r="CP96" s="1968"/>
      <c r="CQ96" s="1968"/>
      <c r="CR96" s="1968"/>
      <c r="CS96" s="1968"/>
    </row>
    <row r="98" spans="1:97" s="1411" customFormat="1" x14ac:dyDescent="0.25">
      <c r="A98" s="1417"/>
      <c r="B98" s="1417"/>
      <c r="C98" s="1417"/>
      <c r="D98" s="1417"/>
      <c r="E98" s="1417"/>
      <c r="F98" s="1417"/>
      <c r="G98" s="1417"/>
      <c r="H98" s="1968"/>
      <c r="I98" s="1968"/>
      <c r="J98" s="1968"/>
      <c r="K98" s="1968"/>
      <c r="L98" s="1968"/>
      <c r="M98" s="1968"/>
      <c r="N98" s="1968"/>
      <c r="O98" s="1968"/>
      <c r="P98" s="1968"/>
      <c r="Q98" s="1968"/>
      <c r="R98" s="1968"/>
      <c r="S98" s="1968"/>
      <c r="T98" s="1968"/>
      <c r="U98" s="1968"/>
      <c r="V98" s="1968"/>
      <c r="W98" s="1968"/>
      <c r="X98" s="1968"/>
      <c r="Y98" s="1968"/>
      <c r="Z98" s="1968"/>
      <c r="AA98" s="1968"/>
      <c r="AB98" s="1968"/>
      <c r="AC98" s="1968"/>
      <c r="AD98" s="1968"/>
      <c r="AE98" s="1968"/>
      <c r="AF98" s="1968"/>
      <c r="AG98" s="1968"/>
      <c r="AH98" s="1968"/>
      <c r="AI98" s="1968"/>
      <c r="AJ98" s="1968"/>
      <c r="AK98" s="1968"/>
      <c r="AL98" s="1968"/>
      <c r="AM98" s="1968"/>
      <c r="AN98" s="1968"/>
      <c r="AO98" s="1968"/>
      <c r="AP98" s="1968"/>
      <c r="AQ98" s="1968"/>
      <c r="AR98" s="1968"/>
      <c r="AS98" s="1968"/>
      <c r="AT98" s="1968"/>
      <c r="AU98" s="1968"/>
      <c r="AV98" s="1968"/>
      <c r="AW98" s="1968"/>
      <c r="AX98" s="1968"/>
      <c r="AY98" s="1968"/>
      <c r="AZ98" s="1968"/>
      <c r="BA98" s="1968"/>
      <c r="BB98" s="1968"/>
      <c r="BC98" s="1968"/>
      <c r="BD98" s="1968"/>
      <c r="BE98" s="1968"/>
      <c r="BF98" s="1968"/>
      <c r="BG98" s="1968"/>
      <c r="BH98" s="1968"/>
      <c r="BI98" s="1968"/>
      <c r="BJ98" s="1968"/>
      <c r="BK98" s="1968"/>
      <c r="BL98" s="1968"/>
      <c r="BM98" s="1968"/>
      <c r="BN98" s="1968"/>
      <c r="BO98" s="1968"/>
      <c r="BP98" s="1968"/>
      <c r="BQ98" s="1968"/>
      <c r="BR98" s="1968"/>
      <c r="BS98" s="1968"/>
      <c r="BT98" s="1968"/>
      <c r="BU98" s="1968"/>
      <c r="BV98" s="1968"/>
      <c r="BW98" s="1968"/>
      <c r="BX98" s="1968"/>
      <c r="BY98" s="1968"/>
      <c r="BZ98" s="1968"/>
      <c r="CA98" s="1968"/>
      <c r="CB98" s="1968"/>
      <c r="CC98" s="1968"/>
      <c r="CD98" s="1968"/>
      <c r="CE98" s="1968"/>
      <c r="CF98" s="1968"/>
      <c r="CG98" s="1968"/>
      <c r="CH98" s="1968"/>
      <c r="CI98" s="1968"/>
      <c r="CJ98" s="1968"/>
      <c r="CK98" s="1968"/>
      <c r="CL98" s="1968"/>
      <c r="CM98" s="1968"/>
      <c r="CN98" s="1968"/>
      <c r="CO98" s="1968"/>
      <c r="CP98" s="1968"/>
      <c r="CQ98" s="1968"/>
      <c r="CR98" s="1968"/>
      <c r="CS98" s="1968"/>
    </row>
  </sheetData>
  <mergeCells count="22">
    <mergeCell ref="A42:A48"/>
    <mergeCell ref="A2:B2"/>
    <mergeCell ref="C2:G3"/>
    <mergeCell ref="H2:L3"/>
    <mergeCell ref="M2:Q3"/>
    <mergeCell ref="A3:B3"/>
    <mergeCell ref="R2:V3"/>
    <mergeCell ref="AL2:AP3"/>
    <mergeCell ref="AQ2:AU3"/>
    <mergeCell ref="AV2:AZ3"/>
    <mergeCell ref="W2:AA3"/>
    <mergeCell ref="CO2:CS3"/>
    <mergeCell ref="CJ2:CN3"/>
    <mergeCell ref="BA2:BE3"/>
    <mergeCell ref="AG2:AK3"/>
    <mergeCell ref="AB2:AF3"/>
    <mergeCell ref="BF2:BJ3"/>
    <mergeCell ref="BK2:BO3"/>
    <mergeCell ref="BP2:BT3"/>
    <mergeCell ref="BU2:BY3"/>
    <mergeCell ref="BZ2:CD3"/>
    <mergeCell ref="CE2:CI3"/>
  </mergeCell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5" tint="0.79998168889431442"/>
    <pageSetUpPr fitToPage="1"/>
  </sheetPr>
  <dimension ref="A1:AA99"/>
  <sheetViews>
    <sheetView showZeros="0" zoomScale="70" zoomScaleNormal="70" workbookViewId="0">
      <pane xSplit="6" ySplit="5" topLeftCell="G21" activePane="bottomRight" state="frozen"/>
      <selection activeCell="N21" sqref="N21:N23"/>
      <selection pane="topRight" activeCell="N21" sqref="N21:N23"/>
      <selection pane="bottomLeft" activeCell="N21" sqref="N21:N23"/>
      <selection pane="bottomRight" activeCell="N21" sqref="N21:N23"/>
    </sheetView>
  </sheetViews>
  <sheetFormatPr defaultColWidth="7.44140625" defaultRowHeight="13.2" outlineLevelRow="3" outlineLevelCol="1" x14ac:dyDescent="0.25"/>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customWidth="1" outlineLevel="1"/>
    <col min="10" max="10" width="9" style="38" customWidth="1" outlineLevel="1"/>
    <col min="11" max="14" width="16.33203125" style="38" customWidth="1" outlineLevel="1"/>
    <col min="15" max="15" width="9" style="38" customWidth="1" outlineLevel="1"/>
    <col min="16" max="16" width="16.33203125" style="38" customWidth="1" outlineLevel="1"/>
    <col min="17" max="19" width="16.33203125" style="38" customWidth="1"/>
    <col min="20" max="20" width="9" style="38" customWidth="1"/>
    <col min="21" max="21" width="16.33203125" style="38" customWidth="1"/>
    <col min="22" max="22" width="14.5546875" style="1" hidden="1" customWidth="1"/>
    <col min="23" max="23" width="13.33203125" style="1" hidden="1" customWidth="1"/>
    <col min="24" max="24" width="14.5546875" style="1" hidden="1" customWidth="1"/>
    <col min="25" max="25" width="0" style="1" hidden="1" customWidth="1"/>
    <col min="26" max="27" width="13.33203125" style="1" bestFit="1" customWidth="1"/>
    <col min="28" max="16384" width="7.44140625" style="1"/>
  </cols>
  <sheetData>
    <row r="1" spans="1:27" ht="13.8" thickBot="1" x14ac:dyDescent="0.3">
      <c r="C1" s="38"/>
      <c r="D1" s="38"/>
    </row>
    <row r="2" spans="1:27" ht="22.2" customHeight="1" x14ac:dyDescent="0.25">
      <c r="A2" s="4016" t="s">
        <v>116</v>
      </c>
      <c r="B2" s="4017"/>
      <c r="C2" s="4017"/>
      <c r="D2" s="4017"/>
      <c r="E2" s="4017"/>
      <c r="F2" s="4018"/>
      <c r="G2" s="4023" t="s">
        <v>464</v>
      </c>
      <c r="H2" s="4024"/>
      <c r="I2" s="4024"/>
      <c r="J2" s="4024"/>
      <c r="K2" s="4025"/>
      <c r="L2" s="4019" t="s">
        <v>465</v>
      </c>
      <c r="M2" s="4020"/>
      <c r="N2" s="4020"/>
      <c r="O2" s="4020"/>
      <c r="P2" s="378"/>
      <c r="Q2" s="4212" t="s">
        <v>469</v>
      </c>
      <c r="R2" s="4213"/>
      <c r="S2" s="4213"/>
      <c r="T2" s="4213"/>
      <c r="U2" s="384"/>
      <c r="V2" s="4019"/>
      <c r="W2" s="4020"/>
      <c r="X2" s="4020"/>
      <c r="Y2" s="4020"/>
    </row>
    <row r="3" spans="1:27" ht="14.4" customHeight="1" thickBot="1" x14ac:dyDescent="0.3">
      <c r="A3" s="4035" t="s">
        <v>54</v>
      </c>
      <c r="B3" s="4036"/>
      <c r="C3" s="4036"/>
      <c r="D3" s="4036"/>
      <c r="E3" s="4036"/>
      <c r="F3" s="4037"/>
      <c r="G3" s="4026"/>
      <c r="H3" s="4027"/>
      <c r="I3" s="4027"/>
      <c r="J3" s="4027"/>
      <c r="K3" s="4028"/>
      <c r="L3" s="4021"/>
      <c r="M3" s="4022"/>
      <c r="N3" s="4022"/>
      <c r="O3" s="4022"/>
      <c r="P3" s="379"/>
      <c r="Q3" s="4214"/>
      <c r="R3" s="4215"/>
      <c r="S3" s="4215"/>
      <c r="T3" s="4215"/>
      <c r="U3" s="385"/>
      <c r="V3" s="4021"/>
      <c r="W3" s="4022"/>
      <c r="X3" s="4022"/>
      <c r="Y3" s="4022"/>
    </row>
    <row r="4" spans="1:27" ht="41.4" thickBot="1" x14ac:dyDescent="0.3">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632" t="s">
        <v>55</v>
      </c>
      <c r="W4" s="632" t="s">
        <v>18</v>
      </c>
      <c r="X4" s="653" t="s">
        <v>39</v>
      </c>
      <c r="Y4" s="654" t="s">
        <v>40</v>
      </c>
    </row>
    <row r="5" spans="1:27" s="88" customFormat="1" ht="14.4" thickBot="1" x14ac:dyDescent="0.3">
      <c r="A5" s="83"/>
      <c r="B5" s="84" t="s">
        <v>10</v>
      </c>
      <c r="C5" s="85">
        <f>C6</f>
        <v>6557236</v>
      </c>
      <c r="D5" s="85">
        <f>D6</f>
        <v>0</v>
      </c>
      <c r="E5" s="86">
        <f>E6</f>
        <v>6557236</v>
      </c>
      <c r="F5" s="87"/>
      <c r="G5" s="87">
        <f>G6</f>
        <v>6468572.1200000001</v>
      </c>
      <c r="H5" s="87">
        <f>H6</f>
        <v>0</v>
      </c>
      <c r="I5" s="87">
        <f>I6</f>
        <v>6468572.1200000001</v>
      </c>
      <c r="J5" s="87"/>
      <c r="K5" s="87"/>
      <c r="L5" s="87">
        <f>L6</f>
        <v>42925.879999999888</v>
      </c>
      <c r="M5" s="87">
        <f>M6</f>
        <v>0</v>
      </c>
      <c r="N5" s="87">
        <f>N6</f>
        <v>42925.879999999888</v>
      </c>
      <c r="O5" s="87"/>
      <c r="P5" s="87"/>
      <c r="Q5" s="87">
        <f>Q6</f>
        <v>6511498</v>
      </c>
      <c r="R5" s="87">
        <f>R6</f>
        <v>0</v>
      </c>
      <c r="S5" s="87">
        <f>S6</f>
        <v>6511498</v>
      </c>
      <c r="T5" s="87"/>
      <c r="U5" s="87"/>
      <c r="V5" s="620">
        <f>V6</f>
        <v>6511498</v>
      </c>
      <c r="W5" s="620">
        <f>W6</f>
        <v>0</v>
      </c>
      <c r="X5" s="620">
        <f>X6</f>
        <v>6511498</v>
      </c>
      <c r="Y5" s="620"/>
    </row>
    <row r="6" spans="1:27" s="2" customFormat="1" ht="13.8" outlineLevel="1" x14ac:dyDescent="0.25">
      <c r="A6" s="238"/>
      <c r="B6" s="9" t="s">
        <v>17</v>
      </c>
      <c r="C6" s="104">
        <v>6557236</v>
      </c>
      <c r="D6" s="105"/>
      <c r="E6" s="106">
        <f>C6+D6</f>
        <v>6557236</v>
      </c>
      <c r="F6" s="39"/>
      <c r="G6" s="39">
        <v>6468572.1200000001</v>
      </c>
      <c r="H6" s="39">
        <v>0</v>
      </c>
      <c r="I6" s="106">
        <f>G6+H6</f>
        <v>6468572.1200000001</v>
      </c>
      <c r="J6" s="39"/>
      <c r="K6" s="39"/>
      <c r="L6" s="39">
        <v>42925.879999999888</v>
      </c>
      <c r="M6" s="39"/>
      <c r="N6" s="106">
        <f>L6+M6</f>
        <v>42925.879999999888</v>
      </c>
      <c r="O6" s="39"/>
      <c r="P6" s="39"/>
      <c r="Q6" s="39">
        <f>G6+L6</f>
        <v>6511498</v>
      </c>
      <c r="R6" s="39">
        <f>H6+M6</f>
        <v>0</v>
      </c>
      <c r="S6" s="106">
        <f>Q6+R6</f>
        <v>6511498</v>
      </c>
      <c r="T6" s="39"/>
      <c r="U6" s="39"/>
      <c r="V6" s="834">
        <v>6511498</v>
      </c>
      <c r="W6" s="452"/>
      <c r="X6" s="446">
        <f>V6+W6</f>
        <v>6511498</v>
      </c>
      <c r="Y6" s="452"/>
      <c r="Z6" s="842">
        <f>V6-Q6</f>
        <v>0</v>
      </c>
    </row>
    <row r="7" spans="1:27" s="2" customFormat="1" ht="15" customHeight="1" outlineLevel="1" collapsed="1" thickBot="1" x14ac:dyDescent="0.3">
      <c r="A7" s="238"/>
      <c r="B7" s="10" t="s">
        <v>41</v>
      </c>
      <c r="C7" s="107"/>
      <c r="D7" s="108"/>
      <c r="E7" s="106">
        <f>C7+D7</f>
        <v>0</v>
      </c>
      <c r="F7" s="40"/>
      <c r="G7" s="39">
        <v>0</v>
      </c>
      <c r="H7" s="39">
        <v>0</v>
      </c>
      <c r="I7" s="106">
        <f>G7+H7</f>
        <v>0</v>
      </c>
      <c r="J7" s="40"/>
      <c r="K7" s="40"/>
      <c r="L7" s="39"/>
      <c r="M7" s="39"/>
      <c r="N7" s="106">
        <f>L7+M7</f>
        <v>0</v>
      </c>
      <c r="O7" s="40"/>
      <c r="P7" s="40"/>
      <c r="Q7" s="39">
        <f>G7+L7</f>
        <v>0</v>
      </c>
      <c r="R7" s="39">
        <f>H7+M7</f>
        <v>0</v>
      </c>
      <c r="S7" s="106">
        <f>Q7+R7</f>
        <v>0</v>
      </c>
      <c r="T7" s="40"/>
      <c r="U7" s="40"/>
      <c r="V7" s="452"/>
      <c r="W7" s="452"/>
      <c r="X7" s="446">
        <f>V7+W7</f>
        <v>0</v>
      </c>
      <c r="Y7" s="612"/>
      <c r="Z7" s="842">
        <f t="shared" ref="Z7:Z33" si="0">V7-Q7</f>
        <v>0</v>
      </c>
    </row>
    <row r="8" spans="1:27" s="88" customFormat="1" ht="15" customHeight="1" outlineLevel="1" thickBot="1" x14ac:dyDescent="0.3">
      <c r="A8" s="238"/>
      <c r="B8" s="84" t="s">
        <v>16</v>
      </c>
      <c r="C8" s="109">
        <f>SUM(C9:C33)</f>
        <v>2516204</v>
      </c>
      <c r="D8" s="109">
        <f>SUM(D9:D33)</f>
        <v>868654</v>
      </c>
      <c r="E8" s="110">
        <f>SUM(E9:E33)</f>
        <v>3384858</v>
      </c>
      <c r="F8" s="164">
        <f t="shared" ref="F8:F21" si="1">E8/$E$89</f>
        <v>0.86242221631679561</v>
      </c>
      <c r="G8" s="109">
        <f>SUM(G9:G33)</f>
        <v>2316774.3339999998</v>
      </c>
      <c r="H8" s="109">
        <f>SUM(H9:H33)</f>
        <v>615606</v>
      </c>
      <c r="I8" s="110">
        <f>SUM(I9:I33)</f>
        <v>2932380.3339999998</v>
      </c>
      <c r="J8" s="164">
        <f t="shared" ref="J8:J21" si="2">I8/$I$89</f>
        <v>0.85497080587066177</v>
      </c>
      <c r="K8" s="87"/>
      <c r="L8" s="109">
        <f>SUM(L9:L33)</f>
        <v>-34661.476000000002</v>
      </c>
      <c r="M8" s="109">
        <f>SUM(M9:M33)</f>
        <v>-50660.34</v>
      </c>
      <c r="N8" s="110">
        <f>SUM(N9:N33)</f>
        <v>-85321.816000000021</v>
      </c>
      <c r="O8" s="164">
        <f t="shared" ref="O8:O21" si="3">N8/$N$89</f>
        <v>-0.71718551771984307</v>
      </c>
      <c r="P8" s="87"/>
      <c r="Q8" s="109">
        <f>SUM(Q9:Q33)</f>
        <v>2282112.858</v>
      </c>
      <c r="R8" s="109">
        <f>SUM(R9:R33)</f>
        <v>564945.66</v>
      </c>
      <c r="S8" s="110">
        <f>SUM(S9:S33)</f>
        <v>2847058.5180000002</v>
      </c>
      <c r="T8" s="164">
        <f t="shared" ref="T8:T21" si="4">S8/$S$89</f>
        <v>0.76040909847538962</v>
      </c>
      <c r="U8" s="87"/>
      <c r="V8" s="618">
        <f>SUM(V9:V33)</f>
        <v>2282112.858</v>
      </c>
      <c r="W8" s="618">
        <f>SUM(W9:W33)</f>
        <v>564945.66</v>
      </c>
      <c r="X8" s="619">
        <f>SUM(X9:X33)</f>
        <v>2847058.5180000002</v>
      </c>
      <c r="Y8" s="577" t="e">
        <f>X8/$F$93</f>
        <v>#DIV/0!</v>
      </c>
      <c r="Z8" s="842">
        <f t="shared" si="0"/>
        <v>0</v>
      </c>
    </row>
    <row r="9" spans="1:27" s="2" customFormat="1" ht="14.4" customHeight="1" outlineLevel="2" x14ac:dyDescent="0.25">
      <c r="A9" s="238"/>
      <c r="B9" s="31" t="s">
        <v>74</v>
      </c>
      <c r="C9" s="111">
        <v>5917</v>
      </c>
      <c r="D9" s="112"/>
      <c r="E9" s="106">
        <f t="shared" ref="E9:E33" si="5">C9+D9</f>
        <v>5917</v>
      </c>
      <c r="F9" s="177">
        <f t="shared" si="1"/>
        <v>1.5075823724204913E-3</v>
      </c>
      <c r="G9" s="210"/>
      <c r="H9" s="210"/>
      <c r="I9" s="210"/>
      <c r="J9" s="178">
        <f t="shared" si="2"/>
        <v>0</v>
      </c>
      <c r="K9" s="42"/>
      <c r="L9" s="39"/>
      <c r="M9" s="39"/>
      <c r="N9" s="210">
        <f>L9+M9*1</f>
        <v>0</v>
      </c>
      <c r="O9" s="178">
        <f t="shared" si="3"/>
        <v>0</v>
      </c>
      <c r="P9" s="42"/>
      <c r="Q9" s="39">
        <f t="shared" ref="Q9:Q33" si="6">G9+L9</f>
        <v>0</v>
      </c>
      <c r="R9" s="39">
        <f t="shared" ref="R9:R33" si="7">H9+M9</f>
        <v>0</v>
      </c>
      <c r="S9" s="210">
        <f>Q9+R9*1</f>
        <v>0</v>
      </c>
      <c r="T9" s="178">
        <f t="shared" si="4"/>
        <v>0</v>
      </c>
      <c r="U9" s="42"/>
      <c r="V9" s="488"/>
      <c r="W9" s="488"/>
      <c r="X9" s="489">
        <f>V9+W9*1</f>
        <v>0</v>
      </c>
      <c r="Y9" s="485" t="e">
        <f>X9/$F$93</f>
        <v>#DIV/0!</v>
      </c>
      <c r="Z9" s="842">
        <f t="shared" si="0"/>
        <v>0</v>
      </c>
      <c r="AA9" s="842">
        <f>W9-R9</f>
        <v>0</v>
      </c>
    </row>
    <row r="10" spans="1:27" s="2" customFormat="1" ht="14.4" customHeight="1" outlineLevel="2" x14ac:dyDescent="0.25">
      <c r="A10" s="238"/>
      <c r="B10" s="31" t="s">
        <v>72</v>
      </c>
      <c r="C10" s="111">
        <v>1433</v>
      </c>
      <c r="D10" s="112"/>
      <c r="E10" s="106">
        <f t="shared" si="5"/>
        <v>1433</v>
      </c>
      <c r="F10" s="177">
        <f t="shared" si="1"/>
        <v>3.6511163421980129E-4</v>
      </c>
      <c r="G10" s="210"/>
      <c r="H10" s="210"/>
      <c r="I10" s="210"/>
      <c r="J10" s="178">
        <f t="shared" si="2"/>
        <v>0</v>
      </c>
      <c r="K10" s="42"/>
      <c r="L10" s="39"/>
      <c r="M10" s="39"/>
      <c r="N10" s="210">
        <f t="shared" ref="N10:N33" si="8">L10+M10*1</f>
        <v>0</v>
      </c>
      <c r="O10" s="178">
        <f t="shared" si="3"/>
        <v>0</v>
      </c>
      <c r="P10" s="42"/>
      <c r="Q10" s="39">
        <f t="shared" si="6"/>
        <v>0</v>
      </c>
      <c r="R10" s="39">
        <f t="shared" si="7"/>
        <v>0</v>
      </c>
      <c r="S10" s="210">
        <f t="shared" ref="S10:S33" si="9">Q10+R10*1</f>
        <v>0</v>
      </c>
      <c r="T10" s="178">
        <f t="shared" si="4"/>
        <v>0</v>
      </c>
      <c r="U10" s="42"/>
      <c r="V10" s="452"/>
      <c r="W10" s="452"/>
      <c r="X10" s="453">
        <f t="shared" ref="X10:X33" si="10">V10+W10*1</f>
        <v>0</v>
      </c>
      <c r="Y10" s="450" t="e">
        <f t="shared" ref="Y10:Y33" si="11">X10/$F$93</f>
        <v>#DIV/0!</v>
      </c>
      <c r="Z10" s="842">
        <f t="shared" si="0"/>
        <v>0</v>
      </c>
      <c r="AA10" s="842">
        <f t="shared" ref="AA10:AA33" si="12">W10-R10</f>
        <v>0</v>
      </c>
    </row>
    <row r="11" spans="1:27" s="2" customFormat="1" ht="14.4" customHeight="1" outlineLevel="2" x14ac:dyDescent="0.25">
      <c r="A11" s="238"/>
      <c r="B11" s="31" t="s">
        <v>69</v>
      </c>
      <c r="C11" s="111">
        <v>1518</v>
      </c>
      <c r="D11" s="112"/>
      <c r="E11" s="106">
        <f t="shared" si="5"/>
        <v>1518</v>
      </c>
      <c r="F11" s="177">
        <f t="shared" si="1"/>
        <v>3.8676863973877065E-4</v>
      </c>
      <c r="G11" s="210"/>
      <c r="H11" s="210"/>
      <c r="I11" s="210"/>
      <c r="J11" s="178">
        <f t="shared" si="2"/>
        <v>0</v>
      </c>
      <c r="K11" s="42"/>
      <c r="L11" s="39"/>
      <c r="M11" s="39"/>
      <c r="N11" s="210">
        <f t="shared" si="8"/>
        <v>0</v>
      </c>
      <c r="O11" s="178">
        <f t="shared" si="3"/>
        <v>0</v>
      </c>
      <c r="P11" s="42"/>
      <c r="Q11" s="39">
        <f t="shared" si="6"/>
        <v>0</v>
      </c>
      <c r="R11" s="39">
        <f t="shared" si="7"/>
        <v>0</v>
      </c>
      <c r="S11" s="210">
        <f t="shared" si="9"/>
        <v>0</v>
      </c>
      <c r="T11" s="178">
        <f t="shared" si="4"/>
        <v>0</v>
      </c>
      <c r="U11" s="42"/>
      <c r="V11" s="452"/>
      <c r="W11" s="452"/>
      <c r="X11" s="453">
        <f t="shared" si="10"/>
        <v>0</v>
      </c>
      <c r="Y11" s="450" t="e">
        <f t="shared" si="11"/>
        <v>#DIV/0!</v>
      </c>
      <c r="Z11" s="842">
        <f t="shared" si="0"/>
        <v>0</v>
      </c>
      <c r="AA11" s="842">
        <f t="shared" si="12"/>
        <v>0</v>
      </c>
    </row>
    <row r="12" spans="1:27" s="2" customFormat="1" ht="39" customHeight="1" outlineLevel="2" x14ac:dyDescent="0.25">
      <c r="A12" s="238"/>
      <c r="B12" s="31" t="s">
        <v>73</v>
      </c>
      <c r="C12" s="111">
        <v>22460</v>
      </c>
      <c r="D12" s="112">
        <v>77541</v>
      </c>
      <c r="E12" s="106">
        <f t="shared" si="5"/>
        <v>100001</v>
      </c>
      <c r="F12" s="177">
        <f t="shared" si="1"/>
        <v>2.5479084810617132E-2</v>
      </c>
      <c r="G12" s="39">
        <v>53757.96</v>
      </c>
      <c r="H12" s="39">
        <v>56508</v>
      </c>
      <c r="I12" s="210">
        <f t="shared" ref="I12:I33" si="13">G12+H12*1</f>
        <v>110265.95999999999</v>
      </c>
      <c r="J12" s="178">
        <f t="shared" si="2"/>
        <v>3.2149368752826368E-2</v>
      </c>
      <c r="K12" s="42"/>
      <c r="L12" s="39"/>
      <c r="M12" s="39">
        <v>2650</v>
      </c>
      <c r="N12" s="210">
        <f t="shared" si="8"/>
        <v>2650</v>
      </c>
      <c r="O12" s="178">
        <f t="shared" si="3"/>
        <v>2.2274978558327729E-2</v>
      </c>
      <c r="P12" s="42"/>
      <c r="Q12" s="39">
        <f t="shared" si="6"/>
        <v>53757.96</v>
      </c>
      <c r="R12" s="39">
        <f t="shared" si="7"/>
        <v>59158</v>
      </c>
      <c r="S12" s="210">
        <f t="shared" si="9"/>
        <v>112915.95999999999</v>
      </c>
      <c r="T12" s="178">
        <f t="shared" si="4"/>
        <v>3.0158257304595083E-2</v>
      </c>
      <c r="U12" s="42"/>
      <c r="V12" s="452">
        <v>53757.96</v>
      </c>
      <c r="W12" s="452">
        <v>59158</v>
      </c>
      <c r="X12" s="453">
        <f t="shared" si="10"/>
        <v>112915.95999999999</v>
      </c>
      <c r="Y12" s="450" t="e">
        <f t="shared" si="11"/>
        <v>#DIV/0!</v>
      </c>
      <c r="Z12" s="842">
        <f t="shared" si="0"/>
        <v>0</v>
      </c>
      <c r="AA12" s="842">
        <f t="shared" si="12"/>
        <v>0</v>
      </c>
    </row>
    <row r="13" spans="1:27" s="2" customFormat="1" ht="14.4" customHeight="1" outlineLevel="2" x14ac:dyDescent="0.25">
      <c r="A13" s="238"/>
      <c r="B13" s="31" t="s">
        <v>71</v>
      </c>
      <c r="C13" s="111">
        <v>9360</v>
      </c>
      <c r="D13" s="112"/>
      <c r="E13" s="106">
        <f t="shared" si="5"/>
        <v>9360</v>
      </c>
      <c r="F13" s="177">
        <f t="shared" si="1"/>
        <v>2.3848184900888626E-3</v>
      </c>
      <c r="G13" s="39">
        <v>13664.04</v>
      </c>
      <c r="H13" s="39">
        <v>0</v>
      </c>
      <c r="I13" s="210">
        <f t="shared" si="13"/>
        <v>13664.04</v>
      </c>
      <c r="J13" s="178">
        <f t="shared" si="2"/>
        <v>3.9839154405708682E-3</v>
      </c>
      <c r="K13" s="42"/>
      <c r="L13" s="39"/>
      <c r="M13" s="39"/>
      <c r="N13" s="210">
        <f t="shared" si="8"/>
        <v>0</v>
      </c>
      <c r="O13" s="178">
        <f t="shared" si="3"/>
        <v>0</v>
      </c>
      <c r="P13" s="42"/>
      <c r="Q13" s="39">
        <f t="shared" si="6"/>
        <v>13664.04</v>
      </c>
      <c r="R13" s="39">
        <f t="shared" si="7"/>
        <v>0</v>
      </c>
      <c r="S13" s="210">
        <f t="shared" si="9"/>
        <v>13664.04</v>
      </c>
      <c r="T13" s="178">
        <f t="shared" si="4"/>
        <v>3.6494719979379307E-3</v>
      </c>
      <c r="U13" s="42"/>
      <c r="V13" s="452">
        <v>13664.04</v>
      </c>
      <c r="W13" s="452"/>
      <c r="X13" s="453">
        <f t="shared" si="10"/>
        <v>13664.04</v>
      </c>
      <c r="Y13" s="450" t="e">
        <f t="shared" si="11"/>
        <v>#DIV/0!</v>
      </c>
      <c r="Z13" s="842">
        <f t="shared" si="0"/>
        <v>0</v>
      </c>
      <c r="AA13" s="842">
        <f t="shared" si="12"/>
        <v>0</v>
      </c>
    </row>
    <row r="14" spans="1:27" s="2" customFormat="1" ht="14.4" customHeight="1" outlineLevel="2" x14ac:dyDescent="0.25">
      <c r="A14" s="238"/>
      <c r="B14" s="31" t="s">
        <v>70</v>
      </c>
      <c r="C14" s="111">
        <v>10560</v>
      </c>
      <c r="D14" s="112"/>
      <c r="E14" s="106">
        <f t="shared" si="5"/>
        <v>10560</v>
      </c>
      <c r="F14" s="177">
        <f t="shared" si="1"/>
        <v>2.6905644503566655E-3</v>
      </c>
      <c r="G14" s="39">
        <v>15415.84</v>
      </c>
      <c r="H14" s="39">
        <v>0</v>
      </c>
      <c r="I14" s="210">
        <f t="shared" si="13"/>
        <v>15415.84</v>
      </c>
      <c r="J14" s="178">
        <f t="shared" si="2"/>
        <v>4.494673830387646E-3</v>
      </c>
      <c r="K14" s="42"/>
      <c r="L14" s="39"/>
      <c r="M14" s="39"/>
      <c r="N14" s="210">
        <f t="shared" si="8"/>
        <v>0</v>
      </c>
      <c r="O14" s="178">
        <f t="shared" si="3"/>
        <v>0</v>
      </c>
      <c r="P14" s="42"/>
      <c r="Q14" s="39">
        <f t="shared" si="6"/>
        <v>15415.84</v>
      </c>
      <c r="R14" s="39">
        <f t="shared" si="7"/>
        <v>0</v>
      </c>
      <c r="S14" s="210">
        <f t="shared" si="9"/>
        <v>15415.84</v>
      </c>
      <c r="T14" s="178">
        <f t="shared" si="4"/>
        <v>4.1173530233145879E-3</v>
      </c>
      <c r="U14" s="42"/>
      <c r="V14" s="452">
        <v>15415.84</v>
      </c>
      <c r="W14" s="452"/>
      <c r="X14" s="453">
        <f t="shared" si="10"/>
        <v>15415.84</v>
      </c>
      <c r="Y14" s="450" t="e">
        <f t="shared" si="11"/>
        <v>#DIV/0!</v>
      </c>
      <c r="Z14" s="842">
        <f t="shared" si="0"/>
        <v>0</v>
      </c>
      <c r="AA14" s="842">
        <f t="shared" si="12"/>
        <v>0</v>
      </c>
    </row>
    <row r="15" spans="1:27" s="2" customFormat="1" ht="14.4" customHeight="1" outlineLevel="2" x14ac:dyDescent="0.25">
      <c r="A15" s="238"/>
      <c r="B15" s="7" t="s">
        <v>20</v>
      </c>
      <c r="C15" s="111"/>
      <c r="D15" s="113"/>
      <c r="E15" s="106">
        <f t="shared" si="5"/>
        <v>0</v>
      </c>
      <c r="F15" s="177">
        <f t="shared" si="1"/>
        <v>0</v>
      </c>
      <c r="G15" s="39">
        <v>0</v>
      </c>
      <c r="H15" s="39">
        <v>33600</v>
      </c>
      <c r="I15" s="210">
        <f t="shared" si="13"/>
        <v>33600</v>
      </c>
      <c r="J15" s="178">
        <f t="shared" si="2"/>
        <v>9.796484700219054E-3</v>
      </c>
      <c r="K15" s="42"/>
      <c r="L15" s="39"/>
      <c r="M15" s="39"/>
      <c r="N15" s="210">
        <f t="shared" si="8"/>
        <v>0</v>
      </c>
      <c r="O15" s="178">
        <f t="shared" si="3"/>
        <v>0</v>
      </c>
      <c r="P15" s="42"/>
      <c r="Q15" s="39">
        <f t="shared" si="6"/>
        <v>0</v>
      </c>
      <c r="R15" s="39">
        <f t="shared" si="7"/>
        <v>33600</v>
      </c>
      <c r="S15" s="210">
        <f t="shared" si="9"/>
        <v>33600</v>
      </c>
      <c r="T15" s="178">
        <f t="shared" si="4"/>
        <v>8.9740851995979559E-3</v>
      </c>
      <c r="U15" s="42"/>
      <c r="V15" s="452"/>
      <c r="W15" s="452">
        <v>33600</v>
      </c>
      <c r="X15" s="453">
        <f t="shared" si="10"/>
        <v>33600</v>
      </c>
      <c r="Y15" s="450" t="e">
        <f t="shared" si="11"/>
        <v>#DIV/0!</v>
      </c>
      <c r="Z15" s="842">
        <f t="shared" si="0"/>
        <v>0</v>
      </c>
      <c r="AA15" s="842">
        <f t="shared" si="12"/>
        <v>0</v>
      </c>
    </row>
    <row r="16" spans="1:27" s="2" customFormat="1" ht="14.4" customHeight="1" outlineLevel="2" x14ac:dyDescent="0.25">
      <c r="A16" s="292"/>
      <c r="B16" s="7" t="s">
        <v>21</v>
      </c>
      <c r="C16" s="111"/>
      <c r="D16" s="113">
        <v>66483</v>
      </c>
      <c r="E16" s="106">
        <f t="shared" si="5"/>
        <v>66483</v>
      </c>
      <c r="F16" s="177">
        <f t="shared" si="1"/>
        <v>1.693909056373695E-2</v>
      </c>
      <c r="G16" s="39">
        <v>0</v>
      </c>
      <c r="H16" s="39">
        <v>2500</v>
      </c>
      <c r="I16" s="210">
        <f t="shared" si="13"/>
        <v>2500</v>
      </c>
      <c r="J16" s="178">
        <f t="shared" si="2"/>
        <v>7.2890511162344146E-4</v>
      </c>
      <c r="K16" s="42"/>
      <c r="L16" s="39"/>
      <c r="M16" s="39"/>
      <c r="N16" s="210">
        <f t="shared" si="8"/>
        <v>0</v>
      </c>
      <c r="O16" s="178">
        <f t="shared" si="3"/>
        <v>0</v>
      </c>
      <c r="P16" s="42"/>
      <c r="Q16" s="39">
        <f t="shared" si="6"/>
        <v>0</v>
      </c>
      <c r="R16" s="39">
        <f t="shared" si="7"/>
        <v>2500</v>
      </c>
      <c r="S16" s="210">
        <f t="shared" si="9"/>
        <v>2500</v>
      </c>
      <c r="T16" s="178">
        <f t="shared" si="4"/>
        <v>6.6771467258913361E-4</v>
      </c>
      <c r="U16" s="42"/>
      <c r="V16" s="452"/>
      <c r="W16" s="452">
        <v>2500</v>
      </c>
      <c r="X16" s="453">
        <f t="shared" si="10"/>
        <v>2500</v>
      </c>
      <c r="Y16" s="450" t="e">
        <f t="shared" si="11"/>
        <v>#DIV/0!</v>
      </c>
      <c r="Z16" s="842">
        <f t="shared" si="0"/>
        <v>0</v>
      </c>
      <c r="AA16" s="842">
        <f t="shared" si="12"/>
        <v>0</v>
      </c>
    </row>
    <row r="17" spans="1:27" s="2" customFormat="1" ht="14.4" customHeight="1" outlineLevel="2" x14ac:dyDescent="0.25">
      <c r="A17" s="238"/>
      <c r="B17" s="7" t="s">
        <v>22</v>
      </c>
      <c r="C17" s="111"/>
      <c r="D17" s="113"/>
      <c r="E17" s="106">
        <f t="shared" si="5"/>
        <v>0</v>
      </c>
      <c r="F17" s="177">
        <f t="shared" si="1"/>
        <v>0</v>
      </c>
      <c r="G17" s="39">
        <v>0</v>
      </c>
      <c r="H17" s="39">
        <v>0</v>
      </c>
      <c r="I17" s="210">
        <f t="shared" si="13"/>
        <v>0</v>
      </c>
      <c r="J17" s="178">
        <f t="shared" si="2"/>
        <v>0</v>
      </c>
      <c r="K17" s="42"/>
      <c r="L17" s="39"/>
      <c r="M17" s="39"/>
      <c r="N17" s="210">
        <f t="shared" si="8"/>
        <v>0</v>
      </c>
      <c r="O17" s="178">
        <f t="shared" si="3"/>
        <v>0</v>
      </c>
      <c r="P17" s="42"/>
      <c r="Q17" s="39">
        <f t="shared" si="6"/>
        <v>0</v>
      </c>
      <c r="R17" s="39">
        <f t="shared" si="7"/>
        <v>0</v>
      </c>
      <c r="S17" s="210">
        <f t="shared" si="9"/>
        <v>0</v>
      </c>
      <c r="T17" s="178">
        <f t="shared" si="4"/>
        <v>0</v>
      </c>
      <c r="U17" s="42"/>
      <c r="V17" s="452"/>
      <c r="W17" s="452"/>
      <c r="X17" s="453">
        <f t="shared" si="10"/>
        <v>0</v>
      </c>
      <c r="Y17" s="450" t="e">
        <f t="shared" si="11"/>
        <v>#DIV/0!</v>
      </c>
      <c r="Z17" s="842">
        <f t="shared" si="0"/>
        <v>0</v>
      </c>
      <c r="AA17" s="842">
        <f t="shared" si="12"/>
        <v>0</v>
      </c>
    </row>
    <row r="18" spans="1:27" s="2" customFormat="1" ht="79.2" customHeight="1" outlineLevel="2" x14ac:dyDescent="0.25">
      <c r="A18" s="238"/>
      <c r="B18" s="7" t="s">
        <v>0</v>
      </c>
      <c r="C18" s="111">
        <v>1692280</v>
      </c>
      <c r="D18" s="113">
        <v>9000</v>
      </c>
      <c r="E18" s="106">
        <f t="shared" si="5"/>
        <v>1701280</v>
      </c>
      <c r="F18" s="177">
        <f t="shared" si="1"/>
        <v>0.43346623940367307</v>
      </c>
      <c r="G18" s="39">
        <v>1871601.156</v>
      </c>
      <c r="H18" s="39">
        <v>52700</v>
      </c>
      <c r="I18" s="210">
        <f t="shared" si="13"/>
        <v>1924301.156</v>
      </c>
      <c r="J18" s="178">
        <f t="shared" si="2"/>
        <v>0.56105317956451894</v>
      </c>
      <c r="K18" s="42"/>
      <c r="L18" s="39">
        <v>-119999.652</v>
      </c>
      <c r="M18" s="39">
        <v>-50000</v>
      </c>
      <c r="N18" s="210">
        <f t="shared" si="8"/>
        <v>-169999.652</v>
      </c>
      <c r="O18" s="178">
        <f t="shared" si="3"/>
        <v>-1.4289579634804435</v>
      </c>
      <c r="P18" s="42"/>
      <c r="Q18" s="39">
        <f t="shared" si="6"/>
        <v>1751601.504</v>
      </c>
      <c r="R18" s="39">
        <f t="shared" si="7"/>
        <v>2700</v>
      </c>
      <c r="S18" s="210">
        <f t="shared" si="9"/>
        <v>1754301.504</v>
      </c>
      <c r="T18" s="178">
        <f t="shared" si="4"/>
        <v>0.46854914174639389</v>
      </c>
      <c r="U18" s="42"/>
      <c r="V18" s="835">
        <f>18000+50000+90220+4860+7500+86366+29970+(2237.92*1.2)+987000+135000+340000</f>
        <v>1751601.504</v>
      </c>
      <c r="W18" s="452">
        <f>2700</f>
        <v>2700</v>
      </c>
      <c r="X18" s="453">
        <f t="shared" si="10"/>
        <v>1754301.504</v>
      </c>
      <c r="Y18" s="450" t="e">
        <f t="shared" si="11"/>
        <v>#DIV/0!</v>
      </c>
      <c r="Z18" s="842">
        <f>V18-Q18</f>
        <v>0</v>
      </c>
      <c r="AA18" s="842">
        <f t="shared" si="12"/>
        <v>0</v>
      </c>
    </row>
    <row r="19" spans="1:27" s="2" customFormat="1" ht="34.200000000000003" customHeight="1" outlineLevel="2" x14ac:dyDescent="0.25">
      <c r="A19" s="238"/>
      <c r="B19" s="7" t="s">
        <v>53</v>
      </c>
      <c r="C19" s="114"/>
      <c r="D19" s="113"/>
      <c r="E19" s="106">
        <f t="shared" si="5"/>
        <v>0</v>
      </c>
      <c r="F19" s="177">
        <f t="shared" si="1"/>
        <v>0</v>
      </c>
      <c r="G19" s="39">
        <v>0</v>
      </c>
      <c r="H19" s="39">
        <v>600</v>
      </c>
      <c r="I19" s="210">
        <f t="shared" si="13"/>
        <v>600</v>
      </c>
      <c r="J19" s="178">
        <f t="shared" si="2"/>
        <v>1.7493722678962596E-4</v>
      </c>
      <c r="K19" s="42"/>
      <c r="L19" s="39"/>
      <c r="M19" s="39"/>
      <c r="N19" s="210">
        <f t="shared" si="8"/>
        <v>0</v>
      </c>
      <c r="O19" s="178">
        <f t="shared" si="3"/>
        <v>0</v>
      </c>
      <c r="P19" s="42"/>
      <c r="Q19" s="39">
        <f t="shared" si="6"/>
        <v>0</v>
      </c>
      <c r="R19" s="39">
        <f t="shared" si="7"/>
        <v>600</v>
      </c>
      <c r="S19" s="210">
        <f t="shared" si="9"/>
        <v>600</v>
      </c>
      <c r="T19" s="178">
        <f t="shared" si="4"/>
        <v>1.6025152142139207E-4</v>
      </c>
      <c r="U19" s="42"/>
      <c r="V19" s="452"/>
      <c r="W19" s="452">
        <v>600</v>
      </c>
      <c r="X19" s="453">
        <f t="shared" si="10"/>
        <v>600</v>
      </c>
      <c r="Y19" s="450" t="e">
        <f t="shared" si="11"/>
        <v>#DIV/0!</v>
      </c>
      <c r="Z19" s="842">
        <f t="shared" si="0"/>
        <v>0</v>
      </c>
      <c r="AA19" s="842">
        <f t="shared" si="12"/>
        <v>0</v>
      </c>
    </row>
    <row r="20" spans="1:27" s="2" customFormat="1" ht="14.4" customHeight="1" outlineLevel="2" x14ac:dyDescent="0.25">
      <c r="A20" s="238"/>
      <c r="B20" s="7" t="s">
        <v>57</v>
      </c>
      <c r="C20" s="114"/>
      <c r="D20" s="113"/>
      <c r="E20" s="106">
        <f t="shared" si="5"/>
        <v>0</v>
      </c>
      <c r="F20" s="177">
        <f t="shared" si="1"/>
        <v>0</v>
      </c>
      <c r="G20" s="39">
        <v>0</v>
      </c>
      <c r="H20" s="39">
        <v>0</v>
      </c>
      <c r="I20" s="210">
        <f t="shared" si="13"/>
        <v>0</v>
      </c>
      <c r="J20" s="178">
        <f t="shared" si="2"/>
        <v>0</v>
      </c>
      <c r="K20" s="42"/>
      <c r="L20" s="39"/>
      <c r="M20" s="39"/>
      <c r="N20" s="210">
        <f t="shared" si="8"/>
        <v>0</v>
      </c>
      <c r="O20" s="178">
        <f t="shared" si="3"/>
        <v>0</v>
      </c>
      <c r="P20" s="42"/>
      <c r="Q20" s="39">
        <f t="shared" si="6"/>
        <v>0</v>
      </c>
      <c r="R20" s="39">
        <f t="shared" si="7"/>
        <v>0</v>
      </c>
      <c r="S20" s="210">
        <f t="shared" si="9"/>
        <v>0</v>
      </c>
      <c r="T20" s="178">
        <f t="shared" si="4"/>
        <v>0</v>
      </c>
      <c r="U20" s="42"/>
      <c r="V20" s="452"/>
      <c r="W20" s="452"/>
      <c r="X20" s="453">
        <f t="shared" si="10"/>
        <v>0</v>
      </c>
      <c r="Y20" s="450" t="e">
        <f t="shared" si="11"/>
        <v>#DIV/0!</v>
      </c>
      <c r="Z20" s="842">
        <f t="shared" si="0"/>
        <v>0</v>
      </c>
      <c r="AA20" s="842">
        <f t="shared" si="12"/>
        <v>0</v>
      </c>
    </row>
    <row r="21" spans="1:27" s="2" customFormat="1" ht="55.2" customHeight="1" outlineLevel="2" x14ac:dyDescent="0.25">
      <c r="A21" s="238"/>
      <c r="B21" s="7" t="s">
        <v>58</v>
      </c>
      <c r="C21" s="114">
        <v>392241</v>
      </c>
      <c r="D21" s="113"/>
      <c r="E21" s="106">
        <f t="shared" si="5"/>
        <v>392241</v>
      </c>
      <c r="F21" s="177">
        <f t="shared" si="1"/>
        <v>9.9938417667836066E-2</v>
      </c>
      <c r="G21" s="39">
        <v>109071.87</v>
      </c>
      <c r="H21" s="39">
        <v>28150</v>
      </c>
      <c r="I21" s="210">
        <f t="shared" si="13"/>
        <v>137221.87</v>
      </c>
      <c r="J21" s="178">
        <f t="shared" si="2"/>
        <v>4.0008688987810952E-2</v>
      </c>
      <c r="K21" s="42"/>
      <c r="L21" s="39">
        <v>-36421.199999999997</v>
      </c>
      <c r="M21" s="39"/>
      <c r="N21" s="210">
        <f t="shared" si="8"/>
        <v>-36421.199999999997</v>
      </c>
      <c r="O21" s="178">
        <f t="shared" si="3"/>
        <v>-0.3061439430447418</v>
      </c>
      <c r="P21" s="42"/>
      <c r="Q21" s="39">
        <f t="shared" si="6"/>
        <v>72650.67</v>
      </c>
      <c r="R21" s="39">
        <f t="shared" si="7"/>
        <v>28150</v>
      </c>
      <c r="S21" s="210">
        <f t="shared" si="9"/>
        <v>100800.67</v>
      </c>
      <c r="T21" s="178">
        <f t="shared" si="4"/>
        <v>2.6922434546326122E-2</v>
      </c>
      <c r="U21" s="42"/>
      <c r="V21" s="452">
        <f>23988.65+36325+12337.02</f>
        <v>72650.67</v>
      </c>
      <c r="W21" s="452"/>
      <c r="X21" s="453">
        <f t="shared" si="10"/>
        <v>72650.67</v>
      </c>
      <c r="Y21" s="450" t="e">
        <f t="shared" si="11"/>
        <v>#DIV/0!</v>
      </c>
      <c r="Z21" s="842">
        <f t="shared" si="0"/>
        <v>0</v>
      </c>
      <c r="AA21" s="842">
        <f t="shared" si="12"/>
        <v>-28150</v>
      </c>
    </row>
    <row r="22" spans="1:27" s="2" customFormat="1" ht="13.8" outlineLevel="2" x14ac:dyDescent="0.25">
      <c r="A22" s="238"/>
      <c r="B22" s="7" t="s">
        <v>621</v>
      </c>
      <c r="C22" s="114"/>
      <c r="D22" s="445"/>
      <c r="E22" s="446"/>
      <c r="F22" s="447"/>
      <c r="G22" s="452"/>
      <c r="H22" s="452"/>
      <c r="I22" s="453"/>
      <c r="J22" s="450"/>
      <c r="K22" s="456"/>
      <c r="L22" s="452">
        <v>267000</v>
      </c>
      <c r="M22" s="452"/>
      <c r="N22" s="210">
        <f t="shared" si="8"/>
        <v>267000</v>
      </c>
      <c r="O22" s="450"/>
      <c r="P22" s="456"/>
      <c r="Q22" s="39">
        <f>G22+L22</f>
        <v>267000</v>
      </c>
      <c r="R22" s="39">
        <f>H22+M22</f>
        <v>0</v>
      </c>
      <c r="S22" s="210">
        <f>Q22+R22*1</f>
        <v>267000</v>
      </c>
      <c r="T22" s="178">
        <f>S22/$S$89</f>
        <v>7.131192703251947E-2</v>
      </c>
      <c r="U22" s="456"/>
      <c r="V22" s="452">
        <f>120000+147000</f>
        <v>267000</v>
      </c>
      <c r="W22" s="452">
        <v>28150</v>
      </c>
      <c r="X22" s="453">
        <f t="shared" si="10"/>
        <v>295150</v>
      </c>
      <c r="Y22" s="450" t="e">
        <f t="shared" si="11"/>
        <v>#DIV/0!</v>
      </c>
      <c r="Z22" s="842">
        <f t="shared" si="0"/>
        <v>0</v>
      </c>
      <c r="AA22" s="842">
        <f t="shared" si="12"/>
        <v>28150</v>
      </c>
    </row>
    <row r="23" spans="1:27" s="2" customFormat="1" ht="13.8" outlineLevel="2" x14ac:dyDescent="0.25">
      <c r="A23" s="238"/>
      <c r="B23" s="471" t="s">
        <v>630</v>
      </c>
      <c r="C23" s="114"/>
      <c r="D23" s="445"/>
      <c r="E23" s="446"/>
      <c r="F23" s="447"/>
      <c r="G23" s="452"/>
      <c r="H23" s="452"/>
      <c r="I23" s="453"/>
      <c r="J23" s="450"/>
      <c r="K23" s="456"/>
      <c r="L23" s="452"/>
      <c r="M23" s="452"/>
      <c r="N23" s="210">
        <f t="shared" si="8"/>
        <v>0</v>
      </c>
      <c r="O23" s="450"/>
      <c r="P23" s="456"/>
      <c r="Q23" s="39">
        <f>G23+L23</f>
        <v>0</v>
      </c>
      <c r="R23" s="39">
        <f>H23+M23</f>
        <v>0</v>
      </c>
      <c r="S23" s="210">
        <f>Q23+R23*1</f>
        <v>0</v>
      </c>
      <c r="T23" s="178">
        <f>S23/$S$89</f>
        <v>0</v>
      </c>
      <c r="U23" s="456"/>
      <c r="V23" s="452"/>
      <c r="W23" s="452"/>
      <c r="X23" s="453">
        <f t="shared" si="10"/>
        <v>0</v>
      </c>
      <c r="Y23" s="450" t="e">
        <f t="shared" si="11"/>
        <v>#DIV/0!</v>
      </c>
      <c r="Z23" s="842">
        <f t="shared" si="0"/>
        <v>0</v>
      </c>
      <c r="AA23" s="842">
        <f t="shared" si="12"/>
        <v>0</v>
      </c>
    </row>
    <row r="24" spans="1:27" s="2" customFormat="1" ht="87" customHeight="1" outlineLevel="2" x14ac:dyDescent="0.25">
      <c r="A24" s="238"/>
      <c r="B24" s="7" t="s">
        <v>23</v>
      </c>
      <c r="C24" s="114"/>
      <c r="D24" s="113"/>
      <c r="E24" s="106">
        <f t="shared" si="5"/>
        <v>0</v>
      </c>
      <c r="F24" s="177">
        <f t="shared" ref="F24:F33" si="14">E24/$E$89</f>
        <v>0</v>
      </c>
      <c r="G24" s="39">
        <v>210399.99599999998</v>
      </c>
      <c r="H24" s="39">
        <v>800</v>
      </c>
      <c r="I24" s="210">
        <f t="shared" si="13"/>
        <v>211199.99599999998</v>
      </c>
      <c r="J24" s="178">
        <f t="shared" ref="J24:J33" si="15">I24/$I$89</f>
        <v>6.1577902663700154E-2</v>
      </c>
      <c r="K24" s="42"/>
      <c r="L24" s="39">
        <v>-210399.99599999998</v>
      </c>
      <c r="M24" s="39">
        <v>-800</v>
      </c>
      <c r="N24" s="210">
        <f t="shared" si="8"/>
        <v>-211199.99599999998</v>
      </c>
      <c r="O24" s="178">
        <f t="shared" ref="O24:O33" si="16">N24/$N$89</f>
        <v>-1.7752737292146799</v>
      </c>
      <c r="P24" s="42"/>
      <c r="Q24" s="39">
        <f t="shared" si="6"/>
        <v>0</v>
      </c>
      <c r="R24" s="39">
        <f t="shared" si="7"/>
        <v>0</v>
      </c>
      <c r="S24" s="210">
        <f t="shared" si="9"/>
        <v>0</v>
      </c>
      <c r="T24" s="178">
        <f t="shared" ref="T24:T33" si="17">S24/$S$89</f>
        <v>0</v>
      </c>
      <c r="U24" s="42"/>
      <c r="V24" s="452"/>
      <c r="W24" s="452"/>
      <c r="X24" s="453">
        <f t="shared" si="10"/>
        <v>0</v>
      </c>
      <c r="Y24" s="450" t="e">
        <f t="shared" si="11"/>
        <v>#DIV/0!</v>
      </c>
      <c r="Z24" s="842">
        <f t="shared" si="0"/>
        <v>0</v>
      </c>
      <c r="AA24" s="842">
        <f t="shared" si="12"/>
        <v>0</v>
      </c>
    </row>
    <row r="25" spans="1:27" s="2" customFormat="1" ht="39" customHeight="1" outlineLevel="2" x14ac:dyDescent="0.25">
      <c r="A25" s="238"/>
      <c r="B25" s="7" t="s">
        <v>24</v>
      </c>
      <c r="C25" s="114">
        <v>37556</v>
      </c>
      <c r="D25" s="113"/>
      <c r="E25" s="106">
        <f t="shared" si="5"/>
        <v>37556</v>
      </c>
      <c r="F25" s="177">
        <f t="shared" si="14"/>
        <v>9.5688294031813382E-3</v>
      </c>
      <c r="G25" s="39">
        <v>8553.6720000000005</v>
      </c>
      <c r="H25" s="39">
        <v>855</v>
      </c>
      <c r="I25" s="210">
        <f t="shared" si="13"/>
        <v>9408.6720000000005</v>
      </c>
      <c r="J25" s="178">
        <f t="shared" si="15"/>
        <v>2.7432116457553396E-3</v>
      </c>
      <c r="K25" s="42"/>
      <c r="L25" s="39">
        <v>2550.9359999999997</v>
      </c>
      <c r="M25" s="39">
        <v>0.46000000000003638</v>
      </c>
      <c r="N25" s="210">
        <f t="shared" si="8"/>
        <v>2551.3959999999997</v>
      </c>
      <c r="O25" s="178">
        <f t="shared" si="16"/>
        <v>2.1446147620303065E-2</v>
      </c>
      <c r="P25" s="42"/>
      <c r="Q25" s="39">
        <f t="shared" si="6"/>
        <v>11104.608</v>
      </c>
      <c r="R25" s="39">
        <f t="shared" si="7"/>
        <v>855.46</v>
      </c>
      <c r="S25" s="210">
        <f t="shared" si="9"/>
        <v>11960.067999999999</v>
      </c>
      <c r="T25" s="178">
        <f t="shared" si="17"/>
        <v>3.1943651555055097E-3</v>
      </c>
      <c r="U25" s="42"/>
      <c r="V25" s="452">
        <f>7128.06*1.2+(1466.48+659.3)*1.2</f>
        <v>11104.608</v>
      </c>
      <c r="W25" s="452">
        <v>855.46</v>
      </c>
      <c r="X25" s="453">
        <f t="shared" si="10"/>
        <v>11960.067999999999</v>
      </c>
      <c r="Y25" s="450" t="e">
        <f t="shared" si="11"/>
        <v>#DIV/0!</v>
      </c>
      <c r="Z25" s="842">
        <f t="shared" si="0"/>
        <v>0</v>
      </c>
      <c r="AA25" s="842">
        <f t="shared" si="12"/>
        <v>0</v>
      </c>
    </row>
    <row r="26" spans="1:27" s="2" customFormat="1" ht="14.4" customHeight="1" outlineLevel="2" x14ac:dyDescent="0.25">
      <c r="A26" s="238"/>
      <c r="B26" s="7" t="s">
        <v>45</v>
      </c>
      <c r="C26" s="114">
        <v>81925</v>
      </c>
      <c r="D26" s="113"/>
      <c r="E26" s="106">
        <f t="shared" si="5"/>
        <v>81925</v>
      </c>
      <c r="F26" s="177">
        <f t="shared" si="14"/>
        <v>2.0873531495783127E-2</v>
      </c>
      <c r="G26" s="39">
        <v>26012.807999999997</v>
      </c>
      <c r="H26" s="39">
        <v>2878</v>
      </c>
      <c r="I26" s="210">
        <f t="shared" si="13"/>
        <v>28890.807999999997</v>
      </c>
      <c r="J26" s="178">
        <f t="shared" si="15"/>
        <v>8.4234630520525662E-3</v>
      </c>
      <c r="K26" s="42"/>
      <c r="L26" s="39">
        <v>-791.15999999999622</v>
      </c>
      <c r="M26" s="39">
        <v>0</v>
      </c>
      <c r="N26" s="210">
        <f t="shared" si="8"/>
        <v>-791.15999999999622</v>
      </c>
      <c r="O26" s="178">
        <f t="shared" si="16"/>
        <v>-6.6502158627194264E-3</v>
      </c>
      <c r="P26" s="42"/>
      <c r="Q26" s="39">
        <f t="shared" si="6"/>
        <v>25221.648000000001</v>
      </c>
      <c r="R26" s="39">
        <f t="shared" si="7"/>
        <v>2878</v>
      </c>
      <c r="S26" s="210">
        <f t="shared" si="9"/>
        <v>28099.648000000001</v>
      </c>
      <c r="T26" s="178">
        <f t="shared" si="17"/>
        <v>7.5050189056759618E-3</v>
      </c>
      <c r="U26" s="42"/>
      <c r="V26" s="452">
        <f>(9312.26+11705.78)*1.2</f>
        <v>25221.648000000001</v>
      </c>
      <c r="W26" s="452">
        <v>2878</v>
      </c>
      <c r="X26" s="453">
        <f t="shared" si="10"/>
        <v>28099.648000000001</v>
      </c>
      <c r="Y26" s="450" t="e">
        <f t="shared" si="11"/>
        <v>#DIV/0!</v>
      </c>
      <c r="Z26" s="842">
        <f t="shared" si="0"/>
        <v>0</v>
      </c>
      <c r="AA26" s="842">
        <f t="shared" si="12"/>
        <v>0</v>
      </c>
    </row>
    <row r="27" spans="1:27" s="2" customFormat="1" ht="14.4" customHeight="1" outlineLevel="2" x14ac:dyDescent="0.25">
      <c r="A27" s="238"/>
      <c r="B27" s="7" t="s">
        <v>25</v>
      </c>
      <c r="C27" s="114"/>
      <c r="D27" s="113">
        <v>2000</v>
      </c>
      <c r="E27" s="106">
        <f t="shared" si="5"/>
        <v>2000</v>
      </c>
      <c r="F27" s="177">
        <f t="shared" si="14"/>
        <v>5.0957660044633813E-4</v>
      </c>
      <c r="G27" s="39">
        <v>7037.5919999999996</v>
      </c>
      <c r="H27" s="39">
        <v>0</v>
      </c>
      <c r="I27" s="210">
        <f t="shared" si="13"/>
        <v>7037.5919999999996</v>
      </c>
      <c r="J27" s="178">
        <f t="shared" si="15"/>
        <v>2.0518947129280953E-3</v>
      </c>
      <c r="K27" s="42"/>
      <c r="L27" s="39"/>
      <c r="M27" s="39"/>
      <c r="N27" s="210">
        <f t="shared" si="8"/>
        <v>0</v>
      </c>
      <c r="O27" s="178">
        <f t="shared" si="16"/>
        <v>0</v>
      </c>
      <c r="P27" s="42"/>
      <c r="Q27" s="39">
        <f t="shared" si="6"/>
        <v>7037.5919999999996</v>
      </c>
      <c r="R27" s="39">
        <f t="shared" si="7"/>
        <v>0</v>
      </c>
      <c r="S27" s="210">
        <f t="shared" si="9"/>
        <v>7037.5919999999996</v>
      </c>
      <c r="T27" s="178">
        <f t="shared" si="17"/>
        <v>1.8796413752383623E-3</v>
      </c>
      <c r="U27" s="42"/>
      <c r="V27" s="452">
        <f>(5864.66*1.2)</f>
        <v>7037.5919999999996</v>
      </c>
      <c r="W27" s="452"/>
      <c r="X27" s="453">
        <f t="shared" si="10"/>
        <v>7037.5919999999996</v>
      </c>
      <c r="Y27" s="450" t="e">
        <f t="shared" si="11"/>
        <v>#DIV/0!</v>
      </c>
      <c r="Z27" s="842">
        <f t="shared" si="0"/>
        <v>0</v>
      </c>
      <c r="AA27" s="842">
        <f t="shared" si="12"/>
        <v>0</v>
      </c>
    </row>
    <row r="28" spans="1:27" s="2" customFormat="1" ht="51" customHeight="1" outlineLevel="2" x14ac:dyDescent="0.25">
      <c r="A28" s="238"/>
      <c r="B28" s="7" t="s">
        <v>52</v>
      </c>
      <c r="C28" s="114">
        <v>116394</v>
      </c>
      <c r="D28" s="113"/>
      <c r="E28" s="106">
        <f t="shared" si="5"/>
        <v>116394</v>
      </c>
      <c r="F28" s="177">
        <f t="shared" si="14"/>
        <v>2.965582941617554E-2</v>
      </c>
      <c r="G28" s="39">
        <v>0</v>
      </c>
      <c r="H28" s="39">
        <v>2390</v>
      </c>
      <c r="I28" s="210">
        <f t="shared" si="13"/>
        <v>2390</v>
      </c>
      <c r="J28" s="178">
        <f t="shared" si="15"/>
        <v>6.9683328671201004E-4</v>
      </c>
      <c r="K28" s="42"/>
      <c r="L28" s="39"/>
      <c r="M28" s="39">
        <v>90</v>
      </c>
      <c r="N28" s="210">
        <f t="shared" si="8"/>
        <v>90</v>
      </c>
      <c r="O28" s="178">
        <f t="shared" si="16"/>
        <v>7.5650870575452657E-4</v>
      </c>
      <c r="P28" s="42"/>
      <c r="Q28" s="39">
        <f t="shared" si="6"/>
        <v>0</v>
      </c>
      <c r="R28" s="39">
        <f t="shared" si="7"/>
        <v>2480</v>
      </c>
      <c r="S28" s="210">
        <f t="shared" si="9"/>
        <v>2480</v>
      </c>
      <c r="T28" s="178">
        <f t="shared" si="17"/>
        <v>6.6237295520842055E-4</v>
      </c>
      <c r="U28" s="42"/>
      <c r="V28" s="452"/>
      <c r="W28" s="452">
        <v>2480</v>
      </c>
      <c r="X28" s="453">
        <f t="shared" si="10"/>
        <v>2480</v>
      </c>
      <c r="Y28" s="450" t="e">
        <f t="shared" si="11"/>
        <v>#DIV/0!</v>
      </c>
      <c r="Z28" s="842">
        <f t="shared" si="0"/>
        <v>0</v>
      </c>
      <c r="AA28" s="842">
        <f t="shared" si="12"/>
        <v>0</v>
      </c>
    </row>
    <row r="29" spans="1:27" s="2" customFormat="1" ht="61.2" customHeight="1" outlineLevel="2" x14ac:dyDescent="0.25">
      <c r="A29" s="238"/>
      <c r="B29" s="7" t="s">
        <v>31</v>
      </c>
      <c r="C29" s="114">
        <v>23520</v>
      </c>
      <c r="D29" s="113"/>
      <c r="E29" s="106">
        <f t="shared" si="5"/>
        <v>23520</v>
      </c>
      <c r="F29" s="178">
        <f t="shared" si="14"/>
        <v>5.9926208212489366E-3</v>
      </c>
      <c r="G29" s="39">
        <v>0</v>
      </c>
      <c r="H29" s="39">
        <v>0</v>
      </c>
      <c r="I29" s="210">
        <f t="shared" si="13"/>
        <v>0</v>
      </c>
      <c r="J29" s="178">
        <f t="shared" si="15"/>
        <v>0</v>
      </c>
      <c r="K29" s="79"/>
      <c r="L29" s="39"/>
      <c r="M29" s="39"/>
      <c r="N29" s="210">
        <f t="shared" si="8"/>
        <v>0</v>
      </c>
      <c r="O29" s="178">
        <f t="shared" si="16"/>
        <v>0</v>
      </c>
      <c r="P29" s="79"/>
      <c r="Q29" s="39">
        <f t="shared" si="6"/>
        <v>0</v>
      </c>
      <c r="R29" s="39">
        <f t="shared" si="7"/>
        <v>0</v>
      </c>
      <c r="S29" s="210">
        <f t="shared" si="9"/>
        <v>0</v>
      </c>
      <c r="T29" s="178">
        <f t="shared" si="17"/>
        <v>0</v>
      </c>
      <c r="U29" s="79"/>
      <c r="V29" s="452"/>
      <c r="W29" s="452"/>
      <c r="X29" s="453">
        <f t="shared" si="10"/>
        <v>0</v>
      </c>
      <c r="Y29" s="450" t="e">
        <f t="shared" si="11"/>
        <v>#DIV/0!</v>
      </c>
      <c r="Z29" s="842">
        <f t="shared" si="0"/>
        <v>0</v>
      </c>
      <c r="AA29" s="842">
        <f t="shared" si="12"/>
        <v>0</v>
      </c>
    </row>
    <row r="30" spans="1:27" s="2" customFormat="1" ht="79.95" customHeight="1" outlineLevel="2" x14ac:dyDescent="0.25">
      <c r="A30" s="238"/>
      <c r="B30" s="7" t="s">
        <v>62</v>
      </c>
      <c r="C30" s="114"/>
      <c r="D30" s="113">
        <v>37380</v>
      </c>
      <c r="E30" s="106">
        <f t="shared" si="5"/>
        <v>37380</v>
      </c>
      <c r="F30" s="178">
        <f t="shared" si="14"/>
        <v>9.5239866623420596E-3</v>
      </c>
      <c r="G30" s="39">
        <v>0</v>
      </c>
      <c r="H30" s="39">
        <v>900</v>
      </c>
      <c r="I30" s="210">
        <f t="shared" si="13"/>
        <v>900</v>
      </c>
      <c r="J30" s="178">
        <f t="shared" si="15"/>
        <v>2.6240584018443895E-4</v>
      </c>
      <c r="K30" s="79"/>
      <c r="L30" s="39">
        <v>0</v>
      </c>
      <c r="M30" s="39">
        <v>47850</v>
      </c>
      <c r="N30" s="210">
        <f t="shared" si="8"/>
        <v>47850</v>
      </c>
      <c r="O30" s="178">
        <f t="shared" si="16"/>
        <v>0.40221046189282328</v>
      </c>
      <c r="P30" s="79"/>
      <c r="Q30" s="39">
        <f t="shared" si="6"/>
        <v>0</v>
      </c>
      <c r="R30" s="39">
        <f t="shared" si="7"/>
        <v>48750</v>
      </c>
      <c r="S30" s="210">
        <f t="shared" si="9"/>
        <v>48750</v>
      </c>
      <c r="T30" s="178">
        <f t="shared" si="17"/>
        <v>1.3020436115488107E-2</v>
      </c>
      <c r="U30" s="79"/>
      <c r="V30" s="452"/>
      <c r="W30" s="452">
        <f>3000+45750</f>
        <v>48750</v>
      </c>
      <c r="X30" s="453">
        <f t="shared" si="10"/>
        <v>48750</v>
      </c>
      <c r="Y30" s="450" t="e">
        <f t="shared" si="11"/>
        <v>#DIV/0!</v>
      </c>
      <c r="Z30" s="842">
        <f t="shared" si="0"/>
        <v>0</v>
      </c>
      <c r="AA30" s="842">
        <f t="shared" si="12"/>
        <v>0</v>
      </c>
    </row>
    <row r="31" spans="1:27" s="2" customFormat="1" ht="26.4" customHeight="1" outlineLevel="2" x14ac:dyDescent="0.25">
      <c r="A31" s="238"/>
      <c r="B31" s="7" t="s">
        <v>34</v>
      </c>
      <c r="C31" s="114">
        <f>19840+101200</f>
        <v>121040</v>
      </c>
      <c r="D31" s="113">
        <v>6250</v>
      </c>
      <c r="E31" s="106">
        <f t="shared" si="5"/>
        <v>127290</v>
      </c>
      <c r="F31" s="178">
        <f t="shared" si="14"/>
        <v>3.2432002735407188E-2</v>
      </c>
      <c r="G31" s="39">
        <v>1259.4000000000001</v>
      </c>
      <c r="H31" s="39">
        <v>1650</v>
      </c>
      <c r="I31" s="210">
        <f t="shared" si="13"/>
        <v>2909.4</v>
      </c>
      <c r="J31" s="178">
        <f t="shared" si="15"/>
        <v>8.4827061270289627E-4</v>
      </c>
      <c r="K31" s="79"/>
      <c r="L31" s="39">
        <v>63399.595999999983</v>
      </c>
      <c r="M31" s="39">
        <v>549.19999999999982</v>
      </c>
      <c r="N31" s="210">
        <f t="shared" si="8"/>
        <v>63948.79599999998</v>
      </c>
      <c r="O31" s="178">
        <f t="shared" si="16"/>
        <v>0.53753134329466923</v>
      </c>
      <c r="P31" s="79"/>
      <c r="Q31" s="39">
        <f t="shared" si="6"/>
        <v>64658.995999999985</v>
      </c>
      <c r="R31" s="39">
        <f t="shared" si="7"/>
        <v>2199.1999999999998</v>
      </c>
      <c r="S31" s="210">
        <f t="shared" si="9"/>
        <v>66858.195999999982</v>
      </c>
      <c r="T31" s="178">
        <f t="shared" si="17"/>
        <v>1.7856879380816044E-2</v>
      </c>
      <c r="U31" s="79"/>
      <c r="V31" s="452">
        <f>175333.33*1.2+1259-147000</f>
        <v>64658.995999999985</v>
      </c>
      <c r="W31" s="452">
        <f>200+350+1649.2</f>
        <v>2199.1999999999998</v>
      </c>
      <c r="X31" s="453">
        <f t="shared" si="10"/>
        <v>66858.195999999982</v>
      </c>
      <c r="Y31" s="450" t="e">
        <f t="shared" si="11"/>
        <v>#DIV/0!</v>
      </c>
      <c r="Z31" s="842">
        <f t="shared" si="0"/>
        <v>0</v>
      </c>
      <c r="AA31" s="842">
        <f t="shared" si="12"/>
        <v>0</v>
      </c>
    </row>
    <row r="32" spans="1:27" s="2" customFormat="1" ht="14.4" customHeight="1" outlineLevel="2" x14ac:dyDescent="0.25">
      <c r="A32" s="238"/>
      <c r="B32" s="32" t="s">
        <v>2</v>
      </c>
      <c r="C32" s="115"/>
      <c r="D32" s="116">
        <v>220000</v>
      </c>
      <c r="E32" s="106">
        <f t="shared" si="5"/>
        <v>220000</v>
      </c>
      <c r="F32" s="178">
        <f t="shared" si="14"/>
        <v>5.6053426049097195E-2</v>
      </c>
      <c r="G32" s="39">
        <v>0</v>
      </c>
      <c r="H32" s="39">
        <v>37180</v>
      </c>
      <c r="I32" s="210">
        <f t="shared" si="13"/>
        <v>37180</v>
      </c>
      <c r="J32" s="178">
        <f t="shared" si="15"/>
        <v>1.0840276820063822E-2</v>
      </c>
      <c r="K32" s="79"/>
      <c r="L32" s="39">
        <v>0</v>
      </c>
      <c r="M32" s="39">
        <v>76000</v>
      </c>
      <c r="N32" s="210">
        <f t="shared" si="8"/>
        <v>76000</v>
      </c>
      <c r="O32" s="178">
        <f t="shared" si="16"/>
        <v>0.63882957374826688</v>
      </c>
      <c r="P32" s="79"/>
      <c r="Q32" s="39">
        <f t="shared" si="6"/>
        <v>0</v>
      </c>
      <c r="R32" s="39">
        <f t="shared" si="7"/>
        <v>113180</v>
      </c>
      <c r="S32" s="210">
        <f t="shared" si="9"/>
        <v>113180</v>
      </c>
      <c r="T32" s="178">
        <f t="shared" si="17"/>
        <v>3.0228778657455258E-2</v>
      </c>
      <c r="U32" s="79"/>
      <c r="V32" s="452"/>
      <c r="W32" s="452">
        <f>7180+50000+56000</f>
        <v>113180</v>
      </c>
      <c r="X32" s="453">
        <f t="shared" si="10"/>
        <v>113180</v>
      </c>
      <c r="Y32" s="450" t="e">
        <f t="shared" si="11"/>
        <v>#DIV/0!</v>
      </c>
      <c r="Z32" s="842">
        <f t="shared" si="0"/>
        <v>0</v>
      </c>
      <c r="AA32" s="842">
        <f t="shared" si="12"/>
        <v>0</v>
      </c>
    </row>
    <row r="33" spans="1:27" s="2" customFormat="1" ht="15" customHeight="1" outlineLevel="2" thickBot="1" x14ac:dyDescent="0.3">
      <c r="A33" s="238"/>
      <c r="B33" s="32" t="s">
        <v>75</v>
      </c>
      <c r="C33" s="115"/>
      <c r="D33" s="116">
        <v>450000</v>
      </c>
      <c r="E33" s="106">
        <f t="shared" si="5"/>
        <v>450000</v>
      </c>
      <c r="F33" s="178">
        <f t="shared" si="14"/>
        <v>0.11465473510042608</v>
      </c>
      <c r="G33" s="39">
        <v>0</v>
      </c>
      <c r="H33" s="39">
        <v>394895</v>
      </c>
      <c r="I33" s="210">
        <f t="shared" si="13"/>
        <v>394895</v>
      </c>
      <c r="J33" s="178">
        <f t="shared" si="15"/>
        <v>0.11513639362181557</v>
      </c>
      <c r="K33" s="79"/>
      <c r="L33" s="39">
        <v>0</v>
      </c>
      <c r="M33" s="39">
        <v>-127000</v>
      </c>
      <c r="N33" s="210">
        <f t="shared" si="8"/>
        <v>-127000</v>
      </c>
      <c r="O33" s="178">
        <f t="shared" si="16"/>
        <v>-1.0675178403424985</v>
      </c>
      <c r="P33" s="79"/>
      <c r="Q33" s="39">
        <f t="shared" si="6"/>
        <v>0</v>
      </c>
      <c r="R33" s="39">
        <f t="shared" si="7"/>
        <v>267895</v>
      </c>
      <c r="S33" s="210">
        <f t="shared" si="9"/>
        <v>267895</v>
      </c>
      <c r="T33" s="178">
        <f t="shared" si="17"/>
        <v>7.155096888530639E-2</v>
      </c>
      <c r="U33" s="79"/>
      <c r="V33" s="512"/>
      <c r="W33" s="512">
        <v>267895</v>
      </c>
      <c r="X33" s="513">
        <f t="shared" si="10"/>
        <v>267895</v>
      </c>
      <c r="Y33" s="508" t="e">
        <f t="shared" si="11"/>
        <v>#DIV/0!</v>
      </c>
      <c r="Z33" s="842">
        <f t="shared" si="0"/>
        <v>0</v>
      </c>
      <c r="AA33" s="842">
        <f t="shared" si="12"/>
        <v>0</v>
      </c>
    </row>
    <row r="34" spans="1:27" s="2" customFormat="1" ht="13.8" outlineLevel="2" x14ac:dyDescent="0.25">
      <c r="A34" s="238"/>
      <c r="B34" s="12"/>
      <c r="C34" s="46"/>
      <c r="D34" s="47"/>
      <c r="E34" s="48"/>
      <c r="F34" s="179"/>
      <c r="G34" s="48"/>
      <c r="H34" s="48"/>
      <c r="I34" s="48"/>
      <c r="J34" s="48"/>
      <c r="K34" s="48"/>
      <c r="L34" s="39"/>
      <c r="M34" s="39"/>
      <c r="N34" s="48"/>
      <c r="O34" s="48"/>
      <c r="P34" s="48"/>
      <c r="Q34" s="39"/>
      <c r="R34" s="39"/>
      <c r="S34" s="48"/>
      <c r="T34" s="48"/>
      <c r="U34" s="48"/>
      <c r="V34" s="452"/>
      <c r="W34" s="452"/>
      <c r="X34" s="476"/>
      <c r="Y34" s="476"/>
    </row>
    <row r="35" spans="1:27" s="88" customFormat="1" ht="13.8" outlineLevel="1" x14ac:dyDescent="0.25">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91"/>
      <c r="V35" s="536">
        <f>V36</f>
        <v>0</v>
      </c>
      <c r="W35" s="536">
        <f>W36</f>
        <v>0</v>
      </c>
      <c r="X35" s="658">
        <f>X36</f>
        <v>0</v>
      </c>
      <c r="Y35" s="658"/>
    </row>
    <row r="36" spans="1:27" s="226" customFormat="1" ht="13.2" customHeight="1" outlineLevel="3" x14ac:dyDescent="0.25">
      <c r="A36" s="238"/>
      <c r="B36" s="19" t="s">
        <v>81</v>
      </c>
      <c r="C36" s="43"/>
      <c r="D36" s="49"/>
      <c r="E36" s="44">
        <f>C36+D36</f>
        <v>0</v>
      </c>
      <c r="F36" s="180">
        <f>E36/$E$89</f>
        <v>0</v>
      </c>
      <c r="G36" s="210"/>
      <c r="H36" s="210"/>
      <c r="I36" s="106"/>
      <c r="J36" s="178">
        <f>I36/$I$89</f>
        <v>0</v>
      </c>
      <c r="K36" s="45"/>
      <c r="L36" s="39"/>
      <c r="M36" s="39"/>
      <c r="N36" s="106">
        <f>L36+M36*1</f>
        <v>0</v>
      </c>
      <c r="O36" s="178">
        <f>N36/$N$89</f>
        <v>0</v>
      </c>
      <c r="P36" s="45"/>
      <c r="Q36" s="39">
        <f>G36+L36</f>
        <v>0</v>
      </c>
      <c r="R36" s="39">
        <f>H36+M36</f>
        <v>0</v>
      </c>
      <c r="S36" s="106">
        <f>Q36+R36*1</f>
        <v>0</v>
      </c>
      <c r="T36" s="178">
        <f>S36/$S$89</f>
        <v>0</v>
      </c>
      <c r="U36" s="45"/>
      <c r="V36" s="452"/>
      <c r="W36" s="452"/>
      <c r="X36" s="446">
        <f>V36+W36*1</f>
        <v>0</v>
      </c>
      <c r="Y36" s="450" t="e">
        <f>X36/$F$93</f>
        <v>#DIV/0!</v>
      </c>
    </row>
    <row r="37" spans="1:27" s="2" customFormat="1" ht="14.4" outlineLevel="1" thickBot="1" x14ac:dyDescent="0.3">
      <c r="A37" s="4"/>
      <c r="B37" s="14"/>
      <c r="C37" s="50"/>
      <c r="D37" s="51"/>
      <c r="E37" s="52"/>
      <c r="F37" s="181"/>
      <c r="G37" s="52"/>
      <c r="H37" s="52"/>
      <c r="I37" s="52"/>
      <c r="J37" s="52"/>
      <c r="K37" s="52"/>
      <c r="L37" s="39"/>
      <c r="M37" s="39"/>
      <c r="N37" s="52"/>
      <c r="O37" s="52"/>
      <c r="P37" s="52"/>
      <c r="Q37" s="39"/>
      <c r="R37" s="39"/>
      <c r="S37" s="52"/>
      <c r="T37" s="52"/>
      <c r="U37" s="52"/>
      <c r="V37" s="452"/>
      <c r="W37" s="452"/>
      <c r="X37" s="606"/>
      <c r="Y37" s="606"/>
    </row>
    <row r="38" spans="1:27" ht="14.4" thickBot="1" x14ac:dyDescent="0.3">
      <c r="A38" s="33"/>
      <c r="B38" s="34" t="s">
        <v>46</v>
      </c>
      <c r="C38" s="53">
        <f>(C5)-(C8)</f>
        <v>4041032</v>
      </c>
      <c r="D38" s="53">
        <f>(D5)-(D8)</f>
        <v>-868654</v>
      </c>
      <c r="E38" s="53">
        <f>(E5)-(E8)</f>
        <v>3172378</v>
      </c>
      <c r="F38" s="166"/>
      <c r="G38" s="53">
        <f>(G5)-(G8)</f>
        <v>4151797.7860000003</v>
      </c>
      <c r="H38" s="53">
        <f>(H5)-(H8)</f>
        <v>-615606</v>
      </c>
      <c r="I38" s="53">
        <f>(I5)-(I8)</f>
        <v>3536191.7860000003</v>
      </c>
      <c r="J38" s="53"/>
      <c r="K38" s="53"/>
      <c r="L38" s="53">
        <f>(L5)-(L8)</f>
        <v>77587.355999999883</v>
      </c>
      <c r="M38" s="53">
        <f>(M5)-(M8)</f>
        <v>50660.34</v>
      </c>
      <c r="N38" s="53">
        <f>(N5)-(N8)</f>
        <v>128247.69599999991</v>
      </c>
      <c r="O38" s="53"/>
      <c r="P38" s="53"/>
      <c r="Q38" s="53">
        <f>(Q5)-(Q8)</f>
        <v>4229385.142</v>
      </c>
      <c r="R38" s="53">
        <f>(R5)-(R8)</f>
        <v>-564945.66</v>
      </c>
      <c r="S38" s="53">
        <f>(S5)-(S8)</f>
        <v>3664439.4819999998</v>
      </c>
      <c r="T38" s="53"/>
      <c r="U38" s="53"/>
      <c r="V38" s="648">
        <f>(V5)-(V8)</f>
        <v>4229385.142</v>
      </c>
      <c r="W38" s="648">
        <f>(W5)-(W8)</f>
        <v>-564945.66</v>
      </c>
      <c r="X38" s="648">
        <f>(X5)-(X8)</f>
        <v>3664439.4819999998</v>
      </c>
      <c r="Y38" s="648"/>
    </row>
    <row r="39" spans="1:27" ht="13.8" x14ac:dyDescent="0.25">
      <c r="A39" s="293"/>
      <c r="B39" s="15" t="s">
        <v>47</v>
      </c>
      <c r="C39" s="157">
        <f>C38/(C5)</f>
        <v>0.61627063598137999</v>
      </c>
      <c r="D39" s="157" t="e">
        <f>D38/(D5)</f>
        <v>#DIV/0!</v>
      </c>
      <c r="E39" s="158">
        <f>E38/(E5)</f>
        <v>0.48379805149608768</v>
      </c>
      <c r="F39" s="167"/>
      <c r="G39" s="54">
        <f>G38/(G5)</f>
        <v>0.64184146191447278</v>
      </c>
      <c r="H39" s="54" t="e">
        <f>H38/(H5)</f>
        <v>#DIV/0!</v>
      </c>
      <c r="I39" s="55">
        <f>I38/(I5)</f>
        <v>0.54667270000229973</v>
      </c>
      <c r="J39" s="55"/>
      <c r="K39" s="55"/>
      <c r="L39" s="54">
        <f>L38/(L5)</f>
        <v>1.8074726947939119</v>
      </c>
      <c r="M39" s="54" t="e">
        <f>M38/(M5)</f>
        <v>#DIV/0!</v>
      </c>
      <c r="N39" s="55">
        <f>N38/(N5)</f>
        <v>2.9876544406311587</v>
      </c>
      <c r="O39" s="55"/>
      <c r="P39" s="55"/>
      <c r="Q39" s="54">
        <f>Q38/(Q5)</f>
        <v>0.64952567627295588</v>
      </c>
      <c r="R39" s="54" t="e">
        <f>R38/(R5)</f>
        <v>#DIV/0!</v>
      </c>
      <c r="S39" s="55">
        <f>S38/(S5)</f>
        <v>0.56276443331473036</v>
      </c>
      <c r="T39" s="55"/>
      <c r="U39" s="55"/>
      <c r="V39" s="639">
        <f>V38/(V5)</f>
        <v>0.64952567627295588</v>
      </c>
      <c r="W39" s="639" t="e">
        <f>W38/(W5)</f>
        <v>#DIV/0!</v>
      </c>
      <c r="X39" s="660">
        <f>X38/(X5)</f>
        <v>0.56276443331473036</v>
      </c>
      <c r="Y39" s="660"/>
    </row>
    <row r="40" spans="1:27" ht="14.4" outlineLevel="1" thickBot="1" x14ac:dyDescent="0.3">
      <c r="A40" s="295"/>
      <c r="B40" s="16"/>
      <c r="C40" s="56"/>
      <c r="D40" s="57"/>
      <c r="E40" s="58"/>
      <c r="F40" s="168"/>
      <c r="G40" s="58"/>
      <c r="H40" s="58"/>
      <c r="I40" s="58"/>
      <c r="J40" s="58"/>
      <c r="K40" s="58"/>
      <c r="L40" s="58"/>
      <c r="M40" s="58"/>
      <c r="N40" s="58"/>
      <c r="O40" s="58"/>
      <c r="P40" s="58"/>
      <c r="Q40" s="58"/>
      <c r="R40" s="58"/>
      <c r="S40" s="58"/>
      <c r="T40" s="58"/>
      <c r="U40" s="58"/>
      <c r="V40" s="649"/>
      <c r="W40" s="649"/>
      <c r="X40" s="649"/>
      <c r="Y40" s="649"/>
    </row>
    <row r="41" spans="1:27" ht="13.8" outlineLevel="1" x14ac:dyDescent="0.25">
      <c r="A41" s="11"/>
      <c r="B41" s="22" t="s">
        <v>26</v>
      </c>
      <c r="C41" s="117">
        <f>SUM(C42:C48)</f>
        <v>0</v>
      </c>
      <c r="D41" s="117">
        <f>SUM(D42:D48)</f>
        <v>5600</v>
      </c>
      <c r="E41" s="118">
        <f>SUM(E42:E48)</f>
        <v>5600</v>
      </c>
      <c r="F41" s="169">
        <f t="shared" ref="F41:F48" si="18">E41/$E$89</f>
        <v>1.4268144812497469E-3</v>
      </c>
      <c r="G41" s="117">
        <f>SUM(G42:G48)</f>
        <v>496</v>
      </c>
      <c r="H41" s="117">
        <f>SUM(H42:H48)</f>
        <v>2561</v>
      </c>
      <c r="I41" s="118">
        <f>SUM(I42:I48)</f>
        <v>3057</v>
      </c>
      <c r="J41" s="169">
        <f t="shared" ref="J41:J49" si="19">I41/$I$89</f>
        <v>8.9130517049314424E-4</v>
      </c>
      <c r="K41" s="60"/>
      <c r="L41" s="117">
        <f>SUM(L42:L48)</f>
        <v>-0.5</v>
      </c>
      <c r="M41" s="117">
        <f>SUM(M42:M48)</f>
        <v>-400</v>
      </c>
      <c r="N41" s="118">
        <f>SUM(N42:N48)</f>
        <v>-400.5</v>
      </c>
      <c r="O41" s="169">
        <f t="shared" ref="O41:O49" si="20">N41/$N$89</f>
        <v>-3.3664637406076434E-3</v>
      </c>
      <c r="P41" s="60"/>
      <c r="Q41" s="117">
        <f>SUM(Q42:Q48)</f>
        <v>495.5</v>
      </c>
      <c r="R41" s="117">
        <f>SUM(R42:R48)</f>
        <v>2161</v>
      </c>
      <c r="S41" s="118">
        <f>SUM(S42:S48)</f>
        <v>2656.5</v>
      </c>
      <c r="T41" s="169">
        <f t="shared" ref="T41:T49" si="21">S41/$S$89</f>
        <v>7.0951361109321341E-4</v>
      </c>
      <c r="U41" s="60"/>
      <c r="V41" s="547">
        <f>SUM(V42:V48)</f>
        <v>495.5</v>
      </c>
      <c r="W41" s="547">
        <f>SUM(W42:W48)</f>
        <v>2161</v>
      </c>
      <c r="X41" s="663">
        <f>SUM(X42:X48)</f>
        <v>2656.5</v>
      </c>
      <c r="Y41" s="664" t="e">
        <f t="shared" ref="Y41:Y52" si="22">X41/$F$93</f>
        <v>#DIV/0!</v>
      </c>
    </row>
    <row r="42" spans="1:27" ht="43.2" customHeight="1" outlineLevel="2" x14ac:dyDescent="0.25">
      <c r="A42" s="4015"/>
      <c r="B42" s="18" t="s">
        <v>7</v>
      </c>
      <c r="C42" s="113"/>
      <c r="D42" s="119"/>
      <c r="E42" s="120">
        <f t="shared" ref="E42:E48" si="23">C42+D42</f>
        <v>0</v>
      </c>
      <c r="F42" s="178">
        <f t="shared" si="18"/>
        <v>0</v>
      </c>
      <c r="G42" s="210">
        <v>0</v>
      </c>
      <c r="H42" s="210">
        <v>0</v>
      </c>
      <c r="I42" s="106">
        <f t="shared" ref="I42:I48" si="24">G42+H42*1</f>
        <v>0</v>
      </c>
      <c r="J42" s="178">
        <f t="shared" si="19"/>
        <v>0</v>
      </c>
      <c r="K42" s="79"/>
      <c r="L42" s="39"/>
      <c r="M42" s="39"/>
      <c r="N42" s="106">
        <f t="shared" ref="N42:N48" si="25">L42+M42*1</f>
        <v>0</v>
      </c>
      <c r="O42" s="178">
        <f t="shared" si="20"/>
        <v>0</v>
      </c>
      <c r="P42" s="79"/>
      <c r="Q42" s="39">
        <f t="shared" ref="Q42:Q48" si="26">G42+L42</f>
        <v>0</v>
      </c>
      <c r="R42" s="39">
        <f t="shared" ref="R42:R48" si="27">H42+M42</f>
        <v>0</v>
      </c>
      <c r="S42" s="106">
        <f t="shared" ref="S42:S48" si="28">Q42+R42*1</f>
        <v>0</v>
      </c>
      <c r="T42" s="178">
        <f t="shared" si="21"/>
        <v>0</v>
      </c>
      <c r="U42" s="79"/>
      <c r="V42" s="452"/>
      <c r="W42" s="452"/>
      <c r="X42" s="446">
        <f t="shared" ref="X42:X48" si="29">V42+W42*1</f>
        <v>0</v>
      </c>
      <c r="Y42" s="450" t="e">
        <f t="shared" si="22"/>
        <v>#DIV/0!</v>
      </c>
      <c r="Z42" s="842">
        <f t="shared" ref="Z42:Z49" si="30">V42-Q42</f>
        <v>0</v>
      </c>
      <c r="AA42" s="842">
        <f t="shared" ref="AA42:AA49" si="31">W42-R42</f>
        <v>0</v>
      </c>
    </row>
    <row r="43" spans="1:27" ht="13.8" outlineLevel="2" x14ac:dyDescent="0.25">
      <c r="A43" s="4015"/>
      <c r="B43" s="18" t="s">
        <v>27</v>
      </c>
      <c r="C43" s="113"/>
      <c r="D43" s="119"/>
      <c r="E43" s="120">
        <f t="shared" si="23"/>
        <v>0</v>
      </c>
      <c r="F43" s="178">
        <f t="shared" si="18"/>
        <v>0</v>
      </c>
      <c r="G43" s="210">
        <v>0</v>
      </c>
      <c r="H43" s="210">
        <v>760</v>
      </c>
      <c r="I43" s="106">
        <f t="shared" si="24"/>
        <v>760</v>
      </c>
      <c r="J43" s="178">
        <f t="shared" si="19"/>
        <v>2.215871539335262E-4</v>
      </c>
      <c r="K43" s="79"/>
      <c r="L43" s="39"/>
      <c r="M43" s="39"/>
      <c r="N43" s="106">
        <f t="shared" si="25"/>
        <v>0</v>
      </c>
      <c r="O43" s="178">
        <f t="shared" si="20"/>
        <v>0</v>
      </c>
      <c r="P43" s="79"/>
      <c r="Q43" s="39">
        <f t="shared" si="26"/>
        <v>0</v>
      </c>
      <c r="R43" s="39">
        <f t="shared" si="27"/>
        <v>760</v>
      </c>
      <c r="S43" s="106">
        <f t="shared" si="28"/>
        <v>760</v>
      </c>
      <c r="T43" s="178">
        <f t="shared" si="21"/>
        <v>2.0298526046709663E-4</v>
      </c>
      <c r="U43" s="79"/>
      <c r="V43" s="452"/>
      <c r="W43" s="452">
        <v>760</v>
      </c>
      <c r="X43" s="446">
        <f t="shared" si="29"/>
        <v>760</v>
      </c>
      <c r="Y43" s="450" t="e">
        <f t="shared" si="22"/>
        <v>#DIV/0!</v>
      </c>
      <c r="Z43" s="842">
        <f t="shared" si="30"/>
        <v>0</v>
      </c>
      <c r="AA43" s="842">
        <f t="shared" si="31"/>
        <v>0</v>
      </c>
    </row>
    <row r="44" spans="1:27" ht="67.2" customHeight="1" outlineLevel="2" x14ac:dyDescent="0.25">
      <c r="A44" s="4015"/>
      <c r="B44" s="19" t="s">
        <v>28</v>
      </c>
      <c r="C44" s="113"/>
      <c r="D44" s="119">
        <v>600</v>
      </c>
      <c r="E44" s="120">
        <f t="shared" si="23"/>
        <v>600</v>
      </c>
      <c r="F44" s="178">
        <f t="shared" si="18"/>
        <v>1.5287298013390145E-4</v>
      </c>
      <c r="G44" s="210">
        <v>0</v>
      </c>
      <c r="H44" s="210">
        <v>690</v>
      </c>
      <c r="I44" s="106">
        <f t="shared" si="24"/>
        <v>690</v>
      </c>
      <c r="J44" s="178">
        <f t="shared" si="19"/>
        <v>2.0117781080806986E-4</v>
      </c>
      <c r="K44" s="79"/>
      <c r="L44" s="39"/>
      <c r="M44" s="39"/>
      <c r="N44" s="106">
        <f t="shared" si="25"/>
        <v>0</v>
      </c>
      <c r="O44" s="178">
        <f t="shared" si="20"/>
        <v>0</v>
      </c>
      <c r="P44" s="79"/>
      <c r="Q44" s="39">
        <f t="shared" si="26"/>
        <v>0</v>
      </c>
      <c r="R44" s="39">
        <f t="shared" si="27"/>
        <v>690</v>
      </c>
      <c r="S44" s="106">
        <f t="shared" si="28"/>
        <v>690</v>
      </c>
      <c r="T44" s="178">
        <f t="shared" si="21"/>
        <v>1.8428924963460088E-4</v>
      </c>
      <c r="U44" s="79"/>
      <c r="V44" s="452"/>
      <c r="W44" s="452">
        <v>690</v>
      </c>
      <c r="X44" s="446">
        <f t="shared" si="29"/>
        <v>690</v>
      </c>
      <c r="Y44" s="450" t="e">
        <f t="shared" si="22"/>
        <v>#DIV/0!</v>
      </c>
      <c r="Z44" s="842">
        <f t="shared" si="30"/>
        <v>0</v>
      </c>
      <c r="AA44" s="842">
        <f t="shared" si="31"/>
        <v>0</v>
      </c>
    </row>
    <row r="45" spans="1:27" ht="13.8" outlineLevel="2" x14ac:dyDescent="0.25">
      <c r="A45" s="4015"/>
      <c r="B45" s="18" t="s">
        <v>8</v>
      </c>
      <c r="C45" s="113"/>
      <c r="D45" s="119">
        <v>1200</v>
      </c>
      <c r="E45" s="120">
        <f t="shared" si="23"/>
        <v>1200</v>
      </c>
      <c r="F45" s="178">
        <f t="shared" si="18"/>
        <v>3.0574596026780289E-4</v>
      </c>
      <c r="G45" s="39">
        <v>0</v>
      </c>
      <c r="H45" s="39">
        <v>0</v>
      </c>
      <c r="I45" s="106">
        <f t="shared" si="24"/>
        <v>0</v>
      </c>
      <c r="J45" s="178">
        <f t="shared" si="19"/>
        <v>0</v>
      </c>
      <c r="K45" s="79"/>
      <c r="L45" s="39"/>
      <c r="M45" s="39"/>
      <c r="N45" s="106">
        <f t="shared" si="25"/>
        <v>0</v>
      </c>
      <c r="O45" s="178">
        <f t="shared" si="20"/>
        <v>0</v>
      </c>
      <c r="P45" s="79"/>
      <c r="Q45" s="39">
        <f t="shared" si="26"/>
        <v>0</v>
      </c>
      <c r="R45" s="39">
        <f t="shared" si="27"/>
        <v>0</v>
      </c>
      <c r="S45" s="106">
        <f t="shared" si="28"/>
        <v>0</v>
      </c>
      <c r="T45" s="178">
        <f t="shared" si="21"/>
        <v>0</v>
      </c>
      <c r="U45" s="79"/>
      <c r="V45" s="452"/>
      <c r="W45" s="452"/>
      <c r="X45" s="446">
        <f t="shared" si="29"/>
        <v>0</v>
      </c>
      <c r="Y45" s="450" t="e">
        <f t="shared" si="22"/>
        <v>#DIV/0!</v>
      </c>
      <c r="Z45" s="842">
        <f t="shared" si="30"/>
        <v>0</v>
      </c>
      <c r="AA45" s="842">
        <f t="shared" si="31"/>
        <v>0</v>
      </c>
    </row>
    <row r="46" spans="1:27" ht="13.8" outlineLevel="2" x14ac:dyDescent="0.25">
      <c r="A46" s="4015"/>
      <c r="B46" s="18" t="s">
        <v>29</v>
      </c>
      <c r="C46" s="113"/>
      <c r="D46" s="119"/>
      <c r="E46" s="120">
        <f t="shared" si="23"/>
        <v>0</v>
      </c>
      <c r="F46" s="178">
        <f t="shared" si="18"/>
        <v>0</v>
      </c>
      <c r="G46" s="39">
        <v>0</v>
      </c>
      <c r="H46" s="39">
        <v>0</v>
      </c>
      <c r="I46" s="106">
        <f t="shared" si="24"/>
        <v>0</v>
      </c>
      <c r="J46" s="178">
        <f t="shared" si="19"/>
        <v>0</v>
      </c>
      <c r="K46" s="79"/>
      <c r="L46" s="39"/>
      <c r="M46" s="39"/>
      <c r="N46" s="106">
        <f t="shared" si="25"/>
        <v>0</v>
      </c>
      <c r="O46" s="178">
        <f t="shared" si="20"/>
        <v>0</v>
      </c>
      <c r="P46" s="79"/>
      <c r="Q46" s="39">
        <f t="shared" si="26"/>
        <v>0</v>
      </c>
      <c r="R46" s="39">
        <f t="shared" si="27"/>
        <v>0</v>
      </c>
      <c r="S46" s="106">
        <f t="shared" si="28"/>
        <v>0</v>
      </c>
      <c r="T46" s="178">
        <f t="shared" si="21"/>
        <v>0</v>
      </c>
      <c r="U46" s="79"/>
      <c r="V46" s="452"/>
      <c r="W46" s="452"/>
      <c r="X46" s="446">
        <f t="shared" si="29"/>
        <v>0</v>
      </c>
      <c r="Y46" s="450" t="e">
        <f t="shared" si="22"/>
        <v>#DIV/0!</v>
      </c>
      <c r="Z46" s="842">
        <f t="shared" si="30"/>
        <v>0</v>
      </c>
      <c r="AA46" s="842">
        <f t="shared" si="31"/>
        <v>0</v>
      </c>
    </row>
    <row r="47" spans="1:27" ht="13.8" outlineLevel="2" x14ac:dyDescent="0.25">
      <c r="A47" s="4015"/>
      <c r="B47" s="18" t="s">
        <v>30</v>
      </c>
      <c r="C47" s="113"/>
      <c r="D47" s="119">
        <v>2000</v>
      </c>
      <c r="E47" s="120">
        <f t="shared" si="23"/>
        <v>2000</v>
      </c>
      <c r="F47" s="178">
        <f t="shared" si="18"/>
        <v>5.0957660044633813E-4</v>
      </c>
      <c r="G47" s="39">
        <v>496</v>
      </c>
      <c r="H47" s="39">
        <v>296</v>
      </c>
      <c r="I47" s="106">
        <f t="shared" si="24"/>
        <v>792</v>
      </c>
      <c r="J47" s="178">
        <f t="shared" si="19"/>
        <v>2.3091713936230625E-4</v>
      </c>
      <c r="K47" s="79"/>
      <c r="L47" s="39">
        <v>-0.5</v>
      </c>
      <c r="M47" s="39">
        <v>-150</v>
      </c>
      <c r="N47" s="106">
        <f t="shared" si="25"/>
        <v>-150.5</v>
      </c>
      <c r="O47" s="178">
        <f t="shared" si="20"/>
        <v>-1.2650506690672916E-3</v>
      </c>
      <c r="P47" s="79"/>
      <c r="Q47" s="39">
        <f t="shared" si="26"/>
        <v>495.5</v>
      </c>
      <c r="R47" s="39">
        <f t="shared" si="27"/>
        <v>146</v>
      </c>
      <c r="S47" s="106">
        <f t="shared" si="28"/>
        <v>641.5</v>
      </c>
      <c r="T47" s="178">
        <f t="shared" si="21"/>
        <v>1.7133558498637171E-4</v>
      </c>
      <c r="U47" s="79"/>
      <c r="V47" s="452">
        <v>495.5</v>
      </c>
      <c r="W47" s="452">
        <v>146</v>
      </c>
      <c r="X47" s="446">
        <f t="shared" si="29"/>
        <v>641.5</v>
      </c>
      <c r="Y47" s="450" t="e">
        <f t="shared" si="22"/>
        <v>#DIV/0!</v>
      </c>
      <c r="Z47" s="842">
        <f t="shared" si="30"/>
        <v>0</v>
      </c>
      <c r="AA47" s="842">
        <f t="shared" si="31"/>
        <v>0</v>
      </c>
    </row>
    <row r="48" spans="1:27" ht="13.8" outlineLevel="2" x14ac:dyDescent="0.25">
      <c r="A48" s="4015"/>
      <c r="B48" s="18" t="s">
        <v>15</v>
      </c>
      <c r="C48" s="113"/>
      <c r="D48" s="119">
        <v>1800</v>
      </c>
      <c r="E48" s="120">
        <f t="shared" si="23"/>
        <v>1800</v>
      </c>
      <c r="F48" s="178">
        <f t="shared" si="18"/>
        <v>4.5861894040170431E-4</v>
      </c>
      <c r="G48" s="39">
        <v>0</v>
      </c>
      <c r="H48" s="39">
        <v>815</v>
      </c>
      <c r="I48" s="106">
        <f t="shared" si="24"/>
        <v>815</v>
      </c>
      <c r="J48" s="178">
        <f t="shared" si="19"/>
        <v>2.3762306638924191E-4</v>
      </c>
      <c r="K48" s="79"/>
      <c r="L48" s="39">
        <v>0</v>
      </c>
      <c r="M48" s="39">
        <v>-250</v>
      </c>
      <c r="N48" s="106">
        <f t="shared" si="25"/>
        <v>-250</v>
      </c>
      <c r="O48" s="178">
        <f t="shared" si="20"/>
        <v>-2.1014130715403517E-3</v>
      </c>
      <c r="P48" s="79"/>
      <c r="Q48" s="39">
        <f t="shared" si="26"/>
        <v>0</v>
      </c>
      <c r="R48" s="39">
        <f t="shared" si="27"/>
        <v>565</v>
      </c>
      <c r="S48" s="106">
        <f t="shared" si="28"/>
        <v>565</v>
      </c>
      <c r="T48" s="178">
        <f t="shared" si="21"/>
        <v>1.5090351600514421E-4</v>
      </c>
      <c r="U48" s="79"/>
      <c r="V48" s="452"/>
      <c r="W48" s="452">
        <v>565</v>
      </c>
      <c r="X48" s="446">
        <f t="shared" si="29"/>
        <v>565</v>
      </c>
      <c r="Y48" s="450" t="e">
        <f t="shared" si="22"/>
        <v>#DIV/0!</v>
      </c>
      <c r="Z48" s="842">
        <f t="shared" si="30"/>
        <v>0</v>
      </c>
      <c r="AA48" s="842">
        <f t="shared" si="31"/>
        <v>0</v>
      </c>
    </row>
    <row r="49" spans="1:27" s="2" customFormat="1" ht="14.4" outlineLevel="2" thickBot="1" x14ac:dyDescent="0.3">
      <c r="A49" s="11"/>
      <c r="B49" s="35"/>
      <c r="C49" s="116"/>
      <c r="D49" s="121"/>
      <c r="E49" s="122"/>
      <c r="F49" s="182"/>
      <c r="G49" s="210">
        <v>0</v>
      </c>
      <c r="H49" s="210">
        <v>0</v>
      </c>
      <c r="I49" s="52"/>
      <c r="J49" s="178">
        <f t="shared" si="19"/>
        <v>0</v>
      </c>
      <c r="K49" s="52"/>
      <c r="L49" s="39"/>
      <c r="M49" s="39"/>
      <c r="N49" s="52"/>
      <c r="O49" s="178">
        <f t="shared" si="20"/>
        <v>0</v>
      </c>
      <c r="P49" s="52"/>
      <c r="Q49" s="39"/>
      <c r="R49" s="39"/>
      <c r="S49" s="52"/>
      <c r="T49" s="178">
        <f t="shared" si="21"/>
        <v>0</v>
      </c>
      <c r="U49" s="52"/>
      <c r="V49" s="452"/>
      <c r="W49" s="452"/>
      <c r="X49" s="606"/>
      <c r="Y49" s="450" t="e">
        <f t="shared" si="22"/>
        <v>#DIV/0!</v>
      </c>
      <c r="Z49" s="842">
        <f t="shared" si="30"/>
        <v>0</v>
      </c>
      <c r="AA49" s="842">
        <f t="shared" si="31"/>
        <v>0</v>
      </c>
    </row>
    <row r="50" spans="1:27" s="2" customFormat="1" ht="14.4" outlineLevel="1" thickBot="1" x14ac:dyDescent="0.3">
      <c r="A50" s="293"/>
      <c r="B50" s="17" t="s">
        <v>59</v>
      </c>
      <c r="C50" s="123">
        <f>SUM(C51:C52)</f>
        <v>0</v>
      </c>
      <c r="D50" s="123">
        <f>SUM(D51:D52)</f>
        <v>0</v>
      </c>
      <c r="E50" s="123">
        <f>SUM(E51:E52)</f>
        <v>0</v>
      </c>
      <c r="F50" s="170">
        <f>E50/$E$89</f>
        <v>0</v>
      </c>
      <c r="G50" s="123">
        <f>G52+G51</f>
        <v>9410.2999999999993</v>
      </c>
      <c r="H50" s="123">
        <f>H52+H51</f>
        <v>40</v>
      </c>
      <c r="I50" s="123">
        <f>SUM(I51:I52)</f>
        <v>9450.2999999999993</v>
      </c>
      <c r="J50" s="60"/>
      <c r="K50" s="60"/>
      <c r="L50" s="123">
        <f>L52+L51</f>
        <v>-0.2999999999992724</v>
      </c>
      <c r="M50" s="123">
        <f>M52+M51</f>
        <v>-40</v>
      </c>
      <c r="N50" s="123">
        <f>SUM(N51:N52)</f>
        <v>-40.299999999999272</v>
      </c>
      <c r="O50" s="60"/>
      <c r="P50" s="60"/>
      <c r="Q50" s="123">
        <f>Q52+Q51</f>
        <v>9410</v>
      </c>
      <c r="R50" s="123">
        <f>R52+R51</f>
        <v>0</v>
      </c>
      <c r="S50" s="123">
        <f>SUM(S51:S52)</f>
        <v>9410</v>
      </c>
      <c r="T50" s="60"/>
      <c r="U50" s="60"/>
      <c r="V50" s="836">
        <f>V52+V51</f>
        <v>9410</v>
      </c>
      <c r="W50" s="836">
        <f>W52+W51</f>
        <v>0</v>
      </c>
      <c r="X50" s="836">
        <f>SUM(X51:X52)</f>
        <v>9410</v>
      </c>
      <c r="Y50" s="837" t="e">
        <v>#DIV/0!</v>
      </c>
    </row>
    <row r="51" spans="1:27" s="226" customFormat="1" ht="13.8" outlineLevel="1" x14ac:dyDescent="0.25">
      <c r="A51" s="234"/>
      <c r="B51" s="18" t="s">
        <v>60</v>
      </c>
      <c r="C51" s="113"/>
      <c r="D51" s="119"/>
      <c r="E51" s="119">
        <f>C51+D51</f>
        <v>0</v>
      </c>
      <c r="F51" s="180">
        <f>E51/$E$89</f>
        <v>0</v>
      </c>
      <c r="G51" s="39">
        <v>0</v>
      </c>
      <c r="H51" s="39">
        <v>0</v>
      </c>
      <c r="I51" s="106">
        <f>G51+H51*1</f>
        <v>0</v>
      </c>
      <c r="J51" s="178">
        <f>I51/$I$89</f>
        <v>0</v>
      </c>
      <c r="K51" s="45"/>
      <c r="L51" s="39">
        <v>0</v>
      </c>
      <c r="M51" s="39">
        <v>0</v>
      </c>
      <c r="N51" s="106">
        <f>L51+M51*1</f>
        <v>0</v>
      </c>
      <c r="O51" s="178">
        <f>N51/$N$89</f>
        <v>0</v>
      </c>
      <c r="P51" s="45"/>
      <c r="Q51" s="39">
        <f>G51+L51</f>
        <v>0</v>
      </c>
      <c r="R51" s="39">
        <f>H51+M51</f>
        <v>0</v>
      </c>
      <c r="S51" s="106">
        <f>Q51+R51*1</f>
        <v>0</v>
      </c>
      <c r="T51" s="178">
        <f>S51/$S$89</f>
        <v>0</v>
      </c>
      <c r="U51" s="45"/>
      <c r="V51" s="452"/>
      <c r="W51" s="452"/>
      <c r="X51" s="446">
        <f>V51+W51*1</f>
        <v>0</v>
      </c>
      <c r="Y51" s="447" t="e">
        <f t="shared" si="22"/>
        <v>#DIV/0!</v>
      </c>
      <c r="Z51" s="842">
        <f>V51-Q51</f>
        <v>0</v>
      </c>
      <c r="AA51" s="842">
        <f>W51-R51</f>
        <v>0</v>
      </c>
    </row>
    <row r="52" spans="1:27" s="235" customFormat="1" ht="13.8" outlineLevel="2" x14ac:dyDescent="0.25">
      <c r="A52" s="234"/>
      <c r="B52" s="18" t="s">
        <v>61</v>
      </c>
      <c r="C52" s="113"/>
      <c r="D52" s="119"/>
      <c r="E52" s="119">
        <f>C52+D52</f>
        <v>0</v>
      </c>
      <c r="F52" s="180">
        <f>E52/$E$89</f>
        <v>0</v>
      </c>
      <c r="G52" s="39">
        <v>9410.2999999999993</v>
      </c>
      <c r="H52" s="39">
        <v>40</v>
      </c>
      <c r="I52" s="106">
        <f>G52+H52*1</f>
        <v>9450.2999999999993</v>
      </c>
      <c r="J52" s="178">
        <f>I52/$I$89</f>
        <v>2.7553487905500034E-3</v>
      </c>
      <c r="K52" s="45"/>
      <c r="L52" s="39">
        <v>-0.2999999999992724</v>
      </c>
      <c r="M52" s="39">
        <v>-40</v>
      </c>
      <c r="N52" s="106">
        <f>L52+M52*1</f>
        <v>-40.299999999999272</v>
      </c>
      <c r="O52" s="178">
        <f>N52/$N$89</f>
        <v>-3.3874778713229855E-4</v>
      </c>
      <c r="P52" s="45"/>
      <c r="Q52" s="39">
        <f>G52+L52</f>
        <v>9410</v>
      </c>
      <c r="R52" s="39">
        <f>H52+M52</f>
        <v>0</v>
      </c>
      <c r="S52" s="106">
        <f>Q52+R52*1</f>
        <v>9410</v>
      </c>
      <c r="T52" s="178">
        <f>S52/$S$89</f>
        <v>2.513278027625499E-3</v>
      </c>
      <c r="U52" s="45"/>
      <c r="V52" s="452">
        <v>9410</v>
      </c>
      <c r="W52" s="452"/>
      <c r="X52" s="446">
        <f>V52+W52*1</f>
        <v>9410</v>
      </c>
      <c r="Y52" s="450" t="e">
        <f t="shared" si="22"/>
        <v>#DIV/0!</v>
      </c>
      <c r="Z52" s="842">
        <f>V52-Q52</f>
        <v>0</v>
      </c>
      <c r="AA52" s="842">
        <f>W52-R52</f>
        <v>0</v>
      </c>
    </row>
    <row r="53" spans="1:27" ht="14.4" outlineLevel="1" thickBot="1" x14ac:dyDescent="0.3">
      <c r="A53" s="20"/>
      <c r="B53" s="21"/>
      <c r="C53" s="124"/>
      <c r="D53" s="125"/>
      <c r="E53" s="126"/>
      <c r="F53" s="183"/>
      <c r="G53" s="210">
        <v>0</v>
      </c>
      <c r="H53" s="210">
        <v>0</v>
      </c>
      <c r="I53" s="61"/>
      <c r="J53" s="61"/>
      <c r="K53" s="61"/>
      <c r="L53" s="39"/>
      <c r="M53" s="39"/>
      <c r="N53" s="61"/>
      <c r="O53" s="61"/>
      <c r="P53" s="61"/>
      <c r="Q53" s="39"/>
      <c r="R53" s="39"/>
      <c r="S53" s="61"/>
      <c r="T53" s="61"/>
      <c r="U53" s="61"/>
      <c r="V53" s="452"/>
      <c r="W53" s="452"/>
      <c r="X53" s="668"/>
      <c r="Y53" s="668"/>
    </row>
    <row r="54" spans="1:27" ht="14.4" outlineLevel="1" thickBot="1" x14ac:dyDescent="0.3">
      <c r="A54" s="236"/>
      <c r="B54" s="17" t="s">
        <v>1</v>
      </c>
      <c r="C54" s="123">
        <f>SUM(C55:C71)</f>
        <v>86683</v>
      </c>
      <c r="D54" s="123">
        <f>SUM(D55:D71)</f>
        <v>104201</v>
      </c>
      <c r="E54" s="127">
        <f>SUM(E55:E71)</f>
        <v>190884</v>
      </c>
      <c r="F54" s="170">
        <f>E54/$E$89</f>
        <v>4.8635009899799408E-2</v>
      </c>
      <c r="G54" s="123">
        <f>SUM(G55:G71)</f>
        <v>139708.89655</v>
      </c>
      <c r="H54" s="123">
        <f>SUM(H55:H71)</f>
        <v>141595.72</v>
      </c>
      <c r="I54" s="127">
        <f>SUM(I55:I71)</f>
        <v>281304.61655000004</v>
      </c>
      <c r="J54" s="169">
        <f t="shared" ref="J54:J72" si="32">I54/$I$89</f>
        <v>8.2017749170626875E-2</v>
      </c>
      <c r="K54" s="60"/>
      <c r="L54" s="123">
        <f>SUM(L55:L72)</f>
        <v>18626.911276086958</v>
      </c>
      <c r="M54" s="123">
        <f>SUM(M55:M72)</f>
        <v>-48775.62999999999</v>
      </c>
      <c r="N54" s="123">
        <f>SUM(N55:N72)</f>
        <v>-30148.718723913036</v>
      </c>
      <c r="O54" s="169">
        <f t="shared" ref="O54:O72" si="33">N54/$N$89</f>
        <v>-0.25341964646649684</v>
      </c>
      <c r="P54" s="60"/>
      <c r="Q54" s="123">
        <f>SUM(Q55:Q72)</f>
        <v>158335.80782608694</v>
      </c>
      <c r="R54" s="123">
        <f>SUM(R55:R72)</f>
        <v>92820.09</v>
      </c>
      <c r="S54" s="123">
        <f>SUM(S55:S72)</f>
        <v>251155.89782608693</v>
      </c>
      <c r="T54" s="169">
        <f t="shared" ref="T54:T72" si="34">S54/$S$89</f>
        <v>6.7080191234310221E-2</v>
      </c>
      <c r="U54" s="60"/>
      <c r="V54" s="836">
        <f>SUM(V55:V72)</f>
        <v>158335.80782608694</v>
      </c>
      <c r="W54" s="836">
        <f>SUM(W55:W72)</f>
        <v>92820.09</v>
      </c>
      <c r="X54" s="836">
        <f>SUM(X55:X72)</f>
        <v>251155.89782608693</v>
      </c>
      <c r="Y54" s="838" t="e">
        <f t="shared" ref="Y54:Y71" si="35">X54/$F$93</f>
        <v>#DIV/0!</v>
      </c>
    </row>
    <row r="55" spans="1:27" ht="13.95" customHeight="1" outlineLevel="2" x14ac:dyDescent="0.25">
      <c r="A55" s="237"/>
      <c r="B55" s="19" t="s">
        <v>77</v>
      </c>
      <c r="C55" s="113">
        <v>38640</v>
      </c>
      <c r="D55" s="119">
        <v>21360</v>
      </c>
      <c r="E55" s="120">
        <f t="shared" ref="E55:E71" si="36">C55+D55</f>
        <v>60000</v>
      </c>
      <c r="F55" s="178">
        <f>E55/$E$89</f>
        <v>1.5287298013390144E-2</v>
      </c>
      <c r="G55" s="210">
        <v>38180</v>
      </c>
      <c r="H55" s="210">
        <v>21820</v>
      </c>
      <c r="I55" s="106">
        <f t="shared" ref="I55:I64" si="37">G55+H55*1</f>
        <v>60000</v>
      </c>
      <c r="J55" s="178">
        <f t="shared" si="32"/>
        <v>1.7493722678962594E-2</v>
      </c>
      <c r="K55" s="79"/>
      <c r="L55" s="210">
        <v>-4830</v>
      </c>
      <c r="M55" s="210">
        <v>-5340</v>
      </c>
      <c r="N55" s="106">
        <f t="shared" ref="N55:N71" si="38">L55+M55*1</f>
        <v>-10170</v>
      </c>
      <c r="O55" s="178">
        <f t="shared" si="33"/>
        <v>-8.5485483750261507E-2</v>
      </c>
      <c r="P55" s="79"/>
      <c r="Q55" s="39">
        <f t="shared" ref="Q55:Q71" si="39">G55+L55</f>
        <v>33350</v>
      </c>
      <c r="R55" s="39">
        <f t="shared" ref="R55:R71" si="40">H55+M55</f>
        <v>16480</v>
      </c>
      <c r="S55" s="106">
        <f t="shared" ref="S55:S71" si="41">Q55+R55*1</f>
        <v>49830</v>
      </c>
      <c r="T55" s="178">
        <f t="shared" si="34"/>
        <v>1.3308888854046613E-2</v>
      </c>
      <c r="U55" s="79"/>
      <c r="V55" s="452">
        <f>9200+9660+4830+9660</f>
        <v>33350</v>
      </c>
      <c r="W55" s="452">
        <v>16480</v>
      </c>
      <c r="X55" s="446">
        <f t="shared" ref="X55:X71" si="42">V55+W55*1</f>
        <v>49830</v>
      </c>
      <c r="Y55" s="447" t="e">
        <f t="shared" si="35"/>
        <v>#DIV/0!</v>
      </c>
      <c r="Z55" s="842">
        <f t="shared" ref="Z55:Z72" si="43">V55-Q55</f>
        <v>0</v>
      </c>
      <c r="AA55" s="842">
        <f t="shared" ref="AA55:AA72" si="44">W55-R55</f>
        <v>0</v>
      </c>
    </row>
    <row r="56" spans="1:27" ht="13.95" customHeight="1" outlineLevel="2" x14ac:dyDescent="0.25">
      <c r="A56" s="237"/>
      <c r="B56" s="19" t="s">
        <v>76</v>
      </c>
      <c r="C56" s="113">
        <v>10560</v>
      </c>
      <c r="D56" s="119"/>
      <c r="E56" s="120">
        <f t="shared" si="36"/>
        <v>10560</v>
      </c>
      <c r="F56" s="178">
        <f t="shared" ref="F56:F72" si="45">E56/$E$89</f>
        <v>2.6905644503566655E-3</v>
      </c>
      <c r="G56" s="210">
        <v>9548.5711499999998</v>
      </c>
      <c r="H56" s="210">
        <v>0</v>
      </c>
      <c r="I56" s="106">
        <f t="shared" si="37"/>
        <v>9548.5711499999998</v>
      </c>
      <c r="J56" s="178">
        <f t="shared" si="32"/>
        <v>2.7840009279740492E-3</v>
      </c>
      <c r="K56" s="79"/>
      <c r="L56" s="210">
        <v>-1211.0711499999998</v>
      </c>
      <c r="M56" s="210">
        <v>0</v>
      </c>
      <c r="N56" s="106">
        <f t="shared" si="38"/>
        <v>-1211.0711499999998</v>
      </c>
      <c r="O56" s="178">
        <f t="shared" si="33"/>
        <v>-1.0179842980701622E-2</v>
      </c>
      <c r="P56" s="79"/>
      <c r="Q56" s="39">
        <f t="shared" si="39"/>
        <v>8337.5</v>
      </c>
      <c r="R56" s="39">
        <f t="shared" si="40"/>
        <v>0</v>
      </c>
      <c r="S56" s="106">
        <f t="shared" si="41"/>
        <v>8337.5</v>
      </c>
      <c r="T56" s="178">
        <f t="shared" si="34"/>
        <v>2.2268284330847609E-3</v>
      </c>
      <c r="U56" s="79"/>
      <c r="V56" s="452">
        <f>V55/0.88*0.22</f>
        <v>8337.5</v>
      </c>
      <c r="W56" s="452"/>
      <c r="X56" s="446">
        <f t="shared" si="42"/>
        <v>8337.5</v>
      </c>
      <c r="Y56" s="450" t="e">
        <f t="shared" si="35"/>
        <v>#DIV/0!</v>
      </c>
      <c r="Z56" s="842">
        <f t="shared" si="43"/>
        <v>0</v>
      </c>
      <c r="AA56" s="842">
        <f t="shared" si="44"/>
        <v>0</v>
      </c>
    </row>
    <row r="57" spans="1:27" ht="13.95" customHeight="1" outlineLevel="2" x14ac:dyDescent="0.25">
      <c r="A57" s="237"/>
      <c r="B57" s="19" t="s">
        <v>68</v>
      </c>
      <c r="C57" s="113">
        <v>9360</v>
      </c>
      <c r="D57" s="119"/>
      <c r="E57" s="120">
        <f t="shared" si="36"/>
        <v>9360</v>
      </c>
      <c r="F57" s="178">
        <f t="shared" si="45"/>
        <v>2.3848184900888626E-3</v>
      </c>
      <c r="G57" s="210">
        <v>10134.285400000001</v>
      </c>
      <c r="H57" s="210">
        <v>0</v>
      </c>
      <c r="I57" s="106">
        <f t="shared" si="37"/>
        <v>10134.285400000001</v>
      </c>
      <c r="J57" s="178">
        <f t="shared" si="32"/>
        <v>2.9547729722843256E-3</v>
      </c>
      <c r="K57" s="79"/>
      <c r="L57" s="210">
        <v>-2055.7139714285722</v>
      </c>
      <c r="M57" s="210">
        <v>0</v>
      </c>
      <c r="N57" s="106">
        <f t="shared" si="38"/>
        <v>-2055.7139714285722</v>
      </c>
      <c r="O57" s="178">
        <f t="shared" si="33"/>
        <v>-1.7279616843632523E-2</v>
      </c>
      <c r="P57" s="79"/>
      <c r="Q57" s="39">
        <f t="shared" si="39"/>
        <v>8078.5714285714284</v>
      </c>
      <c r="R57" s="39">
        <f t="shared" si="40"/>
        <v>0</v>
      </c>
      <c r="S57" s="106">
        <f t="shared" si="41"/>
        <v>8078.5714285714284</v>
      </c>
      <c r="T57" s="178">
        <f t="shared" si="34"/>
        <v>2.1576722705666006E-3</v>
      </c>
      <c r="U57" s="79"/>
      <c r="V57" s="452">
        <f>V55/0.805*0.195</f>
        <v>8078.5714285714284</v>
      </c>
      <c r="W57" s="452"/>
      <c r="X57" s="446">
        <f t="shared" si="42"/>
        <v>8078.5714285714284</v>
      </c>
      <c r="Y57" s="450" t="e">
        <f t="shared" si="35"/>
        <v>#DIV/0!</v>
      </c>
      <c r="Z57" s="842">
        <f t="shared" si="43"/>
        <v>0</v>
      </c>
      <c r="AA57" s="842">
        <f t="shared" si="44"/>
        <v>0</v>
      </c>
    </row>
    <row r="58" spans="1:27" ht="14.4" customHeight="1" outlineLevel="2" x14ac:dyDescent="0.25">
      <c r="A58" s="237"/>
      <c r="B58" s="19" t="s">
        <v>67</v>
      </c>
      <c r="C58" s="113">
        <v>19159</v>
      </c>
      <c r="D58" s="119">
        <v>79841</v>
      </c>
      <c r="E58" s="120">
        <f t="shared" si="36"/>
        <v>99000</v>
      </c>
      <c r="F58" s="178">
        <f t="shared" si="45"/>
        <v>2.5224041722093738E-2</v>
      </c>
      <c r="G58" s="210">
        <v>34897.360000000001</v>
      </c>
      <c r="H58" s="210">
        <v>75855.679999999993</v>
      </c>
      <c r="I58" s="106">
        <f t="shared" si="37"/>
        <v>110753.04</v>
      </c>
      <c r="J58" s="178">
        <f t="shared" si="32"/>
        <v>3.229138279353419E-2</v>
      </c>
      <c r="K58" s="79"/>
      <c r="L58" s="210">
        <v>15717.64</v>
      </c>
      <c r="M58" s="210">
        <v>-36.179999999993015</v>
      </c>
      <c r="N58" s="106">
        <f t="shared" si="38"/>
        <v>15681.460000000006</v>
      </c>
      <c r="O58" s="178">
        <f t="shared" si="33"/>
        <v>0.13181290009934871</v>
      </c>
      <c r="P58" s="79"/>
      <c r="Q58" s="39">
        <f t="shared" si="39"/>
        <v>50615</v>
      </c>
      <c r="R58" s="39">
        <f t="shared" si="40"/>
        <v>75819.5</v>
      </c>
      <c r="S58" s="106">
        <f t="shared" si="41"/>
        <v>126434.5</v>
      </c>
      <c r="T58" s="178">
        <f t="shared" si="34"/>
        <v>3.3768868308588329E-2</v>
      </c>
      <c r="U58" s="79"/>
      <c r="V58" s="453">
        <v>50615</v>
      </c>
      <c r="W58" s="453">
        <v>75819.5</v>
      </c>
      <c r="X58" s="446">
        <f t="shared" si="42"/>
        <v>126434.5</v>
      </c>
      <c r="Y58" s="450" t="e">
        <f t="shared" si="35"/>
        <v>#DIV/0!</v>
      </c>
      <c r="Z58" s="842">
        <f t="shared" si="43"/>
        <v>0</v>
      </c>
      <c r="AA58" s="842">
        <f t="shared" si="44"/>
        <v>0</v>
      </c>
    </row>
    <row r="59" spans="1:27" ht="14.4" customHeight="1" outlineLevel="2" x14ac:dyDescent="0.25">
      <c r="A59" s="237"/>
      <c r="B59" s="19" t="s">
        <v>66</v>
      </c>
      <c r="C59" s="113">
        <v>4212</v>
      </c>
      <c r="D59" s="119">
        <v>0</v>
      </c>
      <c r="E59" s="120">
        <f t="shared" si="36"/>
        <v>4212</v>
      </c>
      <c r="F59" s="178">
        <f t="shared" si="45"/>
        <v>1.0731683205399882E-3</v>
      </c>
      <c r="G59" s="210">
        <v>8453.64</v>
      </c>
      <c r="H59" s="210">
        <v>0</v>
      </c>
      <c r="I59" s="106">
        <f t="shared" si="37"/>
        <v>8453.64</v>
      </c>
      <c r="J59" s="178">
        <f t="shared" si="32"/>
        <v>2.4647605631297558E-3</v>
      </c>
      <c r="K59" s="79"/>
      <c r="L59" s="210">
        <v>3807.1363975155291</v>
      </c>
      <c r="M59" s="210">
        <v>0</v>
      </c>
      <c r="N59" s="106">
        <f t="shared" si="38"/>
        <v>3807.1363975155291</v>
      </c>
      <c r="O59" s="178">
        <f t="shared" si="33"/>
        <v>3.2001464763504711E-2</v>
      </c>
      <c r="P59" s="79"/>
      <c r="Q59" s="39">
        <f t="shared" si="39"/>
        <v>12260.776397515529</v>
      </c>
      <c r="R59" s="39">
        <f t="shared" si="40"/>
        <v>0</v>
      </c>
      <c r="S59" s="106">
        <f t="shared" si="41"/>
        <v>12260.776397515529</v>
      </c>
      <c r="T59" s="178">
        <f t="shared" si="34"/>
        <v>3.2746801191822633E-3</v>
      </c>
      <c r="U59" s="79"/>
      <c r="V59" s="452">
        <f>V58/0.805*0.195</f>
        <v>12260.776397515529</v>
      </c>
      <c r="W59" s="453"/>
      <c r="X59" s="446">
        <f t="shared" si="42"/>
        <v>12260.776397515529</v>
      </c>
      <c r="Y59" s="450" t="e">
        <f t="shared" si="35"/>
        <v>#DIV/0!</v>
      </c>
      <c r="Z59" s="842">
        <f t="shared" si="43"/>
        <v>0</v>
      </c>
      <c r="AA59" s="842">
        <f t="shared" si="44"/>
        <v>0</v>
      </c>
    </row>
    <row r="60" spans="1:27" ht="14.4" customHeight="1" outlineLevel="2" x14ac:dyDescent="0.25">
      <c r="A60" s="237"/>
      <c r="B60" s="19" t="s">
        <v>65</v>
      </c>
      <c r="C60" s="113">
        <v>4752</v>
      </c>
      <c r="D60" s="119">
        <v>0</v>
      </c>
      <c r="E60" s="120">
        <f t="shared" si="36"/>
        <v>4752</v>
      </c>
      <c r="F60" s="178">
        <f t="shared" si="45"/>
        <v>1.2107540026604995E-3</v>
      </c>
      <c r="G60" s="210">
        <v>9537.44</v>
      </c>
      <c r="H60" s="210">
        <v>0</v>
      </c>
      <c r="I60" s="106">
        <f t="shared" si="37"/>
        <v>9537.44</v>
      </c>
      <c r="J60" s="178">
        <f t="shared" si="32"/>
        <v>2.7807555071207505E-3</v>
      </c>
      <c r="K60" s="79"/>
      <c r="L60" s="210">
        <v>3116.3099999999995</v>
      </c>
      <c r="M60" s="210">
        <v>0</v>
      </c>
      <c r="N60" s="106">
        <f t="shared" si="38"/>
        <v>3116.3099999999995</v>
      </c>
      <c r="O60" s="178">
        <f t="shared" si="33"/>
        <v>2.6194618275887649E-2</v>
      </c>
      <c r="P60" s="79"/>
      <c r="Q60" s="39">
        <f t="shared" si="39"/>
        <v>12653.75</v>
      </c>
      <c r="R60" s="39">
        <f t="shared" si="40"/>
        <v>0</v>
      </c>
      <c r="S60" s="106">
        <f t="shared" si="41"/>
        <v>12653.75</v>
      </c>
      <c r="T60" s="178">
        <f t="shared" si="34"/>
        <v>3.3796378153098999E-3</v>
      </c>
      <c r="U60" s="79"/>
      <c r="V60" s="452">
        <f>V58/0.88*0.22</f>
        <v>12653.75</v>
      </c>
      <c r="W60" s="453"/>
      <c r="X60" s="446">
        <f t="shared" si="42"/>
        <v>12653.75</v>
      </c>
      <c r="Y60" s="450" t="e">
        <f t="shared" si="35"/>
        <v>#DIV/0!</v>
      </c>
      <c r="Z60" s="842">
        <f t="shared" si="43"/>
        <v>0</v>
      </c>
      <c r="AA60" s="842">
        <f t="shared" si="44"/>
        <v>0</v>
      </c>
    </row>
    <row r="61" spans="1:27" ht="13.95" customHeight="1" outlineLevel="2" x14ac:dyDescent="0.25">
      <c r="A61" s="237"/>
      <c r="B61" s="19" t="s">
        <v>32</v>
      </c>
      <c r="C61" s="113"/>
      <c r="D61" s="119"/>
      <c r="E61" s="120">
        <f t="shared" si="36"/>
        <v>0</v>
      </c>
      <c r="F61" s="178">
        <f t="shared" si="45"/>
        <v>0</v>
      </c>
      <c r="G61" s="210"/>
      <c r="H61" s="210"/>
      <c r="I61" s="106">
        <f t="shared" si="37"/>
        <v>0</v>
      </c>
      <c r="J61" s="178">
        <f t="shared" si="32"/>
        <v>0</v>
      </c>
      <c r="K61" s="79"/>
      <c r="L61" s="210"/>
      <c r="M61" s="210"/>
      <c r="N61" s="106">
        <f t="shared" si="38"/>
        <v>0</v>
      </c>
      <c r="O61" s="178">
        <f t="shared" si="33"/>
        <v>0</v>
      </c>
      <c r="P61" s="79"/>
      <c r="Q61" s="39">
        <f t="shared" si="39"/>
        <v>0</v>
      </c>
      <c r="R61" s="39">
        <f t="shared" si="40"/>
        <v>0</v>
      </c>
      <c r="S61" s="106">
        <f t="shared" si="41"/>
        <v>0</v>
      </c>
      <c r="T61" s="178">
        <f t="shared" si="34"/>
        <v>0</v>
      </c>
      <c r="U61" s="79"/>
      <c r="V61" s="453"/>
      <c r="W61" s="453"/>
      <c r="X61" s="446">
        <f t="shared" si="42"/>
        <v>0</v>
      </c>
      <c r="Y61" s="450" t="e">
        <f t="shared" si="35"/>
        <v>#DIV/0!</v>
      </c>
      <c r="Z61" s="842">
        <f t="shared" si="43"/>
        <v>0</v>
      </c>
      <c r="AA61" s="842">
        <f t="shared" si="44"/>
        <v>0</v>
      </c>
    </row>
    <row r="62" spans="1:27" ht="30.6" customHeight="1" outlineLevel="2" x14ac:dyDescent="0.25">
      <c r="A62" s="237"/>
      <c r="B62" s="19" t="s">
        <v>33</v>
      </c>
      <c r="C62" s="113"/>
      <c r="D62" s="119"/>
      <c r="E62" s="120">
        <f t="shared" si="36"/>
        <v>0</v>
      </c>
      <c r="F62" s="178">
        <f t="shared" si="45"/>
        <v>0</v>
      </c>
      <c r="G62" s="210"/>
      <c r="H62" s="210"/>
      <c r="I62" s="106">
        <f t="shared" si="37"/>
        <v>0</v>
      </c>
      <c r="J62" s="178">
        <f t="shared" si="32"/>
        <v>0</v>
      </c>
      <c r="K62" s="79"/>
      <c r="L62" s="210"/>
      <c r="M62" s="210"/>
      <c r="N62" s="106">
        <f t="shared" si="38"/>
        <v>0</v>
      </c>
      <c r="O62" s="178">
        <f t="shared" si="33"/>
        <v>0</v>
      </c>
      <c r="P62" s="79"/>
      <c r="Q62" s="39">
        <f t="shared" si="39"/>
        <v>0</v>
      </c>
      <c r="R62" s="39">
        <f t="shared" si="40"/>
        <v>0</v>
      </c>
      <c r="S62" s="106">
        <f t="shared" si="41"/>
        <v>0</v>
      </c>
      <c r="T62" s="178">
        <f t="shared" si="34"/>
        <v>0</v>
      </c>
      <c r="U62" s="79"/>
      <c r="V62" s="453"/>
      <c r="W62" s="453"/>
      <c r="X62" s="446">
        <f t="shared" si="42"/>
        <v>0</v>
      </c>
      <c r="Y62" s="450" t="e">
        <f t="shared" si="35"/>
        <v>#DIV/0!</v>
      </c>
      <c r="Z62" s="842">
        <f t="shared" si="43"/>
        <v>0</v>
      </c>
      <c r="AA62" s="842">
        <f t="shared" si="44"/>
        <v>0</v>
      </c>
    </row>
    <row r="63" spans="1:27" ht="57.6" customHeight="1" outlineLevel="2" x14ac:dyDescent="0.25">
      <c r="A63" s="237"/>
      <c r="B63" s="19" t="s">
        <v>35</v>
      </c>
      <c r="C63" s="113"/>
      <c r="D63" s="119"/>
      <c r="E63" s="120">
        <f t="shared" si="36"/>
        <v>0</v>
      </c>
      <c r="F63" s="178">
        <f t="shared" si="45"/>
        <v>0</v>
      </c>
      <c r="G63" s="210">
        <v>15318.259999999998</v>
      </c>
      <c r="H63" s="210">
        <v>2799.21</v>
      </c>
      <c r="I63" s="106">
        <f t="shared" si="37"/>
        <v>18117.469999999998</v>
      </c>
      <c r="J63" s="178">
        <f t="shared" si="32"/>
        <v>5.2823665970737404E-3</v>
      </c>
      <c r="K63" s="79"/>
      <c r="L63" s="210">
        <v>2798.9500000000007</v>
      </c>
      <c r="M63" s="210">
        <v>-2799.21</v>
      </c>
      <c r="N63" s="106">
        <f t="shared" si="38"/>
        <v>-0.25999999999930878</v>
      </c>
      <c r="O63" s="178">
        <f t="shared" si="33"/>
        <v>-2.1854695943961557E-6</v>
      </c>
      <c r="P63" s="79"/>
      <c r="Q63" s="39">
        <f t="shared" si="39"/>
        <v>18117.21</v>
      </c>
      <c r="R63" s="39">
        <f t="shared" si="40"/>
        <v>0</v>
      </c>
      <c r="S63" s="106">
        <f t="shared" si="41"/>
        <v>18117.21</v>
      </c>
      <c r="T63" s="178">
        <f t="shared" si="34"/>
        <v>4.8388507773514311E-3</v>
      </c>
      <c r="U63" s="79"/>
      <c r="V63" s="452">
        <f>2799.21+15318</f>
        <v>18117.21</v>
      </c>
      <c r="W63" s="453"/>
      <c r="X63" s="446">
        <f t="shared" si="42"/>
        <v>18117.21</v>
      </c>
      <c r="Y63" s="450" t="e">
        <f t="shared" si="35"/>
        <v>#DIV/0!</v>
      </c>
      <c r="Z63" s="842">
        <f t="shared" si="43"/>
        <v>0</v>
      </c>
      <c r="AA63" s="842">
        <f t="shared" si="44"/>
        <v>0</v>
      </c>
    </row>
    <row r="64" spans="1:27" ht="31.2" customHeight="1" outlineLevel="2" x14ac:dyDescent="0.25">
      <c r="A64" s="237"/>
      <c r="B64" s="19" t="s">
        <v>63</v>
      </c>
      <c r="C64" s="113"/>
      <c r="D64" s="119"/>
      <c r="E64" s="120">
        <f t="shared" si="36"/>
        <v>0</v>
      </c>
      <c r="F64" s="178">
        <f t="shared" si="45"/>
        <v>0</v>
      </c>
      <c r="G64" s="210"/>
      <c r="H64" s="210"/>
      <c r="I64" s="106">
        <f t="shared" si="37"/>
        <v>0</v>
      </c>
      <c r="J64" s="178">
        <f t="shared" si="32"/>
        <v>0</v>
      </c>
      <c r="K64" s="79"/>
      <c r="L64" s="210"/>
      <c r="M64" s="210"/>
      <c r="N64" s="106">
        <f t="shared" si="38"/>
        <v>0</v>
      </c>
      <c r="O64" s="178">
        <f t="shared" si="33"/>
        <v>0</v>
      </c>
      <c r="P64" s="79"/>
      <c r="Q64" s="39">
        <f t="shared" si="39"/>
        <v>0</v>
      </c>
      <c r="R64" s="39">
        <f t="shared" si="40"/>
        <v>0</v>
      </c>
      <c r="S64" s="106">
        <f t="shared" si="41"/>
        <v>0</v>
      </c>
      <c r="T64" s="178">
        <f t="shared" si="34"/>
        <v>0</v>
      </c>
      <c r="U64" s="79"/>
      <c r="V64" s="453"/>
      <c r="W64" s="453"/>
      <c r="X64" s="446">
        <f t="shared" si="42"/>
        <v>0</v>
      </c>
      <c r="Y64" s="450" t="e">
        <f t="shared" si="35"/>
        <v>#DIV/0!</v>
      </c>
      <c r="Z64" s="842">
        <f t="shared" si="43"/>
        <v>0</v>
      </c>
      <c r="AA64" s="842">
        <f t="shared" si="44"/>
        <v>0</v>
      </c>
    </row>
    <row r="65" spans="1:27" ht="93" customHeight="1" outlineLevel="2" x14ac:dyDescent="0.25">
      <c r="A65" s="237"/>
      <c r="B65" s="19" t="s">
        <v>36</v>
      </c>
      <c r="C65" s="113"/>
      <c r="D65" s="119"/>
      <c r="E65" s="120">
        <f t="shared" si="36"/>
        <v>0</v>
      </c>
      <c r="F65" s="178">
        <f t="shared" si="45"/>
        <v>0</v>
      </c>
      <c r="G65" s="39">
        <v>13639.34</v>
      </c>
      <c r="H65" s="39">
        <v>40600</v>
      </c>
      <c r="I65" s="106">
        <f t="shared" ref="I65:I71" si="46">G65+H65*1</f>
        <v>54239.34</v>
      </c>
      <c r="J65" s="178">
        <f t="shared" si="32"/>
        <v>1.5814132870832717E-2</v>
      </c>
      <c r="K65" s="79"/>
      <c r="L65" s="39">
        <v>1283.6599999999999</v>
      </c>
      <c r="M65" s="39">
        <v>-40600</v>
      </c>
      <c r="N65" s="106">
        <f t="shared" si="38"/>
        <v>-39316.339999999997</v>
      </c>
      <c r="O65" s="178">
        <f>N65/$N$89</f>
        <v>-0.3304794832044991</v>
      </c>
      <c r="P65" s="79"/>
      <c r="Q65" s="39">
        <f t="shared" si="39"/>
        <v>14923</v>
      </c>
      <c r="R65" s="39">
        <f t="shared" si="40"/>
        <v>0</v>
      </c>
      <c r="S65" s="106">
        <f t="shared" si="41"/>
        <v>14923</v>
      </c>
      <c r="T65" s="178">
        <f t="shared" si="34"/>
        <v>3.9857224236190562E-3</v>
      </c>
      <c r="U65" s="79"/>
      <c r="V65" s="452">
        <f>1200+11440+2283</f>
        <v>14923</v>
      </c>
      <c r="W65" s="452"/>
      <c r="X65" s="446">
        <f t="shared" si="42"/>
        <v>14923</v>
      </c>
      <c r="Y65" s="450" t="e">
        <f t="shared" si="35"/>
        <v>#DIV/0!</v>
      </c>
      <c r="Z65" s="842">
        <f t="shared" si="43"/>
        <v>0</v>
      </c>
      <c r="AA65" s="842">
        <f t="shared" si="44"/>
        <v>0</v>
      </c>
    </row>
    <row r="66" spans="1:27" s="2" customFormat="1" ht="13.95" customHeight="1" outlineLevel="2" x14ac:dyDescent="0.25">
      <c r="A66" s="237"/>
      <c r="B66" s="19" t="s">
        <v>37</v>
      </c>
      <c r="C66" s="113"/>
      <c r="D66" s="119"/>
      <c r="E66" s="120">
        <f t="shared" si="36"/>
        <v>0</v>
      </c>
      <c r="F66" s="178">
        <f t="shared" si="45"/>
        <v>0</v>
      </c>
      <c r="G66" s="39">
        <v>0</v>
      </c>
      <c r="H66" s="39">
        <v>0</v>
      </c>
      <c r="I66" s="106">
        <f t="shared" si="46"/>
        <v>0</v>
      </c>
      <c r="J66" s="178">
        <f t="shared" si="32"/>
        <v>0</v>
      </c>
      <c r="K66" s="79"/>
      <c r="L66" s="39"/>
      <c r="M66" s="39"/>
      <c r="N66" s="106">
        <f t="shared" si="38"/>
        <v>0</v>
      </c>
      <c r="O66" s="178">
        <f t="shared" si="33"/>
        <v>0</v>
      </c>
      <c r="P66" s="79"/>
      <c r="Q66" s="39">
        <f t="shared" si="39"/>
        <v>0</v>
      </c>
      <c r="R66" s="39">
        <f t="shared" si="40"/>
        <v>0</v>
      </c>
      <c r="S66" s="106">
        <f t="shared" si="41"/>
        <v>0</v>
      </c>
      <c r="T66" s="178">
        <f t="shared" si="34"/>
        <v>0</v>
      </c>
      <c r="U66" s="79"/>
      <c r="V66" s="452"/>
      <c r="W66" s="452"/>
      <c r="X66" s="446">
        <f t="shared" si="42"/>
        <v>0</v>
      </c>
      <c r="Y66" s="450" t="e">
        <f t="shared" si="35"/>
        <v>#DIV/0!</v>
      </c>
      <c r="Z66" s="842">
        <f t="shared" si="43"/>
        <v>0</v>
      </c>
      <c r="AA66" s="842">
        <f t="shared" si="44"/>
        <v>0</v>
      </c>
    </row>
    <row r="67" spans="1:27" s="2" customFormat="1" ht="102" customHeight="1" outlineLevel="2" x14ac:dyDescent="0.25">
      <c r="A67" s="237"/>
      <c r="B67" s="19" t="s">
        <v>3</v>
      </c>
      <c r="C67" s="113"/>
      <c r="D67" s="119"/>
      <c r="E67" s="120">
        <f t="shared" si="36"/>
        <v>0</v>
      </c>
      <c r="F67" s="178">
        <f t="shared" si="45"/>
        <v>0</v>
      </c>
      <c r="G67" s="39">
        <v>0</v>
      </c>
      <c r="H67" s="39">
        <v>0</v>
      </c>
      <c r="I67" s="106">
        <f t="shared" si="46"/>
        <v>0</v>
      </c>
      <c r="J67" s="178">
        <f t="shared" si="32"/>
        <v>0</v>
      </c>
      <c r="K67" s="79"/>
      <c r="L67" s="39"/>
      <c r="M67" s="39"/>
      <c r="N67" s="106">
        <f t="shared" si="38"/>
        <v>0</v>
      </c>
      <c r="O67" s="178">
        <f t="shared" si="33"/>
        <v>0</v>
      </c>
      <c r="P67" s="79"/>
      <c r="Q67" s="39">
        <f t="shared" si="39"/>
        <v>0</v>
      </c>
      <c r="R67" s="39">
        <f t="shared" si="40"/>
        <v>0</v>
      </c>
      <c r="S67" s="106">
        <f t="shared" si="41"/>
        <v>0</v>
      </c>
      <c r="T67" s="178">
        <f t="shared" si="34"/>
        <v>0</v>
      </c>
      <c r="U67" s="79"/>
      <c r="V67" s="452"/>
      <c r="W67" s="452"/>
      <c r="X67" s="446">
        <f t="shared" si="42"/>
        <v>0</v>
      </c>
      <c r="Y67" s="450" t="e">
        <f t="shared" si="35"/>
        <v>#DIV/0!</v>
      </c>
      <c r="Z67" s="842">
        <f t="shared" si="43"/>
        <v>0</v>
      </c>
      <c r="AA67" s="842">
        <f t="shared" si="44"/>
        <v>0</v>
      </c>
    </row>
    <row r="68" spans="1:27" s="2" customFormat="1" ht="13.95" customHeight="1" outlineLevel="2" x14ac:dyDescent="0.25">
      <c r="A68" s="237"/>
      <c r="B68" s="19" t="s">
        <v>5</v>
      </c>
      <c r="C68" s="129"/>
      <c r="D68" s="119">
        <v>3000</v>
      </c>
      <c r="E68" s="120">
        <f t="shared" si="36"/>
        <v>3000</v>
      </c>
      <c r="F68" s="178">
        <f t="shared" si="45"/>
        <v>7.643649006695072E-4</v>
      </c>
      <c r="G68" s="39">
        <v>0</v>
      </c>
      <c r="H68" s="39">
        <v>520.83000000000004</v>
      </c>
      <c r="I68" s="106">
        <f t="shared" si="46"/>
        <v>520.83000000000004</v>
      </c>
      <c r="J68" s="178">
        <f t="shared" si="32"/>
        <v>1.5185425971473481E-4</v>
      </c>
      <c r="K68" s="79"/>
      <c r="L68" s="39"/>
      <c r="M68" s="39">
        <v>-0.24000000000000909</v>
      </c>
      <c r="N68" s="106">
        <f t="shared" si="38"/>
        <v>-0.24000000000000909</v>
      </c>
      <c r="O68" s="178">
        <f t="shared" si="33"/>
        <v>-2.0173565486788142E-6</v>
      </c>
      <c r="P68" s="79"/>
      <c r="Q68" s="39">
        <f t="shared" si="39"/>
        <v>0</v>
      </c>
      <c r="R68" s="39">
        <f t="shared" si="40"/>
        <v>520.59</v>
      </c>
      <c r="S68" s="106">
        <f t="shared" si="41"/>
        <v>520.59</v>
      </c>
      <c r="T68" s="178">
        <f t="shared" si="34"/>
        <v>1.3904223256127083E-4</v>
      </c>
      <c r="U68" s="79"/>
      <c r="V68" s="452"/>
      <c r="W68" s="452">
        <v>520.59</v>
      </c>
      <c r="X68" s="446">
        <f t="shared" si="42"/>
        <v>520.59</v>
      </c>
      <c r="Y68" s="450" t="e">
        <f t="shared" si="35"/>
        <v>#DIV/0!</v>
      </c>
      <c r="Z68" s="842">
        <f t="shared" si="43"/>
        <v>0</v>
      </c>
      <c r="AA68" s="842">
        <f t="shared" si="44"/>
        <v>0</v>
      </c>
    </row>
    <row r="69" spans="1:27" s="2" customFormat="1" ht="13.8" outlineLevel="2" x14ac:dyDescent="0.25">
      <c r="A69" s="237"/>
      <c r="B69" s="19" t="s">
        <v>42</v>
      </c>
      <c r="C69" s="129"/>
      <c r="D69" s="128"/>
      <c r="E69" s="120">
        <f t="shared" si="36"/>
        <v>0</v>
      </c>
      <c r="F69" s="178">
        <f t="shared" si="45"/>
        <v>0</v>
      </c>
      <c r="G69" s="39">
        <v>0</v>
      </c>
      <c r="H69" s="39">
        <v>0</v>
      </c>
      <c r="I69" s="106">
        <f t="shared" si="46"/>
        <v>0</v>
      </c>
      <c r="J69" s="178">
        <f t="shared" si="32"/>
        <v>0</v>
      </c>
      <c r="K69" s="79"/>
      <c r="L69" s="39"/>
      <c r="M69" s="39"/>
      <c r="N69" s="106">
        <f t="shared" si="38"/>
        <v>0</v>
      </c>
      <c r="O69" s="178">
        <f t="shared" si="33"/>
        <v>0</v>
      </c>
      <c r="P69" s="79"/>
      <c r="Q69" s="39">
        <f t="shared" si="39"/>
        <v>0</v>
      </c>
      <c r="R69" s="39">
        <f t="shared" si="40"/>
        <v>0</v>
      </c>
      <c r="S69" s="106">
        <f t="shared" si="41"/>
        <v>0</v>
      </c>
      <c r="T69" s="178">
        <f t="shared" si="34"/>
        <v>0</v>
      </c>
      <c r="U69" s="79"/>
      <c r="V69" s="452"/>
      <c r="W69" s="452"/>
      <c r="X69" s="446">
        <f t="shared" si="42"/>
        <v>0</v>
      </c>
      <c r="Y69" s="450" t="e">
        <f t="shared" si="35"/>
        <v>#DIV/0!</v>
      </c>
      <c r="Z69" s="842">
        <f t="shared" si="43"/>
        <v>0</v>
      </c>
      <c r="AA69" s="842">
        <f t="shared" si="44"/>
        <v>0</v>
      </c>
    </row>
    <row r="70" spans="1:27" s="2" customFormat="1" ht="21.6" customHeight="1" outlineLevel="2" x14ac:dyDescent="0.25">
      <c r="A70" s="237"/>
      <c r="B70" s="19" t="s">
        <v>6</v>
      </c>
      <c r="C70" s="129"/>
      <c r="D70" s="128"/>
      <c r="E70" s="120">
        <f t="shared" si="36"/>
        <v>0</v>
      </c>
      <c r="F70" s="178">
        <f t="shared" si="45"/>
        <v>0</v>
      </c>
      <c r="G70" s="39">
        <v>0</v>
      </c>
      <c r="H70" s="39">
        <v>0</v>
      </c>
      <c r="I70" s="106">
        <f t="shared" si="46"/>
        <v>0</v>
      </c>
      <c r="J70" s="178">
        <f t="shared" si="32"/>
        <v>0</v>
      </c>
      <c r="K70" s="79"/>
      <c r="L70" s="39"/>
      <c r="M70" s="39"/>
      <c r="N70" s="106">
        <f t="shared" si="38"/>
        <v>0</v>
      </c>
      <c r="O70" s="178">
        <f t="shared" si="33"/>
        <v>0</v>
      </c>
      <c r="P70" s="79"/>
      <c r="Q70" s="39">
        <f t="shared" si="39"/>
        <v>0</v>
      </c>
      <c r="R70" s="39">
        <f t="shared" si="40"/>
        <v>0</v>
      </c>
      <c r="S70" s="106">
        <f t="shared" si="41"/>
        <v>0</v>
      </c>
      <c r="T70" s="178">
        <f t="shared" si="34"/>
        <v>0</v>
      </c>
      <c r="U70" s="79"/>
      <c r="V70" s="452"/>
      <c r="W70" s="452"/>
      <c r="X70" s="446">
        <f t="shared" si="42"/>
        <v>0</v>
      </c>
      <c r="Y70" s="450" t="e">
        <f t="shared" si="35"/>
        <v>#DIV/0!</v>
      </c>
      <c r="Z70" s="842">
        <f t="shared" si="43"/>
        <v>0</v>
      </c>
      <c r="AA70" s="842">
        <f t="shared" si="44"/>
        <v>0</v>
      </c>
    </row>
    <row r="71" spans="1:27" s="2" customFormat="1" ht="13.95" customHeight="1" outlineLevel="2" x14ac:dyDescent="0.25">
      <c r="A71" s="237"/>
      <c r="B71" s="19" t="s">
        <v>78</v>
      </c>
      <c r="C71" s="129"/>
      <c r="D71" s="128"/>
      <c r="E71" s="120">
        <f t="shared" si="36"/>
        <v>0</v>
      </c>
      <c r="F71" s="184">
        <f t="shared" si="45"/>
        <v>0</v>
      </c>
      <c r="G71" s="39">
        <v>0</v>
      </c>
      <c r="H71" s="39">
        <v>0</v>
      </c>
      <c r="I71" s="106">
        <f t="shared" si="46"/>
        <v>0</v>
      </c>
      <c r="J71" s="178">
        <f t="shared" si="32"/>
        <v>0</v>
      </c>
      <c r="K71" s="79"/>
      <c r="L71" s="39"/>
      <c r="M71" s="39"/>
      <c r="N71" s="106">
        <f t="shared" si="38"/>
        <v>0</v>
      </c>
      <c r="O71" s="178">
        <f t="shared" si="33"/>
        <v>0</v>
      </c>
      <c r="P71" s="79"/>
      <c r="Q71" s="39">
        <f t="shared" si="39"/>
        <v>0</v>
      </c>
      <c r="R71" s="39">
        <f t="shared" si="40"/>
        <v>0</v>
      </c>
      <c r="S71" s="106">
        <f t="shared" si="41"/>
        <v>0</v>
      </c>
      <c r="T71" s="178">
        <f t="shared" si="34"/>
        <v>0</v>
      </c>
      <c r="U71" s="79"/>
      <c r="V71" s="452"/>
      <c r="W71" s="452"/>
      <c r="X71" s="446">
        <f t="shared" si="42"/>
        <v>0</v>
      </c>
      <c r="Y71" s="450" t="e">
        <f t="shared" si="35"/>
        <v>#DIV/0!</v>
      </c>
      <c r="Z71" s="842">
        <f t="shared" si="43"/>
        <v>0</v>
      </c>
      <c r="AA71" s="842">
        <f t="shared" si="44"/>
        <v>0</v>
      </c>
    </row>
    <row r="72" spans="1:27" s="2" customFormat="1" ht="14.4" outlineLevel="2" thickBot="1" x14ac:dyDescent="0.3">
      <c r="A72" s="237"/>
      <c r="B72" s="19"/>
      <c r="C72" s="130"/>
      <c r="D72" s="131"/>
      <c r="E72" s="159"/>
      <c r="F72" s="184">
        <f t="shared" si="45"/>
        <v>0</v>
      </c>
      <c r="G72" s="39"/>
      <c r="H72" s="39"/>
      <c r="I72" s="106"/>
      <c r="J72" s="178">
        <f t="shared" si="32"/>
        <v>0</v>
      </c>
      <c r="K72" s="79"/>
      <c r="L72" s="39"/>
      <c r="M72" s="39"/>
      <c r="N72" s="106"/>
      <c r="O72" s="178">
        <f t="shared" si="33"/>
        <v>0</v>
      </c>
      <c r="P72" s="79"/>
      <c r="Q72" s="39"/>
      <c r="R72" s="39"/>
      <c r="S72" s="106"/>
      <c r="T72" s="178">
        <f t="shared" si="34"/>
        <v>0</v>
      </c>
      <c r="U72" s="79"/>
      <c r="V72" s="535"/>
      <c r="W72" s="535"/>
      <c r="X72" s="622"/>
      <c r="Y72" s="583"/>
      <c r="Z72" s="842">
        <f t="shared" si="43"/>
        <v>0</v>
      </c>
      <c r="AA72" s="842">
        <f t="shared" si="44"/>
        <v>0</v>
      </c>
    </row>
    <row r="73" spans="1:27" s="2" customFormat="1" ht="14.4" outlineLevel="1" thickBot="1" x14ac:dyDescent="0.3">
      <c r="A73" s="237"/>
      <c r="B73" s="13" t="s">
        <v>4</v>
      </c>
      <c r="C73" s="132">
        <f>C74</f>
        <v>196717</v>
      </c>
      <c r="D73" s="133">
        <f>D74</f>
        <v>0</v>
      </c>
      <c r="E73" s="132">
        <f>E74</f>
        <v>196717</v>
      </c>
      <c r="F73" s="171">
        <f>E73/$E$89</f>
        <v>5.0121190055001152E-2</v>
      </c>
      <c r="G73" s="139">
        <f>G74</f>
        <v>0</v>
      </c>
      <c r="H73" s="139">
        <f>H74</f>
        <v>0</v>
      </c>
      <c r="I73" s="60">
        <f>I74</f>
        <v>0</v>
      </c>
      <c r="J73" s="63"/>
      <c r="K73" s="63"/>
      <c r="L73" s="139">
        <f>L74</f>
        <v>0</v>
      </c>
      <c r="M73" s="63">
        <f>M74</f>
        <v>0</v>
      </c>
      <c r="N73" s="60">
        <f>N74</f>
        <v>0</v>
      </c>
      <c r="O73" s="63"/>
      <c r="P73" s="63"/>
      <c r="Q73" s="139">
        <v>195344.94</v>
      </c>
      <c r="R73" s="63">
        <v>0</v>
      </c>
      <c r="S73" s="60">
        <v>195344.94</v>
      </c>
      <c r="T73" s="63"/>
      <c r="U73" s="63"/>
      <c r="V73" s="836">
        <f>V74</f>
        <v>195344.94</v>
      </c>
      <c r="W73" s="839">
        <f>W74</f>
        <v>0</v>
      </c>
      <c r="X73" s="837">
        <f>X74</f>
        <v>195344.94</v>
      </c>
      <c r="Y73" s="840"/>
    </row>
    <row r="74" spans="1:27" s="226" customFormat="1" ht="16.95" customHeight="1" outlineLevel="1" thickBot="1" x14ac:dyDescent="0.3">
      <c r="A74" s="321"/>
      <c r="B74" s="225" t="s">
        <v>64</v>
      </c>
      <c r="C74" s="113">
        <v>196717</v>
      </c>
      <c r="D74" s="135"/>
      <c r="E74" s="136">
        <f>C74+D74</f>
        <v>196717</v>
      </c>
      <c r="F74" s="185"/>
      <c r="G74" s="39"/>
      <c r="H74" s="39"/>
      <c r="I74" s="64">
        <f>G74+H74*1</f>
        <v>0</v>
      </c>
      <c r="J74" s="64"/>
      <c r="K74" s="64"/>
      <c r="L74" s="39"/>
      <c r="M74" s="39"/>
      <c r="N74" s="64">
        <f>L74+M74*1</f>
        <v>0</v>
      </c>
      <c r="O74" s="64"/>
      <c r="P74" s="64"/>
      <c r="Q74" s="39"/>
      <c r="R74" s="39">
        <f>H74+M74</f>
        <v>0</v>
      </c>
      <c r="S74" s="841">
        <f>Q74+R74*1</f>
        <v>0</v>
      </c>
      <c r="T74" s="64"/>
      <c r="U74" s="64"/>
      <c r="V74" s="452">
        <f>V6*3%</f>
        <v>195344.94</v>
      </c>
      <c r="W74" s="452"/>
      <c r="X74" s="841">
        <f>V74+W74*1</f>
        <v>195344.94</v>
      </c>
      <c r="Y74" s="608"/>
    </row>
    <row r="75" spans="1:27" s="2" customFormat="1" ht="14.4" thickBot="1" x14ac:dyDescent="0.3">
      <c r="A75" s="5"/>
      <c r="B75" s="23" t="s">
        <v>48</v>
      </c>
      <c r="C75" s="137">
        <f>C38-C41-C50-C54</f>
        <v>3954349</v>
      </c>
      <c r="D75" s="137">
        <f>D38-D41-D50-D54</f>
        <v>-978455</v>
      </c>
      <c r="E75" s="138">
        <f>E38-E41-E50-E54</f>
        <v>2975894</v>
      </c>
      <c r="F75" s="172"/>
      <c r="G75" s="65">
        <f>G38-G41-G50-G54</f>
        <v>4002182.5894500003</v>
      </c>
      <c r="H75" s="65">
        <f>H38-H41-H50-H54</f>
        <v>-759802.72</v>
      </c>
      <c r="I75" s="66">
        <f>I38-I41-I50-I54</f>
        <v>3242379.8694500006</v>
      </c>
      <c r="J75" s="66"/>
      <c r="K75" s="66"/>
      <c r="L75" s="65">
        <f>L38-L41-L50-L54</f>
        <v>58961.244723912925</v>
      </c>
      <c r="M75" s="65">
        <f>M38-M41-M50-M54</f>
        <v>99875.969999999987</v>
      </c>
      <c r="N75" s="138">
        <f>N38-N41-N50-N54</f>
        <v>158837.21472391294</v>
      </c>
      <c r="O75" s="66"/>
      <c r="P75" s="66"/>
      <c r="Q75" s="65">
        <f>Q38-Q41-Q50-Q54</f>
        <v>4061143.8341739131</v>
      </c>
      <c r="R75" s="65">
        <f>R38-R41-R50-R54</f>
        <v>-659926.75</v>
      </c>
      <c r="S75" s="138">
        <f>S38-S41-S50-S54</f>
        <v>3401217.0841739131</v>
      </c>
      <c r="T75" s="66"/>
      <c r="U75" s="66"/>
      <c r="V75" s="646">
        <f>V38-V41-V50-V54</f>
        <v>4061143.8341739131</v>
      </c>
      <c r="W75" s="646">
        <f>W38-W41-W50-W54</f>
        <v>-659926.75</v>
      </c>
      <c r="X75" s="670">
        <f>X38-X41-X50-X54</f>
        <v>3401217.0841739131</v>
      </c>
      <c r="Y75" s="671"/>
    </row>
    <row r="76" spans="1:27" s="2" customFormat="1" ht="13.8" x14ac:dyDescent="0.25">
      <c r="A76" s="294"/>
      <c r="B76" s="36" t="s">
        <v>49</v>
      </c>
      <c r="C76" s="157">
        <f>C75/C5</f>
        <v>0.6030511941311858</v>
      </c>
      <c r="D76" s="157" t="e">
        <f>D75/D5</f>
        <v>#DIV/0!</v>
      </c>
      <c r="E76" s="158">
        <f>E75/E5</f>
        <v>0.4538335969606706</v>
      </c>
      <c r="F76" s="167"/>
      <c r="G76" s="54">
        <f>G75/G5</f>
        <v>0.61871190661626263</v>
      </c>
      <c r="H76" s="54" t="e">
        <f>H75/H5</f>
        <v>#DIV/0!</v>
      </c>
      <c r="I76" s="55">
        <f>I75/I5</f>
        <v>0.50125125132716319</v>
      </c>
      <c r="J76" s="55"/>
      <c r="K76" s="55"/>
      <c r="L76" s="54">
        <f>L75/L5</f>
        <v>1.3735593708017886</v>
      </c>
      <c r="M76" s="54" t="e">
        <f>M75/M5</f>
        <v>#DIV/0!</v>
      </c>
      <c r="N76" s="55">
        <f>N75/N5</f>
        <v>3.7002669420851326</v>
      </c>
      <c r="O76" s="55"/>
      <c r="P76" s="55"/>
      <c r="Q76" s="54">
        <f>Q75/Q5</f>
        <v>0.62368810282578802</v>
      </c>
      <c r="R76" s="54" t="e">
        <f>R75/R5</f>
        <v>#DIV/0!</v>
      </c>
      <c r="S76" s="55">
        <f>S75/S5</f>
        <v>0.52234018718487096</v>
      </c>
      <c r="T76" s="55"/>
      <c r="U76" s="55"/>
      <c r="V76" s="639">
        <f>V75/V5</f>
        <v>0.62368810282578802</v>
      </c>
      <c r="W76" s="639" t="e">
        <f>W75/W5</f>
        <v>#DIV/0!</v>
      </c>
      <c r="X76" s="660">
        <f>X75/X5</f>
        <v>0.52234018718487096</v>
      </c>
      <c r="Y76" s="660"/>
    </row>
    <row r="77" spans="1:27" s="2" customFormat="1" ht="14.4" outlineLevel="1" thickBot="1" x14ac:dyDescent="0.3">
      <c r="A77" s="294"/>
      <c r="B77" s="27" t="s">
        <v>9</v>
      </c>
      <c r="C77" s="139">
        <f>C78-C79</f>
        <v>-146768</v>
      </c>
      <c r="D77" s="139">
        <f>D78-D79</f>
        <v>0</v>
      </c>
      <c r="E77" s="140">
        <f>E78-E79</f>
        <v>-146768</v>
      </c>
      <c r="F77" s="173"/>
      <c r="G77" s="139">
        <f>G78-G79</f>
        <v>0</v>
      </c>
      <c r="H77" s="139">
        <f>H78-H79</f>
        <v>-100000</v>
      </c>
      <c r="I77" s="140">
        <f>I78-I79</f>
        <v>-203609.46181818179</v>
      </c>
      <c r="J77" s="67"/>
      <c r="K77" s="67"/>
      <c r="L77" s="139">
        <f>L78-L79</f>
        <v>-142357.89705882352</v>
      </c>
      <c r="M77" s="139">
        <f>M78-M79</f>
        <v>-107445</v>
      </c>
      <c r="N77" s="140">
        <f>N78-N79</f>
        <v>-234878.90154158213</v>
      </c>
      <c r="O77" s="67"/>
      <c r="P77" s="67"/>
      <c r="Q77" s="139">
        <f>Q78-Q79</f>
        <v>-142357.89705882352</v>
      </c>
      <c r="R77" s="139">
        <f>R78-R79</f>
        <v>-207445</v>
      </c>
      <c r="S77" s="140">
        <f>S78-S79</f>
        <v>-438488.36335976393</v>
      </c>
      <c r="T77" s="67"/>
      <c r="U77" s="67"/>
      <c r="V77" s="587">
        <f>V78-V79</f>
        <v>-142357.89705882352</v>
      </c>
      <c r="W77" s="587">
        <f>W78-W79</f>
        <v>-199168</v>
      </c>
      <c r="X77" s="674">
        <f>X78-X79</f>
        <v>-341525.8970588235</v>
      </c>
      <c r="Y77" s="675"/>
    </row>
    <row r="78" spans="1:27" s="2" customFormat="1" ht="13.8" outlineLevel="2" x14ac:dyDescent="0.25">
      <c r="A78" s="11"/>
      <c r="B78" s="6" t="s">
        <v>43</v>
      </c>
      <c r="C78" s="141"/>
      <c r="D78" s="142"/>
      <c r="E78" s="119">
        <f>C78+D78*1.15</f>
        <v>0</v>
      </c>
      <c r="F78" s="186"/>
      <c r="G78" s="39"/>
      <c r="H78" s="39"/>
      <c r="I78" s="68">
        <f>G78+H78*1.15</f>
        <v>0</v>
      </c>
      <c r="J78" s="68"/>
      <c r="K78" s="68"/>
      <c r="L78" s="39"/>
      <c r="M78" s="39"/>
      <c r="N78" s="68">
        <f>L78+M78*1.15</f>
        <v>0</v>
      </c>
      <c r="O78" s="68"/>
      <c r="P78" s="68"/>
      <c r="Q78" s="39">
        <f>G78+L78</f>
        <v>0</v>
      </c>
      <c r="R78" s="39">
        <f>H78+M78</f>
        <v>0</v>
      </c>
      <c r="S78" s="68">
        <f>Q78+R78*1.15</f>
        <v>0</v>
      </c>
      <c r="T78" s="68"/>
      <c r="U78" s="68"/>
      <c r="V78" s="452"/>
      <c r="W78" s="452"/>
      <c r="X78" s="676">
        <f>V78+W78*1.15</f>
        <v>0</v>
      </c>
      <c r="Y78" s="676"/>
      <c r="Z78" s="842">
        <f t="shared" ref="Z78:AA80" si="47">V78-Q78</f>
        <v>0</v>
      </c>
      <c r="AA78" s="842">
        <f t="shared" si="47"/>
        <v>0</v>
      </c>
    </row>
    <row r="79" spans="1:27" s="2" customFormat="1" ht="13.8" outlineLevel="2" x14ac:dyDescent="0.25">
      <c r="A79" s="11"/>
      <c r="B79" s="24" t="s">
        <v>79</v>
      </c>
      <c r="C79" s="113">
        <v>146768</v>
      </c>
      <c r="D79" s="119"/>
      <c r="E79" s="120">
        <f>C79+D79</f>
        <v>146768</v>
      </c>
      <c r="F79" s="180">
        <f>E79/$E$89</f>
        <v>3.7394769247154076E-2</v>
      </c>
      <c r="G79" s="39"/>
      <c r="H79" s="39">
        <v>100000</v>
      </c>
      <c r="I79" s="106">
        <f>(H8+H41+H50+H54)/0.88*0.12+H79</f>
        <v>203609.46181818179</v>
      </c>
      <c r="J79" s="45"/>
      <c r="K79" s="45"/>
      <c r="L79" s="39">
        <v>142357.89705882352</v>
      </c>
      <c r="M79" s="39">
        <f>99168+8277</f>
        <v>107445</v>
      </c>
      <c r="N79" s="106">
        <f>(M8+M41+M50+M54)/(1-'расчет 2022'!E4)*'расчет 2022'!E4+L79+M79</f>
        <v>234878.90154158213</v>
      </c>
      <c r="O79" s="45"/>
      <c r="P79" s="45"/>
      <c r="Q79" s="39">
        <f>G79+L79</f>
        <v>142357.89705882352</v>
      </c>
      <c r="R79" s="39">
        <f>H79+M79</f>
        <v>207445</v>
      </c>
      <c r="S79" s="39">
        <f>N79+I79</f>
        <v>438488.36335976393</v>
      </c>
      <c r="T79" s="45"/>
      <c r="U79" s="45"/>
      <c r="V79" s="452">
        <v>142357.89705882352</v>
      </c>
      <c r="W79" s="452">
        <v>199168</v>
      </c>
      <c r="X79" s="446">
        <v>341525.8970588235</v>
      </c>
      <c r="Y79" s="693"/>
      <c r="Z79" s="842">
        <f t="shared" si="47"/>
        <v>0</v>
      </c>
      <c r="AA79" s="842">
        <f t="shared" si="47"/>
        <v>-8277</v>
      </c>
    </row>
    <row r="80" spans="1:27" ht="13.8" outlineLevel="2" x14ac:dyDescent="0.25">
      <c r="A80" s="3"/>
      <c r="B80" s="25"/>
      <c r="C80" s="143"/>
      <c r="D80" s="144"/>
      <c r="E80" s="145"/>
      <c r="F80" s="187"/>
      <c r="G80" s="210"/>
      <c r="H80" s="210"/>
      <c r="I80" s="69"/>
      <c r="J80" s="69"/>
      <c r="K80" s="69"/>
      <c r="L80" s="39"/>
      <c r="M80" s="39"/>
      <c r="N80" s="69"/>
      <c r="O80" s="69"/>
      <c r="P80" s="69"/>
      <c r="Q80" s="39"/>
      <c r="R80" s="39"/>
      <c r="S80" s="69"/>
      <c r="T80" s="69"/>
      <c r="U80" s="69"/>
      <c r="V80" s="452"/>
      <c r="W80" s="452"/>
      <c r="X80" s="678"/>
      <c r="Y80" s="678"/>
      <c r="Z80" s="842">
        <f t="shared" si="47"/>
        <v>0</v>
      </c>
      <c r="AA80" s="842">
        <f t="shared" si="47"/>
        <v>0</v>
      </c>
    </row>
    <row r="81" spans="1:25" s="2" customFormat="1" ht="14.4" outlineLevel="1" thickBot="1" x14ac:dyDescent="0.3">
      <c r="A81" s="26"/>
      <c r="B81" s="27" t="s">
        <v>12</v>
      </c>
      <c r="C81" s="139">
        <f>(C75+C78)-C79</f>
        <v>3807581</v>
      </c>
      <c r="D81" s="139">
        <f>(D75+D78)-D79</f>
        <v>-978455</v>
      </c>
      <c r="E81" s="140">
        <f>(E75+E78)-E79</f>
        <v>2829126</v>
      </c>
      <c r="F81" s="173"/>
      <c r="G81" s="139">
        <f>(G75+G78)-G79</f>
        <v>4002182.5894500003</v>
      </c>
      <c r="H81" s="139">
        <f>(H75+H78)-H79</f>
        <v>-859802.72</v>
      </c>
      <c r="I81" s="140">
        <f>(I75+I78)-I79</f>
        <v>3038770.4076318187</v>
      </c>
      <c r="J81" s="67"/>
      <c r="K81" s="67"/>
      <c r="L81" s="139">
        <f>(L75+L78)-L79</f>
        <v>-83396.652334910599</v>
      </c>
      <c r="M81" s="139">
        <f>(M75+M78)-M79</f>
        <v>-7569.0300000000134</v>
      </c>
      <c r="N81" s="140">
        <f>(N75+N78)-N79</f>
        <v>-76041.686817669193</v>
      </c>
      <c r="O81" s="67"/>
      <c r="P81" s="67"/>
      <c r="Q81" s="139">
        <f>(Q75+Q78)-Q79</f>
        <v>3918785.9371150895</v>
      </c>
      <c r="R81" s="139">
        <f>(R75+R78)-R79</f>
        <v>-867371.75</v>
      </c>
      <c r="S81" s="140">
        <f>(S75+S78)-S79</f>
        <v>2962728.7208141494</v>
      </c>
      <c r="T81" s="67"/>
      <c r="U81" s="67"/>
      <c r="V81" s="587">
        <f>(V75+V78)-V79</f>
        <v>3918785.9371150895</v>
      </c>
      <c r="W81" s="587">
        <f>(W75+W78)-W79</f>
        <v>-859094.75</v>
      </c>
      <c r="X81" s="674">
        <f>(X75+X78)-X79</f>
        <v>3059691.1871150895</v>
      </c>
      <c r="Y81" s="675"/>
    </row>
    <row r="82" spans="1:25" s="2" customFormat="1" ht="13.8" outlineLevel="2" x14ac:dyDescent="0.25">
      <c r="A82" s="293"/>
      <c r="B82" s="6" t="s">
        <v>38</v>
      </c>
      <c r="C82" s="141"/>
      <c r="D82" s="142"/>
      <c r="E82" s="146">
        <f>C82+D82</f>
        <v>0</v>
      </c>
      <c r="F82" s="180">
        <f>E82/$E$89</f>
        <v>0</v>
      </c>
      <c r="G82" s="141"/>
      <c r="H82" s="142"/>
      <c r="I82" s="146">
        <f>G82+H82</f>
        <v>0</v>
      </c>
      <c r="J82" s="101"/>
      <c r="K82" s="101"/>
      <c r="L82" s="39"/>
      <c r="M82" s="39"/>
      <c r="N82" s="146">
        <f>L82+M82</f>
        <v>0</v>
      </c>
      <c r="O82" s="101"/>
      <c r="P82" s="101"/>
      <c r="Q82" s="39">
        <f>G82+L82</f>
        <v>0</v>
      </c>
      <c r="R82" s="39">
        <f>H82+M82</f>
        <v>0</v>
      </c>
      <c r="S82" s="146">
        <f>Q82+R82</f>
        <v>0</v>
      </c>
      <c r="T82" s="101"/>
      <c r="U82" s="101"/>
      <c r="V82" s="452"/>
      <c r="W82" s="452"/>
      <c r="X82" s="565">
        <f>V82+W82</f>
        <v>0</v>
      </c>
      <c r="Y82" s="642"/>
    </row>
    <row r="83" spans="1:25" s="2" customFormat="1" ht="13.8" outlineLevel="1" x14ac:dyDescent="0.25">
      <c r="A83" s="11"/>
      <c r="B83" s="28" t="s">
        <v>13</v>
      </c>
      <c r="C83" s="147">
        <f>(C81+C7)-C36</f>
        <v>3807581</v>
      </c>
      <c r="D83" s="147">
        <f>(D81+D7)-D36</f>
        <v>-978455</v>
      </c>
      <c r="E83" s="147">
        <f>(E81+E7)-E36</f>
        <v>2829126</v>
      </c>
      <c r="F83" s="174"/>
      <c r="G83" s="147">
        <f>(G81+G7)-G36</f>
        <v>4002182.5894500003</v>
      </c>
      <c r="H83" s="147">
        <f>(H81+H7)-H36</f>
        <v>-859802.72</v>
      </c>
      <c r="I83" s="148">
        <f>(I81+I7)-I36</f>
        <v>3038770.4076318187</v>
      </c>
      <c r="J83" s="70"/>
      <c r="K83" s="70"/>
      <c r="L83" s="147">
        <f>(L81+L7)-L36</f>
        <v>-83396.652334910599</v>
      </c>
      <c r="M83" s="147">
        <f>(M81+M7)-M36</f>
        <v>-7569.0300000000134</v>
      </c>
      <c r="N83" s="148">
        <f>(N81+N7)-N36</f>
        <v>-76041.686817669193</v>
      </c>
      <c r="O83" s="70"/>
      <c r="P83" s="70"/>
      <c r="Q83" s="147">
        <f>(Q81+Q7)-Q36</f>
        <v>3918785.9371150895</v>
      </c>
      <c r="R83" s="147">
        <f>(R81+R7)-R36</f>
        <v>-867371.75</v>
      </c>
      <c r="S83" s="148">
        <f>(S81+S7)-S36</f>
        <v>2962728.7208141494</v>
      </c>
      <c r="T83" s="70"/>
      <c r="U83" s="70"/>
      <c r="V83" s="679">
        <f>(V81+V7)-V36</f>
        <v>3918785.9371150895</v>
      </c>
      <c r="W83" s="679">
        <f>(W81+W7)-W36</f>
        <v>-859094.75</v>
      </c>
      <c r="X83" s="680">
        <f>(X81+X7)-X36</f>
        <v>3059691.1871150895</v>
      </c>
      <c r="Y83" s="681"/>
    </row>
    <row r="84" spans="1:25" s="2" customFormat="1" ht="14.4" outlineLevel="1" thickBot="1" x14ac:dyDescent="0.3">
      <c r="A84" s="11"/>
      <c r="B84" s="211" t="s">
        <v>14</v>
      </c>
      <c r="C84" s="212">
        <f>C83-C73-C82</f>
        <v>3610864</v>
      </c>
      <c r="D84" s="212">
        <f>D83-D73-D82</f>
        <v>-978455</v>
      </c>
      <c r="E84" s="212">
        <f>E83-E73-E82</f>
        <v>2632409</v>
      </c>
      <c r="F84" s="214"/>
      <c r="G84" s="212">
        <f>G83-G73-G82</f>
        <v>4002182.5894500003</v>
      </c>
      <c r="H84" s="212">
        <f>H83-H73-H82</f>
        <v>-859802.72</v>
      </c>
      <c r="I84" s="213">
        <f>I83-I73-I82</f>
        <v>3038770.4076318187</v>
      </c>
      <c r="J84" s="82"/>
      <c r="K84" s="82"/>
      <c r="L84" s="213">
        <f>L83-L73-L82</f>
        <v>-83396.652334910599</v>
      </c>
      <c r="M84" s="213">
        <f>M83-M73-M82</f>
        <v>-7569.0300000000134</v>
      </c>
      <c r="N84" s="213">
        <f>N83-N73-N82</f>
        <v>-76041.686817669193</v>
      </c>
      <c r="O84" s="82"/>
      <c r="P84" s="82"/>
      <c r="Q84" s="213">
        <f>Q83-Q73-Q82</f>
        <v>3723440.9971150896</v>
      </c>
      <c r="R84" s="213">
        <f>R83-R73-R82</f>
        <v>-867371.75</v>
      </c>
      <c r="S84" s="213">
        <f>S83-S73-S82</f>
        <v>2767383.7808141494</v>
      </c>
      <c r="T84" s="82"/>
      <c r="U84" s="82"/>
      <c r="V84" s="562">
        <f>V83-V73-V82</f>
        <v>3723440.9971150896</v>
      </c>
      <c r="W84" s="562">
        <f>W83-W73-W82</f>
        <v>-859094.75</v>
      </c>
      <c r="X84" s="562">
        <f>X83-X73-X82</f>
        <v>2864346.2471150896</v>
      </c>
      <c r="Y84" s="537"/>
    </row>
    <row r="85" spans="1:25" s="2" customFormat="1" ht="13.8" outlineLevel="3" x14ac:dyDescent="0.25">
      <c r="A85" s="293"/>
      <c r="B85" s="216" t="s">
        <v>44</v>
      </c>
      <c r="C85" s="141"/>
      <c r="D85" s="142"/>
      <c r="E85" s="146">
        <f>C85+D85</f>
        <v>0</v>
      </c>
      <c r="F85" s="217">
        <f>E85/$E$89</f>
        <v>0</v>
      </c>
      <c r="G85" s="102"/>
      <c r="H85" s="102"/>
      <c r="I85" s="219">
        <f>G85+H85*1.15</f>
        <v>0</v>
      </c>
      <c r="J85" s="102"/>
      <c r="K85" s="102"/>
      <c r="L85" s="39"/>
      <c r="M85" s="39"/>
      <c r="N85" s="219">
        <f>L85+M85*1.15</f>
        <v>0</v>
      </c>
      <c r="O85" s="102"/>
      <c r="P85" s="102"/>
      <c r="Q85" s="39">
        <f>G85+L85</f>
        <v>0</v>
      </c>
      <c r="R85" s="39">
        <f>H85+M85</f>
        <v>0</v>
      </c>
      <c r="S85" s="219">
        <f>Q85+R85*1.15</f>
        <v>0</v>
      </c>
      <c r="T85" s="102"/>
      <c r="U85" s="102"/>
      <c r="V85" s="452"/>
      <c r="W85" s="452"/>
      <c r="X85" s="484">
        <f>V85+W85*1.15</f>
        <v>0</v>
      </c>
      <c r="Y85" s="566"/>
    </row>
    <row r="86" spans="1:25" s="2" customFormat="1" ht="27.6" x14ac:dyDescent="0.25">
      <c r="A86" s="11"/>
      <c r="B86" s="37" t="s">
        <v>50</v>
      </c>
      <c r="C86" s="149">
        <f>C84-C85</f>
        <v>3610864</v>
      </c>
      <c r="D86" s="149">
        <f>D84-D85</f>
        <v>-978455</v>
      </c>
      <c r="E86" s="150">
        <f>E84-E85</f>
        <v>2632409</v>
      </c>
      <c r="F86" s="175"/>
      <c r="G86" s="149">
        <f>G84-G85</f>
        <v>4002182.5894500003</v>
      </c>
      <c r="H86" s="149">
        <f>H84-H85</f>
        <v>-859802.72</v>
      </c>
      <c r="I86" s="150">
        <f>I84-I85</f>
        <v>3038770.4076318187</v>
      </c>
      <c r="J86" s="73"/>
      <c r="K86" s="73"/>
      <c r="L86" s="150">
        <f>L84-L85</f>
        <v>-83396.652334910599</v>
      </c>
      <c r="M86" s="150">
        <f>M84-M85</f>
        <v>-7569.0300000000134</v>
      </c>
      <c r="N86" s="150">
        <f>N84-N85</f>
        <v>-76041.686817669193</v>
      </c>
      <c r="O86" s="73"/>
      <c r="P86" s="73"/>
      <c r="Q86" s="150">
        <f>Q84-Q85</f>
        <v>3723440.9971150896</v>
      </c>
      <c r="R86" s="150">
        <f>R84-R85</f>
        <v>-867371.75</v>
      </c>
      <c r="S86" s="150">
        <f>S84-S85</f>
        <v>2767383.7808141494</v>
      </c>
      <c r="T86" s="73"/>
      <c r="U86" s="73"/>
      <c r="V86" s="569">
        <f>V84-V85</f>
        <v>3723440.9971150896</v>
      </c>
      <c r="W86" s="569">
        <f>W84-W85</f>
        <v>-859094.75</v>
      </c>
      <c r="X86" s="569">
        <f>X84-X85</f>
        <v>2864346.2471150896</v>
      </c>
      <c r="Y86" s="538"/>
    </row>
    <row r="87" spans="1:25" s="2" customFormat="1" ht="14.4" thickBot="1" x14ac:dyDescent="0.3">
      <c r="A87" s="295"/>
      <c r="B87" s="29" t="s">
        <v>51</v>
      </c>
      <c r="C87" s="155">
        <f>C86/C5</f>
        <v>0.550668604881691</v>
      </c>
      <c r="D87" s="151" t="e">
        <f>D86/D5</f>
        <v>#DIV/0!</v>
      </c>
      <c r="E87" s="156">
        <f>E86/E5</f>
        <v>0.40145100771117587</v>
      </c>
      <c r="F87" s="176"/>
      <c r="G87" s="155">
        <f>G86/G5</f>
        <v>0.61871190661626263</v>
      </c>
      <c r="H87" s="151" t="e">
        <f>H86/H5</f>
        <v>#DIV/0!</v>
      </c>
      <c r="I87" s="156">
        <f>I86/I5</f>
        <v>0.46977452693714711</v>
      </c>
      <c r="J87" s="75"/>
      <c r="K87" s="75"/>
      <c r="L87" s="155">
        <f>L86/L5</f>
        <v>-1.9428058862138835</v>
      </c>
      <c r="M87" s="151" t="e">
        <f>M86/M5</f>
        <v>#DIV/0!</v>
      </c>
      <c r="N87" s="156">
        <f>N86/N5</f>
        <v>-1.771464832349841</v>
      </c>
      <c r="O87" s="75"/>
      <c r="P87" s="75"/>
      <c r="Q87" s="155">
        <f>Q86/Q5</f>
        <v>0.57182556104833171</v>
      </c>
      <c r="R87" s="151" t="e">
        <f>R86/R5</f>
        <v>#DIV/0!</v>
      </c>
      <c r="S87" s="156">
        <f>S86/S5</f>
        <v>0.42499955936623945</v>
      </c>
      <c r="T87" s="75"/>
      <c r="U87" s="75"/>
      <c r="V87" s="573">
        <f>V86/V5</f>
        <v>0.57182556104833171</v>
      </c>
      <c r="W87" s="574" t="e">
        <f>W86/W5</f>
        <v>#DIV/0!</v>
      </c>
      <c r="X87" s="575">
        <f>X86/X5</f>
        <v>0.43989052090856662</v>
      </c>
      <c r="Y87" s="576"/>
    </row>
    <row r="88" spans="1:25" ht="13.8" x14ac:dyDescent="0.25">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row>
    <row r="89" spans="1:25" ht="13.8" x14ac:dyDescent="0.25">
      <c r="B89" s="221" t="s">
        <v>56</v>
      </c>
      <c r="C89" s="153"/>
      <c r="D89" s="153"/>
      <c r="E89" s="154">
        <f>E8+E36+E41+E50+E54+E73+E79+E82+E85</f>
        <v>3924827</v>
      </c>
      <c r="F89" s="189"/>
      <c r="I89" s="154">
        <f>I8+I36+I41+I50+I54+I73+I79+I82+I85</f>
        <v>3429801.7123681814</v>
      </c>
      <c r="N89" s="154">
        <f>N8+N36+N41+N50+N54+N73+N79+N82+N85</f>
        <v>118967.56681766908</v>
      </c>
      <c r="S89" s="154">
        <f>S8+S36+S41+S50+S54+S73+S79+S82+S85</f>
        <v>3744114.2191858506</v>
      </c>
      <c r="V89" s="76"/>
      <c r="W89" s="76"/>
      <c r="X89" s="76"/>
      <c r="Y89" s="76"/>
    </row>
    <row r="90" spans="1:25" ht="13.8" x14ac:dyDescent="0.25">
      <c r="C90" s="153"/>
      <c r="D90" s="153"/>
      <c r="E90" s="153"/>
      <c r="V90" s="76"/>
      <c r="W90" s="76"/>
      <c r="X90" s="76"/>
      <c r="Y90" s="76"/>
    </row>
    <row r="91" spans="1:25" s="2" customFormat="1" ht="13.8" x14ac:dyDescent="0.25">
      <c r="A91" s="8"/>
      <c r="B91" s="8"/>
      <c r="C91" s="153"/>
      <c r="D91" s="153"/>
      <c r="E91" s="153"/>
      <c r="F91" s="38"/>
      <c r="G91" s="38"/>
      <c r="H91" s="38"/>
      <c r="I91" s="38"/>
      <c r="J91" s="38"/>
      <c r="K91" s="38"/>
      <c r="L91" s="38"/>
      <c r="M91" s="38"/>
      <c r="N91" s="38"/>
      <c r="O91" s="38"/>
      <c r="P91" s="38"/>
      <c r="Q91" s="38"/>
      <c r="R91" s="38"/>
      <c r="S91" s="38"/>
      <c r="T91" s="38"/>
      <c r="U91" s="38"/>
      <c r="V91" s="76"/>
      <c r="W91" s="76"/>
      <c r="X91" s="76"/>
      <c r="Y91" s="76"/>
    </row>
    <row r="92" spans="1:25" x14ac:dyDescent="0.25">
      <c r="C92" s="38"/>
      <c r="D92" s="38"/>
    </row>
    <row r="93" spans="1:25" s="2" customFormat="1" x14ac:dyDescent="0.25">
      <c r="A93" s="8"/>
      <c r="B93" s="8"/>
      <c r="C93" s="38"/>
      <c r="D93" s="38"/>
      <c r="E93" s="38"/>
      <c r="F93" s="38"/>
      <c r="G93" s="38"/>
      <c r="H93" s="38"/>
      <c r="I93" s="38"/>
      <c r="J93" s="38"/>
      <c r="K93" s="38"/>
      <c r="L93" s="38"/>
      <c r="M93" s="38"/>
      <c r="N93" s="38"/>
      <c r="O93" s="38"/>
      <c r="P93" s="38"/>
      <c r="Q93" s="38"/>
      <c r="R93" s="38"/>
      <c r="S93" s="38"/>
      <c r="T93" s="38"/>
      <c r="U93" s="38"/>
    </row>
    <row r="94" spans="1:25" s="2" customFormat="1" x14ac:dyDescent="0.25">
      <c r="A94" s="8"/>
      <c r="B94" s="8"/>
      <c r="C94" s="38"/>
      <c r="D94" s="38"/>
      <c r="E94" s="38"/>
      <c r="F94" s="38"/>
      <c r="G94" s="38"/>
      <c r="H94" s="38"/>
      <c r="I94" s="38"/>
      <c r="J94" s="38"/>
      <c r="K94" s="38"/>
      <c r="L94" s="38"/>
      <c r="M94" s="38"/>
      <c r="N94" s="38"/>
      <c r="O94" s="38"/>
      <c r="P94" s="38"/>
      <c r="Q94" s="38"/>
      <c r="R94" s="38"/>
      <c r="S94" s="38"/>
      <c r="T94" s="38"/>
      <c r="U94" s="38"/>
    </row>
    <row r="95" spans="1:25" s="2" customFormat="1" x14ac:dyDescent="0.25">
      <c r="A95" s="8"/>
      <c r="B95" s="8"/>
      <c r="C95" s="38"/>
      <c r="D95" s="38"/>
      <c r="E95" s="38"/>
      <c r="F95" s="38"/>
      <c r="G95" s="38"/>
      <c r="H95" s="38"/>
      <c r="I95" s="38"/>
      <c r="J95" s="38"/>
      <c r="K95" s="38"/>
      <c r="L95" s="38"/>
      <c r="M95" s="38"/>
      <c r="N95" s="38"/>
      <c r="O95" s="38"/>
      <c r="P95" s="38"/>
      <c r="Q95" s="38"/>
      <c r="R95" s="38"/>
      <c r="S95" s="38"/>
      <c r="T95" s="38"/>
      <c r="U95" s="38"/>
    </row>
    <row r="96" spans="1:25" s="2" customFormat="1" x14ac:dyDescent="0.25">
      <c r="A96" s="8"/>
      <c r="B96" s="8"/>
      <c r="C96" s="38"/>
      <c r="D96" s="38"/>
      <c r="E96" s="38"/>
      <c r="F96" s="38"/>
      <c r="G96" s="38"/>
      <c r="H96" s="38"/>
      <c r="I96" s="38"/>
      <c r="J96" s="38"/>
      <c r="K96" s="38"/>
      <c r="L96" s="38"/>
      <c r="M96" s="38"/>
      <c r="N96" s="38"/>
      <c r="O96" s="38"/>
      <c r="P96" s="38"/>
      <c r="Q96" s="38"/>
      <c r="R96" s="38"/>
      <c r="S96" s="38"/>
      <c r="T96" s="38"/>
      <c r="U96" s="38"/>
    </row>
    <row r="97" spans="1:21" x14ac:dyDescent="0.25">
      <c r="C97" s="38"/>
      <c r="D97" s="38"/>
    </row>
    <row r="98" spans="1:21" s="2" customFormat="1" x14ac:dyDescent="0.25">
      <c r="A98" s="8"/>
      <c r="B98" s="8"/>
      <c r="C98" s="38"/>
      <c r="D98" s="38"/>
      <c r="E98" s="38"/>
      <c r="F98" s="38"/>
      <c r="G98" s="38"/>
      <c r="H98" s="38"/>
      <c r="I98" s="38"/>
      <c r="J98" s="38"/>
      <c r="K98" s="38"/>
      <c r="L98" s="38"/>
      <c r="M98" s="38"/>
      <c r="N98" s="38"/>
      <c r="O98" s="38"/>
      <c r="P98" s="38"/>
      <c r="Q98" s="38"/>
      <c r="R98" s="38"/>
      <c r="S98" s="38"/>
      <c r="T98" s="38"/>
      <c r="U98" s="38"/>
    </row>
    <row r="99" spans="1:21" x14ac:dyDescent="0.25">
      <c r="C99" s="38"/>
      <c r="D99" s="38"/>
    </row>
  </sheetData>
  <mergeCells count="7">
    <mergeCell ref="V2:Y3"/>
    <mergeCell ref="Q2:T3"/>
    <mergeCell ref="A42:A48"/>
    <mergeCell ref="A2:F2"/>
    <mergeCell ref="G2:K3"/>
    <mergeCell ref="A3:F3"/>
    <mergeCell ref="L2:O3"/>
  </mergeCells>
  <pageMargins left="0.39370078740157483" right="0.19685039370078741" top="0.19685039370078741" bottom="0.19685039370078741" header="0.11811023622047245" footer="0.11811023622047245"/>
  <pageSetup paperSize="9" scale="31" orientation="portrait" horizontalDpi="4294967295" verticalDpi="4294967295" r:id="rId1"/>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5" tint="0.79998168889431442"/>
  </sheetPr>
  <dimension ref="A1:BU108"/>
  <sheetViews>
    <sheetView topLeftCell="B1" zoomScale="70" zoomScaleNormal="70" workbookViewId="0">
      <pane xSplit="10" ySplit="5" topLeftCell="BE69" activePane="bottomRight" state="frozen"/>
      <selection activeCell="B73" sqref="B73"/>
      <selection pane="topRight" activeCell="B73" sqref="B73"/>
      <selection pane="bottomLeft" activeCell="B73" sqref="B73"/>
      <selection pane="bottomRight" activeCell="BF85" sqref="BF85"/>
    </sheetView>
  </sheetViews>
  <sheetFormatPr defaultColWidth="7.44140625" defaultRowHeight="13.2" outlineLevelCol="1" x14ac:dyDescent="0.25"/>
  <cols>
    <col min="1" max="1" width="5.5546875" style="8" customWidth="1"/>
    <col min="2" max="2" width="51.5546875" style="8" customWidth="1"/>
    <col min="3" max="3" width="17.5546875" style="77" hidden="1" customWidth="1"/>
    <col min="4" max="4" width="15.44140625" style="77" hidden="1" customWidth="1"/>
    <col min="5" max="5" width="15.33203125" style="38" hidden="1" customWidth="1"/>
    <col min="6" max="6" width="9.5546875" style="38" hidden="1" customWidth="1"/>
    <col min="7" max="9" width="16.33203125" style="38" hidden="1" customWidth="1" outlineLevel="1"/>
    <col min="10" max="10" width="9" style="38" hidden="1" customWidth="1" outlineLevel="1"/>
    <col min="11" max="11" width="39" style="38" hidden="1" customWidth="1" outlineLevel="1"/>
    <col min="12" max="12" width="19.6640625" style="38" hidden="1" customWidth="1" outlineLevel="1"/>
    <col min="13" max="13" width="20.109375" style="38" hidden="1" customWidth="1" outlineLevel="1"/>
    <col min="14" max="14" width="24.44140625" style="38" hidden="1" customWidth="1" outlineLevel="1"/>
    <col min="15" max="15" width="9.6640625" style="38" hidden="1" customWidth="1" outlineLevel="1"/>
    <col min="16" max="16" width="39" style="38" hidden="1" customWidth="1" outlineLevel="1"/>
    <col min="17" max="17" width="19.44140625" style="38" hidden="1" customWidth="1" outlineLevel="1"/>
    <col min="18" max="18" width="18" style="38" hidden="1" customWidth="1" outlineLevel="1"/>
    <col min="19" max="19" width="24.44140625" style="38" hidden="1" customWidth="1" outlineLevel="1"/>
    <col min="20" max="20" width="16.6640625" style="38" hidden="1" customWidth="1" outlineLevel="1"/>
    <col min="21" max="21" width="48.33203125" style="38" hidden="1" customWidth="1" outlineLevel="1"/>
    <col min="22" max="22" width="19.44140625" style="38" hidden="1" customWidth="1" outlineLevel="1"/>
    <col min="23" max="23" width="18" style="38" hidden="1" customWidth="1" outlineLevel="1"/>
    <col min="24" max="24" width="24.44140625" style="38" hidden="1" customWidth="1" outlineLevel="1"/>
    <col min="25" max="25" width="16.6640625" style="38" hidden="1" customWidth="1" outlineLevel="1"/>
    <col min="26" max="26" width="48.33203125" style="38" hidden="1" customWidth="1" outlineLevel="1"/>
    <col min="27" max="27" width="17.88671875" style="38" hidden="1" customWidth="1" outlineLevel="1"/>
    <col min="28" max="28" width="20.6640625" style="38" hidden="1" customWidth="1" outlineLevel="1"/>
    <col min="29" max="29" width="14.88671875" style="38" hidden="1" customWidth="1" outlineLevel="1"/>
    <col min="30" max="30" width="16.109375" style="38" hidden="1" customWidth="1" outlineLevel="1"/>
    <col min="31" max="31" width="48.33203125" style="38" hidden="1" customWidth="1" outlineLevel="1"/>
    <col min="32" max="32" width="18.88671875" style="38" hidden="1" customWidth="1" outlineLevel="1"/>
    <col min="33" max="34" width="23.109375" style="38" hidden="1" customWidth="1" outlineLevel="1"/>
    <col min="35" max="35" width="10.109375" style="38" hidden="1" customWidth="1" outlineLevel="1"/>
    <col min="36" max="36" width="34.33203125" style="38" hidden="1" customWidth="1" outlineLevel="1"/>
    <col min="37" max="37" width="19.6640625" style="38" hidden="1" customWidth="1" outlineLevel="1"/>
    <col min="38" max="38" width="20.109375" style="38" hidden="1" customWidth="1" outlineLevel="1"/>
    <col min="39" max="39" width="19.6640625" style="38" hidden="1" customWidth="1" outlineLevel="1"/>
    <col min="40" max="40" width="13" style="38" hidden="1" customWidth="1" outlineLevel="1"/>
    <col min="41" max="41" width="34.33203125" style="38" hidden="1" customWidth="1" outlineLevel="1"/>
    <col min="42" max="43" width="16.44140625" style="38" hidden="1" customWidth="1" outlineLevel="1"/>
    <col min="44" max="44" width="16.109375" style="38" hidden="1" customWidth="1" outlineLevel="1"/>
    <col min="45" max="45" width="8.6640625" style="38" hidden="1" customWidth="1" outlineLevel="1"/>
    <col min="46" max="46" width="34.33203125" style="38" hidden="1" customWidth="1" outlineLevel="1"/>
    <col min="47" max="48" width="16.33203125" style="38" hidden="1" customWidth="1" outlineLevel="1"/>
    <col min="49" max="49" width="16.109375" style="38" hidden="1" customWidth="1" outlineLevel="1"/>
    <col min="50" max="50" width="24.33203125" style="38" hidden="1" customWidth="1" outlineLevel="1"/>
    <col min="51" max="51" width="34.33203125" style="38" hidden="1" customWidth="1" outlineLevel="1"/>
    <col min="52" max="52" width="22.109375" style="38" customWidth="1" collapsed="1"/>
    <col min="53" max="53" width="20.44140625" style="38" customWidth="1"/>
    <col min="54" max="54" width="15.33203125" style="38" customWidth="1"/>
    <col min="55" max="55" width="12.44140625" style="38" customWidth="1"/>
    <col min="56" max="56" width="34.33203125" style="38" customWidth="1"/>
    <col min="57" max="57" width="26.88671875" style="38" customWidth="1"/>
    <col min="58" max="58" width="27.109375" style="38" customWidth="1"/>
    <col min="59" max="59" width="25" style="38" customWidth="1"/>
    <col min="60" max="61" width="34.33203125" style="38" customWidth="1"/>
    <col min="62" max="64" width="16.33203125" style="38" customWidth="1"/>
    <col min="65" max="65" width="13.33203125" style="38" customWidth="1"/>
    <col min="66" max="66" width="16.33203125" style="38" customWidth="1"/>
    <col min="67" max="67" width="15.33203125" style="1" bestFit="1" customWidth="1"/>
    <col min="68" max="68" width="15.33203125" style="928" bestFit="1" customWidth="1"/>
    <col min="69" max="69" width="15.6640625" style="928" bestFit="1" customWidth="1"/>
    <col min="70" max="70" width="7.44140625" style="1"/>
    <col min="71" max="71" width="16.6640625" style="1" bestFit="1" customWidth="1"/>
    <col min="72" max="72" width="14.5546875" style="1" customWidth="1"/>
    <col min="73" max="73" width="12" style="1" bestFit="1" customWidth="1"/>
    <col min="74" max="16384" width="7.44140625" style="1"/>
  </cols>
  <sheetData>
    <row r="1" spans="1:72" ht="13.8" thickBot="1" x14ac:dyDescent="0.3">
      <c r="C1" s="38"/>
      <c r="D1" s="38"/>
    </row>
    <row r="2" spans="1:72" ht="14.4" customHeight="1" x14ac:dyDescent="0.25">
      <c r="A2" s="4016" t="s">
        <v>908</v>
      </c>
      <c r="B2" s="4017"/>
      <c r="C2" s="4017"/>
      <c r="D2" s="4017"/>
      <c r="E2" s="4017"/>
      <c r="F2" s="4018"/>
      <c r="G2" s="4019" t="s">
        <v>465</v>
      </c>
      <c r="H2" s="4020"/>
      <c r="I2" s="4020"/>
      <c r="J2" s="4020"/>
      <c r="K2" s="386"/>
      <c r="L2" s="4019" t="s">
        <v>545</v>
      </c>
      <c r="M2" s="4020"/>
      <c r="N2" s="4020"/>
      <c r="O2" s="4020"/>
      <c r="P2" s="419"/>
      <c r="Q2" s="4019" t="s">
        <v>624</v>
      </c>
      <c r="R2" s="4020"/>
      <c r="S2" s="4020"/>
      <c r="T2" s="4020"/>
      <c r="U2" s="468"/>
      <c r="V2" s="4140" t="s">
        <v>714</v>
      </c>
      <c r="W2" s="4141"/>
      <c r="X2" s="4141"/>
      <c r="Y2" s="4141"/>
      <c r="Z2" s="533"/>
      <c r="AA2" s="4140" t="s">
        <v>770</v>
      </c>
      <c r="AB2" s="4141"/>
      <c r="AC2" s="4141"/>
      <c r="AD2" s="4141"/>
      <c r="AE2" s="627"/>
      <c r="AF2" s="4053" t="s">
        <v>820</v>
      </c>
      <c r="AG2" s="4054"/>
      <c r="AH2" s="4054"/>
      <c r="AI2" s="4054"/>
      <c r="AJ2" s="691"/>
      <c r="AK2" s="4185" t="s">
        <v>836</v>
      </c>
      <c r="AL2" s="4186"/>
      <c r="AM2" s="4186"/>
      <c r="AN2" s="4186"/>
      <c r="AO2" s="757"/>
      <c r="AP2" s="4172" t="s">
        <v>883</v>
      </c>
      <c r="AQ2" s="4173"/>
      <c r="AR2" s="4173"/>
      <c r="AS2" s="4173"/>
      <c r="AT2" s="845"/>
      <c r="AU2" s="4071" t="s">
        <v>909</v>
      </c>
      <c r="AV2" s="4072"/>
      <c r="AW2" s="4072"/>
      <c r="AX2" s="4072"/>
      <c r="AY2" s="4073"/>
      <c r="AZ2" s="4047" t="s">
        <v>942</v>
      </c>
      <c r="BA2" s="4048"/>
      <c r="BB2" s="4048"/>
      <c r="BC2" s="4048"/>
      <c r="BD2" s="4049"/>
      <c r="BE2" s="4047" t="s">
        <v>948</v>
      </c>
      <c r="BF2" s="4048"/>
      <c r="BG2" s="4048"/>
      <c r="BH2" s="4048"/>
      <c r="BI2" s="4049"/>
      <c r="BJ2" s="4212" t="s">
        <v>469</v>
      </c>
      <c r="BK2" s="4213"/>
      <c r="BL2" s="4213"/>
      <c r="BM2" s="4213"/>
      <c r="BN2" s="384"/>
      <c r="BP2" s="842"/>
      <c r="BQ2" s="842"/>
    </row>
    <row r="3" spans="1:72" ht="15" customHeight="1" thickBot="1" x14ac:dyDescent="0.3">
      <c r="A3" s="4035" t="s">
        <v>54</v>
      </c>
      <c r="B3" s="4036"/>
      <c r="C3" s="4036"/>
      <c r="D3" s="4036"/>
      <c r="E3" s="4036"/>
      <c r="F3" s="4037"/>
      <c r="G3" s="4021"/>
      <c r="H3" s="4022"/>
      <c r="I3" s="4022"/>
      <c r="J3" s="4022"/>
      <c r="K3" s="387"/>
      <c r="L3" s="4021"/>
      <c r="M3" s="4022"/>
      <c r="N3" s="4022"/>
      <c r="O3" s="4022"/>
      <c r="P3" s="420"/>
      <c r="Q3" s="4021"/>
      <c r="R3" s="4022"/>
      <c r="S3" s="4022"/>
      <c r="T3" s="4022"/>
      <c r="U3" s="469"/>
      <c r="V3" s="4143"/>
      <c r="W3" s="4144"/>
      <c r="X3" s="4144"/>
      <c r="Y3" s="4144"/>
      <c r="Z3" s="534"/>
      <c r="AA3" s="4143"/>
      <c r="AB3" s="4144"/>
      <c r="AC3" s="4144"/>
      <c r="AD3" s="4144"/>
      <c r="AE3" s="628"/>
      <c r="AF3" s="4056"/>
      <c r="AG3" s="4057"/>
      <c r="AH3" s="4057"/>
      <c r="AI3" s="4057"/>
      <c r="AJ3" s="692"/>
      <c r="AK3" s="4188"/>
      <c r="AL3" s="4189"/>
      <c r="AM3" s="4189"/>
      <c r="AN3" s="4189"/>
      <c r="AO3" s="758"/>
      <c r="AP3" s="4175"/>
      <c r="AQ3" s="4176"/>
      <c r="AR3" s="4176"/>
      <c r="AS3" s="4176"/>
      <c r="AT3" s="846"/>
      <c r="AU3" s="4074"/>
      <c r="AV3" s="4075"/>
      <c r="AW3" s="4075"/>
      <c r="AX3" s="4075"/>
      <c r="AY3" s="4076"/>
      <c r="AZ3" s="4050"/>
      <c r="BA3" s="4051"/>
      <c r="BB3" s="4051"/>
      <c r="BC3" s="4051"/>
      <c r="BD3" s="4052"/>
      <c r="BE3" s="4050"/>
      <c r="BF3" s="4051"/>
      <c r="BG3" s="4051"/>
      <c r="BH3" s="4051"/>
      <c r="BI3" s="4052"/>
      <c r="BJ3" s="4214"/>
      <c r="BK3" s="4215"/>
      <c r="BL3" s="4215"/>
      <c r="BM3" s="4215"/>
      <c r="BN3" s="385"/>
      <c r="BP3" s="842"/>
      <c r="BQ3" s="842"/>
    </row>
    <row r="4" spans="1:72" ht="41.4" thickBot="1" x14ac:dyDescent="0.3">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c r="BJ4" s="94" t="s">
        <v>55</v>
      </c>
      <c r="BK4" s="94" t="s">
        <v>18</v>
      </c>
      <c r="BL4" s="95" t="s">
        <v>39</v>
      </c>
      <c r="BM4" s="209" t="s">
        <v>40</v>
      </c>
      <c r="BN4" s="95" t="s">
        <v>19</v>
      </c>
      <c r="BP4" s="842"/>
      <c r="BQ4" s="842"/>
    </row>
    <row r="5" spans="1:72" s="88" customFormat="1" ht="14.4" thickBot="1" x14ac:dyDescent="0.3">
      <c r="A5" s="83"/>
      <c r="B5" s="84" t="s">
        <v>10</v>
      </c>
      <c r="C5" s="85">
        <f>C6</f>
        <v>25891706</v>
      </c>
      <c r="D5" s="85">
        <f>D6</f>
        <v>0</v>
      </c>
      <c r="E5" s="86">
        <f>E6</f>
        <v>25891706</v>
      </c>
      <c r="F5" s="87"/>
      <c r="G5" s="87">
        <f>G6</f>
        <v>0</v>
      </c>
      <c r="H5" s="87">
        <f>H6</f>
        <v>0</v>
      </c>
      <c r="I5" s="87">
        <f>I6</f>
        <v>0</v>
      </c>
      <c r="J5" s="87"/>
      <c r="K5" s="87"/>
      <c r="L5" s="87">
        <f>L6</f>
        <v>407132.86</v>
      </c>
      <c r="M5" s="87">
        <f>M6</f>
        <v>0</v>
      </c>
      <c r="N5" s="87">
        <f>N6</f>
        <v>407132.86</v>
      </c>
      <c r="O5" s="87"/>
      <c r="P5" s="87"/>
      <c r="Q5" s="87">
        <f>Q6</f>
        <v>7030040.9800000004</v>
      </c>
      <c r="R5" s="87">
        <f>R6</f>
        <v>0</v>
      </c>
      <c r="S5" s="87">
        <f>S6</f>
        <v>7030040.9800000004</v>
      </c>
      <c r="T5" s="87"/>
      <c r="U5" s="87"/>
      <c r="V5" s="87">
        <f>V6</f>
        <v>5664246.25</v>
      </c>
      <c r="W5" s="87">
        <f>W6</f>
        <v>0</v>
      </c>
      <c r="X5" s="87">
        <f>X6</f>
        <v>5664246.25</v>
      </c>
      <c r="Y5" s="87"/>
      <c r="Z5" s="87"/>
      <c r="AA5" s="87">
        <f>AA6</f>
        <v>5627916.1600000001</v>
      </c>
      <c r="AB5" s="87">
        <f>AB6</f>
        <v>0</v>
      </c>
      <c r="AC5" s="87">
        <f>AC6</f>
        <v>5627916.1600000001</v>
      </c>
      <c r="AD5" s="87"/>
      <c r="AE5" s="87"/>
      <c r="AF5" s="87">
        <f>AF6</f>
        <v>4378264.33</v>
      </c>
      <c r="AG5" s="87">
        <f>AG6</f>
        <v>0</v>
      </c>
      <c r="AH5" s="87">
        <f>AH6</f>
        <v>4378264.33</v>
      </c>
      <c r="AI5" s="87"/>
      <c r="AJ5" s="87"/>
      <c r="AK5" s="87">
        <f>AK6+AK7</f>
        <v>1484806.02</v>
      </c>
      <c r="AL5" s="87">
        <f>AL6+AL7</f>
        <v>0</v>
      </c>
      <c r="AM5" s="87">
        <f>AM6+AM7</f>
        <v>1484806.02</v>
      </c>
      <c r="AN5" s="87"/>
      <c r="AO5" s="87"/>
      <c r="AP5" s="87">
        <f>AP6+AP7</f>
        <v>0</v>
      </c>
      <c r="AQ5" s="87">
        <f>AQ6+AQ7</f>
        <v>0</v>
      </c>
      <c r="AR5" s="87">
        <f>AR6+AR7</f>
        <v>0</v>
      </c>
      <c r="AS5" s="87"/>
      <c r="AT5" s="87"/>
      <c r="AU5" s="87">
        <f>AU6+AU7</f>
        <v>1745437.87</v>
      </c>
      <c r="AV5" s="87">
        <f>AV6+AV7</f>
        <v>0</v>
      </c>
      <c r="AW5" s="87">
        <f>AW6+AW7</f>
        <v>1745437.87</v>
      </c>
      <c r="AX5" s="87"/>
      <c r="AY5" s="87"/>
      <c r="AZ5" s="87">
        <f>AZ6+AZ7</f>
        <v>0</v>
      </c>
      <c r="BA5" s="87">
        <f>BA6+BA7</f>
        <v>0</v>
      </c>
      <c r="BB5" s="87">
        <f>BB6+BB7</f>
        <v>0</v>
      </c>
      <c r="BC5" s="87"/>
      <c r="BD5" s="87"/>
      <c r="BE5" s="87">
        <f>BE6+BE7</f>
        <v>0</v>
      </c>
      <c r="BF5" s="87">
        <f>BF6+BF7</f>
        <v>0</v>
      </c>
      <c r="BG5" s="87">
        <f>BG6+BG7</f>
        <v>0</v>
      </c>
      <c r="BH5" s="87"/>
      <c r="BI5" s="87"/>
      <c r="BJ5" s="87">
        <f>BJ6+BJ7</f>
        <v>26337844.469999999</v>
      </c>
      <c r="BK5" s="87">
        <f>BK6+BK7</f>
        <v>0</v>
      </c>
      <c r="BL5" s="87">
        <f>BL6+BL7</f>
        <v>26337844.469999999</v>
      </c>
      <c r="BM5" s="87"/>
      <c r="BN5" s="87"/>
      <c r="BO5" s="1"/>
      <c r="BP5" s="842"/>
      <c r="BQ5" s="842"/>
      <c r="BR5" s="1"/>
      <c r="BS5" s="1"/>
      <c r="BT5" s="1"/>
    </row>
    <row r="6" spans="1:72" s="2" customFormat="1" ht="13.8" x14ac:dyDescent="0.25">
      <c r="A6" s="331">
        <f>'PL_Сватово очередь 2'!I6</f>
        <v>0</v>
      </c>
      <c r="B6" s="9" t="s">
        <v>17</v>
      </c>
      <c r="C6" s="104">
        <v>25891706</v>
      </c>
      <c r="D6" s="105"/>
      <c r="E6" s="106">
        <f>C6+D6</f>
        <v>25891706</v>
      </c>
      <c r="F6" s="39"/>
      <c r="G6" s="39"/>
      <c r="H6" s="39"/>
      <c r="I6" s="106">
        <f>G6+H6</f>
        <v>0</v>
      </c>
      <c r="J6" s="39"/>
      <c r="K6" s="39"/>
      <c r="L6" s="39">
        <v>407132.86</v>
      </c>
      <c r="M6" s="39"/>
      <c r="N6" s="106">
        <f>L6+M6</f>
        <v>407132.86</v>
      </c>
      <c r="O6" s="39"/>
      <c r="P6" s="39"/>
      <c r="Q6" s="39">
        <v>7030040.9800000004</v>
      </c>
      <c r="R6" s="39"/>
      <c r="S6" s="106">
        <f>Q6+R6</f>
        <v>7030040.9800000004</v>
      </c>
      <c r="T6" s="39"/>
      <c r="U6" s="39"/>
      <c r="V6" s="39">
        <v>5664246.25</v>
      </c>
      <c r="W6" s="39"/>
      <c r="X6" s="106">
        <f>V6+W6</f>
        <v>5664246.25</v>
      </c>
      <c r="Y6" s="39"/>
      <c r="Z6" s="39"/>
      <c r="AA6" s="39">
        <v>5627916.1600000001</v>
      </c>
      <c r="AB6" s="39"/>
      <c r="AC6" s="106">
        <f>AA6+AB6</f>
        <v>5627916.1600000001</v>
      </c>
      <c r="AD6" s="39"/>
      <c r="AE6" s="39"/>
      <c r="AF6" s="39">
        <v>4378264.33</v>
      </c>
      <c r="AG6" s="39"/>
      <c r="AH6" s="106">
        <f>AF6+AG6</f>
        <v>4378264.33</v>
      </c>
      <c r="AI6" s="39"/>
      <c r="AJ6" s="39"/>
      <c r="AK6" s="39">
        <f>1484806.02</f>
        <v>1484806.02</v>
      </c>
      <c r="AL6" s="39"/>
      <c r="AM6" s="106">
        <f>AK6+AL6</f>
        <v>1484806.02</v>
      </c>
      <c r="AN6" s="39"/>
      <c r="AO6" s="39"/>
      <c r="AP6" s="39"/>
      <c r="AQ6" s="39"/>
      <c r="AR6" s="106">
        <f>AP6+AQ6</f>
        <v>0</v>
      </c>
      <c r="AS6" s="39"/>
      <c r="AT6" s="39"/>
      <c r="AU6" s="39">
        <v>1745437.87</v>
      </c>
      <c r="AV6" s="39"/>
      <c r="AW6" s="106">
        <f>AU6+AV6</f>
        <v>1745437.87</v>
      </c>
      <c r="AX6" s="39"/>
      <c r="AY6" s="39"/>
      <c r="AZ6" s="39"/>
      <c r="BA6" s="39"/>
      <c r="BB6" s="106">
        <f>AZ6+BA6</f>
        <v>0</v>
      </c>
      <c r="BC6" s="39"/>
      <c r="BD6" s="39"/>
      <c r="BE6" s="39"/>
      <c r="BF6" s="39"/>
      <c r="BG6" s="106">
        <f>BE6+BF6</f>
        <v>0</v>
      </c>
      <c r="BH6" s="39"/>
      <c r="BI6" s="39"/>
      <c r="BJ6" s="39">
        <f>G6+L6+Q6+V6+AA6+AF6+AK6+AP6+AU6+AZ6+BE6</f>
        <v>26337844.469999999</v>
      </c>
      <c r="BK6" s="39">
        <f>H6+M6+R6+W6+AB6+AG6+AL6+AQ6+AV6+BA6+BF6</f>
        <v>0</v>
      </c>
      <c r="BL6" s="106">
        <f>BJ6+BK6</f>
        <v>26337844.469999999</v>
      </c>
      <c r="BM6" s="39"/>
      <c r="BN6" s="39"/>
      <c r="BO6" s="1"/>
      <c r="BP6" s="842"/>
      <c r="BQ6" s="842"/>
      <c r="BR6" s="1"/>
      <c r="BS6" s="1"/>
      <c r="BT6" s="1"/>
    </row>
    <row r="7" spans="1:72" s="2" customFormat="1" ht="14.4" thickBot="1" x14ac:dyDescent="0.3">
      <c r="A7" s="238"/>
      <c r="B7" s="10" t="s">
        <v>41</v>
      </c>
      <c r="C7" s="107"/>
      <c r="D7" s="108"/>
      <c r="E7" s="106">
        <f>C7+D7</f>
        <v>0</v>
      </c>
      <c r="F7" s="40"/>
      <c r="G7" s="39"/>
      <c r="H7" s="39"/>
      <c r="I7" s="106">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c r="AV7" s="39"/>
      <c r="AW7" s="106">
        <f>AU7+AV7</f>
        <v>0</v>
      </c>
      <c r="AX7" s="40"/>
      <c r="AY7" s="40"/>
      <c r="AZ7" s="39"/>
      <c r="BA7" s="39"/>
      <c r="BB7" s="106">
        <f>AZ7+BA7</f>
        <v>0</v>
      </c>
      <c r="BC7" s="40"/>
      <c r="BD7" s="40"/>
      <c r="BE7" s="39"/>
      <c r="BF7" s="39"/>
      <c r="BG7" s="106">
        <f>BE7+BF7</f>
        <v>0</v>
      </c>
      <c r="BH7" s="40"/>
      <c r="BI7" s="40"/>
      <c r="BJ7" s="39">
        <f>G7+L7+Q7+V7+AA7+AF7+AK7+AP7+AU7+AZ7+BE7</f>
        <v>0</v>
      </c>
      <c r="BK7" s="39">
        <f>H7+M7+R7+W7+AB7+AG7+AL7+AQ7+AV7+BA7+BF7</f>
        <v>0</v>
      </c>
      <c r="BL7" s="106">
        <f>BJ7+BK7</f>
        <v>0</v>
      </c>
      <c r="BM7" s="40"/>
      <c r="BN7" s="40"/>
      <c r="BO7" s="1"/>
      <c r="BP7" s="842"/>
      <c r="BQ7" s="842"/>
      <c r="BR7" s="1"/>
      <c r="BS7" s="1"/>
      <c r="BT7" s="1"/>
    </row>
    <row r="8" spans="1:72" s="88" customFormat="1" ht="14.4" thickBot="1" x14ac:dyDescent="0.3">
      <c r="A8" s="238"/>
      <c r="B8" s="84" t="s">
        <v>16</v>
      </c>
      <c r="C8" s="109">
        <f>SUM(C9:C33)</f>
        <v>16280268.758000001</v>
      </c>
      <c r="D8" s="109">
        <f>SUM(D9:D33)</f>
        <v>2695486.47</v>
      </c>
      <c r="E8" s="110">
        <f>SUM(E9:E33)</f>
        <v>18326655.188000001</v>
      </c>
      <c r="F8" s="164">
        <f t="shared" ref="F8:F21" si="0">E8/$E$89</f>
        <v>0.92764706809139108</v>
      </c>
      <c r="G8" s="109">
        <f>SUM(G9:G33)</f>
        <v>190767.84000000003</v>
      </c>
      <c r="H8" s="109">
        <f>SUM(H9:H33)</f>
        <v>81871.08</v>
      </c>
      <c r="I8" s="110">
        <f>SUM(I9:I33)</f>
        <v>272638.92000000004</v>
      </c>
      <c r="J8" s="164">
        <f t="shared" ref="J8:J21" si="1">I8/$I$89</f>
        <v>0.87088103969772401</v>
      </c>
      <c r="K8" s="87"/>
      <c r="L8" s="109">
        <f>SUM(L9:L33)</f>
        <v>1058778.8700000001</v>
      </c>
      <c r="M8" s="109">
        <f>SUM(M9:M33)</f>
        <v>112768</v>
      </c>
      <c r="N8" s="110">
        <f>SUM(N9:N33)</f>
        <v>1171546.8699999999</v>
      </c>
      <c r="O8" s="164">
        <f t="shared" ref="O8:O22" si="2">N8/$N$89</f>
        <v>0.95864784989775687</v>
      </c>
      <c r="P8" s="87"/>
      <c r="Q8" s="109">
        <f>SUM(Q9:Q33)</f>
        <v>6295388.9959999993</v>
      </c>
      <c r="R8" s="109">
        <f>SUM(R9:R33)</f>
        <v>596188.4</v>
      </c>
      <c r="S8" s="110">
        <f>SUM(S9:S33)</f>
        <v>6891577.3959999997</v>
      </c>
      <c r="T8" s="164">
        <f>S8/$S$89</f>
        <v>0.97890945354675796</v>
      </c>
      <c r="U8" s="87"/>
      <c r="V8" s="109">
        <f>SUM(V9:V33)</f>
        <v>1909210.8560000001</v>
      </c>
      <c r="W8" s="109">
        <f>SUM(W9:W33)</f>
        <v>454627.08</v>
      </c>
      <c r="X8" s="110">
        <f>SUM(X9:X33)</f>
        <v>2363837.9359999998</v>
      </c>
      <c r="Y8" s="164">
        <f>X8/$X$89</f>
        <v>0.9607032628270995</v>
      </c>
      <c r="Z8" s="87"/>
      <c r="AA8" s="109">
        <f>SUM(AA9:AA33)</f>
        <v>1716226.2879999999</v>
      </c>
      <c r="AB8" s="109">
        <f>SUM(AB9:AB33)</f>
        <v>930676.36</v>
      </c>
      <c r="AC8" s="110">
        <f>SUM(AC9:AC33)</f>
        <v>2646902.648</v>
      </c>
      <c r="AD8" s="164">
        <f>AC8/$AC$89</f>
        <v>0.928018060958678</v>
      </c>
      <c r="AE8" s="87"/>
      <c r="AF8" s="109">
        <f>SUM(AF9:AF33)</f>
        <v>3946070.622</v>
      </c>
      <c r="AG8" s="109">
        <f>SUM(AG9:AG33)</f>
        <v>589244.41</v>
      </c>
      <c r="AH8" s="110">
        <f>SUM(AH9:AH33)</f>
        <v>4535315.0319999997</v>
      </c>
      <c r="AI8" s="164" t="e">
        <f t="shared" ref="AI8:AI33" si="3">AH8/$AH$89</f>
        <v>#DIV/0!</v>
      </c>
      <c r="AJ8" s="87"/>
      <c r="AK8" s="109">
        <f>SUM(AK9:AK33)</f>
        <v>668591.36199999996</v>
      </c>
      <c r="AL8" s="109">
        <f>SUM(AL9:AL33)</f>
        <v>201280.15</v>
      </c>
      <c r="AM8" s="110">
        <f>SUM(AM9:AM33)</f>
        <v>869871.51199999999</v>
      </c>
      <c r="AN8" s="164" t="e">
        <f>AM8/$AM$89</f>
        <v>#DIV/0!</v>
      </c>
      <c r="AO8" s="87"/>
      <c r="AP8" s="109">
        <f>SUM(AP9:AP33)</f>
        <v>175471.21</v>
      </c>
      <c r="AQ8" s="109">
        <f>SUM(AQ9:AQ33)</f>
        <v>70159.965750000003</v>
      </c>
      <c r="AR8" s="110">
        <f>SUM(AR9:AR33)</f>
        <v>245631.17574999997</v>
      </c>
      <c r="AS8" s="164">
        <f>AR8/$AR$89</f>
        <v>0.94791294890440758</v>
      </c>
      <c r="AT8" s="87"/>
      <c r="AU8" s="109">
        <f>SUM(AU9:AU33)</f>
        <v>707131.95599999989</v>
      </c>
      <c r="AV8" s="109">
        <f>SUM(AV9:AV33)</f>
        <v>204596.8</v>
      </c>
      <c r="AW8" s="110">
        <f>SUM(AW9:AW33)</f>
        <v>911728.75599999994</v>
      </c>
      <c r="AX8" s="164" t="e">
        <f>AW8/$AW$89</f>
        <v>#DIV/0!</v>
      </c>
      <c r="AY8" s="87"/>
      <c r="AZ8" s="109">
        <f>SUM(AZ9:AZ33)</f>
        <v>59383.500000000073</v>
      </c>
      <c r="BA8" s="109">
        <f>SUM(BA9:BA33)</f>
        <v>265187.08424999961</v>
      </c>
      <c r="BB8" s="110">
        <f>SUM(BB9:BB33)</f>
        <v>324570.58424999967</v>
      </c>
      <c r="BC8" s="164" t="e">
        <f>BB8/$AW$89</f>
        <v>#DIV/0!</v>
      </c>
      <c r="BD8" s="87"/>
      <c r="BE8" s="109">
        <f>SUM(BE9:BE33)</f>
        <v>0</v>
      </c>
      <c r="BF8" s="109">
        <f>SUM(BF9:BF33)</f>
        <v>28000</v>
      </c>
      <c r="BG8" s="110">
        <f>SUM(BG9:BG33)</f>
        <v>28000</v>
      </c>
      <c r="BH8" s="164">
        <f t="shared" ref="BH8:BH33" si="4">BG8/$BG$89</f>
        <v>7.4388024665703864E-2</v>
      </c>
      <c r="BI8" s="87"/>
      <c r="BJ8" s="109">
        <f>SUM(BJ9:BJ33)</f>
        <v>16727021.5</v>
      </c>
      <c r="BK8" s="109">
        <f>SUM(BK9:BK33)</f>
        <v>3534599.33</v>
      </c>
      <c r="BL8" s="110">
        <f>SUM(BL9:BL33)</f>
        <v>20261620.829999998</v>
      </c>
      <c r="BM8" s="164" t="e">
        <f t="shared" ref="BM8:BM23" si="5">BL8/$BL$89</f>
        <v>#DIV/0!</v>
      </c>
      <c r="BN8" s="87"/>
      <c r="BO8" s="1"/>
      <c r="BP8" s="842"/>
      <c r="BQ8" s="842"/>
      <c r="BR8" s="1"/>
      <c r="BS8" s="1"/>
      <c r="BT8" s="1"/>
    </row>
    <row r="9" spans="1:72" s="2" customFormat="1" ht="27.6" x14ac:dyDescent="0.25">
      <c r="A9" s="238"/>
      <c r="B9" s="481" t="s">
        <v>74</v>
      </c>
      <c r="C9" s="482">
        <v>356212.5</v>
      </c>
      <c r="D9" s="483"/>
      <c r="E9" s="484">
        <f t="shared" ref="E9:E33" si="6">C9+D9</f>
        <v>356212.5</v>
      </c>
      <c r="F9" s="485">
        <f t="shared" si="0"/>
        <v>1.8030539553058819E-2</v>
      </c>
      <c r="G9" s="488"/>
      <c r="H9" s="488"/>
      <c r="I9" s="489">
        <f>G9+H9*1</f>
        <v>0</v>
      </c>
      <c r="J9" s="485">
        <f t="shared" si="1"/>
        <v>0</v>
      </c>
      <c r="K9" s="490"/>
      <c r="L9" s="488">
        <v>26565</v>
      </c>
      <c r="M9" s="488"/>
      <c r="N9" s="489">
        <f>L9+M9*1</f>
        <v>26565</v>
      </c>
      <c r="O9" s="485">
        <f t="shared" si="2"/>
        <v>2.1737482967739835E-2</v>
      </c>
      <c r="P9" s="491" t="s">
        <v>569</v>
      </c>
      <c r="Q9" s="488">
        <v>36418.199999999997</v>
      </c>
      <c r="R9" s="488"/>
      <c r="S9" s="489">
        <f>Q9+R9*1</f>
        <v>36418.199999999997</v>
      </c>
      <c r="T9" s="485">
        <f>S9/$S$89</f>
        <v>5.1729986057834215E-3</v>
      </c>
      <c r="U9" s="862" t="s">
        <v>713</v>
      </c>
      <c r="V9" s="488">
        <v>43981.98</v>
      </c>
      <c r="W9" s="488"/>
      <c r="X9" s="489">
        <f>V9+W9*1</f>
        <v>43981.98</v>
      </c>
      <c r="Y9" s="485">
        <f>X9/$X$89</f>
        <v>1.7875012092874815E-2</v>
      </c>
      <c r="Z9" s="862" t="s">
        <v>722</v>
      </c>
      <c r="AA9" s="488">
        <v>72556</v>
      </c>
      <c r="AB9" s="488"/>
      <c r="AC9" s="489">
        <f>AA9+AB9*1</f>
        <v>72556</v>
      </c>
      <c r="AD9" s="485">
        <f>AC9/$AC$89</f>
        <v>2.5438517159592125E-2</v>
      </c>
      <c r="AE9" s="862" t="s">
        <v>787</v>
      </c>
      <c r="AF9" s="488">
        <v>71416.45</v>
      </c>
      <c r="AG9" s="488"/>
      <c r="AH9" s="489">
        <f>AF9+AG9*1</f>
        <v>71416.45</v>
      </c>
      <c r="AI9" s="485" t="e">
        <f>AH9/$AH$89</f>
        <v>#DIV/0!</v>
      </c>
      <c r="AJ9" s="862" t="s">
        <v>846</v>
      </c>
      <c r="AK9" s="488">
        <v>32767.200000000001</v>
      </c>
      <c r="AL9" s="488"/>
      <c r="AM9" s="489">
        <f>AK9+AL9*1</f>
        <v>32767.200000000001</v>
      </c>
      <c r="AN9" s="485" t="e">
        <f t="shared" ref="AN9:AN33" si="7">AM9/$AM$89</f>
        <v>#DIV/0!</v>
      </c>
      <c r="AO9" s="862" t="s">
        <v>869</v>
      </c>
      <c r="AP9" s="488">
        <v>7088.6</v>
      </c>
      <c r="AQ9" s="488"/>
      <c r="AR9" s="489">
        <f>AP9+AQ9*1</f>
        <v>7088.6</v>
      </c>
      <c r="AS9" s="485">
        <f t="shared" ref="AS9:AS72" si="8">AR9/$AR$89</f>
        <v>2.7355549266444387E-2</v>
      </c>
      <c r="AT9" s="862" t="s">
        <v>893</v>
      </c>
      <c r="AU9" s="488"/>
      <c r="AV9" s="488"/>
      <c r="AW9" s="489">
        <f>AU9+AV9*1</f>
        <v>0</v>
      </c>
      <c r="AX9" s="485" t="e">
        <f t="shared" ref="AX9:AX33" si="9">AW9/$AW$89</f>
        <v>#DIV/0!</v>
      </c>
      <c r="AY9" s="862"/>
      <c r="AZ9" s="39">
        <v>39099.570000000007</v>
      </c>
      <c r="BA9" s="39"/>
      <c r="BB9" s="489">
        <f>AZ9+BA9*1</f>
        <v>39099.570000000007</v>
      </c>
      <c r="BC9" s="485" t="e">
        <f t="shared" ref="BC9:BC33" si="10">BB9/$AW$89</f>
        <v>#DIV/0!</v>
      </c>
      <c r="BD9" s="862"/>
      <c r="BE9" s="39"/>
      <c r="BF9" s="39"/>
      <c r="BG9" s="489">
        <f>BE9+BF9*1</f>
        <v>0</v>
      </c>
      <c r="BH9" s="485">
        <f t="shared" si="4"/>
        <v>0</v>
      </c>
      <c r="BI9" s="862"/>
      <c r="BJ9" s="39">
        <f t="shared" ref="BJ9:BJ33" si="11">G9+L9+Q9+V9+AA9+AF9+AK9+AP9+AU9+AZ9+BE9</f>
        <v>329893</v>
      </c>
      <c r="BK9" s="39">
        <f t="shared" ref="BK9:BK33" si="12">H9+M9+R9+W9+AB9+AG9+AL9+AQ9+AV9+BA9+BF9</f>
        <v>0</v>
      </c>
      <c r="BL9" s="210">
        <f>BJ9+BK9*1</f>
        <v>329893</v>
      </c>
      <c r="BM9" s="178" t="e">
        <f t="shared" si="5"/>
        <v>#DIV/0!</v>
      </c>
      <c r="BN9" s="42"/>
      <c r="BO9" s="1"/>
      <c r="BP9" s="842"/>
      <c r="BQ9" s="842"/>
      <c r="BR9" s="1"/>
      <c r="BS9" s="1"/>
      <c r="BT9" s="1"/>
    </row>
    <row r="10" spans="1:72" s="2" customFormat="1" ht="13.8" x14ac:dyDescent="0.25">
      <c r="A10" s="238"/>
      <c r="B10" s="492" t="s">
        <v>72</v>
      </c>
      <c r="C10" s="111">
        <v>86287.5</v>
      </c>
      <c r="D10" s="493"/>
      <c r="E10" s="446">
        <f t="shared" si="6"/>
        <v>86287.5</v>
      </c>
      <c r="F10" s="447">
        <f t="shared" si="0"/>
        <v>4.3676462271384714E-3</v>
      </c>
      <c r="G10" s="452"/>
      <c r="H10" s="452"/>
      <c r="I10" s="453">
        <f t="shared" ref="I10:I33" si="13">G10+H10*1</f>
        <v>0</v>
      </c>
      <c r="J10" s="450">
        <f t="shared" si="1"/>
        <v>0</v>
      </c>
      <c r="K10" s="456"/>
      <c r="L10" s="452">
        <v>6435</v>
      </c>
      <c r="M10" s="452"/>
      <c r="N10" s="453">
        <f t="shared" ref="N10:N33" si="14">L10+M10*1</f>
        <v>6435</v>
      </c>
      <c r="O10" s="450">
        <f t="shared" si="2"/>
        <v>5.2656014642351147E-3</v>
      </c>
      <c r="P10" s="460"/>
      <c r="Q10" s="452">
        <v>8821.7999999999993</v>
      </c>
      <c r="R10" s="452"/>
      <c r="S10" s="453">
        <f t="shared" ref="S10:S24" si="15">Q10+R10*1</f>
        <v>8821.7999999999993</v>
      </c>
      <c r="T10" s="450">
        <f>S10/$S$89</f>
        <v>1.2530866187922573E-3</v>
      </c>
      <c r="U10" s="714"/>
      <c r="V10" s="452">
        <v>15102.85</v>
      </c>
      <c r="W10" s="452"/>
      <c r="X10" s="453">
        <f t="shared" ref="X10:X30" si="16">V10+W10*1</f>
        <v>15102.85</v>
      </c>
      <c r="Y10" s="450">
        <f t="shared" ref="Y10:Y33" si="17">X10/$X$89</f>
        <v>6.1380507741323692E-3</v>
      </c>
      <c r="Z10" s="714"/>
      <c r="AA10" s="452">
        <v>17576</v>
      </c>
      <c r="AB10" s="452"/>
      <c r="AC10" s="592">
        <f t="shared" ref="AC10:AC30" si="18">AA10+AB10*1</f>
        <v>17576</v>
      </c>
      <c r="AD10" s="541">
        <f t="shared" ref="AD10:AD33" si="19">AC10/$AC$89</f>
        <v>6.1622385136582943E-3</v>
      </c>
      <c r="AE10" s="714"/>
      <c r="AF10" s="452">
        <v>18135.05</v>
      </c>
      <c r="AG10" s="452"/>
      <c r="AH10" s="592">
        <f t="shared" ref="AH10:AH30" si="20">AF10+AG10*1</f>
        <v>18135.05</v>
      </c>
      <c r="AI10" s="450" t="e">
        <f t="shared" si="3"/>
        <v>#DIV/0!</v>
      </c>
      <c r="AJ10" s="714"/>
      <c r="AK10" s="452">
        <v>9742.34</v>
      </c>
      <c r="AL10" s="452"/>
      <c r="AM10" s="592">
        <f t="shared" ref="AM10:AM30" si="21">AK10+AL10*1</f>
        <v>9742.34</v>
      </c>
      <c r="AN10" s="450" t="e">
        <f t="shared" si="7"/>
        <v>#DIV/0!</v>
      </c>
      <c r="AO10" s="714"/>
      <c r="AP10" s="452">
        <v>1717.11</v>
      </c>
      <c r="AQ10" s="452"/>
      <c r="AR10" s="592">
        <f t="shared" ref="AR10:AR30" si="22">AP10+AQ10*1</f>
        <v>1717.11</v>
      </c>
      <c r="AS10" s="450">
        <f t="shared" si="8"/>
        <v>6.626482972787901E-3</v>
      </c>
      <c r="AT10" s="714"/>
      <c r="AU10" s="452"/>
      <c r="AV10" s="452"/>
      <c r="AW10" s="592">
        <f t="shared" ref="AW10:AW30" si="23">AU10+AV10*1</f>
        <v>0</v>
      </c>
      <c r="AX10" s="450" t="e">
        <f t="shared" si="9"/>
        <v>#DIV/0!</v>
      </c>
      <c r="AY10" s="714"/>
      <c r="AZ10" s="39">
        <v>-4449.1499999999942</v>
      </c>
      <c r="BA10" s="39">
        <v>0</v>
      </c>
      <c r="BB10" s="592">
        <f t="shared" ref="BB10:BB30" si="24">AZ10+BA10*1</f>
        <v>-4449.1499999999942</v>
      </c>
      <c r="BC10" s="450" t="e">
        <f t="shared" si="10"/>
        <v>#DIV/0!</v>
      </c>
      <c r="BD10" s="714"/>
      <c r="BE10" s="39"/>
      <c r="BF10" s="39"/>
      <c r="BG10" s="592">
        <f t="shared" ref="BG10:BG30" si="25">BE10+BF10*1</f>
        <v>0</v>
      </c>
      <c r="BH10" s="450">
        <f t="shared" si="4"/>
        <v>0</v>
      </c>
      <c r="BI10" s="714"/>
      <c r="BJ10" s="39">
        <f t="shared" si="11"/>
        <v>73081</v>
      </c>
      <c r="BK10" s="39">
        <f t="shared" si="12"/>
        <v>0</v>
      </c>
      <c r="BL10" s="210">
        <f t="shared" ref="BL10:BL33" si="26">BJ10+BK10*1</f>
        <v>73081</v>
      </c>
      <c r="BM10" s="178" t="e">
        <f t="shared" si="5"/>
        <v>#DIV/0!</v>
      </c>
      <c r="BN10" s="42"/>
      <c r="BO10" s="1"/>
      <c r="BP10" s="842"/>
      <c r="BQ10" s="842"/>
      <c r="BR10" s="1"/>
      <c r="BS10" s="1"/>
      <c r="BT10" s="1"/>
    </row>
    <row r="11" spans="1:72" s="2" customFormat="1" ht="13.8" x14ac:dyDescent="0.25">
      <c r="A11" s="238"/>
      <c r="B11" s="492" t="s">
        <v>69</v>
      </c>
      <c r="C11" s="111">
        <v>97350</v>
      </c>
      <c r="D11" s="493"/>
      <c r="E11" s="446">
        <f t="shared" si="6"/>
        <v>97350</v>
      </c>
      <c r="F11" s="447">
        <f t="shared" si="0"/>
        <v>4.927600871643404E-3</v>
      </c>
      <c r="G11" s="452"/>
      <c r="H11" s="452"/>
      <c r="I11" s="453">
        <f t="shared" si="13"/>
        <v>0</v>
      </c>
      <c r="J11" s="450">
        <f t="shared" si="1"/>
        <v>0</v>
      </c>
      <c r="K11" s="456"/>
      <c r="L11" s="452">
        <v>7260</v>
      </c>
      <c r="M11" s="452"/>
      <c r="N11" s="453">
        <f t="shared" si="14"/>
        <v>7260</v>
      </c>
      <c r="O11" s="450">
        <f t="shared" si="2"/>
        <v>5.9406785750344884E-3</v>
      </c>
      <c r="P11" s="460"/>
      <c r="Q11" s="452">
        <v>9952.7999999999993</v>
      </c>
      <c r="R11" s="452"/>
      <c r="S11" s="453">
        <f t="shared" si="15"/>
        <v>9952.7999999999993</v>
      </c>
      <c r="T11" s="450">
        <f t="shared" ref="T11:T33" si="27">S11/$S$89</f>
        <v>1.4137387494066493E-3</v>
      </c>
      <c r="U11" s="714"/>
      <c r="V11" s="452">
        <f>17039.11</f>
        <v>17039.11</v>
      </c>
      <c r="W11" s="452"/>
      <c r="X11" s="453">
        <f t="shared" si="16"/>
        <v>17039.11</v>
      </c>
      <c r="Y11" s="450">
        <f t="shared" si="17"/>
        <v>6.9249792142560239E-3</v>
      </c>
      <c r="Z11" s="714"/>
      <c r="AA11" s="452">
        <v>19829</v>
      </c>
      <c r="AB11" s="452"/>
      <c r="AC11" s="453">
        <f t="shared" si="18"/>
        <v>19829</v>
      </c>
      <c r="AD11" s="541">
        <f t="shared" si="19"/>
        <v>6.9521522239036366E-3</v>
      </c>
      <c r="AE11" s="714"/>
      <c r="AF11" s="452">
        <v>20460.09</v>
      </c>
      <c r="AG11" s="452"/>
      <c r="AH11" s="453">
        <f t="shared" si="20"/>
        <v>20460.09</v>
      </c>
      <c r="AI11" s="450" t="e">
        <f t="shared" si="3"/>
        <v>#DIV/0!</v>
      </c>
      <c r="AJ11" s="714"/>
      <c r="AK11" s="452">
        <v>10991.35</v>
      </c>
      <c r="AL11" s="452"/>
      <c r="AM11" s="453">
        <f t="shared" si="21"/>
        <v>10991.35</v>
      </c>
      <c r="AN11" s="450" t="e">
        <f t="shared" si="7"/>
        <v>#DIV/0!</v>
      </c>
      <c r="AO11" s="714"/>
      <c r="AP11" s="452">
        <v>1937.26</v>
      </c>
      <c r="AQ11" s="452"/>
      <c r="AR11" s="453">
        <f t="shared" si="22"/>
        <v>1937.26</v>
      </c>
      <c r="AS11" s="450">
        <f t="shared" si="8"/>
        <v>7.4760617571751897E-3</v>
      </c>
      <c r="AT11" s="714"/>
      <c r="AU11" s="452"/>
      <c r="AV11" s="452"/>
      <c r="AW11" s="453">
        <f t="shared" si="23"/>
        <v>0</v>
      </c>
      <c r="AX11" s="450" t="e">
        <f t="shared" si="9"/>
        <v>#DIV/0!</v>
      </c>
      <c r="AY11" s="714"/>
      <c r="AZ11" s="39">
        <v>-5019.6100000000006</v>
      </c>
      <c r="BA11" s="39">
        <v>0</v>
      </c>
      <c r="BB11" s="453">
        <f t="shared" si="24"/>
        <v>-5019.6100000000006</v>
      </c>
      <c r="BC11" s="450" t="e">
        <f t="shared" si="10"/>
        <v>#DIV/0!</v>
      </c>
      <c r="BD11" s="714"/>
      <c r="BE11" s="39"/>
      <c r="BF11" s="39"/>
      <c r="BG11" s="453">
        <f t="shared" si="25"/>
        <v>0</v>
      </c>
      <c r="BH11" s="450">
        <f t="shared" si="4"/>
        <v>0</v>
      </c>
      <c r="BI11" s="714"/>
      <c r="BJ11" s="39">
        <f t="shared" si="11"/>
        <v>82450</v>
      </c>
      <c r="BK11" s="39">
        <f t="shared" si="12"/>
        <v>0</v>
      </c>
      <c r="BL11" s="210">
        <f t="shared" si="26"/>
        <v>82450</v>
      </c>
      <c r="BM11" s="178" t="e">
        <f t="shared" si="5"/>
        <v>#DIV/0!</v>
      </c>
      <c r="BN11" s="42"/>
      <c r="BO11" s="1"/>
      <c r="BP11" s="842"/>
      <c r="BQ11" s="842"/>
      <c r="BR11" s="1"/>
      <c r="BS11" s="1"/>
      <c r="BT11" s="1"/>
    </row>
    <row r="12" spans="1:72" s="2" customFormat="1" ht="41.4" x14ac:dyDescent="0.25">
      <c r="A12" s="238"/>
      <c r="B12" s="492" t="s">
        <v>73</v>
      </c>
      <c r="C12" s="111">
        <v>120750</v>
      </c>
      <c r="D12" s="493">
        <v>181750</v>
      </c>
      <c r="E12" s="446">
        <f t="shared" si="6"/>
        <v>302500</v>
      </c>
      <c r="F12" s="447">
        <f t="shared" si="0"/>
        <v>1.5311754120925832E-2</v>
      </c>
      <c r="G12" s="452">
        <v>9821</v>
      </c>
      <c r="H12" s="452">
        <v>15179</v>
      </c>
      <c r="I12" s="453">
        <f t="shared" si="13"/>
        <v>25000</v>
      </c>
      <c r="J12" s="450">
        <f t="shared" si="1"/>
        <v>7.9856632326899976E-2</v>
      </c>
      <c r="K12" s="456" t="s">
        <v>473</v>
      </c>
      <c r="L12" s="452">
        <f>8211+9821</f>
        <v>18032</v>
      </c>
      <c r="M12" s="452">
        <f>11789+15179</f>
        <v>26968</v>
      </c>
      <c r="N12" s="453">
        <f t="shared" si="14"/>
        <v>45000</v>
      </c>
      <c r="O12" s="450">
        <f t="shared" si="2"/>
        <v>3.6822387861784024E-2</v>
      </c>
      <c r="P12" s="455" t="s">
        <v>623</v>
      </c>
      <c r="Q12" s="452">
        <f>9821*2+8211</f>
        <v>27853</v>
      </c>
      <c r="R12" s="452">
        <f>13123+17343.5+12789</f>
        <v>43255.5</v>
      </c>
      <c r="S12" s="453">
        <f t="shared" si="15"/>
        <v>71108.5</v>
      </c>
      <c r="T12" s="450">
        <f t="shared" si="27"/>
        <v>1.0100558823866925E-2</v>
      </c>
      <c r="U12" s="714" t="s">
        <v>638</v>
      </c>
      <c r="V12" s="452">
        <v>19711.54</v>
      </c>
      <c r="W12" s="452">
        <f>34322.77</f>
        <v>34322.769999999997</v>
      </c>
      <c r="X12" s="453">
        <f t="shared" si="16"/>
        <v>54034.31</v>
      </c>
      <c r="Y12" s="450">
        <f t="shared" si="17"/>
        <v>2.1960447089470425E-2</v>
      </c>
      <c r="Z12" s="714" t="s">
        <v>721</v>
      </c>
      <c r="AA12" s="452">
        <v>19642</v>
      </c>
      <c r="AB12" s="452">
        <v>33358</v>
      </c>
      <c r="AC12" s="453">
        <f t="shared" si="18"/>
        <v>53000</v>
      </c>
      <c r="AD12" s="541">
        <f t="shared" si="19"/>
        <v>1.858208017887401E-2</v>
      </c>
      <c r="AE12" s="714" t="s">
        <v>784</v>
      </c>
      <c r="AF12" s="452">
        <v>15383.55</v>
      </c>
      <c r="AG12" s="452">
        <f>18018+3000</f>
        <v>21018</v>
      </c>
      <c r="AH12" s="453">
        <f t="shared" si="20"/>
        <v>36401.550000000003</v>
      </c>
      <c r="AI12" s="450" t="e">
        <f t="shared" si="3"/>
        <v>#DIV/0!</v>
      </c>
      <c r="AJ12" s="714" t="s">
        <v>838</v>
      </c>
      <c r="AK12" s="452">
        <v>9982</v>
      </c>
      <c r="AL12" s="452">
        <f>18018</f>
        <v>18018</v>
      </c>
      <c r="AM12" s="453">
        <f t="shared" si="21"/>
        <v>28000</v>
      </c>
      <c r="AN12" s="450" t="e">
        <f t="shared" si="7"/>
        <v>#DIV/0!</v>
      </c>
      <c r="AO12" s="714" t="s">
        <v>868</v>
      </c>
      <c r="AP12" s="452">
        <v>9225.99</v>
      </c>
      <c r="AQ12" s="452">
        <v>18697.515749999999</v>
      </c>
      <c r="AR12" s="453">
        <f t="shared" si="22"/>
        <v>27923.505749999997</v>
      </c>
      <c r="AS12" s="450">
        <f t="shared" si="8"/>
        <v>0.10775933713793527</v>
      </c>
      <c r="AT12" s="714" t="s">
        <v>868</v>
      </c>
      <c r="AU12" s="452"/>
      <c r="AV12" s="452"/>
      <c r="AW12" s="453">
        <f t="shared" si="23"/>
        <v>0</v>
      </c>
      <c r="AX12" s="450" t="e">
        <f t="shared" si="9"/>
        <v>#DIV/0!</v>
      </c>
      <c r="AY12" s="714"/>
      <c r="AZ12" s="39">
        <v>6406.9199999999837</v>
      </c>
      <c r="BA12" s="39">
        <v>13900.214250000019</v>
      </c>
      <c r="BB12" s="453">
        <f t="shared" si="24"/>
        <v>20307.134250000003</v>
      </c>
      <c r="BC12" s="450" t="e">
        <f t="shared" si="10"/>
        <v>#DIV/0!</v>
      </c>
      <c r="BD12" s="714"/>
      <c r="BE12" s="39"/>
      <c r="BF12" s="39"/>
      <c r="BG12" s="453">
        <f t="shared" si="25"/>
        <v>0</v>
      </c>
      <c r="BH12" s="450">
        <f>BG12/$BG$89</f>
        <v>0</v>
      </c>
      <c r="BI12" s="714"/>
      <c r="BJ12" s="39">
        <f t="shared" si="11"/>
        <v>136058</v>
      </c>
      <c r="BK12" s="39">
        <f t="shared" si="12"/>
        <v>224717</v>
      </c>
      <c r="BL12" s="210">
        <f t="shared" si="26"/>
        <v>360775</v>
      </c>
      <c r="BM12" s="178" t="e">
        <f t="shared" si="5"/>
        <v>#DIV/0!</v>
      </c>
      <c r="BN12" s="42"/>
      <c r="BO12" s="1"/>
      <c r="BP12" s="842"/>
      <c r="BQ12" s="842"/>
      <c r="BR12" s="1"/>
      <c r="BS12" s="1"/>
      <c r="BT12" s="1"/>
    </row>
    <row r="13" spans="1:72" s="2" customFormat="1" ht="13.8" x14ac:dyDescent="0.25">
      <c r="A13" s="238"/>
      <c r="B13" s="492" t="s">
        <v>71</v>
      </c>
      <c r="C13" s="111">
        <v>29250</v>
      </c>
      <c r="D13" s="493"/>
      <c r="E13" s="446">
        <f t="shared" si="6"/>
        <v>29250</v>
      </c>
      <c r="F13" s="447">
        <f t="shared" si="0"/>
        <v>1.4805580430977871E-3</v>
      </c>
      <c r="G13" s="452">
        <v>2379</v>
      </c>
      <c r="H13" s="452"/>
      <c r="I13" s="453">
        <f t="shared" si="13"/>
        <v>2379</v>
      </c>
      <c r="J13" s="450">
        <f t="shared" si="1"/>
        <v>7.5991571322278012E-3</v>
      </c>
      <c r="K13" s="456"/>
      <c r="L13" s="452">
        <f>1989+2379+2379</f>
        <v>6747</v>
      </c>
      <c r="M13" s="452"/>
      <c r="N13" s="453">
        <f t="shared" si="14"/>
        <v>6747</v>
      </c>
      <c r="O13" s="450">
        <f t="shared" si="2"/>
        <v>5.5209033534101507E-3</v>
      </c>
      <c r="P13" s="465"/>
      <c r="Q13" s="452">
        <f>2379*2+2244</f>
        <v>7002</v>
      </c>
      <c r="R13" s="452"/>
      <c r="S13" s="453">
        <f t="shared" si="15"/>
        <v>7002</v>
      </c>
      <c r="T13" s="450">
        <f t="shared" si="27"/>
        <v>9.9459435770289347E-4</v>
      </c>
      <c r="U13" s="714"/>
      <c r="V13" s="452">
        <v>4774.84</v>
      </c>
      <c r="W13" s="452"/>
      <c r="X13" s="453">
        <f t="shared" si="16"/>
        <v>4774.84</v>
      </c>
      <c r="Y13" s="450">
        <f t="shared" si="17"/>
        <v>1.9405748159028397E-3</v>
      </c>
      <c r="Z13" s="714"/>
      <c r="AA13" s="452">
        <v>4758</v>
      </c>
      <c r="AB13" s="452"/>
      <c r="AC13" s="453">
        <f t="shared" si="18"/>
        <v>4758</v>
      </c>
      <c r="AD13" s="541">
        <f t="shared" si="19"/>
        <v>1.6681799526619347E-3</v>
      </c>
      <c r="AE13" s="714"/>
      <c r="AF13" s="452">
        <v>4002.79</v>
      </c>
      <c r="AG13" s="452"/>
      <c r="AH13" s="453">
        <f t="shared" si="20"/>
        <v>4002.79</v>
      </c>
      <c r="AI13" s="450" t="e">
        <f t="shared" si="3"/>
        <v>#DIV/0!</v>
      </c>
      <c r="AJ13" s="714"/>
      <c r="AK13" s="452">
        <v>2418</v>
      </c>
      <c r="AL13" s="452"/>
      <c r="AM13" s="453">
        <f t="shared" si="21"/>
        <v>2418</v>
      </c>
      <c r="AN13" s="450" t="e">
        <f t="shared" si="7"/>
        <v>#DIV/0!</v>
      </c>
      <c r="AO13" s="714"/>
      <c r="AP13" s="452">
        <v>2234.86</v>
      </c>
      <c r="AQ13" s="452"/>
      <c r="AR13" s="453">
        <f t="shared" si="22"/>
        <v>2234.86</v>
      </c>
      <c r="AS13" s="450">
        <f t="shared" si="8"/>
        <v>8.6245271045913008E-3</v>
      </c>
      <c r="AT13" s="714"/>
      <c r="AU13" s="452"/>
      <c r="AV13" s="452"/>
      <c r="AW13" s="453">
        <f t="shared" si="23"/>
        <v>0</v>
      </c>
      <c r="AX13" s="450" t="e">
        <f t="shared" si="9"/>
        <v>#DIV/0!</v>
      </c>
      <c r="AY13" s="714"/>
      <c r="AZ13" s="39">
        <v>5649.510000000002</v>
      </c>
      <c r="BA13" s="39">
        <v>0</v>
      </c>
      <c r="BB13" s="453">
        <f t="shared" si="24"/>
        <v>5649.510000000002</v>
      </c>
      <c r="BC13" s="450" t="e">
        <f t="shared" si="10"/>
        <v>#DIV/0!</v>
      </c>
      <c r="BD13" s="714"/>
      <c r="BE13" s="39"/>
      <c r="BF13" s="39"/>
      <c r="BG13" s="453">
        <f t="shared" si="25"/>
        <v>0</v>
      </c>
      <c r="BH13" s="450">
        <f t="shared" si="4"/>
        <v>0</v>
      </c>
      <c r="BI13" s="714"/>
      <c r="BJ13" s="39">
        <f t="shared" si="11"/>
        <v>39966</v>
      </c>
      <c r="BK13" s="39">
        <f t="shared" si="12"/>
        <v>0</v>
      </c>
      <c r="BL13" s="210">
        <f t="shared" si="26"/>
        <v>39966</v>
      </c>
      <c r="BM13" s="178" t="e">
        <f t="shared" si="5"/>
        <v>#DIV/0!</v>
      </c>
      <c r="BN13" s="42"/>
      <c r="BO13" s="1"/>
      <c r="BP13" s="842"/>
      <c r="BQ13" s="842"/>
      <c r="BR13" s="1"/>
      <c r="BS13" s="1"/>
      <c r="BT13" s="1"/>
    </row>
    <row r="14" spans="1:72" s="2" customFormat="1" ht="13.8" x14ac:dyDescent="0.25">
      <c r="A14" s="238"/>
      <c r="B14" s="492" t="s">
        <v>70</v>
      </c>
      <c r="C14" s="111">
        <v>33000</v>
      </c>
      <c r="D14" s="493"/>
      <c r="E14" s="446">
        <f t="shared" si="6"/>
        <v>33000</v>
      </c>
      <c r="F14" s="447">
        <f t="shared" si="0"/>
        <v>1.6703731768282725E-3</v>
      </c>
      <c r="G14" s="452">
        <v>2684</v>
      </c>
      <c r="H14" s="452"/>
      <c r="I14" s="453">
        <f t="shared" si="13"/>
        <v>2684</v>
      </c>
      <c r="J14" s="450">
        <f t="shared" si="1"/>
        <v>8.5734080466159813E-3</v>
      </c>
      <c r="K14" s="456"/>
      <c r="L14" s="452">
        <f>2244+2684+2684</f>
        <v>7612</v>
      </c>
      <c r="M14" s="452"/>
      <c r="N14" s="453">
        <f t="shared" si="14"/>
        <v>7612</v>
      </c>
      <c r="O14" s="450">
        <f t="shared" si="2"/>
        <v>6.2287114756422214E-3</v>
      </c>
      <c r="P14" s="465"/>
      <c r="Q14" s="452">
        <f>2684*2+2244</f>
        <v>7612</v>
      </c>
      <c r="R14" s="452"/>
      <c r="S14" s="453">
        <f t="shared" si="15"/>
        <v>7612</v>
      </c>
      <c r="T14" s="450">
        <f t="shared" si="27"/>
        <v>1.0812413954347938E-3</v>
      </c>
      <c r="U14" s="714"/>
      <c r="V14" s="452">
        <v>5387</v>
      </c>
      <c r="W14" s="452"/>
      <c r="X14" s="453">
        <f t="shared" si="16"/>
        <v>5387</v>
      </c>
      <c r="Y14" s="450">
        <f t="shared" si="17"/>
        <v>2.1893668758049688E-3</v>
      </c>
      <c r="Z14" s="714"/>
      <c r="AA14" s="452">
        <v>5368</v>
      </c>
      <c r="AB14" s="452"/>
      <c r="AC14" s="453">
        <f t="shared" si="18"/>
        <v>5368</v>
      </c>
      <c r="AD14" s="541">
        <f t="shared" si="19"/>
        <v>1.8820491773621829E-3</v>
      </c>
      <c r="AE14" s="714"/>
      <c r="AF14" s="452">
        <v>4515.97</v>
      </c>
      <c r="AG14" s="452"/>
      <c r="AH14" s="453">
        <f t="shared" si="20"/>
        <v>4515.97</v>
      </c>
      <c r="AI14" s="450" t="e">
        <f t="shared" si="3"/>
        <v>#DIV/0!</v>
      </c>
      <c r="AJ14" s="714"/>
      <c r="AK14" s="452">
        <v>2728</v>
      </c>
      <c r="AL14" s="452"/>
      <c r="AM14" s="453">
        <f t="shared" si="21"/>
        <v>2728</v>
      </c>
      <c r="AN14" s="450" t="e">
        <f t="shared" si="7"/>
        <v>#DIV/0!</v>
      </c>
      <c r="AO14" s="714"/>
      <c r="AP14" s="452">
        <v>2521.39</v>
      </c>
      <c r="AQ14" s="452"/>
      <c r="AR14" s="453">
        <f t="shared" si="22"/>
        <v>2521.39</v>
      </c>
      <c r="AS14" s="450">
        <f t="shared" si="8"/>
        <v>9.7302723196287279E-3</v>
      </c>
      <c r="AT14" s="714"/>
      <c r="AU14" s="452"/>
      <c r="AV14" s="452"/>
      <c r="AW14" s="453">
        <f t="shared" si="23"/>
        <v>0</v>
      </c>
      <c r="AX14" s="450" t="e">
        <f t="shared" si="9"/>
        <v>#DIV/0!</v>
      </c>
      <c r="AY14" s="714"/>
      <c r="AZ14" s="39">
        <v>5961.6399999999994</v>
      </c>
      <c r="BA14" s="39">
        <v>0</v>
      </c>
      <c r="BB14" s="453">
        <f t="shared" si="24"/>
        <v>5961.6399999999994</v>
      </c>
      <c r="BC14" s="450" t="e">
        <f t="shared" si="10"/>
        <v>#DIV/0!</v>
      </c>
      <c r="BD14" s="714"/>
      <c r="BE14" s="39"/>
      <c r="BF14" s="39"/>
      <c r="BG14" s="453">
        <f t="shared" si="25"/>
        <v>0</v>
      </c>
      <c r="BH14" s="450">
        <f t="shared" si="4"/>
        <v>0</v>
      </c>
      <c r="BI14" s="714"/>
      <c r="BJ14" s="39">
        <f t="shared" si="11"/>
        <v>44390</v>
      </c>
      <c r="BK14" s="39">
        <f t="shared" si="12"/>
        <v>0</v>
      </c>
      <c r="BL14" s="210">
        <f t="shared" si="26"/>
        <v>44390</v>
      </c>
      <c r="BM14" s="178" t="e">
        <f t="shared" si="5"/>
        <v>#DIV/0!</v>
      </c>
      <c r="BN14" s="42"/>
      <c r="BO14" s="1"/>
      <c r="BP14" s="842"/>
      <c r="BQ14" s="842"/>
      <c r="BR14" s="1"/>
      <c r="BS14" s="1"/>
      <c r="BT14" s="1"/>
    </row>
    <row r="15" spans="1:72" s="2" customFormat="1" ht="13.8" x14ac:dyDescent="0.25">
      <c r="A15" s="238"/>
      <c r="B15" s="471" t="s">
        <v>20</v>
      </c>
      <c r="C15" s="111"/>
      <c r="D15" s="445"/>
      <c r="E15" s="446">
        <f t="shared" si="6"/>
        <v>0</v>
      </c>
      <c r="F15" s="447">
        <f t="shared" si="0"/>
        <v>0</v>
      </c>
      <c r="G15" s="452"/>
      <c r="H15" s="452"/>
      <c r="I15" s="453">
        <f t="shared" si="13"/>
        <v>0</v>
      </c>
      <c r="J15" s="450">
        <f t="shared" si="1"/>
        <v>0</v>
      </c>
      <c r="K15" s="456"/>
      <c r="L15" s="452"/>
      <c r="M15" s="452"/>
      <c r="N15" s="453">
        <f t="shared" si="14"/>
        <v>0</v>
      </c>
      <c r="O15" s="450">
        <f t="shared" si="2"/>
        <v>0</v>
      </c>
      <c r="P15" s="465"/>
      <c r="Q15" s="452"/>
      <c r="R15" s="452"/>
      <c r="S15" s="453">
        <f t="shared" si="15"/>
        <v>0</v>
      </c>
      <c r="T15" s="450">
        <f t="shared" si="27"/>
        <v>0</v>
      </c>
      <c r="U15" s="714"/>
      <c r="V15" s="452"/>
      <c r="W15" s="452"/>
      <c r="X15" s="453">
        <f t="shared" si="16"/>
        <v>0</v>
      </c>
      <c r="Y15" s="450">
        <f t="shared" si="17"/>
        <v>0</v>
      </c>
      <c r="Z15" s="714"/>
      <c r="AA15" s="452"/>
      <c r="AB15" s="452"/>
      <c r="AC15" s="453">
        <f t="shared" si="18"/>
        <v>0</v>
      </c>
      <c r="AD15" s="541">
        <f t="shared" si="19"/>
        <v>0</v>
      </c>
      <c r="AE15" s="714"/>
      <c r="AF15" s="452"/>
      <c r="AG15" s="452"/>
      <c r="AH15" s="453">
        <f t="shared" si="20"/>
        <v>0</v>
      </c>
      <c r="AI15" s="450" t="e">
        <f t="shared" si="3"/>
        <v>#DIV/0!</v>
      </c>
      <c r="AJ15" s="714"/>
      <c r="AK15" s="452"/>
      <c r="AL15" s="452">
        <v>6000</v>
      </c>
      <c r="AM15" s="453">
        <f t="shared" si="21"/>
        <v>6000</v>
      </c>
      <c r="AN15" s="450" t="e">
        <f t="shared" si="7"/>
        <v>#DIV/0!</v>
      </c>
      <c r="AO15" s="714"/>
      <c r="AP15" s="452"/>
      <c r="AQ15" s="452">
        <v>16000</v>
      </c>
      <c r="AR15" s="453">
        <f t="shared" si="22"/>
        <v>16000</v>
      </c>
      <c r="AS15" s="450">
        <f t="shared" si="8"/>
        <v>6.1745448785812451E-2</v>
      </c>
      <c r="AT15" s="714"/>
      <c r="AU15" s="452"/>
      <c r="AV15" s="452">
        <v>4000</v>
      </c>
      <c r="AW15" s="453">
        <f t="shared" si="23"/>
        <v>4000</v>
      </c>
      <c r="AX15" s="450" t="e">
        <f t="shared" si="9"/>
        <v>#DIV/0!</v>
      </c>
      <c r="AY15" s="714"/>
      <c r="AZ15" s="39">
        <v>0</v>
      </c>
      <c r="BA15" s="39">
        <v>600</v>
      </c>
      <c r="BB15" s="453">
        <f t="shared" si="24"/>
        <v>600</v>
      </c>
      <c r="BC15" s="450" t="e">
        <f t="shared" si="10"/>
        <v>#DIV/0!</v>
      </c>
      <c r="BD15" s="714"/>
      <c r="BE15" s="39"/>
      <c r="BF15" s="39"/>
      <c r="BG15" s="453">
        <f t="shared" si="25"/>
        <v>0</v>
      </c>
      <c r="BH15" s="450">
        <f t="shared" si="4"/>
        <v>0</v>
      </c>
      <c r="BI15" s="714"/>
      <c r="BJ15" s="39">
        <f t="shared" si="11"/>
        <v>0</v>
      </c>
      <c r="BK15" s="39">
        <f t="shared" si="12"/>
        <v>26600</v>
      </c>
      <c r="BL15" s="210">
        <f t="shared" si="26"/>
        <v>26600</v>
      </c>
      <c r="BM15" s="178" t="e">
        <f t="shared" si="5"/>
        <v>#DIV/0!</v>
      </c>
      <c r="BN15" s="42"/>
      <c r="BO15" s="1"/>
      <c r="BP15" s="842"/>
      <c r="BQ15" s="842"/>
      <c r="BR15" s="1"/>
      <c r="BS15" s="1"/>
      <c r="BT15" s="1"/>
    </row>
    <row r="16" spans="1:72" s="2" customFormat="1" ht="69" x14ac:dyDescent="0.25">
      <c r="A16" s="292"/>
      <c r="B16" s="471" t="s">
        <v>21</v>
      </c>
      <c r="C16" s="111"/>
      <c r="D16" s="445">
        <v>2153676.4700000002</v>
      </c>
      <c r="E16" s="446">
        <f t="shared" si="6"/>
        <v>2153676.4700000002</v>
      </c>
      <c r="F16" s="447">
        <f t="shared" si="0"/>
        <v>0.10901343657740001</v>
      </c>
      <c r="G16" s="452"/>
      <c r="H16" s="452"/>
      <c r="I16" s="453">
        <f t="shared" si="13"/>
        <v>0</v>
      </c>
      <c r="J16" s="450">
        <f t="shared" si="1"/>
        <v>0</v>
      </c>
      <c r="K16" s="456"/>
      <c r="L16" s="452"/>
      <c r="M16" s="452">
        <v>46800</v>
      </c>
      <c r="N16" s="453">
        <f t="shared" si="14"/>
        <v>46800</v>
      </c>
      <c r="O16" s="450">
        <f t="shared" si="2"/>
        <v>3.829528337625538E-2</v>
      </c>
      <c r="P16" s="455" t="s">
        <v>560</v>
      </c>
      <c r="Q16" s="452"/>
      <c r="R16" s="452">
        <f>87099+99499+171217.5+19800+23100+27070</f>
        <v>427785.5</v>
      </c>
      <c r="S16" s="453">
        <f t="shared" si="15"/>
        <v>427785.5</v>
      </c>
      <c r="T16" s="450">
        <f t="shared" si="27"/>
        <v>6.0764502228950468E-2</v>
      </c>
      <c r="U16" s="714" t="s">
        <v>685</v>
      </c>
      <c r="V16" s="452"/>
      <c r="W16" s="452">
        <f>264785</f>
        <v>264785</v>
      </c>
      <c r="X16" s="453">
        <f t="shared" si="16"/>
        <v>264785</v>
      </c>
      <c r="Y16" s="450">
        <f t="shared" si="17"/>
        <v>0.10761305145907159</v>
      </c>
      <c r="Z16" s="714" t="s">
        <v>771</v>
      </c>
      <c r="AA16" s="452"/>
      <c r="AB16" s="452">
        <f>717869.58+86000</f>
        <v>803869.58</v>
      </c>
      <c r="AC16" s="453">
        <f t="shared" si="18"/>
        <v>803869.58</v>
      </c>
      <c r="AD16" s="541">
        <f t="shared" si="19"/>
        <v>0.28184092431920332</v>
      </c>
      <c r="AE16" s="714" t="s">
        <v>854</v>
      </c>
      <c r="AF16" s="452"/>
      <c r="AG16" s="452">
        <f>28418+34520+59100+35241.41+48004+164592+54765+60960</f>
        <v>485600.41000000003</v>
      </c>
      <c r="AH16" s="453">
        <f t="shared" si="20"/>
        <v>485600.41000000003</v>
      </c>
      <c r="AI16" s="450" t="e">
        <f t="shared" si="3"/>
        <v>#DIV/0!</v>
      </c>
      <c r="AJ16" s="714" t="s">
        <v>855</v>
      </c>
      <c r="AK16" s="452"/>
      <c r="AL16" s="452">
        <f>115621.25</f>
        <v>115621.25</v>
      </c>
      <c r="AM16" s="453">
        <f t="shared" si="21"/>
        <v>115621.25</v>
      </c>
      <c r="AN16" s="450" t="e">
        <f t="shared" si="7"/>
        <v>#DIV/0!</v>
      </c>
      <c r="AO16" s="714" t="s">
        <v>874</v>
      </c>
      <c r="AP16" s="452"/>
      <c r="AQ16" s="452"/>
      <c r="AR16" s="453">
        <f t="shared" si="22"/>
        <v>0</v>
      </c>
      <c r="AS16" s="450">
        <f t="shared" si="8"/>
        <v>0</v>
      </c>
      <c r="AT16" s="714"/>
      <c r="AU16" s="452"/>
      <c r="AV16" s="452">
        <f>16920+54000+4000+111000</f>
        <v>185920</v>
      </c>
      <c r="AW16" s="453">
        <f t="shared" si="23"/>
        <v>185920</v>
      </c>
      <c r="AX16" s="450" t="e">
        <f t="shared" si="9"/>
        <v>#DIV/0!</v>
      </c>
      <c r="AY16" s="714" t="s">
        <v>919</v>
      </c>
      <c r="AZ16" s="39">
        <v>0</v>
      </c>
      <c r="BA16" s="39">
        <v>251814.30999999959</v>
      </c>
      <c r="BB16" s="453">
        <f t="shared" si="24"/>
        <v>251814.30999999959</v>
      </c>
      <c r="BC16" s="450" t="e">
        <f t="shared" si="10"/>
        <v>#DIV/0!</v>
      </c>
      <c r="BD16" s="714"/>
      <c r="BE16" s="39"/>
      <c r="BF16" s="39"/>
      <c r="BG16" s="453">
        <f t="shared" si="25"/>
        <v>0</v>
      </c>
      <c r="BH16" s="450">
        <f t="shared" si="4"/>
        <v>0</v>
      </c>
      <c r="BI16" s="714"/>
      <c r="BJ16" s="39">
        <f t="shared" si="11"/>
        <v>0</v>
      </c>
      <c r="BK16" s="39">
        <f t="shared" si="12"/>
        <v>2582196.0499999998</v>
      </c>
      <c r="BL16" s="210">
        <f t="shared" si="26"/>
        <v>2582196.0499999998</v>
      </c>
      <c r="BM16" s="178" t="e">
        <f t="shared" si="5"/>
        <v>#DIV/0!</v>
      </c>
      <c r="BN16" s="42"/>
      <c r="BO16" s="1"/>
      <c r="BP16" s="842"/>
      <c r="BQ16" s="842"/>
      <c r="BR16" s="1"/>
      <c r="BS16" s="1"/>
      <c r="BT16" s="1"/>
    </row>
    <row r="17" spans="1:72" s="2" customFormat="1" ht="27.6" x14ac:dyDescent="0.25">
      <c r="A17" s="238"/>
      <c r="B17" s="471" t="s">
        <v>22</v>
      </c>
      <c r="C17" s="111"/>
      <c r="D17" s="445">
        <v>2000</v>
      </c>
      <c r="E17" s="446">
        <f t="shared" si="6"/>
        <v>2000</v>
      </c>
      <c r="F17" s="447">
        <f t="shared" si="0"/>
        <v>1.0123473798959227E-4</v>
      </c>
      <c r="G17" s="452"/>
      <c r="H17" s="452"/>
      <c r="I17" s="453">
        <f t="shared" si="13"/>
        <v>0</v>
      </c>
      <c r="J17" s="450">
        <f t="shared" si="1"/>
        <v>0</v>
      </c>
      <c r="K17" s="456"/>
      <c r="L17" s="452"/>
      <c r="M17" s="452">
        <v>1000</v>
      </c>
      <c r="N17" s="453">
        <f t="shared" si="14"/>
        <v>1000</v>
      </c>
      <c r="O17" s="450">
        <f t="shared" si="2"/>
        <v>8.1827528581742272E-4</v>
      </c>
      <c r="P17" s="455" t="s">
        <v>568</v>
      </c>
      <c r="Q17" s="452"/>
      <c r="R17" s="452">
        <v>1500</v>
      </c>
      <c r="S17" s="453">
        <f t="shared" si="15"/>
        <v>1500</v>
      </c>
      <c r="T17" s="450">
        <f t="shared" si="27"/>
        <v>2.1306648622598405E-4</v>
      </c>
      <c r="U17" s="714" t="s">
        <v>698</v>
      </c>
      <c r="V17" s="452"/>
      <c r="W17" s="452"/>
      <c r="X17" s="453">
        <f t="shared" si="16"/>
        <v>0</v>
      </c>
      <c r="Y17" s="450">
        <f t="shared" si="17"/>
        <v>0</v>
      </c>
      <c r="Z17" s="714"/>
      <c r="AA17" s="452"/>
      <c r="AB17" s="452"/>
      <c r="AC17" s="453">
        <f t="shared" si="18"/>
        <v>0</v>
      </c>
      <c r="AD17" s="541">
        <f t="shared" si="19"/>
        <v>0</v>
      </c>
      <c r="AE17" s="714"/>
      <c r="AF17" s="452"/>
      <c r="AG17" s="452"/>
      <c r="AH17" s="453">
        <f t="shared" si="20"/>
        <v>0</v>
      </c>
      <c r="AI17" s="450" t="e">
        <f t="shared" si="3"/>
        <v>#DIV/0!</v>
      </c>
      <c r="AJ17" s="714"/>
      <c r="AK17" s="452"/>
      <c r="AL17" s="452"/>
      <c r="AM17" s="453">
        <f t="shared" si="21"/>
        <v>0</v>
      </c>
      <c r="AN17" s="450" t="e">
        <f t="shared" si="7"/>
        <v>#DIV/0!</v>
      </c>
      <c r="AO17" s="714"/>
      <c r="AP17" s="452"/>
      <c r="AQ17" s="452"/>
      <c r="AR17" s="453">
        <f t="shared" si="22"/>
        <v>0</v>
      </c>
      <c r="AS17" s="450">
        <f t="shared" si="8"/>
        <v>0</v>
      </c>
      <c r="AT17" s="714"/>
      <c r="AU17" s="452"/>
      <c r="AV17" s="452"/>
      <c r="AW17" s="453">
        <f t="shared" si="23"/>
        <v>0</v>
      </c>
      <c r="AX17" s="450" t="e">
        <f t="shared" si="9"/>
        <v>#DIV/0!</v>
      </c>
      <c r="AY17" s="714"/>
      <c r="AZ17" s="39">
        <v>0</v>
      </c>
      <c r="BA17" s="39">
        <v>0</v>
      </c>
      <c r="BB17" s="453">
        <f t="shared" si="24"/>
        <v>0</v>
      </c>
      <c r="BC17" s="450" t="e">
        <f t="shared" si="10"/>
        <v>#DIV/0!</v>
      </c>
      <c r="BD17" s="714"/>
      <c r="BE17" s="39"/>
      <c r="BF17" s="39">
        <v>28000</v>
      </c>
      <c r="BG17" s="453">
        <f t="shared" si="25"/>
        <v>28000</v>
      </c>
      <c r="BH17" s="450">
        <f t="shared" si="4"/>
        <v>7.4388024665703864E-2</v>
      </c>
      <c r="BI17" s="714" t="s">
        <v>959</v>
      </c>
      <c r="BJ17" s="39">
        <f t="shared" si="11"/>
        <v>0</v>
      </c>
      <c r="BK17" s="39">
        <f t="shared" si="12"/>
        <v>30500</v>
      </c>
      <c r="BL17" s="210">
        <f t="shared" si="26"/>
        <v>30500</v>
      </c>
      <c r="BM17" s="178" t="e">
        <f t="shared" si="5"/>
        <v>#DIV/0!</v>
      </c>
      <c r="BN17" s="42"/>
      <c r="BO17" s="1"/>
      <c r="BP17" s="842"/>
      <c r="BQ17" s="842"/>
      <c r="BR17" s="1"/>
      <c r="BS17" s="1"/>
      <c r="BT17" s="1"/>
    </row>
    <row r="18" spans="1:72" s="2" customFormat="1" ht="124.2" x14ac:dyDescent="0.25">
      <c r="A18" s="238"/>
      <c r="B18" s="471" t="s">
        <v>0</v>
      </c>
      <c r="C18" s="111">
        <v>2258079.648</v>
      </c>
      <c r="D18" s="445"/>
      <c r="E18" s="446">
        <f t="shared" si="6"/>
        <v>2258079.648</v>
      </c>
      <c r="F18" s="447">
        <f t="shared" si="0"/>
        <v>0.11429805076245537</v>
      </c>
      <c r="G18" s="452"/>
      <c r="H18" s="452">
        <v>23815.08</v>
      </c>
      <c r="I18" s="453">
        <f t="shared" si="13"/>
        <v>23815.08</v>
      </c>
      <c r="J18" s="450">
        <f t="shared" si="1"/>
        <v>7.6071683495828366E-2</v>
      </c>
      <c r="K18" s="454" t="s">
        <v>509</v>
      </c>
      <c r="L18" s="452">
        <f>436520+13000</f>
        <v>449520</v>
      </c>
      <c r="M18" s="452">
        <f>350+1700</f>
        <v>2050</v>
      </c>
      <c r="N18" s="453">
        <f t="shared" si="14"/>
        <v>451570</v>
      </c>
      <c r="O18" s="450">
        <f t="shared" si="2"/>
        <v>0.36950857081657357</v>
      </c>
      <c r="P18" s="455" t="s">
        <v>601</v>
      </c>
      <c r="Q18" s="452">
        <f>3600+68.315*14000</f>
        <v>960010</v>
      </c>
      <c r="R18" s="452">
        <v>29675</v>
      </c>
      <c r="S18" s="453">
        <f t="shared" si="15"/>
        <v>989685</v>
      </c>
      <c r="T18" s="450">
        <f t="shared" si="27"/>
        <v>0.14057913694704202</v>
      </c>
      <c r="U18" s="714" t="s">
        <v>694</v>
      </c>
      <c r="V18" s="452">
        <f>644910+(5333.34*1.2)</f>
        <v>651310.00800000003</v>
      </c>
      <c r="W18" s="452">
        <f>54100</f>
        <v>54100</v>
      </c>
      <c r="X18" s="453">
        <f t="shared" si="16"/>
        <v>705410.00800000003</v>
      </c>
      <c r="Y18" s="450">
        <f t="shared" si="17"/>
        <v>0.28669042238286951</v>
      </c>
      <c r="Z18" s="714" t="s">
        <v>766</v>
      </c>
      <c r="AA18" s="452">
        <v>169750</v>
      </c>
      <c r="AB18" s="452"/>
      <c r="AC18" s="453">
        <f t="shared" si="18"/>
        <v>169750</v>
      </c>
      <c r="AD18" s="541">
        <f t="shared" si="19"/>
        <v>5.9515247365355912E-2</v>
      </c>
      <c r="AE18" s="714" t="s">
        <v>811</v>
      </c>
      <c r="AF18" s="452">
        <f>11000+31666.67*1.2+12950*1.2</f>
        <v>64540.003999999994</v>
      </c>
      <c r="AG18" s="452"/>
      <c r="AH18" s="453">
        <f t="shared" si="20"/>
        <v>64540.003999999994</v>
      </c>
      <c r="AI18" s="450" t="e">
        <f t="shared" si="3"/>
        <v>#DIV/0!</v>
      </c>
      <c r="AJ18" s="714" t="s">
        <v>845</v>
      </c>
      <c r="AK18" s="452"/>
      <c r="AL18" s="452"/>
      <c r="AM18" s="453">
        <f t="shared" si="21"/>
        <v>0</v>
      </c>
      <c r="AN18" s="450" t="e">
        <f t="shared" si="7"/>
        <v>#DIV/0!</v>
      </c>
      <c r="AO18" s="714"/>
      <c r="AP18" s="452"/>
      <c r="AQ18" s="452">
        <v>1000</v>
      </c>
      <c r="AR18" s="453">
        <f t="shared" si="22"/>
        <v>1000</v>
      </c>
      <c r="AS18" s="450">
        <f t="shared" si="8"/>
        <v>3.8590905491132782E-3</v>
      </c>
      <c r="AT18" s="714" t="s">
        <v>898</v>
      </c>
      <c r="AU18" s="452"/>
      <c r="AV18" s="452">
        <v>7000</v>
      </c>
      <c r="AW18" s="453">
        <f t="shared" si="23"/>
        <v>7000</v>
      </c>
      <c r="AX18" s="450" t="e">
        <f t="shared" si="9"/>
        <v>#DIV/0!</v>
      </c>
      <c r="AY18" s="714" t="s">
        <v>918</v>
      </c>
      <c r="AZ18" s="39">
        <v>-136524.00799999991</v>
      </c>
      <c r="BA18" s="39">
        <v>-8.000000000174623E-2</v>
      </c>
      <c r="BB18" s="453">
        <f t="shared" si="24"/>
        <v>-136524.08799999993</v>
      </c>
      <c r="BC18" s="450" t="e">
        <f t="shared" si="10"/>
        <v>#DIV/0!</v>
      </c>
      <c r="BD18" s="714"/>
      <c r="BE18" s="39"/>
      <c r="BF18" s="39"/>
      <c r="BG18" s="453">
        <f t="shared" si="25"/>
        <v>0</v>
      </c>
      <c r="BH18" s="450">
        <f t="shared" si="4"/>
        <v>0</v>
      </c>
      <c r="BI18" s="714"/>
      <c r="BJ18" s="39">
        <f t="shared" si="11"/>
        <v>2158606.0040000002</v>
      </c>
      <c r="BK18" s="39">
        <f t="shared" si="12"/>
        <v>117640</v>
      </c>
      <c r="BL18" s="210">
        <f t="shared" si="26"/>
        <v>2276246.0040000002</v>
      </c>
      <c r="BM18" s="178" t="e">
        <f t="shared" si="5"/>
        <v>#DIV/0!</v>
      </c>
      <c r="BN18" s="42"/>
      <c r="BO18" s="1"/>
      <c r="BP18" s="842"/>
      <c r="BQ18" s="842"/>
      <c r="BR18" s="1"/>
      <c r="BS18" s="1"/>
      <c r="BT18" s="1"/>
    </row>
    <row r="19" spans="1:72" s="2" customFormat="1" ht="27.6" x14ac:dyDescent="0.25">
      <c r="A19" s="238"/>
      <c r="B19" s="471" t="s">
        <v>53</v>
      </c>
      <c r="C19" s="114"/>
      <c r="D19" s="445"/>
      <c r="E19" s="446">
        <f t="shared" si="6"/>
        <v>0</v>
      </c>
      <c r="F19" s="447">
        <f t="shared" si="0"/>
        <v>0</v>
      </c>
      <c r="G19" s="452">
        <v>702</v>
      </c>
      <c r="H19" s="452"/>
      <c r="I19" s="453">
        <f t="shared" si="13"/>
        <v>702</v>
      </c>
      <c r="J19" s="450">
        <f t="shared" si="1"/>
        <v>2.2423742357393513E-3</v>
      </c>
      <c r="K19" s="454" t="s">
        <v>531</v>
      </c>
      <c r="L19" s="452">
        <f>702+1512</f>
        <v>2214</v>
      </c>
      <c r="M19" s="452">
        <v>350</v>
      </c>
      <c r="N19" s="453">
        <f t="shared" si="14"/>
        <v>2564</v>
      </c>
      <c r="O19" s="450">
        <f t="shared" si="2"/>
        <v>2.0980578328358718E-3</v>
      </c>
      <c r="P19" s="458" t="s">
        <v>574</v>
      </c>
      <c r="Q19" s="452"/>
      <c r="R19" s="452"/>
      <c r="S19" s="453">
        <f t="shared" si="15"/>
        <v>0</v>
      </c>
      <c r="T19" s="450">
        <f t="shared" si="27"/>
        <v>0</v>
      </c>
      <c r="U19" s="714"/>
      <c r="V19" s="452"/>
      <c r="W19" s="452"/>
      <c r="X19" s="453">
        <f t="shared" si="16"/>
        <v>0</v>
      </c>
      <c r="Y19" s="450">
        <f>X19/$X$89</f>
        <v>0</v>
      </c>
      <c r="Z19" s="714"/>
      <c r="AA19" s="452"/>
      <c r="AB19" s="452"/>
      <c r="AC19" s="453">
        <f t="shared" si="18"/>
        <v>0</v>
      </c>
      <c r="AD19" s="541">
        <f t="shared" si="19"/>
        <v>0</v>
      </c>
      <c r="AE19" s="714"/>
      <c r="AF19" s="452"/>
      <c r="AG19" s="452"/>
      <c r="AH19" s="453">
        <f t="shared" si="20"/>
        <v>0</v>
      </c>
      <c r="AI19" s="450" t="e">
        <f t="shared" si="3"/>
        <v>#DIV/0!</v>
      </c>
      <c r="AJ19" s="714"/>
      <c r="AK19" s="452"/>
      <c r="AL19" s="452"/>
      <c r="AM19" s="453">
        <f t="shared" si="21"/>
        <v>0</v>
      </c>
      <c r="AN19" s="450" t="e">
        <f t="shared" si="7"/>
        <v>#DIV/0!</v>
      </c>
      <c r="AO19" s="714"/>
      <c r="AP19" s="452"/>
      <c r="AQ19" s="452"/>
      <c r="AR19" s="453">
        <f t="shared" si="22"/>
        <v>0</v>
      </c>
      <c r="AS19" s="450">
        <f t="shared" si="8"/>
        <v>0</v>
      </c>
      <c r="AT19" s="714"/>
      <c r="AU19" s="452"/>
      <c r="AV19" s="452"/>
      <c r="AW19" s="453">
        <f t="shared" si="23"/>
        <v>0</v>
      </c>
      <c r="AX19" s="450" t="e">
        <f t="shared" si="9"/>
        <v>#DIV/0!</v>
      </c>
      <c r="AY19" s="714"/>
      <c r="AZ19" s="39">
        <v>-2916</v>
      </c>
      <c r="BA19" s="39">
        <v>-350</v>
      </c>
      <c r="BB19" s="453">
        <f t="shared" si="24"/>
        <v>-3266</v>
      </c>
      <c r="BC19" s="450" t="e">
        <f t="shared" si="10"/>
        <v>#DIV/0!</v>
      </c>
      <c r="BD19" s="714"/>
      <c r="BE19" s="39"/>
      <c r="BF19" s="39"/>
      <c r="BG19" s="453">
        <f t="shared" si="25"/>
        <v>0</v>
      </c>
      <c r="BH19" s="450">
        <f t="shared" si="4"/>
        <v>0</v>
      </c>
      <c r="BI19" s="714"/>
      <c r="BJ19" s="39">
        <f t="shared" si="11"/>
        <v>0</v>
      </c>
      <c r="BK19" s="39">
        <f t="shared" si="12"/>
        <v>0</v>
      </c>
      <c r="BL19" s="210">
        <f t="shared" si="26"/>
        <v>0</v>
      </c>
      <c r="BM19" s="178" t="e">
        <f t="shared" si="5"/>
        <v>#DIV/0!</v>
      </c>
      <c r="BN19" s="42"/>
      <c r="BO19" s="1"/>
      <c r="BP19" s="842"/>
      <c r="BQ19" s="842"/>
      <c r="BR19" s="1"/>
      <c r="BS19" s="1"/>
      <c r="BT19" s="1"/>
    </row>
    <row r="20" spans="1:72" s="2" customFormat="1" ht="13.8" x14ac:dyDescent="0.25">
      <c r="A20" s="238"/>
      <c r="B20" s="471" t="s">
        <v>57</v>
      </c>
      <c r="C20" s="114">
        <v>14625</v>
      </c>
      <c r="D20" s="445"/>
      <c r="E20" s="446">
        <f t="shared" si="6"/>
        <v>14625</v>
      </c>
      <c r="F20" s="447">
        <f t="shared" si="0"/>
        <v>7.4027902154889357E-4</v>
      </c>
      <c r="G20" s="452"/>
      <c r="H20" s="452"/>
      <c r="I20" s="453">
        <f t="shared" si="13"/>
        <v>0</v>
      </c>
      <c r="J20" s="450">
        <f t="shared" si="1"/>
        <v>0</v>
      </c>
      <c r="K20" s="456"/>
      <c r="L20" s="452">
        <f>18961.44</f>
        <v>18961.439999999999</v>
      </c>
      <c r="M20" s="452"/>
      <c r="N20" s="453">
        <f t="shared" si="14"/>
        <v>18961.439999999999</v>
      </c>
      <c r="O20" s="450">
        <f t="shared" si="2"/>
        <v>1.551567773550991E-2</v>
      </c>
      <c r="P20" s="460" t="s">
        <v>570</v>
      </c>
      <c r="Q20" s="452">
        <f>47403.6*1.2</f>
        <v>56884.32</v>
      </c>
      <c r="R20" s="452"/>
      <c r="S20" s="453">
        <f t="shared" si="15"/>
        <v>56884.32</v>
      </c>
      <c r="T20" s="450">
        <f t="shared" si="27"/>
        <v>8.0800947891696458E-3</v>
      </c>
      <c r="U20" s="714" t="s">
        <v>686</v>
      </c>
      <c r="V20" s="452"/>
      <c r="W20" s="452"/>
      <c r="X20" s="453">
        <f t="shared" si="16"/>
        <v>0</v>
      </c>
      <c r="Y20" s="450">
        <f t="shared" si="17"/>
        <v>0</v>
      </c>
      <c r="Z20" s="714"/>
      <c r="AA20" s="452"/>
      <c r="AB20" s="452"/>
      <c r="AC20" s="453">
        <f t="shared" si="18"/>
        <v>0</v>
      </c>
      <c r="AD20" s="541">
        <f t="shared" si="19"/>
        <v>0</v>
      </c>
      <c r="AE20" s="714"/>
      <c r="AF20" s="452"/>
      <c r="AG20" s="452"/>
      <c r="AH20" s="453">
        <f t="shared" si="20"/>
        <v>0</v>
      </c>
      <c r="AI20" s="450" t="e">
        <f t="shared" si="3"/>
        <v>#DIV/0!</v>
      </c>
      <c r="AJ20" s="714"/>
      <c r="AK20" s="452"/>
      <c r="AL20" s="452"/>
      <c r="AM20" s="453">
        <f t="shared" si="21"/>
        <v>0</v>
      </c>
      <c r="AN20" s="450" t="e">
        <f t="shared" si="7"/>
        <v>#DIV/0!</v>
      </c>
      <c r="AO20" s="714"/>
      <c r="AP20" s="452"/>
      <c r="AQ20" s="452"/>
      <c r="AR20" s="453">
        <f t="shared" si="22"/>
        <v>0</v>
      </c>
      <c r="AS20" s="450">
        <f t="shared" si="8"/>
        <v>0</v>
      </c>
      <c r="AT20" s="714"/>
      <c r="AU20" s="452"/>
      <c r="AV20" s="452"/>
      <c r="AW20" s="453">
        <f t="shared" si="23"/>
        <v>0</v>
      </c>
      <c r="AX20" s="450" t="e">
        <f t="shared" si="9"/>
        <v>#DIV/0!</v>
      </c>
      <c r="AY20" s="714"/>
      <c r="AZ20" s="39">
        <v>0</v>
      </c>
      <c r="BA20" s="39">
        <v>0</v>
      </c>
      <c r="BB20" s="453">
        <f t="shared" si="24"/>
        <v>0</v>
      </c>
      <c r="BC20" s="450" t="e">
        <f t="shared" si="10"/>
        <v>#DIV/0!</v>
      </c>
      <c r="BD20" s="714"/>
      <c r="BE20" s="39"/>
      <c r="BF20" s="39"/>
      <c r="BG20" s="453">
        <f t="shared" si="25"/>
        <v>0</v>
      </c>
      <c r="BH20" s="450">
        <f t="shared" si="4"/>
        <v>0</v>
      </c>
      <c r="BI20" s="714"/>
      <c r="BJ20" s="39">
        <f t="shared" si="11"/>
        <v>75845.759999999995</v>
      </c>
      <c r="BK20" s="39">
        <f t="shared" si="12"/>
        <v>0</v>
      </c>
      <c r="BL20" s="210">
        <f t="shared" si="26"/>
        <v>75845.759999999995</v>
      </c>
      <c r="BM20" s="178" t="e">
        <f t="shared" si="5"/>
        <v>#DIV/0!</v>
      </c>
      <c r="BN20" s="42"/>
      <c r="BO20" s="1"/>
      <c r="BP20" s="842"/>
      <c r="BQ20" s="842"/>
      <c r="BR20" s="1"/>
      <c r="BS20" s="1"/>
      <c r="BT20" s="1"/>
    </row>
    <row r="21" spans="1:72" s="2" customFormat="1" ht="96.6" x14ac:dyDescent="0.25">
      <c r="A21" s="238"/>
      <c r="B21" s="471" t="s">
        <v>58</v>
      </c>
      <c r="C21" s="114">
        <v>1089002.7</v>
      </c>
      <c r="D21" s="445"/>
      <c r="E21" s="446">
        <f t="shared" si="6"/>
        <v>1089002.7</v>
      </c>
      <c r="F21" s="447">
        <f t="shared" si="0"/>
        <v>5.5122451502229275E-2</v>
      </c>
      <c r="G21" s="452">
        <f>27*518.54+104937.5</f>
        <v>118938.08</v>
      </c>
      <c r="H21" s="452">
        <f>2600</f>
        <v>2600</v>
      </c>
      <c r="I21" s="453">
        <f t="shared" si="13"/>
        <v>121538.08</v>
      </c>
      <c r="J21" s="450">
        <f t="shared" si="1"/>
        <v>0.38822487073109424</v>
      </c>
      <c r="K21" s="454" t="s">
        <v>540</v>
      </c>
      <c r="L21" s="452">
        <f>228650+124125+36000+27243</f>
        <v>416018</v>
      </c>
      <c r="M21" s="452"/>
      <c r="N21" s="453">
        <f t="shared" si="14"/>
        <v>416018</v>
      </c>
      <c r="O21" s="450">
        <f t="shared" si="2"/>
        <v>0.34041724785519256</v>
      </c>
      <c r="P21" s="462" t="s">
        <v>602</v>
      </c>
      <c r="Q21" s="452">
        <v>49606</v>
      </c>
      <c r="R21" s="452"/>
      <c r="S21" s="453">
        <f t="shared" si="15"/>
        <v>49606</v>
      </c>
      <c r="T21" s="450">
        <f t="shared" si="27"/>
        <v>7.046250743817443E-3</v>
      </c>
      <c r="U21" s="714" t="s">
        <v>695</v>
      </c>
      <c r="V21" s="452">
        <v>83464.399999999994</v>
      </c>
      <c r="W21" s="452"/>
      <c r="X21" s="453">
        <f t="shared" si="16"/>
        <v>83464.399999999994</v>
      </c>
      <c r="Y21" s="450">
        <f t="shared" si="17"/>
        <v>3.3921327764792321E-2</v>
      </c>
      <c r="Z21" s="714" t="s">
        <v>765</v>
      </c>
      <c r="AA21" s="452"/>
      <c r="AB21" s="452"/>
      <c r="AC21" s="453">
        <f t="shared" si="18"/>
        <v>0</v>
      </c>
      <c r="AD21" s="541">
        <f t="shared" si="19"/>
        <v>0</v>
      </c>
      <c r="AE21" s="714"/>
      <c r="AF21" s="452">
        <v>108716</v>
      </c>
      <c r="AG21" s="452"/>
      <c r="AH21" s="453">
        <f t="shared" si="20"/>
        <v>108716</v>
      </c>
      <c r="AI21" s="450" t="e">
        <f t="shared" si="3"/>
        <v>#DIV/0!</v>
      </c>
      <c r="AJ21" s="714" t="s">
        <v>842</v>
      </c>
      <c r="AK21" s="452">
        <f>52362.1+42125.9</f>
        <v>94488</v>
      </c>
      <c r="AL21" s="452"/>
      <c r="AM21" s="453">
        <f t="shared" si="21"/>
        <v>94488</v>
      </c>
      <c r="AN21" s="450" t="e">
        <f t="shared" si="7"/>
        <v>#DIV/0!</v>
      </c>
      <c r="AO21" s="714" t="s">
        <v>877</v>
      </c>
      <c r="AP21" s="452"/>
      <c r="AQ21" s="452"/>
      <c r="AR21" s="453">
        <f t="shared" si="22"/>
        <v>0</v>
      </c>
      <c r="AS21" s="450">
        <f t="shared" si="8"/>
        <v>0</v>
      </c>
      <c r="AT21" s="714"/>
      <c r="AU21" s="452"/>
      <c r="AV21" s="452"/>
      <c r="AW21" s="453">
        <f t="shared" si="23"/>
        <v>0</v>
      </c>
      <c r="AX21" s="450" t="e">
        <f t="shared" si="9"/>
        <v>#DIV/0!</v>
      </c>
      <c r="AY21" s="714"/>
      <c r="AZ21" s="39">
        <v>-324354.48</v>
      </c>
      <c r="BA21" s="39">
        <v>-2600</v>
      </c>
      <c r="BB21" s="453">
        <f t="shared" si="24"/>
        <v>-326954.48</v>
      </c>
      <c r="BC21" s="450" t="e">
        <f t="shared" si="10"/>
        <v>#DIV/0!</v>
      </c>
      <c r="BD21" s="714"/>
      <c r="BE21" s="39"/>
      <c r="BF21" s="39"/>
      <c r="BG21" s="453">
        <f t="shared" si="25"/>
        <v>0</v>
      </c>
      <c r="BH21" s="450">
        <f t="shared" si="4"/>
        <v>0</v>
      </c>
      <c r="BI21" s="714"/>
      <c r="BJ21" s="39">
        <f t="shared" si="11"/>
        <v>546876</v>
      </c>
      <c r="BK21" s="39">
        <f t="shared" si="12"/>
        <v>0</v>
      </c>
      <c r="BL21" s="210">
        <f t="shared" si="26"/>
        <v>546876</v>
      </c>
      <c r="BM21" s="178" t="e">
        <f t="shared" si="5"/>
        <v>#DIV/0!</v>
      </c>
      <c r="BN21" s="42"/>
      <c r="BO21" s="1"/>
      <c r="BP21" s="842"/>
      <c r="BQ21" s="842"/>
      <c r="BR21" s="1"/>
      <c r="BS21" s="1"/>
      <c r="BT21" s="1"/>
    </row>
    <row r="22" spans="1:72" s="2" customFormat="1" ht="108" customHeight="1" x14ac:dyDescent="0.25">
      <c r="A22" s="238"/>
      <c r="B22" s="471" t="s">
        <v>621</v>
      </c>
      <c r="C22" s="114">
        <v>649100.04</v>
      </c>
      <c r="D22" s="445"/>
      <c r="E22" s="446"/>
      <c r="F22" s="447"/>
      <c r="G22" s="452"/>
      <c r="H22" s="452"/>
      <c r="I22" s="453"/>
      <c r="J22" s="450"/>
      <c r="K22" s="454"/>
      <c r="L22" s="452"/>
      <c r="M22" s="452"/>
      <c r="N22" s="453"/>
      <c r="O22" s="450">
        <f t="shared" si="2"/>
        <v>0</v>
      </c>
      <c r="P22" s="462"/>
      <c r="Q22" s="452">
        <f>30375*1.2+5000*1.2+3750*1.2+6416.67*1.2+14250*1.2+51375*1.2+5041.67*1.2+8250*1.2+47250*1.2</f>
        <v>206050.008</v>
      </c>
      <c r="R22" s="452">
        <v>43320</v>
      </c>
      <c r="S22" s="453">
        <f t="shared" si="15"/>
        <v>249370.008</v>
      </c>
      <c r="T22" s="450">
        <f t="shared" si="27"/>
        <v>3.5421594249803692E-2</v>
      </c>
      <c r="U22" s="714" t="s">
        <v>696</v>
      </c>
      <c r="V22" s="452">
        <f>126499.86*1.2</f>
        <v>151799.83199999999</v>
      </c>
      <c r="W22" s="452">
        <v>12240</v>
      </c>
      <c r="X22" s="453">
        <f t="shared" si="16"/>
        <v>164039.83199999999</v>
      </c>
      <c r="Y22" s="450">
        <f t="shared" si="17"/>
        <v>6.666853062806978E-2</v>
      </c>
      <c r="Z22" s="714" t="s">
        <v>772</v>
      </c>
      <c r="AA22" s="452">
        <f>12000+10800+10800+22500+40500+7000+25000+57600</f>
        <v>186200</v>
      </c>
      <c r="AB22" s="452"/>
      <c r="AC22" s="453">
        <f t="shared" si="18"/>
        <v>186200</v>
      </c>
      <c r="AD22" s="541">
        <f t="shared" si="19"/>
        <v>6.5282704326534727E-2</v>
      </c>
      <c r="AE22" s="714" t="s">
        <v>812</v>
      </c>
      <c r="AF22" s="452">
        <f>5416.67*1.2+51375*1.2+47625*1.2</f>
        <v>125300.004</v>
      </c>
      <c r="AG22" s="452"/>
      <c r="AH22" s="453">
        <f t="shared" si="20"/>
        <v>125300.004</v>
      </c>
      <c r="AI22" s="450" t="e">
        <f t="shared" si="3"/>
        <v>#DIV/0!</v>
      </c>
      <c r="AJ22" s="714" t="s">
        <v>843</v>
      </c>
      <c r="AK22" s="452">
        <f>(2166.67*1.2)*2+5000*1.2+6720+46500*1.2+625*1.2+43875*1.2</f>
        <v>127120.008</v>
      </c>
      <c r="AL22" s="452"/>
      <c r="AM22" s="453">
        <f t="shared" si="21"/>
        <v>127120.008</v>
      </c>
      <c r="AN22" s="450" t="e">
        <f t="shared" si="7"/>
        <v>#DIV/0!</v>
      </c>
      <c r="AO22" s="714" t="s">
        <v>878</v>
      </c>
      <c r="AP22" s="452">
        <f>117750*1.2</f>
        <v>141300</v>
      </c>
      <c r="AQ22" s="452"/>
      <c r="AR22" s="453">
        <f t="shared" si="22"/>
        <v>141300</v>
      </c>
      <c r="AS22" s="450">
        <f t="shared" si="8"/>
        <v>0.54528949458970621</v>
      </c>
      <c r="AT22" s="714" t="s">
        <v>901</v>
      </c>
      <c r="AU22" s="452"/>
      <c r="AV22" s="452"/>
      <c r="AW22" s="453">
        <f t="shared" si="23"/>
        <v>0</v>
      </c>
      <c r="AX22" s="450" t="e">
        <f t="shared" si="9"/>
        <v>#DIV/0!</v>
      </c>
      <c r="AY22" s="714"/>
      <c r="AZ22" s="39">
        <v>453494.5</v>
      </c>
      <c r="BA22" s="39">
        <v>0</v>
      </c>
      <c r="BB22" s="453">
        <f t="shared" si="24"/>
        <v>453494.5</v>
      </c>
      <c r="BC22" s="450" t="e">
        <f t="shared" si="10"/>
        <v>#DIV/0!</v>
      </c>
      <c r="BD22" s="714"/>
      <c r="BE22" s="39"/>
      <c r="BF22" s="39"/>
      <c r="BG22" s="453">
        <f t="shared" si="25"/>
        <v>0</v>
      </c>
      <c r="BH22" s="450">
        <f t="shared" si="4"/>
        <v>0</v>
      </c>
      <c r="BI22" s="714"/>
      <c r="BJ22" s="39">
        <f t="shared" si="11"/>
        <v>1391264.352</v>
      </c>
      <c r="BK22" s="39">
        <f t="shared" si="12"/>
        <v>55560</v>
      </c>
      <c r="BL22" s="210">
        <f t="shared" si="26"/>
        <v>1446824.352</v>
      </c>
      <c r="BM22" s="178" t="e">
        <f t="shared" si="5"/>
        <v>#DIV/0!</v>
      </c>
      <c r="BN22" s="456"/>
      <c r="BO22" s="1"/>
      <c r="BP22" s="842"/>
      <c r="BQ22" s="842"/>
      <c r="BR22" s="1"/>
      <c r="BS22" s="1"/>
      <c r="BT22" s="1"/>
    </row>
    <row r="23" spans="1:72" s="2" customFormat="1" ht="13.8" x14ac:dyDescent="0.25">
      <c r="A23" s="238"/>
      <c r="B23" s="471" t="s">
        <v>630</v>
      </c>
      <c r="C23" s="114"/>
      <c r="D23" s="445"/>
      <c r="E23" s="446"/>
      <c r="F23" s="447"/>
      <c r="G23" s="452"/>
      <c r="H23" s="452"/>
      <c r="I23" s="453"/>
      <c r="J23" s="450"/>
      <c r="K23" s="454"/>
      <c r="L23" s="452"/>
      <c r="M23" s="452"/>
      <c r="N23" s="453"/>
      <c r="O23" s="450"/>
      <c r="P23" s="462"/>
      <c r="Q23" s="452"/>
      <c r="R23" s="452"/>
      <c r="S23" s="453">
        <f t="shared" si="15"/>
        <v>0</v>
      </c>
      <c r="T23" s="450">
        <f t="shared" si="27"/>
        <v>0</v>
      </c>
      <c r="U23" s="714"/>
      <c r="V23" s="452"/>
      <c r="W23" s="452"/>
      <c r="X23" s="453">
        <f t="shared" si="16"/>
        <v>0</v>
      </c>
      <c r="Y23" s="450">
        <f t="shared" si="17"/>
        <v>0</v>
      </c>
      <c r="Z23" s="714"/>
      <c r="AA23" s="452"/>
      <c r="AB23" s="452"/>
      <c r="AC23" s="453">
        <f t="shared" si="18"/>
        <v>0</v>
      </c>
      <c r="AD23" s="541">
        <f t="shared" si="19"/>
        <v>0</v>
      </c>
      <c r="AE23" s="714"/>
      <c r="AF23" s="452"/>
      <c r="AG23" s="452"/>
      <c r="AH23" s="453">
        <f t="shared" si="20"/>
        <v>0</v>
      </c>
      <c r="AI23" s="450" t="e">
        <f t="shared" si="3"/>
        <v>#DIV/0!</v>
      </c>
      <c r="AJ23" s="714"/>
      <c r="AK23" s="452"/>
      <c r="AL23" s="452"/>
      <c r="AM23" s="453">
        <f t="shared" si="21"/>
        <v>0</v>
      </c>
      <c r="AN23" s="450" t="e">
        <f t="shared" si="7"/>
        <v>#DIV/0!</v>
      </c>
      <c r="AO23" s="714"/>
      <c r="AP23" s="452"/>
      <c r="AQ23" s="452"/>
      <c r="AR23" s="453">
        <f t="shared" si="22"/>
        <v>0</v>
      </c>
      <c r="AS23" s="450">
        <f t="shared" si="8"/>
        <v>0</v>
      </c>
      <c r="AT23" s="714"/>
      <c r="AU23" s="452"/>
      <c r="AV23" s="452"/>
      <c r="AW23" s="453">
        <f t="shared" si="23"/>
        <v>0</v>
      </c>
      <c r="AX23" s="450" t="e">
        <f t="shared" si="9"/>
        <v>#DIV/0!</v>
      </c>
      <c r="AY23" s="714"/>
      <c r="AZ23" s="39">
        <v>0</v>
      </c>
      <c r="BA23" s="39">
        <v>0</v>
      </c>
      <c r="BB23" s="453">
        <f t="shared" si="24"/>
        <v>0</v>
      </c>
      <c r="BC23" s="450" t="e">
        <f t="shared" si="10"/>
        <v>#DIV/0!</v>
      </c>
      <c r="BD23" s="714"/>
      <c r="BE23" s="39"/>
      <c r="BF23" s="39"/>
      <c r="BG23" s="453">
        <f t="shared" si="25"/>
        <v>0</v>
      </c>
      <c r="BH23" s="450">
        <f t="shared" si="4"/>
        <v>0</v>
      </c>
      <c r="BI23" s="714"/>
      <c r="BJ23" s="39">
        <f t="shared" si="11"/>
        <v>0</v>
      </c>
      <c r="BK23" s="39">
        <f t="shared" si="12"/>
        <v>0</v>
      </c>
      <c r="BL23" s="210">
        <f t="shared" si="26"/>
        <v>0</v>
      </c>
      <c r="BM23" s="178" t="e">
        <f t="shared" si="5"/>
        <v>#DIV/0!</v>
      </c>
      <c r="BN23" s="456"/>
      <c r="BO23" s="1"/>
      <c r="BP23" s="842"/>
      <c r="BQ23" s="842"/>
      <c r="BR23" s="1"/>
      <c r="BS23" s="1"/>
      <c r="BT23" s="1"/>
    </row>
    <row r="24" spans="1:72" s="2" customFormat="1" ht="132" customHeight="1" x14ac:dyDescent="0.25">
      <c r="A24" s="238"/>
      <c r="B24" s="471" t="s">
        <v>23</v>
      </c>
      <c r="C24" s="114"/>
      <c r="D24" s="445"/>
      <c r="E24" s="446">
        <f t="shared" si="6"/>
        <v>0</v>
      </c>
      <c r="F24" s="447">
        <f t="shared" ref="F24:F33" si="28">E24/$E$89</f>
        <v>0</v>
      </c>
      <c r="G24" s="452">
        <f>21200+4500+20000+4200</f>
        <v>49900</v>
      </c>
      <c r="H24" s="452"/>
      <c r="I24" s="453">
        <f t="shared" si="13"/>
        <v>49900</v>
      </c>
      <c r="J24" s="450">
        <f t="shared" ref="J24:J33" si="29">I24/$I$89</f>
        <v>0.15939383812449234</v>
      </c>
      <c r="K24" s="454" t="s">
        <v>773</v>
      </c>
      <c r="L24" s="452">
        <f>780+600+28200+8000+8400+(3750+9611.69+3750)*1.2</f>
        <v>66514.028000000006</v>
      </c>
      <c r="M24" s="452"/>
      <c r="N24" s="453">
        <f t="shared" si="14"/>
        <v>66514.028000000006</v>
      </c>
      <c r="O24" s="450">
        <f t="shared" ref="O24:O33" si="30">N24/$N$89</f>
        <v>5.4426785272568057E-2</v>
      </c>
      <c r="P24" s="462" t="s">
        <v>774</v>
      </c>
      <c r="Q24" s="452">
        <f>50760*1.2+ 58276</f>
        <v>119188</v>
      </c>
      <c r="R24" s="452"/>
      <c r="S24" s="453">
        <f t="shared" si="15"/>
        <v>119188</v>
      </c>
      <c r="T24" s="450">
        <f t="shared" si="27"/>
        <v>1.6929978906868391E-2</v>
      </c>
      <c r="U24" s="714" t="s">
        <v>681</v>
      </c>
      <c r="V24" s="452">
        <f>80791*1.2</f>
        <v>96949.2</v>
      </c>
      <c r="W24" s="452"/>
      <c r="X24" s="453">
        <f t="shared" si="16"/>
        <v>96949.2</v>
      </c>
      <c r="Y24" s="450">
        <f t="shared" si="17"/>
        <v>3.9401775963577329E-2</v>
      </c>
      <c r="Z24" s="714"/>
      <c r="AA24" s="452">
        <f>25750*1.2</f>
        <v>30900</v>
      </c>
      <c r="AB24" s="452"/>
      <c r="AC24" s="453">
        <f t="shared" si="18"/>
        <v>30900</v>
      </c>
      <c r="AD24" s="541">
        <f t="shared" si="19"/>
        <v>1.0833703349569943E-2</v>
      </c>
      <c r="AE24" s="714"/>
      <c r="AF24" s="452">
        <f>22083.33*1.2</f>
        <v>26499.996000000003</v>
      </c>
      <c r="AG24" s="452"/>
      <c r="AH24" s="453">
        <f t="shared" si="20"/>
        <v>26499.996000000003</v>
      </c>
      <c r="AI24" s="450" t="e">
        <f t="shared" si="3"/>
        <v>#DIV/0!</v>
      </c>
      <c r="AJ24" s="714"/>
      <c r="AK24" s="452">
        <f>840+625*1.2</f>
        <v>1590</v>
      </c>
      <c r="AL24" s="452"/>
      <c r="AM24" s="453">
        <f t="shared" si="21"/>
        <v>1590</v>
      </c>
      <c r="AN24" s="450" t="e">
        <f t="shared" si="7"/>
        <v>#DIV/0!</v>
      </c>
      <c r="AO24" s="714"/>
      <c r="AP24" s="452"/>
      <c r="AQ24" s="452">
        <v>743</v>
      </c>
      <c r="AR24" s="453">
        <f t="shared" si="22"/>
        <v>743</v>
      </c>
      <c r="AS24" s="450">
        <f t="shared" si="8"/>
        <v>2.8673042779911659E-3</v>
      </c>
      <c r="AT24" s="714" t="s">
        <v>897</v>
      </c>
      <c r="AU24" s="452"/>
      <c r="AV24" s="452"/>
      <c r="AW24" s="453">
        <f t="shared" si="23"/>
        <v>0</v>
      </c>
      <c r="AX24" s="450" t="e">
        <f t="shared" si="9"/>
        <v>#DIV/0!</v>
      </c>
      <c r="AY24" s="714"/>
      <c r="AZ24" s="39">
        <v>-68959.216000000015</v>
      </c>
      <c r="BA24" s="39">
        <v>-743</v>
      </c>
      <c r="BB24" s="453">
        <f t="shared" si="24"/>
        <v>-69702.216000000015</v>
      </c>
      <c r="BC24" s="450" t="e">
        <f t="shared" si="10"/>
        <v>#DIV/0!</v>
      </c>
      <c r="BD24" s="714"/>
      <c r="BE24" s="39"/>
      <c r="BF24" s="39"/>
      <c r="BG24" s="453">
        <f t="shared" si="25"/>
        <v>0</v>
      </c>
      <c r="BH24" s="450">
        <f t="shared" si="4"/>
        <v>0</v>
      </c>
      <c r="BI24" s="714"/>
      <c r="BJ24" s="39">
        <f t="shared" si="11"/>
        <v>322582.00799999997</v>
      </c>
      <c r="BK24" s="39">
        <f t="shared" si="12"/>
        <v>0</v>
      </c>
      <c r="BL24" s="210">
        <f t="shared" si="26"/>
        <v>322582.00799999997</v>
      </c>
      <c r="BM24" s="178" t="e">
        <f t="shared" ref="BM24:BM33" si="31">BL24/$BL$89</f>
        <v>#DIV/0!</v>
      </c>
      <c r="BN24" s="42"/>
      <c r="BO24" s="1"/>
      <c r="BP24" s="842"/>
      <c r="BQ24" s="842"/>
      <c r="BR24" s="1"/>
      <c r="BS24" s="1"/>
      <c r="BT24" s="1"/>
    </row>
    <row r="25" spans="1:72" s="2" customFormat="1" ht="37.950000000000003" customHeight="1" x14ac:dyDescent="0.25">
      <c r="A25" s="238"/>
      <c r="B25" s="471" t="s">
        <v>24</v>
      </c>
      <c r="C25" s="114">
        <v>632392.66</v>
      </c>
      <c r="D25" s="445">
        <v>5000</v>
      </c>
      <c r="E25" s="446">
        <f t="shared" si="6"/>
        <v>637392.66</v>
      </c>
      <c r="F25" s="447">
        <f t="shared" si="28"/>
        <v>3.2263139465794635E-2</v>
      </c>
      <c r="G25" s="452"/>
      <c r="H25" s="452">
        <v>4921</v>
      </c>
      <c r="I25" s="453">
        <f t="shared" si="13"/>
        <v>4921</v>
      </c>
      <c r="J25" s="450">
        <f t="shared" si="29"/>
        <v>1.5718979507226991E-2</v>
      </c>
      <c r="K25" s="454" t="s">
        <v>508</v>
      </c>
      <c r="L25" s="452">
        <f>2726.09*1.2</f>
        <v>3271.308</v>
      </c>
      <c r="M25" s="452">
        <v>605</v>
      </c>
      <c r="N25" s="453">
        <f t="shared" si="14"/>
        <v>3876.308</v>
      </c>
      <c r="O25" s="450">
        <f t="shared" si="30"/>
        <v>3.1718870366163623E-3</v>
      </c>
      <c r="P25" s="455" t="s">
        <v>571</v>
      </c>
      <c r="Q25" s="452">
        <f>47318.68*1.2</f>
        <v>56782.415999999997</v>
      </c>
      <c r="R25" s="452"/>
      <c r="S25" s="453">
        <f t="shared" ref="S25:S33" si="32">Q25+R25*1</f>
        <v>56782.415999999997</v>
      </c>
      <c r="T25" s="450">
        <f t="shared" si="27"/>
        <v>8.0656199043613978E-3</v>
      </c>
      <c r="U25" s="714"/>
      <c r="V25" s="452">
        <f>45021.93*1.2</f>
        <v>54026.315999999999</v>
      </c>
      <c r="W25" s="452">
        <v>3539.24</v>
      </c>
      <c r="X25" s="453">
        <f t="shared" si="16"/>
        <v>57565.555999999997</v>
      </c>
      <c r="Y25" s="450">
        <f>X25/$X$89</f>
        <v>2.3395604509689246E-2</v>
      </c>
      <c r="Z25" s="714" t="s">
        <v>767</v>
      </c>
      <c r="AA25" s="452">
        <f>30489.15*1.2</f>
        <v>36586.980000000003</v>
      </c>
      <c r="AB25" s="452">
        <v>8157.78</v>
      </c>
      <c r="AC25" s="453">
        <f t="shared" si="18"/>
        <v>44744.76</v>
      </c>
      <c r="AD25" s="541">
        <f t="shared" si="19"/>
        <v>1.568774939442405E-2</v>
      </c>
      <c r="AE25" s="714"/>
      <c r="AF25" s="452">
        <f>11235.89*1.2</f>
        <v>13483.067999999999</v>
      </c>
      <c r="AG25" s="452">
        <v>4833</v>
      </c>
      <c r="AH25" s="453">
        <f t="shared" si="20"/>
        <v>18316.067999999999</v>
      </c>
      <c r="AI25" s="450" t="e">
        <f t="shared" si="3"/>
        <v>#DIV/0!</v>
      </c>
      <c r="AJ25" s="714"/>
      <c r="AK25" s="452">
        <f>3428.9*1.2</f>
        <v>4114.68</v>
      </c>
      <c r="AL25" s="452">
        <v>2921.9</v>
      </c>
      <c r="AM25" s="453">
        <f t="shared" si="21"/>
        <v>7036.58</v>
      </c>
      <c r="AN25" s="450" t="e">
        <f t="shared" si="7"/>
        <v>#DIV/0!</v>
      </c>
      <c r="AO25" s="714"/>
      <c r="AP25" s="452"/>
      <c r="AQ25" s="452">
        <v>3230.43</v>
      </c>
      <c r="AR25" s="453">
        <f t="shared" si="22"/>
        <v>3230.43</v>
      </c>
      <c r="AS25" s="450">
        <f t="shared" si="8"/>
        <v>1.2466521882572006E-2</v>
      </c>
      <c r="AT25" s="714"/>
      <c r="AU25" s="452">
        <f>2764.17*1.2</f>
        <v>3317.0039999999999</v>
      </c>
      <c r="AV25" s="452"/>
      <c r="AW25" s="453">
        <f t="shared" si="23"/>
        <v>3317.0039999999999</v>
      </c>
      <c r="AX25" s="450" t="e">
        <f t="shared" si="9"/>
        <v>#DIV/0!</v>
      </c>
      <c r="AY25" s="714"/>
      <c r="AZ25" s="39">
        <v>8255.6640000000189</v>
      </c>
      <c r="BA25" s="39">
        <v>1887.0599999999977</v>
      </c>
      <c r="BB25" s="453">
        <f t="shared" si="24"/>
        <v>10142.724000000017</v>
      </c>
      <c r="BC25" s="450" t="e">
        <f t="shared" si="10"/>
        <v>#DIV/0!</v>
      </c>
      <c r="BD25" s="714"/>
      <c r="BE25" s="39"/>
      <c r="BF25" s="39"/>
      <c r="BG25" s="453">
        <f t="shared" si="25"/>
        <v>0</v>
      </c>
      <c r="BH25" s="450">
        <f t="shared" si="4"/>
        <v>0</v>
      </c>
      <c r="BI25" s="714"/>
      <c r="BJ25" s="39">
        <f t="shared" si="11"/>
        <v>179837.43599999999</v>
      </c>
      <c r="BK25" s="39">
        <f t="shared" si="12"/>
        <v>30095.41</v>
      </c>
      <c r="BL25" s="210">
        <f t="shared" si="26"/>
        <v>209932.84599999999</v>
      </c>
      <c r="BM25" s="178" t="e">
        <f t="shared" si="31"/>
        <v>#DIV/0!</v>
      </c>
      <c r="BN25" s="42"/>
      <c r="BO25" s="1"/>
      <c r="BP25" s="842"/>
      <c r="BQ25" s="842"/>
      <c r="BR25" s="1"/>
      <c r="BS25" s="1"/>
      <c r="BT25" s="1"/>
    </row>
    <row r="26" spans="1:72" s="2" customFormat="1" ht="35.4" customHeight="1" x14ac:dyDescent="0.25">
      <c r="A26" s="238"/>
      <c r="B26" s="471" t="s">
        <v>45</v>
      </c>
      <c r="C26" s="114">
        <v>10332987.140000001</v>
      </c>
      <c r="D26" s="445"/>
      <c r="E26" s="446">
        <f t="shared" si="6"/>
        <v>10332987.140000001</v>
      </c>
      <c r="F26" s="447">
        <f t="shared" si="28"/>
        <v>0.5230286228838632</v>
      </c>
      <c r="G26" s="452"/>
      <c r="H26" s="452"/>
      <c r="I26" s="453">
        <f t="shared" si="13"/>
        <v>0</v>
      </c>
      <c r="J26" s="450">
        <f t="shared" si="29"/>
        <v>0</v>
      </c>
      <c r="K26" s="456"/>
      <c r="L26" s="452">
        <f>(199421.98-65355.08-118842.03)*1.2</f>
        <v>18269.84400000003</v>
      </c>
      <c r="M26" s="452"/>
      <c r="N26" s="453">
        <f t="shared" si="14"/>
        <v>18269.84400000003</v>
      </c>
      <c r="O26" s="450">
        <f t="shared" si="30"/>
        <v>1.4949761820939749E-2</v>
      </c>
      <c r="P26" s="460" t="s">
        <v>573</v>
      </c>
      <c r="Q26" s="452">
        <f>(4889035-482847.57-15195.93-86737-376647.29)*1.2</f>
        <v>4713128.6519999998</v>
      </c>
      <c r="R26" s="452"/>
      <c r="S26" s="453">
        <f t="shared" si="32"/>
        <v>4713128.6519999998</v>
      </c>
      <c r="T26" s="450">
        <f t="shared" si="27"/>
        <v>0.66947317400843254</v>
      </c>
      <c r="U26" s="714"/>
      <c r="V26" s="452">
        <f>(643195.55-32308)*1.2</f>
        <v>733065.06</v>
      </c>
      <c r="W26" s="452">
        <v>2600</v>
      </c>
      <c r="X26" s="453">
        <f t="shared" si="16"/>
        <v>735665.06</v>
      </c>
      <c r="Y26" s="450">
        <f t="shared" si="17"/>
        <v>0.29898658140914702</v>
      </c>
      <c r="Z26" s="714" t="s">
        <v>764</v>
      </c>
      <c r="AA26" s="452">
        <f>922863.09*1.2</f>
        <v>1107435.7079999999</v>
      </c>
      <c r="AB26" s="452">
        <v>2535</v>
      </c>
      <c r="AC26" s="453">
        <f t="shared" si="18"/>
        <v>1109970.7079999999</v>
      </c>
      <c r="AD26" s="541">
        <f t="shared" si="19"/>
        <v>0.38916159796712357</v>
      </c>
      <c r="AE26" s="714"/>
      <c r="AF26" s="452">
        <f>2842641*1.2</f>
        <v>3411169.1999999997</v>
      </c>
      <c r="AG26" s="452"/>
      <c r="AH26" s="453">
        <f t="shared" si="20"/>
        <v>3411169.1999999997</v>
      </c>
      <c r="AI26" s="450" t="e">
        <f t="shared" si="3"/>
        <v>#DIV/0!</v>
      </c>
      <c r="AJ26" s="714"/>
      <c r="AK26" s="452">
        <f>296153.16*1.2</f>
        <v>355383.79199999996</v>
      </c>
      <c r="AL26" s="452"/>
      <c r="AM26" s="453">
        <f t="shared" si="21"/>
        <v>355383.79199999996</v>
      </c>
      <c r="AN26" s="450" t="e">
        <f t="shared" si="7"/>
        <v>#DIV/0!</v>
      </c>
      <c r="AO26" s="714"/>
      <c r="AP26" s="452"/>
      <c r="AQ26" s="452"/>
      <c r="AR26" s="453">
        <f t="shared" si="22"/>
        <v>0</v>
      </c>
      <c r="AS26" s="450">
        <f t="shared" si="8"/>
        <v>0</v>
      </c>
      <c r="AT26" s="714"/>
      <c r="AU26" s="452">
        <f>586512.46*1.2</f>
        <v>703814.95199999993</v>
      </c>
      <c r="AV26" s="452">
        <v>676.8</v>
      </c>
      <c r="AW26" s="453">
        <f t="shared" si="23"/>
        <v>704491.75199999998</v>
      </c>
      <c r="AX26" s="450" t="e">
        <f t="shared" si="9"/>
        <v>#DIV/0!</v>
      </c>
      <c r="AY26" s="714" t="s">
        <v>917</v>
      </c>
      <c r="AZ26" s="39">
        <v>106285.60199999996</v>
      </c>
      <c r="BA26" s="39">
        <v>0</v>
      </c>
      <c r="BB26" s="453">
        <f t="shared" si="24"/>
        <v>106285.60199999996</v>
      </c>
      <c r="BC26" s="450" t="e">
        <f t="shared" si="10"/>
        <v>#DIV/0!</v>
      </c>
      <c r="BD26" s="714"/>
      <c r="BE26" s="39"/>
      <c r="BF26" s="39"/>
      <c r="BG26" s="453">
        <f t="shared" si="25"/>
        <v>0</v>
      </c>
      <c r="BH26" s="450">
        <f t="shared" si="4"/>
        <v>0</v>
      </c>
      <c r="BI26" s="714"/>
      <c r="BJ26" s="39">
        <f t="shared" si="11"/>
        <v>11148552.809999999</v>
      </c>
      <c r="BK26" s="39">
        <f t="shared" si="12"/>
        <v>5811.8</v>
      </c>
      <c r="BL26" s="210">
        <f t="shared" si="26"/>
        <v>11154364.609999999</v>
      </c>
      <c r="BM26" s="178" t="e">
        <f t="shared" si="31"/>
        <v>#DIV/0!</v>
      </c>
      <c r="BN26" s="42"/>
      <c r="BO26" s="1"/>
      <c r="BP26" s="842"/>
      <c r="BQ26" s="842"/>
      <c r="BR26" s="1"/>
      <c r="BS26" s="1"/>
      <c r="BT26" s="1"/>
    </row>
    <row r="27" spans="1:72" s="2" customFormat="1" ht="41.4" x14ac:dyDescent="0.25">
      <c r="A27" s="238"/>
      <c r="B27" s="471" t="s">
        <v>25</v>
      </c>
      <c r="C27" s="114">
        <v>5000</v>
      </c>
      <c r="D27" s="445"/>
      <c r="E27" s="446">
        <f t="shared" si="6"/>
        <v>5000</v>
      </c>
      <c r="F27" s="447">
        <f t="shared" si="28"/>
        <v>2.5308684497398067E-4</v>
      </c>
      <c r="G27" s="452"/>
      <c r="H27" s="452"/>
      <c r="I27" s="453">
        <f t="shared" si="13"/>
        <v>0</v>
      </c>
      <c r="J27" s="450">
        <f t="shared" si="29"/>
        <v>0</v>
      </c>
      <c r="K27" s="456"/>
      <c r="L27" s="452"/>
      <c r="M27" s="452">
        <v>1540</v>
      </c>
      <c r="N27" s="453">
        <f t="shared" si="14"/>
        <v>1540</v>
      </c>
      <c r="O27" s="450">
        <f t="shared" si="30"/>
        <v>1.260143940158831E-3</v>
      </c>
      <c r="P27" s="452" t="s">
        <v>566</v>
      </c>
      <c r="Q27" s="452"/>
      <c r="R27" s="452">
        <v>100</v>
      </c>
      <c r="S27" s="453">
        <f t="shared" si="32"/>
        <v>100</v>
      </c>
      <c r="T27" s="450">
        <f t="shared" si="27"/>
        <v>1.4204432415065604E-5</v>
      </c>
      <c r="U27" s="714" t="s">
        <v>693</v>
      </c>
      <c r="V27" s="452"/>
      <c r="W27" s="452"/>
      <c r="X27" s="453">
        <f t="shared" si="16"/>
        <v>0</v>
      </c>
      <c r="Y27" s="450">
        <f t="shared" si="17"/>
        <v>0</v>
      </c>
      <c r="Z27" s="714"/>
      <c r="AA27" s="452"/>
      <c r="AB27" s="452"/>
      <c r="AC27" s="453">
        <f t="shared" si="18"/>
        <v>0</v>
      </c>
      <c r="AD27" s="541">
        <f t="shared" si="19"/>
        <v>0</v>
      </c>
      <c r="AE27" s="714"/>
      <c r="AF27" s="452">
        <f>1625*1.2+4169.97</f>
        <v>6119.97</v>
      </c>
      <c r="AG27" s="452">
        <v>100</v>
      </c>
      <c r="AH27" s="453">
        <f t="shared" si="20"/>
        <v>6219.97</v>
      </c>
      <c r="AI27" s="450" t="e">
        <f t="shared" si="3"/>
        <v>#DIV/0!</v>
      </c>
      <c r="AJ27" s="714" t="s">
        <v>844</v>
      </c>
      <c r="AK27" s="452">
        <f>2601.66*1.2</f>
        <v>3121.9919999999997</v>
      </c>
      <c r="AL27" s="452"/>
      <c r="AM27" s="453">
        <f t="shared" si="21"/>
        <v>3121.9919999999997</v>
      </c>
      <c r="AN27" s="450" t="e">
        <f t="shared" si="7"/>
        <v>#DIV/0!</v>
      </c>
      <c r="AO27" s="714" t="s">
        <v>880</v>
      </c>
      <c r="AP27" s="452"/>
      <c r="AQ27" s="452">
        <v>300</v>
      </c>
      <c r="AR27" s="453">
        <f t="shared" si="22"/>
        <v>300</v>
      </c>
      <c r="AS27" s="450">
        <f t="shared" si="8"/>
        <v>1.1577271647339835E-3</v>
      </c>
      <c r="AT27" s="714" t="s">
        <v>896</v>
      </c>
      <c r="AU27" s="452"/>
      <c r="AV27" s="452"/>
      <c r="AW27" s="453">
        <f t="shared" si="23"/>
        <v>0</v>
      </c>
      <c r="AX27" s="450" t="e">
        <f t="shared" si="9"/>
        <v>#DIV/0!</v>
      </c>
      <c r="AY27" s="714"/>
      <c r="AZ27" s="39">
        <v>3967.1980000000003</v>
      </c>
      <c r="BA27" s="39">
        <v>350</v>
      </c>
      <c r="BB27" s="453">
        <f t="shared" si="24"/>
        <v>4317.1980000000003</v>
      </c>
      <c r="BC27" s="450" t="e">
        <f t="shared" si="10"/>
        <v>#DIV/0!</v>
      </c>
      <c r="BD27" s="714"/>
      <c r="BE27" s="39"/>
      <c r="BF27" s="39"/>
      <c r="BG27" s="453">
        <f t="shared" si="25"/>
        <v>0</v>
      </c>
      <c r="BH27" s="450">
        <f t="shared" si="4"/>
        <v>0</v>
      </c>
      <c r="BI27" s="714"/>
      <c r="BJ27" s="39">
        <f t="shared" si="11"/>
        <v>13209.16</v>
      </c>
      <c r="BK27" s="39">
        <f t="shared" si="12"/>
        <v>2390</v>
      </c>
      <c r="BL27" s="210">
        <f t="shared" si="26"/>
        <v>15599.16</v>
      </c>
      <c r="BM27" s="178" t="e">
        <f t="shared" si="31"/>
        <v>#DIV/0!</v>
      </c>
      <c r="BN27" s="42"/>
      <c r="BO27" s="1"/>
      <c r="BP27" s="842"/>
      <c r="BQ27" s="842"/>
      <c r="BR27" s="1"/>
      <c r="BS27" s="1"/>
      <c r="BT27" s="1"/>
    </row>
    <row r="28" spans="1:72" s="226" customFormat="1" ht="87" customHeight="1" x14ac:dyDescent="0.25">
      <c r="A28" s="238"/>
      <c r="B28" s="496" t="s">
        <v>52</v>
      </c>
      <c r="C28" s="114">
        <f>315781.57+53950</f>
        <v>369731.57</v>
      </c>
      <c r="D28" s="445"/>
      <c r="E28" s="446">
        <f t="shared" si="6"/>
        <v>369731.57</v>
      </c>
      <c r="F28" s="447">
        <f t="shared" si="28"/>
        <v>1.8714839307715298E-2</v>
      </c>
      <c r="G28" s="452"/>
      <c r="H28" s="452">
        <v>1053</v>
      </c>
      <c r="I28" s="453">
        <f t="shared" si="13"/>
        <v>1053</v>
      </c>
      <c r="J28" s="450">
        <f t="shared" si="29"/>
        <v>3.3635613536090268E-3</v>
      </c>
      <c r="K28" s="454" t="s">
        <v>510</v>
      </c>
      <c r="L28" s="452"/>
      <c r="M28" s="452">
        <f>45+2300+100+800</f>
        <v>3245</v>
      </c>
      <c r="N28" s="453">
        <f t="shared" si="14"/>
        <v>3245</v>
      </c>
      <c r="O28" s="450">
        <f t="shared" si="30"/>
        <v>2.6553033024775364E-3</v>
      </c>
      <c r="P28" s="455" t="s">
        <v>567</v>
      </c>
      <c r="Q28" s="452">
        <f>2039*1.2+1395*1.2</f>
        <v>4120.7999999999993</v>
      </c>
      <c r="R28" s="452">
        <f>653.6+517.8</f>
        <v>1171.4000000000001</v>
      </c>
      <c r="S28" s="453">
        <f t="shared" si="32"/>
        <v>5292.1999999999989</v>
      </c>
      <c r="T28" s="450">
        <f t="shared" si="27"/>
        <v>7.5172697227010176E-4</v>
      </c>
      <c r="U28" s="714" t="s">
        <v>697</v>
      </c>
      <c r="V28" s="452">
        <f>1350*1.2+861+(140+220)*1.2</f>
        <v>2913</v>
      </c>
      <c r="W28" s="452">
        <f>2836.68</f>
        <v>2836.68</v>
      </c>
      <c r="X28" s="453">
        <f t="shared" si="16"/>
        <v>5749.68</v>
      </c>
      <c r="Y28" s="450">
        <f t="shared" si="17"/>
        <v>2.3367660921623005E-3</v>
      </c>
      <c r="Z28" s="714" t="s">
        <v>768</v>
      </c>
      <c r="AA28" s="452">
        <f>611+930*1.2+465*1.2</f>
        <v>2285</v>
      </c>
      <c r="AB28" s="452">
        <v>1200</v>
      </c>
      <c r="AC28" s="453">
        <f t="shared" si="18"/>
        <v>3485</v>
      </c>
      <c r="AD28" s="541">
        <f t="shared" si="19"/>
        <v>1.2218594230825647E-3</v>
      </c>
      <c r="AE28" s="714" t="s">
        <v>813</v>
      </c>
      <c r="AF28" s="452">
        <f>2039+1350*1.2+2166.16+2166.16+2166.16</f>
        <v>10157.48</v>
      </c>
      <c r="AG28" s="452">
        <v>900</v>
      </c>
      <c r="AH28" s="453">
        <f t="shared" si="20"/>
        <v>11057.48</v>
      </c>
      <c r="AI28" s="450" t="e">
        <f t="shared" si="3"/>
        <v>#DIV/0!</v>
      </c>
      <c r="AJ28" s="714" t="s">
        <v>866</v>
      </c>
      <c r="AK28" s="452">
        <f>745*1.2</f>
        <v>894</v>
      </c>
      <c r="AL28" s="452"/>
      <c r="AM28" s="453">
        <f t="shared" si="21"/>
        <v>894</v>
      </c>
      <c r="AN28" s="450" t="e">
        <f t="shared" si="7"/>
        <v>#DIV/0!</v>
      </c>
      <c r="AO28" s="714" t="s">
        <v>879</v>
      </c>
      <c r="AP28" s="452">
        <f>80*1.2</f>
        <v>96</v>
      </c>
      <c r="AQ28" s="452">
        <v>3259.02</v>
      </c>
      <c r="AR28" s="453">
        <f t="shared" si="22"/>
        <v>3355.02</v>
      </c>
      <c r="AS28" s="450">
        <f t="shared" si="8"/>
        <v>1.2947325974086031E-2</v>
      </c>
      <c r="AT28" s="714" t="s">
        <v>902</v>
      </c>
      <c r="AU28" s="452"/>
      <c r="AV28" s="452">
        <v>6600</v>
      </c>
      <c r="AW28" s="453">
        <f t="shared" si="23"/>
        <v>6600</v>
      </c>
      <c r="AX28" s="450" t="e">
        <f t="shared" si="9"/>
        <v>#DIV/0!</v>
      </c>
      <c r="AY28" s="714" t="s">
        <v>916</v>
      </c>
      <c r="AZ28" s="39">
        <v>-9631.2799999999988</v>
      </c>
      <c r="BA28" s="39">
        <v>-2290.0200000000004</v>
      </c>
      <c r="BB28" s="453">
        <f t="shared" si="24"/>
        <v>-11921.3</v>
      </c>
      <c r="BC28" s="450" t="e">
        <f t="shared" si="10"/>
        <v>#DIV/0!</v>
      </c>
      <c r="BD28" s="714"/>
      <c r="BE28" s="39"/>
      <c r="BF28" s="39"/>
      <c r="BG28" s="453">
        <f t="shared" si="25"/>
        <v>0</v>
      </c>
      <c r="BH28" s="450">
        <f t="shared" si="4"/>
        <v>0</v>
      </c>
      <c r="BI28" s="714"/>
      <c r="BJ28" s="39">
        <f t="shared" si="11"/>
        <v>10835</v>
      </c>
      <c r="BK28" s="39">
        <f t="shared" si="12"/>
        <v>17975.079999999998</v>
      </c>
      <c r="BL28" s="210">
        <f t="shared" si="26"/>
        <v>28810.079999999998</v>
      </c>
      <c r="BM28" s="178" t="e">
        <f t="shared" si="31"/>
        <v>#DIV/0!</v>
      </c>
      <c r="BN28" s="42"/>
      <c r="BO28" s="1"/>
      <c r="BP28" s="842"/>
      <c r="BQ28" s="842"/>
      <c r="BR28" s="1"/>
      <c r="BS28" s="1"/>
      <c r="BT28" s="1"/>
    </row>
    <row r="29" spans="1:72" s="2" customFormat="1" ht="69" x14ac:dyDescent="0.25">
      <c r="A29" s="238"/>
      <c r="B29" s="471" t="s">
        <v>31</v>
      </c>
      <c r="C29" s="114">
        <v>196500</v>
      </c>
      <c r="D29" s="445">
        <v>79500</v>
      </c>
      <c r="E29" s="446">
        <f t="shared" si="6"/>
        <v>276000</v>
      </c>
      <c r="F29" s="450">
        <f t="shared" si="28"/>
        <v>1.3970393842563733E-2</v>
      </c>
      <c r="G29" s="452">
        <v>2730</v>
      </c>
      <c r="H29" s="452">
        <v>6600</v>
      </c>
      <c r="I29" s="453">
        <f t="shared" si="13"/>
        <v>9330</v>
      </c>
      <c r="J29" s="450">
        <f t="shared" si="29"/>
        <v>2.9802495184399071E-2</v>
      </c>
      <c r="K29" s="454" t="s">
        <v>504</v>
      </c>
      <c r="L29" s="452">
        <v>8590</v>
      </c>
      <c r="M29" s="452">
        <f>14800</f>
        <v>14800</v>
      </c>
      <c r="N29" s="453">
        <f t="shared" si="14"/>
        <v>23390</v>
      </c>
      <c r="O29" s="450">
        <f t="shared" si="30"/>
        <v>1.9139458935269516E-2</v>
      </c>
      <c r="P29" s="458" t="s">
        <v>589</v>
      </c>
      <c r="Q29" s="452">
        <v>29260</v>
      </c>
      <c r="R29" s="452">
        <v>14700</v>
      </c>
      <c r="S29" s="453">
        <f t="shared" si="32"/>
        <v>43960</v>
      </c>
      <c r="T29" s="450">
        <f t="shared" si="27"/>
        <v>6.2442684896628397E-3</v>
      </c>
      <c r="U29" s="458" t="s">
        <v>690</v>
      </c>
      <c r="V29" s="452">
        <v>27870</v>
      </c>
      <c r="W29" s="452">
        <v>14100</v>
      </c>
      <c r="X29" s="453">
        <f t="shared" si="16"/>
        <v>41970</v>
      </c>
      <c r="Y29" s="450">
        <f t="shared" si="17"/>
        <v>1.7057309778640159E-2</v>
      </c>
      <c r="Z29" s="458"/>
      <c r="AA29" s="452">
        <v>42260</v>
      </c>
      <c r="AB29" s="452">
        <v>31900</v>
      </c>
      <c r="AC29" s="453">
        <f t="shared" si="18"/>
        <v>74160</v>
      </c>
      <c r="AD29" s="541">
        <f t="shared" si="19"/>
        <v>2.600088803896786E-2</v>
      </c>
      <c r="AE29" s="458"/>
      <c r="AF29" s="452">
        <f>44270-800</f>
        <v>43470</v>
      </c>
      <c r="AG29" s="452">
        <v>27400</v>
      </c>
      <c r="AH29" s="453">
        <f t="shared" si="20"/>
        <v>70870</v>
      </c>
      <c r="AI29" s="450" t="e">
        <f t="shared" si="3"/>
        <v>#DIV/0!</v>
      </c>
      <c r="AJ29" s="458"/>
      <c r="AK29" s="452">
        <f>16890-AK65</f>
        <v>13250</v>
      </c>
      <c r="AL29" s="452">
        <v>27400</v>
      </c>
      <c r="AM29" s="453">
        <f t="shared" si="21"/>
        <v>40650</v>
      </c>
      <c r="AN29" s="450" t="e">
        <f t="shared" si="7"/>
        <v>#DIV/0!</v>
      </c>
      <c r="AO29" s="458"/>
      <c r="AP29" s="452">
        <v>9350</v>
      </c>
      <c r="AQ29" s="452">
        <v>8400</v>
      </c>
      <c r="AR29" s="453">
        <f t="shared" si="22"/>
        <v>17750</v>
      </c>
      <c r="AS29" s="450">
        <f t="shared" si="8"/>
        <v>6.8498857246760692E-2</v>
      </c>
      <c r="AT29" s="458"/>
      <c r="AU29" s="452"/>
      <c r="AV29" s="452">
        <v>400</v>
      </c>
      <c r="AW29" s="453">
        <f t="shared" si="23"/>
        <v>400</v>
      </c>
      <c r="AX29" s="450" t="e">
        <f t="shared" si="9"/>
        <v>#DIV/0!</v>
      </c>
      <c r="AY29" s="458" t="s">
        <v>915</v>
      </c>
      <c r="AZ29" s="39">
        <v>-16070</v>
      </c>
      <c r="BA29" s="39">
        <v>-600</v>
      </c>
      <c r="BB29" s="453">
        <f t="shared" si="24"/>
        <v>-16670</v>
      </c>
      <c r="BC29" s="450" t="e">
        <f t="shared" si="10"/>
        <v>#DIV/0!</v>
      </c>
      <c r="BD29" s="458"/>
      <c r="BE29" s="39"/>
      <c r="BF29" s="39"/>
      <c r="BG29" s="453">
        <f t="shared" si="25"/>
        <v>0</v>
      </c>
      <c r="BH29" s="450">
        <f t="shared" si="4"/>
        <v>0</v>
      </c>
      <c r="BI29" s="458"/>
      <c r="BJ29" s="39">
        <f t="shared" si="11"/>
        <v>160710</v>
      </c>
      <c r="BK29" s="39">
        <f t="shared" si="12"/>
        <v>145100</v>
      </c>
      <c r="BL29" s="210">
        <f t="shared" si="26"/>
        <v>305810</v>
      </c>
      <c r="BM29" s="178" t="e">
        <f t="shared" si="31"/>
        <v>#DIV/0!</v>
      </c>
      <c r="BN29" s="79"/>
      <c r="BO29" s="1"/>
      <c r="BP29" s="842"/>
      <c r="BQ29" s="842"/>
      <c r="BR29" s="1"/>
      <c r="BS29" s="1"/>
      <c r="BT29" s="1"/>
    </row>
    <row r="30" spans="1:72" s="2" customFormat="1" ht="69" x14ac:dyDescent="0.25">
      <c r="A30" s="238"/>
      <c r="B30" s="471" t="s">
        <v>62</v>
      </c>
      <c r="C30" s="114"/>
      <c r="D30" s="445">
        <v>187250</v>
      </c>
      <c r="E30" s="446">
        <f t="shared" si="6"/>
        <v>187250</v>
      </c>
      <c r="F30" s="450">
        <f t="shared" si="28"/>
        <v>9.4781023442755772E-3</v>
      </c>
      <c r="G30" s="452"/>
      <c r="H30" s="452">
        <v>22500</v>
      </c>
      <c r="I30" s="453">
        <f t="shared" si="13"/>
        <v>22500</v>
      </c>
      <c r="J30" s="450">
        <f t="shared" si="29"/>
        <v>7.187096909420998E-2</v>
      </c>
      <c r="K30" s="498"/>
      <c r="L30" s="452"/>
      <c r="M30" s="452">
        <v>14510</v>
      </c>
      <c r="N30" s="453">
        <f t="shared" si="14"/>
        <v>14510</v>
      </c>
      <c r="O30" s="450">
        <f t="shared" si="30"/>
        <v>1.1873174397210803E-2</v>
      </c>
      <c r="P30" s="863" t="s">
        <v>561</v>
      </c>
      <c r="Q30" s="452"/>
      <c r="R30" s="452">
        <v>25751</v>
      </c>
      <c r="S30" s="453">
        <f t="shared" si="32"/>
        <v>25751</v>
      </c>
      <c r="T30" s="450">
        <f t="shared" si="27"/>
        <v>3.6577833912035435E-3</v>
      </c>
      <c r="U30" s="714" t="s">
        <v>687</v>
      </c>
      <c r="V30" s="452"/>
      <c r="W30" s="452">
        <v>51046</v>
      </c>
      <c r="X30" s="453">
        <f t="shared" si="16"/>
        <v>51046</v>
      </c>
      <c r="Y30" s="450">
        <f t="shared" si="17"/>
        <v>2.074594793806208E-2</v>
      </c>
      <c r="Z30" s="458" t="s">
        <v>762</v>
      </c>
      <c r="AA30" s="452"/>
      <c r="AB30" s="452">
        <v>33856</v>
      </c>
      <c r="AC30" s="453">
        <f t="shared" si="18"/>
        <v>33856</v>
      </c>
      <c r="AD30" s="541">
        <f t="shared" si="19"/>
        <v>1.1870092576150161E-2</v>
      </c>
      <c r="AE30" s="458"/>
      <c r="AF30" s="452"/>
      <c r="AG30" s="452">
        <v>36458</v>
      </c>
      <c r="AH30" s="453">
        <f t="shared" si="20"/>
        <v>36458</v>
      </c>
      <c r="AI30" s="450" t="e">
        <f t="shared" si="3"/>
        <v>#DIV/0!</v>
      </c>
      <c r="AJ30" s="458"/>
      <c r="AK30" s="452"/>
      <c r="AL30" s="452">
        <v>16019</v>
      </c>
      <c r="AM30" s="453">
        <f t="shared" si="21"/>
        <v>16019</v>
      </c>
      <c r="AN30" s="450" t="e">
        <f t="shared" si="7"/>
        <v>#DIV/0!</v>
      </c>
      <c r="AO30" s="458"/>
      <c r="AP30" s="452"/>
      <c r="AQ30" s="452">
        <v>10830</v>
      </c>
      <c r="AR30" s="453">
        <f t="shared" si="22"/>
        <v>10830</v>
      </c>
      <c r="AS30" s="450">
        <f t="shared" si="8"/>
        <v>4.1793950646896803E-2</v>
      </c>
      <c r="AT30" s="458"/>
      <c r="AU30" s="452"/>
      <c r="AV30" s="452"/>
      <c r="AW30" s="453">
        <f t="shared" si="23"/>
        <v>0</v>
      </c>
      <c r="AX30" s="450" t="e">
        <f t="shared" si="9"/>
        <v>#DIV/0!</v>
      </c>
      <c r="AY30" s="458"/>
      <c r="AZ30" s="39">
        <v>0</v>
      </c>
      <c r="BA30" s="39">
        <v>100</v>
      </c>
      <c r="BB30" s="453">
        <f t="shared" si="24"/>
        <v>100</v>
      </c>
      <c r="BC30" s="450" t="e">
        <f t="shared" si="10"/>
        <v>#DIV/0!</v>
      </c>
      <c r="BD30" s="458"/>
      <c r="BE30" s="39"/>
      <c r="BF30" s="39"/>
      <c r="BG30" s="453">
        <f t="shared" si="25"/>
        <v>0</v>
      </c>
      <c r="BH30" s="450">
        <f t="shared" si="4"/>
        <v>0</v>
      </c>
      <c r="BI30" s="458"/>
      <c r="BJ30" s="39">
        <f t="shared" si="11"/>
        <v>0</v>
      </c>
      <c r="BK30" s="39">
        <f t="shared" si="12"/>
        <v>211070</v>
      </c>
      <c r="BL30" s="210">
        <f t="shared" si="26"/>
        <v>211070</v>
      </c>
      <c r="BM30" s="178" t="e">
        <f t="shared" si="31"/>
        <v>#DIV/0!</v>
      </c>
      <c r="BN30" s="79"/>
      <c r="BO30" s="1"/>
      <c r="BP30" s="842"/>
      <c r="BQ30" s="842"/>
      <c r="BR30" s="1"/>
      <c r="BS30" s="1"/>
      <c r="BT30" s="1"/>
    </row>
    <row r="31" spans="1:72" s="2" customFormat="1" ht="151.80000000000001" x14ac:dyDescent="0.25">
      <c r="A31" s="238"/>
      <c r="B31" s="471" t="s">
        <v>34</v>
      </c>
      <c r="C31" s="114">
        <f>10000</f>
        <v>10000</v>
      </c>
      <c r="D31" s="582">
        <v>86310</v>
      </c>
      <c r="E31" s="446">
        <f t="shared" si="6"/>
        <v>96310</v>
      </c>
      <c r="F31" s="450">
        <f t="shared" si="28"/>
        <v>4.8749588078888162E-3</v>
      </c>
      <c r="G31" s="452">
        <v>3613.76</v>
      </c>
      <c r="H31" s="452">
        <f>4785+150+100</f>
        <v>5035</v>
      </c>
      <c r="I31" s="453">
        <f t="shared" si="13"/>
        <v>8648.76</v>
      </c>
      <c r="J31" s="450">
        <f t="shared" si="29"/>
        <v>2.7626433896143977E-2</v>
      </c>
      <c r="K31" s="454" t="s">
        <v>511</v>
      </c>
      <c r="L31" s="452">
        <v>2769.25</v>
      </c>
      <c r="M31" s="452">
        <f>200+700</f>
        <v>900</v>
      </c>
      <c r="N31" s="453">
        <f t="shared" si="14"/>
        <v>3669.25</v>
      </c>
      <c r="O31" s="450">
        <f t="shared" si="30"/>
        <v>3.0024565924855781E-3</v>
      </c>
      <c r="P31" s="462" t="s">
        <v>590</v>
      </c>
      <c r="Q31" s="458">
        <v>2699</v>
      </c>
      <c r="R31" s="452">
        <v>8930</v>
      </c>
      <c r="S31" s="453">
        <f>Q31+R31*1</f>
        <v>11629</v>
      </c>
      <c r="T31" s="450">
        <f t="shared" si="27"/>
        <v>1.6518334455479791E-3</v>
      </c>
      <c r="U31" s="714" t="s">
        <v>688</v>
      </c>
      <c r="V31" s="458">
        <f>1815.72</f>
        <v>1815.72</v>
      </c>
      <c r="W31" s="452">
        <f>11957.39+1800+100</f>
        <v>13857.39</v>
      </c>
      <c r="X31" s="453">
        <f>V31+W31*1</f>
        <v>15673.109999999999</v>
      </c>
      <c r="Y31" s="450">
        <f>X31/$X$89</f>
        <v>6.3698139734263241E-3</v>
      </c>
      <c r="Z31" s="714" t="s">
        <v>761</v>
      </c>
      <c r="AA31" s="453">
        <v>1079.5999999999999</v>
      </c>
      <c r="AB31" s="453">
        <f>1200+12800</f>
        <v>14000</v>
      </c>
      <c r="AC31" s="453">
        <f>AA31+AB31*1</f>
        <v>15079.6</v>
      </c>
      <c r="AD31" s="541">
        <f>AC31/$AC$89</f>
        <v>5.2869874767046895E-3</v>
      </c>
      <c r="AE31" s="714" t="s">
        <v>782</v>
      </c>
      <c r="AF31" s="453">
        <v>2701</v>
      </c>
      <c r="AG31" s="453">
        <f>14023-1088</f>
        <v>12935</v>
      </c>
      <c r="AH31" s="453">
        <f>AF31+AG31*1</f>
        <v>15636</v>
      </c>
      <c r="AI31" s="450" t="e">
        <f t="shared" si="3"/>
        <v>#DIV/0!</v>
      </c>
      <c r="AJ31" s="714" t="s">
        <v>852</v>
      </c>
      <c r="AK31" s="453"/>
      <c r="AL31" s="453">
        <v>15300</v>
      </c>
      <c r="AM31" s="453">
        <f>AK31+AL31*1</f>
        <v>15300</v>
      </c>
      <c r="AN31" s="450" t="e">
        <f t="shared" si="7"/>
        <v>#DIV/0!</v>
      </c>
      <c r="AO31" s="714"/>
      <c r="AP31" s="453"/>
      <c r="AQ31" s="453">
        <v>7700</v>
      </c>
      <c r="AR31" s="453">
        <f>AP31+AQ31*1</f>
        <v>7700</v>
      </c>
      <c r="AS31" s="450">
        <f t="shared" si="8"/>
        <v>2.9714997228172241E-2</v>
      </c>
      <c r="AT31" s="714"/>
      <c r="AU31" s="453"/>
      <c r="AV31" s="453"/>
      <c r="AW31" s="453">
        <f>AU31+AV31*1</f>
        <v>0</v>
      </c>
      <c r="AX31" s="450" t="e">
        <f t="shared" si="9"/>
        <v>#DIV/0!</v>
      </c>
      <c r="AY31" s="714"/>
      <c r="AZ31" s="39">
        <v>-1813.3599999999988</v>
      </c>
      <c r="BA31" s="39">
        <v>-3002.3999999999942</v>
      </c>
      <c r="BB31" s="453">
        <f>AZ31+BA31*1</f>
        <v>-4815.7599999999929</v>
      </c>
      <c r="BC31" s="450" t="e">
        <f t="shared" si="10"/>
        <v>#DIV/0!</v>
      </c>
      <c r="BD31" s="714"/>
      <c r="BE31" s="39"/>
      <c r="BF31" s="39"/>
      <c r="BG31" s="453">
        <f>BE31+BF31*1</f>
        <v>0</v>
      </c>
      <c r="BH31" s="450">
        <f>BG31/$BG$89</f>
        <v>0</v>
      </c>
      <c r="BI31" s="714"/>
      <c r="BJ31" s="39">
        <f t="shared" si="11"/>
        <v>12864.970000000001</v>
      </c>
      <c r="BK31" s="39">
        <f t="shared" si="12"/>
        <v>75654.990000000005</v>
      </c>
      <c r="BL31" s="210">
        <f t="shared" si="26"/>
        <v>88519.96</v>
      </c>
      <c r="BM31" s="178" t="e">
        <f t="shared" si="31"/>
        <v>#DIV/0!</v>
      </c>
      <c r="BN31" s="79"/>
      <c r="BO31" s="1"/>
      <c r="BP31" s="842"/>
      <c r="BQ31" s="842"/>
      <c r="BR31" s="1"/>
      <c r="BS31" s="1"/>
      <c r="BT31" s="1"/>
    </row>
    <row r="32" spans="1:72" s="2" customFormat="1" ht="13.8" x14ac:dyDescent="0.25">
      <c r="A32" s="238"/>
      <c r="B32" s="501" t="s">
        <v>2</v>
      </c>
      <c r="C32" s="115"/>
      <c r="D32" s="116"/>
      <c r="E32" s="446">
        <f t="shared" si="6"/>
        <v>0</v>
      </c>
      <c r="F32" s="450">
        <f t="shared" si="28"/>
        <v>0</v>
      </c>
      <c r="G32" s="452"/>
      <c r="H32" s="452"/>
      <c r="I32" s="453">
        <f t="shared" si="13"/>
        <v>0</v>
      </c>
      <c r="J32" s="450">
        <f t="shared" si="29"/>
        <v>0</v>
      </c>
      <c r="K32" s="498"/>
      <c r="L32" s="452"/>
      <c r="M32" s="452"/>
      <c r="N32" s="453">
        <f t="shared" si="14"/>
        <v>0</v>
      </c>
      <c r="O32" s="450">
        <f t="shared" si="30"/>
        <v>0</v>
      </c>
      <c r="P32" s="503"/>
      <c r="Q32" s="452"/>
      <c r="R32" s="452"/>
      <c r="S32" s="453">
        <f t="shared" si="32"/>
        <v>0</v>
      </c>
      <c r="T32" s="450">
        <f t="shared" si="27"/>
        <v>0</v>
      </c>
      <c r="U32" s="503"/>
      <c r="V32" s="452"/>
      <c r="W32" s="452"/>
      <c r="X32" s="453">
        <f>V32+W32*1</f>
        <v>0</v>
      </c>
      <c r="Y32" s="450">
        <f t="shared" si="17"/>
        <v>0</v>
      </c>
      <c r="Z32" s="503"/>
      <c r="AA32" s="452"/>
      <c r="AB32" s="452"/>
      <c r="AC32" s="453">
        <f>AA32+AB32*1</f>
        <v>0</v>
      </c>
      <c r="AD32" s="541">
        <f t="shared" si="19"/>
        <v>0</v>
      </c>
      <c r="AE32" s="503"/>
      <c r="AF32" s="452"/>
      <c r="AG32" s="452"/>
      <c r="AH32" s="453">
        <f>AF32+AG32*1</f>
        <v>0</v>
      </c>
      <c r="AI32" s="450" t="e">
        <f t="shared" si="3"/>
        <v>#DIV/0!</v>
      </c>
      <c r="AJ32" s="503"/>
      <c r="AK32" s="452"/>
      <c r="AL32" s="452"/>
      <c r="AM32" s="453">
        <f>AK32+AL32*1</f>
        <v>0</v>
      </c>
      <c r="AN32" s="450" t="e">
        <f t="shared" si="7"/>
        <v>#DIV/0!</v>
      </c>
      <c r="AO32" s="503"/>
      <c r="AP32" s="452"/>
      <c r="AQ32" s="452"/>
      <c r="AR32" s="453">
        <f>AP32+AQ32*1</f>
        <v>0</v>
      </c>
      <c r="AS32" s="450">
        <f t="shared" si="8"/>
        <v>0</v>
      </c>
      <c r="AT32" s="503"/>
      <c r="AU32" s="452"/>
      <c r="AV32" s="452"/>
      <c r="AW32" s="453">
        <f>AU32+AV32*1</f>
        <v>0</v>
      </c>
      <c r="AX32" s="450" t="e">
        <f t="shared" si="9"/>
        <v>#DIV/0!</v>
      </c>
      <c r="AY32" s="503"/>
      <c r="AZ32" s="39">
        <v>0</v>
      </c>
      <c r="BA32" s="39">
        <v>0</v>
      </c>
      <c r="BB32" s="453">
        <f>AZ32+BA32*1</f>
        <v>0</v>
      </c>
      <c r="BC32" s="450" t="e">
        <f t="shared" si="10"/>
        <v>#DIV/0!</v>
      </c>
      <c r="BD32" s="503"/>
      <c r="BE32" s="39"/>
      <c r="BF32" s="39"/>
      <c r="BG32" s="453">
        <f>BE32+BF32*1</f>
        <v>0</v>
      </c>
      <c r="BH32" s="450">
        <f t="shared" si="4"/>
        <v>0</v>
      </c>
      <c r="BI32" s="503"/>
      <c r="BJ32" s="39">
        <f t="shared" si="11"/>
        <v>0</v>
      </c>
      <c r="BK32" s="39">
        <f t="shared" si="12"/>
        <v>0</v>
      </c>
      <c r="BL32" s="210">
        <f t="shared" si="26"/>
        <v>0</v>
      </c>
      <c r="BM32" s="178" t="e">
        <f t="shared" si="31"/>
        <v>#DIV/0!</v>
      </c>
      <c r="BN32" s="79"/>
      <c r="BO32" s="1"/>
      <c r="BP32" s="842"/>
      <c r="BQ32" s="842"/>
      <c r="BR32" s="1"/>
      <c r="BS32" s="1"/>
      <c r="BT32" s="1"/>
    </row>
    <row r="33" spans="1:72" s="2" customFormat="1" ht="28.2" thickBot="1" x14ac:dyDescent="0.3">
      <c r="A33" s="238"/>
      <c r="B33" s="504" t="s">
        <v>75</v>
      </c>
      <c r="C33" s="505"/>
      <c r="D33" s="506"/>
      <c r="E33" s="507">
        <f t="shared" si="6"/>
        <v>0</v>
      </c>
      <c r="F33" s="508">
        <f t="shared" si="28"/>
        <v>0</v>
      </c>
      <c r="G33" s="512"/>
      <c r="H33" s="512">
        <v>168</v>
      </c>
      <c r="I33" s="513">
        <f t="shared" si="13"/>
        <v>168</v>
      </c>
      <c r="J33" s="508">
        <f t="shared" si="29"/>
        <v>5.3663656923676781E-4</v>
      </c>
      <c r="K33" s="864" t="s">
        <v>505</v>
      </c>
      <c r="L33" s="512"/>
      <c r="M33" s="512"/>
      <c r="N33" s="513">
        <f t="shared" si="14"/>
        <v>0</v>
      </c>
      <c r="O33" s="508">
        <f t="shared" si="30"/>
        <v>0</v>
      </c>
      <c r="P33" s="865"/>
      <c r="Q33" s="512"/>
      <c r="R33" s="512"/>
      <c r="S33" s="513">
        <f t="shared" si="32"/>
        <v>0</v>
      </c>
      <c r="T33" s="508">
        <f t="shared" si="27"/>
        <v>0</v>
      </c>
      <c r="U33" s="865"/>
      <c r="V33" s="553"/>
      <c r="W33" s="554">
        <v>1200</v>
      </c>
      <c r="X33" s="590">
        <f>V33+W33*1</f>
        <v>1200</v>
      </c>
      <c r="Y33" s="508">
        <f t="shared" si="17"/>
        <v>4.8770006515054065E-4</v>
      </c>
      <c r="Z33" s="849" t="s">
        <v>760</v>
      </c>
      <c r="AA33" s="553"/>
      <c r="AB33" s="554">
        <v>1800</v>
      </c>
      <c r="AC33" s="590">
        <f>AA33+AB33*1</f>
        <v>1800</v>
      </c>
      <c r="AD33" s="542">
        <f t="shared" si="19"/>
        <v>6.3108951550892866E-4</v>
      </c>
      <c r="AE33" s="849" t="s">
        <v>810</v>
      </c>
      <c r="AF33" s="553"/>
      <c r="AG33" s="554"/>
      <c r="AH33" s="590">
        <f>AF33+AG33*1</f>
        <v>0</v>
      </c>
      <c r="AI33" s="508" t="e">
        <f t="shared" si="3"/>
        <v>#DIV/0!</v>
      </c>
      <c r="AJ33" s="849"/>
      <c r="AK33" s="553"/>
      <c r="AL33" s="554"/>
      <c r="AM33" s="590">
        <f>AK33+AL33*1</f>
        <v>0</v>
      </c>
      <c r="AN33" s="508" t="e">
        <f t="shared" si="7"/>
        <v>#DIV/0!</v>
      </c>
      <c r="AO33" s="849"/>
      <c r="AP33" s="553"/>
      <c r="AQ33" s="554"/>
      <c r="AR33" s="590">
        <f>AP33+AQ33*1</f>
        <v>0</v>
      </c>
      <c r="AS33" s="508">
        <f t="shared" si="8"/>
        <v>0</v>
      </c>
      <c r="AT33" s="849"/>
      <c r="AU33" s="553"/>
      <c r="AV33" s="554"/>
      <c r="AW33" s="590">
        <f>AU33+AV33*1</f>
        <v>0</v>
      </c>
      <c r="AX33" s="508" t="e">
        <f t="shared" si="9"/>
        <v>#DIV/0!</v>
      </c>
      <c r="AY33" s="849"/>
      <c r="AZ33" s="39">
        <v>0</v>
      </c>
      <c r="BA33" s="39">
        <v>6121</v>
      </c>
      <c r="BB33" s="590">
        <f>AZ33+BA33*1</f>
        <v>6121</v>
      </c>
      <c r="BC33" s="508" t="e">
        <f t="shared" si="10"/>
        <v>#DIV/0!</v>
      </c>
      <c r="BD33" s="849"/>
      <c r="BE33" s="39"/>
      <c r="BF33" s="39"/>
      <c r="BG33" s="590">
        <f>BE33+BF33*1</f>
        <v>0</v>
      </c>
      <c r="BH33" s="508">
        <f t="shared" si="4"/>
        <v>0</v>
      </c>
      <c r="BI33" s="849"/>
      <c r="BJ33" s="39">
        <f t="shared" si="11"/>
        <v>0</v>
      </c>
      <c r="BK33" s="39">
        <f t="shared" si="12"/>
        <v>9289</v>
      </c>
      <c r="BL33" s="210">
        <f t="shared" si="26"/>
        <v>9289</v>
      </c>
      <c r="BM33" s="178" t="e">
        <f t="shared" si="31"/>
        <v>#DIV/0!</v>
      </c>
      <c r="BN33" s="79"/>
      <c r="BO33" s="1"/>
      <c r="BP33" s="842"/>
      <c r="BQ33" s="842"/>
      <c r="BR33" s="1"/>
      <c r="BS33" s="1"/>
      <c r="BT33" s="1"/>
    </row>
    <row r="34" spans="1:72" s="2" customFormat="1" ht="13.8" x14ac:dyDescent="0.25">
      <c r="A34" s="238"/>
      <c r="B34" s="473"/>
      <c r="C34" s="474"/>
      <c r="D34" s="475"/>
      <c r="E34" s="476"/>
      <c r="F34" s="477"/>
      <c r="G34" s="452"/>
      <c r="H34" s="452"/>
      <c r="I34" s="476"/>
      <c r="J34" s="476"/>
      <c r="K34" s="476"/>
      <c r="L34" s="452"/>
      <c r="M34" s="452"/>
      <c r="N34" s="476"/>
      <c r="O34" s="476"/>
      <c r="P34" s="476"/>
      <c r="Q34" s="452"/>
      <c r="R34" s="452"/>
      <c r="S34" s="476"/>
      <c r="T34" s="476"/>
      <c r="U34" s="476"/>
      <c r="V34" s="452"/>
      <c r="W34" s="452"/>
      <c r="X34" s="476"/>
      <c r="Y34" s="476"/>
      <c r="Z34" s="476"/>
      <c r="AA34" s="452"/>
      <c r="AB34" s="452"/>
      <c r="AC34" s="476"/>
      <c r="AD34" s="476"/>
      <c r="AE34" s="476"/>
      <c r="AF34" s="452"/>
      <c r="AG34" s="452"/>
      <c r="AH34" s="476"/>
      <c r="AI34" s="476"/>
      <c r="AJ34" s="476"/>
      <c r="AK34" s="452"/>
      <c r="AL34" s="452"/>
      <c r="AM34" s="476"/>
      <c r="AN34" s="476"/>
      <c r="AO34" s="476"/>
      <c r="AP34" s="452"/>
      <c r="AQ34" s="452"/>
      <c r="AR34" s="476"/>
      <c r="AS34" s="476">
        <f t="shared" si="8"/>
        <v>0</v>
      </c>
      <c r="AT34" s="476"/>
      <c r="AU34" s="452"/>
      <c r="AV34" s="452"/>
      <c r="AW34" s="476"/>
      <c r="AX34" s="476"/>
      <c r="AY34" s="476"/>
      <c r="AZ34" s="452"/>
      <c r="BA34" s="452"/>
      <c r="BB34" s="476"/>
      <c r="BC34" s="476"/>
      <c r="BD34" s="476"/>
      <c r="BE34" s="452"/>
      <c r="BF34" s="452"/>
      <c r="BG34" s="476"/>
      <c r="BH34" s="476"/>
      <c r="BI34" s="476"/>
      <c r="BJ34" s="452"/>
      <c r="BK34" s="452"/>
      <c r="BL34" s="48"/>
      <c r="BM34" s="48"/>
      <c r="BN34" s="48"/>
      <c r="BO34" s="1"/>
      <c r="BP34" s="842"/>
      <c r="BQ34" s="842"/>
      <c r="BR34" s="1"/>
      <c r="BS34" s="1"/>
      <c r="BT34" s="1"/>
    </row>
    <row r="35" spans="1:72" s="88" customFormat="1" ht="13.8" x14ac:dyDescent="0.25">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404"/>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c r="AJ35" s="404"/>
      <c r="AK35" s="90">
        <f>AK36</f>
        <v>0</v>
      </c>
      <c r="AL35" s="90">
        <f>AL36</f>
        <v>0</v>
      </c>
      <c r="AM35" s="91">
        <f>AM36</f>
        <v>0</v>
      </c>
      <c r="AN35" s="91"/>
      <c r="AO35" s="404"/>
      <c r="AP35" s="90">
        <f>AP36</f>
        <v>0</v>
      </c>
      <c r="AQ35" s="90">
        <f>AQ36</f>
        <v>0</v>
      </c>
      <c r="AR35" s="91">
        <f>AR36</f>
        <v>0</v>
      </c>
      <c r="AS35" s="91">
        <f t="shared" si="8"/>
        <v>0</v>
      </c>
      <c r="AT35" s="404"/>
      <c r="AU35" s="90">
        <f>AU36</f>
        <v>0</v>
      </c>
      <c r="AV35" s="90">
        <f>AV36</f>
        <v>0</v>
      </c>
      <c r="AW35" s="91">
        <f>AW36</f>
        <v>0</v>
      </c>
      <c r="AX35" s="91">
        <f t="shared" ref="AX35:AX40" si="33">AW35/$AR$89</f>
        <v>0</v>
      </c>
      <c r="AY35" s="404"/>
      <c r="AZ35" s="90">
        <f>AZ36</f>
        <v>0</v>
      </c>
      <c r="BA35" s="90">
        <f>BA36</f>
        <v>0</v>
      </c>
      <c r="BB35" s="91">
        <f>BB36</f>
        <v>0</v>
      </c>
      <c r="BC35" s="91">
        <f>BB35/$AR$89</f>
        <v>0</v>
      </c>
      <c r="BD35" s="404"/>
      <c r="BE35" s="90">
        <f>BE36</f>
        <v>0</v>
      </c>
      <c r="BF35" s="90">
        <f>BF36</f>
        <v>0</v>
      </c>
      <c r="BG35" s="91">
        <f>BG36</f>
        <v>0</v>
      </c>
      <c r="BH35" s="91">
        <f>BG35/$AR$89</f>
        <v>0</v>
      </c>
      <c r="BI35" s="404"/>
      <c r="BJ35" s="90">
        <f>BJ36</f>
        <v>0</v>
      </c>
      <c r="BK35" s="90">
        <f>BK36</f>
        <v>0</v>
      </c>
      <c r="BL35" s="91">
        <f>BL36</f>
        <v>0</v>
      </c>
      <c r="BM35" s="91"/>
      <c r="BN35" s="91"/>
      <c r="BO35" s="1"/>
      <c r="BP35" s="842"/>
      <c r="BQ35" s="842"/>
      <c r="BR35" s="1"/>
      <c r="BS35" s="1"/>
      <c r="BT35" s="1"/>
    </row>
    <row r="36" spans="1:72" s="226" customFormat="1" ht="13.8" x14ac:dyDescent="0.25">
      <c r="A36" s="238"/>
      <c r="B36" s="19" t="s">
        <v>81</v>
      </c>
      <c r="C36" s="43"/>
      <c r="D36" s="49"/>
      <c r="E36" s="106">
        <f>C36+D36</f>
        <v>0</v>
      </c>
      <c r="F36" s="178">
        <f>E36/$E$89</f>
        <v>0</v>
      </c>
      <c r="G36" s="39"/>
      <c r="H36" s="39"/>
      <c r="I36" s="106">
        <f>G36+H36*1</f>
        <v>0</v>
      </c>
      <c r="J36" s="178">
        <f>I36/$I$89</f>
        <v>0</v>
      </c>
      <c r="K36" s="45"/>
      <c r="L36" s="39"/>
      <c r="M36" s="39"/>
      <c r="N36" s="106">
        <f>L36+M36*1</f>
        <v>0</v>
      </c>
      <c r="O36" s="178">
        <f>N36/$N$89</f>
        <v>0</v>
      </c>
      <c r="P36" s="405"/>
      <c r="Q36" s="39"/>
      <c r="R36" s="39"/>
      <c r="S36" s="106">
        <f>Q36+R36*1</f>
        <v>0</v>
      </c>
      <c r="T36" s="178">
        <f>S36/$S$89</f>
        <v>0</v>
      </c>
      <c r="U36" s="405"/>
      <c r="V36" s="39"/>
      <c r="W36" s="39"/>
      <c r="X36" s="106">
        <f>V36+W36*1</f>
        <v>0</v>
      </c>
      <c r="Y36" s="178">
        <f>X36/$X$89</f>
        <v>0</v>
      </c>
      <c r="Z36" s="405"/>
      <c r="AA36" s="39"/>
      <c r="AB36" s="39"/>
      <c r="AC36" s="106">
        <f>AA36+AB36*1</f>
        <v>0</v>
      </c>
      <c r="AD36" s="541">
        <f>AC36/$AC$89</f>
        <v>0</v>
      </c>
      <c r="AE36" s="405"/>
      <c r="AF36" s="39"/>
      <c r="AG36" s="39"/>
      <c r="AH36" s="106">
        <f>AF36+AG36*1</f>
        <v>0</v>
      </c>
      <c r="AI36" s="541" t="e">
        <f>AH36/$AH$89</f>
        <v>#DIV/0!</v>
      </c>
      <c r="AJ36" s="405"/>
      <c r="AK36" s="39"/>
      <c r="AL36" s="39"/>
      <c r="AM36" s="106">
        <f>AK36+AL36*1</f>
        <v>0</v>
      </c>
      <c r="AN36" s="541" t="e">
        <f>AM36/$AM$89</f>
        <v>#DIV/0!</v>
      </c>
      <c r="AO36" s="405"/>
      <c r="AP36" s="39"/>
      <c r="AQ36" s="39"/>
      <c r="AR36" s="106">
        <f>AP36+AQ36*1</f>
        <v>0</v>
      </c>
      <c r="AS36" s="541">
        <f t="shared" si="8"/>
        <v>0</v>
      </c>
      <c r="AT36" s="405"/>
      <c r="AU36" s="39"/>
      <c r="AV36" s="39"/>
      <c r="AW36" s="106">
        <f>AU36+AV36*1</f>
        <v>0</v>
      </c>
      <c r="AX36" s="541" t="e">
        <f>AW36/$AW$89</f>
        <v>#DIV/0!</v>
      </c>
      <c r="AY36" s="405"/>
      <c r="AZ36" s="39"/>
      <c r="BA36" s="39"/>
      <c r="BB36" s="106">
        <f>AZ36+BA36*1</f>
        <v>0</v>
      </c>
      <c r="BC36" s="541" t="e">
        <f>BB36/$AW$89</f>
        <v>#DIV/0!</v>
      </c>
      <c r="BD36" s="405"/>
      <c r="BE36" s="39"/>
      <c r="BF36" s="39"/>
      <c r="BG36" s="106">
        <f>BE36+BF36*1</f>
        <v>0</v>
      </c>
      <c r="BH36" s="541" t="e">
        <f>BG36/$AW$89</f>
        <v>#DIV/0!</v>
      </c>
      <c r="BI36" s="405"/>
      <c r="BJ36" s="39">
        <f>G36+L36+Q36+V36+AA36+AF36+AK36+AP36+AU36+AZ36+BE36</f>
        <v>0</v>
      </c>
      <c r="BK36" s="39">
        <f>H36+M36+R36+W36+AB36+AG36+AL36+AQ36+AV36+BA36+BF36</f>
        <v>0</v>
      </c>
      <c r="BL36" s="106">
        <f>BJ36+BK36*1</f>
        <v>0</v>
      </c>
      <c r="BM36" s="178" t="e">
        <f>BL36/$BL$89</f>
        <v>#DIV/0!</v>
      </c>
      <c r="BN36" s="45"/>
      <c r="BO36" s="1"/>
      <c r="BP36" s="842"/>
      <c r="BQ36" s="842"/>
      <c r="BR36" s="1"/>
      <c r="BS36" s="1"/>
      <c r="BT36" s="1"/>
    </row>
    <row r="37" spans="1:72" s="2" customFormat="1" ht="14.4" thickBot="1" x14ac:dyDescent="0.3">
      <c r="A37" s="4"/>
      <c r="B37" s="14"/>
      <c r="C37" s="50"/>
      <c r="D37" s="51"/>
      <c r="E37" s="52"/>
      <c r="F37" s="181"/>
      <c r="G37" s="39"/>
      <c r="H37" s="39"/>
      <c r="I37" s="52"/>
      <c r="J37" s="52"/>
      <c r="K37" s="52"/>
      <c r="L37" s="39"/>
      <c r="M37" s="39"/>
      <c r="N37" s="52"/>
      <c r="O37" s="52"/>
      <c r="P37" s="64"/>
      <c r="Q37" s="39"/>
      <c r="R37" s="39"/>
      <c r="S37" s="52"/>
      <c r="T37" s="52"/>
      <c r="U37" s="64"/>
      <c r="V37" s="39"/>
      <c r="W37" s="39"/>
      <c r="X37" s="52"/>
      <c r="Y37" s="52"/>
      <c r="Z37" s="64"/>
      <c r="AA37" s="39"/>
      <c r="AB37" s="39"/>
      <c r="AC37" s="52"/>
      <c r="AD37" s="52"/>
      <c r="AE37" s="64"/>
      <c r="AF37" s="39"/>
      <c r="AG37" s="39"/>
      <c r="AH37" s="52"/>
      <c r="AI37" s="52"/>
      <c r="AJ37" s="64"/>
      <c r="AK37" s="39"/>
      <c r="AL37" s="39"/>
      <c r="AM37" s="52"/>
      <c r="AN37" s="52"/>
      <c r="AO37" s="64"/>
      <c r="AP37" s="39"/>
      <c r="AQ37" s="39"/>
      <c r="AR37" s="52"/>
      <c r="AS37" s="52">
        <f t="shared" si="8"/>
        <v>0</v>
      </c>
      <c r="AT37" s="64"/>
      <c r="AU37" s="39"/>
      <c r="AV37" s="39"/>
      <c r="AW37" s="52"/>
      <c r="AX37" s="52"/>
      <c r="AY37" s="64"/>
      <c r="AZ37" s="39"/>
      <c r="BA37" s="39"/>
      <c r="BB37" s="52"/>
      <c r="BC37" s="52"/>
      <c r="BD37" s="64"/>
      <c r="BE37" s="39"/>
      <c r="BF37" s="39"/>
      <c r="BG37" s="52"/>
      <c r="BH37" s="52"/>
      <c r="BI37" s="64"/>
      <c r="BJ37" s="39"/>
      <c r="BK37" s="39"/>
      <c r="BL37" s="52"/>
      <c r="BM37" s="52"/>
      <c r="BN37" s="52"/>
      <c r="BO37" s="1"/>
      <c r="BP37" s="842"/>
      <c r="BQ37" s="842"/>
      <c r="BR37" s="1"/>
      <c r="BS37" s="1"/>
      <c r="BT37" s="1"/>
    </row>
    <row r="38" spans="1:72" ht="14.4" thickBot="1" x14ac:dyDescent="0.3">
      <c r="A38" s="33"/>
      <c r="B38" s="34" t="s">
        <v>46</v>
      </c>
      <c r="C38" s="53">
        <f>(C5)-(C8)</f>
        <v>9611437.2419999987</v>
      </c>
      <c r="D38" s="53">
        <f>(D5)-(D8)</f>
        <v>-2695486.47</v>
      </c>
      <c r="E38" s="53">
        <f>(E5)-(E8)</f>
        <v>7565050.811999999</v>
      </c>
      <c r="F38" s="166"/>
      <c r="G38" s="53">
        <f>(G5)-(G8)</f>
        <v>-190767.84000000003</v>
      </c>
      <c r="H38" s="53">
        <f>(H5)-(H8)</f>
        <v>-81871.08</v>
      </c>
      <c r="I38" s="53">
        <f>(I5)-(I8)</f>
        <v>-272638.92000000004</v>
      </c>
      <c r="J38" s="53"/>
      <c r="K38" s="53"/>
      <c r="L38" s="53">
        <f>(L5)-(L8)</f>
        <v>-651646.01000000013</v>
      </c>
      <c r="M38" s="53">
        <f>(M5)-(M8)</f>
        <v>-112768</v>
      </c>
      <c r="N38" s="53">
        <f>(N5)-(N8)</f>
        <v>-764414.00999999989</v>
      </c>
      <c r="O38" s="53"/>
      <c r="P38" s="406"/>
      <c r="Q38" s="53">
        <f>(Q5)-(Q8)</f>
        <v>734651.9840000011</v>
      </c>
      <c r="R38" s="53">
        <f>(R5)-(R8)</f>
        <v>-596188.4</v>
      </c>
      <c r="S38" s="53">
        <f>(S5)-(S8)</f>
        <v>138463.58400000073</v>
      </c>
      <c r="T38" s="53"/>
      <c r="U38" s="406"/>
      <c r="V38" s="53">
        <f>(V5)-(V8)</f>
        <v>3755035.3939999999</v>
      </c>
      <c r="W38" s="53">
        <f>(W5)-(W8)</f>
        <v>-454627.08</v>
      </c>
      <c r="X38" s="53">
        <f>(X5)-(X8)</f>
        <v>3300408.3140000002</v>
      </c>
      <c r="Y38" s="53"/>
      <c r="Z38" s="406"/>
      <c r="AA38" s="53">
        <f>(AA5)-(AA8)</f>
        <v>3911689.8720000004</v>
      </c>
      <c r="AB38" s="53">
        <f>(AB5)-(AB8)</f>
        <v>-930676.36</v>
      </c>
      <c r="AC38" s="53">
        <f>(AC5)-(AC8)</f>
        <v>2981013.5120000001</v>
      </c>
      <c r="AD38" s="53"/>
      <c r="AE38" s="406"/>
      <c r="AF38" s="53">
        <f>(AF5)-(AF8)</f>
        <v>432193.7080000001</v>
      </c>
      <c r="AG38" s="53">
        <f>(AG5)-(AG8)</f>
        <v>-589244.41</v>
      </c>
      <c r="AH38" s="53">
        <f>(AH5)-(AH8)</f>
        <v>-157050.70199999958</v>
      </c>
      <c r="AI38" s="53"/>
      <c r="AJ38" s="406"/>
      <c r="AK38" s="53">
        <f>(AK5)-(AK8)</f>
        <v>816214.65800000005</v>
      </c>
      <c r="AL38" s="53">
        <f>(AL5)-(AL8)</f>
        <v>-201280.15</v>
      </c>
      <c r="AM38" s="53">
        <f>(AM5)-(AM8)</f>
        <v>614934.50800000003</v>
      </c>
      <c r="AN38" s="53"/>
      <c r="AO38" s="406"/>
      <c r="AP38" s="53">
        <f>(AP5)-(AP8)</f>
        <v>-175471.21</v>
      </c>
      <c r="AQ38" s="53">
        <f>(AQ5)-(AQ8)</f>
        <v>-70159.965750000003</v>
      </c>
      <c r="AR38" s="53">
        <f>(AR5)-(AR8)</f>
        <v>-245631.17574999997</v>
      </c>
      <c r="AS38" s="53">
        <f t="shared" si="8"/>
        <v>-0.94791294890440758</v>
      </c>
      <c r="AT38" s="406"/>
      <c r="AU38" s="53">
        <f>(AU5)-(AU8)</f>
        <v>1038305.9140000002</v>
      </c>
      <c r="AV38" s="53">
        <f>(AV5)-(AV8)</f>
        <v>-204596.8</v>
      </c>
      <c r="AW38" s="53">
        <f>(AW5)-(AW8)</f>
        <v>833709.11400000018</v>
      </c>
      <c r="AX38" s="53">
        <f t="shared" si="33"/>
        <v>3.2173589625470056</v>
      </c>
      <c r="AY38" s="406"/>
      <c r="AZ38" s="53">
        <f>(AZ5)-(AZ8)</f>
        <v>-59383.500000000073</v>
      </c>
      <c r="BA38" s="53">
        <f>(BA5)-(BA8)</f>
        <v>-265187.08424999961</v>
      </c>
      <c r="BB38" s="53">
        <f>(BB5)-(BB8)</f>
        <v>-324570.58424999967</v>
      </c>
      <c r="BC38" s="53">
        <f>BB38/$AR$89</f>
        <v>-1.2525472741993489</v>
      </c>
      <c r="BD38" s="406"/>
      <c r="BE38" s="53">
        <f>(BE5)-(BE8)</f>
        <v>0</v>
      </c>
      <c r="BF38" s="53">
        <f>(BF5)-(BF8)</f>
        <v>-28000</v>
      </c>
      <c r="BG38" s="53">
        <f>(BG5)-(BG8)</f>
        <v>-28000</v>
      </c>
      <c r="BH38" s="53">
        <f>BG38/$AR$89</f>
        <v>-0.10805453537517179</v>
      </c>
      <c r="BI38" s="406"/>
      <c r="BJ38" s="53">
        <f>(BJ5)-(BJ8)</f>
        <v>9610822.9699999988</v>
      </c>
      <c r="BK38" s="53">
        <f>(BK5)-(BK8)</f>
        <v>-3534599.33</v>
      </c>
      <c r="BL38" s="53">
        <f>(BL5)-(BL8)</f>
        <v>6076223.6400000006</v>
      </c>
      <c r="BM38" s="53"/>
      <c r="BN38" s="53"/>
      <c r="BP38" s="842"/>
      <c r="BQ38" s="842"/>
    </row>
    <row r="39" spans="1:72" ht="13.8" x14ac:dyDescent="0.25">
      <c r="A39" s="293"/>
      <c r="B39" s="15" t="s">
        <v>47</v>
      </c>
      <c r="C39" s="157">
        <f>C38/(C5)</f>
        <v>0.37121683839604847</v>
      </c>
      <c r="D39" s="157" t="e">
        <f>D38/(D5)</f>
        <v>#DIV/0!</v>
      </c>
      <c r="E39" s="158">
        <f>E38/(E5)</f>
        <v>0.29218046937501913</v>
      </c>
      <c r="F39" s="167"/>
      <c r="G39" s="54" t="e">
        <f>G38/(G5)</f>
        <v>#DIV/0!</v>
      </c>
      <c r="H39" s="54" t="e">
        <f>H38/(H5)</f>
        <v>#DIV/0!</v>
      </c>
      <c r="I39" s="55" t="e">
        <f>I38/(I5)</f>
        <v>#DIV/0!</v>
      </c>
      <c r="J39" s="55"/>
      <c r="K39" s="55"/>
      <c r="L39" s="54">
        <f>L38/(L5)</f>
        <v>-1.600573360745188</v>
      </c>
      <c r="M39" s="54" t="e">
        <f>M38/(M5)</f>
        <v>#DIV/0!</v>
      </c>
      <c r="N39" s="55">
        <f>N38/(N5)</f>
        <v>-1.8775541969272633</v>
      </c>
      <c r="O39" s="55"/>
      <c r="P39" s="407"/>
      <c r="Q39" s="54">
        <f>Q38/(Q5)</f>
        <v>0.10450180675902704</v>
      </c>
      <c r="R39" s="54" t="e">
        <f>R38/(R5)</f>
        <v>#DIV/0!</v>
      </c>
      <c r="S39" s="55">
        <f>S38/(S5)</f>
        <v>1.9695985328381502E-2</v>
      </c>
      <c r="T39" s="55"/>
      <c r="U39" s="407"/>
      <c r="V39" s="54">
        <f>V38/(V5)</f>
        <v>0.66293646643628878</v>
      </c>
      <c r="W39" s="54" t="e">
        <f>W38/(W5)</f>
        <v>#DIV/0!</v>
      </c>
      <c r="X39" s="55">
        <f>X38/(X5)</f>
        <v>0.58267387545165439</v>
      </c>
      <c r="Y39" s="55"/>
      <c r="Z39" s="407"/>
      <c r="AA39" s="54">
        <f>AA38/(AA5)</f>
        <v>0.6950511984883585</v>
      </c>
      <c r="AB39" s="54" t="e">
        <f>AB38/(AB5)</f>
        <v>#DIV/0!</v>
      </c>
      <c r="AC39" s="55">
        <f>AC38/(AC5)</f>
        <v>0.52968335477122674</v>
      </c>
      <c r="AD39" s="55"/>
      <c r="AE39" s="407"/>
      <c r="AF39" s="54">
        <f>AF38/(AF5)</f>
        <v>9.8713479914539576E-2</v>
      </c>
      <c r="AG39" s="54" t="e">
        <f>AG38/(AG5)</f>
        <v>#DIV/0!</v>
      </c>
      <c r="AH39" s="55">
        <f>AH38/(AH5)</f>
        <v>-3.5870539136681034E-2</v>
      </c>
      <c r="AI39" s="55"/>
      <c r="AJ39" s="407"/>
      <c r="AK39" s="54">
        <f>AK38/(AK5)</f>
        <v>0.54971130707026639</v>
      </c>
      <c r="AL39" s="54" t="e">
        <f>AL38/(AL5)</f>
        <v>#DIV/0!</v>
      </c>
      <c r="AM39" s="55">
        <f>AM38/(AM5)</f>
        <v>0.41415141083547063</v>
      </c>
      <c r="AN39" s="55"/>
      <c r="AO39" s="407"/>
      <c r="AP39" s="54" t="e">
        <f>AP38/(AP5)</f>
        <v>#DIV/0!</v>
      </c>
      <c r="AQ39" s="54" t="e">
        <f>AQ38/(AQ5)</f>
        <v>#DIV/0!</v>
      </c>
      <c r="AR39" s="55" t="e">
        <f>AR38/(AR5)</f>
        <v>#DIV/0!</v>
      </c>
      <c r="AS39" s="55" t="e">
        <f t="shared" si="8"/>
        <v>#DIV/0!</v>
      </c>
      <c r="AT39" s="407"/>
      <c r="AU39" s="54">
        <f>AU38/(AU5)</f>
        <v>0.59486844639162095</v>
      </c>
      <c r="AV39" s="54" t="e">
        <f>AV38/(AV5)</f>
        <v>#DIV/0!</v>
      </c>
      <c r="AW39" s="55">
        <f>AW38/(AW5)</f>
        <v>0.47765040986534807</v>
      </c>
      <c r="AX39" s="55">
        <f t="shared" si="33"/>
        <v>1.8432961824914484E-6</v>
      </c>
      <c r="AY39" s="407"/>
      <c r="AZ39" s="54" t="e">
        <f>AZ38/(AZ5)</f>
        <v>#DIV/0!</v>
      </c>
      <c r="BA39" s="54" t="e">
        <f>BA38/(BA5)</f>
        <v>#DIV/0!</v>
      </c>
      <c r="BB39" s="55" t="e">
        <f>BB38/(BB5)</f>
        <v>#DIV/0!</v>
      </c>
      <c r="BC39" s="55" t="e">
        <f>BB39/$AR$89</f>
        <v>#DIV/0!</v>
      </c>
      <c r="BD39" s="407"/>
      <c r="BE39" s="54" t="e">
        <f>BE38/(BE5)</f>
        <v>#DIV/0!</v>
      </c>
      <c r="BF39" s="54" t="e">
        <f>BF38/(BF5)</f>
        <v>#DIV/0!</v>
      </c>
      <c r="BG39" s="55" t="e">
        <f>BG38/(BG5)</f>
        <v>#DIV/0!</v>
      </c>
      <c r="BH39" s="55" t="e">
        <f>BG39/$AR$89</f>
        <v>#DIV/0!</v>
      </c>
      <c r="BI39" s="407"/>
      <c r="BJ39" s="54">
        <f>BJ38/(BJ5)</f>
        <v>0.36490544930308033</v>
      </c>
      <c r="BK39" s="54" t="e">
        <f>BK38/(BK5)</f>
        <v>#DIV/0!</v>
      </c>
      <c r="BL39" s="55">
        <f>BL38/(BL5)</f>
        <v>0.23070314835069725</v>
      </c>
      <c r="BM39" s="55"/>
      <c r="BN39" s="55"/>
      <c r="BP39" s="842"/>
      <c r="BQ39" s="842"/>
    </row>
    <row r="40" spans="1:72" ht="14.4" thickBot="1" x14ac:dyDescent="0.3">
      <c r="A40" s="295"/>
      <c r="B40" s="16"/>
      <c r="C40" s="56"/>
      <c r="D40" s="57"/>
      <c r="E40" s="58"/>
      <c r="F40" s="168"/>
      <c r="G40" s="58"/>
      <c r="H40" s="58"/>
      <c r="I40" s="58"/>
      <c r="J40" s="58"/>
      <c r="K40" s="58"/>
      <c r="L40" s="58"/>
      <c r="M40" s="58"/>
      <c r="N40" s="58"/>
      <c r="O40" s="58"/>
      <c r="P40" s="408"/>
      <c r="Q40" s="58"/>
      <c r="R40" s="58"/>
      <c r="S40" s="58"/>
      <c r="T40" s="58"/>
      <c r="U40" s="408"/>
      <c r="V40" s="58"/>
      <c r="W40" s="58"/>
      <c r="X40" s="58"/>
      <c r="Y40" s="58"/>
      <c r="Z40" s="408"/>
      <c r="AA40" s="58"/>
      <c r="AB40" s="58"/>
      <c r="AC40" s="58"/>
      <c r="AD40" s="58"/>
      <c r="AE40" s="408"/>
      <c r="AF40" s="58"/>
      <c r="AG40" s="58"/>
      <c r="AH40" s="58"/>
      <c r="AI40" s="58"/>
      <c r="AJ40" s="408"/>
      <c r="AK40" s="58"/>
      <c r="AL40" s="58"/>
      <c r="AM40" s="58"/>
      <c r="AN40" s="58"/>
      <c r="AO40" s="408"/>
      <c r="AP40" s="58"/>
      <c r="AQ40" s="58"/>
      <c r="AR40" s="58"/>
      <c r="AS40" s="58">
        <f t="shared" si="8"/>
        <v>0</v>
      </c>
      <c r="AT40" s="408"/>
      <c r="AU40" s="58"/>
      <c r="AV40" s="58"/>
      <c r="AW40" s="58"/>
      <c r="AX40" s="58">
        <f t="shared" si="33"/>
        <v>0</v>
      </c>
      <c r="AY40" s="408"/>
      <c r="AZ40" s="58"/>
      <c r="BA40" s="58"/>
      <c r="BB40" s="58"/>
      <c r="BC40" s="58">
        <f>BB40/$AR$89</f>
        <v>0</v>
      </c>
      <c r="BD40" s="408"/>
      <c r="BE40" s="58"/>
      <c r="BF40" s="58"/>
      <c r="BG40" s="58"/>
      <c r="BH40" s="58">
        <f>BG40/$AR$89</f>
        <v>0</v>
      </c>
      <c r="BI40" s="408"/>
      <c r="BJ40" s="58"/>
      <c r="BK40" s="58"/>
      <c r="BL40" s="58"/>
      <c r="BM40" s="58"/>
      <c r="BN40" s="58"/>
      <c r="BP40" s="842"/>
      <c r="BQ40" s="842"/>
    </row>
    <row r="41" spans="1:72" ht="13.8" x14ac:dyDescent="0.25">
      <c r="A41" s="11"/>
      <c r="B41" s="22" t="s">
        <v>26</v>
      </c>
      <c r="C41" s="117">
        <f>SUM(C42:C48)</f>
        <v>17500</v>
      </c>
      <c r="D41" s="117">
        <f>SUM(D42:D48)</f>
        <v>6750</v>
      </c>
      <c r="E41" s="118">
        <f>SUM(E42:E48)</f>
        <v>24250</v>
      </c>
      <c r="F41" s="169">
        <f t="shared" ref="F41:F48" si="34">E41/$E$89</f>
        <v>1.2274711981238064E-3</v>
      </c>
      <c r="G41" s="117">
        <f>SUM(G42:G48)</f>
        <v>0</v>
      </c>
      <c r="H41" s="117">
        <f>SUM(H42:H48)</f>
        <v>680.4</v>
      </c>
      <c r="I41" s="118">
        <f>SUM(I42:I48)</f>
        <v>680.4</v>
      </c>
      <c r="J41" s="169">
        <f t="shared" ref="J41:J49" si="35">I41/$I$89</f>
        <v>2.1733781054089096E-3</v>
      </c>
      <c r="K41" s="60"/>
      <c r="L41" s="117">
        <f>SUM(L42:L48)</f>
        <v>3230.1</v>
      </c>
      <c r="M41" s="117">
        <f>SUM(M42:M48)</f>
        <v>806</v>
      </c>
      <c r="N41" s="118">
        <f>SUM(N42:N48)</f>
        <v>4036.1</v>
      </c>
      <c r="O41" s="169">
        <f>N41/$N$89</f>
        <v>3.3026408810876997E-3</v>
      </c>
      <c r="P41" s="409"/>
      <c r="Q41" s="117">
        <f>SUM(Q42:Q48)</f>
        <v>4745.5999999999995</v>
      </c>
      <c r="R41" s="117">
        <f>SUM(R42:R48)</f>
        <v>901.5</v>
      </c>
      <c r="S41" s="118">
        <f>SUM(S42:S48)</f>
        <v>5647.0999999999995</v>
      </c>
      <c r="T41" s="169">
        <f>S41/$S$89</f>
        <v>8.0213850291116961E-4</v>
      </c>
      <c r="U41" s="409"/>
      <c r="V41" s="117">
        <f>SUM(V42:V48)</f>
        <v>9309.91</v>
      </c>
      <c r="W41" s="117">
        <f>SUM(W42:W48)</f>
        <v>1059.3</v>
      </c>
      <c r="X41" s="118">
        <f>SUM(X42:X48)</f>
        <v>10369.209999999999</v>
      </c>
      <c r="Y41" s="169">
        <f>X41/$X$89</f>
        <v>4.214220327133031E-3</v>
      </c>
      <c r="Z41" s="409"/>
      <c r="AA41" s="117">
        <f>SUM(AA42:AA48)</f>
        <v>7443.65</v>
      </c>
      <c r="AB41" s="117">
        <f>SUM(AB42:AB48)</f>
        <v>617</v>
      </c>
      <c r="AC41" s="118">
        <f>SUM(AC42:AC48)</f>
        <v>8060.65</v>
      </c>
      <c r="AD41" s="169">
        <f t="shared" ref="AD41:AD52" si="36">AC41/$AC$89</f>
        <v>2.8261065017705809E-3</v>
      </c>
      <c r="AE41" s="409"/>
      <c r="AF41" s="117">
        <f>SUM(AF42:AF48)</f>
        <v>7733.21</v>
      </c>
      <c r="AG41" s="117">
        <f>SUM(AG42:AG48)</f>
        <v>594.9</v>
      </c>
      <c r="AH41" s="118">
        <f>SUM(AH42:AH48)</f>
        <v>8328.1099999999988</v>
      </c>
      <c r="AI41" s="169" t="e">
        <f>AH41/$AH$89</f>
        <v>#DIV/0!</v>
      </c>
      <c r="AJ41" s="409"/>
      <c r="AK41" s="117">
        <f>SUM(AK42:AK48)</f>
        <v>3337.38</v>
      </c>
      <c r="AL41" s="117">
        <f>SUM(AL42:AL48)</f>
        <v>957.9</v>
      </c>
      <c r="AM41" s="118">
        <f>SUM(AM42:AM48)</f>
        <v>4295.28</v>
      </c>
      <c r="AN41" s="169" t="e">
        <f t="shared" ref="AN41:AN48" si="37">AM41/$AM$89</f>
        <v>#DIV/0!</v>
      </c>
      <c r="AO41" s="409"/>
      <c r="AP41" s="117">
        <f>SUM(AP42:AP48)</f>
        <v>879.42</v>
      </c>
      <c r="AQ41" s="117">
        <f>SUM(AQ42:AQ48)</f>
        <v>0</v>
      </c>
      <c r="AR41" s="118">
        <f>SUM(AR42:AR48)</f>
        <v>879.42</v>
      </c>
      <c r="AS41" s="169">
        <f t="shared" si="8"/>
        <v>3.3937614107011991E-3</v>
      </c>
      <c r="AT41" s="409"/>
      <c r="AU41" s="117">
        <f>SUM(AU42:AU48)</f>
        <v>3221.7999999999997</v>
      </c>
      <c r="AV41" s="117">
        <f>SUM(AV42:AV48)</f>
        <v>0</v>
      </c>
      <c r="AW41" s="118">
        <f>SUM(AW42:AW48)</f>
        <v>3221.7999999999997</v>
      </c>
      <c r="AX41" s="169" t="e">
        <f t="shared" ref="AX41:AX52" si="38">AW41/$AW$89</f>
        <v>#DIV/0!</v>
      </c>
      <c r="AY41" s="409"/>
      <c r="AZ41" s="117">
        <f>SUM(AZ42:AZ48)</f>
        <v>-1909.2399999999998</v>
      </c>
      <c r="BA41" s="117">
        <f>SUM(BA42:BA48)</f>
        <v>916</v>
      </c>
      <c r="BB41" s="118">
        <f>SUM(BB42:BB48)</f>
        <v>-993.23999999999978</v>
      </c>
      <c r="BC41" s="169" t="e">
        <f t="shared" ref="BC41:BC52" si="39">BB41/$AW$89</f>
        <v>#DIV/0!</v>
      </c>
      <c r="BD41" s="409"/>
      <c r="BE41" s="117">
        <f>SUM(BE42:BE48)</f>
        <v>528</v>
      </c>
      <c r="BF41" s="117">
        <f>SUM(BF42:BF48)</f>
        <v>0</v>
      </c>
      <c r="BG41" s="118">
        <f>SUM(BG42:BG48)</f>
        <v>528</v>
      </c>
      <c r="BH41" s="169">
        <f t="shared" ref="BH41:BH52" si="40">BG41/$BG$89</f>
        <v>1.4027456079818443E-3</v>
      </c>
      <c r="BI41" s="409"/>
      <c r="BJ41" s="117">
        <f>SUM(BJ42:BJ48)</f>
        <v>38519.829999999994</v>
      </c>
      <c r="BK41" s="117">
        <f>SUM(BK42:BK48)</f>
        <v>6533</v>
      </c>
      <c r="BL41" s="118">
        <f>SUM(BL42:BL48)</f>
        <v>45052.829999999994</v>
      </c>
      <c r="BM41" s="169" t="e">
        <f>BL41/$BL$89</f>
        <v>#DIV/0!</v>
      </c>
      <c r="BN41" s="60"/>
      <c r="BP41" s="842"/>
      <c r="BQ41" s="842"/>
    </row>
    <row r="42" spans="1:72" ht="13.8" x14ac:dyDescent="0.25">
      <c r="A42" s="4015"/>
      <c r="B42" s="18" t="s">
        <v>7</v>
      </c>
      <c r="C42" s="113"/>
      <c r="D42" s="119"/>
      <c r="E42" s="120">
        <f t="shared" ref="E42:E48" si="41">C42+D42</f>
        <v>0</v>
      </c>
      <c r="F42" s="178">
        <f t="shared" si="34"/>
        <v>0</v>
      </c>
      <c r="G42" s="39"/>
      <c r="H42" s="39"/>
      <c r="I42" s="106">
        <f t="shared" ref="I42:I48" si="42">G42+H42*1</f>
        <v>0</v>
      </c>
      <c r="J42" s="178">
        <f t="shared" si="35"/>
        <v>0</v>
      </c>
      <c r="K42" s="79"/>
      <c r="L42" s="39"/>
      <c r="M42" s="39"/>
      <c r="N42" s="106">
        <f t="shared" ref="N42:N48" si="43">L42+M42*1</f>
        <v>0</v>
      </c>
      <c r="O42" s="178">
        <f>N42/$N$89</f>
        <v>0</v>
      </c>
      <c r="P42" s="259"/>
      <c r="Q42" s="39"/>
      <c r="R42" s="39"/>
      <c r="S42" s="106">
        <f t="shared" ref="S42:S48" si="44">Q42+R42*1</f>
        <v>0</v>
      </c>
      <c r="T42" s="178">
        <f t="shared" ref="T42:T52" si="45">S42/$S$89</f>
        <v>0</v>
      </c>
      <c r="U42" s="259"/>
      <c r="V42" s="39"/>
      <c r="W42" s="39"/>
      <c r="X42" s="106">
        <f t="shared" ref="X42:X48" si="46">V42+W42*1</f>
        <v>0</v>
      </c>
      <c r="Y42" s="178">
        <f>X42/$X$89</f>
        <v>0</v>
      </c>
      <c r="Z42" s="259"/>
      <c r="AA42" s="39"/>
      <c r="AB42" s="39"/>
      <c r="AC42" s="106">
        <f t="shared" ref="AC42:AC48" si="47">AA42+AB42*1</f>
        <v>0</v>
      </c>
      <c r="AD42" s="541">
        <f t="shared" si="36"/>
        <v>0</v>
      </c>
      <c r="AE42" s="259"/>
      <c r="AF42" s="39"/>
      <c r="AG42" s="39"/>
      <c r="AH42" s="106">
        <f t="shared" ref="AH42:AH48" si="48">AF42+AG42*1</f>
        <v>0</v>
      </c>
      <c r="AI42" s="541" t="e">
        <f>AH42/$AH$89</f>
        <v>#DIV/0!</v>
      </c>
      <c r="AJ42" s="259"/>
      <c r="AK42" s="39"/>
      <c r="AL42" s="39"/>
      <c r="AM42" s="106">
        <f t="shared" ref="AM42:AM48" si="49">AK42+AL42*1</f>
        <v>0</v>
      </c>
      <c r="AN42" s="541" t="e">
        <f t="shared" si="37"/>
        <v>#DIV/0!</v>
      </c>
      <c r="AO42" s="259"/>
      <c r="AP42" s="39"/>
      <c r="AQ42" s="39"/>
      <c r="AR42" s="106">
        <f t="shared" ref="AR42:AR48" si="50">AP42+AQ42*1</f>
        <v>0</v>
      </c>
      <c r="AS42" s="541">
        <f t="shared" si="8"/>
        <v>0</v>
      </c>
      <c r="AT42" s="259"/>
      <c r="AU42" s="39"/>
      <c r="AV42" s="39"/>
      <c r="AW42" s="106">
        <f t="shared" ref="AW42:AW48" si="51">AU42+AV42*1</f>
        <v>0</v>
      </c>
      <c r="AX42" s="541" t="e">
        <f t="shared" si="38"/>
        <v>#DIV/0!</v>
      </c>
      <c r="AY42" s="259"/>
      <c r="AZ42" s="39"/>
      <c r="BA42" s="39"/>
      <c r="BB42" s="106">
        <f t="shared" ref="BB42:BB48" si="52">AZ42+BA42*1</f>
        <v>0</v>
      </c>
      <c r="BC42" s="541" t="e">
        <f t="shared" si="39"/>
        <v>#DIV/0!</v>
      </c>
      <c r="BD42" s="259"/>
      <c r="BE42" s="39"/>
      <c r="BF42" s="39"/>
      <c r="BG42" s="106">
        <f t="shared" ref="BG42:BG48" si="53">BE42+BF42*1</f>
        <v>0</v>
      </c>
      <c r="BH42" s="541">
        <f t="shared" si="40"/>
        <v>0</v>
      </c>
      <c r="BI42" s="259"/>
      <c r="BJ42" s="39">
        <f t="shared" ref="BJ42:BJ49" si="54">G42+L42+Q42+V42+AA42+AF42+AK42+AP42+AU42+AZ42+BE42</f>
        <v>0</v>
      </c>
      <c r="BK42" s="39">
        <f t="shared" ref="BK42:BK49" si="55">H42+M42+R42+W42+AB42+AG42+AL42+AQ42+AV42+BA42+BF42</f>
        <v>0</v>
      </c>
      <c r="BL42" s="106">
        <f t="shared" ref="BL42:BL48" si="56">BJ42+BK42*1</f>
        <v>0</v>
      </c>
      <c r="BM42" s="178" t="e">
        <f t="shared" ref="BM42:BM72" si="57">BL42/$BL$89</f>
        <v>#DIV/0!</v>
      </c>
      <c r="BN42" s="79"/>
      <c r="BP42" s="842"/>
      <c r="BQ42" s="842"/>
    </row>
    <row r="43" spans="1:72" ht="27.6" x14ac:dyDescent="0.25">
      <c r="A43" s="4015"/>
      <c r="B43" s="18" t="s">
        <v>27</v>
      </c>
      <c r="C43" s="113"/>
      <c r="D43" s="119">
        <v>3000</v>
      </c>
      <c r="E43" s="120">
        <f t="shared" si="41"/>
        <v>3000</v>
      </c>
      <c r="F43" s="178">
        <f t="shared" si="34"/>
        <v>1.5185210698438843E-4</v>
      </c>
      <c r="G43" s="39"/>
      <c r="H43" s="39">
        <f>311.4+300</f>
        <v>611.4</v>
      </c>
      <c r="I43" s="106">
        <f t="shared" si="42"/>
        <v>611.4</v>
      </c>
      <c r="J43" s="178">
        <f t="shared" si="35"/>
        <v>1.9529738001866656E-3</v>
      </c>
      <c r="K43" s="389" t="s">
        <v>507</v>
      </c>
      <c r="L43" s="39"/>
      <c r="M43" s="39">
        <v>356</v>
      </c>
      <c r="N43" s="106">
        <f t="shared" si="43"/>
        <v>356</v>
      </c>
      <c r="O43" s="178">
        <f t="shared" ref="O43:O52" si="58">N43/$N$89</f>
        <v>2.9130600175100247E-4</v>
      </c>
      <c r="P43" s="439" t="s">
        <v>565</v>
      </c>
      <c r="Q43" s="39"/>
      <c r="R43" s="39">
        <v>331.5</v>
      </c>
      <c r="S43" s="106">
        <f t="shared" si="44"/>
        <v>331.5</v>
      </c>
      <c r="T43" s="178">
        <f t="shared" si="45"/>
        <v>4.7087693455942474E-5</v>
      </c>
      <c r="U43" s="443" t="s">
        <v>565</v>
      </c>
      <c r="V43" s="39"/>
      <c r="W43" s="39">
        <v>309.3</v>
      </c>
      <c r="X43" s="106">
        <f t="shared" si="46"/>
        <v>309.3</v>
      </c>
      <c r="Y43" s="178">
        <f t="shared" ref="Y43:Y52" si="59">X43/$X$89</f>
        <v>1.2570469179255185E-4</v>
      </c>
      <c r="Z43" s="443"/>
      <c r="AA43" s="39"/>
      <c r="AB43" s="39">
        <v>367</v>
      </c>
      <c r="AC43" s="106">
        <f t="shared" si="47"/>
        <v>367</v>
      </c>
      <c r="AD43" s="541">
        <f t="shared" si="36"/>
        <v>1.2867214010654266E-4</v>
      </c>
      <c r="AE43" s="443"/>
      <c r="AF43" s="39"/>
      <c r="AG43" s="39">
        <v>55</v>
      </c>
      <c r="AH43" s="106">
        <f t="shared" si="48"/>
        <v>55</v>
      </c>
      <c r="AI43" s="541" t="e">
        <f t="shared" ref="AI43:AI48" si="60">AH43/$AH$89</f>
        <v>#DIV/0!</v>
      </c>
      <c r="AJ43" s="443"/>
      <c r="AK43" s="39"/>
      <c r="AL43" s="39">
        <v>339.9</v>
      </c>
      <c r="AM43" s="106">
        <f t="shared" si="49"/>
        <v>339.9</v>
      </c>
      <c r="AN43" s="541" t="e">
        <f t="shared" si="37"/>
        <v>#DIV/0!</v>
      </c>
      <c r="AO43" s="443"/>
      <c r="AP43" s="39"/>
      <c r="AQ43" s="39"/>
      <c r="AR43" s="106">
        <f t="shared" si="50"/>
        <v>0</v>
      </c>
      <c r="AS43" s="541">
        <f t="shared" si="8"/>
        <v>0</v>
      </c>
      <c r="AT43" s="443"/>
      <c r="AU43" s="39"/>
      <c r="AV43" s="39"/>
      <c r="AW43" s="106">
        <f t="shared" si="51"/>
        <v>0</v>
      </c>
      <c r="AX43" s="541" t="e">
        <f t="shared" si="38"/>
        <v>#DIV/0!</v>
      </c>
      <c r="AY43" s="443"/>
      <c r="AZ43" s="39"/>
      <c r="BA43" s="39"/>
      <c r="BB43" s="106">
        <f t="shared" si="52"/>
        <v>0</v>
      </c>
      <c r="BC43" s="541" t="e">
        <f t="shared" si="39"/>
        <v>#DIV/0!</v>
      </c>
      <c r="BD43" s="443"/>
      <c r="BE43" s="39"/>
      <c r="BF43" s="39"/>
      <c r="BG43" s="106">
        <f t="shared" si="53"/>
        <v>0</v>
      </c>
      <c r="BH43" s="541">
        <f t="shared" si="40"/>
        <v>0</v>
      </c>
      <c r="BI43" s="443"/>
      <c r="BJ43" s="39">
        <f t="shared" si="54"/>
        <v>0</v>
      </c>
      <c r="BK43" s="39">
        <f t="shared" si="55"/>
        <v>2370.1</v>
      </c>
      <c r="BL43" s="106">
        <f t="shared" si="56"/>
        <v>2370.1</v>
      </c>
      <c r="BM43" s="178" t="e">
        <f t="shared" si="57"/>
        <v>#DIV/0!</v>
      </c>
      <c r="BN43" s="79"/>
      <c r="BP43" s="842"/>
      <c r="BQ43" s="842"/>
    </row>
    <row r="44" spans="1:72" ht="13.8" x14ac:dyDescent="0.25">
      <c r="A44" s="4015"/>
      <c r="B44" s="19" t="s">
        <v>28</v>
      </c>
      <c r="C44" s="113"/>
      <c r="D44" s="119">
        <v>1250</v>
      </c>
      <c r="E44" s="120">
        <f t="shared" si="41"/>
        <v>1250</v>
      </c>
      <c r="F44" s="178">
        <f t="shared" si="34"/>
        <v>6.3271711243495168E-5</v>
      </c>
      <c r="G44" s="39"/>
      <c r="H44" s="39"/>
      <c r="I44" s="106">
        <f t="shared" si="42"/>
        <v>0</v>
      </c>
      <c r="J44" s="178">
        <f t="shared" si="35"/>
        <v>0</v>
      </c>
      <c r="K44" s="79"/>
      <c r="L44" s="39"/>
      <c r="M44" s="39">
        <v>300</v>
      </c>
      <c r="N44" s="106">
        <f t="shared" si="43"/>
        <v>300</v>
      </c>
      <c r="O44" s="178">
        <f t="shared" si="58"/>
        <v>2.4548258574522678E-4</v>
      </c>
      <c r="P44" s="415" t="s">
        <v>563</v>
      </c>
      <c r="Q44" s="39"/>
      <c r="R44" s="39">
        <v>300</v>
      </c>
      <c r="S44" s="106">
        <f t="shared" si="44"/>
        <v>300</v>
      </c>
      <c r="T44" s="178">
        <f t="shared" si="45"/>
        <v>4.2613297245196813E-5</v>
      </c>
      <c r="U44" s="443" t="s">
        <v>563</v>
      </c>
      <c r="V44" s="39"/>
      <c r="W44" s="39"/>
      <c r="X44" s="106">
        <f t="shared" si="46"/>
        <v>0</v>
      </c>
      <c r="Y44" s="178">
        <f t="shared" si="59"/>
        <v>0</v>
      </c>
      <c r="Z44" s="443"/>
      <c r="AA44" s="39"/>
      <c r="AB44" s="39"/>
      <c r="AC44" s="106">
        <f t="shared" si="47"/>
        <v>0</v>
      </c>
      <c r="AD44" s="541">
        <f t="shared" si="36"/>
        <v>0</v>
      </c>
      <c r="AE44" s="443"/>
      <c r="AF44" s="39"/>
      <c r="AG44" s="39">
        <v>250</v>
      </c>
      <c r="AH44" s="106">
        <f t="shared" si="48"/>
        <v>250</v>
      </c>
      <c r="AI44" s="541" t="e">
        <f t="shared" si="60"/>
        <v>#DIV/0!</v>
      </c>
      <c r="AJ44" s="443"/>
      <c r="AK44" s="39"/>
      <c r="AL44" s="39">
        <v>250</v>
      </c>
      <c r="AM44" s="106">
        <f t="shared" si="49"/>
        <v>250</v>
      </c>
      <c r="AN44" s="541" t="e">
        <f t="shared" si="37"/>
        <v>#DIV/0!</v>
      </c>
      <c r="AO44" s="443"/>
      <c r="AP44" s="39"/>
      <c r="AQ44" s="39"/>
      <c r="AR44" s="106">
        <f t="shared" si="50"/>
        <v>0</v>
      </c>
      <c r="AS44" s="541">
        <f t="shared" si="8"/>
        <v>0</v>
      </c>
      <c r="AT44" s="443"/>
      <c r="AU44" s="39"/>
      <c r="AV44" s="39"/>
      <c r="AW44" s="106">
        <f t="shared" si="51"/>
        <v>0</v>
      </c>
      <c r="AX44" s="541" t="e">
        <f t="shared" si="38"/>
        <v>#DIV/0!</v>
      </c>
      <c r="AY44" s="443"/>
      <c r="AZ44" s="39"/>
      <c r="BA44" s="39"/>
      <c r="BB44" s="106">
        <f t="shared" si="52"/>
        <v>0</v>
      </c>
      <c r="BC44" s="541" t="e">
        <f t="shared" si="39"/>
        <v>#DIV/0!</v>
      </c>
      <c r="BD44" s="443"/>
      <c r="BE44" s="39"/>
      <c r="BF44" s="39"/>
      <c r="BG44" s="106">
        <f t="shared" si="53"/>
        <v>0</v>
      </c>
      <c r="BH44" s="541">
        <f t="shared" si="40"/>
        <v>0</v>
      </c>
      <c r="BI44" s="443"/>
      <c r="BJ44" s="39">
        <f t="shared" si="54"/>
        <v>0</v>
      </c>
      <c r="BK44" s="39">
        <f t="shared" si="55"/>
        <v>1100</v>
      </c>
      <c r="BL44" s="106">
        <f t="shared" si="56"/>
        <v>1100</v>
      </c>
      <c r="BM44" s="178" t="e">
        <f t="shared" si="57"/>
        <v>#DIV/0!</v>
      </c>
      <c r="BN44" s="79"/>
      <c r="BP44" s="842"/>
      <c r="BQ44" s="842"/>
    </row>
    <row r="45" spans="1:72" ht="13.8" x14ac:dyDescent="0.25">
      <c r="A45" s="4015"/>
      <c r="B45" s="18" t="s">
        <v>8</v>
      </c>
      <c r="C45" s="113"/>
      <c r="D45" s="119">
        <v>2500</v>
      </c>
      <c r="E45" s="120">
        <f t="shared" si="41"/>
        <v>2500</v>
      </c>
      <c r="F45" s="178">
        <f t="shared" si="34"/>
        <v>1.2654342248699034E-4</v>
      </c>
      <c r="G45" s="39"/>
      <c r="H45" s="39"/>
      <c r="I45" s="106">
        <f t="shared" si="42"/>
        <v>0</v>
      </c>
      <c r="J45" s="178">
        <f t="shared" si="35"/>
        <v>0</v>
      </c>
      <c r="K45" s="79"/>
      <c r="L45" s="39">
        <v>296</v>
      </c>
      <c r="M45" s="39"/>
      <c r="N45" s="106">
        <f t="shared" si="43"/>
        <v>296</v>
      </c>
      <c r="O45" s="178">
        <f t="shared" si="58"/>
        <v>2.4220948460195713E-4</v>
      </c>
      <c r="P45" s="259"/>
      <c r="Q45" s="39">
        <f>370</f>
        <v>370</v>
      </c>
      <c r="R45" s="39"/>
      <c r="S45" s="106">
        <f t="shared" si="44"/>
        <v>370</v>
      </c>
      <c r="T45" s="178">
        <f t="shared" si="45"/>
        <v>5.2556399935742736E-5</v>
      </c>
      <c r="U45" s="443"/>
      <c r="V45" s="39">
        <f>814*1.2</f>
        <v>976.8</v>
      </c>
      <c r="W45" s="39"/>
      <c r="X45" s="106">
        <f t="shared" si="46"/>
        <v>976.8</v>
      </c>
      <c r="Y45" s="178">
        <f t="shared" si="59"/>
        <v>3.9698785303254007E-4</v>
      </c>
      <c r="Z45" s="443"/>
      <c r="AA45" s="39">
        <v>555</v>
      </c>
      <c r="AB45" s="39"/>
      <c r="AC45" s="106">
        <f t="shared" si="47"/>
        <v>555</v>
      </c>
      <c r="AD45" s="541">
        <f t="shared" si="36"/>
        <v>1.9458593394858635E-4</v>
      </c>
      <c r="AE45" s="443"/>
      <c r="AF45" s="39">
        <v>1480</v>
      </c>
      <c r="AG45" s="39"/>
      <c r="AH45" s="106">
        <f t="shared" si="48"/>
        <v>1480</v>
      </c>
      <c r="AI45" s="541" t="e">
        <f t="shared" si="60"/>
        <v>#DIV/0!</v>
      </c>
      <c r="AJ45" s="443"/>
      <c r="AK45" s="39"/>
      <c r="AL45" s="39"/>
      <c r="AM45" s="106">
        <f t="shared" si="49"/>
        <v>0</v>
      </c>
      <c r="AN45" s="541" t="e">
        <f t="shared" si="37"/>
        <v>#DIV/0!</v>
      </c>
      <c r="AO45" s="443"/>
      <c r="AP45" s="39"/>
      <c r="AQ45" s="39"/>
      <c r="AR45" s="106">
        <f t="shared" si="50"/>
        <v>0</v>
      </c>
      <c r="AS45" s="541">
        <f t="shared" si="8"/>
        <v>0</v>
      </c>
      <c r="AT45" s="443"/>
      <c r="AU45" s="39">
        <f>2109*1.2</f>
        <v>2530.7999999999997</v>
      </c>
      <c r="AV45" s="39"/>
      <c r="AW45" s="106">
        <f t="shared" si="51"/>
        <v>2530.7999999999997</v>
      </c>
      <c r="AX45" s="541" t="e">
        <f t="shared" si="38"/>
        <v>#DIV/0!</v>
      </c>
      <c r="AY45" s="443"/>
      <c r="AZ45" s="39">
        <v>-1546.6000000000004</v>
      </c>
      <c r="BA45" s="39"/>
      <c r="BB45" s="106">
        <f t="shared" si="52"/>
        <v>-1546.6000000000004</v>
      </c>
      <c r="BC45" s="541" t="e">
        <f t="shared" si="39"/>
        <v>#DIV/0!</v>
      </c>
      <c r="BD45" s="443"/>
      <c r="BE45" s="39"/>
      <c r="BF45" s="39"/>
      <c r="BG45" s="106">
        <f t="shared" si="53"/>
        <v>0</v>
      </c>
      <c r="BH45" s="541">
        <f t="shared" si="40"/>
        <v>0</v>
      </c>
      <c r="BI45" s="443"/>
      <c r="BJ45" s="39">
        <f t="shared" si="54"/>
        <v>4662</v>
      </c>
      <c r="BK45" s="39">
        <f t="shared" si="55"/>
        <v>0</v>
      </c>
      <c r="BL45" s="106">
        <f t="shared" si="56"/>
        <v>4662</v>
      </c>
      <c r="BM45" s="178" t="e">
        <f t="shared" si="57"/>
        <v>#DIV/0!</v>
      </c>
      <c r="BN45" s="79"/>
      <c r="BP45" s="842"/>
      <c r="BQ45" s="842"/>
    </row>
    <row r="46" spans="1:72" ht="13.8" x14ac:dyDescent="0.25">
      <c r="A46" s="4015"/>
      <c r="B46" s="18" t="s">
        <v>29</v>
      </c>
      <c r="C46" s="113"/>
      <c r="D46" s="119"/>
      <c r="E46" s="120">
        <f t="shared" si="41"/>
        <v>0</v>
      </c>
      <c r="F46" s="178">
        <f t="shared" si="34"/>
        <v>0</v>
      </c>
      <c r="G46" s="39"/>
      <c r="H46" s="39"/>
      <c r="I46" s="106">
        <f t="shared" si="42"/>
        <v>0</v>
      </c>
      <c r="J46" s="178">
        <f t="shared" si="35"/>
        <v>0</v>
      </c>
      <c r="K46" s="79"/>
      <c r="L46" s="39"/>
      <c r="M46" s="39"/>
      <c r="N46" s="106">
        <f t="shared" si="43"/>
        <v>0</v>
      </c>
      <c r="O46" s="178">
        <f t="shared" si="58"/>
        <v>0</v>
      </c>
      <c r="P46" s="259"/>
      <c r="Q46" s="39"/>
      <c r="R46" s="39"/>
      <c r="S46" s="106">
        <f t="shared" si="44"/>
        <v>0</v>
      </c>
      <c r="T46" s="178">
        <f t="shared" si="45"/>
        <v>0</v>
      </c>
      <c r="U46" s="443"/>
      <c r="V46" s="39"/>
      <c r="W46" s="39"/>
      <c r="X46" s="106">
        <f t="shared" si="46"/>
        <v>0</v>
      </c>
      <c r="Y46" s="178">
        <f t="shared" si="59"/>
        <v>0</v>
      </c>
      <c r="Z46" s="443"/>
      <c r="AA46" s="39"/>
      <c r="AB46" s="39"/>
      <c r="AC46" s="106">
        <f t="shared" si="47"/>
        <v>0</v>
      </c>
      <c r="AD46" s="541">
        <f t="shared" si="36"/>
        <v>0</v>
      </c>
      <c r="AE46" s="443"/>
      <c r="AF46" s="39"/>
      <c r="AG46" s="39"/>
      <c r="AH46" s="106">
        <f t="shared" si="48"/>
        <v>0</v>
      </c>
      <c r="AI46" s="541" t="e">
        <f t="shared" si="60"/>
        <v>#DIV/0!</v>
      </c>
      <c r="AJ46" s="443"/>
      <c r="AK46" s="39"/>
      <c r="AL46" s="39"/>
      <c r="AM46" s="106">
        <f t="shared" si="49"/>
        <v>0</v>
      </c>
      <c r="AN46" s="541" t="e">
        <f t="shared" si="37"/>
        <v>#DIV/0!</v>
      </c>
      <c r="AO46" s="443"/>
      <c r="AP46" s="39"/>
      <c r="AQ46" s="39"/>
      <c r="AR46" s="106">
        <f t="shared" si="50"/>
        <v>0</v>
      </c>
      <c r="AS46" s="541">
        <f t="shared" si="8"/>
        <v>0</v>
      </c>
      <c r="AT46" s="443"/>
      <c r="AU46" s="39"/>
      <c r="AV46" s="39"/>
      <c r="AW46" s="106">
        <f t="shared" si="51"/>
        <v>0</v>
      </c>
      <c r="AX46" s="541" t="e">
        <f t="shared" si="38"/>
        <v>#DIV/0!</v>
      </c>
      <c r="AY46" s="443"/>
      <c r="AZ46" s="39"/>
      <c r="BA46" s="39"/>
      <c r="BB46" s="106">
        <f t="shared" si="52"/>
        <v>0</v>
      </c>
      <c r="BC46" s="541" t="e">
        <f t="shared" si="39"/>
        <v>#DIV/0!</v>
      </c>
      <c r="BD46" s="443"/>
      <c r="BE46" s="39"/>
      <c r="BF46" s="39"/>
      <c r="BG46" s="106">
        <f t="shared" si="53"/>
        <v>0</v>
      </c>
      <c r="BH46" s="541">
        <f t="shared" si="40"/>
        <v>0</v>
      </c>
      <c r="BI46" s="443"/>
      <c r="BJ46" s="39">
        <f t="shared" si="54"/>
        <v>0</v>
      </c>
      <c r="BK46" s="39">
        <f t="shared" si="55"/>
        <v>0</v>
      </c>
      <c r="BL46" s="106">
        <f t="shared" si="56"/>
        <v>0</v>
      </c>
      <c r="BM46" s="178" t="e">
        <f t="shared" si="57"/>
        <v>#DIV/0!</v>
      </c>
      <c r="BN46" s="79"/>
      <c r="BP46" s="842"/>
      <c r="BQ46" s="842"/>
    </row>
    <row r="47" spans="1:72" ht="41.4" x14ac:dyDescent="0.25">
      <c r="A47" s="4015"/>
      <c r="B47" s="18" t="s">
        <v>30</v>
      </c>
      <c r="C47" s="113">
        <v>15000</v>
      </c>
      <c r="D47" s="119"/>
      <c r="E47" s="120">
        <f t="shared" si="41"/>
        <v>15000</v>
      </c>
      <c r="F47" s="178">
        <f t="shared" si="34"/>
        <v>7.5926053492194202E-4</v>
      </c>
      <c r="G47" s="39"/>
      <c r="H47" s="39">
        <v>69</v>
      </c>
      <c r="I47" s="106">
        <f t="shared" si="42"/>
        <v>69</v>
      </c>
      <c r="J47" s="178">
        <f t="shared" si="35"/>
        <v>2.2040430522224394E-4</v>
      </c>
      <c r="K47" s="79" t="s">
        <v>506</v>
      </c>
      <c r="L47" s="39">
        <f>2502.1</f>
        <v>2502.1</v>
      </c>
      <c r="M47" s="39">
        <v>150</v>
      </c>
      <c r="N47" s="106">
        <f t="shared" si="43"/>
        <v>2652.1</v>
      </c>
      <c r="O47" s="178">
        <f t="shared" si="58"/>
        <v>2.1701478855163867E-3</v>
      </c>
      <c r="P47" s="439" t="s">
        <v>564</v>
      </c>
      <c r="Q47" s="39">
        <v>4375.5999999999995</v>
      </c>
      <c r="R47" s="39">
        <v>150</v>
      </c>
      <c r="S47" s="106">
        <f t="shared" si="44"/>
        <v>4525.5999999999995</v>
      </c>
      <c r="T47" s="178">
        <f t="shared" si="45"/>
        <v>6.4283579337620893E-4</v>
      </c>
      <c r="U47" s="443" t="s">
        <v>564</v>
      </c>
      <c r="V47" s="39">
        <v>5868.5499999999993</v>
      </c>
      <c r="W47" s="39">
        <f>350+400</f>
        <v>750</v>
      </c>
      <c r="X47" s="106">
        <f t="shared" si="46"/>
        <v>6618.5499999999993</v>
      </c>
      <c r="Y47" s="178">
        <f t="shared" si="59"/>
        <v>2.6898893885017585E-3</v>
      </c>
      <c r="Z47" s="443"/>
      <c r="AA47" s="39">
        <v>6888.65</v>
      </c>
      <c r="AB47" s="39">
        <v>150</v>
      </c>
      <c r="AC47" s="106">
        <f t="shared" si="47"/>
        <v>7038.65</v>
      </c>
      <c r="AD47" s="541">
        <f t="shared" si="36"/>
        <v>2.467787899076067E-3</v>
      </c>
      <c r="AE47" s="443"/>
      <c r="AF47" s="39">
        <v>6253.21</v>
      </c>
      <c r="AG47" s="39">
        <f>200</f>
        <v>200</v>
      </c>
      <c r="AH47" s="106">
        <f t="shared" si="48"/>
        <v>6453.21</v>
      </c>
      <c r="AI47" s="541" t="e">
        <f t="shared" si="60"/>
        <v>#DIV/0!</v>
      </c>
      <c r="AJ47" s="443" t="s">
        <v>841</v>
      </c>
      <c r="AK47" s="39">
        <v>3337.38</v>
      </c>
      <c r="AL47" s="39">
        <v>368</v>
      </c>
      <c r="AM47" s="106">
        <f>AK47+AL47*1</f>
        <v>3705.38</v>
      </c>
      <c r="AN47" s="541" t="e">
        <f t="shared" si="37"/>
        <v>#DIV/0!</v>
      </c>
      <c r="AO47" s="443"/>
      <c r="AP47" s="39">
        <v>879.42</v>
      </c>
      <c r="AQ47" s="39"/>
      <c r="AR47" s="106">
        <f t="shared" si="50"/>
        <v>879.42</v>
      </c>
      <c r="AS47" s="541">
        <f t="shared" si="8"/>
        <v>3.3937614107011991E-3</v>
      </c>
      <c r="AT47" s="443"/>
      <c r="AU47" s="39">
        <v>691</v>
      </c>
      <c r="AV47" s="39"/>
      <c r="AW47" s="106">
        <f t="shared" si="51"/>
        <v>691</v>
      </c>
      <c r="AX47" s="541" t="e">
        <f t="shared" si="38"/>
        <v>#DIV/0!</v>
      </c>
      <c r="AY47" s="443"/>
      <c r="AZ47" s="39">
        <v>69.360000000000582</v>
      </c>
      <c r="BA47" s="39">
        <v>916</v>
      </c>
      <c r="BB47" s="106">
        <f t="shared" si="52"/>
        <v>985.36000000000058</v>
      </c>
      <c r="BC47" s="541" t="e">
        <f t="shared" si="39"/>
        <v>#DIV/0!</v>
      </c>
      <c r="BD47" s="443"/>
      <c r="BE47" s="39">
        <v>528</v>
      </c>
      <c r="BF47" s="39"/>
      <c r="BG47" s="106">
        <f t="shared" si="53"/>
        <v>528</v>
      </c>
      <c r="BH47" s="541">
        <f t="shared" si="40"/>
        <v>1.4027456079818443E-3</v>
      </c>
      <c r="BI47" s="443"/>
      <c r="BJ47" s="39">
        <f t="shared" si="54"/>
        <v>31393.269999999997</v>
      </c>
      <c r="BK47" s="39">
        <f t="shared" si="55"/>
        <v>2753</v>
      </c>
      <c r="BL47" s="106">
        <f t="shared" si="56"/>
        <v>34146.269999999997</v>
      </c>
      <c r="BM47" s="178" t="e">
        <f t="shared" si="57"/>
        <v>#DIV/0!</v>
      </c>
      <c r="BN47" s="79"/>
      <c r="BP47" s="842"/>
      <c r="BQ47" s="842"/>
    </row>
    <row r="48" spans="1:72" ht="13.8" x14ac:dyDescent="0.25">
      <c r="A48" s="4015"/>
      <c r="B48" s="18" t="s">
        <v>15</v>
      </c>
      <c r="C48" s="113">
        <v>2500</v>
      </c>
      <c r="D48" s="119"/>
      <c r="E48" s="120">
        <f t="shared" si="41"/>
        <v>2500</v>
      </c>
      <c r="F48" s="178">
        <f t="shared" si="34"/>
        <v>1.2654342248699034E-4</v>
      </c>
      <c r="G48" s="39"/>
      <c r="H48" s="39"/>
      <c r="I48" s="106">
        <f t="shared" si="42"/>
        <v>0</v>
      </c>
      <c r="J48" s="178">
        <f t="shared" si="35"/>
        <v>0</v>
      </c>
      <c r="K48" s="79"/>
      <c r="L48" s="39">
        <f>360*1.2</f>
        <v>432</v>
      </c>
      <c r="M48" s="39"/>
      <c r="N48" s="106">
        <f t="shared" si="43"/>
        <v>432</v>
      </c>
      <c r="O48" s="178">
        <f t="shared" si="58"/>
        <v>3.5349492347312662E-4</v>
      </c>
      <c r="P48" s="415" t="s">
        <v>572</v>
      </c>
      <c r="Q48" s="39"/>
      <c r="R48" s="39">
        <v>120</v>
      </c>
      <c r="S48" s="106">
        <f t="shared" si="44"/>
        <v>120</v>
      </c>
      <c r="T48" s="178">
        <f t="shared" si="45"/>
        <v>1.7045318898078724E-5</v>
      </c>
      <c r="U48" s="443" t="s">
        <v>692</v>
      </c>
      <c r="V48" s="39">
        <f>2053.8*1.2</f>
        <v>2464.56</v>
      </c>
      <c r="W48" s="39"/>
      <c r="X48" s="106">
        <f t="shared" si="46"/>
        <v>2464.56</v>
      </c>
      <c r="Y48" s="178">
        <f t="shared" si="59"/>
        <v>1.0016383938061804E-3</v>
      </c>
      <c r="Z48" s="443"/>
      <c r="AA48" s="39"/>
      <c r="AB48" s="39">
        <v>100</v>
      </c>
      <c r="AC48" s="106">
        <f t="shared" si="47"/>
        <v>100</v>
      </c>
      <c r="AD48" s="541">
        <f t="shared" si="36"/>
        <v>3.5060528639384925E-5</v>
      </c>
      <c r="AE48" s="443"/>
      <c r="AF48" s="39"/>
      <c r="AG48" s="39">
        <v>89.9</v>
      </c>
      <c r="AH48" s="106">
        <f t="shared" si="48"/>
        <v>89.9</v>
      </c>
      <c r="AI48" s="541" t="e">
        <f t="shared" si="60"/>
        <v>#DIV/0!</v>
      </c>
      <c r="AJ48" s="443"/>
      <c r="AK48" s="39"/>
      <c r="AL48" s="39"/>
      <c r="AM48" s="106">
        <f t="shared" si="49"/>
        <v>0</v>
      </c>
      <c r="AN48" s="541" t="e">
        <f t="shared" si="37"/>
        <v>#DIV/0!</v>
      </c>
      <c r="AO48" s="443"/>
      <c r="AP48" s="39"/>
      <c r="AQ48" s="39"/>
      <c r="AR48" s="106">
        <f t="shared" si="50"/>
        <v>0</v>
      </c>
      <c r="AS48" s="541">
        <f t="shared" si="8"/>
        <v>0</v>
      </c>
      <c r="AT48" s="443"/>
      <c r="AU48" s="39"/>
      <c r="AV48" s="39"/>
      <c r="AW48" s="106">
        <f t="shared" si="51"/>
        <v>0</v>
      </c>
      <c r="AX48" s="541" t="e">
        <f t="shared" si="38"/>
        <v>#DIV/0!</v>
      </c>
      <c r="AY48" s="443"/>
      <c r="AZ48" s="39">
        <v>-432</v>
      </c>
      <c r="BA48" s="39"/>
      <c r="BB48" s="106">
        <f t="shared" si="52"/>
        <v>-432</v>
      </c>
      <c r="BC48" s="541" t="e">
        <f t="shared" si="39"/>
        <v>#DIV/0!</v>
      </c>
      <c r="BD48" s="443"/>
      <c r="BE48" s="39"/>
      <c r="BF48" s="39"/>
      <c r="BG48" s="106">
        <f t="shared" si="53"/>
        <v>0</v>
      </c>
      <c r="BH48" s="541">
        <f t="shared" si="40"/>
        <v>0</v>
      </c>
      <c r="BI48" s="443"/>
      <c r="BJ48" s="39">
        <f t="shared" si="54"/>
        <v>2464.56</v>
      </c>
      <c r="BK48" s="39">
        <f t="shared" si="55"/>
        <v>309.89999999999998</v>
      </c>
      <c r="BL48" s="106">
        <f t="shared" si="56"/>
        <v>2774.46</v>
      </c>
      <c r="BM48" s="178" t="e">
        <f t="shared" si="57"/>
        <v>#DIV/0!</v>
      </c>
      <c r="BN48" s="79"/>
      <c r="BP48" s="842"/>
      <c r="BQ48" s="842"/>
    </row>
    <row r="49" spans="1:72" s="2" customFormat="1" ht="14.4" thickBot="1" x14ac:dyDescent="0.3">
      <c r="A49" s="11"/>
      <c r="B49" s="35"/>
      <c r="C49" s="116"/>
      <c r="D49" s="121"/>
      <c r="E49" s="122"/>
      <c r="F49" s="182"/>
      <c r="G49" s="39"/>
      <c r="H49" s="39"/>
      <c r="I49" s="52"/>
      <c r="J49" s="178">
        <f t="shared" si="35"/>
        <v>0</v>
      </c>
      <c r="K49" s="52"/>
      <c r="L49" s="39"/>
      <c r="M49" s="39"/>
      <c r="N49" s="52"/>
      <c r="O49" s="178">
        <f t="shared" si="58"/>
        <v>0</v>
      </c>
      <c r="P49" s="64"/>
      <c r="Q49" s="39"/>
      <c r="R49" s="39"/>
      <c r="S49" s="52"/>
      <c r="T49" s="178">
        <f t="shared" si="45"/>
        <v>0</v>
      </c>
      <c r="U49" s="64"/>
      <c r="V49" s="39"/>
      <c r="W49" s="39"/>
      <c r="X49" s="52"/>
      <c r="Y49" s="178">
        <f t="shared" si="59"/>
        <v>0</v>
      </c>
      <c r="Z49" s="64"/>
      <c r="AA49" s="39"/>
      <c r="AB49" s="39"/>
      <c r="AC49" s="52"/>
      <c r="AD49" s="541"/>
      <c r="AE49" s="64"/>
      <c r="AF49" s="39"/>
      <c r="AG49" s="39"/>
      <c r="AH49" s="52"/>
      <c r="AI49" s="541"/>
      <c r="AJ49" s="64"/>
      <c r="AK49" s="39"/>
      <c r="AL49" s="39"/>
      <c r="AM49" s="52"/>
      <c r="AN49" s="541"/>
      <c r="AO49" s="64"/>
      <c r="AP49" s="39"/>
      <c r="AQ49" s="39"/>
      <c r="AR49" s="52"/>
      <c r="AS49" s="541">
        <f t="shared" si="8"/>
        <v>0</v>
      </c>
      <c r="AT49" s="64"/>
      <c r="AU49" s="39"/>
      <c r="AV49" s="39"/>
      <c r="AW49" s="52"/>
      <c r="AX49" s="541" t="e">
        <f t="shared" si="38"/>
        <v>#DIV/0!</v>
      </c>
      <c r="AY49" s="64"/>
      <c r="AZ49" s="39"/>
      <c r="BA49" s="39"/>
      <c r="BB49" s="52"/>
      <c r="BC49" s="541" t="e">
        <f t="shared" si="39"/>
        <v>#DIV/0!</v>
      </c>
      <c r="BD49" s="64"/>
      <c r="BE49" s="39"/>
      <c r="BF49" s="39"/>
      <c r="BG49" s="52"/>
      <c r="BH49" s="541">
        <f t="shared" si="40"/>
        <v>0</v>
      </c>
      <c r="BI49" s="64"/>
      <c r="BJ49" s="39">
        <f t="shared" si="54"/>
        <v>0</v>
      </c>
      <c r="BK49" s="39">
        <f t="shared" si="55"/>
        <v>0</v>
      </c>
      <c r="BL49" s="52"/>
      <c r="BM49" s="178" t="e">
        <f t="shared" si="57"/>
        <v>#DIV/0!</v>
      </c>
      <c r="BN49" s="52"/>
      <c r="BO49" s="1"/>
      <c r="BP49" s="842"/>
      <c r="BQ49" s="842"/>
      <c r="BR49" s="1"/>
      <c r="BS49" s="1"/>
      <c r="BT49" s="1"/>
    </row>
    <row r="50" spans="1:72" s="2" customFormat="1" ht="13.8" x14ac:dyDescent="0.25">
      <c r="A50" s="293"/>
      <c r="B50" s="17" t="s">
        <v>59</v>
      </c>
      <c r="C50" s="123"/>
      <c r="D50" s="123"/>
      <c r="E50" s="123">
        <f>SUM(E51:E52)</f>
        <v>0</v>
      </c>
      <c r="F50" s="170">
        <f>E50/$E$89</f>
        <v>0</v>
      </c>
      <c r="G50" s="123">
        <f>G52+G51</f>
        <v>0</v>
      </c>
      <c r="H50" s="123">
        <f>H52+H51</f>
        <v>0</v>
      </c>
      <c r="I50" s="123">
        <f>SUM(I51:I52)</f>
        <v>0</v>
      </c>
      <c r="J50" s="60"/>
      <c r="K50" s="60"/>
      <c r="L50" s="123">
        <f>L52+L51</f>
        <v>0</v>
      </c>
      <c r="M50" s="123">
        <f>M52+M51</f>
        <v>0</v>
      </c>
      <c r="N50" s="123">
        <f>SUM(N51:N52)</f>
        <v>0</v>
      </c>
      <c r="O50" s="60"/>
      <c r="P50" s="409"/>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f>AC50/$AC$89</f>
        <v>0</v>
      </c>
      <c r="AE50" s="409"/>
      <c r="AF50" s="123">
        <f>AF52+AF51</f>
        <v>0</v>
      </c>
      <c r="AG50" s="123">
        <f>AG52+AG51</f>
        <v>0</v>
      </c>
      <c r="AH50" s="123">
        <f>SUM(AH51:AH52)</f>
        <v>0</v>
      </c>
      <c r="AI50" s="60" t="e">
        <f>AH50/$AH$89</f>
        <v>#DIV/0!</v>
      </c>
      <c r="AJ50" s="409"/>
      <c r="AK50" s="123">
        <f>AK52+AK51</f>
        <v>0</v>
      </c>
      <c r="AL50" s="123">
        <f>AL52+AL51</f>
        <v>0</v>
      </c>
      <c r="AM50" s="123">
        <f>SUM(AM51:AM52)</f>
        <v>0</v>
      </c>
      <c r="AN50" s="60" t="e">
        <f>AM50/$AM$89</f>
        <v>#DIV/0!</v>
      </c>
      <c r="AO50" s="409"/>
      <c r="AP50" s="123">
        <f>AP52+AP51</f>
        <v>0</v>
      </c>
      <c r="AQ50" s="123">
        <f>AQ52+AQ51</f>
        <v>0</v>
      </c>
      <c r="AR50" s="123">
        <f>SUM(AR51:AR52)</f>
        <v>0</v>
      </c>
      <c r="AS50" s="60">
        <f t="shared" si="8"/>
        <v>0</v>
      </c>
      <c r="AT50" s="409"/>
      <c r="AU50" s="123">
        <f>AU52+AU51</f>
        <v>0</v>
      </c>
      <c r="AV50" s="123">
        <f>AV52+AV51</f>
        <v>0</v>
      </c>
      <c r="AW50" s="123">
        <f>SUM(AW51:AW52)</f>
        <v>0</v>
      </c>
      <c r="AX50" s="60" t="e">
        <f t="shared" si="38"/>
        <v>#DIV/0!</v>
      </c>
      <c r="AY50" s="409"/>
      <c r="AZ50" s="123">
        <f>AZ52+AZ51</f>
        <v>0</v>
      </c>
      <c r="BA50" s="123">
        <f>BA52+BA51</f>
        <v>0</v>
      </c>
      <c r="BB50" s="123">
        <f>SUM(BB51:BB52)</f>
        <v>0</v>
      </c>
      <c r="BC50" s="60" t="e">
        <f t="shared" si="39"/>
        <v>#DIV/0!</v>
      </c>
      <c r="BD50" s="409"/>
      <c r="BE50" s="123">
        <f>BE52+BE51</f>
        <v>0</v>
      </c>
      <c r="BF50" s="123">
        <f>BF52+BF51</f>
        <v>0</v>
      </c>
      <c r="BG50" s="123">
        <f>SUM(BG51:BG52)</f>
        <v>0</v>
      </c>
      <c r="BH50" s="60">
        <f t="shared" si="40"/>
        <v>0</v>
      </c>
      <c r="BI50" s="409"/>
      <c r="BJ50" s="123">
        <f>BJ52+BJ51</f>
        <v>0</v>
      </c>
      <c r="BK50" s="123">
        <f>BK52+BK51</f>
        <v>0</v>
      </c>
      <c r="BL50" s="123">
        <f>SUM(BL51:BL52)</f>
        <v>0</v>
      </c>
      <c r="BM50" s="60"/>
      <c r="BN50" s="60"/>
      <c r="BO50" s="1"/>
      <c r="BP50" s="842"/>
      <c r="BQ50" s="842"/>
      <c r="BR50" s="1"/>
      <c r="BS50" s="1"/>
      <c r="BT50" s="1"/>
    </row>
    <row r="51" spans="1:72" s="226" customFormat="1" ht="13.8" x14ac:dyDescent="0.25">
      <c r="A51" s="234"/>
      <c r="B51" s="18" t="s">
        <v>60</v>
      </c>
      <c r="C51" s="113"/>
      <c r="D51" s="119"/>
      <c r="E51" s="119">
        <f>C51+D51</f>
        <v>0</v>
      </c>
      <c r="F51" s="180">
        <f>E51/$E$89</f>
        <v>0</v>
      </c>
      <c r="G51" s="39"/>
      <c r="H51" s="39"/>
      <c r="I51" s="106">
        <f>G51+H51*1</f>
        <v>0</v>
      </c>
      <c r="J51" s="178">
        <f>I51/$I$89</f>
        <v>0</v>
      </c>
      <c r="K51" s="45"/>
      <c r="L51" s="39"/>
      <c r="M51" s="39"/>
      <c r="N51" s="106">
        <f>L51+M51*1</f>
        <v>0</v>
      </c>
      <c r="O51" s="178">
        <f t="shared" si="58"/>
        <v>0</v>
      </c>
      <c r="P51" s="405"/>
      <c r="Q51" s="39"/>
      <c r="R51" s="39"/>
      <c r="S51" s="106">
        <f>Q51+R51*1</f>
        <v>0</v>
      </c>
      <c r="T51" s="178">
        <f t="shared" si="45"/>
        <v>0</v>
      </c>
      <c r="U51" s="405"/>
      <c r="V51" s="39"/>
      <c r="W51" s="39"/>
      <c r="X51" s="106">
        <f>V51+W51*1</f>
        <v>0</v>
      </c>
      <c r="Y51" s="178">
        <f t="shared" si="59"/>
        <v>0</v>
      </c>
      <c r="Z51" s="405"/>
      <c r="AA51" s="39"/>
      <c r="AB51" s="39"/>
      <c r="AC51" s="106">
        <f>AA51+AB51*1</f>
        <v>0</v>
      </c>
      <c r="AD51" s="541">
        <f t="shared" si="36"/>
        <v>0</v>
      </c>
      <c r="AE51" s="405"/>
      <c r="AF51" s="39"/>
      <c r="AG51" s="39"/>
      <c r="AH51" s="106">
        <f>AF51+AG51*1</f>
        <v>0</v>
      </c>
      <c r="AI51" s="541" t="e">
        <f>AH51/$AH$89</f>
        <v>#DIV/0!</v>
      </c>
      <c r="AJ51" s="405"/>
      <c r="AK51" s="39"/>
      <c r="AL51" s="39"/>
      <c r="AM51" s="106">
        <f>AK51+AL51*1</f>
        <v>0</v>
      </c>
      <c r="AN51" s="541" t="e">
        <f>AM51/$AM$89</f>
        <v>#DIV/0!</v>
      </c>
      <c r="AO51" s="405"/>
      <c r="AP51" s="39"/>
      <c r="AQ51" s="39"/>
      <c r="AR51" s="106">
        <f>AP51+AQ51*1</f>
        <v>0</v>
      </c>
      <c r="AS51" s="541">
        <f t="shared" si="8"/>
        <v>0</v>
      </c>
      <c r="AT51" s="405"/>
      <c r="AU51" s="39"/>
      <c r="AV51" s="39"/>
      <c r="AW51" s="106">
        <f>AU51+AV51*1</f>
        <v>0</v>
      </c>
      <c r="AX51" s="541" t="e">
        <f t="shared" si="38"/>
        <v>#DIV/0!</v>
      </c>
      <c r="AY51" s="405"/>
      <c r="AZ51" s="39"/>
      <c r="BA51" s="39"/>
      <c r="BB51" s="106">
        <f>AZ51+BA51*1</f>
        <v>0</v>
      </c>
      <c r="BC51" s="541" t="e">
        <f t="shared" si="39"/>
        <v>#DIV/0!</v>
      </c>
      <c r="BD51" s="405"/>
      <c r="BE51" s="39"/>
      <c r="BF51" s="39"/>
      <c r="BG51" s="106">
        <f>BE51+BF51*1</f>
        <v>0</v>
      </c>
      <c r="BH51" s="541">
        <f t="shared" si="40"/>
        <v>0</v>
      </c>
      <c r="BI51" s="405"/>
      <c r="BJ51" s="39">
        <f>G51+L51+Q51+V51+AA51+AF51+AK51+AP51+AU51+AZ51+BE51</f>
        <v>0</v>
      </c>
      <c r="BK51" s="39">
        <f>H51+M51+R51+W51+AB51+AG51+AL51+AQ51+AV51+BA51+BF51</f>
        <v>0</v>
      </c>
      <c r="BL51" s="106">
        <f>BJ51+BK51*1</f>
        <v>0</v>
      </c>
      <c r="BM51" s="178" t="e">
        <f t="shared" si="57"/>
        <v>#DIV/0!</v>
      </c>
      <c r="BN51" s="45"/>
      <c r="BO51" s="1"/>
      <c r="BP51" s="842"/>
      <c r="BQ51" s="842"/>
      <c r="BR51" s="1"/>
      <c r="BS51" s="1"/>
      <c r="BT51" s="1"/>
    </row>
    <row r="52" spans="1:72" s="235" customFormat="1" ht="13.8" x14ac:dyDescent="0.25">
      <c r="A52" s="234"/>
      <c r="B52" s="18" t="s">
        <v>61</v>
      </c>
      <c r="C52" s="113"/>
      <c r="D52" s="119"/>
      <c r="E52" s="119">
        <f>C52+D52</f>
        <v>0</v>
      </c>
      <c r="F52" s="180">
        <f>E52/$E$89</f>
        <v>0</v>
      </c>
      <c r="G52" s="39"/>
      <c r="H52" s="39"/>
      <c r="I52" s="106">
        <f>G52+H52*1</f>
        <v>0</v>
      </c>
      <c r="J52" s="178">
        <f>I52/$I$89</f>
        <v>0</v>
      </c>
      <c r="K52" s="45"/>
      <c r="L52" s="39"/>
      <c r="M52" s="39"/>
      <c r="N52" s="106">
        <f>L52+M52*1</f>
        <v>0</v>
      </c>
      <c r="O52" s="178">
        <f t="shared" si="58"/>
        <v>0</v>
      </c>
      <c r="P52" s="405"/>
      <c r="Q52" s="39"/>
      <c r="R52" s="39"/>
      <c r="S52" s="106">
        <f>Q52+R52*1</f>
        <v>0</v>
      </c>
      <c r="T52" s="178">
        <f t="shared" si="45"/>
        <v>0</v>
      </c>
      <c r="U52" s="405"/>
      <c r="V52" s="39"/>
      <c r="W52" s="39"/>
      <c r="X52" s="106">
        <f>V52+W52*1</f>
        <v>0</v>
      </c>
      <c r="Y52" s="178">
        <f t="shared" si="59"/>
        <v>0</v>
      </c>
      <c r="Z52" s="405"/>
      <c r="AA52" s="39"/>
      <c r="AB52" s="39"/>
      <c r="AC52" s="106">
        <f>AA52+AB52*1</f>
        <v>0</v>
      </c>
      <c r="AD52" s="541">
        <f t="shared" si="36"/>
        <v>0</v>
      </c>
      <c r="AE52" s="405"/>
      <c r="AF52" s="39"/>
      <c r="AG52" s="39"/>
      <c r="AH52" s="106">
        <f>AF52+AG52*1</f>
        <v>0</v>
      </c>
      <c r="AI52" s="541" t="e">
        <f>AH52/$AH$89</f>
        <v>#DIV/0!</v>
      </c>
      <c r="AJ52" s="405"/>
      <c r="AK52" s="39"/>
      <c r="AL52" s="39"/>
      <c r="AM52" s="106">
        <f>AK52+AL52*1</f>
        <v>0</v>
      </c>
      <c r="AN52" s="541" t="e">
        <f>AM52/$AM$89</f>
        <v>#DIV/0!</v>
      </c>
      <c r="AO52" s="405"/>
      <c r="AP52" s="39"/>
      <c r="AQ52" s="39"/>
      <c r="AR52" s="106">
        <f>AP52+AQ52*1</f>
        <v>0</v>
      </c>
      <c r="AS52" s="541">
        <f t="shared" si="8"/>
        <v>0</v>
      </c>
      <c r="AT52" s="405"/>
      <c r="AU52" s="39"/>
      <c r="AV52" s="39"/>
      <c r="AW52" s="106">
        <f>AU52+AV52*1</f>
        <v>0</v>
      </c>
      <c r="AX52" s="541" t="e">
        <f t="shared" si="38"/>
        <v>#DIV/0!</v>
      </c>
      <c r="AY52" s="405"/>
      <c r="AZ52" s="39"/>
      <c r="BA52" s="39"/>
      <c r="BB52" s="106">
        <f>AZ52+BA52*1</f>
        <v>0</v>
      </c>
      <c r="BC52" s="541" t="e">
        <f t="shared" si="39"/>
        <v>#DIV/0!</v>
      </c>
      <c r="BD52" s="405"/>
      <c r="BE52" s="39"/>
      <c r="BF52" s="39"/>
      <c r="BG52" s="106">
        <f>BE52+BF52*1</f>
        <v>0</v>
      </c>
      <c r="BH52" s="541">
        <f t="shared" si="40"/>
        <v>0</v>
      </c>
      <c r="BI52" s="405"/>
      <c r="BJ52" s="39">
        <f>G52+L52+Q52+V52+AA52+AF52+AK52+AP52+AU52+AZ52+BE52</f>
        <v>0</v>
      </c>
      <c r="BK52" s="39">
        <f>H52+M52+R52+W52+AB52+AG52+AL52+AQ52+AV52+BA52+BF52</f>
        <v>0</v>
      </c>
      <c r="BL52" s="106">
        <f>BJ52+BK52*1</f>
        <v>0</v>
      </c>
      <c r="BM52" s="178" t="e">
        <f t="shared" si="57"/>
        <v>#DIV/0!</v>
      </c>
      <c r="BN52" s="45"/>
      <c r="BO52" s="1"/>
      <c r="BP52" s="842"/>
      <c r="BQ52" s="842"/>
      <c r="BR52" s="1"/>
      <c r="BS52" s="1"/>
      <c r="BT52" s="1"/>
    </row>
    <row r="53" spans="1:72" ht="14.4" thickBot="1" x14ac:dyDescent="0.3">
      <c r="A53" s="20"/>
      <c r="B53" s="21"/>
      <c r="C53" s="124"/>
      <c r="D53" s="125"/>
      <c r="E53" s="126"/>
      <c r="F53" s="183"/>
      <c r="G53" s="39"/>
      <c r="H53" s="39"/>
      <c r="I53" s="61"/>
      <c r="J53" s="61"/>
      <c r="K53" s="61"/>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39"/>
      <c r="AV53" s="39"/>
      <c r="AW53" s="61"/>
      <c r="AX53" s="61"/>
      <c r="AY53" s="61"/>
      <c r="AZ53" s="39"/>
      <c r="BA53" s="39"/>
      <c r="BB53" s="61"/>
      <c r="BC53" s="61"/>
      <c r="BD53" s="61"/>
      <c r="BE53" s="39"/>
      <c r="BF53" s="39"/>
      <c r="BG53" s="61"/>
      <c r="BH53" s="61"/>
      <c r="BI53" s="61"/>
      <c r="BJ53" s="39"/>
      <c r="BK53" s="39"/>
      <c r="BL53" s="61"/>
      <c r="BM53" s="61"/>
      <c r="BN53" s="61"/>
      <c r="BP53" s="842"/>
      <c r="BQ53" s="842"/>
    </row>
    <row r="54" spans="1:72" ht="13.8" x14ac:dyDescent="0.25">
      <c r="A54" s="236"/>
      <c r="B54" s="17" t="s">
        <v>1</v>
      </c>
      <c r="C54" s="123">
        <f>SUM(C55:C71)</f>
        <v>126800</v>
      </c>
      <c r="D54" s="123">
        <f>SUM(D55:D71)</f>
        <v>133425</v>
      </c>
      <c r="E54" s="127">
        <f>SUM(E55:E71)</f>
        <v>260225</v>
      </c>
      <c r="F54" s="170">
        <f>E54/$E$89</f>
        <v>1.3171904846670825E-2</v>
      </c>
      <c r="G54" s="123">
        <f>SUM(G55:G72)</f>
        <v>27130</v>
      </c>
      <c r="H54" s="123">
        <f>SUM(H55:H72)</f>
        <v>240.5</v>
      </c>
      <c r="I54" s="123">
        <f>SUM(I55:I72)</f>
        <v>27370.5</v>
      </c>
      <c r="J54" s="169">
        <f t="shared" ref="J54:J72" si="61">I54/$I$89</f>
        <v>8.7428638204136627E-2</v>
      </c>
      <c r="K54" s="60"/>
      <c r="L54" s="123">
        <f>SUM(L55:L72)</f>
        <v>11191</v>
      </c>
      <c r="M54" s="123">
        <f>SUM(M55:M72)</f>
        <v>15953.9</v>
      </c>
      <c r="N54" s="123">
        <f>SUM(N55:N72)</f>
        <v>27144.9</v>
      </c>
      <c r="O54" s="169">
        <f>N54/$N$89</f>
        <v>2.2212000805985357E-2</v>
      </c>
      <c r="P54" s="409"/>
      <c r="Q54" s="123">
        <f>SUM(Q55:Q72)</f>
        <v>20968.669999999998</v>
      </c>
      <c r="R54" s="123">
        <f>SUM(R55:R72)</f>
        <v>28399</v>
      </c>
      <c r="S54" s="123">
        <f>SUM(S55:S72)</f>
        <v>49367.67</v>
      </c>
      <c r="T54" s="169">
        <f>S54/$S$89</f>
        <v>7.0123973200426175E-3</v>
      </c>
      <c r="U54" s="409"/>
      <c r="V54" s="123">
        <f>SUM(V55:V72)</f>
        <v>14195.475</v>
      </c>
      <c r="W54" s="123">
        <f>SUM(W55:W72)</f>
        <v>14096</v>
      </c>
      <c r="X54" s="123">
        <f>SUM(X55:X72)</f>
        <v>28291.474999999999</v>
      </c>
      <c r="Y54" s="169">
        <f>X54/$S$89</f>
        <v>4.0186434456001814E-3</v>
      </c>
      <c r="Z54" s="409"/>
      <c r="AA54" s="123">
        <f>SUM(AA55:AA72)</f>
        <v>28143</v>
      </c>
      <c r="AB54" s="123">
        <f>SUM(AB55:AB72)</f>
        <v>29894.73</v>
      </c>
      <c r="AC54" s="123">
        <f>SUM(AC55:AC72)</f>
        <v>58037.729999999996</v>
      </c>
      <c r="AD54" s="169">
        <f t="shared" ref="AD54:AD72" si="62">AC54/$AC$89</f>
        <v>2.0348334948298897E-2</v>
      </c>
      <c r="AE54" s="409"/>
      <c r="AF54" s="123">
        <f>SUM(AF55:AF72)</f>
        <v>28170.730000000003</v>
      </c>
      <c r="AG54" s="123">
        <f>SUM(AG55:AG72)</f>
        <v>32083</v>
      </c>
      <c r="AH54" s="123">
        <f>SUM(AH55:AH72)</f>
        <v>60253.73</v>
      </c>
      <c r="AI54" s="169" t="e">
        <f t="shared" ref="AI54:AI72" si="63">AH54/$AH$89</f>
        <v>#DIV/0!</v>
      </c>
      <c r="AJ54" s="409"/>
      <c r="AK54" s="123">
        <f>SUM(AK55:AK72)</f>
        <v>33402.26</v>
      </c>
      <c r="AL54" s="123">
        <f>SUM(AL55:AL72)</f>
        <v>26038</v>
      </c>
      <c r="AM54" s="123">
        <f>SUM(AM55:AM72)</f>
        <v>59440.26</v>
      </c>
      <c r="AN54" s="169" t="e">
        <f t="shared" ref="AN54:AN72" si="64">AM54/$AM$89</f>
        <v>#DIV/0!</v>
      </c>
      <c r="AO54" s="409"/>
      <c r="AP54" s="123">
        <f>SUM(AP55:AP72)</f>
        <v>0</v>
      </c>
      <c r="AQ54" s="123">
        <f>SUM(AQ55:AQ72)</f>
        <v>3098.37</v>
      </c>
      <c r="AR54" s="123">
        <f>SUM(AR55:AR72)</f>
        <v>3098.37</v>
      </c>
      <c r="AS54" s="169">
        <f t="shared" si="8"/>
        <v>1.1956890384656107E-2</v>
      </c>
      <c r="AT54" s="409"/>
      <c r="AU54" s="123">
        <f>SUM(AU55:AU72)</f>
        <v>0</v>
      </c>
      <c r="AV54" s="123">
        <f>SUM(AV55:AV72)</f>
        <v>2411.9700000000003</v>
      </c>
      <c r="AW54" s="123">
        <f>SUM(AW55:AW72)</f>
        <v>2411.9700000000003</v>
      </c>
      <c r="AX54" s="169" t="e">
        <f t="shared" ref="AX54:AX72" si="65">AW54/$AW$89</f>
        <v>#DIV/0!</v>
      </c>
      <c r="AY54" s="409"/>
      <c r="AZ54" s="123">
        <f>SUM(AZ55:AZ72)</f>
        <v>98875.544999999998</v>
      </c>
      <c r="BA54" s="123">
        <f>SUM(BA55:BA72)</f>
        <v>1542.8599999999988</v>
      </c>
      <c r="BB54" s="123">
        <f>SUM(BB55:BB72)</f>
        <v>100418.405</v>
      </c>
      <c r="BC54" s="169" t="e">
        <f t="shared" ref="BC54:BC72" si="66">BB54/$AW$89</f>
        <v>#DIV/0!</v>
      </c>
      <c r="BD54" s="409"/>
      <c r="BE54" s="123">
        <f>SUM(BE55:BE72)</f>
        <v>0</v>
      </c>
      <c r="BF54" s="123">
        <f>SUM(BF55:BF72)</f>
        <v>0</v>
      </c>
      <c r="BG54" s="123">
        <f>SUM(BG55:BG72)</f>
        <v>0</v>
      </c>
      <c r="BH54" s="169">
        <f t="shared" ref="BH54:BH72" si="67">BG54/$BG$89</f>
        <v>0</v>
      </c>
      <c r="BI54" s="409"/>
      <c r="BJ54" s="123">
        <f>SUM(BJ55:BJ72)</f>
        <v>262076.68</v>
      </c>
      <c r="BK54" s="123">
        <f>SUM(BK55:BK72)</f>
        <v>153758.33000000002</v>
      </c>
      <c r="BL54" s="123">
        <f>SUM(BL55:BL72)</f>
        <v>415835.01</v>
      </c>
      <c r="BM54" s="169" t="e">
        <f t="shared" si="57"/>
        <v>#DIV/0!</v>
      </c>
      <c r="BN54" s="60"/>
      <c r="BP54" s="842"/>
      <c r="BQ54" s="842"/>
    </row>
    <row r="55" spans="1:72" ht="13.8" x14ac:dyDescent="0.25">
      <c r="A55" s="237"/>
      <c r="B55" s="19" t="s">
        <v>77</v>
      </c>
      <c r="C55" s="113"/>
      <c r="D55" s="128"/>
      <c r="E55" s="120">
        <f t="shared" ref="E55:E71" si="68">C55+D55</f>
        <v>0</v>
      </c>
      <c r="F55" s="178">
        <f>E55/$E$89</f>
        <v>0</v>
      </c>
      <c r="G55" s="210"/>
      <c r="H55" s="210"/>
      <c r="I55" s="106">
        <f t="shared" ref="I55:I71" si="69">G55+H55*1</f>
        <v>0</v>
      </c>
      <c r="J55" s="178">
        <f t="shared" si="61"/>
        <v>0</v>
      </c>
      <c r="K55" s="79"/>
      <c r="L55" s="210"/>
      <c r="M55" s="210"/>
      <c r="N55" s="106">
        <f t="shared" ref="N55:N71" si="70">L55+M55*1</f>
        <v>0</v>
      </c>
      <c r="O55" s="178">
        <f t="shared" ref="O55:O72" si="71">N55/$N$89</f>
        <v>0</v>
      </c>
      <c r="P55" s="259"/>
      <c r="Q55" s="210"/>
      <c r="R55" s="210"/>
      <c r="S55" s="106">
        <f t="shared" ref="S55:S71" si="72">Q55+R55*1</f>
        <v>0</v>
      </c>
      <c r="T55" s="178">
        <f t="shared" ref="T55:T72" si="73">S55/$S$89</f>
        <v>0</v>
      </c>
      <c r="U55" s="259"/>
      <c r="V55" s="210"/>
      <c r="W55" s="210"/>
      <c r="X55" s="106">
        <f t="shared" ref="X55:X71" si="74">V55+W55*1</f>
        <v>0</v>
      </c>
      <c r="Y55" s="178">
        <f t="shared" ref="Y55:Y72" si="75">X55/$X$89</f>
        <v>0</v>
      </c>
      <c r="Z55" s="259"/>
      <c r="AA55" s="210"/>
      <c r="AB55" s="210"/>
      <c r="AC55" s="106">
        <f t="shared" ref="AC55:AC71" si="76">AA55+AB55*1</f>
        <v>0</v>
      </c>
      <c r="AD55" s="541">
        <f t="shared" si="62"/>
        <v>0</v>
      </c>
      <c r="AE55" s="259"/>
      <c r="AF55" s="210"/>
      <c r="AG55" s="210"/>
      <c r="AH55" s="106">
        <f t="shared" ref="AH55:AH71" si="77">AF55+AG55*1</f>
        <v>0</v>
      </c>
      <c r="AI55" s="541" t="e">
        <f t="shared" si="63"/>
        <v>#DIV/0!</v>
      </c>
      <c r="AJ55" s="259"/>
      <c r="AK55" s="210"/>
      <c r="AL55" s="210"/>
      <c r="AM55" s="106">
        <f t="shared" ref="AM55:AM71" si="78">AK55+AL55*1</f>
        <v>0</v>
      </c>
      <c r="AN55" s="541" t="e">
        <f t="shared" si="64"/>
        <v>#DIV/0!</v>
      </c>
      <c r="AO55" s="259"/>
      <c r="AP55" s="210"/>
      <c r="AQ55" s="210"/>
      <c r="AR55" s="106">
        <f t="shared" ref="AR55:AR71" si="79">AP55+AQ55*1</f>
        <v>0</v>
      </c>
      <c r="AS55" s="541">
        <f t="shared" si="8"/>
        <v>0</v>
      </c>
      <c r="AT55" s="259"/>
      <c r="AU55" s="210"/>
      <c r="AV55" s="210"/>
      <c r="AW55" s="106">
        <f t="shared" ref="AW55:AW71" si="80">AU55+AV55*1</f>
        <v>0</v>
      </c>
      <c r="AX55" s="541" t="e">
        <f t="shared" si="65"/>
        <v>#DIV/0!</v>
      </c>
      <c r="AY55" s="259"/>
      <c r="AZ55" s="39"/>
      <c r="BA55" s="39"/>
      <c r="BB55" s="106">
        <f t="shared" ref="BB55:BB71" si="81">AZ55+BA55*1</f>
        <v>0</v>
      </c>
      <c r="BC55" s="541" t="e">
        <f t="shared" si="66"/>
        <v>#DIV/0!</v>
      </c>
      <c r="BD55" s="259"/>
      <c r="BE55" s="39"/>
      <c r="BF55" s="39"/>
      <c r="BG55" s="106">
        <f t="shared" ref="BG55:BG71" si="82">BE55+BF55*1</f>
        <v>0</v>
      </c>
      <c r="BH55" s="541">
        <f t="shared" si="67"/>
        <v>0</v>
      </c>
      <c r="BI55" s="259"/>
      <c r="BJ55" s="39">
        <f t="shared" ref="BJ55:BJ71" si="83">G55+L55+Q55+V55+AA55+AF55+AK55+AP55+AU55+AZ55+BE55</f>
        <v>0</v>
      </c>
      <c r="BK55" s="39">
        <f t="shared" ref="BK55:BK71" si="84">H55+M55+R55+W55+AB55+AG55+AL55+AQ55+AV55+BA55+BF55</f>
        <v>0</v>
      </c>
      <c r="BL55" s="106">
        <f t="shared" ref="BL55:BL71" si="85">BJ55+BK55*1</f>
        <v>0</v>
      </c>
      <c r="BM55" s="178" t="e">
        <f t="shared" si="57"/>
        <v>#DIV/0!</v>
      </c>
      <c r="BN55" s="79"/>
      <c r="BP55" s="842"/>
      <c r="BQ55" s="842"/>
    </row>
    <row r="56" spans="1:72" ht="13.8" x14ac:dyDescent="0.25">
      <c r="A56" s="237"/>
      <c r="B56" s="19" t="s">
        <v>76</v>
      </c>
      <c r="C56" s="113"/>
      <c r="D56" s="128"/>
      <c r="E56" s="120">
        <f t="shared" si="68"/>
        <v>0</v>
      </c>
      <c r="F56" s="178">
        <f t="shared" ref="F56:F72" si="86">E56/$E$89</f>
        <v>0</v>
      </c>
      <c r="G56" s="210"/>
      <c r="H56" s="210"/>
      <c r="I56" s="106">
        <f t="shared" si="69"/>
        <v>0</v>
      </c>
      <c r="J56" s="178">
        <f t="shared" si="61"/>
        <v>0</v>
      </c>
      <c r="K56" s="79"/>
      <c r="L56" s="210"/>
      <c r="M56" s="210"/>
      <c r="N56" s="106">
        <f t="shared" si="70"/>
        <v>0</v>
      </c>
      <c r="O56" s="178">
        <f t="shared" si="71"/>
        <v>0</v>
      </c>
      <c r="P56" s="259"/>
      <c r="Q56" s="210"/>
      <c r="R56" s="210"/>
      <c r="S56" s="106">
        <f t="shared" si="72"/>
        <v>0</v>
      </c>
      <c r="T56" s="178">
        <f t="shared" si="73"/>
        <v>0</v>
      </c>
      <c r="U56" s="259"/>
      <c r="V56" s="210"/>
      <c r="W56" s="210"/>
      <c r="X56" s="106">
        <f t="shared" si="74"/>
        <v>0</v>
      </c>
      <c r="Y56" s="178">
        <f t="shared" si="75"/>
        <v>0</v>
      </c>
      <c r="Z56" s="259"/>
      <c r="AA56" s="210"/>
      <c r="AB56" s="210"/>
      <c r="AC56" s="106">
        <f t="shared" si="76"/>
        <v>0</v>
      </c>
      <c r="AD56" s="541">
        <f t="shared" si="62"/>
        <v>0</v>
      </c>
      <c r="AE56" s="259"/>
      <c r="AF56" s="210"/>
      <c r="AG56" s="210"/>
      <c r="AH56" s="106">
        <f t="shared" si="77"/>
        <v>0</v>
      </c>
      <c r="AI56" s="541" t="e">
        <f t="shared" si="63"/>
        <v>#DIV/0!</v>
      </c>
      <c r="AJ56" s="259"/>
      <c r="AK56" s="210"/>
      <c r="AL56" s="210"/>
      <c r="AM56" s="106">
        <f t="shared" si="78"/>
        <v>0</v>
      </c>
      <c r="AN56" s="541" t="e">
        <f t="shared" si="64"/>
        <v>#DIV/0!</v>
      </c>
      <c r="AO56" s="259"/>
      <c r="AP56" s="210"/>
      <c r="AQ56" s="210"/>
      <c r="AR56" s="106">
        <f t="shared" si="79"/>
        <v>0</v>
      </c>
      <c r="AS56" s="541">
        <f t="shared" si="8"/>
        <v>0</v>
      </c>
      <c r="AT56" s="259"/>
      <c r="AU56" s="210"/>
      <c r="AV56" s="210"/>
      <c r="AW56" s="106">
        <f t="shared" si="80"/>
        <v>0</v>
      </c>
      <c r="AX56" s="541" t="e">
        <f t="shared" si="65"/>
        <v>#DIV/0!</v>
      </c>
      <c r="AY56" s="259"/>
      <c r="AZ56" s="39"/>
      <c r="BA56" s="39"/>
      <c r="BB56" s="106">
        <f t="shared" si="81"/>
        <v>0</v>
      </c>
      <c r="BC56" s="541" t="e">
        <f t="shared" si="66"/>
        <v>#DIV/0!</v>
      </c>
      <c r="BD56" s="259"/>
      <c r="BE56" s="39"/>
      <c r="BF56" s="39"/>
      <c r="BG56" s="106">
        <f t="shared" si="82"/>
        <v>0</v>
      </c>
      <c r="BH56" s="541">
        <f t="shared" si="67"/>
        <v>0</v>
      </c>
      <c r="BI56" s="259"/>
      <c r="BJ56" s="39">
        <f t="shared" si="83"/>
        <v>0</v>
      </c>
      <c r="BK56" s="39">
        <f t="shared" si="84"/>
        <v>0</v>
      </c>
      <c r="BL56" s="106">
        <f t="shared" si="85"/>
        <v>0</v>
      </c>
      <c r="BM56" s="178" t="e">
        <f t="shared" si="57"/>
        <v>#DIV/0!</v>
      </c>
      <c r="BN56" s="79"/>
      <c r="BP56" s="842"/>
      <c r="BQ56" s="842"/>
    </row>
    <row r="57" spans="1:72" ht="13.8" x14ac:dyDescent="0.25">
      <c r="A57" s="237"/>
      <c r="B57" s="19" t="s">
        <v>68</v>
      </c>
      <c r="C57" s="113"/>
      <c r="D57" s="128"/>
      <c r="E57" s="120">
        <f t="shared" si="68"/>
        <v>0</v>
      </c>
      <c r="F57" s="178">
        <f t="shared" si="86"/>
        <v>0</v>
      </c>
      <c r="G57" s="210"/>
      <c r="H57" s="210"/>
      <c r="I57" s="106">
        <f t="shared" si="69"/>
        <v>0</v>
      </c>
      <c r="J57" s="178">
        <f t="shared" si="61"/>
        <v>0</v>
      </c>
      <c r="K57" s="79"/>
      <c r="L57" s="210"/>
      <c r="M57" s="210"/>
      <c r="N57" s="106">
        <f t="shared" si="70"/>
        <v>0</v>
      </c>
      <c r="O57" s="178">
        <f t="shared" si="71"/>
        <v>0</v>
      </c>
      <c r="P57" s="259"/>
      <c r="Q57" s="210"/>
      <c r="R57" s="210"/>
      <c r="S57" s="106">
        <f t="shared" si="72"/>
        <v>0</v>
      </c>
      <c r="T57" s="178">
        <f t="shared" si="73"/>
        <v>0</v>
      </c>
      <c r="U57" s="443"/>
      <c r="V57" s="210"/>
      <c r="W57" s="210"/>
      <c r="X57" s="106">
        <f t="shared" si="74"/>
        <v>0</v>
      </c>
      <c r="Y57" s="178">
        <f t="shared" si="75"/>
        <v>0</v>
      </c>
      <c r="Z57" s="443"/>
      <c r="AA57" s="210"/>
      <c r="AB57" s="210"/>
      <c r="AC57" s="106">
        <f t="shared" si="76"/>
        <v>0</v>
      </c>
      <c r="AD57" s="541">
        <f t="shared" si="62"/>
        <v>0</v>
      </c>
      <c r="AE57" s="443"/>
      <c r="AF57" s="210"/>
      <c r="AG57" s="210"/>
      <c r="AH57" s="106">
        <f t="shared" si="77"/>
        <v>0</v>
      </c>
      <c r="AI57" s="541" t="e">
        <f t="shared" si="63"/>
        <v>#DIV/0!</v>
      </c>
      <c r="AJ57" s="443"/>
      <c r="AK57" s="210"/>
      <c r="AL57" s="210"/>
      <c r="AM57" s="106">
        <f t="shared" si="78"/>
        <v>0</v>
      </c>
      <c r="AN57" s="541" t="e">
        <f t="shared" si="64"/>
        <v>#DIV/0!</v>
      </c>
      <c r="AO57" s="443"/>
      <c r="AP57" s="210"/>
      <c r="AQ57" s="210"/>
      <c r="AR57" s="106">
        <f t="shared" si="79"/>
        <v>0</v>
      </c>
      <c r="AS57" s="541">
        <f t="shared" si="8"/>
        <v>0</v>
      </c>
      <c r="AT57" s="443"/>
      <c r="AU57" s="210"/>
      <c r="AV57" s="210"/>
      <c r="AW57" s="106">
        <f t="shared" si="80"/>
        <v>0</v>
      </c>
      <c r="AX57" s="541" t="e">
        <f t="shared" si="65"/>
        <v>#DIV/0!</v>
      </c>
      <c r="AY57" s="443"/>
      <c r="AZ57" s="39"/>
      <c r="BA57" s="39"/>
      <c r="BB57" s="106">
        <f t="shared" si="81"/>
        <v>0</v>
      </c>
      <c r="BC57" s="541" t="e">
        <f t="shared" si="66"/>
        <v>#DIV/0!</v>
      </c>
      <c r="BD57" s="443"/>
      <c r="BE57" s="39"/>
      <c r="BF57" s="39"/>
      <c r="BG57" s="106">
        <f t="shared" si="82"/>
        <v>0</v>
      </c>
      <c r="BH57" s="541">
        <f t="shared" si="67"/>
        <v>0</v>
      </c>
      <c r="BI57" s="443"/>
      <c r="BJ57" s="39">
        <f t="shared" si="83"/>
        <v>0</v>
      </c>
      <c r="BK57" s="39">
        <f t="shared" si="84"/>
        <v>0</v>
      </c>
      <c r="BL57" s="106">
        <f t="shared" si="85"/>
        <v>0</v>
      </c>
      <c r="BM57" s="178" t="e">
        <f t="shared" si="57"/>
        <v>#DIV/0!</v>
      </c>
      <c r="BN57" s="79"/>
      <c r="BP57" s="842"/>
      <c r="BQ57" s="842"/>
    </row>
    <row r="58" spans="1:72" ht="13.8" x14ac:dyDescent="0.25">
      <c r="A58" s="237"/>
      <c r="B58" s="19" t="s">
        <v>67</v>
      </c>
      <c r="C58" s="113">
        <v>52325</v>
      </c>
      <c r="D58" s="128">
        <v>122675</v>
      </c>
      <c r="E58" s="120">
        <f t="shared" si="68"/>
        <v>175000</v>
      </c>
      <c r="F58" s="178">
        <f t="shared" si="86"/>
        <v>8.8580395740893245E-3</v>
      </c>
      <c r="G58" s="210"/>
      <c r="H58" s="210"/>
      <c r="I58" s="106">
        <f t="shared" si="69"/>
        <v>0</v>
      </c>
      <c r="J58" s="178">
        <f t="shared" si="61"/>
        <v>0</v>
      </c>
      <c r="K58" s="79"/>
      <c r="L58" s="210">
        <f>10626/2</f>
        <v>5313</v>
      </c>
      <c r="M58" s="210">
        <f>24374/2</f>
        <v>12187</v>
      </c>
      <c r="N58" s="106">
        <f t="shared" si="70"/>
        <v>17500</v>
      </c>
      <c r="O58" s="178">
        <f t="shared" si="71"/>
        <v>1.4319817501804897E-2</v>
      </c>
      <c r="P58" s="415" t="s">
        <v>615</v>
      </c>
      <c r="Q58" s="210">
        <v>10626</v>
      </c>
      <c r="R58" s="210">
        <v>24374</v>
      </c>
      <c r="S58" s="106">
        <f t="shared" si="72"/>
        <v>35000</v>
      </c>
      <c r="T58" s="178">
        <f t="shared" si="73"/>
        <v>4.9715513452729615E-3</v>
      </c>
      <c r="U58" s="443" t="s">
        <v>635</v>
      </c>
      <c r="V58" s="210">
        <v>5313</v>
      </c>
      <c r="W58" s="210">
        <v>12187</v>
      </c>
      <c r="X58" s="106">
        <f t="shared" si="74"/>
        <v>17500</v>
      </c>
      <c r="Y58" s="178">
        <f t="shared" si="75"/>
        <v>7.1122926167787176E-3</v>
      </c>
      <c r="Z58" s="415" t="s">
        <v>717</v>
      </c>
      <c r="AA58" s="210">
        <v>10626</v>
      </c>
      <c r="AB58" s="210">
        <v>24374</v>
      </c>
      <c r="AC58" s="106">
        <f t="shared" si="76"/>
        <v>35000</v>
      </c>
      <c r="AD58" s="541">
        <f t="shared" si="62"/>
        <v>1.2271185023784725E-2</v>
      </c>
      <c r="AE58" s="443" t="s">
        <v>471</v>
      </c>
      <c r="AF58" s="210">
        <v>10787</v>
      </c>
      <c r="AG58" s="210">
        <v>24213</v>
      </c>
      <c r="AH58" s="106">
        <f t="shared" si="77"/>
        <v>35000</v>
      </c>
      <c r="AI58" s="541" t="e">
        <f t="shared" si="63"/>
        <v>#DIV/0!</v>
      </c>
      <c r="AJ58" s="443" t="s">
        <v>837</v>
      </c>
      <c r="AK58" s="210">
        <v>10787</v>
      </c>
      <c r="AL58" s="210">
        <v>24213</v>
      </c>
      <c r="AM58" s="106">
        <f t="shared" si="78"/>
        <v>35000</v>
      </c>
      <c r="AN58" s="541" t="e">
        <f t="shared" si="64"/>
        <v>#DIV/0!</v>
      </c>
      <c r="AO58" s="443" t="s">
        <v>837</v>
      </c>
      <c r="AP58" s="210"/>
      <c r="AQ58" s="210"/>
      <c r="AR58" s="106">
        <f t="shared" si="79"/>
        <v>0</v>
      </c>
      <c r="AS58" s="541">
        <f t="shared" si="8"/>
        <v>0</v>
      </c>
      <c r="AT58" s="443"/>
      <c r="AU58" s="210"/>
      <c r="AV58" s="210"/>
      <c r="AW58" s="106">
        <f t="shared" si="80"/>
        <v>0</v>
      </c>
      <c r="AX58" s="541" t="e">
        <f t="shared" si="65"/>
        <v>#DIV/0!</v>
      </c>
      <c r="AY58" s="443"/>
      <c r="AZ58" s="39">
        <v>10948</v>
      </c>
      <c r="BA58" s="39">
        <v>0</v>
      </c>
      <c r="BB58" s="106">
        <f t="shared" si="81"/>
        <v>10948</v>
      </c>
      <c r="BC58" s="541" t="e">
        <f t="shared" si="66"/>
        <v>#DIV/0!</v>
      </c>
      <c r="BD58" s="443"/>
      <c r="BE58" s="39"/>
      <c r="BF58" s="39"/>
      <c r="BG58" s="106">
        <f t="shared" si="82"/>
        <v>0</v>
      </c>
      <c r="BH58" s="541">
        <f t="shared" si="67"/>
        <v>0</v>
      </c>
      <c r="BI58" s="443"/>
      <c r="BJ58" s="39">
        <f t="shared" si="83"/>
        <v>64400</v>
      </c>
      <c r="BK58" s="39">
        <f t="shared" si="84"/>
        <v>121548</v>
      </c>
      <c r="BL58" s="106">
        <f t="shared" si="85"/>
        <v>185948</v>
      </c>
      <c r="BM58" s="178" t="e">
        <f t="shared" si="57"/>
        <v>#DIV/0!</v>
      </c>
      <c r="BN58" s="79"/>
      <c r="BP58" s="842"/>
      <c r="BQ58" s="842"/>
    </row>
    <row r="59" spans="1:72" ht="13.8" x14ac:dyDescent="0.25">
      <c r="A59" s="237"/>
      <c r="B59" s="19" t="s">
        <v>66</v>
      </c>
      <c r="C59" s="113">
        <v>12675</v>
      </c>
      <c r="D59" s="128"/>
      <c r="E59" s="120">
        <f t="shared" si="68"/>
        <v>12675</v>
      </c>
      <c r="F59" s="178">
        <f t="shared" si="86"/>
        <v>6.4157515200904101E-4</v>
      </c>
      <c r="G59" s="210"/>
      <c r="H59" s="210"/>
      <c r="I59" s="106">
        <f t="shared" si="69"/>
        <v>0</v>
      </c>
      <c r="J59" s="178">
        <f t="shared" si="61"/>
        <v>0</v>
      </c>
      <c r="K59" s="79"/>
      <c r="L59" s="210">
        <v>2574</v>
      </c>
      <c r="M59" s="210"/>
      <c r="N59" s="106">
        <f t="shared" si="70"/>
        <v>2574</v>
      </c>
      <c r="O59" s="178">
        <f t="shared" si="71"/>
        <v>2.1062405856940459E-3</v>
      </c>
      <c r="P59" s="259"/>
      <c r="Q59" s="210">
        <v>2574</v>
      </c>
      <c r="R59" s="210"/>
      <c r="S59" s="106">
        <f t="shared" si="72"/>
        <v>2574</v>
      </c>
      <c r="T59" s="178">
        <f t="shared" si="73"/>
        <v>3.6562209036378863E-4</v>
      </c>
      <c r="U59" s="443"/>
      <c r="V59" s="210">
        <v>1287</v>
      </c>
      <c r="W59" s="210"/>
      <c r="X59" s="106">
        <f t="shared" si="74"/>
        <v>1287</v>
      </c>
      <c r="Y59" s="178">
        <f t="shared" si="75"/>
        <v>5.2305831987395487E-4</v>
      </c>
      <c r="Z59" s="443"/>
      <c r="AA59" s="210">
        <v>2574</v>
      </c>
      <c r="AB59" s="210"/>
      <c r="AC59" s="106">
        <f t="shared" si="76"/>
        <v>2574</v>
      </c>
      <c r="AD59" s="541">
        <f t="shared" si="62"/>
        <v>9.0245800717776801E-4</v>
      </c>
      <c r="AE59" s="443"/>
      <c r="AF59" s="210">
        <v>2613</v>
      </c>
      <c r="AG59" s="210"/>
      <c r="AH59" s="106">
        <f t="shared" si="77"/>
        <v>2613</v>
      </c>
      <c r="AI59" s="541" t="e">
        <f t="shared" si="63"/>
        <v>#DIV/0!</v>
      </c>
      <c r="AJ59" s="443"/>
      <c r="AK59" s="210">
        <v>2613</v>
      </c>
      <c r="AL59" s="210"/>
      <c r="AM59" s="106">
        <f t="shared" si="78"/>
        <v>2613</v>
      </c>
      <c r="AN59" s="541" t="e">
        <f t="shared" si="64"/>
        <v>#DIV/0!</v>
      </c>
      <c r="AO59" s="443"/>
      <c r="AP59" s="210"/>
      <c r="AQ59" s="210"/>
      <c r="AR59" s="106">
        <f t="shared" si="79"/>
        <v>0</v>
      </c>
      <c r="AS59" s="541">
        <f t="shared" si="8"/>
        <v>0</v>
      </c>
      <c r="AT59" s="443"/>
      <c r="AU59" s="210"/>
      <c r="AV59" s="210"/>
      <c r="AW59" s="106">
        <f t="shared" si="80"/>
        <v>0</v>
      </c>
      <c r="AX59" s="541" t="e">
        <f t="shared" si="65"/>
        <v>#DIV/0!</v>
      </c>
      <c r="AY59" s="443"/>
      <c r="AZ59" s="39">
        <v>1365</v>
      </c>
      <c r="BA59" s="39">
        <v>0</v>
      </c>
      <c r="BB59" s="106">
        <f t="shared" si="81"/>
        <v>1365</v>
      </c>
      <c r="BC59" s="541" t="e">
        <f t="shared" si="66"/>
        <v>#DIV/0!</v>
      </c>
      <c r="BD59" s="443"/>
      <c r="BE59" s="39"/>
      <c r="BF59" s="39"/>
      <c r="BG59" s="106">
        <f t="shared" si="82"/>
        <v>0</v>
      </c>
      <c r="BH59" s="541">
        <f t="shared" si="67"/>
        <v>0</v>
      </c>
      <c r="BI59" s="443"/>
      <c r="BJ59" s="39">
        <f t="shared" si="83"/>
        <v>15600</v>
      </c>
      <c r="BK59" s="39">
        <f t="shared" si="84"/>
        <v>0</v>
      </c>
      <c r="BL59" s="106">
        <f t="shared" si="85"/>
        <v>15600</v>
      </c>
      <c r="BM59" s="178" t="e">
        <f t="shared" si="57"/>
        <v>#DIV/0!</v>
      </c>
      <c r="BN59" s="79"/>
      <c r="BP59" s="842"/>
      <c r="BQ59" s="842"/>
    </row>
    <row r="60" spans="1:72" ht="13.8" x14ac:dyDescent="0.25">
      <c r="A60" s="237"/>
      <c r="B60" s="19" t="s">
        <v>65</v>
      </c>
      <c r="C60" s="113">
        <v>14300</v>
      </c>
      <c r="D60" s="128"/>
      <c r="E60" s="120">
        <f t="shared" si="68"/>
        <v>14300</v>
      </c>
      <c r="F60" s="178">
        <f t="shared" si="86"/>
        <v>7.2382837662558481E-4</v>
      </c>
      <c r="G60" s="210"/>
      <c r="H60" s="210"/>
      <c r="I60" s="106">
        <f t="shared" si="69"/>
        <v>0</v>
      </c>
      <c r="J60" s="178">
        <f t="shared" si="61"/>
        <v>0</v>
      </c>
      <c r="K60" s="79"/>
      <c r="L60" s="210">
        <v>2904</v>
      </c>
      <c r="M60" s="210"/>
      <c r="N60" s="106">
        <f t="shared" si="70"/>
        <v>2904</v>
      </c>
      <c r="O60" s="178">
        <f t="shared" si="71"/>
        <v>2.3762714300137955E-3</v>
      </c>
      <c r="P60" s="259"/>
      <c r="Q60" s="210">
        <v>2904</v>
      </c>
      <c r="R60" s="210"/>
      <c r="S60" s="106">
        <f t="shared" si="72"/>
        <v>2904</v>
      </c>
      <c r="T60" s="178">
        <f t="shared" si="73"/>
        <v>4.1249671733350514E-4</v>
      </c>
      <c r="U60" s="259"/>
      <c r="V60" s="210">
        <v>1452</v>
      </c>
      <c r="W60" s="210"/>
      <c r="X60" s="106">
        <f t="shared" si="74"/>
        <v>1452</v>
      </c>
      <c r="Y60" s="178">
        <f t="shared" si="75"/>
        <v>5.9011707883215416E-4</v>
      </c>
      <c r="Z60" s="259"/>
      <c r="AA60" s="210">
        <v>2904</v>
      </c>
      <c r="AB60" s="210"/>
      <c r="AC60" s="106">
        <f t="shared" si="76"/>
        <v>2904</v>
      </c>
      <c r="AD60" s="541">
        <f t="shared" si="62"/>
        <v>1.0181577516877383E-3</v>
      </c>
      <c r="AE60" s="259"/>
      <c r="AF60" s="210">
        <v>2948</v>
      </c>
      <c r="AG60" s="210"/>
      <c r="AH60" s="106">
        <f t="shared" si="77"/>
        <v>2948</v>
      </c>
      <c r="AI60" s="541" t="e">
        <f t="shared" si="63"/>
        <v>#DIV/0!</v>
      </c>
      <c r="AJ60" s="259"/>
      <c r="AK60" s="210">
        <v>2948</v>
      </c>
      <c r="AL60" s="210"/>
      <c r="AM60" s="106">
        <f t="shared" si="78"/>
        <v>2948</v>
      </c>
      <c r="AN60" s="541" t="e">
        <f t="shared" si="64"/>
        <v>#DIV/0!</v>
      </c>
      <c r="AO60" s="259"/>
      <c r="AP60" s="210"/>
      <c r="AQ60" s="210"/>
      <c r="AR60" s="106">
        <f t="shared" si="79"/>
        <v>0</v>
      </c>
      <c r="AS60" s="541">
        <f t="shared" si="8"/>
        <v>0</v>
      </c>
      <c r="AT60" s="259"/>
      <c r="AU60" s="210"/>
      <c r="AV60" s="210"/>
      <c r="AW60" s="106">
        <f t="shared" si="80"/>
        <v>0</v>
      </c>
      <c r="AX60" s="541" t="e">
        <f t="shared" si="65"/>
        <v>#DIV/0!</v>
      </c>
      <c r="AY60" s="259"/>
      <c r="AZ60" s="39">
        <v>1540</v>
      </c>
      <c r="BA60" s="39">
        <v>0</v>
      </c>
      <c r="BB60" s="106">
        <f t="shared" si="81"/>
        <v>1540</v>
      </c>
      <c r="BC60" s="541" t="e">
        <f t="shared" si="66"/>
        <v>#DIV/0!</v>
      </c>
      <c r="BD60" s="259"/>
      <c r="BE60" s="39"/>
      <c r="BF60" s="39"/>
      <c r="BG60" s="106">
        <f t="shared" si="82"/>
        <v>0</v>
      </c>
      <c r="BH60" s="541">
        <f t="shared" si="67"/>
        <v>0</v>
      </c>
      <c r="BI60" s="259"/>
      <c r="BJ60" s="39">
        <f t="shared" si="83"/>
        <v>17600</v>
      </c>
      <c r="BK60" s="39">
        <f t="shared" si="84"/>
        <v>0</v>
      </c>
      <c r="BL60" s="106">
        <f t="shared" si="85"/>
        <v>17600</v>
      </c>
      <c r="BM60" s="178" t="e">
        <f t="shared" si="57"/>
        <v>#DIV/0!</v>
      </c>
      <c r="BN60" s="79"/>
      <c r="BP60" s="842"/>
      <c r="BQ60" s="842"/>
    </row>
    <row r="61" spans="1:72" ht="13.8" x14ac:dyDescent="0.25">
      <c r="A61" s="237"/>
      <c r="B61" s="19" t="s">
        <v>32</v>
      </c>
      <c r="C61" s="113"/>
      <c r="D61" s="128"/>
      <c r="E61" s="120">
        <f t="shared" si="68"/>
        <v>0</v>
      </c>
      <c r="F61" s="178">
        <f t="shared" si="86"/>
        <v>0</v>
      </c>
      <c r="G61" s="210"/>
      <c r="H61" s="210"/>
      <c r="I61" s="106">
        <f t="shared" si="69"/>
        <v>0</v>
      </c>
      <c r="J61" s="178">
        <f t="shared" si="61"/>
        <v>0</v>
      </c>
      <c r="K61" s="79"/>
      <c r="L61" s="210"/>
      <c r="M61" s="210"/>
      <c r="N61" s="106">
        <f t="shared" si="70"/>
        <v>0</v>
      </c>
      <c r="O61" s="178">
        <f t="shared" si="71"/>
        <v>0</v>
      </c>
      <c r="P61" s="259"/>
      <c r="Q61" s="210"/>
      <c r="R61" s="210"/>
      <c r="S61" s="106">
        <f t="shared" si="72"/>
        <v>0</v>
      </c>
      <c r="T61" s="178">
        <f t="shared" si="73"/>
        <v>0</v>
      </c>
      <c r="U61" s="259"/>
      <c r="V61" s="210"/>
      <c r="W61" s="210"/>
      <c r="X61" s="106">
        <f t="shared" si="74"/>
        <v>0</v>
      </c>
      <c r="Y61" s="178">
        <f t="shared" si="75"/>
        <v>0</v>
      </c>
      <c r="Z61" s="259"/>
      <c r="AA61" s="210"/>
      <c r="AB61" s="210"/>
      <c r="AC61" s="106">
        <f t="shared" si="76"/>
        <v>0</v>
      </c>
      <c r="AD61" s="541">
        <f t="shared" si="62"/>
        <v>0</v>
      </c>
      <c r="AE61" s="259"/>
      <c r="AF61" s="210"/>
      <c r="AG61" s="210"/>
      <c r="AH61" s="106">
        <f t="shared" si="77"/>
        <v>0</v>
      </c>
      <c r="AI61" s="541" t="e">
        <f t="shared" si="63"/>
        <v>#DIV/0!</v>
      </c>
      <c r="AJ61" s="259"/>
      <c r="AK61" s="210"/>
      <c r="AL61" s="210"/>
      <c r="AM61" s="106">
        <f t="shared" si="78"/>
        <v>0</v>
      </c>
      <c r="AN61" s="541" t="e">
        <f t="shared" si="64"/>
        <v>#DIV/0!</v>
      </c>
      <c r="AO61" s="259"/>
      <c r="AP61" s="210"/>
      <c r="AQ61" s="210"/>
      <c r="AR61" s="106">
        <f t="shared" si="79"/>
        <v>0</v>
      </c>
      <c r="AS61" s="541">
        <f t="shared" si="8"/>
        <v>0</v>
      </c>
      <c r="AT61" s="259"/>
      <c r="AU61" s="210"/>
      <c r="AV61" s="210"/>
      <c r="AW61" s="106">
        <f t="shared" si="80"/>
        <v>0</v>
      </c>
      <c r="AX61" s="541" t="e">
        <f t="shared" si="65"/>
        <v>#DIV/0!</v>
      </c>
      <c r="AY61" s="259"/>
      <c r="AZ61" s="39">
        <v>0</v>
      </c>
      <c r="BA61" s="39">
        <v>0</v>
      </c>
      <c r="BB61" s="106">
        <f t="shared" si="81"/>
        <v>0</v>
      </c>
      <c r="BC61" s="541" t="e">
        <f t="shared" si="66"/>
        <v>#DIV/0!</v>
      </c>
      <c r="BD61" s="259"/>
      <c r="BE61" s="39"/>
      <c r="BF61" s="39"/>
      <c r="BG61" s="106">
        <f t="shared" si="82"/>
        <v>0</v>
      </c>
      <c r="BH61" s="541">
        <f t="shared" si="67"/>
        <v>0</v>
      </c>
      <c r="BI61" s="259"/>
      <c r="BJ61" s="39">
        <f t="shared" si="83"/>
        <v>0</v>
      </c>
      <c r="BK61" s="39">
        <f t="shared" si="84"/>
        <v>0</v>
      </c>
      <c r="BL61" s="106">
        <f t="shared" si="85"/>
        <v>0</v>
      </c>
      <c r="BM61" s="178" t="e">
        <f t="shared" si="57"/>
        <v>#DIV/0!</v>
      </c>
      <c r="BN61" s="79"/>
      <c r="BP61" s="842"/>
      <c r="BQ61" s="842"/>
    </row>
    <row r="62" spans="1:72" ht="13.8" x14ac:dyDescent="0.25">
      <c r="A62" s="237"/>
      <c r="B62" s="19" t="s">
        <v>33</v>
      </c>
      <c r="C62" s="113"/>
      <c r="D62" s="128">
        <v>750</v>
      </c>
      <c r="E62" s="120">
        <f t="shared" si="68"/>
        <v>750</v>
      </c>
      <c r="F62" s="178">
        <f t="shared" si="86"/>
        <v>3.7963026746097106E-5</v>
      </c>
      <c r="G62" s="210"/>
      <c r="H62" s="210"/>
      <c r="I62" s="106">
        <f t="shared" si="69"/>
        <v>0</v>
      </c>
      <c r="J62" s="178">
        <f t="shared" si="61"/>
        <v>0</v>
      </c>
      <c r="K62" s="79"/>
      <c r="L62" s="210"/>
      <c r="M62" s="210"/>
      <c r="N62" s="106">
        <f t="shared" si="70"/>
        <v>0</v>
      </c>
      <c r="O62" s="178">
        <f t="shared" si="71"/>
        <v>0</v>
      </c>
      <c r="P62" s="259"/>
      <c r="Q62" s="210"/>
      <c r="R62" s="210"/>
      <c r="S62" s="106">
        <f t="shared" si="72"/>
        <v>0</v>
      </c>
      <c r="T62" s="178">
        <f t="shared" si="73"/>
        <v>0</v>
      </c>
      <c r="U62" s="259"/>
      <c r="V62" s="210"/>
      <c r="W62" s="210"/>
      <c r="X62" s="106">
        <f t="shared" si="74"/>
        <v>0</v>
      </c>
      <c r="Y62" s="178">
        <f t="shared" si="75"/>
        <v>0</v>
      </c>
      <c r="Z62" s="259"/>
      <c r="AA62" s="210"/>
      <c r="AB62" s="210"/>
      <c r="AC62" s="106">
        <f t="shared" si="76"/>
        <v>0</v>
      </c>
      <c r="AD62" s="541">
        <f t="shared" si="62"/>
        <v>0</v>
      </c>
      <c r="AE62" s="259"/>
      <c r="AF62" s="210"/>
      <c r="AG62" s="210"/>
      <c r="AH62" s="106">
        <f t="shared" si="77"/>
        <v>0</v>
      </c>
      <c r="AI62" s="541" t="e">
        <f t="shared" si="63"/>
        <v>#DIV/0!</v>
      </c>
      <c r="AJ62" s="259"/>
      <c r="AK62" s="210"/>
      <c r="AL62" s="210"/>
      <c r="AM62" s="106">
        <f t="shared" si="78"/>
        <v>0</v>
      </c>
      <c r="AN62" s="541" t="e">
        <f t="shared" si="64"/>
        <v>#DIV/0!</v>
      </c>
      <c r="AO62" s="259"/>
      <c r="AP62" s="210"/>
      <c r="AQ62" s="210"/>
      <c r="AR62" s="106">
        <f t="shared" si="79"/>
        <v>0</v>
      </c>
      <c r="AS62" s="541">
        <f t="shared" si="8"/>
        <v>0</v>
      </c>
      <c r="AT62" s="259"/>
      <c r="AU62" s="210"/>
      <c r="AV62" s="210"/>
      <c r="AW62" s="106">
        <f t="shared" si="80"/>
        <v>0</v>
      </c>
      <c r="AX62" s="541" t="e">
        <f t="shared" si="65"/>
        <v>#DIV/0!</v>
      </c>
      <c r="AY62" s="259"/>
      <c r="AZ62" s="39">
        <v>0</v>
      </c>
      <c r="BA62" s="39">
        <v>0</v>
      </c>
      <c r="BB62" s="106">
        <f t="shared" si="81"/>
        <v>0</v>
      </c>
      <c r="BC62" s="541" t="e">
        <f t="shared" si="66"/>
        <v>#DIV/0!</v>
      </c>
      <c r="BD62" s="259"/>
      <c r="BE62" s="39"/>
      <c r="BF62" s="39"/>
      <c r="BG62" s="106">
        <f t="shared" si="82"/>
        <v>0</v>
      </c>
      <c r="BH62" s="541">
        <f t="shared" si="67"/>
        <v>0</v>
      </c>
      <c r="BI62" s="259"/>
      <c r="BJ62" s="39">
        <f t="shared" si="83"/>
        <v>0</v>
      </c>
      <c r="BK62" s="39">
        <f t="shared" si="84"/>
        <v>0</v>
      </c>
      <c r="BL62" s="106">
        <f t="shared" si="85"/>
        <v>0</v>
      </c>
      <c r="BM62" s="178" t="e">
        <f t="shared" si="57"/>
        <v>#DIV/0!</v>
      </c>
      <c r="BN62" s="79"/>
      <c r="BP62" s="842"/>
      <c r="BQ62" s="842"/>
    </row>
    <row r="63" spans="1:72" ht="55.2" x14ac:dyDescent="0.25">
      <c r="A63" s="237"/>
      <c r="B63" s="19" t="s">
        <v>35</v>
      </c>
      <c r="C63" s="113">
        <v>32500</v>
      </c>
      <c r="D63" s="128"/>
      <c r="E63" s="120">
        <f t="shared" si="68"/>
        <v>32500</v>
      </c>
      <c r="F63" s="178">
        <f t="shared" si="86"/>
        <v>1.6450644923308745E-3</v>
      </c>
      <c r="G63" s="210"/>
      <c r="H63" s="210"/>
      <c r="I63" s="106">
        <f t="shared" si="69"/>
        <v>0</v>
      </c>
      <c r="J63" s="178">
        <f t="shared" si="61"/>
        <v>0</v>
      </c>
      <c r="K63" s="79"/>
      <c r="L63" s="210"/>
      <c r="M63" s="210"/>
      <c r="N63" s="106">
        <f t="shared" si="70"/>
        <v>0</v>
      </c>
      <c r="O63" s="178">
        <f t="shared" si="71"/>
        <v>0</v>
      </c>
      <c r="P63" s="439"/>
      <c r="Q63" s="210">
        <v>4664.67</v>
      </c>
      <c r="R63" s="210">
        <v>900</v>
      </c>
      <c r="S63" s="106">
        <f t="shared" si="72"/>
        <v>5564.67</v>
      </c>
      <c r="T63" s="178">
        <f t="shared" si="73"/>
        <v>7.9042978927143113E-4</v>
      </c>
      <c r="U63" s="443" t="s">
        <v>691</v>
      </c>
      <c r="V63" s="210">
        <f>9486.95/2</f>
        <v>4743.4750000000004</v>
      </c>
      <c r="W63" s="210">
        <v>160</v>
      </c>
      <c r="X63" s="106">
        <f t="shared" si="74"/>
        <v>4903.4750000000004</v>
      </c>
      <c r="Y63" s="178">
        <f t="shared" si="75"/>
        <v>1.992854230803373E-3</v>
      </c>
      <c r="Z63" s="443" t="s">
        <v>763</v>
      </c>
      <c r="AA63" s="39">
        <v>4739</v>
      </c>
      <c r="AB63" s="210"/>
      <c r="AC63" s="106">
        <f t="shared" si="76"/>
        <v>4739</v>
      </c>
      <c r="AD63" s="541">
        <f t="shared" si="62"/>
        <v>1.6615184522204517E-3</v>
      </c>
      <c r="AE63" s="443" t="s">
        <v>781</v>
      </c>
      <c r="AF63" s="39">
        <f>10412.53+572.2</f>
        <v>10984.730000000001</v>
      </c>
      <c r="AG63" s="210"/>
      <c r="AH63" s="106">
        <f t="shared" si="77"/>
        <v>10984.730000000001</v>
      </c>
      <c r="AI63" s="541" t="e">
        <f t="shared" si="63"/>
        <v>#DIV/0!</v>
      </c>
      <c r="AJ63" s="443" t="s">
        <v>851</v>
      </c>
      <c r="AK63" s="39">
        <f>592.2+8622.06</f>
        <v>9214.26</v>
      </c>
      <c r="AL63" s="210"/>
      <c r="AM63" s="106">
        <f t="shared" si="78"/>
        <v>9214.26</v>
      </c>
      <c r="AN63" s="541" t="e">
        <f t="shared" si="64"/>
        <v>#DIV/0!</v>
      </c>
      <c r="AO63" s="443" t="s">
        <v>870</v>
      </c>
      <c r="AP63" s="39"/>
      <c r="AQ63" s="210"/>
      <c r="AR63" s="106">
        <f t="shared" si="79"/>
        <v>0</v>
      </c>
      <c r="AS63" s="541">
        <f t="shared" si="8"/>
        <v>0</v>
      </c>
      <c r="AT63" s="443"/>
      <c r="AU63" s="39"/>
      <c r="AV63" s="210"/>
      <c r="AW63" s="106">
        <f t="shared" si="80"/>
        <v>0</v>
      </c>
      <c r="AX63" s="541" t="e">
        <f t="shared" si="65"/>
        <v>#DIV/0!</v>
      </c>
      <c r="AY63" s="856"/>
      <c r="AZ63" s="39">
        <v>18867.544999999998</v>
      </c>
      <c r="BA63" s="39">
        <v>3657.08</v>
      </c>
      <c r="BB63" s="106">
        <f t="shared" si="81"/>
        <v>22524.625</v>
      </c>
      <c r="BC63" s="541" t="e">
        <f t="shared" si="66"/>
        <v>#DIV/0!</v>
      </c>
      <c r="BD63" s="856"/>
      <c r="BE63" s="39"/>
      <c r="BF63" s="39"/>
      <c r="BG63" s="106">
        <f t="shared" si="82"/>
        <v>0</v>
      </c>
      <c r="BH63" s="541">
        <f t="shared" si="67"/>
        <v>0</v>
      </c>
      <c r="BI63" s="856"/>
      <c r="BJ63" s="39">
        <f t="shared" si="83"/>
        <v>53213.68</v>
      </c>
      <c r="BK63" s="39">
        <f t="shared" si="84"/>
        <v>4717.08</v>
      </c>
      <c r="BL63" s="106">
        <f t="shared" si="85"/>
        <v>57930.76</v>
      </c>
      <c r="BM63" s="178" t="e">
        <f t="shared" si="57"/>
        <v>#DIV/0!</v>
      </c>
      <c r="BN63" s="79"/>
      <c r="BP63" s="842"/>
      <c r="BQ63" s="842"/>
    </row>
    <row r="64" spans="1:72" ht="13.8" x14ac:dyDescent="0.25">
      <c r="A64" s="237"/>
      <c r="B64" s="19" t="s">
        <v>63</v>
      </c>
      <c r="C64" s="129"/>
      <c r="D64" s="128"/>
      <c r="E64" s="120">
        <f t="shared" si="68"/>
        <v>0</v>
      </c>
      <c r="F64" s="178">
        <f t="shared" si="86"/>
        <v>0</v>
      </c>
      <c r="G64" s="210"/>
      <c r="H64" s="210"/>
      <c r="I64" s="106">
        <f t="shared" si="69"/>
        <v>0</v>
      </c>
      <c r="J64" s="178">
        <f t="shared" si="61"/>
        <v>0</v>
      </c>
      <c r="K64" s="79"/>
      <c r="L64" s="210"/>
      <c r="M64" s="210"/>
      <c r="N64" s="106">
        <f t="shared" si="70"/>
        <v>0</v>
      </c>
      <c r="O64" s="178">
        <f t="shared" si="71"/>
        <v>0</v>
      </c>
      <c r="P64" s="259"/>
      <c r="Q64" s="210"/>
      <c r="R64" s="210"/>
      <c r="S64" s="106">
        <f t="shared" si="72"/>
        <v>0</v>
      </c>
      <c r="T64" s="178">
        <f t="shared" si="73"/>
        <v>0</v>
      </c>
      <c r="U64" s="259"/>
      <c r="V64" s="210"/>
      <c r="W64" s="210"/>
      <c r="X64" s="106">
        <f t="shared" si="74"/>
        <v>0</v>
      </c>
      <c r="Y64" s="178">
        <f t="shared" si="75"/>
        <v>0</v>
      </c>
      <c r="Z64" s="259"/>
      <c r="AA64" s="210"/>
      <c r="AB64" s="210"/>
      <c r="AC64" s="106">
        <f t="shared" si="76"/>
        <v>0</v>
      </c>
      <c r="AD64" s="541">
        <f t="shared" si="62"/>
        <v>0</v>
      </c>
      <c r="AE64" s="259"/>
      <c r="AF64" s="210"/>
      <c r="AG64" s="210"/>
      <c r="AH64" s="106">
        <f t="shared" si="77"/>
        <v>0</v>
      </c>
      <c r="AI64" s="541" t="e">
        <f t="shared" si="63"/>
        <v>#DIV/0!</v>
      </c>
      <c r="AJ64" s="259"/>
      <c r="AK64" s="210"/>
      <c r="AL64" s="210"/>
      <c r="AM64" s="106">
        <f t="shared" si="78"/>
        <v>0</v>
      </c>
      <c r="AN64" s="541" t="e">
        <f t="shared" si="64"/>
        <v>#DIV/0!</v>
      </c>
      <c r="AO64" s="259"/>
      <c r="AP64" s="210"/>
      <c r="AQ64" s="210"/>
      <c r="AR64" s="106">
        <f t="shared" si="79"/>
        <v>0</v>
      </c>
      <c r="AS64" s="541">
        <f t="shared" si="8"/>
        <v>0</v>
      </c>
      <c r="AT64" s="259"/>
      <c r="AU64" s="210"/>
      <c r="AV64" s="210"/>
      <c r="AW64" s="106">
        <f t="shared" si="80"/>
        <v>0</v>
      </c>
      <c r="AX64" s="541" t="e">
        <f t="shared" si="65"/>
        <v>#DIV/0!</v>
      </c>
      <c r="AY64" s="857"/>
      <c r="AZ64" s="39">
        <v>0</v>
      </c>
      <c r="BA64" s="39">
        <v>0</v>
      </c>
      <c r="BB64" s="106">
        <f t="shared" si="81"/>
        <v>0</v>
      </c>
      <c r="BC64" s="541" t="e">
        <f t="shared" si="66"/>
        <v>#DIV/0!</v>
      </c>
      <c r="BD64" s="857"/>
      <c r="BE64" s="39"/>
      <c r="BF64" s="39"/>
      <c r="BG64" s="106">
        <f t="shared" si="82"/>
        <v>0</v>
      </c>
      <c r="BH64" s="541">
        <f t="shared" si="67"/>
        <v>0</v>
      </c>
      <c r="BI64" s="857"/>
      <c r="BJ64" s="39">
        <f t="shared" si="83"/>
        <v>0</v>
      </c>
      <c r="BK64" s="39">
        <f t="shared" si="84"/>
        <v>0</v>
      </c>
      <c r="BL64" s="106">
        <f t="shared" si="85"/>
        <v>0</v>
      </c>
      <c r="BM64" s="178" t="e">
        <f t="shared" si="57"/>
        <v>#DIV/0!</v>
      </c>
      <c r="BN64" s="79"/>
      <c r="BP64" s="842"/>
      <c r="BQ64" s="842"/>
    </row>
    <row r="65" spans="1:73" ht="69" x14ac:dyDescent="0.25">
      <c r="A65" s="237"/>
      <c r="B65" s="615" t="s">
        <v>36</v>
      </c>
      <c r="C65" s="113"/>
      <c r="D65" s="128"/>
      <c r="E65" s="120">
        <f t="shared" si="68"/>
        <v>0</v>
      </c>
      <c r="F65" s="178">
        <f t="shared" si="86"/>
        <v>0</v>
      </c>
      <c r="G65" s="39"/>
      <c r="H65" s="39"/>
      <c r="I65" s="106">
        <f t="shared" si="69"/>
        <v>0</v>
      </c>
      <c r="J65" s="178">
        <f>I65/$I$89</f>
        <v>0</v>
      </c>
      <c r="K65" s="79"/>
      <c r="L65" s="39">
        <f>400</f>
        <v>400</v>
      </c>
      <c r="M65" s="39">
        <f>1800+926.68</f>
        <v>2726.68</v>
      </c>
      <c r="N65" s="106">
        <f t="shared" si="70"/>
        <v>3126.68</v>
      </c>
      <c r="O65" s="178">
        <f t="shared" si="71"/>
        <v>2.5584849706596188E-3</v>
      </c>
      <c r="P65" s="439" t="s">
        <v>575</v>
      </c>
      <c r="Q65" s="39">
        <v>200</v>
      </c>
      <c r="R65" s="39">
        <v>1800</v>
      </c>
      <c r="S65" s="106">
        <f t="shared" si="72"/>
        <v>2000</v>
      </c>
      <c r="T65" s="178">
        <f t="shared" si="73"/>
        <v>2.840886483013121E-4</v>
      </c>
      <c r="U65" s="443" t="s">
        <v>689</v>
      </c>
      <c r="V65" s="39"/>
      <c r="W65" s="39"/>
      <c r="X65" s="106">
        <f t="shared" si="74"/>
        <v>0</v>
      </c>
      <c r="Y65" s="178">
        <f t="shared" si="75"/>
        <v>0</v>
      </c>
      <c r="Z65" s="443"/>
      <c r="AA65" s="39">
        <v>200</v>
      </c>
      <c r="AB65" s="39">
        <v>1000</v>
      </c>
      <c r="AC65" s="106">
        <f t="shared" si="76"/>
        <v>1200</v>
      </c>
      <c r="AD65" s="541">
        <f t="shared" si="62"/>
        <v>4.2072634367261913E-4</v>
      </c>
      <c r="AE65" s="443" t="s">
        <v>809</v>
      </c>
      <c r="AF65" s="39">
        <f>400+400</f>
        <v>800</v>
      </c>
      <c r="AG65" s="39">
        <f>520+1088</f>
        <v>1608</v>
      </c>
      <c r="AH65" s="106">
        <f t="shared" si="77"/>
        <v>2408</v>
      </c>
      <c r="AI65" s="541" t="e">
        <f t="shared" si="63"/>
        <v>#DIV/0!</v>
      </c>
      <c r="AJ65" s="443" t="s">
        <v>839</v>
      </c>
      <c r="AK65" s="39">
        <f>910*4</f>
        <v>3640</v>
      </c>
      <c r="AL65" s="39"/>
      <c r="AM65" s="106">
        <f t="shared" si="78"/>
        <v>3640</v>
      </c>
      <c r="AN65" s="541" t="e">
        <f t="shared" si="64"/>
        <v>#DIV/0!</v>
      </c>
      <c r="AO65" s="443" t="s">
        <v>875</v>
      </c>
      <c r="AP65" s="39"/>
      <c r="AQ65" s="39"/>
      <c r="AR65" s="106">
        <f t="shared" si="79"/>
        <v>0</v>
      </c>
      <c r="AS65" s="541">
        <f t="shared" si="8"/>
        <v>0</v>
      </c>
      <c r="AT65" s="443"/>
      <c r="AU65" s="39"/>
      <c r="AV65" s="210">
        <f>1300+600</f>
        <v>1900</v>
      </c>
      <c r="AW65" s="106">
        <f t="shared" si="80"/>
        <v>1900</v>
      </c>
      <c r="AX65" s="541" t="e">
        <f t="shared" si="65"/>
        <v>#DIV/0!</v>
      </c>
      <c r="AY65" s="857" t="s">
        <v>471</v>
      </c>
      <c r="AZ65" s="39">
        <v>15470</v>
      </c>
      <c r="BA65" s="39">
        <v>-1314.6800000000003</v>
      </c>
      <c r="BB65" s="106">
        <f t="shared" si="81"/>
        <v>14155.32</v>
      </c>
      <c r="BC65" s="541" t="e">
        <f t="shared" si="66"/>
        <v>#DIV/0!</v>
      </c>
      <c r="BD65" s="857"/>
      <c r="BE65" s="39"/>
      <c r="BF65" s="39"/>
      <c r="BG65" s="106">
        <f t="shared" si="82"/>
        <v>0</v>
      </c>
      <c r="BH65" s="541">
        <f t="shared" si="67"/>
        <v>0</v>
      </c>
      <c r="BI65" s="857"/>
      <c r="BJ65" s="39">
        <f t="shared" si="83"/>
        <v>20710</v>
      </c>
      <c r="BK65" s="39">
        <f t="shared" si="84"/>
        <v>7720</v>
      </c>
      <c r="BL65" s="106">
        <f t="shared" si="85"/>
        <v>28430</v>
      </c>
      <c r="BM65" s="178" t="e">
        <f t="shared" si="57"/>
        <v>#DIV/0!</v>
      </c>
      <c r="BN65" s="79"/>
      <c r="BP65" s="842"/>
      <c r="BQ65" s="842"/>
    </row>
    <row r="66" spans="1:73" s="2" customFormat="1" ht="13.8" x14ac:dyDescent="0.25">
      <c r="A66" s="237"/>
      <c r="B66" s="19" t="s">
        <v>37</v>
      </c>
      <c r="C66" s="113"/>
      <c r="D66" s="128"/>
      <c r="E66" s="120">
        <f t="shared" si="68"/>
        <v>0</v>
      </c>
      <c r="F66" s="178">
        <f t="shared" si="86"/>
        <v>0</v>
      </c>
      <c r="G66" s="39"/>
      <c r="H66" s="39"/>
      <c r="I66" s="106">
        <f t="shared" si="69"/>
        <v>0</v>
      </c>
      <c r="J66" s="178">
        <f t="shared" si="61"/>
        <v>0</v>
      </c>
      <c r="K66" s="79"/>
      <c r="L66" s="39"/>
      <c r="M66" s="39"/>
      <c r="N66" s="106">
        <f t="shared" si="70"/>
        <v>0</v>
      </c>
      <c r="O66" s="178">
        <f t="shared" si="71"/>
        <v>0</v>
      </c>
      <c r="P66" s="259"/>
      <c r="Q66" s="39"/>
      <c r="R66" s="39"/>
      <c r="S66" s="106">
        <f t="shared" si="72"/>
        <v>0</v>
      </c>
      <c r="T66" s="178">
        <f t="shared" si="73"/>
        <v>0</v>
      </c>
      <c r="U66" s="443"/>
      <c r="V66" s="39"/>
      <c r="W66" s="39"/>
      <c r="X66" s="106">
        <f t="shared" si="74"/>
        <v>0</v>
      </c>
      <c r="Y66" s="178">
        <f t="shared" si="75"/>
        <v>0</v>
      </c>
      <c r="Z66" s="443"/>
      <c r="AA66" s="39"/>
      <c r="AB66" s="39"/>
      <c r="AC66" s="106">
        <f t="shared" si="76"/>
        <v>0</v>
      </c>
      <c r="AD66" s="541">
        <f t="shared" si="62"/>
        <v>0</v>
      </c>
      <c r="AE66" s="443"/>
      <c r="AF66" s="39"/>
      <c r="AG66" s="39"/>
      <c r="AH66" s="106">
        <f t="shared" si="77"/>
        <v>0</v>
      </c>
      <c r="AI66" s="541" t="e">
        <f t="shared" si="63"/>
        <v>#DIV/0!</v>
      </c>
      <c r="AJ66" s="443"/>
      <c r="AK66" s="39"/>
      <c r="AL66" s="39"/>
      <c r="AM66" s="106">
        <f t="shared" si="78"/>
        <v>0</v>
      </c>
      <c r="AN66" s="541" t="e">
        <f t="shared" si="64"/>
        <v>#DIV/0!</v>
      </c>
      <c r="AO66" s="443"/>
      <c r="AP66" s="39"/>
      <c r="AQ66" s="39"/>
      <c r="AR66" s="106">
        <f t="shared" si="79"/>
        <v>0</v>
      </c>
      <c r="AS66" s="541">
        <f t="shared" si="8"/>
        <v>0</v>
      </c>
      <c r="AT66" s="443"/>
      <c r="AU66" s="39"/>
      <c r="AV66" s="39"/>
      <c r="AW66" s="106">
        <f t="shared" si="80"/>
        <v>0</v>
      </c>
      <c r="AX66" s="541" t="e">
        <f t="shared" si="65"/>
        <v>#DIV/0!</v>
      </c>
      <c r="AY66" s="443"/>
      <c r="AZ66" s="39">
        <v>0</v>
      </c>
      <c r="BA66" s="39">
        <v>0</v>
      </c>
      <c r="BB66" s="106">
        <f t="shared" si="81"/>
        <v>0</v>
      </c>
      <c r="BC66" s="541" t="e">
        <f t="shared" si="66"/>
        <v>#DIV/0!</v>
      </c>
      <c r="BD66" s="443"/>
      <c r="BE66" s="39"/>
      <c r="BF66" s="39"/>
      <c r="BG66" s="106">
        <f t="shared" si="82"/>
        <v>0</v>
      </c>
      <c r="BH66" s="541">
        <f t="shared" si="67"/>
        <v>0</v>
      </c>
      <c r="BI66" s="443"/>
      <c r="BJ66" s="39">
        <f t="shared" si="83"/>
        <v>0</v>
      </c>
      <c r="BK66" s="39">
        <f t="shared" si="84"/>
        <v>0</v>
      </c>
      <c r="BL66" s="106">
        <f t="shared" si="85"/>
        <v>0</v>
      </c>
      <c r="BM66" s="178" t="e">
        <f t="shared" si="57"/>
        <v>#DIV/0!</v>
      </c>
      <c r="BN66" s="79"/>
      <c r="BO66" s="1"/>
      <c r="BP66" s="842"/>
      <c r="BQ66" s="842"/>
      <c r="BR66" s="1"/>
      <c r="BS66" s="1"/>
      <c r="BT66" s="1"/>
    </row>
    <row r="67" spans="1:73" s="2" customFormat="1" ht="13.8" x14ac:dyDescent="0.25">
      <c r="A67" s="237"/>
      <c r="B67" s="19" t="s">
        <v>3</v>
      </c>
      <c r="C67" s="113"/>
      <c r="D67" s="128"/>
      <c r="E67" s="120">
        <f t="shared" si="68"/>
        <v>0</v>
      </c>
      <c r="F67" s="178">
        <f t="shared" si="86"/>
        <v>0</v>
      </c>
      <c r="G67" s="39">
        <v>5600</v>
      </c>
      <c r="H67" s="39"/>
      <c r="I67" s="106">
        <f t="shared" si="69"/>
        <v>5600</v>
      </c>
      <c r="J67" s="178">
        <f t="shared" si="61"/>
        <v>1.7887885641225593E-2</v>
      </c>
      <c r="K67" s="79" t="s">
        <v>533</v>
      </c>
      <c r="L67" s="39"/>
      <c r="M67" s="39"/>
      <c r="N67" s="106">
        <f t="shared" si="70"/>
        <v>0</v>
      </c>
      <c r="O67" s="178">
        <f t="shared" si="71"/>
        <v>0</v>
      </c>
      <c r="P67" s="259"/>
      <c r="Q67" s="39"/>
      <c r="R67" s="39"/>
      <c r="S67" s="106">
        <f t="shared" si="72"/>
        <v>0</v>
      </c>
      <c r="T67" s="178">
        <f t="shared" si="73"/>
        <v>0</v>
      </c>
      <c r="U67" s="443"/>
      <c r="V67" s="39"/>
      <c r="W67" s="39"/>
      <c r="X67" s="106">
        <f t="shared" si="74"/>
        <v>0</v>
      </c>
      <c r="Y67" s="178">
        <f t="shared" si="75"/>
        <v>0</v>
      </c>
      <c r="Z67" s="443"/>
      <c r="AA67" s="39">
        <f>700</f>
        <v>700</v>
      </c>
      <c r="AB67" s="39"/>
      <c r="AC67" s="106">
        <f t="shared" si="76"/>
        <v>700</v>
      </c>
      <c r="AD67" s="541">
        <f t="shared" si="62"/>
        <v>2.4542370047569447E-4</v>
      </c>
      <c r="AE67" s="443" t="s">
        <v>797</v>
      </c>
      <c r="AF67" s="39"/>
      <c r="AG67" s="39">
        <v>800</v>
      </c>
      <c r="AH67" s="106">
        <f t="shared" si="77"/>
        <v>800</v>
      </c>
      <c r="AI67" s="541" t="e">
        <f t="shared" si="63"/>
        <v>#DIV/0!</v>
      </c>
      <c r="AJ67" s="443" t="s">
        <v>840</v>
      </c>
      <c r="AK67" s="39"/>
      <c r="AL67" s="39"/>
      <c r="AM67" s="106">
        <f t="shared" si="78"/>
        <v>0</v>
      </c>
      <c r="AN67" s="541" t="e">
        <f t="shared" si="64"/>
        <v>#DIV/0!</v>
      </c>
      <c r="AO67" s="443"/>
      <c r="AP67" s="39"/>
      <c r="AQ67" s="39"/>
      <c r="AR67" s="106">
        <f t="shared" si="79"/>
        <v>0</v>
      </c>
      <c r="AS67" s="541">
        <f t="shared" si="8"/>
        <v>0</v>
      </c>
      <c r="AT67" s="443"/>
      <c r="AU67" s="39"/>
      <c r="AV67" s="39"/>
      <c r="AW67" s="106">
        <f t="shared" si="80"/>
        <v>0</v>
      </c>
      <c r="AX67" s="541" t="e">
        <f t="shared" si="65"/>
        <v>#DIV/0!</v>
      </c>
      <c r="AY67" s="443"/>
      <c r="AZ67" s="39">
        <v>-6300</v>
      </c>
      <c r="BA67" s="39">
        <v>-800</v>
      </c>
      <c r="BB67" s="106">
        <f t="shared" si="81"/>
        <v>-7100</v>
      </c>
      <c r="BC67" s="541" t="e">
        <f t="shared" si="66"/>
        <v>#DIV/0!</v>
      </c>
      <c r="BD67" s="443"/>
      <c r="BE67" s="39"/>
      <c r="BF67" s="39"/>
      <c r="BG67" s="106">
        <f t="shared" si="82"/>
        <v>0</v>
      </c>
      <c r="BH67" s="541">
        <f t="shared" si="67"/>
        <v>0</v>
      </c>
      <c r="BI67" s="443"/>
      <c r="BJ67" s="39">
        <f t="shared" si="83"/>
        <v>0</v>
      </c>
      <c r="BK67" s="39">
        <f t="shared" si="84"/>
        <v>0</v>
      </c>
      <c r="BL67" s="106">
        <f t="shared" si="85"/>
        <v>0</v>
      </c>
      <c r="BM67" s="178" t="e">
        <f t="shared" si="57"/>
        <v>#DIV/0!</v>
      </c>
      <c r="BN67" s="79"/>
      <c r="BO67" s="1"/>
      <c r="BP67" s="842"/>
      <c r="BQ67" s="842"/>
      <c r="BR67" s="1"/>
      <c r="BS67" s="1"/>
      <c r="BT67" s="1"/>
    </row>
    <row r="68" spans="1:73" s="2" customFormat="1" ht="13.8" x14ac:dyDescent="0.25">
      <c r="A68" s="237"/>
      <c r="B68" s="19" t="s">
        <v>5</v>
      </c>
      <c r="C68" s="113"/>
      <c r="D68" s="128">
        <v>10000</v>
      </c>
      <c r="E68" s="120">
        <f t="shared" si="68"/>
        <v>10000</v>
      </c>
      <c r="F68" s="178">
        <f t="shared" si="86"/>
        <v>5.0617368994796135E-4</v>
      </c>
      <c r="G68" s="39"/>
      <c r="H68" s="39">
        <v>240.5</v>
      </c>
      <c r="I68" s="106">
        <f t="shared" si="69"/>
        <v>240.5</v>
      </c>
      <c r="J68" s="178">
        <f t="shared" si="61"/>
        <v>7.6822080298477775E-4</v>
      </c>
      <c r="K68" s="79"/>
      <c r="L68" s="39"/>
      <c r="M68" s="39">
        <v>1040.22</v>
      </c>
      <c r="N68" s="106">
        <f t="shared" si="70"/>
        <v>1040.22</v>
      </c>
      <c r="O68" s="178">
        <f t="shared" si="71"/>
        <v>8.5118631781299942E-4</v>
      </c>
      <c r="P68" s="415" t="s">
        <v>562</v>
      </c>
      <c r="Q68" s="39"/>
      <c r="R68" s="39">
        <v>1325</v>
      </c>
      <c r="S68" s="106">
        <f t="shared" si="72"/>
        <v>1325</v>
      </c>
      <c r="T68" s="178">
        <f t="shared" si="73"/>
        <v>1.8820872949961925E-4</v>
      </c>
      <c r="U68" s="443" t="s">
        <v>562</v>
      </c>
      <c r="V68" s="39"/>
      <c r="W68" s="39">
        <v>1749</v>
      </c>
      <c r="X68" s="106">
        <f t="shared" si="74"/>
        <v>1749</v>
      </c>
      <c r="Y68" s="178">
        <f t="shared" si="75"/>
        <v>7.1082284495691298E-4</v>
      </c>
      <c r="Z68" s="443"/>
      <c r="AA68" s="39"/>
      <c r="AB68" s="39">
        <v>4520.7299999999996</v>
      </c>
      <c r="AC68" s="106">
        <f t="shared" si="76"/>
        <v>4520.7299999999996</v>
      </c>
      <c r="AD68" s="541">
        <f t="shared" si="62"/>
        <v>1.5849918363592659E-3</v>
      </c>
      <c r="AE68" s="443"/>
      <c r="AF68" s="39">
        <v>38</v>
      </c>
      <c r="AG68" s="39">
        <v>5462</v>
      </c>
      <c r="AH68" s="106">
        <f t="shared" si="77"/>
        <v>5500</v>
      </c>
      <c r="AI68" s="541" t="e">
        <f t="shared" si="63"/>
        <v>#DIV/0!</v>
      </c>
      <c r="AJ68" s="443"/>
      <c r="AK68" s="39"/>
      <c r="AL68" s="39">
        <v>1825</v>
      </c>
      <c r="AM68" s="106">
        <f t="shared" si="78"/>
        <v>1825</v>
      </c>
      <c r="AN68" s="541" t="e">
        <f t="shared" si="64"/>
        <v>#DIV/0!</v>
      </c>
      <c r="AO68" s="443"/>
      <c r="AP68" s="39"/>
      <c r="AQ68" s="39">
        <v>3098.37</v>
      </c>
      <c r="AR68" s="106">
        <f t="shared" si="79"/>
        <v>3098.37</v>
      </c>
      <c r="AS68" s="541">
        <f t="shared" si="8"/>
        <v>1.1956890384656107E-2</v>
      </c>
      <c r="AT68" s="443"/>
      <c r="AU68" s="39"/>
      <c r="AV68" s="39">
        <v>511.97</v>
      </c>
      <c r="AW68" s="106">
        <f t="shared" si="80"/>
        <v>511.97</v>
      </c>
      <c r="AX68" s="541" t="e">
        <f t="shared" si="65"/>
        <v>#DIV/0!</v>
      </c>
      <c r="AY68" s="443"/>
      <c r="AZ68" s="39">
        <v>-38</v>
      </c>
      <c r="BA68" s="39">
        <v>0.45999999999912689</v>
      </c>
      <c r="BB68" s="106">
        <f t="shared" si="81"/>
        <v>-37.540000000000873</v>
      </c>
      <c r="BC68" s="541" t="e">
        <f t="shared" si="66"/>
        <v>#DIV/0!</v>
      </c>
      <c r="BD68" s="443"/>
      <c r="BE68" s="39"/>
      <c r="BF68" s="39"/>
      <c r="BG68" s="106">
        <f t="shared" si="82"/>
        <v>0</v>
      </c>
      <c r="BH68" s="541">
        <f t="shared" si="67"/>
        <v>0</v>
      </c>
      <c r="BI68" s="443"/>
      <c r="BJ68" s="39">
        <f t="shared" si="83"/>
        <v>0</v>
      </c>
      <c r="BK68" s="39">
        <f t="shared" si="84"/>
        <v>19773.25</v>
      </c>
      <c r="BL68" s="106">
        <f t="shared" si="85"/>
        <v>19773.25</v>
      </c>
      <c r="BM68" s="178" t="e">
        <f t="shared" si="57"/>
        <v>#DIV/0!</v>
      </c>
      <c r="BN68" s="79"/>
      <c r="BO68" s="1"/>
      <c r="BP68" s="842"/>
      <c r="BQ68" s="842"/>
      <c r="BR68" s="1"/>
      <c r="BS68" s="1"/>
      <c r="BT68" s="1"/>
    </row>
    <row r="69" spans="1:73" s="2" customFormat="1" ht="27.6" x14ac:dyDescent="0.25">
      <c r="A69" s="237"/>
      <c r="B69" s="19" t="s">
        <v>42</v>
      </c>
      <c r="C69" s="113">
        <v>15000</v>
      </c>
      <c r="D69" s="128"/>
      <c r="E69" s="120">
        <f t="shared" si="68"/>
        <v>15000</v>
      </c>
      <c r="F69" s="178">
        <f t="shared" si="86"/>
        <v>7.5926053492194202E-4</v>
      </c>
      <c r="G69" s="39">
        <f>14280+7250</f>
        <v>21530</v>
      </c>
      <c r="H69" s="39"/>
      <c r="I69" s="106">
        <f t="shared" si="69"/>
        <v>21530</v>
      </c>
      <c r="J69" s="178">
        <f t="shared" si="61"/>
        <v>6.8772531759926259E-2</v>
      </c>
      <c r="K69" s="389" t="s">
        <v>532</v>
      </c>
      <c r="L69" s="39"/>
      <c r="M69" s="39"/>
      <c r="N69" s="106">
        <f t="shared" si="70"/>
        <v>0</v>
      </c>
      <c r="O69" s="178">
        <f t="shared" si="71"/>
        <v>0</v>
      </c>
      <c r="P69" s="403"/>
      <c r="Q69" s="39"/>
      <c r="R69" s="39"/>
      <c r="S69" s="106">
        <f t="shared" si="72"/>
        <v>0</v>
      </c>
      <c r="T69" s="178">
        <f t="shared" si="73"/>
        <v>0</v>
      </c>
      <c r="U69" s="443"/>
      <c r="V69" s="39">
        <f>1400</f>
        <v>1400</v>
      </c>
      <c r="W69" s="39"/>
      <c r="X69" s="106">
        <f t="shared" si="74"/>
        <v>1400</v>
      </c>
      <c r="Y69" s="178">
        <f t="shared" si="75"/>
        <v>5.6898340934229737E-4</v>
      </c>
      <c r="Z69" s="443" t="s">
        <v>668</v>
      </c>
      <c r="AA69" s="39">
        <f>6400</f>
        <v>6400</v>
      </c>
      <c r="AB69" s="39"/>
      <c r="AC69" s="106">
        <f t="shared" si="76"/>
        <v>6400</v>
      </c>
      <c r="AD69" s="541">
        <f t="shared" si="62"/>
        <v>2.2438738329206352E-3</v>
      </c>
      <c r="AE69" s="443" t="s">
        <v>647</v>
      </c>
      <c r="AF69" s="39"/>
      <c r="AG69" s="39"/>
      <c r="AH69" s="106">
        <f t="shared" si="77"/>
        <v>0</v>
      </c>
      <c r="AI69" s="541" t="e">
        <f t="shared" si="63"/>
        <v>#DIV/0!</v>
      </c>
      <c r="AJ69" s="443"/>
      <c r="AK69" s="39">
        <v>4200</v>
      </c>
      <c r="AL69" s="39"/>
      <c r="AM69" s="106">
        <f t="shared" si="78"/>
        <v>4200</v>
      </c>
      <c r="AN69" s="541" t="e">
        <f t="shared" si="64"/>
        <v>#DIV/0!</v>
      </c>
      <c r="AO69" s="443" t="s">
        <v>876</v>
      </c>
      <c r="AP69" s="39"/>
      <c r="AQ69" s="39"/>
      <c r="AR69" s="106">
        <f t="shared" si="79"/>
        <v>0</v>
      </c>
      <c r="AS69" s="541">
        <f t="shared" si="8"/>
        <v>0</v>
      </c>
      <c r="AT69" s="443"/>
      <c r="AU69" s="39"/>
      <c r="AV69" s="39"/>
      <c r="AW69" s="106">
        <f t="shared" si="80"/>
        <v>0</v>
      </c>
      <c r="AX69" s="541" t="e">
        <f t="shared" si="65"/>
        <v>#DIV/0!</v>
      </c>
      <c r="AY69" s="443"/>
      <c r="AZ69" s="39">
        <v>6300</v>
      </c>
      <c r="BA69" s="39">
        <v>0</v>
      </c>
      <c r="BB69" s="106">
        <f t="shared" si="81"/>
        <v>6300</v>
      </c>
      <c r="BC69" s="541" t="e">
        <f t="shared" si="66"/>
        <v>#DIV/0!</v>
      </c>
      <c r="BD69" s="443"/>
      <c r="BE69" s="39"/>
      <c r="BF69" s="39"/>
      <c r="BG69" s="106">
        <f t="shared" si="82"/>
        <v>0</v>
      </c>
      <c r="BH69" s="541">
        <f t="shared" si="67"/>
        <v>0</v>
      </c>
      <c r="BI69" s="443"/>
      <c r="BJ69" s="39">
        <f t="shared" si="83"/>
        <v>39830</v>
      </c>
      <c r="BK69" s="39">
        <f t="shared" si="84"/>
        <v>0</v>
      </c>
      <c r="BL69" s="106">
        <f t="shared" si="85"/>
        <v>39830</v>
      </c>
      <c r="BM69" s="178" t="e">
        <f t="shared" si="57"/>
        <v>#DIV/0!</v>
      </c>
      <c r="BN69" s="79"/>
      <c r="BO69" s="1"/>
      <c r="BP69" s="842"/>
      <c r="BQ69" s="842"/>
      <c r="BR69" s="1"/>
      <c r="BS69" s="1"/>
      <c r="BT69" s="1"/>
    </row>
    <row r="70" spans="1:73" s="2" customFormat="1" ht="13.8" x14ac:dyDescent="0.25">
      <c r="A70" s="237"/>
      <c r="B70" s="19" t="s">
        <v>6</v>
      </c>
      <c r="C70" s="113"/>
      <c r="D70" s="128"/>
      <c r="E70" s="120">
        <f t="shared" si="68"/>
        <v>0</v>
      </c>
      <c r="F70" s="178">
        <f t="shared" si="86"/>
        <v>0</v>
      </c>
      <c r="G70" s="39"/>
      <c r="H70" s="39"/>
      <c r="I70" s="106">
        <f t="shared" si="69"/>
        <v>0</v>
      </c>
      <c r="J70" s="178">
        <f t="shared" si="61"/>
        <v>0</v>
      </c>
      <c r="K70" s="79"/>
      <c r="L70" s="39"/>
      <c r="M70" s="39"/>
      <c r="N70" s="106">
        <f t="shared" si="70"/>
        <v>0</v>
      </c>
      <c r="O70" s="178">
        <f t="shared" si="71"/>
        <v>0</v>
      </c>
      <c r="P70" s="259"/>
      <c r="Q70" s="39"/>
      <c r="R70" s="39"/>
      <c r="S70" s="106">
        <f t="shared" si="72"/>
        <v>0</v>
      </c>
      <c r="T70" s="178">
        <f t="shared" si="73"/>
        <v>0</v>
      </c>
      <c r="U70" s="259"/>
      <c r="V70" s="39"/>
      <c r="W70" s="39"/>
      <c r="X70" s="106">
        <f t="shared" si="74"/>
        <v>0</v>
      </c>
      <c r="Y70" s="178">
        <f t="shared" si="75"/>
        <v>0</v>
      </c>
      <c r="Z70" s="259"/>
      <c r="AA70" s="39"/>
      <c r="AB70" s="39"/>
      <c r="AC70" s="106">
        <f t="shared" si="76"/>
        <v>0</v>
      </c>
      <c r="AD70" s="541">
        <f t="shared" si="62"/>
        <v>0</v>
      </c>
      <c r="AE70" s="259"/>
      <c r="AF70" s="39"/>
      <c r="AG70" s="39"/>
      <c r="AH70" s="106">
        <f t="shared" si="77"/>
        <v>0</v>
      </c>
      <c r="AI70" s="541" t="e">
        <f t="shared" si="63"/>
        <v>#DIV/0!</v>
      </c>
      <c r="AJ70" s="259"/>
      <c r="AK70" s="39"/>
      <c r="AL70" s="39"/>
      <c r="AM70" s="106">
        <f t="shared" si="78"/>
        <v>0</v>
      </c>
      <c r="AN70" s="541" t="e">
        <f t="shared" si="64"/>
        <v>#DIV/0!</v>
      </c>
      <c r="AO70" s="259"/>
      <c r="AP70" s="39"/>
      <c r="AQ70" s="39"/>
      <c r="AR70" s="106">
        <f t="shared" si="79"/>
        <v>0</v>
      </c>
      <c r="AS70" s="541">
        <f t="shared" si="8"/>
        <v>0</v>
      </c>
      <c r="AT70" s="259"/>
      <c r="AU70" s="39"/>
      <c r="AV70" s="39"/>
      <c r="AW70" s="106">
        <f t="shared" si="80"/>
        <v>0</v>
      </c>
      <c r="AX70" s="541" t="e">
        <f t="shared" si="65"/>
        <v>#DIV/0!</v>
      </c>
      <c r="AY70" s="259"/>
      <c r="AZ70" s="39">
        <v>0</v>
      </c>
      <c r="BA70" s="39">
        <v>0</v>
      </c>
      <c r="BB70" s="106">
        <f t="shared" si="81"/>
        <v>0</v>
      </c>
      <c r="BC70" s="541" t="e">
        <f t="shared" si="66"/>
        <v>#DIV/0!</v>
      </c>
      <c r="BD70" s="259"/>
      <c r="BE70" s="39"/>
      <c r="BF70" s="39"/>
      <c r="BG70" s="106">
        <f t="shared" si="82"/>
        <v>0</v>
      </c>
      <c r="BH70" s="541">
        <f t="shared" si="67"/>
        <v>0</v>
      </c>
      <c r="BI70" s="259"/>
      <c r="BJ70" s="39">
        <f t="shared" si="83"/>
        <v>0</v>
      </c>
      <c r="BK70" s="39">
        <f t="shared" si="84"/>
        <v>0</v>
      </c>
      <c r="BL70" s="106">
        <f t="shared" si="85"/>
        <v>0</v>
      </c>
      <c r="BM70" s="178" t="e">
        <f t="shared" si="57"/>
        <v>#DIV/0!</v>
      </c>
      <c r="BN70" s="79"/>
      <c r="BO70" s="1"/>
      <c r="BP70" s="842"/>
      <c r="BQ70" s="842"/>
      <c r="BR70" s="1"/>
      <c r="BS70" s="1"/>
      <c r="BT70" s="1"/>
    </row>
    <row r="71" spans="1:73" s="2" customFormat="1" ht="13.8" x14ac:dyDescent="0.25">
      <c r="A71" s="237"/>
      <c r="B71" s="19" t="s">
        <v>78</v>
      </c>
      <c r="C71" s="113"/>
      <c r="D71" s="128"/>
      <c r="E71" s="120">
        <f t="shared" si="68"/>
        <v>0</v>
      </c>
      <c r="F71" s="184">
        <f t="shared" si="86"/>
        <v>0</v>
      </c>
      <c r="G71" s="39"/>
      <c r="H71" s="39"/>
      <c r="I71" s="106">
        <f t="shared" si="69"/>
        <v>0</v>
      </c>
      <c r="J71" s="178">
        <f t="shared" si="61"/>
        <v>0</v>
      </c>
      <c r="K71" s="79"/>
      <c r="L71" s="39"/>
      <c r="M71" s="39"/>
      <c r="N71" s="106">
        <f t="shared" si="70"/>
        <v>0</v>
      </c>
      <c r="O71" s="178">
        <f t="shared" si="71"/>
        <v>0</v>
      </c>
      <c r="P71" s="259"/>
      <c r="Q71" s="39"/>
      <c r="R71" s="39"/>
      <c r="S71" s="106">
        <f t="shared" si="72"/>
        <v>0</v>
      </c>
      <c r="T71" s="178">
        <f t="shared" si="73"/>
        <v>0</v>
      </c>
      <c r="U71" s="259"/>
      <c r="V71" s="557"/>
      <c r="W71" s="558"/>
      <c r="X71" s="559">
        <f t="shared" si="74"/>
        <v>0</v>
      </c>
      <c r="Y71" s="450">
        <f t="shared" si="75"/>
        <v>0</v>
      </c>
      <c r="Z71" s="503"/>
      <c r="AA71" s="557"/>
      <c r="AB71" s="558"/>
      <c r="AC71" s="559">
        <f t="shared" si="76"/>
        <v>0</v>
      </c>
      <c r="AD71" s="541">
        <f t="shared" si="62"/>
        <v>0</v>
      </c>
      <c r="AE71" s="503"/>
      <c r="AF71" s="557"/>
      <c r="AG71" s="558"/>
      <c r="AH71" s="559">
        <f t="shared" si="77"/>
        <v>0</v>
      </c>
      <c r="AI71" s="541" t="e">
        <f t="shared" si="63"/>
        <v>#DIV/0!</v>
      </c>
      <c r="AJ71" s="503"/>
      <c r="AK71" s="557"/>
      <c r="AL71" s="558"/>
      <c r="AM71" s="559">
        <f t="shared" si="78"/>
        <v>0</v>
      </c>
      <c r="AN71" s="541" t="e">
        <f t="shared" si="64"/>
        <v>#DIV/0!</v>
      </c>
      <c r="AO71" s="503"/>
      <c r="AP71" s="557"/>
      <c r="AQ71" s="558"/>
      <c r="AR71" s="559">
        <f t="shared" si="79"/>
        <v>0</v>
      </c>
      <c r="AS71" s="541">
        <f t="shared" si="8"/>
        <v>0</v>
      </c>
      <c r="AT71" s="503"/>
      <c r="AU71" s="557"/>
      <c r="AV71" s="558"/>
      <c r="AW71" s="559">
        <f t="shared" si="80"/>
        <v>0</v>
      </c>
      <c r="AX71" s="541" t="e">
        <f t="shared" si="65"/>
        <v>#DIV/0!</v>
      </c>
      <c r="AY71" s="503"/>
      <c r="AZ71" s="39">
        <v>50723</v>
      </c>
      <c r="BA71" s="39">
        <v>0</v>
      </c>
      <c r="BB71" s="559">
        <f t="shared" si="81"/>
        <v>50723</v>
      </c>
      <c r="BC71" s="541" t="e">
        <f t="shared" si="66"/>
        <v>#DIV/0!</v>
      </c>
      <c r="BD71" s="503"/>
      <c r="BE71" s="39"/>
      <c r="BF71" s="39"/>
      <c r="BG71" s="559">
        <f t="shared" si="82"/>
        <v>0</v>
      </c>
      <c r="BH71" s="541">
        <f t="shared" si="67"/>
        <v>0</v>
      </c>
      <c r="BI71" s="503"/>
      <c r="BJ71" s="39">
        <f t="shared" si="83"/>
        <v>50723</v>
      </c>
      <c r="BK71" s="39">
        <f t="shared" si="84"/>
        <v>0</v>
      </c>
      <c r="BL71" s="106">
        <f t="shared" si="85"/>
        <v>50723</v>
      </c>
      <c r="BM71" s="178" t="e">
        <f t="shared" si="57"/>
        <v>#DIV/0!</v>
      </c>
      <c r="BN71" s="79"/>
      <c r="BO71" s="1"/>
      <c r="BP71" s="842"/>
      <c r="BQ71" s="842"/>
      <c r="BR71" s="1"/>
      <c r="BS71" s="1"/>
      <c r="BT71" s="1"/>
    </row>
    <row r="72" spans="1:73" s="2" customFormat="1" ht="14.4" thickBot="1" x14ac:dyDescent="0.3">
      <c r="A72" s="237"/>
      <c r="B72" s="19"/>
      <c r="C72" s="130"/>
      <c r="D72" s="131"/>
      <c r="E72" s="159"/>
      <c r="F72" s="184">
        <f t="shared" si="86"/>
        <v>0</v>
      </c>
      <c r="G72" s="39"/>
      <c r="H72" s="39"/>
      <c r="I72" s="106"/>
      <c r="J72" s="178">
        <f t="shared" si="61"/>
        <v>0</v>
      </c>
      <c r="K72" s="79"/>
      <c r="L72" s="39"/>
      <c r="M72" s="39"/>
      <c r="N72" s="106"/>
      <c r="O72" s="178">
        <f t="shared" si="71"/>
        <v>0</v>
      </c>
      <c r="P72" s="79"/>
      <c r="Q72" s="39"/>
      <c r="R72" s="39"/>
      <c r="S72" s="106"/>
      <c r="T72" s="178">
        <f t="shared" si="73"/>
        <v>0</v>
      </c>
      <c r="U72" s="79"/>
      <c r="V72" s="560"/>
      <c r="W72" s="452"/>
      <c r="X72" s="446"/>
      <c r="Y72" s="450">
        <f t="shared" si="75"/>
        <v>0</v>
      </c>
      <c r="Z72" s="498"/>
      <c r="AA72" s="560"/>
      <c r="AB72" s="452"/>
      <c r="AC72" s="446"/>
      <c r="AD72" s="541">
        <f t="shared" si="62"/>
        <v>0</v>
      </c>
      <c r="AE72" s="498"/>
      <c r="AF72" s="560"/>
      <c r="AG72" s="452"/>
      <c r="AH72" s="446"/>
      <c r="AI72" s="541" t="e">
        <f t="shared" si="63"/>
        <v>#DIV/0!</v>
      </c>
      <c r="AJ72" s="498"/>
      <c r="AK72" s="560"/>
      <c r="AL72" s="452"/>
      <c r="AM72" s="446"/>
      <c r="AN72" s="541" t="e">
        <f t="shared" si="64"/>
        <v>#DIV/0!</v>
      </c>
      <c r="AO72" s="498"/>
      <c r="AP72" s="560"/>
      <c r="AQ72" s="452"/>
      <c r="AR72" s="446"/>
      <c r="AS72" s="541">
        <f t="shared" si="8"/>
        <v>0</v>
      </c>
      <c r="AT72" s="498"/>
      <c r="AU72" s="560"/>
      <c r="AV72" s="452"/>
      <c r="AW72" s="446"/>
      <c r="AX72" s="541" t="e">
        <f t="shared" si="65"/>
        <v>#DIV/0!</v>
      </c>
      <c r="AY72" s="498"/>
      <c r="AZ72" s="560"/>
      <c r="BA72" s="452"/>
      <c r="BB72" s="446"/>
      <c r="BC72" s="541" t="e">
        <f t="shared" si="66"/>
        <v>#DIV/0!</v>
      </c>
      <c r="BD72" s="498"/>
      <c r="BE72" s="560"/>
      <c r="BF72" s="452"/>
      <c r="BG72" s="446"/>
      <c r="BH72" s="541">
        <f t="shared" si="67"/>
        <v>0</v>
      </c>
      <c r="BI72" s="498"/>
      <c r="BJ72" s="39"/>
      <c r="BK72" s="39"/>
      <c r="BL72" s="559"/>
      <c r="BM72" s="178" t="e">
        <f t="shared" si="57"/>
        <v>#DIV/0!</v>
      </c>
      <c r="BN72" s="79"/>
      <c r="BO72" s="1"/>
      <c r="BP72" s="842"/>
      <c r="BQ72" s="842"/>
      <c r="BR72" s="1"/>
      <c r="BS72" s="1"/>
      <c r="BT72" s="1"/>
    </row>
    <row r="73" spans="1:73" s="2" customFormat="1" ht="14.4" thickBot="1" x14ac:dyDescent="0.3">
      <c r="A73" s="237"/>
      <c r="B73" s="13" t="s">
        <v>4</v>
      </c>
      <c r="C73" s="132">
        <f>C74</f>
        <v>776751.17999999993</v>
      </c>
      <c r="D73" s="133">
        <f>D74</f>
        <v>0</v>
      </c>
      <c r="E73" s="132">
        <f>E74</f>
        <v>776751.17999999993</v>
      </c>
      <c r="F73" s="171">
        <f>E73/$E$89</f>
        <v>3.9317101095203311E-2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555">
        <f>V74</f>
        <v>0</v>
      </c>
      <c r="W73" s="556">
        <f>W74</f>
        <v>0</v>
      </c>
      <c r="X73" s="548">
        <f>X74</f>
        <v>0</v>
      </c>
      <c r="Y73" s="556"/>
      <c r="Z73" s="556"/>
      <c r="AA73" s="555">
        <f>AA74</f>
        <v>0</v>
      </c>
      <c r="AB73" s="556">
        <f>AB74</f>
        <v>0</v>
      </c>
      <c r="AC73" s="548">
        <f>AC74</f>
        <v>0</v>
      </c>
      <c r="AD73" s="556"/>
      <c r="AE73" s="556"/>
      <c r="AF73" s="555">
        <f>AF74</f>
        <v>0</v>
      </c>
      <c r="AG73" s="556">
        <f>AG74</f>
        <v>0</v>
      </c>
      <c r="AH73" s="548">
        <f>AH74</f>
        <v>0</v>
      </c>
      <c r="AI73" s="556"/>
      <c r="AJ73" s="556"/>
      <c r="AK73" s="555">
        <f>AK74</f>
        <v>0</v>
      </c>
      <c r="AL73" s="556">
        <f>AL74</f>
        <v>0</v>
      </c>
      <c r="AM73" s="548">
        <f>AM74</f>
        <v>0</v>
      </c>
      <c r="AN73" s="556"/>
      <c r="AO73" s="556"/>
      <c r="AP73" s="555">
        <f>AP74</f>
        <v>0</v>
      </c>
      <c r="AQ73" s="556">
        <f>AQ74</f>
        <v>0</v>
      </c>
      <c r="AR73" s="548">
        <f>AR74</f>
        <v>0</v>
      </c>
      <c r="AS73" s="556"/>
      <c r="AT73" s="556"/>
      <c r="AU73" s="555">
        <f>AU74</f>
        <v>0</v>
      </c>
      <c r="AV73" s="556">
        <f>AV74</f>
        <v>0</v>
      </c>
      <c r="AW73" s="548">
        <f>AW74</f>
        <v>0</v>
      </c>
      <c r="AX73" s="556"/>
      <c r="AY73" s="556"/>
      <c r="AZ73" s="555">
        <f>AZ74</f>
        <v>0</v>
      </c>
      <c r="BA73" s="556">
        <f>BA74</f>
        <v>0</v>
      </c>
      <c r="BB73" s="548">
        <f>BB74</f>
        <v>0</v>
      </c>
      <c r="BC73" s="556"/>
      <c r="BD73" s="556"/>
      <c r="BE73" s="555">
        <f>BE74</f>
        <v>0</v>
      </c>
      <c r="BF73" s="556">
        <f>BF74</f>
        <v>0</v>
      </c>
      <c r="BG73" s="548">
        <f>BG74</f>
        <v>0</v>
      </c>
      <c r="BH73" s="556"/>
      <c r="BI73" s="556"/>
      <c r="BJ73" s="584">
        <f>BJ74</f>
        <v>0</v>
      </c>
      <c r="BK73" s="63">
        <f>BK74</f>
        <v>0</v>
      </c>
      <c r="BL73" s="548">
        <f>BL74</f>
        <v>0</v>
      </c>
      <c r="BM73" s="63"/>
      <c r="BN73" s="63"/>
      <c r="BO73" s="1"/>
      <c r="BP73" s="842"/>
      <c r="BQ73" s="842"/>
      <c r="BR73" s="1"/>
      <c r="BS73" s="1"/>
      <c r="BT73" s="1"/>
    </row>
    <row r="74" spans="1:73" s="2" customFormat="1" ht="14.4" thickBot="1" x14ac:dyDescent="0.3">
      <c r="A74" s="20"/>
      <c r="B74" s="225" t="s">
        <v>64</v>
      </c>
      <c r="C74" s="113">
        <f>C6*3%</f>
        <v>776751.17999999993</v>
      </c>
      <c r="D74" s="135"/>
      <c r="E74" s="136">
        <f>C74+D74</f>
        <v>776751.17999999993</v>
      </c>
      <c r="F74" s="185"/>
      <c r="G74" s="39"/>
      <c r="H74" s="39"/>
      <c r="I74" s="64">
        <f>G74+H74*1</f>
        <v>0</v>
      </c>
      <c r="J74" s="64"/>
      <c r="K74" s="64"/>
      <c r="L74" s="39"/>
      <c r="M74" s="39"/>
      <c r="N74" s="523">
        <f>L74+M74*1</f>
        <v>0</v>
      </c>
      <c r="O74" s="64"/>
      <c r="P74" s="64"/>
      <c r="Q74" s="39"/>
      <c r="R74" s="39"/>
      <c r="S74" s="527">
        <f>Q74+R74*1</f>
        <v>0</v>
      </c>
      <c r="T74" s="64"/>
      <c r="U74" s="64"/>
      <c r="V74" s="39"/>
      <c r="W74" s="39"/>
      <c r="X74" s="527">
        <f>V74+W74*1</f>
        <v>0</v>
      </c>
      <c r="Y74" s="64"/>
      <c r="Z74" s="64"/>
      <c r="AA74" s="39"/>
      <c r="AB74" s="39"/>
      <c r="AC74" s="527">
        <f>AA74+AB74*1</f>
        <v>0</v>
      </c>
      <c r="AD74" s="64"/>
      <c r="AE74" s="64"/>
      <c r="AF74" s="39"/>
      <c r="AG74" s="39"/>
      <c r="AH74" s="527">
        <f>AF74+AG74*1</f>
        <v>0</v>
      </c>
      <c r="AI74" s="64"/>
      <c r="AJ74" s="64"/>
      <c r="AK74" s="39"/>
      <c r="AL74" s="39"/>
      <c r="AM74" s="527">
        <f>AK74+AL74*1</f>
        <v>0</v>
      </c>
      <c r="AN74" s="64"/>
      <c r="AO74" s="64"/>
      <c r="AP74" s="39"/>
      <c r="AQ74" s="39"/>
      <c r="AR74" s="527">
        <f>AP74+AQ74*1</f>
        <v>0</v>
      </c>
      <c r="AS74" s="64"/>
      <c r="AT74" s="64"/>
      <c r="AU74" s="39"/>
      <c r="AV74" s="39"/>
      <c r="AW74" s="527">
        <f>AU74+AV74*1</f>
        <v>0</v>
      </c>
      <c r="AX74" s="64"/>
      <c r="AY74" s="64"/>
      <c r="AZ74" s="39"/>
      <c r="BA74" s="39"/>
      <c r="BB74" s="527">
        <f>AZ74+BA74*1</f>
        <v>0</v>
      </c>
      <c r="BC74" s="64"/>
      <c r="BD74" s="64"/>
      <c r="BE74" s="39"/>
      <c r="BF74" s="39"/>
      <c r="BG74" s="527">
        <f>BE74+BF74*1</f>
        <v>0</v>
      </c>
      <c r="BH74" s="64"/>
      <c r="BI74" s="64"/>
      <c r="BJ74" s="39">
        <f>G74+L74+Q74+V74+AA74+AF74+AK74+AP74+AU74</f>
        <v>0</v>
      </c>
      <c r="BK74" s="39">
        <f>H74+M74+R74+W74+AB74+AG74+AL74+AQ74+AV74</f>
        <v>0</v>
      </c>
      <c r="BL74" s="527">
        <f>BJ74+BK74*1</f>
        <v>0</v>
      </c>
      <c r="BM74" s="64"/>
      <c r="BN74" s="64"/>
      <c r="BO74" s="1"/>
      <c r="BP74" s="842"/>
      <c r="BQ74" s="842"/>
      <c r="BR74" s="1"/>
      <c r="BS74" s="1"/>
      <c r="BT74" s="1"/>
    </row>
    <row r="75" spans="1:73" s="2" customFormat="1" ht="14.4" thickBot="1" x14ac:dyDescent="0.3">
      <c r="A75" s="5"/>
      <c r="B75" s="23" t="s">
        <v>48</v>
      </c>
      <c r="C75" s="137">
        <f>C38-C41-C50-C54</f>
        <v>9467137.2419999987</v>
      </c>
      <c r="D75" s="137">
        <f>D38-D41-D50-D54</f>
        <v>-2835661.47</v>
      </c>
      <c r="E75" s="138">
        <f>E38-E41-E50-E54</f>
        <v>7280575.811999999</v>
      </c>
      <c r="F75" s="172"/>
      <c r="G75" s="65">
        <f>G38-G41-G50-G54</f>
        <v>-217897.84000000003</v>
      </c>
      <c r="H75" s="65">
        <f>H38-H41-H50-H54</f>
        <v>-82791.98</v>
      </c>
      <c r="I75" s="138">
        <f>I38-I41-I50-I54</f>
        <v>-300689.82000000007</v>
      </c>
      <c r="J75" s="66"/>
      <c r="K75" s="66"/>
      <c r="L75" s="65">
        <f>L38-L41-L50-L54</f>
        <v>-666067.1100000001</v>
      </c>
      <c r="M75" s="65">
        <f>M38-M41-M50-M54</f>
        <v>-129527.9</v>
      </c>
      <c r="N75" s="138">
        <f>N38-N41-N50-N54</f>
        <v>-795595.00999999989</v>
      </c>
      <c r="O75" s="66"/>
      <c r="P75" s="66"/>
      <c r="Q75" s="65">
        <f>Q38-Q41-Q50-Q54</f>
        <v>708937.71400000108</v>
      </c>
      <c r="R75" s="65">
        <f>R38-R41-R50-R54</f>
        <v>-625488.9</v>
      </c>
      <c r="S75" s="138">
        <f>S38-S41-S50-S54</f>
        <v>83448.814000000726</v>
      </c>
      <c r="T75" s="66"/>
      <c r="U75" s="66"/>
      <c r="V75" s="65">
        <f>V38-V41-V50-V54</f>
        <v>3731530.0089999996</v>
      </c>
      <c r="W75" s="65">
        <f>W38-W41-W50-W54</f>
        <v>-469782.38</v>
      </c>
      <c r="X75" s="138">
        <f>X38-X41-X50-X54</f>
        <v>3261747.6290000002</v>
      </c>
      <c r="Y75" s="66"/>
      <c r="Z75" s="66"/>
      <c r="AA75" s="65">
        <f>AA38-AA41-AA50-AA54</f>
        <v>3876103.2220000005</v>
      </c>
      <c r="AB75" s="65">
        <f>AB38-AB41-AB50-AB54</f>
        <v>-961188.09</v>
      </c>
      <c r="AC75" s="138">
        <f>AC38-AC41-AC50-AC54</f>
        <v>2914915.1320000002</v>
      </c>
      <c r="AD75" s="66"/>
      <c r="AE75" s="66"/>
      <c r="AF75" s="65">
        <f>AF38-AF41-AF50-AF54</f>
        <v>396289.7680000001</v>
      </c>
      <c r="AG75" s="65">
        <f>AG38-AG41-AG50-AG54</f>
        <v>-621922.31000000006</v>
      </c>
      <c r="AH75" s="138">
        <f>AH38-AH41-AH50-AH54</f>
        <v>-225632.54199999958</v>
      </c>
      <c r="AI75" s="66"/>
      <c r="AJ75" s="66"/>
      <c r="AK75" s="65">
        <f>AK38-AK41-AK50-AK54</f>
        <v>779475.01800000004</v>
      </c>
      <c r="AL75" s="65">
        <f>AL38-AL41-AL50-AL54</f>
        <v>-228276.05</v>
      </c>
      <c r="AM75" s="138">
        <f>AM38-AM41-AM50-AM54</f>
        <v>551198.96799999999</v>
      </c>
      <c r="AN75" s="66"/>
      <c r="AO75" s="66"/>
      <c r="AP75" s="65">
        <f>AP38-AP41-AP50-AP54</f>
        <v>-176350.63</v>
      </c>
      <c r="AQ75" s="65">
        <f>AQ38-AQ41-AQ50-AQ54</f>
        <v>-73258.335749999998</v>
      </c>
      <c r="AR75" s="138">
        <f>AR38-AR41-AR50-AR54</f>
        <v>-249608.96574999997</v>
      </c>
      <c r="AS75" s="66"/>
      <c r="AT75" s="66"/>
      <c r="AU75" s="65">
        <f>AU38-AU41-AU50-AU54</f>
        <v>1035084.1140000002</v>
      </c>
      <c r="AV75" s="65">
        <f>AV38-AV41-AV50-AV54</f>
        <v>-207008.77</v>
      </c>
      <c r="AW75" s="138">
        <f>AW38-AW41-AW50-AW54</f>
        <v>828075.34400000016</v>
      </c>
      <c r="AX75" s="66"/>
      <c r="AY75" s="66"/>
      <c r="AZ75" s="65">
        <f>AZ38-AZ41-AZ50-AZ54</f>
        <v>-156349.80500000008</v>
      </c>
      <c r="BA75" s="65">
        <f>BA38-BA41-BA50-BA54</f>
        <v>-267645.94424999959</v>
      </c>
      <c r="BB75" s="138">
        <f>BB38-BB41-BB50-BB54</f>
        <v>-423995.74924999964</v>
      </c>
      <c r="BC75" s="66"/>
      <c r="BD75" s="66"/>
      <c r="BE75" s="65">
        <f>BE38-BE41-BE50-BE54</f>
        <v>-528</v>
      </c>
      <c r="BF75" s="65">
        <f>BF38-BF41-BF50-BF54</f>
        <v>-28000</v>
      </c>
      <c r="BG75" s="138">
        <f>BG38-BG41-BG50-BG54</f>
        <v>-28528</v>
      </c>
      <c r="BH75" s="66"/>
      <c r="BI75" s="66"/>
      <c r="BJ75" s="65">
        <f>BJ38-BJ41-BJ50-BJ54</f>
        <v>9310226.459999999</v>
      </c>
      <c r="BK75" s="65">
        <f>BK38-BK41-BK50-BK54</f>
        <v>-3694890.66</v>
      </c>
      <c r="BL75" s="138">
        <f>BL38-BL41-BL50-BL54</f>
        <v>5615335.8000000007</v>
      </c>
      <c r="BM75" s="66"/>
      <c r="BN75" s="66"/>
      <c r="BO75" s="1"/>
      <c r="BP75" s="842"/>
      <c r="BQ75" s="842"/>
      <c r="BR75" s="1"/>
      <c r="BS75" s="1"/>
      <c r="BT75" s="1"/>
    </row>
    <row r="76" spans="1:73" s="2" customFormat="1" ht="13.8" x14ac:dyDescent="0.25">
      <c r="A76" s="294"/>
      <c r="B76" s="36" t="s">
        <v>49</v>
      </c>
      <c r="C76" s="157">
        <f>C75/C5</f>
        <v>0.36564362510527498</v>
      </c>
      <c r="D76" s="157" t="e">
        <f>D75/D5</f>
        <v>#DIV/0!</v>
      </c>
      <c r="E76" s="158">
        <f>E75/E5</f>
        <v>0.28119336022122293</v>
      </c>
      <c r="F76" s="167"/>
      <c r="G76" s="54" t="e">
        <f>G75/G5</f>
        <v>#DIV/0!</v>
      </c>
      <c r="H76" s="54" t="e">
        <f>H75/H5</f>
        <v>#DIV/0!</v>
      </c>
      <c r="I76" s="55" t="e">
        <f>I75/I5</f>
        <v>#DIV/0!</v>
      </c>
      <c r="J76" s="55"/>
      <c r="K76" s="55"/>
      <c r="L76" s="54">
        <f>L75/L5</f>
        <v>-1.635994476102961</v>
      </c>
      <c r="M76" s="54" t="e">
        <f>M75/M5</f>
        <v>#DIV/0!</v>
      </c>
      <c r="N76" s="55">
        <f>N75/N5</f>
        <v>-1.9541409897496358</v>
      </c>
      <c r="O76" s="55"/>
      <c r="P76" s="55"/>
      <c r="Q76" s="54">
        <f>Q75/Q5</f>
        <v>0.10084403718511482</v>
      </c>
      <c r="R76" s="54" t="e">
        <f>R75/R5</f>
        <v>#DIV/0!</v>
      </c>
      <c r="S76" s="55">
        <f>S75/S5</f>
        <v>1.1870316864070501E-2</v>
      </c>
      <c r="T76" s="55"/>
      <c r="U76" s="55"/>
      <c r="V76" s="54">
        <f>V75/V5</f>
        <v>0.65878668481265268</v>
      </c>
      <c r="W76" s="54" t="e">
        <f>W75/W5</f>
        <v>#DIV/0!</v>
      </c>
      <c r="X76" s="55">
        <f>X75/X5</f>
        <v>0.57584848628358987</v>
      </c>
      <c r="Y76" s="55"/>
      <c r="Z76" s="55"/>
      <c r="AA76" s="54">
        <f>AA75/AA5</f>
        <v>0.68872796107893697</v>
      </c>
      <c r="AB76" s="54" t="e">
        <f>AB75/AB5</f>
        <v>#DIV/0!</v>
      </c>
      <c r="AC76" s="55">
        <f>AC75/AC5</f>
        <v>0.51793862046445271</v>
      </c>
      <c r="AD76" s="55"/>
      <c r="AE76" s="55"/>
      <c r="AF76" s="54">
        <f>AF75/AF5</f>
        <v>9.0512983714713294E-2</v>
      </c>
      <c r="AG76" s="54" t="e">
        <f>AG75/AG5</f>
        <v>#DIV/0!</v>
      </c>
      <c r="AH76" s="55">
        <f>AH75/AH5</f>
        <v>-5.153470073836304E-2</v>
      </c>
      <c r="AI76" s="55"/>
      <c r="AJ76" s="55"/>
      <c r="AK76" s="54">
        <f>AK75/AK5</f>
        <v>0.52496757657272974</v>
      </c>
      <c r="AL76" s="54" t="e">
        <f>AL75/AL5</f>
        <v>#DIV/0!</v>
      </c>
      <c r="AM76" s="55">
        <f>AM75/AM5</f>
        <v>0.37122624812633775</v>
      </c>
      <c r="AN76" s="55"/>
      <c r="AO76" s="55"/>
      <c r="AP76" s="54" t="e">
        <f>AP75/AP5</f>
        <v>#DIV/0!</v>
      </c>
      <c r="AQ76" s="54" t="e">
        <f>AQ75/AQ5</f>
        <v>#DIV/0!</v>
      </c>
      <c r="AR76" s="55" t="e">
        <f>AR75/AR5</f>
        <v>#DIV/0!</v>
      </c>
      <c r="AS76" s="55"/>
      <c r="AT76" s="55"/>
      <c r="AU76" s="54">
        <f>AU75/AU5</f>
        <v>0.59302260584044741</v>
      </c>
      <c r="AV76" s="54" t="e">
        <f>AV75/AV5</f>
        <v>#DIV/0!</v>
      </c>
      <c r="AW76" s="55">
        <f>AW75/AW5</f>
        <v>0.47442269829976824</v>
      </c>
      <c r="AX76" s="55"/>
      <c r="AY76" s="55"/>
      <c r="AZ76" s="54" t="e">
        <f>AZ75/AZ5</f>
        <v>#DIV/0!</v>
      </c>
      <c r="BA76" s="54" t="e">
        <f>BA75/BA5</f>
        <v>#DIV/0!</v>
      </c>
      <c r="BB76" s="55" t="e">
        <f>BB75/BB5</f>
        <v>#DIV/0!</v>
      </c>
      <c r="BC76" s="55"/>
      <c r="BD76" s="55"/>
      <c r="BE76" s="54" t="e">
        <f>BE75/BE5</f>
        <v>#DIV/0!</v>
      </c>
      <c r="BF76" s="54" t="e">
        <f>BF75/BF5</f>
        <v>#DIV/0!</v>
      </c>
      <c r="BG76" s="55" t="e">
        <f>BG75/BG5</f>
        <v>#DIV/0!</v>
      </c>
      <c r="BH76" s="55"/>
      <c r="BI76" s="55"/>
      <c r="BJ76" s="54">
        <f>BJ75/BJ5</f>
        <v>0.35349234712828415</v>
      </c>
      <c r="BK76" s="54" t="e">
        <f>BK75/BK5</f>
        <v>#DIV/0!</v>
      </c>
      <c r="BL76" s="55">
        <f>BL75/BL5</f>
        <v>0.21320407622560469</v>
      </c>
      <c r="BM76" s="55"/>
      <c r="BN76" s="55"/>
      <c r="BO76" s="1"/>
      <c r="BP76" s="842"/>
      <c r="BQ76" s="842"/>
      <c r="BR76" s="1"/>
      <c r="BS76" s="1"/>
      <c r="BT76" s="1"/>
    </row>
    <row r="77" spans="1:73" s="2" customFormat="1" ht="14.4" thickBot="1" x14ac:dyDescent="0.3">
      <c r="A77" s="294"/>
      <c r="B77" s="27" t="s">
        <v>9</v>
      </c>
      <c r="C77" s="139">
        <f>C78-C79</f>
        <v>-368183</v>
      </c>
      <c r="D77" s="139">
        <f>D78-D79</f>
        <v>0</v>
      </c>
      <c r="E77" s="140">
        <f>E78-E79</f>
        <v>-368183</v>
      </c>
      <c r="F77" s="173"/>
      <c r="G77" s="139">
        <f>G78-G79</f>
        <v>0</v>
      </c>
      <c r="H77" s="139">
        <f>H78-H79</f>
        <v>0</v>
      </c>
      <c r="I77" s="140">
        <f>I78-I79</f>
        <v>-12371.215402298851</v>
      </c>
      <c r="J77" s="67"/>
      <c r="K77" s="67"/>
      <c r="L77" s="139">
        <f>L78-L79</f>
        <v>0</v>
      </c>
      <c r="M77" s="139">
        <f>M78-M79</f>
        <v>0</v>
      </c>
      <c r="N77" s="140">
        <f>N78-N79</f>
        <v>-19354.743678160918</v>
      </c>
      <c r="O77" s="67"/>
      <c r="P77" s="67"/>
      <c r="Q77" s="139">
        <f>Q78-Q79</f>
        <v>0</v>
      </c>
      <c r="R77" s="139">
        <f>R78-R79</f>
        <v>0</v>
      </c>
      <c r="S77" s="140">
        <f>S78-S79</f>
        <v>-93463.858620689673</v>
      </c>
      <c r="T77" s="67"/>
      <c r="U77" s="67"/>
      <c r="V77" s="139">
        <f>V78-V79</f>
        <v>0</v>
      </c>
      <c r="W77" s="139">
        <f>W78-W79</f>
        <v>0</v>
      </c>
      <c r="X77" s="140">
        <f>X78-X79</f>
        <v>-58030.064042497295</v>
      </c>
      <c r="Y77" s="67"/>
      <c r="Z77" s="67"/>
      <c r="AA77" s="139">
        <f>AA78-AA79</f>
        <v>0</v>
      </c>
      <c r="AB77" s="139">
        <f>AB78-AB79</f>
        <v>0</v>
      </c>
      <c r="AC77" s="140">
        <f>AC78-AC79</f>
        <v>-139209.24608200343</v>
      </c>
      <c r="AD77" s="67"/>
      <c r="AE77" s="67"/>
      <c r="AF77" s="139">
        <f>AF78-AF79</f>
        <v>0</v>
      </c>
      <c r="AG77" s="139">
        <f>AG78-AG79</f>
        <v>0</v>
      </c>
      <c r="AH77" s="140" t="e">
        <f>AH78-AH79</f>
        <v>#DIV/0!</v>
      </c>
      <c r="AI77" s="67"/>
      <c r="AJ77" s="67"/>
      <c r="AK77" s="139">
        <f>AK78-AK79</f>
        <v>0</v>
      </c>
      <c r="AL77" s="139">
        <f>AL78-AL79</f>
        <v>0</v>
      </c>
      <c r="AM77" s="140" t="e">
        <f>AM78-AM79</f>
        <v>#DIV/0!</v>
      </c>
      <c r="AN77" s="67"/>
      <c r="AO77" s="67"/>
      <c r="AP77" s="139">
        <f>AP78-AP79</f>
        <v>0</v>
      </c>
      <c r="AQ77" s="139">
        <f>AQ78-AQ79</f>
        <v>0</v>
      </c>
      <c r="AR77" s="140">
        <f>AR78-AR79</f>
        <v>-9519.4447584745776</v>
      </c>
      <c r="AS77" s="67"/>
      <c r="AT77" s="67"/>
      <c r="AU77" s="139">
        <f>AU78-AU79</f>
        <v>0</v>
      </c>
      <c r="AV77" s="139">
        <f>AV78-AV79</f>
        <v>0</v>
      </c>
      <c r="AW77" s="140" t="e">
        <f>AW78-AW79</f>
        <v>#DIV/0!</v>
      </c>
      <c r="AX77" s="67"/>
      <c r="AY77" s="67"/>
      <c r="AZ77" s="139">
        <f>AZ78-AZ79</f>
        <v>0</v>
      </c>
      <c r="BA77" s="139">
        <f>BA78-BA79</f>
        <v>0</v>
      </c>
      <c r="BB77" s="140">
        <f>BB78-BB79</f>
        <v>-73015.206171076643</v>
      </c>
      <c r="BC77" s="67"/>
      <c r="BD77" s="67"/>
      <c r="BE77" s="139">
        <f>BE78-BE79</f>
        <v>0</v>
      </c>
      <c r="BF77" s="139">
        <f>BF78-BF79</f>
        <v>0</v>
      </c>
      <c r="BG77" s="140">
        <f>BG78-BG79</f>
        <v>-37647.116932163823</v>
      </c>
      <c r="BH77" s="935">
        <f>BG77/$BG$89</f>
        <v>-0.10001766653365857</v>
      </c>
      <c r="BI77" s="67"/>
      <c r="BJ77" s="139">
        <f>BJ78-BJ79</f>
        <v>0</v>
      </c>
      <c r="BK77" s="139">
        <f>BK78-BK79</f>
        <v>0</v>
      </c>
      <c r="BL77" s="140" t="e">
        <f>BL78-BL79</f>
        <v>#DIV/0!</v>
      </c>
      <c r="BM77" s="67"/>
      <c r="BN77" s="67"/>
      <c r="BO77" s="1"/>
      <c r="BP77" s="842"/>
      <c r="BQ77" s="842"/>
      <c r="BR77" s="1"/>
      <c r="BS77" s="1"/>
      <c r="BT77" s="1"/>
    </row>
    <row r="78" spans="1:73" s="2" customFormat="1" ht="13.8" x14ac:dyDescent="0.25">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178">
        <f>S78/$S$89</f>
        <v>0</v>
      </c>
      <c r="U78" s="68"/>
      <c r="V78" s="39"/>
      <c r="W78" s="39"/>
      <c r="X78" s="68">
        <f>V78+W78*1.15</f>
        <v>0</v>
      </c>
      <c r="Y78" s="178">
        <f>X78/$X$89</f>
        <v>0</v>
      </c>
      <c r="Z78" s="68"/>
      <c r="AA78" s="39"/>
      <c r="AB78" s="39"/>
      <c r="AC78" s="68">
        <f>AA78+AB78*1.15</f>
        <v>0</v>
      </c>
      <c r="AD78" s="541">
        <f>AC78/$AC$89</f>
        <v>0</v>
      </c>
      <c r="AE78" s="68"/>
      <c r="AF78" s="39"/>
      <c r="AG78" s="39"/>
      <c r="AH78" s="68">
        <f>AF78+AG78*1.15</f>
        <v>0</v>
      </c>
      <c r="AI78" s="541" t="e">
        <f>AH78/$AH$89</f>
        <v>#DIV/0!</v>
      </c>
      <c r="AJ78" s="68"/>
      <c r="AK78" s="39"/>
      <c r="AL78" s="39"/>
      <c r="AM78" s="68">
        <f>AK78+AL78*1.15</f>
        <v>0</v>
      </c>
      <c r="AN78" s="541" t="e">
        <f>AM78/$AM$89</f>
        <v>#DIV/0!</v>
      </c>
      <c r="AO78" s="68"/>
      <c r="AP78" s="39"/>
      <c r="AQ78" s="39"/>
      <c r="AR78" s="68">
        <f>AP78+AQ78*1.15</f>
        <v>0</v>
      </c>
      <c r="AS78" s="541">
        <f>AR78/$AR$89</f>
        <v>0</v>
      </c>
      <c r="AT78" s="68"/>
      <c r="AU78" s="39"/>
      <c r="AV78" s="39"/>
      <c r="AW78" s="68">
        <f>AU78+AV78*1.15</f>
        <v>0</v>
      </c>
      <c r="AX78" s="541" t="e">
        <f>AW78/$AW$89</f>
        <v>#DIV/0!</v>
      </c>
      <c r="AY78" s="68"/>
      <c r="AZ78" s="39"/>
      <c r="BA78" s="39"/>
      <c r="BB78" s="68">
        <f>AZ78+BA78*1.15</f>
        <v>0</v>
      </c>
      <c r="BC78" s="541" t="e">
        <f>BB78/$AW$89</f>
        <v>#DIV/0!</v>
      </c>
      <c r="BD78" s="68"/>
      <c r="BE78" s="39"/>
      <c r="BF78" s="39"/>
      <c r="BG78" s="68">
        <f>BE78+BF78*1.15</f>
        <v>0</v>
      </c>
      <c r="BH78" s="541">
        <f>BG78/$BG$89</f>
        <v>0</v>
      </c>
      <c r="BI78" s="68"/>
      <c r="BJ78" s="39">
        <f>G78+L78+Q78+V78+AA78+AF78+AK78+AP78+AU78+AZ78+BE78</f>
        <v>0</v>
      </c>
      <c r="BK78" s="39">
        <f>H78+M78+R78+W78+AB78+AG78+AL78+AQ78+AV78+BA78+BF78</f>
        <v>0</v>
      </c>
      <c r="BL78" s="68">
        <f>BJ78+BK78*1.15</f>
        <v>0</v>
      </c>
      <c r="BM78" s="68"/>
      <c r="BN78" s="68"/>
      <c r="BO78" s="1"/>
      <c r="BP78" s="842"/>
      <c r="BQ78" s="842"/>
      <c r="BR78" s="1"/>
      <c r="BS78" s="1"/>
      <c r="BT78" s="1"/>
    </row>
    <row r="79" spans="1:73" s="2" customFormat="1" ht="13.8" x14ac:dyDescent="0.25">
      <c r="A79" s="11"/>
      <c r="B79" s="24" t="s">
        <v>79</v>
      </c>
      <c r="C79" s="113">
        <v>368183</v>
      </c>
      <c r="D79" s="119"/>
      <c r="E79" s="119">
        <f>C79+D79*1.15</f>
        <v>368183</v>
      </c>
      <c r="F79" s="180">
        <f>E79/$E$89</f>
        <v>1.8636454768611026E-2</v>
      </c>
      <c r="G79" s="39"/>
      <c r="H79" s="39"/>
      <c r="I79" s="106">
        <f>(H8+H41+H50+H54)/(1-'расчет 2022'!E6)*'расчет 2022'!E6</f>
        <v>12371.215402298851</v>
      </c>
      <c r="J79" s="45"/>
      <c r="K79" s="45"/>
      <c r="L79" s="39"/>
      <c r="M79" s="39"/>
      <c r="N79" s="106">
        <f>(M8+M41+M50+M54)/(1-'расчет 2022'!E4)*'расчет 2022'!E4</f>
        <v>19354.743678160918</v>
      </c>
      <c r="O79" s="45"/>
      <c r="P79" s="45"/>
      <c r="Q79" s="39"/>
      <c r="R79" s="39"/>
      <c r="S79" s="106">
        <f>(R8+R41+R50+R54)/(1-'расчет 2022'!E6)*'расчет 2022'!E6</f>
        <v>93463.858620689673</v>
      </c>
      <c r="T79" s="178">
        <f>S79/$S$89</f>
        <v>1.3276010630288331E-2</v>
      </c>
      <c r="U79" s="45"/>
      <c r="V79" s="39"/>
      <c r="W79" s="39"/>
      <c r="X79" s="106">
        <f>(W8+W41+W50+W54)/(1-'расчет 2022'!E7)*'расчет 2022'!E7</f>
        <v>58030.064042497295</v>
      </c>
      <c r="Y79" s="178">
        <f>X79/$X$89</f>
        <v>2.358438834517998E-2</v>
      </c>
      <c r="Z79" s="45"/>
      <c r="AA79" s="39"/>
      <c r="AB79" s="39"/>
      <c r="AC79" s="106">
        <f>(AB8+AB41+AB50+AB54)/(1-'расчет 2022'!E8)*'расчет 2022'!E8</f>
        <v>139209.24608200343</v>
      </c>
      <c r="AD79" s="541">
        <f>AC79/$AC$89</f>
        <v>4.8807497591252649E-2</v>
      </c>
      <c r="AE79" s="45"/>
      <c r="AF79" s="39"/>
      <c r="AG79" s="39"/>
      <c r="AH79" s="106" t="e">
        <f>(AG8+AG41+AG50+AG54)/(1-'расчет 2022'!E9)*'расчет 2022'!E9</f>
        <v>#DIV/0!</v>
      </c>
      <c r="AI79" s="541" t="e">
        <f>AH79/$AH$89</f>
        <v>#DIV/0!</v>
      </c>
      <c r="AJ79" s="45"/>
      <c r="AK79" s="39"/>
      <c r="AL79" s="39"/>
      <c r="AM79" s="106" t="e">
        <f>(AL8+AL41+AL50+AL54)/(1-'расчет 2022'!E10)*'расчет 2022'!E10</f>
        <v>#DIV/0!</v>
      </c>
      <c r="AN79" s="541" t="e">
        <f>AM79/$AM$89</f>
        <v>#DIV/0!</v>
      </c>
      <c r="AO79" s="45"/>
      <c r="AP79" s="39"/>
      <c r="AQ79" s="39"/>
      <c r="AR79" s="106">
        <f>(AQ8+AQ41+AQ50+AQ54)/(1-'расчет 2022'!E11)*'расчет 2022'!E11</f>
        <v>9519.4447584745776</v>
      </c>
      <c r="AS79" s="541">
        <f>AR79/$AR$89</f>
        <v>3.673639930023518E-2</v>
      </c>
      <c r="AT79" s="45"/>
      <c r="AU79" s="39"/>
      <c r="AV79" s="39"/>
      <c r="AW79" s="106" t="e">
        <f>(AV8+AV41+AV50+AV54)/(1-'расчет 2022'!E12)*'расчет 2022'!E12</f>
        <v>#DIV/0!</v>
      </c>
      <c r="AX79" s="541" t="e">
        <f>AW79/$AW$89</f>
        <v>#DIV/0!</v>
      </c>
      <c r="AY79" s="45"/>
      <c r="AZ79" s="39"/>
      <c r="BA79" s="39"/>
      <c r="BB79" s="106">
        <f>(BA8+BA41+BA50+BA54)/(1-'расчет 2022'!E14)*'расчет 2022'!E14+36951.54</f>
        <v>73015.206171076643</v>
      </c>
      <c r="BC79" s="541" t="e">
        <f>BB79/$AW$89</f>
        <v>#DIV/0!</v>
      </c>
      <c r="BD79" s="45"/>
      <c r="BE79" s="39"/>
      <c r="BF79" s="39"/>
      <c r="BG79" s="106">
        <f>(BF8+BF41+BF50+BF54+BF85)/(1-'расчет 2022'!E18)*'расчет 2022'!E18+BF79</f>
        <v>37647.116932163823</v>
      </c>
      <c r="BH79" s="541">
        <f>BG79/$BG$89</f>
        <v>0.10001766653365857</v>
      </c>
      <c r="BI79" s="45"/>
      <c r="BJ79" s="39">
        <f>G79+L79+Q79+V79+AA79+AF79+AK79+AP79+AU79+AZ79+BE79</f>
        <v>0</v>
      </c>
      <c r="BK79" s="39">
        <f>H79+M79+R79+W79+AB79+AG79+AL79+AQ79+AV79+BA79+BF79</f>
        <v>0</v>
      </c>
      <c r="BL79" s="106" t="e">
        <f>I79+N79+S79+X79+AC79+AH79+AM79+AR79+AW79+BB79+BG79</f>
        <v>#DIV/0!</v>
      </c>
      <c r="BM79" s="45"/>
      <c r="BN79" s="45"/>
      <c r="BO79" s="1"/>
      <c r="BP79" s="842"/>
      <c r="BQ79" s="842"/>
      <c r="BR79" s="1"/>
      <c r="BS79" s="1"/>
      <c r="BT79" s="1"/>
      <c r="BU79" s="842"/>
    </row>
    <row r="80" spans="1:73" ht="13.8" x14ac:dyDescent="0.25">
      <c r="A80" s="3"/>
      <c r="B80" s="25"/>
      <c r="C80" s="143"/>
      <c r="D80" s="144"/>
      <c r="E80" s="145"/>
      <c r="F80" s="187"/>
      <c r="G80" s="39"/>
      <c r="H80" s="39"/>
      <c r="I80" s="69"/>
      <c r="J80" s="69"/>
      <c r="K80" s="69"/>
      <c r="L80" s="39"/>
      <c r="M80" s="39"/>
      <c r="N80" s="69"/>
      <c r="O80" s="69"/>
      <c r="P80" s="69"/>
      <c r="Q80" s="39"/>
      <c r="R80" s="39"/>
      <c r="S80" s="69"/>
      <c r="T80" s="178">
        <f>S80/$S$89</f>
        <v>0</v>
      </c>
      <c r="U80" s="69"/>
      <c r="V80" s="39"/>
      <c r="W80" s="39"/>
      <c r="X80" s="69"/>
      <c r="Y80" s="178"/>
      <c r="Z80" s="69"/>
      <c r="AA80" s="39"/>
      <c r="AB80" s="39"/>
      <c r="AC80" s="69"/>
      <c r="AD80" s="178"/>
      <c r="AE80" s="69"/>
      <c r="AF80" s="39"/>
      <c r="AG80" s="39"/>
      <c r="AH80" s="69"/>
      <c r="AI80" s="178"/>
      <c r="AJ80" s="69"/>
      <c r="AK80" s="39"/>
      <c r="AL80" s="39"/>
      <c r="AM80" s="69"/>
      <c r="AN80" s="178"/>
      <c r="AO80" s="69"/>
      <c r="AP80" s="39"/>
      <c r="AQ80" s="39"/>
      <c r="AR80" s="69"/>
      <c r="AS80" s="178"/>
      <c r="AT80" s="69"/>
      <c r="AU80" s="39"/>
      <c r="AV80" s="39"/>
      <c r="AW80" s="69"/>
      <c r="AX80" s="178"/>
      <c r="AY80" s="69"/>
      <c r="AZ80" s="39"/>
      <c r="BA80" s="39"/>
      <c r="BB80" s="69"/>
      <c r="BC80" s="178"/>
      <c r="BD80" s="69"/>
      <c r="BE80" s="39"/>
      <c r="BF80" s="39"/>
      <c r="BG80" s="69"/>
      <c r="BH80" s="178"/>
      <c r="BI80" s="69"/>
      <c r="BJ80" s="39"/>
      <c r="BK80" s="39"/>
      <c r="BL80" s="69"/>
      <c r="BM80" s="69"/>
      <c r="BN80" s="69"/>
      <c r="BP80" s="842"/>
      <c r="BQ80" s="842"/>
    </row>
    <row r="81" spans="1:72" s="2" customFormat="1" ht="14.4" thickBot="1" x14ac:dyDescent="0.3">
      <c r="A81" s="26"/>
      <c r="B81" s="27" t="s">
        <v>12</v>
      </c>
      <c r="C81" s="139">
        <f>(C75+C78)-C79</f>
        <v>9098954.2419999987</v>
      </c>
      <c r="D81" s="139">
        <f>(D75+D78)-D79</f>
        <v>-2835661.47</v>
      </c>
      <c r="E81" s="140">
        <f>C81+D81</f>
        <v>6263292.771999998</v>
      </c>
      <c r="F81" s="173"/>
      <c r="G81" s="139">
        <f>(G75+G78)-G79</f>
        <v>-217897.84000000003</v>
      </c>
      <c r="H81" s="139">
        <f>(H75+H78)-H79</f>
        <v>-82791.98</v>
      </c>
      <c r="I81" s="140">
        <f>(I75+I78)-I79</f>
        <v>-313061.0354022989</v>
      </c>
      <c r="J81" s="67"/>
      <c r="K81" s="67"/>
      <c r="L81" s="139">
        <f>(L75+L78)-L79</f>
        <v>-666067.1100000001</v>
      </c>
      <c r="M81" s="139">
        <f>(M75+M78)-M79</f>
        <v>-129527.9</v>
      </c>
      <c r="N81" s="140">
        <f>(N75+N78)-N79</f>
        <v>-814949.75367816084</v>
      </c>
      <c r="O81" s="67"/>
      <c r="P81" s="67"/>
      <c r="Q81" s="139">
        <f>(Q75+Q78)-Q79</f>
        <v>708937.71400000108</v>
      </c>
      <c r="R81" s="139">
        <f>(R75+R78)-R79</f>
        <v>-625488.9</v>
      </c>
      <c r="S81" s="140">
        <f>(S75+S78)-S79</f>
        <v>-10015.044620688946</v>
      </c>
      <c r="T81" s="67"/>
      <c r="U81" s="67"/>
      <c r="V81" s="139">
        <f>(V75+V78)-V79</f>
        <v>3731530.0089999996</v>
      </c>
      <c r="W81" s="139">
        <f>(W75+W78)-W79</f>
        <v>-469782.38</v>
      </c>
      <c r="X81" s="140">
        <f>(X75+X78)-X79</f>
        <v>3203717.5649575028</v>
      </c>
      <c r="Y81" s="67"/>
      <c r="Z81" s="67"/>
      <c r="AA81" s="139">
        <f>(AA75+AA78)-AA79</f>
        <v>3876103.2220000005</v>
      </c>
      <c r="AB81" s="139">
        <f>(AB75+AB78)-AB79</f>
        <v>-961188.09</v>
      </c>
      <c r="AC81" s="140">
        <f>(AC75+AC78)-AC79</f>
        <v>2775705.885917997</v>
      </c>
      <c r="AD81" s="67"/>
      <c r="AE81" s="67"/>
      <c r="AF81" s="139">
        <f>(AF75+AF78)-AF79</f>
        <v>396289.7680000001</v>
      </c>
      <c r="AG81" s="139">
        <f>(AG75+AG78)-AG79</f>
        <v>-621922.31000000006</v>
      </c>
      <c r="AH81" s="140" t="e">
        <f>(AH75+AH78)-AH79</f>
        <v>#DIV/0!</v>
      </c>
      <c r="AI81" s="67"/>
      <c r="AJ81" s="67"/>
      <c r="AK81" s="139">
        <f>(AK75+AK78)-AK79</f>
        <v>779475.01800000004</v>
      </c>
      <c r="AL81" s="139">
        <f>(AL75+AL78)-AL79</f>
        <v>-228276.05</v>
      </c>
      <c r="AM81" s="140" t="e">
        <f>(AM75+AM78)-AM79</f>
        <v>#DIV/0!</v>
      </c>
      <c r="AN81" s="67"/>
      <c r="AO81" s="67"/>
      <c r="AP81" s="139">
        <f>(AP75+AP78)-AP79</f>
        <v>-176350.63</v>
      </c>
      <c r="AQ81" s="139">
        <f>(AQ75+AQ78)-AQ79</f>
        <v>-73258.335749999998</v>
      </c>
      <c r="AR81" s="140">
        <f>(AR75+AR78)-AR79</f>
        <v>-259128.41050847454</v>
      </c>
      <c r="AS81" s="67"/>
      <c r="AT81" s="67"/>
      <c r="AU81" s="139">
        <f>(AU75+AU78)-AU79</f>
        <v>1035084.1140000002</v>
      </c>
      <c r="AV81" s="139">
        <f>(AV75+AV78)-AV79</f>
        <v>-207008.77</v>
      </c>
      <c r="AW81" s="140" t="e">
        <f>(AW75+AW78)-AW79</f>
        <v>#DIV/0!</v>
      </c>
      <c r="AX81" s="67"/>
      <c r="AY81" s="67"/>
      <c r="AZ81" s="139">
        <f>(AZ75+AZ78)-AZ79</f>
        <v>-156349.80500000008</v>
      </c>
      <c r="BA81" s="139">
        <f>(BA75+BA78)-BA79</f>
        <v>-267645.94424999959</v>
      </c>
      <c r="BB81" s="140">
        <f>(BB75+BB78)-BB79</f>
        <v>-497010.95542107627</v>
      </c>
      <c r="BC81" s="67"/>
      <c r="BD81" s="67"/>
      <c r="BE81" s="139">
        <f>(BE75+BE78)-BE79</f>
        <v>-528</v>
      </c>
      <c r="BF81" s="139">
        <f>(BF75+BF78)-BF79</f>
        <v>-28000</v>
      </c>
      <c r="BG81" s="140">
        <f>(BG75+BG78)-BG79</f>
        <v>-66175.11693216383</v>
      </c>
      <c r="BH81" s="67"/>
      <c r="BI81" s="67"/>
      <c r="BJ81" s="139">
        <f>(BJ75+BJ78)-BJ79</f>
        <v>9310226.459999999</v>
      </c>
      <c r="BK81" s="139">
        <f>(BK75+BK78)-BK79</f>
        <v>-3694890.66</v>
      </c>
      <c r="BL81" s="140" t="e">
        <f>(BL75+BL78)-BL79</f>
        <v>#DIV/0!</v>
      </c>
      <c r="BM81" s="67"/>
      <c r="BN81" s="67"/>
      <c r="BO81" s="1"/>
      <c r="BP81" s="842"/>
      <c r="BQ81" s="842"/>
      <c r="BR81" s="1"/>
      <c r="BS81" s="1"/>
      <c r="BT81" s="1"/>
    </row>
    <row r="82" spans="1:72" s="2" customFormat="1" ht="13.8" x14ac:dyDescent="0.25">
      <c r="A82" s="293"/>
      <c r="B82" s="6" t="s">
        <v>38</v>
      </c>
      <c r="C82" s="141"/>
      <c r="D82" s="142"/>
      <c r="E82" s="146">
        <f>C82+D82</f>
        <v>0</v>
      </c>
      <c r="F82" s="180">
        <f>E82/$E$89</f>
        <v>0</v>
      </c>
      <c r="G82" s="39"/>
      <c r="H82" s="39"/>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39"/>
      <c r="BA82" s="39"/>
      <c r="BB82" s="146">
        <f>AZ82+BA82</f>
        <v>0</v>
      </c>
      <c r="BC82" s="101"/>
      <c r="BD82" s="101"/>
      <c r="BE82" s="39"/>
      <c r="BF82" s="39"/>
      <c r="BG82" s="146">
        <f>BE82+BF82</f>
        <v>0</v>
      </c>
      <c r="BH82" s="101"/>
      <c r="BI82" s="101"/>
      <c r="BJ82" s="39">
        <f>G82+L82+Q82+V82+AA82+AF82+AK82+AP82+AU82+AZ82+BE82</f>
        <v>0</v>
      </c>
      <c r="BK82" s="39">
        <f>H82+M82+R82+W82+AB82+AG82+AL82+AQ82+AV82+BA82+BF82</f>
        <v>0</v>
      </c>
      <c r="BL82" s="146">
        <f>BJ82+BK82</f>
        <v>0</v>
      </c>
      <c r="BM82" s="101"/>
      <c r="BN82" s="101"/>
      <c r="BO82" s="1"/>
      <c r="BP82" s="842"/>
      <c r="BQ82" s="842"/>
      <c r="BR82" s="1"/>
      <c r="BS82" s="1"/>
      <c r="BT82" s="1"/>
    </row>
    <row r="83" spans="1:72" s="2" customFormat="1" ht="13.8" x14ac:dyDescent="0.25">
      <c r="A83" s="11"/>
      <c r="B83" s="28" t="s">
        <v>13</v>
      </c>
      <c r="C83" s="147">
        <f>(C81+C7)-C36</f>
        <v>9098954.2419999987</v>
      </c>
      <c r="D83" s="147">
        <f>(D81+D7)-D36</f>
        <v>-2835661.47</v>
      </c>
      <c r="E83" s="147">
        <f>(E81+E7)-E36</f>
        <v>6263292.771999998</v>
      </c>
      <c r="F83" s="174"/>
      <c r="G83" s="147">
        <f>(G81+G7)-G36</f>
        <v>-217897.84000000003</v>
      </c>
      <c r="H83" s="147">
        <f>(H81+H7)-H36</f>
        <v>-82791.98</v>
      </c>
      <c r="I83" s="148">
        <f>(I81+I7)-I36</f>
        <v>-313061.0354022989</v>
      </c>
      <c r="J83" s="70"/>
      <c r="K83" s="70"/>
      <c r="L83" s="147">
        <f>(L81+L7)-L36</f>
        <v>-666067.1100000001</v>
      </c>
      <c r="M83" s="147">
        <f>(M81+M7)-M36</f>
        <v>-129527.9</v>
      </c>
      <c r="N83" s="148">
        <f>(N81+N7)-N36</f>
        <v>-814949.75367816084</v>
      </c>
      <c r="O83" s="70"/>
      <c r="P83" s="70"/>
      <c r="Q83" s="147">
        <f>(Q81+Q7)-Q36</f>
        <v>708937.71400000108</v>
      </c>
      <c r="R83" s="147">
        <f>(R81+R7)-R36</f>
        <v>-625488.9</v>
      </c>
      <c r="S83" s="148">
        <f>(S81+S7)-S36</f>
        <v>-10015.044620688946</v>
      </c>
      <c r="T83" s="70"/>
      <c r="U83" s="70"/>
      <c r="V83" s="147">
        <f>(V81+V7)-V36</f>
        <v>3731530.0089999996</v>
      </c>
      <c r="W83" s="147">
        <f>(W81+W7)-W36</f>
        <v>-469782.38</v>
      </c>
      <c r="X83" s="148">
        <f>(X81+X7)-X36</f>
        <v>3203717.5649575028</v>
      </c>
      <c r="Y83" s="70"/>
      <c r="Z83" s="70"/>
      <c r="AA83" s="147">
        <f>(AA81+AA7)-AA36</f>
        <v>3876103.2220000005</v>
      </c>
      <c r="AB83" s="147">
        <f>(AB81+AB7)-AB36</f>
        <v>-961188.09</v>
      </c>
      <c r="AC83" s="148">
        <f>(AC81+AC7)-AC36</f>
        <v>2775705.885917997</v>
      </c>
      <c r="AD83" s="70"/>
      <c r="AE83" s="70"/>
      <c r="AF83" s="147">
        <f>(AF81+AF7)-AF36</f>
        <v>396289.7680000001</v>
      </c>
      <c r="AG83" s="147">
        <f>(AG81+AG7)-AG36</f>
        <v>-621922.31000000006</v>
      </c>
      <c r="AH83" s="148" t="e">
        <f>(AH81+AH7)-AH36</f>
        <v>#DIV/0!</v>
      </c>
      <c r="AI83" s="70"/>
      <c r="AJ83" s="70"/>
      <c r="AK83" s="147">
        <f>(AK81+AK7)-AK36</f>
        <v>779475.01800000004</v>
      </c>
      <c r="AL83" s="147">
        <f>(AL81+AL7)-AL36</f>
        <v>-228276.05</v>
      </c>
      <c r="AM83" s="148" t="e">
        <f>(AM81+AM7)-AM36</f>
        <v>#DIV/0!</v>
      </c>
      <c r="AN83" s="70"/>
      <c r="AO83" s="70"/>
      <c r="AP83" s="147">
        <f>(AP81+AP7)-AP36</f>
        <v>-176350.63</v>
      </c>
      <c r="AQ83" s="147">
        <f>(AQ81+AQ7)-AQ36</f>
        <v>-73258.335749999998</v>
      </c>
      <c r="AR83" s="148">
        <f>(AR81+AR7)-AR36</f>
        <v>-259128.41050847454</v>
      </c>
      <c r="AS83" s="70"/>
      <c r="AT83" s="70"/>
      <c r="AU83" s="147">
        <f>(AU81+AU7)-AU36</f>
        <v>1035084.1140000002</v>
      </c>
      <c r="AV83" s="147">
        <f>(AV81+AV7)-AV36</f>
        <v>-207008.77</v>
      </c>
      <c r="AW83" s="148" t="e">
        <f>(AW81+AW7)-AW36</f>
        <v>#DIV/0!</v>
      </c>
      <c r="AX83" s="70"/>
      <c r="AY83" s="70"/>
      <c r="AZ83" s="147">
        <f>(AZ81+AZ7)-AZ36</f>
        <v>-156349.80500000008</v>
      </c>
      <c r="BA83" s="147">
        <f>(BA81+BA7)-BA36</f>
        <v>-267645.94424999959</v>
      </c>
      <c r="BB83" s="148">
        <f>(BB81+BB7)-BB36</f>
        <v>-497010.95542107627</v>
      </c>
      <c r="BC83" s="70"/>
      <c r="BD83" s="70"/>
      <c r="BE83" s="147">
        <f>(BE81+BE7)-BE36</f>
        <v>-528</v>
      </c>
      <c r="BF83" s="147">
        <f>(BF81+BF7)-BF36</f>
        <v>-28000</v>
      </c>
      <c r="BG83" s="148">
        <f>(BG81+BG7)-BG36</f>
        <v>-66175.11693216383</v>
      </c>
      <c r="BH83" s="70"/>
      <c r="BI83" s="70"/>
      <c r="BJ83" s="147">
        <f>(BJ81+BJ7)-BJ36</f>
        <v>9310226.459999999</v>
      </c>
      <c r="BK83" s="147">
        <f>(BK81+BK7)-BK36</f>
        <v>-3694890.66</v>
      </c>
      <c r="BL83" s="148" t="e">
        <f>(BL81+BL7)-BL36</f>
        <v>#DIV/0!</v>
      </c>
      <c r="BM83" s="70"/>
      <c r="BN83" s="70"/>
      <c r="BO83" s="1"/>
      <c r="BP83" s="842"/>
      <c r="BQ83" s="842"/>
      <c r="BR83" s="1"/>
      <c r="BS83" s="1"/>
      <c r="BT83" s="1"/>
    </row>
    <row r="84" spans="1:72" s="2" customFormat="1" ht="14.4" thickBot="1" x14ac:dyDescent="0.3">
      <c r="A84" s="11"/>
      <c r="B84" s="211" t="s">
        <v>14</v>
      </c>
      <c r="C84" s="212">
        <f>C83-C73-C82</f>
        <v>8322203.061999999</v>
      </c>
      <c r="D84" s="212">
        <f>D83-D73-D82</f>
        <v>-2835661.47</v>
      </c>
      <c r="E84" s="212">
        <f>E83-E73-E82</f>
        <v>5486541.5919999983</v>
      </c>
      <c r="F84" s="214"/>
      <c r="G84" s="213">
        <f>G83-G73-G82</f>
        <v>-217897.84000000003</v>
      </c>
      <c r="H84" s="213">
        <f>H83-H73-H82</f>
        <v>-82791.98</v>
      </c>
      <c r="I84" s="213">
        <f>I83-I73-I82</f>
        <v>-313061.0354022989</v>
      </c>
      <c r="J84" s="82"/>
      <c r="K84" s="82"/>
      <c r="L84" s="213">
        <f>L83-L73-L82</f>
        <v>-666067.1100000001</v>
      </c>
      <c r="M84" s="213">
        <f>M83-M73-M82</f>
        <v>-129527.9</v>
      </c>
      <c r="N84" s="213">
        <f>N83-N73-N82</f>
        <v>-814949.75367816084</v>
      </c>
      <c r="O84" s="82"/>
      <c r="P84" s="82"/>
      <c r="Q84" s="213">
        <f>Q83-Q73-Q82</f>
        <v>708937.71400000108</v>
      </c>
      <c r="R84" s="213">
        <f>R83-R73-R82</f>
        <v>-625488.9</v>
      </c>
      <c r="S84" s="213">
        <f>S83-S73-S82</f>
        <v>-10015.044620688946</v>
      </c>
      <c r="T84" s="82"/>
      <c r="U84" s="82"/>
      <c r="V84" s="213">
        <f>V83-V73-V82</f>
        <v>3731530.0089999996</v>
      </c>
      <c r="W84" s="213">
        <f>W83-W73-W82</f>
        <v>-469782.38</v>
      </c>
      <c r="X84" s="213">
        <f>X83-X73-X82</f>
        <v>3203717.5649575028</v>
      </c>
      <c r="Y84" s="82"/>
      <c r="Z84" s="82"/>
      <c r="AA84" s="213">
        <f>AA83-AA73-AA82</f>
        <v>3876103.2220000005</v>
      </c>
      <c r="AB84" s="213">
        <f>AB83-AB73-AB82</f>
        <v>-961188.09</v>
      </c>
      <c r="AC84" s="213">
        <f>AC83-AC73-AC82</f>
        <v>2775705.885917997</v>
      </c>
      <c r="AD84" s="82"/>
      <c r="AE84" s="82"/>
      <c r="AF84" s="213">
        <f>AF83-AF73-AF82</f>
        <v>396289.7680000001</v>
      </c>
      <c r="AG84" s="213">
        <f>AG83-AG73-AG82</f>
        <v>-621922.31000000006</v>
      </c>
      <c r="AH84" s="213" t="e">
        <f>AH83-AH73-AH82</f>
        <v>#DIV/0!</v>
      </c>
      <c r="AI84" s="82"/>
      <c r="AJ84" s="82"/>
      <c r="AK84" s="213">
        <f>AK83-AK73-AK82</f>
        <v>779475.01800000004</v>
      </c>
      <c r="AL84" s="213">
        <f>AL83-AL73-AL82</f>
        <v>-228276.05</v>
      </c>
      <c r="AM84" s="213" t="e">
        <f>AM83-AM73-AM82</f>
        <v>#DIV/0!</v>
      </c>
      <c r="AN84" s="82"/>
      <c r="AO84" s="82"/>
      <c r="AP84" s="213">
        <f>AP83-AP73-AP82</f>
        <v>-176350.63</v>
      </c>
      <c r="AQ84" s="213">
        <f>AQ83-AQ73-AQ82</f>
        <v>-73258.335749999998</v>
      </c>
      <c r="AR84" s="213">
        <f>AR83-AR73-AR82</f>
        <v>-259128.41050847454</v>
      </c>
      <c r="AS84" s="82"/>
      <c r="AT84" s="82"/>
      <c r="AU84" s="213">
        <f>AU83-AU73-AU82</f>
        <v>1035084.1140000002</v>
      </c>
      <c r="AV84" s="213">
        <f>AV83-AV73-AV82</f>
        <v>-207008.77</v>
      </c>
      <c r="AW84" s="213" t="e">
        <f>AW83-AW73-AW82</f>
        <v>#DIV/0!</v>
      </c>
      <c r="AX84" s="82"/>
      <c r="AY84" s="82"/>
      <c r="AZ84" s="213">
        <f>AZ83-AZ73-AZ82</f>
        <v>-156349.80500000008</v>
      </c>
      <c r="BA84" s="213">
        <f>BA83-BA73-BA82</f>
        <v>-267645.94424999959</v>
      </c>
      <c r="BB84" s="213">
        <f>BB83-BB73-BB82</f>
        <v>-497010.95542107627</v>
      </c>
      <c r="BC84" s="82"/>
      <c r="BD84" s="82"/>
      <c r="BE84" s="213">
        <f>BE83-BE73-BE82</f>
        <v>-528</v>
      </c>
      <c r="BF84" s="213">
        <f>BF83-BF73-BF82</f>
        <v>-28000</v>
      </c>
      <c r="BG84" s="213">
        <f>BG83-BG73-BG82</f>
        <v>-66175.11693216383</v>
      </c>
      <c r="BH84" s="82"/>
      <c r="BI84" s="82"/>
      <c r="BJ84" s="589">
        <f>BJ83-BJ73-BJ82</f>
        <v>9310226.459999999</v>
      </c>
      <c r="BK84" s="589">
        <f>BK83-BK73-BK82</f>
        <v>-3694890.66</v>
      </c>
      <c r="BL84" s="213" t="e">
        <f>BL83-BL73-BL82</f>
        <v>#DIV/0!</v>
      </c>
      <c r="BM84" s="82"/>
      <c r="BN84" s="82"/>
      <c r="BO84" s="1"/>
      <c r="BP84" s="842"/>
      <c r="BQ84" s="842"/>
      <c r="BR84" s="1"/>
      <c r="BS84" s="1"/>
      <c r="BT84" s="1"/>
    </row>
    <row r="85" spans="1:72" s="2" customFormat="1" ht="13.8" x14ac:dyDescent="0.25">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AU85+AV85*1.15</f>
        <v>0</v>
      </c>
      <c r="AX85" s="102"/>
      <c r="AY85" s="102"/>
      <c r="AZ85" s="39"/>
      <c r="BA85" s="39"/>
      <c r="BB85" s="219">
        <f>AZ85+BA85*1.15</f>
        <v>0</v>
      </c>
      <c r="BC85" s="102"/>
      <c r="BD85" s="102"/>
      <c r="BE85" s="39"/>
      <c r="BF85" s="39">
        <v>279738</v>
      </c>
      <c r="BG85" s="219">
        <f>BE85+BF85*'расчет 2022'!E18+BF85</f>
        <v>310229.5547314625</v>
      </c>
      <c r="BH85" s="102"/>
      <c r="BI85" s="102"/>
      <c r="BJ85" s="39">
        <f>G85+L85+Q85+V85</f>
        <v>0</v>
      </c>
      <c r="BK85" s="39">
        <f>H85+M85+R85+W85+BF85</f>
        <v>279738</v>
      </c>
      <c r="BL85" s="219">
        <f>BG85</f>
        <v>310229.5547314625</v>
      </c>
      <c r="BM85" s="102"/>
      <c r="BN85" s="102"/>
      <c r="BO85" s="1"/>
      <c r="BP85" s="842"/>
      <c r="BQ85" s="842"/>
      <c r="BR85" s="1"/>
      <c r="BS85" s="1"/>
      <c r="BT85" s="1"/>
    </row>
    <row r="86" spans="1:72" s="2" customFormat="1" ht="27.6" x14ac:dyDescent="0.25">
      <c r="A86" s="11"/>
      <c r="B86" s="37" t="s">
        <v>50</v>
      </c>
      <c r="C86" s="149">
        <f>C84-C85</f>
        <v>8322203.061999999</v>
      </c>
      <c r="D86" s="149">
        <f>D84-D85</f>
        <v>-2835661.47</v>
      </c>
      <c r="E86" s="150">
        <f>E84-E85</f>
        <v>5486541.5919999983</v>
      </c>
      <c r="F86" s="175"/>
      <c r="G86" s="150">
        <f>G84-G85</f>
        <v>-217897.84000000003</v>
      </c>
      <c r="H86" s="150">
        <f>H84-H85</f>
        <v>-82791.98</v>
      </c>
      <c r="I86" s="150">
        <f>I84-I85</f>
        <v>-313061.0354022989</v>
      </c>
      <c r="J86" s="73"/>
      <c r="K86" s="73"/>
      <c r="L86" s="150">
        <f>L84-L85</f>
        <v>-666067.1100000001</v>
      </c>
      <c r="M86" s="150">
        <f>M84-M85</f>
        <v>-129527.9</v>
      </c>
      <c r="N86" s="150">
        <f>N84-N85</f>
        <v>-814949.75367816084</v>
      </c>
      <c r="O86" s="73"/>
      <c r="P86" s="73"/>
      <c r="Q86" s="150">
        <f>Q84-Q85</f>
        <v>708937.71400000108</v>
      </c>
      <c r="R86" s="150">
        <f>R84-R85</f>
        <v>-625488.9</v>
      </c>
      <c r="S86" s="150">
        <f>S84-S85</f>
        <v>-10015.044620688946</v>
      </c>
      <c r="T86" s="73"/>
      <c r="U86" s="73"/>
      <c r="V86" s="150">
        <f>V84-V85</f>
        <v>3731530.0089999996</v>
      </c>
      <c r="W86" s="150">
        <f>W84-W85</f>
        <v>-469782.38</v>
      </c>
      <c r="X86" s="150">
        <f>X84-X85</f>
        <v>3203717.5649575028</v>
      </c>
      <c r="Y86" s="73"/>
      <c r="Z86" s="73"/>
      <c r="AA86" s="150">
        <f>AA84-AA85</f>
        <v>3876103.2220000005</v>
      </c>
      <c r="AB86" s="150">
        <f>AB84-AB85</f>
        <v>-961188.09</v>
      </c>
      <c r="AC86" s="150">
        <f>AC84-AC85</f>
        <v>2775705.885917997</v>
      </c>
      <c r="AD86" s="73"/>
      <c r="AE86" s="73"/>
      <c r="AF86" s="150">
        <f>AF84-AF85</f>
        <v>396289.7680000001</v>
      </c>
      <c r="AG86" s="150">
        <f>AG84-AG85</f>
        <v>-621922.31000000006</v>
      </c>
      <c r="AH86" s="150" t="e">
        <f>AH84-AH85</f>
        <v>#DIV/0!</v>
      </c>
      <c r="AI86" s="73"/>
      <c r="AJ86" s="73"/>
      <c r="AK86" s="150">
        <f>AK84-AK85</f>
        <v>779475.01800000004</v>
      </c>
      <c r="AL86" s="150">
        <f>AL84-AL85</f>
        <v>-228276.05</v>
      </c>
      <c r="AM86" s="150" t="e">
        <f>AM84-AM85</f>
        <v>#DIV/0!</v>
      </c>
      <c r="AN86" s="73"/>
      <c r="AO86" s="73"/>
      <c r="AP86" s="150">
        <f>AP84-AP85</f>
        <v>-176350.63</v>
      </c>
      <c r="AQ86" s="150">
        <f>AQ84-AQ85</f>
        <v>-73258.335749999998</v>
      </c>
      <c r="AR86" s="150">
        <f>AR84-AR85</f>
        <v>-259128.41050847454</v>
      </c>
      <c r="AS86" s="73"/>
      <c r="AT86" s="73"/>
      <c r="AU86" s="150">
        <f>AU84-AU85</f>
        <v>1035084.1140000002</v>
      </c>
      <c r="AV86" s="150">
        <f>AV84-AV85</f>
        <v>-207008.77</v>
      </c>
      <c r="AW86" s="150" t="e">
        <f>AW84-AW85</f>
        <v>#DIV/0!</v>
      </c>
      <c r="AX86" s="73"/>
      <c r="AY86" s="73"/>
      <c r="AZ86" s="150">
        <f>AZ84-AZ85</f>
        <v>-156349.80500000008</v>
      </c>
      <c r="BA86" s="150">
        <f>BA84-BA85</f>
        <v>-267645.94424999959</v>
      </c>
      <c r="BB86" s="150">
        <f>BB84-BB85</f>
        <v>-497010.95542107627</v>
      </c>
      <c r="BC86" s="73"/>
      <c r="BD86" s="73"/>
      <c r="BE86" s="150">
        <f>BE84-BE85</f>
        <v>-528</v>
      </c>
      <c r="BF86" s="150">
        <f>BF84-BF85</f>
        <v>-307738</v>
      </c>
      <c r="BG86" s="150">
        <f>BG84-BG85</f>
        <v>-376404.67166362633</v>
      </c>
      <c r="BH86" s="73"/>
      <c r="BI86" s="73"/>
      <c r="BJ86" s="150">
        <f>BJ84-BJ85</f>
        <v>9310226.459999999</v>
      </c>
      <c r="BK86" s="150">
        <f>BK84-BK85</f>
        <v>-3974628.66</v>
      </c>
      <c r="BL86" s="150" t="e">
        <f>BL84-BL85</f>
        <v>#DIV/0!</v>
      </c>
      <c r="BM86" s="73"/>
      <c r="BN86" s="73"/>
      <c r="BO86" s="1"/>
      <c r="BP86" s="842"/>
      <c r="BQ86" s="842"/>
      <c r="BR86" s="1"/>
      <c r="BS86" s="1"/>
      <c r="BT86" s="1"/>
    </row>
    <row r="87" spans="1:72" s="2" customFormat="1" ht="14.4" thickBot="1" x14ac:dyDescent="0.3">
      <c r="A87" s="295"/>
      <c r="B87" s="29" t="s">
        <v>51</v>
      </c>
      <c r="C87" s="155">
        <f>C86/C5</f>
        <v>0.32142351152913595</v>
      </c>
      <c r="D87" s="151" t="e">
        <f>D86/D5</f>
        <v>#DIV/0!</v>
      </c>
      <c r="E87" s="156">
        <f>E86/E5</f>
        <v>0.21190344089338872</v>
      </c>
      <c r="F87" s="176"/>
      <c r="G87" s="155" t="e">
        <f>G86/G5</f>
        <v>#DIV/0!</v>
      </c>
      <c r="H87" s="151" t="e">
        <f>H86/H5</f>
        <v>#DIV/0!</v>
      </c>
      <c r="I87" s="156" t="e">
        <f>I86/I5</f>
        <v>#DIV/0!</v>
      </c>
      <c r="J87" s="75"/>
      <c r="K87" s="75"/>
      <c r="L87" s="155">
        <f>L86/L5</f>
        <v>-1.635994476102961</v>
      </c>
      <c r="M87" s="151" t="e">
        <f>M86/M5</f>
        <v>#DIV/0!</v>
      </c>
      <c r="N87" s="156">
        <f>N86/N5</f>
        <v>-2.0016801239727022</v>
      </c>
      <c r="O87" s="75"/>
      <c r="P87" s="75"/>
      <c r="Q87" s="155">
        <f>Q86/Q5</f>
        <v>0.10084403718511482</v>
      </c>
      <c r="R87" s="151" t="e">
        <f>R86/R5</f>
        <v>#DIV/0!</v>
      </c>
      <c r="S87" s="156">
        <f>S86/S5</f>
        <v>-1.4246068620625517E-3</v>
      </c>
      <c r="T87" s="75"/>
      <c r="U87" s="75"/>
      <c r="V87" s="155">
        <f>V86/V5</f>
        <v>0.65878668481265268</v>
      </c>
      <c r="W87" s="151" t="e">
        <f>W86/W5</f>
        <v>#DIV/0!</v>
      </c>
      <c r="X87" s="156">
        <f>X86/X5</f>
        <v>0.56560351078618853</v>
      </c>
      <c r="Y87" s="75"/>
      <c r="Z87" s="75"/>
      <c r="AA87" s="155">
        <f>AA86/AA5</f>
        <v>0.68872796107893697</v>
      </c>
      <c r="AB87" s="151" t="e">
        <f>AB86/AB5</f>
        <v>#DIV/0!</v>
      </c>
      <c r="AC87" s="156">
        <f>AC86/AC5</f>
        <v>0.49320313362983659</v>
      </c>
      <c r="AD87" s="75"/>
      <c r="AE87" s="75"/>
      <c r="AF87" s="155">
        <f>AF86/AF5</f>
        <v>9.0512983714713294E-2</v>
      </c>
      <c r="AG87" s="151" t="e">
        <f>AG86/AG5</f>
        <v>#DIV/0!</v>
      </c>
      <c r="AH87" s="156" t="e">
        <f>AH86/AH5</f>
        <v>#DIV/0!</v>
      </c>
      <c r="AI87" s="75"/>
      <c r="AJ87" s="75"/>
      <c r="AK87" s="155">
        <f>AK86/AK5</f>
        <v>0.52496757657272974</v>
      </c>
      <c r="AL87" s="151" t="e">
        <f>AL86/AL5</f>
        <v>#DIV/0!</v>
      </c>
      <c r="AM87" s="156" t="e">
        <f>AM86/AM5</f>
        <v>#DIV/0!</v>
      </c>
      <c r="AN87" s="75"/>
      <c r="AO87" s="75"/>
      <c r="AP87" s="155" t="e">
        <f>AP86/AP5</f>
        <v>#DIV/0!</v>
      </c>
      <c r="AQ87" s="151" t="e">
        <f>AQ86/AQ5</f>
        <v>#DIV/0!</v>
      </c>
      <c r="AR87" s="156" t="e">
        <f>AR86/AR5</f>
        <v>#DIV/0!</v>
      </c>
      <c r="AS87" s="75"/>
      <c r="AT87" s="75"/>
      <c r="AU87" s="155">
        <f>AU86/AU5</f>
        <v>0.59302260584044741</v>
      </c>
      <c r="AV87" s="151" t="e">
        <f>AV86/AV5</f>
        <v>#DIV/0!</v>
      </c>
      <c r="AW87" s="156" t="e">
        <f>AW86/AW5</f>
        <v>#DIV/0!</v>
      </c>
      <c r="AX87" s="75"/>
      <c r="AY87" s="75"/>
      <c r="AZ87" s="155" t="e">
        <f>AZ86/AZ5</f>
        <v>#DIV/0!</v>
      </c>
      <c r="BA87" s="151" t="e">
        <f>BA86/BA5</f>
        <v>#DIV/0!</v>
      </c>
      <c r="BB87" s="156" t="e">
        <f>BB86/BB5</f>
        <v>#DIV/0!</v>
      </c>
      <c r="BC87" s="75"/>
      <c r="BD87" s="75"/>
      <c r="BE87" s="155" t="e">
        <f>BE86/BE5</f>
        <v>#DIV/0!</v>
      </c>
      <c r="BF87" s="151" t="e">
        <f>BF86/BF5</f>
        <v>#DIV/0!</v>
      </c>
      <c r="BG87" s="156" t="e">
        <f>BG86/BG5</f>
        <v>#DIV/0!</v>
      </c>
      <c r="BH87" s="75"/>
      <c r="BI87" s="75"/>
      <c r="BJ87" s="155">
        <f>BJ86/BJ5</f>
        <v>0.35349234712828415</v>
      </c>
      <c r="BK87" s="151" t="e">
        <f>BK86/BK5</f>
        <v>#DIV/0!</v>
      </c>
      <c r="BL87" s="156" t="e">
        <f>BL86/BL5</f>
        <v>#DIV/0!</v>
      </c>
      <c r="BM87" s="75"/>
      <c r="BN87" s="75"/>
      <c r="BO87" s="1"/>
      <c r="BP87" s="842"/>
      <c r="BQ87" s="842"/>
      <c r="BR87" s="1"/>
      <c r="BS87" s="1"/>
      <c r="BT87" s="1"/>
    </row>
    <row r="88" spans="1:72" ht="13.8" x14ac:dyDescent="0.25">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P88" s="842"/>
      <c r="BQ88" s="842"/>
    </row>
    <row r="89" spans="1:72" x14ac:dyDescent="0.25">
      <c r="B89" s="221" t="s">
        <v>56</v>
      </c>
      <c r="C89" s="153"/>
      <c r="D89" s="153"/>
      <c r="E89" s="154">
        <f>E8+E36+E41+E50+E54+E73+E79+E82+E85</f>
        <v>19756064.368000001</v>
      </c>
      <c r="F89" s="189"/>
      <c r="I89" s="154">
        <f>I8+I36+I41+I50+I54+I73+I79+I82+I85</f>
        <v>313061.0354022989</v>
      </c>
      <c r="N89" s="154">
        <f>N8+N36+N41+N50+N54+N73+N79+N82+N85</f>
        <v>1222082.6136781608</v>
      </c>
      <c r="S89" s="154">
        <f>S8+S36+S41+S50+S54+S73+S79+S82+S85</f>
        <v>7040056.0246206885</v>
      </c>
      <c r="X89" s="154">
        <f>X8+X36+X41+X50+X54+X73+X79+X82+X85</f>
        <v>2460528.6850424972</v>
      </c>
      <c r="AC89" s="154">
        <f>AC8+AC36+AC41+AC50+AC54+AC73+AC79+AC82+AC85</f>
        <v>2852210.2740820032</v>
      </c>
      <c r="AH89" s="154" t="e">
        <f>AH8+AH36+AH41+AH50+AH54+AH73+AH79+AH82+AH85</f>
        <v>#DIV/0!</v>
      </c>
      <c r="AM89" s="154" t="e">
        <f>AM8+AM36+AM41+AM50+AM54+AM73+AM79+AM82+AM85</f>
        <v>#DIV/0!</v>
      </c>
      <c r="AR89" s="154">
        <f>AR8+AR36+AR41+AR50+AR54+AR73+AR79+AR82+AR85</f>
        <v>259128.41050847454</v>
      </c>
      <c r="AW89" s="154" t="e">
        <f>AW8+AW36+AW41+AW50+AW54+AW73+AW79+AW82+AW85</f>
        <v>#DIV/0!</v>
      </c>
      <c r="BB89" s="154">
        <f>BB8+BB36+BB41+BB50+BB54+BB73+BB79+BB82+BB85</f>
        <v>497010.95542107627</v>
      </c>
      <c r="BG89" s="154">
        <f>BG8+BG36+BG41+BG50+BG54+BG73+BG79+BG82+BG85</f>
        <v>376404.67166362633</v>
      </c>
      <c r="BL89" s="154" t="e">
        <f>BL8+BL36+BL41+BL50+BL54+BL73+BL79+BL82+BL85</f>
        <v>#DIV/0!</v>
      </c>
      <c r="BP89" s="842"/>
      <c r="BQ89" s="842"/>
    </row>
    <row r="90" spans="1:72" x14ac:dyDescent="0.25">
      <c r="C90" s="153"/>
      <c r="D90" s="153"/>
      <c r="E90" s="153"/>
      <c r="BL90" s="424" t="e">
        <f>(I89+N89+S89+X89+AC89+AH89+AM89+AR89+AW89+BB89+BG89)=BL89</f>
        <v>#DIV/0!</v>
      </c>
      <c r="BP90" s="842"/>
      <c r="BQ90" s="842"/>
    </row>
    <row r="91" spans="1:72" s="2" customFormat="1" x14ac:dyDescent="0.25">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c r="BP91" s="842"/>
      <c r="BQ91" s="842"/>
    </row>
    <row r="92" spans="1:72" x14ac:dyDescent="0.25">
      <c r="C92" s="38"/>
      <c r="D92" s="38"/>
    </row>
    <row r="93" spans="1:72" s="2" customFormat="1" x14ac:dyDescent="0.25">
      <c r="A93" s="8"/>
      <c r="B93" s="629"/>
      <c r="C93" s="38"/>
      <c r="D93" s="38"/>
      <c r="E93" s="38">
        <f>5486540-E86</f>
        <v>-1.5919999983161688</v>
      </c>
      <c r="F93" s="38"/>
      <c r="G93" s="38"/>
      <c r="H93" s="38"/>
      <c r="I93" s="38"/>
      <c r="J93" s="38"/>
      <c r="K93" s="38"/>
      <c r="L93" s="38"/>
      <c r="M93" s="38"/>
      <c r="N93" s="38"/>
      <c r="O93" s="38"/>
      <c r="P93" s="38"/>
      <c r="Q93" s="38"/>
      <c r="R93" s="38"/>
      <c r="S93" s="38"/>
      <c r="T93" s="38"/>
      <c r="U93" s="38"/>
      <c r="V93" s="38"/>
      <c r="W93" s="38"/>
      <c r="X93" s="38"/>
      <c r="Y93" s="38"/>
      <c r="Z93" s="38"/>
      <c r="AA93" s="38"/>
      <c r="AB93" s="38"/>
      <c r="AC93" s="687">
        <f>AC5-AC89</f>
        <v>2775705.885917997</v>
      </c>
      <c r="AD93" s="38"/>
      <c r="AE93" s="38"/>
      <c r="AF93" s="38"/>
      <c r="AG93" s="38"/>
      <c r="AH93" s="687" t="e">
        <f>AH5-AH89</f>
        <v>#DIV/0!</v>
      </c>
      <c r="AI93" s="38"/>
      <c r="AJ93" s="38"/>
      <c r="AK93" s="38"/>
      <c r="AL93" s="38"/>
      <c r="AM93" s="687" t="e">
        <f>AM5-AM89</f>
        <v>#DIV/0!</v>
      </c>
      <c r="AN93" s="38"/>
      <c r="AO93" s="38"/>
      <c r="AP93" s="38"/>
      <c r="AQ93" s="38"/>
      <c r="AR93" s="687">
        <f>AR5-AR89</f>
        <v>-259128.41050847454</v>
      </c>
      <c r="AS93" s="38"/>
      <c r="AT93" s="38"/>
      <c r="AU93" s="38"/>
      <c r="AV93" s="38"/>
      <c r="AW93" s="687" t="e">
        <f>AW5-AW89</f>
        <v>#DIV/0!</v>
      </c>
      <c r="AX93" s="38"/>
      <c r="AY93" s="38"/>
      <c r="AZ93" s="38"/>
      <c r="BA93" s="38"/>
      <c r="BB93" s="687">
        <f>BB5-BB89</f>
        <v>-497010.95542107627</v>
      </c>
      <c r="BC93" s="38"/>
      <c r="BD93" s="38"/>
      <c r="BE93" s="38"/>
      <c r="BF93" s="38"/>
      <c r="BG93" s="38"/>
      <c r="BH93" s="38"/>
      <c r="BI93" s="38"/>
      <c r="BJ93" s="38"/>
      <c r="BK93" s="38"/>
      <c r="BL93" s="687" t="e">
        <f>BL5-BL89</f>
        <v>#DIV/0!</v>
      </c>
      <c r="BM93" s="38"/>
      <c r="BN93" s="38"/>
      <c r="BP93" s="842"/>
      <c r="BQ93" s="842"/>
    </row>
    <row r="94" spans="1:72" s="2" customFormat="1" x14ac:dyDescent="0.25">
      <c r="A94" s="8"/>
      <c r="B94" s="629"/>
      <c r="C94" s="38"/>
      <c r="D94" s="38"/>
      <c r="E94" s="38"/>
      <c r="F94" s="38"/>
      <c r="G94" s="38"/>
      <c r="H94" s="38"/>
      <c r="I94" s="38"/>
      <c r="J94" s="38"/>
      <c r="K94" s="38"/>
      <c r="L94" s="38"/>
      <c r="M94" s="38"/>
      <c r="N94" s="38"/>
      <c r="O94" s="38"/>
      <c r="P94" s="38"/>
      <c r="Q94" s="38"/>
      <c r="R94" s="38"/>
      <c r="S94" s="38"/>
      <c r="T94" s="38"/>
      <c r="U94" s="38"/>
      <c r="V94" s="626"/>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626"/>
      <c r="BK94" s="38"/>
      <c r="BL94" s="38"/>
      <c r="BM94" s="38"/>
      <c r="BN94" s="38"/>
      <c r="BP94" s="842"/>
      <c r="BQ94" s="842"/>
    </row>
    <row r="95" spans="1:72" s="2" customFormat="1" x14ac:dyDescent="0.25">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c r="BP95" s="842"/>
      <c r="BQ95" s="842"/>
    </row>
    <row r="96" spans="1:72" s="2" customFormat="1" x14ac:dyDescent="0.25">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v>21221341</v>
      </c>
      <c r="BM96" s="38"/>
      <c r="BN96" s="38"/>
      <c r="BP96" s="842"/>
      <c r="BQ96" s="842"/>
    </row>
    <row r="97" spans="1:69" x14ac:dyDescent="0.25">
      <c r="C97" s="38"/>
      <c r="D97" s="38"/>
      <c r="BL97" s="38" t="e">
        <f>BL89-BL96</f>
        <v>#DIV/0!</v>
      </c>
    </row>
    <row r="98" spans="1:69"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927"/>
      <c r="BL98" s="38"/>
      <c r="BM98" s="38"/>
      <c r="BN98" s="38"/>
      <c r="BP98" s="842"/>
      <c r="BQ98" s="842"/>
    </row>
    <row r="99" spans="1:69" x14ac:dyDescent="0.25">
      <c r="C99" s="38"/>
      <c r="D99" s="38"/>
      <c r="BK99" s="927" t="s">
        <v>926</v>
      </c>
      <c r="BL99" s="38">
        <f>3%*BJ6</f>
        <v>790135.33409999998</v>
      </c>
    </row>
    <row r="100" spans="1:69" ht="39.6" x14ac:dyDescent="0.25">
      <c r="BK100" s="927" t="s">
        <v>21</v>
      </c>
      <c r="BL100" s="38">
        <v>247614.26</v>
      </c>
    </row>
    <row r="101" spans="1:69" ht="26.4" x14ac:dyDescent="0.25">
      <c r="BK101" s="927" t="s">
        <v>935</v>
      </c>
      <c r="BL101" s="38">
        <v>1173885</v>
      </c>
    </row>
    <row r="102" spans="1:69" x14ac:dyDescent="0.25">
      <c r="BK102" s="927"/>
    </row>
    <row r="103" spans="1:69" x14ac:dyDescent="0.25">
      <c r="BK103" s="927"/>
    </row>
    <row r="104" spans="1:69" x14ac:dyDescent="0.25">
      <c r="BK104" s="927"/>
    </row>
    <row r="105" spans="1:69" x14ac:dyDescent="0.25">
      <c r="BK105" s="927"/>
    </row>
    <row r="106" spans="1:69" x14ac:dyDescent="0.25">
      <c r="BK106" s="927"/>
    </row>
    <row r="107" spans="1:69" x14ac:dyDescent="0.25">
      <c r="BK107" s="927"/>
    </row>
    <row r="108" spans="1:69" x14ac:dyDescent="0.25">
      <c r="BK108" s="927"/>
    </row>
  </sheetData>
  <mergeCells count="15">
    <mergeCell ref="A2:F2"/>
    <mergeCell ref="G2:J3"/>
    <mergeCell ref="BJ2:BM3"/>
    <mergeCell ref="A3:F3"/>
    <mergeCell ref="A42:A48"/>
    <mergeCell ref="L2:O3"/>
    <mergeCell ref="Q2:T3"/>
    <mergeCell ref="V2:Y3"/>
    <mergeCell ref="AA2:AD3"/>
    <mergeCell ref="AF2:AI3"/>
    <mergeCell ref="AK2:AN3"/>
    <mergeCell ref="AP2:AS3"/>
    <mergeCell ref="AU2:AY3"/>
    <mergeCell ref="AZ2:BD3"/>
    <mergeCell ref="BE2:BI3"/>
  </mergeCells>
  <pageMargins left="0.7" right="0.7" top="0.75" bottom="0.75" header="0.3" footer="0.3"/>
  <pageSetup paperSize="9" orientation="portrait" verticalDpi="300" r:id="rId1"/>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92D050"/>
    <pageSetUpPr fitToPage="1"/>
  </sheetPr>
  <dimension ref="A1:BN99"/>
  <sheetViews>
    <sheetView showZeros="0" zoomScale="70" zoomScaleNormal="70" workbookViewId="0">
      <pane xSplit="6" ySplit="5" topLeftCell="Q65" activePane="bottomRight" state="frozen"/>
      <selection activeCell="BR18" sqref="BR18"/>
      <selection pane="topRight" activeCell="BR18" sqref="BR18"/>
      <selection pane="bottomLeft" activeCell="BR18" sqref="BR18"/>
      <selection pane="bottomRight" activeCell="U31" sqref="U31"/>
    </sheetView>
  </sheetViews>
  <sheetFormatPr defaultColWidth="7.44140625" defaultRowHeight="13.2" outlineLevelRow="3" outlineLevelCol="1" x14ac:dyDescent="0.25"/>
  <cols>
    <col min="1" max="1" width="5.5546875" style="8" customWidth="1"/>
    <col min="2" max="2" width="55" style="8" customWidth="1"/>
    <col min="3" max="3" width="16.44140625" style="77" hidden="1" customWidth="1"/>
    <col min="4" max="4" width="16.6640625" style="77" hidden="1" customWidth="1"/>
    <col min="5" max="5" width="16.33203125" style="38" hidden="1" customWidth="1"/>
    <col min="6" max="6" width="9.5546875" style="38" hidden="1" customWidth="1"/>
    <col min="7" max="7" width="14.5546875" style="38" hidden="1" customWidth="1" outlineLevel="1"/>
    <col min="8" max="8" width="15.33203125" style="38" hidden="1" customWidth="1" outlineLevel="1"/>
    <col min="9" max="9" width="14.5546875" style="38" hidden="1" customWidth="1" outlineLevel="1"/>
    <col min="10" max="11" width="9.5546875" style="38" hidden="1" customWidth="1" outlineLevel="1"/>
    <col min="12" max="12" width="15.33203125" style="38" hidden="1" customWidth="1" outlineLevel="1"/>
    <col min="13" max="13" width="14.109375" style="38" hidden="1" customWidth="1" outlineLevel="1"/>
    <col min="14" max="14" width="18.109375" style="38" hidden="1" customWidth="1" outlineLevel="1"/>
    <col min="15" max="15" width="11.6640625" style="38" hidden="1" customWidth="1" outlineLevel="1"/>
    <col min="16" max="16" width="49.88671875" style="38" hidden="1" customWidth="1" outlineLevel="1"/>
    <col min="17" max="17" width="15.33203125" style="38" customWidth="1" collapsed="1"/>
    <col min="18" max="18" width="14.109375" style="38" customWidth="1"/>
    <col min="19" max="19" width="18.109375" style="38" customWidth="1"/>
    <col min="20" max="20" width="11.6640625" style="38" customWidth="1"/>
    <col min="21" max="21" width="49.88671875" style="38" customWidth="1"/>
    <col min="22" max="22" width="20.6640625" style="38" hidden="1" customWidth="1" outlineLevel="1"/>
    <col min="23" max="23" width="16.6640625" style="38" hidden="1" customWidth="1" outlineLevel="1"/>
    <col min="24" max="24" width="17.6640625" style="38" hidden="1" customWidth="1" outlineLevel="1"/>
    <col min="25" max="25" width="12.5546875" style="38" hidden="1" customWidth="1" outlineLevel="1"/>
    <col min="26" max="26" width="31.44140625" style="38" hidden="1" customWidth="1" outlineLevel="1"/>
    <col min="27" max="27" width="24.33203125" style="38" hidden="1" customWidth="1" outlineLevel="1"/>
    <col min="28" max="28" width="18.44140625" style="38" hidden="1" customWidth="1" outlineLevel="1"/>
    <col min="29" max="29" width="16.109375" style="38" hidden="1" customWidth="1" outlineLevel="1"/>
    <col min="30" max="30" width="16.5546875" style="38" hidden="1" customWidth="1" outlineLevel="1"/>
    <col min="31" max="31" width="38.6640625" style="38" hidden="1" customWidth="1" outlineLevel="1"/>
    <col min="32" max="33" width="16.44140625" style="38" hidden="1" customWidth="1" outlineLevel="1"/>
    <col min="34" max="34" width="16.109375" style="38" hidden="1" customWidth="1" outlineLevel="1"/>
    <col min="35" max="35" width="15.33203125" style="38" hidden="1" customWidth="1" outlineLevel="1"/>
    <col min="36" max="36" width="38.6640625" style="38" hidden="1" customWidth="1" outlineLevel="1"/>
    <col min="37" max="37" width="19.44140625" style="38" hidden="1" customWidth="1" outlineLevel="1"/>
    <col min="38" max="38" width="20.88671875" style="38" hidden="1" customWidth="1" outlineLevel="1"/>
    <col min="39" max="39" width="25.6640625" style="38" hidden="1" customWidth="1" outlineLevel="1"/>
    <col min="40" max="40" width="17.33203125" style="38" hidden="1" customWidth="1" outlineLevel="1"/>
    <col min="41" max="41" width="38.6640625" style="38" hidden="1" customWidth="1" outlineLevel="1"/>
    <col min="42" max="42" width="22.88671875" style="38" hidden="1" customWidth="1" outlineLevel="1"/>
    <col min="43" max="43" width="17" style="38" hidden="1" customWidth="1" outlineLevel="1"/>
    <col min="44" max="44" width="15.44140625" style="38" hidden="1" customWidth="1" outlineLevel="1"/>
    <col min="45" max="45" width="13.6640625" style="38" hidden="1" customWidth="1" outlineLevel="1"/>
    <col min="46" max="46" width="38.6640625" style="38" hidden="1" customWidth="1" outlineLevel="1"/>
    <col min="47" max="47" width="27.6640625" style="38" hidden="1" customWidth="1" outlineLevel="1"/>
    <col min="48" max="48" width="25.6640625" style="38" hidden="1" customWidth="1" outlineLevel="1"/>
    <col min="49" max="49" width="22.33203125" style="38" hidden="1" customWidth="1" outlineLevel="1"/>
    <col min="50" max="50" width="19.109375" style="38" hidden="1" customWidth="1" outlineLevel="1"/>
    <col min="51" max="56" width="38.6640625" style="38" hidden="1" customWidth="1" outlineLevel="1"/>
    <col min="57" max="57" width="18" style="38" customWidth="1" collapsed="1"/>
    <col min="58" max="58" width="17.88671875" style="38" customWidth="1"/>
    <col min="59" max="59" width="15.33203125" style="38" customWidth="1"/>
    <col min="60" max="60" width="17.109375" style="38" customWidth="1"/>
    <col min="61" max="61" width="37.44140625" style="38" customWidth="1"/>
    <col min="62" max="62" width="14.5546875" style="1" bestFit="1" customWidth="1"/>
    <col min="63" max="63" width="20.6640625" style="1" customWidth="1"/>
    <col min="64" max="64" width="7.44140625" style="1"/>
    <col min="65" max="65" width="13.33203125" style="1" customWidth="1"/>
    <col min="66" max="66" width="14.88671875" style="1" customWidth="1"/>
    <col min="67" max="16384" width="7.44140625" style="1"/>
  </cols>
  <sheetData>
    <row r="1" spans="1:66" ht="13.8" thickBot="1" x14ac:dyDescent="0.3">
      <c r="C1" s="38"/>
      <c r="D1" s="38"/>
    </row>
    <row r="2" spans="1:66" ht="22.2" customHeight="1" x14ac:dyDescent="0.25">
      <c r="A2" s="4016" t="s">
        <v>133</v>
      </c>
      <c r="B2" s="4017"/>
      <c r="C2" s="4017"/>
      <c r="D2" s="4017"/>
      <c r="E2" s="4017"/>
      <c r="F2" s="4018"/>
      <c r="G2" s="4412" t="s">
        <v>969</v>
      </c>
      <c r="H2" s="4413"/>
      <c r="I2" s="4413"/>
      <c r="J2" s="4413"/>
      <c r="K2" s="4414"/>
      <c r="L2" s="4197" t="s">
        <v>964</v>
      </c>
      <c r="M2" s="4198"/>
      <c r="N2" s="4198"/>
      <c r="O2" s="4198"/>
      <c r="P2" s="4199"/>
      <c r="Q2" s="4140" t="s">
        <v>1015</v>
      </c>
      <c r="R2" s="4141"/>
      <c r="S2" s="4141"/>
      <c r="T2" s="4141"/>
      <c r="U2" s="4142"/>
      <c r="V2" s="4185"/>
      <c r="W2" s="4186"/>
      <c r="X2" s="4186"/>
      <c r="Y2" s="4186"/>
      <c r="Z2" s="757"/>
      <c r="AA2" s="4172" t="s">
        <v>883</v>
      </c>
      <c r="AB2" s="4173"/>
      <c r="AC2" s="4173"/>
      <c r="AD2" s="4173"/>
      <c r="AE2" s="4174"/>
      <c r="AF2" s="4071"/>
      <c r="AG2" s="4072"/>
      <c r="AH2" s="4072"/>
      <c r="AI2" s="4072"/>
      <c r="AJ2" s="4073"/>
      <c r="AK2" s="4077" t="s">
        <v>936</v>
      </c>
      <c r="AL2" s="4078"/>
      <c r="AM2" s="4078"/>
      <c r="AN2" s="4078"/>
      <c r="AO2" s="4079"/>
      <c r="AP2" s="4047"/>
      <c r="AQ2" s="4048"/>
      <c r="AR2" s="4048"/>
      <c r="AS2" s="4048"/>
      <c r="AT2" s="4049"/>
      <c r="AU2" s="4043"/>
      <c r="AV2" s="4044"/>
      <c r="AW2" s="4044"/>
      <c r="AX2" s="4044"/>
      <c r="AY2" s="4146"/>
      <c r="AZ2" s="4047"/>
      <c r="BA2" s="4048"/>
      <c r="BB2" s="4048"/>
      <c r="BC2" s="4048"/>
      <c r="BD2" s="4049"/>
      <c r="BE2" s="4083" t="s">
        <v>469</v>
      </c>
      <c r="BF2" s="4084"/>
      <c r="BG2" s="4084"/>
      <c r="BH2" s="4084"/>
      <c r="BI2" s="4085"/>
    </row>
    <row r="3" spans="1:66" ht="14.4" customHeight="1" thickBot="1" x14ac:dyDescent="0.3">
      <c r="A3" s="4035" t="s">
        <v>54</v>
      </c>
      <c r="B3" s="4036"/>
      <c r="C3" s="4036"/>
      <c r="D3" s="4036"/>
      <c r="E3" s="4036"/>
      <c r="F3" s="4037"/>
      <c r="G3" s="4035"/>
      <c r="H3" s="4036"/>
      <c r="I3" s="4036"/>
      <c r="J3" s="4036"/>
      <c r="K3" s="4037"/>
      <c r="L3" s="4200"/>
      <c r="M3" s="4201"/>
      <c r="N3" s="4201"/>
      <c r="O3" s="4201"/>
      <c r="P3" s="4202"/>
      <c r="Q3" s="4143"/>
      <c r="R3" s="4144"/>
      <c r="S3" s="4144"/>
      <c r="T3" s="4144"/>
      <c r="U3" s="4145"/>
      <c r="V3" s="4188"/>
      <c r="W3" s="4189"/>
      <c r="X3" s="4189"/>
      <c r="Y3" s="4189"/>
      <c r="Z3" s="758"/>
      <c r="AA3" s="4175"/>
      <c r="AB3" s="4176"/>
      <c r="AC3" s="4176"/>
      <c r="AD3" s="4176"/>
      <c r="AE3" s="4177"/>
      <c r="AF3" s="4074"/>
      <c r="AG3" s="4075"/>
      <c r="AH3" s="4075"/>
      <c r="AI3" s="4075"/>
      <c r="AJ3" s="4076"/>
      <c r="AK3" s="4080"/>
      <c r="AL3" s="4081"/>
      <c r="AM3" s="4081"/>
      <c r="AN3" s="4081"/>
      <c r="AO3" s="4082"/>
      <c r="AP3" s="4050"/>
      <c r="AQ3" s="4051"/>
      <c r="AR3" s="4051"/>
      <c r="AS3" s="4051"/>
      <c r="AT3" s="4052"/>
      <c r="AU3" s="4045"/>
      <c r="AV3" s="4046"/>
      <c r="AW3" s="4046"/>
      <c r="AX3" s="4046"/>
      <c r="AY3" s="4147"/>
      <c r="AZ3" s="4050"/>
      <c r="BA3" s="4051"/>
      <c r="BB3" s="4051"/>
      <c r="BC3" s="4051"/>
      <c r="BD3" s="4052"/>
      <c r="BE3" s="4086"/>
      <c r="BF3" s="4087"/>
      <c r="BG3" s="4087"/>
      <c r="BH3" s="4087"/>
      <c r="BI3" s="4088"/>
    </row>
    <row r="4" spans="1:66" ht="41.4" thickBot="1" x14ac:dyDescent="0.3">
      <c r="A4" s="92"/>
      <c r="B4" s="93" t="s">
        <v>11</v>
      </c>
      <c r="C4" s="239" t="s">
        <v>55</v>
      </c>
      <c r="D4" s="239" t="s">
        <v>18</v>
      </c>
      <c r="E4" s="240" t="s">
        <v>39</v>
      </c>
      <c r="F4" s="209" t="s">
        <v>40</v>
      </c>
      <c r="G4" s="954" t="s">
        <v>968</v>
      </c>
      <c r="H4" s="954" t="s">
        <v>18</v>
      </c>
      <c r="I4" s="954" t="s">
        <v>39</v>
      </c>
      <c r="J4" s="954" t="s">
        <v>40</v>
      </c>
      <c r="K4" s="954"/>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row>
    <row r="5" spans="1:66" s="88" customFormat="1" ht="14.4" thickBot="1" x14ac:dyDescent="0.3">
      <c r="A5" s="83"/>
      <c r="B5" s="84" t="s">
        <v>10</v>
      </c>
      <c r="C5" s="85">
        <f>C6</f>
        <v>5476391</v>
      </c>
      <c r="D5" s="85">
        <f>D6</f>
        <v>0</v>
      </c>
      <c r="E5" s="86">
        <f>E6</f>
        <v>5476391</v>
      </c>
      <c r="F5" s="87"/>
      <c r="G5" s="87">
        <v>15472429.210000003</v>
      </c>
      <c r="H5" s="87">
        <v>0</v>
      </c>
      <c r="I5" s="87">
        <v>15472429.210000003</v>
      </c>
      <c r="J5" s="87"/>
      <c r="K5" s="620"/>
      <c r="L5" s="87">
        <f>L6</f>
        <v>0</v>
      </c>
      <c r="M5" s="87">
        <f>M6</f>
        <v>0</v>
      </c>
      <c r="N5" s="87">
        <f>N6</f>
        <v>0</v>
      </c>
      <c r="O5" s="87"/>
      <c r="P5" s="87"/>
      <c r="Q5" s="87">
        <f>Q6</f>
        <v>307331.64</v>
      </c>
      <c r="R5" s="87">
        <f>R6</f>
        <v>0</v>
      </c>
      <c r="S5" s="87">
        <f>S6</f>
        <v>307331.64</v>
      </c>
      <c r="T5" s="87"/>
      <c r="U5" s="87"/>
      <c r="V5" s="87">
        <f>V6+V7</f>
        <v>0</v>
      </c>
      <c r="W5" s="87">
        <f>W6+W7</f>
        <v>0</v>
      </c>
      <c r="X5" s="87">
        <f>X6+X7</f>
        <v>0</v>
      </c>
      <c r="Y5" s="87"/>
      <c r="Z5" s="87"/>
      <c r="AA5" s="87">
        <f>AA6+AA7</f>
        <v>0</v>
      </c>
      <c r="AB5" s="87">
        <f>AB6+AB7</f>
        <v>0</v>
      </c>
      <c r="AC5" s="87">
        <f>AC6+AC7</f>
        <v>0</v>
      </c>
      <c r="AD5" s="87"/>
      <c r="AE5" s="87"/>
      <c r="AF5" s="87">
        <f>AF6+AF7</f>
        <v>0</v>
      </c>
      <c r="AG5" s="87">
        <f>AG6+AG7</f>
        <v>0</v>
      </c>
      <c r="AH5" s="87">
        <f>AH6+AH7</f>
        <v>0</v>
      </c>
      <c r="AI5" s="87"/>
      <c r="AJ5" s="87"/>
      <c r="AK5" s="87">
        <f>AK6+AK7</f>
        <v>0</v>
      </c>
      <c r="AL5" s="87">
        <f>AL6+AL7</f>
        <v>0</v>
      </c>
      <c r="AM5" s="87">
        <f>AM6+AM7</f>
        <v>0</v>
      </c>
      <c r="AN5" s="87"/>
      <c r="AO5" s="87"/>
      <c r="AP5" s="87">
        <f>AP6+AP7</f>
        <v>0</v>
      </c>
      <c r="AQ5" s="87">
        <f>AQ6+AQ7</f>
        <v>0</v>
      </c>
      <c r="AR5" s="87">
        <f>AR6+AR7</f>
        <v>0</v>
      </c>
      <c r="AS5" s="87"/>
      <c r="AT5" s="87"/>
      <c r="AU5" s="87">
        <f>AU6+AU7</f>
        <v>0</v>
      </c>
      <c r="AV5" s="87">
        <f>AV6+AV7</f>
        <v>0</v>
      </c>
      <c r="AW5" s="87">
        <f>AW6+AW7</f>
        <v>0</v>
      </c>
      <c r="AX5" s="87"/>
      <c r="AY5" s="87"/>
      <c r="AZ5" s="87">
        <f>AZ6+AZ7</f>
        <v>0</v>
      </c>
      <c r="BA5" s="87">
        <f>BA6+BA7</f>
        <v>0</v>
      </c>
      <c r="BB5" s="87">
        <f>BB6+BB7</f>
        <v>0</v>
      </c>
      <c r="BC5" s="87"/>
      <c r="BD5" s="87"/>
      <c r="BE5" s="87">
        <f>BE6+BE7</f>
        <v>15779760.850000003</v>
      </c>
      <c r="BF5" s="87">
        <f>BF6+BF7</f>
        <v>0</v>
      </c>
      <c r="BG5" s="87">
        <f>BG6+BG7</f>
        <v>15779760.850000003</v>
      </c>
      <c r="BH5" s="87"/>
      <c r="BI5" s="87"/>
    </row>
    <row r="6" spans="1:66" s="2" customFormat="1" ht="27.6" outlineLevel="1" x14ac:dyDescent="0.25">
      <c r="A6" s="238"/>
      <c r="B6" s="9" t="s">
        <v>17</v>
      </c>
      <c r="C6" s="104">
        <v>5476391</v>
      </c>
      <c r="D6" s="105"/>
      <c r="E6" s="106">
        <f>C6+D6</f>
        <v>5476391</v>
      </c>
      <c r="F6" s="39"/>
      <c r="G6" s="39">
        <v>15414829.210000003</v>
      </c>
      <c r="H6" s="39">
        <v>0</v>
      </c>
      <c r="I6" s="106">
        <v>15414829.210000003</v>
      </c>
      <c r="J6" s="39"/>
      <c r="K6" s="452" t="e">
        <f>#REF!+'PL_Ладыжин-2'!Q6+Олияр!Q6+Турбина!Q6+'Приднепровский МЄЗ 2'!Q6+#REF!+Глухов!Q6+#REF!+'Форд Тягач'!M6+Техника!M6+Славута!Q6+PL_Производство!W6+#REF!+'Нежин-2'!Q6</f>
        <v>#REF!</v>
      </c>
      <c r="L6" s="39"/>
      <c r="M6" s="39"/>
      <c r="N6" s="106">
        <f>L6+M6</f>
        <v>0</v>
      </c>
      <c r="O6" s="39"/>
      <c r="P6" s="39"/>
      <c r="Q6" s="39">
        <f>307331.64</f>
        <v>307331.64</v>
      </c>
      <c r="R6" s="39"/>
      <c r="S6" s="106">
        <f>Q6+R6</f>
        <v>307331.64</v>
      </c>
      <c r="T6" s="39"/>
      <c r="U6" s="388" t="s">
        <v>1073</v>
      </c>
      <c r="V6" s="39"/>
      <c r="W6" s="39"/>
      <c r="X6" s="106">
        <f>V6+W6</f>
        <v>0</v>
      </c>
      <c r="Y6" s="39"/>
      <c r="Z6" s="39"/>
      <c r="AA6" s="39"/>
      <c r="AB6" s="39"/>
      <c r="AC6" s="106">
        <f>AA6+AB6</f>
        <v>0</v>
      </c>
      <c r="AD6" s="39"/>
      <c r="AE6" s="39"/>
      <c r="AF6" s="39"/>
      <c r="AG6" s="39"/>
      <c r="AH6" s="106">
        <f>AF6+AG6</f>
        <v>0</v>
      </c>
      <c r="AI6" s="39"/>
      <c r="AJ6" s="39"/>
      <c r="AK6" s="39"/>
      <c r="AL6" s="39"/>
      <c r="AM6" s="106">
        <f>AK6+AL6</f>
        <v>0</v>
      </c>
      <c r="AN6" s="39"/>
      <c r="AO6" s="39"/>
      <c r="AP6" s="39"/>
      <c r="AQ6" s="39"/>
      <c r="AR6" s="106">
        <f>AP6+AQ6</f>
        <v>0</v>
      </c>
      <c r="AS6" s="39"/>
      <c r="AT6" s="39"/>
      <c r="AU6" s="39"/>
      <c r="AV6" s="39"/>
      <c r="AW6" s="106">
        <f>AU6+AV6</f>
        <v>0</v>
      </c>
      <c r="AX6" s="39"/>
      <c r="AY6" s="39"/>
      <c r="AZ6" s="39"/>
      <c r="BA6" s="39"/>
      <c r="BB6" s="106">
        <f>AZ6+BA6</f>
        <v>0</v>
      </c>
      <c r="BC6" s="39"/>
      <c r="BD6" s="39"/>
      <c r="BE6" s="39">
        <f>L6+G6+Q6</f>
        <v>15722160.850000003</v>
      </c>
      <c r="BF6" s="39">
        <f>H6+M6+R6</f>
        <v>0</v>
      </c>
      <c r="BG6" s="106">
        <f>BE6+BF6</f>
        <v>15722160.850000003</v>
      </c>
      <c r="BH6" s="39"/>
      <c r="BI6" s="39"/>
    </row>
    <row r="7" spans="1:66" s="2" customFormat="1" ht="33.6" customHeight="1" outlineLevel="1" collapsed="1" thickBot="1" x14ac:dyDescent="0.3">
      <c r="A7" s="238"/>
      <c r="B7" s="10" t="s">
        <v>41</v>
      </c>
      <c r="C7" s="107"/>
      <c r="D7" s="621"/>
      <c r="E7" s="622">
        <f>C7+D7</f>
        <v>0</v>
      </c>
      <c r="F7" s="612"/>
      <c r="G7" s="535">
        <v>57600</v>
      </c>
      <c r="H7" s="535">
        <v>0</v>
      </c>
      <c r="I7" s="622">
        <v>57600</v>
      </c>
      <c r="J7" s="612"/>
      <c r="K7" s="535"/>
      <c r="L7" s="535"/>
      <c r="M7" s="535"/>
      <c r="N7" s="622">
        <f>L7+M7</f>
        <v>0</v>
      </c>
      <c r="O7" s="612"/>
      <c r="P7" s="612"/>
      <c r="Q7" s="535"/>
      <c r="R7" s="535"/>
      <c r="S7" s="622">
        <f>Q7+R7</f>
        <v>0</v>
      </c>
      <c r="T7" s="612"/>
      <c r="U7" s="612"/>
      <c r="V7" s="535"/>
      <c r="W7" s="535"/>
      <c r="X7" s="622">
        <f>V7+W7</f>
        <v>0</v>
      </c>
      <c r="Y7" s="612"/>
      <c r="Z7" s="612"/>
      <c r="AA7" s="535"/>
      <c r="AB7" s="535"/>
      <c r="AC7" s="622">
        <f>AA7+AB7</f>
        <v>0</v>
      </c>
      <c r="AD7" s="612"/>
      <c r="AE7" s="612"/>
      <c r="AF7" s="535"/>
      <c r="AG7" s="535"/>
      <c r="AH7" s="622">
        <f>AF7+AG7</f>
        <v>0</v>
      </c>
      <c r="AI7" s="612"/>
      <c r="AJ7" s="612"/>
      <c r="AK7" s="535"/>
      <c r="AL7" s="535"/>
      <c r="AM7" s="622">
        <f>AK7+AL7</f>
        <v>0</v>
      </c>
      <c r="AN7" s="612"/>
      <c r="AO7" s="612"/>
      <c r="AP7" s="535"/>
      <c r="AQ7" s="535"/>
      <c r="AR7" s="622">
        <f>AP7+AQ7</f>
        <v>0</v>
      </c>
      <c r="AS7" s="612"/>
      <c r="AT7" s="612"/>
      <c r="AU7" s="535"/>
      <c r="AV7" s="535"/>
      <c r="AW7" s="622">
        <f>AU7+AV7</f>
        <v>0</v>
      </c>
      <c r="AX7" s="612"/>
      <c r="AY7" s="612"/>
      <c r="AZ7" s="535"/>
      <c r="BA7" s="535"/>
      <c r="BB7" s="622">
        <f>AZ7+BA7</f>
        <v>0</v>
      </c>
      <c r="BC7" s="612"/>
      <c r="BD7" s="612"/>
      <c r="BE7" s="39">
        <f>L7+G7+Q7</f>
        <v>57600</v>
      </c>
      <c r="BF7" s="39">
        <f>H7+M7+R7</f>
        <v>0</v>
      </c>
      <c r="BG7" s="622">
        <f>BE7+BF7</f>
        <v>57600</v>
      </c>
      <c r="BH7" s="612"/>
      <c r="BI7" s="612"/>
    </row>
    <row r="8" spans="1:66" s="88" customFormat="1" ht="15" customHeight="1" outlineLevel="1" thickBot="1" x14ac:dyDescent="0.3">
      <c r="A8" s="238"/>
      <c r="B8" s="880" t="s">
        <v>16</v>
      </c>
      <c r="C8" s="881">
        <f>SUM(C9:C33)</f>
        <v>2127977</v>
      </c>
      <c r="D8" s="881">
        <f>SUM(D9:D33)</f>
        <v>1650381</v>
      </c>
      <c r="E8" s="882">
        <f>SUM(E9:E33)</f>
        <v>3778358</v>
      </c>
      <c r="F8" s="651">
        <f t="shared" ref="F8:F21" si="0">E8/$E$89</f>
        <v>0.88992434004513266</v>
      </c>
      <c r="G8" s="881">
        <v>6026738.9539999999</v>
      </c>
      <c r="H8" s="881">
        <v>4106329.74</v>
      </c>
      <c r="I8" s="882">
        <v>10133068.693999998</v>
      </c>
      <c r="J8" s="651">
        <v>0.89880331520592704</v>
      </c>
      <c r="K8" s="983"/>
      <c r="L8" s="881">
        <f>SUM(L9:L33)</f>
        <v>1700</v>
      </c>
      <c r="M8" s="881">
        <f>SUM(M9:M33)</f>
        <v>18797</v>
      </c>
      <c r="N8" s="882">
        <f>SUM(N9:N33)</f>
        <v>20497</v>
      </c>
      <c r="O8" s="651">
        <f>N8/$N$89</f>
        <v>0.68632612131533399</v>
      </c>
      <c r="P8" s="883"/>
      <c r="Q8" s="881">
        <f>SUM(Q9:Q33)</f>
        <v>18428.208000000002</v>
      </c>
      <c r="R8" s="881">
        <f>SUM(R9:R33)</f>
        <v>90781.43</v>
      </c>
      <c r="S8" s="882">
        <f>SUM(S9:S33)</f>
        <v>109209.63799999999</v>
      </c>
      <c r="T8" s="651">
        <f>S8/$S$89</f>
        <v>0.88951271267295651</v>
      </c>
      <c r="U8" s="883"/>
      <c r="V8" s="881">
        <f>SUM(V9:V33)</f>
        <v>0</v>
      </c>
      <c r="W8" s="881">
        <f>SUM(W9:W33)</f>
        <v>0</v>
      </c>
      <c r="X8" s="882">
        <f>SUM(X9:X33)</f>
        <v>0</v>
      </c>
      <c r="Y8" s="651" t="e">
        <f>X8/$X$89</f>
        <v>#DIV/0!</v>
      </c>
      <c r="Z8" s="883"/>
      <c r="AA8" s="881">
        <f>SUM(AA9:AA33)</f>
        <v>0</v>
      </c>
      <c r="AB8" s="881">
        <f>SUM(AB9:AB33)</f>
        <v>0</v>
      </c>
      <c r="AC8" s="882">
        <f>SUM(AC9:AC33)</f>
        <v>0</v>
      </c>
      <c r="AD8" s="651" t="e">
        <f>AC8/$AC$89</f>
        <v>#DIV/0!</v>
      </c>
      <c r="AE8" s="883"/>
      <c r="AF8" s="881">
        <f>SUM(AF9:AF33)</f>
        <v>0</v>
      </c>
      <c r="AG8" s="881">
        <f>SUM(AG9:AG33)</f>
        <v>0</v>
      </c>
      <c r="AH8" s="882">
        <f>SUM(AH9:AH33)</f>
        <v>0</v>
      </c>
      <c r="AI8" s="651" t="e">
        <f>AH8/$AH$89</f>
        <v>#DIV/0!</v>
      </c>
      <c r="AJ8" s="883"/>
      <c r="AK8" s="881">
        <f>SUM(AK9:AK33)</f>
        <v>0</v>
      </c>
      <c r="AL8" s="881">
        <f>SUM(AL9:AL33)</f>
        <v>0</v>
      </c>
      <c r="AM8" s="882">
        <f>SUM(AM9:AM33)</f>
        <v>0</v>
      </c>
      <c r="AN8" s="651" t="e">
        <f t="shared" ref="AN8:AN33" si="1">AM8/$AM$89</f>
        <v>#DIV/0!</v>
      </c>
      <c r="AO8" s="883"/>
      <c r="AP8" s="881">
        <f>SUM(AP9:AP33)</f>
        <v>0</v>
      </c>
      <c r="AQ8" s="881">
        <f>SUM(AQ9:AQ33)</f>
        <v>0</v>
      </c>
      <c r="AR8" s="882">
        <f>SUM(AR9:AR33)</f>
        <v>0</v>
      </c>
      <c r="AS8" s="651" t="e">
        <f>AR8/$AR$89</f>
        <v>#DIV/0!</v>
      </c>
      <c r="AT8" s="883"/>
      <c r="AU8" s="881">
        <f>SUM(AU9:AU33)</f>
        <v>0</v>
      </c>
      <c r="AV8" s="881">
        <f>SUM(AV9:AV33)</f>
        <v>0</v>
      </c>
      <c r="AW8" s="882">
        <f>SUM(AW9:AW33)</f>
        <v>0</v>
      </c>
      <c r="AX8" s="651">
        <f>AW8/$AW$89</f>
        <v>0</v>
      </c>
      <c r="AY8" s="883"/>
      <c r="AZ8" s="881">
        <f>SUM(AZ9:AZ33)</f>
        <v>0</v>
      </c>
      <c r="BA8" s="881">
        <f>SUM(BA9:BA33)</f>
        <v>0</v>
      </c>
      <c r="BB8" s="882">
        <f>SUM(BB9:BB33)</f>
        <v>0</v>
      </c>
      <c r="BC8" s="651" t="e">
        <f>BB8/$AR$89</f>
        <v>#DIV/0!</v>
      </c>
      <c r="BD8" s="883"/>
      <c r="BE8" s="618">
        <f>SUM(BE9:BE33)</f>
        <v>6043458.8319999995</v>
      </c>
      <c r="BF8" s="618">
        <f>SUM(BF9:BF33)</f>
        <v>4215908.17</v>
      </c>
      <c r="BG8" s="619">
        <f>SUM(BG9:BG33)</f>
        <v>10259367.001999998</v>
      </c>
      <c r="BH8" s="577">
        <f>BG8/$BG$89</f>
        <v>0.89784987527895943</v>
      </c>
      <c r="BI8" s="620"/>
      <c r="BJ8" s="929"/>
      <c r="BK8" s="929"/>
    </row>
    <row r="9" spans="1:66" s="2" customFormat="1" ht="92.4" customHeight="1" outlineLevel="2" x14ac:dyDescent="0.25">
      <c r="A9" s="322"/>
      <c r="B9" s="481" t="s">
        <v>74</v>
      </c>
      <c r="C9" s="482">
        <v>217109</v>
      </c>
      <c r="D9" s="483"/>
      <c r="E9" s="484">
        <f>C9+D9</f>
        <v>217109</v>
      </c>
      <c r="F9" s="485">
        <f t="shared" si="0"/>
        <v>5.1136124089580369E-2</v>
      </c>
      <c r="G9" s="488">
        <v>610822.25999999989</v>
      </c>
      <c r="H9" s="488">
        <v>10000</v>
      </c>
      <c r="I9" s="489">
        <v>620822.25999999989</v>
      </c>
      <c r="J9" s="485">
        <v>5.5066941939517063E-2</v>
      </c>
      <c r="K9" s="485"/>
      <c r="L9" s="488"/>
      <c r="M9" s="488"/>
      <c r="N9" s="489">
        <f>L9+M9*1</f>
        <v>0</v>
      </c>
      <c r="O9" s="485">
        <f>N9/$N$89</f>
        <v>0</v>
      </c>
      <c r="P9" s="879"/>
      <c r="Q9" s="488"/>
      <c r="R9" s="488"/>
      <c r="S9" s="489">
        <f>Q9+R9*1</f>
        <v>0</v>
      </c>
      <c r="T9" s="485">
        <f t="shared" ref="T9:T71" si="2">S9/$S$89</f>
        <v>0</v>
      </c>
      <c r="U9" s="879"/>
      <c r="V9" s="488"/>
      <c r="W9" s="488"/>
      <c r="X9" s="489">
        <f>V9+W9*1</f>
        <v>0</v>
      </c>
      <c r="Y9" s="485" t="e">
        <f>X9/$X$89</f>
        <v>#DIV/0!</v>
      </c>
      <c r="Z9" s="879"/>
      <c r="AA9" s="488"/>
      <c r="AB9" s="488"/>
      <c r="AC9" s="489">
        <f>AA9+AB9*1</f>
        <v>0</v>
      </c>
      <c r="AD9" s="485" t="e">
        <f t="shared" ref="AD9:AD71" si="3">AC9/$AC$89</f>
        <v>#DIV/0!</v>
      </c>
      <c r="AE9" s="879"/>
      <c r="AF9" s="488"/>
      <c r="AG9" s="488"/>
      <c r="AH9" s="489">
        <f>AF9+AG9*1</f>
        <v>0</v>
      </c>
      <c r="AI9" s="485" t="e">
        <f t="shared" ref="AI9:AI33" si="4">AH9/$AH$89</f>
        <v>#DIV/0!</v>
      </c>
      <c r="AJ9" s="879"/>
      <c r="AK9" s="488"/>
      <c r="AL9" s="488"/>
      <c r="AM9" s="489">
        <f>AK9+AL9*1</f>
        <v>0</v>
      </c>
      <c r="AN9" s="485" t="e">
        <f t="shared" si="1"/>
        <v>#DIV/0!</v>
      </c>
      <c r="AO9" s="879"/>
      <c r="AP9" s="488"/>
      <c r="AQ9" s="488"/>
      <c r="AR9" s="489">
        <f>AP9+AQ9*1</f>
        <v>0</v>
      </c>
      <c r="AS9" s="485"/>
      <c r="AT9" s="879"/>
      <c r="AU9" s="488"/>
      <c r="AV9" s="488"/>
      <c r="AW9" s="489">
        <f>AU9+AV9*1</f>
        <v>0</v>
      </c>
      <c r="AX9" s="485">
        <f t="shared" ref="AX9:AX33" si="5">AW9/$AW$89</f>
        <v>0</v>
      </c>
      <c r="AY9" s="879"/>
      <c r="AZ9" s="488"/>
      <c r="BA9" s="488"/>
      <c r="BB9" s="489">
        <f>AZ9+BA9*1</f>
        <v>0</v>
      </c>
      <c r="BC9" s="485" t="e">
        <f t="shared" ref="BC9:BC33" si="6">BB9/$AR$89</f>
        <v>#DIV/0!</v>
      </c>
      <c r="BD9" s="879" t="s">
        <v>954</v>
      </c>
      <c r="BE9" s="39">
        <f t="shared" ref="BE9:BE33" si="7">L9+G9+Q9</f>
        <v>610822.25999999989</v>
      </c>
      <c r="BF9" s="39">
        <f t="shared" ref="BF9:BF33" si="8">H9+M9+R9</f>
        <v>10000</v>
      </c>
      <c r="BG9" s="446">
        <f t="shared" ref="BG9:BG33" si="9">BE9+BF9</f>
        <v>620822.25999999989</v>
      </c>
      <c r="BH9" s="447">
        <f>BG9/$BG$89</f>
        <v>5.4331343113345983E-2</v>
      </c>
      <c r="BI9" s="456"/>
      <c r="BJ9" s="842"/>
      <c r="BK9" s="842"/>
      <c r="BM9" s="842"/>
      <c r="BN9" s="842"/>
    </row>
    <row r="10" spans="1:66" s="2" customFormat="1" ht="37.200000000000003" customHeight="1" outlineLevel="2" x14ac:dyDescent="0.25">
      <c r="A10" s="238"/>
      <c r="B10" s="492" t="s">
        <v>72</v>
      </c>
      <c r="C10" s="111">
        <v>52592</v>
      </c>
      <c r="D10" s="493"/>
      <c r="E10" s="446">
        <f t="shared" ref="E10:E33" si="10">C10+D10</f>
        <v>52592</v>
      </c>
      <c r="F10" s="447">
        <f t="shared" si="0"/>
        <v>1.2387100664270992E-2</v>
      </c>
      <c r="G10" s="452">
        <v>163486.46</v>
      </c>
      <c r="H10" s="452">
        <v>0</v>
      </c>
      <c r="I10" s="453">
        <v>163486.46</v>
      </c>
      <c r="J10" s="450">
        <v>1.4501250971118819E-2</v>
      </c>
      <c r="K10" s="447"/>
      <c r="L10" s="452"/>
      <c r="M10" s="452"/>
      <c r="N10" s="453">
        <f t="shared" ref="N10:N22" si="11">L10+M10*1</f>
        <v>0</v>
      </c>
      <c r="O10" s="450">
        <f t="shared" ref="O10:O33" si="12">N10/$N$89</f>
        <v>0</v>
      </c>
      <c r="P10" s="458"/>
      <c r="Q10" s="452"/>
      <c r="R10" s="452"/>
      <c r="S10" s="453">
        <f t="shared" ref="S10:S22" si="13">Q10+R10*1</f>
        <v>0</v>
      </c>
      <c r="T10" s="450">
        <f t="shared" si="2"/>
        <v>0</v>
      </c>
      <c r="U10" s="458"/>
      <c r="V10" s="452"/>
      <c r="W10" s="452"/>
      <c r="X10" s="453">
        <f t="shared" ref="X10:X22" si="14">V10+W10*1</f>
        <v>0</v>
      </c>
      <c r="Y10" s="450" t="e">
        <f t="shared" ref="Y10:Y33" si="15">X10/$X$89</f>
        <v>#DIV/0!</v>
      </c>
      <c r="Z10" s="458"/>
      <c r="AA10" s="452"/>
      <c r="AB10" s="452"/>
      <c r="AC10" s="453">
        <f t="shared" ref="AC10:AC22" si="16">AA10+AB10*1</f>
        <v>0</v>
      </c>
      <c r="AD10" s="450" t="e">
        <f t="shared" si="3"/>
        <v>#DIV/0!</v>
      </c>
      <c r="AE10" s="458"/>
      <c r="AF10" s="452"/>
      <c r="AG10" s="452"/>
      <c r="AH10" s="453">
        <f t="shared" ref="AH10:AH22" si="17">AF10+AG10*1</f>
        <v>0</v>
      </c>
      <c r="AI10" s="450" t="e">
        <f t="shared" si="4"/>
        <v>#DIV/0!</v>
      </c>
      <c r="AJ10" s="458"/>
      <c r="AK10" s="452"/>
      <c r="AL10" s="452"/>
      <c r="AM10" s="453">
        <f t="shared" ref="AM10:AM22" si="18">AK10+AL10*1</f>
        <v>0</v>
      </c>
      <c r="AN10" s="450" t="e">
        <f t="shared" si="1"/>
        <v>#DIV/0!</v>
      </c>
      <c r="AO10" s="458"/>
      <c r="AP10" s="452"/>
      <c r="AQ10" s="452"/>
      <c r="AR10" s="453">
        <f t="shared" ref="AR10:AR22" si="19">AP10+AQ10*1</f>
        <v>0</v>
      </c>
      <c r="AS10" s="450" t="e">
        <f t="shared" ref="AS10:AS33" si="20">AR10/$AR$89</f>
        <v>#DIV/0!</v>
      </c>
      <c r="AT10" s="458"/>
      <c r="AU10" s="452"/>
      <c r="AV10" s="452"/>
      <c r="AW10" s="453">
        <f t="shared" ref="AW10:AW22" si="21">AU10+AV10*1</f>
        <v>0</v>
      </c>
      <c r="AX10" s="450">
        <f t="shared" si="5"/>
        <v>0</v>
      </c>
      <c r="AY10" s="458"/>
      <c r="AZ10" s="452"/>
      <c r="BA10" s="452"/>
      <c r="BB10" s="453">
        <f t="shared" ref="BB10:BB22" si="22">AZ10+BA10*1</f>
        <v>0</v>
      </c>
      <c r="BC10" s="450" t="e">
        <f t="shared" si="6"/>
        <v>#DIV/0!</v>
      </c>
      <c r="BD10" s="458"/>
      <c r="BE10" s="39">
        <f t="shared" si="7"/>
        <v>163486.46</v>
      </c>
      <c r="BF10" s="39">
        <f t="shared" si="8"/>
        <v>0</v>
      </c>
      <c r="BG10" s="106">
        <f t="shared" si="9"/>
        <v>163486.46</v>
      </c>
      <c r="BH10" s="178">
        <f t="shared" ref="BH10:BH21" si="23">BG10/$BG$89</f>
        <v>1.4307539411757424E-2</v>
      </c>
      <c r="BI10" s="42"/>
      <c r="BJ10" s="842"/>
      <c r="BK10" s="842"/>
      <c r="BM10" s="842"/>
      <c r="BN10" s="842"/>
    </row>
    <row r="11" spans="1:66" s="2" customFormat="1" ht="30.6" customHeight="1" outlineLevel="2" x14ac:dyDescent="0.25">
      <c r="A11" s="238"/>
      <c r="B11" s="492" t="s">
        <v>69</v>
      </c>
      <c r="C11" s="111">
        <v>59334</v>
      </c>
      <c r="D11" s="493"/>
      <c r="E11" s="446">
        <f t="shared" si="10"/>
        <v>59334</v>
      </c>
      <c r="F11" s="447">
        <f t="shared" si="0"/>
        <v>1.3975057628800103E-2</v>
      </c>
      <c r="G11" s="452">
        <v>184446.27</v>
      </c>
      <c r="H11" s="452">
        <v>0</v>
      </c>
      <c r="I11" s="453">
        <v>184446.27</v>
      </c>
      <c r="J11" s="450">
        <v>1.6360386370570038E-2</v>
      </c>
      <c r="K11" s="447"/>
      <c r="L11" s="452"/>
      <c r="M11" s="452"/>
      <c r="N11" s="453">
        <f t="shared" si="11"/>
        <v>0</v>
      </c>
      <c r="O11" s="450">
        <f t="shared" si="12"/>
        <v>0</v>
      </c>
      <c r="P11" s="458"/>
      <c r="Q11" s="452"/>
      <c r="R11" s="452"/>
      <c r="S11" s="453">
        <f t="shared" si="13"/>
        <v>0</v>
      </c>
      <c r="T11" s="450">
        <f t="shared" si="2"/>
        <v>0</v>
      </c>
      <c r="U11" s="458"/>
      <c r="V11" s="452"/>
      <c r="W11" s="452"/>
      <c r="X11" s="453">
        <f t="shared" si="14"/>
        <v>0</v>
      </c>
      <c r="Y11" s="450" t="e">
        <f t="shared" si="15"/>
        <v>#DIV/0!</v>
      </c>
      <c r="Z11" s="458"/>
      <c r="AA11" s="452"/>
      <c r="AB11" s="452"/>
      <c r="AC11" s="453">
        <f t="shared" si="16"/>
        <v>0</v>
      </c>
      <c r="AD11" s="450" t="e">
        <f t="shared" si="3"/>
        <v>#DIV/0!</v>
      </c>
      <c r="AE11" s="458"/>
      <c r="AF11" s="452"/>
      <c r="AG11" s="452"/>
      <c r="AH11" s="453">
        <f t="shared" si="17"/>
        <v>0</v>
      </c>
      <c r="AI11" s="450" t="e">
        <f t="shared" si="4"/>
        <v>#DIV/0!</v>
      </c>
      <c r="AJ11" s="458"/>
      <c r="AK11" s="452"/>
      <c r="AL11" s="452"/>
      <c r="AM11" s="453">
        <f t="shared" si="18"/>
        <v>0</v>
      </c>
      <c r="AN11" s="450" t="e">
        <f t="shared" si="1"/>
        <v>#DIV/0!</v>
      </c>
      <c r="AO11" s="458"/>
      <c r="AP11" s="452"/>
      <c r="AQ11" s="452"/>
      <c r="AR11" s="453">
        <f t="shared" si="19"/>
        <v>0</v>
      </c>
      <c r="AS11" s="450" t="e">
        <f t="shared" si="20"/>
        <v>#DIV/0!</v>
      </c>
      <c r="AT11" s="458"/>
      <c r="AU11" s="452"/>
      <c r="AV11" s="452"/>
      <c r="AW11" s="453">
        <f t="shared" si="21"/>
        <v>0</v>
      </c>
      <c r="AX11" s="450">
        <f t="shared" si="5"/>
        <v>0</v>
      </c>
      <c r="AY11" s="458"/>
      <c r="AZ11" s="452"/>
      <c r="BA11" s="452"/>
      <c r="BB11" s="453">
        <f t="shared" si="22"/>
        <v>0</v>
      </c>
      <c r="BC11" s="450" t="e">
        <f t="shared" si="6"/>
        <v>#DIV/0!</v>
      </c>
      <c r="BD11" s="458" t="s">
        <v>947</v>
      </c>
      <c r="BE11" s="39">
        <f t="shared" si="7"/>
        <v>184446.27</v>
      </c>
      <c r="BF11" s="39">
        <f t="shared" si="8"/>
        <v>0</v>
      </c>
      <c r="BG11" s="106">
        <f t="shared" si="9"/>
        <v>184446.27</v>
      </c>
      <c r="BH11" s="178">
        <f t="shared" si="23"/>
        <v>1.6141839987095268E-2</v>
      </c>
      <c r="BI11" s="42"/>
      <c r="BJ11" s="842"/>
      <c r="BK11" s="842"/>
      <c r="BM11" s="842"/>
      <c r="BN11" s="842"/>
    </row>
    <row r="12" spans="1:66" s="2" customFormat="1" ht="36" customHeight="1" outlineLevel="2" x14ac:dyDescent="0.25">
      <c r="A12" s="238"/>
      <c r="B12" s="492" t="s">
        <v>73</v>
      </c>
      <c r="C12" s="111">
        <v>39284</v>
      </c>
      <c r="D12" s="493">
        <v>172716</v>
      </c>
      <c r="E12" s="446">
        <f t="shared" si="10"/>
        <v>212000</v>
      </c>
      <c r="F12" s="447">
        <f t="shared" si="0"/>
        <v>4.9932790934466273E-2</v>
      </c>
      <c r="G12" s="452">
        <v>9282.7999999999993</v>
      </c>
      <c r="H12" s="452">
        <v>80398.23000000001</v>
      </c>
      <c r="I12" s="453">
        <v>89681.030000000013</v>
      </c>
      <c r="J12" s="450">
        <v>7.9547084411665421E-3</v>
      </c>
      <c r="K12" s="447"/>
      <c r="L12" s="452"/>
      <c r="M12" s="452"/>
      <c r="N12" s="453">
        <f t="shared" si="11"/>
        <v>0</v>
      </c>
      <c r="O12" s="450">
        <f t="shared" si="12"/>
        <v>0</v>
      </c>
      <c r="P12" s="458"/>
      <c r="Q12" s="452"/>
      <c r="R12" s="452"/>
      <c r="S12" s="453">
        <f t="shared" si="13"/>
        <v>0</v>
      </c>
      <c r="T12" s="450">
        <f t="shared" si="2"/>
        <v>0</v>
      </c>
      <c r="U12" s="458"/>
      <c r="V12" s="452"/>
      <c r="W12" s="452"/>
      <c r="X12" s="453">
        <f t="shared" si="14"/>
        <v>0</v>
      </c>
      <c r="Y12" s="450" t="e">
        <f t="shared" si="15"/>
        <v>#DIV/0!</v>
      </c>
      <c r="Z12" s="458"/>
      <c r="AA12" s="452"/>
      <c r="AB12" s="452"/>
      <c r="AC12" s="453">
        <f t="shared" si="16"/>
        <v>0</v>
      </c>
      <c r="AD12" s="450" t="e">
        <f t="shared" si="3"/>
        <v>#DIV/0!</v>
      </c>
      <c r="AE12" s="458"/>
      <c r="AF12" s="452"/>
      <c r="AG12" s="452"/>
      <c r="AH12" s="453">
        <f t="shared" si="17"/>
        <v>0</v>
      </c>
      <c r="AI12" s="450" t="e">
        <f t="shared" si="4"/>
        <v>#DIV/0!</v>
      </c>
      <c r="AJ12" s="458"/>
      <c r="AK12" s="452"/>
      <c r="AL12" s="452"/>
      <c r="AM12" s="453">
        <f t="shared" si="18"/>
        <v>0</v>
      </c>
      <c r="AN12" s="450" t="e">
        <f t="shared" si="1"/>
        <v>#DIV/0!</v>
      </c>
      <c r="AO12" s="458"/>
      <c r="AP12" s="452"/>
      <c r="AQ12" s="452"/>
      <c r="AR12" s="453">
        <f t="shared" si="19"/>
        <v>0</v>
      </c>
      <c r="AS12" s="450" t="e">
        <f t="shared" si="20"/>
        <v>#DIV/0!</v>
      </c>
      <c r="AT12" s="458"/>
      <c r="AU12" s="452"/>
      <c r="AV12" s="452"/>
      <c r="AW12" s="453">
        <f t="shared" si="21"/>
        <v>0</v>
      </c>
      <c r="AX12" s="450">
        <f t="shared" si="5"/>
        <v>0</v>
      </c>
      <c r="AY12" s="458"/>
      <c r="AZ12" s="452"/>
      <c r="BA12" s="452"/>
      <c r="BB12" s="453">
        <f t="shared" si="22"/>
        <v>0</v>
      </c>
      <c r="BC12" s="450" t="e">
        <f t="shared" si="6"/>
        <v>#DIV/0!</v>
      </c>
      <c r="BD12" s="458"/>
      <c r="BE12" s="39">
        <f t="shared" si="7"/>
        <v>9282.7999999999993</v>
      </c>
      <c r="BF12" s="39">
        <f t="shared" si="8"/>
        <v>80398.23000000001</v>
      </c>
      <c r="BG12" s="106">
        <f t="shared" si="9"/>
        <v>89681.030000000013</v>
      </c>
      <c r="BH12" s="178">
        <f t="shared" si="23"/>
        <v>7.848447334488742E-3</v>
      </c>
      <c r="BI12" s="42"/>
      <c r="BJ12" s="842"/>
      <c r="BK12" s="842"/>
      <c r="BM12" s="842"/>
      <c r="BN12" s="842"/>
    </row>
    <row r="13" spans="1:66" s="2" customFormat="1" ht="54" customHeight="1" outlineLevel="2" x14ac:dyDescent="0.25">
      <c r="A13" s="238"/>
      <c r="B13" s="492" t="s">
        <v>71</v>
      </c>
      <c r="C13" s="111">
        <v>15431</v>
      </c>
      <c r="D13" s="493"/>
      <c r="E13" s="446">
        <f t="shared" si="10"/>
        <v>15431</v>
      </c>
      <c r="F13" s="447">
        <f t="shared" si="0"/>
        <v>3.6344947967440993E-3</v>
      </c>
      <c r="G13" s="452">
        <v>6844.59</v>
      </c>
      <c r="H13" s="452">
        <v>0</v>
      </c>
      <c r="I13" s="453">
        <v>6844.59</v>
      </c>
      <c r="J13" s="450">
        <v>6.0711521543992185E-4</v>
      </c>
      <c r="K13" s="447"/>
      <c r="L13" s="452"/>
      <c r="M13" s="452"/>
      <c r="N13" s="453">
        <f t="shared" si="11"/>
        <v>0</v>
      </c>
      <c r="O13" s="450">
        <f t="shared" si="12"/>
        <v>0</v>
      </c>
      <c r="P13" s="458"/>
      <c r="Q13" s="452"/>
      <c r="R13" s="452"/>
      <c r="S13" s="453">
        <f t="shared" si="13"/>
        <v>0</v>
      </c>
      <c r="T13" s="450">
        <f t="shared" si="2"/>
        <v>0</v>
      </c>
      <c r="U13" s="458"/>
      <c r="V13" s="452"/>
      <c r="W13" s="452"/>
      <c r="X13" s="453">
        <f t="shared" si="14"/>
        <v>0</v>
      </c>
      <c r="Y13" s="450" t="e">
        <f t="shared" si="15"/>
        <v>#DIV/0!</v>
      </c>
      <c r="Z13" s="458"/>
      <c r="AA13" s="452"/>
      <c r="AB13" s="452"/>
      <c r="AC13" s="453">
        <f t="shared" si="16"/>
        <v>0</v>
      </c>
      <c r="AD13" s="450" t="e">
        <f t="shared" si="3"/>
        <v>#DIV/0!</v>
      </c>
      <c r="AE13" s="458"/>
      <c r="AF13" s="452"/>
      <c r="AG13" s="452"/>
      <c r="AH13" s="453">
        <f t="shared" si="17"/>
        <v>0</v>
      </c>
      <c r="AI13" s="450" t="e">
        <f t="shared" si="4"/>
        <v>#DIV/0!</v>
      </c>
      <c r="AJ13" s="458"/>
      <c r="AK13" s="452"/>
      <c r="AL13" s="452"/>
      <c r="AM13" s="453">
        <f t="shared" si="18"/>
        <v>0</v>
      </c>
      <c r="AN13" s="450" t="e">
        <f t="shared" si="1"/>
        <v>#DIV/0!</v>
      </c>
      <c r="AO13" s="458"/>
      <c r="AP13" s="452"/>
      <c r="AQ13" s="452"/>
      <c r="AR13" s="453">
        <f t="shared" si="19"/>
        <v>0</v>
      </c>
      <c r="AS13" s="450" t="e">
        <f t="shared" si="20"/>
        <v>#DIV/0!</v>
      </c>
      <c r="AT13" s="458"/>
      <c r="AU13" s="452"/>
      <c r="AV13" s="452"/>
      <c r="AW13" s="453">
        <f t="shared" si="21"/>
        <v>0</v>
      </c>
      <c r="AX13" s="450">
        <f t="shared" si="5"/>
        <v>0</v>
      </c>
      <c r="AY13" s="458"/>
      <c r="AZ13" s="452"/>
      <c r="BA13" s="452"/>
      <c r="BB13" s="453">
        <f t="shared" si="22"/>
        <v>0</v>
      </c>
      <c r="BC13" s="450" t="e">
        <f t="shared" si="6"/>
        <v>#DIV/0!</v>
      </c>
      <c r="BD13" s="458"/>
      <c r="BE13" s="39">
        <f t="shared" si="7"/>
        <v>6844.59</v>
      </c>
      <c r="BF13" s="39">
        <f t="shared" si="8"/>
        <v>0</v>
      </c>
      <c r="BG13" s="106">
        <f t="shared" si="9"/>
        <v>6844.59</v>
      </c>
      <c r="BH13" s="178">
        <f t="shared" si="23"/>
        <v>5.9900520925292987E-4</v>
      </c>
      <c r="BI13" s="42"/>
      <c r="BJ13" s="842"/>
      <c r="BK13" s="842"/>
      <c r="BM13" s="842"/>
      <c r="BN13" s="842"/>
    </row>
    <row r="14" spans="1:66" s="2" customFormat="1" ht="14.4" customHeight="1" outlineLevel="2" x14ac:dyDescent="0.25">
      <c r="A14" s="238"/>
      <c r="B14" s="492" t="s">
        <v>70</v>
      </c>
      <c r="C14" s="111">
        <v>17446</v>
      </c>
      <c r="D14" s="493"/>
      <c r="E14" s="446">
        <f t="shared" si="10"/>
        <v>17446</v>
      </c>
      <c r="F14" s="447">
        <f t="shared" si="0"/>
        <v>4.1090918426542385E-3</v>
      </c>
      <c r="G14" s="452">
        <v>8835.73</v>
      </c>
      <c r="H14" s="452">
        <v>0</v>
      </c>
      <c r="I14" s="453">
        <v>8835.73</v>
      </c>
      <c r="J14" s="450">
        <v>7.8372935742228246E-4</v>
      </c>
      <c r="K14" s="447"/>
      <c r="L14" s="452"/>
      <c r="M14" s="452"/>
      <c r="N14" s="453">
        <f t="shared" si="11"/>
        <v>0</v>
      </c>
      <c r="O14" s="450">
        <f t="shared" si="12"/>
        <v>0</v>
      </c>
      <c r="P14" s="458"/>
      <c r="Q14" s="452"/>
      <c r="R14" s="452"/>
      <c r="S14" s="453">
        <f t="shared" si="13"/>
        <v>0</v>
      </c>
      <c r="T14" s="450">
        <f t="shared" si="2"/>
        <v>0</v>
      </c>
      <c r="U14" s="458"/>
      <c r="V14" s="452"/>
      <c r="W14" s="452"/>
      <c r="X14" s="453">
        <f t="shared" si="14"/>
        <v>0</v>
      </c>
      <c r="Y14" s="450" t="e">
        <f t="shared" si="15"/>
        <v>#DIV/0!</v>
      </c>
      <c r="Z14" s="458"/>
      <c r="AA14" s="452"/>
      <c r="AB14" s="452"/>
      <c r="AC14" s="453">
        <f t="shared" si="16"/>
        <v>0</v>
      </c>
      <c r="AD14" s="450" t="e">
        <f t="shared" si="3"/>
        <v>#DIV/0!</v>
      </c>
      <c r="AE14" s="458"/>
      <c r="AF14" s="452"/>
      <c r="AG14" s="452"/>
      <c r="AH14" s="453">
        <f t="shared" si="17"/>
        <v>0</v>
      </c>
      <c r="AI14" s="450" t="e">
        <f t="shared" si="4"/>
        <v>#DIV/0!</v>
      </c>
      <c r="AJ14" s="458"/>
      <c r="AK14" s="452"/>
      <c r="AL14" s="452"/>
      <c r="AM14" s="453">
        <f t="shared" si="18"/>
        <v>0</v>
      </c>
      <c r="AN14" s="450" t="e">
        <f t="shared" si="1"/>
        <v>#DIV/0!</v>
      </c>
      <c r="AO14" s="458"/>
      <c r="AP14" s="452"/>
      <c r="AQ14" s="452"/>
      <c r="AR14" s="453">
        <f t="shared" si="19"/>
        <v>0</v>
      </c>
      <c r="AS14" s="450" t="e">
        <f t="shared" si="20"/>
        <v>#DIV/0!</v>
      </c>
      <c r="AT14" s="458"/>
      <c r="AU14" s="452"/>
      <c r="AV14" s="452"/>
      <c r="AW14" s="453">
        <f t="shared" si="21"/>
        <v>0</v>
      </c>
      <c r="AX14" s="450">
        <f t="shared" si="5"/>
        <v>0</v>
      </c>
      <c r="AY14" s="458"/>
      <c r="AZ14" s="452"/>
      <c r="BA14" s="452"/>
      <c r="BB14" s="453">
        <f t="shared" si="22"/>
        <v>0</v>
      </c>
      <c r="BC14" s="450" t="e">
        <f t="shared" si="6"/>
        <v>#DIV/0!</v>
      </c>
      <c r="BD14" s="458"/>
      <c r="BE14" s="39">
        <f t="shared" si="7"/>
        <v>8835.73</v>
      </c>
      <c r="BF14" s="39">
        <f t="shared" si="8"/>
        <v>0</v>
      </c>
      <c r="BG14" s="106">
        <f t="shared" si="9"/>
        <v>8835.73</v>
      </c>
      <c r="BH14" s="178">
        <f t="shared" si="23"/>
        <v>7.7326009265016456E-4</v>
      </c>
      <c r="BI14" s="42"/>
      <c r="BJ14" s="842"/>
      <c r="BK14" s="842"/>
      <c r="BM14" s="842"/>
      <c r="BN14" s="842"/>
    </row>
    <row r="15" spans="1:66" s="2" customFormat="1" ht="14.4" customHeight="1" outlineLevel="2" x14ac:dyDescent="0.25">
      <c r="A15" s="238"/>
      <c r="B15" s="471" t="s">
        <v>20</v>
      </c>
      <c r="C15" s="111"/>
      <c r="D15" s="445"/>
      <c r="E15" s="446">
        <f t="shared" si="10"/>
        <v>0</v>
      </c>
      <c r="F15" s="447">
        <f t="shared" si="0"/>
        <v>0</v>
      </c>
      <c r="G15" s="452">
        <v>0</v>
      </c>
      <c r="H15" s="452">
        <v>66540</v>
      </c>
      <c r="I15" s="453">
        <v>66540</v>
      </c>
      <c r="J15" s="450">
        <v>5.9020988014435337E-3</v>
      </c>
      <c r="K15" s="447"/>
      <c r="L15" s="452"/>
      <c r="M15" s="452"/>
      <c r="N15" s="453">
        <f t="shared" si="11"/>
        <v>0</v>
      </c>
      <c r="O15" s="450">
        <f t="shared" si="12"/>
        <v>0</v>
      </c>
      <c r="P15" s="458"/>
      <c r="Q15" s="452"/>
      <c r="R15" s="452"/>
      <c r="S15" s="453">
        <f t="shared" si="13"/>
        <v>0</v>
      </c>
      <c r="T15" s="450">
        <f t="shared" si="2"/>
        <v>0</v>
      </c>
      <c r="U15" s="458"/>
      <c r="V15" s="452"/>
      <c r="W15" s="452"/>
      <c r="X15" s="453">
        <f t="shared" si="14"/>
        <v>0</v>
      </c>
      <c r="Y15" s="450" t="e">
        <f t="shared" si="15"/>
        <v>#DIV/0!</v>
      </c>
      <c r="Z15" s="458"/>
      <c r="AA15" s="452"/>
      <c r="AB15" s="452"/>
      <c r="AC15" s="453">
        <f t="shared" si="16"/>
        <v>0</v>
      </c>
      <c r="AD15" s="450" t="e">
        <f t="shared" si="3"/>
        <v>#DIV/0!</v>
      </c>
      <c r="AE15" s="458"/>
      <c r="AF15" s="452"/>
      <c r="AG15" s="452"/>
      <c r="AH15" s="453">
        <f t="shared" si="17"/>
        <v>0</v>
      </c>
      <c r="AI15" s="450" t="e">
        <f t="shared" si="4"/>
        <v>#DIV/0!</v>
      </c>
      <c r="AJ15" s="458"/>
      <c r="AK15" s="452"/>
      <c r="AL15" s="452"/>
      <c r="AM15" s="453">
        <f t="shared" si="18"/>
        <v>0</v>
      </c>
      <c r="AN15" s="450" t="e">
        <f t="shared" si="1"/>
        <v>#DIV/0!</v>
      </c>
      <c r="AO15" s="458"/>
      <c r="AP15" s="452"/>
      <c r="AQ15" s="452"/>
      <c r="AR15" s="453">
        <f t="shared" si="19"/>
        <v>0</v>
      </c>
      <c r="AS15" s="450" t="e">
        <f t="shared" si="20"/>
        <v>#DIV/0!</v>
      </c>
      <c r="AT15" s="458"/>
      <c r="AU15" s="452"/>
      <c r="AV15" s="452"/>
      <c r="AW15" s="453">
        <f t="shared" si="21"/>
        <v>0</v>
      </c>
      <c r="AX15" s="450">
        <f t="shared" si="5"/>
        <v>0</v>
      </c>
      <c r="AY15" s="458"/>
      <c r="AZ15" s="452"/>
      <c r="BA15" s="452"/>
      <c r="BB15" s="453">
        <f t="shared" si="22"/>
        <v>0</v>
      </c>
      <c r="BC15" s="450" t="e">
        <f t="shared" si="6"/>
        <v>#DIV/0!</v>
      </c>
      <c r="BD15" s="458"/>
      <c r="BE15" s="39">
        <f t="shared" si="7"/>
        <v>0</v>
      </c>
      <c r="BF15" s="39">
        <f t="shared" si="8"/>
        <v>66540</v>
      </c>
      <c r="BG15" s="106">
        <f t="shared" si="9"/>
        <v>66540</v>
      </c>
      <c r="BH15" s="178">
        <f t="shared" si="23"/>
        <v>5.8232569991321552E-3</v>
      </c>
      <c r="BI15" s="42"/>
      <c r="BJ15" s="842"/>
      <c r="BK15" s="842"/>
      <c r="BM15" s="842"/>
      <c r="BN15" s="842"/>
    </row>
    <row r="16" spans="1:66" s="2" customFormat="1" ht="103.95" customHeight="1" outlineLevel="2" x14ac:dyDescent="0.25">
      <c r="A16" s="292"/>
      <c r="B16" s="471" t="s">
        <v>21</v>
      </c>
      <c r="C16" s="111"/>
      <c r="D16" s="445">
        <v>1202415</v>
      </c>
      <c r="E16" s="446">
        <f t="shared" si="10"/>
        <v>1202415</v>
      </c>
      <c r="F16" s="447">
        <f t="shared" si="0"/>
        <v>0.28320724911068995</v>
      </c>
      <c r="G16" s="452">
        <v>0</v>
      </c>
      <c r="H16" s="452">
        <v>3465579.5100000002</v>
      </c>
      <c r="I16" s="453">
        <v>3465579.5100000002</v>
      </c>
      <c r="J16" s="450">
        <v>0.30739694427830283</v>
      </c>
      <c r="K16" s="447"/>
      <c r="L16" s="452"/>
      <c r="M16" s="452"/>
      <c r="N16" s="453">
        <f t="shared" si="11"/>
        <v>0</v>
      </c>
      <c r="O16" s="450">
        <f t="shared" si="12"/>
        <v>0</v>
      </c>
      <c r="P16" s="458"/>
      <c r="Q16" s="452"/>
      <c r="R16" s="713">
        <f>28031.43+10960+48290</f>
        <v>87281.43</v>
      </c>
      <c r="S16" s="453">
        <f t="shared" si="13"/>
        <v>87281.43</v>
      </c>
      <c r="T16" s="450">
        <f t="shared" si="2"/>
        <v>0.71090741611353725</v>
      </c>
      <c r="U16" s="458" t="s">
        <v>1056</v>
      </c>
      <c r="V16" s="452"/>
      <c r="W16" s="452"/>
      <c r="X16" s="453">
        <f t="shared" si="14"/>
        <v>0</v>
      </c>
      <c r="Y16" s="450" t="e">
        <f t="shared" si="15"/>
        <v>#DIV/0!</v>
      </c>
      <c r="Z16" s="458"/>
      <c r="AA16" s="452"/>
      <c r="AB16" s="452"/>
      <c r="AC16" s="453">
        <f t="shared" si="16"/>
        <v>0</v>
      </c>
      <c r="AD16" s="450" t="e">
        <f t="shared" si="3"/>
        <v>#DIV/0!</v>
      </c>
      <c r="AE16" s="458"/>
      <c r="AF16" s="452"/>
      <c r="AG16" s="452"/>
      <c r="AH16" s="453">
        <f t="shared" si="17"/>
        <v>0</v>
      </c>
      <c r="AI16" s="450" t="e">
        <f t="shared" si="4"/>
        <v>#DIV/0!</v>
      </c>
      <c r="AJ16" s="458"/>
      <c r="AK16" s="452"/>
      <c r="AL16" s="452"/>
      <c r="AM16" s="453">
        <f t="shared" si="18"/>
        <v>0</v>
      </c>
      <c r="AN16" s="450" t="e">
        <f t="shared" si="1"/>
        <v>#DIV/0!</v>
      </c>
      <c r="AO16" s="458"/>
      <c r="AP16" s="452"/>
      <c r="AQ16" s="452"/>
      <c r="AR16" s="453">
        <f t="shared" si="19"/>
        <v>0</v>
      </c>
      <c r="AS16" s="450" t="e">
        <f t="shared" si="20"/>
        <v>#DIV/0!</v>
      </c>
      <c r="AT16" s="458"/>
      <c r="AU16" s="452"/>
      <c r="AV16" s="452"/>
      <c r="AW16" s="453">
        <f t="shared" si="21"/>
        <v>0</v>
      </c>
      <c r="AX16" s="450">
        <f t="shared" si="5"/>
        <v>0</v>
      </c>
      <c r="AY16" s="458"/>
      <c r="AZ16" s="452"/>
      <c r="BA16" s="452"/>
      <c r="BB16" s="453">
        <f t="shared" si="22"/>
        <v>0</v>
      </c>
      <c r="BC16" s="450" t="e">
        <f t="shared" si="6"/>
        <v>#DIV/0!</v>
      </c>
      <c r="BD16" s="458"/>
      <c r="BE16" s="39">
        <f t="shared" si="7"/>
        <v>0</v>
      </c>
      <c r="BF16" s="39">
        <f t="shared" si="8"/>
        <v>3552860.9400000004</v>
      </c>
      <c r="BG16" s="106">
        <f t="shared" si="9"/>
        <v>3552860.9400000004</v>
      </c>
      <c r="BH16" s="178">
        <f t="shared" si="23"/>
        <v>0.31092910032759619</v>
      </c>
      <c r="BI16" s="42"/>
      <c r="BJ16" s="842"/>
      <c r="BK16" s="842"/>
      <c r="BM16" s="842"/>
      <c r="BN16" s="842"/>
    </row>
    <row r="17" spans="1:66" s="2" customFormat="1" ht="58.2" customHeight="1" outlineLevel="2" x14ac:dyDescent="0.25">
      <c r="A17" s="238"/>
      <c r="B17" s="471" t="s">
        <v>22</v>
      </c>
      <c r="C17" s="111"/>
      <c r="D17" s="445">
        <v>88000</v>
      </c>
      <c r="E17" s="446">
        <f t="shared" si="10"/>
        <v>88000</v>
      </c>
      <c r="F17" s="447">
        <f t="shared" si="0"/>
        <v>2.07268188784577E-2</v>
      </c>
      <c r="G17" s="452">
        <v>0</v>
      </c>
      <c r="H17" s="452">
        <v>0</v>
      </c>
      <c r="I17" s="453">
        <v>0</v>
      </c>
      <c r="J17" s="450">
        <v>0</v>
      </c>
      <c r="K17" s="447"/>
      <c r="L17" s="452"/>
      <c r="M17" s="452"/>
      <c r="N17" s="453">
        <f t="shared" si="11"/>
        <v>0</v>
      </c>
      <c r="O17" s="450">
        <f t="shared" si="12"/>
        <v>0</v>
      </c>
      <c r="P17" s="458"/>
      <c r="Q17" s="452"/>
      <c r="R17" s="452"/>
      <c r="S17" s="453">
        <f t="shared" si="13"/>
        <v>0</v>
      </c>
      <c r="T17" s="450">
        <f t="shared" si="2"/>
        <v>0</v>
      </c>
      <c r="U17" s="458"/>
      <c r="V17" s="452"/>
      <c r="W17" s="452"/>
      <c r="X17" s="453">
        <f t="shared" si="14"/>
        <v>0</v>
      </c>
      <c r="Y17" s="450" t="e">
        <f t="shared" si="15"/>
        <v>#DIV/0!</v>
      </c>
      <c r="Z17" s="458"/>
      <c r="AA17" s="452"/>
      <c r="AB17" s="452"/>
      <c r="AC17" s="453">
        <f t="shared" si="16"/>
        <v>0</v>
      </c>
      <c r="AD17" s="450" t="e">
        <f t="shared" si="3"/>
        <v>#DIV/0!</v>
      </c>
      <c r="AE17" s="458"/>
      <c r="AF17" s="452"/>
      <c r="AG17" s="452"/>
      <c r="AH17" s="453">
        <f t="shared" si="17"/>
        <v>0</v>
      </c>
      <c r="AI17" s="450" t="e">
        <f t="shared" si="4"/>
        <v>#DIV/0!</v>
      </c>
      <c r="AJ17" s="458"/>
      <c r="AK17" s="452"/>
      <c r="AL17" s="452"/>
      <c r="AM17" s="453">
        <f t="shared" si="18"/>
        <v>0</v>
      </c>
      <c r="AN17" s="450" t="e">
        <f t="shared" si="1"/>
        <v>#DIV/0!</v>
      </c>
      <c r="AO17" s="458"/>
      <c r="AP17" s="452"/>
      <c r="AQ17" s="452"/>
      <c r="AR17" s="453">
        <f t="shared" si="19"/>
        <v>0</v>
      </c>
      <c r="AS17" s="450" t="e">
        <f t="shared" si="20"/>
        <v>#DIV/0!</v>
      </c>
      <c r="AT17" s="458"/>
      <c r="AU17" s="452"/>
      <c r="AV17" s="452"/>
      <c r="AW17" s="453">
        <f t="shared" si="21"/>
        <v>0</v>
      </c>
      <c r="AX17" s="450">
        <f t="shared" si="5"/>
        <v>0</v>
      </c>
      <c r="AY17" s="458"/>
      <c r="AZ17" s="452"/>
      <c r="BA17" s="452"/>
      <c r="BB17" s="453">
        <f t="shared" si="22"/>
        <v>0</v>
      </c>
      <c r="BC17" s="450" t="e">
        <f t="shared" si="6"/>
        <v>#DIV/0!</v>
      </c>
      <c r="BD17" s="458"/>
      <c r="BE17" s="39">
        <f t="shared" si="7"/>
        <v>0</v>
      </c>
      <c r="BF17" s="39">
        <f t="shared" si="8"/>
        <v>0</v>
      </c>
      <c r="BG17" s="106">
        <f t="shared" si="9"/>
        <v>0</v>
      </c>
      <c r="BH17" s="178">
        <f t="shared" si="23"/>
        <v>0</v>
      </c>
      <c r="BI17" s="42"/>
      <c r="BJ17" s="842"/>
      <c r="BK17" s="842"/>
      <c r="BM17" s="842"/>
      <c r="BN17" s="842"/>
    </row>
    <row r="18" spans="1:66" s="2" customFormat="1" ht="103.95" customHeight="1" outlineLevel="2" x14ac:dyDescent="0.25">
      <c r="A18" s="238"/>
      <c r="B18" s="471" t="s">
        <v>0</v>
      </c>
      <c r="C18" s="111">
        <v>10000</v>
      </c>
      <c r="D18" s="445"/>
      <c r="E18" s="446">
        <f t="shared" si="10"/>
        <v>10000</v>
      </c>
      <c r="F18" s="447">
        <f t="shared" si="0"/>
        <v>2.3553203270974656E-3</v>
      </c>
      <c r="G18" s="452">
        <v>5400</v>
      </c>
      <c r="H18" s="452">
        <v>11520</v>
      </c>
      <c r="I18" s="453">
        <v>16920</v>
      </c>
      <c r="J18" s="450">
        <v>1.5008042037935767E-3</v>
      </c>
      <c r="K18" s="447"/>
      <c r="L18" s="452"/>
      <c r="M18" s="452"/>
      <c r="N18" s="453">
        <f t="shared" si="11"/>
        <v>0</v>
      </c>
      <c r="O18" s="450">
        <f t="shared" si="12"/>
        <v>0</v>
      </c>
      <c r="P18" s="458"/>
      <c r="Q18" s="452"/>
      <c r="R18" s="452"/>
      <c r="S18" s="453">
        <f t="shared" si="13"/>
        <v>0</v>
      </c>
      <c r="T18" s="450">
        <f t="shared" si="2"/>
        <v>0</v>
      </c>
      <c r="U18" s="458"/>
      <c r="V18" s="452"/>
      <c r="W18" s="452"/>
      <c r="X18" s="453">
        <f t="shared" si="14"/>
        <v>0</v>
      </c>
      <c r="Y18" s="450" t="e">
        <f t="shared" si="15"/>
        <v>#DIV/0!</v>
      </c>
      <c r="Z18" s="458"/>
      <c r="AA18" s="452"/>
      <c r="AB18" s="452"/>
      <c r="AC18" s="453">
        <f t="shared" si="16"/>
        <v>0</v>
      </c>
      <c r="AD18" s="450" t="e">
        <f t="shared" si="3"/>
        <v>#DIV/0!</v>
      </c>
      <c r="AE18" s="458"/>
      <c r="AF18" s="452"/>
      <c r="AG18" s="452"/>
      <c r="AH18" s="453">
        <f t="shared" si="17"/>
        <v>0</v>
      </c>
      <c r="AI18" s="450" t="e">
        <f t="shared" si="4"/>
        <v>#DIV/0!</v>
      </c>
      <c r="AJ18" s="458"/>
      <c r="AK18" s="452"/>
      <c r="AL18" s="452"/>
      <c r="AM18" s="453">
        <f t="shared" si="18"/>
        <v>0</v>
      </c>
      <c r="AN18" s="450" t="e">
        <f t="shared" si="1"/>
        <v>#DIV/0!</v>
      </c>
      <c r="AO18" s="458"/>
      <c r="AP18" s="452"/>
      <c r="AQ18" s="452"/>
      <c r="AR18" s="453">
        <f t="shared" si="19"/>
        <v>0</v>
      </c>
      <c r="AS18" s="450" t="e">
        <f t="shared" si="20"/>
        <v>#DIV/0!</v>
      </c>
      <c r="AT18" s="458"/>
      <c r="AU18" s="452"/>
      <c r="AV18" s="452"/>
      <c r="AW18" s="453">
        <f t="shared" si="21"/>
        <v>0</v>
      </c>
      <c r="AX18" s="450">
        <f t="shared" si="5"/>
        <v>0</v>
      </c>
      <c r="AY18" s="458"/>
      <c r="AZ18" s="452"/>
      <c r="BA18" s="452"/>
      <c r="BB18" s="453">
        <f t="shared" si="22"/>
        <v>0</v>
      </c>
      <c r="BC18" s="450" t="e">
        <f t="shared" si="6"/>
        <v>#DIV/0!</v>
      </c>
      <c r="BD18" s="458"/>
      <c r="BE18" s="39">
        <f t="shared" si="7"/>
        <v>5400</v>
      </c>
      <c r="BF18" s="39">
        <f t="shared" si="8"/>
        <v>11520</v>
      </c>
      <c r="BG18" s="106">
        <f t="shared" si="9"/>
        <v>16920</v>
      </c>
      <c r="BH18" s="178">
        <f t="shared" si="23"/>
        <v>1.4807560628992496E-3</v>
      </c>
      <c r="BI18" s="42"/>
      <c r="BJ18" s="842"/>
      <c r="BK18" s="842"/>
      <c r="BM18" s="842"/>
      <c r="BN18" s="842"/>
    </row>
    <row r="19" spans="1:66" s="2" customFormat="1" ht="40.950000000000003" customHeight="1" outlineLevel="2" x14ac:dyDescent="0.25">
      <c r="A19" s="238"/>
      <c r="B19" s="471" t="s">
        <v>53</v>
      </c>
      <c r="C19" s="114">
        <v>88000</v>
      </c>
      <c r="D19" s="445"/>
      <c r="E19" s="446">
        <f t="shared" si="10"/>
        <v>88000</v>
      </c>
      <c r="F19" s="447">
        <f t="shared" si="0"/>
        <v>2.07268188784577E-2</v>
      </c>
      <c r="G19" s="452">
        <v>63510</v>
      </c>
      <c r="H19" s="452">
        <v>1500</v>
      </c>
      <c r="I19" s="453">
        <v>65010</v>
      </c>
      <c r="J19" s="450">
        <v>5.7663877830153917E-3</v>
      </c>
      <c r="K19" s="447"/>
      <c r="L19" s="452"/>
      <c r="M19" s="452"/>
      <c r="N19" s="453">
        <f t="shared" si="11"/>
        <v>0</v>
      </c>
      <c r="O19" s="450">
        <f t="shared" si="12"/>
        <v>0</v>
      </c>
      <c r="P19" s="458"/>
      <c r="Q19" s="452"/>
      <c r="R19" s="452"/>
      <c r="S19" s="453">
        <f t="shared" si="13"/>
        <v>0</v>
      </c>
      <c r="T19" s="450">
        <f t="shared" si="2"/>
        <v>0</v>
      </c>
      <c r="U19" s="458"/>
      <c r="V19" s="452"/>
      <c r="W19" s="452"/>
      <c r="X19" s="453">
        <f t="shared" si="14"/>
        <v>0</v>
      </c>
      <c r="Y19" s="450" t="e">
        <f t="shared" si="15"/>
        <v>#DIV/0!</v>
      </c>
      <c r="Z19" s="458"/>
      <c r="AA19" s="452"/>
      <c r="AB19" s="452"/>
      <c r="AC19" s="453">
        <f t="shared" si="16"/>
        <v>0</v>
      </c>
      <c r="AD19" s="450" t="e">
        <f t="shared" si="3"/>
        <v>#DIV/0!</v>
      </c>
      <c r="AE19" s="458"/>
      <c r="AF19" s="452"/>
      <c r="AG19" s="452"/>
      <c r="AH19" s="453">
        <f t="shared" si="17"/>
        <v>0</v>
      </c>
      <c r="AI19" s="450" t="e">
        <f t="shared" si="4"/>
        <v>#DIV/0!</v>
      </c>
      <c r="AJ19" s="458"/>
      <c r="AK19" s="452"/>
      <c r="AL19" s="452"/>
      <c r="AM19" s="453">
        <f t="shared" si="18"/>
        <v>0</v>
      </c>
      <c r="AN19" s="450" t="e">
        <f t="shared" si="1"/>
        <v>#DIV/0!</v>
      </c>
      <c r="AO19" s="458"/>
      <c r="AP19" s="452"/>
      <c r="AQ19" s="452"/>
      <c r="AR19" s="453">
        <f t="shared" si="19"/>
        <v>0</v>
      </c>
      <c r="AS19" s="450" t="e">
        <f t="shared" si="20"/>
        <v>#DIV/0!</v>
      </c>
      <c r="AT19" s="458"/>
      <c r="AU19" s="452"/>
      <c r="AV19" s="452"/>
      <c r="AW19" s="453">
        <f t="shared" si="21"/>
        <v>0</v>
      </c>
      <c r="AX19" s="450">
        <f t="shared" si="5"/>
        <v>0</v>
      </c>
      <c r="AY19" s="458"/>
      <c r="AZ19" s="452"/>
      <c r="BA19" s="452"/>
      <c r="BB19" s="453">
        <f t="shared" si="22"/>
        <v>0</v>
      </c>
      <c r="BC19" s="450" t="e">
        <f t="shared" si="6"/>
        <v>#DIV/0!</v>
      </c>
      <c r="BD19" s="458"/>
      <c r="BE19" s="39">
        <f t="shared" si="7"/>
        <v>63510</v>
      </c>
      <c r="BF19" s="39">
        <f t="shared" si="8"/>
        <v>1500</v>
      </c>
      <c r="BG19" s="106">
        <f t="shared" si="9"/>
        <v>65010</v>
      </c>
      <c r="BH19" s="178">
        <f t="shared" si="23"/>
        <v>5.6893588445082865E-3</v>
      </c>
      <c r="BI19" s="42"/>
      <c r="BJ19" s="842"/>
      <c r="BK19" s="842"/>
      <c r="BM19" s="842"/>
      <c r="BN19" s="842"/>
    </row>
    <row r="20" spans="1:66" s="2" customFormat="1" ht="28.95" customHeight="1" outlineLevel="2" x14ac:dyDescent="0.25">
      <c r="A20" s="238"/>
      <c r="B20" s="471" t="s">
        <v>57</v>
      </c>
      <c r="C20" s="114"/>
      <c r="D20" s="445"/>
      <c r="E20" s="446">
        <f t="shared" si="10"/>
        <v>0</v>
      </c>
      <c r="F20" s="447">
        <f t="shared" si="0"/>
        <v>0</v>
      </c>
      <c r="G20" s="452">
        <v>0</v>
      </c>
      <c r="H20" s="452">
        <v>0</v>
      </c>
      <c r="I20" s="453">
        <v>0</v>
      </c>
      <c r="J20" s="450">
        <v>0</v>
      </c>
      <c r="K20" s="447"/>
      <c r="L20" s="452"/>
      <c r="M20" s="452"/>
      <c r="N20" s="453">
        <f t="shared" si="11"/>
        <v>0</v>
      </c>
      <c r="O20" s="450">
        <f t="shared" si="12"/>
        <v>0</v>
      </c>
      <c r="P20" s="458"/>
      <c r="Q20" s="452"/>
      <c r="R20" s="452"/>
      <c r="S20" s="453">
        <f t="shared" si="13"/>
        <v>0</v>
      </c>
      <c r="T20" s="450">
        <f t="shared" si="2"/>
        <v>0</v>
      </c>
      <c r="U20" s="458"/>
      <c r="V20" s="452"/>
      <c r="W20" s="452"/>
      <c r="X20" s="453">
        <f t="shared" si="14"/>
        <v>0</v>
      </c>
      <c r="Y20" s="450" t="e">
        <f t="shared" si="15"/>
        <v>#DIV/0!</v>
      </c>
      <c r="Z20" s="458"/>
      <c r="AA20" s="452"/>
      <c r="AB20" s="452"/>
      <c r="AC20" s="453">
        <f t="shared" si="16"/>
        <v>0</v>
      </c>
      <c r="AD20" s="450" t="e">
        <f t="shared" si="3"/>
        <v>#DIV/0!</v>
      </c>
      <c r="AE20" s="458"/>
      <c r="AF20" s="452"/>
      <c r="AG20" s="452"/>
      <c r="AH20" s="453">
        <f t="shared" si="17"/>
        <v>0</v>
      </c>
      <c r="AI20" s="450" t="e">
        <f t="shared" si="4"/>
        <v>#DIV/0!</v>
      </c>
      <c r="AJ20" s="458"/>
      <c r="AK20" s="452"/>
      <c r="AL20" s="452"/>
      <c r="AM20" s="453">
        <f t="shared" si="18"/>
        <v>0</v>
      </c>
      <c r="AN20" s="450" t="e">
        <f t="shared" si="1"/>
        <v>#DIV/0!</v>
      </c>
      <c r="AO20" s="458"/>
      <c r="AP20" s="452"/>
      <c r="AQ20" s="452"/>
      <c r="AR20" s="453">
        <f t="shared" si="19"/>
        <v>0</v>
      </c>
      <c r="AS20" s="450" t="e">
        <f t="shared" si="20"/>
        <v>#DIV/0!</v>
      </c>
      <c r="AT20" s="458"/>
      <c r="AU20" s="452"/>
      <c r="AV20" s="452"/>
      <c r="AW20" s="453">
        <f t="shared" si="21"/>
        <v>0</v>
      </c>
      <c r="AX20" s="450">
        <f t="shared" si="5"/>
        <v>0</v>
      </c>
      <c r="AY20" s="458"/>
      <c r="AZ20" s="452"/>
      <c r="BA20" s="452"/>
      <c r="BB20" s="453">
        <f t="shared" si="22"/>
        <v>0</v>
      </c>
      <c r="BC20" s="450" t="e">
        <f t="shared" si="6"/>
        <v>#DIV/0!</v>
      </c>
      <c r="BD20" s="458"/>
      <c r="BE20" s="39">
        <f t="shared" si="7"/>
        <v>0</v>
      </c>
      <c r="BF20" s="39">
        <f t="shared" si="8"/>
        <v>0</v>
      </c>
      <c r="BG20" s="106">
        <f t="shared" si="9"/>
        <v>0</v>
      </c>
      <c r="BH20" s="178">
        <f t="shared" si="23"/>
        <v>0</v>
      </c>
      <c r="BI20" s="42"/>
      <c r="BJ20" s="842"/>
      <c r="BK20" s="842"/>
      <c r="BM20" s="842"/>
      <c r="BN20" s="842"/>
    </row>
    <row r="21" spans="1:66" s="2" customFormat="1" ht="13.8" outlineLevel="2" x14ac:dyDescent="0.25">
      <c r="A21" s="238"/>
      <c r="B21" s="471" t="s">
        <v>58</v>
      </c>
      <c r="C21" s="114">
        <v>941684</v>
      </c>
      <c r="D21" s="445"/>
      <c r="E21" s="446">
        <f t="shared" si="10"/>
        <v>941684</v>
      </c>
      <c r="F21" s="447">
        <f t="shared" si="0"/>
        <v>0.22179674669024499</v>
      </c>
      <c r="G21" s="452">
        <v>1166309.8500000001</v>
      </c>
      <c r="H21" s="452">
        <v>0</v>
      </c>
      <c r="I21" s="453">
        <v>1166309.8500000001</v>
      </c>
      <c r="J21" s="450">
        <v>0.10345169774266288</v>
      </c>
      <c r="K21" s="447"/>
      <c r="L21" s="452">
        <v>1700</v>
      </c>
      <c r="M21" s="452"/>
      <c r="N21" s="453">
        <f t="shared" si="11"/>
        <v>1700</v>
      </c>
      <c r="O21" s="450">
        <f t="shared" si="12"/>
        <v>5.6923179306048094E-2</v>
      </c>
      <c r="P21" s="458" t="s">
        <v>1000</v>
      </c>
      <c r="Q21" s="452"/>
      <c r="R21" s="452"/>
      <c r="S21" s="453">
        <f t="shared" si="13"/>
        <v>0</v>
      </c>
      <c r="T21" s="450">
        <f t="shared" si="2"/>
        <v>0</v>
      </c>
      <c r="U21" s="458"/>
      <c r="V21" s="452"/>
      <c r="W21" s="452"/>
      <c r="X21" s="453">
        <f t="shared" si="14"/>
        <v>0</v>
      </c>
      <c r="Y21" s="450" t="e">
        <f t="shared" si="15"/>
        <v>#DIV/0!</v>
      </c>
      <c r="Z21" s="458"/>
      <c r="AA21" s="452"/>
      <c r="AB21" s="452"/>
      <c r="AC21" s="453">
        <f t="shared" si="16"/>
        <v>0</v>
      </c>
      <c r="AD21" s="450" t="e">
        <f t="shared" si="3"/>
        <v>#DIV/0!</v>
      </c>
      <c r="AE21" s="458"/>
      <c r="AF21" s="452"/>
      <c r="AG21" s="452"/>
      <c r="AH21" s="453">
        <f t="shared" si="17"/>
        <v>0</v>
      </c>
      <c r="AI21" s="450" t="e">
        <f t="shared" si="4"/>
        <v>#DIV/0!</v>
      </c>
      <c r="AJ21" s="458"/>
      <c r="AK21" s="452"/>
      <c r="AL21" s="452"/>
      <c r="AM21" s="453">
        <f t="shared" si="18"/>
        <v>0</v>
      </c>
      <c r="AN21" s="450" t="e">
        <f t="shared" si="1"/>
        <v>#DIV/0!</v>
      </c>
      <c r="AO21" s="458"/>
      <c r="AP21" s="452"/>
      <c r="AQ21" s="452"/>
      <c r="AR21" s="453">
        <f t="shared" si="19"/>
        <v>0</v>
      </c>
      <c r="AS21" s="450" t="e">
        <f t="shared" si="20"/>
        <v>#DIV/0!</v>
      </c>
      <c r="AT21" s="458"/>
      <c r="AU21" s="452"/>
      <c r="AV21" s="452"/>
      <c r="AW21" s="453">
        <f t="shared" si="21"/>
        <v>0</v>
      </c>
      <c r="AX21" s="450">
        <f t="shared" si="5"/>
        <v>0</v>
      </c>
      <c r="AY21" s="458"/>
      <c r="AZ21" s="452"/>
      <c r="BA21" s="452"/>
      <c r="BB21" s="453">
        <f t="shared" si="22"/>
        <v>0</v>
      </c>
      <c r="BC21" s="450" t="e">
        <f t="shared" si="6"/>
        <v>#DIV/0!</v>
      </c>
      <c r="BD21" s="458"/>
      <c r="BE21" s="39">
        <f t="shared" si="7"/>
        <v>1168009.8500000001</v>
      </c>
      <c r="BF21" s="39">
        <f t="shared" si="8"/>
        <v>0</v>
      </c>
      <c r="BG21" s="106">
        <f t="shared" si="9"/>
        <v>1168009.8500000001</v>
      </c>
      <c r="BH21" s="178">
        <f t="shared" si="23"/>
        <v>0.10221853823366094</v>
      </c>
      <c r="BI21" s="42"/>
      <c r="BJ21" s="842"/>
      <c r="BK21" s="842"/>
      <c r="BM21" s="842"/>
      <c r="BN21" s="842"/>
    </row>
    <row r="22" spans="1:66" s="2" customFormat="1" ht="13.8" outlineLevel="2" x14ac:dyDescent="0.25">
      <c r="A22" s="238"/>
      <c r="B22" s="471" t="s">
        <v>621</v>
      </c>
      <c r="C22" s="114">
        <v>90000</v>
      </c>
      <c r="D22" s="445"/>
      <c r="E22" s="446">
        <f t="shared" si="10"/>
        <v>90000</v>
      </c>
      <c r="F22" s="447"/>
      <c r="G22" s="452">
        <v>206380.128</v>
      </c>
      <c r="H22" s="452">
        <v>6900</v>
      </c>
      <c r="I22" s="453">
        <v>213280.128</v>
      </c>
      <c r="J22" s="450"/>
      <c r="K22" s="447"/>
      <c r="L22" s="452"/>
      <c r="M22" s="452"/>
      <c r="N22" s="453">
        <f t="shared" si="11"/>
        <v>0</v>
      </c>
      <c r="O22" s="450">
        <f t="shared" si="12"/>
        <v>0</v>
      </c>
      <c r="P22" s="458"/>
      <c r="Q22" s="452"/>
      <c r="R22" s="452"/>
      <c r="S22" s="453">
        <f t="shared" si="13"/>
        <v>0</v>
      </c>
      <c r="T22" s="450">
        <f t="shared" si="2"/>
        <v>0</v>
      </c>
      <c r="U22" s="458"/>
      <c r="V22" s="452"/>
      <c r="W22" s="452"/>
      <c r="X22" s="453">
        <f t="shared" si="14"/>
        <v>0</v>
      </c>
      <c r="Y22" s="450" t="e">
        <f t="shared" si="15"/>
        <v>#DIV/0!</v>
      </c>
      <c r="Z22" s="458"/>
      <c r="AA22" s="452"/>
      <c r="AB22" s="452"/>
      <c r="AC22" s="453">
        <f t="shared" si="16"/>
        <v>0</v>
      </c>
      <c r="AD22" s="450" t="e">
        <f t="shared" si="3"/>
        <v>#DIV/0!</v>
      </c>
      <c r="AE22" s="458"/>
      <c r="AF22" s="452"/>
      <c r="AG22" s="452"/>
      <c r="AH22" s="453">
        <f t="shared" si="17"/>
        <v>0</v>
      </c>
      <c r="AI22" s="450" t="e">
        <f t="shared" si="4"/>
        <v>#DIV/0!</v>
      </c>
      <c r="AJ22" s="458"/>
      <c r="AK22" s="452"/>
      <c r="AL22" s="452"/>
      <c r="AM22" s="453">
        <f t="shared" si="18"/>
        <v>0</v>
      </c>
      <c r="AN22" s="450" t="e">
        <f t="shared" si="1"/>
        <v>#DIV/0!</v>
      </c>
      <c r="AO22" s="458"/>
      <c r="AP22" s="452"/>
      <c r="AQ22" s="452"/>
      <c r="AR22" s="453">
        <f t="shared" si="19"/>
        <v>0</v>
      </c>
      <c r="AS22" s="450" t="e">
        <f t="shared" si="20"/>
        <v>#DIV/0!</v>
      </c>
      <c r="AT22" s="458"/>
      <c r="AU22" s="452"/>
      <c r="AV22" s="452"/>
      <c r="AW22" s="453">
        <f t="shared" si="21"/>
        <v>0</v>
      </c>
      <c r="AX22" s="450">
        <f t="shared" si="5"/>
        <v>0</v>
      </c>
      <c r="AY22" s="458"/>
      <c r="AZ22" s="452"/>
      <c r="BA22" s="452"/>
      <c r="BB22" s="453">
        <f t="shared" si="22"/>
        <v>0</v>
      </c>
      <c r="BC22" s="450" t="e">
        <f t="shared" si="6"/>
        <v>#DIV/0!</v>
      </c>
      <c r="BD22" s="458"/>
      <c r="BE22" s="39">
        <f t="shared" si="7"/>
        <v>206380.128</v>
      </c>
      <c r="BF22" s="39">
        <f t="shared" si="8"/>
        <v>6900</v>
      </c>
      <c r="BG22" s="106">
        <f t="shared" si="9"/>
        <v>213280.128</v>
      </c>
      <c r="BH22" s="450"/>
      <c r="BI22" s="456"/>
      <c r="BJ22" s="842"/>
      <c r="BK22" s="842"/>
      <c r="BM22" s="842"/>
      <c r="BN22" s="842"/>
    </row>
    <row r="23" spans="1:66" s="2" customFormat="1" ht="13.8" outlineLevel="2" x14ac:dyDescent="0.25">
      <c r="A23" s="238"/>
      <c r="B23" s="471" t="s">
        <v>630</v>
      </c>
      <c r="C23" s="114"/>
      <c r="D23" s="445"/>
      <c r="E23" s="446">
        <f t="shared" si="10"/>
        <v>0</v>
      </c>
      <c r="F23" s="447"/>
      <c r="G23" s="452">
        <v>0</v>
      </c>
      <c r="H23" s="452">
        <v>0</v>
      </c>
      <c r="I23" s="453">
        <v>0</v>
      </c>
      <c r="J23" s="450"/>
      <c r="K23" s="447"/>
      <c r="L23" s="452"/>
      <c r="M23" s="452"/>
      <c r="N23" s="453"/>
      <c r="O23" s="450">
        <f t="shared" si="12"/>
        <v>0</v>
      </c>
      <c r="P23" s="458"/>
      <c r="Q23" s="452"/>
      <c r="R23" s="452"/>
      <c r="S23" s="453"/>
      <c r="T23" s="450">
        <f t="shared" si="2"/>
        <v>0</v>
      </c>
      <c r="U23" s="458"/>
      <c r="V23" s="452"/>
      <c r="W23" s="452"/>
      <c r="X23" s="453"/>
      <c r="Y23" s="450" t="e">
        <f t="shared" si="15"/>
        <v>#DIV/0!</v>
      </c>
      <c r="Z23" s="458"/>
      <c r="AA23" s="452"/>
      <c r="AB23" s="452"/>
      <c r="AC23" s="453"/>
      <c r="AD23" s="450" t="e">
        <f t="shared" si="3"/>
        <v>#DIV/0!</v>
      </c>
      <c r="AE23" s="458"/>
      <c r="AF23" s="452"/>
      <c r="AG23" s="452"/>
      <c r="AH23" s="453"/>
      <c r="AI23" s="450" t="e">
        <f t="shared" si="4"/>
        <v>#DIV/0!</v>
      </c>
      <c r="AJ23" s="458"/>
      <c r="AK23" s="452"/>
      <c r="AL23" s="452"/>
      <c r="AM23" s="453"/>
      <c r="AN23" s="450" t="e">
        <f t="shared" si="1"/>
        <v>#DIV/0!</v>
      </c>
      <c r="AO23" s="458"/>
      <c r="AP23" s="452"/>
      <c r="AQ23" s="452"/>
      <c r="AR23" s="453"/>
      <c r="AS23" s="450" t="e">
        <f t="shared" si="20"/>
        <v>#DIV/0!</v>
      </c>
      <c r="AT23" s="458"/>
      <c r="AU23" s="452"/>
      <c r="AV23" s="452"/>
      <c r="AW23" s="453"/>
      <c r="AX23" s="450">
        <f t="shared" si="5"/>
        <v>0</v>
      </c>
      <c r="AY23" s="458"/>
      <c r="AZ23" s="452"/>
      <c r="BA23" s="452"/>
      <c r="BB23" s="453"/>
      <c r="BC23" s="450" t="e">
        <f t="shared" si="6"/>
        <v>#DIV/0!</v>
      </c>
      <c r="BD23" s="458"/>
      <c r="BE23" s="39">
        <f t="shared" si="7"/>
        <v>0</v>
      </c>
      <c r="BF23" s="39">
        <f t="shared" si="8"/>
        <v>0</v>
      </c>
      <c r="BG23" s="106">
        <f t="shared" si="9"/>
        <v>0</v>
      </c>
      <c r="BH23" s="450"/>
      <c r="BI23" s="456"/>
      <c r="BJ23" s="842"/>
      <c r="BK23" s="842"/>
      <c r="BM23" s="842"/>
      <c r="BN23" s="842"/>
    </row>
    <row r="24" spans="1:66" s="2" customFormat="1" ht="109.95" customHeight="1" outlineLevel="2" x14ac:dyDescent="0.25">
      <c r="A24" s="238"/>
      <c r="B24" s="471" t="s">
        <v>23</v>
      </c>
      <c r="C24" s="114">
        <v>8000</v>
      </c>
      <c r="D24" s="445"/>
      <c r="E24" s="446">
        <f t="shared" si="10"/>
        <v>8000</v>
      </c>
      <c r="F24" s="447">
        <f t="shared" ref="F24:F33" si="24">E24/$E$89</f>
        <v>1.8842562616779726E-3</v>
      </c>
      <c r="G24" s="452">
        <v>298099.99199999997</v>
      </c>
      <c r="H24" s="452">
        <v>750</v>
      </c>
      <c r="I24" s="453">
        <v>298849.99199999997</v>
      </c>
      <c r="J24" s="450">
        <v>2.6507997889909971E-2</v>
      </c>
      <c r="K24" s="447"/>
      <c r="L24" s="452"/>
      <c r="M24" s="452"/>
      <c r="N24" s="453">
        <f t="shared" ref="N24:N33" si="25">L24+M24*1</f>
        <v>0</v>
      </c>
      <c r="O24" s="450">
        <f t="shared" si="12"/>
        <v>0</v>
      </c>
      <c r="P24" s="458"/>
      <c r="Q24" s="452"/>
      <c r="R24" s="452"/>
      <c r="S24" s="453">
        <f t="shared" ref="S24:S33" si="26">Q24+R24*1</f>
        <v>0</v>
      </c>
      <c r="T24" s="450">
        <f t="shared" si="2"/>
        <v>0</v>
      </c>
      <c r="U24" s="458"/>
      <c r="V24" s="452"/>
      <c r="W24" s="452"/>
      <c r="X24" s="453">
        <f t="shared" ref="X24:X33" si="27">V24+W24*1</f>
        <v>0</v>
      </c>
      <c r="Y24" s="450" t="e">
        <f t="shared" si="15"/>
        <v>#DIV/0!</v>
      </c>
      <c r="Z24" s="458"/>
      <c r="AA24" s="452"/>
      <c r="AB24" s="452"/>
      <c r="AC24" s="453">
        <f t="shared" ref="AC24:AC33" si="28">AA24+AB24*1</f>
        <v>0</v>
      </c>
      <c r="AD24" s="450" t="e">
        <f t="shared" si="3"/>
        <v>#DIV/0!</v>
      </c>
      <c r="AE24" s="458"/>
      <c r="AF24" s="452"/>
      <c r="AG24" s="452"/>
      <c r="AH24" s="453">
        <f t="shared" ref="AH24:AH33" si="29">AF24+AG24*1</f>
        <v>0</v>
      </c>
      <c r="AI24" s="450" t="e">
        <f t="shared" si="4"/>
        <v>#DIV/0!</v>
      </c>
      <c r="AJ24" s="458"/>
      <c r="AK24" s="452"/>
      <c r="AL24" s="452"/>
      <c r="AM24" s="453">
        <f t="shared" ref="AM24:AM33" si="30">AK24+AL24*1</f>
        <v>0</v>
      </c>
      <c r="AN24" s="450" t="e">
        <f t="shared" si="1"/>
        <v>#DIV/0!</v>
      </c>
      <c r="AO24" s="458"/>
      <c r="AP24" s="452"/>
      <c r="AQ24" s="452"/>
      <c r="AR24" s="453">
        <f t="shared" ref="AR24:AR33" si="31">AP24+AQ24*1</f>
        <v>0</v>
      </c>
      <c r="AS24" s="450" t="e">
        <f t="shared" si="20"/>
        <v>#DIV/0!</v>
      </c>
      <c r="AT24" s="458"/>
      <c r="AU24" s="452"/>
      <c r="AV24" s="452"/>
      <c r="AW24" s="453">
        <f t="shared" ref="AW24:AW33" si="32">AU24+AV24*1</f>
        <v>0</v>
      </c>
      <c r="AX24" s="450">
        <f t="shared" si="5"/>
        <v>0</v>
      </c>
      <c r="AY24" s="458"/>
      <c r="AZ24" s="452"/>
      <c r="BA24" s="452"/>
      <c r="BB24" s="453">
        <f t="shared" ref="BB24:BB33" si="33">AZ24+BA24*1</f>
        <v>0</v>
      </c>
      <c r="BC24" s="450" t="e">
        <f t="shared" si="6"/>
        <v>#DIV/0!</v>
      </c>
      <c r="BD24" s="458" t="s">
        <v>744</v>
      </c>
      <c r="BE24" s="39">
        <f t="shared" si="7"/>
        <v>298099.99199999997</v>
      </c>
      <c r="BF24" s="39">
        <f t="shared" si="8"/>
        <v>750</v>
      </c>
      <c r="BG24" s="106">
        <f t="shared" si="9"/>
        <v>298849.99199999997</v>
      </c>
      <c r="BH24" s="178">
        <f t="shared" ref="BH24:BH33" si="34">BG24/$BG$89</f>
        <v>2.6153897018403791E-2</v>
      </c>
      <c r="BI24" s="42"/>
      <c r="BJ24" s="842"/>
      <c r="BK24" s="842"/>
      <c r="BM24" s="842"/>
      <c r="BN24" s="842"/>
    </row>
    <row r="25" spans="1:66" s="2" customFormat="1" ht="39" customHeight="1" outlineLevel="2" x14ac:dyDescent="0.25">
      <c r="A25" s="238"/>
      <c r="B25" s="471" t="s">
        <v>24</v>
      </c>
      <c r="C25" s="114">
        <v>174407</v>
      </c>
      <c r="D25" s="445"/>
      <c r="E25" s="446">
        <f t="shared" si="10"/>
        <v>174407</v>
      </c>
      <c r="F25" s="447">
        <f t="shared" si="24"/>
        <v>4.1078435228808774E-2</v>
      </c>
      <c r="G25" s="452">
        <v>143397.57599999997</v>
      </c>
      <c r="H25" s="452">
        <v>13423</v>
      </c>
      <c r="I25" s="453">
        <v>156820.57599999997</v>
      </c>
      <c r="J25" s="450">
        <v>1.3909986980031326E-2</v>
      </c>
      <c r="K25" s="447"/>
      <c r="L25" s="452"/>
      <c r="M25" s="452">
        <v>1820</v>
      </c>
      <c r="N25" s="453">
        <f t="shared" si="25"/>
        <v>1820</v>
      </c>
      <c r="O25" s="450">
        <f t="shared" si="12"/>
        <v>6.0941286080592669E-2</v>
      </c>
      <c r="P25" s="458"/>
      <c r="Q25" s="452">
        <f>272*1.2</f>
        <v>326.39999999999998</v>
      </c>
      <c r="R25" s="452"/>
      <c r="S25" s="453">
        <f t="shared" si="26"/>
        <v>326.39999999999998</v>
      </c>
      <c r="T25" s="450">
        <f t="shared" si="2"/>
        <v>2.6585286311126954E-3</v>
      </c>
      <c r="U25" s="458"/>
      <c r="V25" s="452"/>
      <c r="W25" s="452"/>
      <c r="X25" s="453">
        <f t="shared" si="27"/>
        <v>0</v>
      </c>
      <c r="Y25" s="450" t="e">
        <f t="shared" si="15"/>
        <v>#DIV/0!</v>
      </c>
      <c r="Z25" s="458"/>
      <c r="AA25" s="452"/>
      <c r="AB25" s="452"/>
      <c r="AC25" s="453">
        <f t="shared" si="28"/>
        <v>0</v>
      </c>
      <c r="AD25" s="450" t="e">
        <f t="shared" si="3"/>
        <v>#DIV/0!</v>
      </c>
      <c r="AE25" s="458"/>
      <c r="AF25" s="452"/>
      <c r="AG25" s="452"/>
      <c r="AH25" s="453">
        <f t="shared" si="29"/>
        <v>0</v>
      </c>
      <c r="AI25" s="450" t="e">
        <f t="shared" si="4"/>
        <v>#DIV/0!</v>
      </c>
      <c r="AJ25" s="458"/>
      <c r="AK25" s="452"/>
      <c r="AL25" s="452"/>
      <c r="AM25" s="453">
        <f t="shared" si="30"/>
        <v>0</v>
      </c>
      <c r="AN25" s="450" t="e">
        <f t="shared" si="1"/>
        <v>#DIV/0!</v>
      </c>
      <c r="AO25" s="458"/>
      <c r="AP25" s="452"/>
      <c r="AQ25" s="452"/>
      <c r="AR25" s="453">
        <f t="shared" si="31"/>
        <v>0</v>
      </c>
      <c r="AS25" s="450" t="e">
        <f t="shared" si="20"/>
        <v>#DIV/0!</v>
      </c>
      <c r="AT25" s="458"/>
      <c r="AU25" s="452"/>
      <c r="AV25" s="452">
        <v>0</v>
      </c>
      <c r="AW25" s="453">
        <f t="shared" si="32"/>
        <v>0</v>
      </c>
      <c r="AX25" s="450">
        <f t="shared" si="5"/>
        <v>0</v>
      </c>
      <c r="AY25" s="458"/>
      <c r="AZ25" s="452"/>
      <c r="BA25" s="452"/>
      <c r="BB25" s="453">
        <f t="shared" si="33"/>
        <v>0</v>
      </c>
      <c r="BC25" s="450" t="e">
        <f t="shared" si="6"/>
        <v>#DIV/0!</v>
      </c>
      <c r="BD25" s="458"/>
      <c r="BE25" s="39">
        <f t="shared" si="7"/>
        <v>143723.97599999997</v>
      </c>
      <c r="BF25" s="39">
        <f t="shared" si="8"/>
        <v>15243</v>
      </c>
      <c r="BG25" s="106">
        <f t="shared" si="9"/>
        <v>158966.97599999997</v>
      </c>
      <c r="BH25" s="178">
        <f t="shared" si="34"/>
        <v>1.3912016165056704E-2</v>
      </c>
      <c r="BI25" s="42"/>
      <c r="BJ25" s="842"/>
      <c r="BK25" s="842"/>
      <c r="BM25" s="842"/>
      <c r="BN25" s="842"/>
    </row>
    <row r="26" spans="1:66" s="226" customFormat="1" ht="51" customHeight="1" outlineLevel="2" x14ac:dyDescent="0.25">
      <c r="A26" s="238"/>
      <c r="B26" s="496" t="s">
        <v>45</v>
      </c>
      <c r="C26" s="114">
        <v>183427</v>
      </c>
      <c r="D26" s="445"/>
      <c r="E26" s="446">
        <f t="shared" si="10"/>
        <v>183427</v>
      </c>
      <c r="F26" s="447">
        <f t="shared" si="24"/>
        <v>4.3202934163850688E-2</v>
      </c>
      <c r="G26" s="452">
        <v>2912421.1079999995</v>
      </c>
      <c r="H26" s="452">
        <v>0</v>
      </c>
      <c r="I26" s="453">
        <v>2912421.1079999995</v>
      </c>
      <c r="J26" s="450">
        <v>0.25833178735836559</v>
      </c>
      <c r="K26" s="447"/>
      <c r="L26" s="452"/>
      <c r="M26" s="452"/>
      <c r="N26" s="453">
        <f t="shared" si="25"/>
        <v>0</v>
      </c>
      <c r="O26" s="450">
        <f t="shared" si="12"/>
        <v>0</v>
      </c>
      <c r="P26" s="458"/>
      <c r="Q26" s="947">
        <f>15084.84*1.2</f>
        <v>18101.808000000001</v>
      </c>
      <c r="R26" s="452"/>
      <c r="S26" s="453">
        <f t="shared" si="26"/>
        <v>18101.808000000001</v>
      </c>
      <c r="T26" s="450">
        <f t="shared" si="2"/>
        <v>0.14743926116086042</v>
      </c>
      <c r="U26" s="458"/>
      <c r="V26" s="452"/>
      <c r="W26" s="452"/>
      <c r="X26" s="453">
        <f t="shared" si="27"/>
        <v>0</v>
      </c>
      <c r="Y26" s="450" t="e">
        <f t="shared" si="15"/>
        <v>#DIV/0!</v>
      </c>
      <c r="Z26" s="458"/>
      <c r="AA26" s="947"/>
      <c r="AB26" s="452"/>
      <c r="AC26" s="453">
        <f t="shared" si="28"/>
        <v>0</v>
      </c>
      <c r="AD26" s="450" t="e">
        <f t="shared" si="3"/>
        <v>#DIV/0!</v>
      </c>
      <c r="AE26" s="458"/>
      <c r="AF26" s="947"/>
      <c r="AG26" s="452"/>
      <c r="AH26" s="453">
        <f t="shared" si="29"/>
        <v>0</v>
      </c>
      <c r="AI26" s="450" t="e">
        <f t="shared" si="4"/>
        <v>#DIV/0!</v>
      </c>
      <c r="AJ26" s="458"/>
      <c r="AK26" s="947"/>
      <c r="AL26" s="452"/>
      <c r="AM26" s="453">
        <f t="shared" si="30"/>
        <v>0</v>
      </c>
      <c r="AN26" s="450" t="e">
        <f t="shared" si="1"/>
        <v>#DIV/0!</v>
      </c>
      <c r="AO26" s="458"/>
      <c r="AP26" s="947"/>
      <c r="AQ26" s="452"/>
      <c r="AR26" s="453">
        <f t="shared" si="31"/>
        <v>0</v>
      </c>
      <c r="AS26" s="450" t="e">
        <f t="shared" si="20"/>
        <v>#DIV/0!</v>
      </c>
      <c r="AT26" s="458"/>
      <c r="AU26" s="452"/>
      <c r="AV26" s="452">
        <v>0</v>
      </c>
      <c r="AW26" s="453">
        <f t="shared" si="32"/>
        <v>0</v>
      </c>
      <c r="AX26" s="450">
        <f t="shared" si="5"/>
        <v>0</v>
      </c>
      <c r="AY26" s="458"/>
      <c r="AZ26" s="452"/>
      <c r="BA26" s="452"/>
      <c r="BB26" s="453">
        <f t="shared" si="33"/>
        <v>0</v>
      </c>
      <c r="BC26" s="450" t="e">
        <f t="shared" si="6"/>
        <v>#DIV/0!</v>
      </c>
      <c r="BD26" s="950" t="s">
        <v>963</v>
      </c>
      <c r="BE26" s="39">
        <f t="shared" si="7"/>
        <v>2930522.9159999997</v>
      </c>
      <c r="BF26" s="39">
        <f t="shared" si="8"/>
        <v>0</v>
      </c>
      <c r="BG26" s="106">
        <f t="shared" si="9"/>
        <v>2930522.9159999997</v>
      </c>
      <c r="BH26" s="178">
        <f t="shared" si="34"/>
        <v>0.25646510492507019</v>
      </c>
      <c r="BI26" s="42"/>
      <c r="BJ26" s="916"/>
      <c r="BK26" s="916"/>
      <c r="BM26" s="842"/>
      <c r="BN26" s="842"/>
    </row>
    <row r="27" spans="1:66" s="2" customFormat="1" ht="122.4" customHeight="1" outlineLevel="2" x14ac:dyDescent="0.25">
      <c r="A27" s="238"/>
      <c r="B27" s="471" t="s">
        <v>25</v>
      </c>
      <c r="C27" s="114">
        <v>5000</v>
      </c>
      <c r="D27" s="445"/>
      <c r="E27" s="446">
        <f t="shared" si="10"/>
        <v>5000</v>
      </c>
      <c r="F27" s="447">
        <f t="shared" si="24"/>
        <v>1.1776601635487328E-3</v>
      </c>
      <c r="G27" s="452">
        <v>27933.86</v>
      </c>
      <c r="H27" s="452">
        <v>0</v>
      </c>
      <c r="I27" s="453">
        <v>27933.86</v>
      </c>
      <c r="J27" s="450">
        <v>2.4777337184504278E-3</v>
      </c>
      <c r="K27" s="447"/>
      <c r="L27" s="452"/>
      <c r="M27" s="452"/>
      <c r="N27" s="453">
        <f t="shared" si="25"/>
        <v>0</v>
      </c>
      <c r="O27" s="450">
        <f t="shared" si="12"/>
        <v>0</v>
      </c>
      <c r="P27" s="458"/>
      <c r="Q27" s="452"/>
      <c r="R27" s="452"/>
      <c r="S27" s="453">
        <f t="shared" si="26"/>
        <v>0</v>
      </c>
      <c r="T27" s="450">
        <f t="shared" si="2"/>
        <v>0</v>
      </c>
      <c r="U27" s="458"/>
      <c r="V27" s="452"/>
      <c r="W27" s="452"/>
      <c r="X27" s="453">
        <f t="shared" si="27"/>
        <v>0</v>
      </c>
      <c r="Y27" s="450" t="e">
        <f t="shared" si="15"/>
        <v>#DIV/0!</v>
      </c>
      <c r="Z27" s="458"/>
      <c r="AA27" s="452"/>
      <c r="AB27" s="452"/>
      <c r="AC27" s="453">
        <f t="shared" si="28"/>
        <v>0</v>
      </c>
      <c r="AD27" s="450" t="e">
        <f t="shared" si="3"/>
        <v>#DIV/0!</v>
      </c>
      <c r="AE27" s="458"/>
      <c r="AF27" s="452"/>
      <c r="AG27" s="452"/>
      <c r="AH27" s="453">
        <f t="shared" si="29"/>
        <v>0</v>
      </c>
      <c r="AI27" s="450" t="e">
        <f t="shared" si="4"/>
        <v>#DIV/0!</v>
      </c>
      <c r="AJ27" s="458"/>
      <c r="AK27" s="452"/>
      <c r="AL27" s="452"/>
      <c r="AM27" s="453">
        <f t="shared" si="30"/>
        <v>0</v>
      </c>
      <c r="AN27" s="450" t="e">
        <f t="shared" si="1"/>
        <v>#DIV/0!</v>
      </c>
      <c r="AO27" s="458"/>
      <c r="AP27" s="452"/>
      <c r="AQ27" s="452"/>
      <c r="AR27" s="453">
        <f t="shared" si="31"/>
        <v>0</v>
      </c>
      <c r="AS27" s="450" t="e">
        <f t="shared" si="20"/>
        <v>#DIV/0!</v>
      </c>
      <c r="AT27" s="458"/>
      <c r="AU27" s="452"/>
      <c r="AV27" s="452">
        <v>0</v>
      </c>
      <c r="AW27" s="453">
        <f t="shared" si="32"/>
        <v>0</v>
      </c>
      <c r="AX27" s="450">
        <f t="shared" si="5"/>
        <v>0</v>
      </c>
      <c r="AY27" s="458"/>
      <c r="AZ27" s="452"/>
      <c r="BA27" s="452"/>
      <c r="BB27" s="453">
        <f t="shared" si="33"/>
        <v>0</v>
      </c>
      <c r="BC27" s="450" t="e">
        <f t="shared" si="6"/>
        <v>#DIV/0!</v>
      </c>
      <c r="BD27" s="458" t="s">
        <v>962</v>
      </c>
      <c r="BE27" s="39">
        <f t="shared" si="7"/>
        <v>27933.86</v>
      </c>
      <c r="BF27" s="39">
        <f t="shared" si="8"/>
        <v>0</v>
      </c>
      <c r="BG27" s="106">
        <f t="shared" si="9"/>
        <v>27933.86</v>
      </c>
      <c r="BH27" s="178">
        <f t="shared" si="34"/>
        <v>2.4446354938048955E-3</v>
      </c>
      <c r="BI27" s="42"/>
      <c r="BJ27" s="842"/>
      <c r="BK27" s="842"/>
      <c r="BM27" s="842"/>
      <c r="BN27" s="842"/>
    </row>
    <row r="28" spans="1:66" s="226" customFormat="1" ht="109.2" customHeight="1" outlineLevel="2" x14ac:dyDescent="0.25">
      <c r="A28" s="238"/>
      <c r="B28" s="496" t="s">
        <v>52</v>
      </c>
      <c r="C28" s="114">
        <v>81623</v>
      </c>
      <c r="D28" s="445"/>
      <c r="E28" s="446">
        <f t="shared" si="10"/>
        <v>81623</v>
      </c>
      <c r="F28" s="447">
        <f t="shared" si="24"/>
        <v>1.9224831105867646E-2</v>
      </c>
      <c r="G28" s="452"/>
      <c r="H28" s="452">
        <v>21890</v>
      </c>
      <c r="I28" s="453">
        <v>25298.33</v>
      </c>
      <c r="J28" s="450">
        <v>2.2439621757066879E-3</v>
      </c>
      <c r="K28" s="447"/>
      <c r="L28" s="452"/>
      <c r="M28" s="452"/>
      <c r="N28" s="453">
        <f t="shared" si="25"/>
        <v>0</v>
      </c>
      <c r="O28" s="450">
        <f t="shared" si="12"/>
        <v>0</v>
      </c>
      <c r="P28" s="458"/>
      <c r="Q28" s="452"/>
      <c r="R28" s="452"/>
      <c r="S28" s="453">
        <f t="shared" si="26"/>
        <v>0</v>
      </c>
      <c r="T28" s="450">
        <f t="shared" si="2"/>
        <v>0</v>
      </c>
      <c r="U28" s="458"/>
      <c r="V28" s="452"/>
      <c r="W28" s="452"/>
      <c r="X28" s="453">
        <f t="shared" si="27"/>
        <v>0</v>
      </c>
      <c r="Y28" s="450" t="e">
        <f t="shared" si="15"/>
        <v>#DIV/0!</v>
      </c>
      <c r="Z28" s="458"/>
      <c r="AA28" s="452"/>
      <c r="AB28" s="452"/>
      <c r="AC28" s="453">
        <f t="shared" si="28"/>
        <v>0</v>
      </c>
      <c r="AD28" s="450" t="e">
        <f t="shared" si="3"/>
        <v>#DIV/0!</v>
      </c>
      <c r="AE28" s="458"/>
      <c r="AF28" s="452"/>
      <c r="AG28" s="452"/>
      <c r="AH28" s="453">
        <f t="shared" si="29"/>
        <v>0</v>
      </c>
      <c r="AI28" s="450" t="e">
        <f t="shared" si="4"/>
        <v>#DIV/0!</v>
      </c>
      <c r="AJ28" s="458"/>
      <c r="AK28" s="452"/>
      <c r="AL28" s="452"/>
      <c r="AM28" s="453">
        <f t="shared" si="30"/>
        <v>0</v>
      </c>
      <c r="AN28" s="450" t="e">
        <f t="shared" si="1"/>
        <v>#DIV/0!</v>
      </c>
      <c r="AO28" s="458"/>
      <c r="AP28" s="452"/>
      <c r="AQ28" s="452"/>
      <c r="AR28" s="453">
        <f t="shared" si="31"/>
        <v>0</v>
      </c>
      <c r="AS28" s="450" t="e">
        <f t="shared" si="20"/>
        <v>#DIV/0!</v>
      </c>
      <c r="AT28" s="458"/>
      <c r="AU28" s="452"/>
      <c r="AV28" s="452"/>
      <c r="AW28" s="453">
        <f t="shared" si="32"/>
        <v>0</v>
      </c>
      <c r="AX28" s="450">
        <f t="shared" si="5"/>
        <v>0</v>
      </c>
      <c r="AY28" s="458"/>
      <c r="AZ28" s="452"/>
      <c r="BA28" s="452"/>
      <c r="BB28" s="453">
        <f t="shared" si="33"/>
        <v>0</v>
      </c>
      <c r="BC28" s="450" t="e">
        <f t="shared" si="6"/>
        <v>#DIV/0!</v>
      </c>
      <c r="BD28" s="458"/>
      <c r="BE28" s="39">
        <f t="shared" si="7"/>
        <v>0</v>
      </c>
      <c r="BF28" s="39">
        <f t="shared" si="8"/>
        <v>21890</v>
      </c>
      <c r="BG28" s="106">
        <f t="shared" si="9"/>
        <v>21890</v>
      </c>
      <c r="BH28" s="178">
        <f t="shared" si="34"/>
        <v>1.9157062775924689E-3</v>
      </c>
      <c r="BI28" s="42"/>
      <c r="BJ28" s="916"/>
      <c r="BK28" s="916"/>
      <c r="BM28" s="842"/>
      <c r="BN28" s="842"/>
    </row>
    <row r="29" spans="1:66" s="2" customFormat="1" ht="124.95" customHeight="1" outlineLevel="2" x14ac:dyDescent="0.25">
      <c r="A29" s="238"/>
      <c r="B29" s="471" t="s">
        <v>31</v>
      </c>
      <c r="C29" s="114">
        <v>144640</v>
      </c>
      <c r="D29" s="445"/>
      <c r="E29" s="446">
        <f t="shared" si="10"/>
        <v>144640</v>
      </c>
      <c r="F29" s="450">
        <f t="shared" si="24"/>
        <v>3.4067353211137748E-2</v>
      </c>
      <c r="G29" s="452">
        <v>216160</v>
      </c>
      <c r="H29" s="452">
        <v>63530</v>
      </c>
      <c r="I29" s="453">
        <v>279690</v>
      </c>
      <c r="J29" s="450">
        <v>2.480850636873673E-2</v>
      </c>
      <c r="K29" s="447"/>
      <c r="L29" s="452"/>
      <c r="M29" s="452">
        <v>8100</v>
      </c>
      <c r="N29" s="453">
        <f t="shared" si="25"/>
        <v>8100</v>
      </c>
      <c r="O29" s="450">
        <f t="shared" si="12"/>
        <v>0.27122220728175855</v>
      </c>
      <c r="P29" s="458"/>
      <c r="Q29" s="452"/>
      <c r="R29" s="452"/>
      <c r="S29" s="453">
        <f t="shared" si="26"/>
        <v>0</v>
      </c>
      <c r="T29" s="450">
        <f t="shared" si="2"/>
        <v>0</v>
      </c>
      <c r="U29" s="458"/>
      <c r="V29" s="452"/>
      <c r="W29" s="452"/>
      <c r="X29" s="453">
        <f t="shared" si="27"/>
        <v>0</v>
      </c>
      <c r="Y29" s="450" t="e">
        <f t="shared" si="15"/>
        <v>#DIV/0!</v>
      </c>
      <c r="Z29" s="458"/>
      <c r="AA29" s="452"/>
      <c r="AB29" s="452"/>
      <c r="AC29" s="453">
        <f t="shared" si="28"/>
        <v>0</v>
      </c>
      <c r="AD29" s="450" t="e">
        <f t="shared" si="3"/>
        <v>#DIV/0!</v>
      </c>
      <c r="AE29" s="458"/>
      <c r="AF29" s="452"/>
      <c r="AG29" s="452"/>
      <c r="AH29" s="453">
        <f t="shared" si="29"/>
        <v>0</v>
      </c>
      <c r="AI29" s="450" t="e">
        <f t="shared" si="4"/>
        <v>#DIV/0!</v>
      </c>
      <c r="AJ29" s="458"/>
      <c r="AK29" s="452"/>
      <c r="AL29" s="452"/>
      <c r="AM29" s="453">
        <f t="shared" si="30"/>
        <v>0</v>
      </c>
      <c r="AN29" s="450" t="e">
        <f t="shared" si="1"/>
        <v>#DIV/0!</v>
      </c>
      <c r="AO29" s="458"/>
      <c r="AP29" s="452"/>
      <c r="AQ29" s="452"/>
      <c r="AR29" s="453">
        <f t="shared" si="31"/>
        <v>0</v>
      </c>
      <c r="AS29" s="450" t="e">
        <f t="shared" si="20"/>
        <v>#DIV/0!</v>
      </c>
      <c r="AT29" s="458"/>
      <c r="AU29" s="452"/>
      <c r="AV29" s="452"/>
      <c r="AW29" s="453">
        <f t="shared" si="32"/>
        <v>0</v>
      </c>
      <c r="AX29" s="450">
        <f t="shared" si="5"/>
        <v>0</v>
      </c>
      <c r="AY29" s="458"/>
      <c r="AZ29" s="452"/>
      <c r="BA29" s="452"/>
      <c r="BB29" s="453">
        <f t="shared" si="33"/>
        <v>0</v>
      </c>
      <c r="BC29" s="450" t="e">
        <f t="shared" si="6"/>
        <v>#DIV/0!</v>
      </c>
      <c r="BD29" s="458"/>
      <c r="BE29" s="39">
        <f t="shared" si="7"/>
        <v>216160</v>
      </c>
      <c r="BF29" s="39">
        <f t="shared" si="8"/>
        <v>71630</v>
      </c>
      <c r="BG29" s="106">
        <f t="shared" si="9"/>
        <v>287790</v>
      </c>
      <c r="BH29" s="178">
        <f t="shared" si="34"/>
        <v>2.5185980339348404E-2</v>
      </c>
      <c r="BI29" s="79"/>
      <c r="BJ29" s="842"/>
      <c r="BK29" s="842"/>
      <c r="BM29" s="842"/>
      <c r="BN29" s="842"/>
    </row>
    <row r="30" spans="1:66" s="2" customFormat="1" ht="79.95" customHeight="1" outlineLevel="2" x14ac:dyDescent="0.25">
      <c r="A30" s="238"/>
      <c r="B30" s="471" t="s">
        <v>62</v>
      </c>
      <c r="C30" s="114"/>
      <c r="D30" s="445">
        <v>96250</v>
      </c>
      <c r="E30" s="446">
        <f t="shared" si="10"/>
        <v>96250</v>
      </c>
      <c r="F30" s="450">
        <f t="shared" si="24"/>
        <v>2.2669958148313109E-2</v>
      </c>
      <c r="G30" s="452">
        <v>0</v>
      </c>
      <c r="H30" s="452">
        <v>243876</v>
      </c>
      <c r="I30" s="453">
        <v>243876</v>
      </c>
      <c r="J30" s="450">
        <v>2.1631804137373659E-2</v>
      </c>
      <c r="K30" s="447"/>
      <c r="L30" s="452"/>
      <c r="M30" s="452">
        <v>4500</v>
      </c>
      <c r="N30" s="453">
        <f t="shared" si="25"/>
        <v>4500</v>
      </c>
      <c r="O30" s="450">
        <f t="shared" si="12"/>
        <v>0.15067900404542142</v>
      </c>
      <c r="P30" s="458"/>
      <c r="Q30" s="452"/>
      <c r="R30" s="452">
        <f>1200+2300</f>
        <v>3500</v>
      </c>
      <c r="S30" s="453">
        <f t="shared" si="26"/>
        <v>3500</v>
      </c>
      <c r="T30" s="450">
        <f t="shared" si="2"/>
        <v>2.8507506767446185E-2</v>
      </c>
      <c r="U30" s="458"/>
      <c r="V30" s="452"/>
      <c r="W30" s="452"/>
      <c r="X30" s="453">
        <f t="shared" si="27"/>
        <v>0</v>
      </c>
      <c r="Y30" s="450" t="e">
        <f t="shared" si="15"/>
        <v>#DIV/0!</v>
      </c>
      <c r="Z30" s="458"/>
      <c r="AA30" s="452"/>
      <c r="AB30" s="452"/>
      <c r="AC30" s="453">
        <f t="shared" si="28"/>
        <v>0</v>
      </c>
      <c r="AD30" s="450" t="e">
        <f t="shared" si="3"/>
        <v>#DIV/0!</v>
      </c>
      <c r="AE30" s="458"/>
      <c r="AF30" s="452"/>
      <c r="AG30" s="452"/>
      <c r="AH30" s="453">
        <f t="shared" si="29"/>
        <v>0</v>
      </c>
      <c r="AI30" s="450" t="e">
        <f t="shared" si="4"/>
        <v>#DIV/0!</v>
      </c>
      <c r="AJ30" s="458"/>
      <c r="AK30" s="452"/>
      <c r="AL30" s="452"/>
      <c r="AM30" s="453">
        <f t="shared" si="30"/>
        <v>0</v>
      </c>
      <c r="AN30" s="450" t="e">
        <f t="shared" si="1"/>
        <v>#DIV/0!</v>
      </c>
      <c r="AO30" s="458"/>
      <c r="AP30" s="452"/>
      <c r="AQ30" s="452"/>
      <c r="AR30" s="453">
        <f t="shared" si="31"/>
        <v>0</v>
      </c>
      <c r="AS30" s="450" t="e">
        <f t="shared" si="20"/>
        <v>#DIV/0!</v>
      </c>
      <c r="AT30" s="458"/>
      <c r="AU30" s="452"/>
      <c r="AV30" s="452"/>
      <c r="AW30" s="453">
        <f t="shared" si="32"/>
        <v>0</v>
      </c>
      <c r="AX30" s="450">
        <f t="shared" si="5"/>
        <v>0</v>
      </c>
      <c r="AY30" s="458"/>
      <c r="AZ30" s="452"/>
      <c r="BA30" s="452"/>
      <c r="BB30" s="453">
        <f t="shared" si="33"/>
        <v>0</v>
      </c>
      <c r="BC30" s="450" t="e">
        <f t="shared" si="6"/>
        <v>#DIV/0!</v>
      </c>
      <c r="BD30" s="458"/>
      <c r="BE30" s="39">
        <f t="shared" si="7"/>
        <v>0</v>
      </c>
      <c r="BF30" s="39">
        <f t="shared" si="8"/>
        <v>251876</v>
      </c>
      <c r="BG30" s="106">
        <f t="shared" si="9"/>
        <v>251876</v>
      </c>
      <c r="BH30" s="178">
        <f t="shared" si="34"/>
        <v>2.2042961826170885E-2</v>
      </c>
      <c r="BI30" s="79"/>
      <c r="BJ30" s="842"/>
      <c r="BK30" s="842"/>
      <c r="BM30" s="842"/>
      <c r="BN30" s="842"/>
    </row>
    <row r="31" spans="1:66" s="2" customFormat="1" ht="105.6" customHeight="1" outlineLevel="2" x14ac:dyDescent="0.25">
      <c r="A31" s="238"/>
      <c r="B31" s="471" t="s">
        <v>34</v>
      </c>
      <c r="C31" s="114"/>
      <c r="D31" s="445">
        <v>21000</v>
      </c>
      <c r="E31" s="446">
        <f t="shared" si="10"/>
        <v>21000</v>
      </c>
      <c r="F31" s="450">
        <f t="shared" si="24"/>
        <v>4.9461726869046777E-3</v>
      </c>
      <c r="G31" s="452">
        <v>0</v>
      </c>
      <c r="H31" s="452">
        <v>83223</v>
      </c>
      <c r="I31" s="453">
        <v>83223</v>
      </c>
      <c r="J31" s="450">
        <v>7.3818811023825554E-3</v>
      </c>
      <c r="K31" s="447"/>
      <c r="L31" s="452"/>
      <c r="M31" s="452">
        <v>4377</v>
      </c>
      <c r="N31" s="453">
        <f t="shared" si="25"/>
        <v>4377</v>
      </c>
      <c r="O31" s="450">
        <f t="shared" si="12"/>
        <v>0.14656044460151324</v>
      </c>
      <c r="P31" s="458"/>
      <c r="Q31" s="452"/>
      <c r="R31" s="452"/>
      <c r="S31" s="453">
        <f t="shared" si="26"/>
        <v>0</v>
      </c>
      <c r="T31" s="450">
        <f t="shared" si="2"/>
        <v>0</v>
      </c>
      <c r="U31" s="458"/>
      <c r="V31" s="452"/>
      <c r="W31" s="452"/>
      <c r="X31" s="453">
        <f t="shared" si="27"/>
        <v>0</v>
      </c>
      <c r="Y31" s="450" t="e">
        <f t="shared" si="15"/>
        <v>#DIV/0!</v>
      </c>
      <c r="Z31" s="458"/>
      <c r="AA31" s="452"/>
      <c r="AB31" s="452"/>
      <c r="AC31" s="453">
        <f t="shared" si="28"/>
        <v>0</v>
      </c>
      <c r="AD31" s="450" t="e">
        <f t="shared" si="3"/>
        <v>#DIV/0!</v>
      </c>
      <c r="AE31" s="458"/>
      <c r="AF31" s="452"/>
      <c r="AG31" s="452"/>
      <c r="AH31" s="453">
        <f t="shared" si="29"/>
        <v>0</v>
      </c>
      <c r="AI31" s="450" t="e">
        <f t="shared" si="4"/>
        <v>#DIV/0!</v>
      </c>
      <c r="AJ31" s="458"/>
      <c r="AK31" s="452"/>
      <c r="AL31" s="452"/>
      <c r="AM31" s="453">
        <f t="shared" si="30"/>
        <v>0</v>
      </c>
      <c r="AN31" s="450" t="e">
        <f t="shared" si="1"/>
        <v>#DIV/0!</v>
      </c>
      <c r="AO31" s="458"/>
      <c r="AP31" s="452"/>
      <c r="AQ31" s="452"/>
      <c r="AR31" s="453">
        <f t="shared" si="31"/>
        <v>0</v>
      </c>
      <c r="AS31" s="450" t="e">
        <f t="shared" si="20"/>
        <v>#DIV/0!</v>
      </c>
      <c r="AT31" s="458"/>
      <c r="AU31" s="452"/>
      <c r="AV31" s="452"/>
      <c r="AW31" s="453">
        <f t="shared" si="32"/>
        <v>0</v>
      </c>
      <c r="AX31" s="450">
        <f t="shared" si="5"/>
        <v>0</v>
      </c>
      <c r="AY31" s="458"/>
      <c r="AZ31" s="452"/>
      <c r="BA31" s="452"/>
      <c r="BB31" s="453">
        <f t="shared" si="33"/>
        <v>0</v>
      </c>
      <c r="BC31" s="450" t="e">
        <f t="shared" si="6"/>
        <v>#DIV/0!</v>
      </c>
      <c r="BD31" s="458"/>
      <c r="BE31" s="39">
        <f t="shared" si="7"/>
        <v>0</v>
      </c>
      <c r="BF31" s="39">
        <f t="shared" si="8"/>
        <v>87600</v>
      </c>
      <c r="BG31" s="106">
        <f t="shared" si="9"/>
        <v>87600</v>
      </c>
      <c r="BH31" s="178">
        <f t="shared" si="34"/>
        <v>7.6663257157195182E-3</v>
      </c>
      <c r="BI31" s="79"/>
      <c r="BJ31" s="842"/>
      <c r="BK31" s="842"/>
      <c r="BM31" s="842"/>
      <c r="BN31" s="842"/>
    </row>
    <row r="32" spans="1:66" s="2" customFormat="1" ht="14.4" customHeight="1" outlineLevel="2" x14ac:dyDescent="0.25">
      <c r="A32" s="238"/>
      <c r="B32" s="501" t="s">
        <v>2</v>
      </c>
      <c r="C32" s="115"/>
      <c r="D32" s="116"/>
      <c r="E32" s="446">
        <f t="shared" si="10"/>
        <v>0</v>
      </c>
      <c r="F32" s="450">
        <f t="shared" si="24"/>
        <v>0</v>
      </c>
      <c r="G32" s="452">
        <v>0</v>
      </c>
      <c r="H32" s="452">
        <v>0</v>
      </c>
      <c r="I32" s="453">
        <v>0</v>
      </c>
      <c r="J32" s="450">
        <v>0</v>
      </c>
      <c r="K32" s="447"/>
      <c r="L32" s="452"/>
      <c r="M32" s="452"/>
      <c r="N32" s="453">
        <f t="shared" si="25"/>
        <v>0</v>
      </c>
      <c r="O32" s="450">
        <f t="shared" si="12"/>
        <v>0</v>
      </c>
      <c r="P32" s="666"/>
      <c r="Q32" s="452"/>
      <c r="R32" s="452"/>
      <c r="S32" s="453">
        <f t="shared" si="26"/>
        <v>0</v>
      </c>
      <c r="T32" s="450">
        <f t="shared" si="2"/>
        <v>0</v>
      </c>
      <c r="U32" s="666"/>
      <c r="V32" s="452"/>
      <c r="W32" s="452"/>
      <c r="X32" s="453">
        <f t="shared" si="27"/>
        <v>0</v>
      </c>
      <c r="Y32" s="450" t="e">
        <f t="shared" si="15"/>
        <v>#DIV/0!</v>
      </c>
      <c r="Z32" s="666"/>
      <c r="AA32" s="452"/>
      <c r="AB32" s="452"/>
      <c r="AC32" s="453">
        <f t="shared" si="28"/>
        <v>0</v>
      </c>
      <c r="AD32" s="450" t="e">
        <f t="shared" si="3"/>
        <v>#DIV/0!</v>
      </c>
      <c r="AE32" s="666"/>
      <c r="AF32" s="452"/>
      <c r="AG32" s="452"/>
      <c r="AH32" s="453">
        <f t="shared" si="29"/>
        <v>0</v>
      </c>
      <c r="AI32" s="450" t="e">
        <f t="shared" si="4"/>
        <v>#DIV/0!</v>
      </c>
      <c r="AJ32" s="666"/>
      <c r="AK32" s="452"/>
      <c r="AL32" s="452"/>
      <c r="AM32" s="453">
        <f t="shared" si="30"/>
        <v>0</v>
      </c>
      <c r="AN32" s="450" t="e">
        <f t="shared" si="1"/>
        <v>#DIV/0!</v>
      </c>
      <c r="AO32" s="666"/>
      <c r="AP32" s="452"/>
      <c r="AQ32" s="452"/>
      <c r="AR32" s="453">
        <f t="shared" si="31"/>
        <v>0</v>
      </c>
      <c r="AS32" s="450" t="e">
        <f t="shared" si="20"/>
        <v>#DIV/0!</v>
      </c>
      <c r="AT32" s="666"/>
      <c r="AU32" s="452"/>
      <c r="AV32" s="452"/>
      <c r="AW32" s="453">
        <f t="shared" si="32"/>
        <v>0</v>
      </c>
      <c r="AX32" s="450">
        <f t="shared" si="5"/>
        <v>0</v>
      </c>
      <c r="AY32" s="666"/>
      <c r="AZ32" s="452"/>
      <c r="BA32" s="452"/>
      <c r="BB32" s="453">
        <f t="shared" si="33"/>
        <v>0</v>
      </c>
      <c r="BC32" s="450" t="e">
        <f t="shared" si="6"/>
        <v>#DIV/0!</v>
      </c>
      <c r="BD32" s="666"/>
      <c r="BE32" s="39">
        <f t="shared" si="7"/>
        <v>0</v>
      </c>
      <c r="BF32" s="39">
        <f t="shared" si="8"/>
        <v>0</v>
      </c>
      <c r="BG32" s="106">
        <f t="shared" si="9"/>
        <v>0</v>
      </c>
      <c r="BH32" s="178">
        <f t="shared" si="34"/>
        <v>0</v>
      </c>
      <c r="BI32" s="79"/>
      <c r="BJ32" s="842"/>
      <c r="BK32" s="842"/>
      <c r="BM32" s="842"/>
      <c r="BN32" s="842"/>
    </row>
    <row r="33" spans="1:66" s="2" customFormat="1" ht="33.6" customHeight="1" outlineLevel="2" thickBot="1" x14ac:dyDescent="0.3">
      <c r="A33" s="238"/>
      <c r="B33" s="504" t="s">
        <v>75</v>
      </c>
      <c r="C33" s="505"/>
      <c r="D33" s="506">
        <v>70000</v>
      </c>
      <c r="E33" s="507">
        <f t="shared" si="10"/>
        <v>70000</v>
      </c>
      <c r="F33" s="508">
        <f t="shared" si="24"/>
        <v>1.648724228968226E-2</v>
      </c>
      <c r="G33" s="512">
        <v>0</v>
      </c>
      <c r="H33" s="512">
        <v>37200</v>
      </c>
      <c r="I33" s="513">
        <v>37200</v>
      </c>
      <c r="J33" s="508">
        <v>3.2996404480567999E-3</v>
      </c>
      <c r="K33" s="683"/>
      <c r="L33" s="512"/>
      <c r="M33" s="512"/>
      <c r="N33" s="513">
        <f t="shared" si="25"/>
        <v>0</v>
      </c>
      <c r="O33" s="508">
        <f t="shared" si="12"/>
        <v>0</v>
      </c>
      <c r="P33" s="867"/>
      <c r="Q33" s="512"/>
      <c r="R33" s="512"/>
      <c r="S33" s="513">
        <f t="shared" si="26"/>
        <v>0</v>
      </c>
      <c r="T33" s="508">
        <f t="shared" si="2"/>
        <v>0</v>
      </c>
      <c r="U33" s="728"/>
      <c r="V33" s="512"/>
      <c r="W33" s="512"/>
      <c r="X33" s="513">
        <f t="shared" si="27"/>
        <v>0</v>
      </c>
      <c r="Y33" s="508" t="e">
        <f t="shared" si="15"/>
        <v>#DIV/0!</v>
      </c>
      <c r="Z33" s="728"/>
      <c r="AA33" s="512"/>
      <c r="AB33" s="512"/>
      <c r="AC33" s="513">
        <f t="shared" si="28"/>
        <v>0</v>
      </c>
      <c r="AD33" s="508" t="e">
        <f t="shared" si="3"/>
        <v>#DIV/0!</v>
      </c>
      <c r="AE33" s="728"/>
      <c r="AF33" s="512"/>
      <c r="AG33" s="512"/>
      <c r="AH33" s="513">
        <f t="shared" si="29"/>
        <v>0</v>
      </c>
      <c r="AI33" s="508" t="e">
        <f t="shared" si="4"/>
        <v>#DIV/0!</v>
      </c>
      <c r="AJ33" s="728"/>
      <c r="AK33" s="512"/>
      <c r="AL33" s="512"/>
      <c r="AM33" s="513">
        <f t="shared" si="30"/>
        <v>0</v>
      </c>
      <c r="AN33" s="508" t="e">
        <f t="shared" si="1"/>
        <v>#DIV/0!</v>
      </c>
      <c r="AO33" s="728"/>
      <c r="AP33" s="512"/>
      <c r="AQ33" s="512"/>
      <c r="AR33" s="513">
        <f t="shared" si="31"/>
        <v>0</v>
      </c>
      <c r="AS33" s="508" t="e">
        <f t="shared" si="20"/>
        <v>#DIV/0!</v>
      </c>
      <c r="AT33" s="728"/>
      <c r="AU33" s="512"/>
      <c r="AV33" s="512"/>
      <c r="AW33" s="513">
        <f t="shared" si="32"/>
        <v>0</v>
      </c>
      <c r="AX33" s="508">
        <f t="shared" si="5"/>
        <v>0</v>
      </c>
      <c r="AY33" s="728"/>
      <c r="AZ33" s="512"/>
      <c r="BA33" s="512"/>
      <c r="BB33" s="513">
        <f t="shared" si="33"/>
        <v>0</v>
      </c>
      <c r="BC33" s="508" t="e">
        <f t="shared" si="6"/>
        <v>#DIV/0!</v>
      </c>
      <c r="BD33" s="728"/>
      <c r="BE33" s="39">
        <f t="shared" si="7"/>
        <v>0</v>
      </c>
      <c r="BF33" s="39">
        <f t="shared" si="8"/>
        <v>37200</v>
      </c>
      <c r="BG33" s="106">
        <f t="shared" si="9"/>
        <v>37200</v>
      </c>
      <c r="BH33" s="178">
        <f t="shared" si="34"/>
        <v>3.2555629751685627E-3</v>
      </c>
      <c r="BI33" s="79"/>
      <c r="BJ33" s="842"/>
      <c r="BK33" s="842"/>
      <c r="BM33" s="842"/>
      <c r="BN33" s="842"/>
    </row>
    <row r="34" spans="1:66" s="2" customFormat="1" ht="13.8" outlineLevel="2" x14ac:dyDescent="0.25">
      <c r="A34" s="238"/>
      <c r="B34" s="473"/>
      <c r="C34" s="474"/>
      <c r="D34" s="475"/>
      <c r="E34" s="476"/>
      <c r="F34" s="477"/>
      <c r="G34" s="452"/>
      <c r="H34" s="452"/>
      <c r="I34" s="476"/>
      <c r="J34" s="476"/>
      <c r="K34" s="477"/>
      <c r="L34" s="452"/>
      <c r="M34" s="452"/>
      <c r="N34" s="476"/>
      <c r="O34" s="476"/>
      <c r="P34" s="476"/>
      <c r="Q34" s="452"/>
      <c r="R34" s="452"/>
      <c r="S34" s="476"/>
      <c r="T34" s="447">
        <f t="shared" si="2"/>
        <v>0</v>
      </c>
      <c r="U34" s="476"/>
      <c r="V34" s="452"/>
      <c r="W34" s="452"/>
      <c r="X34" s="476"/>
      <c r="Y34" s="447">
        <f t="shared" ref="Y34:Y53" si="35">X34/$S$89</f>
        <v>0</v>
      </c>
      <c r="Z34" s="476"/>
      <c r="AA34" s="452"/>
      <c r="AB34" s="452"/>
      <c r="AC34" s="476"/>
      <c r="AD34" s="447" t="e">
        <f t="shared" si="3"/>
        <v>#DIV/0!</v>
      </c>
      <c r="AE34" s="476"/>
      <c r="AF34" s="452"/>
      <c r="AG34" s="452"/>
      <c r="AH34" s="476"/>
      <c r="AI34" s="447" t="e">
        <f t="shared" ref="AI34:AI53" si="36">AH34/$AC$89</f>
        <v>#DIV/0!</v>
      </c>
      <c r="AJ34" s="476"/>
      <c r="AK34" s="452"/>
      <c r="AL34" s="452"/>
      <c r="AM34" s="476"/>
      <c r="AN34" s="447" t="e">
        <f t="shared" ref="AN34:AN40" si="37">AM34/$AC$89</f>
        <v>#DIV/0!</v>
      </c>
      <c r="AO34" s="476"/>
      <c r="AP34" s="452"/>
      <c r="AQ34" s="452"/>
      <c r="AR34" s="476"/>
      <c r="AS34" s="447" t="e">
        <f t="shared" ref="AS34:AS40" si="38">AR34/$AC$89</f>
        <v>#DIV/0!</v>
      </c>
      <c r="AT34" s="476"/>
      <c r="AU34" s="452"/>
      <c r="AV34" s="452"/>
      <c r="AW34" s="476"/>
      <c r="AX34" s="447" t="e">
        <f t="shared" ref="AX34:AX40" si="39">AW34/$AC$89</f>
        <v>#DIV/0!</v>
      </c>
      <c r="AY34" s="476"/>
      <c r="AZ34" s="452"/>
      <c r="BA34" s="452"/>
      <c r="BB34" s="476"/>
      <c r="BC34" s="447" t="e">
        <f t="shared" ref="BC34:BC40" si="40">BB34/$AC$89</f>
        <v>#DIV/0!</v>
      </c>
      <c r="BD34" s="476"/>
      <c r="BE34" s="39"/>
      <c r="BF34" s="39"/>
      <c r="BG34" s="48"/>
      <c r="BH34" s="48"/>
      <c r="BI34" s="48"/>
      <c r="BJ34" s="842"/>
      <c r="BK34" s="842"/>
    </row>
    <row r="35" spans="1:66" s="88" customFormat="1" ht="13.8" outlineLevel="1" x14ac:dyDescent="0.25">
      <c r="A35" s="238"/>
      <c r="B35" s="89" t="s">
        <v>80</v>
      </c>
      <c r="C35" s="536">
        <f>C36</f>
        <v>0</v>
      </c>
      <c r="D35" s="536">
        <f>D36</f>
        <v>0</v>
      </c>
      <c r="E35" s="658">
        <f>E36</f>
        <v>0</v>
      </c>
      <c r="F35" s="884">
        <f>E35/$E$89</f>
        <v>0</v>
      </c>
      <c r="G35" s="536">
        <v>0</v>
      </c>
      <c r="H35" s="536">
        <v>0</v>
      </c>
      <c r="I35" s="658">
        <v>0</v>
      </c>
      <c r="J35" s="658"/>
      <c r="K35" s="955"/>
      <c r="L35" s="536">
        <f>L36</f>
        <v>0</v>
      </c>
      <c r="M35" s="536">
        <f>M36</f>
        <v>0</v>
      </c>
      <c r="N35" s="658">
        <f>N36</f>
        <v>0</v>
      </c>
      <c r="O35" s="658"/>
      <c r="P35" s="658"/>
      <c r="Q35" s="536">
        <f>Q36</f>
        <v>0</v>
      </c>
      <c r="R35" s="536">
        <f>R36</f>
        <v>0</v>
      </c>
      <c r="S35" s="658">
        <f>S36</f>
        <v>0</v>
      </c>
      <c r="T35" s="866">
        <f t="shared" si="2"/>
        <v>0</v>
      </c>
      <c r="U35" s="658"/>
      <c r="V35" s="536">
        <f>V36</f>
        <v>0</v>
      </c>
      <c r="W35" s="536">
        <f>W36</f>
        <v>0</v>
      </c>
      <c r="X35" s="658">
        <f>X36</f>
        <v>0</v>
      </c>
      <c r="Y35" s="866">
        <f t="shared" si="35"/>
        <v>0</v>
      </c>
      <c r="Z35" s="658"/>
      <c r="AA35" s="536">
        <f>AA36</f>
        <v>0</v>
      </c>
      <c r="AB35" s="536">
        <f>AB36</f>
        <v>0</v>
      </c>
      <c r="AC35" s="658">
        <f>AC36</f>
        <v>0</v>
      </c>
      <c r="AD35" s="866" t="e">
        <f t="shared" si="3"/>
        <v>#DIV/0!</v>
      </c>
      <c r="AE35" s="658"/>
      <c r="AF35" s="536">
        <f>AF36</f>
        <v>0</v>
      </c>
      <c r="AG35" s="536">
        <f>AG36</f>
        <v>0</v>
      </c>
      <c r="AH35" s="658">
        <f>AH36</f>
        <v>0</v>
      </c>
      <c r="AI35" s="866" t="e">
        <f t="shared" si="36"/>
        <v>#DIV/0!</v>
      </c>
      <c r="AJ35" s="658"/>
      <c r="AK35" s="536">
        <f>AK36</f>
        <v>0</v>
      </c>
      <c r="AL35" s="536">
        <f>AL36</f>
        <v>0</v>
      </c>
      <c r="AM35" s="658">
        <f>AM36</f>
        <v>0</v>
      </c>
      <c r="AN35" s="866" t="e">
        <f t="shared" si="37"/>
        <v>#DIV/0!</v>
      </c>
      <c r="AO35" s="658"/>
      <c r="AP35" s="536">
        <f>AP36</f>
        <v>0</v>
      </c>
      <c r="AQ35" s="536">
        <f>AQ36</f>
        <v>0</v>
      </c>
      <c r="AR35" s="658">
        <f>AR36</f>
        <v>0</v>
      </c>
      <c r="AS35" s="866" t="e">
        <f t="shared" si="38"/>
        <v>#DIV/0!</v>
      </c>
      <c r="AT35" s="658"/>
      <c r="AU35" s="536">
        <f>AU36</f>
        <v>0</v>
      </c>
      <c r="AV35" s="536">
        <f>AV36</f>
        <v>0</v>
      </c>
      <c r="AW35" s="658">
        <f>AW36</f>
        <v>0</v>
      </c>
      <c r="AX35" s="866" t="e">
        <f t="shared" si="39"/>
        <v>#DIV/0!</v>
      </c>
      <c r="AY35" s="658"/>
      <c r="AZ35" s="536">
        <f>AZ36</f>
        <v>0</v>
      </c>
      <c r="BA35" s="536">
        <f>BA36</f>
        <v>0</v>
      </c>
      <c r="BB35" s="658">
        <f>BB36</f>
        <v>0</v>
      </c>
      <c r="BC35" s="866" t="e">
        <f t="shared" si="40"/>
        <v>#DIV/0!</v>
      </c>
      <c r="BD35" s="658"/>
      <c r="BE35" s="90">
        <f>BE36</f>
        <v>0</v>
      </c>
      <c r="BF35" s="90">
        <f>BF36</f>
        <v>0</v>
      </c>
      <c r="BG35" s="91">
        <f>BG36</f>
        <v>0</v>
      </c>
      <c r="BH35" s="91"/>
      <c r="BI35" s="91"/>
      <c r="BJ35" s="929"/>
      <c r="BK35" s="929"/>
    </row>
    <row r="36" spans="1:66" s="226" customFormat="1" ht="13.8" outlineLevel="3" x14ac:dyDescent="0.25">
      <c r="A36" s="238"/>
      <c r="B36" s="19" t="s">
        <v>81</v>
      </c>
      <c r="C36" s="885"/>
      <c r="D36" s="886"/>
      <c r="E36" s="446">
        <f>C36+D36</f>
        <v>0</v>
      </c>
      <c r="F36" s="450">
        <f>E36/$E$89</f>
        <v>0</v>
      </c>
      <c r="G36" s="452">
        <v>0</v>
      </c>
      <c r="H36" s="452">
        <v>0</v>
      </c>
      <c r="I36" s="446">
        <v>0</v>
      </c>
      <c r="J36" s="450">
        <v>0</v>
      </c>
      <c r="K36" s="447"/>
      <c r="L36" s="452"/>
      <c r="M36" s="452"/>
      <c r="N36" s="446">
        <f>L36+M36*1</f>
        <v>0</v>
      </c>
      <c r="O36" s="450">
        <f>N36/$N$89</f>
        <v>0</v>
      </c>
      <c r="P36" s="458"/>
      <c r="Q36" s="452"/>
      <c r="R36" s="452"/>
      <c r="S36" s="446">
        <f>Q36+R36*1</f>
        <v>0</v>
      </c>
      <c r="T36" s="450">
        <f t="shared" si="2"/>
        <v>0</v>
      </c>
      <c r="U36" s="458"/>
      <c r="V36" s="452"/>
      <c r="W36" s="452"/>
      <c r="X36" s="446">
        <f>V36+W36*1</f>
        <v>0</v>
      </c>
      <c r="Y36" s="450">
        <f t="shared" si="35"/>
        <v>0</v>
      </c>
      <c r="Z36" s="458"/>
      <c r="AA36" s="452"/>
      <c r="AB36" s="452"/>
      <c r="AC36" s="446">
        <f>AA36+AB36*1</f>
        <v>0</v>
      </c>
      <c r="AD36" s="450" t="e">
        <f t="shared" si="3"/>
        <v>#DIV/0!</v>
      </c>
      <c r="AE36" s="458"/>
      <c r="AF36" s="452"/>
      <c r="AG36" s="452"/>
      <c r="AH36" s="446">
        <f>AF36+AG36*1</f>
        <v>0</v>
      </c>
      <c r="AI36" s="450" t="e">
        <f t="shared" si="36"/>
        <v>#DIV/0!</v>
      </c>
      <c r="AJ36" s="458"/>
      <c r="AK36" s="452"/>
      <c r="AL36" s="452"/>
      <c r="AM36" s="446">
        <f>AK36+AL36*1</f>
        <v>0</v>
      </c>
      <c r="AN36" s="450" t="e">
        <f t="shared" si="37"/>
        <v>#DIV/0!</v>
      </c>
      <c r="AO36" s="458"/>
      <c r="AP36" s="452"/>
      <c r="AQ36" s="452"/>
      <c r="AR36" s="446">
        <f>AP36+AQ36*1</f>
        <v>0</v>
      </c>
      <c r="AS36" s="450" t="e">
        <f t="shared" si="38"/>
        <v>#DIV/0!</v>
      </c>
      <c r="AT36" s="458"/>
      <c r="AU36" s="452"/>
      <c r="AV36" s="452"/>
      <c r="AW36" s="446">
        <f>AU36+AV36*1</f>
        <v>0</v>
      </c>
      <c r="AX36" s="450" t="e">
        <f t="shared" si="39"/>
        <v>#DIV/0!</v>
      </c>
      <c r="AY36" s="458"/>
      <c r="AZ36" s="452"/>
      <c r="BA36" s="452"/>
      <c r="BB36" s="446">
        <f>AZ36+BA36*1</f>
        <v>0</v>
      </c>
      <c r="BC36" s="450" t="e">
        <f t="shared" si="40"/>
        <v>#DIV/0!</v>
      </c>
      <c r="BD36" s="458"/>
      <c r="BE36" s="39">
        <f>L36+Q36</f>
        <v>0</v>
      </c>
      <c r="BF36" s="39">
        <f>M36+R36</f>
        <v>0</v>
      </c>
      <c r="BG36" s="106">
        <f>BE36+BF36</f>
        <v>0</v>
      </c>
      <c r="BH36" s="178">
        <f>BG36/$BG$89</f>
        <v>0</v>
      </c>
      <c r="BI36" s="45"/>
      <c r="BJ36" s="916"/>
      <c r="BK36" s="916"/>
    </row>
    <row r="37" spans="1:66" s="2" customFormat="1" ht="14.4" outlineLevel="1" thickBot="1" x14ac:dyDescent="0.3">
      <c r="A37" s="4"/>
      <c r="B37" s="14"/>
      <c r="C37" s="887"/>
      <c r="D37" s="888"/>
      <c r="E37" s="606"/>
      <c r="F37" s="826"/>
      <c r="G37" s="452"/>
      <c r="H37" s="452"/>
      <c r="I37" s="606"/>
      <c r="J37" s="606"/>
      <c r="K37" s="956"/>
      <c r="L37" s="452"/>
      <c r="M37" s="452"/>
      <c r="N37" s="606"/>
      <c r="O37" s="606"/>
      <c r="P37" s="606"/>
      <c r="Q37" s="452"/>
      <c r="R37" s="452"/>
      <c r="S37" s="606"/>
      <c r="T37" s="450">
        <f t="shared" si="2"/>
        <v>0</v>
      </c>
      <c r="U37" s="606"/>
      <c r="V37" s="452"/>
      <c r="W37" s="452"/>
      <c r="X37" s="606"/>
      <c r="Y37" s="450">
        <f t="shared" si="35"/>
        <v>0</v>
      </c>
      <c r="Z37" s="606"/>
      <c r="AA37" s="452"/>
      <c r="AB37" s="452"/>
      <c r="AC37" s="606"/>
      <c r="AD37" s="450" t="e">
        <f t="shared" si="3"/>
        <v>#DIV/0!</v>
      </c>
      <c r="AE37" s="606"/>
      <c r="AF37" s="452"/>
      <c r="AG37" s="452"/>
      <c r="AH37" s="606"/>
      <c r="AI37" s="450" t="e">
        <f t="shared" si="36"/>
        <v>#DIV/0!</v>
      </c>
      <c r="AJ37" s="606"/>
      <c r="AK37" s="452"/>
      <c r="AL37" s="452"/>
      <c r="AM37" s="606"/>
      <c r="AN37" s="450" t="e">
        <f t="shared" si="37"/>
        <v>#DIV/0!</v>
      </c>
      <c r="AO37" s="606"/>
      <c r="AP37" s="452"/>
      <c r="AQ37" s="452"/>
      <c r="AR37" s="606"/>
      <c r="AS37" s="450" t="e">
        <f t="shared" si="38"/>
        <v>#DIV/0!</v>
      </c>
      <c r="AT37" s="606"/>
      <c r="AU37" s="452"/>
      <c r="AV37" s="452"/>
      <c r="AW37" s="606"/>
      <c r="AX37" s="450" t="e">
        <f t="shared" si="39"/>
        <v>#DIV/0!</v>
      </c>
      <c r="AY37" s="606"/>
      <c r="AZ37" s="452"/>
      <c r="BA37" s="452"/>
      <c r="BB37" s="606"/>
      <c r="BC37" s="450" t="e">
        <f t="shared" si="40"/>
        <v>#DIV/0!</v>
      </c>
      <c r="BD37" s="606"/>
      <c r="BE37" s="39"/>
      <c r="BF37" s="39"/>
      <c r="BG37" s="52"/>
      <c r="BH37" s="52"/>
      <c r="BI37" s="52"/>
      <c r="BJ37" s="842"/>
      <c r="BK37" s="842"/>
    </row>
    <row r="38" spans="1:66" ht="14.4" thickBot="1" x14ac:dyDescent="0.3">
      <c r="A38" s="889"/>
      <c r="B38" s="34" t="s">
        <v>46</v>
      </c>
      <c r="C38" s="648">
        <f>(C5)-(C8)</f>
        <v>3348414</v>
      </c>
      <c r="D38" s="648">
        <f>(D5)-(D8)</f>
        <v>-1650381</v>
      </c>
      <c r="E38" s="648">
        <f>(E5)-(E8)</f>
        <v>1698033</v>
      </c>
      <c r="F38" s="871"/>
      <c r="G38" s="648">
        <v>9445690.2560000028</v>
      </c>
      <c r="H38" s="648">
        <v>-4106329.74</v>
      </c>
      <c r="I38" s="648">
        <v>5339360.5160000045</v>
      </c>
      <c r="J38" s="648"/>
      <c r="K38" s="871"/>
      <c r="L38" s="648">
        <f>(L5)-(L8)</f>
        <v>-1700</v>
      </c>
      <c r="M38" s="648">
        <f>(M5)-(M8)</f>
        <v>-18797</v>
      </c>
      <c r="N38" s="648">
        <f>(N5)-(N8)</f>
        <v>-20497</v>
      </c>
      <c r="O38" s="648"/>
      <c r="P38" s="648"/>
      <c r="Q38" s="648">
        <f>(Q5)-(Q8)</f>
        <v>288903.43200000003</v>
      </c>
      <c r="R38" s="648">
        <f>(R5)-(R8)</f>
        <v>-90781.43</v>
      </c>
      <c r="S38" s="648">
        <f>(S5)-(S8)</f>
        <v>198122.00200000004</v>
      </c>
      <c r="T38" s="890">
        <f t="shared" si="2"/>
        <v>1.6137040893699965</v>
      </c>
      <c r="U38" s="648"/>
      <c r="V38" s="648">
        <f>(V5)-(V8)</f>
        <v>0</v>
      </c>
      <c r="W38" s="648">
        <f>(W5)-(W8)</f>
        <v>0</v>
      </c>
      <c r="X38" s="648">
        <f>(X5)-(X8)</f>
        <v>0</v>
      </c>
      <c r="Y38" s="890">
        <f t="shared" si="35"/>
        <v>0</v>
      </c>
      <c r="Z38" s="648"/>
      <c r="AA38" s="648">
        <f>(AA5)-(AA8)</f>
        <v>0</v>
      </c>
      <c r="AB38" s="648">
        <f>(AB5)-(AB8)</f>
        <v>0</v>
      </c>
      <c r="AC38" s="648">
        <f>(AC5)-(AC8)</f>
        <v>0</v>
      </c>
      <c r="AD38" s="890" t="e">
        <f t="shared" si="3"/>
        <v>#DIV/0!</v>
      </c>
      <c r="AE38" s="648"/>
      <c r="AF38" s="648">
        <f>(AF5)-(AF8)</f>
        <v>0</v>
      </c>
      <c r="AG38" s="648">
        <f>(AG5)-(AG8)</f>
        <v>0</v>
      </c>
      <c r="AH38" s="648">
        <f>(AH5)-(AH8)</f>
        <v>0</v>
      </c>
      <c r="AI38" s="890" t="e">
        <f t="shared" si="36"/>
        <v>#DIV/0!</v>
      </c>
      <c r="AJ38" s="648"/>
      <c r="AK38" s="648">
        <f>(AK5)-(AK8)</f>
        <v>0</v>
      </c>
      <c r="AL38" s="648">
        <f>(AL5)-(AL8)</f>
        <v>0</v>
      </c>
      <c r="AM38" s="648">
        <f>(AM5)-(AM8)</f>
        <v>0</v>
      </c>
      <c r="AN38" s="890" t="e">
        <f t="shared" si="37"/>
        <v>#DIV/0!</v>
      </c>
      <c r="AO38" s="648"/>
      <c r="AP38" s="648">
        <f>(AP5)-(AP8)</f>
        <v>0</v>
      </c>
      <c r="AQ38" s="648">
        <f>(AQ5)-(AQ8)</f>
        <v>0</v>
      </c>
      <c r="AR38" s="648">
        <f>(AR5)-(AR8)</f>
        <v>0</v>
      </c>
      <c r="AS38" s="890" t="e">
        <f t="shared" si="38"/>
        <v>#DIV/0!</v>
      </c>
      <c r="AT38" s="648"/>
      <c r="AU38" s="648">
        <f>(AU5)-(AU8)</f>
        <v>0</v>
      </c>
      <c r="AV38" s="648">
        <f>(AV5)-(AV8)</f>
        <v>0</v>
      </c>
      <c r="AW38" s="648">
        <f>(AW5)-(AW8)</f>
        <v>0</v>
      </c>
      <c r="AX38" s="890" t="e">
        <f t="shared" si="39"/>
        <v>#DIV/0!</v>
      </c>
      <c r="AY38" s="648"/>
      <c r="AZ38" s="648">
        <f>(AZ5)-(AZ8)</f>
        <v>0</v>
      </c>
      <c r="BA38" s="648">
        <f>(BA5)-(BA8)</f>
        <v>0</v>
      </c>
      <c r="BB38" s="648">
        <f>(BB5)-(BB8)</f>
        <v>0</v>
      </c>
      <c r="BC38" s="890" t="e">
        <f t="shared" si="40"/>
        <v>#DIV/0!</v>
      </c>
      <c r="BD38" s="648"/>
      <c r="BE38" s="53">
        <f>(BE5)-(BE8)</f>
        <v>9736302.018000003</v>
      </c>
      <c r="BF38" s="53">
        <f>(BF5)-(BF8)</f>
        <v>-4215908.17</v>
      </c>
      <c r="BG38" s="53">
        <f>(BG5)-(BG8)</f>
        <v>5520393.8480000049</v>
      </c>
      <c r="BH38" s="53"/>
      <c r="BI38" s="53"/>
      <c r="BJ38" s="928"/>
      <c r="BK38" s="928"/>
    </row>
    <row r="39" spans="1:66" ht="13.8" x14ac:dyDescent="0.25">
      <c r="A39" s="293"/>
      <c r="B39" s="15" t="s">
        <v>47</v>
      </c>
      <c r="C39" s="873">
        <f>C38/(C5)</f>
        <v>0.61142712417721812</v>
      </c>
      <c r="D39" s="873" t="e">
        <f>D38/(D5)</f>
        <v>#DIV/0!</v>
      </c>
      <c r="E39" s="874">
        <f>E38/(E5)</f>
        <v>0.31006423756083157</v>
      </c>
      <c r="F39" s="875"/>
      <c r="G39" s="639">
        <v>0.61048527854276102</v>
      </c>
      <c r="H39" s="639" t="e">
        <v>#DIV/0!</v>
      </c>
      <c r="I39" s="660">
        <v>0.34508870220256793</v>
      </c>
      <c r="J39" s="660"/>
      <c r="K39" s="957"/>
      <c r="L39" s="639" t="e">
        <f>L38/(L5)</f>
        <v>#DIV/0!</v>
      </c>
      <c r="M39" s="639" t="e">
        <f>M38/(M5)</f>
        <v>#DIV/0!</v>
      </c>
      <c r="N39" s="660" t="e">
        <f>N38/(N5)</f>
        <v>#DIV/0!</v>
      </c>
      <c r="O39" s="660"/>
      <c r="P39" s="660"/>
      <c r="Q39" s="639">
        <f>Q38/(Q5)</f>
        <v>0.9400380383874567</v>
      </c>
      <c r="R39" s="639" t="e">
        <f>R38/(R5)</f>
        <v>#DIV/0!</v>
      </c>
      <c r="S39" s="660">
        <f>S38/(S5)</f>
        <v>0.64465214840880047</v>
      </c>
      <c r="T39" s="876">
        <f t="shared" si="2"/>
        <v>5.2506929952607435E-6</v>
      </c>
      <c r="U39" s="660"/>
      <c r="V39" s="639" t="e">
        <f>V38/(V5)</f>
        <v>#DIV/0!</v>
      </c>
      <c r="W39" s="639" t="e">
        <f>W38/(W5)</f>
        <v>#DIV/0!</v>
      </c>
      <c r="X39" s="660" t="e">
        <f>X38/(X5)</f>
        <v>#DIV/0!</v>
      </c>
      <c r="Y39" s="876" t="e">
        <f t="shared" si="35"/>
        <v>#DIV/0!</v>
      </c>
      <c r="Z39" s="660"/>
      <c r="AA39" s="639" t="e">
        <f>AA38/(AA5)</f>
        <v>#DIV/0!</v>
      </c>
      <c r="AB39" s="639" t="e">
        <f>AB38/(AB5)</f>
        <v>#DIV/0!</v>
      </c>
      <c r="AC39" s="660" t="e">
        <f>AC38/(AC5)</f>
        <v>#DIV/0!</v>
      </c>
      <c r="AD39" s="876" t="e">
        <f t="shared" si="3"/>
        <v>#DIV/0!</v>
      </c>
      <c r="AE39" s="660"/>
      <c r="AF39" s="639" t="e">
        <f>AF38/(AF5)</f>
        <v>#DIV/0!</v>
      </c>
      <c r="AG39" s="639" t="e">
        <f>AG38/(AG5)</f>
        <v>#DIV/0!</v>
      </c>
      <c r="AH39" s="660" t="e">
        <f>AH38/(AH5)</f>
        <v>#DIV/0!</v>
      </c>
      <c r="AI39" s="876" t="e">
        <f t="shared" si="36"/>
        <v>#DIV/0!</v>
      </c>
      <c r="AJ39" s="660"/>
      <c r="AK39" s="639" t="e">
        <f>AK38/(AK5)</f>
        <v>#DIV/0!</v>
      </c>
      <c r="AL39" s="639" t="e">
        <f>AL38/(AL5)</f>
        <v>#DIV/0!</v>
      </c>
      <c r="AM39" s="660" t="e">
        <f>AM38/(AM5)</f>
        <v>#DIV/0!</v>
      </c>
      <c r="AN39" s="876" t="e">
        <f t="shared" si="37"/>
        <v>#DIV/0!</v>
      </c>
      <c r="AO39" s="660"/>
      <c r="AP39" s="639" t="e">
        <f>AP38/(AP5)</f>
        <v>#DIV/0!</v>
      </c>
      <c r="AQ39" s="639" t="e">
        <f>AQ38/(AQ5)</f>
        <v>#DIV/0!</v>
      </c>
      <c r="AR39" s="660" t="e">
        <f>AR38/(AR5)</f>
        <v>#DIV/0!</v>
      </c>
      <c r="AS39" s="876" t="e">
        <f t="shared" si="38"/>
        <v>#DIV/0!</v>
      </c>
      <c r="AT39" s="660"/>
      <c r="AU39" s="639" t="e">
        <f>AU38/(AU5)</f>
        <v>#DIV/0!</v>
      </c>
      <c r="AV39" s="639" t="e">
        <f>AV38/(AV5)</f>
        <v>#DIV/0!</v>
      </c>
      <c r="AW39" s="660" t="e">
        <f>AW38/(AW5)</f>
        <v>#DIV/0!</v>
      </c>
      <c r="AX39" s="876" t="e">
        <f t="shared" si="39"/>
        <v>#DIV/0!</v>
      </c>
      <c r="AY39" s="660"/>
      <c r="AZ39" s="639" t="e">
        <f>AZ38/(AZ5)</f>
        <v>#DIV/0!</v>
      </c>
      <c r="BA39" s="639" t="e">
        <f>BA38/(BA5)</f>
        <v>#DIV/0!</v>
      </c>
      <c r="BB39" s="660" t="e">
        <f>BB38/(BB5)</f>
        <v>#DIV/0!</v>
      </c>
      <c r="BC39" s="876" t="e">
        <f t="shared" si="40"/>
        <v>#DIV/0!</v>
      </c>
      <c r="BD39" s="660"/>
      <c r="BE39" s="54">
        <f>BE38/(BE5)</f>
        <v>0.61701201371502412</v>
      </c>
      <c r="BF39" s="54" t="e">
        <f>BF38/(BF5)</f>
        <v>#DIV/0!</v>
      </c>
      <c r="BG39" s="55">
        <f>BG38/(BG5)</f>
        <v>0.34984014653175199</v>
      </c>
      <c r="BH39" s="55"/>
      <c r="BI39" s="55"/>
      <c r="BJ39" s="928"/>
      <c r="BK39" s="928"/>
    </row>
    <row r="40" spans="1:66" ht="14.4" outlineLevel="1" thickBot="1" x14ac:dyDescent="0.3">
      <c r="A40" s="295"/>
      <c r="B40" s="16"/>
      <c r="C40" s="877"/>
      <c r="D40" s="662"/>
      <c r="E40" s="649"/>
      <c r="F40" s="878"/>
      <c r="G40" s="649"/>
      <c r="H40" s="649"/>
      <c r="I40" s="649"/>
      <c r="J40" s="649"/>
      <c r="K40" s="878"/>
      <c r="L40" s="649"/>
      <c r="M40" s="649"/>
      <c r="N40" s="649"/>
      <c r="O40" s="649"/>
      <c r="P40" s="649"/>
      <c r="Q40" s="649"/>
      <c r="R40" s="649"/>
      <c r="S40" s="649"/>
      <c r="T40" s="450">
        <f t="shared" si="2"/>
        <v>0</v>
      </c>
      <c r="U40" s="649"/>
      <c r="V40" s="649"/>
      <c r="W40" s="649"/>
      <c r="X40" s="649"/>
      <c r="Y40" s="450">
        <f t="shared" si="35"/>
        <v>0</v>
      </c>
      <c r="Z40" s="649"/>
      <c r="AA40" s="649"/>
      <c r="AB40" s="649"/>
      <c r="AC40" s="649"/>
      <c r="AD40" s="450" t="e">
        <f t="shared" si="3"/>
        <v>#DIV/0!</v>
      </c>
      <c r="AE40" s="649"/>
      <c r="AF40" s="649"/>
      <c r="AG40" s="649"/>
      <c r="AH40" s="649"/>
      <c r="AI40" s="450" t="e">
        <f t="shared" si="36"/>
        <v>#DIV/0!</v>
      </c>
      <c r="AJ40" s="649"/>
      <c r="AK40" s="649"/>
      <c r="AL40" s="649"/>
      <c r="AM40" s="649"/>
      <c r="AN40" s="450" t="e">
        <f t="shared" si="37"/>
        <v>#DIV/0!</v>
      </c>
      <c r="AO40" s="649"/>
      <c r="AP40" s="649"/>
      <c r="AQ40" s="649"/>
      <c r="AR40" s="649"/>
      <c r="AS40" s="450" t="e">
        <f t="shared" si="38"/>
        <v>#DIV/0!</v>
      </c>
      <c r="AT40" s="649"/>
      <c r="AU40" s="649"/>
      <c r="AV40" s="649"/>
      <c r="AW40" s="649"/>
      <c r="AX40" s="450" t="e">
        <f t="shared" si="39"/>
        <v>#DIV/0!</v>
      </c>
      <c r="AY40" s="649"/>
      <c r="AZ40" s="649"/>
      <c r="BA40" s="649"/>
      <c r="BB40" s="649"/>
      <c r="BC40" s="450" t="e">
        <f t="shared" si="40"/>
        <v>#DIV/0!</v>
      </c>
      <c r="BD40" s="649"/>
      <c r="BE40" s="58"/>
      <c r="BF40" s="58"/>
      <c r="BG40" s="58"/>
      <c r="BH40" s="58"/>
      <c r="BI40" s="58"/>
      <c r="BJ40" s="928"/>
      <c r="BK40" s="928"/>
    </row>
    <row r="41" spans="1:66" ht="13.8" outlineLevel="1" x14ac:dyDescent="0.25">
      <c r="A41" s="11"/>
      <c r="B41" s="22" t="s">
        <v>26</v>
      </c>
      <c r="C41" s="547">
        <f>SUM(C42:C48)</f>
        <v>16500</v>
      </c>
      <c r="D41" s="547">
        <f>SUM(D42:D48)</f>
        <v>1500</v>
      </c>
      <c r="E41" s="663">
        <f>SUM(E42:E48)</f>
        <v>18000</v>
      </c>
      <c r="F41" s="664">
        <f t="shared" ref="F41:F48" si="41">E41/$E$89</f>
        <v>4.2395765887754382E-3</v>
      </c>
      <c r="G41" s="547">
        <v>27366.560000000001</v>
      </c>
      <c r="H41" s="547">
        <v>5670</v>
      </c>
      <c r="I41" s="663">
        <v>33036.559999999998</v>
      </c>
      <c r="J41" s="664">
        <v>2.9303432699100897E-3</v>
      </c>
      <c r="K41" s="245"/>
      <c r="L41" s="547">
        <f>SUM(L42:L48)</f>
        <v>61.5</v>
      </c>
      <c r="M41" s="547">
        <f>SUM(M42:M48)</f>
        <v>0</v>
      </c>
      <c r="N41" s="663">
        <f>SUM(N42:N48)</f>
        <v>61.5</v>
      </c>
      <c r="O41" s="664" t="e">
        <f>N41/#REF!</f>
        <v>#REF!</v>
      </c>
      <c r="P41" s="581"/>
      <c r="Q41" s="547">
        <f>SUM(Q42:Q48)</f>
        <v>0</v>
      </c>
      <c r="R41" s="547">
        <f>SUM(R42:R48)</f>
        <v>0</v>
      </c>
      <c r="S41" s="663">
        <f>SUM(S42:S48)</f>
        <v>0</v>
      </c>
      <c r="T41" s="664">
        <f t="shared" si="2"/>
        <v>0</v>
      </c>
      <c r="U41" s="581"/>
      <c r="V41" s="547">
        <f>SUM(V42:V48)</f>
        <v>0</v>
      </c>
      <c r="W41" s="547">
        <f>SUM(W42:W48)</f>
        <v>0</v>
      </c>
      <c r="X41" s="663">
        <f>SUM(X42:X48)</f>
        <v>0</v>
      </c>
      <c r="Y41" s="664">
        <f t="shared" si="35"/>
        <v>0</v>
      </c>
      <c r="Z41" s="581"/>
      <c r="AA41" s="547">
        <f>SUM(AA42:AA48)</f>
        <v>0</v>
      </c>
      <c r="AB41" s="547">
        <f>SUM(AB42:AB48)</f>
        <v>0</v>
      </c>
      <c r="AC41" s="663">
        <f>SUM(AC42:AC48)</f>
        <v>0</v>
      </c>
      <c r="AD41" s="664" t="e">
        <f t="shared" si="3"/>
        <v>#DIV/0!</v>
      </c>
      <c r="AE41" s="581"/>
      <c r="AF41" s="547">
        <f>SUM(AF42:AF48)</f>
        <v>0</v>
      </c>
      <c r="AG41" s="547">
        <f>SUM(AG42:AG48)</f>
        <v>0</v>
      </c>
      <c r="AH41" s="663">
        <f>SUM(AH42:AH48)</f>
        <v>0</v>
      </c>
      <c r="AI41" s="664" t="e">
        <f t="shared" ref="AI41:AI48" si="42">AH41/$AH$89</f>
        <v>#DIV/0!</v>
      </c>
      <c r="AJ41" s="581"/>
      <c r="AK41" s="547">
        <f>SUM(AK42:AK48)</f>
        <v>0</v>
      </c>
      <c r="AL41" s="547">
        <f>SUM(AL42:AL48)</f>
        <v>0</v>
      </c>
      <c r="AM41" s="663">
        <f>SUM(AM42:AM48)</f>
        <v>0</v>
      </c>
      <c r="AN41" s="664" t="e">
        <f t="shared" ref="AN41:AN47" si="43">AM41/$AM$89</f>
        <v>#DIV/0!</v>
      </c>
      <c r="AO41" s="581"/>
      <c r="AP41" s="547">
        <f>SUM(AP42:AP48)</f>
        <v>0</v>
      </c>
      <c r="AQ41" s="547">
        <f>SUM(AQ42:AQ48)</f>
        <v>0</v>
      </c>
      <c r="AR41" s="663">
        <f>SUM(AR42:AR48)</f>
        <v>0</v>
      </c>
      <c r="AS41" s="664" t="e">
        <f t="shared" ref="AS41:AS49" si="44">AR41/$AR$89</f>
        <v>#DIV/0!</v>
      </c>
      <c r="AT41" s="581"/>
      <c r="AU41" s="547">
        <f>SUM(AU42:AU48)</f>
        <v>0</v>
      </c>
      <c r="AV41" s="547">
        <f>SUM(AV42:AV48)</f>
        <v>0</v>
      </c>
      <c r="AW41" s="663">
        <f>SUM(AW42:AW48)</f>
        <v>0</v>
      </c>
      <c r="AX41" s="664">
        <f t="shared" ref="AX41:AX48" si="45">AW41/$AW$89</f>
        <v>0</v>
      </c>
      <c r="AY41" s="581"/>
      <c r="AZ41" s="547">
        <f>SUM(AZ42:AZ48)</f>
        <v>0</v>
      </c>
      <c r="BA41" s="547">
        <f>SUM(BA42:BA48)</f>
        <v>0</v>
      </c>
      <c r="BB41" s="663">
        <f>SUM(BB42:BB48)</f>
        <v>0</v>
      </c>
      <c r="BC41" s="664" t="e">
        <f t="shared" ref="BC41:BC49" si="46">BB41/$AR$89</f>
        <v>#DIV/0!</v>
      </c>
      <c r="BD41" s="581"/>
      <c r="BE41" s="117">
        <f>SUM(BE42:BE48)</f>
        <v>27428.06</v>
      </c>
      <c r="BF41" s="117">
        <f>SUM(BF42:BF48)</f>
        <v>5670</v>
      </c>
      <c r="BG41" s="118">
        <f>SUM(BG42:BG48)</f>
        <v>33098.06</v>
      </c>
      <c r="BH41" s="169">
        <f t="shared" ref="BH41:BH49" si="47">BG41/$BG$89</f>
        <v>2.8965811474706343E-3</v>
      </c>
      <c r="BI41" s="60"/>
      <c r="BJ41" s="928"/>
      <c r="BK41" s="928"/>
      <c r="BM41" s="842"/>
      <c r="BN41" s="842"/>
    </row>
    <row r="42" spans="1:66" ht="43.2" customHeight="1" outlineLevel="2" x14ac:dyDescent="0.25">
      <c r="A42" s="4015"/>
      <c r="B42" s="18" t="s">
        <v>7</v>
      </c>
      <c r="C42" s="445"/>
      <c r="D42" s="500"/>
      <c r="E42" s="559">
        <f t="shared" ref="E42:E49" si="48">C42+D42</f>
        <v>0</v>
      </c>
      <c r="F42" s="450">
        <f t="shared" si="41"/>
        <v>0</v>
      </c>
      <c r="G42" s="452">
        <v>0</v>
      </c>
      <c r="H42" s="452">
        <v>0</v>
      </c>
      <c r="I42" s="446">
        <v>0</v>
      </c>
      <c r="J42" s="450">
        <v>0</v>
      </c>
      <c r="K42" s="447"/>
      <c r="L42" s="452"/>
      <c r="M42" s="452"/>
      <c r="N42" s="446">
        <f t="shared" ref="N42:N48" si="49">L42+M42*1</f>
        <v>0</v>
      </c>
      <c r="O42" s="450">
        <f t="shared" ref="O42:O48" si="50">N42/$N$89</f>
        <v>0</v>
      </c>
      <c r="P42" s="498"/>
      <c r="Q42" s="452"/>
      <c r="R42" s="452"/>
      <c r="S42" s="446">
        <f t="shared" ref="S42:S48" si="51">Q42+R42*1</f>
        <v>0</v>
      </c>
      <c r="T42" s="450">
        <f t="shared" si="2"/>
        <v>0</v>
      </c>
      <c r="U42" s="498"/>
      <c r="V42" s="452"/>
      <c r="W42" s="452"/>
      <c r="X42" s="446">
        <f t="shared" ref="X42:X48" si="52">V42+W42*1</f>
        <v>0</v>
      </c>
      <c r="Y42" s="450" t="e">
        <f t="shared" ref="Y42:Y48" si="53">X42/$X$89</f>
        <v>#DIV/0!</v>
      </c>
      <c r="Z42" s="498"/>
      <c r="AA42" s="452"/>
      <c r="AB42" s="452"/>
      <c r="AC42" s="446">
        <f t="shared" ref="AC42:AC48" si="54">AA42+AB42*1</f>
        <v>0</v>
      </c>
      <c r="AD42" s="450" t="e">
        <f t="shared" si="3"/>
        <v>#DIV/0!</v>
      </c>
      <c r="AE42" s="498"/>
      <c r="AF42" s="452"/>
      <c r="AG42" s="452"/>
      <c r="AH42" s="446">
        <f t="shared" ref="AH42:AH48" si="55">AF42+AG42*1</f>
        <v>0</v>
      </c>
      <c r="AI42" s="450" t="e">
        <f t="shared" si="42"/>
        <v>#DIV/0!</v>
      </c>
      <c r="AJ42" s="498"/>
      <c r="AK42" s="452"/>
      <c r="AL42" s="452"/>
      <c r="AM42" s="446">
        <f t="shared" ref="AM42:AM48" si="56">AK42+AL42*1</f>
        <v>0</v>
      </c>
      <c r="AN42" s="450" t="e">
        <f t="shared" si="43"/>
        <v>#DIV/0!</v>
      </c>
      <c r="AO42" s="498"/>
      <c r="AP42" s="452"/>
      <c r="AQ42" s="452"/>
      <c r="AR42" s="446">
        <f t="shared" ref="AR42:AR48" si="57">AP42+AQ42*1</f>
        <v>0</v>
      </c>
      <c r="AS42" s="450" t="e">
        <f t="shared" si="44"/>
        <v>#DIV/0!</v>
      </c>
      <c r="AT42" s="498"/>
      <c r="AU42" s="452"/>
      <c r="AV42" s="452"/>
      <c r="AW42" s="446">
        <f t="shared" ref="AW42:AW48" si="58">AU42+AV42*1</f>
        <v>0</v>
      </c>
      <c r="AX42" s="450">
        <f t="shared" si="45"/>
        <v>0</v>
      </c>
      <c r="AY42" s="498"/>
      <c r="AZ42" s="452"/>
      <c r="BA42" s="452"/>
      <c r="BB42" s="446">
        <f t="shared" ref="BB42:BB48" si="59">AZ42+BA42*1</f>
        <v>0</v>
      </c>
      <c r="BC42" s="450" t="e">
        <f t="shared" si="46"/>
        <v>#DIV/0!</v>
      </c>
      <c r="BD42" s="498"/>
      <c r="BE42" s="39">
        <f t="shared" ref="BE42:BE48" si="60">L42+G42+Q42</f>
        <v>0</v>
      </c>
      <c r="BF42" s="39">
        <f t="shared" ref="BF42:BF48" si="61">H42+M42+R42</f>
        <v>0</v>
      </c>
      <c r="BG42" s="106">
        <f t="shared" ref="BG42:BG48" si="62">BE42+BF42</f>
        <v>0</v>
      </c>
      <c r="BH42" s="178">
        <f t="shared" si="47"/>
        <v>0</v>
      </c>
      <c r="BI42" s="79"/>
      <c r="BJ42" s="928"/>
      <c r="BK42" s="928"/>
      <c r="BM42" s="842"/>
      <c r="BN42" s="842"/>
    </row>
    <row r="43" spans="1:66" ht="13.8" outlineLevel="2" x14ac:dyDescent="0.25">
      <c r="A43" s="4015"/>
      <c r="B43" s="18" t="s">
        <v>27</v>
      </c>
      <c r="C43" s="445"/>
      <c r="D43" s="500">
        <v>1500</v>
      </c>
      <c r="E43" s="559">
        <f t="shared" si="48"/>
        <v>1500</v>
      </c>
      <c r="F43" s="450">
        <f t="shared" si="41"/>
        <v>3.5329804906461987E-4</v>
      </c>
      <c r="G43" s="452">
        <v>0</v>
      </c>
      <c r="H43" s="452">
        <v>1930</v>
      </c>
      <c r="I43" s="446">
        <v>1930</v>
      </c>
      <c r="J43" s="450">
        <v>1.7119102324595763E-4</v>
      </c>
      <c r="K43" s="447"/>
      <c r="L43" s="452"/>
      <c r="M43" s="452"/>
      <c r="N43" s="446">
        <f t="shared" si="49"/>
        <v>0</v>
      </c>
      <c r="O43" s="450">
        <f t="shared" si="50"/>
        <v>0</v>
      </c>
      <c r="P43" s="498"/>
      <c r="Q43" s="452"/>
      <c r="R43" s="452"/>
      <c r="S43" s="446">
        <f t="shared" si="51"/>
        <v>0</v>
      </c>
      <c r="T43" s="450">
        <f t="shared" si="2"/>
        <v>0</v>
      </c>
      <c r="U43" s="498"/>
      <c r="V43" s="452"/>
      <c r="W43" s="452"/>
      <c r="X43" s="446">
        <f t="shared" si="52"/>
        <v>0</v>
      </c>
      <c r="Y43" s="450" t="e">
        <f t="shared" si="53"/>
        <v>#DIV/0!</v>
      </c>
      <c r="Z43" s="498"/>
      <c r="AA43" s="452"/>
      <c r="AB43" s="452"/>
      <c r="AC43" s="446">
        <f t="shared" si="54"/>
        <v>0</v>
      </c>
      <c r="AD43" s="450" t="e">
        <f t="shared" si="3"/>
        <v>#DIV/0!</v>
      </c>
      <c r="AE43" s="498"/>
      <c r="AF43" s="452"/>
      <c r="AG43" s="452"/>
      <c r="AH43" s="446">
        <f t="shared" si="55"/>
        <v>0</v>
      </c>
      <c r="AI43" s="450" t="e">
        <f t="shared" si="42"/>
        <v>#DIV/0!</v>
      </c>
      <c r="AJ43" s="498"/>
      <c r="AK43" s="452"/>
      <c r="AL43" s="452"/>
      <c r="AM43" s="446">
        <f t="shared" si="56"/>
        <v>0</v>
      </c>
      <c r="AN43" s="450" t="e">
        <f t="shared" si="43"/>
        <v>#DIV/0!</v>
      </c>
      <c r="AO43" s="498"/>
      <c r="AP43" s="452"/>
      <c r="AQ43" s="452"/>
      <c r="AR43" s="446">
        <f t="shared" si="57"/>
        <v>0</v>
      </c>
      <c r="AS43" s="450" t="e">
        <f t="shared" si="44"/>
        <v>#DIV/0!</v>
      </c>
      <c r="AT43" s="498"/>
      <c r="AU43" s="452"/>
      <c r="AV43" s="452"/>
      <c r="AW43" s="446">
        <f t="shared" si="58"/>
        <v>0</v>
      </c>
      <c r="AX43" s="450">
        <f t="shared" si="45"/>
        <v>0</v>
      </c>
      <c r="AY43" s="498"/>
      <c r="AZ43" s="452"/>
      <c r="BA43" s="452"/>
      <c r="BB43" s="446">
        <f t="shared" si="59"/>
        <v>0</v>
      </c>
      <c r="BC43" s="450" t="e">
        <f t="shared" si="46"/>
        <v>#DIV/0!</v>
      </c>
      <c r="BD43" s="498"/>
      <c r="BE43" s="39">
        <f t="shared" si="60"/>
        <v>0</v>
      </c>
      <c r="BF43" s="39">
        <f t="shared" si="61"/>
        <v>1930</v>
      </c>
      <c r="BG43" s="106">
        <f t="shared" si="62"/>
        <v>1930</v>
      </c>
      <c r="BH43" s="178">
        <f t="shared" si="47"/>
        <v>1.6890420812030446E-4</v>
      </c>
      <c r="BI43" s="79"/>
      <c r="BJ43" s="928"/>
      <c r="BK43" s="928"/>
      <c r="BM43" s="842"/>
      <c r="BN43" s="842"/>
    </row>
    <row r="44" spans="1:66" ht="67.2" customHeight="1" outlineLevel="2" x14ac:dyDescent="0.25">
      <c r="A44" s="4015"/>
      <c r="B44" s="19" t="s">
        <v>28</v>
      </c>
      <c r="C44" s="445"/>
      <c r="D44" s="500"/>
      <c r="E44" s="559">
        <f t="shared" si="48"/>
        <v>0</v>
      </c>
      <c r="F44" s="450">
        <f t="shared" si="41"/>
        <v>0</v>
      </c>
      <c r="G44" s="452">
        <v>0</v>
      </c>
      <c r="H44" s="452">
        <v>1040</v>
      </c>
      <c r="I44" s="446">
        <v>1040</v>
      </c>
      <c r="J44" s="450">
        <v>9.2248012526319136E-5</v>
      </c>
      <c r="K44" s="447"/>
      <c r="L44" s="452"/>
      <c r="M44" s="452"/>
      <c r="N44" s="446">
        <f t="shared" si="49"/>
        <v>0</v>
      </c>
      <c r="O44" s="450">
        <f t="shared" si="50"/>
        <v>0</v>
      </c>
      <c r="P44" s="503"/>
      <c r="Q44" s="452"/>
      <c r="R44" s="452"/>
      <c r="S44" s="446">
        <f t="shared" si="51"/>
        <v>0</v>
      </c>
      <c r="T44" s="450">
        <f t="shared" si="2"/>
        <v>0</v>
      </c>
      <c r="U44" s="503"/>
      <c r="V44" s="452"/>
      <c r="W44" s="452"/>
      <c r="X44" s="446">
        <f t="shared" si="52"/>
        <v>0</v>
      </c>
      <c r="Y44" s="450" t="e">
        <f t="shared" si="53"/>
        <v>#DIV/0!</v>
      </c>
      <c r="Z44" s="503"/>
      <c r="AA44" s="452"/>
      <c r="AB44" s="452"/>
      <c r="AC44" s="446">
        <f t="shared" si="54"/>
        <v>0</v>
      </c>
      <c r="AD44" s="450" t="e">
        <f t="shared" si="3"/>
        <v>#DIV/0!</v>
      </c>
      <c r="AE44" s="503"/>
      <c r="AF44" s="452"/>
      <c r="AG44" s="452"/>
      <c r="AH44" s="446">
        <f t="shared" si="55"/>
        <v>0</v>
      </c>
      <c r="AI44" s="450" t="e">
        <f t="shared" si="42"/>
        <v>#DIV/0!</v>
      </c>
      <c r="AJ44" s="503"/>
      <c r="AK44" s="452"/>
      <c r="AL44" s="452"/>
      <c r="AM44" s="446">
        <f t="shared" si="56"/>
        <v>0</v>
      </c>
      <c r="AN44" s="450" t="e">
        <f t="shared" si="43"/>
        <v>#DIV/0!</v>
      </c>
      <c r="AO44" s="503"/>
      <c r="AP44" s="452"/>
      <c r="AQ44" s="452"/>
      <c r="AR44" s="446">
        <f t="shared" si="57"/>
        <v>0</v>
      </c>
      <c r="AS44" s="450" t="e">
        <f t="shared" si="44"/>
        <v>#DIV/0!</v>
      </c>
      <c r="AT44" s="934"/>
      <c r="AU44" s="452"/>
      <c r="AV44" s="452"/>
      <c r="AW44" s="446">
        <f t="shared" si="58"/>
        <v>0</v>
      </c>
      <c r="AX44" s="450">
        <f t="shared" si="45"/>
        <v>0</v>
      </c>
      <c r="AY44" s="934"/>
      <c r="AZ44" s="452"/>
      <c r="BA44" s="452"/>
      <c r="BB44" s="446">
        <f t="shared" si="59"/>
        <v>0</v>
      </c>
      <c r="BC44" s="450" t="e">
        <f t="shared" si="46"/>
        <v>#DIV/0!</v>
      </c>
      <c r="BD44" s="934"/>
      <c r="BE44" s="39">
        <f t="shared" si="60"/>
        <v>0</v>
      </c>
      <c r="BF44" s="39">
        <f t="shared" si="61"/>
        <v>1040</v>
      </c>
      <c r="BG44" s="106">
        <f t="shared" si="62"/>
        <v>1040</v>
      </c>
      <c r="BH44" s="178">
        <f t="shared" si="47"/>
        <v>9.1015739090734017E-5</v>
      </c>
      <c r="BI44" s="79"/>
      <c r="BJ44" s="928"/>
      <c r="BK44" s="928"/>
      <c r="BM44" s="842"/>
      <c r="BN44" s="842"/>
    </row>
    <row r="45" spans="1:66" ht="13.8" outlineLevel="2" x14ac:dyDescent="0.25">
      <c r="A45" s="4015"/>
      <c r="B45" s="18" t="s">
        <v>8</v>
      </c>
      <c r="C45" s="445">
        <v>6000</v>
      </c>
      <c r="D45" s="500"/>
      <c r="E45" s="559">
        <f t="shared" si="48"/>
        <v>6000</v>
      </c>
      <c r="F45" s="450">
        <f t="shared" si="41"/>
        <v>1.4131921962584795E-3</v>
      </c>
      <c r="G45" s="452">
        <v>8160</v>
      </c>
      <c r="H45" s="452">
        <v>0</v>
      </c>
      <c r="I45" s="446">
        <v>8160</v>
      </c>
      <c r="J45" s="450">
        <v>7.2379209828342709E-4</v>
      </c>
      <c r="K45" s="447"/>
      <c r="L45" s="452"/>
      <c r="M45" s="452"/>
      <c r="N45" s="446">
        <f t="shared" si="49"/>
        <v>0</v>
      </c>
      <c r="O45" s="450">
        <f t="shared" si="50"/>
        <v>0</v>
      </c>
      <c r="P45" s="503"/>
      <c r="Q45" s="452"/>
      <c r="R45" s="452"/>
      <c r="S45" s="446">
        <f t="shared" si="51"/>
        <v>0</v>
      </c>
      <c r="T45" s="450">
        <f t="shared" si="2"/>
        <v>0</v>
      </c>
      <c r="U45" s="503"/>
      <c r="V45" s="452"/>
      <c r="W45" s="452"/>
      <c r="X45" s="446">
        <f t="shared" si="52"/>
        <v>0</v>
      </c>
      <c r="Y45" s="450" t="e">
        <f t="shared" si="53"/>
        <v>#DIV/0!</v>
      </c>
      <c r="Z45" s="503"/>
      <c r="AA45" s="452"/>
      <c r="AB45" s="452"/>
      <c r="AC45" s="446">
        <f t="shared" si="54"/>
        <v>0</v>
      </c>
      <c r="AD45" s="450" t="e">
        <f t="shared" si="3"/>
        <v>#DIV/0!</v>
      </c>
      <c r="AE45" s="503"/>
      <c r="AF45" s="452"/>
      <c r="AG45" s="452"/>
      <c r="AH45" s="446">
        <f t="shared" si="55"/>
        <v>0</v>
      </c>
      <c r="AI45" s="450" t="e">
        <f t="shared" si="42"/>
        <v>#DIV/0!</v>
      </c>
      <c r="AJ45" s="503"/>
      <c r="AK45" s="452"/>
      <c r="AL45" s="452"/>
      <c r="AM45" s="446">
        <f t="shared" si="56"/>
        <v>0</v>
      </c>
      <c r="AN45" s="450" t="e">
        <f t="shared" si="43"/>
        <v>#DIV/0!</v>
      </c>
      <c r="AO45" s="503"/>
      <c r="AP45" s="452"/>
      <c r="AQ45" s="452"/>
      <c r="AR45" s="446">
        <f t="shared" si="57"/>
        <v>0</v>
      </c>
      <c r="AS45" s="450" t="e">
        <f t="shared" si="44"/>
        <v>#DIV/0!</v>
      </c>
      <c r="AT45" s="503"/>
      <c r="AU45" s="452"/>
      <c r="AV45" s="452"/>
      <c r="AW45" s="446">
        <f t="shared" si="58"/>
        <v>0</v>
      </c>
      <c r="AX45" s="450">
        <f t="shared" si="45"/>
        <v>0</v>
      </c>
      <c r="AY45" s="503"/>
      <c r="AZ45" s="452"/>
      <c r="BA45" s="452"/>
      <c r="BB45" s="446">
        <f t="shared" si="59"/>
        <v>0</v>
      </c>
      <c r="BC45" s="450" t="e">
        <f t="shared" si="46"/>
        <v>#DIV/0!</v>
      </c>
      <c r="BD45" s="503"/>
      <c r="BE45" s="39">
        <f t="shared" si="60"/>
        <v>8160</v>
      </c>
      <c r="BF45" s="39">
        <f t="shared" si="61"/>
        <v>0</v>
      </c>
      <c r="BG45" s="106">
        <f t="shared" si="62"/>
        <v>8160</v>
      </c>
      <c r="BH45" s="178">
        <f t="shared" si="47"/>
        <v>7.1412349132729763E-4</v>
      </c>
      <c r="BI45" s="79"/>
      <c r="BJ45" s="928"/>
      <c r="BK45" s="928"/>
      <c r="BM45" s="842"/>
      <c r="BN45" s="842"/>
    </row>
    <row r="46" spans="1:66" ht="13.8" outlineLevel="2" x14ac:dyDescent="0.25">
      <c r="A46" s="4015"/>
      <c r="B46" s="18" t="s">
        <v>29</v>
      </c>
      <c r="C46" s="445"/>
      <c r="D46" s="500"/>
      <c r="E46" s="559">
        <f t="shared" si="48"/>
        <v>0</v>
      </c>
      <c r="F46" s="450">
        <f t="shared" si="41"/>
        <v>0</v>
      </c>
      <c r="G46" s="452">
        <v>0</v>
      </c>
      <c r="H46" s="452">
        <v>0</v>
      </c>
      <c r="I46" s="446">
        <v>0</v>
      </c>
      <c r="J46" s="450">
        <v>0</v>
      </c>
      <c r="K46" s="447"/>
      <c r="L46" s="452"/>
      <c r="M46" s="452"/>
      <c r="N46" s="446">
        <f t="shared" si="49"/>
        <v>0</v>
      </c>
      <c r="O46" s="450">
        <f t="shared" si="50"/>
        <v>0</v>
      </c>
      <c r="P46" s="503"/>
      <c r="Q46" s="452"/>
      <c r="R46" s="452"/>
      <c r="S46" s="446">
        <f t="shared" si="51"/>
        <v>0</v>
      </c>
      <c r="T46" s="450">
        <f t="shared" si="2"/>
        <v>0</v>
      </c>
      <c r="U46" s="503"/>
      <c r="V46" s="452"/>
      <c r="W46" s="452"/>
      <c r="X46" s="446">
        <f t="shared" si="52"/>
        <v>0</v>
      </c>
      <c r="Y46" s="450" t="e">
        <f t="shared" si="53"/>
        <v>#DIV/0!</v>
      </c>
      <c r="Z46" s="503"/>
      <c r="AA46" s="452"/>
      <c r="AB46" s="452"/>
      <c r="AC46" s="446">
        <f t="shared" si="54"/>
        <v>0</v>
      </c>
      <c r="AD46" s="450" t="e">
        <f t="shared" si="3"/>
        <v>#DIV/0!</v>
      </c>
      <c r="AE46" s="503"/>
      <c r="AF46" s="452"/>
      <c r="AG46" s="452"/>
      <c r="AH46" s="446">
        <f t="shared" si="55"/>
        <v>0</v>
      </c>
      <c r="AI46" s="450" t="e">
        <f t="shared" si="42"/>
        <v>#DIV/0!</v>
      </c>
      <c r="AJ46" s="503"/>
      <c r="AK46" s="452"/>
      <c r="AL46" s="452"/>
      <c r="AM46" s="446">
        <f t="shared" si="56"/>
        <v>0</v>
      </c>
      <c r="AN46" s="450" t="e">
        <f t="shared" si="43"/>
        <v>#DIV/0!</v>
      </c>
      <c r="AO46" s="503"/>
      <c r="AP46" s="452"/>
      <c r="AQ46" s="452"/>
      <c r="AR46" s="446">
        <f t="shared" si="57"/>
        <v>0</v>
      </c>
      <c r="AS46" s="450" t="e">
        <f t="shared" si="44"/>
        <v>#DIV/0!</v>
      </c>
      <c r="AT46" s="503"/>
      <c r="AU46" s="452"/>
      <c r="AV46" s="452"/>
      <c r="AW46" s="446">
        <f t="shared" si="58"/>
        <v>0</v>
      </c>
      <c r="AX46" s="450">
        <f t="shared" si="45"/>
        <v>0</v>
      </c>
      <c r="AY46" s="503"/>
      <c r="AZ46" s="452"/>
      <c r="BA46" s="452"/>
      <c r="BB46" s="446">
        <f t="shared" si="59"/>
        <v>0</v>
      </c>
      <c r="BC46" s="450" t="e">
        <f t="shared" si="46"/>
        <v>#DIV/0!</v>
      </c>
      <c r="BD46" s="503"/>
      <c r="BE46" s="39">
        <f t="shared" si="60"/>
        <v>0</v>
      </c>
      <c r="BF46" s="39">
        <f t="shared" si="61"/>
        <v>0</v>
      </c>
      <c r="BG46" s="106">
        <f t="shared" si="62"/>
        <v>0</v>
      </c>
      <c r="BH46" s="178">
        <f t="shared" si="47"/>
        <v>0</v>
      </c>
      <c r="BI46" s="79"/>
      <c r="BJ46" s="928"/>
      <c r="BK46" s="928"/>
      <c r="BM46" s="842"/>
      <c r="BN46" s="842"/>
    </row>
    <row r="47" spans="1:66" ht="14.4" outlineLevel="2" thickBot="1" x14ac:dyDescent="0.3">
      <c r="A47" s="4015"/>
      <c r="B47" s="18" t="s">
        <v>30</v>
      </c>
      <c r="C47" s="445">
        <v>9000</v>
      </c>
      <c r="D47" s="500"/>
      <c r="E47" s="559">
        <f t="shared" si="48"/>
        <v>9000</v>
      </c>
      <c r="F47" s="450">
        <f t="shared" si="41"/>
        <v>2.1197882943877191E-3</v>
      </c>
      <c r="G47" s="452">
        <v>17700.02</v>
      </c>
      <c r="H47" s="452">
        <v>2700</v>
      </c>
      <c r="I47" s="446">
        <v>20400.02</v>
      </c>
      <c r="J47" s="450">
        <v>1.8094820197088086E-3</v>
      </c>
      <c r="K47" s="447"/>
      <c r="L47" s="452">
        <v>61.5</v>
      </c>
      <c r="M47" s="452"/>
      <c r="N47" s="446">
        <f t="shared" si="49"/>
        <v>61.5</v>
      </c>
      <c r="O47" s="450">
        <f>N47/$N$89</f>
        <v>2.0592797219540927E-3</v>
      </c>
      <c r="P47" s="458"/>
      <c r="Q47" s="452"/>
      <c r="R47" s="452"/>
      <c r="S47" s="446">
        <f t="shared" si="51"/>
        <v>0</v>
      </c>
      <c r="T47" s="450">
        <f t="shared" si="2"/>
        <v>0</v>
      </c>
      <c r="U47" s="458"/>
      <c r="V47" s="452"/>
      <c r="W47" s="452"/>
      <c r="X47" s="446">
        <f t="shared" si="52"/>
        <v>0</v>
      </c>
      <c r="Y47" s="450" t="e">
        <f t="shared" si="53"/>
        <v>#DIV/0!</v>
      </c>
      <c r="Z47" s="458"/>
      <c r="AA47" s="452"/>
      <c r="AB47" s="452"/>
      <c r="AC47" s="446">
        <f t="shared" si="54"/>
        <v>0</v>
      </c>
      <c r="AD47" s="450" t="e">
        <f t="shared" si="3"/>
        <v>#DIV/0!</v>
      </c>
      <c r="AE47" s="458"/>
      <c r="AF47" s="452"/>
      <c r="AG47" s="452"/>
      <c r="AH47" s="446">
        <f t="shared" si="55"/>
        <v>0</v>
      </c>
      <c r="AI47" s="450" t="e">
        <f t="shared" si="42"/>
        <v>#DIV/0!</v>
      </c>
      <c r="AJ47" s="458"/>
      <c r="AK47" s="452"/>
      <c r="AL47" s="452"/>
      <c r="AM47" s="446">
        <f t="shared" si="56"/>
        <v>0</v>
      </c>
      <c r="AN47" s="450" t="e">
        <f t="shared" si="43"/>
        <v>#DIV/0!</v>
      </c>
      <c r="AO47" s="458"/>
      <c r="AP47" s="452"/>
      <c r="AQ47" s="452"/>
      <c r="AR47" s="446">
        <f t="shared" si="57"/>
        <v>0</v>
      </c>
      <c r="AS47" s="450" t="e">
        <f t="shared" si="44"/>
        <v>#DIV/0!</v>
      </c>
      <c r="AT47" s="458"/>
      <c r="AU47" s="452"/>
      <c r="AV47" s="452"/>
      <c r="AW47" s="446">
        <f t="shared" si="58"/>
        <v>0</v>
      </c>
      <c r="AX47" s="450">
        <f t="shared" si="45"/>
        <v>0</v>
      </c>
      <c r="AY47" s="458"/>
      <c r="AZ47" s="452"/>
      <c r="BA47" s="452"/>
      <c r="BB47" s="446">
        <f t="shared" si="59"/>
        <v>0</v>
      </c>
      <c r="BC47" s="450" t="e">
        <f t="shared" si="46"/>
        <v>#DIV/0!</v>
      </c>
      <c r="BD47" s="458"/>
      <c r="BE47" s="39">
        <f t="shared" si="60"/>
        <v>17761.52</v>
      </c>
      <c r="BF47" s="39">
        <f t="shared" si="61"/>
        <v>2700</v>
      </c>
      <c r="BG47" s="106">
        <f t="shared" si="62"/>
        <v>20461.52</v>
      </c>
      <c r="BH47" s="178">
        <f t="shared" si="47"/>
        <v>1.790692659345996E-3</v>
      </c>
      <c r="BI47" s="79"/>
      <c r="BJ47" s="928"/>
      <c r="BK47" s="928"/>
      <c r="BM47" s="842"/>
      <c r="BN47" s="842"/>
    </row>
    <row r="48" spans="1:66" ht="13.8" outlineLevel="2" x14ac:dyDescent="0.25">
      <c r="A48" s="4015"/>
      <c r="B48" s="18" t="s">
        <v>15</v>
      </c>
      <c r="C48" s="445">
        <v>1500</v>
      </c>
      <c r="D48" s="500"/>
      <c r="E48" s="559">
        <f t="shared" si="48"/>
        <v>1500</v>
      </c>
      <c r="F48" s="450">
        <f t="shared" si="41"/>
        <v>3.5329804906461987E-4</v>
      </c>
      <c r="G48" s="452">
        <v>1506.54</v>
      </c>
      <c r="H48" s="452">
        <v>0</v>
      </c>
      <c r="I48" s="446">
        <v>1506.54</v>
      </c>
      <c r="J48" s="450">
        <v>1.3363011614557773E-4</v>
      </c>
      <c r="K48" s="447"/>
      <c r="L48" s="452"/>
      <c r="M48" s="452"/>
      <c r="N48" s="446">
        <f t="shared" si="49"/>
        <v>0</v>
      </c>
      <c r="O48" s="450">
        <f t="shared" si="50"/>
        <v>0</v>
      </c>
      <c r="P48" s="503"/>
      <c r="Q48" s="452"/>
      <c r="R48" s="452"/>
      <c r="S48" s="446">
        <f t="shared" si="51"/>
        <v>0</v>
      </c>
      <c r="T48" s="450">
        <f t="shared" si="2"/>
        <v>0</v>
      </c>
      <c r="U48" s="503"/>
      <c r="V48" s="452"/>
      <c r="W48" s="452"/>
      <c r="X48" s="446">
        <f t="shared" si="52"/>
        <v>0</v>
      </c>
      <c r="Y48" s="450" t="e">
        <f t="shared" si="53"/>
        <v>#DIV/0!</v>
      </c>
      <c r="Z48" s="503"/>
      <c r="AA48" s="452"/>
      <c r="AB48" s="452"/>
      <c r="AC48" s="446">
        <f t="shared" si="54"/>
        <v>0</v>
      </c>
      <c r="AD48" s="450" t="e">
        <f t="shared" si="3"/>
        <v>#DIV/0!</v>
      </c>
      <c r="AE48" s="503"/>
      <c r="AF48" s="452"/>
      <c r="AG48" s="452"/>
      <c r="AH48" s="446">
        <f t="shared" si="55"/>
        <v>0</v>
      </c>
      <c r="AI48" s="450" t="e">
        <f t="shared" si="42"/>
        <v>#DIV/0!</v>
      </c>
      <c r="AJ48" s="503"/>
      <c r="AK48" s="452"/>
      <c r="AL48" s="452"/>
      <c r="AM48" s="446">
        <f t="shared" si="56"/>
        <v>0</v>
      </c>
      <c r="AN48" s="450" t="e">
        <f>AM48/$AH$89</f>
        <v>#DIV/0!</v>
      </c>
      <c r="AO48" s="503"/>
      <c r="AP48" s="452"/>
      <c r="AQ48" s="452"/>
      <c r="AR48" s="446">
        <f t="shared" si="57"/>
        <v>0</v>
      </c>
      <c r="AS48" s="450" t="e">
        <f t="shared" si="44"/>
        <v>#DIV/0!</v>
      </c>
      <c r="AT48" s="503"/>
      <c r="AU48" s="452"/>
      <c r="AV48" s="452"/>
      <c r="AW48" s="446">
        <f t="shared" si="58"/>
        <v>0</v>
      </c>
      <c r="AX48" s="450">
        <f t="shared" si="45"/>
        <v>0</v>
      </c>
      <c r="AY48" s="879" t="s">
        <v>961</v>
      </c>
      <c r="AZ48" s="452"/>
      <c r="BA48" s="452"/>
      <c r="BB48" s="446">
        <f t="shared" si="59"/>
        <v>0</v>
      </c>
      <c r="BC48" s="450" t="e">
        <f t="shared" si="46"/>
        <v>#DIV/0!</v>
      </c>
      <c r="BD48" s="879" t="s">
        <v>961</v>
      </c>
      <c r="BE48" s="39">
        <f t="shared" si="60"/>
        <v>1506.54</v>
      </c>
      <c r="BF48" s="39">
        <f t="shared" si="61"/>
        <v>0</v>
      </c>
      <c r="BG48" s="106">
        <f t="shared" si="62"/>
        <v>1506.54</v>
      </c>
      <c r="BH48" s="178">
        <f t="shared" si="47"/>
        <v>1.3184504958630233E-4</v>
      </c>
      <c r="BI48" s="79"/>
      <c r="BJ48" s="928"/>
      <c r="BK48" s="928"/>
      <c r="BM48" s="842"/>
      <c r="BN48" s="842"/>
    </row>
    <row r="49" spans="1:66" s="2" customFormat="1" ht="14.4" outlineLevel="2" thickBot="1" x14ac:dyDescent="0.3">
      <c r="A49" s="822"/>
      <c r="B49" s="823"/>
      <c r="C49" s="506"/>
      <c r="D49" s="824"/>
      <c r="E49" s="825">
        <f t="shared" si="48"/>
        <v>0</v>
      </c>
      <c r="F49" s="826"/>
      <c r="G49" s="512">
        <v>0</v>
      </c>
      <c r="H49" s="512">
        <v>0</v>
      </c>
      <c r="I49" s="606"/>
      <c r="J49" s="508">
        <v>0</v>
      </c>
      <c r="K49" s="968"/>
      <c r="L49" s="512"/>
      <c r="M49" s="512"/>
      <c r="N49" s="606"/>
      <c r="O49" s="508">
        <f>N49/$N$89</f>
        <v>0</v>
      </c>
      <c r="P49" s="588"/>
      <c r="Q49" s="512"/>
      <c r="R49" s="512"/>
      <c r="S49" s="606"/>
      <c r="T49" s="508">
        <f t="shared" si="2"/>
        <v>0</v>
      </c>
      <c r="U49" s="588"/>
      <c r="V49" s="512"/>
      <c r="W49" s="512"/>
      <c r="X49" s="606"/>
      <c r="Y49" s="508">
        <f t="shared" si="35"/>
        <v>0</v>
      </c>
      <c r="Z49" s="588"/>
      <c r="AA49" s="512"/>
      <c r="AB49" s="512"/>
      <c r="AC49" s="606"/>
      <c r="AD49" s="508" t="e">
        <f t="shared" si="3"/>
        <v>#DIV/0!</v>
      </c>
      <c r="AE49" s="588"/>
      <c r="AF49" s="512"/>
      <c r="AG49" s="512"/>
      <c r="AH49" s="606"/>
      <c r="AI49" s="508" t="e">
        <f t="shared" si="36"/>
        <v>#DIV/0!</v>
      </c>
      <c r="AJ49" s="588"/>
      <c r="AK49" s="512"/>
      <c r="AL49" s="512"/>
      <c r="AM49" s="606"/>
      <c r="AN49" s="508" t="e">
        <f>AM49/$AC$89</f>
        <v>#DIV/0!</v>
      </c>
      <c r="AO49" s="588"/>
      <c r="AP49" s="512"/>
      <c r="AQ49" s="512"/>
      <c r="AR49" s="606"/>
      <c r="AS49" s="508" t="e">
        <f t="shared" si="44"/>
        <v>#DIV/0!</v>
      </c>
      <c r="AT49" s="588"/>
      <c r="AU49" s="512"/>
      <c r="AV49" s="512"/>
      <c r="AW49" s="606"/>
      <c r="AX49" s="508" t="e">
        <f>AW49/$AR$89</f>
        <v>#DIV/0!</v>
      </c>
      <c r="AY49" s="588"/>
      <c r="AZ49" s="512"/>
      <c r="BA49" s="512"/>
      <c r="BB49" s="606"/>
      <c r="BC49" s="508" t="e">
        <f t="shared" si="46"/>
        <v>#DIV/0!</v>
      </c>
      <c r="BD49" s="588"/>
      <c r="BE49" s="39">
        <f>L49+Q49+V49+AA49+AF49+AK49+AP49+AU49</f>
        <v>0</v>
      </c>
      <c r="BF49" s="39">
        <f>M49+R49+W49+AB49+AG49+AL49+AQ49+AV49</f>
        <v>0</v>
      </c>
      <c r="BG49" s="52"/>
      <c r="BH49" s="178">
        <f t="shared" si="47"/>
        <v>0</v>
      </c>
      <c r="BI49" s="52"/>
      <c r="BJ49" s="842"/>
      <c r="BK49" s="842"/>
    </row>
    <row r="50" spans="1:66" s="2" customFormat="1" ht="13.8" outlineLevel="1" x14ac:dyDescent="0.25">
      <c r="A50" s="294"/>
      <c r="B50" s="22" t="s">
        <v>59</v>
      </c>
      <c r="C50" s="547">
        <f>SUM(C51:C52)</f>
        <v>0</v>
      </c>
      <c r="D50" s="547">
        <f>SUM(D51:D52)</f>
        <v>0</v>
      </c>
      <c r="E50" s="547">
        <f>SUM(E51:E52)</f>
        <v>0</v>
      </c>
      <c r="F50" s="585">
        <f>E50/$E$89</f>
        <v>0</v>
      </c>
      <c r="G50" s="547">
        <v>0</v>
      </c>
      <c r="H50" s="547">
        <v>0</v>
      </c>
      <c r="I50" s="547">
        <v>0</v>
      </c>
      <c r="J50" s="548"/>
      <c r="K50" s="245"/>
      <c r="L50" s="547">
        <f>L52+L51</f>
        <v>0</v>
      </c>
      <c r="M50" s="547">
        <f>M52+M51</f>
        <v>0</v>
      </c>
      <c r="N50" s="547">
        <f>SUM(N51:N52)</f>
        <v>0</v>
      </c>
      <c r="O50" s="548"/>
      <c r="P50" s="869"/>
      <c r="Q50" s="547">
        <f>Q52+Q51</f>
        <v>0</v>
      </c>
      <c r="R50" s="547">
        <f>R52+R51</f>
        <v>0</v>
      </c>
      <c r="S50" s="547">
        <f>SUM(S51:S52)</f>
        <v>0</v>
      </c>
      <c r="T50" s="585">
        <f t="shared" si="2"/>
        <v>0</v>
      </c>
      <c r="U50" s="869"/>
      <c r="V50" s="547">
        <f>V52+V51</f>
        <v>0</v>
      </c>
      <c r="W50" s="547">
        <f>W52+W51</f>
        <v>0</v>
      </c>
      <c r="X50" s="547">
        <f>SUM(X51:X52)</f>
        <v>0</v>
      </c>
      <c r="Y50" s="585" t="e">
        <f t="shared" ref="Y50:Y71" si="63">X50/$X$89</f>
        <v>#DIV/0!</v>
      </c>
      <c r="Z50" s="869"/>
      <c r="AA50" s="547">
        <f>AA52+AA51</f>
        <v>0</v>
      </c>
      <c r="AB50" s="547">
        <f>AB52+AB51</f>
        <v>0</v>
      </c>
      <c r="AC50" s="547">
        <f>SUM(AC51:AC52)</f>
        <v>0</v>
      </c>
      <c r="AD50" s="585" t="e">
        <f t="shared" si="3"/>
        <v>#DIV/0!</v>
      </c>
      <c r="AE50" s="869"/>
      <c r="AF50" s="547">
        <f>AF52+AF51</f>
        <v>0</v>
      </c>
      <c r="AG50" s="547">
        <f>AG52+AG51</f>
        <v>0</v>
      </c>
      <c r="AH50" s="547">
        <f>SUM(AH51:AH52)</f>
        <v>0</v>
      </c>
      <c r="AI50" s="585" t="e">
        <f t="shared" si="36"/>
        <v>#DIV/0!</v>
      </c>
      <c r="AJ50" s="869"/>
      <c r="AK50" s="547">
        <f>AK52+AK51</f>
        <v>0</v>
      </c>
      <c r="AL50" s="547">
        <f>AL52+AL51</f>
        <v>0</v>
      </c>
      <c r="AM50" s="547">
        <f>SUM(AM51:AM52)</f>
        <v>0</v>
      </c>
      <c r="AN50" s="585" t="e">
        <f>AM50/$AC$89</f>
        <v>#DIV/0!</v>
      </c>
      <c r="AO50" s="869"/>
      <c r="AP50" s="547">
        <f>AP52+AP51</f>
        <v>0</v>
      </c>
      <c r="AQ50" s="547">
        <f>AQ52+AQ51</f>
        <v>0</v>
      </c>
      <c r="AR50" s="547">
        <f>SUM(AR51:AR52)</f>
        <v>0</v>
      </c>
      <c r="AS50" s="585" t="e">
        <f>AR50/$AC$89</f>
        <v>#DIV/0!</v>
      </c>
      <c r="AT50" s="869"/>
      <c r="AU50" s="547">
        <f>AU52+AU51</f>
        <v>0</v>
      </c>
      <c r="AV50" s="547">
        <f>AV52+AV51</f>
        <v>0</v>
      </c>
      <c r="AW50" s="547">
        <f>SUM(AW51:AW52)</f>
        <v>0</v>
      </c>
      <c r="AX50" s="585" t="e">
        <f>AW50/$AC$89</f>
        <v>#DIV/0!</v>
      </c>
      <c r="AY50" s="869"/>
      <c r="AZ50" s="547">
        <f>AZ52+AZ51</f>
        <v>0</v>
      </c>
      <c r="BA50" s="547">
        <f>BA52+BA51</f>
        <v>0</v>
      </c>
      <c r="BB50" s="547">
        <f>SUM(BB51:BB52)</f>
        <v>0</v>
      </c>
      <c r="BC50" s="585" t="e">
        <f>BB50/$AC$89</f>
        <v>#DIV/0!</v>
      </c>
      <c r="BD50" s="869"/>
      <c r="BE50" s="123">
        <f>BE52+BE51</f>
        <v>0</v>
      </c>
      <c r="BF50" s="123">
        <f>BF52+BF51</f>
        <v>0</v>
      </c>
      <c r="BG50" s="123">
        <f>SUM(BG51:BG52)</f>
        <v>0</v>
      </c>
      <c r="BH50" s="60"/>
      <c r="BI50" s="60"/>
      <c r="BJ50" s="842"/>
      <c r="BK50" s="842"/>
    </row>
    <row r="51" spans="1:66" s="226" customFormat="1" ht="13.8" outlineLevel="1" x14ac:dyDescent="0.25">
      <c r="A51" s="234"/>
      <c r="B51" s="18" t="s">
        <v>60</v>
      </c>
      <c r="C51" s="113"/>
      <c r="D51" s="119"/>
      <c r="E51" s="119">
        <f>C51+D51</f>
        <v>0</v>
      </c>
      <c r="F51" s="180">
        <f>E51/$E$89</f>
        <v>0</v>
      </c>
      <c r="G51" s="39">
        <v>0</v>
      </c>
      <c r="H51" s="39">
        <v>0</v>
      </c>
      <c r="I51" s="106">
        <v>0</v>
      </c>
      <c r="J51" s="178">
        <v>0</v>
      </c>
      <c r="K51" s="958"/>
      <c r="L51" s="39"/>
      <c r="M51" s="39"/>
      <c r="N51" s="106">
        <f>L51+M51*1</f>
        <v>0</v>
      </c>
      <c r="O51" s="178">
        <f>N51/$N$89</f>
        <v>0</v>
      </c>
      <c r="P51" s="405"/>
      <c r="Q51" s="39"/>
      <c r="R51" s="39"/>
      <c r="S51" s="106">
        <f>Q51+R51*1</f>
        <v>0</v>
      </c>
      <c r="T51" s="178">
        <f t="shared" si="2"/>
        <v>0</v>
      </c>
      <c r="U51" s="405"/>
      <c r="V51" s="39"/>
      <c r="W51" s="39"/>
      <c r="X51" s="106">
        <f>V51+W51*1</f>
        <v>0</v>
      </c>
      <c r="Y51" s="178" t="e">
        <f t="shared" si="63"/>
        <v>#DIV/0!</v>
      </c>
      <c r="Z51" s="405"/>
      <c r="AA51" s="39"/>
      <c r="AB51" s="39"/>
      <c r="AC51" s="106">
        <f>AA51+AB51*1</f>
        <v>0</v>
      </c>
      <c r="AD51" s="178" t="e">
        <f t="shared" si="3"/>
        <v>#DIV/0!</v>
      </c>
      <c r="AE51" s="405"/>
      <c r="AF51" s="39"/>
      <c r="AG51" s="39"/>
      <c r="AH51" s="106">
        <f>AF51+AG51*1</f>
        <v>0</v>
      </c>
      <c r="AI51" s="178" t="e">
        <f t="shared" si="36"/>
        <v>#DIV/0!</v>
      </c>
      <c r="AJ51" s="405"/>
      <c r="AK51" s="39"/>
      <c r="AL51" s="39"/>
      <c r="AM51" s="106">
        <f>AK51+AL51*1</f>
        <v>0</v>
      </c>
      <c r="AN51" s="178" t="e">
        <f>AM51/$AC$89</f>
        <v>#DIV/0!</v>
      </c>
      <c r="AO51" s="405"/>
      <c r="AP51" s="39"/>
      <c r="AQ51" s="39"/>
      <c r="AR51" s="106">
        <f>AP51+AQ51*1</f>
        <v>0</v>
      </c>
      <c r="AS51" s="178" t="e">
        <f>AR51/$AC$89</f>
        <v>#DIV/0!</v>
      </c>
      <c r="AT51" s="405"/>
      <c r="AU51" s="39"/>
      <c r="AV51" s="39"/>
      <c r="AW51" s="106">
        <f>AU51+AV51*1</f>
        <v>0</v>
      </c>
      <c r="AX51" s="178" t="e">
        <f>AW51/$AC$89</f>
        <v>#DIV/0!</v>
      </c>
      <c r="AY51" s="405"/>
      <c r="AZ51" s="39"/>
      <c r="BA51" s="39"/>
      <c r="BB51" s="106">
        <f>AZ51+BA51*1</f>
        <v>0</v>
      </c>
      <c r="BC51" s="178" t="e">
        <f>BB51/$AC$89</f>
        <v>#DIV/0!</v>
      </c>
      <c r="BD51" s="405"/>
      <c r="BE51" s="39">
        <f>L51+G51+Q51</f>
        <v>0</v>
      </c>
      <c r="BF51" s="39">
        <f>H51+M51+R51</f>
        <v>0</v>
      </c>
      <c r="BG51" s="106">
        <f>BE51+BF51</f>
        <v>0</v>
      </c>
      <c r="BH51" s="178">
        <f>BG51/$BG$89</f>
        <v>0</v>
      </c>
      <c r="BI51" s="45"/>
      <c r="BJ51" s="916"/>
      <c r="BK51" s="916"/>
      <c r="BM51" s="842"/>
      <c r="BN51" s="842"/>
    </row>
    <row r="52" spans="1:66" s="235" customFormat="1" ht="13.8" outlineLevel="2" x14ac:dyDescent="0.25">
      <c r="A52" s="234"/>
      <c r="B52" s="18" t="s">
        <v>61</v>
      </c>
      <c r="C52" s="113"/>
      <c r="D52" s="119"/>
      <c r="E52" s="119">
        <f>C52+D52</f>
        <v>0</v>
      </c>
      <c r="F52" s="180">
        <f>E52/$E$89</f>
        <v>0</v>
      </c>
      <c r="G52" s="39">
        <v>0</v>
      </c>
      <c r="H52" s="39">
        <v>0</v>
      </c>
      <c r="I52" s="106">
        <v>0</v>
      </c>
      <c r="J52" s="178">
        <v>0</v>
      </c>
      <c r="K52" s="958"/>
      <c r="L52" s="39"/>
      <c r="M52" s="39"/>
      <c r="N52" s="106">
        <f>L52+M52*1</f>
        <v>0</v>
      </c>
      <c r="O52" s="178">
        <f>N52/$N$89</f>
        <v>0</v>
      </c>
      <c r="P52" s="405"/>
      <c r="Q52" s="39"/>
      <c r="R52" s="39"/>
      <c r="S52" s="106">
        <f>Q52+R52*1</f>
        <v>0</v>
      </c>
      <c r="T52" s="178">
        <f t="shared" si="2"/>
        <v>0</v>
      </c>
      <c r="U52" s="405"/>
      <c r="V52" s="39"/>
      <c r="W52" s="39"/>
      <c r="X52" s="106">
        <f>V52+W52*1</f>
        <v>0</v>
      </c>
      <c r="Y52" s="178" t="e">
        <f t="shared" si="63"/>
        <v>#DIV/0!</v>
      </c>
      <c r="Z52" s="405"/>
      <c r="AA52" s="39"/>
      <c r="AB52" s="39"/>
      <c r="AC52" s="106">
        <f>AA52+AB52*1</f>
        <v>0</v>
      </c>
      <c r="AD52" s="178" t="e">
        <f t="shared" si="3"/>
        <v>#DIV/0!</v>
      </c>
      <c r="AE52" s="405"/>
      <c r="AF52" s="39"/>
      <c r="AG52" s="39"/>
      <c r="AH52" s="106">
        <f>AF52+AG52*1</f>
        <v>0</v>
      </c>
      <c r="AI52" s="178" t="e">
        <f t="shared" si="36"/>
        <v>#DIV/0!</v>
      </c>
      <c r="AJ52" s="405"/>
      <c r="AK52" s="39"/>
      <c r="AL52" s="39"/>
      <c r="AM52" s="106">
        <f>AK52+AL52*1</f>
        <v>0</v>
      </c>
      <c r="AN52" s="178" t="e">
        <f>AM52/$AC$89</f>
        <v>#DIV/0!</v>
      </c>
      <c r="AO52" s="405"/>
      <c r="AP52" s="39"/>
      <c r="AQ52" s="39"/>
      <c r="AR52" s="106">
        <f>AP52+AQ52*1</f>
        <v>0</v>
      </c>
      <c r="AS52" s="178" t="e">
        <f>AR52/$AC$89</f>
        <v>#DIV/0!</v>
      </c>
      <c r="AT52" s="405"/>
      <c r="AU52" s="39"/>
      <c r="AV52" s="39"/>
      <c r="AW52" s="106">
        <f>AU52+AV52*1</f>
        <v>0</v>
      </c>
      <c r="AX52" s="178" t="e">
        <f>AW52/$AC$89</f>
        <v>#DIV/0!</v>
      </c>
      <c r="AY52" s="405"/>
      <c r="AZ52" s="39"/>
      <c r="BA52" s="39"/>
      <c r="BB52" s="106">
        <f>AZ52+BA52*1</f>
        <v>0</v>
      </c>
      <c r="BC52" s="178" t="e">
        <f>BB52/$AC$89</f>
        <v>#DIV/0!</v>
      </c>
      <c r="BD52" s="405"/>
      <c r="BE52" s="39">
        <f>L52+G52+Q52</f>
        <v>0</v>
      </c>
      <c r="BF52" s="39">
        <f>H52+M52+R52</f>
        <v>0</v>
      </c>
      <c r="BG52" s="106">
        <f>BE52+BF52</f>
        <v>0</v>
      </c>
      <c r="BH52" s="178">
        <f>BG52/$BG$89</f>
        <v>0</v>
      </c>
      <c r="BI52" s="45"/>
      <c r="BJ52" s="930"/>
      <c r="BK52" s="930"/>
      <c r="BM52" s="842"/>
      <c r="BN52" s="842"/>
    </row>
    <row r="53" spans="1:66" ht="14.4" outlineLevel="1" thickBot="1" x14ac:dyDescent="0.3">
      <c r="A53" s="20"/>
      <c r="B53" s="21"/>
      <c r="C53" s="124"/>
      <c r="D53" s="125"/>
      <c r="E53" s="126"/>
      <c r="F53" s="183"/>
      <c r="G53" s="39">
        <v>0</v>
      </c>
      <c r="H53" s="39">
        <v>0</v>
      </c>
      <c r="I53" s="61">
        <v>0</v>
      </c>
      <c r="J53" s="61"/>
      <c r="K53" s="959"/>
      <c r="L53" s="39"/>
      <c r="M53" s="39"/>
      <c r="N53" s="61"/>
      <c r="O53" s="61"/>
      <c r="P53" s="61"/>
      <c r="Q53" s="39"/>
      <c r="R53" s="39"/>
      <c r="S53" s="61"/>
      <c r="T53" s="178">
        <f t="shared" si="2"/>
        <v>0</v>
      </c>
      <c r="U53" s="61"/>
      <c r="V53" s="39"/>
      <c r="W53" s="39"/>
      <c r="X53" s="61"/>
      <c r="Y53" s="178">
        <f t="shared" si="35"/>
        <v>0</v>
      </c>
      <c r="Z53" s="61"/>
      <c r="AA53" s="39"/>
      <c r="AB53" s="39"/>
      <c r="AC53" s="61"/>
      <c r="AD53" s="178" t="e">
        <f t="shared" si="3"/>
        <v>#DIV/0!</v>
      </c>
      <c r="AE53" s="61"/>
      <c r="AF53" s="39"/>
      <c r="AG53" s="39"/>
      <c r="AH53" s="61"/>
      <c r="AI53" s="178" t="e">
        <f t="shared" si="36"/>
        <v>#DIV/0!</v>
      </c>
      <c r="AJ53" s="61"/>
      <c r="AK53" s="39"/>
      <c r="AL53" s="39"/>
      <c r="AM53" s="61"/>
      <c r="AN53" s="178" t="e">
        <f>AM53/$AC$89</f>
        <v>#DIV/0!</v>
      </c>
      <c r="AO53" s="61"/>
      <c r="AP53" s="39"/>
      <c r="AQ53" s="39"/>
      <c r="AR53" s="61"/>
      <c r="AS53" s="178" t="e">
        <f>AR53/$AC$89</f>
        <v>#DIV/0!</v>
      </c>
      <c r="AT53" s="61"/>
      <c r="AU53" s="39"/>
      <c r="AV53" s="39"/>
      <c r="AW53" s="61"/>
      <c r="AX53" s="178" t="e">
        <f>AW53/$AC$89</f>
        <v>#DIV/0!</v>
      </c>
      <c r="AY53" s="61"/>
      <c r="AZ53" s="39"/>
      <c r="BA53" s="39"/>
      <c r="BB53" s="61"/>
      <c r="BC53" s="178" t="e">
        <f>BB53/$AC$89</f>
        <v>#DIV/0!</v>
      </c>
      <c r="BD53" s="61"/>
      <c r="BE53" s="39">
        <f>L53+Q53+V53+AA53</f>
        <v>0</v>
      </c>
      <c r="BF53" s="39">
        <f>M53+R53+W53+AB53</f>
        <v>0</v>
      </c>
      <c r="BG53" s="106">
        <f>BE53+BF53</f>
        <v>0</v>
      </c>
      <c r="BH53" s="61"/>
      <c r="BI53" s="61"/>
      <c r="BJ53" s="928"/>
      <c r="BK53" s="928"/>
      <c r="BM53" s="842"/>
      <c r="BN53" s="842"/>
    </row>
    <row r="54" spans="1:66" ht="13.8" outlineLevel="1" x14ac:dyDescent="0.25">
      <c r="A54" s="236"/>
      <c r="B54" s="17" t="s">
        <v>1</v>
      </c>
      <c r="C54" s="123">
        <f>SUM(C55:C71)</f>
        <v>34400</v>
      </c>
      <c r="D54" s="123">
        <f>SUM(D55:D71)</f>
        <v>2500</v>
      </c>
      <c r="E54" s="127">
        <f>SUM(E55:E71)</f>
        <v>36900</v>
      </c>
      <c r="F54" s="170">
        <f>E54/$E$89</f>
        <v>8.6911320069896492E-3</v>
      </c>
      <c r="G54" s="123">
        <v>191297.25799999997</v>
      </c>
      <c r="H54" s="123">
        <v>133291.78</v>
      </c>
      <c r="I54" s="123">
        <v>324589.038</v>
      </c>
      <c r="J54" s="169">
        <v>2.8791051580124884E-2</v>
      </c>
      <c r="K54" s="246"/>
      <c r="L54" s="123">
        <f>SUM(L55:L72)</f>
        <v>5880.61</v>
      </c>
      <c r="M54" s="123">
        <f>SUM(M55:M72)</f>
        <v>536.75</v>
      </c>
      <c r="N54" s="123">
        <f>SUM(N55:N72)</f>
        <v>6417.36</v>
      </c>
      <c r="O54" s="169">
        <f>N54/$N$89</f>
        <v>0.21488031408909458</v>
      </c>
      <c r="P54" s="409"/>
      <c r="Q54" s="123">
        <f>SUM(Q55:Q72)</f>
        <v>0</v>
      </c>
      <c r="R54" s="123">
        <f>SUM(R55:R72)</f>
        <v>0</v>
      </c>
      <c r="S54" s="123">
        <f>SUM(S55:S72)</f>
        <v>0</v>
      </c>
      <c r="T54" s="169">
        <f t="shared" si="2"/>
        <v>0</v>
      </c>
      <c r="U54" s="409"/>
      <c r="V54" s="123">
        <f>SUM(V55:V72)</f>
        <v>0</v>
      </c>
      <c r="W54" s="123">
        <f>SUM(W55:W72)</f>
        <v>0</v>
      </c>
      <c r="X54" s="123">
        <f>SUM(X55:X72)</f>
        <v>0</v>
      </c>
      <c r="Y54" s="169" t="e">
        <f t="shared" si="63"/>
        <v>#DIV/0!</v>
      </c>
      <c r="Z54" s="409"/>
      <c r="AA54" s="123">
        <f>SUM(AA55:AA72)</f>
        <v>0</v>
      </c>
      <c r="AB54" s="123">
        <f>SUM(AB55:AB72)</f>
        <v>0</v>
      </c>
      <c r="AC54" s="123">
        <f>SUM(AC55:AC72)</f>
        <v>0</v>
      </c>
      <c r="AD54" s="169" t="e">
        <f t="shared" si="3"/>
        <v>#DIV/0!</v>
      </c>
      <c r="AE54" s="409"/>
      <c r="AF54" s="123">
        <f>SUM(AF55:AF72)</f>
        <v>0</v>
      </c>
      <c r="AG54" s="123">
        <f>SUM(AG55:AG72)</f>
        <v>0</v>
      </c>
      <c r="AH54" s="123">
        <f>SUM(AH55:AH72)</f>
        <v>0</v>
      </c>
      <c r="AI54" s="169" t="e">
        <f t="shared" ref="AI54:AI71" si="64">AH54/$AH$89</f>
        <v>#DIV/0!</v>
      </c>
      <c r="AJ54" s="409"/>
      <c r="AK54" s="123">
        <f>SUM(AK55:AK72)</f>
        <v>0</v>
      </c>
      <c r="AL54" s="123">
        <f>SUM(AL55:AL72)</f>
        <v>0</v>
      </c>
      <c r="AM54" s="123">
        <f>SUM(AM55:AM72)</f>
        <v>0</v>
      </c>
      <c r="AN54" s="169" t="e">
        <f t="shared" ref="AN54:AN71" si="65">AM54/$AM$89</f>
        <v>#DIV/0!</v>
      </c>
      <c r="AO54" s="409"/>
      <c r="AP54" s="123">
        <f>SUM(AP55:AP72)</f>
        <v>0</v>
      </c>
      <c r="AQ54" s="123">
        <f>SUM(AQ55:AQ72)</f>
        <v>0</v>
      </c>
      <c r="AR54" s="123">
        <f>SUM(AR55:AR72)</f>
        <v>0</v>
      </c>
      <c r="AS54" s="169" t="e">
        <f t="shared" ref="AS54:AS71" si="66">AR54/$AR$89</f>
        <v>#DIV/0!</v>
      </c>
      <c r="AT54" s="409"/>
      <c r="AU54" s="123">
        <f>SUM(AU55:AU72)</f>
        <v>-6.9999999999708962E-2</v>
      </c>
      <c r="AV54" s="123">
        <f>SUM(AV55:AV72)</f>
        <v>0</v>
      </c>
      <c r="AW54" s="123">
        <f>SUM(AW55:AW72)</f>
        <v>-6.9999999999708962E-2</v>
      </c>
      <c r="AX54" s="169">
        <f t="shared" ref="AX54:AX71" si="67">AW54/$AW$89</f>
        <v>1</v>
      </c>
      <c r="AY54" s="409"/>
      <c r="AZ54" s="123">
        <f>SUM(AZ55:AZ72)</f>
        <v>0</v>
      </c>
      <c r="BA54" s="123">
        <f>SUM(BA55:BA72)</f>
        <v>0</v>
      </c>
      <c r="BB54" s="123">
        <f>SUM(BB55:BB72)</f>
        <v>0</v>
      </c>
      <c r="BC54" s="169" t="e">
        <f t="shared" ref="BC54:BC71" si="68">BB54/$AR$89</f>
        <v>#DIV/0!</v>
      </c>
      <c r="BD54" s="409"/>
      <c r="BE54" s="123">
        <f>SUM(BE55:BE72)</f>
        <v>197177.86799999996</v>
      </c>
      <c r="BF54" s="123">
        <f>SUM(BF55:BF72)</f>
        <v>133828.53</v>
      </c>
      <c r="BG54" s="123">
        <f>SUM(BG55:BG72)</f>
        <v>331006.39799999999</v>
      </c>
      <c r="BH54" s="169">
        <f t="shared" ref="BH54:BH72" si="69">BG54/$BG$89</f>
        <v>2.8968069190126594E-2</v>
      </c>
      <c r="BI54" s="60"/>
      <c r="BJ54" s="928"/>
      <c r="BK54" s="928"/>
      <c r="BM54" s="842"/>
      <c r="BN54" s="842"/>
    </row>
    <row r="55" spans="1:66" ht="13.95" customHeight="1" outlineLevel="2" x14ac:dyDescent="0.25">
      <c r="A55" s="237"/>
      <c r="B55" s="19" t="s">
        <v>77</v>
      </c>
      <c r="C55" s="113"/>
      <c r="D55" s="128"/>
      <c r="E55" s="120">
        <f t="shared" ref="E55:E72" si="70">C55+D55</f>
        <v>0</v>
      </c>
      <c r="F55" s="178">
        <f>E55/$E$89</f>
        <v>0</v>
      </c>
      <c r="G55" s="210">
        <v>0</v>
      </c>
      <c r="H55" s="210">
        <v>0</v>
      </c>
      <c r="I55" s="106">
        <v>0</v>
      </c>
      <c r="J55" s="178">
        <v>0</v>
      </c>
      <c r="K55" s="447"/>
      <c r="L55" s="210"/>
      <c r="M55" s="210"/>
      <c r="N55" s="106">
        <f t="shared" ref="N55:N71" si="71">L55+M55*1</f>
        <v>0</v>
      </c>
      <c r="O55" s="178">
        <f t="shared" ref="O55:O72" si="72">N55/$N$89</f>
        <v>0</v>
      </c>
      <c r="P55" s="259"/>
      <c r="Q55" s="210"/>
      <c r="R55" s="210"/>
      <c r="S55" s="106">
        <f t="shared" ref="S55:S71" si="73">Q55+R55*1</f>
        <v>0</v>
      </c>
      <c r="T55" s="178">
        <f t="shared" si="2"/>
        <v>0</v>
      </c>
      <c r="U55" s="259"/>
      <c r="V55" s="210"/>
      <c r="W55" s="210"/>
      <c r="X55" s="106">
        <f t="shared" ref="X55:X71" si="74">V55+W55*1</f>
        <v>0</v>
      </c>
      <c r="Y55" s="178" t="e">
        <f t="shared" si="63"/>
        <v>#DIV/0!</v>
      </c>
      <c r="Z55" s="259"/>
      <c r="AA55" s="210"/>
      <c r="AB55" s="210"/>
      <c r="AC55" s="106">
        <f t="shared" ref="AC55:AC71" si="75">AA55+AB55*1</f>
        <v>0</v>
      </c>
      <c r="AD55" s="178" t="e">
        <f t="shared" si="3"/>
        <v>#DIV/0!</v>
      </c>
      <c r="AE55" s="259"/>
      <c r="AF55" s="210"/>
      <c r="AG55" s="210"/>
      <c r="AH55" s="106">
        <f t="shared" ref="AH55:AH71" si="76">AF55+AG55*1</f>
        <v>0</v>
      </c>
      <c r="AI55" s="178" t="e">
        <f t="shared" si="64"/>
        <v>#DIV/0!</v>
      </c>
      <c r="AJ55" s="259"/>
      <c r="AK55" s="210"/>
      <c r="AL55" s="210"/>
      <c r="AM55" s="106">
        <f t="shared" ref="AM55:AM71" si="77">AK55+AL55*1</f>
        <v>0</v>
      </c>
      <c r="AN55" s="178" t="e">
        <f t="shared" si="65"/>
        <v>#DIV/0!</v>
      </c>
      <c r="AO55" s="259"/>
      <c r="AP55" s="210"/>
      <c r="AQ55" s="210"/>
      <c r="AR55" s="106">
        <f t="shared" ref="AR55:AR71" si="78">AP55+AQ55*1</f>
        <v>0</v>
      </c>
      <c r="AS55" s="178" t="e">
        <f t="shared" si="66"/>
        <v>#DIV/0!</v>
      </c>
      <c r="AT55" s="259"/>
      <c r="AU55" s="210"/>
      <c r="AV55" s="210"/>
      <c r="AW55" s="106">
        <f t="shared" ref="AW55:AW71" si="79">AU55+AV55*1</f>
        <v>0</v>
      </c>
      <c r="AX55" s="178">
        <f t="shared" si="67"/>
        <v>0</v>
      </c>
      <c r="AY55" s="259"/>
      <c r="AZ55" s="210"/>
      <c r="BA55" s="210"/>
      <c r="BB55" s="106">
        <f t="shared" ref="BB55:BB71" si="80">AZ55+BA55*1</f>
        <v>0</v>
      </c>
      <c r="BC55" s="178" t="e">
        <f t="shared" si="68"/>
        <v>#DIV/0!</v>
      </c>
      <c r="BD55" s="259"/>
      <c r="BE55" s="39">
        <f t="shared" ref="BE55:BE71" si="81">L55+G55+Q55</f>
        <v>0</v>
      </c>
      <c r="BF55" s="39">
        <f t="shared" ref="BF55:BF71" si="82">H55+M55+R55</f>
        <v>0</v>
      </c>
      <c r="BG55" s="106">
        <f t="shared" ref="BG55:BG72" si="83">BE55+BF55</f>
        <v>0</v>
      </c>
      <c r="BH55" s="178">
        <f t="shared" si="69"/>
        <v>0</v>
      </c>
      <c r="BI55" s="79"/>
      <c r="BJ55" s="928"/>
      <c r="BK55" s="928"/>
      <c r="BM55" s="842"/>
      <c r="BN55" s="842"/>
    </row>
    <row r="56" spans="1:66" ht="13.95" customHeight="1" outlineLevel="2" x14ac:dyDescent="0.25">
      <c r="A56" s="237"/>
      <c r="B56" s="19" t="s">
        <v>76</v>
      </c>
      <c r="C56" s="113"/>
      <c r="D56" s="128"/>
      <c r="E56" s="120">
        <f t="shared" si="70"/>
        <v>0</v>
      </c>
      <c r="F56" s="178">
        <f t="shared" ref="F56:F72" si="84">E56/$E$89</f>
        <v>0</v>
      </c>
      <c r="G56" s="210">
        <v>0</v>
      </c>
      <c r="H56" s="210">
        <v>0</v>
      </c>
      <c r="I56" s="106">
        <v>0</v>
      </c>
      <c r="J56" s="178">
        <v>0</v>
      </c>
      <c r="K56" s="447"/>
      <c r="L56" s="210"/>
      <c r="M56" s="210"/>
      <c r="N56" s="106">
        <f t="shared" si="71"/>
        <v>0</v>
      </c>
      <c r="O56" s="178">
        <f t="shared" si="72"/>
        <v>0</v>
      </c>
      <c r="P56" s="421"/>
      <c r="Q56" s="210"/>
      <c r="R56" s="210"/>
      <c r="S56" s="106">
        <f t="shared" si="73"/>
        <v>0</v>
      </c>
      <c r="T56" s="178">
        <f t="shared" si="2"/>
        <v>0</v>
      </c>
      <c r="U56" s="421"/>
      <c r="V56" s="210"/>
      <c r="W56" s="210"/>
      <c r="X56" s="106">
        <f t="shared" si="74"/>
        <v>0</v>
      </c>
      <c r="Y56" s="178" t="e">
        <f t="shared" si="63"/>
        <v>#DIV/0!</v>
      </c>
      <c r="Z56" s="421"/>
      <c r="AA56" s="210"/>
      <c r="AB56" s="210"/>
      <c r="AC56" s="106">
        <f t="shared" si="75"/>
        <v>0</v>
      </c>
      <c r="AD56" s="178" t="e">
        <f t="shared" si="3"/>
        <v>#DIV/0!</v>
      </c>
      <c r="AE56" s="421"/>
      <c r="AF56" s="210"/>
      <c r="AG56" s="210"/>
      <c r="AH56" s="106">
        <f t="shared" si="76"/>
        <v>0</v>
      </c>
      <c r="AI56" s="178" t="e">
        <f t="shared" si="64"/>
        <v>#DIV/0!</v>
      </c>
      <c r="AJ56" s="421"/>
      <c r="AK56" s="210"/>
      <c r="AL56" s="210"/>
      <c r="AM56" s="106">
        <f t="shared" si="77"/>
        <v>0</v>
      </c>
      <c r="AN56" s="178" t="e">
        <f t="shared" si="65"/>
        <v>#DIV/0!</v>
      </c>
      <c r="AO56" s="421"/>
      <c r="AP56" s="210"/>
      <c r="AQ56" s="210"/>
      <c r="AR56" s="106">
        <f t="shared" si="78"/>
        <v>0</v>
      </c>
      <c r="AS56" s="178" t="e">
        <f t="shared" si="66"/>
        <v>#DIV/0!</v>
      </c>
      <c r="AT56" s="421"/>
      <c r="AU56" s="210"/>
      <c r="AV56" s="210"/>
      <c r="AW56" s="106">
        <f t="shared" si="79"/>
        <v>0</v>
      </c>
      <c r="AX56" s="178">
        <f t="shared" si="67"/>
        <v>0</v>
      </c>
      <c r="AY56" s="421"/>
      <c r="AZ56" s="210"/>
      <c r="BA56" s="210"/>
      <c r="BB56" s="106">
        <f t="shared" si="80"/>
        <v>0</v>
      </c>
      <c r="BC56" s="178" t="e">
        <f t="shared" si="68"/>
        <v>#DIV/0!</v>
      </c>
      <c r="BD56" s="421"/>
      <c r="BE56" s="39">
        <f t="shared" si="81"/>
        <v>0</v>
      </c>
      <c r="BF56" s="39">
        <f t="shared" si="82"/>
        <v>0</v>
      </c>
      <c r="BG56" s="106">
        <f t="shared" si="83"/>
        <v>0</v>
      </c>
      <c r="BH56" s="178">
        <f t="shared" si="69"/>
        <v>0</v>
      </c>
      <c r="BI56" s="79"/>
      <c r="BJ56" s="928"/>
      <c r="BK56" s="928"/>
      <c r="BM56" s="842"/>
      <c r="BN56" s="842"/>
    </row>
    <row r="57" spans="1:66" ht="13.95" customHeight="1" outlineLevel="2" x14ac:dyDescent="0.25">
      <c r="A57" s="237"/>
      <c r="B57" s="19" t="s">
        <v>68</v>
      </c>
      <c r="C57" s="113"/>
      <c r="D57" s="119"/>
      <c r="E57" s="120">
        <f t="shared" si="70"/>
        <v>0</v>
      </c>
      <c r="F57" s="178">
        <f t="shared" si="84"/>
        <v>0</v>
      </c>
      <c r="G57" s="210">
        <v>0</v>
      </c>
      <c r="H57" s="210">
        <v>0</v>
      </c>
      <c r="I57" s="106">
        <v>0</v>
      </c>
      <c r="J57" s="178">
        <v>0</v>
      </c>
      <c r="K57" s="447"/>
      <c r="L57" s="210"/>
      <c r="M57" s="210"/>
      <c r="N57" s="106">
        <f t="shared" si="71"/>
        <v>0</v>
      </c>
      <c r="O57" s="178">
        <f t="shared" si="72"/>
        <v>0</v>
      </c>
      <c r="P57" s="421"/>
      <c r="Q57" s="210"/>
      <c r="R57" s="210"/>
      <c r="S57" s="106">
        <f t="shared" si="73"/>
        <v>0</v>
      </c>
      <c r="T57" s="178">
        <f t="shared" si="2"/>
        <v>0</v>
      </c>
      <c r="U57" s="421"/>
      <c r="V57" s="210"/>
      <c r="W57" s="210"/>
      <c r="X57" s="106">
        <f t="shared" si="74"/>
        <v>0</v>
      </c>
      <c r="Y57" s="178" t="e">
        <f t="shared" si="63"/>
        <v>#DIV/0!</v>
      </c>
      <c r="Z57" s="421"/>
      <c r="AA57" s="210"/>
      <c r="AB57" s="210"/>
      <c r="AC57" s="106">
        <f t="shared" si="75"/>
        <v>0</v>
      </c>
      <c r="AD57" s="178" t="e">
        <f t="shared" si="3"/>
        <v>#DIV/0!</v>
      </c>
      <c r="AE57" s="421"/>
      <c r="AF57" s="210"/>
      <c r="AG57" s="210"/>
      <c r="AH57" s="106">
        <f t="shared" si="76"/>
        <v>0</v>
      </c>
      <c r="AI57" s="178" t="e">
        <f t="shared" si="64"/>
        <v>#DIV/0!</v>
      </c>
      <c r="AJ57" s="421"/>
      <c r="AK57" s="210"/>
      <c r="AL57" s="210"/>
      <c r="AM57" s="106">
        <f t="shared" si="77"/>
        <v>0</v>
      </c>
      <c r="AN57" s="178" t="e">
        <f t="shared" si="65"/>
        <v>#DIV/0!</v>
      </c>
      <c r="AO57" s="421"/>
      <c r="AP57" s="210"/>
      <c r="AQ57" s="210"/>
      <c r="AR57" s="106">
        <f t="shared" si="78"/>
        <v>0</v>
      </c>
      <c r="AS57" s="178" t="e">
        <f t="shared" si="66"/>
        <v>#DIV/0!</v>
      </c>
      <c r="AT57" s="936"/>
      <c r="AU57" s="210"/>
      <c r="AV57" s="210"/>
      <c r="AW57" s="106">
        <f t="shared" si="79"/>
        <v>0</v>
      </c>
      <c r="AX57" s="178">
        <f t="shared" si="67"/>
        <v>0</v>
      </c>
      <c r="AY57" s="936"/>
      <c r="AZ57" s="210"/>
      <c r="BA57" s="210"/>
      <c r="BB57" s="106">
        <f t="shared" si="80"/>
        <v>0</v>
      </c>
      <c r="BC57" s="178" t="e">
        <f t="shared" si="68"/>
        <v>#DIV/0!</v>
      </c>
      <c r="BD57" s="936"/>
      <c r="BE57" s="39">
        <f t="shared" si="81"/>
        <v>0</v>
      </c>
      <c r="BF57" s="39">
        <f t="shared" si="82"/>
        <v>0</v>
      </c>
      <c r="BG57" s="106">
        <f t="shared" si="83"/>
        <v>0</v>
      </c>
      <c r="BH57" s="178">
        <f t="shared" si="69"/>
        <v>0</v>
      </c>
      <c r="BI57" s="79"/>
      <c r="BJ57" s="928"/>
      <c r="BK57" s="928"/>
      <c r="BM57" s="842"/>
      <c r="BN57" s="842"/>
    </row>
    <row r="58" spans="1:66" ht="14.4" customHeight="1" outlineLevel="2" x14ac:dyDescent="0.25">
      <c r="A58" s="237"/>
      <c r="B58" s="19" t="s">
        <v>67</v>
      </c>
      <c r="C58" s="113"/>
      <c r="D58" s="119"/>
      <c r="E58" s="120">
        <f t="shared" si="70"/>
        <v>0</v>
      </c>
      <c r="F58" s="178">
        <f t="shared" si="84"/>
        <v>0</v>
      </c>
      <c r="G58" s="210">
        <v>61985</v>
      </c>
      <c r="H58" s="210">
        <v>120881</v>
      </c>
      <c r="I58" s="106">
        <v>182866</v>
      </c>
      <c r="J58" s="178">
        <v>1.6220216402536417E-2</v>
      </c>
      <c r="K58" s="447"/>
      <c r="L58" s="210"/>
      <c r="M58" s="210"/>
      <c r="N58" s="106">
        <f t="shared" si="71"/>
        <v>0</v>
      </c>
      <c r="O58" s="178">
        <f t="shared" si="72"/>
        <v>0</v>
      </c>
      <c r="P58" s="430"/>
      <c r="Q58" s="210"/>
      <c r="R58" s="210"/>
      <c r="S58" s="106">
        <f t="shared" si="73"/>
        <v>0</v>
      </c>
      <c r="T58" s="178">
        <f t="shared" si="2"/>
        <v>0</v>
      </c>
      <c r="U58" s="430"/>
      <c r="V58" s="210"/>
      <c r="W58" s="210"/>
      <c r="X58" s="106">
        <f t="shared" si="74"/>
        <v>0</v>
      </c>
      <c r="Y58" s="178" t="e">
        <f t="shared" si="63"/>
        <v>#DIV/0!</v>
      </c>
      <c r="Z58" s="430"/>
      <c r="AA58" s="210"/>
      <c r="AB58" s="210"/>
      <c r="AC58" s="106">
        <f t="shared" si="75"/>
        <v>0</v>
      </c>
      <c r="AD58" s="178" t="e">
        <f t="shared" si="3"/>
        <v>#DIV/0!</v>
      </c>
      <c r="AE58" s="430"/>
      <c r="AF58" s="210"/>
      <c r="AG58" s="210"/>
      <c r="AH58" s="106">
        <f t="shared" si="76"/>
        <v>0</v>
      </c>
      <c r="AI58" s="178" t="e">
        <f t="shared" si="64"/>
        <v>#DIV/0!</v>
      </c>
      <c r="AJ58" s="430"/>
      <c r="AK58" s="210"/>
      <c r="AL58" s="210"/>
      <c r="AM58" s="106">
        <f t="shared" si="77"/>
        <v>0</v>
      </c>
      <c r="AN58" s="178" t="e">
        <f t="shared" si="65"/>
        <v>#DIV/0!</v>
      </c>
      <c r="AO58" s="430"/>
      <c r="AP58" s="210"/>
      <c r="AQ58" s="210"/>
      <c r="AR58" s="106">
        <f t="shared" si="78"/>
        <v>0</v>
      </c>
      <c r="AS58" s="178" t="e">
        <f t="shared" si="66"/>
        <v>#DIV/0!</v>
      </c>
      <c r="AT58" s="936"/>
      <c r="AU58" s="210"/>
      <c r="AV58" s="210"/>
      <c r="AW58" s="106">
        <f t="shared" si="79"/>
        <v>0</v>
      </c>
      <c r="AX58" s="178">
        <f t="shared" si="67"/>
        <v>0</v>
      </c>
      <c r="AY58" s="936"/>
      <c r="AZ58" s="210"/>
      <c r="BA58" s="210"/>
      <c r="BB58" s="106">
        <f t="shared" si="80"/>
        <v>0</v>
      </c>
      <c r="BC58" s="178" t="e">
        <f t="shared" si="68"/>
        <v>#DIV/0!</v>
      </c>
      <c r="BD58" s="936"/>
      <c r="BE58" s="39">
        <f t="shared" si="81"/>
        <v>61985</v>
      </c>
      <c r="BF58" s="39">
        <f t="shared" si="82"/>
        <v>120881</v>
      </c>
      <c r="BG58" s="106">
        <f t="shared" si="83"/>
        <v>182866</v>
      </c>
      <c r="BH58" s="178">
        <f t="shared" si="69"/>
        <v>1.6003542446698237E-2</v>
      </c>
      <c r="BI58" s="79"/>
      <c r="BJ58" s="928"/>
      <c r="BK58" s="928"/>
      <c r="BM58" s="842"/>
      <c r="BN58" s="842"/>
    </row>
    <row r="59" spans="1:66" ht="14.4" customHeight="1" outlineLevel="2" x14ac:dyDescent="0.25">
      <c r="A59" s="237"/>
      <c r="B59" s="19" t="s">
        <v>66</v>
      </c>
      <c r="C59" s="113"/>
      <c r="D59" s="119"/>
      <c r="E59" s="120">
        <f t="shared" si="70"/>
        <v>0</v>
      </c>
      <c r="F59" s="178">
        <f t="shared" si="84"/>
        <v>0</v>
      </c>
      <c r="G59" s="210">
        <v>15015</v>
      </c>
      <c r="H59" s="210">
        <v>0</v>
      </c>
      <c r="I59" s="106">
        <v>15015</v>
      </c>
      <c r="J59" s="178">
        <v>1.3318306808487324E-3</v>
      </c>
      <c r="K59" s="447"/>
      <c r="L59" s="210"/>
      <c r="M59" s="210"/>
      <c r="N59" s="106">
        <f t="shared" si="71"/>
        <v>0</v>
      </c>
      <c r="O59" s="178">
        <f t="shared" si="72"/>
        <v>0</v>
      </c>
      <c r="P59" s="421"/>
      <c r="Q59" s="210"/>
      <c r="R59" s="210"/>
      <c r="S59" s="106">
        <f t="shared" si="73"/>
        <v>0</v>
      </c>
      <c r="T59" s="178">
        <f t="shared" si="2"/>
        <v>0</v>
      </c>
      <c r="U59" s="421"/>
      <c r="V59" s="210"/>
      <c r="W59" s="210"/>
      <c r="X59" s="106">
        <f t="shared" si="74"/>
        <v>0</v>
      </c>
      <c r="Y59" s="178" t="e">
        <f t="shared" si="63"/>
        <v>#DIV/0!</v>
      </c>
      <c r="Z59" s="421"/>
      <c r="AA59" s="210"/>
      <c r="AB59" s="210"/>
      <c r="AC59" s="106">
        <f t="shared" si="75"/>
        <v>0</v>
      </c>
      <c r="AD59" s="178" t="e">
        <f t="shared" si="3"/>
        <v>#DIV/0!</v>
      </c>
      <c r="AE59" s="421"/>
      <c r="AF59" s="210"/>
      <c r="AG59" s="210"/>
      <c r="AH59" s="106">
        <f t="shared" si="76"/>
        <v>0</v>
      </c>
      <c r="AI59" s="178" t="e">
        <f t="shared" si="64"/>
        <v>#DIV/0!</v>
      </c>
      <c r="AJ59" s="421"/>
      <c r="AK59" s="210"/>
      <c r="AL59" s="210"/>
      <c r="AM59" s="106">
        <f t="shared" si="77"/>
        <v>0</v>
      </c>
      <c r="AN59" s="178" t="e">
        <f t="shared" si="65"/>
        <v>#DIV/0!</v>
      </c>
      <c r="AO59" s="421"/>
      <c r="AP59" s="210"/>
      <c r="AQ59" s="210"/>
      <c r="AR59" s="106">
        <f t="shared" si="78"/>
        <v>0</v>
      </c>
      <c r="AS59" s="178" t="e">
        <f t="shared" si="66"/>
        <v>#DIV/0!</v>
      </c>
      <c r="AT59" s="936"/>
      <c r="AU59" s="210"/>
      <c r="AV59" s="210"/>
      <c r="AW59" s="106">
        <f t="shared" si="79"/>
        <v>0</v>
      </c>
      <c r="AX59" s="178">
        <f t="shared" si="67"/>
        <v>0</v>
      </c>
      <c r="AY59" s="936"/>
      <c r="AZ59" s="210"/>
      <c r="BA59" s="210"/>
      <c r="BB59" s="106">
        <f t="shared" si="80"/>
        <v>0</v>
      </c>
      <c r="BC59" s="178" t="e">
        <f t="shared" si="68"/>
        <v>#DIV/0!</v>
      </c>
      <c r="BD59" s="936"/>
      <c r="BE59" s="39">
        <f>L59+G59+Q59</f>
        <v>15015</v>
      </c>
      <c r="BF59" s="39">
        <f>H59+M59+R59</f>
        <v>0</v>
      </c>
      <c r="BG59" s="106">
        <f t="shared" si="83"/>
        <v>15015</v>
      </c>
      <c r="BH59" s="178">
        <f t="shared" si="69"/>
        <v>1.3140397331224724E-3</v>
      </c>
      <c r="BI59" s="79"/>
      <c r="BJ59" s="928"/>
      <c r="BK59" s="928"/>
      <c r="BM59" s="842"/>
      <c r="BN59" s="842"/>
    </row>
    <row r="60" spans="1:66" ht="14.4" customHeight="1" outlineLevel="2" x14ac:dyDescent="0.25">
      <c r="A60" s="237"/>
      <c r="B60" s="19" t="s">
        <v>65</v>
      </c>
      <c r="C60" s="113"/>
      <c r="D60" s="119"/>
      <c r="E60" s="120">
        <f t="shared" si="70"/>
        <v>0</v>
      </c>
      <c r="F60" s="178">
        <f t="shared" si="84"/>
        <v>0</v>
      </c>
      <c r="G60" s="210">
        <v>16940</v>
      </c>
      <c r="H60" s="210">
        <v>0</v>
      </c>
      <c r="I60" s="106">
        <v>16940</v>
      </c>
      <c r="J60" s="178">
        <v>1.5025782040344673E-3</v>
      </c>
      <c r="K60" s="447"/>
      <c r="L60" s="210"/>
      <c r="M60" s="210"/>
      <c r="N60" s="106">
        <f t="shared" si="71"/>
        <v>0</v>
      </c>
      <c r="O60" s="178">
        <f t="shared" si="72"/>
        <v>0</v>
      </c>
      <c r="P60" s="421"/>
      <c r="Q60" s="210"/>
      <c r="R60" s="210"/>
      <c r="S60" s="106">
        <f t="shared" si="73"/>
        <v>0</v>
      </c>
      <c r="T60" s="178">
        <f t="shared" si="2"/>
        <v>0</v>
      </c>
      <c r="U60" s="421"/>
      <c r="V60" s="210"/>
      <c r="W60" s="210"/>
      <c r="X60" s="106">
        <f t="shared" si="74"/>
        <v>0</v>
      </c>
      <c r="Y60" s="178" t="e">
        <f t="shared" si="63"/>
        <v>#DIV/0!</v>
      </c>
      <c r="Z60" s="421"/>
      <c r="AA60" s="210"/>
      <c r="AB60" s="210"/>
      <c r="AC60" s="106">
        <f t="shared" si="75"/>
        <v>0</v>
      </c>
      <c r="AD60" s="178" t="e">
        <f t="shared" si="3"/>
        <v>#DIV/0!</v>
      </c>
      <c r="AE60" s="421"/>
      <c r="AF60" s="210"/>
      <c r="AG60" s="210"/>
      <c r="AH60" s="106">
        <f t="shared" si="76"/>
        <v>0</v>
      </c>
      <c r="AI60" s="178" t="e">
        <f t="shared" si="64"/>
        <v>#DIV/0!</v>
      </c>
      <c r="AJ60" s="421"/>
      <c r="AK60" s="210"/>
      <c r="AL60" s="210"/>
      <c r="AM60" s="106">
        <f t="shared" si="77"/>
        <v>0</v>
      </c>
      <c r="AN60" s="178" t="e">
        <f t="shared" si="65"/>
        <v>#DIV/0!</v>
      </c>
      <c r="AO60" s="421"/>
      <c r="AP60" s="210"/>
      <c r="AQ60" s="210"/>
      <c r="AR60" s="106">
        <f t="shared" si="78"/>
        <v>0</v>
      </c>
      <c r="AS60" s="178" t="e">
        <f t="shared" si="66"/>
        <v>#DIV/0!</v>
      </c>
      <c r="AT60" s="936"/>
      <c r="AU60" s="210"/>
      <c r="AV60" s="210"/>
      <c r="AW60" s="106">
        <f t="shared" si="79"/>
        <v>0</v>
      </c>
      <c r="AX60" s="178">
        <f t="shared" si="67"/>
        <v>0</v>
      </c>
      <c r="AY60" s="936"/>
      <c r="AZ60" s="210"/>
      <c r="BA60" s="210"/>
      <c r="BB60" s="106">
        <f t="shared" si="80"/>
        <v>0</v>
      </c>
      <c r="BC60" s="178" t="e">
        <f t="shared" si="68"/>
        <v>#DIV/0!</v>
      </c>
      <c r="BD60" s="936"/>
      <c r="BE60" s="39">
        <f t="shared" si="81"/>
        <v>16940</v>
      </c>
      <c r="BF60" s="39">
        <f t="shared" si="82"/>
        <v>0</v>
      </c>
      <c r="BG60" s="106">
        <f t="shared" si="83"/>
        <v>16940</v>
      </c>
      <c r="BH60" s="178">
        <f t="shared" si="69"/>
        <v>1.4825063655740712E-3</v>
      </c>
      <c r="BI60" s="79"/>
      <c r="BJ60" s="928"/>
      <c r="BK60" s="928"/>
      <c r="BM60" s="842"/>
      <c r="BN60" s="842"/>
    </row>
    <row r="61" spans="1:66" ht="13.95" customHeight="1" outlineLevel="2" x14ac:dyDescent="0.25">
      <c r="A61" s="237"/>
      <c r="B61" s="19" t="s">
        <v>32</v>
      </c>
      <c r="C61" s="113"/>
      <c r="D61" s="119"/>
      <c r="E61" s="120">
        <f t="shared" si="70"/>
        <v>0</v>
      </c>
      <c r="F61" s="178">
        <f t="shared" si="84"/>
        <v>0</v>
      </c>
      <c r="G61" s="210">
        <v>0</v>
      </c>
      <c r="H61" s="210">
        <v>0</v>
      </c>
      <c r="I61" s="106">
        <v>0</v>
      </c>
      <c r="J61" s="178">
        <v>0</v>
      </c>
      <c r="K61" s="447"/>
      <c r="L61" s="210"/>
      <c r="M61" s="210"/>
      <c r="N61" s="106">
        <f t="shared" si="71"/>
        <v>0</v>
      </c>
      <c r="O61" s="178">
        <f t="shared" si="72"/>
        <v>0</v>
      </c>
      <c r="P61" s="421"/>
      <c r="Q61" s="210"/>
      <c r="R61" s="210"/>
      <c r="S61" s="106">
        <f t="shared" si="73"/>
        <v>0</v>
      </c>
      <c r="T61" s="178">
        <f t="shared" si="2"/>
        <v>0</v>
      </c>
      <c r="U61" s="421"/>
      <c r="V61" s="210"/>
      <c r="W61" s="210"/>
      <c r="X61" s="106">
        <f t="shared" si="74"/>
        <v>0</v>
      </c>
      <c r="Y61" s="178" t="e">
        <f t="shared" si="63"/>
        <v>#DIV/0!</v>
      </c>
      <c r="Z61" s="421"/>
      <c r="AA61" s="210"/>
      <c r="AB61" s="210"/>
      <c r="AC61" s="106">
        <f t="shared" si="75"/>
        <v>0</v>
      </c>
      <c r="AD61" s="178" t="e">
        <f t="shared" si="3"/>
        <v>#DIV/0!</v>
      </c>
      <c r="AE61" s="421"/>
      <c r="AF61" s="210"/>
      <c r="AG61" s="210"/>
      <c r="AH61" s="106">
        <f t="shared" si="76"/>
        <v>0</v>
      </c>
      <c r="AI61" s="178" t="e">
        <f t="shared" si="64"/>
        <v>#DIV/0!</v>
      </c>
      <c r="AJ61" s="421"/>
      <c r="AK61" s="210"/>
      <c r="AL61" s="210"/>
      <c r="AM61" s="106">
        <f t="shared" si="77"/>
        <v>0</v>
      </c>
      <c r="AN61" s="178" t="e">
        <f t="shared" si="65"/>
        <v>#DIV/0!</v>
      </c>
      <c r="AO61" s="421"/>
      <c r="AP61" s="210"/>
      <c r="AQ61" s="210"/>
      <c r="AR61" s="106">
        <f t="shared" si="78"/>
        <v>0</v>
      </c>
      <c r="AS61" s="178" t="e">
        <f t="shared" si="66"/>
        <v>#DIV/0!</v>
      </c>
      <c r="AT61" s="936"/>
      <c r="AU61" s="210"/>
      <c r="AV61" s="210"/>
      <c r="AW61" s="106">
        <f t="shared" si="79"/>
        <v>0</v>
      </c>
      <c r="AX61" s="178">
        <f t="shared" si="67"/>
        <v>0</v>
      </c>
      <c r="AY61" s="936"/>
      <c r="AZ61" s="210"/>
      <c r="BA61" s="210"/>
      <c r="BB61" s="106">
        <f t="shared" si="80"/>
        <v>0</v>
      </c>
      <c r="BC61" s="178" t="e">
        <f t="shared" si="68"/>
        <v>#DIV/0!</v>
      </c>
      <c r="BD61" s="936"/>
      <c r="BE61" s="39">
        <f t="shared" si="81"/>
        <v>0</v>
      </c>
      <c r="BF61" s="39">
        <f t="shared" si="82"/>
        <v>0</v>
      </c>
      <c r="BG61" s="106">
        <f t="shared" si="83"/>
        <v>0</v>
      </c>
      <c r="BH61" s="178">
        <f t="shared" si="69"/>
        <v>0</v>
      </c>
      <c r="BI61" s="79"/>
      <c r="BJ61" s="928"/>
      <c r="BK61" s="928"/>
      <c r="BM61" s="842"/>
      <c r="BN61" s="842"/>
    </row>
    <row r="62" spans="1:66" ht="30.6" customHeight="1" outlineLevel="2" x14ac:dyDescent="0.25">
      <c r="A62" s="237"/>
      <c r="B62" s="19" t="s">
        <v>33</v>
      </c>
      <c r="C62" s="113"/>
      <c r="D62" s="119"/>
      <c r="E62" s="120">
        <f t="shared" si="70"/>
        <v>0</v>
      </c>
      <c r="F62" s="178">
        <f t="shared" si="84"/>
        <v>0</v>
      </c>
      <c r="G62" s="210">
        <v>0</v>
      </c>
      <c r="H62" s="210">
        <v>0</v>
      </c>
      <c r="I62" s="106">
        <v>0</v>
      </c>
      <c r="J62" s="178">
        <v>0</v>
      </c>
      <c r="K62" s="447"/>
      <c r="L62" s="210"/>
      <c r="M62" s="210"/>
      <c r="N62" s="106">
        <f t="shared" si="71"/>
        <v>0</v>
      </c>
      <c r="O62" s="178">
        <f t="shared" si="72"/>
        <v>0</v>
      </c>
      <c r="P62" s="421"/>
      <c r="Q62" s="210"/>
      <c r="R62" s="210"/>
      <c r="S62" s="106">
        <f t="shared" si="73"/>
        <v>0</v>
      </c>
      <c r="T62" s="178">
        <f t="shared" si="2"/>
        <v>0</v>
      </c>
      <c r="U62" s="421"/>
      <c r="V62" s="210"/>
      <c r="W62" s="210"/>
      <c r="X62" s="106">
        <f t="shared" si="74"/>
        <v>0</v>
      </c>
      <c r="Y62" s="178" t="e">
        <f t="shared" si="63"/>
        <v>#DIV/0!</v>
      </c>
      <c r="Z62" s="421"/>
      <c r="AA62" s="210"/>
      <c r="AB62" s="210"/>
      <c r="AC62" s="106">
        <f t="shared" si="75"/>
        <v>0</v>
      </c>
      <c r="AD62" s="178" t="e">
        <f t="shared" si="3"/>
        <v>#DIV/0!</v>
      </c>
      <c r="AE62" s="421"/>
      <c r="AF62" s="210"/>
      <c r="AG62" s="210"/>
      <c r="AH62" s="106">
        <f t="shared" si="76"/>
        <v>0</v>
      </c>
      <c r="AI62" s="178" t="e">
        <f t="shared" si="64"/>
        <v>#DIV/0!</v>
      </c>
      <c r="AJ62" s="421"/>
      <c r="AK62" s="210"/>
      <c r="AL62" s="210"/>
      <c r="AM62" s="106">
        <f t="shared" si="77"/>
        <v>0</v>
      </c>
      <c r="AN62" s="178" t="e">
        <f t="shared" si="65"/>
        <v>#DIV/0!</v>
      </c>
      <c r="AO62" s="421"/>
      <c r="AP62" s="210"/>
      <c r="AQ62" s="210"/>
      <c r="AR62" s="106">
        <f t="shared" si="78"/>
        <v>0</v>
      </c>
      <c r="AS62" s="178" t="e">
        <f t="shared" si="66"/>
        <v>#DIV/0!</v>
      </c>
      <c r="AT62" s="936"/>
      <c r="AU62" s="210"/>
      <c r="AV62" s="210"/>
      <c r="AW62" s="106">
        <f t="shared" si="79"/>
        <v>0</v>
      </c>
      <c r="AX62" s="178">
        <f t="shared" si="67"/>
        <v>0</v>
      </c>
      <c r="AY62" s="936"/>
      <c r="AZ62" s="210"/>
      <c r="BA62" s="210"/>
      <c r="BB62" s="106">
        <f t="shared" si="80"/>
        <v>0</v>
      </c>
      <c r="BC62" s="178" t="e">
        <f t="shared" si="68"/>
        <v>#DIV/0!</v>
      </c>
      <c r="BD62" s="936"/>
      <c r="BE62" s="39">
        <f t="shared" si="81"/>
        <v>0</v>
      </c>
      <c r="BF62" s="39">
        <f t="shared" si="82"/>
        <v>0</v>
      </c>
      <c r="BG62" s="106">
        <f t="shared" si="83"/>
        <v>0</v>
      </c>
      <c r="BH62" s="178">
        <f t="shared" si="69"/>
        <v>0</v>
      </c>
      <c r="BI62" s="79"/>
      <c r="BJ62" s="928"/>
      <c r="BK62" s="928"/>
      <c r="BM62" s="842"/>
      <c r="BN62" s="842"/>
    </row>
    <row r="63" spans="1:66" ht="13.8" outlineLevel="2" x14ac:dyDescent="0.25">
      <c r="A63" s="237"/>
      <c r="B63" s="19" t="s">
        <v>35</v>
      </c>
      <c r="C63" s="113">
        <v>34400</v>
      </c>
      <c r="D63" s="119"/>
      <c r="E63" s="120">
        <f t="shared" si="70"/>
        <v>34400</v>
      </c>
      <c r="F63" s="178">
        <f t="shared" si="84"/>
        <v>8.1023019252152821E-3</v>
      </c>
      <c r="G63" s="210">
        <v>32806</v>
      </c>
      <c r="H63" s="210">
        <v>0</v>
      </c>
      <c r="I63" s="106">
        <v>32806</v>
      </c>
      <c r="J63" s="178">
        <v>2.9098925951331015E-3</v>
      </c>
      <c r="K63" s="447"/>
      <c r="L63" s="210">
        <v>5880.61</v>
      </c>
      <c r="M63" s="210"/>
      <c r="N63" s="106">
        <f t="shared" si="71"/>
        <v>5880.61</v>
      </c>
      <c r="O63" s="178">
        <f t="shared" si="72"/>
        <v>0.19690765732878793</v>
      </c>
      <c r="P63" s="431" t="s">
        <v>978</v>
      </c>
      <c r="Q63" s="210"/>
      <c r="R63" s="210"/>
      <c r="S63" s="106">
        <f t="shared" si="73"/>
        <v>0</v>
      </c>
      <c r="T63" s="178">
        <f t="shared" si="2"/>
        <v>0</v>
      </c>
      <c r="U63" s="431"/>
      <c r="V63" s="210"/>
      <c r="W63" s="210"/>
      <c r="X63" s="106">
        <f t="shared" si="74"/>
        <v>0</v>
      </c>
      <c r="Y63" s="178" t="e">
        <f t="shared" si="63"/>
        <v>#DIV/0!</v>
      </c>
      <c r="Z63" s="431"/>
      <c r="AA63" s="210"/>
      <c r="AB63" s="210"/>
      <c r="AC63" s="106">
        <f t="shared" si="75"/>
        <v>0</v>
      </c>
      <c r="AD63" s="178" t="e">
        <f t="shared" si="3"/>
        <v>#DIV/0!</v>
      </c>
      <c r="AE63" s="431"/>
      <c r="AF63" s="210"/>
      <c r="AG63" s="210"/>
      <c r="AH63" s="106">
        <f t="shared" si="76"/>
        <v>0</v>
      </c>
      <c r="AI63" s="178" t="e">
        <f t="shared" si="64"/>
        <v>#DIV/0!</v>
      </c>
      <c r="AJ63" s="431"/>
      <c r="AK63" s="210"/>
      <c r="AL63" s="210"/>
      <c r="AM63" s="106">
        <f t="shared" si="77"/>
        <v>0</v>
      </c>
      <c r="AN63" s="178" t="e">
        <f t="shared" si="65"/>
        <v>#DIV/0!</v>
      </c>
      <c r="AO63" s="431"/>
      <c r="AP63" s="210"/>
      <c r="AQ63" s="210"/>
      <c r="AR63" s="106">
        <f t="shared" si="78"/>
        <v>0</v>
      </c>
      <c r="AS63" s="178" t="e">
        <f t="shared" si="66"/>
        <v>#DIV/0!</v>
      </c>
      <c r="AT63" s="936"/>
      <c r="AU63" s="210">
        <v>-6.9999999999708962E-2</v>
      </c>
      <c r="AV63" s="210"/>
      <c r="AW63" s="106">
        <f t="shared" si="79"/>
        <v>-6.9999999999708962E-2</v>
      </c>
      <c r="AX63" s="178">
        <f t="shared" si="67"/>
        <v>1</v>
      </c>
      <c r="AY63" s="936"/>
      <c r="AZ63" s="210"/>
      <c r="BA63" s="210"/>
      <c r="BB63" s="106">
        <f t="shared" si="80"/>
        <v>0</v>
      </c>
      <c r="BC63" s="178" t="e">
        <f t="shared" si="68"/>
        <v>#DIV/0!</v>
      </c>
      <c r="BD63" s="936"/>
      <c r="BE63" s="39">
        <f t="shared" si="81"/>
        <v>38686.61</v>
      </c>
      <c r="BF63" s="39">
        <f t="shared" si="82"/>
        <v>0</v>
      </c>
      <c r="BG63" s="106">
        <f t="shared" si="83"/>
        <v>38686.61</v>
      </c>
      <c r="BH63" s="178">
        <f t="shared" si="69"/>
        <v>3.3856638481394052E-3</v>
      </c>
      <c r="BI63" s="79"/>
      <c r="BJ63" s="928"/>
      <c r="BK63" s="928"/>
      <c r="BM63" s="842"/>
      <c r="BN63" s="842"/>
    </row>
    <row r="64" spans="1:66" ht="31.2" customHeight="1" outlineLevel="2" x14ac:dyDescent="0.25">
      <c r="A64" s="237"/>
      <c r="B64" s="19" t="s">
        <v>63</v>
      </c>
      <c r="C64" s="113"/>
      <c r="D64" s="119"/>
      <c r="E64" s="120">
        <f t="shared" si="70"/>
        <v>0</v>
      </c>
      <c r="F64" s="178">
        <f t="shared" si="84"/>
        <v>0</v>
      </c>
      <c r="G64" s="210">
        <v>0</v>
      </c>
      <c r="H64" s="210">
        <v>0</v>
      </c>
      <c r="I64" s="106">
        <v>0</v>
      </c>
      <c r="J64" s="178">
        <v>0</v>
      </c>
      <c r="K64" s="447"/>
      <c r="L64" s="210"/>
      <c r="M64" s="210"/>
      <c r="N64" s="106">
        <f t="shared" si="71"/>
        <v>0</v>
      </c>
      <c r="O64" s="178">
        <f t="shared" si="72"/>
        <v>0</v>
      </c>
      <c r="P64" s="431"/>
      <c r="Q64" s="210"/>
      <c r="R64" s="210"/>
      <c r="S64" s="106">
        <f t="shared" si="73"/>
        <v>0</v>
      </c>
      <c r="T64" s="178">
        <f t="shared" si="2"/>
        <v>0</v>
      </c>
      <c r="U64" s="431"/>
      <c r="V64" s="210"/>
      <c r="W64" s="210"/>
      <c r="X64" s="106">
        <f t="shared" si="74"/>
        <v>0</v>
      </c>
      <c r="Y64" s="178" t="e">
        <f t="shared" si="63"/>
        <v>#DIV/0!</v>
      </c>
      <c r="Z64" s="431"/>
      <c r="AA64" s="210"/>
      <c r="AB64" s="210"/>
      <c r="AC64" s="106">
        <f t="shared" si="75"/>
        <v>0</v>
      </c>
      <c r="AD64" s="178" t="e">
        <f t="shared" si="3"/>
        <v>#DIV/0!</v>
      </c>
      <c r="AE64" s="431"/>
      <c r="AF64" s="210"/>
      <c r="AG64" s="210"/>
      <c r="AH64" s="106">
        <f t="shared" si="76"/>
        <v>0</v>
      </c>
      <c r="AI64" s="178" t="e">
        <f t="shared" si="64"/>
        <v>#DIV/0!</v>
      </c>
      <c r="AJ64" s="431"/>
      <c r="AK64" s="210"/>
      <c r="AL64" s="210"/>
      <c r="AM64" s="106">
        <f t="shared" si="77"/>
        <v>0</v>
      </c>
      <c r="AN64" s="178" t="e">
        <f t="shared" si="65"/>
        <v>#DIV/0!</v>
      </c>
      <c r="AO64" s="431"/>
      <c r="AP64" s="210"/>
      <c r="AQ64" s="210"/>
      <c r="AR64" s="106">
        <f t="shared" si="78"/>
        <v>0</v>
      </c>
      <c r="AS64" s="178" t="e">
        <f t="shared" si="66"/>
        <v>#DIV/0!</v>
      </c>
      <c r="AT64" s="936"/>
      <c r="AU64" s="210"/>
      <c r="AV64" s="210"/>
      <c r="AW64" s="106">
        <f t="shared" si="79"/>
        <v>0</v>
      </c>
      <c r="AX64" s="178">
        <f t="shared" si="67"/>
        <v>0</v>
      </c>
      <c r="AY64" s="936"/>
      <c r="AZ64" s="210"/>
      <c r="BA64" s="210"/>
      <c r="BB64" s="106">
        <f t="shared" si="80"/>
        <v>0</v>
      </c>
      <c r="BC64" s="178" t="e">
        <f t="shared" si="68"/>
        <v>#DIV/0!</v>
      </c>
      <c r="BD64" s="936"/>
      <c r="BE64" s="39">
        <f t="shared" si="81"/>
        <v>0</v>
      </c>
      <c r="BF64" s="39">
        <f t="shared" si="82"/>
        <v>0</v>
      </c>
      <c r="BG64" s="106">
        <f t="shared" si="83"/>
        <v>0</v>
      </c>
      <c r="BH64" s="178">
        <f t="shared" si="69"/>
        <v>0</v>
      </c>
      <c r="BI64" s="79"/>
      <c r="BJ64" s="928"/>
      <c r="BK64" s="928"/>
      <c r="BM64" s="842"/>
      <c r="BN64" s="842"/>
    </row>
    <row r="65" spans="1:66" ht="13.8" outlineLevel="2" x14ac:dyDescent="0.25">
      <c r="A65" s="237"/>
      <c r="B65" s="19" t="s">
        <v>36</v>
      </c>
      <c r="C65" s="113"/>
      <c r="D65" s="119"/>
      <c r="E65" s="120">
        <f t="shared" si="70"/>
        <v>0</v>
      </c>
      <c r="F65" s="178">
        <f t="shared" si="84"/>
        <v>0</v>
      </c>
      <c r="G65" s="39">
        <v>18312</v>
      </c>
      <c r="H65" s="39">
        <v>3400</v>
      </c>
      <c r="I65" s="106">
        <v>21712</v>
      </c>
      <c r="J65" s="178">
        <v>1.925854661511001E-3</v>
      </c>
      <c r="K65" s="447"/>
      <c r="L65" s="39"/>
      <c r="M65" s="39"/>
      <c r="N65" s="106">
        <f t="shared" si="71"/>
        <v>0</v>
      </c>
      <c r="O65" s="178">
        <f t="shared" si="72"/>
        <v>0</v>
      </c>
      <c r="P65" s="388"/>
      <c r="Q65" s="39"/>
      <c r="R65" s="39"/>
      <c r="S65" s="106">
        <f t="shared" si="73"/>
        <v>0</v>
      </c>
      <c r="T65" s="178">
        <f t="shared" si="2"/>
        <v>0</v>
      </c>
      <c r="U65" s="388"/>
      <c r="V65" s="39"/>
      <c r="W65" s="39"/>
      <c r="X65" s="106">
        <f t="shared" si="74"/>
        <v>0</v>
      </c>
      <c r="Y65" s="178" t="e">
        <f t="shared" si="63"/>
        <v>#DIV/0!</v>
      </c>
      <c r="Z65" s="388"/>
      <c r="AA65" s="39"/>
      <c r="AB65" s="39"/>
      <c r="AC65" s="106">
        <f t="shared" si="75"/>
        <v>0</v>
      </c>
      <c r="AD65" s="178" t="e">
        <f t="shared" si="3"/>
        <v>#DIV/0!</v>
      </c>
      <c r="AE65" s="388"/>
      <c r="AF65" s="39"/>
      <c r="AG65" s="39"/>
      <c r="AH65" s="106">
        <f t="shared" si="76"/>
        <v>0</v>
      </c>
      <c r="AI65" s="178" t="e">
        <f t="shared" si="64"/>
        <v>#DIV/0!</v>
      </c>
      <c r="AJ65" s="388"/>
      <c r="AK65" s="39"/>
      <c r="AL65" s="39"/>
      <c r="AM65" s="106">
        <f t="shared" si="77"/>
        <v>0</v>
      </c>
      <c r="AN65" s="178" t="e">
        <f t="shared" si="65"/>
        <v>#DIV/0!</v>
      </c>
      <c r="AO65" s="388"/>
      <c r="AP65" s="39"/>
      <c r="AQ65" s="39"/>
      <c r="AR65" s="106">
        <f t="shared" si="78"/>
        <v>0</v>
      </c>
      <c r="AS65" s="178" t="e">
        <f t="shared" si="66"/>
        <v>#DIV/0!</v>
      </c>
      <c r="AT65" s="388"/>
      <c r="AU65" s="39"/>
      <c r="AV65" s="39"/>
      <c r="AW65" s="106">
        <f t="shared" si="79"/>
        <v>0</v>
      </c>
      <c r="AX65" s="178">
        <f t="shared" si="67"/>
        <v>0</v>
      </c>
      <c r="AY65" s="388"/>
      <c r="AZ65" s="39"/>
      <c r="BA65" s="39"/>
      <c r="BB65" s="106">
        <f t="shared" si="80"/>
        <v>0</v>
      </c>
      <c r="BC65" s="178" t="e">
        <f t="shared" si="68"/>
        <v>#DIV/0!</v>
      </c>
      <c r="BD65" s="388"/>
      <c r="BE65" s="39">
        <f t="shared" si="81"/>
        <v>18312</v>
      </c>
      <c r="BF65" s="39">
        <f t="shared" si="82"/>
        <v>3400</v>
      </c>
      <c r="BG65" s="106">
        <f t="shared" si="83"/>
        <v>21712</v>
      </c>
      <c r="BH65" s="178">
        <f t="shared" si="69"/>
        <v>1.9001285837865547E-3</v>
      </c>
      <c r="BI65" s="79"/>
      <c r="BJ65" s="928"/>
      <c r="BK65" s="928"/>
      <c r="BM65" s="842"/>
      <c r="BN65" s="842"/>
    </row>
    <row r="66" spans="1:66" s="2" customFormat="1" ht="13.95" customHeight="1" outlineLevel="2" x14ac:dyDescent="0.25">
      <c r="A66" s="237"/>
      <c r="B66" s="19" t="s">
        <v>37</v>
      </c>
      <c r="C66" s="113"/>
      <c r="D66" s="119"/>
      <c r="E66" s="120">
        <f t="shared" si="70"/>
        <v>0</v>
      </c>
      <c r="F66" s="178">
        <f t="shared" si="84"/>
        <v>0</v>
      </c>
      <c r="G66" s="39">
        <v>0</v>
      </c>
      <c r="H66" s="39">
        <v>0</v>
      </c>
      <c r="I66" s="106">
        <v>0</v>
      </c>
      <c r="J66" s="178">
        <v>0</v>
      </c>
      <c r="K66" s="447"/>
      <c r="L66" s="39"/>
      <c r="M66" s="39"/>
      <c r="N66" s="106">
        <f t="shared" si="71"/>
        <v>0</v>
      </c>
      <c r="O66" s="178">
        <f t="shared" si="72"/>
        <v>0</v>
      </c>
      <c r="P66" s="79"/>
      <c r="Q66" s="39"/>
      <c r="R66" s="39"/>
      <c r="S66" s="106">
        <f t="shared" si="73"/>
        <v>0</v>
      </c>
      <c r="T66" s="178">
        <f t="shared" si="2"/>
        <v>0</v>
      </c>
      <c r="U66" s="79"/>
      <c r="V66" s="39"/>
      <c r="W66" s="39"/>
      <c r="X66" s="106">
        <f t="shared" si="74"/>
        <v>0</v>
      </c>
      <c r="Y66" s="178" t="e">
        <f t="shared" si="63"/>
        <v>#DIV/0!</v>
      </c>
      <c r="Z66" s="79"/>
      <c r="AA66" s="39"/>
      <c r="AB66" s="39"/>
      <c r="AC66" s="106">
        <f t="shared" si="75"/>
        <v>0</v>
      </c>
      <c r="AD66" s="178" t="e">
        <f t="shared" si="3"/>
        <v>#DIV/0!</v>
      </c>
      <c r="AE66" s="79"/>
      <c r="AF66" s="39"/>
      <c r="AG66" s="39"/>
      <c r="AH66" s="106">
        <f t="shared" si="76"/>
        <v>0</v>
      </c>
      <c r="AI66" s="178" t="e">
        <f t="shared" si="64"/>
        <v>#DIV/0!</v>
      </c>
      <c r="AJ66" s="79"/>
      <c r="AK66" s="39"/>
      <c r="AL66" s="39"/>
      <c r="AM66" s="106">
        <f t="shared" si="77"/>
        <v>0</v>
      </c>
      <c r="AN66" s="178" t="e">
        <f t="shared" si="65"/>
        <v>#DIV/0!</v>
      </c>
      <c r="AO66" s="79"/>
      <c r="AP66" s="39"/>
      <c r="AQ66" s="39"/>
      <c r="AR66" s="106">
        <f t="shared" si="78"/>
        <v>0</v>
      </c>
      <c r="AS66" s="178" t="e">
        <f t="shared" si="66"/>
        <v>#DIV/0!</v>
      </c>
      <c r="AT66" s="79"/>
      <c r="AU66" s="39"/>
      <c r="AV66" s="39"/>
      <c r="AW66" s="106">
        <f t="shared" si="79"/>
        <v>0</v>
      </c>
      <c r="AX66" s="178">
        <f t="shared" si="67"/>
        <v>0</v>
      </c>
      <c r="AY66" s="79"/>
      <c r="AZ66" s="39"/>
      <c r="BA66" s="39"/>
      <c r="BB66" s="106">
        <f t="shared" si="80"/>
        <v>0</v>
      </c>
      <c r="BC66" s="178" t="e">
        <f t="shared" si="68"/>
        <v>#DIV/0!</v>
      </c>
      <c r="BD66" s="79"/>
      <c r="BE66" s="39">
        <f t="shared" si="81"/>
        <v>0</v>
      </c>
      <c r="BF66" s="39">
        <f t="shared" si="82"/>
        <v>0</v>
      </c>
      <c r="BG66" s="106">
        <f t="shared" si="83"/>
        <v>0</v>
      </c>
      <c r="BH66" s="178">
        <f t="shared" si="69"/>
        <v>0</v>
      </c>
      <c r="BI66" s="79"/>
      <c r="BJ66" s="842"/>
      <c r="BK66" s="842"/>
      <c r="BM66" s="842"/>
      <c r="BN66" s="842"/>
    </row>
    <row r="67" spans="1:66" s="2" customFormat="1" ht="102" customHeight="1" outlineLevel="2" x14ac:dyDescent="0.25">
      <c r="A67" s="237"/>
      <c r="B67" s="19" t="s">
        <v>3</v>
      </c>
      <c r="C67" s="113"/>
      <c r="D67" s="128"/>
      <c r="E67" s="120">
        <f t="shared" si="70"/>
        <v>0</v>
      </c>
      <c r="F67" s="178">
        <f t="shared" si="84"/>
        <v>0</v>
      </c>
      <c r="G67" s="39">
        <v>0</v>
      </c>
      <c r="H67" s="39">
        <v>0</v>
      </c>
      <c r="I67" s="106">
        <v>0</v>
      </c>
      <c r="J67" s="178">
        <v>0</v>
      </c>
      <c r="K67" s="447"/>
      <c r="L67" s="39"/>
      <c r="M67" s="39"/>
      <c r="N67" s="106">
        <f t="shared" si="71"/>
        <v>0</v>
      </c>
      <c r="O67" s="178">
        <f t="shared" si="72"/>
        <v>0</v>
      </c>
      <c r="P67" s="79"/>
      <c r="Q67" s="39"/>
      <c r="R67" s="39"/>
      <c r="S67" s="106">
        <f t="shared" si="73"/>
        <v>0</v>
      </c>
      <c r="T67" s="178">
        <f t="shared" si="2"/>
        <v>0</v>
      </c>
      <c r="U67" s="79"/>
      <c r="V67" s="39"/>
      <c r="W67" s="39"/>
      <c r="X67" s="106">
        <f t="shared" si="74"/>
        <v>0</v>
      </c>
      <c r="Y67" s="178" t="e">
        <f t="shared" si="63"/>
        <v>#DIV/0!</v>
      </c>
      <c r="Z67" s="79"/>
      <c r="AA67" s="39"/>
      <c r="AB67" s="39"/>
      <c r="AC67" s="106">
        <f t="shared" si="75"/>
        <v>0</v>
      </c>
      <c r="AD67" s="178" t="e">
        <f t="shared" si="3"/>
        <v>#DIV/0!</v>
      </c>
      <c r="AE67" s="79"/>
      <c r="AF67" s="39"/>
      <c r="AG67" s="39"/>
      <c r="AH67" s="106">
        <f t="shared" si="76"/>
        <v>0</v>
      </c>
      <c r="AI67" s="178" t="e">
        <f t="shared" si="64"/>
        <v>#DIV/0!</v>
      </c>
      <c r="AJ67" s="79"/>
      <c r="AK67" s="39"/>
      <c r="AL67" s="39"/>
      <c r="AM67" s="106">
        <f t="shared" si="77"/>
        <v>0</v>
      </c>
      <c r="AN67" s="178" t="e">
        <f t="shared" si="65"/>
        <v>#DIV/0!</v>
      </c>
      <c r="AO67" s="79"/>
      <c r="AP67" s="39"/>
      <c r="AQ67" s="39"/>
      <c r="AR67" s="106">
        <f t="shared" si="78"/>
        <v>0</v>
      </c>
      <c r="AS67" s="178" t="e">
        <f t="shared" si="66"/>
        <v>#DIV/0!</v>
      </c>
      <c r="AT67" s="79"/>
      <c r="AU67" s="39"/>
      <c r="AV67" s="39"/>
      <c r="AW67" s="106">
        <f t="shared" si="79"/>
        <v>0</v>
      </c>
      <c r="AX67" s="178">
        <f t="shared" si="67"/>
        <v>0</v>
      </c>
      <c r="AY67" s="79"/>
      <c r="AZ67" s="39"/>
      <c r="BA67" s="39"/>
      <c r="BB67" s="106">
        <f t="shared" si="80"/>
        <v>0</v>
      </c>
      <c r="BC67" s="178" t="e">
        <f t="shared" si="68"/>
        <v>#DIV/0!</v>
      </c>
      <c r="BD67" s="79"/>
      <c r="BE67" s="39">
        <f t="shared" si="81"/>
        <v>0</v>
      </c>
      <c r="BF67" s="39">
        <f t="shared" si="82"/>
        <v>0</v>
      </c>
      <c r="BG67" s="106">
        <f t="shared" si="83"/>
        <v>0</v>
      </c>
      <c r="BH67" s="178">
        <f t="shared" si="69"/>
        <v>0</v>
      </c>
      <c r="BI67" s="79"/>
      <c r="BJ67" s="842"/>
      <c r="BK67" s="842"/>
      <c r="BM67" s="842"/>
      <c r="BN67" s="842"/>
    </row>
    <row r="68" spans="1:66" s="2" customFormat="1" ht="13.95" customHeight="1" outlineLevel="2" x14ac:dyDescent="0.25">
      <c r="A68" s="237"/>
      <c r="B68" s="19" t="s">
        <v>5</v>
      </c>
      <c r="C68" s="113"/>
      <c r="D68" s="128">
        <v>2500</v>
      </c>
      <c r="E68" s="120">
        <f t="shared" si="70"/>
        <v>2500</v>
      </c>
      <c r="F68" s="178">
        <f t="shared" si="84"/>
        <v>5.888300817743664E-4</v>
      </c>
      <c r="G68" s="39">
        <v>200</v>
      </c>
      <c r="H68" s="39">
        <v>9010.7799999999988</v>
      </c>
      <c r="I68" s="106">
        <v>9210.7799999999988</v>
      </c>
      <c r="J68" s="178">
        <v>8.1699629693958616E-4</v>
      </c>
      <c r="K68" s="447"/>
      <c r="L68" s="39"/>
      <c r="M68" s="39">
        <v>536.75</v>
      </c>
      <c r="N68" s="106">
        <f t="shared" si="71"/>
        <v>536.75</v>
      </c>
      <c r="O68" s="178">
        <f t="shared" si="72"/>
        <v>1.7972656760306654E-2</v>
      </c>
      <c r="P68" s="79"/>
      <c r="Q68" s="39"/>
      <c r="R68" s="39"/>
      <c r="S68" s="106">
        <f t="shared" si="73"/>
        <v>0</v>
      </c>
      <c r="T68" s="178">
        <f t="shared" si="2"/>
        <v>0</v>
      </c>
      <c r="U68" s="79"/>
      <c r="V68" s="39"/>
      <c r="W68" s="39"/>
      <c r="X68" s="106">
        <f t="shared" si="74"/>
        <v>0</v>
      </c>
      <c r="Y68" s="178" t="e">
        <f t="shared" si="63"/>
        <v>#DIV/0!</v>
      </c>
      <c r="Z68" s="79"/>
      <c r="AA68" s="39"/>
      <c r="AB68" s="39"/>
      <c r="AC68" s="106">
        <f t="shared" si="75"/>
        <v>0</v>
      </c>
      <c r="AD68" s="178" t="e">
        <f t="shared" si="3"/>
        <v>#DIV/0!</v>
      </c>
      <c r="AE68" s="79"/>
      <c r="AF68" s="39"/>
      <c r="AG68" s="39"/>
      <c r="AH68" s="106">
        <f t="shared" si="76"/>
        <v>0</v>
      </c>
      <c r="AI68" s="178" t="e">
        <f t="shared" si="64"/>
        <v>#DIV/0!</v>
      </c>
      <c r="AJ68" s="79"/>
      <c r="AK68" s="39"/>
      <c r="AL68" s="39"/>
      <c r="AM68" s="106">
        <f t="shared" si="77"/>
        <v>0</v>
      </c>
      <c r="AN68" s="178" t="e">
        <f t="shared" si="65"/>
        <v>#DIV/0!</v>
      </c>
      <c r="AO68" s="79"/>
      <c r="AP68" s="39"/>
      <c r="AQ68" s="39"/>
      <c r="AR68" s="106">
        <f t="shared" si="78"/>
        <v>0</v>
      </c>
      <c r="AS68" s="178" t="e">
        <f t="shared" si="66"/>
        <v>#DIV/0!</v>
      </c>
      <c r="AT68" s="79"/>
      <c r="AU68" s="39"/>
      <c r="AV68" s="39"/>
      <c r="AW68" s="106">
        <f t="shared" si="79"/>
        <v>0</v>
      </c>
      <c r="AX68" s="178">
        <f t="shared" si="67"/>
        <v>0</v>
      </c>
      <c r="AY68" s="79"/>
      <c r="AZ68" s="39"/>
      <c r="BA68" s="39"/>
      <c r="BB68" s="106">
        <f t="shared" si="80"/>
        <v>0</v>
      </c>
      <c r="BC68" s="178" t="e">
        <f t="shared" si="68"/>
        <v>#DIV/0!</v>
      </c>
      <c r="BD68" s="79"/>
      <c r="BE68" s="39">
        <f t="shared" si="81"/>
        <v>200</v>
      </c>
      <c r="BF68" s="39">
        <f t="shared" si="82"/>
        <v>9547.5299999999988</v>
      </c>
      <c r="BG68" s="106">
        <f t="shared" si="83"/>
        <v>9747.5299999999988</v>
      </c>
      <c r="BH68" s="178">
        <f t="shared" si="69"/>
        <v>8.5305639159529074E-4</v>
      </c>
      <c r="BI68" s="79"/>
      <c r="BJ68" s="842"/>
      <c r="BK68" s="842"/>
      <c r="BM68" s="842"/>
      <c r="BN68" s="842"/>
    </row>
    <row r="69" spans="1:66" s="2" customFormat="1" ht="13.8" outlineLevel="2" x14ac:dyDescent="0.25">
      <c r="A69" s="237"/>
      <c r="B69" s="19" t="s">
        <v>42</v>
      </c>
      <c r="C69" s="113"/>
      <c r="D69" s="128"/>
      <c r="E69" s="120">
        <f t="shared" si="70"/>
        <v>0</v>
      </c>
      <c r="F69" s="178">
        <f t="shared" si="84"/>
        <v>0</v>
      </c>
      <c r="G69" s="39">
        <v>21147.61</v>
      </c>
      <c r="H69" s="39">
        <v>0</v>
      </c>
      <c r="I69" s="106">
        <v>21147.61</v>
      </c>
      <c r="J69" s="178">
        <v>1.8757932617131845E-3</v>
      </c>
      <c r="K69" s="447"/>
      <c r="L69" s="39"/>
      <c r="M69" s="39"/>
      <c r="N69" s="106">
        <f t="shared" si="71"/>
        <v>0</v>
      </c>
      <c r="O69" s="178">
        <f t="shared" si="72"/>
        <v>0</v>
      </c>
      <c r="P69" s="388"/>
      <c r="Q69" s="39"/>
      <c r="R69" s="39"/>
      <c r="S69" s="106">
        <f t="shared" si="73"/>
        <v>0</v>
      </c>
      <c r="T69" s="178">
        <f t="shared" si="2"/>
        <v>0</v>
      </c>
      <c r="U69" s="388"/>
      <c r="V69" s="39"/>
      <c r="W69" s="39"/>
      <c r="X69" s="106">
        <f t="shared" si="74"/>
        <v>0</v>
      </c>
      <c r="Y69" s="178" t="e">
        <f t="shared" si="63"/>
        <v>#DIV/0!</v>
      </c>
      <c r="Z69" s="388"/>
      <c r="AA69" s="39"/>
      <c r="AB69" s="39"/>
      <c r="AC69" s="106">
        <f t="shared" si="75"/>
        <v>0</v>
      </c>
      <c r="AD69" s="178" t="e">
        <f t="shared" si="3"/>
        <v>#DIV/0!</v>
      </c>
      <c r="AE69" s="388"/>
      <c r="AF69" s="39"/>
      <c r="AG69" s="39"/>
      <c r="AH69" s="106">
        <f t="shared" si="76"/>
        <v>0</v>
      </c>
      <c r="AI69" s="178" t="e">
        <f t="shared" si="64"/>
        <v>#DIV/0!</v>
      </c>
      <c r="AJ69" s="388"/>
      <c r="AK69" s="39"/>
      <c r="AL69" s="39"/>
      <c r="AM69" s="106">
        <f t="shared" si="77"/>
        <v>0</v>
      </c>
      <c r="AN69" s="178" t="e">
        <f t="shared" si="65"/>
        <v>#DIV/0!</v>
      </c>
      <c r="AO69" s="388"/>
      <c r="AP69" s="39"/>
      <c r="AQ69" s="39"/>
      <c r="AR69" s="106">
        <f t="shared" si="78"/>
        <v>0</v>
      </c>
      <c r="AS69" s="178" t="e">
        <f t="shared" si="66"/>
        <v>#DIV/0!</v>
      </c>
      <c r="AT69" s="388"/>
      <c r="AU69" s="39"/>
      <c r="AV69" s="39"/>
      <c r="AW69" s="106">
        <f t="shared" si="79"/>
        <v>0</v>
      </c>
      <c r="AX69" s="178">
        <f t="shared" si="67"/>
        <v>0</v>
      </c>
      <c r="AY69" s="388"/>
      <c r="AZ69" s="39"/>
      <c r="BA69" s="39"/>
      <c r="BB69" s="106">
        <f t="shared" si="80"/>
        <v>0</v>
      </c>
      <c r="BC69" s="178" t="e">
        <f t="shared" si="68"/>
        <v>#DIV/0!</v>
      </c>
      <c r="BD69" s="388"/>
      <c r="BE69" s="39">
        <f t="shared" si="81"/>
        <v>21147.61</v>
      </c>
      <c r="BF69" s="39">
        <f t="shared" si="82"/>
        <v>0</v>
      </c>
      <c r="BG69" s="106">
        <f t="shared" si="83"/>
        <v>21147.61</v>
      </c>
      <c r="BH69" s="178">
        <f t="shared" si="69"/>
        <v>1.8507359174544206E-3</v>
      </c>
      <c r="BI69" s="79"/>
      <c r="BJ69" s="842"/>
      <c r="BK69" s="842"/>
      <c r="BM69" s="842"/>
      <c r="BN69" s="842"/>
    </row>
    <row r="70" spans="1:66" s="2" customFormat="1" ht="38.4" customHeight="1" outlineLevel="2" x14ac:dyDescent="0.25">
      <c r="A70" s="237"/>
      <c r="B70" s="19" t="s">
        <v>6</v>
      </c>
      <c r="C70" s="113"/>
      <c r="D70" s="128"/>
      <c r="E70" s="120">
        <f t="shared" si="70"/>
        <v>0</v>
      </c>
      <c r="F70" s="178">
        <f t="shared" si="84"/>
        <v>0</v>
      </c>
      <c r="G70" s="39">
        <v>0</v>
      </c>
      <c r="H70" s="39">
        <v>0</v>
      </c>
      <c r="I70" s="106">
        <v>0</v>
      </c>
      <c r="J70" s="178">
        <v>0</v>
      </c>
      <c r="K70" s="447"/>
      <c r="L70" s="39"/>
      <c r="M70" s="39"/>
      <c r="N70" s="106">
        <f t="shared" si="71"/>
        <v>0</v>
      </c>
      <c r="O70" s="178">
        <f t="shared" si="72"/>
        <v>0</v>
      </c>
      <c r="P70" s="79"/>
      <c r="Q70" s="39"/>
      <c r="R70" s="39"/>
      <c r="S70" s="106">
        <f t="shared" si="73"/>
        <v>0</v>
      </c>
      <c r="T70" s="178">
        <f t="shared" si="2"/>
        <v>0</v>
      </c>
      <c r="U70" s="79"/>
      <c r="V70" s="39"/>
      <c r="W70" s="39"/>
      <c r="X70" s="106">
        <f t="shared" si="74"/>
        <v>0</v>
      </c>
      <c r="Y70" s="178" t="e">
        <f t="shared" si="63"/>
        <v>#DIV/0!</v>
      </c>
      <c r="Z70" s="79"/>
      <c r="AA70" s="39"/>
      <c r="AB70" s="39"/>
      <c r="AC70" s="106">
        <f t="shared" si="75"/>
        <v>0</v>
      </c>
      <c r="AD70" s="178" t="e">
        <f t="shared" si="3"/>
        <v>#DIV/0!</v>
      </c>
      <c r="AE70" s="388"/>
      <c r="AF70" s="39"/>
      <c r="AG70" s="39"/>
      <c r="AH70" s="106">
        <f t="shared" si="76"/>
        <v>0</v>
      </c>
      <c r="AI70" s="178" t="e">
        <f t="shared" si="64"/>
        <v>#DIV/0!</v>
      </c>
      <c r="AJ70" s="388"/>
      <c r="AK70" s="39"/>
      <c r="AL70" s="39"/>
      <c r="AM70" s="106">
        <f t="shared" si="77"/>
        <v>0</v>
      </c>
      <c r="AN70" s="178" t="e">
        <f t="shared" si="65"/>
        <v>#DIV/0!</v>
      </c>
      <c r="AO70" s="388"/>
      <c r="AP70" s="39"/>
      <c r="AQ70" s="39"/>
      <c r="AR70" s="106">
        <f t="shared" si="78"/>
        <v>0</v>
      </c>
      <c r="AS70" s="178" t="e">
        <f t="shared" si="66"/>
        <v>#DIV/0!</v>
      </c>
      <c r="AT70" s="388"/>
      <c r="AU70" s="39"/>
      <c r="AV70" s="39"/>
      <c r="AW70" s="106">
        <f t="shared" si="79"/>
        <v>0</v>
      </c>
      <c r="AX70" s="178">
        <f t="shared" si="67"/>
        <v>0</v>
      </c>
      <c r="AY70" s="388"/>
      <c r="AZ70" s="39"/>
      <c r="BA70" s="39"/>
      <c r="BB70" s="106">
        <f t="shared" si="80"/>
        <v>0</v>
      </c>
      <c r="BC70" s="178" t="e">
        <f t="shared" si="68"/>
        <v>#DIV/0!</v>
      </c>
      <c r="BD70" s="388"/>
      <c r="BE70" s="39">
        <f t="shared" si="81"/>
        <v>0</v>
      </c>
      <c r="BF70" s="39">
        <f t="shared" si="82"/>
        <v>0</v>
      </c>
      <c r="BG70" s="106">
        <f t="shared" si="83"/>
        <v>0</v>
      </c>
      <c r="BH70" s="178">
        <f t="shared" si="69"/>
        <v>0</v>
      </c>
      <c r="BI70" s="79"/>
      <c r="BJ70" s="842"/>
      <c r="BK70" s="842"/>
      <c r="BM70" s="842"/>
      <c r="BN70" s="842"/>
    </row>
    <row r="71" spans="1:66" s="2" customFormat="1" ht="22.2" customHeight="1" outlineLevel="2" x14ac:dyDescent="0.25">
      <c r="A71" s="237"/>
      <c r="B71" s="19" t="s">
        <v>78</v>
      </c>
      <c r="C71" s="113"/>
      <c r="D71" s="128"/>
      <c r="E71" s="120">
        <f t="shared" si="70"/>
        <v>0</v>
      </c>
      <c r="F71" s="184">
        <f t="shared" si="84"/>
        <v>0</v>
      </c>
      <c r="G71" s="39">
        <v>24891.648000000001</v>
      </c>
      <c r="H71" s="39">
        <v>0</v>
      </c>
      <c r="I71" s="106">
        <v>24891.648000000001</v>
      </c>
      <c r="J71" s="178">
        <v>2.2078894774083912E-3</v>
      </c>
      <c r="K71" s="851"/>
      <c r="L71" s="39"/>
      <c r="M71" s="39"/>
      <c r="N71" s="106">
        <f t="shared" si="71"/>
        <v>0</v>
      </c>
      <c r="O71" s="178">
        <f t="shared" si="72"/>
        <v>0</v>
      </c>
      <c r="P71" s="79"/>
      <c r="Q71" s="39"/>
      <c r="R71" s="39"/>
      <c r="S71" s="106">
        <f t="shared" si="73"/>
        <v>0</v>
      </c>
      <c r="T71" s="178">
        <f t="shared" si="2"/>
        <v>0</v>
      </c>
      <c r="U71" s="79"/>
      <c r="V71" s="39"/>
      <c r="W71" s="39"/>
      <c r="X71" s="106">
        <f t="shared" si="74"/>
        <v>0</v>
      </c>
      <c r="Y71" s="178" t="e">
        <f t="shared" si="63"/>
        <v>#DIV/0!</v>
      </c>
      <c r="Z71" s="79"/>
      <c r="AA71" s="39"/>
      <c r="AB71" s="39"/>
      <c r="AC71" s="106">
        <f t="shared" si="75"/>
        <v>0</v>
      </c>
      <c r="AD71" s="178" t="e">
        <f t="shared" si="3"/>
        <v>#DIV/0!</v>
      </c>
      <c r="AE71" s="79"/>
      <c r="AF71" s="39"/>
      <c r="AG71" s="39"/>
      <c r="AH71" s="106">
        <f t="shared" si="76"/>
        <v>0</v>
      </c>
      <c r="AI71" s="178" t="e">
        <f t="shared" si="64"/>
        <v>#DIV/0!</v>
      </c>
      <c r="AJ71" s="79"/>
      <c r="AK71" s="39"/>
      <c r="AL71" s="39"/>
      <c r="AM71" s="106">
        <f t="shared" si="77"/>
        <v>0</v>
      </c>
      <c r="AN71" s="178" t="e">
        <f t="shared" si="65"/>
        <v>#DIV/0!</v>
      </c>
      <c r="AO71" s="79"/>
      <c r="AP71" s="39"/>
      <c r="AQ71" s="39"/>
      <c r="AR71" s="106">
        <f t="shared" si="78"/>
        <v>0</v>
      </c>
      <c r="AS71" s="178" t="e">
        <f t="shared" si="66"/>
        <v>#DIV/0!</v>
      </c>
      <c r="AT71" s="79"/>
      <c r="AU71" s="39"/>
      <c r="AV71" s="39"/>
      <c r="AW71" s="106">
        <f t="shared" si="79"/>
        <v>0</v>
      </c>
      <c r="AX71" s="178">
        <f t="shared" si="67"/>
        <v>0</v>
      </c>
      <c r="AY71" s="79"/>
      <c r="AZ71" s="39"/>
      <c r="BA71" s="39"/>
      <c r="BB71" s="106">
        <f t="shared" si="80"/>
        <v>0</v>
      </c>
      <c r="BC71" s="178" t="e">
        <f t="shared" si="68"/>
        <v>#DIV/0!</v>
      </c>
      <c r="BD71" s="79"/>
      <c r="BE71" s="39">
        <f t="shared" si="81"/>
        <v>24891.648000000001</v>
      </c>
      <c r="BF71" s="39">
        <f t="shared" si="82"/>
        <v>0</v>
      </c>
      <c r="BG71" s="106">
        <f t="shared" si="83"/>
        <v>24891.648000000001</v>
      </c>
      <c r="BH71" s="178">
        <f t="shared" si="69"/>
        <v>2.1783959037561455E-3</v>
      </c>
      <c r="BI71" s="79"/>
      <c r="BJ71" s="842"/>
      <c r="BK71" s="842"/>
      <c r="BM71" s="842"/>
      <c r="BN71" s="842"/>
    </row>
    <row r="72" spans="1:66" s="2" customFormat="1" ht="14.4" outlineLevel="2" thickBot="1" x14ac:dyDescent="0.3">
      <c r="A72" s="237"/>
      <c r="B72" s="19"/>
      <c r="C72" s="130"/>
      <c r="D72" s="131"/>
      <c r="E72" s="159">
        <f t="shared" si="70"/>
        <v>0</v>
      </c>
      <c r="F72" s="184">
        <f t="shared" si="84"/>
        <v>0</v>
      </c>
      <c r="G72" s="39">
        <v>0</v>
      </c>
      <c r="H72" s="39">
        <v>0</v>
      </c>
      <c r="I72" s="106">
        <v>0</v>
      </c>
      <c r="J72" s="178">
        <v>0</v>
      </c>
      <c r="K72" s="851"/>
      <c r="L72" s="39"/>
      <c r="M72" s="39"/>
      <c r="N72" s="106"/>
      <c r="O72" s="178">
        <f t="shared" si="72"/>
        <v>0</v>
      </c>
      <c r="P72" s="79"/>
      <c r="Q72" s="39"/>
      <c r="R72" s="39"/>
      <c r="S72" s="106"/>
      <c r="T72" s="178">
        <f>S72/$S$89</f>
        <v>0</v>
      </c>
      <c r="U72" s="79"/>
      <c r="V72" s="39"/>
      <c r="W72" s="39"/>
      <c r="X72" s="106"/>
      <c r="Y72" s="178">
        <f>X72/$S$89</f>
        <v>0</v>
      </c>
      <c r="Z72" s="79"/>
      <c r="AA72" s="39"/>
      <c r="AB72" s="39"/>
      <c r="AC72" s="106"/>
      <c r="AD72" s="178">
        <f>AC72/$S$89</f>
        <v>0</v>
      </c>
      <c r="AE72" s="79"/>
      <c r="AF72" s="39"/>
      <c r="AG72" s="39"/>
      <c r="AH72" s="106"/>
      <c r="AI72" s="178">
        <f>AH72/$S$89</f>
        <v>0</v>
      </c>
      <c r="AJ72" s="79"/>
      <c r="AK72" s="39"/>
      <c r="AL72" s="39"/>
      <c r="AM72" s="106"/>
      <c r="AN72" s="178">
        <f>AM72/$S$89</f>
        <v>0</v>
      </c>
      <c r="AO72" s="79"/>
      <c r="AP72" s="39"/>
      <c r="AQ72" s="39"/>
      <c r="AR72" s="106"/>
      <c r="AS72" s="178">
        <f>AR72/$S$89</f>
        <v>0</v>
      </c>
      <c r="AT72" s="79"/>
      <c r="AU72" s="39"/>
      <c r="AV72" s="39"/>
      <c r="AW72" s="106"/>
      <c r="AX72" s="178">
        <f>AW72/$S$89</f>
        <v>0</v>
      </c>
      <c r="AY72" s="79"/>
      <c r="AZ72" s="39"/>
      <c r="BA72" s="39"/>
      <c r="BB72" s="106"/>
      <c r="BC72" s="178">
        <f>BB72/$S$89</f>
        <v>0</v>
      </c>
      <c r="BD72" s="79"/>
      <c r="BE72" s="39">
        <f>L72</f>
        <v>0</v>
      </c>
      <c r="BF72" s="39">
        <f>M72</f>
        <v>0</v>
      </c>
      <c r="BG72" s="106">
        <f t="shared" si="83"/>
        <v>0</v>
      </c>
      <c r="BH72" s="178">
        <f t="shared" si="69"/>
        <v>0</v>
      </c>
      <c r="BI72" s="79"/>
      <c r="BJ72" s="842"/>
      <c r="BK72" s="842"/>
    </row>
    <row r="73" spans="1:66" s="2" customFormat="1" ht="14.4" outlineLevel="1" thickBot="1" x14ac:dyDescent="0.3">
      <c r="A73" s="237"/>
      <c r="B73" s="13" t="s">
        <v>4</v>
      </c>
      <c r="C73" s="132">
        <f>C74</f>
        <v>164292</v>
      </c>
      <c r="D73" s="133">
        <f>D74</f>
        <v>0</v>
      </c>
      <c r="E73" s="132">
        <f>E74</f>
        <v>164292</v>
      </c>
      <c r="F73" s="171">
        <f>E73/$E$89</f>
        <v>3.8696028717949686E-2</v>
      </c>
      <c r="G73" s="139">
        <v>0</v>
      </c>
      <c r="H73" s="63">
        <v>0</v>
      </c>
      <c r="I73" s="60">
        <v>0</v>
      </c>
      <c r="J73" s="63"/>
      <c r="K73" s="960"/>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139">
        <f>AF74</f>
        <v>0</v>
      </c>
      <c r="AG73" s="63">
        <f>AG74</f>
        <v>0</v>
      </c>
      <c r="AH73" s="60">
        <f>AH74</f>
        <v>0</v>
      </c>
      <c r="AI73" s="63"/>
      <c r="AJ73" s="63"/>
      <c r="AK73" s="139">
        <f>AK74</f>
        <v>0</v>
      </c>
      <c r="AL73" s="63">
        <f>AL74</f>
        <v>0</v>
      </c>
      <c r="AM73" s="60">
        <f>AM74</f>
        <v>0</v>
      </c>
      <c r="AN73" s="63"/>
      <c r="AO73" s="63"/>
      <c r="AP73" s="139">
        <f>AP74</f>
        <v>0</v>
      </c>
      <c r="AQ73" s="63">
        <f>AQ74</f>
        <v>0</v>
      </c>
      <c r="AR73" s="60">
        <f>AR74</f>
        <v>0</v>
      </c>
      <c r="AS73" s="63"/>
      <c r="AT73" s="63"/>
      <c r="AU73" s="139">
        <f>AU74</f>
        <v>0</v>
      </c>
      <c r="AV73" s="63">
        <f>AV74</f>
        <v>0</v>
      </c>
      <c r="AW73" s="60">
        <f>AW74</f>
        <v>0</v>
      </c>
      <c r="AX73" s="63"/>
      <c r="AY73" s="63"/>
      <c r="AZ73" s="139">
        <f>AZ74</f>
        <v>0</v>
      </c>
      <c r="BA73" s="63">
        <f>BA74</f>
        <v>0</v>
      </c>
      <c r="BB73" s="60">
        <f>BB74</f>
        <v>0</v>
      </c>
      <c r="BC73" s="63"/>
      <c r="BD73" s="63"/>
      <c r="BE73" s="139">
        <f>BE74</f>
        <v>0</v>
      </c>
      <c r="BF73" s="63">
        <f>BF74</f>
        <v>0</v>
      </c>
      <c r="BG73" s="60">
        <f>BG74</f>
        <v>0</v>
      </c>
      <c r="BH73" s="63"/>
      <c r="BI73" s="63"/>
      <c r="BJ73" s="842"/>
      <c r="BK73" s="842"/>
    </row>
    <row r="74" spans="1:66" s="226" customFormat="1" ht="14.4" outlineLevel="1" thickBot="1" x14ac:dyDescent="0.3">
      <c r="A74" s="321"/>
      <c r="B74" s="225" t="s">
        <v>64</v>
      </c>
      <c r="C74" s="113">
        <v>164292</v>
      </c>
      <c r="D74" s="135"/>
      <c r="E74" s="136">
        <f>C74+D74</f>
        <v>164292</v>
      </c>
      <c r="F74" s="185"/>
      <c r="G74" s="39">
        <v>0</v>
      </c>
      <c r="H74" s="39">
        <v>0</v>
      </c>
      <c r="I74" s="64">
        <v>0</v>
      </c>
      <c r="J74" s="64"/>
      <c r="K74" s="961"/>
      <c r="L74" s="39">
        <f>L6*3%</f>
        <v>0</v>
      </c>
      <c r="M74" s="39"/>
      <c r="N74" s="64">
        <f>L74+M74*1</f>
        <v>0</v>
      </c>
      <c r="O74" s="64"/>
      <c r="P74" s="64"/>
      <c r="Q74" s="39"/>
      <c r="R74" s="39"/>
      <c r="S74" s="616">
        <f>Q74+R74*1</f>
        <v>0</v>
      </c>
      <c r="T74" s="64"/>
      <c r="U74" s="64"/>
      <c r="V74" s="39"/>
      <c r="W74" s="39"/>
      <c r="X74" s="616">
        <f>V74+W74*1</f>
        <v>0</v>
      </c>
      <c r="Y74" s="64"/>
      <c r="Z74" s="64"/>
      <c r="AA74" s="39"/>
      <c r="AB74" s="39"/>
      <c r="AC74" s="616">
        <f>AA74+AB74*1</f>
        <v>0</v>
      </c>
      <c r="AD74" s="64"/>
      <c r="AE74" s="64"/>
      <c r="AF74" s="39"/>
      <c r="AG74" s="39"/>
      <c r="AH74" s="616">
        <f>AF74+AG74*1</f>
        <v>0</v>
      </c>
      <c r="AI74" s="64"/>
      <c r="AJ74" s="64"/>
      <c r="AK74" s="39"/>
      <c r="AL74" s="39"/>
      <c r="AM74" s="616">
        <f>AK74+AL74*1</f>
        <v>0</v>
      </c>
      <c r="AN74" s="64"/>
      <c r="AO74" s="64"/>
      <c r="AP74" s="39"/>
      <c r="AQ74" s="39"/>
      <c r="AR74" s="616">
        <f>AP74+AQ74*1</f>
        <v>0</v>
      </c>
      <c r="AS74" s="64"/>
      <c r="AT74" s="64"/>
      <c r="AU74" s="39"/>
      <c r="AV74" s="39"/>
      <c r="AW74" s="616">
        <f>AU74+AV74*1</f>
        <v>0</v>
      </c>
      <c r="AX74" s="64"/>
      <c r="AY74" s="64"/>
      <c r="AZ74" s="39"/>
      <c r="BA74" s="39"/>
      <c r="BB74" s="616">
        <f>AZ74+BA74*1</f>
        <v>0</v>
      </c>
      <c r="BC74" s="64"/>
      <c r="BD74" s="64"/>
      <c r="BE74" s="39">
        <f>L74+Q74</f>
        <v>0</v>
      </c>
      <c r="BF74" s="39">
        <f>M74+R74</f>
        <v>0</v>
      </c>
      <c r="BG74" s="106">
        <f>BE74+BF74</f>
        <v>0</v>
      </c>
      <c r="BH74" s="64"/>
      <c r="BI74" s="64"/>
      <c r="BJ74" s="916"/>
      <c r="BK74" s="916"/>
      <c r="BM74" s="842"/>
      <c r="BN74" s="842"/>
    </row>
    <row r="75" spans="1:66" s="2" customFormat="1" ht="14.4" thickBot="1" x14ac:dyDescent="0.3">
      <c r="A75" s="5"/>
      <c r="B75" s="23" t="s">
        <v>48</v>
      </c>
      <c r="C75" s="137">
        <f>C38-C41-C50-C54</f>
        <v>3297514</v>
      </c>
      <c r="D75" s="137">
        <f>D38-D41-D50-D54</f>
        <v>-1654381</v>
      </c>
      <c r="E75" s="138">
        <f>E38-E41-E50-E54</f>
        <v>1643133</v>
      </c>
      <c r="F75" s="172"/>
      <c r="G75" s="65">
        <v>9227026.4380000029</v>
      </c>
      <c r="H75" s="65">
        <v>-4245291.5200000005</v>
      </c>
      <c r="I75" s="138">
        <v>4981734.9180000052</v>
      </c>
      <c r="J75" s="66"/>
      <c r="K75" s="962"/>
      <c r="L75" s="65">
        <f>L38-L41-L50-L54</f>
        <v>-7642.11</v>
      </c>
      <c r="M75" s="65">
        <f>M38-M41-M50-M54</f>
        <v>-19333.75</v>
      </c>
      <c r="N75" s="138">
        <f>N38-N41-N50-N54</f>
        <v>-26975.86</v>
      </c>
      <c r="O75" s="66"/>
      <c r="P75" s="66"/>
      <c r="Q75" s="65">
        <f>Q38-Q41-Q50-Q54</f>
        <v>288903.43200000003</v>
      </c>
      <c r="R75" s="65">
        <f>R38-R41-R50-R54</f>
        <v>-90781.43</v>
      </c>
      <c r="S75" s="138">
        <f>S38-S41-S50-S54</f>
        <v>198122.00200000004</v>
      </c>
      <c r="T75" s="66"/>
      <c r="U75" s="66"/>
      <c r="V75" s="65">
        <f>V38-V41-V50-V54</f>
        <v>0</v>
      </c>
      <c r="W75" s="65">
        <f>W38-W41-W50-W54</f>
        <v>0</v>
      </c>
      <c r="X75" s="138">
        <f>X38-X41-X50-X54</f>
        <v>0</v>
      </c>
      <c r="Y75" s="66"/>
      <c r="Z75" s="66"/>
      <c r="AA75" s="65">
        <f>AA38-AA41-AA50-AA54</f>
        <v>0</v>
      </c>
      <c r="AB75" s="65">
        <f>AB38-AB41-AB50-AB54</f>
        <v>0</v>
      </c>
      <c r="AC75" s="138">
        <f>AC38-AC41-AC50-AC54</f>
        <v>0</v>
      </c>
      <c r="AD75" s="66"/>
      <c r="AE75" s="66"/>
      <c r="AF75" s="65">
        <f>AF38-AF41-AF50-AF54</f>
        <v>0</v>
      </c>
      <c r="AG75" s="65">
        <f>AG38-AG41-AG50-AG54</f>
        <v>0</v>
      </c>
      <c r="AH75" s="138">
        <f>AH38-AH41-AH50-AH54</f>
        <v>0</v>
      </c>
      <c r="AI75" s="66"/>
      <c r="AJ75" s="66"/>
      <c r="AK75" s="65">
        <f>AK38-AK41-AK50-AK54</f>
        <v>0</v>
      </c>
      <c r="AL75" s="65">
        <f>AL38-AL41-AL50-AL54</f>
        <v>0</v>
      </c>
      <c r="AM75" s="138">
        <f>AM38-AM41-AM50-AM54</f>
        <v>0</v>
      </c>
      <c r="AN75" s="66"/>
      <c r="AO75" s="66"/>
      <c r="AP75" s="65">
        <f>AP38-AP41-AP50-AP54</f>
        <v>0</v>
      </c>
      <c r="AQ75" s="65">
        <f>AQ38-AQ41-AQ50-AQ54</f>
        <v>0</v>
      </c>
      <c r="AR75" s="138">
        <f>AR38-AR41-AR50-AR54</f>
        <v>0</v>
      </c>
      <c r="AS75" s="66"/>
      <c r="AT75" s="66"/>
      <c r="AU75" s="65">
        <f>AU38-AU41-AU50-AU54</f>
        <v>6.9999999999708962E-2</v>
      </c>
      <c r="AV75" s="65">
        <f>AV38-AV41-AV50-AV54</f>
        <v>0</v>
      </c>
      <c r="AW75" s="138">
        <f>AW38-AW41-AW50-AW54</f>
        <v>6.9999999999708962E-2</v>
      </c>
      <c r="AX75" s="66"/>
      <c r="AY75" s="66"/>
      <c r="AZ75" s="65">
        <f>AZ38-AZ41-AZ50-AZ54</f>
        <v>0</v>
      </c>
      <c r="BA75" s="65">
        <f>BA38-BA41-BA50-BA54</f>
        <v>0</v>
      </c>
      <c r="BB75" s="138">
        <f>BB38-BB41-BB50-BB54</f>
        <v>0</v>
      </c>
      <c r="BC75" s="66"/>
      <c r="BD75" s="66"/>
      <c r="BE75" s="65">
        <f>BE38-BE41-BE50-BE54</f>
        <v>9511696.0900000017</v>
      </c>
      <c r="BF75" s="65">
        <f>BF38-BF41-BF50-BF54</f>
        <v>-4355406.7</v>
      </c>
      <c r="BG75" s="138">
        <f>BG38-BG41-BG50-BG54</f>
        <v>5156289.3900000053</v>
      </c>
      <c r="BH75" s="66"/>
      <c r="BI75" s="66"/>
      <c r="BJ75" s="842"/>
      <c r="BK75" s="842"/>
      <c r="BM75" s="842"/>
      <c r="BN75" s="842"/>
    </row>
    <row r="76" spans="1:66" s="2" customFormat="1" ht="13.8" x14ac:dyDescent="0.25">
      <c r="A76" s="294"/>
      <c r="B76" s="36" t="s">
        <v>49</v>
      </c>
      <c r="C76" s="157">
        <f>C75/C5</f>
        <v>0.60213268190675207</v>
      </c>
      <c r="D76" s="157" t="e">
        <f>D75/D5</f>
        <v>#DIV/0!</v>
      </c>
      <c r="E76" s="158">
        <f>E75/E5</f>
        <v>0.30003938725339369</v>
      </c>
      <c r="F76" s="167"/>
      <c r="G76" s="54">
        <v>0.59635279714425671</v>
      </c>
      <c r="H76" s="54" t="e">
        <v>#DIV/0!</v>
      </c>
      <c r="I76" s="55">
        <v>0.32197496917809482</v>
      </c>
      <c r="J76" s="55"/>
      <c r="K76" s="957"/>
      <c r="L76" s="54" t="e">
        <f>L75/L5</f>
        <v>#DIV/0!</v>
      </c>
      <c r="M76" s="54" t="e">
        <f>M75/M5</f>
        <v>#DIV/0!</v>
      </c>
      <c r="N76" s="55" t="e">
        <f>N75/N5</f>
        <v>#DIV/0!</v>
      </c>
      <c r="O76" s="55"/>
      <c r="P76" s="55"/>
      <c r="Q76" s="54">
        <f>Q75/Q5</f>
        <v>0.9400380383874567</v>
      </c>
      <c r="R76" s="54" t="e">
        <f>R75/R5</f>
        <v>#DIV/0!</v>
      </c>
      <c r="S76" s="55">
        <f>S75/S5</f>
        <v>0.64465214840880047</v>
      </c>
      <c r="T76" s="55"/>
      <c r="U76" s="55"/>
      <c r="V76" s="54" t="e">
        <f>V75/V5</f>
        <v>#DIV/0!</v>
      </c>
      <c r="W76" s="54" t="e">
        <f>W75/W5</f>
        <v>#DIV/0!</v>
      </c>
      <c r="X76" s="55" t="e">
        <f>X75/X5</f>
        <v>#DIV/0!</v>
      </c>
      <c r="Y76" s="55"/>
      <c r="Z76" s="55"/>
      <c r="AA76" s="54" t="e">
        <f>AA75/AA5</f>
        <v>#DIV/0!</v>
      </c>
      <c r="AB76" s="54" t="e">
        <f>AB75/AB5</f>
        <v>#DIV/0!</v>
      </c>
      <c r="AC76" s="55" t="e">
        <f>AC75/AC5</f>
        <v>#DIV/0!</v>
      </c>
      <c r="AD76" s="55"/>
      <c r="AE76" s="55"/>
      <c r="AF76" s="54" t="e">
        <f>AF75/AF5</f>
        <v>#DIV/0!</v>
      </c>
      <c r="AG76" s="54" t="e">
        <f>AG75/AG5</f>
        <v>#DIV/0!</v>
      </c>
      <c r="AH76" s="55" t="e">
        <f>AH75/AH5</f>
        <v>#DIV/0!</v>
      </c>
      <c r="AI76" s="55"/>
      <c r="AJ76" s="55"/>
      <c r="AK76" s="54" t="e">
        <f>AK75/AK5</f>
        <v>#DIV/0!</v>
      </c>
      <c r="AL76" s="54" t="e">
        <f>AL75/AL5</f>
        <v>#DIV/0!</v>
      </c>
      <c r="AM76" s="55" t="e">
        <f>AM75/AM5</f>
        <v>#DIV/0!</v>
      </c>
      <c r="AN76" s="55"/>
      <c r="AO76" s="55"/>
      <c r="AP76" s="54" t="e">
        <f>AP75/AP5</f>
        <v>#DIV/0!</v>
      </c>
      <c r="AQ76" s="54" t="e">
        <f>AQ75/AQ5</f>
        <v>#DIV/0!</v>
      </c>
      <c r="AR76" s="55" t="e">
        <f>AR75/AR5</f>
        <v>#DIV/0!</v>
      </c>
      <c r="AS76" s="55"/>
      <c r="AT76" s="55"/>
      <c r="AU76" s="54" t="e">
        <f>AU75/AU5</f>
        <v>#DIV/0!</v>
      </c>
      <c r="AV76" s="54" t="e">
        <f>AV75/AV5</f>
        <v>#DIV/0!</v>
      </c>
      <c r="AW76" s="55" t="e">
        <f>AW75/AW5</f>
        <v>#DIV/0!</v>
      </c>
      <c r="AX76" s="55"/>
      <c r="AY76" s="55"/>
      <c r="AZ76" s="54" t="e">
        <f>AZ75/AZ5</f>
        <v>#DIV/0!</v>
      </c>
      <c r="BA76" s="54" t="e">
        <f>BA75/BA5</f>
        <v>#DIV/0!</v>
      </c>
      <c r="BB76" s="55" t="e">
        <f>BB75/BB5</f>
        <v>#DIV/0!</v>
      </c>
      <c r="BC76" s="55"/>
      <c r="BD76" s="55"/>
      <c r="BE76" s="54">
        <f>BE75/BE5</f>
        <v>0.60277821574209722</v>
      </c>
      <c r="BF76" s="54" t="e">
        <f>BF75/BF5</f>
        <v>#DIV/0!</v>
      </c>
      <c r="BG76" s="55">
        <f>BG75/BG5</f>
        <v>0.32676600355448376</v>
      </c>
      <c r="BH76" s="55"/>
      <c r="BI76" s="55"/>
      <c r="BJ76" s="842"/>
      <c r="BK76" s="842"/>
      <c r="BM76" s="842"/>
      <c r="BN76" s="842"/>
    </row>
    <row r="77" spans="1:66" s="2" customFormat="1" ht="14.4" outlineLevel="1" thickBot="1" x14ac:dyDescent="0.3">
      <c r="A77" s="294"/>
      <c r="B77" s="27" t="s">
        <v>9</v>
      </c>
      <c r="C77" s="139">
        <f>C78-C79</f>
        <v>-248157</v>
      </c>
      <c r="D77" s="139">
        <f>D78-D79</f>
        <v>0</v>
      </c>
      <c r="E77" s="140">
        <f>E78-E79</f>
        <v>-248157</v>
      </c>
      <c r="F77" s="173"/>
      <c r="G77" s="139">
        <v>0</v>
      </c>
      <c r="H77" s="139">
        <v>0</v>
      </c>
      <c r="I77" s="140">
        <v>-603452.68118041637</v>
      </c>
      <c r="J77" s="67"/>
      <c r="K77" s="963"/>
      <c r="L77" s="139">
        <f>L78-L79</f>
        <v>0</v>
      </c>
      <c r="M77" s="139">
        <f>M78-M79</f>
        <v>0</v>
      </c>
      <c r="N77" s="140">
        <f>N78-N79</f>
        <v>-2888.9511494252874</v>
      </c>
      <c r="O77" s="67"/>
      <c r="P77" s="67"/>
      <c r="Q77" s="139">
        <f>Q78-Q79</f>
        <v>0</v>
      </c>
      <c r="R77" s="139">
        <f>R78-R79</f>
        <v>0</v>
      </c>
      <c r="S77" s="140">
        <f>S78-S79</f>
        <v>-13565.041264367816</v>
      </c>
      <c r="T77" s="67"/>
      <c r="U77" s="67"/>
      <c r="V77" s="139">
        <f>V78-V79</f>
        <v>0</v>
      </c>
      <c r="W77" s="139">
        <f>W78-W79</f>
        <v>0</v>
      </c>
      <c r="X77" s="140" t="e">
        <f>X78-X79</f>
        <v>#DIV/0!</v>
      </c>
      <c r="Y77" s="67"/>
      <c r="Z77" s="67"/>
      <c r="AA77" s="139">
        <f>AA78-AA79</f>
        <v>0</v>
      </c>
      <c r="AB77" s="139">
        <f>AB78-AB79</f>
        <v>0</v>
      </c>
      <c r="AC77" s="140">
        <f>AC78-AC79</f>
        <v>0</v>
      </c>
      <c r="AD77" s="67"/>
      <c r="AE77" s="67"/>
      <c r="AF77" s="139">
        <f>AF78-AF79</f>
        <v>0</v>
      </c>
      <c r="AG77" s="139">
        <f>AG78-AG79</f>
        <v>0</v>
      </c>
      <c r="AH77" s="140" t="e">
        <f>AH78-AH79</f>
        <v>#DIV/0!</v>
      </c>
      <c r="AI77" s="67"/>
      <c r="AJ77" s="67"/>
      <c r="AK77" s="139">
        <f>AK78-AK79</f>
        <v>0</v>
      </c>
      <c r="AL77" s="139">
        <f>AL78-AL79</f>
        <v>0</v>
      </c>
      <c r="AM77" s="140">
        <f>AM78-AM79</f>
        <v>0</v>
      </c>
      <c r="AN77" s="67"/>
      <c r="AO77" s="67"/>
      <c r="AP77" s="139">
        <f>AP78-AP79</f>
        <v>0</v>
      </c>
      <c r="AQ77" s="139">
        <f>AQ78-AQ79</f>
        <v>0</v>
      </c>
      <c r="AR77" s="140">
        <f>AR78-AR79</f>
        <v>0</v>
      </c>
      <c r="AS77" s="67"/>
      <c r="AT77" s="67"/>
      <c r="AU77" s="139">
        <f>AU78-AU79</f>
        <v>0</v>
      </c>
      <c r="AV77" s="139">
        <f>AV78-AV79</f>
        <v>0</v>
      </c>
      <c r="AW77" s="140">
        <f>AW78-AW79</f>
        <v>0</v>
      </c>
      <c r="AX77" s="67">
        <f>AW77/$AW$89</f>
        <v>0</v>
      </c>
      <c r="AY77" s="67"/>
      <c r="AZ77" s="139">
        <f>AZ78-AZ79</f>
        <v>0</v>
      </c>
      <c r="BA77" s="139">
        <f>BA78-BA79</f>
        <v>0</v>
      </c>
      <c r="BB77" s="140">
        <f>BB78-BB79</f>
        <v>0</v>
      </c>
      <c r="BC77" s="67"/>
      <c r="BD77" s="67"/>
      <c r="BE77" s="139">
        <f>BE78-BE79</f>
        <v>0</v>
      </c>
      <c r="BF77" s="139">
        <f>BF78-BF79</f>
        <v>-603452.68118041637</v>
      </c>
      <c r="BG77" s="140">
        <f>BG78-BG79</f>
        <v>-623315.00359420944</v>
      </c>
      <c r="BH77" s="67"/>
      <c r="BI77" s="67"/>
      <c r="BJ77" s="842"/>
      <c r="BK77" s="842"/>
      <c r="BM77" s="842"/>
      <c r="BN77" s="842"/>
    </row>
    <row r="78" spans="1:66" s="2" customFormat="1" ht="13.8" outlineLevel="2" x14ac:dyDescent="0.25">
      <c r="A78" s="11"/>
      <c r="B78" s="6" t="s">
        <v>43</v>
      </c>
      <c r="C78" s="141"/>
      <c r="D78" s="142"/>
      <c r="E78" s="119">
        <f>C78+D78*1.15</f>
        <v>0</v>
      </c>
      <c r="F78" s="186"/>
      <c r="G78" s="39">
        <v>0</v>
      </c>
      <c r="H78" s="39">
        <v>0</v>
      </c>
      <c r="I78" s="68">
        <v>0</v>
      </c>
      <c r="J78" s="68"/>
      <c r="K78" s="964"/>
      <c r="L78" s="39"/>
      <c r="M78" s="39"/>
      <c r="N78" s="68">
        <f>L78+M78*1.15</f>
        <v>0</v>
      </c>
      <c r="O78" s="68"/>
      <c r="P78" s="68"/>
      <c r="Q78" s="39"/>
      <c r="R78" s="39"/>
      <c r="S78" s="68">
        <f>Q78+R78*1.15</f>
        <v>0</v>
      </c>
      <c r="T78" s="68"/>
      <c r="U78" s="68"/>
      <c r="V78" s="39"/>
      <c r="W78" s="39"/>
      <c r="X78" s="68">
        <f>V78+W78*1.15</f>
        <v>0</v>
      </c>
      <c r="Y78" s="178" t="e">
        <f>X78/$X$89</f>
        <v>#DIV/0!</v>
      </c>
      <c r="Z78" s="68"/>
      <c r="AA78" s="39"/>
      <c r="AB78" s="39"/>
      <c r="AC78" s="68">
        <f>AA78+AB78*1.15</f>
        <v>0</v>
      </c>
      <c r="AD78" s="178" t="e">
        <f>AC78/$X$89</f>
        <v>#DIV/0!</v>
      </c>
      <c r="AE78" s="68"/>
      <c r="AF78" s="39"/>
      <c r="AG78" s="39"/>
      <c r="AH78" s="68">
        <f>AF78+AG78*1.15</f>
        <v>0</v>
      </c>
      <c r="AI78" s="178" t="e">
        <f>AH78/$X$89</f>
        <v>#DIV/0!</v>
      </c>
      <c r="AJ78" s="68"/>
      <c r="AK78" s="39"/>
      <c r="AL78" s="39"/>
      <c r="AM78" s="68">
        <f>AK78+AL78*1.15</f>
        <v>0</v>
      </c>
      <c r="AN78" s="178" t="e">
        <f>AM78/$X$89</f>
        <v>#DIV/0!</v>
      </c>
      <c r="AO78" s="68"/>
      <c r="AP78" s="39"/>
      <c r="AQ78" s="39"/>
      <c r="AR78" s="68">
        <f>AP78+AQ78*1.15</f>
        <v>0</v>
      </c>
      <c r="AS78" s="178" t="e">
        <f>AR78/$X$89</f>
        <v>#DIV/0!</v>
      </c>
      <c r="AT78" s="68"/>
      <c r="AU78" s="39"/>
      <c r="AV78" s="39"/>
      <c r="AW78" s="68">
        <f>AU78+AV78*1.15</f>
        <v>0</v>
      </c>
      <c r="AX78" s="178">
        <f>AW78/$AW$89</f>
        <v>0</v>
      </c>
      <c r="AY78" s="68"/>
      <c r="AZ78" s="39"/>
      <c r="BA78" s="39"/>
      <c r="BB78" s="68">
        <f>AZ78+BA78*1.15</f>
        <v>0</v>
      </c>
      <c r="BC78" s="178" t="e">
        <f>BB78/$X$89</f>
        <v>#DIV/0!</v>
      </c>
      <c r="BD78" s="68"/>
      <c r="BE78" s="39">
        <f>L78+G78</f>
        <v>0</v>
      </c>
      <c r="BF78" s="39">
        <f>H78+M78</f>
        <v>0</v>
      </c>
      <c r="BG78" s="106">
        <f>BE78+BF78</f>
        <v>0</v>
      </c>
      <c r="BH78" s="68"/>
      <c r="BI78" s="68"/>
      <c r="BJ78" s="842"/>
      <c r="BK78" s="842"/>
      <c r="BM78" s="842"/>
      <c r="BN78" s="842"/>
    </row>
    <row r="79" spans="1:66" s="2" customFormat="1" ht="13.8" outlineLevel="2" x14ac:dyDescent="0.25">
      <c r="A79" s="11"/>
      <c r="B79" s="24" t="s">
        <v>79</v>
      </c>
      <c r="C79" s="113">
        <v>248157</v>
      </c>
      <c r="D79" s="119"/>
      <c r="E79" s="119">
        <f>C79+D79*1.15</f>
        <v>248157</v>
      </c>
      <c r="F79" s="180">
        <f>E79/$E$89</f>
        <v>5.8448922641152583E-2</v>
      </c>
      <c r="G79" s="39"/>
      <c r="H79" s="39"/>
      <c r="I79" s="106">
        <v>603452.68118041637</v>
      </c>
      <c r="J79" s="45"/>
      <c r="K79" s="958"/>
      <c r="L79" s="39"/>
      <c r="M79" s="39"/>
      <c r="N79" s="106">
        <f>(M8+M41+M50+M54)/(1-'расчет 2022'!E4)*'расчет 2022'!E4</f>
        <v>2888.9511494252874</v>
      </c>
      <c r="O79" s="45"/>
      <c r="P79" s="45"/>
      <c r="Q79" s="39"/>
      <c r="R79" s="39"/>
      <c r="S79" s="106">
        <f>(R8+R41+R50+R54)/(1-'расчет 2022'!E5)*'расчет 2022'!E5</f>
        <v>13565.041264367816</v>
      </c>
      <c r="T79" s="45"/>
      <c r="U79" s="45"/>
      <c r="V79" s="39"/>
      <c r="W79" s="39"/>
      <c r="X79" s="106" t="e">
        <f>(W8+W41+W50+W54)/(1-'расчет 2022'!E10)*'расчет 2022'!E10</f>
        <v>#DIV/0!</v>
      </c>
      <c r="Y79" s="178" t="e">
        <f>X79/$X$89</f>
        <v>#DIV/0!</v>
      </c>
      <c r="Z79" s="45"/>
      <c r="AA79" s="39"/>
      <c r="AB79" s="39"/>
      <c r="AC79" s="106">
        <f>(AB8+AB41+AB50+AB54)/(1-'расчет 2022'!E11)*'расчет 2022'!E11</f>
        <v>0</v>
      </c>
      <c r="AD79" s="178" t="e">
        <f>AC79/$AC$89</f>
        <v>#DIV/0!</v>
      </c>
      <c r="AE79" s="45"/>
      <c r="AF79" s="39"/>
      <c r="AG79" s="39"/>
      <c r="AH79" s="106" t="e">
        <f>(AG8+AG41+AG50+AG54)/(1-'расчет 2022'!E12)*'расчет 2022'!E12</f>
        <v>#DIV/0!</v>
      </c>
      <c r="AI79" s="178" t="e">
        <f>AH79/$AH$89</f>
        <v>#DIV/0!</v>
      </c>
      <c r="AJ79" s="45"/>
      <c r="AK79" s="39"/>
      <c r="AL79" s="39"/>
      <c r="AM79" s="106">
        <f>(AL8+AL41+AL50+AL54)/(1-'расчет 2022'!E13)*'расчет 2022'!E13</f>
        <v>0</v>
      </c>
      <c r="AN79" s="178" t="e">
        <f>AM79/$AM$89</f>
        <v>#DIV/0!</v>
      </c>
      <c r="AO79" s="45"/>
      <c r="AP79" s="39"/>
      <c r="AQ79" s="39"/>
      <c r="AR79" s="106">
        <f>(AQ8+AQ41+AQ50+AQ54)/(1-'расчет 2022'!E14)*'расчет 2022'!E14</f>
        <v>0</v>
      </c>
      <c r="AS79" s="178" t="e">
        <f>AR79/$AR$89</f>
        <v>#DIV/0!</v>
      </c>
      <c r="AT79" s="45"/>
      <c r="AU79" s="39"/>
      <c r="AV79" s="39"/>
      <c r="AW79" s="106">
        <f>(AV8+AV41+AV50+AV54)/(1-'расчет 2022'!E18)*'расчет 2022'!E18</f>
        <v>0</v>
      </c>
      <c r="AX79" s="178">
        <f>AW79/$AW$89</f>
        <v>0</v>
      </c>
      <c r="AY79" s="45"/>
      <c r="AZ79" s="39"/>
      <c r="BA79" s="39"/>
      <c r="BB79" s="106">
        <f>(BA8+BA41+BA50+BA54)/(1-'расчет 2022'!J18)*'расчет 2022'!J18</f>
        <v>0</v>
      </c>
      <c r="BC79" s="178" t="e">
        <f>BB79/$AR$89</f>
        <v>#DIV/0!</v>
      </c>
      <c r="BD79" s="45"/>
      <c r="BE79" s="39">
        <f>L79+G79</f>
        <v>0</v>
      </c>
      <c r="BF79" s="39">
        <f>I79</f>
        <v>603452.68118041637</v>
      </c>
      <c r="BG79" s="984">
        <f>N79+BF79+3408.33+S79</f>
        <v>623315.00359420944</v>
      </c>
      <c r="BH79" s="45"/>
      <c r="BI79" s="45"/>
      <c r="BJ79" s="842"/>
      <c r="BK79" s="842"/>
      <c r="BM79" s="842"/>
      <c r="BN79" s="842"/>
    </row>
    <row r="80" spans="1:66" ht="13.8" outlineLevel="2" x14ac:dyDescent="0.25">
      <c r="A80" s="3"/>
      <c r="B80" s="25"/>
      <c r="C80" s="143"/>
      <c r="D80" s="144"/>
      <c r="E80" s="145"/>
      <c r="F80" s="187"/>
      <c r="G80" s="39"/>
      <c r="H80" s="39"/>
      <c r="I80" s="69"/>
      <c r="J80" s="69"/>
      <c r="K80" s="477"/>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39"/>
      <c r="AV80" s="39"/>
      <c r="AW80" s="69"/>
      <c r="AX80" s="69">
        <f>AW80/$AW$89</f>
        <v>0</v>
      </c>
      <c r="AY80" s="69"/>
      <c r="AZ80" s="39"/>
      <c r="BA80" s="39"/>
      <c r="BB80" s="69"/>
      <c r="BC80" s="69"/>
      <c r="BD80" s="69"/>
      <c r="BE80" s="39"/>
      <c r="BF80" s="39"/>
      <c r="BG80" s="69"/>
      <c r="BH80" s="69"/>
      <c r="BI80" s="69"/>
      <c r="BJ80" s="928"/>
      <c r="BK80" s="928"/>
      <c r="BM80" s="842"/>
      <c r="BN80" s="842"/>
    </row>
    <row r="81" spans="1:66" s="2" customFormat="1" ht="14.4" outlineLevel="1" thickBot="1" x14ac:dyDescent="0.3">
      <c r="A81" s="26"/>
      <c r="B81" s="27" t="s">
        <v>12</v>
      </c>
      <c r="C81" s="139">
        <f>(C75+C78)-C79</f>
        <v>3049357</v>
      </c>
      <c r="D81" s="139">
        <f>(D75+D78)-D79</f>
        <v>-1654381</v>
      </c>
      <c r="E81" s="140">
        <f>(E75+E78)-E79</f>
        <v>1394976</v>
      </c>
      <c r="F81" s="173"/>
      <c r="G81" s="139">
        <v>9227026.4380000029</v>
      </c>
      <c r="H81" s="139">
        <v>-4245291.5200000005</v>
      </c>
      <c r="I81" s="140">
        <v>4378282.2368195886</v>
      </c>
      <c r="J81" s="67"/>
      <c r="K81" s="963"/>
      <c r="L81" s="139">
        <f>(L75+L78)-L79</f>
        <v>-7642.11</v>
      </c>
      <c r="M81" s="139">
        <f>(M75+M78)-M79</f>
        <v>-19333.75</v>
      </c>
      <c r="N81" s="140">
        <f>(N75+N78)-N79</f>
        <v>-29864.811149425288</v>
      </c>
      <c r="O81" s="67"/>
      <c r="P81" s="67"/>
      <c r="Q81" s="139">
        <f>(Q75+Q78)-Q79</f>
        <v>288903.43200000003</v>
      </c>
      <c r="R81" s="139">
        <f>(R75+R78)-R79</f>
        <v>-90781.43</v>
      </c>
      <c r="S81" s="140">
        <f>(S75+S78)-S79</f>
        <v>184556.96073563222</v>
      </c>
      <c r="T81" s="67"/>
      <c r="U81" s="67"/>
      <c r="V81" s="139">
        <f>(V75+V78)-V79</f>
        <v>0</v>
      </c>
      <c r="W81" s="139">
        <f>(W75+W78)-W79</f>
        <v>0</v>
      </c>
      <c r="X81" s="140" t="e">
        <f>(X75+X78)-X79</f>
        <v>#DIV/0!</v>
      </c>
      <c r="Y81" s="67"/>
      <c r="Z81" s="67"/>
      <c r="AA81" s="139">
        <f>(AA75+AA78)-AA79</f>
        <v>0</v>
      </c>
      <c r="AB81" s="139">
        <f>(AB75+AB78)-AB79</f>
        <v>0</v>
      </c>
      <c r="AC81" s="140">
        <f>(AC75+AC78)-AC79</f>
        <v>0</v>
      </c>
      <c r="AD81" s="67"/>
      <c r="AE81" s="67"/>
      <c r="AF81" s="139">
        <f>(AF75+AF78)-AF79</f>
        <v>0</v>
      </c>
      <c r="AG81" s="139">
        <f>(AG75+AG78)-AG79</f>
        <v>0</v>
      </c>
      <c r="AH81" s="140" t="e">
        <f>(AH75+AH78)-AH79</f>
        <v>#DIV/0!</v>
      </c>
      <c r="AI81" s="67"/>
      <c r="AJ81" s="67"/>
      <c r="AK81" s="139">
        <f>(AK75+AK78)-AK79</f>
        <v>0</v>
      </c>
      <c r="AL81" s="139">
        <f>(AL75+AL78)-AL79</f>
        <v>0</v>
      </c>
      <c r="AM81" s="140">
        <f>(AM75+AM78)-AM79</f>
        <v>0</v>
      </c>
      <c r="AN81" s="67"/>
      <c r="AO81" s="67"/>
      <c r="AP81" s="139">
        <f>(AP75+AP78)-AP79</f>
        <v>0</v>
      </c>
      <c r="AQ81" s="139">
        <f>(AQ75+AQ78)-AQ79</f>
        <v>0</v>
      </c>
      <c r="AR81" s="140">
        <f>(AR75+AR78)-AR79</f>
        <v>0</v>
      </c>
      <c r="AS81" s="67"/>
      <c r="AT81" s="67"/>
      <c r="AU81" s="139">
        <f>(AU75+AU78)-AU79</f>
        <v>6.9999999999708962E-2</v>
      </c>
      <c r="AV81" s="139">
        <f>(AV75+AV78)-AV79</f>
        <v>0</v>
      </c>
      <c r="AW81" s="140">
        <f>(AW75+AW78)-AW79</f>
        <v>6.9999999999708962E-2</v>
      </c>
      <c r="AX81" s="67"/>
      <c r="AY81" s="67"/>
      <c r="AZ81" s="139">
        <f>(AZ75+AZ78)-AZ79</f>
        <v>0</v>
      </c>
      <c r="BA81" s="139">
        <f>(BA75+BA78)-BA79</f>
        <v>0</v>
      </c>
      <c r="BB81" s="140">
        <f>(BB75+BB78)-BB79</f>
        <v>0</v>
      </c>
      <c r="BC81" s="67"/>
      <c r="BD81" s="67"/>
      <c r="BE81" s="139">
        <f>(BE75+BE78)-BE79</f>
        <v>9511696.0900000017</v>
      </c>
      <c r="BF81" s="139">
        <f>(BF75+BF78)-BF79</f>
        <v>-4958859.3811804168</v>
      </c>
      <c r="BG81" s="140">
        <f>(BG75+BG78)-BG79</f>
        <v>4532974.3864057958</v>
      </c>
      <c r="BH81" s="67"/>
      <c r="BI81" s="67"/>
      <c r="BJ81" s="842"/>
      <c r="BK81" s="842"/>
      <c r="BM81" s="842"/>
      <c r="BN81" s="842"/>
    </row>
    <row r="82" spans="1:66" s="2" customFormat="1" ht="13.8" outlineLevel="2" x14ac:dyDescent="0.25">
      <c r="A82" s="293"/>
      <c r="B82" s="6" t="s">
        <v>38</v>
      </c>
      <c r="C82" s="141"/>
      <c r="D82" s="142"/>
      <c r="E82" s="146">
        <f>C82+D82</f>
        <v>0</v>
      </c>
      <c r="F82" s="180">
        <f>E82/$E$89</f>
        <v>0</v>
      </c>
      <c r="G82" s="39">
        <v>0</v>
      </c>
      <c r="H82" s="39">
        <v>0</v>
      </c>
      <c r="I82" s="146">
        <v>0</v>
      </c>
      <c r="J82" s="101"/>
      <c r="K82" s="958"/>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c r="AV82" s="39"/>
      <c r="AW82" s="146">
        <f>AU82+AV82</f>
        <v>0</v>
      </c>
      <c r="AX82" s="101"/>
      <c r="AY82" s="101"/>
      <c r="AZ82" s="39"/>
      <c r="BA82" s="39"/>
      <c r="BB82" s="146">
        <f>AZ82+BA82</f>
        <v>0</v>
      </c>
      <c r="BC82" s="101"/>
      <c r="BD82" s="101"/>
      <c r="BE82" s="39">
        <f>L82+Q82</f>
        <v>0</v>
      </c>
      <c r="BF82" s="39">
        <f>M82+R82</f>
        <v>0</v>
      </c>
      <c r="BG82" s="106">
        <f>BE82+BF82</f>
        <v>0</v>
      </c>
      <c r="BH82" s="101"/>
      <c r="BI82" s="101"/>
      <c r="BJ82" s="842"/>
      <c r="BK82" s="842"/>
      <c r="BM82" s="842"/>
      <c r="BN82" s="842"/>
    </row>
    <row r="83" spans="1:66" s="2" customFormat="1" ht="13.8" outlineLevel="1" x14ac:dyDescent="0.25">
      <c r="A83" s="11"/>
      <c r="B83" s="28" t="s">
        <v>13</v>
      </c>
      <c r="C83" s="147">
        <f>(C81+C7)-C36</f>
        <v>3049357</v>
      </c>
      <c r="D83" s="147">
        <f>(D81+D7)-D36</f>
        <v>-1654381</v>
      </c>
      <c r="E83" s="147">
        <f>(E81+E7)-E36</f>
        <v>1394976</v>
      </c>
      <c r="F83" s="174"/>
      <c r="G83" s="147">
        <v>9284626.4380000029</v>
      </c>
      <c r="H83" s="147">
        <v>-4245291.5200000005</v>
      </c>
      <c r="I83" s="148">
        <v>4435882.2368195886</v>
      </c>
      <c r="J83" s="70"/>
      <c r="K83" s="965"/>
      <c r="L83" s="147">
        <f>(L81+L7)-L36</f>
        <v>-7642.11</v>
      </c>
      <c r="M83" s="147">
        <f>(M81+M7)-M36</f>
        <v>-19333.75</v>
      </c>
      <c r="N83" s="148">
        <f>(N81+N7)-N36</f>
        <v>-29864.811149425288</v>
      </c>
      <c r="O83" s="70"/>
      <c r="P83" s="70"/>
      <c r="Q83" s="147">
        <f>(Q81+Q7)-Q36</f>
        <v>288903.43200000003</v>
      </c>
      <c r="R83" s="147">
        <f>(R81+R7)-R36</f>
        <v>-90781.43</v>
      </c>
      <c r="S83" s="148">
        <f>(S81+S7)-S36</f>
        <v>184556.96073563222</v>
      </c>
      <c r="T83" s="70"/>
      <c r="U83" s="70"/>
      <c r="V83" s="147">
        <f>(V81+V7)-V36</f>
        <v>0</v>
      </c>
      <c r="W83" s="147">
        <f>(W81+W7)-W36</f>
        <v>0</v>
      </c>
      <c r="X83" s="148" t="e">
        <f>(X81+X7)-X36</f>
        <v>#DIV/0!</v>
      </c>
      <c r="Y83" s="70"/>
      <c r="Z83" s="70"/>
      <c r="AA83" s="147">
        <f>(AA81+AA7)-AA36</f>
        <v>0</v>
      </c>
      <c r="AB83" s="147">
        <f>(AB81+AB7)-AB36</f>
        <v>0</v>
      </c>
      <c r="AC83" s="148">
        <f>(AC81+AC7)-AC36</f>
        <v>0</v>
      </c>
      <c r="AD83" s="70"/>
      <c r="AE83" s="70"/>
      <c r="AF83" s="147">
        <f>(AF81+AF7)-AF36</f>
        <v>0</v>
      </c>
      <c r="AG83" s="147">
        <f>(AG81+AG7)-AG36</f>
        <v>0</v>
      </c>
      <c r="AH83" s="148" t="e">
        <f>(AH81+AH7)-AH36</f>
        <v>#DIV/0!</v>
      </c>
      <c r="AI83" s="70"/>
      <c r="AJ83" s="70"/>
      <c r="AK83" s="147">
        <f>(AK81+AK7)-AK36</f>
        <v>0</v>
      </c>
      <c r="AL83" s="147">
        <f>(AL81+AL7)-AL36</f>
        <v>0</v>
      </c>
      <c r="AM83" s="148">
        <f>(AM81+AM7)-AM36</f>
        <v>0</v>
      </c>
      <c r="AN83" s="70"/>
      <c r="AO83" s="70"/>
      <c r="AP83" s="147">
        <f>(AP81+AP7)-AP36</f>
        <v>0</v>
      </c>
      <c r="AQ83" s="147">
        <f>(AQ81+AQ7)-AQ36</f>
        <v>0</v>
      </c>
      <c r="AR83" s="148">
        <f>(AR81+AR7)-AR36</f>
        <v>0</v>
      </c>
      <c r="AS83" s="70"/>
      <c r="AT83" s="70"/>
      <c r="AU83" s="147">
        <f>(AU81+AU7)-AU36</f>
        <v>6.9999999999708962E-2</v>
      </c>
      <c r="AV83" s="147">
        <f>(AV81+AV7)-AV36</f>
        <v>0</v>
      </c>
      <c r="AW83" s="148">
        <f>(AW81+AW7)-AW36</f>
        <v>6.9999999999708962E-2</v>
      </c>
      <c r="AX83" s="70"/>
      <c r="AY83" s="70"/>
      <c r="AZ83" s="147">
        <f>(AZ81+AZ7)-AZ36</f>
        <v>0</v>
      </c>
      <c r="BA83" s="147">
        <f>(BA81+BA7)-BA36</f>
        <v>0</v>
      </c>
      <c r="BB83" s="148">
        <f>(BB81+BB7)-BB36</f>
        <v>0</v>
      </c>
      <c r="BC83" s="70"/>
      <c r="BD83" s="70"/>
      <c r="BE83" s="147">
        <f>(BE81+BE7)-BE36</f>
        <v>9569296.0900000017</v>
      </c>
      <c r="BF83" s="147">
        <f>(BF81+BF7)-BF36</f>
        <v>-4958859.3811804168</v>
      </c>
      <c r="BG83" s="148">
        <f>(BG81+BG7)-BG36</f>
        <v>4590574.3864057958</v>
      </c>
      <c r="BH83" s="70"/>
      <c r="BI83" s="70"/>
      <c r="BJ83" s="842"/>
      <c r="BK83" s="842"/>
      <c r="BM83" s="842"/>
      <c r="BN83" s="842"/>
    </row>
    <row r="84" spans="1:66" s="2" customFormat="1" ht="14.4" outlineLevel="1" thickBot="1" x14ac:dyDescent="0.3">
      <c r="A84" s="11"/>
      <c r="B84" s="211" t="s">
        <v>14</v>
      </c>
      <c r="C84" s="212">
        <f>C83-C73-C82</f>
        <v>2885065</v>
      </c>
      <c r="D84" s="212">
        <f>D83-D73-D82</f>
        <v>-1654381</v>
      </c>
      <c r="E84" s="212">
        <f>E83-E73-E82</f>
        <v>1230684</v>
      </c>
      <c r="F84" s="214"/>
      <c r="G84" s="213">
        <v>-450155.98199999996</v>
      </c>
      <c r="H84" s="213">
        <v>-74849.600000000006</v>
      </c>
      <c r="I84" s="213">
        <v>4435882.2368195886</v>
      </c>
      <c r="J84" s="82"/>
      <c r="K84" s="561"/>
      <c r="L84" s="213">
        <f>L83-L73-L82</f>
        <v>-7642.11</v>
      </c>
      <c r="M84" s="213">
        <f>M83-M73-M82</f>
        <v>-19333.75</v>
      </c>
      <c r="N84" s="213">
        <f>N83-N73-N82</f>
        <v>-29864.811149425288</v>
      </c>
      <c r="O84" s="82"/>
      <c r="P84" s="82"/>
      <c r="Q84" s="213">
        <f>Q83-Q73-Q82</f>
        <v>288903.43200000003</v>
      </c>
      <c r="R84" s="213">
        <f>R83-R73-R82</f>
        <v>-90781.43</v>
      </c>
      <c r="S84" s="213">
        <f>S83-S73-S82</f>
        <v>184556.96073563222</v>
      </c>
      <c r="T84" s="82"/>
      <c r="U84" s="82"/>
      <c r="V84" s="213">
        <f>V83-V73-V82</f>
        <v>0</v>
      </c>
      <c r="W84" s="213">
        <f>W83-W73-W82</f>
        <v>0</v>
      </c>
      <c r="X84" s="213" t="e">
        <f>X83-X73-X82</f>
        <v>#DIV/0!</v>
      </c>
      <c r="Y84" s="82"/>
      <c r="Z84" s="82"/>
      <c r="AA84" s="213">
        <f>AA83-AA73-AA82</f>
        <v>0</v>
      </c>
      <c r="AB84" s="213">
        <f>AB83-AB73-AB82</f>
        <v>0</v>
      </c>
      <c r="AC84" s="213">
        <f>AC83-AC73-AC82</f>
        <v>0</v>
      </c>
      <c r="AD84" s="82"/>
      <c r="AE84" s="82"/>
      <c r="AF84" s="213">
        <f>AF83-AF73-AF82</f>
        <v>0</v>
      </c>
      <c r="AG84" s="213">
        <f>AG83-AG73-AG82</f>
        <v>0</v>
      </c>
      <c r="AH84" s="213" t="e">
        <f>AH83-AH73-AH82</f>
        <v>#DIV/0!</v>
      </c>
      <c r="AI84" s="82"/>
      <c r="AJ84" s="82"/>
      <c r="AK84" s="213">
        <f>AK83-AK73-AK82</f>
        <v>0</v>
      </c>
      <c r="AL84" s="213">
        <f>AL83-AL73-AL82</f>
        <v>0</v>
      </c>
      <c r="AM84" s="213">
        <f>AM83-AM73-AM82</f>
        <v>0</v>
      </c>
      <c r="AN84" s="82"/>
      <c r="AO84" s="82"/>
      <c r="AP84" s="213">
        <f>AP83-AP73-AP82</f>
        <v>0</v>
      </c>
      <c r="AQ84" s="213">
        <f>AQ83-AQ73-AQ82</f>
        <v>0</v>
      </c>
      <c r="AR84" s="213">
        <f>AR83-AR73-AR82</f>
        <v>0</v>
      </c>
      <c r="AS84" s="82"/>
      <c r="AT84" s="82"/>
      <c r="AU84" s="213">
        <f>AU83-AU73-AU82</f>
        <v>6.9999999999708962E-2</v>
      </c>
      <c r="AV84" s="213">
        <f>AV83-AV73-AV82</f>
        <v>0</v>
      </c>
      <c r="AW84" s="213">
        <f>AW83-AW73-AW82</f>
        <v>6.9999999999708962E-2</v>
      </c>
      <c r="AX84" s="82"/>
      <c r="AY84" s="82"/>
      <c r="AZ84" s="213">
        <f>AZ83-AZ73-AZ82</f>
        <v>0</v>
      </c>
      <c r="BA84" s="213">
        <f>BA83-BA73-BA82</f>
        <v>0</v>
      </c>
      <c r="BB84" s="213">
        <f>BB83-BB73-BB82</f>
        <v>0</v>
      </c>
      <c r="BC84" s="82"/>
      <c r="BD84" s="82"/>
      <c r="BE84" s="39">
        <f>L84+Q84</f>
        <v>281261.32200000004</v>
      </c>
      <c r="BF84" s="39">
        <f>M84+R84</f>
        <v>-110115.18</v>
      </c>
      <c r="BG84" s="106">
        <f>BG83-BG73-BG82</f>
        <v>4590574.3864057958</v>
      </c>
      <c r="BH84" s="82"/>
      <c r="BI84" s="82"/>
      <c r="BJ84" s="842"/>
      <c r="BK84" s="842"/>
      <c r="BM84" s="842"/>
      <c r="BN84" s="842"/>
    </row>
    <row r="85" spans="1:66" s="2" customFormat="1" ht="13.8" outlineLevel="3" x14ac:dyDescent="0.25">
      <c r="A85" s="293"/>
      <c r="B85" s="216" t="s">
        <v>44</v>
      </c>
      <c r="C85" s="141"/>
      <c r="D85" s="142"/>
      <c r="E85" s="146">
        <f>C85+D85</f>
        <v>0</v>
      </c>
      <c r="F85" s="217">
        <f>E85/$E$89</f>
        <v>0</v>
      </c>
      <c r="G85" s="39">
        <v>0</v>
      </c>
      <c r="H85" s="39">
        <v>159377</v>
      </c>
      <c r="I85" s="219">
        <v>179808.65489644132</v>
      </c>
      <c r="J85" s="102"/>
      <c r="K85" s="958"/>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c r="AV85" s="39"/>
      <c r="AW85" s="219">
        <f>AV85*'расчет 2022'!E18+AV85</f>
        <v>0</v>
      </c>
      <c r="AX85" s="102"/>
      <c r="AY85" s="102"/>
      <c r="AZ85" s="39"/>
      <c r="BA85" s="39"/>
      <c r="BB85" s="219">
        <f>BA85*'расчет 2022'!J18+BA85</f>
        <v>0</v>
      </c>
      <c r="BC85" s="102"/>
      <c r="BD85" s="102"/>
      <c r="BE85" s="39">
        <f>L85+Q85+V85+AA85+AF85+AK85+AP85+AU85</f>
        <v>0</v>
      </c>
      <c r="BF85" s="39">
        <f>H85+M85</f>
        <v>159377</v>
      </c>
      <c r="BG85" s="106">
        <v>179808.65489644132</v>
      </c>
      <c r="BH85" s="102"/>
      <c r="BI85" s="102"/>
      <c r="BJ85" s="842"/>
      <c r="BK85" s="842"/>
      <c r="BM85" s="842"/>
      <c r="BN85" s="842"/>
    </row>
    <row r="86" spans="1:66" s="2" customFormat="1" ht="27.6" x14ac:dyDescent="0.25">
      <c r="A86" s="11"/>
      <c r="B86" s="37" t="s">
        <v>50</v>
      </c>
      <c r="C86" s="149">
        <f>C84-C85</f>
        <v>2885065</v>
      </c>
      <c r="D86" s="149">
        <f>D84-D85</f>
        <v>-1654381</v>
      </c>
      <c r="E86" s="150">
        <f>E84-E85</f>
        <v>1230684</v>
      </c>
      <c r="F86" s="175"/>
      <c r="G86" s="150">
        <v>-450155.98199999996</v>
      </c>
      <c r="H86" s="150">
        <v>-234226.6</v>
      </c>
      <c r="I86" s="150">
        <v>4256073.5819231477</v>
      </c>
      <c r="J86" s="73"/>
      <c r="K86" s="570"/>
      <c r="L86" s="150">
        <f>L84-L85</f>
        <v>-7642.11</v>
      </c>
      <c r="M86" s="150">
        <f>M84-M85</f>
        <v>-19333.75</v>
      </c>
      <c r="N86" s="150">
        <f>N84-N85</f>
        <v>-29864.811149425288</v>
      </c>
      <c r="O86" s="73"/>
      <c r="P86" s="73"/>
      <c r="Q86" s="150">
        <f>Q84-Q85</f>
        <v>288903.43200000003</v>
      </c>
      <c r="R86" s="150">
        <f>R84-R85</f>
        <v>-90781.43</v>
      </c>
      <c r="S86" s="150">
        <f>S84-S85</f>
        <v>184556.96073563222</v>
      </c>
      <c r="T86" s="73"/>
      <c r="U86" s="73"/>
      <c r="V86" s="150">
        <f>V84-V85</f>
        <v>0</v>
      </c>
      <c r="W86" s="150">
        <f>W84-W85</f>
        <v>0</v>
      </c>
      <c r="X86" s="150" t="e">
        <f>X84-X85</f>
        <v>#DIV/0!</v>
      </c>
      <c r="Y86" s="73"/>
      <c r="Z86" s="73"/>
      <c r="AA86" s="150">
        <f>AA84-AA85</f>
        <v>0</v>
      </c>
      <c r="AB86" s="150">
        <f>AB84-AB85</f>
        <v>0</v>
      </c>
      <c r="AC86" s="150">
        <f>AC84-AC85</f>
        <v>0</v>
      </c>
      <c r="AD86" s="73"/>
      <c r="AE86" s="73"/>
      <c r="AF86" s="150">
        <f>AF84-AF85</f>
        <v>0</v>
      </c>
      <c r="AG86" s="150">
        <f>AG84-AG85</f>
        <v>0</v>
      </c>
      <c r="AH86" s="150" t="e">
        <f>AH84-AH85</f>
        <v>#DIV/0!</v>
      </c>
      <c r="AI86" s="73"/>
      <c r="AJ86" s="73"/>
      <c r="AK86" s="150">
        <f>AK84-AK85</f>
        <v>0</v>
      </c>
      <c r="AL86" s="150">
        <f>AL84-AL85</f>
        <v>0</v>
      </c>
      <c r="AM86" s="150">
        <f>AM84-AM85</f>
        <v>0</v>
      </c>
      <c r="AN86" s="73"/>
      <c r="AO86" s="73"/>
      <c r="AP86" s="150">
        <f>AP84-AP85</f>
        <v>0</v>
      </c>
      <c r="AQ86" s="150">
        <f>AQ84-AQ85</f>
        <v>0</v>
      </c>
      <c r="AR86" s="150">
        <f>AR84-AR85</f>
        <v>0</v>
      </c>
      <c r="AS86" s="73"/>
      <c r="AT86" s="73"/>
      <c r="AU86" s="150">
        <f>AU84-AU85</f>
        <v>6.9999999999708962E-2</v>
      </c>
      <c r="AV86" s="150">
        <f>AV84-AV85</f>
        <v>0</v>
      </c>
      <c r="AW86" s="150">
        <f>AW84-AW85</f>
        <v>6.9999999999708962E-2</v>
      </c>
      <c r="AX86" s="73"/>
      <c r="AY86" s="73"/>
      <c r="AZ86" s="150">
        <f>AZ84-AZ85</f>
        <v>0</v>
      </c>
      <c r="BA86" s="150">
        <f>BA84-BA85</f>
        <v>0</v>
      </c>
      <c r="BB86" s="150">
        <f>BB84-BB85</f>
        <v>0</v>
      </c>
      <c r="BC86" s="73"/>
      <c r="BD86" s="73"/>
      <c r="BE86" s="150">
        <f>BE84-BE85</f>
        <v>281261.32200000004</v>
      </c>
      <c r="BF86" s="150">
        <f>BF84-BF85</f>
        <v>-269492.18</v>
      </c>
      <c r="BG86" s="150">
        <f>BG84-BG85</f>
        <v>4410765.7315093549</v>
      </c>
      <c r="BH86" s="73"/>
      <c r="BI86" s="73"/>
      <c r="BJ86" s="842"/>
      <c r="BK86" s="842"/>
      <c r="BM86" s="842"/>
      <c r="BN86" s="842"/>
    </row>
    <row r="87" spans="1:66" s="2" customFormat="1" ht="14.4" thickBot="1" x14ac:dyDescent="0.3">
      <c r="A87" s="295"/>
      <c r="B87" s="29" t="s">
        <v>51</v>
      </c>
      <c r="C87" s="155">
        <f>C86/C5</f>
        <v>0.52681866579650727</v>
      </c>
      <c r="D87" s="151" t="e">
        <f>D86/D5</f>
        <v>#DIV/0!</v>
      </c>
      <c r="E87" s="156">
        <f>E86/E5</f>
        <v>0.22472537114314883</v>
      </c>
      <c r="F87" s="176"/>
      <c r="G87" s="155">
        <v>-2.9094072811078633E-2</v>
      </c>
      <c r="H87" s="151" t="e">
        <v>#DIV/0!</v>
      </c>
      <c r="I87" s="156">
        <v>0.27507468440523869</v>
      </c>
      <c r="J87" s="75"/>
      <c r="K87" s="966"/>
      <c r="L87" s="155" t="e">
        <f>L86/L5</f>
        <v>#DIV/0!</v>
      </c>
      <c r="M87" s="151" t="e">
        <f>M86/M5</f>
        <v>#DIV/0!</v>
      </c>
      <c r="N87" s="156" t="e">
        <f>N86/N5</f>
        <v>#DIV/0!</v>
      </c>
      <c r="O87" s="75"/>
      <c r="P87" s="75"/>
      <c r="Q87" s="155">
        <f>Q86/Q5</f>
        <v>0.9400380383874567</v>
      </c>
      <c r="R87" s="151" t="e">
        <f>R86/R5</f>
        <v>#DIV/0!</v>
      </c>
      <c r="S87" s="156">
        <f>S86/S5</f>
        <v>0.60051402691773681</v>
      </c>
      <c r="T87" s="75"/>
      <c r="U87" s="75"/>
      <c r="V87" s="155" t="e">
        <f>V86/V5</f>
        <v>#DIV/0!</v>
      </c>
      <c r="W87" s="151" t="e">
        <f>W86/W5</f>
        <v>#DIV/0!</v>
      </c>
      <c r="X87" s="156" t="e">
        <f>X86/X5</f>
        <v>#DIV/0!</v>
      </c>
      <c r="Y87" s="75"/>
      <c r="Z87" s="75"/>
      <c r="AA87" s="155" t="e">
        <f>AA86/AA5</f>
        <v>#DIV/0!</v>
      </c>
      <c r="AB87" s="151" t="e">
        <f>AB86/AB5</f>
        <v>#DIV/0!</v>
      </c>
      <c r="AC87" s="156" t="e">
        <f>AC86/AC5</f>
        <v>#DIV/0!</v>
      </c>
      <c r="AD87" s="75"/>
      <c r="AE87" s="75"/>
      <c r="AF87" s="155" t="e">
        <f>AF86/AF5</f>
        <v>#DIV/0!</v>
      </c>
      <c r="AG87" s="151" t="e">
        <f>AG86/AG5</f>
        <v>#DIV/0!</v>
      </c>
      <c r="AH87" s="156" t="e">
        <f>AH86/AH5</f>
        <v>#DIV/0!</v>
      </c>
      <c r="AI87" s="75"/>
      <c r="AJ87" s="75"/>
      <c r="AK87" s="155" t="e">
        <f>AK86/AK5</f>
        <v>#DIV/0!</v>
      </c>
      <c r="AL87" s="151" t="e">
        <f>AL86/AL5</f>
        <v>#DIV/0!</v>
      </c>
      <c r="AM87" s="156" t="e">
        <f>AM86/AM5</f>
        <v>#DIV/0!</v>
      </c>
      <c r="AN87" s="75"/>
      <c r="AO87" s="75"/>
      <c r="AP87" s="155" t="e">
        <f>AP86/AP5</f>
        <v>#DIV/0!</v>
      </c>
      <c r="AQ87" s="151" t="e">
        <f>AQ86/AQ5</f>
        <v>#DIV/0!</v>
      </c>
      <c r="AR87" s="156" t="e">
        <f>AR86/AR5</f>
        <v>#DIV/0!</v>
      </c>
      <c r="AS87" s="75"/>
      <c r="AT87" s="75"/>
      <c r="AU87" s="155" t="e">
        <f>AU86/AU5</f>
        <v>#DIV/0!</v>
      </c>
      <c r="AV87" s="151" t="e">
        <f>AV86/AV5</f>
        <v>#DIV/0!</v>
      </c>
      <c r="AW87" s="156" t="e">
        <f>AW86/AW5</f>
        <v>#DIV/0!</v>
      </c>
      <c r="AX87" s="75"/>
      <c r="AY87" s="75"/>
      <c r="AZ87" s="155" t="e">
        <f>AZ86/AZ5</f>
        <v>#DIV/0!</v>
      </c>
      <c r="BA87" s="151" t="e">
        <f>BA86/BA5</f>
        <v>#DIV/0!</v>
      </c>
      <c r="BB87" s="156" t="e">
        <f>BB86/BB5</f>
        <v>#DIV/0!</v>
      </c>
      <c r="BC87" s="75"/>
      <c r="BD87" s="75"/>
      <c r="BE87" s="155">
        <f>BE86/BE5</f>
        <v>1.7824181536946423E-2</v>
      </c>
      <c r="BF87" s="151" t="e">
        <f>BF86/BF5</f>
        <v>#DIV/0!</v>
      </c>
      <c r="BG87" s="156">
        <f>BG86/BG5</f>
        <v>0.2795204422574854</v>
      </c>
      <c r="BH87" s="75"/>
      <c r="BI87" s="75"/>
      <c r="BJ87" s="842"/>
      <c r="BK87" s="842"/>
    </row>
    <row r="88" spans="1:66" ht="13.8" x14ac:dyDescent="0.25">
      <c r="A88" s="30"/>
      <c r="B88" s="30"/>
      <c r="C88" s="152"/>
      <c r="D88" s="152"/>
      <c r="E88" s="152"/>
      <c r="F88" s="188"/>
      <c r="G88" s="76"/>
      <c r="H88" s="76"/>
      <c r="I88" s="76"/>
      <c r="J88" s="76"/>
      <c r="K88" s="18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928"/>
      <c r="BK88" s="928"/>
    </row>
    <row r="89" spans="1:66" x14ac:dyDescent="0.25">
      <c r="B89" s="221" t="s">
        <v>56</v>
      </c>
      <c r="C89" s="153"/>
      <c r="D89" s="153"/>
      <c r="E89" s="154">
        <f>E8+E36+E41+E50+E54+E73+E79+E82+E85</f>
        <v>4245707</v>
      </c>
      <c r="F89" s="154"/>
      <c r="G89" s="154"/>
      <c r="H89" s="154"/>
      <c r="I89" s="154">
        <v>11273955.628076857</v>
      </c>
      <c r="J89" s="154"/>
      <c r="K89" s="154"/>
      <c r="L89" s="154"/>
      <c r="M89" s="154"/>
      <c r="N89" s="154">
        <f>N8+N36+N41+N50+N54+N73+N79+N82+N85</f>
        <v>29864.811149425288</v>
      </c>
      <c r="O89" s="154"/>
      <c r="P89" s="154"/>
      <c r="Q89" s="154"/>
      <c r="R89" s="154"/>
      <c r="S89" s="154">
        <f>S8+S36+S41+S50+S54+S73+S79+S82+S85</f>
        <v>122774.67926436781</v>
      </c>
      <c r="X89" s="154" t="e">
        <f>X8+X36+X41+X50+X54+X73+X79+X82+X85</f>
        <v>#DIV/0!</v>
      </c>
      <c r="AC89" s="154">
        <f>AC8+AC36+AC41+AC50+AC54+AC73+AC79+AC82+AC85</f>
        <v>0</v>
      </c>
      <c r="AH89" s="154" t="e">
        <f>AH8+AH36+AH41+AH50+AH54+AH73+AH79+AH82+AH85</f>
        <v>#DIV/0!</v>
      </c>
      <c r="AM89" s="154">
        <f>AM8+AM36+AM41+AM50+AM54+AM73+AM79+AM82+AM85</f>
        <v>0</v>
      </c>
      <c r="AR89" s="154">
        <f>AR8+AR36+AR41+AR50+AR54+AR73+AR79+AR82+AR85</f>
        <v>0</v>
      </c>
      <c r="AW89" s="154">
        <f>AW8+AW36+AW41+AW50+AW54+AW73+AW79+AW82+AW85</f>
        <v>-6.9999999999708962E-2</v>
      </c>
      <c r="BB89" s="154">
        <f>BB8+BB36+BB41+BB50+BB54+BB73+BB79+BB82+BB85</f>
        <v>0</v>
      </c>
      <c r="BG89" s="154">
        <f>BG8+BG36+BG41+BG50+BG54+BG73+BG79+BG82+BG85</f>
        <v>11426595.118490651</v>
      </c>
      <c r="BJ89" s="928"/>
      <c r="BK89" s="928"/>
    </row>
    <row r="90" spans="1:66" x14ac:dyDescent="0.25">
      <c r="C90" s="153"/>
      <c r="D90" s="153"/>
      <c r="E90" s="153"/>
      <c r="BG90" s="395" t="b">
        <f>(N89+I89)=BG89</f>
        <v>0</v>
      </c>
      <c r="BJ90" s="928"/>
      <c r="BK90" s="928"/>
    </row>
    <row r="91" spans="1:66" s="2" customFormat="1" x14ac:dyDescent="0.25">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row>
    <row r="92" spans="1:66" x14ac:dyDescent="0.25">
      <c r="C92" s="38"/>
      <c r="D92" s="38"/>
    </row>
    <row r="93" spans="1:66" s="2" customFormat="1" x14ac:dyDescent="0.25">
      <c r="A93" s="8"/>
      <c r="B93" s="629"/>
      <c r="C93" s="38"/>
      <c r="D93" s="38"/>
      <c r="E93" s="38"/>
      <c r="F93" s="38"/>
      <c r="G93" s="38"/>
      <c r="H93" s="38"/>
      <c r="I93" s="38"/>
      <c r="J93" s="38"/>
      <c r="K93" s="38"/>
      <c r="L93" s="38"/>
      <c r="M93" s="38"/>
      <c r="N93" s="38"/>
      <c r="O93" s="38"/>
      <c r="P93" s="38"/>
      <c r="Q93" s="38"/>
      <c r="R93" s="629"/>
      <c r="S93" s="38"/>
      <c r="T93" s="38"/>
      <c r="U93" s="38"/>
      <c r="V93" s="82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row>
    <row r="94" spans="1:66" s="2" customFormat="1" x14ac:dyDescent="0.25">
      <c r="A94" s="8"/>
      <c r="B94" s="629"/>
      <c r="C94" s="38"/>
      <c r="D94" s="38"/>
      <c r="E94" s="38"/>
      <c r="F94" s="38"/>
      <c r="G94" s="38"/>
      <c r="H94" s="38"/>
      <c r="I94" s="38"/>
      <c r="J94" s="38"/>
      <c r="K94" s="38"/>
      <c r="L94" s="38"/>
      <c r="M94" s="38"/>
      <c r="N94" s="38"/>
      <c r="O94" s="38"/>
      <c r="P94" s="38"/>
      <c r="Q94" s="626"/>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626"/>
      <c r="BF94" s="38"/>
      <c r="BG94" s="38"/>
      <c r="BH94" s="38"/>
      <c r="BI94" s="38"/>
    </row>
    <row r="95" spans="1:66" s="2" customFormat="1" x14ac:dyDescent="0.25">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row>
    <row r="96" spans="1:66" s="2" customFormat="1" x14ac:dyDescent="0.25">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row>
    <row r="97" spans="1:61" x14ac:dyDescent="0.25">
      <c r="C97" s="38"/>
      <c r="D97" s="38"/>
    </row>
    <row r="98" spans="1:61"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row>
    <row r="99" spans="1:61" x14ac:dyDescent="0.25">
      <c r="C99" s="38"/>
      <c r="D99" s="38"/>
    </row>
  </sheetData>
  <mergeCells count="14">
    <mergeCell ref="A3:F3"/>
    <mergeCell ref="A42:A48"/>
    <mergeCell ref="L2:P3"/>
    <mergeCell ref="A2:F2"/>
    <mergeCell ref="AU2:AY3"/>
    <mergeCell ref="AZ2:BD3"/>
    <mergeCell ref="G2:K3"/>
    <mergeCell ref="BE2:BI3"/>
    <mergeCell ref="V2:Y3"/>
    <mergeCell ref="AA2:AE3"/>
    <mergeCell ref="AF2:AJ3"/>
    <mergeCell ref="AK2:AO3"/>
    <mergeCell ref="AP2:AT3"/>
    <mergeCell ref="Q2:U3"/>
  </mergeCells>
  <pageMargins left="0.39370078740157483" right="0.19685039370078741" top="0.19685039370078741" bottom="0.19685039370078741" header="0.11811023622047245" footer="0.11811023622047245"/>
  <pageSetup paperSize="9" scale="10" orientation="portrait" horizontalDpi="4294967295" verticalDpi="4294967295"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92D050"/>
  </sheetPr>
  <dimension ref="A1:AU98"/>
  <sheetViews>
    <sheetView zoomScale="80" zoomScaleNormal="80" workbookViewId="0">
      <pane xSplit="2" ySplit="5" topLeftCell="C6" activePane="bottomRight" state="frozen"/>
      <selection activeCell="B10" sqref="B10"/>
      <selection pane="topRight" activeCell="B10" sqref="B10"/>
      <selection pane="bottomLeft" activeCell="B10" sqref="B10"/>
      <selection pane="bottomRight" activeCell="AR16" sqref="AR16"/>
    </sheetView>
  </sheetViews>
  <sheetFormatPr defaultColWidth="7.44140625" defaultRowHeight="13.2" outlineLevelCol="1" x14ac:dyDescent="0.25"/>
  <cols>
    <col min="1" max="1" width="5.5546875" style="8" customWidth="1"/>
    <col min="2" max="2" width="47.44140625" style="8" customWidth="1"/>
    <col min="3" max="4" width="16.33203125" style="38" hidden="1" customWidth="1" outlineLevel="1"/>
    <col min="5" max="5" width="11.6640625" style="38" hidden="1" customWidth="1" outlineLevel="1"/>
    <col min="6" max="6" width="9" style="38" hidden="1" customWidth="1" outlineLevel="1"/>
    <col min="7" max="7" width="23.44140625" style="38" hidden="1" customWidth="1" outlineLevel="1"/>
    <col min="8" max="8" width="17.6640625" style="38" customWidth="1" collapsed="1"/>
    <col min="9" max="9" width="11.6640625" style="38" customWidth="1"/>
    <col min="10" max="10" width="18.6640625" style="38" customWidth="1"/>
    <col min="11" max="11" width="15.6640625" style="38" customWidth="1"/>
    <col min="12" max="12" width="29.6640625" style="38" customWidth="1"/>
    <col min="13" max="13" width="18.33203125" style="38" hidden="1" customWidth="1" outlineLevel="1"/>
    <col min="14" max="14" width="18.6640625" style="38" hidden="1" customWidth="1" outlineLevel="1"/>
    <col min="15" max="15" width="19.6640625" style="38" hidden="1" customWidth="1" outlineLevel="1"/>
    <col min="16" max="16" width="9.6640625" style="38" hidden="1" customWidth="1" outlineLevel="1"/>
    <col min="17" max="17" width="29.6640625" style="38" hidden="1" customWidth="1" outlineLevel="1"/>
    <col min="18" max="18" width="18.6640625" style="38" hidden="1" customWidth="1" outlineLevel="1"/>
    <col min="19" max="19" width="18.33203125" style="38" hidden="1" customWidth="1" outlineLevel="1"/>
    <col min="20" max="20" width="23.88671875" style="38" hidden="1" customWidth="1" outlineLevel="1"/>
    <col min="21" max="21" width="12.6640625" style="38" hidden="1" customWidth="1" outlineLevel="1"/>
    <col min="22" max="22" width="29.6640625" style="38" hidden="1" customWidth="1" outlineLevel="1"/>
    <col min="23" max="24" width="16.44140625" style="38" hidden="1" customWidth="1" outlineLevel="1"/>
    <col min="25" max="25" width="10.5546875" style="38" hidden="1" customWidth="1" outlineLevel="1"/>
    <col min="26" max="26" width="11.109375" style="38" hidden="1" customWidth="1" outlineLevel="1"/>
    <col min="27" max="36" width="16.44140625" style="38" hidden="1" customWidth="1" outlineLevel="1"/>
    <col min="37" max="42" width="19" style="38" hidden="1" customWidth="1" outlineLevel="1"/>
    <col min="43" max="43" width="16.33203125" style="38" customWidth="1" collapsed="1"/>
    <col min="44" max="45" width="16.33203125" style="38" customWidth="1"/>
    <col min="46" max="46" width="9" style="38" customWidth="1"/>
    <col min="47" max="47" width="16.33203125" style="38" customWidth="1"/>
    <col min="48" max="16384" width="7.44140625" style="1"/>
  </cols>
  <sheetData>
    <row r="1" spans="1:47" ht="13.8" thickBot="1" x14ac:dyDescent="0.3"/>
    <row r="2" spans="1:47" ht="14.4" customHeight="1" x14ac:dyDescent="0.25">
      <c r="A2" s="4016" t="s">
        <v>952</v>
      </c>
      <c r="B2" s="4017"/>
      <c r="C2" s="4083" t="s">
        <v>969</v>
      </c>
      <c r="D2" s="4084"/>
      <c r="E2" s="4084"/>
      <c r="F2" s="4084"/>
      <c r="G2" s="4085"/>
      <c r="H2" s="4197" t="s">
        <v>964</v>
      </c>
      <c r="I2" s="4198"/>
      <c r="J2" s="4198"/>
      <c r="K2" s="4198"/>
      <c r="L2" s="4199"/>
      <c r="M2" s="4077"/>
      <c r="N2" s="4078"/>
      <c r="O2" s="4078"/>
      <c r="P2" s="4078"/>
      <c r="Q2" s="4079"/>
      <c r="R2" s="4019"/>
      <c r="S2" s="4020"/>
      <c r="T2" s="4020"/>
      <c r="U2" s="4020"/>
      <c r="V2" s="948"/>
      <c r="W2" s="4019"/>
      <c r="X2" s="4020"/>
      <c r="Y2" s="4020"/>
      <c r="Z2" s="4020"/>
      <c r="AA2" s="4020"/>
      <c r="AB2" s="4053"/>
      <c r="AC2" s="4054"/>
      <c r="AD2" s="4054"/>
      <c r="AE2" s="4054"/>
      <c r="AF2" s="4055"/>
      <c r="AG2" s="4185"/>
      <c r="AH2" s="4186"/>
      <c r="AI2" s="4186"/>
      <c r="AJ2" s="4186"/>
      <c r="AK2" s="4187"/>
      <c r="AL2" s="4172"/>
      <c r="AM2" s="4173"/>
      <c r="AN2" s="4173"/>
      <c r="AO2" s="4173"/>
      <c r="AP2" s="4174"/>
      <c r="AQ2" s="4089" t="s">
        <v>469</v>
      </c>
      <c r="AR2" s="4090"/>
      <c r="AS2" s="4090"/>
      <c r="AT2" s="4090"/>
      <c r="AU2" s="4091"/>
    </row>
    <row r="3" spans="1:47" ht="15" customHeight="1" thickBot="1" x14ac:dyDescent="0.3">
      <c r="A3" s="4035" t="s">
        <v>54</v>
      </c>
      <c r="B3" s="4036"/>
      <c r="C3" s="4086"/>
      <c r="D3" s="4087"/>
      <c r="E3" s="4087"/>
      <c r="F3" s="4087"/>
      <c r="G3" s="4088"/>
      <c r="H3" s="4200"/>
      <c r="I3" s="4201"/>
      <c r="J3" s="4201"/>
      <c r="K3" s="4201"/>
      <c r="L3" s="4202"/>
      <c r="M3" s="4080"/>
      <c r="N3" s="4081"/>
      <c r="O3" s="4081"/>
      <c r="P3" s="4081"/>
      <c r="Q3" s="4082"/>
      <c r="R3" s="4021"/>
      <c r="S3" s="4022"/>
      <c r="T3" s="4022"/>
      <c r="U3" s="4022"/>
      <c r="V3" s="949"/>
      <c r="W3" s="4021"/>
      <c r="X3" s="4022"/>
      <c r="Y3" s="4022"/>
      <c r="Z3" s="4022"/>
      <c r="AA3" s="4022"/>
      <c r="AB3" s="4056"/>
      <c r="AC3" s="4057"/>
      <c r="AD3" s="4057"/>
      <c r="AE3" s="4057"/>
      <c r="AF3" s="4058"/>
      <c r="AG3" s="4188"/>
      <c r="AH3" s="4189"/>
      <c r="AI3" s="4189"/>
      <c r="AJ3" s="4189"/>
      <c r="AK3" s="4190"/>
      <c r="AL3" s="4175"/>
      <c r="AM3" s="4176"/>
      <c r="AN3" s="4176"/>
      <c r="AO3" s="4176"/>
      <c r="AP3" s="4177"/>
      <c r="AQ3" s="4092"/>
      <c r="AR3" s="4093"/>
      <c r="AS3" s="4093"/>
      <c r="AT3" s="4093"/>
      <c r="AU3" s="4094"/>
    </row>
    <row r="4" spans="1:47" ht="41.4" thickBot="1" x14ac:dyDescent="0.3">
      <c r="A4" s="92"/>
      <c r="B4" s="93" t="s">
        <v>11</v>
      </c>
      <c r="C4" s="94" t="s">
        <v>55</v>
      </c>
      <c r="D4" s="94" t="s">
        <v>18</v>
      </c>
      <c r="E4" s="95" t="s">
        <v>39</v>
      </c>
      <c r="F4" s="209" t="s">
        <v>40</v>
      </c>
      <c r="G4" s="95" t="s">
        <v>19</v>
      </c>
      <c r="H4" s="94" t="s">
        <v>55</v>
      </c>
      <c r="I4" s="94" t="s">
        <v>18</v>
      </c>
      <c r="J4" s="95" t="s">
        <v>39</v>
      </c>
      <c r="K4" s="209" t="s">
        <v>40</v>
      </c>
      <c r="L4" s="95" t="s">
        <v>19</v>
      </c>
      <c r="M4" s="94" t="s">
        <v>55</v>
      </c>
      <c r="N4" s="94" t="s">
        <v>18</v>
      </c>
      <c r="O4" s="95" t="s">
        <v>39</v>
      </c>
      <c r="P4" s="209" t="s">
        <v>40</v>
      </c>
      <c r="Q4" s="95" t="s">
        <v>19</v>
      </c>
      <c r="R4" s="94" t="s">
        <v>55</v>
      </c>
      <c r="S4" s="94" t="s">
        <v>18</v>
      </c>
      <c r="T4" s="95" t="s">
        <v>39</v>
      </c>
      <c r="U4" s="209" t="s">
        <v>40</v>
      </c>
      <c r="V4" s="95" t="s">
        <v>19</v>
      </c>
      <c r="W4" s="94" t="s">
        <v>55</v>
      </c>
      <c r="X4" s="94" t="s">
        <v>18</v>
      </c>
      <c r="Y4" s="95" t="s">
        <v>39</v>
      </c>
      <c r="Z4" s="209" t="s">
        <v>40</v>
      </c>
      <c r="AA4" s="632" t="s">
        <v>19</v>
      </c>
      <c r="AB4" s="632" t="s">
        <v>55</v>
      </c>
      <c r="AC4" s="632" t="s">
        <v>18</v>
      </c>
      <c r="AD4" s="653" t="s">
        <v>39</v>
      </c>
      <c r="AE4" s="654" t="s">
        <v>40</v>
      </c>
      <c r="AF4" s="653" t="s">
        <v>19</v>
      </c>
      <c r="AG4" s="632" t="s">
        <v>55</v>
      </c>
      <c r="AH4" s="632" t="s">
        <v>18</v>
      </c>
      <c r="AI4" s="653" t="s">
        <v>39</v>
      </c>
      <c r="AJ4" s="654" t="s">
        <v>40</v>
      </c>
      <c r="AK4" s="653" t="s">
        <v>19</v>
      </c>
      <c r="AL4" s="632" t="s">
        <v>55</v>
      </c>
      <c r="AM4" s="632" t="s">
        <v>18</v>
      </c>
      <c r="AN4" s="653" t="s">
        <v>39</v>
      </c>
      <c r="AO4" s="654" t="s">
        <v>40</v>
      </c>
      <c r="AP4" s="653" t="s">
        <v>19</v>
      </c>
      <c r="AQ4" s="94" t="s">
        <v>55</v>
      </c>
      <c r="AR4" s="94" t="s">
        <v>18</v>
      </c>
      <c r="AS4" s="95" t="s">
        <v>39</v>
      </c>
      <c r="AT4" s="209" t="s">
        <v>40</v>
      </c>
      <c r="AU4" s="95" t="s">
        <v>19</v>
      </c>
    </row>
    <row r="5" spans="1:47" s="88" customFormat="1" ht="14.4" thickBot="1" x14ac:dyDescent="0.3">
      <c r="A5" s="83"/>
      <c r="B5" s="84" t="s">
        <v>10</v>
      </c>
      <c r="C5" s="87">
        <f>C6</f>
        <v>0</v>
      </c>
      <c r="D5" s="87">
        <f>D6</f>
        <v>0</v>
      </c>
      <c r="E5" s="87">
        <f>E6</f>
        <v>0</v>
      </c>
      <c r="F5" s="87"/>
      <c r="G5" s="87"/>
      <c r="H5" s="87">
        <f>H6</f>
        <v>0</v>
      </c>
      <c r="I5" s="87">
        <f>I6</f>
        <v>0</v>
      </c>
      <c r="J5" s="87">
        <f>J6</f>
        <v>0</v>
      </c>
      <c r="K5" s="87"/>
      <c r="L5" s="87"/>
      <c r="M5" s="87">
        <f>M6</f>
        <v>0</v>
      </c>
      <c r="N5" s="87">
        <f>N6</f>
        <v>0</v>
      </c>
      <c r="O5" s="87">
        <f>O6</f>
        <v>0</v>
      </c>
      <c r="P5" s="87"/>
      <c r="Q5" s="87"/>
      <c r="R5" s="87">
        <f>R6</f>
        <v>0</v>
      </c>
      <c r="S5" s="87">
        <f>S6</f>
        <v>0</v>
      </c>
      <c r="T5" s="87">
        <f>T6</f>
        <v>0</v>
      </c>
      <c r="U5" s="87"/>
      <c r="V5" s="87"/>
      <c r="W5" s="87">
        <f>W6</f>
        <v>0</v>
      </c>
      <c r="X5" s="87">
        <f>X6</f>
        <v>0</v>
      </c>
      <c r="Y5" s="87">
        <f>Y6</f>
        <v>0</v>
      </c>
      <c r="Z5" s="87"/>
      <c r="AA5" s="633"/>
      <c r="AB5" s="655">
        <f>AB6</f>
        <v>0</v>
      </c>
      <c r="AC5" s="620">
        <f>AC6</f>
        <v>0</v>
      </c>
      <c r="AD5" s="620">
        <f>AD6</f>
        <v>0</v>
      </c>
      <c r="AE5" s="620"/>
      <c r="AF5" s="620"/>
      <c r="AG5" s="655">
        <f>AG6</f>
        <v>0</v>
      </c>
      <c r="AH5" s="620">
        <f>AH6</f>
        <v>0</v>
      </c>
      <c r="AI5" s="620">
        <f>AI6</f>
        <v>0</v>
      </c>
      <c r="AJ5" s="620"/>
      <c r="AK5" s="620"/>
      <c r="AL5" s="655">
        <f>AL6</f>
        <v>0</v>
      </c>
      <c r="AM5" s="620">
        <f>AM6</f>
        <v>0</v>
      </c>
      <c r="AN5" s="620">
        <f>AN6</f>
        <v>0</v>
      </c>
      <c r="AO5" s="620"/>
      <c r="AP5" s="620"/>
      <c r="AQ5" s="87">
        <f>AQ6</f>
        <v>0</v>
      </c>
      <c r="AR5" s="87">
        <f>AR6</f>
        <v>0</v>
      </c>
      <c r="AS5" s="87">
        <f>AS6</f>
        <v>0</v>
      </c>
      <c r="AT5" s="87"/>
      <c r="AU5" s="87"/>
    </row>
    <row r="6" spans="1:47" s="2" customFormat="1" ht="13.8" x14ac:dyDescent="0.25">
      <c r="A6" s="331">
        <f>'PL_Сватово очередь 2'!I6</f>
        <v>0</v>
      </c>
      <c r="B6" s="9" t="s">
        <v>17</v>
      </c>
      <c r="C6" s="39"/>
      <c r="D6" s="39"/>
      <c r="E6" s="106">
        <f>C6+D6</f>
        <v>0</v>
      </c>
      <c r="F6" s="39"/>
      <c r="G6" s="39"/>
      <c r="H6" s="39"/>
      <c r="I6" s="39"/>
      <c r="J6" s="106">
        <f>H6+I6</f>
        <v>0</v>
      </c>
      <c r="K6" s="39"/>
      <c r="L6" s="39"/>
      <c r="M6" s="39"/>
      <c r="N6" s="39"/>
      <c r="O6" s="106">
        <f>M6+N6</f>
        <v>0</v>
      </c>
      <c r="P6" s="39"/>
      <c r="Q6" s="39"/>
      <c r="R6" s="39"/>
      <c r="S6" s="39"/>
      <c r="T6" s="106">
        <f>R6+S6</f>
        <v>0</v>
      </c>
      <c r="U6" s="39"/>
      <c r="V6" s="39"/>
      <c r="W6" s="39"/>
      <c r="X6" s="39"/>
      <c r="Y6" s="106">
        <f>W6+X6</f>
        <v>0</v>
      </c>
      <c r="Z6" s="39"/>
      <c r="AA6" s="540"/>
      <c r="AB6" s="560"/>
      <c r="AC6" s="452"/>
      <c r="AD6" s="446">
        <f>AB6+AC6</f>
        <v>0</v>
      </c>
      <c r="AE6" s="452"/>
      <c r="AF6" s="452"/>
      <c r="AG6" s="560"/>
      <c r="AH6" s="452"/>
      <c r="AI6" s="446">
        <f>AG6+AH6</f>
        <v>0</v>
      </c>
      <c r="AJ6" s="452"/>
      <c r="AK6" s="452"/>
      <c r="AL6" s="560"/>
      <c r="AM6" s="452"/>
      <c r="AN6" s="446">
        <f>AL6+AM6</f>
        <v>0</v>
      </c>
      <c r="AO6" s="452"/>
      <c r="AP6" s="452"/>
      <c r="AQ6" s="39">
        <f>C6+H6</f>
        <v>0</v>
      </c>
      <c r="AR6" s="39">
        <f>D6+I6</f>
        <v>0</v>
      </c>
      <c r="AS6" s="106">
        <f>AQ6+AR6</f>
        <v>0</v>
      </c>
      <c r="AT6" s="39"/>
      <c r="AU6" s="39"/>
    </row>
    <row r="7" spans="1:47" s="2" customFormat="1" ht="14.4" thickBot="1" x14ac:dyDescent="0.3">
      <c r="A7" s="238"/>
      <c r="B7" s="10" t="s">
        <v>41</v>
      </c>
      <c r="C7" s="39"/>
      <c r="D7" s="39"/>
      <c r="E7" s="106">
        <f>C7+D7</f>
        <v>0</v>
      </c>
      <c r="F7" s="40"/>
      <c r="G7" s="40"/>
      <c r="H7" s="39"/>
      <c r="I7" s="39"/>
      <c r="J7" s="106">
        <f>H7+I7</f>
        <v>0</v>
      </c>
      <c r="K7" s="40"/>
      <c r="L7" s="40"/>
      <c r="M7" s="39"/>
      <c r="N7" s="39"/>
      <c r="O7" s="106">
        <f>M7+N7</f>
        <v>0</v>
      </c>
      <c r="P7" s="40"/>
      <c r="Q7" s="40"/>
      <c r="R7" s="39"/>
      <c r="S7" s="39"/>
      <c r="T7" s="106">
        <f>R7+S7</f>
        <v>0</v>
      </c>
      <c r="U7" s="40"/>
      <c r="V7" s="40"/>
      <c r="W7" s="39"/>
      <c r="X7" s="39"/>
      <c r="Y7" s="106">
        <f>W7+X7</f>
        <v>0</v>
      </c>
      <c r="Z7" s="40"/>
      <c r="AA7" s="729"/>
      <c r="AB7" s="560"/>
      <c r="AC7" s="452"/>
      <c r="AD7" s="446">
        <f>AB7+AC7</f>
        <v>0</v>
      </c>
      <c r="AE7" s="612"/>
      <c r="AF7" s="612"/>
      <c r="AG7" s="560"/>
      <c r="AH7" s="452"/>
      <c r="AI7" s="446">
        <f>AG7+AH7</f>
        <v>0</v>
      </c>
      <c r="AJ7" s="612"/>
      <c r="AK7" s="612"/>
      <c r="AL7" s="560"/>
      <c r="AM7" s="452"/>
      <c r="AN7" s="446">
        <f>AL7+AM7</f>
        <v>0</v>
      </c>
      <c r="AO7" s="612"/>
      <c r="AP7" s="612"/>
      <c r="AQ7" s="39">
        <f>C7+H7</f>
        <v>0</v>
      </c>
      <c r="AR7" s="39">
        <f>D7+I7</f>
        <v>0</v>
      </c>
      <c r="AS7" s="106">
        <f>AQ7+AR7</f>
        <v>0</v>
      </c>
      <c r="AT7" s="40"/>
      <c r="AU7" s="40"/>
    </row>
    <row r="8" spans="1:47" s="88" customFormat="1" ht="14.4" thickBot="1" x14ac:dyDescent="0.3">
      <c r="A8" s="238"/>
      <c r="B8" s="84" t="s">
        <v>16</v>
      </c>
      <c r="C8" s="109">
        <f>SUM(C9:C33)</f>
        <v>0</v>
      </c>
      <c r="D8" s="109">
        <f>SUM(D9:D33)</f>
        <v>0</v>
      </c>
      <c r="E8" s="110">
        <f>SUM(E9:E33)</f>
        <v>0</v>
      </c>
      <c r="F8" s="164">
        <f>E8/$E$89</f>
        <v>0</v>
      </c>
      <c r="G8" s="87"/>
      <c r="H8" s="109">
        <f>SUM(H9:H33)</f>
        <v>0</v>
      </c>
      <c r="I8" s="109">
        <f>SUM(I9:I33)</f>
        <v>0</v>
      </c>
      <c r="J8" s="110">
        <f>SUM(J9:J33)</f>
        <v>0</v>
      </c>
      <c r="K8" s="164" t="e">
        <f>J8/$J$89</f>
        <v>#DIV/0!</v>
      </c>
      <c r="L8" s="87"/>
      <c r="M8" s="109">
        <f>SUM(M9:M33)</f>
        <v>0</v>
      </c>
      <c r="N8" s="109">
        <f>SUM(N9:N33)</f>
        <v>0</v>
      </c>
      <c r="O8" s="110">
        <f>SUM(O9:O33)</f>
        <v>0</v>
      </c>
      <c r="P8" s="164" t="e">
        <f>O8/$O$89</f>
        <v>#DIV/0!</v>
      </c>
      <c r="Q8" s="87"/>
      <c r="R8" s="109">
        <f>SUM(R9:R33)</f>
        <v>0</v>
      </c>
      <c r="S8" s="109">
        <f>SUM(S9:S33)</f>
        <v>0</v>
      </c>
      <c r="T8" s="110">
        <f>SUM(T9:T33)</f>
        <v>0</v>
      </c>
      <c r="U8" s="164" t="e">
        <f>T8/$T$89</f>
        <v>#DIV/0!</v>
      </c>
      <c r="V8" s="87"/>
      <c r="W8" s="109">
        <f>SUM(W9:W33)</f>
        <v>0</v>
      </c>
      <c r="X8" s="109">
        <f>SUM(X9:X33)</f>
        <v>0</v>
      </c>
      <c r="Y8" s="110">
        <f>SUM(Y9:Y33)</f>
        <v>0</v>
      </c>
      <c r="Z8" s="164" t="e">
        <f>Y8/$Y$89</f>
        <v>#DIV/0!</v>
      </c>
      <c r="AA8" s="633"/>
      <c r="AB8" s="618">
        <f>SUM(AB9:AB33)</f>
        <v>0</v>
      </c>
      <c r="AC8" s="618">
        <f>SUM(AC9:AC33)</f>
        <v>0</v>
      </c>
      <c r="AD8" s="619">
        <f>SUM(AD9:AD33)</f>
        <v>0</v>
      </c>
      <c r="AE8" s="577" t="e">
        <f>AD8/$Y$89</f>
        <v>#DIV/0!</v>
      </c>
      <c r="AF8" s="620"/>
      <c r="AG8" s="618">
        <f>SUM(AG9:AG33)</f>
        <v>0</v>
      </c>
      <c r="AH8" s="618">
        <f>SUM(AH9:AH33)</f>
        <v>0</v>
      </c>
      <c r="AI8" s="619">
        <f>SUM(AI9:AI33)</f>
        <v>0</v>
      </c>
      <c r="AJ8" s="577" t="e">
        <f>AI8/$Y$89</f>
        <v>#DIV/0!</v>
      </c>
      <c r="AK8" s="620"/>
      <c r="AL8" s="618">
        <f>SUM(AL9:AL33)</f>
        <v>0</v>
      </c>
      <c r="AM8" s="618">
        <f>SUM(AM9:AM33)</f>
        <v>0</v>
      </c>
      <c r="AN8" s="619">
        <f>SUM(AN9:AN33)</f>
        <v>0</v>
      </c>
      <c r="AO8" s="577" t="e">
        <f>AN8/$Y$89</f>
        <v>#DIV/0!</v>
      </c>
      <c r="AP8" s="620"/>
      <c r="AQ8" s="109">
        <f>SUM(AQ9:AQ33)</f>
        <v>0</v>
      </c>
      <c r="AR8" s="109">
        <f>SUM(AR9:AR33)</f>
        <v>0</v>
      </c>
      <c r="AS8" s="110">
        <f>SUM(AS9:AS33)</f>
        <v>0</v>
      </c>
      <c r="AT8" s="164" t="e">
        <f t="shared" ref="AT8:AT33" si="0">AS8/$AS$89</f>
        <v>#DIV/0!</v>
      </c>
      <c r="AU8" s="87"/>
    </row>
    <row r="9" spans="1:47" s="2" customFormat="1" ht="13.8" x14ac:dyDescent="0.25">
      <c r="A9" s="238"/>
      <c r="B9" s="481" t="s">
        <v>74</v>
      </c>
      <c r="C9" s="488"/>
      <c r="D9" s="488"/>
      <c r="E9" s="489">
        <f>C9+D9*1</f>
        <v>0</v>
      </c>
      <c r="F9" s="485">
        <f t="shared" ref="F9:F72" si="1">E9/$E$89</f>
        <v>0</v>
      </c>
      <c r="G9" s="516"/>
      <c r="H9" s="488"/>
      <c r="I9" s="488"/>
      <c r="J9" s="489">
        <f>H9+I9*1</f>
        <v>0</v>
      </c>
      <c r="K9" s="485" t="e">
        <f>J9/$J$89</f>
        <v>#DIV/0!</v>
      </c>
      <c r="L9" s="517"/>
      <c r="M9" s="488"/>
      <c r="N9" s="488"/>
      <c r="O9" s="489">
        <f>M9+N9*1</f>
        <v>0</v>
      </c>
      <c r="P9" s="485" t="e">
        <f>O9/$O$89</f>
        <v>#DIV/0!</v>
      </c>
      <c r="Q9" s="879"/>
      <c r="R9" s="488"/>
      <c r="S9" s="488"/>
      <c r="T9" s="489">
        <f>R9+S9*1</f>
        <v>0</v>
      </c>
      <c r="U9" s="485" t="e">
        <f>T9/$T$89</f>
        <v>#DIV/0!</v>
      </c>
      <c r="V9" s="879"/>
      <c r="W9" s="488"/>
      <c r="X9" s="488"/>
      <c r="Y9" s="489">
        <f>W9+X9*1</f>
        <v>0</v>
      </c>
      <c r="Z9" s="485" t="e">
        <f>Y9/$Y$89</f>
        <v>#DIV/0!</v>
      </c>
      <c r="AA9" s="891"/>
      <c r="AB9" s="892"/>
      <c r="AC9" s="488"/>
      <c r="AD9" s="489">
        <f>AB9+AC9*1</f>
        <v>0</v>
      </c>
      <c r="AE9" s="485" t="e">
        <f>AD9/$AD$89</f>
        <v>#DIV/0!</v>
      </c>
      <c r="AF9" s="879"/>
      <c r="AG9" s="892"/>
      <c r="AH9" s="488"/>
      <c r="AI9" s="489">
        <f>AG9+AH9*1</f>
        <v>0</v>
      </c>
      <c r="AJ9" s="485" t="e">
        <f>AI9/$AD$89</f>
        <v>#DIV/0!</v>
      </c>
      <c r="AK9" s="879"/>
      <c r="AL9" s="892"/>
      <c r="AM9" s="488"/>
      <c r="AN9" s="489">
        <f>AL9+AM9*1</f>
        <v>0</v>
      </c>
      <c r="AO9" s="485" t="e">
        <f>AN9/$AD$89</f>
        <v>#DIV/0!</v>
      </c>
      <c r="AP9" s="879"/>
      <c r="AQ9" s="488">
        <f t="shared" ref="AQ9:AQ33" si="2">C9+H9</f>
        <v>0</v>
      </c>
      <c r="AR9" s="488">
        <f t="shared" ref="AR9:AR33" si="3">D9+I9</f>
        <v>0</v>
      </c>
      <c r="AS9" s="489">
        <f>AQ9+AR9*1</f>
        <v>0</v>
      </c>
      <c r="AT9" s="485" t="e">
        <f t="shared" si="0"/>
        <v>#DIV/0!</v>
      </c>
      <c r="AU9" s="490"/>
    </row>
    <row r="10" spans="1:47" s="2" customFormat="1" ht="13.8" x14ac:dyDescent="0.25">
      <c r="A10" s="238"/>
      <c r="B10" s="492" t="s">
        <v>72</v>
      </c>
      <c r="C10" s="452"/>
      <c r="D10" s="452"/>
      <c r="E10" s="453">
        <f t="shared" ref="E10:E33" si="4">C10+D10*1</f>
        <v>0</v>
      </c>
      <c r="F10" s="450">
        <f t="shared" si="1"/>
        <v>0</v>
      </c>
      <c r="G10" s="456"/>
      <c r="H10" s="452"/>
      <c r="I10" s="452"/>
      <c r="J10" s="453">
        <f t="shared" ref="J10:J33" si="5">H10+I10*1</f>
        <v>0</v>
      </c>
      <c r="K10" s="450" t="e">
        <f t="shared" ref="K10:K33" si="6">J10/$J$89</f>
        <v>#DIV/0!</v>
      </c>
      <c r="L10" s="465"/>
      <c r="M10" s="452"/>
      <c r="N10" s="452"/>
      <c r="O10" s="453">
        <f t="shared" ref="O10:O33" si="7">M10+N10*1</f>
        <v>0</v>
      </c>
      <c r="P10" s="450" t="e">
        <f>O10/$O$89</f>
        <v>#DIV/0!</v>
      </c>
      <c r="Q10" s="458"/>
      <c r="R10" s="452"/>
      <c r="S10" s="452"/>
      <c r="T10" s="453">
        <f t="shared" ref="T10:T33" si="8">R10+S10*1</f>
        <v>0</v>
      </c>
      <c r="U10" s="450" t="e">
        <f t="shared" ref="U10:U33" si="9">T10/$T$89</f>
        <v>#DIV/0!</v>
      </c>
      <c r="V10" s="458"/>
      <c r="W10" s="452"/>
      <c r="X10" s="452"/>
      <c r="Y10" s="453">
        <f t="shared" ref="Y10:Y33" si="10">W10+X10*1</f>
        <v>0</v>
      </c>
      <c r="Z10" s="450" t="e">
        <f t="shared" ref="Z10:Z33" si="11">Y10/$Y$89</f>
        <v>#DIV/0!</v>
      </c>
      <c r="AA10" s="730"/>
      <c r="AB10" s="560"/>
      <c r="AC10" s="452"/>
      <c r="AD10" s="453">
        <f t="shared" ref="AD10:AD33" si="12">AB10+AC10*1</f>
        <v>0</v>
      </c>
      <c r="AE10" s="450" t="e">
        <f t="shared" ref="AE10:AE33" si="13">AD10/$AD$89</f>
        <v>#DIV/0!</v>
      </c>
      <c r="AF10" s="458"/>
      <c r="AG10" s="560"/>
      <c r="AH10" s="452"/>
      <c r="AI10" s="453">
        <f t="shared" ref="AI10:AI33" si="14">AG10+AH10*1</f>
        <v>0</v>
      </c>
      <c r="AJ10" s="450" t="e">
        <f t="shared" ref="AJ10:AJ33" si="15">AI10/$AD$89</f>
        <v>#DIV/0!</v>
      </c>
      <c r="AK10" s="458"/>
      <c r="AL10" s="560"/>
      <c r="AM10" s="452"/>
      <c r="AN10" s="453">
        <f t="shared" ref="AN10:AN33" si="16">AL10+AM10*1</f>
        <v>0</v>
      </c>
      <c r="AO10" s="450" t="e">
        <f t="shared" ref="AO10:AO33" si="17">AN10/$AD$89</f>
        <v>#DIV/0!</v>
      </c>
      <c r="AP10" s="458"/>
      <c r="AQ10" s="452">
        <f t="shared" si="2"/>
        <v>0</v>
      </c>
      <c r="AR10" s="452">
        <f t="shared" si="3"/>
        <v>0</v>
      </c>
      <c r="AS10" s="453">
        <f t="shared" ref="AS10:AS33" si="18">AQ10+AR10*1</f>
        <v>0</v>
      </c>
      <c r="AT10" s="450" t="e">
        <f t="shared" si="0"/>
        <v>#DIV/0!</v>
      </c>
      <c r="AU10" s="456"/>
    </row>
    <row r="11" spans="1:47" s="2" customFormat="1" ht="13.8" x14ac:dyDescent="0.25">
      <c r="A11" s="238"/>
      <c r="B11" s="492" t="s">
        <v>69</v>
      </c>
      <c r="C11" s="452"/>
      <c r="D11" s="452"/>
      <c r="E11" s="453">
        <f t="shared" si="4"/>
        <v>0</v>
      </c>
      <c r="F11" s="450">
        <f t="shared" si="1"/>
        <v>0</v>
      </c>
      <c r="G11" s="456"/>
      <c r="H11" s="452"/>
      <c r="I11" s="452"/>
      <c r="J11" s="453">
        <f t="shared" si="5"/>
        <v>0</v>
      </c>
      <c r="K11" s="450" t="e">
        <f t="shared" si="6"/>
        <v>#DIV/0!</v>
      </c>
      <c r="L11" s="465"/>
      <c r="M11" s="452"/>
      <c r="N11" s="452"/>
      <c r="O11" s="453">
        <f t="shared" si="7"/>
        <v>0</v>
      </c>
      <c r="P11" s="450" t="e">
        <f t="shared" ref="P11:P33" si="19">O11/$O$89</f>
        <v>#DIV/0!</v>
      </c>
      <c r="Q11" s="458"/>
      <c r="R11" s="452"/>
      <c r="S11" s="452"/>
      <c r="T11" s="453">
        <f t="shared" si="8"/>
        <v>0</v>
      </c>
      <c r="U11" s="450" t="e">
        <f t="shared" si="9"/>
        <v>#DIV/0!</v>
      </c>
      <c r="V11" s="458"/>
      <c r="W11" s="452"/>
      <c r="X11" s="452"/>
      <c r="Y11" s="453">
        <f t="shared" si="10"/>
        <v>0</v>
      </c>
      <c r="Z11" s="450" t="e">
        <f t="shared" si="11"/>
        <v>#DIV/0!</v>
      </c>
      <c r="AA11" s="730"/>
      <c r="AB11" s="560"/>
      <c r="AC11" s="452"/>
      <c r="AD11" s="453">
        <f t="shared" si="12"/>
        <v>0</v>
      </c>
      <c r="AE11" s="450" t="e">
        <f t="shared" si="13"/>
        <v>#DIV/0!</v>
      </c>
      <c r="AF11" s="458"/>
      <c r="AG11" s="560"/>
      <c r="AH11" s="452"/>
      <c r="AI11" s="453">
        <f t="shared" si="14"/>
        <v>0</v>
      </c>
      <c r="AJ11" s="450" t="e">
        <f t="shared" si="15"/>
        <v>#DIV/0!</v>
      </c>
      <c r="AK11" s="458"/>
      <c r="AL11" s="560"/>
      <c r="AM11" s="452"/>
      <c r="AN11" s="453">
        <f t="shared" si="16"/>
        <v>0</v>
      </c>
      <c r="AO11" s="450" t="e">
        <f t="shared" si="17"/>
        <v>#DIV/0!</v>
      </c>
      <c r="AP11" s="458"/>
      <c r="AQ11" s="452">
        <f t="shared" si="2"/>
        <v>0</v>
      </c>
      <c r="AR11" s="452">
        <f t="shared" si="3"/>
        <v>0</v>
      </c>
      <c r="AS11" s="453">
        <f t="shared" si="18"/>
        <v>0</v>
      </c>
      <c r="AT11" s="450" t="e">
        <f t="shared" si="0"/>
        <v>#DIV/0!</v>
      </c>
      <c r="AU11" s="456"/>
    </row>
    <row r="12" spans="1:47" s="2" customFormat="1" ht="13.8" x14ac:dyDescent="0.25">
      <c r="A12" s="238"/>
      <c r="B12" s="492" t="s">
        <v>73</v>
      </c>
      <c r="C12" s="452"/>
      <c r="D12" s="452"/>
      <c r="E12" s="453">
        <f>C12+D12*1</f>
        <v>0</v>
      </c>
      <c r="F12" s="450">
        <f>E12/$E$89</f>
        <v>0</v>
      </c>
      <c r="G12" s="456"/>
      <c r="H12" s="452"/>
      <c r="I12" s="452"/>
      <c r="J12" s="453">
        <f t="shared" si="5"/>
        <v>0</v>
      </c>
      <c r="K12" s="450" t="e">
        <f t="shared" si="6"/>
        <v>#DIV/0!</v>
      </c>
      <c r="L12" s="460"/>
      <c r="M12" s="452"/>
      <c r="N12" s="452"/>
      <c r="O12" s="453">
        <f t="shared" si="7"/>
        <v>0</v>
      </c>
      <c r="P12" s="450" t="e">
        <f t="shared" si="19"/>
        <v>#DIV/0!</v>
      </c>
      <c r="Q12" s="458"/>
      <c r="R12" s="452"/>
      <c r="S12" s="452"/>
      <c r="T12" s="453">
        <f t="shared" si="8"/>
        <v>0</v>
      </c>
      <c r="U12" s="450" t="e">
        <f t="shared" si="9"/>
        <v>#DIV/0!</v>
      </c>
      <c r="V12" s="458"/>
      <c r="W12" s="452"/>
      <c r="X12" s="452"/>
      <c r="Y12" s="453">
        <f t="shared" si="10"/>
        <v>0</v>
      </c>
      <c r="Z12" s="450" t="e">
        <f t="shared" si="11"/>
        <v>#DIV/0!</v>
      </c>
      <c r="AA12" s="730"/>
      <c r="AB12" s="560"/>
      <c r="AC12" s="452"/>
      <c r="AD12" s="453">
        <f t="shared" si="12"/>
        <v>0</v>
      </c>
      <c r="AE12" s="450" t="e">
        <f t="shared" si="13"/>
        <v>#DIV/0!</v>
      </c>
      <c r="AF12" s="458"/>
      <c r="AG12" s="560"/>
      <c r="AH12" s="452"/>
      <c r="AI12" s="453">
        <f t="shared" si="14"/>
        <v>0</v>
      </c>
      <c r="AJ12" s="450" t="e">
        <f t="shared" si="15"/>
        <v>#DIV/0!</v>
      </c>
      <c r="AK12" s="458"/>
      <c r="AL12" s="560"/>
      <c r="AM12" s="452"/>
      <c r="AN12" s="453">
        <f t="shared" si="16"/>
        <v>0</v>
      </c>
      <c r="AO12" s="450" t="e">
        <f t="shared" si="17"/>
        <v>#DIV/0!</v>
      </c>
      <c r="AP12" s="458"/>
      <c r="AQ12" s="452">
        <f t="shared" si="2"/>
        <v>0</v>
      </c>
      <c r="AR12" s="452">
        <f t="shared" si="3"/>
        <v>0</v>
      </c>
      <c r="AS12" s="453">
        <f t="shared" si="18"/>
        <v>0</v>
      </c>
      <c r="AT12" s="450" t="e">
        <f t="shared" si="0"/>
        <v>#DIV/0!</v>
      </c>
      <c r="AU12" s="456"/>
    </row>
    <row r="13" spans="1:47" s="2" customFormat="1" ht="13.8" x14ac:dyDescent="0.25">
      <c r="A13" s="238"/>
      <c r="B13" s="492" t="s">
        <v>71</v>
      </c>
      <c r="C13" s="452"/>
      <c r="D13" s="452"/>
      <c r="E13" s="453">
        <f t="shared" si="4"/>
        <v>0</v>
      </c>
      <c r="F13" s="450">
        <f t="shared" si="1"/>
        <v>0</v>
      </c>
      <c r="G13" s="456"/>
      <c r="H13" s="452"/>
      <c r="I13" s="452"/>
      <c r="J13" s="453">
        <f t="shared" si="5"/>
        <v>0</v>
      </c>
      <c r="K13" s="450" t="e">
        <f t="shared" si="6"/>
        <v>#DIV/0!</v>
      </c>
      <c r="L13" s="465"/>
      <c r="M13" s="452"/>
      <c r="N13" s="452"/>
      <c r="O13" s="453">
        <f t="shared" si="7"/>
        <v>0</v>
      </c>
      <c r="P13" s="450" t="e">
        <f t="shared" si="19"/>
        <v>#DIV/0!</v>
      </c>
      <c r="Q13" s="458"/>
      <c r="R13" s="452"/>
      <c r="S13" s="452"/>
      <c r="T13" s="453">
        <f t="shared" si="8"/>
        <v>0</v>
      </c>
      <c r="U13" s="450" t="e">
        <f t="shared" si="9"/>
        <v>#DIV/0!</v>
      </c>
      <c r="V13" s="458"/>
      <c r="W13" s="452"/>
      <c r="X13" s="452"/>
      <c r="Y13" s="453">
        <f t="shared" si="10"/>
        <v>0</v>
      </c>
      <c r="Z13" s="450" t="e">
        <f t="shared" si="11"/>
        <v>#DIV/0!</v>
      </c>
      <c r="AA13" s="730"/>
      <c r="AB13" s="560"/>
      <c r="AC13" s="452"/>
      <c r="AD13" s="453">
        <f t="shared" si="12"/>
        <v>0</v>
      </c>
      <c r="AE13" s="450" t="e">
        <f t="shared" si="13"/>
        <v>#DIV/0!</v>
      </c>
      <c r="AF13" s="458"/>
      <c r="AG13" s="560"/>
      <c r="AH13" s="452"/>
      <c r="AI13" s="453">
        <f t="shared" si="14"/>
        <v>0</v>
      </c>
      <c r="AJ13" s="450" t="e">
        <f t="shared" si="15"/>
        <v>#DIV/0!</v>
      </c>
      <c r="AK13" s="458"/>
      <c r="AL13" s="560"/>
      <c r="AM13" s="452"/>
      <c r="AN13" s="453">
        <f t="shared" si="16"/>
        <v>0</v>
      </c>
      <c r="AO13" s="450" t="e">
        <f t="shared" si="17"/>
        <v>#DIV/0!</v>
      </c>
      <c r="AP13" s="458"/>
      <c r="AQ13" s="452">
        <f t="shared" si="2"/>
        <v>0</v>
      </c>
      <c r="AR13" s="452">
        <f t="shared" si="3"/>
        <v>0</v>
      </c>
      <c r="AS13" s="453">
        <f t="shared" si="18"/>
        <v>0</v>
      </c>
      <c r="AT13" s="450" t="e">
        <f t="shared" si="0"/>
        <v>#DIV/0!</v>
      </c>
      <c r="AU13" s="456"/>
    </row>
    <row r="14" spans="1:47" s="2" customFormat="1" ht="13.8" x14ac:dyDescent="0.25">
      <c r="A14" s="238"/>
      <c r="B14" s="492" t="s">
        <v>70</v>
      </c>
      <c r="C14" s="452"/>
      <c r="D14" s="452"/>
      <c r="E14" s="453">
        <f t="shared" si="4"/>
        <v>0</v>
      </c>
      <c r="F14" s="450">
        <f t="shared" si="1"/>
        <v>0</v>
      </c>
      <c r="G14" s="456"/>
      <c r="H14" s="452"/>
      <c r="I14" s="452"/>
      <c r="J14" s="453">
        <f t="shared" si="5"/>
        <v>0</v>
      </c>
      <c r="K14" s="450" t="e">
        <f t="shared" si="6"/>
        <v>#DIV/0!</v>
      </c>
      <c r="L14" s="465"/>
      <c r="M14" s="452"/>
      <c r="N14" s="452"/>
      <c r="O14" s="453">
        <f t="shared" si="7"/>
        <v>0</v>
      </c>
      <c r="P14" s="450" t="e">
        <f t="shared" si="19"/>
        <v>#DIV/0!</v>
      </c>
      <c r="Q14" s="458"/>
      <c r="R14" s="452"/>
      <c r="S14" s="452"/>
      <c r="T14" s="453">
        <f t="shared" si="8"/>
        <v>0</v>
      </c>
      <c r="U14" s="450" t="e">
        <f t="shared" si="9"/>
        <v>#DIV/0!</v>
      </c>
      <c r="V14" s="458"/>
      <c r="W14" s="452"/>
      <c r="X14" s="452"/>
      <c r="Y14" s="453">
        <f t="shared" si="10"/>
        <v>0</v>
      </c>
      <c r="Z14" s="450" t="e">
        <f t="shared" si="11"/>
        <v>#DIV/0!</v>
      </c>
      <c r="AA14" s="730"/>
      <c r="AB14" s="560"/>
      <c r="AC14" s="452"/>
      <c r="AD14" s="453">
        <f t="shared" si="12"/>
        <v>0</v>
      </c>
      <c r="AE14" s="450" t="e">
        <f t="shared" si="13"/>
        <v>#DIV/0!</v>
      </c>
      <c r="AF14" s="458"/>
      <c r="AG14" s="560"/>
      <c r="AH14" s="452"/>
      <c r="AI14" s="453">
        <f t="shared" si="14"/>
        <v>0</v>
      </c>
      <c r="AJ14" s="450" t="e">
        <f t="shared" si="15"/>
        <v>#DIV/0!</v>
      </c>
      <c r="AK14" s="458"/>
      <c r="AL14" s="560"/>
      <c r="AM14" s="452"/>
      <c r="AN14" s="453">
        <f t="shared" si="16"/>
        <v>0</v>
      </c>
      <c r="AO14" s="450" t="e">
        <f t="shared" si="17"/>
        <v>#DIV/0!</v>
      </c>
      <c r="AP14" s="458"/>
      <c r="AQ14" s="452">
        <f t="shared" si="2"/>
        <v>0</v>
      </c>
      <c r="AR14" s="452">
        <f t="shared" si="3"/>
        <v>0</v>
      </c>
      <c r="AS14" s="453">
        <f t="shared" si="18"/>
        <v>0</v>
      </c>
      <c r="AT14" s="450" t="e">
        <f t="shared" si="0"/>
        <v>#DIV/0!</v>
      </c>
      <c r="AU14" s="456"/>
    </row>
    <row r="15" spans="1:47" s="2" customFormat="1" ht="13.8" x14ac:dyDescent="0.25">
      <c r="A15" s="238"/>
      <c r="B15" s="471" t="s">
        <v>20</v>
      </c>
      <c r="C15" s="452"/>
      <c r="D15" s="452"/>
      <c r="E15" s="453">
        <f t="shared" si="4"/>
        <v>0</v>
      </c>
      <c r="F15" s="450">
        <f t="shared" si="1"/>
        <v>0</v>
      </c>
      <c r="G15" s="456"/>
      <c r="H15" s="452"/>
      <c r="I15" s="452"/>
      <c r="J15" s="453">
        <f t="shared" si="5"/>
        <v>0</v>
      </c>
      <c r="K15" s="450" t="e">
        <f t="shared" si="6"/>
        <v>#DIV/0!</v>
      </c>
      <c r="L15" s="465"/>
      <c r="M15" s="452"/>
      <c r="N15" s="452"/>
      <c r="O15" s="453">
        <f t="shared" si="7"/>
        <v>0</v>
      </c>
      <c r="P15" s="450" t="e">
        <f t="shared" si="19"/>
        <v>#DIV/0!</v>
      </c>
      <c r="Q15" s="458"/>
      <c r="R15" s="452"/>
      <c r="S15" s="452"/>
      <c r="T15" s="453">
        <f t="shared" si="8"/>
        <v>0</v>
      </c>
      <c r="U15" s="450" t="e">
        <f t="shared" si="9"/>
        <v>#DIV/0!</v>
      </c>
      <c r="V15" s="458"/>
      <c r="W15" s="452"/>
      <c r="X15" s="452"/>
      <c r="Y15" s="453">
        <f t="shared" si="10"/>
        <v>0</v>
      </c>
      <c r="Z15" s="450" t="e">
        <f t="shared" si="11"/>
        <v>#DIV/0!</v>
      </c>
      <c r="AA15" s="730"/>
      <c r="AB15" s="560"/>
      <c r="AC15" s="452"/>
      <c r="AD15" s="453">
        <f t="shared" si="12"/>
        <v>0</v>
      </c>
      <c r="AE15" s="450" t="e">
        <f t="shared" si="13"/>
        <v>#DIV/0!</v>
      </c>
      <c r="AF15" s="458"/>
      <c r="AG15" s="560"/>
      <c r="AH15" s="452"/>
      <c r="AI15" s="453">
        <f t="shared" si="14"/>
        <v>0</v>
      </c>
      <c r="AJ15" s="450" t="e">
        <f t="shared" si="15"/>
        <v>#DIV/0!</v>
      </c>
      <c r="AK15" s="458"/>
      <c r="AL15" s="560"/>
      <c r="AM15" s="452"/>
      <c r="AN15" s="453">
        <f t="shared" si="16"/>
        <v>0</v>
      </c>
      <c r="AO15" s="450" t="e">
        <f t="shared" si="17"/>
        <v>#DIV/0!</v>
      </c>
      <c r="AP15" s="458"/>
      <c r="AQ15" s="452">
        <f t="shared" si="2"/>
        <v>0</v>
      </c>
      <c r="AR15" s="452">
        <f t="shared" si="3"/>
        <v>0</v>
      </c>
      <c r="AS15" s="453">
        <f t="shared" si="18"/>
        <v>0</v>
      </c>
      <c r="AT15" s="450" t="e">
        <f t="shared" si="0"/>
        <v>#DIV/0!</v>
      </c>
      <c r="AU15" s="456"/>
    </row>
    <row r="16" spans="1:47" s="2" customFormat="1" ht="13.8" x14ac:dyDescent="0.25">
      <c r="A16" s="292"/>
      <c r="B16" s="471" t="s">
        <v>21</v>
      </c>
      <c r="C16" s="452"/>
      <c r="D16" s="452"/>
      <c r="E16" s="453">
        <f t="shared" si="4"/>
        <v>0</v>
      </c>
      <c r="F16" s="450">
        <f t="shared" si="1"/>
        <v>0</v>
      </c>
      <c r="G16" s="456"/>
      <c r="H16" s="452"/>
      <c r="I16" s="452"/>
      <c r="J16" s="453">
        <f t="shared" si="5"/>
        <v>0</v>
      </c>
      <c r="K16" s="450" t="e">
        <f t="shared" si="6"/>
        <v>#DIV/0!</v>
      </c>
      <c r="L16" s="460"/>
      <c r="M16" s="452"/>
      <c r="N16" s="452"/>
      <c r="O16" s="453">
        <f t="shared" si="7"/>
        <v>0</v>
      </c>
      <c r="P16" s="450" t="e">
        <f t="shared" si="19"/>
        <v>#DIV/0!</v>
      </c>
      <c r="Q16" s="458"/>
      <c r="R16" s="452"/>
      <c r="S16" s="452"/>
      <c r="T16" s="453">
        <f t="shared" si="8"/>
        <v>0</v>
      </c>
      <c r="U16" s="450" t="e">
        <f t="shared" si="9"/>
        <v>#DIV/0!</v>
      </c>
      <c r="V16" s="458"/>
      <c r="W16" s="452"/>
      <c r="X16" s="452"/>
      <c r="Y16" s="453">
        <f t="shared" si="10"/>
        <v>0</v>
      </c>
      <c r="Z16" s="450" t="e">
        <f t="shared" si="11"/>
        <v>#DIV/0!</v>
      </c>
      <c r="AA16" s="730"/>
      <c r="AB16" s="560"/>
      <c r="AC16" s="452"/>
      <c r="AD16" s="453">
        <f t="shared" si="12"/>
        <v>0</v>
      </c>
      <c r="AE16" s="450" t="e">
        <f t="shared" si="13"/>
        <v>#DIV/0!</v>
      </c>
      <c r="AF16" s="458"/>
      <c r="AG16" s="560"/>
      <c r="AH16" s="452"/>
      <c r="AI16" s="453">
        <f t="shared" si="14"/>
        <v>0</v>
      </c>
      <c r="AJ16" s="450" t="e">
        <f t="shared" si="15"/>
        <v>#DIV/0!</v>
      </c>
      <c r="AK16" s="458"/>
      <c r="AL16" s="560"/>
      <c r="AM16" s="452"/>
      <c r="AN16" s="453">
        <f t="shared" si="16"/>
        <v>0</v>
      </c>
      <c r="AO16" s="450" t="e">
        <f t="shared" si="17"/>
        <v>#DIV/0!</v>
      </c>
      <c r="AP16" s="458"/>
      <c r="AQ16" s="452">
        <f t="shared" si="2"/>
        <v>0</v>
      </c>
      <c r="AR16" s="452">
        <f t="shared" si="3"/>
        <v>0</v>
      </c>
      <c r="AS16" s="453">
        <f t="shared" si="18"/>
        <v>0</v>
      </c>
      <c r="AT16" s="450" t="e">
        <f t="shared" si="0"/>
        <v>#DIV/0!</v>
      </c>
      <c r="AU16" s="456"/>
    </row>
    <row r="17" spans="1:47" s="2" customFormat="1" ht="13.8" x14ac:dyDescent="0.25">
      <c r="A17" s="238"/>
      <c r="B17" s="471" t="s">
        <v>22</v>
      </c>
      <c r="C17" s="452"/>
      <c r="D17" s="452"/>
      <c r="E17" s="453">
        <f t="shared" si="4"/>
        <v>0</v>
      </c>
      <c r="F17" s="450">
        <f t="shared" si="1"/>
        <v>0</v>
      </c>
      <c r="G17" s="456"/>
      <c r="H17" s="452"/>
      <c r="I17" s="452"/>
      <c r="J17" s="453">
        <f t="shared" si="5"/>
        <v>0</v>
      </c>
      <c r="K17" s="450" t="e">
        <f t="shared" si="6"/>
        <v>#DIV/0!</v>
      </c>
      <c r="L17" s="893"/>
      <c r="M17" s="452"/>
      <c r="N17" s="452"/>
      <c r="O17" s="453">
        <f t="shared" si="7"/>
        <v>0</v>
      </c>
      <c r="P17" s="450" t="e">
        <f t="shared" si="19"/>
        <v>#DIV/0!</v>
      </c>
      <c r="Q17" s="458"/>
      <c r="R17" s="452"/>
      <c r="S17" s="452"/>
      <c r="T17" s="453">
        <f t="shared" si="8"/>
        <v>0</v>
      </c>
      <c r="U17" s="450" t="e">
        <f t="shared" si="9"/>
        <v>#DIV/0!</v>
      </c>
      <c r="V17" s="458"/>
      <c r="W17" s="452"/>
      <c r="X17" s="452"/>
      <c r="Y17" s="453">
        <f t="shared" si="10"/>
        <v>0</v>
      </c>
      <c r="Z17" s="450" t="e">
        <f t="shared" si="11"/>
        <v>#DIV/0!</v>
      </c>
      <c r="AA17" s="730"/>
      <c r="AB17" s="560"/>
      <c r="AC17" s="452"/>
      <c r="AD17" s="453">
        <f t="shared" si="12"/>
        <v>0</v>
      </c>
      <c r="AE17" s="450" t="e">
        <f t="shared" si="13"/>
        <v>#DIV/0!</v>
      </c>
      <c r="AF17" s="458"/>
      <c r="AG17" s="560"/>
      <c r="AH17" s="452"/>
      <c r="AI17" s="453">
        <f t="shared" si="14"/>
        <v>0</v>
      </c>
      <c r="AJ17" s="450" t="e">
        <f t="shared" si="15"/>
        <v>#DIV/0!</v>
      </c>
      <c r="AK17" s="458"/>
      <c r="AL17" s="560"/>
      <c r="AM17" s="452"/>
      <c r="AN17" s="453">
        <f t="shared" si="16"/>
        <v>0</v>
      </c>
      <c r="AO17" s="450" t="e">
        <f t="shared" si="17"/>
        <v>#DIV/0!</v>
      </c>
      <c r="AP17" s="458"/>
      <c r="AQ17" s="452">
        <f t="shared" si="2"/>
        <v>0</v>
      </c>
      <c r="AR17" s="452">
        <f t="shared" si="3"/>
        <v>0</v>
      </c>
      <c r="AS17" s="453">
        <f t="shared" si="18"/>
        <v>0</v>
      </c>
      <c r="AT17" s="450" t="e">
        <f t="shared" si="0"/>
        <v>#DIV/0!</v>
      </c>
      <c r="AU17" s="456"/>
    </row>
    <row r="18" spans="1:47" s="2" customFormat="1" ht="13.8" x14ac:dyDescent="0.25">
      <c r="A18" s="238"/>
      <c r="B18" s="471" t="s">
        <v>0</v>
      </c>
      <c r="C18" s="452"/>
      <c r="D18" s="452"/>
      <c r="E18" s="453">
        <f t="shared" si="4"/>
        <v>0</v>
      </c>
      <c r="F18" s="450">
        <f t="shared" si="1"/>
        <v>0</v>
      </c>
      <c r="G18" s="454"/>
      <c r="H18" s="452"/>
      <c r="I18" s="452"/>
      <c r="J18" s="453">
        <f t="shared" si="5"/>
        <v>0</v>
      </c>
      <c r="K18" s="450" t="e">
        <f t="shared" si="6"/>
        <v>#DIV/0!</v>
      </c>
      <c r="L18" s="894"/>
      <c r="M18" s="452"/>
      <c r="N18" s="452"/>
      <c r="O18" s="453">
        <f t="shared" si="7"/>
        <v>0</v>
      </c>
      <c r="P18" s="450" t="e">
        <f t="shared" si="19"/>
        <v>#DIV/0!</v>
      </c>
      <c r="Q18" s="458"/>
      <c r="R18" s="452"/>
      <c r="S18" s="452"/>
      <c r="T18" s="453">
        <f t="shared" si="8"/>
        <v>0</v>
      </c>
      <c r="U18" s="450" t="e">
        <f t="shared" si="9"/>
        <v>#DIV/0!</v>
      </c>
      <c r="V18" s="458"/>
      <c r="W18" s="452"/>
      <c r="X18" s="452"/>
      <c r="Y18" s="453">
        <f t="shared" si="10"/>
        <v>0</v>
      </c>
      <c r="Z18" s="450" t="e">
        <f t="shared" si="11"/>
        <v>#DIV/0!</v>
      </c>
      <c r="AA18" s="730"/>
      <c r="AB18" s="560"/>
      <c r="AC18" s="452"/>
      <c r="AD18" s="453">
        <f t="shared" si="12"/>
        <v>0</v>
      </c>
      <c r="AE18" s="450" t="e">
        <f t="shared" si="13"/>
        <v>#DIV/0!</v>
      </c>
      <c r="AF18" s="458"/>
      <c r="AG18" s="560"/>
      <c r="AH18" s="452"/>
      <c r="AI18" s="453">
        <f t="shared" si="14"/>
        <v>0</v>
      </c>
      <c r="AJ18" s="450" t="e">
        <f t="shared" si="15"/>
        <v>#DIV/0!</v>
      </c>
      <c r="AK18" s="458"/>
      <c r="AL18" s="560"/>
      <c r="AM18" s="452"/>
      <c r="AN18" s="453">
        <f t="shared" si="16"/>
        <v>0</v>
      </c>
      <c r="AO18" s="450" t="e">
        <f t="shared" si="17"/>
        <v>#DIV/0!</v>
      </c>
      <c r="AP18" s="458"/>
      <c r="AQ18" s="452">
        <f t="shared" si="2"/>
        <v>0</v>
      </c>
      <c r="AR18" s="452">
        <f t="shared" si="3"/>
        <v>0</v>
      </c>
      <c r="AS18" s="453">
        <f t="shared" si="18"/>
        <v>0</v>
      </c>
      <c r="AT18" s="450" t="e">
        <f t="shared" si="0"/>
        <v>#DIV/0!</v>
      </c>
      <c r="AU18" s="456"/>
    </row>
    <row r="19" spans="1:47" s="2" customFormat="1" ht="13.8" x14ac:dyDescent="0.25">
      <c r="A19" s="238"/>
      <c r="B19" s="471" t="s">
        <v>53</v>
      </c>
      <c r="C19" s="452"/>
      <c r="D19" s="452"/>
      <c r="E19" s="453">
        <f t="shared" si="4"/>
        <v>0</v>
      </c>
      <c r="F19" s="450">
        <f t="shared" si="1"/>
        <v>0</v>
      </c>
      <c r="G19" s="456"/>
      <c r="H19" s="452"/>
      <c r="I19" s="452"/>
      <c r="J19" s="453">
        <f t="shared" si="5"/>
        <v>0</v>
      </c>
      <c r="K19" s="450" t="e">
        <f t="shared" si="6"/>
        <v>#DIV/0!</v>
      </c>
      <c r="L19" s="895"/>
      <c r="M19" s="452"/>
      <c r="N19" s="452"/>
      <c r="O19" s="453">
        <f t="shared" si="7"/>
        <v>0</v>
      </c>
      <c r="P19" s="450" t="e">
        <f t="shared" si="19"/>
        <v>#DIV/0!</v>
      </c>
      <c r="Q19" s="458"/>
      <c r="R19" s="452"/>
      <c r="S19" s="452"/>
      <c r="T19" s="453">
        <f t="shared" si="8"/>
        <v>0</v>
      </c>
      <c r="U19" s="450" t="e">
        <f t="shared" si="9"/>
        <v>#DIV/0!</v>
      </c>
      <c r="V19" s="458"/>
      <c r="W19" s="452"/>
      <c r="X19" s="452"/>
      <c r="Y19" s="453">
        <f t="shared" si="10"/>
        <v>0</v>
      </c>
      <c r="Z19" s="450" t="e">
        <f t="shared" si="11"/>
        <v>#DIV/0!</v>
      </c>
      <c r="AA19" s="730"/>
      <c r="AB19" s="560"/>
      <c r="AC19" s="452"/>
      <c r="AD19" s="453">
        <f t="shared" si="12"/>
        <v>0</v>
      </c>
      <c r="AE19" s="450" t="e">
        <f t="shared" si="13"/>
        <v>#DIV/0!</v>
      </c>
      <c r="AF19" s="458"/>
      <c r="AG19" s="560"/>
      <c r="AH19" s="452"/>
      <c r="AI19" s="453">
        <f t="shared" si="14"/>
        <v>0</v>
      </c>
      <c r="AJ19" s="450" t="e">
        <f t="shared" si="15"/>
        <v>#DIV/0!</v>
      </c>
      <c r="AK19" s="458"/>
      <c r="AL19" s="560"/>
      <c r="AM19" s="452"/>
      <c r="AN19" s="453">
        <f t="shared" si="16"/>
        <v>0</v>
      </c>
      <c r="AO19" s="450" t="e">
        <f t="shared" si="17"/>
        <v>#DIV/0!</v>
      </c>
      <c r="AP19" s="458"/>
      <c r="AQ19" s="452">
        <f t="shared" si="2"/>
        <v>0</v>
      </c>
      <c r="AR19" s="452">
        <f t="shared" si="3"/>
        <v>0</v>
      </c>
      <c r="AS19" s="453">
        <f t="shared" si="18"/>
        <v>0</v>
      </c>
      <c r="AT19" s="450" t="e">
        <f t="shared" si="0"/>
        <v>#DIV/0!</v>
      </c>
      <c r="AU19" s="456"/>
    </row>
    <row r="20" spans="1:47" s="2" customFormat="1" ht="13.8" x14ac:dyDescent="0.25">
      <c r="A20" s="238"/>
      <c r="B20" s="471" t="s">
        <v>57</v>
      </c>
      <c r="C20" s="452"/>
      <c r="D20" s="452"/>
      <c r="E20" s="453">
        <f t="shared" si="4"/>
        <v>0</v>
      </c>
      <c r="F20" s="450">
        <f t="shared" si="1"/>
        <v>0</v>
      </c>
      <c r="G20" s="456"/>
      <c r="H20" s="452"/>
      <c r="I20" s="452"/>
      <c r="J20" s="453">
        <f t="shared" si="5"/>
        <v>0</v>
      </c>
      <c r="K20" s="450" t="e">
        <f t="shared" si="6"/>
        <v>#DIV/0!</v>
      </c>
      <c r="L20" s="895"/>
      <c r="M20" s="452"/>
      <c r="N20" s="452"/>
      <c r="O20" s="453">
        <f t="shared" si="7"/>
        <v>0</v>
      </c>
      <c r="P20" s="450" t="e">
        <f t="shared" si="19"/>
        <v>#DIV/0!</v>
      </c>
      <c r="Q20" s="458"/>
      <c r="R20" s="452"/>
      <c r="S20" s="452"/>
      <c r="T20" s="453">
        <f t="shared" si="8"/>
        <v>0</v>
      </c>
      <c r="U20" s="450" t="e">
        <f t="shared" si="9"/>
        <v>#DIV/0!</v>
      </c>
      <c r="V20" s="458"/>
      <c r="W20" s="452"/>
      <c r="X20" s="452"/>
      <c r="Y20" s="453">
        <f t="shared" si="10"/>
        <v>0</v>
      </c>
      <c r="Z20" s="450" t="e">
        <f t="shared" si="11"/>
        <v>#DIV/0!</v>
      </c>
      <c r="AA20" s="730"/>
      <c r="AB20" s="560"/>
      <c r="AC20" s="452"/>
      <c r="AD20" s="453">
        <f t="shared" si="12"/>
        <v>0</v>
      </c>
      <c r="AE20" s="450" t="e">
        <f t="shared" si="13"/>
        <v>#DIV/0!</v>
      </c>
      <c r="AF20" s="458"/>
      <c r="AG20" s="560"/>
      <c r="AH20" s="452"/>
      <c r="AI20" s="453">
        <f t="shared" si="14"/>
        <v>0</v>
      </c>
      <c r="AJ20" s="450" t="e">
        <f t="shared" si="15"/>
        <v>#DIV/0!</v>
      </c>
      <c r="AK20" s="458"/>
      <c r="AL20" s="560"/>
      <c r="AM20" s="452"/>
      <c r="AN20" s="453">
        <f t="shared" si="16"/>
        <v>0</v>
      </c>
      <c r="AO20" s="450" t="e">
        <f t="shared" si="17"/>
        <v>#DIV/0!</v>
      </c>
      <c r="AP20" s="458"/>
      <c r="AQ20" s="452">
        <f t="shared" si="2"/>
        <v>0</v>
      </c>
      <c r="AR20" s="452">
        <f t="shared" si="3"/>
        <v>0</v>
      </c>
      <c r="AS20" s="453">
        <f t="shared" si="18"/>
        <v>0</v>
      </c>
      <c r="AT20" s="450" t="e">
        <f t="shared" si="0"/>
        <v>#DIV/0!</v>
      </c>
      <c r="AU20" s="456"/>
    </row>
    <row r="21" spans="1:47" s="2" customFormat="1" ht="13.8" x14ac:dyDescent="0.25">
      <c r="A21" s="238"/>
      <c r="B21" s="471" t="s">
        <v>58</v>
      </c>
      <c r="C21" s="452"/>
      <c r="D21" s="452"/>
      <c r="E21" s="453">
        <f t="shared" si="4"/>
        <v>0</v>
      </c>
      <c r="F21" s="450">
        <f t="shared" si="1"/>
        <v>0</v>
      </c>
      <c r="G21" s="456"/>
      <c r="H21" s="452"/>
      <c r="I21" s="452"/>
      <c r="J21" s="453">
        <f t="shared" si="5"/>
        <v>0</v>
      </c>
      <c r="K21" s="450" t="e">
        <f t="shared" si="6"/>
        <v>#DIV/0!</v>
      </c>
      <c r="L21" s="463"/>
      <c r="M21" s="452"/>
      <c r="N21" s="452"/>
      <c r="O21" s="453">
        <f t="shared" si="7"/>
        <v>0</v>
      </c>
      <c r="P21" s="450" t="e">
        <f t="shared" si="19"/>
        <v>#DIV/0!</v>
      </c>
      <c r="Q21" s="458"/>
      <c r="R21" s="452"/>
      <c r="S21" s="452"/>
      <c r="T21" s="453">
        <f t="shared" si="8"/>
        <v>0</v>
      </c>
      <c r="U21" s="450" t="e">
        <f t="shared" si="9"/>
        <v>#DIV/0!</v>
      </c>
      <c r="V21" s="458"/>
      <c r="W21" s="452"/>
      <c r="X21" s="452"/>
      <c r="Y21" s="453">
        <f t="shared" si="10"/>
        <v>0</v>
      </c>
      <c r="Z21" s="450" t="e">
        <f t="shared" si="11"/>
        <v>#DIV/0!</v>
      </c>
      <c r="AA21" s="730"/>
      <c r="AB21" s="560"/>
      <c r="AC21" s="452"/>
      <c r="AD21" s="453">
        <f t="shared" si="12"/>
        <v>0</v>
      </c>
      <c r="AE21" s="450" t="e">
        <f t="shared" si="13"/>
        <v>#DIV/0!</v>
      </c>
      <c r="AF21" s="458"/>
      <c r="AG21" s="560"/>
      <c r="AH21" s="452"/>
      <c r="AI21" s="453">
        <f t="shared" si="14"/>
        <v>0</v>
      </c>
      <c r="AJ21" s="450" t="e">
        <f t="shared" si="15"/>
        <v>#DIV/0!</v>
      </c>
      <c r="AK21" s="458"/>
      <c r="AL21" s="560"/>
      <c r="AM21" s="452"/>
      <c r="AN21" s="453">
        <f t="shared" si="16"/>
        <v>0</v>
      </c>
      <c r="AO21" s="450" t="e">
        <f t="shared" si="17"/>
        <v>#DIV/0!</v>
      </c>
      <c r="AP21" s="458"/>
      <c r="AQ21" s="452">
        <f t="shared" si="2"/>
        <v>0</v>
      </c>
      <c r="AR21" s="452">
        <f t="shared" si="3"/>
        <v>0</v>
      </c>
      <c r="AS21" s="453">
        <f t="shared" si="18"/>
        <v>0</v>
      </c>
      <c r="AT21" s="450" t="e">
        <f t="shared" si="0"/>
        <v>#DIV/0!</v>
      </c>
      <c r="AU21" s="456"/>
    </row>
    <row r="22" spans="1:47" s="2" customFormat="1" ht="31.2" customHeight="1" x14ac:dyDescent="0.25">
      <c r="A22" s="238"/>
      <c r="B22" s="471" t="s">
        <v>621</v>
      </c>
      <c r="C22" s="452"/>
      <c r="D22" s="452"/>
      <c r="E22" s="453">
        <f t="shared" si="4"/>
        <v>0</v>
      </c>
      <c r="F22" s="450">
        <f t="shared" si="1"/>
        <v>0</v>
      </c>
      <c r="G22" s="456"/>
      <c r="H22" s="452"/>
      <c r="I22" s="452"/>
      <c r="J22" s="453">
        <f t="shared" si="5"/>
        <v>0</v>
      </c>
      <c r="K22" s="450" t="e">
        <f t="shared" si="6"/>
        <v>#DIV/0!</v>
      </c>
      <c r="L22" s="454"/>
      <c r="M22" s="452"/>
      <c r="N22" s="452"/>
      <c r="O22" s="453">
        <f t="shared" si="7"/>
        <v>0</v>
      </c>
      <c r="P22" s="450" t="e">
        <f t="shared" si="19"/>
        <v>#DIV/0!</v>
      </c>
      <c r="Q22" s="458"/>
      <c r="R22" s="452"/>
      <c r="S22" s="452"/>
      <c r="T22" s="453">
        <f t="shared" si="8"/>
        <v>0</v>
      </c>
      <c r="U22" s="450" t="e">
        <f t="shared" si="9"/>
        <v>#DIV/0!</v>
      </c>
      <c r="V22" s="458"/>
      <c r="W22" s="452"/>
      <c r="X22" s="452"/>
      <c r="Y22" s="453">
        <f t="shared" si="10"/>
        <v>0</v>
      </c>
      <c r="Z22" s="450" t="e">
        <f t="shared" si="11"/>
        <v>#DIV/0!</v>
      </c>
      <c r="AA22" s="730"/>
      <c r="AB22" s="560"/>
      <c r="AC22" s="452"/>
      <c r="AD22" s="453">
        <f t="shared" si="12"/>
        <v>0</v>
      </c>
      <c r="AE22" s="450" t="e">
        <f t="shared" si="13"/>
        <v>#DIV/0!</v>
      </c>
      <c r="AF22" s="458"/>
      <c r="AG22" s="560"/>
      <c r="AH22" s="452"/>
      <c r="AI22" s="453">
        <f t="shared" si="14"/>
        <v>0</v>
      </c>
      <c r="AJ22" s="450" t="e">
        <f t="shared" si="15"/>
        <v>#DIV/0!</v>
      </c>
      <c r="AK22" s="458"/>
      <c r="AL22" s="560"/>
      <c r="AM22" s="452"/>
      <c r="AN22" s="453">
        <f t="shared" si="16"/>
        <v>0</v>
      </c>
      <c r="AO22" s="450" t="e">
        <f t="shared" si="17"/>
        <v>#DIV/0!</v>
      </c>
      <c r="AP22" s="458"/>
      <c r="AQ22" s="452">
        <f t="shared" si="2"/>
        <v>0</v>
      </c>
      <c r="AR22" s="452">
        <f t="shared" si="3"/>
        <v>0</v>
      </c>
      <c r="AS22" s="453">
        <f t="shared" si="18"/>
        <v>0</v>
      </c>
      <c r="AT22" s="450" t="e">
        <f t="shared" si="0"/>
        <v>#DIV/0!</v>
      </c>
      <c r="AU22" s="456"/>
    </row>
    <row r="23" spans="1:47" s="2" customFormat="1" ht="13.8" x14ac:dyDescent="0.25">
      <c r="A23" s="238"/>
      <c r="B23" s="471" t="s">
        <v>630</v>
      </c>
      <c r="C23" s="452"/>
      <c r="D23" s="452"/>
      <c r="E23" s="453">
        <f t="shared" si="4"/>
        <v>0</v>
      </c>
      <c r="F23" s="450">
        <f t="shared" si="1"/>
        <v>0</v>
      </c>
      <c r="G23" s="456"/>
      <c r="H23" s="452"/>
      <c r="I23" s="452"/>
      <c r="J23" s="453">
        <f t="shared" si="5"/>
        <v>0</v>
      </c>
      <c r="K23" s="450" t="e">
        <f t="shared" si="6"/>
        <v>#DIV/0!</v>
      </c>
      <c r="L23" s="861"/>
      <c r="M23" s="452"/>
      <c r="N23" s="452"/>
      <c r="O23" s="453">
        <f t="shared" si="7"/>
        <v>0</v>
      </c>
      <c r="P23" s="450" t="e">
        <f t="shared" si="19"/>
        <v>#DIV/0!</v>
      </c>
      <c r="Q23" s="458"/>
      <c r="R23" s="452"/>
      <c r="S23" s="452"/>
      <c r="T23" s="453">
        <f t="shared" si="8"/>
        <v>0</v>
      </c>
      <c r="U23" s="450" t="e">
        <f t="shared" si="9"/>
        <v>#DIV/0!</v>
      </c>
      <c r="V23" s="458"/>
      <c r="W23" s="452"/>
      <c r="X23" s="452"/>
      <c r="Y23" s="453">
        <f t="shared" si="10"/>
        <v>0</v>
      </c>
      <c r="Z23" s="450" t="e">
        <f t="shared" si="11"/>
        <v>#DIV/0!</v>
      </c>
      <c r="AA23" s="730"/>
      <c r="AB23" s="560"/>
      <c r="AC23" s="452"/>
      <c r="AD23" s="453">
        <f t="shared" si="12"/>
        <v>0</v>
      </c>
      <c r="AE23" s="450" t="e">
        <f t="shared" si="13"/>
        <v>#DIV/0!</v>
      </c>
      <c r="AF23" s="458"/>
      <c r="AG23" s="560"/>
      <c r="AH23" s="452"/>
      <c r="AI23" s="453">
        <f t="shared" si="14"/>
        <v>0</v>
      </c>
      <c r="AJ23" s="450" t="e">
        <f t="shared" si="15"/>
        <v>#DIV/0!</v>
      </c>
      <c r="AK23" s="458"/>
      <c r="AL23" s="560"/>
      <c r="AM23" s="452"/>
      <c r="AN23" s="453">
        <f t="shared" si="16"/>
        <v>0</v>
      </c>
      <c r="AO23" s="450" t="e">
        <f t="shared" si="17"/>
        <v>#DIV/0!</v>
      </c>
      <c r="AP23" s="458"/>
      <c r="AQ23" s="452">
        <f t="shared" si="2"/>
        <v>0</v>
      </c>
      <c r="AR23" s="452">
        <f t="shared" si="3"/>
        <v>0</v>
      </c>
      <c r="AS23" s="453">
        <f t="shared" si="18"/>
        <v>0</v>
      </c>
      <c r="AT23" s="450" t="e">
        <f t="shared" si="0"/>
        <v>#DIV/0!</v>
      </c>
      <c r="AU23" s="456"/>
    </row>
    <row r="24" spans="1:47" s="2" customFormat="1" ht="13.8" x14ac:dyDescent="0.25">
      <c r="A24" s="238"/>
      <c r="B24" s="471" t="s">
        <v>23</v>
      </c>
      <c r="C24" s="452"/>
      <c r="D24" s="452"/>
      <c r="E24" s="453">
        <f t="shared" si="4"/>
        <v>0</v>
      </c>
      <c r="F24" s="450">
        <f t="shared" si="1"/>
        <v>0</v>
      </c>
      <c r="G24" s="456"/>
      <c r="H24" s="452"/>
      <c r="I24" s="452"/>
      <c r="J24" s="453">
        <f t="shared" si="5"/>
        <v>0</v>
      </c>
      <c r="K24" s="450" t="e">
        <f t="shared" si="6"/>
        <v>#DIV/0!</v>
      </c>
      <c r="L24" s="464"/>
      <c r="M24" s="452"/>
      <c r="N24" s="452"/>
      <c r="O24" s="453">
        <f t="shared" si="7"/>
        <v>0</v>
      </c>
      <c r="P24" s="450" t="e">
        <f t="shared" si="19"/>
        <v>#DIV/0!</v>
      </c>
      <c r="Q24" s="458"/>
      <c r="R24" s="452"/>
      <c r="S24" s="452"/>
      <c r="T24" s="453">
        <f t="shared" si="8"/>
        <v>0</v>
      </c>
      <c r="U24" s="450" t="e">
        <f t="shared" si="9"/>
        <v>#DIV/0!</v>
      </c>
      <c r="V24" s="458"/>
      <c r="W24" s="452"/>
      <c r="X24" s="452"/>
      <c r="Y24" s="453">
        <f t="shared" si="10"/>
        <v>0</v>
      </c>
      <c r="Z24" s="450" t="e">
        <f t="shared" si="11"/>
        <v>#DIV/0!</v>
      </c>
      <c r="AA24" s="730"/>
      <c r="AB24" s="560"/>
      <c r="AC24" s="452"/>
      <c r="AD24" s="453">
        <f t="shared" si="12"/>
        <v>0</v>
      </c>
      <c r="AE24" s="450" t="e">
        <f t="shared" si="13"/>
        <v>#DIV/0!</v>
      </c>
      <c r="AF24" s="458"/>
      <c r="AG24" s="560"/>
      <c r="AH24" s="452"/>
      <c r="AI24" s="453">
        <f t="shared" si="14"/>
        <v>0</v>
      </c>
      <c r="AJ24" s="450" t="e">
        <f t="shared" si="15"/>
        <v>#DIV/0!</v>
      </c>
      <c r="AK24" s="452"/>
      <c r="AL24" s="560"/>
      <c r="AM24" s="452"/>
      <c r="AN24" s="453">
        <f t="shared" si="16"/>
        <v>0</v>
      </c>
      <c r="AO24" s="450" t="e">
        <f t="shared" si="17"/>
        <v>#DIV/0!</v>
      </c>
      <c r="AP24" s="452"/>
      <c r="AQ24" s="452">
        <f t="shared" si="2"/>
        <v>0</v>
      </c>
      <c r="AR24" s="452">
        <f t="shared" si="3"/>
        <v>0</v>
      </c>
      <c r="AS24" s="453">
        <f t="shared" si="18"/>
        <v>0</v>
      </c>
      <c r="AT24" s="450" t="e">
        <f t="shared" si="0"/>
        <v>#DIV/0!</v>
      </c>
      <c r="AU24" s="456"/>
    </row>
    <row r="25" spans="1:47" s="2" customFormat="1" ht="13.8" x14ac:dyDescent="0.25">
      <c r="A25" s="238"/>
      <c r="B25" s="471" t="s">
        <v>24</v>
      </c>
      <c r="C25" s="452"/>
      <c r="D25" s="452"/>
      <c r="E25" s="453">
        <f t="shared" si="4"/>
        <v>0</v>
      </c>
      <c r="F25" s="450">
        <f t="shared" si="1"/>
        <v>0</v>
      </c>
      <c r="G25" s="456"/>
      <c r="H25" s="452"/>
      <c r="I25" s="452"/>
      <c r="J25" s="453">
        <f t="shared" si="5"/>
        <v>0</v>
      </c>
      <c r="K25" s="450" t="e">
        <f t="shared" si="6"/>
        <v>#DIV/0!</v>
      </c>
      <c r="L25" s="895"/>
      <c r="M25" s="452"/>
      <c r="N25" s="452"/>
      <c r="O25" s="453">
        <f t="shared" si="7"/>
        <v>0</v>
      </c>
      <c r="P25" s="450" t="e">
        <f t="shared" si="19"/>
        <v>#DIV/0!</v>
      </c>
      <c r="Q25" s="458"/>
      <c r="R25" s="452"/>
      <c r="S25" s="452"/>
      <c r="T25" s="453">
        <f t="shared" si="8"/>
        <v>0</v>
      </c>
      <c r="U25" s="450" t="e">
        <f t="shared" si="9"/>
        <v>#DIV/0!</v>
      </c>
      <c r="V25" s="458"/>
      <c r="W25" s="452"/>
      <c r="X25" s="452"/>
      <c r="Y25" s="453">
        <f t="shared" si="10"/>
        <v>0</v>
      </c>
      <c r="Z25" s="450" t="e">
        <f t="shared" si="11"/>
        <v>#DIV/0!</v>
      </c>
      <c r="AA25" s="730"/>
      <c r="AB25" s="560"/>
      <c r="AC25" s="452"/>
      <c r="AD25" s="453">
        <f t="shared" si="12"/>
        <v>0</v>
      </c>
      <c r="AE25" s="450" t="e">
        <f t="shared" si="13"/>
        <v>#DIV/0!</v>
      </c>
      <c r="AF25" s="458"/>
      <c r="AG25" s="560"/>
      <c r="AH25" s="452"/>
      <c r="AI25" s="453">
        <f t="shared" si="14"/>
        <v>0</v>
      </c>
      <c r="AJ25" s="450" t="e">
        <f t="shared" si="15"/>
        <v>#DIV/0!</v>
      </c>
      <c r="AK25" s="458"/>
      <c r="AL25" s="560"/>
      <c r="AM25" s="452"/>
      <c r="AN25" s="453">
        <f t="shared" si="16"/>
        <v>0</v>
      </c>
      <c r="AO25" s="450" t="e">
        <f t="shared" si="17"/>
        <v>#DIV/0!</v>
      </c>
      <c r="AP25" s="458"/>
      <c r="AQ25" s="452">
        <f t="shared" si="2"/>
        <v>0</v>
      </c>
      <c r="AR25" s="452">
        <f t="shared" si="3"/>
        <v>0</v>
      </c>
      <c r="AS25" s="453">
        <f t="shared" si="18"/>
        <v>0</v>
      </c>
      <c r="AT25" s="450" t="e">
        <f t="shared" si="0"/>
        <v>#DIV/0!</v>
      </c>
      <c r="AU25" s="456"/>
    </row>
    <row r="26" spans="1:47" s="2" customFormat="1" ht="13.8" x14ac:dyDescent="0.25">
      <c r="A26" s="238"/>
      <c r="B26" s="471" t="s">
        <v>45</v>
      </c>
      <c r="C26" s="452"/>
      <c r="D26" s="452"/>
      <c r="E26" s="453">
        <f t="shared" si="4"/>
        <v>0</v>
      </c>
      <c r="F26" s="450">
        <f t="shared" si="1"/>
        <v>0</v>
      </c>
      <c r="G26" s="456"/>
      <c r="H26" s="452"/>
      <c r="I26" s="452"/>
      <c r="J26" s="453">
        <f t="shared" si="5"/>
        <v>0</v>
      </c>
      <c r="K26" s="450" t="e">
        <f t="shared" si="6"/>
        <v>#DIV/0!</v>
      </c>
      <c r="L26" s="895"/>
      <c r="M26" s="452"/>
      <c r="N26" s="452"/>
      <c r="O26" s="453">
        <f t="shared" si="7"/>
        <v>0</v>
      </c>
      <c r="P26" s="450" t="e">
        <f t="shared" si="19"/>
        <v>#DIV/0!</v>
      </c>
      <c r="Q26" s="458"/>
      <c r="R26" s="452"/>
      <c r="S26" s="452"/>
      <c r="T26" s="453">
        <f t="shared" si="8"/>
        <v>0</v>
      </c>
      <c r="U26" s="450" t="e">
        <f t="shared" si="9"/>
        <v>#DIV/0!</v>
      </c>
      <c r="V26" s="458"/>
      <c r="W26" s="452"/>
      <c r="X26" s="452"/>
      <c r="Y26" s="453">
        <f t="shared" si="10"/>
        <v>0</v>
      </c>
      <c r="Z26" s="450" t="e">
        <f t="shared" si="11"/>
        <v>#DIV/0!</v>
      </c>
      <c r="AA26" s="730"/>
      <c r="AB26" s="560"/>
      <c r="AC26" s="452"/>
      <c r="AD26" s="453">
        <f t="shared" si="12"/>
        <v>0</v>
      </c>
      <c r="AE26" s="450" t="e">
        <f t="shared" si="13"/>
        <v>#DIV/0!</v>
      </c>
      <c r="AF26" s="458"/>
      <c r="AG26" s="560"/>
      <c r="AH26" s="452"/>
      <c r="AI26" s="453">
        <f t="shared" si="14"/>
        <v>0</v>
      </c>
      <c r="AJ26" s="450" t="e">
        <f t="shared" si="15"/>
        <v>#DIV/0!</v>
      </c>
      <c r="AK26" s="458"/>
      <c r="AL26" s="560"/>
      <c r="AM26" s="452"/>
      <c r="AN26" s="453">
        <f t="shared" si="16"/>
        <v>0</v>
      </c>
      <c r="AO26" s="450" t="e">
        <f t="shared" si="17"/>
        <v>#DIV/0!</v>
      </c>
      <c r="AP26" s="458"/>
      <c r="AQ26" s="452">
        <f t="shared" si="2"/>
        <v>0</v>
      </c>
      <c r="AR26" s="452">
        <f t="shared" si="3"/>
        <v>0</v>
      </c>
      <c r="AS26" s="453">
        <f t="shared" si="18"/>
        <v>0</v>
      </c>
      <c r="AT26" s="450" t="e">
        <f t="shared" si="0"/>
        <v>#DIV/0!</v>
      </c>
      <c r="AU26" s="456"/>
    </row>
    <row r="27" spans="1:47" s="2" customFormat="1" ht="13.8" x14ac:dyDescent="0.25">
      <c r="A27" s="238"/>
      <c r="B27" s="471" t="s">
        <v>25</v>
      </c>
      <c r="C27" s="452"/>
      <c r="D27" s="452"/>
      <c r="E27" s="453">
        <f t="shared" si="4"/>
        <v>0</v>
      </c>
      <c r="F27" s="450">
        <f t="shared" si="1"/>
        <v>0</v>
      </c>
      <c r="G27" s="456"/>
      <c r="H27" s="452"/>
      <c r="I27" s="452"/>
      <c r="J27" s="453">
        <f t="shared" si="5"/>
        <v>0</v>
      </c>
      <c r="K27" s="450" t="e">
        <f t="shared" si="6"/>
        <v>#DIV/0!</v>
      </c>
      <c r="L27" s="895"/>
      <c r="M27" s="452"/>
      <c r="N27" s="452"/>
      <c r="O27" s="453">
        <f t="shared" si="7"/>
        <v>0</v>
      </c>
      <c r="P27" s="450" t="e">
        <f t="shared" si="19"/>
        <v>#DIV/0!</v>
      </c>
      <c r="Q27" s="458"/>
      <c r="R27" s="452"/>
      <c r="S27" s="452"/>
      <c r="T27" s="453">
        <f t="shared" si="8"/>
        <v>0</v>
      </c>
      <c r="U27" s="450" t="e">
        <f t="shared" si="9"/>
        <v>#DIV/0!</v>
      </c>
      <c r="V27" s="458"/>
      <c r="W27" s="452"/>
      <c r="X27" s="452"/>
      <c r="Y27" s="453">
        <f t="shared" si="10"/>
        <v>0</v>
      </c>
      <c r="Z27" s="450" t="e">
        <f t="shared" si="11"/>
        <v>#DIV/0!</v>
      </c>
      <c r="AA27" s="730"/>
      <c r="AB27" s="560"/>
      <c r="AC27" s="452"/>
      <c r="AD27" s="453">
        <f t="shared" si="12"/>
        <v>0</v>
      </c>
      <c r="AE27" s="450" t="e">
        <f t="shared" si="13"/>
        <v>#DIV/0!</v>
      </c>
      <c r="AF27" s="458"/>
      <c r="AG27" s="560"/>
      <c r="AH27" s="452"/>
      <c r="AI27" s="453">
        <f t="shared" si="14"/>
        <v>0</v>
      </c>
      <c r="AJ27" s="450" t="e">
        <f t="shared" si="15"/>
        <v>#DIV/0!</v>
      </c>
      <c r="AK27" s="458"/>
      <c r="AL27" s="560"/>
      <c r="AM27" s="452"/>
      <c r="AN27" s="453">
        <f t="shared" si="16"/>
        <v>0</v>
      </c>
      <c r="AO27" s="450" t="e">
        <f t="shared" si="17"/>
        <v>#DIV/0!</v>
      </c>
      <c r="AP27" s="458"/>
      <c r="AQ27" s="452">
        <f t="shared" si="2"/>
        <v>0</v>
      </c>
      <c r="AR27" s="452">
        <f t="shared" si="3"/>
        <v>0</v>
      </c>
      <c r="AS27" s="453">
        <f t="shared" si="18"/>
        <v>0</v>
      </c>
      <c r="AT27" s="450" t="e">
        <f t="shared" si="0"/>
        <v>#DIV/0!</v>
      </c>
      <c r="AU27" s="456"/>
    </row>
    <row r="28" spans="1:47" s="226" customFormat="1" ht="13.8" x14ac:dyDescent="0.25">
      <c r="A28" s="238"/>
      <c r="B28" s="496" t="s">
        <v>52</v>
      </c>
      <c r="C28" s="452"/>
      <c r="D28" s="452"/>
      <c r="E28" s="453">
        <f t="shared" si="4"/>
        <v>0</v>
      </c>
      <c r="F28" s="450">
        <f t="shared" si="1"/>
        <v>0</v>
      </c>
      <c r="G28" s="456"/>
      <c r="H28" s="452"/>
      <c r="I28" s="452"/>
      <c r="J28" s="453">
        <f t="shared" si="5"/>
        <v>0</v>
      </c>
      <c r="K28" s="450" t="e">
        <f t="shared" si="6"/>
        <v>#DIV/0!</v>
      </c>
      <c r="L28" s="894"/>
      <c r="M28" s="452"/>
      <c r="N28" s="452"/>
      <c r="O28" s="453">
        <f t="shared" si="7"/>
        <v>0</v>
      </c>
      <c r="P28" s="450" t="e">
        <f t="shared" si="19"/>
        <v>#DIV/0!</v>
      </c>
      <c r="Q28" s="458"/>
      <c r="R28" s="452"/>
      <c r="S28" s="452"/>
      <c r="T28" s="453">
        <f t="shared" si="8"/>
        <v>0</v>
      </c>
      <c r="U28" s="450" t="e">
        <f t="shared" si="9"/>
        <v>#DIV/0!</v>
      </c>
      <c r="V28" s="458"/>
      <c r="W28" s="452"/>
      <c r="X28" s="452"/>
      <c r="Y28" s="453">
        <f t="shared" si="10"/>
        <v>0</v>
      </c>
      <c r="Z28" s="450" t="e">
        <f t="shared" si="11"/>
        <v>#DIV/0!</v>
      </c>
      <c r="AA28" s="730"/>
      <c r="AB28" s="560"/>
      <c r="AC28" s="452"/>
      <c r="AD28" s="453">
        <f t="shared" si="12"/>
        <v>0</v>
      </c>
      <c r="AE28" s="450" t="e">
        <f t="shared" si="13"/>
        <v>#DIV/0!</v>
      </c>
      <c r="AF28" s="458"/>
      <c r="AG28" s="560"/>
      <c r="AH28" s="452"/>
      <c r="AI28" s="453">
        <f t="shared" si="14"/>
        <v>0</v>
      </c>
      <c r="AJ28" s="450" t="e">
        <f t="shared" si="15"/>
        <v>#DIV/0!</v>
      </c>
      <c r="AK28" s="458"/>
      <c r="AL28" s="560"/>
      <c r="AM28" s="452"/>
      <c r="AN28" s="453">
        <f t="shared" si="16"/>
        <v>0</v>
      </c>
      <c r="AO28" s="450" t="e">
        <f t="shared" si="17"/>
        <v>#DIV/0!</v>
      </c>
      <c r="AP28" s="458"/>
      <c r="AQ28" s="452">
        <f t="shared" si="2"/>
        <v>0</v>
      </c>
      <c r="AR28" s="452">
        <f t="shared" si="3"/>
        <v>0</v>
      </c>
      <c r="AS28" s="453">
        <f t="shared" si="18"/>
        <v>0</v>
      </c>
      <c r="AT28" s="450" t="e">
        <f t="shared" si="0"/>
        <v>#DIV/0!</v>
      </c>
      <c r="AU28" s="456"/>
    </row>
    <row r="29" spans="1:47" s="2" customFormat="1" ht="13.8" x14ac:dyDescent="0.25">
      <c r="A29" s="238"/>
      <c r="B29" s="471" t="s">
        <v>31</v>
      </c>
      <c r="C29" s="452"/>
      <c r="D29" s="452"/>
      <c r="E29" s="453">
        <f t="shared" si="4"/>
        <v>0</v>
      </c>
      <c r="F29" s="450">
        <f t="shared" si="1"/>
        <v>0</v>
      </c>
      <c r="G29" s="454"/>
      <c r="H29" s="452"/>
      <c r="I29" s="452"/>
      <c r="J29" s="453">
        <f t="shared" si="5"/>
        <v>0</v>
      </c>
      <c r="K29" s="450" t="e">
        <f t="shared" si="6"/>
        <v>#DIV/0!</v>
      </c>
      <c r="L29" s="894"/>
      <c r="M29" s="452"/>
      <c r="N29" s="452"/>
      <c r="O29" s="453">
        <f t="shared" si="7"/>
        <v>0</v>
      </c>
      <c r="P29" s="450" t="e">
        <f t="shared" si="19"/>
        <v>#DIV/0!</v>
      </c>
      <c r="Q29" s="458"/>
      <c r="R29" s="452"/>
      <c r="S29" s="452"/>
      <c r="T29" s="453">
        <f t="shared" si="8"/>
        <v>0</v>
      </c>
      <c r="U29" s="450" t="e">
        <f t="shared" si="9"/>
        <v>#DIV/0!</v>
      </c>
      <c r="V29" s="458"/>
      <c r="W29" s="452"/>
      <c r="X29" s="452"/>
      <c r="Y29" s="453">
        <f t="shared" si="10"/>
        <v>0</v>
      </c>
      <c r="Z29" s="450" t="e">
        <f t="shared" si="11"/>
        <v>#DIV/0!</v>
      </c>
      <c r="AA29" s="730"/>
      <c r="AB29" s="560"/>
      <c r="AC29" s="452"/>
      <c r="AD29" s="453">
        <f t="shared" si="12"/>
        <v>0</v>
      </c>
      <c r="AE29" s="450" t="e">
        <f t="shared" si="13"/>
        <v>#DIV/0!</v>
      </c>
      <c r="AF29" s="458"/>
      <c r="AG29" s="560"/>
      <c r="AH29" s="452"/>
      <c r="AI29" s="453">
        <f t="shared" si="14"/>
        <v>0</v>
      </c>
      <c r="AJ29" s="450" t="e">
        <f t="shared" si="15"/>
        <v>#DIV/0!</v>
      </c>
      <c r="AK29" s="458"/>
      <c r="AL29" s="560"/>
      <c r="AM29" s="452"/>
      <c r="AN29" s="453">
        <f t="shared" si="16"/>
        <v>0</v>
      </c>
      <c r="AO29" s="450" t="e">
        <f t="shared" si="17"/>
        <v>#DIV/0!</v>
      </c>
      <c r="AP29" s="458"/>
      <c r="AQ29" s="452">
        <f t="shared" si="2"/>
        <v>0</v>
      </c>
      <c r="AR29" s="452">
        <f t="shared" si="3"/>
        <v>0</v>
      </c>
      <c r="AS29" s="453">
        <f t="shared" si="18"/>
        <v>0</v>
      </c>
      <c r="AT29" s="450" t="e">
        <f t="shared" si="0"/>
        <v>#DIV/0!</v>
      </c>
      <c r="AU29" s="498"/>
    </row>
    <row r="30" spans="1:47" s="2" customFormat="1" ht="13.8" x14ac:dyDescent="0.25">
      <c r="A30" s="238"/>
      <c r="B30" s="471" t="s">
        <v>62</v>
      </c>
      <c r="C30" s="452"/>
      <c r="D30" s="452"/>
      <c r="E30" s="453">
        <f t="shared" si="4"/>
        <v>0</v>
      </c>
      <c r="F30" s="450">
        <f t="shared" si="1"/>
        <v>0</v>
      </c>
      <c r="G30" s="498"/>
      <c r="H30" s="452"/>
      <c r="I30" s="452"/>
      <c r="J30" s="453">
        <f t="shared" si="5"/>
        <v>0</v>
      </c>
      <c r="K30" s="450" t="e">
        <f t="shared" si="6"/>
        <v>#DIV/0!</v>
      </c>
      <c r="L30" s="896"/>
      <c r="M30" s="452"/>
      <c r="N30" s="452"/>
      <c r="O30" s="453">
        <f t="shared" si="7"/>
        <v>0</v>
      </c>
      <c r="P30" s="450" t="e">
        <f t="shared" si="19"/>
        <v>#DIV/0!</v>
      </c>
      <c r="Q30" s="458"/>
      <c r="R30" s="452"/>
      <c r="S30" s="452"/>
      <c r="T30" s="453">
        <f t="shared" si="8"/>
        <v>0</v>
      </c>
      <c r="U30" s="450" t="e">
        <f t="shared" si="9"/>
        <v>#DIV/0!</v>
      </c>
      <c r="V30" s="458"/>
      <c r="W30" s="452"/>
      <c r="X30" s="452"/>
      <c r="Y30" s="453">
        <f t="shared" si="10"/>
        <v>0</v>
      </c>
      <c r="Z30" s="450" t="e">
        <f t="shared" si="11"/>
        <v>#DIV/0!</v>
      </c>
      <c r="AA30" s="730"/>
      <c r="AB30" s="560"/>
      <c r="AC30" s="452"/>
      <c r="AD30" s="453">
        <f t="shared" si="12"/>
        <v>0</v>
      </c>
      <c r="AE30" s="450" t="e">
        <f t="shared" si="13"/>
        <v>#DIV/0!</v>
      </c>
      <c r="AF30" s="458"/>
      <c r="AG30" s="560"/>
      <c r="AH30" s="452"/>
      <c r="AI30" s="453">
        <f t="shared" si="14"/>
        <v>0</v>
      </c>
      <c r="AJ30" s="450" t="e">
        <f t="shared" si="15"/>
        <v>#DIV/0!</v>
      </c>
      <c r="AK30" s="458"/>
      <c r="AL30" s="560"/>
      <c r="AM30" s="452"/>
      <c r="AN30" s="453">
        <f t="shared" si="16"/>
        <v>0</v>
      </c>
      <c r="AO30" s="450" t="e">
        <f t="shared" si="17"/>
        <v>#DIV/0!</v>
      </c>
      <c r="AP30" s="458"/>
      <c r="AQ30" s="452">
        <f t="shared" si="2"/>
        <v>0</v>
      </c>
      <c r="AR30" s="452">
        <f t="shared" si="3"/>
        <v>0</v>
      </c>
      <c r="AS30" s="453">
        <f t="shared" si="18"/>
        <v>0</v>
      </c>
      <c r="AT30" s="450" t="e">
        <f t="shared" si="0"/>
        <v>#DIV/0!</v>
      </c>
      <c r="AU30" s="498"/>
    </row>
    <row r="31" spans="1:47" s="2" customFormat="1" ht="13.8" x14ac:dyDescent="0.25">
      <c r="A31" s="238"/>
      <c r="B31" s="471" t="s">
        <v>34</v>
      </c>
      <c r="C31" s="452"/>
      <c r="D31" s="452"/>
      <c r="E31" s="453">
        <f t="shared" si="4"/>
        <v>0</v>
      </c>
      <c r="F31" s="450">
        <f t="shared" si="1"/>
        <v>0</v>
      </c>
      <c r="G31" s="498"/>
      <c r="H31" s="452"/>
      <c r="I31" s="452"/>
      <c r="J31" s="453">
        <f t="shared" si="5"/>
        <v>0</v>
      </c>
      <c r="K31" s="450" t="e">
        <f t="shared" si="6"/>
        <v>#DIV/0!</v>
      </c>
      <c r="L31" s="897"/>
      <c r="M31" s="452"/>
      <c r="N31" s="452"/>
      <c r="O31" s="453">
        <f t="shared" si="7"/>
        <v>0</v>
      </c>
      <c r="P31" s="450" t="e">
        <f t="shared" si="19"/>
        <v>#DIV/0!</v>
      </c>
      <c r="Q31" s="458"/>
      <c r="R31" s="452"/>
      <c r="S31" s="452"/>
      <c r="T31" s="453">
        <f t="shared" si="8"/>
        <v>0</v>
      </c>
      <c r="U31" s="450" t="e">
        <f t="shared" si="9"/>
        <v>#DIV/0!</v>
      </c>
      <c r="V31" s="458"/>
      <c r="W31" s="452"/>
      <c r="X31" s="452"/>
      <c r="Y31" s="453">
        <f t="shared" si="10"/>
        <v>0</v>
      </c>
      <c r="Z31" s="450" t="e">
        <f t="shared" si="11"/>
        <v>#DIV/0!</v>
      </c>
      <c r="AA31" s="730"/>
      <c r="AB31" s="560"/>
      <c r="AC31" s="452"/>
      <c r="AD31" s="453">
        <f t="shared" si="12"/>
        <v>0</v>
      </c>
      <c r="AE31" s="450" t="e">
        <f t="shared" si="13"/>
        <v>#DIV/0!</v>
      </c>
      <c r="AF31" s="458"/>
      <c r="AG31" s="560"/>
      <c r="AH31" s="452"/>
      <c r="AI31" s="453">
        <f t="shared" si="14"/>
        <v>0</v>
      </c>
      <c r="AJ31" s="450" t="e">
        <f t="shared" si="15"/>
        <v>#DIV/0!</v>
      </c>
      <c r="AK31" s="458"/>
      <c r="AL31" s="560"/>
      <c r="AM31" s="452"/>
      <c r="AN31" s="453">
        <f t="shared" si="16"/>
        <v>0</v>
      </c>
      <c r="AO31" s="450" t="e">
        <f t="shared" si="17"/>
        <v>#DIV/0!</v>
      </c>
      <c r="AP31" s="458"/>
      <c r="AQ31" s="452">
        <f t="shared" si="2"/>
        <v>0</v>
      </c>
      <c r="AR31" s="452">
        <f t="shared" si="3"/>
        <v>0</v>
      </c>
      <c r="AS31" s="453">
        <f t="shared" si="18"/>
        <v>0</v>
      </c>
      <c r="AT31" s="450" t="e">
        <f t="shared" si="0"/>
        <v>#DIV/0!</v>
      </c>
      <c r="AU31" s="498"/>
    </row>
    <row r="32" spans="1:47" s="2" customFormat="1" ht="13.8" x14ac:dyDescent="0.25">
      <c r="A32" s="238"/>
      <c r="B32" s="501" t="s">
        <v>2</v>
      </c>
      <c r="C32" s="452"/>
      <c r="D32" s="452"/>
      <c r="E32" s="453">
        <f t="shared" si="4"/>
        <v>0</v>
      </c>
      <c r="F32" s="450">
        <f t="shared" si="1"/>
        <v>0</v>
      </c>
      <c r="G32" s="498"/>
      <c r="H32" s="452"/>
      <c r="I32" s="452"/>
      <c r="J32" s="453">
        <f t="shared" si="5"/>
        <v>0</v>
      </c>
      <c r="K32" s="450" t="e">
        <f t="shared" si="6"/>
        <v>#DIV/0!</v>
      </c>
      <c r="L32" s="896"/>
      <c r="M32" s="452"/>
      <c r="N32" s="452"/>
      <c r="O32" s="453">
        <f t="shared" si="7"/>
        <v>0</v>
      </c>
      <c r="P32" s="450" t="e">
        <f t="shared" si="19"/>
        <v>#DIV/0!</v>
      </c>
      <c r="Q32" s="503"/>
      <c r="R32" s="452"/>
      <c r="S32" s="452"/>
      <c r="T32" s="453">
        <f t="shared" si="8"/>
        <v>0</v>
      </c>
      <c r="U32" s="450" t="e">
        <f t="shared" si="9"/>
        <v>#DIV/0!</v>
      </c>
      <c r="V32" s="503"/>
      <c r="W32" s="452"/>
      <c r="X32" s="452"/>
      <c r="Y32" s="453">
        <f t="shared" si="10"/>
        <v>0</v>
      </c>
      <c r="Z32" s="450" t="e">
        <f t="shared" si="11"/>
        <v>#DIV/0!</v>
      </c>
      <c r="AA32" s="731"/>
      <c r="AB32" s="560"/>
      <c r="AC32" s="452"/>
      <c r="AD32" s="453">
        <f t="shared" si="12"/>
        <v>0</v>
      </c>
      <c r="AE32" s="450" t="e">
        <f t="shared" si="13"/>
        <v>#DIV/0!</v>
      </c>
      <c r="AF32" s="503"/>
      <c r="AG32" s="560"/>
      <c r="AH32" s="452"/>
      <c r="AI32" s="453">
        <f t="shared" si="14"/>
        <v>0</v>
      </c>
      <c r="AJ32" s="450" t="e">
        <f t="shared" si="15"/>
        <v>#DIV/0!</v>
      </c>
      <c r="AK32" s="503"/>
      <c r="AL32" s="560"/>
      <c r="AM32" s="452"/>
      <c r="AN32" s="453">
        <f t="shared" si="16"/>
        <v>0</v>
      </c>
      <c r="AO32" s="450" t="e">
        <f t="shared" si="17"/>
        <v>#DIV/0!</v>
      </c>
      <c r="AP32" s="503"/>
      <c r="AQ32" s="452">
        <f t="shared" si="2"/>
        <v>0</v>
      </c>
      <c r="AR32" s="452">
        <f t="shared" si="3"/>
        <v>0</v>
      </c>
      <c r="AS32" s="453">
        <f t="shared" si="18"/>
        <v>0</v>
      </c>
      <c r="AT32" s="450" t="e">
        <f t="shared" si="0"/>
        <v>#DIV/0!</v>
      </c>
      <c r="AU32" s="498"/>
    </row>
    <row r="33" spans="1:47" s="2" customFormat="1" ht="14.4" thickBot="1" x14ac:dyDescent="0.3">
      <c r="A33" s="238"/>
      <c r="B33" s="504" t="s">
        <v>75</v>
      </c>
      <c r="C33" s="512"/>
      <c r="D33" s="512"/>
      <c r="E33" s="513">
        <f t="shared" si="4"/>
        <v>0</v>
      </c>
      <c r="F33" s="508">
        <f t="shared" si="1"/>
        <v>0</v>
      </c>
      <c r="G33" s="514"/>
      <c r="H33" s="512"/>
      <c r="I33" s="512"/>
      <c r="J33" s="513">
        <f t="shared" si="5"/>
        <v>0</v>
      </c>
      <c r="K33" s="508" t="e">
        <f t="shared" si="6"/>
        <v>#DIV/0!</v>
      </c>
      <c r="L33" s="898"/>
      <c r="M33" s="512"/>
      <c r="N33" s="512"/>
      <c r="O33" s="513">
        <f t="shared" si="7"/>
        <v>0</v>
      </c>
      <c r="P33" s="508" t="e">
        <f t="shared" si="19"/>
        <v>#DIV/0!</v>
      </c>
      <c r="Q33" s="515"/>
      <c r="R33" s="512"/>
      <c r="S33" s="512"/>
      <c r="T33" s="513">
        <f t="shared" si="8"/>
        <v>0</v>
      </c>
      <c r="U33" s="508" t="e">
        <f t="shared" si="9"/>
        <v>#DIV/0!</v>
      </c>
      <c r="V33" s="515"/>
      <c r="W33" s="512"/>
      <c r="X33" s="512"/>
      <c r="Y33" s="513">
        <f t="shared" si="10"/>
        <v>0</v>
      </c>
      <c r="Z33" s="508" t="e">
        <f t="shared" si="11"/>
        <v>#DIV/0!</v>
      </c>
      <c r="AA33" s="804"/>
      <c r="AB33" s="600"/>
      <c r="AC33" s="512"/>
      <c r="AD33" s="513">
        <f t="shared" si="12"/>
        <v>0</v>
      </c>
      <c r="AE33" s="508" t="e">
        <f t="shared" si="13"/>
        <v>#DIV/0!</v>
      </c>
      <c r="AF33" s="515"/>
      <c r="AG33" s="600"/>
      <c r="AH33" s="512"/>
      <c r="AI33" s="513">
        <f t="shared" si="14"/>
        <v>0</v>
      </c>
      <c r="AJ33" s="508" t="e">
        <f t="shared" si="15"/>
        <v>#DIV/0!</v>
      </c>
      <c r="AK33" s="515"/>
      <c r="AL33" s="600"/>
      <c r="AM33" s="512"/>
      <c r="AN33" s="513">
        <f t="shared" si="16"/>
        <v>0</v>
      </c>
      <c r="AO33" s="508" t="e">
        <f t="shared" si="17"/>
        <v>#DIV/0!</v>
      </c>
      <c r="AP33" s="515"/>
      <c r="AQ33" s="512">
        <f t="shared" si="2"/>
        <v>0</v>
      </c>
      <c r="AR33" s="512">
        <f t="shared" si="3"/>
        <v>0</v>
      </c>
      <c r="AS33" s="513">
        <f t="shared" si="18"/>
        <v>0</v>
      </c>
      <c r="AT33" s="508" t="e">
        <f t="shared" si="0"/>
        <v>#DIV/0!</v>
      </c>
      <c r="AU33" s="514"/>
    </row>
    <row r="34" spans="1:47" s="2" customFormat="1" ht="13.8" x14ac:dyDescent="0.25">
      <c r="A34" s="238"/>
      <c r="B34" s="473"/>
      <c r="C34" s="452"/>
      <c r="D34" s="452"/>
      <c r="E34" s="476"/>
      <c r="F34" s="476"/>
      <c r="G34" s="476"/>
      <c r="H34" s="452"/>
      <c r="I34" s="452"/>
      <c r="J34" s="476"/>
      <c r="K34" s="476"/>
      <c r="L34" s="476"/>
      <c r="M34" s="452"/>
      <c r="N34" s="452"/>
      <c r="O34" s="476"/>
      <c r="P34" s="476"/>
      <c r="Q34" s="476"/>
      <c r="R34" s="452"/>
      <c r="S34" s="452"/>
      <c r="T34" s="476"/>
      <c r="U34" s="476"/>
      <c r="V34" s="476"/>
      <c r="W34" s="452"/>
      <c r="X34" s="452"/>
      <c r="Y34" s="476"/>
      <c r="Z34" s="476"/>
      <c r="AA34" s="764"/>
      <c r="AB34" s="560"/>
      <c r="AC34" s="452"/>
      <c r="AD34" s="476"/>
      <c r="AE34" s="476"/>
      <c r="AF34" s="476"/>
      <c r="AG34" s="560"/>
      <c r="AH34" s="452"/>
      <c r="AI34" s="476"/>
      <c r="AJ34" s="476"/>
      <c r="AK34" s="476"/>
      <c r="AL34" s="560"/>
      <c r="AM34" s="452"/>
      <c r="AN34" s="476"/>
      <c r="AO34" s="476"/>
      <c r="AP34" s="476"/>
      <c r="AQ34" s="452"/>
      <c r="AR34" s="452"/>
      <c r="AS34" s="476"/>
      <c r="AT34" s="476"/>
      <c r="AU34" s="476"/>
    </row>
    <row r="35" spans="1:47" s="88" customFormat="1" ht="13.8" x14ac:dyDescent="0.25">
      <c r="A35" s="238"/>
      <c r="B35" s="89" t="s">
        <v>80</v>
      </c>
      <c r="C35" s="90">
        <f>C36</f>
        <v>0</v>
      </c>
      <c r="D35" s="90">
        <f>D36</f>
        <v>0</v>
      </c>
      <c r="E35" s="91">
        <f>E36</f>
        <v>0</v>
      </c>
      <c r="F35" s="91">
        <f t="shared" si="1"/>
        <v>0</v>
      </c>
      <c r="G35" s="91"/>
      <c r="H35" s="90">
        <f>H36</f>
        <v>0</v>
      </c>
      <c r="I35" s="90">
        <f>I36</f>
        <v>0</v>
      </c>
      <c r="J35" s="91">
        <f>J36</f>
        <v>0</v>
      </c>
      <c r="K35" s="91"/>
      <c r="L35" s="404"/>
      <c r="M35" s="90">
        <f>M36</f>
        <v>0</v>
      </c>
      <c r="N35" s="90">
        <f>N36</f>
        <v>0</v>
      </c>
      <c r="O35" s="91">
        <f>O36</f>
        <v>0</v>
      </c>
      <c r="P35" s="91"/>
      <c r="Q35" s="404"/>
      <c r="R35" s="90">
        <f>R36</f>
        <v>0</v>
      </c>
      <c r="S35" s="90">
        <f>S36</f>
        <v>0</v>
      </c>
      <c r="T35" s="91">
        <f>T36</f>
        <v>0</v>
      </c>
      <c r="U35" s="91"/>
      <c r="V35" s="404"/>
      <c r="W35" s="90">
        <f>W36</f>
        <v>0</v>
      </c>
      <c r="X35" s="90">
        <f>X36</f>
        <v>0</v>
      </c>
      <c r="Y35" s="91">
        <f>Y36</f>
        <v>0</v>
      </c>
      <c r="Z35" s="91"/>
      <c r="AA35" s="634"/>
      <c r="AB35" s="536">
        <f>AB36</f>
        <v>0</v>
      </c>
      <c r="AC35" s="536">
        <f>AC36</f>
        <v>0</v>
      </c>
      <c r="AD35" s="658">
        <f>AD36</f>
        <v>0</v>
      </c>
      <c r="AE35" s="658"/>
      <c r="AF35" s="659"/>
      <c r="AG35" s="536">
        <f>AG36</f>
        <v>0</v>
      </c>
      <c r="AH35" s="536">
        <f>AH36</f>
        <v>0</v>
      </c>
      <c r="AI35" s="658">
        <f>AI36</f>
        <v>0</v>
      </c>
      <c r="AJ35" s="658"/>
      <c r="AK35" s="659"/>
      <c r="AL35" s="536">
        <f>AL36</f>
        <v>0</v>
      </c>
      <c r="AM35" s="536">
        <f>AM36</f>
        <v>0</v>
      </c>
      <c r="AN35" s="658">
        <f>AN36</f>
        <v>0</v>
      </c>
      <c r="AO35" s="658"/>
      <c r="AP35" s="659"/>
      <c r="AQ35" s="90">
        <f>AQ36</f>
        <v>0</v>
      </c>
      <c r="AR35" s="90">
        <f>AR36</f>
        <v>0</v>
      </c>
      <c r="AS35" s="91">
        <f>AS36</f>
        <v>0</v>
      </c>
      <c r="AT35" s="91"/>
      <c r="AU35" s="91"/>
    </row>
    <row r="36" spans="1:47" s="226" customFormat="1" ht="13.8" x14ac:dyDescent="0.25">
      <c r="A36" s="238"/>
      <c r="B36" s="19" t="s">
        <v>81</v>
      </c>
      <c r="C36" s="39"/>
      <c r="D36" s="39"/>
      <c r="E36" s="106">
        <f>C36+D36*1</f>
        <v>0</v>
      </c>
      <c r="F36" s="178">
        <f t="shared" si="1"/>
        <v>0</v>
      </c>
      <c r="G36" s="45"/>
      <c r="H36" s="39"/>
      <c r="I36" s="39"/>
      <c r="J36" s="106">
        <f>H36+I36*1</f>
        <v>0</v>
      </c>
      <c r="K36" s="178" t="e">
        <f>J36/$J$89</f>
        <v>#DIV/0!</v>
      </c>
      <c r="L36" s="405"/>
      <c r="M36" s="39"/>
      <c r="N36" s="39"/>
      <c r="O36" s="106">
        <f>M36+N36*1</f>
        <v>0</v>
      </c>
      <c r="P36" s="178" t="e">
        <f>O36/$O$89</f>
        <v>#DIV/0!</v>
      </c>
      <c r="Q36" s="405"/>
      <c r="R36" s="39"/>
      <c r="S36" s="39"/>
      <c r="T36" s="106">
        <f>R36+S36*1</f>
        <v>0</v>
      </c>
      <c r="U36" s="178" t="e">
        <f>T36/$O$89</f>
        <v>#DIV/0!</v>
      </c>
      <c r="V36" s="405"/>
      <c r="W36" s="39"/>
      <c r="X36" s="39"/>
      <c r="Y36" s="106">
        <f>W36+X36*1</f>
        <v>0</v>
      </c>
      <c r="Z36" s="178" t="e">
        <f>Y36/$O$89</f>
        <v>#DIV/0!</v>
      </c>
      <c r="AA36" s="732"/>
      <c r="AB36" s="560"/>
      <c r="AC36" s="452"/>
      <c r="AD36" s="446">
        <f>AB36+AC36*1</f>
        <v>0</v>
      </c>
      <c r="AE36" s="450" t="e">
        <f>AD36/$AD$89</f>
        <v>#DIV/0!</v>
      </c>
      <c r="AF36" s="745"/>
      <c r="AG36" s="560"/>
      <c r="AH36" s="452"/>
      <c r="AI36" s="446">
        <f>AG36+AH36*1</f>
        <v>0</v>
      </c>
      <c r="AJ36" s="450" t="e">
        <f>AI36/$AD$89</f>
        <v>#DIV/0!</v>
      </c>
      <c r="AK36" s="745"/>
      <c r="AL36" s="560"/>
      <c r="AM36" s="452"/>
      <c r="AN36" s="446">
        <f>AL36+AM36*1</f>
        <v>0</v>
      </c>
      <c r="AO36" s="450" t="e">
        <f>AN36/$AD$89</f>
        <v>#DIV/0!</v>
      </c>
      <c r="AP36" s="745"/>
      <c r="AQ36" s="39">
        <f>C36+H36</f>
        <v>0</v>
      </c>
      <c r="AR36" s="39">
        <f>D36+I36</f>
        <v>0</v>
      </c>
      <c r="AS36" s="106">
        <f>AQ36+AR36*1</f>
        <v>0</v>
      </c>
      <c r="AT36" s="178" t="e">
        <f>AS36/$AS$89</f>
        <v>#DIV/0!</v>
      </c>
      <c r="AU36" s="45"/>
    </row>
    <row r="37" spans="1:47" s="2" customFormat="1" ht="14.4" thickBot="1" x14ac:dyDescent="0.3">
      <c r="A37" s="4"/>
      <c r="B37" s="14"/>
      <c r="C37" s="39"/>
      <c r="D37" s="39"/>
      <c r="E37" s="52"/>
      <c r="F37" s="52"/>
      <c r="G37" s="52"/>
      <c r="H37" s="39"/>
      <c r="I37" s="39"/>
      <c r="J37" s="52"/>
      <c r="K37" s="52"/>
      <c r="L37" s="64"/>
      <c r="M37" s="39"/>
      <c r="N37" s="39"/>
      <c r="O37" s="52"/>
      <c r="P37" s="52"/>
      <c r="Q37" s="64"/>
      <c r="R37" s="39"/>
      <c r="S37" s="39"/>
      <c r="T37" s="52"/>
      <c r="U37" s="52"/>
      <c r="V37" s="64"/>
      <c r="W37" s="39"/>
      <c r="X37" s="39"/>
      <c r="Y37" s="52"/>
      <c r="Z37" s="52"/>
      <c r="AA37" s="603"/>
      <c r="AB37" s="560"/>
      <c r="AC37" s="452"/>
      <c r="AD37" s="606"/>
      <c r="AE37" s="606"/>
      <c r="AF37" s="588"/>
      <c r="AG37" s="560"/>
      <c r="AH37" s="452"/>
      <c r="AI37" s="606"/>
      <c r="AJ37" s="606"/>
      <c r="AK37" s="588"/>
      <c r="AL37" s="560"/>
      <c r="AM37" s="452"/>
      <c r="AN37" s="606"/>
      <c r="AO37" s="606"/>
      <c r="AP37" s="588"/>
      <c r="AQ37" s="39"/>
      <c r="AR37" s="39"/>
      <c r="AS37" s="52"/>
      <c r="AT37" s="52"/>
      <c r="AU37" s="52"/>
    </row>
    <row r="38" spans="1:47" ht="14.4" thickBot="1" x14ac:dyDescent="0.3">
      <c r="A38" s="33"/>
      <c r="B38" s="34" t="s">
        <v>46</v>
      </c>
      <c r="C38" s="53">
        <f>(C5)-(C8)</f>
        <v>0</v>
      </c>
      <c r="D38" s="53">
        <f>(D5)-(D8)</f>
        <v>0</v>
      </c>
      <c r="E38" s="53">
        <f>(E5)-(E8)</f>
        <v>0</v>
      </c>
      <c r="F38" s="53">
        <f t="shared" si="1"/>
        <v>0</v>
      </c>
      <c r="G38" s="53"/>
      <c r="H38" s="53">
        <f>(H5)-(H8)</f>
        <v>0</v>
      </c>
      <c r="I38" s="53">
        <f>(I5)-(I8)</f>
        <v>0</v>
      </c>
      <c r="J38" s="53">
        <f>(J5)-(J8)</f>
        <v>0</v>
      </c>
      <c r="K38" s="53"/>
      <c r="L38" s="406"/>
      <c r="M38" s="53">
        <f>(M5)-(M8)</f>
        <v>0</v>
      </c>
      <c r="N38" s="53">
        <f>(N5)-(N8)</f>
        <v>0</v>
      </c>
      <c r="O38" s="53">
        <f>(O5)-(O8)</f>
        <v>0</v>
      </c>
      <c r="P38" s="53"/>
      <c r="Q38" s="406"/>
      <c r="R38" s="53">
        <f>(R5)-(R8)</f>
        <v>0</v>
      </c>
      <c r="S38" s="53">
        <f>(S5)-(S8)</f>
        <v>0</v>
      </c>
      <c r="T38" s="53">
        <f>(T5)-(T8)</f>
        <v>0</v>
      </c>
      <c r="U38" s="53"/>
      <c r="V38" s="406"/>
      <c r="W38" s="53">
        <f>(W5)-(W8)</f>
        <v>0</v>
      </c>
      <c r="X38" s="53">
        <f>(X5)-(X8)</f>
        <v>0</v>
      </c>
      <c r="Y38" s="53">
        <f>(Y5)-(Y8)</f>
        <v>0</v>
      </c>
      <c r="Z38" s="53"/>
      <c r="AA38" s="733"/>
      <c r="AB38" s="648">
        <f>(AB5)-(AB8)</f>
        <v>0</v>
      </c>
      <c r="AC38" s="648">
        <f>(AC5)-(AC8)</f>
        <v>0</v>
      </c>
      <c r="AD38" s="648">
        <f>(AD5)-(AD8)</f>
        <v>0</v>
      </c>
      <c r="AE38" s="648"/>
      <c r="AF38" s="636"/>
      <c r="AG38" s="648">
        <f>(AG5)-(AG8)</f>
        <v>0</v>
      </c>
      <c r="AH38" s="648">
        <f>(AH5)-(AH8)</f>
        <v>0</v>
      </c>
      <c r="AI38" s="648">
        <f>(AI5)-(AI8)</f>
        <v>0</v>
      </c>
      <c r="AJ38" s="648"/>
      <c r="AK38" s="636"/>
      <c r="AL38" s="648">
        <f>(AL5)-(AL8)</f>
        <v>0</v>
      </c>
      <c r="AM38" s="648">
        <f>(AM5)-(AM8)</f>
        <v>0</v>
      </c>
      <c r="AN38" s="648">
        <f>(AN5)-(AN8)</f>
        <v>0</v>
      </c>
      <c r="AO38" s="648"/>
      <c r="AP38" s="636"/>
      <c r="AQ38" s="53">
        <f>(AQ5)-(AQ8)</f>
        <v>0</v>
      </c>
      <c r="AR38" s="53">
        <f>(AR5)-(AR8)</f>
        <v>0</v>
      </c>
      <c r="AS38" s="53">
        <f>(AS5)-(AS8)</f>
        <v>0</v>
      </c>
      <c r="AT38" s="53"/>
      <c r="AU38" s="53"/>
    </row>
    <row r="39" spans="1:47" ht="13.8" x14ac:dyDescent="0.25">
      <c r="A39" s="293"/>
      <c r="B39" s="15" t="s">
        <v>47</v>
      </c>
      <c r="C39" s="54" t="e">
        <f>C38/(C5)</f>
        <v>#DIV/0!</v>
      </c>
      <c r="D39" s="54" t="e">
        <f>D38/(D5)</f>
        <v>#DIV/0!</v>
      </c>
      <c r="E39" s="55" t="e">
        <f>E38/(E5)</f>
        <v>#DIV/0!</v>
      </c>
      <c r="F39" s="55" t="e">
        <f t="shared" si="1"/>
        <v>#DIV/0!</v>
      </c>
      <c r="G39" s="55"/>
      <c r="H39" s="54" t="e">
        <f>H38/(H5)</f>
        <v>#DIV/0!</v>
      </c>
      <c r="I39" s="54" t="e">
        <f>I38/(I5)</f>
        <v>#DIV/0!</v>
      </c>
      <c r="J39" s="55" t="e">
        <f>J38/(J5)</f>
        <v>#DIV/0!</v>
      </c>
      <c r="K39" s="55"/>
      <c r="L39" s="407"/>
      <c r="M39" s="54" t="e">
        <f>M38/(M5)</f>
        <v>#DIV/0!</v>
      </c>
      <c r="N39" s="54" t="e">
        <f>N38/(N5)</f>
        <v>#DIV/0!</v>
      </c>
      <c r="O39" s="55" t="e">
        <f>O38/(O5)</f>
        <v>#DIV/0!</v>
      </c>
      <c r="P39" s="55"/>
      <c r="Q39" s="407"/>
      <c r="R39" s="54" t="e">
        <f>R38/(R5)</f>
        <v>#DIV/0!</v>
      </c>
      <c r="S39" s="54" t="e">
        <f>S38/(S5)</f>
        <v>#DIV/0!</v>
      </c>
      <c r="T39" s="55" t="e">
        <f>T38/(T5)</f>
        <v>#DIV/0!</v>
      </c>
      <c r="U39" s="55"/>
      <c r="V39" s="407"/>
      <c r="W39" s="54" t="e">
        <f>W38/(W5)</f>
        <v>#DIV/0!</v>
      </c>
      <c r="X39" s="54" t="e">
        <f>X38/(X5)</f>
        <v>#DIV/0!</v>
      </c>
      <c r="Y39" s="55" t="e">
        <f>Y38/(Y5)</f>
        <v>#DIV/0!</v>
      </c>
      <c r="Z39" s="55"/>
      <c r="AA39" s="716"/>
      <c r="AB39" s="639" t="e">
        <f>AB38/(AB5)</f>
        <v>#DIV/0!</v>
      </c>
      <c r="AC39" s="639" t="e">
        <f>AC38/(AC5)</f>
        <v>#DIV/0!</v>
      </c>
      <c r="AD39" s="660" t="e">
        <f>AD38/(AD5)</f>
        <v>#DIV/0!</v>
      </c>
      <c r="AE39" s="660"/>
      <c r="AF39" s="661"/>
      <c r="AG39" s="639" t="e">
        <f>AG38/(AG5)</f>
        <v>#DIV/0!</v>
      </c>
      <c r="AH39" s="639" t="e">
        <f>AH38/(AH5)</f>
        <v>#DIV/0!</v>
      </c>
      <c r="AI39" s="660" t="e">
        <f>AI38/(AI5)</f>
        <v>#DIV/0!</v>
      </c>
      <c r="AJ39" s="660"/>
      <c r="AK39" s="661"/>
      <c r="AL39" s="639" t="e">
        <f>AL38/(AL5)</f>
        <v>#DIV/0!</v>
      </c>
      <c r="AM39" s="639" t="e">
        <f>AM38/(AM5)</f>
        <v>#DIV/0!</v>
      </c>
      <c r="AN39" s="660" t="e">
        <f>AN38/(AN5)</f>
        <v>#DIV/0!</v>
      </c>
      <c r="AO39" s="660"/>
      <c r="AP39" s="661"/>
      <c r="AQ39" s="54" t="e">
        <f>AQ38/(AQ5)</f>
        <v>#DIV/0!</v>
      </c>
      <c r="AR39" s="54" t="e">
        <f>AR38/(AR5)</f>
        <v>#DIV/0!</v>
      </c>
      <c r="AS39" s="55" t="e">
        <f>AS38/(AS5)</f>
        <v>#DIV/0!</v>
      </c>
      <c r="AT39" s="55"/>
      <c r="AU39" s="55"/>
    </row>
    <row r="40" spans="1:47" ht="14.4" thickBot="1" x14ac:dyDescent="0.3">
      <c r="A40" s="295"/>
      <c r="B40" s="16"/>
      <c r="C40" s="58"/>
      <c r="D40" s="58"/>
      <c r="E40" s="58"/>
      <c r="F40" s="58">
        <f t="shared" si="1"/>
        <v>0</v>
      </c>
      <c r="G40" s="58"/>
      <c r="H40" s="58"/>
      <c r="I40" s="58"/>
      <c r="J40" s="58"/>
      <c r="K40" s="58"/>
      <c r="L40" s="408"/>
      <c r="M40" s="58"/>
      <c r="N40" s="58"/>
      <c r="O40" s="58"/>
      <c r="P40" s="58"/>
      <c r="Q40" s="408"/>
      <c r="R40" s="58"/>
      <c r="S40" s="58"/>
      <c r="T40" s="58"/>
      <c r="U40" s="58"/>
      <c r="V40" s="408"/>
      <c r="W40" s="58"/>
      <c r="X40" s="58"/>
      <c r="Y40" s="58"/>
      <c r="Z40" s="58"/>
      <c r="AA40" s="734"/>
      <c r="AB40" s="662"/>
      <c r="AC40" s="649"/>
      <c r="AD40" s="649"/>
      <c r="AE40" s="649"/>
      <c r="AF40" s="637"/>
      <c r="AG40" s="662"/>
      <c r="AH40" s="649"/>
      <c r="AI40" s="649"/>
      <c r="AJ40" s="649"/>
      <c r="AK40" s="637"/>
      <c r="AL40" s="662"/>
      <c r="AM40" s="649"/>
      <c r="AN40" s="649"/>
      <c r="AO40" s="649"/>
      <c r="AP40" s="637"/>
      <c r="AQ40" s="58"/>
      <c r="AR40" s="58"/>
      <c r="AS40" s="58"/>
      <c r="AT40" s="58"/>
      <c r="AU40" s="58"/>
    </row>
    <row r="41" spans="1:47" ht="13.8" x14ac:dyDescent="0.25">
      <c r="A41" s="11"/>
      <c r="B41" s="22" t="s">
        <v>26</v>
      </c>
      <c r="C41" s="117">
        <f>SUM(C42:C48)</f>
        <v>0</v>
      </c>
      <c r="D41" s="117">
        <f>SUM(D42:D48)</f>
        <v>0</v>
      </c>
      <c r="E41" s="118">
        <f>SUM(E42:E48)</f>
        <v>0</v>
      </c>
      <c r="F41" s="169">
        <f t="shared" si="1"/>
        <v>0</v>
      </c>
      <c r="G41" s="60"/>
      <c r="H41" s="117">
        <f>SUM(H42:H48)</f>
        <v>0</v>
      </c>
      <c r="I41" s="117">
        <f>SUM(I42:I48)</f>
        <v>0</v>
      </c>
      <c r="J41" s="118">
        <f>SUM(J42:J48)</f>
        <v>0</v>
      </c>
      <c r="K41" s="169" t="e">
        <f t="shared" ref="K41:K49" si="20">J41/$J$89</f>
        <v>#DIV/0!</v>
      </c>
      <c r="L41" s="409"/>
      <c r="M41" s="117">
        <f>SUM(M42:M48)</f>
        <v>0</v>
      </c>
      <c r="N41" s="117">
        <f>SUM(N42:N48)</f>
        <v>0</v>
      </c>
      <c r="O41" s="118">
        <f>SUM(O42:O48)</f>
        <v>0</v>
      </c>
      <c r="P41" s="169" t="e">
        <f>O41/$O$89</f>
        <v>#DIV/0!</v>
      </c>
      <c r="Q41" s="409"/>
      <c r="R41" s="117">
        <f>SUM(R42:R48)</f>
        <v>0</v>
      </c>
      <c r="S41" s="117">
        <f>SUM(S42:S48)</f>
        <v>0</v>
      </c>
      <c r="T41" s="118">
        <f>SUM(T42:T48)</f>
        <v>0</v>
      </c>
      <c r="U41" s="169" t="e">
        <f>T41/$O$89</f>
        <v>#DIV/0!</v>
      </c>
      <c r="V41" s="409"/>
      <c r="W41" s="117">
        <f>SUM(W42:W48)</f>
        <v>0</v>
      </c>
      <c r="X41" s="117">
        <f>SUM(X42:X48)</f>
        <v>0</v>
      </c>
      <c r="Y41" s="118">
        <f>SUM(Y42:Y48)</f>
        <v>0</v>
      </c>
      <c r="Z41" s="169" t="e">
        <f t="shared" ref="Z41:Z52" si="21">Y41/$Y$89</f>
        <v>#DIV/0!</v>
      </c>
      <c r="AA41" s="591"/>
      <c r="AB41" s="547">
        <f>SUM(AB42:AB48)</f>
        <v>0</v>
      </c>
      <c r="AC41" s="547">
        <f>SUM(AC42:AC48)</f>
        <v>0</v>
      </c>
      <c r="AD41" s="663">
        <f>SUM(AD42:AD48)</f>
        <v>0</v>
      </c>
      <c r="AE41" s="664" t="e">
        <f t="shared" ref="AE41:AE52" si="22">AD41/$AD$89</f>
        <v>#DIV/0!</v>
      </c>
      <c r="AF41" s="665"/>
      <c r="AG41" s="547">
        <f>SUM(AG42:AG48)</f>
        <v>0</v>
      </c>
      <c r="AH41" s="547">
        <f>SUM(AH42:AH48)</f>
        <v>0</v>
      </c>
      <c r="AI41" s="663">
        <f>SUM(AI42:AI48)</f>
        <v>0</v>
      </c>
      <c r="AJ41" s="664" t="e">
        <f t="shared" ref="AJ41:AJ52" si="23">AI41/$AD$89</f>
        <v>#DIV/0!</v>
      </c>
      <c r="AK41" s="665"/>
      <c r="AL41" s="547">
        <f>SUM(AL42:AL48)</f>
        <v>0</v>
      </c>
      <c r="AM41" s="547">
        <f>SUM(AM42:AM48)</f>
        <v>0</v>
      </c>
      <c r="AN41" s="663">
        <f>SUM(AN42:AN48)</f>
        <v>0</v>
      </c>
      <c r="AO41" s="664" t="e">
        <f t="shared" ref="AO41:AO52" si="24">AN41/$AD$89</f>
        <v>#DIV/0!</v>
      </c>
      <c r="AP41" s="665"/>
      <c r="AQ41" s="117">
        <f>SUM(AQ42:AQ48)</f>
        <v>0</v>
      </c>
      <c r="AR41" s="117">
        <f>SUM(AR42:AR48)</f>
        <v>0</v>
      </c>
      <c r="AS41" s="118">
        <f>SUM(AS42:AS48)</f>
        <v>0</v>
      </c>
      <c r="AT41" s="169" t="e">
        <f>AS41/$AS$89</f>
        <v>#DIV/0!</v>
      </c>
      <c r="AU41" s="60"/>
    </row>
    <row r="42" spans="1:47" ht="13.8" x14ac:dyDescent="0.25">
      <c r="A42" s="4015"/>
      <c r="B42" s="18" t="s">
        <v>7</v>
      </c>
      <c r="C42" s="39"/>
      <c r="D42" s="39"/>
      <c r="E42" s="106">
        <f t="shared" ref="E42:E48" si="25">C42+D42*1</f>
        <v>0</v>
      </c>
      <c r="F42" s="178">
        <f t="shared" si="1"/>
        <v>0</v>
      </c>
      <c r="G42" s="79"/>
      <c r="H42" s="39"/>
      <c r="I42" s="39"/>
      <c r="J42" s="106">
        <f t="shared" ref="J42:J48" si="26">H42+I42*1</f>
        <v>0</v>
      </c>
      <c r="K42" s="178" t="e">
        <f t="shared" si="20"/>
        <v>#DIV/0!</v>
      </c>
      <c r="L42" s="259"/>
      <c r="M42" s="39"/>
      <c r="N42" s="39"/>
      <c r="O42" s="106">
        <f t="shared" ref="O42:O48" si="27">M42+N42*1</f>
        <v>0</v>
      </c>
      <c r="P42" s="178" t="e">
        <f t="shared" ref="P42:P52" si="28">O42/$O$89</f>
        <v>#DIV/0!</v>
      </c>
      <c r="Q42" s="259"/>
      <c r="R42" s="39"/>
      <c r="S42" s="39"/>
      <c r="T42" s="106">
        <f t="shared" ref="T42:T48" si="29">R42+S42*1</f>
        <v>0</v>
      </c>
      <c r="U42" s="178" t="e">
        <f t="shared" ref="U42:U49" si="30">T42/$O$89</f>
        <v>#DIV/0!</v>
      </c>
      <c r="V42" s="259"/>
      <c r="W42" s="39"/>
      <c r="X42" s="39"/>
      <c r="Y42" s="106">
        <f t="shared" ref="Y42:Y48" si="31">W42+X42*1</f>
        <v>0</v>
      </c>
      <c r="Z42" s="178" t="e">
        <f t="shared" si="21"/>
        <v>#DIV/0!</v>
      </c>
      <c r="AA42" s="731"/>
      <c r="AB42" s="560"/>
      <c r="AC42" s="452"/>
      <c r="AD42" s="446">
        <f t="shared" ref="AD42:AD48" si="32">AB42+AC42*1</f>
        <v>0</v>
      </c>
      <c r="AE42" s="450" t="e">
        <f t="shared" si="22"/>
        <v>#DIV/0!</v>
      </c>
      <c r="AF42" s="503"/>
      <c r="AG42" s="560"/>
      <c r="AH42" s="452"/>
      <c r="AI42" s="446">
        <f t="shared" ref="AI42:AI48" si="33">AG42+AH42*1</f>
        <v>0</v>
      </c>
      <c r="AJ42" s="450" t="e">
        <f t="shared" si="23"/>
        <v>#DIV/0!</v>
      </c>
      <c r="AK42" s="503"/>
      <c r="AL42" s="560"/>
      <c r="AM42" s="452"/>
      <c r="AN42" s="446">
        <f t="shared" ref="AN42:AN48" si="34">AL42+AM42*1</f>
        <v>0</v>
      </c>
      <c r="AO42" s="450" t="e">
        <f t="shared" si="24"/>
        <v>#DIV/0!</v>
      </c>
      <c r="AP42" s="503"/>
      <c r="AQ42" s="39">
        <f t="shared" ref="AQ42:AQ48" si="35">C42+H42</f>
        <v>0</v>
      </c>
      <c r="AR42" s="39">
        <f t="shared" ref="AR42:AR48" si="36">D42+I42</f>
        <v>0</v>
      </c>
      <c r="AS42" s="106">
        <f t="shared" ref="AS42:AS48" si="37">AQ42+AR42*1</f>
        <v>0</v>
      </c>
      <c r="AT42" s="178" t="e">
        <f t="shared" ref="AT42:AT72" si="38">AS42/$AS$89</f>
        <v>#DIV/0!</v>
      </c>
      <c r="AU42" s="79"/>
    </row>
    <row r="43" spans="1:47" ht="13.8" x14ac:dyDescent="0.25">
      <c r="A43" s="4015"/>
      <c r="B43" s="18" t="s">
        <v>27</v>
      </c>
      <c r="C43" s="39"/>
      <c r="D43" s="39"/>
      <c r="E43" s="106">
        <f t="shared" si="25"/>
        <v>0</v>
      </c>
      <c r="F43" s="178">
        <f t="shared" si="1"/>
        <v>0</v>
      </c>
      <c r="G43" s="79"/>
      <c r="H43" s="39"/>
      <c r="I43" s="39"/>
      <c r="J43" s="106">
        <f t="shared" si="26"/>
        <v>0</v>
      </c>
      <c r="K43" s="178" t="e">
        <f t="shared" si="20"/>
        <v>#DIV/0!</v>
      </c>
      <c r="L43" s="857"/>
      <c r="M43" s="39"/>
      <c r="N43" s="39"/>
      <c r="O43" s="106">
        <f t="shared" si="27"/>
        <v>0</v>
      </c>
      <c r="P43" s="178" t="e">
        <f t="shared" si="28"/>
        <v>#DIV/0!</v>
      </c>
      <c r="Q43" s="259"/>
      <c r="R43" s="39"/>
      <c r="S43" s="39"/>
      <c r="T43" s="106">
        <f t="shared" si="29"/>
        <v>0</v>
      </c>
      <c r="U43" s="178" t="e">
        <f t="shared" si="30"/>
        <v>#DIV/0!</v>
      </c>
      <c r="V43" s="259"/>
      <c r="W43" s="39"/>
      <c r="X43" s="39"/>
      <c r="Y43" s="106">
        <f t="shared" si="31"/>
        <v>0</v>
      </c>
      <c r="Z43" s="178" t="e">
        <f t="shared" si="21"/>
        <v>#DIV/0!</v>
      </c>
      <c r="AA43" s="731"/>
      <c r="AB43" s="560"/>
      <c r="AC43" s="452"/>
      <c r="AD43" s="446">
        <f t="shared" si="32"/>
        <v>0</v>
      </c>
      <c r="AE43" s="450" t="e">
        <f t="shared" si="22"/>
        <v>#DIV/0!</v>
      </c>
      <c r="AF43" s="503"/>
      <c r="AG43" s="560"/>
      <c r="AH43" s="452"/>
      <c r="AI43" s="446">
        <f t="shared" si="33"/>
        <v>0</v>
      </c>
      <c r="AJ43" s="450" t="e">
        <f t="shared" si="23"/>
        <v>#DIV/0!</v>
      </c>
      <c r="AK43" s="503"/>
      <c r="AL43" s="560"/>
      <c r="AM43" s="452"/>
      <c r="AN43" s="446">
        <f t="shared" si="34"/>
        <v>0</v>
      </c>
      <c r="AO43" s="450" t="e">
        <f t="shared" si="24"/>
        <v>#DIV/0!</v>
      </c>
      <c r="AP43" s="503"/>
      <c r="AQ43" s="39">
        <f t="shared" si="35"/>
        <v>0</v>
      </c>
      <c r="AR43" s="39">
        <f t="shared" si="36"/>
        <v>0</v>
      </c>
      <c r="AS43" s="106">
        <f t="shared" si="37"/>
        <v>0</v>
      </c>
      <c r="AT43" s="178" t="e">
        <f t="shared" si="38"/>
        <v>#DIV/0!</v>
      </c>
      <c r="AU43" s="79"/>
    </row>
    <row r="44" spans="1:47" ht="13.8" x14ac:dyDescent="0.25">
      <c r="A44" s="4015"/>
      <c r="B44" s="19" t="s">
        <v>28</v>
      </c>
      <c r="C44" s="39"/>
      <c r="D44" s="39"/>
      <c r="E44" s="106">
        <f t="shared" si="25"/>
        <v>0</v>
      </c>
      <c r="F44" s="178">
        <f t="shared" si="1"/>
        <v>0</v>
      </c>
      <c r="G44" s="79"/>
      <c r="H44" s="39"/>
      <c r="I44" s="39"/>
      <c r="J44" s="106">
        <f t="shared" si="26"/>
        <v>0</v>
      </c>
      <c r="K44" s="178" t="e">
        <f t="shared" si="20"/>
        <v>#DIV/0!</v>
      </c>
      <c r="L44" s="259"/>
      <c r="M44" s="39"/>
      <c r="N44" s="39"/>
      <c r="O44" s="106">
        <f t="shared" si="27"/>
        <v>0</v>
      </c>
      <c r="P44" s="178" t="e">
        <f t="shared" si="28"/>
        <v>#DIV/0!</v>
      </c>
      <c r="Q44" s="259"/>
      <c r="R44" s="39"/>
      <c r="S44" s="39"/>
      <c r="T44" s="106">
        <f t="shared" si="29"/>
        <v>0</v>
      </c>
      <c r="U44" s="178" t="e">
        <f t="shared" si="30"/>
        <v>#DIV/0!</v>
      </c>
      <c r="V44" s="259"/>
      <c r="W44" s="39"/>
      <c r="X44" s="39"/>
      <c r="Y44" s="106">
        <f t="shared" si="31"/>
        <v>0</v>
      </c>
      <c r="Z44" s="178" t="e">
        <f t="shared" si="21"/>
        <v>#DIV/0!</v>
      </c>
      <c r="AA44" s="731"/>
      <c r="AB44" s="560"/>
      <c r="AC44" s="452"/>
      <c r="AD44" s="446">
        <f t="shared" si="32"/>
        <v>0</v>
      </c>
      <c r="AE44" s="450" t="e">
        <f t="shared" si="22"/>
        <v>#DIV/0!</v>
      </c>
      <c r="AF44" s="503"/>
      <c r="AG44" s="560"/>
      <c r="AH44" s="452"/>
      <c r="AI44" s="446">
        <f t="shared" si="33"/>
        <v>0</v>
      </c>
      <c r="AJ44" s="450" t="e">
        <f t="shared" si="23"/>
        <v>#DIV/0!</v>
      </c>
      <c r="AK44" s="503"/>
      <c r="AL44" s="560"/>
      <c r="AM44" s="452"/>
      <c r="AN44" s="446">
        <f t="shared" si="34"/>
        <v>0</v>
      </c>
      <c r="AO44" s="450" t="e">
        <f t="shared" si="24"/>
        <v>#DIV/0!</v>
      </c>
      <c r="AP44" s="503"/>
      <c r="AQ44" s="39">
        <f t="shared" si="35"/>
        <v>0</v>
      </c>
      <c r="AR44" s="39">
        <f t="shared" si="36"/>
        <v>0</v>
      </c>
      <c r="AS44" s="106">
        <f t="shared" si="37"/>
        <v>0</v>
      </c>
      <c r="AT44" s="178" t="e">
        <f t="shared" si="38"/>
        <v>#DIV/0!</v>
      </c>
      <c r="AU44" s="79"/>
    </row>
    <row r="45" spans="1:47" ht="13.8" x14ac:dyDescent="0.25">
      <c r="A45" s="4015"/>
      <c r="B45" s="18" t="s">
        <v>8</v>
      </c>
      <c r="C45" s="39"/>
      <c r="D45" s="39"/>
      <c r="E45" s="106">
        <f t="shared" si="25"/>
        <v>0</v>
      </c>
      <c r="F45" s="178">
        <f t="shared" si="1"/>
        <v>0</v>
      </c>
      <c r="G45" s="79"/>
      <c r="H45" s="39"/>
      <c r="I45" s="39"/>
      <c r="J45" s="106">
        <f t="shared" si="26"/>
        <v>0</v>
      </c>
      <c r="K45" s="178" t="e">
        <f t="shared" si="20"/>
        <v>#DIV/0!</v>
      </c>
      <c r="L45" s="259"/>
      <c r="M45" s="39"/>
      <c r="N45" s="39"/>
      <c r="O45" s="106">
        <f t="shared" si="27"/>
        <v>0</v>
      </c>
      <c r="P45" s="178" t="e">
        <f t="shared" si="28"/>
        <v>#DIV/0!</v>
      </c>
      <c r="Q45" s="259"/>
      <c r="R45" s="39"/>
      <c r="S45" s="39"/>
      <c r="T45" s="106">
        <f t="shared" si="29"/>
        <v>0</v>
      </c>
      <c r="U45" s="178" t="e">
        <f t="shared" si="30"/>
        <v>#DIV/0!</v>
      </c>
      <c r="V45" s="259"/>
      <c r="W45" s="39"/>
      <c r="X45" s="39"/>
      <c r="Y45" s="106">
        <f t="shared" si="31"/>
        <v>0</v>
      </c>
      <c r="Z45" s="178" t="e">
        <f t="shared" si="21"/>
        <v>#DIV/0!</v>
      </c>
      <c r="AA45" s="731"/>
      <c r="AB45" s="560"/>
      <c r="AC45" s="452"/>
      <c r="AD45" s="446">
        <f t="shared" si="32"/>
        <v>0</v>
      </c>
      <c r="AE45" s="450" t="e">
        <f t="shared" si="22"/>
        <v>#DIV/0!</v>
      </c>
      <c r="AF45" s="503"/>
      <c r="AG45" s="560"/>
      <c r="AH45" s="452"/>
      <c r="AI45" s="446">
        <f t="shared" si="33"/>
        <v>0</v>
      </c>
      <c r="AJ45" s="450" t="e">
        <f t="shared" si="23"/>
        <v>#DIV/0!</v>
      </c>
      <c r="AK45" s="503"/>
      <c r="AL45" s="560"/>
      <c r="AM45" s="452"/>
      <c r="AN45" s="446">
        <f t="shared" si="34"/>
        <v>0</v>
      </c>
      <c r="AO45" s="450" t="e">
        <f t="shared" si="24"/>
        <v>#DIV/0!</v>
      </c>
      <c r="AP45" s="503"/>
      <c r="AQ45" s="39">
        <f t="shared" si="35"/>
        <v>0</v>
      </c>
      <c r="AR45" s="39">
        <f t="shared" si="36"/>
        <v>0</v>
      </c>
      <c r="AS45" s="106">
        <f t="shared" si="37"/>
        <v>0</v>
      </c>
      <c r="AT45" s="178" t="e">
        <f t="shared" si="38"/>
        <v>#DIV/0!</v>
      </c>
      <c r="AU45" s="79"/>
    </row>
    <row r="46" spans="1:47" ht="13.8" x14ac:dyDescent="0.25">
      <c r="A46" s="4015"/>
      <c r="B46" s="18" t="s">
        <v>29</v>
      </c>
      <c r="C46" s="39"/>
      <c r="D46" s="39"/>
      <c r="E46" s="106">
        <f t="shared" si="25"/>
        <v>0</v>
      </c>
      <c r="F46" s="178">
        <f t="shared" si="1"/>
        <v>0</v>
      </c>
      <c r="G46" s="79"/>
      <c r="H46" s="39"/>
      <c r="I46" s="39"/>
      <c r="J46" s="106">
        <f t="shared" si="26"/>
        <v>0</v>
      </c>
      <c r="K46" s="178" t="e">
        <f t="shared" si="20"/>
        <v>#DIV/0!</v>
      </c>
      <c r="L46" s="259"/>
      <c r="M46" s="39"/>
      <c r="N46" s="39"/>
      <c r="O46" s="106">
        <f t="shared" si="27"/>
        <v>0</v>
      </c>
      <c r="P46" s="178" t="e">
        <f t="shared" si="28"/>
        <v>#DIV/0!</v>
      </c>
      <c r="Q46" s="259"/>
      <c r="R46" s="39"/>
      <c r="S46" s="39"/>
      <c r="T46" s="106">
        <f t="shared" si="29"/>
        <v>0</v>
      </c>
      <c r="U46" s="178" t="e">
        <f t="shared" si="30"/>
        <v>#DIV/0!</v>
      </c>
      <c r="V46" s="259"/>
      <c r="W46" s="39"/>
      <c r="X46" s="39"/>
      <c r="Y46" s="106">
        <f t="shared" si="31"/>
        <v>0</v>
      </c>
      <c r="Z46" s="178" t="e">
        <f t="shared" si="21"/>
        <v>#DIV/0!</v>
      </c>
      <c r="AA46" s="731"/>
      <c r="AB46" s="560"/>
      <c r="AC46" s="452"/>
      <c r="AD46" s="446">
        <f t="shared" si="32"/>
        <v>0</v>
      </c>
      <c r="AE46" s="450" t="e">
        <f t="shared" si="22"/>
        <v>#DIV/0!</v>
      </c>
      <c r="AF46" s="503"/>
      <c r="AG46" s="560"/>
      <c r="AH46" s="452"/>
      <c r="AI46" s="446">
        <f t="shared" si="33"/>
        <v>0</v>
      </c>
      <c r="AJ46" s="450" t="e">
        <f t="shared" si="23"/>
        <v>#DIV/0!</v>
      </c>
      <c r="AK46" s="503"/>
      <c r="AL46" s="560"/>
      <c r="AM46" s="452"/>
      <c r="AN46" s="446">
        <f t="shared" si="34"/>
        <v>0</v>
      </c>
      <c r="AO46" s="450" t="e">
        <f t="shared" si="24"/>
        <v>#DIV/0!</v>
      </c>
      <c r="AP46" s="503"/>
      <c r="AQ46" s="39">
        <f t="shared" si="35"/>
        <v>0</v>
      </c>
      <c r="AR46" s="39">
        <f t="shared" si="36"/>
        <v>0</v>
      </c>
      <c r="AS46" s="106">
        <f t="shared" si="37"/>
        <v>0</v>
      </c>
      <c r="AT46" s="178" t="e">
        <f t="shared" si="38"/>
        <v>#DIV/0!</v>
      </c>
      <c r="AU46" s="79"/>
    </row>
    <row r="47" spans="1:47" ht="13.8" x14ac:dyDescent="0.25">
      <c r="A47" s="4015"/>
      <c r="B47" s="18" t="s">
        <v>30</v>
      </c>
      <c r="C47" s="39"/>
      <c r="D47" s="39"/>
      <c r="E47" s="106">
        <f t="shared" si="25"/>
        <v>0</v>
      </c>
      <c r="F47" s="178">
        <f t="shared" si="1"/>
        <v>0</v>
      </c>
      <c r="G47" s="79"/>
      <c r="H47" s="39"/>
      <c r="I47" s="39"/>
      <c r="J47" s="106">
        <f t="shared" si="26"/>
        <v>0</v>
      </c>
      <c r="K47" s="178" t="e">
        <f t="shared" si="20"/>
        <v>#DIV/0!</v>
      </c>
      <c r="L47" s="259"/>
      <c r="M47" s="39"/>
      <c r="N47" s="39"/>
      <c r="O47" s="106">
        <f t="shared" si="27"/>
        <v>0</v>
      </c>
      <c r="P47" s="178" t="e">
        <f t="shared" si="28"/>
        <v>#DIV/0!</v>
      </c>
      <c r="Q47" s="259"/>
      <c r="R47" s="39"/>
      <c r="S47" s="39"/>
      <c r="T47" s="106">
        <f t="shared" si="29"/>
        <v>0</v>
      </c>
      <c r="U47" s="178" t="e">
        <f t="shared" si="30"/>
        <v>#DIV/0!</v>
      </c>
      <c r="V47" s="259"/>
      <c r="W47" s="39"/>
      <c r="X47" s="39"/>
      <c r="Y47" s="106">
        <f t="shared" si="31"/>
        <v>0</v>
      </c>
      <c r="Z47" s="178" t="e">
        <f t="shared" si="21"/>
        <v>#DIV/0!</v>
      </c>
      <c r="AA47" s="731"/>
      <c r="AB47" s="560"/>
      <c r="AC47" s="452"/>
      <c r="AD47" s="446">
        <f t="shared" si="32"/>
        <v>0</v>
      </c>
      <c r="AE47" s="450" t="e">
        <f t="shared" si="22"/>
        <v>#DIV/0!</v>
      </c>
      <c r="AF47" s="503"/>
      <c r="AG47" s="560"/>
      <c r="AH47" s="452"/>
      <c r="AI47" s="446">
        <f t="shared" si="33"/>
        <v>0</v>
      </c>
      <c r="AJ47" s="450" t="e">
        <f t="shared" si="23"/>
        <v>#DIV/0!</v>
      </c>
      <c r="AK47" s="503"/>
      <c r="AL47" s="560"/>
      <c r="AM47" s="452"/>
      <c r="AN47" s="446">
        <f t="shared" si="34"/>
        <v>0</v>
      </c>
      <c r="AO47" s="450" t="e">
        <f t="shared" si="24"/>
        <v>#DIV/0!</v>
      </c>
      <c r="AP47" s="503"/>
      <c r="AQ47" s="39">
        <f t="shared" si="35"/>
        <v>0</v>
      </c>
      <c r="AR47" s="39">
        <f t="shared" si="36"/>
        <v>0</v>
      </c>
      <c r="AS47" s="106">
        <f t="shared" si="37"/>
        <v>0</v>
      </c>
      <c r="AT47" s="178" t="e">
        <f t="shared" si="38"/>
        <v>#DIV/0!</v>
      </c>
      <c r="AU47" s="79"/>
    </row>
    <row r="48" spans="1:47" ht="13.8" x14ac:dyDescent="0.25">
      <c r="A48" s="4015"/>
      <c r="B48" s="18" t="s">
        <v>15</v>
      </c>
      <c r="C48" s="39"/>
      <c r="D48" s="39"/>
      <c r="E48" s="106">
        <f t="shared" si="25"/>
        <v>0</v>
      </c>
      <c r="F48" s="178">
        <f t="shared" si="1"/>
        <v>0</v>
      </c>
      <c r="G48" s="79"/>
      <c r="H48" s="39"/>
      <c r="I48" s="39"/>
      <c r="J48" s="106">
        <f t="shared" si="26"/>
        <v>0</v>
      </c>
      <c r="K48" s="178" t="e">
        <f t="shared" si="20"/>
        <v>#DIV/0!</v>
      </c>
      <c r="L48" s="259"/>
      <c r="M48" s="39"/>
      <c r="N48" s="39"/>
      <c r="O48" s="106">
        <f t="shared" si="27"/>
        <v>0</v>
      </c>
      <c r="P48" s="178" t="e">
        <f t="shared" si="28"/>
        <v>#DIV/0!</v>
      </c>
      <c r="Q48" s="259"/>
      <c r="R48" s="39"/>
      <c r="S48" s="39"/>
      <c r="T48" s="106">
        <f t="shared" si="29"/>
        <v>0</v>
      </c>
      <c r="U48" s="178" t="e">
        <f t="shared" si="30"/>
        <v>#DIV/0!</v>
      </c>
      <c r="V48" s="259"/>
      <c r="W48" s="39"/>
      <c r="X48" s="39"/>
      <c r="Y48" s="106">
        <f t="shared" si="31"/>
        <v>0</v>
      </c>
      <c r="Z48" s="178" t="e">
        <f t="shared" si="21"/>
        <v>#DIV/0!</v>
      </c>
      <c r="AA48" s="731"/>
      <c r="AB48" s="560"/>
      <c r="AC48" s="452"/>
      <c r="AD48" s="446">
        <f t="shared" si="32"/>
        <v>0</v>
      </c>
      <c r="AE48" s="450" t="e">
        <f t="shared" si="22"/>
        <v>#DIV/0!</v>
      </c>
      <c r="AF48" s="503"/>
      <c r="AG48" s="560"/>
      <c r="AH48" s="452"/>
      <c r="AI48" s="446">
        <f t="shared" si="33"/>
        <v>0</v>
      </c>
      <c r="AJ48" s="450" t="e">
        <f t="shared" si="23"/>
        <v>#DIV/0!</v>
      </c>
      <c r="AK48" s="503"/>
      <c r="AL48" s="560"/>
      <c r="AM48" s="452"/>
      <c r="AN48" s="446">
        <f t="shared" si="34"/>
        <v>0</v>
      </c>
      <c r="AO48" s="450" t="e">
        <f t="shared" si="24"/>
        <v>#DIV/0!</v>
      </c>
      <c r="AP48" s="503"/>
      <c r="AQ48" s="39">
        <f t="shared" si="35"/>
        <v>0</v>
      </c>
      <c r="AR48" s="39">
        <f t="shared" si="36"/>
        <v>0</v>
      </c>
      <c r="AS48" s="106">
        <f t="shared" si="37"/>
        <v>0</v>
      </c>
      <c r="AT48" s="178" t="e">
        <f t="shared" si="38"/>
        <v>#DIV/0!</v>
      </c>
      <c r="AU48" s="79"/>
    </row>
    <row r="49" spans="1:47" s="2" customFormat="1" ht="14.4" thickBot="1" x14ac:dyDescent="0.3">
      <c r="A49" s="11"/>
      <c r="B49" s="35"/>
      <c r="C49" s="39"/>
      <c r="D49" s="39"/>
      <c r="E49" s="52"/>
      <c r="F49" s="178">
        <f t="shared" si="1"/>
        <v>0</v>
      </c>
      <c r="G49" s="52"/>
      <c r="H49" s="39"/>
      <c r="I49" s="39"/>
      <c r="J49" s="52"/>
      <c r="K49" s="178" t="e">
        <f t="shared" si="20"/>
        <v>#DIV/0!</v>
      </c>
      <c r="L49" s="64"/>
      <c r="M49" s="39"/>
      <c r="N49" s="39"/>
      <c r="O49" s="52"/>
      <c r="P49" s="178" t="e">
        <f t="shared" si="28"/>
        <v>#DIV/0!</v>
      </c>
      <c r="Q49" s="64"/>
      <c r="R49" s="39"/>
      <c r="S49" s="39"/>
      <c r="T49" s="52"/>
      <c r="U49" s="178" t="e">
        <f t="shared" si="30"/>
        <v>#DIV/0!</v>
      </c>
      <c r="V49" s="64"/>
      <c r="W49" s="39"/>
      <c r="X49" s="39"/>
      <c r="Y49" s="52"/>
      <c r="Z49" s="178" t="e">
        <f t="shared" si="21"/>
        <v>#DIV/0!</v>
      </c>
      <c r="AA49" s="603"/>
      <c r="AB49" s="560"/>
      <c r="AC49" s="452"/>
      <c r="AD49" s="606"/>
      <c r="AE49" s="450" t="e">
        <f t="shared" si="22"/>
        <v>#DIV/0!</v>
      </c>
      <c r="AF49" s="588"/>
      <c r="AG49" s="560"/>
      <c r="AH49" s="452"/>
      <c r="AI49" s="606"/>
      <c r="AJ49" s="450" t="e">
        <f t="shared" si="23"/>
        <v>#DIV/0!</v>
      </c>
      <c r="AK49" s="588"/>
      <c r="AL49" s="560"/>
      <c r="AM49" s="452"/>
      <c r="AN49" s="606"/>
      <c r="AO49" s="450" t="e">
        <f t="shared" si="24"/>
        <v>#DIV/0!</v>
      </c>
      <c r="AP49" s="588"/>
      <c r="AQ49" s="39"/>
      <c r="AR49" s="39"/>
      <c r="AS49" s="52"/>
      <c r="AT49" s="178" t="e">
        <f t="shared" si="38"/>
        <v>#DIV/0!</v>
      </c>
      <c r="AU49" s="52"/>
    </row>
    <row r="50" spans="1:47" s="2" customFormat="1" ht="13.8" x14ac:dyDescent="0.25">
      <c r="A50" s="293"/>
      <c r="B50" s="17" t="s">
        <v>59</v>
      </c>
      <c r="C50" s="123">
        <f>C52+C51</f>
        <v>0</v>
      </c>
      <c r="D50" s="123">
        <f>D52+D51</f>
        <v>0</v>
      </c>
      <c r="E50" s="123">
        <f>SUM(E51:E52)</f>
        <v>0</v>
      </c>
      <c r="F50" s="60">
        <f t="shared" si="1"/>
        <v>0</v>
      </c>
      <c r="G50" s="60"/>
      <c r="H50" s="123">
        <f>H52+H51</f>
        <v>0</v>
      </c>
      <c r="I50" s="123">
        <f>I52+I51</f>
        <v>0</v>
      </c>
      <c r="J50" s="123">
        <f>SUM(J51:J52)</f>
        <v>0</v>
      </c>
      <c r="K50" s="60"/>
      <c r="L50" s="409"/>
      <c r="M50" s="123">
        <f>M52+M51</f>
        <v>0</v>
      </c>
      <c r="N50" s="123">
        <f>N52+N51</f>
        <v>0</v>
      </c>
      <c r="O50" s="123">
        <f>SUM(O51:O52)</f>
        <v>0</v>
      </c>
      <c r="P50" s="60"/>
      <c r="Q50" s="409"/>
      <c r="R50" s="123">
        <f>R52+R51</f>
        <v>0</v>
      </c>
      <c r="S50" s="123">
        <f>S52+S51</f>
        <v>0</v>
      </c>
      <c r="T50" s="123">
        <f>SUM(T51:T52)</f>
        <v>0</v>
      </c>
      <c r="U50" s="60"/>
      <c r="V50" s="409"/>
      <c r="W50" s="123">
        <f>W52+W51</f>
        <v>0</v>
      </c>
      <c r="X50" s="123">
        <f>X52+X51</f>
        <v>0</v>
      </c>
      <c r="Y50" s="123">
        <f>SUM(Y51:Y52)</f>
        <v>0</v>
      </c>
      <c r="Z50" s="60" t="e">
        <v>#DIV/0!</v>
      </c>
      <c r="AA50" s="591"/>
      <c r="AB50" s="578">
        <f>AB52+AB51</f>
        <v>0</v>
      </c>
      <c r="AC50" s="578">
        <f>AC52+AC51</f>
        <v>0</v>
      </c>
      <c r="AD50" s="578">
        <f>SUM(AD51:AD52)</f>
        <v>0</v>
      </c>
      <c r="AE50" s="581" t="e">
        <f t="shared" si="22"/>
        <v>#DIV/0!</v>
      </c>
      <c r="AF50" s="665"/>
      <c r="AG50" s="578">
        <f>AG52+AG51</f>
        <v>0</v>
      </c>
      <c r="AH50" s="578">
        <f>AH52+AH51</f>
        <v>0</v>
      </c>
      <c r="AI50" s="578">
        <f>SUM(AI51:AI52)</f>
        <v>0</v>
      </c>
      <c r="AJ50" s="581" t="e">
        <f t="shared" si="23"/>
        <v>#DIV/0!</v>
      </c>
      <c r="AK50" s="665"/>
      <c r="AL50" s="578">
        <f>AL52+AL51</f>
        <v>0</v>
      </c>
      <c r="AM50" s="578">
        <f>AM52+AM51</f>
        <v>0</v>
      </c>
      <c r="AN50" s="578">
        <f>SUM(AN51:AN52)</f>
        <v>0</v>
      </c>
      <c r="AO50" s="581" t="e">
        <f t="shared" si="24"/>
        <v>#DIV/0!</v>
      </c>
      <c r="AP50" s="665"/>
      <c r="AQ50" s="123">
        <f>AQ52+AQ51</f>
        <v>0</v>
      </c>
      <c r="AR50" s="123">
        <f>AR52+AR51</f>
        <v>0</v>
      </c>
      <c r="AS50" s="123">
        <f>SUM(AS51:AS52)</f>
        <v>0</v>
      </c>
      <c r="AT50" s="60"/>
      <c r="AU50" s="60"/>
    </row>
    <row r="51" spans="1:47" s="226" customFormat="1" ht="13.8" x14ac:dyDescent="0.25">
      <c r="A51" s="234"/>
      <c r="B51" s="18" t="s">
        <v>60</v>
      </c>
      <c r="C51" s="39"/>
      <c r="D51" s="39"/>
      <c r="E51" s="106">
        <f>C51+D51*1</f>
        <v>0</v>
      </c>
      <c r="F51" s="178">
        <f t="shared" si="1"/>
        <v>0</v>
      </c>
      <c r="G51" s="45"/>
      <c r="H51" s="39"/>
      <c r="I51" s="39"/>
      <c r="J51" s="106">
        <f>H51+I51*1</f>
        <v>0</v>
      </c>
      <c r="K51" s="178" t="e">
        <f>J51/$J$89</f>
        <v>#DIV/0!</v>
      </c>
      <c r="L51" s="405"/>
      <c r="M51" s="39"/>
      <c r="N51" s="39"/>
      <c r="O51" s="106">
        <f>M51+N51*1</f>
        <v>0</v>
      </c>
      <c r="P51" s="178" t="e">
        <f t="shared" si="28"/>
        <v>#DIV/0!</v>
      </c>
      <c r="Q51" s="405"/>
      <c r="R51" s="39"/>
      <c r="S51" s="39"/>
      <c r="T51" s="106">
        <f>R51+S51*1</f>
        <v>0</v>
      </c>
      <c r="U51" s="178" t="e">
        <f>T51/$O$89</f>
        <v>#DIV/0!</v>
      </c>
      <c r="V51" s="405"/>
      <c r="W51" s="39"/>
      <c r="X51" s="39"/>
      <c r="Y51" s="106">
        <f>W51+X51*1</f>
        <v>0</v>
      </c>
      <c r="Z51" s="178" t="e">
        <f t="shared" si="21"/>
        <v>#DIV/0!</v>
      </c>
      <c r="AA51" s="732"/>
      <c r="AB51" s="560"/>
      <c r="AC51" s="452"/>
      <c r="AD51" s="446">
        <f>AB51+AC51*1</f>
        <v>0</v>
      </c>
      <c r="AE51" s="450" t="e">
        <f t="shared" si="22"/>
        <v>#DIV/0!</v>
      </c>
      <c r="AF51" s="745"/>
      <c r="AG51" s="560"/>
      <c r="AH51" s="452"/>
      <c r="AI51" s="446">
        <f>AG51+AH51*1</f>
        <v>0</v>
      </c>
      <c r="AJ51" s="450" t="e">
        <f t="shared" si="23"/>
        <v>#DIV/0!</v>
      </c>
      <c r="AK51" s="745"/>
      <c r="AL51" s="560"/>
      <c r="AM51" s="452"/>
      <c r="AN51" s="446">
        <f>AL51+AM51*1</f>
        <v>0</v>
      </c>
      <c r="AO51" s="450" t="e">
        <f t="shared" si="24"/>
        <v>#DIV/0!</v>
      </c>
      <c r="AP51" s="745"/>
      <c r="AQ51" s="39">
        <f>C51+H51</f>
        <v>0</v>
      </c>
      <c r="AR51" s="39">
        <f>D51+I51</f>
        <v>0</v>
      </c>
      <c r="AS51" s="106">
        <f>AQ51+AR51*1</f>
        <v>0</v>
      </c>
      <c r="AT51" s="178" t="e">
        <f t="shared" si="38"/>
        <v>#DIV/0!</v>
      </c>
      <c r="AU51" s="45"/>
    </row>
    <row r="52" spans="1:47" s="235" customFormat="1" ht="13.8" x14ac:dyDescent="0.25">
      <c r="A52" s="234"/>
      <c r="B52" s="18" t="s">
        <v>61</v>
      </c>
      <c r="C52" s="39"/>
      <c r="D52" s="39"/>
      <c r="E52" s="106">
        <f>C52+D52*1</f>
        <v>0</v>
      </c>
      <c r="F52" s="178">
        <f t="shared" si="1"/>
        <v>0</v>
      </c>
      <c r="G52" s="45"/>
      <c r="H52" s="39"/>
      <c r="I52" s="39"/>
      <c r="J52" s="106">
        <f>H52+I52*1</f>
        <v>0</v>
      </c>
      <c r="K52" s="178" t="e">
        <f>J52/$J$89</f>
        <v>#DIV/0!</v>
      </c>
      <c r="L52" s="405"/>
      <c r="M52" s="39"/>
      <c r="N52" s="39"/>
      <c r="O52" s="106">
        <f>M52+N52*1</f>
        <v>0</v>
      </c>
      <c r="P52" s="178" t="e">
        <f t="shared" si="28"/>
        <v>#DIV/0!</v>
      </c>
      <c r="Q52" s="405"/>
      <c r="R52" s="39"/>
      <c r="S52" s="39"/>
      <c r="T52" s="106">
        <f>R52+S52*1</f>
        <v>0</v>
      </c>
      <c r="U52" s="178" t="e">
        <f>T52/$O$89</f>
        <v>#DIV/0!</v>
      </c>
      <c r="V52" s="405"/>
      <c r="W52" s="39"/>
      <c r="X52" s="39"/>
      <c r="Y52" s="106">
        <f>W52+X52*1</f>
        <v>0</v>
      </c>
      <c r="Z52" s="178" t="e">
        <f t="shared" si="21"/>
        <v>#DIV/0!</v>
      </c>
      <c r="AA52" s="732"/>
      <c r="AB52" s="560"/>
      <c r="AC52" s="452"/>
      <c r="AD52" s="446">
        <f>AB52+AC52*1</f>
        <v>0</v>
      </c>
      <c r="AE52" s="450" t="e">
        <f t="shared" si="22"/>
        <v>#DIV/0!</v>
      </c>
      <c r="AF52" s="745"/>
      <c r="AG52" s="560"/>
      <c r="AH52" s="452"/>
      <c r="AI52" s="446">
        <f>AG52+AH52*1</f>
        <v>0</v>
      </c>
      <c r="AJ52" s="450" t="e">
        <f t="shared" si="23"/>
        <v>#DIV/0!</v>
      </c>
      <c r="AK52" s="745"/>
      <c r="AL52" s="560"/>
      <c r="AM52" s="452"/>
      <c r="AN52" s="446">
        <f>AL52+AM52*1</f>
        <v>0</v>
      </c>
      <c r="AO52" s="450" t="e">
        <f t="shared" si="24"/>
        <v>#DIV/0!</v>
      </c>
      <c r="AP52" s="745"/>
      <c r="AQ52" s="39">
        <f>C52+H52</f>
        <v>0</v>
      </c>
      <c r="AR52" s="39">
        <f>D52+I52</f>
        <v>0</v>
      </c>
      <c r="AS52" s="106">
        <f>AQ52+AR52*1</f>
        <v>0</v>
      </c>
      <c r="AT52" s="178" t="e">
        <f t="shared" si="38"/>
        <v>#DIV/0!</v>
      </c>
      <c r="AU52" s="45"/>
    </row>
    <row r="53" spans="1:47" ht="14.4" thickBot="1" x14ac:dyDescent="0.3">
      <c r="A53" s="20"/>
      <c r="B53" s="21"/>
      <c r="C53" s="39"/>
      <c r="D53" s="39"/>
      <c r="E53" s="61"/>
      <c r="F53" s="61"/>
      <c r="G53" s="61"/>
      <c r="H53" s="39"/>
      <c r="I53" s="39"/>
      <c r="J53" s="61"/>
      <c r="K53" s="61"/>
      <c r="L53" s="61"/>
      <c r="M53" s="39"/>
      <c r="N53" s="39"/>
      <c r="O53" s="61"/>
      <c r="P53" s="61"/>
      <c r="Q53" s="61"/>
      <c r="R53" s="39"/>
      <c r="S53" s="39"/>
      <c r="T53" s="61"/>
      <c r="U53" s="61"/>
      <c r="V53" s="61"/>
      <c r="W53" s="39"/>
      <c r="X53" s="39"/>
      <c r="Y53" s="61"/>
      <c r="Z53" s="61"/>
      <c r="AA53" s="735"/>
      <c r="AB53" s="560"/>
      <c r="AC53" s="452"/>
      <c r="AD53" s="668"/>
      <c r="AE53" s="668"/>
      <c r="AF53" s="668"/>
      <c r="AG53" s="560"/>
      <c r="AH53" s="452"/>
      <c r="AI53" s="668"/>
      <c r="AJ53" s="668"/>
      <c r="AK53" s="668"/>
      <c r="AL53" s="560"/>
      <c r="AM53" s="452"/>
      <c r="AN53" s="668"/>
      <c r="AO53" s="668"/>
      <c r="AP53" s="668"/>
      <c r="AQ53" s="39"/>
      <c r="AR53" s="39"/>
      <c r="AS53" s="61"/>
      <c r="AT53" s="61"/>
      <c r="AU53" s="61"/>
    </row>
    <row r="54" spans="1:47" ht="13.8" x14ac:dyDescent="0.25">
      <c r="A54" s="236"/>
      <c r="B54" s="17" t="s">
        <v>1</v>
      </c>
      <c r="C54" s="123">
        <f>SUM(C55:C72)</f>
        <v>0</v>
      </c>
      <c r="D54" s="123">
        <f>SUM(D55:D72)</f>
        <v>5636.1</v>
      </c>
      <c r="E54" s="123">
        <f>SUM(E55:E72)</f>
        <v>5636.1</v>
      </c>
      <c r="F54" s="169">
        <f t="shared" si="1"/>
        <v>0.89099959701055098</v>
      </c>
      <c r="G54" s="60"/>
      <c r="H54" s="123">
        <f>SUM(H55:H72)</f>
        <v>0</v>
      </c>
      <c r="I54" s="123">
        <f>SUM(I55:I72)</f>
        <v>0</v>
      </c>
      <c r="J54" s="123">
        <f>SUM(J55:J72)</f>
        <v>0</v>
      </c>
      <c r="K54" s="169" t="e">
        <f t="shared" ref="K54:K72" si="39">J54/$J$89</f>
        <v>#DIV/0!</v>
      </c>
      <c r="L54" s="409"/>
      <c r="M54" s="123">
        <f>SUM(M55:M72)</f>
        <v>0</v>
      </c>
      <c r="N54" s="123">
        <f>SUM(N55:N72)</f>
        <v>0</v>
      </c>
      <c r="O54" s="123">
        <f>SUM(O55:O72)</f>
        <v>0</v>
      </c>
      <c r="P54" s="169" t="e">
        <f>O54/$O$89</f>
        <v>#DIV/0!</v>
      </c>
      <c r="Q54" s="409"/>
      <c r="R54" s="123">
        <f>SUM(R55:R72)</f>
        <v>0</v>
      </c>
      <c r="S54" s="123">
        <f>SUM(S55:S72)</f>
        <v>0</v>
      </c>
      <c r="T54" s="123">
        <f>SUM(T55:T72)</f>
        <v>0</v>
      </c>
      <c r="U54" s="169" t="e">
        <f>T54/$O$89</f>
        <v>#DIV/0!</v>
      </c>
      <c r="V54" s="409"/>
      <c r="W54" s="123">
        <f>SUM(W55:W72)</f>
        <v>0</v>
      </c>
      <c r="X54" s="123">
        <f>SUM(X55:X72)</f>
        <v>0</v>
      </c>
      <c r="Y54" s="123">
        <f>SUM(Y55:Y72)</f>
        <v>0</v>
      </c>
      <c r="Z54" s="169" t="e">
        <f t="shared" ref="Z54:Z71" si="40">Y54/$Y$89</f>
        <v>#DIV/0!</v>
      </c>
      <c r="AA54" s="591"/>
      <c r="AB54" s="578">
        <f>SUM(AB55:AB72)</f>
        <v>0</v>
      </c>
      <c r="AC54" s="578">
        <f>SUM(AC55:AC72)</f>
        <v>0</v>
      </c>
      <c r="AD54" s="578">
        <f>SUM(AD55:AD72)</f>
        <v>0</v>
      </c>
      <c r="AE54" s="664" t="e">
        <f t="shared" ref="AE54:AE71" si="41">AD54/$AD$89</f>
        <v>#DIV/0!</v>
      </c>
      <c r="AF54" s="665"/>
      <c r="AG54" s="578">
        <f>SUM(AG55:AG72)</f>
        <v>0</v>
      </c>
      <c r="AH54" s="578">
        <f>SUM(AH55:AH72)</f>
        <v>0</v>
      </c>
      <c r="AI54" s="578">
        <f>SUM(AI55:AI72)</f>
        <v>0</v>
      </c>
      <c r="AJ54" s="664" t="e">
        <f t="shared" ref="AJ54:AJ71" si="42">AI54/$AD$89</f>
        <v>#DIV/0!</v>
      </c>
      <c r="AK54" s="665"/>
      <c r="AL54" s="578">
        <f>SUM(AL55:AL72)</f>
        <v>0</v>
      </c>
      <c r="AM54" s="578">
        <f>SUM(AM55:AM72)</f>
        <v>0</v>
      </c>
      <c r="AN54" s="578">
        <f>SUM(AN55:AN72)</f>
        <v>0</v>
      </c>
      <c r="AO54" s="664" t="e">
        <f t="shared" ref="AO54:AO71" si="43">AN54/$AD$89</f>
        <v>#DIV/0!</v>
      </c>
      <c r="AP54" s="665"/>
      <c r="AQ54" s="123">
        <f>SUM(AQ55:AQ72)</f>
        <v>0</v>
      </c>
      <c r="AR54" s="123">
        <f>SUM(AR55:AR72)</f>
        <v>5636.1</v>
      </c>
      <c r="AS54" s="123">
        <f>SUM(AS55:AS72)</f>
        <v>5636.1</v>
      </c>
      <c r="AT54" s="169" t="e">
        <f t="shared" si="38"/>
        <v>#DIV/0!</v>
      </c>
      <c r="AU54" s="60"/>
    </row>
    <row r="55" spans="1:47" ht="13.8" x14ac:dyDescent="0.25">
      <c r="A55" s="237"/>
      <c r="B55" s="19" t="s">
        <v>77</v>
      </c>
      <c r="C55" s="210"/>
      <c r="D55" s="210"/>
      <c r="E55" s="106">
        <f t="shared" ref="E55:E71" si="44">C55+D55*1</f>
        <v>0</v>
      </c>
      <c r="F55" s="178">
        <f t="shared" si="1"/>
        <v>0</v>
      </c>
      <c r="G55" s="79"/>
      <c r="H55" s="210"/>
      <c r="I55" s="210"/>
      <c r="J55" s="106">
        <f t="shared" ref="J55:J71" si="45">H55+I55*1</f>
        <v>0</v>
      </c>
      <c r="K55" s="178" t="e">
        <f t="shared" si="39"/>
        <v>#DIV/0!</v>
      </c>
      <c r="L55" s="259"/>
      <c r="M55" s="210"/>
      <c r="N55" s="210"/>
      <c r="O55" s="106">
        <f t="shared" ref="O55:O71" si="46">M55+N55*1</f>
        <v>0</v>
      </c>
      <c r="P55" s="178" t="e">
        <f t="shared" ref="P55:P72" si="47">O55/$O$89</f>
        <v>#DIV/0!</v>
      </c>
      <c r="Q55" s="259"/>
      <c r="R55" s="210"/>
      <c r="S55" s="210"/>
      <c r="T55" s="106">
        <f t="shared" ref="T55:T71" si="48">R55+S55*1</f>
        <v>0</v>
      </c>
      <c r="U55" s="178" t="e">
        <f t="shared" ref="U55:U72" si="49">T55/$O$89</f>
        <v>#DIV/0!</v>
      </c>
      <c r="V55" s="259"/>
      <c r="W55" s="210"/>
      <c r="X55" s="210"/>
      <c r="Y55" s="106">
        <f t="shared" ref="Y55:Y71" si="50">W55+X55*1</f>
        <v>0</v>
      </c>
      <c r="Z55" s="178" t="e">
        <f t="shared" si="40"/>
        <v>#DIV/0!</v>
      </c>
      <c r="AA55" s="731"/>
      <c r="AB55" s="669"/>
      <c r="AC55" s="453"/>
      <c r="AD55" s="446">
        <f t="shared" ref="AD55:AD71" si="51">AB55+AC55*1</f>
        <v>0</v>
      </c>
      <c r="AE55" s="450" t="e">
        <f t="shared" si="41"/>
        <v>#DIV/0!</v>
      </c>
      <c r="AF55" s="503"/>
      <c r="AG55" s="669"/>
      <c r="AH55" s="453"/>
      <c r="AI55" s="446">
        <f t="shared" ref="AI55:AI71" si="52">AG55+AH55*1</f>
        <v>0</v>
      </c>
      <c r="AJ55" s="450" t="e">
        <f t="shared" si="42"/>
        <v>#DIV/0!</v>
      </c>
      <c r="AK55" s="503"/>
      <c r="AL55" s="669"/>
      <c r="AM55" s="453"/>
      <c r="AN55" s="446">
        <f t="shared" ref="AN55:AN71" si="53">AL55+AM55*1</f>
        <v>0</v>
      </c>
      <c r="AO55" s="450" t="e">
        <f t="shared" si="43"/>
        <v>#DIV/0!</v>
      </c>
      <c r="AP55" s="503"/>
      <c r="AQ55" s="39">
        <f t="shared" ref="AQ55:AQ71" si="54">C55+H55</f>
        <v>0</v>
      </c>
      <c r="AR55" s="39">
        <f t="shared" ref="AR55:AR71" si="55">D55+I55</f>
        <v>0</v>
      </c>
      <c r="AS55" s="106">
        <f t="shared" ref="AS55:AS71" si="56">AQ55+AR55*1</f>
        <v>0</v>
      </c>
      <c r="AT55" s="178" t="e">
        <f t="shared" si="38"/>
        <v>#DIV/0!</v>
      </c>
      <c r="AU55" s="79"/>
    </row>
    <row r="56" spans="1:47" ht="13.8" x14ac:dyDescent="0.25">
      <c r="A56" s="237"/>
      <c r="B56" s="19" t="s">
        <v>76</v>
      </c>
      <c r="C56" s="210"/>
      <c r="D56" s="210"/>
      <c r="E56" s="106">
        <f t="shared" si="44"/>
        <v>0</v>
      </c>
      <c r="F56" s="178">
        <f t="shared" si="1"/>
        <v>0</v>
      </c>
      <c r="G56" s="79"/>
      <c r="H56" s="210"/>
      <c r="I56" s="210"/>
      <c r="J56" s="106">
        <f t="shared" si="45"/>
        <v>0</v>
      </c>
      <c r="K56" s="178" t="e">
        <f t="shared" si="39"/>
        <v>#DIV/0!</v>
      </c>
      <c r="L56" s="259"/>
      <c r="M56" s="210"/>
      <c r="N56" s="210"/>
      <c r="O56" s="106">
        <f t="shared" si="46"/>
        <v>0</v>
      </c>
      <c r="P56" s="178" t="e">
        <f t="shared" si="47"/>
        <v>#DIV/0!</v>
      </c>
      <c r="Q56" s="259"/>
      <c r="R56" s="210"/>
      <c r="S56" s="210"/>
      <c r="T56" s="106">
        <f t="shared" si="48"/>
        <v>0</v>
      </c>
      <c r="U56" s="178" t="e">
        <f t="shared" si="49"/>
        <v>#DIV/0!</v>
      </c>
      <c r="V56" s="259"/>
      <c r="W56" s="210"/>
      <c r="X56" s="210"/>
      <c r="Y56" s="106">
        <f t="shared" si="50"/>
        <v>0</v>
      </c>
      <c r="Z56" s="178" t="e">
        <f t="shared" si="40"/>
        <v>#DIV/0!</v>
      </c>
      <c r="AA56" s="731"/>
      <c r="AB56" s="669"/>
      <c r="AC56" s="453"/>
      <c r="AD56" s="446">
        <f t="shared" si="51"/>
        <v>0</v>
      </c>
      <c r="AE56" s="450" t="e">
        <f t="shared" si="41"/>
        <v>#DIV/0!</v>
      </c>
      <c r="AF56" s="503"/>
      <c r="AG56" s="669"/>
      <c r="AH56" s="453"/>
      <c r="AI56" s="446">
        <f t="shared" si="52"/>
        <v>0</v>
      </c>
      <c r="AJ56" s="450" t="e">
        <f t="shared" si="42"/>
        <v>#DIV/0!</v>
      </c>
      <c r="AK56" s="503"/>
      <c r="AL56" s="669"/>
      <c r="AM56" s="453"/>
      <c r="AN56" s="446">
        <f t="shared" si="53"/>
        <v>0</v>
      </c>
      <c r="AO56" s="450" t="e">
        <f t="shared" si="43"/>
        <v>#DIV/0!</v>
      </c>
      <c r="AP56" s="503"/>
      <c r="AQ56" s="39">
        <f t="shared" si="54"/>
        <v>0</v>
      </c>
      <c r="AR56" s="39">
        <f t="shared" si="55"/>
        <v>0</v>
      </c>
      <c r="AS56" s="106">
        <f t="shared" si="56"/>
        <v>0</v>
      </c>
      <c r="AT56" s="178" t="e">
        <f t="shared" si="38"/>
        <v>#DIV/0!</v>
      </c>
      <c r="AU56" s="79"/>
    </row>
    <row r="57" spans="1:47" ht="13.8" x14ac:dyDescent="0.25">
      <c r="A57" s="237"/>
      <c r="B57" s="615" t="s">
        <v>68</v>
      </c>
      <c r="C57" s="210"/>
      <c r="D57" s="210"/>
      <c r="E57" s="106">
        <f t="shared" si="44"/>
        <v>0</v>
      </c>
      <c r="F57" s="178">
        <f t="shared" si="1"/>
        <v>0</v>
      </c>
      <c r="G57" s="79"/>
      <c r="H57" s="210"/>
      <c r="I57" s="210"/>
      <c r="J57" s="106">
        <f t="shared" si="45"/>
        <v>0</v>
      </c>
      <c r="K57" s="178" t="e">
        <f t="shared" si="39"/>
        <v>#DIV/0!</v>
      </c>
      <c r="L57" s="259"/>
      <c r="M57" s="210"/>
      <c r="N57" s="210"/>
      <c r="O57" s="106">
        <f t="shared" si="46"/>
        <v>0</v>
      </c>
      <c r="P57" s="178" t="e">
        <f t="shared" si="47"/>
        <v>#DIV/0!</v>
      </c>
      <c r="Q57" s="259"/>
      <c r="R57" s="210"/>
      <c r="S57" s="210"/>
      <c r="T57" s="106">
        <f t="shared" si="48"/>
        <v>0</v>
      </c>
      <c r="U57" s="178" t="e">
        <f t="shared" si="49"/>
        <v>#DIV/0!</v>
      </c>
      <c r="V57" s="259"/>
      <c r="W57" s="210"/>
      <c r="X57" s="210"/>
      <c r="Y57" s="106">
        <f t="shared" si="50"/>
        <v>0</v>
      </c>
      <c r="Z57" s="178" t="e">
        <f t="shared" si="40"/>
        <v>#DIV/0!</v>
      </c>
      <c r="AA57" s="731"/>
      <c r="AB57" s="669"/>
      <c r="AC57" s="453"/>
      <c r="AD57" s="446">
        <f t="shared" si="51"/>
        <v>0</v>
      </c>
      <c r="AE57" s="450" t="e">
        <f t="shared" si="41"/>
        <v>#DIV/0!</v>
      </c>
      <c r="AF57" s="503"/>
      <c r="AG57" s="669"/>
      <c r="AH57" s="453"/>
      <c r="AI57" s="446">
        <f t="shared" si="52"/>
        <v>0</v>
      </c>
      <c r="AJ57" s="450" t="e">
        <f t="shared" si="42"/>
        <v>#DIV/0!</v>
      </c>
      <c r="AK57" s="503"/>
      <c r="AL57" s="669"/>
      <c r="AM57" s="453"/>
      <c r="AN57" s="446">
        <f t="shared" si="53"/>
        <v>0</v>
      </c>
      <c r="AO57" s="450" t="e">
        <f t="shared" si="43"/>
        <v>#DIV/0!</v>
      </c>
      <c r="AP57" s="503"/>
      <c r="AQ57" s="39">
        <f t="shared" si="54"/>
        <v>0</v>
      </c>
      <c r="AR57" s="39">
        <f t="shared" si="55"/>
        <v>0</v>
      </c>
      <c r="AS57" s="106">
        <f t="shared" si="56"/>
        <v>0</v>
      </c>
      <c r="AT57" s="178" t="e">
        <f t="shared" si="38"/>
        <v>#DIV/0!</v>
      </c>
      <c r="AU57" s="79"/>
    </row>
    <row r="58" spans="1:47" ht="13.8" x14ac:dyDescent="0.25">
      <c r="A58" s="237"/>
      <c r="B58" s="615" t="s">
        <v>67</v>
      </c>
      <c r="C58" s="210"/>
      <c r="D58" s="210"/>
      <c r="E58" s="106">
        <f t="shared" si="44"/>
        <v>0</v>
      </c>
      <c r="F58" s="178">
        <f t="shared" si="1"/>
        <v>0</v>
      </c>
      <c r="G58" s="389"/>
      <c r="H58" s="210"/>
      <c r="I58" s="210"/>
      <c r="J58" s="106">
        <f t="shared" si="45"/>
        <v>0</v>
      </c>
      <c r="K58" s="178" t="e">
        <f t="shared" si="39"/>
        <v>#DIV/0!</v>
      </c>
      <c r="L58" s="857"/>
      <c r="M58" s="210"/>
      <c r="N58" s="210"/>
      <c r="O58" s="106">
        <f t="shared" si="46"/>
        <v>0</v>
      </c>
      <c r="P58" s="178" t="e">
        <f t="shared" si="47"/>
        <v>#DIV/0!</v>
      </c>
      <c r="Q58" s="415"/>
      <c r="R58" s="210"/>
      <c r="S58" s="210"/>
      <c r="T58" s="106">
        <f t="shared" si="48"/>
        <v>0</v>
      </c>
      <c r="U58" s="178" t="e">
        <f t="shared" si="49"/>
        <v>#DIV/0!</v>
      </c>
      <c r="V58" s="415"/>
      <c r="W58" s="210"/>
      <c r="X58" s="210"/>
      <c r="Y58" s="106">
        <f t="shared" si="50"/>
        <v>0</v>
      </c>
      <c r="Z58" s="178" t="e">
        <f t="shared" si="40"/>
        <v>#DIV/0!</v>
      </c>
      <c r="AA58" s="736"/>
      <c r="AB58" s="669"/>
      <c r="AC58" s="453"/>
      <c r="AD58" s="446">
        <f t="shared" si="51"/>
        <v>0</v>
      </c>
      <c r="AE58" s="450" t="e">
        <f t="shared" si="41"/>
        <v>#DIV/0!</v>
      </c>
      <c r="AF58" s="518"/>
      <c r="AG58" s="669"/>
      <c r="AH58" s="453"/>
      <c r="AI58" s="446">
        <f t="shared" si="52"/>
        <v>0</v>
      </c>
      <c r="AJ58" s="450" t="e">
        <f t="shared" si="42"/>
        <v>#DIV/0!</v>
      </c>
      <c r="AK58" s="518"/>
      <c r="AL58" s="669"/>
      <c r="AM58" s="453"/>
      <c r="AN58" s="446">
        <f t="shared" si="53"/>
        <v>0</v>
      </c>
      <c r="AO58" s="450" t="e">
        <f t="shared" si="43"/>
        <v>#DIV/0!</v>
      </c>
      <c r="AP58" s="518"/>
      <c r="AQ58" s="39">
        <f t="shared" si="54"/>
        <v>0</v>
      </c>
      <c r="AR58" s="39">
        <f t="shared" si="55"/>
        <v>0</v>
      </c>
      <c r="AS58" s="106">
        <f t="shared" si="56"/>
        <v>0</v>
      </c>
      <c r="AT58" s="178" t="e">
        <f t="shared" si="38"/>
        <v>#DIV/0!</v>
      </c>
      <c r="AU58" s="79"/>
    </row>
    <row r="59" spans="1:47" ht="13.8" x14ac:dyDescent="0.25">
      <c r="A59" s="237"/>
      <c r="B59" s="615" t="s">
        <v>66</v>
      </c>
      <c r="C59" s="210"/>
      <c r="D59" s="210"/>
      <c r="E59" s="106">
        <f t="shared" si="44"/>
        <v>0</v>
      </c>
      <c r="F59" s="178">
        <f t="shared" si="1"/>
        <v>0</v>
      </c>
      <c r="G59" s="389"/>
      <c r="H59" s="210"/>
      <c r="I59" s="210"/>
      <c r="J59" s="106">
        <f t="shared" si="45"/>
        <v>0</v>
      </c>
      <c r="K59" s="178" t="e">
        <f t="shared" si="39"/>
        <v>#DIV/0!</v>
      </c>
      <c r="L59" s="857"/>
      <c r="M59" s="210"/>
      <c r="N59" s="210"/>
      <c r="O59" s="106">
        <f t="shared" si="46"/>
        <v>0</v>
      </c>
      <c r="P59" s="178" t="e">
        <f t="shared" si="47"/>
        <v>#DIV/0!</v>
      </c>
      <c r="Q59" s="259"/>
      <c r="R59" s="210"/>
      <c r="S59" s="210"/>
      <c r="T59" s="106">
        <f t="shared" si="48"/>
        <v>0</v>
      </c>
      <c r="U59" s="178" t="e">
        <f t="shared" si="49"/>
        <v>#DIV/0!</v>
      </c>
      <c r="V59" s="259"/>
      <c r="W59" s="210"/>
      <c r="X59" s="210"/>
      <c r="Y59" s="106">
        <f t="shared" si="50"/>
        <v>0</v>
      </c>
      <c r="Z59" s="178" t="e">
        <f t="shared" si="40"/>
        <v>#DIV/0!</v>
      </c>
      <c r="AA59" s="731"/>
      <c r="AB59" s="669"/>
      <c r="AC59" s="453"/>
      <c r="AD59" s="446">
        <f t="shared" si="51"/>
        <v>0</v>
      </c>
      <c r="AE59" s="450" t="e">
        <f t="shared" si="41"/>
        <v>#DIV/0!</v>
      </c>
      <c r="AF59" s="503"/>
      <c r="AG59" s="669"/>
      <c r="AH59" s="453"/>
      <c r="AI59" s="446">
        <f t="shared" si="52"/>
        <v>0</v>
      </c>
      <c r="AJ59" s="450" t="e">
        <f t="shared" si="42"/>
        <v>#DIV/0!</v>
      </c>
      <c r="AK59" s="503"/>
      <c r="AL59" s="669"/>
      <c r="AM59" s="453"/>
      <c r="AN59" s="446">
        <f t="shared" si="53"/>
        <v>0</v>
      </c>
      <c r="AO59" s="450" t="e">
        <f t="shared" si="43"/>
        <v>#DIV/0!</v>
      </c>
      <c r="AP59" s="503"/>
      <c r="AQ59" s="39">
        <f t="shared" si="54"/>
        <v>0</v>
      </c>
      <c r="AR59" s="39">
        <f t="shared" si="55"/>
        <v>0</v>
      </c>
      <c r="AS59" s="106">
        <f t="shared" si="56"/>
        <v>0</v>
      </c>
      <c r="AT59" s="178" t="e">
        <f t="shared" si="38"/>
        <v>#DIV/0!</v>
      </c>
      <c r="AU59" s="79"/>
    </row>
    <row r="60" spans="1:47" ht="13.8" x14ac:dyDescent="0.25">
      <c r="A60" s="237"/>
      <c r="B60" s="615" t="s">
        <v>65</v>
      </c>
      <c r="C60" s="210"/>
      <c r="D60" s="210"/>
      <c r="E60" s="106">
        <f t="shared" si="44"/>
        <v>0</v>
      </c>
      <c r="F60" s="178">
        <f t="shared" si="1"/>
        <v>0</v>
      </c>
      <c r="G60" s="389"/>
      <c r="H60" s="210"/>
      <c r="I60" s="210"/>
      <c r="J60" s="106">
        <f t="shared" si="45"/>
        <v>0</v>
      </c>
      <c r="K60" s="178" t="e">
        <f t="shared" si="39"/>
        <v>#DIV/0!</v>
      </c>
      <c r="L60" s="857"/>
      <c r="M60" s="210"/>
      <c r="N60" s="210"/>
      <c r="O60" s="106">
        <f t="shared" si="46"/>
        <v>0</v>
      </c>
      <c r="P60" s="178" t="e">
        <f t="shared" si="47"/>
        <v>#DIV/0!</v>
      </c>
      <c r="Q60" s="259"/>
      <c r="R60" s="210"/>
      <c r="S60" s="210"/>
      <c r="T60" s="106">
        <f t="shared" si="48"/>
        <v>0</v>
      </c>
      <c r="U60" s="178" t="e">
        <f t="shared" si="49"/>
        <v>#DIV/0!</v>
      </c>
      <c r="V60" s="259"/>
      <c r="W60" s="210"/>
      <c r="X60" s="210"/>
      <c r="Y60" s="106">
        <f t="shared" si="50"/>
        <v>0</v>
      </c>
      <c r="Z60" s="178" t="e">
        <f t="shared" si="40"/>
        <v>#DIV/0!</v>
      </c>
      <c r="AA60" s="731"/>
      <c r="AB60" s="669"/>
      <c r="AC60" s="453"/>
      <c r="AD60" s="446">
        <f t="shared" si="51"/>
        <v>0</v>
      </c>
      <c r="AE60" s="450" t="e">
        <f t="shared" si="41"/>
        <v>#DIV/0!</v>
      </c>
      <c r="AF60" s="503"/>
      <c r="AG60" s="669"/>
      <c r="AH60" s="453"/>
      <c r="AI60" s="446">
        <f t="shared" si="52"/>
        <v>0</v>
      </c>
      <c r="AJ60" s="450" t="e">
        <f t="shared" si="42"/>
        <v>#DIV/0!</v>
      </c>
      <c r="AK60" s="503"/>
      <c r="AL60" s="669"/>
      <c r="AM60" s="453"/>
      <c r="AN60" s="446">
        <f t="shared" si="53"/>
        <v>0</v>
      </c>
      <c r="AO60" s="450" t="e">
        <f t="shared" si="43"/>
        <v>#DIV/0!</v>
      </c>
      <c r="AP60" s="503"/>
      <c r="AQ60" s="39">
        <f t="shared" si="54"/>
        <v>0</v>
      </c>
      <c r="AR60" s="39">
        <f t="shared" si="55"/>
        <v>0</v>
      </c>
      <c r="AS60" s="106">
        <f t="shared" si="56"/>
        <v>0</v>
      </c>
      <c r="AT60" s="178" t="e">
        <f t="shared" si="38"/>
        <v>#DIV/0!</v>
      </c>
      <c r="AU60" s="79"/>
    </row>
    <row r="61" spans="1:47" ht="13.8" x14ac:dyDescent="0.25">
      <c r="A61" s="237"/>
      <c r="B61" s="615" t="s">
        <v>32</v>
      </c>
      <c r="C61" s="210"/>
      <c r="D61" s="210"/>
      <c r="E61" s="106">
        <f t="shared" si="44"/>
        <v>0</v>
      </c>
      <c r="F61" s="178">
        <f t="shared" si="1"/>
        <v>0</v>
      </c>
      <c r="G61" s="389"/>
      <c r="H61" s="210"/>
      <c r="I61" s="210"/>
      <c r="J61" s="106">
        <f t="shared" si="45"/>
        <v>0</v>
      </c>
      <c r="K61" s="178" t="e">
        <f t="shared" si="39"/>
        <v>#DIV/0!</v>
      </c>
      <c r="L61" s="857"/>
      <c r="M61" s="210"/>
      <c r="N61" s="210"/>
      <c r="O61" s="106">
        <f t="shared" si="46"/>
        <v>0</v>
      </c>
      <c r="P61" s="178" t="e">
        <f t="shared" si="47"/>
        <v>#DIV/0!</v>
      </c>
      <c r="Q61" s="259"/>
      <c r="R61" s="210"/>
      <c r="S61" s="210"/>
      <c r="T61" s="106">
        <f t="shared" si="48"/>
        <v>0</v>
      </c>
      <c r="U61" s="178" t="e">
        <f t="shared" si="49"/>
        <v>#DIV/0!</v>
      </c>
      <c r="V61" s="259"/>
      <c r="W61" s="210"/>
      <c r="X61" s="210"/>
      <c r="Y61" s="106">
        <f t="shared" si="50"/>
        <v>0</v>
      </c>
      <c r="Z61" s="178" t="e">
        <f t="shared" si="40"/>
        <v>#DIV/0!</v>
      </c>
      <c r="AA61" s="731"/>
      <c r="AB61" s="669"/>
      <c r="AC61" s="453"/>
      <c r="AD61" s="446">
        <f t="shared" si="51"/>
        <v>0</v>
      </c>
      <c r="AE61" s="450" t="e">
        <f t="shared" si="41"/>
        <v>#DIV/0!</v>
      </c>
      <c r="AF61" s="503"/>
      <c r="AG61" s="669"/>
      <c r="AH61" s="453"/>
      <c r="AI61" s="446">
        <f t="shared" si="52"/>
        <v>0</v>
      </c>
      <c r="AJ61" s="450" t="e">
        <f t="shared" si="42"/>
        <v>#DIV/0!</v>
      </c>
      <c r="AK61" s="503"/>
      <c r="AL61" s="669"/>
      <c r="AM61" s="453"/>
      <c r="AN61" s="446">
        <f t="shared" si="53"/>
        <v>0</v>
      </c>
      <c r="AO61" s="450" t="e">
        <f t="shared" si="43"/>
        <v>#DIV/0!</v>
      </c>
      <c r="AP61" s="503"/>
      <c r="AQ61" s="39">
        <f t="shared" si="54"/>
        <v>0</v>
      </c>
      <c r="AR61" s="39">
        <f t="shared" si="55"/>
        <v>0</v>
      </c>
      <c r="AS61" s="106">
        <f t="shared" si="56"/>
        <v>0</v>
      </c>
      <c r="AT61" s="178" t="e">
        <f t="shared" si="38"/>
        <v>#DIV/0!</v>
      </c>
      <c r="AU61" s="79"/>
    </row>
    <row r="62" spans="1:47" ht="13.8" x14ac:dyDescent="0.25">
      <c r="A62" s="237"/>
      <c r="B62" s="615" t="s">
        <v>33</v>
      </c>
      <c r="C62" s="210"/>
      <c r="D62" s="210"/>
      <c r="E62" s="106">
        <f t="shared" si="44"/>
        <v>0</v>
      </c>
      <c r="F62" s="178">
        <f t="shared" si="1"/>
        <v>0</v>
      </c>
      <c r="G62" s="443"/>
      <c r="H62" s="210"/>
      <c r="I62" s="210"/>
      <c r="J62" s="106">
        <f t="shared" si="45"/>
        <v>0</v>
      </c>
      <c r="K62" s="178" t="e">
        <f t="shared" si="39"/>
        <v>#DIV/0!</v>
      </c>
      <c r="L62" s="857"/>
      <c r="M62" s="210"/>
      <c r="N62" s="210"/>
      <c r="O62" s="106">
        <f t="shared" si="46"/>
        <v>0</v>
      </c>
      <c r="P62" s="178" t="e">
        <f t="shared" si="47"/>
        <v>#DIV/0!</v>
      </c>
      <c r="Q62" s="259"/>
      <c r="R62" s="210"/>
      <c r="S62" s="210"/>
      <c r="T62" s="106">
        <f t="shared" si="48"/>
        <v>0</v>
      </c>
      <c r="U62" s="178" t="e">
        <f t="shared" si="49"/>
        <v>#DIV/0!</v>
      </c>
      <c r="V62" s="259"/>
      <c r="W62" s="210"/>
      <c r="X62" s="210"/>
      <c r="Y62" s="106">
        <f t="shared" si="50"/>
        <v>0</v>
      </c>
      <c r="Z62" s="178" t="e">
        <f t="shared" si="40"/>
        <v>#DIV/0!</v>
      </c>
      <c r="AA62" s="731"/>
      <c r="AB62" s="669"/>
      <c r="AC62" s="453"/>
      <c r="AD62" s="446">
        <f t="shared" si="51"/>
        <v>0</v>
      </c>
      <c r="AE62" s="450" t="e">
        <f t="shared" si="41"/>
        <v>#DIV/0!</v>
      </c>
      <c r="AF62" s="503"/>
      <c r="AG62" s="669"/>
      <c r="AH62" s="453"/>
      <c r="AI62" s="446">
        <f t="shared" si="52"/>
        <v>0</v>
      </c>
      <c r="AJ62" s="450" t="e">
        <f t="shared" si="42"/>
        <v>#DIV/0!</v>
      </c>
      <c r="AK62" s="503"/>
      <c r="AL62" s="669"/>
      <c r="AM62" s="453"/>
      <c r="AN62" s="446">
        <f t="shared" si="53"/>
        <v>0</v>
      </c>
      <c r="AO62" s="450" t="e">
        <f t="shared" si="43"/>
        <v>#DIV/0!</v>
      </c>
      <c r="AP62" s="503"/>
      <c r="AQ62" s="39">
        <f t="shared" si="54"/>
        <v>0</v>
      </c>
      <c r="AR62" s="39">
        <f t="shared" si="55"/>
        <v>0</v>
      </c>
      <c r="AS62" s="106">
        <f t="shared" si="56"/>
        <v>0</v>
      </c>
      <c r="AT62" s="178" t="e">
        <f t="shared" si="38"/>
        <v>#DIV/0!</v>
      </c>
      <c r="AU62" s="79"/>
    </row>
    <row r="63" spans="1:47" ht="13.8" x14ac:dyDescent="0.25">
      <c r="A63" s="237"/>
      <c r="B63" s="615" t="s">
        <v>35</v>
      </c>
      <c r="C63" s="210"/>
      <c r="D63" s="210"/>
      <c r="E63" s="106">
        <f t="shared" si="44"/>
        <v>0</v>
      </c>
      <c r="F63" s="178">
        <f t="shared" si="1"/>
        <v>0</v>
      </c>
      <c r="G63" s="443"/>
      <c r="H63" s="39"/>
      <c r="I63" s="210"/>
      <c r="J63" s="106">
        <f t="shared" si="45"/>
        <v>0</v>
      </c>
      <c r="K63" s="178" t="e">
        <f t="shared" si="39"/>
        <v>#DIV/0!</v>
      </c>
      <c r="L63" s="860"/>
      <c r="M63" s="39"/>
      <c r="N63" s="210"/>
      <c r="O63" s="106">
        <f t="shared" si="46"/>
        <v>0</v>
      </c>
      <c r="P63" s="178" t="e">
        <f t="shared" si="47"/>
        <v>#DIV/0!</v>
      </c>
      <c r="Q63" s="415"/>
      <c r="R63" s="39"/>
      <c r="S63" s="210"/>
      <c r="T63" s="106">
        <f t="shared" si="48"/>
        <v>0</v>
      </c>
      <c r="U63" s="178" t="e">
        <f t="shared" si="49"/>
        <v>#DIV/0!</v>
      </c>
      <c r="V63" s="415"/>
      <c r="W63" s="39"/>
      <c r="X63" s="210"/>
      <c r="Y63" s="106">
        <f t="shared" si="50"/>
        <v>0</v>
      </c>
      <c r="Z63" s="178" t="e">
        <f t="shared" si="40"/>
        <v>#DIV/0!</v>
      </c>
      <c r="AA63" s="736"/>
      <c r="AB63" s="560"/>
      <c r="AC63" s="453"/>
      <c r="AD63" s="446">
        <f t="shared" si="51"/>
        <v>0</v>
      </c>
      <c r="AE63" s="450" t="e">
        <f t="shared" si="41"/>
        <v>#DIV/0!</v>
      </c>
      <c r="AF63" s="518"/>
      <c r="AG63" s="560"/>
      <c r="AH63" s="453"/>
      <c r="AI63" s="446">
        <f t="shared" si="52"/>
        <v>0</v>
      </c>
      <c r="AJ63" s="450" t="e">
        <f t="shared" si="42"/>
        <v>#DIV/0!</v>
      </c>
      <c r="AK63" s="518"/>
      <c r="AL63" s="560"/>
      <c r="AM63" s="453"/>
      <c r="AN63" s="446">
        <f t="shared" si="53"/>
        <v>0</v>
      </c>
      <c r="AO63" s="450" t="e">
        <f t="shared" si="43"/>
        <v>#DIV/0!</v>
      </c>
      <c r="AP63" s="518"/>
      <c r="AQ63" s="39">
        <f t="shared" si="54"/>
        <v>0</v>
      </c>
      <c r="AR63" s="39">
        <f t="shared" si="55"/>
        <v>0</v>
      </c>
      <c r="AS63" s="106">
        <f t="shared" si="56"/>
        <v>0</v>
      </c>
      <c r="AT63" s="178" t="e">
        <f t="shared" si="38"/>
        <v>#DIV/0!</v>
      </c>
      <c r="AU63" s="79"/>
    </row>
    <row r="64" spans="1:47" ht="13.8" x14ac:dyDescent="0.25">
      <c r="A64" s="237"/>
      <c r="B64" s="615" t="s">
        <v>63</v>
      </c>
      <c r="C64" s="210"/>
      <c r="D64" s="210"/>
      <c r="E64" s="106">
        <f t="shared" si="44"/>
        <v>0</v>
      </c>
      <c r="F64" s="178">
        <f t="shared" si="1"/>
        <v>0</v>
      </c>
      <c r="G64" s="389"/>
      <c r="H64" s="210"/>
      <c r="I64" s="210"/>
      <c r="J64" s="106">
        <f t="shared" si="45"/>
        <v>0</v>
      </c>
      <c r="K64" s="178" t="e">
        <f t="shared" si="39"/>
        <v>#DIV/0!</v>
      </c>
      <c r="L64" s="857"/>
      <c r="M64" s="210"/>
      <c r="N64" s="210"/>
      <c r="O64" s="106">
        <f t="shared" si="46"/>
        <v>0</v>
      </c>
      <c r="P64" s="178" t="e">
        <f t="shared" si="47"/>
        <v>#DIV/0!</v>
      </c>
      <c r="Q64" s="259"/>
      <c r="R64" s="210"/>
      <c r="S64" s="210"/>
      <c r="T64" s="106">
        <f t="shared" si="48"/>
        <v>0</v>
      </c>
      <c r="U64" s="178" t="e">
        <f t="shared" si="49"/>
        <v>#DIV/0!</v>
      </c>
      <c r="V64" s="259"/>
      <c r="W64" s="210"/>
      <c r="X64" s="210"/>
      <c r="Y64" s="106">
        <f t="shared" si="50"/>
        <v>0</v>
      </c>
      <c r="Z64" s="178" t="e">
        <f t="shared" si="40"/>
        <v>#DIV/0!</v>
      </c>
      <c r="AA64" s="731"/>
      <c r="AB64" s="669"/>
      <c r="AC64" s="453"/>
      <c r="AD64" s="446">
        <f t="shared" si="51"/>
        <v>0</v>
      </c>
      <c r="AE64" s="450" t="e">
        <f t="shared" si="41"/>
        <v>#DIV/0!</v>
      </c>
      <c r="AF64" s="503"/>
      <c r="AG64" s="669"/>
      <c r="AH64" s="453"/>
      <c r="AI64" s="446">
        <f t="shared" si="52"/>
        <v>0</v>
      </c>
      <c r="AJ64" s="450" t="e">
        <f t="shared" si="42"/>
        <v>#DIV/0!</v>
      </c>
      <c r="AK64" s="503"/>
      <c r="AL64" s="669"/>
      <c r="AM64" s="453"/>
      <c r="AN64" s="446">
        <f t="shared" si="53"/>
        <v>0</v>
      </c>
      <c r="AO64" s="450" t="e">
        <f t="shared" si="43"/>
        <v>#DIV/0!</v>
      </c>
      <c r="AP64" s="503"/>
      <c r="AQ64" s="39">
        <f t="shared" si="54"/>
        <v>0</v>
      </c>
      <c r="AR64" s="39">
        <f t="shared" si="55"/>
        <v>0</v>
      </c>
      <c r="AS64" s="106">
        <f t="shared" si="56"/>
        <v>0</v>
      </c>
      <c r="AT64" s="178" t="e">
        <f t="shared" si="38"/>
        <v>#DIV/0!</v>
      </c>
      <c r="AU64" s="79"/>
    </row>
    <row r="65" spans="1:47" ht="27.6" x14ac:dyDescent="0.25">
      <c r="A65" s="237"/>
      <c r="B65" s="615" t="s">
        <v>36</v>
      </c>
      <c r="C65" s="39"/>
      <c r="D65" s="39"/>
      <c r="E65" s="106">
        <f t="shared" si="44"/>
        <v>0</v>
      </c>
      <c r="F65" s="178">
        <f t="shared" si="1"/>
        <v>0</v>
      </c>
      <c r="G65" s="389"/>
      <c r="H65" s="39"/>
      <c r="I65" s="39"/>
      <c r="J65" s="106">
        <f t="shared" si="45"/>
        <v>0</v>
      </c>
      <c r="K65" s="178" t="e">
        <f t="shared" si="39"/>
        <v>#DIV/0!</v>
      </c>
      <c r="L65" s="860"/>
      <c r="M65" s="39"/>
      <c r="N65" s="39"/>
      <c r="O65" s="106">
        <f t="shared" si="46"/>
        <v>0</v>
      </c>
      <c r="P65" s="178" t="e">
        <f t="shared" si="47"/>
        <v>#DIV/0!</v>
      </c>
      <c r="Q65" s="259"/>
      <c r="R65" s="39"/>
      <c r="S65" s="39"/>
      <c r="T65" s="106">
        <f t="shared" si="48"/>
        <v>0</v>
      </c>
      <c r="U65" s="178" t="e">
        <f t="shared" si="49"/>
        <v>#DIV/0!</v>
      </c>
      <c r="V65" s="259"/>
      <c r="W65" s="39"/>
      <c r="X65" s="39"/>
      <c r="Y65" s="106">
        <f t="shared" si="50"/>
        <v>0</v>
      </c>
      <c r="Z65" s="178" t="e">
        <f t="shared" si="40"/>
        <v>#DIV/0!</v>
      </c>
      <c r="AA65" s="731"/>
      <c r="AB65" s="560"/>
      <c r="AC65" s="452"/>
      <c r="AD65" s="446">
        <f t="shared" si="51"/>
        <v>0</v>
      </c>
      <c r="AE65" s="450" t="e">
        <f t="shared" si="41"/>
        <v>#DIV/0!</v>
      </c>
      <c r="AF65" s="503"/>
      <c r="AG65" s="560"/>
      <c r="AH65" s="452"/>
      <c r="AI65" s="446">
        <f t="shared" si="52"/>
        <v>0</v>
      </c>
      <c r="AJ65" s="450" t="e">
        <f t="shared" si="42"/>
        <v>#DIV/0!</v>
      </c>
      <c r="AK65" s="503"/>
      <c r="AL65" s="560"/>
      <c r="AM65" s="452"/>
      <c r="AN65" s="446">
        <f t="shared" si="53"/>
        <v>0</v>
      </c>
      <c r="AO65" s="450" t="e">
        <f t="shared" si="43"/>
        <v>#DIV/0!</v>
      </c>
      <c r="AP65" s="503"/>
      <c r="AQ65" s="39">
        <f t="shared" si="54"/>
        <v>0</v>
      </c>
      <c r="AR65" s="39">
        <f t="shared" si="55"/>
        <v>0</v>
      </c>
      <c r="AS65" s="106">
        <f t="shared" si="56"/>
        <v>0</v>
      </c>
      <c r="AT65" s="178" t="e">
        <f t="shared" si="38"/>
        <v>#DIV/0!</v>
      </c>
      <c r="AU65" s="79"/>
    </row>
    <row r="66" spans="1:47" s="2" customFormat="1" ht="13.8" x14ac:dyDescent="0.25">
      <c r="A66" s="237"/>
      <c r="B66" s="615" t="s">
        <v>37</v>
      </c>
      <c r="C66" s="39"/>
      <c r="D66" s="39">
        <v>1900</v>
      </c>
      <c r="E66" s="106">
        <f t="shared" si="44"/>
        <v>1900</v>
      </c>
      <c r="F66" s="178">
        <f t="shared" si="1"/>
        <v>0.30036713939072174</v>
      </c>
      <c r="G66" s="79" t="s">
        <v>958</v>
      </c>
      <c r="H66" s="39"/>
      <c r="I66" s="39"/>
      <c r="J66" s="106">
        <f t="shared" si="45"/>
        <v>0</v>
      </c>
      <c r="K66" s="178" t="e">
        <f t="shared" si="39"/>
        <v>#DIV/0!</v>
      </c>
      <c r="L66" s="259"/>
      <c r="M66" s="39"/>
      <c r="N66" s="39"/>
      <c r="O66" s="106">
        <f t="shared" si="46"/>
        <v>0</v>
      </c>
      <c r="P66" s="178" t="e">
        <f t="shared" si="47"/>
        <v>#DIV/0!</v>
      </c>
      <c r="Q66" s="259"/>
      <c r="R66" s="39"/>
      <c r="S66" s="39"/>
      <c r="T66" s="106">
        <f t="shared" si="48"/>
        <v>0</v>
      </c>
      <c r="U66" s="178" t="e">
        <f t="shared" si="49"/>
        <v>#DIV/0!</v>
      </c>
      <c r="V66" s="259"/>
      <c r="W66" s="39"/>
      <c r="X66" s="39"/>
      <c r="Y66" s="106">
        <f t="shared" si="50"/>
        <v>0</v>
      </c>
      <c r="Z66" s="178" t="e">
        <f t="shared" si="40"/>
        <v>#DIV/0!</v>
      </c>
      <c r="AA66" s="731"/>
      <c r="AB66" s="560"/>
      <c r="AC66" s="452"/>
      <c r="AD66" s="446">
        <f t="shared" si="51"/>
        <v>0</v>
      </c>
      <c r="AE66" s="450" t="e">
        <f t="shared" si="41"/>
        <v>#DIV/0!</v>
      </c>
      <c r="AF66" s="503"/>
      <c r="AG66" s="560"/>
      <c r="AH66" s="452"/>
      <c r="AI66" s="446">
        <f t="shared" si="52"/>
        <v>0</v>
      </c>
      <c r="AJ66" s="450" t="e">
        <f t="shared" si="42"/>
        <v>#DIV/0!</v>
      </c>
      <c r="AK66" s="503"/>
      <c r="AL66" s="560"/>
      <c r="AM66" s="452"/>
      <c r="AN66" s="446">
        <f t="shared" si="53"/>
        <v>0</v>
      </c>
      <c r="AO66" s="450" t="e">
        <f t="shared" si="43"/>
        <v>#DIV/0!</v>
      </c>
      <c r="AP66" s="503"/>
      <c r="AQ66" s="39">
        <f t="shared" si="54"/>
        <v>0</v>
      </c>
      <c r="AR66" s="39">
        <f t="shared" si="55"/>
        <v>1900</v>
      </c>
      <c r="AS66" s="106">
        <f t="shared" si="56"/>
        <v>1900</v>
      </c>
      <c r="AT66" s="178" t="e">
        <f t="shared" si="38"/>
        <v>#DIV/0!</v>
      </c>
      <c r="AU66" s="79"/>
    </row>
    <row r="67" spans="1:47" s="2" customFormat="1" ht="13.8" x14ac:dyDescent="0.25">
      <c r="A67" s="237"/>
      <c r="B67" s="615" t="s">
        <v>3</v>
      </c>
      <c r="C67" s="39"/>
      <c r="D67" s="39"/>
      <c r="E67" s="106">
        <f t="shared" si="44"/>
        <v>0</v>
      </c>
      <c r="F67" s="178">
        <f t="shared" si="1"/>
        <v>0</v>
      </c>
      <c r="G67" s="79"/>
      <c r="H67" s="39"/>
      <c r="I67" s="39"/>
      <c r="J67" s="106">
        <f t="shared" si="45"/>
        <v>0</v>
      </c>
      <c r="K67" s="178" t="e">
        <f t="shared" si="39"/>
        <v>#DIV/0!</v>
      </c>
      <c r="L67" s="860"/>
      <c r="M67" s="39"/>
      <c r="N67" s="39"/>
      <c r="O67" s="106">
        <f t="shared" si="46"/>
        <v>0</v>
      </c>
      <c r="P67" s="178" t="e">
        <f t="shared" si="47"/>
        <v>#DIV/0!</v>
      </c>
      <c r="Q67" s="259"/>
      <c r="R67" s="39"/>
      <c r="S67" s="39"/>
      <c r="T67" s="106">
        <f t="shared" si="48"/>
        <v>0</v>
      </c>
      <c r="U67" s="178" t="e">
        <f t="shared" si="49"/>
        <v>#DIV/0!</v>
      </c>
      <c r="V67" s="259"/>
      <c r="W67" s="39"/>
      <c r="X67" s="39"/>
      <c r="Y67" s="106">
        <f t="shared" si="50"/>
        <v>0</v>
      </c>
      <c r="Z67" s="178" t="e">
        <f t="shared" si="40"/>
        <v>#DIV/0!</v>
      </c>
      <c r="AA67" s="731"/>
      <c r="AB67" s="560"/>
      <c r="AC67" s="452"/>
      <c r="AD67" s="446">
        <f t="shared" si="51"/>
        <v>0</v>
      </c>
      <c r="AE67" s="450" t="e">
        <f t="shared" si="41"/>
        <v>#DIV/0!</v>
      </c>
      <c r="AF67" s="503"/>
      <c r="AG67" s="560"/>
      <c r="AH67" s="452"/>
      <c r="AI67" s="446">
        <f t="shared" si="52"/>
        <v>0</v>
      </c>
      <c r="AJ67" s="450" t="e">
        <f t="shared" si="42"/>
        <v>#DIV/0!</v>
      </c>
      <c r="AK67" s="503"/>
      <c r="AL67" s="560"/>
      <c r="AM67" s="452"/>
      <c r="AN67" s="446">
        <f t="shared" si="53"/>
        <v>0</v>
      </c>
      <c r="AO67" s="450" t="e">
        <f t="shared" si="43"/>
        <v>#DIV/0!</v>
      </c>
      <c r="AP67" s="503"/>
      <c r="AQ67" s="39">
        <f t="shared" si="54"/>
        <v>0</v>
      </c>
      <c r="AR67" s="39">
        <f t="shared" si="55"/>
        <v>0</v>
      </c>
      <c r="AS67" s="106">
        <f t="shared" si="56"/>
        <v>0</v>
      </c>
      <c r="AT67" s="178" t="e">
        <f t="shared" si="38"/>
        <v>#DIV/0!</v>
      </c>
      <c r="AU67" s="79"/>
    </row>
    <row r="68" spans="1:47" s="2" customFormat="1" ht="41.4" x14ac:dyDescent="0.25">
      <c r="A68" s="237"/>
      <c r="B68" s="615" t="s">
        <v>5</v>
      </c>
      <c r="C68" s="39"/>
      <c r="D68" s="39">
        <f>662+3004+70.1</f>
        <v>3736.1</v>
      </c>
      <c r="E68" s="106">
        <f t="shared" si="44"/>
        <v>3736.1</v>
      </c>
      <c r="F68" s="178">
        <f>E68/$E$89</f>
        <v>0.59063245761982919</v>
      </c>
      <c r="G68" s="389" t="s">
        <v>957</v>
      </c>
      <c r="H68" s="39"/>
      <c r="I68" s="39"/>
      <c r="J68" s="106">
        <f t="shared" si="45"/>
        <v>0</v>
      </c>
      <c r="K68" s="178" t="e">
        <f t="shared" si="39"/>
        <v>#DIV/0!</v>
      </c>
      <c r="L68" s="259"/>
      <c r="M68" s="39"/>
      <c r="N68" s="39"/>
      <c r="O68" s="106">
        <f t="shared" si="46"/>
        <v>0</v>
      </c>
      <c r="P68" s="178" t="e">
        <f t="shared" si="47"/>
        <v>#DIV/0!</v>
      </c>
      <c r="Q68" s="259"/>
      <c r="R68" s="39"/>
      <c r="S68" s="39"/>
      <c r="T68" s="106">
        <f t="shared" si="48"/>
        <v>0</v>
      </c>
      <c r="U68" s="178" t="e">
        <f t="shared" si="49"/>
        <v>#DIV/0!</v>
      </c>
      <c r="V68" s="259"/>
      <c r="W68" s="39"/>
      <c r="X68" s="39"/>
      <c r="Y68" s="106">
        <f t="shared" si="50"/>
        <v>0</v>
      </c>
      <c r="Z68" s="178" t="e">
        <f t="shared" si="40"/>
        <v>#DIV/0!</v>
      </c>
      <c r="AA68" s="731"/>
      <c r="AB68" s="560"/>
      <c r="AC68" s="452"/>
      <c r="AD68" s="446">
        <f t="shared" si="51"/>
        <v>0</v>
      </c>
      <c r="AE68" s="450" t="e">
        <f t="shared" si="41"/>
        <v>#DIV/0!</v>
      </c>
      <c r="AF68" s="503"/>
      <c r="AG68" s="560"/>
      <c r="AH68" s="452"/>
      <c r="AI68" s="446">
        <f t="shared" si="52"/>
        <v>0</v>
      </c>
      <c r="AJ68" s="450" t="e">
        <f t="shared" si="42"/>
        <v>#DIV/0!</v>
      </c>
      <c r="AK68" s="503"/>
      <c r="AL68" s="560"/>
      <c r="AM68" s="452"/>
      <c r="AN68" s="446">
        <f t="shared" si="53"/>
        <v>0</v>
      </c>
      <c r="AO68" s="450" t="e">
        <f t="shared" si="43"/>
        <v>#DIV/0!</v>
      </c>
      <c r="AP68" s="503"/>
      <c r="AQ68" s="39">
        <f t="shared" si="54"/>
        <v>0</v>
      </c>
      <c r="AR68" s="39">
        <f t="shared" si="55"/>
        <v>3736.1</v>
      </c>
      <c r="AS68" s="106">
        <f t="shared" si="56"/>
        <v>3736.1</v>
      </c>
      <c r="AT68" s="178" t="e">
        <f t="shared" si="38"/>
        <v>#DIV/0!</v>
      </c>
      <c r="AU68" s="79"/>
    </row>
    <row r="69" spans="1:47" s="2" customFormat="1" ht="13.8" x14ac:dyDescent="0.25">
      <c r="A69" s="237"/>
      <c r="B69" s="615" t="s">
        <v>42</v>
      </c>
      <c r="C69" s="39"/>
      <c r="D69" s="39"/>
      <c r="E69" s="106">
        <f t="shared" si="44"/>
        <v>0</v>
      </c>
      <c r="F69" s="178">
        <f t="shared" si="1"/>
        <v>0</v>
      </c>
      <c r="G69" s="79"/>
      <c r="H69" s="39"/>
      <c r="I69" s="39"/>
      <c r="J69" s="106">
        <f t="shared" si="45"/>
        <v>0</v>
      </c>
      <c r="K69" s="178" t="e">
        <f t="shared" si="39"/>
        <v>#DIV/0!</v>
      </c>
      <c r="L69" s="415"/>
      <c r="M69" s="39"/>
      <c r="N69" s="39"/>
      <c r="O69" s="106">
        <f t="shared" si="46"/>
        <v>0</v>
      </c>
      <c r="P69" s="178" t="e">
        <f t="shared" si="47"/>
        <v>#DIV/0!</v>
      </c>
      <c r="Q69" s="415"/>
      <c r="R69" s="39"/>
      <c r="S69" s="39"/>
      <c r="T69" s="106">
        <f t="shared" si="48"/>
        <v>0</v>
      </c>
      <c r="U69" s="178" t="e">
        <f t="shared" si="49"/>
        <v>#DIV/0!</v>
      </c>
      <c r="V69" s="415"/>
      <c r="W69" s="39"/>
      <c r="X69" s="39"/>
      <c r="Y69" s="106">
        <f t="shared" si="50"/>
        <v>0</v>
      </c>
      <c r="Z69" s="178" t="e">
        <f t="shared" si="40"/>
        <v>#DIV/0!</v>
      </c>
      <c r="AA69" s="736"/>
      <c r="AB69" s="560"/>
      <c r="AC69" s="452"/>
      <c r="AD69" s="446">
        <f t="shared" si="51"/>
        <v>0</v>
      </c>
      <c r="AE69" s="450" t="e">
        <f t="shared" si="41"/>
        <v>#DIV/0!</v>
      </c>
      <c r="AF69" s="518"/>
      <c r="AG69" s="560"/>
      <c r="AH69" s="452"/>
      <c r="AI69" s="446">
        <f t="shared" si="52"/>
        <v>0</v>
      </c>
      <c r="AJ69" s="450" t="e">
        <f t="shared" si="42"/>
        <v>#DIV/0!</v>
      </c>
      <c r="AK69" s="518"/>
      <c r="AL69" s="560"/>
      <c r="AM69" s="452"/>
      <c r="AN69" s="446">
        <f t="shared" si="53"/>
        <v>0</v>
      </c>
      <c r="AO69" s="450" t="e">
        <f t="shared" si="43"/>
        <v>#DIV/0!</v>
      </c>
      <c r="AP69" s="518"/>
      <c r="AQ69" s="39">
        <f t="shared" si="54"/>
        <v>0</v>
      </c>
      <c r="AR69" s="39">
        <f t="shared" si="55"/>
        <v>0</v>
      </c>
      <c r="AS69" s="106">
        <f t="shared" si="56"/>
        <v>0</v>
      </c>
      <c r="AT69" s="178" t="e">
        <f t="shared" si="38"/>
        <v>#DIV/0!</v>
      </c>
      <c r="AU69" s="79"/>
    </row>
    <row r="70" spans="1:47" s="2" customFormat="1" ht="13.8" x14ac:dyDescent="0.25">
      <c r="A70" s="237"/>
      <c r="B70" s="615" t="s">
        <v>6</v>
      </c>
      <c r="C70" s="39"/>
      <c r="D70" s="39"/>
      <c r="E70" s="106">
        <f t="shared" si="44"/>
        <v>0</v>
      </c>
      <c r="F70" s="178">
        <f t="shared" si="1"/>
        <v>0</v>
      </c>
      <c r="G70" s="79"/>
      <c r="H70" s="39"/>
      <c r="I70" s="39"/>
      <c r="J70" s="106">
        <f t="shared" si="45"/>
        <v>0</v>
      </c>
      <c r="K70" s="178" t="e">
        <f t="shared" si="39"/>
        <v>#DIV/0!</v>
      </c>
      <c r="L70" s="259"/>
      <c r="M70" s="39"/>
      <c r="N70" s="39"/>
      <c r="O70" s="106">
        <f t="shared" si="46"/>
        <v>0</v>
      </c>
      <c r="P70" s="178" t="e">
        <f t="shared" si="47"/>
        <v>#DIV/0!</v>
      </c>
      <c r="Q70" s="259"/>
      <c r="R70" s="39"/>
      <c r="S70" s="39"/>
      <c r="T70" s="106">
        <f t="shared" si="48"/>
        <v>0</v>
      </c>
      <c r="U70" s="178" t="e">
        <f t="shared" si="49"/>
        <v>#DIV/0!</v>
      </c>
      <c r="V70" s="259"/>
      <c r="W70" s="39"/>
      <c r="X70" s="39"/>
      <c r="Y70" s="106">
        <f t="shared" si="50"/>
        <v>0</v>
      </c>
      <c r="Z70" s="178" t="e">
        <f t="shared" si="40"/>
        <v>#DIV/0!</v>
      </c>
      <c r="AA70" s="731"/>
      <c r="AB70" s="560"/>
      <c r="AC70" s="452"/>
      <c r="AD70" s="446">
        <f t="shared" si="51"/>
        <v>0</v>
      </c>
      <c r="AE70" s="450" t="e">
        <f t="shared" si="41"/>
        <v>#DIV/0!</v>
      </c>
      <c r="AF70" s="503"/>
      <c r="AG70" s="560"/>
      <c r="AH70" s="452"/>
      <c r="AI70" s="446">
        <f t="shared" si="52"/>
        <v>0</v>
      </c>
      <c r="AJ70" s="450" t="e">
        <f t="shared" si="42"/>
        <v>#DIV/0!</v>
      </c>
      <c r="AK70" s="503"/>
      <c r="AL70" s="560"/>
      <c r="AM70" s="452"/>
      <c r="AN70" s="446">
        <f t="shared" si="53"/>
        <v>0</v>
      </c>
      <c r="AO70" s="450" t="e">
        <f t="shared" si="43"/>
        <v>#DIV/0!</v>
      </c>
      <c r="AP70" s="503"/>
      <c r="AQ70" s="39">
        <f t="shared" si="54"/>
        <v>0</v>
      </c>
      <c r="AR70" s="39">
        <f t="shared" si="55"/>
        <v>0</v>
      </c>
      <c r="AS70" s="106">
        <f t="shared" si="56"/>
        <v>0</v>
      </c>
      <c r="AT70" s="178" t="e">
        <f t="shared" si="38"/>
        <v>#DIV/0!</v>
      </c>
      <c r="AU70" s="79"/>
    </row>
    <row r="71" spans="1:47" s="2" customFormat="1" ht="13.8" x14ac:dyDescent="0.25">
      <c r="A71" s="237"/>
      <c r="B71" s="615" t="s">
        <v>78</v>
      </c>
      <c r="C71" s="39"/>
      <c r="D71" s="39"/>
      <c r="E71" s="106">
        <f t="shared" si="44"/>
        <v>0</v>
      </c>
      <c r="F71" s="178">
        <f t="shared" si="1"/>
        <v>0</v>
      </c>
      <c r="G71" s="79"/>
      <c r="H71" s="39"/>
      <c r="I71" s="39"/>
      <c r="J71" s="106">
        <f t="shared" si="45"/>
        <v>0</v>
      </c>
      <c r="K71" s="178" t="e">
        <f t="shared" si="39"/>
        <v>#DIV/0!</v>
      </c>
      <c r="L71" s="259"/>
      <c r="M71" s="39"/>
      <c r="N71" s="39"/>
      <c r="O71" s="106">
        <f t="shared" si="46"/>
        <v>0</v>
      </c>
      <c r="P71" s="178" t="e">
        <f t="shared" si="47"/>
        <v>#DIV/0!</v>
      </c>
      <c r="Q71" s="259"/>
      <c r="R71" s="39"/>
      <c r="S71" s="39"/>
      <c r="T71" s="106">
        <f t="shared" si="48"/>
        <v>0</v>
      </c>
      <c r="U71" s="178" t="e">
        <f t="shared" si="49"/>
        <v>#DIV/0!</v>
      </c>
      <c r="V71" s="259"/>
      <c r="W71" s="39"/>
      <c r="X71" s="39"/>
      <c r="Y71" s="106">
        <f t="shared" si="50"/>
        <v>0</v>
      </c>
      <c r="Z71" s="178" t="e">
        <f t="shared" si="40"/>
        <v>#DIV/0!</v>
      </c>
      <c r="AA71" s="731"/>
      <c r="AB71" s="560"/>
      <c r="AC71" s="452"/>
      <c r="AD71" s="446">
        <f t="shared" si="51"/>
        <v>0</v>
      </c>
      <c r="AE71" s="450" t="e">
        <f t="shared" si="41"/>
        <v>#DIV/0!</v>
      </c>
      <c r="AF71" s="503"/>
      <c r="AG71" s="560"/>
      <c r="AH71" s="452"/>
      <c r="AI71" s="446">
        <f t="shared" si="52"/>
        <v>0</v>
      </c>
      <c r="AJ71" s="450" t="e">
        <f t="shared" si="42"/>
        <v>#DIV/0!</v>
      </c>
      <c r="AK71" s="503"/>
      <c r="AL71" s="560"/>
      <c r="AM71" s="452"/>
      <c r="AN71" s="446">
        <f t="shared" si="53"/>
        <v>0</v>
      </c>
      <c r="AO71" s="450" t="e">
        <f t="shared" si="43"/>
        <v>#DIV/0!</v>
      </c>
      <c r="AP71" s="503"/>
      <c r="AQ71" s="39">
        <f t="shared" si="54"/>
        <v>0</v>
      </c>
      <c r="AR71" s="39">
        <f t="shared" si="55"/>
        <v>0</v>
      </c>
      <c r="AS71" s="106">
        <f t="shared" si="56"/>
        <v>0</v>
      </c>
      <c r="AT71" s="178" t="e">
        <f t="shared" si="38"/>
        <v>#DIV/0!</v>
      </c>
      <c r="AU71" s="79"/>
    </row>
    <row r="72" spans="1:47" s="2" customFormat="1" ht="14.4" thickBot="1" x14ac:dyDescent="0.3">
      <c r="A72" s="237"/>
      <c r="B72" s="303"/>
      <c r="C72" s="535"/>
      <c r="D72" s="535"/>
      <c r="E72" s="622"/>
      <c r="F72" s="583">
        <f t="shared" si="1"/>
        <v>0</v>
      </c>
      <c r="G72" s="899"/>
      <c r="H72" s="535"/>
      <c r="I72" s="535"/>
      <c r="J72" s="622"/>
      <c r="K72" s="583" t="e">
        <f t="shared" si="39"/>
        <v>#DIV/0!</v>
      </c>
      <c r="L72" s="900"/>
      <c r="M72" s="535"/>
      <c r="N72" s="535"/>
      <c r="O72" s="622"/>
      <c r="P72" s="583" t="e">
        <f t="shared" si="47"/>
        <v>#DIV/0!</v>
      </c>
      <c r="Q72" s="900"/>
      <c r="R72" s="535"/>
      <c r="S72" s="535"/>
      <c r="T72" s="622"/>
      <c r="U72" s="583" t="e">
        <f t="shared" si="49"/>
        <v>#DIV/0!</v>
      </c>
      <c r="V72" s="900"/>
      <c r="W72" s="535"/>
      <c r="X72" s="535"/>
      <c r="Y72" s="622"/>
      <c r="Z72" s="583"/>
      <c r="AA72" s="901"/>
      <c r="AB72" s="604"/>
      <c r="AC72" s="535"/>
      <c r="AD72" s="622"/>
      <c r="AE72" s="583"/>
      <c r="AF72" s="900"/>
      <c r="AG72" s="604"/>
      <c r="AH72" s="535"/>
      <c r="AI72" s="622"/>
      <c r="AJ72" s="583"/>
      <c r="AK72" s="900"/>
      <c r="AL72" s="604"/>
      <c r="AM72" s="535"/>
      <c r="AN72" s="622"/>
      <c r="AO72" s="583"/>
      <c r="AP72" s="900"/>
      <c r="AQ72" s="535"/>
      <c r="AR72" s="535"/>
      <c r="AS72" s="622"/>
      <c r="AT72" s="583" t="e">
        <f t="shared" si="38"/>
        <v>#DIV/0!</v>
      </c>
      <c r="AU72" s="899"/>
    </row>
    <row r="73" spans="1:47" s="2" customFormat="1" ht="14.4" thickBot="1" x14ac:dyDescent="0.3">
      <c r="A73" s="237"/>
      <c r="B73" s="903" t="s">
        <v>4</v>
      </c>
      <c r="C73" s="836">
        <f>C74</f>
        <v>0</v>
      </c>
      <c r="D73" s="840">
        <f>D74</f>
        <v>0</v>
      </c>
      <c r="E73" s="837">
        <f>E74</f>
        <v>0</v>
      </c>
      <c r="F73" s="840"/>
      <c r="G73" s="840"/>
      <c r="H73" s="836">
        <f>H74</f>
        <v>0</v>
      </c>
      <c r="I73" s="840">
        <f>I74</f>
        <v>0</v>
      </c>
      <c r="J73" s="837">
        <f>J74</f>
        <v>0</v>
      </c>
      <c r="K73" s="840"/>
      <c r="L73" s="904"/>
      <c r="M73" s="836">
        <f>M74</f>
        <v>0</v>
      </c>
      <c r="N73" s="840">
        <f>N74</f>
        <v>0</v>
      </c>
      <c r="O73" s="837">
        <f>O74</f>
        <v>0</v>
      </c>
      <c r="P73" s="840"/>
      <c r="Q73" s="904"/>
      <c r="R73" s="836">
        <f>R74</f>
        <v>0</v>
      </c>
      <c r="S73" s="840">
        <f>S74</f>
        <v>0</v>
      </c>
      <c r="T73" s="837">
        <f>T74</f>
        <v>0</v>
      </c>
      <c r="U73" s="840"/>
      <c r="V73" s="904"/>
      <c r="W73" s="836">
        <f>W74</f>
        <v>0</v>
      </c>
      <c r="X73" s="840">
        <f>X74</f>
        <v>0</v>
      </c>
      <c r="Y73" s="837">
        <f>Y74</f>
        <v>0</v>
      </c>
      <c r="Z73" s="840"/>
      <c r="AA73" s="905"/>
      <c r="AB73" s="836">
        <f>AB74</f>
        <v>0</v>
      </c>
      <c r="AC73" s="840">
        <f>AC74</f>
        <v>0</v>
      </c>
      <c r="AD73" s="837">
        <f>AD74</f>
        <v>0</v>
      </c>
      <c r="AE73" s="840"/>
      <c r="AF73" s="904"/>
      <c r="AG73" s="836">
        <f>AG74</f>
        <v>0</v>
      </c>
      <c r="AH73" s="840">
        <f>AH74</f>
        <v>0</v>
      </c>
      <c r="AI73" s="837">
        <f>AI74</f>
        <v>0</v>
      </c>
      <c r="AJ73" s="840"/>
      <c r="AK73" s="904"/>
      <c r="AL73" s="836">
        <f>AL74</f>
        <v>0</v>
      </c>
      <c r="AM73" s="840">
        <f>AM74</f>
        <v>0</v>
      </c>
      <c r="AN73" s="837">
        <f>AN74</f>
        <v>0</v>
      </c>
      <c r="AO73" s="840"/>
      <c r="AP73" s="904"/>
      <c r="AQ73" s="836">
        <f>AQ74</f>
        <v>0</v>
      </c>
      <c r="AR73" s="840">
        <f>AR74</f>
        <v>0</v>
      </c>
      <c r="AS73" s="837">
        <f>AS74</f>
        <v>0</v>
      </c>
      <c r="AT73" s="840"/>
      <c r="AU73" s="840"/>
    </row>
    <row r="74" spans="1:47" s="2" customFormat="1" ht="14.4" thickBot="1" x14ac:dyDescent="0.3">
      <c r="A74" s="20"/>
      <c r="B74" s="902" t="s">
        <v>64</v>
      </c>
      <c r="C74" s="452"/>
      <c r="D74" s="452"/>
      <c r="E74" s="608"/>
      <c r="F74" s="608"/>
      <c r="G74" s="608"/>
      <c r="H74" s="452"/>
      <c r="I74" s="452"/>
      <c r="J74" s="841">
        <f>H74+I74*1</f>
        <v>0</v>
      </c>
      <c r="K74" s="608"/>
      <c r="L74" s="608"/>
      <c r="M74" s="452"/>
      <c r="N74" s="452"/>
      <c r="O74" s="841">
        <f>M74+N74*1</f>
        <v>0</v>
      </c>
      <c r="P74" s="608"/>
      <c r="Q74" s="608"/>
      <c r="R74" s="452"/>
      <c r="S74" s="452"/>
      <c r="T74" s="841">
        <f>R74+S74*1</f>
        <v>0</v>
      </c>
      <c r="U74" s="608"/>
      <c r="V74" s="608"/>
      <c r="W74" s="452"/>
      <c r="X74" s="452"/>
      <c r="Y74" s="841">
        <f>W74+X74*1</f>
        <v>0</v>
      </c>
      <c r="Z74" s="608"/>
      <c r="AA74" s="718"/>
      <c r="AB74" s="560"/>
      <c r="AC74" s="452"/>
      <c r="AD74" s="841">
        <f>AB74+AC74*1</f>
        <v>0</v>
      </c>
      <c r="AE74" s="608"/>
      <c r="AF74" s="608"/>
      <c r="AG74" s="560"/>
      <c r="AH74" s="452"/>
      <c r="AI74" s="841">
        <f>AG74+AH74*1</f>
        <v>0</v>
      </c>
      <c r="AJ74" s="608"/>
      <c r="AK74" s="608"/>
      <c r="AL74" s="560"/>
      <c r="AM74" s="452"/>
      <c r="AN74" s="841">
        <f>AL74+AM74*1</f>
        <v>0</v>
      </c>
      <c r="AO74" s="608"/>
      <c r="AP74" s="608"/>
      <c r="AQ74" s="452">
        <f>C74+H74</f>
        <v>0</v>
      </c>
      <c r="AR74" s="452">
        <f>D74+I74</f>
        <v>0</v>
      </c>
      <c r="AS74" s="841">
        <f>AQ74+AR74*1</f>
        <v>0</v>
      </c>
      <c r="AT74" s="608"/>
      <c r="AU74" s="608"/>
    </row>
    <row r="75" spans="1:47" s="2" customFormat="1" ht="14.4" thickBot="1" x14ac:dyDescent="0.3">
      <c r="A75" s="5"/>
      <c r="B75" s="23" t="s">
        <v>48</v>
      </c>
      <c r="C75" s="65">
        <f>C38-C41-C50-C54</f>
        <v>0</v>
      </c>
      <c r="D75" s="65">
        <f>D38-D41-D50-D54</f>
        <v>-5636.1</v>
      </c>
      <c r="E75" s="138">
        <f>E38-E41-E50-E54</f>
        <v>-5636.1</v>
      </c>
      <c r="F75" s="66"/>
      <c r="G75" s="66"/>
      <c r="H75" s="65">
        <f>H38-H41-H50-H54</f>
        <v>0</v>
      </c>
      <c r="I75" s="65">
        <f>I38-I41-I50-I54</f>
        <v>0</v>
      </c>
      <c r="J75" s="138">
        <f>J38-J41-J50-J54</f>
        <v>0</v>
      </c>
      <c r="K75" s="66"/>
      <c r="L75" s="411"/>
      <c r="M75" s="65">
        <f>M38-M41-M50-M54</f>
        <v>0</v>
      </c>
      <c r="N75" s="65">
        <f>N38-N41-N50-N54</f>
        <v>0</v>
      </c>
      <c r="O75" s="138">
        <f>O38-O41-O50-O54</f>
        <v>0</v>
      </c>
      <c r="P75" s="66"/>
      <c r="Q75" s="411"/>
      <c r="R75" s="65">
        <f>R38-R41-R50-R54</f>
        <v>0</v>
      </c>
      <c r="S75" s="65">
        <f>S38-S41-S50-S54</f>
        <v>0</v>
      </c>
      <c r="T75" s="138">
        <f>T38-T41-T50-T54</f>
        <v>0</v>
      </c>
      <c r="U75" s="66"/>
      <c r="V75" s="411"/>
      <c r="W75" s="65">
        <f>W38-W41-W50-W54</f>
        <v>0</v>
      </c>
      <c r="X75" s="65">
        <f>X38-X41-X50-X54</f>
        <v>0</v>
      </c>
      <c r="Y75" s="138">
        <f>Y38-Y41-Y50-Y54</f>
        <v>0</v>
      </c>
      <c r="Z75" s="66"/>
      <c r="AA75" s="738"/>
      <c r="AB75" s="646">
        <f>AB38-AB41-AB50-AB54</f>
        <v>0</v>
      </c>
      <c r="AC75" s="646">
        <f>AC38-AC41-AC50-AC54</f>
        <v>0</v>
      </c>
      <c r="AD75" s="670">
        <f>AD38-AD41-AD50-AD54</f>
        <v>0</v>
      </c>
      <c r="AE75" s="671"/>
      <c r="AF75" s="748"/>
      <c r="AG75" s="646">
        <f>AG38-AG41-AG50-AG54</f>
        <v>0</v>
      </c>
      <c r="AH75" s="646">
        <f>AH38-AH41-AH50-AH54</f>
        <v>0</v>
      </c>
      <c r="AI75" s="670">
        <f>AI38-AI41-AI50-AI54</f>
        <v>0</v>
      </c>
      <c r="AJ75" s="671"/>
      <c r="AK75" s="748"/>
      <c r="AL75" s="646">
        <f>AL38-AL41-AL50-AL54</f>
        <v>0</v>
      </c>
      <c r="AM75" s="646">
        <f>AM38-AM41-AM50-AM54</f>
        <v>0</v>
      </c>
      <c r="AN75" s="670">
        <f>AN38-AN41-AN50-AN54</f>
        <v>0</v>
      </c>
      <c r="AO75" s="671"/>
      <c r="AP75" s="748"/>
      <c r="AQ75" s="65">
        <f>AQ38-AQ41-AQ50-AQ54</f>
        <v>0</v>
      </c>
      <c r="AR75" s="65">
        <f>AR38-AR41-AR50-AR54</f>
        <v>-5636.1</v>
      </c>
      <c r="AS75" s="138">
        <f>AS38-AS41-AS50-AS54</f>
        <v>-5636.1</v>
      </c>
      <c r="AT75" s="66"/>
      <c r="AU75" s="66"/>
    </row>
    <row r="76" spans="1:47" s="2" customFormat="1" ht="13.8" x14ac:dyDescent="0.25">
      <c r="A76" s="294"/>
      <c r="B76" s="36" t="s">
        <v>49</v>
      </c>
      <c r="C76" s="54" t="e">
        <f>C75/C5</f>
        <v>#DIV/0!</v>
      </c>
      <c r="D76" s="54" t="e">
        <f>D75/D5</f>
        <v>#DIV/0!</v>
      </c>
      <c r="E76" s="55" t="e">
        <f>E75/E5</f>
        <v>#DIV/0!</v>
      </c>
      <c r="F76" s="55"/>
      <c r="G76" s="55"/>
      <c r="H76" s="54" t="e">
        <f>H75/H5</f>
        <v>#DIV/0!</v>
      </c>
      <c r="I76" s="54" t="e">
        <f>I75/I5</f>
        <v>#DIV/0!</v>
      </c>
      <c r="J76" s="55" t="e">
        <f>J75/J5</f>
        <v>#DIV/0!</v>
      </c>
      <c r="K76" s="55"/>
      <c r="L76" s="407"/>
      <c r="M76" s="54" t="e">
        <f>M75/M5</f>
        <v>#DIV/0!</v>
      </c>
      <c r="N76" s="54" t="e">
        <f>N75/N5</f>
        <v>#DIV/0!</v>
      </c>
      <c r="O76" s="55" t="e">
        <f>O75/O5</f>
        <v>#DIV/0!</v>
      </c>
      <c r="P76" s="55"/>
      <c r="Q76" s="407"/>
      <c r="R76" s="54" t="e">
        <f>R75/R5</f>
        <v>#DIV/0!</v>
      </c>
      <c r="S76" s="54" t="e">
        <f>S75/S5</f>
        <v>#DIV/0!</v>
      </c>
      <c r="T76" s="55" t="e">
        <f>T75/T5</f>
        <v>#DIV/0!</v>
      </c>
      <c r="U76" s="55"/>
      <c r="V76" s="407"/>
      <c r="W76" s="54" t="e">
        <f>W75/W5</f>
        <v>#DIV/0!</v>
      </c>
      <c r="X76" s="54" t="e">
        <f>X75/X5</f>
        <v>#DIV/0!</v>
      </c>
      <c r="Y76" s="55" t="e">
        <f>Y75/Y5</f>
        <v>#DIV/0!</v>
      </c>
      <c r="Z76" s="55"/>
      <c r="AA76" s="716"/>
      <c r="AB76" s="639" t="e">
        <f>AB75/AB5</f>
        <v>#DIV/0!</v>
      </c>
      <c r="AC76" s="639" t="e">
        <f>AC75/AC5</f>
        <v>#DIV/0!</v>
      </c>
      <c r="AD76" s="660" t="e">
        <f>AD75/AD5</f>
        <v>#DIV/0!</v>
      </c>
      <c r="AE76" s="660"/>
      <c r="AF76" s="661"/>
      <c r="AG76" s="639" t="e">
        <f>AG75/AG5</f>
        <v>#DIV/0!</v>
      </c>
      <c r="AH76" s="639" t="e">
        <f>AH75/AH5</f>
        <v>#DIV/0!</v>
      </c>
      <c r="AI76" s="660" t="e">
        <f>AI75/AI5</f>
        <v>#DIV/0!</v>
      </c>
      <c r="AJ76" s="660"/>
      <c r="AK76" s="661"/>
      <c r="AL76" s="639" t="e">
        <f>AL75/AL5</f>
        <v>#DIV/0!</v>
      </c>
      <c r="AM76" s="639" t="e">
        <f>AM75/AM5</f>
        <v>#DIV/0!</v>
      </c>
      <c r="AN76" s="660" t="e">
        <f>AN75/AN5</f>
        <v>#DIV/0!</v>
      </c>
      <c r="AO76" s="660"/>
      <c r="AP76" s="661"/>
      <c r="AQ76" s="54" t="e">
        <f>AQ75/AQ5</f>
        <v>#DIV/0!</v>
      </c>
      <c r="AR76" s="54" t="e">
        <f>AR75/AR5</f>
        <v>#DIV/0!</v>
      </c>
      <c r="AS76" s="55" t="e">
        <f>AS75/AS5</f>
        <v>#DIV/0!</v>
      </c>
      <c r="AT76" s="55"/>
      <c r="AU76" s="55"/>
    </row>
    <row r="77" spans="1:47" s="2" customFormat="1" ht="14.4" thickBot="1" x14ac:dyDescent="0.3">
      <c r="A77" s="294"/>
      <c r="B77" s="27" t="s">
        <v>9</v>
      </c>
      <c r="C77" s="139">
        <f>C78-C79</f>
        <v>0</v>
      </c>
      <c r="D77" s="139">
        <f>D78-D79</f>
        <v>0</v>
      </c>
      <c r="E77" s="140">
        <f>E78-E79</f>
        <v>-689.49208658458997</v>
      </c>
      <c r="F77" s="67"/>
      <c r="G77" s="67"/>
      <c r="H77" s="139">
        <f>H78-H79</f>
        <v>0</v>
      </c>
      <c r="I77" s="139">
        <f>I78-I79</f>
        <v>0</v>
      </c>
      <c r="J77" s="140">
        <f>J78-J79</f>
        <v>0</v>
      </c>
      <c r="K77" s="67"/>
      <c r="L77" s="414"/>
      <c r="M77" s="139">
        <f>M78-M79</f>
        <v>0</v>
      </c>
      <c r="N77" s="139">
        <f>N78-N79</f>
        <v>0</v>
      </c>
      <c r="O77" s="140">
        <f>O78-O79</f>
        <v>0</v>
      </c>
      <c r="P77" s="67"/>
      <c r="Q77" s="414"/>
      <c r="R77" s="139">
        <f>R78-R79</f>
        <v>0</v>
      </c>
      <c r="S77" s="139">
        <f>S78-S79</f>
        <v>0</v>
      </c>
      <c r="T77" s="140">
        <f>T78-T79</f>
        <v>0</v>
      </c>
      <c r="U77" s="67"/>
      <c r="V77" s="414"/>
      <c r="W77" s="139">
        <f>W78-W79</f>
        <v>0</v>
      </c>
      <c r="X77" s="139">
        <f>X78-X79</f>
        <v>0</v>
      </c>
      <c r="Y77" s="140">
        <f>Y78-Y79</f>
        <v>0</v>
      </c>
      <c r="Z77" s="67"/>
      <c r="AA77" s="739"/>
      <c r="AB77" s="587">
        <f>AB78-AB79</f>
        <v>0</v>
      </c>
      <c r="AC77" s="587">
        <f>AC78-AC79</f>
        <v>0</v>
      </c>
      <c r="AD77" s="674">
        <f>AD78-AD79</f>
        <v>0</v>
      </c>
      <c r="AE77" s="675"/>
      <c r="AF77" s="749"/>
      <c r="AG77" s="587">
        <f>AG78-AG79</f>
        <v>0</v>
      </c>
      <c r="AH77" s="587">
        <f>AH78-AH79</f>
        <v>0</v>
      </c>
      <c r="AI77" s="674" t="e">
        <f>AI78-AI79</f>
        <v>#DIV/0!</v>
      </c>
      <c r="AJ77" s="675"/>
      <c r="AK77" s="749"/>
      <c r="AL77" s="587">
        <f>AL78-AL79</f>
        <v>0</v>
      </c>
      <c r="AM77" s="587">
        <f>AM78-AM79</f>
        <v>0</v>
      </c>
      <c r="AN77" s="674">
        <f>AN78-AN79</f>
        <v>0</v>
      </c>
      <c r="AO77" s="675"/>
      <c r="AP77" s="749"/>
      <c r="AQ77" s="139">
        <f>AQ78-AQ79</f>
        <v>0</v>
      </c>
      <c r="AR77" s="139">
        <f>AR78-AR79</f>
        <v>0</v>
      </c>
      <c r="AS77" s="140" t="e">
        <f>AS78-AS79</f>
        <v>#DIV/0!</v>
      </c>
      <c r="AT77" s="67"/>
      <c r="AU77" s="67"/>
    </row>
    <row r="78" spans="1:47" s="2" customFormat="1" ht="13.8" x14ac:dyDescent="0.25">
      <c r="A78" s="11"/>
      <c r="B78" s="6" t="s">
        <v>43</v>
      </c>
      <c r="C78" s="39"/>
      <c r="D78" s="39"/>
      <c r="E78" s="68">
        <f>C78+D78*1.15</f>
        <v>0</v>
      </c>
      <c r="F78" s="68"/>
      <c r="G78" s="68"/>
      <c r="H78" s="39"/>
      <c r="I78" s="39"/>
      <c r="J78" s="68">
        <f>H78+I78*1.15</f>
        <v>0</v>
      </c>
      <c r="K78" s="68"/>
      <c r="L78" s="48"/>
      <c r="M78" s="39"/>
      <c r="N78" s="39"/>
      <c r="O78" s="68">
        <f>M78+N78*1.15</f>
        <v>0</v>
      </c>
      <c r="P78" s="68"/>
      <c r="Q78" s="48"/>
      <c r="R78" s="39"/>
      <c r="S78" s="39"/>
      <c r="T78" s="68">
        <f>R78+S78*1.15</f>
        <v>0</v>
      </c>
      <c r="U78" s="68"/>
      <c r="V78" s="48"/>
      <c r="W78" s="39"/>
      <c r="X78" s="39"/>
      <c r="Y78" s="68">
        <f>W78+X78*1.15</f>
        <v>0</v>
      </c>
      <c r="Z78" s="68"/>
      <c r="AA78" s="543"/>
      <c r="AB78" s="560"/>
      <c r="AC78" s="452"/>
      <c r="AD78" s="676">
        <f>AB78+AC78*1.15</f>
        <v>0</v>
      </c>
      <c r="AE78" s="676"/>
      <c r="AF78" s="657"/>
      <c r="AG78" s="560"/>
      <c r="AH78" s="452"/>
      <c r="AI78" s="676">
        <f>AG78+AH78*1.15</f>
        <v>0</v>
      </c>
      <c r="AJ78" s="676"/>
      <c r="AK78" s="657"/>
      <c r="AL78" s="560"/>
      <c r="AM78" s="452"/>
      <c r="AN78" s="676">
        <f>AL78+AM78*1.15</f>
        <v>0</v>
      </c>
      <c r="AO78" s="676"/>
      <c r="AP78" s="657"/>
      <c r="AQ78" s="39">
        <f>C78+H78</f>
        <v>0</v>
      </c>
      <c r="AR78" s="39">
        <f>D78+I78</f>
        <v>0</v>
      </c>
      <c r="AS78" s="68">
        <f>AQ78+AR78*1.15</f>
        <v>0</v>
      </c>
      <c r="AT78" s="68"/>
      <c r="AU78" s="68"/>
    </row>
    <row r="79" spans="1:47" s="2" customFormat="1" ht="13.8" x14ac:dyDescent="0.25">
      <c r="A79" s="11"/>
      <c r="B79" s="24" t="s">
        <v>79</v>
      </c>
      <c r="C79" s="39"/>
      <c r="D79" s="39"/>
      <c r="E79" s="106">
        <f>(D8+D41+D50+D54)/(1-'расчет 2022'!E18)*'расчет 2022'!E18</f>
        <v>689.49208658458997</v>
      </c>
      <c r="F79" s="79">
        <f>E79/$E$89</f>
        <v>0.10900040298944902</v>
      </c>
      <c r="G79" s="45"/>
      <c r="H79" s="39"/>
      <c r="I79" s="39"/>
      <c r="J79" s="106">
        <f>(I8+I41+I50+I54)/(1-'расчет 2022'!E4)*'расчет 2022'!E4</f>
        <v>0</v>
      </c>
      <c r="K79" s="79" t="e">
        <f>J79/$J$89</f>
        <v>#DIV/0!</v>
      </c>
      <c r="L79" s="405"/>
      <c r="M79" s="39"/>
      <c r="N79" s="39"/>
      <c r="O79" s="106">
        <f>(N8+N41+N50+N54)/(1-'расчет 2022'!E6)*'расчет 2022'!E6</f>
        <v>0</v>
      </c>
      <c r="P79" s="45"/>
      <c r="Q79" s="405"/>
      <c r="R79" s="39"/>
      <c r="S79" s="39"/>
      <c r="T79" s="106">
        <f>(S8+S41+S50+S54)/(1-'расчет 2022'!E7)*'расчет 2022'!E7</f>
        <v>0</v>
      </c>
      <c r="U79" s="45"/>
      <c r="V79" s="405"/>
      <c r="W79" s="39"/>
      <c r="X79" s="39"/>
      <c r="Y79" s="106">
        <f>(X8+X41+X50+X54)/(1-'расчет 2022'!J7)*'расчет 2022'!J7</f>
        <v>0</v>
      </c>
      <c r="Z79" s="45"/>
      <c r="AA79" s="732"/>
      <c r="AB79" s="560"/>
      <c r="AC79" s="452"/>
      <c r="AD79" s="446">
        <f>(AC8+AC41+AC50+AC54)/(1-'расчет 2022'!O7)*'расчет 2022'!O7</f>
        <v>0</v>
      </c>
      <c r="AE79" s="693"/>
      <c r="AF79" s="745"/>
      <c r="AG79" s="560"/>
      <c r="AH79" s="452"/>
      <c r="AI79" s="446" t="e">
        <f>(AH8+AH41+AH50+AH54)/(1-'расчет 2022'!E10)*'расчет 2022'!E10</f>
        <v>#DIV/0!</v>
      </c>
      <c r="AJ79" s="693"/>
      <c r="AK79" s="745"/>
      <c r="AL79" s="560"/>
      <c r="AM79" s="452"/>
      <c r="AN79" s="446">
        <f>(AM8+AM41+AM50+AM54)/(1-'расчет 2022'!J10)*'расчет 2022'!J10</f>
        <v>0</v>
      </c>
      <c r="AO79" s="693"/>
      <c r="AP79" s="745"/>
      <c r="AQ79" s="39">
        <f>C79+H79</f>
        <v>0</v>
      </c>
      <c r="AR79" s="39">
        <f>D79+I79</f>
        <v>0</v>
      </c>
      <c r="AS79" s="106" t="e">
        <f>E79+J79+O79+AI79</f>
        <v>#DIV/0!</v>
      </c>
      <c r="AT79" s="45"/>
      <c r="AU79" s="45"/>
    </row>
    <row r="80" spans="1:47" ht="13.8" x14ac:dyDescent="0.25">
      <c r="A80" s="3"/>
      <c r="B80" s="25"/>
      <c r="C80" s="39"/>
      <c r="D80" s="39"/>
      <c r="E80" s="69"/>
      <c r="F80" s="69"/>
      <c r="G80" s="69"/>
      <c r="H80" s="39"/>
      <c r="I80" s="39"/>
      <c r="J80" s="69"/>
      <c r="K80" s="69"/>
      <c r="L80" s="69"/>
      <c r="M80" s="39"/>
      <c r="N80" s="39"/>
      <c r="O80" s="69"/>
      <c r="P80" s="69"/>
      <c r="Q80" s="69"/>
      <c r="R80" s="39"/>
      <c r="S80" s="39"/>
      <c r="T80" s="69"/>
      <c r="U80" s="69"/>
      <c r="V80" s="69"/>
      <c r="W80" s="39"/>
      <c r="X80" s="39"/>
      <c r="Y80" s="69"/>
      <c r="Z80" s="69"/>
      <c r="AA80" s="552"/>
      <c r="AB80" s="560"/>
      <c r="AC80" s="452"/>
      <c r="AD80" s="678"/>
      <c r="AE80" s="678"/>
      <c r="AF80" s="678"/>
      <c r="AG80" s="560"/>
      <c r="AH80" s="452"/>
      <c r="AI80" s="678"/>
      <c r="AJ80" s="678"/>
      <c r="AK80" s="678"/>
      <c r="AL80" s="560"/>
      <c r="AM80" s="452"/>
      <c r="AN80" s="678"/>
      <c r="AO80" s="678"/>
      <c r="AP80" s="678"/>
      <c r="AQ80" s="39"/>
      <c r="AR80" s="39"/>
      <c r="AS80" s="69"/>
      <c r="AT80" s="69"/>
      <c r="AU80" s="69"/>
    </row>
    <row r="81" spans="1:47" s="2" customFormat="1" ht="14.4" thickBot="1" x14ac:dyDescent="0.3">
      <c r="A81" s="26"/>
      <c r="B81" s="27" t="s">
        <v>12</v>
      </c>
      <c r="C81" s="139">
        <f>(C75+C78)-C79</f>
        <v>0</v>
      </c>
      <c r="D81" s="139">
        <f>(D75+D78)-D79</f>
        <v>-5636.1</v>
      </c>
      <c r="E81" s="140">
        <f>(E75+E78)-E79</f>
        <v>-6325.5920865845901</v>
      </c>
      <c r="F81" s="67"/>
      <c r="G81" s="67"/>
      <c r="H81" s="139">
        <f>(H75+H78)-H79</f>
        <v>0</v>
      </c>
      <c r="I81" s="139">
        <f>(I75+I78)-I79</f>
        <v>0</v>
      </c>
      <c r="J81" s="140">
        <f>(J75+J78)-J79</f>
        <v>0</v>
      </c>
      <c r="K81" s="67"/>
      <c r="L81" s="414"/>
      <c r="M81" s="139">
        <f>(M75+M78)-M79</f>
        <v>0</v>
      </c>
      <c r="N81" s="139">
        <f>(N75+N78)-N79</f>
        <v>0</v>
      </c>
      <c r="O81" s="140">
        <f>(O75+O78)-O79</f>
        <v>0</v>
      </c>
      <c r="P81" s="67"/>
      <c r="Q81" s="414"/>
      <c r="R81" s="139">
        <f>(R75+R78)-R79</f>
        <v>0</v>
      </c>
      <c r="S81" s="139">
        <f>(S75+S78)-S79</f>
        <v>0</v>
      </c>
      <c r="T81" s="140">
        <f>(T75+T78)-T79</f>
        <v>0</v>
      </c>
      <c r="U81" s="67"/>
      <c r="V81" s="414"/>
      <c r="W81" s="139">
        <f>(W75+W78)-W79</f>
        <v>0</v>
      </c>
      <c r="X81" s="139">
        <f>(X75+X78)-X79</f>
        <v>0</v>
      </c>
      <c r="Y81" s="140">
        <f>(Y75+Y78)-Y79</f>
        <v>0</v>
      </c>
      <c r="Z81" s="67"/>
      <c r="AA81" s="739"/>
      <c r="AB81" s="587">
        <f>(AB75+AB78)-AB79</f>
        <v>0</v>
      </c>
      <c r="AC81" s="587">
        <f>(AC75+AC78)-AC79</f>
        <v>0</v>
      </c>
      <c r="AD81" s="674">
        <f>(AD75+AD78)-AD79</f>
        <v>0</v>
      </c>
      <c r="AE81" s="675"/>
      <c r="AF81" s="749"/>
      <c r="AG81" s="587">
        <f>(AG75+AG78)-AG79</f>
        <v>0</v>
      </c>
      <c r="AH81" s="587">
        <f>(AH75+AH78)-AH79</f>
        <v>0</v>
      </c>
      <c r="AI81" s="674" t="e">
        <f>(AI75+AI78)-AI79</f>
        <v>#DIV/0!</v>
      </c>
      <c r="AJ81" s="675"/>
      <c r="AK81" s="749"/>
      <c r="AL81" s="587">
        <f>(AL75+AL78)-AL79</f>
        <v>0</v>
      </c>
      <c r="AM81" s="587">
        <f>(AM75+AM78)-AM79</f>
        <v>0</v>
      </c>
      <c r="AN81" s="674">
        <f>(AN75+AN78)-AN79</f>
        <v>0</v>
      </c>
      <c r="AO81" s="675"/>
      <c r="AP81" s="749"/>
      <c r="AQ81" s="139">
        <f>(AQ75+AQ78)-AQ79</f>
        <v>0</v>
      </c>
      <c r="AR81" s="139">
        <f>(AR75+AR78)-AR79</f>
        <v>-5636.1</v>
      </c>
      <c r="AS81" s="140" t="e">
        <f>(AS75+AS78)-AS79</f>
        <v>#DIV/0!</v>
      </c>
      <c r="AT81" s="67"/>
      <c r="AU81" s="67"/>
    </row>
    <row r="82" spans="1:47" s="2" customFormat="1" ht="13.8" x14ac:dyDescent="0.25">
      <c r="A82" s="293"/>
      <c r="B82" s="6" t="s">
        <v>38</v>
      </c>
      <c r="C82" s="39"/>
      <c r="D82" s="39"/>
      <c r="E82" s="146">
        <f>C82+D82</f>
        <v>0</v>
      </c>
      <c r="F82" s="101"/>
      <c r="G82" s="101"/>
      <c r="H82" s="39"/>
      <c r="I82" s="39"/>
      <c r="J82" s="146">
        <f>H82+I82</f>
        <v>0</v>
      </c>
      <c r="K82" s="101"/>
      <c r="L82" s="433"/>
      <c r="M82" s="39"/>
      <c r="N82" s="39"/>
      <c r="O82" s="146">
        <f>M82+N82</f>
        <v>0</v>
      </c>
      <c r="P82" s="101"/>
      <c r="Q82" s="433"/>
      <c r="R82" s="39"/>
      <c r="S82" s="39"/>
      <c r="T82" s="146">
        <f>R82+S82</f>
        <v>0</v>
      </c>
      <c r="U82" s="101"/>
      <c r="V82" s="433"/>
      <c r="W82" s="39"/>
      <c r="X82" s="39"/>
      <c r="Y82" s="146">
        <f>W82+X82</f>
        <v>0</v>
      </c>
      <c r="Z82" s="101"/>
      <c r="AA82" s="740"/>
      <c r="AB82" s="560"/>
      <c r="AC82" s="452"/>
      <c r="AD82" s="565">
        <f>AB82+AC82</f>
        <v>0</v>
      </c>
      <c r="AE82" s="642"/>
      <c r="AF82" s="719"/>
      <c r="AG82" s="560"/>
      <c r="AH82" s="452"/>
      <c r="AI82" s="565">
        <f>AG82+AH82</f>
        <v>0</v>
      </c>
      <c r="AJ82" s="642"/>
      <c r="AK82" s="719"/>
      <c r="AL82" s="560"/>
      <c r="AM82" s="452"/>
      <c r="AN82" s="565">
        <f>AL82+AM82</f>
        <v>0</v>
      </c>
      <c r="AO82" s="642"/>
      <c r="AP82" s="719"/>
      <c r="AQ82" s="39">
        <f>C82+H82</f>
        <v>0</v>
      </c>
      <c r="AR82" s="39">
        <f>D82+I82</f>
        <v>0</v>
      </c>
      <c r="AS82" s="146">
        <f>AQ82+AR82</f>
        <v>0</v>
      </c>
      <c r="AT82" s="101"/>
      <c r="AU82" s="101"/>
    </row>
    <row r="83" spans="1:47" s="2" customFormat="1" ht="13.8" x14ac:dyDescent="0.25">
      <c r="A83" s="11"/>
      <c r="B83" s="28" t="s">
        <v>13</v>
      </c>
      <c r="C83" s="147">
        <f>(C81+C7)-C36</f>
        <v>0</v>
      </c>
      <c r="D83" s="147">
        <f>(D81+D7)-D36</f>
        <v>-5636.1</v>
      </c>
      <c r="E83" s="148">
        <f>(E81+E7)-E36</f>
        <v>-6325.5920865845901</v>
      </c>
      <c r="F83" s="70"/>
      <c r="G83" s="70"/>
      <c r="H83" s="147">
        <f>(H81)-H36</f>
        <v>0</v>
      </c>
      <c r="I83" s="147">
        <f>(I81)-I36</f>
        <v>0</v>
      </c>
      <c r="J83" s="148">
        <f>(J81)-J36</f>
        <v>0</v>
      </c>
      <c r="K83" s="70"/>
      <c r="L83" s="434"/>
      <c r="M83" s="147">
        <f>(M81+M7)-M36</f>
        <v>0</v>
      </c>
      <c r="N83" s="147">
        <f>(N81+N7)-N36</f>
        <v>0</v>
      </c>
      <c r="O83" s="148">
        <f>(O81+O7)-O36</f>
        <v>0</v>
      </c>
      <c r="P83" s="70"/>
      <c r="Q83" s="434"/>
      <c r="R83" s="147">
        <f>(R81+R7)-R36</f>
        <v>0</v>
      </c>
      <c r="S83" s="147">
        <f>(S81+S7)-S36</f>
        <v>0</v>
      </c>
      <c r="T83" s="148">
        <f>(T81+T7)-T36</f>
        <v>0</v>
      </c>
      <c r="U83" s="70"/>
      <c r="V83" s="434"/>
      <c r="W83" s="147">
        <f>(W81+W7)-W36</f>
        <v>0</v>
      </c>
      <c r="X83" s="147">
        <f>(X81+X7)-X36</f>
        <v>0</v>
      </c>
      <c r="Y83" s="148">
        <f>(Y81+Y7)-Y36</f>
        <v>0</v>
      </c>
      <c r="Z83" s="70"/>
      <c r="AA83" s="741"/>
      <c r="AB83" s="679">
        <f>(AB81+AB7)-AB36</f>
        <v>0</v>
      </c>
      <c r="AC83" s="679">
        <f>(AC81+AC7)-AC36</f>
        <v>0</v>
      </c>
      <c r="AD83" s="680">
        <f>(AD81+AD7)-AD36</f>
        <v>0</v>
      </c>
      <c r="AE83" s="681"/>
      <c r="AF83" s="750"/>
      <c r="AG83" s="679">
        <f>(AG81+AG7)-AG36</f>
        <v>0</v>
      </c>
      <c r="AH83" s="679">
        <f>(AH81+AH7)-AH36</f>
        <v>0</v>
      </c>
      <c r="AI83" s="680" t="e">
        <f>(AI81+AI7)-AI36</f>
        <v>#DIV/0!</v>
      </c>
      <c r="AJ83" s="681"/>
      <c r="AK83" s="750"/>
      <c r="AL83" s="679">
        <f>(AL81+AL7)-AL36</f>
        <v>0</v>
      </c>
      <c r="AM83" s="679">
        <f>(AM81+AM7)-AM36</f>
        <v>0</v>
      </c>
      <c r="AN83" s="680">
        <f>(AN81+AN7)-AN36</f>
        <v>0</v>
      </c>
      <c r="AO83" s="681"/>
      <c r="AP83" s="750"/>
      <c r="AQ83" s="147">
        <f>(AQ81)-AQ36</f>
        <v>0</v>
      </c>
      <c r="AR83" s="147">
        <f>(AR81)-AR36</f>
        <v>-5636.1</v>
      </c>
      <c r="AS83" s="148" t="e">
        <f>(AS81)-AS36</f>
        <v>#DIV/0!</v>
      </c>
      <c r="AT83" s="70"/>
      <c r="AU83" s="70"/>
    </row>
    <row r="84" spans="1:47" s="2" customFormat="1" ht="14.4" thickBot="1" x14ac:dyDescent="0.3">
      <c r="A84" s="11"/>
      <c r="B84" s="211" t="s">
        <v>14</v>
      </c>
      <c r="C84" s="213">
        <f>C83-C73-C82</f>
        <v>0</v>
      </c>
      <c r="D84" s="213">
        <f>D83-D73-D82</f>
        <v>-5636.1</v>
      </c>
      <c r="E84" s="213">
        <f>E83-E73-E82</f>
        <v>-6325.5920865845901</v>
      </c>
      <c r="F84" s="82"/>
      <c r="G84" s="82"/>
      <c r="H84" s="213">
        <f>H83-H73-H82</f>
        <v>0</v>
      </c>
      <c r="I84" s="213">
        <f>I83-I73-I82</f>
        <v>0</v>
      </c>
      <c r="J84" s="213">
        <f>J83-J73-J82</f>
        <v>0</v>
      </c>
      <c r="K84" s="82"/>
      <c r="L84" s="435"/>
      <c r="M84" s="213">
        <f>M83-M73-M82</f>
        <v>0</v>
      </c>
      <c r="N84" s="213">
        <f>N83-N73-N82</f>
        <v>0</v>
      </c>
      <c r="O84" s="213">
        <f>O83-O73-O82</f>
        <v>0</v>
      </c>
      <c r="P84" s="82"/>
      <c r="Q84" s="435"/>
      <c r="R84" s="213">
        <f>R83-R73-R82</f>
        <v>0</v>
      </c>
      <c r="S84" s="213">
        <f>S83-S73-S82</f>
        <v>0</v>
      </c>
      <c r="T84" s="213">
        <f>T83-T73-T82</f>
        <v>0</v>
      </c>
      <c r="U84" s="82"/>
      <c r="V84" s="435"/>
      <c r="W84" s="213">
        <f>W83-W73-W82</f>
        <v>0</v>
      </c>
      <c r="X84" s="213">
        <f>X83-X73-X82</f>
        <v>0</v>
      </c>
      <c r="Y84" s="213">
        <f>Y83-Y73-Y82</f>
        <v>0</v>
      </c>
      <c r="Z84" s="82"/>
      <c r="AA84" s="742"/>
      <c r="AB84" s="562">
        <f>AB83-AB73-AB82</f>
        <v>0</v>
      </c>
      <c r="AC84" s="562">
        <f>AC83-AC73-AC82</f>
        <v>0</v>
      </c>
      <c r="AD84" s="562">
        <f>AD83-AD73-AD82</f>
        <v>0</v>
      </c>
      <c r="AE84" s="537"/>
      <c r="AF84" s="751"/>
      <c r="AG84" s="562">
        <f>AG83-AG73-AG82</f>
        <v>0</v>
      </c>
      <c r="AH84" s="562">
        <f>AH83-AH73-AH82</f>
        <v>0</v>
      </c>
      <c r="AI84" s="562" t="e">
        <f>AI83-AI73-AI82</f>
        <v>#DIV/0!</v>
      </c>
      <c r="AJ84" s="537"/>
      <c r="AK84" s="751"/>
      <c r="AL84" s="562">
        <f>AL83-AL73-AL82</f>
        <v>0</v>
      </c>
      <c r="AM84" s="562">
        <f>AM83-AM73-AM82</f>
        <v>0</v>
      </c>
      <c r="AN84" s="562">
        <f>AN83-AN73-AN82</f>
        <v>0</v>
      </c>
      <c r="AO84" s="537"/>
      <c r="AP84" s="751"/>
      <c r="AQ84" s="213">
        <f>AQ83-AQ73-AQ82</f>
        <v>0</v>
      </c>
      <c r="AR84" s="213">
        <f>AR83-AR73-AR82</f>
        <v>-5636.1</v>
      </c>
      <c r="AS84" s="213" t="e">
        <f>AS83-AS73-AS82</f>
        <v>#DIV/0!</v>
      </c>
      <c r="AT84" s="82"/>
      <c r="AU84" s="82"/>
    </row>
    <row r="85" spans="1:47" s="2" customFormat="1" ht="13.8" x14ac:dyDescent="0.25">
      <c r="A85" s="293"/>
      <c r="B85" s="216" t="s">
        <v>44</v>
      </c>
      <c r="C85" s="39"/>
      <c r="D85" s="39"/>
      <c r="E85" s="219">
        <f>C85+D85*1.15</f>
        <v>0</v>
      </c>
      <c r="F85" s="102"/>
      <c r="G85" s="102"/>
      <c r="H85" s="39"/>
      <c r="I85" s="39"/>
      <c r="J85" s="219">
        <f>H85+I85*1.15</f>
        <v>0</v>
      </c>
      <c r="K85" s="102"/>
      <c r="L85" s="436"/>
      <c r="M85" s="39"/>
      <c r="N85" s="39"/>
      <c r="O85" s="219">
        <f>M85+N85*1.15</f>
        <v>0</v>
      </c>
      <c r="P85" s="102"/>
      <c r="Q85" s="436"/>
      <c r="R85" s="39"/>
      <c r="S85" s="39"/>
      <c r="T85" s="219">
        <f>R85+S85*1.15</f>
        <v>0</v>
      </c>
      <c r="U85" s="102"/>
      <c r="V85" s="436"/>
      <c r="W85" s="39"/>
      <c r="X85" s="39"/>
      <c r="Y85" s="219">
        <f>W85+X85*1.15</f>
        <v>0</v>
      </c>
      <c r="Z85" s="102"/>
      <c r="AA85" s="743"/>
      <c r="AB85" s="560"/>
      <c r="AC85" s="452"/>
      <c r="AD85" s="484">
        <f>AB85+AC85*1.15</f>
        <v>0</v>
      </c>
      <c r="AE85" s="566"/>
      <c r="AF85" s="752"/>
      <c r="AG85" s="560"/>
      <c r="AH85" s="452"/>
      <c r="AI85" s="484">
        <f>AG85+AH85*1.15</f>
        <v>0</v>
      </c>
      <c r="AJ85" s="566"/>
      <c r="AK85" s="752"/>
      <c r="AL85" s="560"/>
      <c r="AM85" s="452"/>
      <c r="AN85" s="484">
        <f>AL85+AM85*1.15</f>
        <v>0</v>
      </c>
      <c r="AO85" s="566"/>
      <c r="AP85" s="752"/>
      <c r="AQ85" s="39"/>
      <c r="AR85" s="39"/>
      <c r="AS85" s="219">
        <f>AQ85+AR85*1.15</f>
        <v>0</v>
      </c>
      <c r="AT85" s="102"/>
      <c r="AU85" s="102"/>
    </row>
    <row r="86" spans="1:47" s="2" customFormat="1" ht="27.6" x14ac:dyDescent="0.25">
      <c r="A86" s="11"/>
      <c r="B86" s="37" t="s">
        <v>50</v>
      </c>
      <c r="C86" s="150">
        <f>C84-C85</f>
        <v>0</v>
      </c>
      <c r="D86" s="150">
        <f>D84-D85</f>
        <v>-5636.1</v>
      </c>
      <c r="E86" s="150">
        <f>E84-E85</f>
        <v>-6325.5920865845901</v>
      </c>
      <c r="F86" s="73"/>
      <c r="G86" s="73"/>
      <c r="H86" s="150">
        <f>H84-H85</f>
        <v>0</v>
      </c>
      <c r="I86" s="150">
        <f>I84-I85</f>
        <v>0</v>
      </c>
      <c r="J86" s="150">
        <f>J84-J85</f>
        <v>0</v>
      </c>
      <c r="K86" s="73"/>
      <c r="L86" s="434"/>
      <c r="M86" s="150">
        <f>M84-M85</f>
        <v>0</v>
      </c>
      <c r="N86" s="150">
        <f>N84-N85</f>
        <v>0</v>
      </c>
      <c r="O86" s="150">
        <f>O84-O85</f>
        <v>0</v>
      </c>
      <c r="P86" s="73"/>
      <c r="Q86" s="434"/>
      <c r="R86" s="150">
        <f>R84-R85</f>
        <v>0</v>
      </c>
      <c r="S86" s="150">
        <f>S84-S85</f>
        <v>0</v>
      </c>
      <c r="T86" s="150">
        <f>T84-T85</f>
        <v>0</v>
      </c>
      <c r="U86" s="73"/>
      <c r="V86" s="434"/>
      <c r="W86" s="150">
        <f>W84-W85</f>
        <v>0</v>
      </c>
      <c r="X86" s="150">
        <f>X84-X85</f>
        <v>0</v>
      </c>
      <c r="Y86" s="150">
        <f>Y84-Y85</f>
        <v>0</v>
      </c>
      <c r="Z86" s="73"/>
      <c r="AA86" s="741"/>
      <c r="AB86" s="569">
        <f>AB84-AB85</f>
        <v>0</v>
      </c>
      <c r="AC86" s="569">
        <f>AC84-AC85</f>
        <v>0</v>
      </c>
      <c r="AD86" s="569">
        <f>AD84-AD85</f>
        <v>0</v>
      </c>
      <c r="AE86" s="538"/>
      <c r="AF86" s="750"/>
      <c r="AG86" s="569">
        <f>AG84-AG85</f>
        <v>0</v>
      </c>
      <c r="AH86" s="569">
        <f>AH84-AH85</f>
        <v>0</v>
      </c>
      <c r="AI86" s="569" t="e">
        <f>AI84-AI85</f>
        <v>#DIV/0!</v>
      </c>
      <c r="AJ86" s="538"/>
      <c r="AK86" s="750"/>
      <c r="AL86" s="569">
        <f>AL84-AL85</f>
        <v>0</v>
      </c>
      <c r="AM86" s="569">
        <f>AM84-AM85</f>
        <v>0</v>
      </c>
      <c r="AN86" s="569">
        <f>AN84-AN85</f>
        <v>0</v>
      </c>
      <c r="AO86" s="538"/>
      <c r="AP86" s="750"/>
      <c r="AQ86" s="150">
        <f>AQ84-AQ85</f>
        <v>0</v>
      </c>
      <c r="AR86" s="150">
        <f>AR84-AR85</f>
        <v>-5636.1</v>
      </c>
      <c r="AS86" s="150" t="e">
        <f>AS84-AS85</f>
        <v>#DIV/0!</v>
      </c>
      <c r="AT86" s="73"/>
      <c r="AU86" s="73"/>
    </row>
    <row r="87" spans="1:47" s="2" customFormat="1" ht="14.4" thickBot="1" x14ac:dyDescent="0.3">
      <c r="A87" s="295"/>
      <c r="B87" s="29" t="s">
        <v>51</v>
      </c>
      <c r="C87" s="155" t="e">
        <f>C86/C5</f>
        <v>#DIV/0!</v>
      </c>
      <c r="D87" s="151" t="e">
        <f>D86/D5</f>
        <v>#DIV/0!</v>
      </c>
      <c r="E87" s="156" t="e">
        <f>E86/E5</f>
        <v>#DIV/0!</v>
      </c>
      <c r="F87" s="75"/>
      <c r="G87" s="75"/>
      <c r="H87" s="155" t="e">
        <f>H86/H5</f>
        <v>#DIV/0!</v>
      </c>
      <c r="I87" s="151" t="e">
        <f>I86/I5</f>
        <v>#DIV/0!</v>
      </c>
      <c r="J87" s="156" t="e">
        <f>J86/J5</f>
        <v>#DIV/0!</v>
      </c>
      <c r="K87" s="75"/>
      <c r="L87" s="437"/>
      <c r="M87" s="155" t="e">
        <f>M86/M5</f>
        <v>#DIV/0!</v>
      </c>
      <c r="N87" s="151" t="e">
        <f>N86/N5</f>
        <v>#DIV/0!</v>
      </c>
      <c r="O87" s="156" t="e">
        <f>O86/O5</f>
        <v>#DIV/0!</v>
      </c>
      <c r="P87" s="75"/>
      <c r="Q87" s="437"/>
      <c r="R87" s="155" t="e">
        <f>R86/R5</f>
        <v>#DIV/0!</v>
      </c>
      <c r="S87" s="151" t="e">
        <f>S86/S5</f>
        <v>#DIV/0!</v>
      </c>
      <c r="T87" s="156" t="e">
        <f>T86/T5</f>
        <v>#DIV/0!</v>
      </c>
      <c r="U87" s="75"/>
      <c r="V87" s="437"/>
      <c r="W87" s="155" t="e">
        <f>W86/W5</f>
        <v>#DIV/0!</v>
      </c>
      <c r="X87" s="151" t="e">
        <f>X86/X5</f>
        <v>#DIV/0!</v>
      </c>
      <c r="Y87" s="156" t="e">
        <f>Y86/Y5</f>
        <v>#DIV/0!</v>
      </c>
      <c r="Z87" s="75"/>
      <c r="AA87" s="744"/>
      <c r="AB87" s="573" t="e">
        <f>AB86/AB5</f>
        <v>#DIV/0!</v>
      </c>
      <c r="AC87" s="574" t="e">
        <f>AC86/AC5</f>
        <v>#DIV/0!</v>
      </c>
      <c r="AD87" s="575" t="e">
        <f>AD86/AD5</f>
        <v>#DIV/0!</v>
      </c>
      <c r="AE87" s="576"/>
      <c r="AF87" s="753"/>
      <c r="AG87" s="573" t="e">
        <f>AG86/AG5</f>
        <v>#DIV/0!</v>
      </c>
      <c r="AH87" s="574" t="e">
        <f>AH86/AH5</f>
        <v>#DIV/0!</v>
      </c>
      <c r="AI87" s="575" t="e">
        <f>AI86/AI5</f>
        <v>#DIV/0!</v>
      </c>
      <c r="AJ87" s="576"/>
      <c r="AK87" s="753"/>
      <c r="AL87" s="573" t="e">
        <f>AL86/AL5</f>
        <v>#DIV/0!</v>
      </c>
      <c r="AM87" s="574" t="e">
        <f>AM86/AM5</f>
        <v>#DIV/0!</v>
      </c>
      <c r="AN87" s="575" t="e">
        <f>AN86/AN5</f>
        <v>#DIV/0!</v>
      </c>
      <c r="AO87" s="576"/>
      <c r="AP87" s="753"/>
      <c r="AQ87" s="155" t="e">
        <f>AQ86/AQ5</f>
        <v>#DIV/0!</v>
      </c>
      <c r="AR87" s="151" t="e">
        <f>AR86/AR5</f>
        <v>#DIV/0!</v>
      </c>
      <c r="AS87" s="156" t="e">
        <f>AS86/AS5</f>
        <v>#DIV/0!</v>
      </c>
      <c r="AT87" s="75"/>
      <c r="AU87" s="75"/>
    </row>
    <row r="88" spans="1:47" ht="13.8" x14ac:dyDescent="0.25">
      <c r="A88" s="30"/>
      <c r="B88" s="30"/>
      <c r="C88" s="76"/>
      <c r="D88" s="76"/>
      <c r="E88" s="76"/>
      <c r="F88" s="76"/>
      <c r="G88" s="76"/>
      <c r="H88" s="76"/>
      <c r="I88" s="76"/>
      <c r="J88" s="76"/>
      <c r="K88" s="76"/>
      <c r="L88" s="438"/>
      <c r="M88" s="76"/>
      <c r="N88" s="76"/>
      <c r="O88" s="76"/>
      <c r="P88" s="76"/>
      <c r="Q88" s="438"/>
      <c r="R88" s="76"/>
      <c r="S88" s="76"/>
      <c r="T88" s="76"/>
      <c r="U88" s="76"/>
      <c r="V88" s="438"/>
      <c r="W88" s="76"/>
      <c r="X88" s="76"/>
      <c r="Y88" s="76"/>
      <c r="Z88" s="76"/>
      <c r="AA88" s="438"/>
      <c r="AB88" s="76"/>
      <c r="AC88" s="76"/>
      <c r="AD88" s="76"/>
      <c r="AE88" s="76"/>
      <c r="AF88" s="438"/>
      <c r="AG88" s="76"/>
      <c r="AH88" s="76"/>
      <c r="AI88" s="76"/>
      <c r="AJ88" s="76"/>
      <c r="AK88" s="438"/>
      <c r="AL88" s="76"/>
      <c r="AM88" s="76"/>
      <c r="AN88" s="76"/>
      <c r="AO88" s="76"/>
      <c r="AP88" s="438"/>
      <c r="AQ88" s="76"/>
      <c r="AR88" s="76"/>
      <c r="AS88" s="76"/>
      <c r="AT88" s="76"/>
      <c r="AU88" s="76"/>
    </row>
    <row r="89" spans="1:47" x14ac:dyDescent="0.25">
      <c r="B89" s="221" t="s">
        <v>56</v>
      </c>
      <c r="E89" s="154">
        <f>E8+E36+E41+E50+E54+E73+E79+E82+E85</f>
        <v>6325.5920865845901</v>
      </c>
      <c r="J89" s="154">
        <f>J8+J36+J41+J50+J54+J73+J79+J82+J85</f>
        <v>0</v>
      </c>
      <c r="L89" s="395"/>
      <c r="O89" s="154">
        <f>O8+O36+O41+O50+O54+O73+O79+O82+O85</f>
        <v>0</v>
      </c>
      <c r="Q89" s="395"/>
      <c r="T89" s="154">
        <f>T8+T36+T41+T50+T54+T73+T79+T82+T85</f>
        <v>0</v>
      </c>
      <c r="V89" s="395"/>
      <c r="Y89" s="154">
        <f>Y8+Y36+Y41+Y50+Y54+Y73+Y79+Y82+Y85</f>
        <v>0</v>
      </c>
      <c r="AA89" s="395"/>
      <c r="AD89" s="154">
        <f>AD8+AD36+AD41+AD50+AD54+AD73+AD79+AD82+AD85</f>
        <v>0</v>
      </c>
      <c r="AF89" s="395"/>
      <c r="AI89" s="154" t="e">
        <f>AI8+AI36+AI41+AI50+AI54+AI73+AI79+AI82+AI85</f>
        <v>#DIV/0!</v>
      </c>
      <c r="AK89" s="395"/>
      <c r="AN89" s="154">
        <f>AN8+AN36+AN41+AN50+AN54+AN73+AN79+AN82+AN85</f>
        <v>0</v>
      </c>
      <c r="AP89" s="395"/>
      <c r="AS89" s="154" t="e">
        <f>AS8+AS36+AS41+AS50+AS54+AS73+AS79+AS82+AS85</f>
        <v>#DIV/0!</v>
      </c>
    </row>
    <row r="90" spans="1:47" x14ac:dyDescent="0.25">
      <c r="L90" s="395"/>
      <c r="Q90" s="395"/>
      <c r="V90" s="395"/>
      <c r="W90" s="395"/>
      <c r="X90" s="395"/>
      <c r="Y90" s="395"/>
      <c r="Z90" s="395"/>
      <c r="AA90" s="395"/>
      <c r="AB90" s="395"/>
      <c r="AC90" s="395"/>
      <c r="AD90" s="395"/>
      <c r="AE90" s="395"/>
      <c r="AF90" s="395"/>
      <c r="AG90" s="395"/>
      <c r="AH90" s="395"/>
      <c r="AI90" s="395"/>
      <c r="AJ90" s="395"/>
      <c r="AK90" s="395"/>
      <c r="AL90" s="395"/>
      <c r="AM90" s="395"/>
      <c r="AN90" s="395"/>
      <c r="AO90" s="395"/>
      <c r="AP90" s="395"/>
      <c r="AS90" s="424" t="e">
        <f>(J89+E89)=AS89</f>
        <v>#DIV/0!</v>
      </c>
    </row>
    <row r="91" spans="1:47" s="2" customFormat="1" x14ac:dyDescent="0.25">
      <c r="A91" s="8"/>
      <c r="B91" s="8"/>
      <c r="C91" s="38"/>
      <c r="D91" s="38"/>
      <c r="E91" s="38"/>
      <c r="F91" s="38"/>
      <c r="G91" s="38"/>
      <c r="H91" s="38"/>
      <c r="I91" s="38"/>
      <c r="J91" s="38"/>
      <c r="K91" s="38"/>
      <c r="L91" s="395"/>
      <c r="M91" s="38"/>
      <c r="N91" s="38"/>
      <c r="O91" s="38"/>
      <c r="P91" s="38"/>
      <c r="Q91" s="395"/>
      <c r="R91" s="395"/>
      <c r="S91" s="395"/>
      <c r="T91" s="395"/>
      <c r="U91" s="395"/>
      <c r="V91" s="395"/>
      <c r="W91" s="395"/>
      <c r="X91" s="395"/>
      <c r="Y91" s="395"/>
      <c r="Z91" s="395"/>
      <c r="AA91" s="395"/>
      <c r="AB91" s="395"/>
      <c r="AC91" s="395"/>
      <c r="AD91" s="395"/>
      <c r="AE91" s="395"/>
      <c r="AF91" s="395"/>
      <c r="AG91" s="395"/>
      <c r="AH91" s="395"/>
      <c r="AI91" s="395"/>
      <c r="AJ91" s="395"/>
      <c r="AK91" s="395"/>
      <c r="AL91" s="395"/>
      <c r="AM91" s="395"/>
      <c r="AN91" s="395"/>
      <c r="AO91" s="395"/>
      <c r="AP91" s="395"/>
      <c r="AQ91" s="38"/>
      <c r="AR91" s="38"/>
      <c r="AS91" s="38"/>
      <c r="AT91" s="38"/>
      <c r="AU91" s="38"/>
    </row>
    <row r="92" spans="1:47" x14ac:dyDescent="0.25">
      <c r="L92" s="395"/>
      <c r="Q92" s="395"/>
      <c r="S92" s="395"/>
      <c r="T92" s="395"/>
      <c r="U92" s="395"/>
      <c r="V92" s="395"/>
      <c r="W92" s="395"/>
      <c r="X92" s="395"/>
      <c r="Y92" s="395"/>
      <c r="Z92" s="395"/>
      <c r="AA92" s="395"/>
      <c r="AB92" s="395"/>
      <c r="AC92" s="395"/>
      <c r="AD92" s="395"/>
      <c r="AE92" s="395"/>
      <c r="AF92" s="395"/>
      <c r="AG92" s="395"/>
      <c r="AH92" s="395"/>
      <c r="AI92" s="395"/>
      <c r="AJ92" s="395"/>
      <c r="AK92" s="395"/>
      <c r="AL92" s="395"/>
      <c r="AM92" s="395"/>
      <c r="AN92" s="395"/>
      <c r="AO92" s="395"/>
      <c r="AP92" s="395"/>
    </row>
    <row r="93" spans="1:47" s="2" customFormat="1" x14ac:dyDescent="0.25">
      <c r="A93" s="8"/>
      <c r="B93" s="629"/>
      <c r="C93" s="38"/>
      <c r="D93" s="38"/>
      <c r="E93" s="38"/>
      <c r="F93" s="38"/>
      <c r="G93" s="38"/>
      <c r="H93" s="38"/>
      <c r="I93" s="38"/>
      <c r="J93" s="38"/>
      <c r="K93" s="38"/>
      <c r="L93" s="395"/>
      <c r="M93" s="38"/>
      <c r="N93" s="38"/>
      <c r="O93" s="38"/>
      <c r="P93" s="38"/>
      <c r="Q93" s="395"/>
      <c r="R93" s="38"/>
      <c r="S93" s="395"/>
      <c r="T93" s="395"/>
      <c r="U93" s="395"/>
      <c r="V93" s="395"/>
      <c r="W93" s="395"/>
      <c r="X93" s="395"/>
      <c r="Y93" s="687">
        <f>Y5-Y89</f>
        <v>0</v>
      </c>
      <c r="Z93" s="395"/>
      <c r="AA93" s="395"/>
      <c r="AB93" s="395"/>
      <c r="AC93" s="395"/>
      <c r="AD93" s="687">
        <f>AD5-AD89</f>
        <v>0</v>
      </c>
      <c r="AE93" s="395"/>
      <c r="AF93" s="395"/>
      <c r="AG93" s="395"/>
      <c r="AH93" s="395"/>
      <c r="AI93" s="687" t="e">
        <f>AI5-AI89</f>
        <v>#DIV/0!</v>
      </c>
      <c r="AJ93" s="395"/>
      <c r="AK93" s="395"/>
      <c r="AL93" s="395"/>
      <c r="AM93" s="395"/>
      <c r="AN93" s="687">
        <f>AN5-AN89</f>
        <v>0</v>
      </c>
      <c r="AO93" s="395"/>
      <c r="AP93" s="395"/>
      <c r="AQ93" s="38"/>
      <c r="AR93" s="38"/>
      <c r="AS93" s="687" t="e">
        <f>AS5-AS89</f>
        <v>#DIV/0!</v>
      </c>
      <c r="AT93" s="38"/>
      <c r="AU93" s="38"/>
    </row>
    <row r="94" spans="1:47" s="2" customFormat="1" x14ac:dyDescent="0.25">
      <c r="A94" s="8"/>
      <c r="B94" s="629"/>
      <c r="C94" s="38"/>
      <c r="D94" s="38"/>
      <c r="E94" s="38"/>
      <c r="F94" s="38"/>
      <c r="G94" s="38"/>
      <c r="H94" s="38"/>
      <c r="I94" s="38"/>
      <c r="J94" s="38"/>
      <c r="K94" s="38"/>
      <c r="L94" s="395"/>
      <c r="M94" s="38"/>
      <c r="N94" s="38"/>
      <c r="O94" s="38"/>
      <c r="P94" s="38"/>
      <c r="Q94" s="395"/>
      <c r="R94" s="626"/>
      <c r="S94" s="395"/>
      <c r="T94" s="395"/>
      <c r="U94" s="395"/>
      <c r="V94" s="395"/>
      <c r="W94" s="395"/>
      <c r="X94" s="395"/>
      <c r="Y94" s="395"/>
      <c r="Z94" s="395"/>
      <c r="AA94" s="395"/>
      <c r="AB94" s="395"/>
      <c r="AC94" s="395"/>
      <c r="AD94" s="395"/>
      <c r="AE94" s="395"/>
      <c r="AF94" s="395"/>
      <c r="AG94" s="395"/>
      <c r="AH94" s="395"/>
      <c r="AI94" s="395"/>
      <c r="AJ94" s="395"/>
      <c r="AK94" s="395"/>
      <c r="AL94" s="395"/>
      <c r="AM94" s="395"/>
      <c r="AN94" s="395"/>
      <c r="AO94" s="395"/>
      <c r="AP94" s="395"/>
      <c r="AQ94" s="626"/>
      <c r="AR94" s="38"/>
      <c r="AS94" s="38"/>
      <c r="AT94" s="38"/>
      <c r="AU94" s="38"/>
    </row>
    <row r="95" spans="1:47" s="2" customFormat="1" x14ac:dyDescent="0.25">
      <c r="A95" s="8"/>
      <c r="B95" s="629"/>
      <c r="C95" s="38"/>
      <c r="D95" s="38"/>
      <c r="E95" s="38"/>
      <c r="F95" s="38"/>
      <c r="G95" s="38"/>
      <c r="H95" s="38"/>
      <c r="I95" s="38"/>
      <c r="J95" s="38"/>
      <c r="K95" s="38"/>
      <c r="L95" s="395"/>
      <c r="M95" s="38"/>
      <c r="N95" s="38"/>
      <c r="O95" s="38"/>
      <c r="P95" s="38"/>
      <c r="Q95" s="395"/>
      <c r="R95" s="38"/>
      <c r="S95" s="395"/>
      <c r="T95" s="395"/>
      <c r="U95" s="395"/>
      <c r="V95" s="395"/>
      <c r="W95" s="395"/>
      <c r="X95" s="395"/>
      <c r="Y95" s="395"/>
      <c r="Z95" s="395"/>
      <c r="AA95" s="395"/>
      <c r="AB95" s="395"/>
      <c r="AC95" s="395"/>
      <c r="AD95" s="395"/>
      <c r="AE95" s="395"/>
      <c r="AF95" s="395"/>
      <c r="AG95" s="395"/>
      <c r="AH95" s="395"/>
      <c r="AI95" s="395"/>
      <c r="AJ95" s="395"/>
      <c r="AK95" s="395"/>
      <c r="AL95" s="395"/>
      <c r="AM95" s="395"/>
      <c r="AN95" s="395"/>
      <c r="AO95" s="395"/>
      <c r="AP95" s="395"/>
      <c r="AQ95" s="38"/>
      <c r="AR95" s="38"/>
      <c r="AS95" s="38"/>
      <c r="AT95" s="38"/>
      <c r="AU95" s="38"/>
    </row>
    <row r="96" spans="1:47" s="2" customFormat="1" x14ac:dyDescent="0.25">
      <c r="A96" s="8"/>
      <c r="B96" s="629"/>
      <c r="C96" s="38"/>
      <c r="D96" s="38"/>
      <c r="E96" s="38"/>
      <c r="F96" s="38"/>
      <c r="G96" s="38"/>
      <c r="H96" s="38"/>
      <c r="I96" s="38"/>
      <c r="J96" s="38"/>
      <c r="K96" s="38"/>
      <c r="L96" s="395"/>
      <c r="M96" s="38"/>
      <c r="N96" s="38"/>
      <c r="O96" s="38"/>
      <c r="P96" s="38"/>
      <c r="Q96" s="395"/>
      <c r="R96" s="38"/>
      <c r="S96" s="395"/>
      <c r="T96" s="395"/>
      <c r="U96" s="395"/>
      <c r="V96" s="395"/>
      <c r="W96" s="395"/>
      <c r="X96" s="395"/>
      <c r="Y96" s="395"/>
      <c r="Z96" s="395"/>
      <c r="AA96" s="395"/>
      <c r="AB96" s="395"/>
      <c r="AC96" s="395"/>
      <c r="AD96" s="395"/>
      <c r="AE96" s="395"/>
      <c r="AF96" s="395"/>
      <c r="AG96" s="395"/>
      <c r="AH96" s="395"/>
      <c r="AI96" s="395"/>
      <c r="AJ96" s="395"/>
      <c r="AK96" s="395"/>
      <c r="AL96" s="395"/>
      <c r="AM96" s="395"/>
      <c r="AN96" s="395"/>
      <c r="AO96" s="395"/>
      <c r="AP96" s="395"/>
      <c r="AQ96" s="38"/>
      <c r="AR96" s="38"/>
      <c r="AS96" s="38"/>
      <c r="AT96" s="38"/>
      <c r="AU96" s="38"/>
    </row>
    <row r="97" spans="1:47" x14ac:dyDescent="0.25">
      <c r="L97" s="395"/>
      <c r="Q97" s="395"/>
      <c r="S97" s="395"/>
      <c r="T97" s="395"/>
      <c r="U97" s="395"/>
      <c r="V97" s="395"/>
      <c r="W97" s="395"/>
      <c r="X97" s="395"/>
      <c r="Y97" s="395"/>
      <c r="Z97" s="395"/>
      <c r="AA97" s="395"/>
      <c r="AB97" s="395"/>
      <c r="AC97" s="395"/>
      <c r="AD97" s="395"/>
      <c r="AE97" s="395"/>
      <c r="AF97" s="395"/>
      <c r="AG97" s="395"/>
      <c r="AH97" s="395"/>
      <c r="AI97" s="395"/>
      <c r="AJ97" s="395"/>
      <c r="AK97" s="395"/>
      <c r="AL97" s="395"/>
      <c r="AM97" s="395"/>
      <c r="AN97" s="395"/>
      <c r="AO97" s="395"/>
      <c r="AP97" s="395"/>
    </row>
    <row r="98" spans="1:47" s="2" customFormat="1" x14ac:dyDescent="0.25">
      <c r="A98" s="8"/>
      <c r="B98" s="8"/>
      <c r="C98" s="38"/>
      <c r="D98" s="38"/>
      <c r="E98" s="38"/>
      <c r="F98" s="38"/>
      <c r="G98" s="38"/>
      <c r="H98" s="38"/>
      <c r="I98" s="38"/>
      <c r="J98" s="38"/>
      <c r="K98" s="38"/>
      <c r="L98" s="395"/>
      <c r="M98" s="38"/>
      <c r="N98" s="38"/>
      <c r="O98" s="38"/>
      <c r="P98" s="38"/>
      <c r="Q98" s="395"/>
      <c r="R98" s="38"/>
      <c r="S98" s="395"/>
      <c r="T98" s="395"/>
      <c r="U98" s="395"/>
      <c r="V98" s="395"/>
      <c r="W98" s="395"/>
      <c r="X98" s="395"/>
      <c r="Y98" s="395"/>
      <c r="Z98" s="395"/>
      <c r="AA98" s="395"/>
      <c r="AB98" s="395"/>
      <c r="AC98" s="395"/>
      <c r="AD98" s="395"/>
      <c r="AE98" s="395"/>
      <c r="AF98" s="395"/>
      <c r="AG98" s="395"/>
      <c r="AH98" s="395"/>
      <c r="AI98" s="395"/>
      <c r="AJ98" s="395"/>
      <c r="AK98" s="395"/>
      <c r="AL98" s="395"/>
      <c r="AM98" s="395"/>
      <c r="AN98" s="395"/>
      <c r="AO98" s="395"/>
      <c r="AP98" s="395"/>
      <c r="AQ98" s="38"/>
      <c r="AR98" s="38"/>
      <c r="AS98" s="38"/>
      <c r="AT98" s="38"/>
      <c r="AU98" s="38"/>
    </row>
  </sheetData>
  <mergeCells count="12">
    <mergeCell ref="A42:A48"/>
    <mergeCell ref="A2:B2"/>
    <mergeCell ref="C2:G3"/>
    <mergeCell ref="H2:L3"/>
    <mergeCell ref="M2:Q3"/>
    <mergeCell ref="AQ2:AU3"/>
    <mergeCell ref="AB2:AF3"/>
    <mergeCell ref="AG2:AK3"/>
    <mergeCell ref="AL2:AP3"/>
    <mergeCell ref="A3:B3"/>
    <mergeCell ref="R2:U3"/>
    <mergeCell ref="W2:AA3"/>
  </mergeCells>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5" tint="0.79998168889431442"/>
    <pageSetUpPr fitToPage="1"/>
  </sheetPr>
  <dimension ref="A1:BN99"/>
  <sheetViews>
    <sheetView showZeros="0" zoomScale="70" zoomScaleNormal="70" workbookViewId="0">
      <pane xSplit="6" ySplit="5" topLeftCell="BE72" activePane="bottomRight" state="frozen"/>
      <selection activeCell="AW86" sqref="AW86"/>
      <selection pane="topRight" activeCell="AW86" sqref="AW86"/>
      <selection pane="bottomLeft" activeCell="AW86" sqref="AW86"/>
      <selection pane="bottomRight" activeCell="BL89" sqref="BL89"/>
    </sheetView>
  </sheetViews>
  <sheetFormatPr defaultColWidth="7.44140625" defaultRowHeight="13.2" outlineLevelRow="3" outlineLevelCol="1" x14ac:dyDescent="0.25"/>
  <cols>
    <col min="1" max="1" width="5.5546875" style="8" customWidth="1"/>
    <col min="2" max="2" width="55" style="8" customWidth="1"/>
    <col min="3" max="3" width="15" style="77" hidden="1" customWidth="1"/>
    <col min="4" max="4" width="15.5546875" style="77" hidden="1" customWidth="1"/>
    <col min="5" max="5" width="16.33203125" style="38" hidden="1" customWidth="1"/>
    <col min="6" max="6" width="9.5546875" style="38" hidden="1" customWidth="1"/>
    <col min="7" max="9" width="16.33203125" style="38" hidden="1" customWidth="1" outlineLevel="1"/>
    <col min="10" max="10" width="9" style="38" hidden="1" customWidth="1" outlineLevel="1"/>
    <col min="11" max="14" width="16.33203125" style="38" hidden="1" customWidth="1" outlineLevel="1"/>
    <col min="15" max="15" width="9" style="38" hidden="1" customWidth="1" outlineLevel="1"/>
    <col min="16" max="16" width="36.44140625" style="38" hidden="1" customWidth="1" outlineLevel="1"/>
    <col min="17" max="17" width="14.109375" style="38" hidden="1" customWidth="1" outlineLevel="1"/>
    <col min="18" max="18" width="13.5546875" style="38" hidden="1" customWidth="1" outlineLevel="1"/>
    <col min="19" max="19" width="14.33203125" style="38" hidden="1" customWidth="1" outlineLevel="1"/>
    <col min="20" max="20" width="17.6640625" style="38" hidden="1" customWidth="1" outlineLevel="1"/>
    <col min="21" max="21" width="29.6640625" style="38" hidden="1" customWidth="1" outlineLevel="1"/>
    <col min="22" max="22" width="14.6640625" style="38" hidden="1" customWidth="1" outlineLevel="1"/>
    <col min="23" max="23" width="14.5546875" style="38" hidden="1" customWidth="1" outlineLevel="1"/>
    <col min="24" max="24" width="17.88671875" style="38" hidden="1" customWidth="1" outlineLevel="1"/>
    <col min="25" max="25" width="9.6640625" style="38" hidden="1" customWidth="1" outlineLevel="1"/>
    <col min="26" max="26" width="29.6640625" style="38" hidden="1" customWidth="1" outlineLevel="1"/>
    <col min="27" max="27" width="13.44140625" style="38" hidden="1" customWidth="1" outlineLevel="1"/>
    <col min="28" max="28" width="17.44140625" style="38" hidden="1" customWidth="1" outlineLevel="1"/>
    <col min="29" max="29" width="18.33203125" style="38" hidden="1" customWidth="1" outlineLevel="1"/>
    <col min="30" max="30" width="11.5546875" style="38" hidden="1" customWidth="1" outlineLevel="1"/>
    <col min="31" max="31" width="29.6640625" style="38" hidden="1" customWidth="1" outlineLevel="1"/>
    <col min="32" max="35" width="15.5546875" style="38" hidden="1" customWidth="1" outlineLevel="1"/>
    <col min="36" max="36" width="34.5546875" style="38" hidden="1" customWidth="1" outlineLevel="1"/>
    <col min="37" max="51" width="17.6640625" style="38" hidden="1" customWidth="1" outlineLevel="1"/>
    <col min="52" max="52" width="17.6640625" style="38" hidden="1" customWidth="1" collapsed="1"/>
    <col min="53" max="56" width="17.6640625" style="38" hidden="1" customWidth="1"/>
    <col min="57" max="60" width="17.6640625" style="38" customWidth="1"/>
    <col min="61" max="61" width="22.6640625" style="38" customWidth="1"/>
    <col min="62" max="64" width="16.33203125" style="38" customWidth="1"/>
    <col min="65" max="65" width="9" style="38" customWidth="1"/>
    <col min="66" max="66" width="32.33203125" style="38" customWidth="1"/>
    <col min="67" max="16384" width="7.44140625" style="1"/>
  </cols>
  <sheetData>
    <row r="1" spans="1:66" ht="13.8" thickBot="1" x14ac:dyDescent="0.3">
      <c r="C1" s="38"/>
      <c r="D1" s="38"/>
    </row>
    <row r="2" spans="1:66" ht="22.2" customHeight="1" x14ac:dyDescent="0.25">
      <c r="A2" s="4016" t="s">
        <v>176</v>
      </c>
      <c r="B2" s="4017"/>
      <c r="C2" s="4017"/>
      <c r="D2" s="4017"/>
      <c r="E2" s="4017"/>
      <c r="F2" s="4018"/>
      <c r="G2" s="4019" t="s">
        <v>464</v>
      </c>
      <c r="H2" s="4020"/>
      <c r="I2" s="4020"/>
      <c r="J2" s="4020"/>
      <c r="K2" s="382"/>
      <c r="L2" s="4019" t="s">
        <v>465</v>
      </c>
      <c r="M2" s="4020"/>
      <c r="N2" s="4020"/>
      <c r="O2" s="4020"/>
      <c r="P2" s="378"/>
      <c r="Q2" s="4019" t="s">
        <v>545</v>
      </c>
      <c r="R2" s="4020"/>
      <c r="S2" s="4020"/>
      <c r="T2" s="4020"/>
      <c r="U2" s="427"/>
      <c r="V2" s="4019" t="s">
        <v>624</v>
      </c>
      <c r="W2" s="4020"/>
      <c r="X2" s="4020"/>
      <c r="Y2" s="4020"/>
      <c r="Z2" s="468"/>
      <c r="AA2" s="4140" t="s">
        <v>714</v>
      </c>
      <c r="AB2" s="4141"/>
      <c r="AC2" s="4141"/>
      <c r="AD2" s="4141"/>
      <c r="AE2" s="4142"/>
      <c r="AF2" s="4140" t="s">
        <v>770</v>
      </c>
      <c r="AG2" s="4141"/>
      <c r="AH2" s="4141"/>
      <c r="AI2" s="4141"/>
      <c r="AJ2" s="4142"/>
      <c r="AK2" s="4053" t="s">
        <v>820</v>
      </c>
      <c r="AL2" s="4054"/>
      <c r="AM2" s="4054"/>
      <c r="AN2" s="4054"/>
      <c r="AO2" s="4055"/>
      <c r="AP2" s="4185" t="s">
        <v>836</v>
      </c>
      <c r="AQ2" s="4186"/>
      <c r="AR2" s="4186"/>
      <c r="AS2" s="4186"/>
      <c r="AT2" s="4187"/>
      <c r="AU2" s="4172" t="s">
        <v>883</v>
      </c>
      <c r="AV2" s="4173"/>
      <c r="AW2" s="4173"/>
      <c r="AX2" s="4173"/>
      <c r="AY2" s="4174"/>
      <c r="AZ2" s="4071" t="s">
        <v>909</v>
      </c>
      <c r="BA2" s="4072"/>
      <c r="BB2" s="4072"/>
      <c r="BC2" s="4072"/>
      <c r="BD2" s="4073"/>
      <c r="BE2" s="4071" t="s">
        <v>948</v>
      </c>
      <c r="BF2" s="4072"/>
      <c r="BG2" s="4072"/>
      <c r="BH2" s="4072"/>
      <c r="BI2" s="4073"/>
      <c r="BJ2" s="4212" t="s">
        <v>469</v>
      </c>
      <c r="BK2" s="4213"/>
      <c r="BL2" s="4213"/>
      <c r="BM2" s="4213"/>
      <c r="BN2" s="384"/>
    </row>
    <row r="3" spans="1:66" ht="14.4" customHeight="1" thickBot="1" x14ac:dyDescent="0.3">
      <c r="A3" s="4035" t="s">
        <v>54</v>
      </c>
      <c r="B3" s="4036"/>
      <c r="C3" s="4036"/>
      <c r="D3" s="4036"/>
      <c r="E3" s="4036"/>
      <c r="F3" s="4037"/>
      <c r="G3" s="4021"/>
      <c r="H3" s="4022"/>
      <c r="I3" s="4022"/>
      <c r="J3" s="4022"/>
      <c r="K3" s="383"/>
      <c r="L3" s="4021"/>
      <c r="M3" s="4022"/>
      <c r="N3" s="4022"/>
      <c r="O3" s="4022"/>
      <c r="P3" s="379"/>
      <c r="Q3" s="4021"/>
      <c r="R3" s="4022"/>
      <c r="S3" s="4022"/>
      <c r="T3" s="4022"/>
      <c r="U3" s="428"/>
      <c r="V3" s="4021"/>
      <c r="W3" s="4022"/>
      <c r="X3" s="4022"/>
      <c r="Y3" s="4022"/>
      <c r="Z3" s="469"/>
      <c r="AA3" s="4143"/>
      <c r="AB3" s="4144"/>
      <c r="AC3" s="4144"/>
      <c r="AD3" s="4144"/>
      <c r="AE3" s="4145"/>
      <c r="AF3" s="4143"/>
      <c r="AG3" s="4144"/>
      <c r="AH3" s="4144"/>
      <c r="AI3" s="4144"/>
      <c r="AJ3" s="4145"/>
      <c r="AK3" s="4056"/>
      <c r="AL3" s="4057"/>
      <c r="AM3" s="4057"/>
      <c r="AN3" s="4057"/>
      <c r="AO3" s="4058"/>
      <c r="AP3" s="4188"/>
      <c r="AQ3" s="4189"/>
      <c r="AR3" s="4189"/>
      <c r="AS3" s="4189"/>
      <c r="AT3" s="4190"/>
      <c r="AU3" s="4175"/>
      <c r="AV3" s="4176"/>
      <c r="AW3" s="4176"/>
      <c r="AX3" s="4176"/>
      <c r="AY3" s="4177"/>
      <c r="AZ3" s="4074"/>
      <c r="BA3" s="4075"/>
      <c r="BB3" s="4075"/>
      <c r="BC3" s="4075"/>
      <c r="BD3" s="4076"/>
      <c r="BE3" s="4074"/>
      <c r="BF3" s="4075"/>
      <c r="BG3" s="4075"/>
      <c r="BH3" s="4075"/>
      <c r="BI3" s="4076"/>
      <c r="BJ3" s="4214"/>
      <c r="BK3" s="4215"/>
      <c r="BL3" s="4215"/>
      <c r="BM3" s="4215"/>
      <c r="BN3" s="385"/>
    </row>
    <row r="4" spans="1:66" ht="41.4" thickBot="1" x14ac:dyDescent="0.3">
      <c r="A4" s="92"/>
      <c r="B4" s="93" t="s">
        <v>11</v>
      </c>
      <c r="C4" s="239" t="s">
        <v>55</v>
      </c>
      <c r="D4" s="239" t="s">
        <v>18</v>
      </c>
      <c r="E4" s="240" t="s">
        <v>39</v>
      </c>
      <c r="F4" s="209" t="s">
        <v>40</v>
      </c>
      <c r="G4" s="94" t="s">
        <v>55</v>
      </c>
      <c r="H4" s="94" t="s">
        <v>18</v>
      </c>
      <c r="I4" s="95" t="s">
        <v>39</v>
      </c>
      <c r="J4" s="209" t="s">
        <v>40</v>
      </c>
      <c r="K4" s="95" t="s">
        <v>19</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94" t="s">
        <v>55</v>
      </c>
      <c r="BA4" s="94" t="s">
        <v>18</v>
      </c>
      <c r="BB4" s="95" t="s">
        <v>39</v>
      </c>
      <c r="BC4" s="209" t="s">
        <v>40</v>
      </c>
      <c r="BD4" s="95" t="s">
        <v>19</v>
      </c>
      <c r="BE4" s="94" t="s">
        <v>55</v>
      </c>
      <c r="BF4" s="94" t="s">
        <v>18</v>
      </c>
      <c r="BG4" s="95" t="s">
        <v>39</v>
      </c>
      <c r="BH4" s="209" t="s">
        <v>40</v>
      </c>
      <c r="BI4" s="95" t="s">
        <v>19</v>
      </c>
      <c r="BJ4" s="94" t="s">
        <v>55</v>
      </c>
      <c r="BK4" s="94" t="s">
        <v>18</v>
      </c>
      <c r="BL4" s="95" t="s">
        <v>39</v>
      </c>
      <c r="BM4" s="209" t="s">
        <v>40</v>
      </c>
      <c r="BN4" s="95" t="s">
        <v>19</v>
      </c>
    </row>
    <row r="5" spans="1:66" s="88" customFormat="1" ht="14.4" thickBot="1" x14ac:dyDescent="0.3">
      <c r="A5" s="83"/>
      <c r="B5" s="84" t="s">
        <v>10</v>
      </c>
      <c r="C5" s="85">
        <f>C6</f>
        <v>6072626</v>
      </c>
      <c r="D5" s="85">
        <f>D6</f>
        <v>0</v>
      </c>
      <c r="E5" s="86">
        <f>E6</f>
        <v>6072626</v>
      </c>
      <c r="F5" s="87"/>
      <c r="G5" s="87">
        <f>G6</f>
        <v>9678495.7300000004</v>
      </c>
      <c r="H5" s="87">
        <f>H6</f>
        <v>0</v>
      </c>
      <c r="I5" s="87">
        <f>I6</f>
        <v>9678495.7300000004</v>
      </c>
      <c r="J5" s="87"/>
      <c r="K5" s="87"/>
      <c r="L5" s="87">
        <f>L6</f>
        <v>0</v>
      </c>
      <c r="M5" s="87">
        <f>M6</f>
        <v>0</v>
      </c>
      <c r="N5" s="87">
        <f>N6</f>
        <v>0</v>
      </c>
      <c r="O5" s="87"/>
      <c r="P5" s="87"/>
      <c r="Q5" s="87">
        <f>Q6</f>
        <v>1299226.97</v>
      </c>
      <c r="R5" s="87">
        <f>R6</f>
        <v>0</v>
      </c>
      <c r="S5" s="87">
        <f>S6</f>
        <v>1299226.97</v>
      </c>
      <c r="T5" s="87"/>
      <c r="U5" s="87"/>
      <c r="V5" s="87">
        <f>V6</f>
        <v>0</v>
      </c>
      <c r="W5" s="87">
        <f>W6</f>
        <v>1200</v>
      </c>
      <c r="X5" s="87">
        <f>X6</f>
        <v>1200</v>
      </c>
      <c r="Y5" s="87"/>
      <c r="Z5" s="87"/>
      <c r="AA5" s="87">
        <f>AA6</f>
        <v>0</v>
      </c>
      <c r="AB5" s="87">
        <f>AB6</f>
        <v>0</v>
      </c>
      <c r="AC5" s="87">
        <f>AC6</f>
        <v>0</v>
      </c>
      <c r="AD5" s="87"/>
      <c r="AE5" s="87"/>
      <c r="AF5" s="620"/>
      <c r="AG5" s="620"/>
      <c r="AH5" s="620">
        <f>AH6</f>
        <v>0</v>
      </c>
      <c r="AI5" s="620"/>
      <c r="AJ5" s="620"/>
      <c r="AK5" s="620"/>
      <c r="AL5" s="620"/>
      <c r="AM5" s="620">
        <f>AM6</f>
        <v>0</v>
      </c>
      <c r="AN5" s="620"/>
      <c r="AO5" s="620"/>
      <c r="AP5" s="620"/>
      <c r="AQ5" s="620"/>
      <c r="AR5" s="620">
        <f>AR6</f>
        <v>0</v>
      </c>
      <c r="AS5" s="620"/>
      <c r="AT5" s="620"/>
      <c r="AU5" s="620"/>
      <c r="AV5" s="620"/>
      <c r="AW5" s="620">
        <f>AW6</f>
        <v>0</v>
      </c>
      <c r="AX5" s="620"/>
      <c r="AY5" s="620"/>
      <c r="AZ5" s="620"/>
      <c r="BA5" s="620"/>
      <c r="BB5" s="620">
        <f>BB6</f>
        <v>0</v>
      </c>
      <c r="BC5" s="620"/>
      <c r="BD5" s="620"/>
      <c r="BE5" s="620"/>
      <c r="BF5" s="620"/>
      <c r="BG5" s="620">
        <f>BG6</f>
        <v>0</v>
      </c>
      <c r="BH5" s="620"/>
      <c r="BI5" s="620"/>
      <c r="BJ5" s="87">
        <f>BJ6</f>
        <v>10977722.700000001</v>
      </c>
      <c r="BK5" s="87">
        <f>BK6</f>
        <v>1200</v>
      </c>
      <c r="BL5" s="87">
        <f>BL6</f>
        <v>10978922.700000001</v>
      </c>
      <c r="BM5" s="87"/>
      <c r="BN5" s="87"/>
    </row>
    <row r="6" spans="1:66" s="2" customFormat="1" ht="41.4" outlineLevel="1" x14ac:dyDescent="0.25">
      <c r="A6" s="238"/>
      <c r="B6" s="9" t="s">
        <v>17</v>
      </c>
      <c r="C6" s="104">
        <v>6072626</v>
      </c>
      <c r="D6" s="105"/>
      <c r="E6" s="106">
        <f>C6+D6</f>
        <v>6072626</v>
      </c>
      <c r="F6" s="39"/>
      <c r="G6" s="39">
        <v>9678495.7300000004</v>
      </c>
      <c r="H6" s="39">
        <v>0</v>
      </c>
      <c r="I6" s="106">
        <f>G6+H6</f>
        <v>9678495.7300000004</v>
      </c>
      <c r="J6" s="39"/>
      <c r="K6" s="39"/>
      <c r="L6" s="39"/>
      <c r="M6" s="39"/>
      <c r="N6" s="106">
        <f>L6+M6</f>
        <v>0</v>
      </c>
      <c r="O6" s="39"/>
      <c r="P6" s="39"/>
      <c r="Q6" s="39">
        <v>1299226.97</v>
      </c>
      <c r="R6" s="39"/>
      <c r="S6" s="106">
        <f>Q6+R6</f>
        <v>1299226.97</v>
      </c>
      <c r="T6" s="39"/>
      <c r="U6" s="39"/>
      <c r="V6" s="39"/>
      <c r="W6" s="39">
        <v>1200</v>
      </c>
      <c r="X6" s="106">
        <f>V6+W6</f>
        <v>1200</v>
      </c>
      <c r="Y6" s="39"/>
      <c r="Z6" s="388" t="s">
        <v>707</v>
      </c>
      <c r="AA6" s="39"/>
      <c r="AB6" s="39"/>
      <c r="AC6" s="106">
        <f>AA6+AB6</f>
        <v>0</v>
      </c>
      <c r="AD6" s="39"/>
      <c r="AE6" s="388"/>
      <c r="AF6" s="458"/>
      <c r="AG6" s="458"/>
      <c r="AH6" s="458">
        <f>AF6+AG6</f>
        <v>0</v>
      </c>
      <c r="AI6" s="458"/>
      <c r="AJ6" s="458"/>
      <c r="AK6" s="458"/>
      <c r="AL6" s="458"/>
      <c r="AM6" s="458">
        <f>AK6+AL6</f>
        <v>0</v>
      </c>
      <c r="AN6" s="458"/>
      <c r="AO6" s="458"/>
      <c r="AP6" s="458"/>
      <c r="AQ6" s="458"/>
      <c r="AR6" s="458">
        <f>AP6+AQ6</f>
        <v>0</v>
      </c>
      <c r="AS6" s="458"/>
      <c r="AT6" s="458"/>
      <c r="AU6" s="458"/>
      <c r="AV6" s="458"/>
      <c r="AW6" s="458">
        <f>AU6+AV6</f>
        <v>0</v>
      </c>
      <c r="AX6" s="458"/>
      <c r="AY6" s="458"/>
      <c r="AZ6" s="458"/>
      <c r="BA6" s="458"/>
      <c r="BB6" s="458">
        <f>AZ6+BA6</f>
        <v>0</v>
      </c>
      <c r="BC6" s="458"/>
      <c r="BD6" s="458"/>
      <c r="BE6" s="458"/>
      <c r="BF6" s="458"/>
      <c r="BG6" s="458">
        <f>BE6+BF6</f>
        <v>0</v>
      </c>
      <c r="BH6" s="458"/>
      <c r="BI6" s="458"/>
      <c r="BJ6" s="39">
        <f>G6+L6+Q6+V6+AF6+AK6+AP6+AU6+AZ6</f>
        <v>10977722.700000001</v>
      </c>
      <c r="BK6" s="39">
        <f>H6+M6+R6+W6+AG6+AL6+AQ6+AV6+BA6</f>
        <v>1200</v>
      </c>
      <c r="BL6" s="106">
        <f>BJ6+BK6</f>
        <v>10978922.700000001</v>
      </c>
      <c r="BM6" s="39"/>
      <c r="BN6" s="440"/>
    </row>
    <row r="7" spans="1:66" s="2" customFormat="1" ht="38.4" customHeight="1" outlineLevel="1" collapsed="1" thickBot="1" x14ac:dyDescent="0.3">
      <c r="A7" s="238"/>
      <c r="B7" s="10" t="s">
        <v>41</v>
      </c>
      <c r="C7" s="107"/>
      <c r="D7" s="108"/>
      <c r="E7" s="106">
        <f>C7+D7</f>
        <v>0</v>
      </c>
      <c r="F7" s="40"/>
      <c r="G7" s="39">
        <v>0</v>
      </c>
      <c r="H7" s="39">
        <v>0</v>
      </c>
      <c r="I7" s="106">
        <f>G7+H7</f>
        <v>0</v>
      </c>
      <c r="J7" s="40"/>
      <c r="K7" s="40"/>
      <c r="L7" s="39"/>
      <c r="M7" s="39"/>
      <c r="N7" s="106">
        <f>L7+M7</f>
        <v>0</v>
      </c>
      <c r="O7" s="40"/>
      <c r="P7" s="40"/>
      <c r="Q7" s="39"/>
      <c r="R7" s="39"/>
      <c r="S7" s="106">
        <f>Q7+R7</f>
        <v>0</v>
      </c>
      <c r="T7" s="40"/>
      <c r="U7" s="40"/>
      <c r="V7" s="39">
        <v>219</v>
      </c>
      <c r="W7" s="39"/>
      <c r="X7" s="106">
        <f>V7+W7</f>
        <v>219</v>
      </c>
      <c r="Y7" s="40"/>
      <c r="Z7" s="522" t="s">
        <v>708</v>
      </c>
      <c r="AA7" s="39"/>
      <c r="AB7" s="39"/>
      <c r="AC7" s="106">
        <f>AA7+AB7</f>
        <v>0</v>
      </c>
      <c r="AD7" s="40"/>
      <c r="AE7" s="522"/>
      <c r="AF7" s="682"/>
      <c r="AG7" s="682"/>
      <c r="AH7" s="682">
        <f>AF7+AG7</f>
        <v>0</v>
      </c>
      <c r="AI7" s="682"/>
      <c r="AJ7" s="682"/>
      <c r="AK7" s="682"/>
      <c r="AL7" s="682"/>
      <c r="AM7" s="682">
        <f>AK7+AL7</f>
        <v>0</v>
      </c>
      <c r="AN7" s="682"/>
      <c r="AO7" s="682"/>
      <c r="AP7" s="682"/>
      <c r="AQ7" s="682"/>
      <c r="AR7" s="682">
        <f>AP7+AQ7</f>
        <v>0</v>
      </c>
      <c r="AS7" s="682"/>
      <c r="AT7" s="682"/>
      <c r="AU7" s="682"/>
      <c r="AV7" s="682"/>
      <c r="AW7" s="682">
        <f>AU7+AV7</f>
        <v>0</v>
      </c>
      <c r="AX7" s="682"/>
      <c r="AY7" s="682"/>
      <c r="AZ7" s="682"/>
      <c r="BA7" s="682"/>
      <c r="BB7" s="682">
        <f>AZ7+BA7</f>
        <v>0</v>
      </c>
      <c r="BC7" s="682"/>
      <c r="BD7" s="682"/>
      <c r="BE7" s="682"/>
      <c r="BF7" s="682"/>
      <c r="BG7" s="682">
        <f>BE7+BF7</f>
        <v>0</v>
      </c>
      <c r="BH7" s="682"/>
      <c r="BI7" s="682"/>
      <c r="BJ7" s="39">
        <f>G7+L7+Q7+V7+AF7+AK7+AP7+AU7+AZ7</f>
        <v>219</v>
      </c>
      <c r="BK7" s="39">
        <f>H7+M7+R7+W7+AG7+AL7+AQ7+AV7+BA7</f>
        <v>0</v>
      </c>
      <c r="BL7" s="106">
        <f>BJ7+BK7</f>
        <v>219</v>
      </c>
      <c r="BM7" s="40"/>
      <c r="BN7" s="40"/>
    </row>
    <row r="8" spans="1:66" s="88" customFormat="1" ht="15" customHeight="1" outlineLevel="1" thickBot="1" x14ac:dyDescent="0.3">
      <c r="A8" s="238"/>
      <c r="B8" s="84" t="s">
        <v>16</v>
      </c>
      <c r="C8" s="109">
        <f>SUM(C9:C33)</f>
        <v>4007559</v>
      </c>
      <c r="D8" s="109">
        <f>SUM(D9:D33)</f>
        <v>964731</v>
      </c>
      <c r="E8" s="110">
        <f>SUM(E9:E33)</f>
        <v>4972290</v>
      </c>
      <c r="F8" s="164">
        <f t="shared" ref="F8:F21" si="0">E8/$E$89</f>
        <v>0.94246792912018862</v>
      </c>
      <c r="G8" s="109">
        <f>SUM(G9:G33)</f>
        <v>7420355.569099999</v>
      </c>
      <c r="H8" s="109">
        <f>SUM(H9:H33)</f>
        <v>1664752.22</v>
      </c>
      <c r="I8" s="110">
        <f>SUM(I9:I33)</f>
        <v>9085107.7891000006</v>
      </c>
      <c r="J8" s="164">
        <f t="shared" ref="J8:J21" si="1">I8/$I$89</f>
        <v>0.94246417990820242</v>
      </c>
      <c r="K8" s="87"/>
      <c r="L8" s="109">
        <f>SUM(L9:L33)</f>
        <v>30397.77</v>
      </c>
      <c r="M8" s="109">
        <f>SUM(M9:M33)</f>
        <v>44134.75</v>
      </c>
      <c r="N8" s="110">
        <f>SUM(N9:N33)</f>
        <v>74532.52</v>
      </c>
      <c r="O8" s="164">
        <f t="shared" ref="O8:O21" si="2">N8/$N$89</f>
        <v>0.90673446167854876</v>
      </c>
      <c r="P8" s="87"/>
      <c r="Q8" s="109">
        <f>SUM(Q9:Q33)</f>
        <v>649.9799999999999</v>
      </c>
      <c r="R8" s="109">
        <f>SUM(R9:R33)</f>
        <v>0</v>
      </c>
      <c r="S8" s="110">
        <f>SUM(S9:S33)</f>
        <v>649.9799999999999</v>
      </c>
      <c r="T8" s="164">
        <f>S8/$S$89</f>
        <v>0.48533754870475682</v>
      </c>
      <c r="U8" s="87"/>
      <c r="V8" s="109">
        <f>SUM(V9:V33)</f>
        <v>0</v>
      </c>
      <c r="W8" s="109">
        <f>SUM(W9:W33)</f>
        <v>0</v>
      </c>
      <c r="X8" s="110">
        <f>SUM(X9:X33)</f>
        <v>0</v>
      </c>
      <c r="Y8" s="164">
        <f>X8/$S$89</f>
        <v>0</v>
      </c>
      <c r="Z8" s="87"/>
      <c r="AA8" s="109">
        <f>SUM(AA9:AA33)</f>
        <v>0</v>
      </c>
      <c r="AB8" s="109">
        <f>SUM(AB9:AB33)</f>
        <v>0</v>
      </c>
      <c r="AC8" s="110">
        <f>SUM(AC9:AC33)</f>
        <v>0</v>
      </c>
      <c r="AD8" s="164">
        <f>AC8/$S$89</f>
        <v>0</v>
      </c>
      <c r="AE8" s="87"/>
      <c r="AF8" s="633"/>
      <c r="AG8" s="633"/>
      <c r="AH8" s="633">
        <f>SUM(AH9:AH33)</f>
        <v>0</v>
      </c>
      <c r="AI8" s="633"/>
      <c r="AJ8" s="633"/>
      <c r="AK8" s="633"/>
      <c r="AL8" s="633"/>
      <c r="AM8" s="633">
        <f>SUM(AM9:AM33)</f>
        <v>0</v>
      </c>
      <c r="AN8" s="633"/>
      <c r="AO8" s="633"/>
      <c r="AP8" s="633"/>
      <c r="AQ8" s="633"/>
      <c r="AR8" s="633">
        <f>SUM(AR9:AR33)</f>
        <v>0</v>
      </c>
      <c r="AS8" s="633"/>
      <c r="AT8" s="633"/>
      <c r="AU8" s="633"/>
      <c r="AV8" s="633"/>
      <c r="AW8" s="633">
        <f>SUM(AW9:AW33)</f>
        <v>0</v>
      </c>
      <c r="AX8" s="633"/>
      <c r="AY8" s="633"/>
      <c r="AZ8" s="633"/>
      <c r="BA8" s="633"/>
      <c r="BB8" s="633">
        <f>SUM(BB9:BB33)</f>
        <v>0</v>
      </c>
      <c r="BC8" s="633"/>
      <c r="BD8" s="633"/>
      <c r="BE8" s="633"/>
      <c r="BF8" s="633"/>
      <c r="BG8" s="633">
        <f>SUM(BG9:BG33)</f>
        <v>147260.55600000001</v>
      </c>
      <c r="BH8" s="633"/>
      <c r="BI8" s="633"/>
      <c r="BJ8" s="109">
        <f>SUM(BJ9:BJ33)</f>
        <v>7598663.8750999998</v>
      </c>
      <c r="BK8" s="109">
        <f>SUM(BK9:BK33)</f>
        <v>1708886.97</v>
      </c>
      <c r="BL8" s="110">
        <f>SUM(BL9:BL33)</f>
        <v>9307550.8451000005</v>
      </c>
      <c r="BM8" s="164">
        <f t="shared" ref="BM8:BM21" si="3">BL8/$BL$89</f>
        <v>0.94277336045416038</v>
      </c>
      <c r="BN8" s="87"/>
    </row>
    <row r="9" spans="1:66" s="2" customFormat="1" ht="30" customHeight="1" outlineLevel="2" x14ac:dyDescent="0.25">
      <c r="A9" s="238"/>
      <c r="B9" s="31" t="s">
        <v>74</v>
      </c>
      <c r="C9" s="111"/>
      <c r="D9" s="112"/>
      <c r="E9" s="106">
        <f t="shared" ref="E9:E33" si="4">C9+D9</f>
        <v>0</v>
      </c>
      <c r="F9" s="177">
        <f t="shared" si="0"/>
        <v>0</v>
      </c>
      <c r="G9" s="39">
        <v>60735.34</v>
      </c>
      <c r="H9" s="39">
        <v>2000</v>
      </c>
      <c r="I9" s="210">
        <f>G9+H9*1</f>
        <v>62735.34</v>
      </c>
      <c r="J9" s="178">
        <f t="shared" si="1"/>
        <v>6.5079922150510262E-3</v>
      </c>
      <c r="K9" s="42"/>
      <c r="L9" s="39"/>
      <c r="M9" s="39"/>
      <c r="N9" s="210">
        <f>L9+M9*1</f>
        <v>0</v>
      </c>
      <c r="O9" s="178">
        <f t="shared" si="2"/>
        <v>0</v>
      </c>
      <c r="P9" s="42"/>
      <c r="Q9" s="39"/>
      <c r="R9" s="39"/>
      <c r="S9" s="210">
        <f>Q9+R9*1</f>
        <v>0</v>
      </c>
      <c r="T9" s="178">
        <f t="shared" ref="T9:T21" si="5">S9/$N$89</f>
        <v>0</v>
      </c>
      <c r="U9" s="42"/>
      <c r="V9" s="39"/>
      <c r="W9" s="39"/>
      <c r="X9" s="210">
        <f>V9+W9*1</f>
        <v>0</v>
      </c>
      <c r="Y9" s="178">
        <f t="shared" ref="Y9:Y21" si="6">X9/$N$89</f>
        <v>0</v>
      </c>
      <c r="Z9" s="42"/>
      <c r="AA9" s="39"/>
      <c r="AB9" s="39"/>
      <c r="AC9" s="210">
        <f>AA9+AB9*1</f>
        <v>0</v>
      </c>
      <c r="AD9" s="178">
        <f>AC9/$N$89</f>
        <v>0</v>
      </c>
      <c r="AE9" s="42"/>
      <c r="AF9" s="456"/>
      <c r="AG9" s="456"/>
      <c r="AH9" s="456">
        <f>AF9+AG9*1</f>
        <v>0</v>
      </c>
      <c r="AI9" s="456"/>
      <c r="AJ9" s="456"/>
      <c r="AK9" s="456"/>
      <c r="AL9" s="456"/>
      <c r="AM9" s="456">
        <f>AK9+AL9*1</f>
        <v>0</v>
      </c>
      <c r="AN9" s="456"/>
      <c r="AO9" s="456"/>
      <c r="AP9" s="456"/>
      <c r="AQ9" s="456"/>
      <c r="AR9" s="456">
        <f>AP9+AQ9*1</f>
        <v>0</v>
      </c>
      <c r="AS9" s="456"/>
      <c r="AT9" s="456"/>
      <c r="AU9" s="456"/>
      <c r="AV9" s="456"/>
      <c r="AW9" s="456">
        <f>AU9+AV9*1</f>
        <v>0</v>
      </c>
      <c r="AX9" s="456"/>
      <c r="AY9" s="456"/>
      <c r="AZ9" s="456"/>
      <c r="BA9" s="456"/>
      <c r="BB9" s="456">
        <f>AZ9+BA9*1</f>
        <v>0</v>
      </c>
      <c r="BC9" s="456"/>
      <c r="BD9" s="456"/>
      <c r="BE9" s="456"/>
      <c r="BF9" s="456"/>
      <c r="BG9" s="456">
        <f>BE9+BF9*1</f>
        <v>0</v>
      </c>
      <c r="BH9" s="456"/>
      <c r="BI9" s="456"/>
      <c r="BJ9" s="39">
        <f t="shared" ref="BJ9:BJ33" si="7">G9+L9+Q9+V9+AF9+AK9+AP9+AU9+AZ9</f>
        <v>60735.34</v>
      </c>
      <c r="BK9" s="39">
        <f t="shared" ref="BK9:BK33" si="8">H9+M9+R9+W9+AG9+AL9+AQ9+AV9+BA9</f>
        <v>2000</v>
      </c>
      <c r="BL9" s="210">
        <f>BJ9+BK9*1</f>
        <v>62735.34</v>
      </c>
      <c r="BM9" s="178">
        <f t="shared" si="3"/>
        <v>6.3545403399189104E-3</v>
      </c>
      <c r="BN9" s="42"/>
    </row>
    <row r="10" spans="1:66" s="2" customFormat="1" ht="14.4" customHeight="1" outlineLevel="2" x14ac:dyDescent="0.25">
      <c r="A10" s="238"/>
      <c r="B10" s="31" t="s">
        <v>72</v>
      </c>
      <c r="C10" s="111"/>
      <c r="D10" s="112"/>
      <c r="E10" s="106">
        <f t="shared" si="4"/>
        <v>0</v>
      </c>
      <c r="F10" s="177">
        <f t="shared" si="0"/>
        <v>0</v>
      </c>
      <c r="G10" s="39">
        <v>14712.29</v>
      </c>
      <c r="H10" s="39">
        <v>0</v>
      </c>
      <c r="I10" s="210">
        <f t="shared" ref="I10:I33" si="9">G10+H10*1</f>
        <v>14712.29</v>
      </c>
      <c r="J10" s="178">
        <f t="shared" si="1"/>
        <v>1.5262126384518371E-3</v>
      </c>
      <c r="K10" s="42"/>
      <c r="L10" s="39"/>
      <c r="M10" s="39"/>
      <c r="N10" s="210">
        <f t="shared" ref="N10:N33" si="10">L10+M10*1</f>
        <v>0</v>
      </c>
      <c r="O10" s="178">
        <f t="shared" si="2"/>
        <v>0</v>
      </c>
      <c r="P10" s="42"/>
      <c r="Q10" s="39"/>
      <c r="R10" s="39"/>
      <c r="S10" s="210">
        <f t="shared" ref="S10:S33" si="11">Q10+R10*1</f>
        <v>0</v>
      </c>
      <c r="T10" s="178">
        <f t="shared" si="5"/>
        <v>0</v>
      </c>
      <c r="U10" s="42"/>
      <c r="V10" s="39"/>
      <c r="W10" s="39"/>
      <c r="X10" s="210">
        <f t="shared" ref="X10:X21" si="12">V10+W10*1</f>
        <v>0</v>
      </c>
      <c r="Y10" s="178">
        <f t="shared" si="6"/>
        <v>0</v>
      </c>
      <c r="Z10" s="42"/>
      <c r="AA10" s="39"/>
      <c r="AB10" s="39"/>
      <c r="AC10" s="210">
        <f t="shared" ref="AC10:AC21" si="13">AA10+AB10*1</f>
        <v>0</v>
      </c>
      <c r="AD10" s="178">
        <f t="shared" ref="AD10:AD21" si="14">AC10/$N$89</f>
        <v>0</v>
      </c>
      <c r="AE10" s="42"/>
      <c r="AF10" s="456"/>
      <c r="AG10" s="456"/>
      <c r="AH10" s="456">
        <f t="shared" ref="AH10:AH33" si="15">AF10+AG10*1</f>
        <v>0</v>
      </c>
      <c r="AI10" s="456"/>
      <c r="AJ10" s="456"/>
      <c r="AK10" s="456"/>
      <c r="AL10" s="456"/>
      <c r="AM10" s="456">
        <f t="shared" ref="AM10:AM21" si="16">AK10+AL10*1</f>
        <v>0</v>
      </c>
      <c r="AN10" s="456"/>
      <c r="AO10" s="456"/>
      <c r="AP10" s="456"/>
      <c r="AQ10" s="456"/>
      <c r="AR10" s="456">
        <f t="shared" ref="AR10:AR21" si="17">AP10+AQ10*1</f>
        <v>0</v>
      </c>
      <c r="AS10" s="456"/>
      <c r="AT10" s="456"/>
      <c r="AU10" s="456"/>
      <c r="AV10" s="456"/>
      <c r="AW10" s="456">
        <f t="shared" ref="AW10:AW21" si="18">AU10+AV10*1</f>
        <v>0</v>
      </c>
      <c r="AX10" s="456"/>
      <c r="AY10" s="456"/>
      <c r="AZ10" s="456"/>
      <c r="BA10" s="456"/>
      <c r="BB10" s="456">
        <f t="shared" ref="BB10:BB21" si="19">AZ10+BA10*1</f>
        <v>0</v>
      </c>
      <c r="BC10" s="456"/>
      <c r="BD10" s="456"/>
      <c r="BE10" s="456"/>
      <c r="BF10" s="456"/>
      <c r="BG10" s="456">
        <f t="shared" ref="BG10:BG21" si="20">BE10+BF10*1</f>
        <v>0</v>
      </c>
      <c r="BH10" s="456"/>
      <c r="BI10" s="456"/>
      <c r="BJ10" s="39">
        <f t="shared" si="7"/>
        <v>14712.29</v>
      </c>
      <c r="BK10" s="39">
        <f t="shared" si="8"/>
        <v>0</v>
      </c>
      <c r="BL10" s="210">
        <f t="shared" ref="BL10:BL33" si="21">BJ10+BK10*1</f>
        <v>14712.29</v>
      </c>
      <c r="BM10" s="178">
        <f t="shared" si="3"/>
        <v>1.4902260878411689E-3</v>
      </c>
      <c r="BN10" s="42"/>
    </row>
    <row r="11" spans="1:66" s="2" customFormat="1" ht="14.4" customHeight="1" outlineLevel="2" x14ac:dyDescent="0.25">
      <c r="A11" s="238"/>
      <c r="B11" s="31" t="s">
        <v>69</v>
      </c>
      <c r="C11" s="111"/>
      <c r="D11" s="112"/>
      <c r="E11" s="106">
        <f t="shared" si="4"/>
        <v>0</v>
      </c>
      <c r="F11" s="177">
        <f t="shared" si="0"/>
        <v>0</v>
      </c>
      <c r="G11" s="39">
        <v>16598.48</v>
      </c>
      <c r="H11" s="39">
        <v>0</v>
      </c>
      <c r="I11" s="210">
        <f t="shared" si="9"/>
        <v>16598.48</v>
      </c>
      <c r="J11" s="178">
        <f t="shared" si="1"/>
        <v>1.721880819035653E-3</v>
      </c>
      <c r="K11" s="42"/>
      <c r="L11" s="39"/>
      <c r="M11" s="39"/>
      <c r="N11" s="210">
        <f t="shared" si="10"/>
        <v>0</v>
      </c>
      <c r="O11" s="178">
        <f t="shared" si="2"/>
        <v>0</v>
      </c>
      <c r="P11" s="42"/>
      <c r="Q11" s="39"/>
      <c r="R11" s="39"/>
      <c r="S11" s="210">
        <f t="shared" si="11"/>
        <v>0</v>
      </c>
      <c r="T11" s="178">
        <f t="shared" si="5"/>
        <v>0</v>
      </c>
      <c r="U11" s="42"/>
      <c r="V11" s="39"/>
      <c r="W11" s="39"/>
      <c r="X11" s="210">
        <f t="shared" si="12"/>
        <v>0</v>
      </c>
      <c r="Y11" s="178">
        <f t="shared" si="6"/>
        <v>0</v>
      </c>
      <c r="Z11" s="42"/>
      <c r="AA11" s="39"/>
      <c r="AB11" s="39"/>
      <c r="AC11" s="210">
        <f>AA11+AB11*1</f>
        <v>0</v>
      </c>
      <c r="AD11" s="178">
        <f t="shared" si="14"/>
        <v>0</v>
      </c>
      <c r="AE11" s="42"/>
      <c r="AF11" s="456"/>
      <c r="AG11" s="456"/>
      <c r="AH11" s="456">
        <f t="shared" si="15"/>
        <v>0</v>
      </c>
      <c r="AI11" s="456"/>
      <c r="AJ11" s="456"/>
      <c r="AK11" s="456"/>
      <c r="AL11" s="456"/>
      <c r="AM11" s="456">
        <f t="shared" si="16"/>
        <v>0</v>
      </c>
      <c r="AN11" s="456"/>
      <c r="AO11" s="456"/>
      <c r="AP11" s="456"/>
      <c r="AQ11" s="456"/>
      <c r="AR11" s="456">
        <f t="shared" si="17"/>
        <v>0</v>
      </c>
      <c r="AS11" s="456"/>
      <c r="AT11" s="456"/>
      <c r="AU11" s="456"/>
      <c r="AV11" s="456"/>
      <c r="AW11" s="456">
        <f t="shared" si="18"/>
        <v>0</v>
      </c>
      <c r="AX11" s="456"/>
      <c r="AY11" s="456"/>
      <c r="AZ11" s="456"/>
      <c r="BA11" s="456"/>
      <c r="BB11" s="456">
        <f t="shared" si="19"/>
        <v>0</v>
      </c>
      <c r="BC11" s="456"/>
      <c r="BD11" s="456"/>
      <c r="BE11" s="456"/>
      <c r="BF11" s="456"/>
      <c r="BG11" s="456">
        <f t="shared" si="20"/>
        <v>0</v>
      </c>
      <c r="BH11" s="456"/>
      <c r="BI11" s="456"/>
      <c r="BJ11" s="39">
        <f t="shared" si="7"/>
        <v>16598.48</v>
      </c>
      <c r="BK11" s="39">
        <f t="shared" si="8"/>
        <v>0</v>
      </c>
      <c r="BL11" s="210">
        <f t="shared" si="21"/>
        <v>16598.48</v>
      </c>
      <c r="BM11" s="178">
        <f t="shared" si="3"/>
        <v>1.6812806105990219E-3</v>
      </c>
      <c r="BN11" s="42"/>
    </row>
    <row r="12" spans="1:66" s="2" customFormat="1" ht="52.2" customHeight="1" outlineLevel="2" x14ac:dyDescent="0.25">
      <c r="A12" s="238"/>
      <c r="B12" s="31" t="s">
        <v>73</v>
      </c>
      <c r="C12" s="111">
        <v>19320</v>
      </c>
      <c r="D12" s="112">
        <v>35282</v>
      </c>
      <c r="E12" s="106">
        <f t="shared" si="4"/>
        <v>54602</v>
      </c>
      <c r="F12" s="177">
        <f t="shared" si="0"/>
        <v>1.0349483611338143E-2</v>
      </c>
      <c r="G12" s="39">
        <v>82311.010000000009</v>
      </c>
      <c r="H12" s="39">
        <v>142825.79999999999</v>
      </c>
      <c r="I12" s="210">
        <f t="shared" si="9"/>
        <v>225136.81</v>
      </c>
      <c r="J12" s="178">
        <f t="shared" si="1"/>
        <v>2.3355075573056942E-2</v>
      </c>
      <c r="K12" s="42"/>
      <c r="L12" s="39"/>
      <c r="M12" s="39"/>
      <c r="N12" s="210">
        <f t="shared" si="10"/>
        <v>0</v>
      </c>
      <c r="O12" s="178">
        <f t="shared" si="2"/>
        <v>0</v>
      </c>
      <c r="P12" s="42"/>
      <c r="Q12" s="39"/>
      <c r="R12" s="39"/>
      <c r="S12" s="210">
        <f t="shared" si="11"/>
        <v>0</v>
      </c>
      <c r="T12" s="178">
        <f t="shared" si="5"/>
        <v>0</v>
      </c>
      <c r="U12" s="42"/>
      <c r="V12" s="39"/>
      <c r="W12" s="39"/>
      <c r="X12" s="210">
        <f t="shared" si="12"/>
        <v>0</v>
      </c>
      <c r="Y12" s="178">
        <f t="shared" si="6"/>
        <v>0</v>
      </c>
      <c r="Z12" s="42"/>
      <c r="AA12" s="39"/>
      <c r="AB12" s="39"/>
      <c r="AC12" s="210">
        <f t="shared" si="13"/>
        <v>0</v>
      </c>
      <c r="AD12" s="178">
        <f t="shared" si="14"/>
        <v>0</v>
      </c>
      <c r="AE12" s="42"/>
      <c r="AF12" s="456"/>
      <c r="AG12" s="456"/>
      <c r="AH12" s="456">
        <f t="shared" si="15"/>
        <v>0</v>
      </c>
      <c r="AI12" s="456"/>
      <c r="AJ12" s="456"/>
      <c r="AK12" s="456"/>
      <c r="AL12" s="456"/>
      <c r="AM12" s="456">
        <f t="shared" si="16"/>
        <v>0</v>
      </c>
      <c r="AN12" s="456"/>
      <c r="AO12" s="456"/>
      <c r="AP12" s="456"/>
      <c r="AQ12" s="456"/>
      <c r="AR12" s="456">
        <f t="shared" si="17"/>
        <v>0</v>
      </c>
      <c r="AS12" s="456"/>
      <c r="AT12" s="456"/>
      <c r="AU12" s="456"/>
      <c r="AV12" s="456"/>
      <c r="AW12" s="456">
        <f t="shared" si="18"/>
        <v>0</v>
      </c>
      <c r="AX12" s="456"/>
      <c r="AY12" s="456"/>
      <c r="AZ12" s="456"/>
      <c r="BA12" s="456"/>
      <c r="BB12" s="456">
        <f t="shared" si="19"/>
        <v>0</v>
      </c>
      <c r="BC12" s="456"/>
      <c r="BD12" s="456"/>
      <c r="BE12" s="456"/>
      <c r="BF12" s="456"/>
      <c r="BG12" s="456">
        <f t="shared" si="20"/>
        <v>0</v>
      </c>
      <c r="BH12" s="456"/>
      <c r="BI12" s="456"/>
      <c r="BJ12" s="39">
        <f t="shared" si="7"/>
        <v>82311.010000000009</v>
      </c>
      <c r="BK12" s="39">
        <f t="shared" si="8"/>
        <v>142825.79999999999</v>
      </c>
      <c r="BL12" s="210">
        <f t="shared" si="21"/>
        <v>225136.81</v>
      </c>
      <c r="BM12" s="178">
        <f t="shared" si="3"/>
        <v>2.2804386509193371E-2</v>
      </c>
      <c r="BN12" s="42"/>
    </row>
    <row r="13" spans="1:66" s="2" customFormat="1" ht="14.4" customHeight="1" outlineLevel="2" x14ac:dyDescent="0.25">
      <c r="A13" s="238"/>
      <c r="B13" s="31" t="s">
        <v>71</v>
      </c>
      <c r="C13" s="111">
        <v>4680</v>
      </c>
      <c r="D13" s="112"/>
      <c r="E13" s="106">
        <f t="shared" si="4"/>
        <v>4680</v>
      </c>
      <c r="F13" s="177">
        <f t="shared" si="0"/>
        <v>8.8706610199374585E-4</v>
      </c>
      <c r="G13" s="39">
        <v>19938.621299999999</v>
      </c>
      <c r="H13" s="39">
        <v>0</v>
      </c>
      <c r="I13" s="210">
        <f t="shared" si="9"/>
        <v>19938.621299999999</v>
      </c>
      <c r="J13" s="178">
        <f t="shared" si="1"/>
        <v>2.0683779222245477E-3</v>
      </c>
      <c r="K13" s="42"/>
      <c r="L13" s="39"/>
      <c r="M13" s="39"/>
      <c r="N13" s="210">
        <f t="shared" si="10"/>
        <v>0</v>
      </c>
      <c r="O13" s="178">
        <f t="shared" si="2"/>
        <v>0</v>
      </c>
      <c r="P13" s="42"/>
      <c r="Q13" s="39"/>
      <c r="R13" s="39"/>
      <c r="S13" s="210">
        <f t="shared" si="11"/>
        <v>0</v>
      </c>
      <c r="T13" s="178">
        <f t="shared" si="5"/>
        <v>0</v>
      </c>
      <c r="U13" s="402"/>
      <c r="V13" s="39"/>
      <c r="W13" s="39"/>
      <c r="X13" s="210">
        <f t="shared" si="12"/>
        <v>0</v>
      </c>
      <c r="Y13" s="178">
        <f t="shared" si="6"/>
        <v>0</v>
      </c>
      <c r="Z13" s="402"/>
      <c r="AA13" s="39"/>
      <c r="AB13" s="39"/>
      <c r="AC13" s="210">
        <f t="shared" si="13"/>
        <v>0</v>
      </c>
      <c r="AD13" s="178">
        <f t="shared" si="14"/>
        <v>0</v>
      </c>
      <c r="AE13" s="402"/>
      <c r="AF13" s="465"/>
      <c r="AG13" s="465"/>
      <c r="AH13" s="465">
        <f t="shared" si="15"/>
        <v>0</v>
      </c>
      <c r="AI13" s="465"/>
      <c r="AJ13" s="465"/>
      <c r="AK13" s="465"/>
      <c r="AL13" s="465"/>
      <c r="AM13" s="465">
        <f t="shared" si="16"/>
        <v>0</v>
      </c>
      <c r="AN13" s="465"/>
      <c r="AO13" s="465"/>
      <c r="AP13" s="465"/>
      <c r="AQ13" s="465"/>
      <c r="AR13" s="465">
        <f t="shared" si="17"/>
        <v>0</v>
      </c>
      <c r="AS13" s="465"/>
      <c r="AT13" s="465"/>
      <c r="AU13" s="465"/>
      <c r="AV13" s="465"/>
      <c r="AW13" s="465">
        <f t="shared" si="18"/>
        <v>0</v>
      </c>
      <c r="AX13" s="465"/>
      <c r="AY13" s="465"/>
      <c r="AZ13" s="465"/>
      <c r="BA13" s="465"/>
      <c r="BB13" s="465">
        <f t="shared" si="19"/>
        <v>0</v>
      </c>
      <c r="BC13" s="465"/>
      <c r="BD13" s="465"/>
      <c r="BE13" s="465"/>
      <c r="BF13" s="465"/>
      <c r="BG13" s="465">
        <f t="shared" si="20"/>
        <v>0</v>
      </c>
      <c r="BH13" s="465"/>
      <c r="BI13" s="465"/>
      <c r="BJ13" s="39">
        <f t="shared" si="7"/>
        <v>19938.621299999999</v>
      </c>
      <c r="BK13" s="39">
        <f t="shared" si="8"/>
        <v>0</v>
      </c>
      <c r="BL13" s="210">
        <f t="shared" si="21"/>
        <v>19938.621299999999</v>
      </c>
      <c r="BM13" s="178">
        <f t="shared" si="3"/>
        <v>2.0196076624947983E-3</v>
      </c>
      <c r="BN13" s="42"/>
    </row>
    <row r="14" spans="1:66" s="2" customFormat="1" ht="14.4" customHeight="1" outlineLevel="2" x14ac:dyDescent="0.25">
      <c r="A14" s="238"/>
      <c r="B14" s="31" t="s">
        <v>70</v>
      </c>
      <c r="C14" s="111">
        <v>5280</v>
      </c>
      <c r="D14" s="112"/>
      <c r="E14" s="106">
        <f t="shared" si="4"/>
        <v>5280</v>
      </c>
      <c r="F14" s="177">
        <f t="shared" si="0"/>
        <v>1.0007925253262774E-3</v>
      </c>
      <c r="G14" s="39">
        <v>22494.854800000001</v>
      </c>
      <c r="H14" s="39">
        <v>0</v>
      </c>
      <c r="I14" s="210">
        <f t="shared" si="9"/>
        <v>22494.854800000001</v>
      </c>
      <c r="J14" s="178">
        <f t="shared" si="1"/>
        <v>2.3335545789200029E-3</v>
      </c>
      <c r="K14" s="42"/>
      <c r="L14" s="39"/>
      <c r="M14" s="39"/>
      <c r="N14" s="210">
        <f t="shared" si="10"/>
        <v>0</v>
      </c>
      <c r="O14" s="178">
        <f t="shared" si="2"/>
        <v>0</v>
      </c>
      <c r="P14" s="42"/>
      <c r="Q14" s="39"/>
      <c r="R14" s="39"/>
      <c r="S14" s="210">
        <f t="shared" si="11"/>
        <v>0</v>
      </c>
      <c r="T14" s="178">
        <f t="shared" si="5"/>
        <v>0</v>
      </c>
      <c r="U14" s="402"/>
      <c r="V14" s="39"/>
      <c r="W14" s="39"/>
      <c r="X14" s="210">
        <f t="shared" si="12"/>
        <v>0</v>
      </c>
      <c r="Y14" s="178">
        <f t="shared" si="6"/>
        <v>0</v>
      </c>
      <c r="Z14" s="402"/>
      <c r="AA14" s="39"/>
      <c r="AB14" s="39"/>
      <c r="AC14" s="210">
        <f t="shared" si="13"/>
        <v>0</v>
      </c>
      <c r="AD14" s="178">
        <f t="shared" si="14"/>
        <v>0</v>
      </c>
      <c r="AE14" s="402"/>
      <c r="AF14" s="465"/>
      <c r="AG14" s="465"/>
      <c r="AH14" s="465">
        <f t="shared" si="15"/>
        <v>0</v>
      </c>
      <c r="AI14" s="465"/>
      <c r="AJ14" s="465"/>
      <c r="AK14" s="465"/>
      <c r="AL14" s="465"/>
      <c r="AM14" s="465">
        <f t="shared" si="16"/>
        <v>0</v>
      </c>
      <c r="AN14" s="465"/>
      <c r="AO14" s="465"/>
      <c r="AP14" s="465"/>
      <c r="AQ14" s="465"/>
      <c r="AR14" s="465">
        <f t="shared" si="17"/>
        <v>0</v>
      </c>
      <c r="AS14" s="465"/>
      <c r="AT14" s="465"/>
      <c r="AU14" s="465"/>
      <c r="AV14" s="465"/>
      <c r="AW14" s="465">
        <f t="shared" si="18"/>
        <v>0</v>
      </c>
      <c r="AX14" s="465"/>
      <c r="AY14" s="465"/>
      <c r="AZ14" s="465"/>
      <c r="BA14" s="465"/>
      <c r="BB14" s="465">
        <f t="shared" si="19"/>
        <v>0</v>
      </c>
      <c r="BC14" s="465"/>
      <c r="BD14" s="465"/>
      <c r="BE14" s="465"/>
      <c r="BF14" s="465"/>
      <c r="BG14" s="465">
        <f t="shared" si="20"/>
        <v>0</v>
      </c>
      <c r="BH14" s="465"/>
      <c r="BI14" s="465"/>
      <c r="BJ14" s="39">
        <f t="shared" si="7"/>
        <v>22494.854800000001</v>
      </c>
      <c r="BK14" s="39">
        <f t="shared" si="8"/>
        <v>0</v>
      </c>
      <c r="BL14" s="210">
        <f t="shared" si="21"/>
        <v>22494.854800000001</v>
      </c>
      <c r="BM14" s="178">
        <f t="shared" si="3"/>
        <v>2.2785317217890034E-3</v>
      </c>
      <c r="BN14" s="42"/>
    </row>
    <row r="15" spans="1:66" s="2" customFormat="1" ht="14.4" customHeight="1" outlineLevel="2" x14ac:dyDescent="0.25">
      <c r="A15" s="238"/>
      <c r="B15" s="7" t="s">
        <v>20</v>
      </c>
      <c r="C15" s="111"/>
      <c r="D15" s="113">
        <v>23000</v>
      </c>
      <c r="E15" s="106">
        <f t="shared" si="4"/>
        <v>23000</v>
      </c>
      <c r="F15" s="177">
        <f t="shared" si="0"/>
        <v>4.3595128944137083E-3</v>
      </c>
      <c r="G15" s="39">
        <v>0</v>
      </c>
      <c r="H15" s="39">
        <v>0</v>
      </c>
      <c r="I15" s="210">
        <f t="shared" si="9"/>
        <v>0</v>
      </c>
      <c r="J15" s="178">
        <f t="shared" si="1"/>
        <v>0</v>
      </c>
      <c r="K15" s="42"/>
      <c r="L15" s="39"/>
      <c r="M15" s="39"/>
      <c r="N15" s="210">
        <f t="shared" si="10"/>
        <v>0</v>
      </c>
      <c r="O15" s="178">
        <f t="shared" si="2"/>
        <v>0</v>
      </c>
      <c r="P15" s="42"/>
      <c r="Q15" s="39"/>
      <c r="R15" s="39"/>
      <c r="S15" s="210">
        <f t="shared" si="11"/>
        <v>0</v>
      </c>
      <c r="T15" s="178">
        <f t="shared" si="5"/>
        <v>0</v>
      </c>
      <c r="U15" s="402"/>
      <c r="V15" s="39"/>
      <c r="W15" s="39"/>
      <c r="X15" s="210">
        <f t="shared" si="12"/>
        <v>0</v>
      </c>
      <c r="Y15" s="178">
        <f t="shared" si="6"/>
        <v>0</v>
      </c>
      <c r="Z15" s="402"/>
      <c r="AA15" s="39"/>
      <c r="AB15" s="39"/>
      <c r="AC15" s="210">
        <f t="shared" si="13"/>
        <v>0</v>
      </c>
      <c r="AD15" s="178">
        <f t="shared" si="14"/>
        <v>0</v>
      </c>
      <c r="AE15" s="402"/>
      <c r="AF15" s="465"/>
      <c r="AG15" s="465"/>
      <c r="AH15" s="465">
        <f t="shared" si="15"/>
        <v>0</v>
      </c>
      <c r="AI15" s="465"/>
      <c r="AJ15" s="465"/>
      <c r="AK15" s="465"/>
      <c r="AL15" s="465"/>
      <c r="AM15" s="465">
        <f t="shared" si="16"/>
        <v>0</v>
      </c>
      <c r="AN15" s="465"/>
      <c r="AO15" s="465"/>
      <c r="AP15" s="465"/>
      <c r="AQ15" s="465"/>
      <c r="AR15" s="465">
        <f t="shared" si="17"/>
        <v>0</v>
      </c>
      <c r="AS15" s="465"/>
      <c r="AT15" s="465"/>
      <c r="AU15" s="465"/>
      <c r="AV15" s="465"/>
      <c r="AW15" s="465">
        <f t="shared" si="18"/>
        <v>0</v>
      </c>
      <c r="AX15" s="465"/>
      <c r="AY15" s="465"/>
      <c r="AZ15" s="465"/>
      <c r="BA15" s="465"/>
      <c r="BB15" s="465">
        <f t="shared" si="19"/>
        <v>0</v>
      </c>
      <c r="BC15" s="465"/>
      <c r="BD15" s="465"/>
      <c r="BE15" s="465"/>
      <c r="BF15" s="465"/>
      <c r="BG15" s="465">
        <f t="shared" si="20"/>
        <v>0</v>
      </c>
      <c r="BH15" s="465"/>
      <c r="BI15" s="465"/>
      <c r="BJ15" s="39">
        <f t="shared" si="7"/>
        <v>0</v>
      </c>
      <c r="BK15" s="39">
        <f t="shared" si="8"/>
        <v>0</v>
      </c>
      <c r="BL15" s="210">
        <f t="shared" si="21"/>
        <v>0</v>
      </c>
      <c r="BM15" s="178">
        <f t="shared" si="3"/>
        <v>0</v>
      </c>
      <c r="BN15" s="42"/>
    </row>
    <row r="16" spans="1:66" s="2" customFormat="1" ht="41.4" customHeight="1" outlineLevel="2" x14ac:dyDescent="0.25">
      <c r="A16" s="292"/>
      <c r="B16" s="7" t="s">
        <v>21</v>
      </c>
      <c r="C16" s="111"/>
      <c r="D16" s="113">
        <v>663064</v>
      </c>
      <c r="E16" s="106">
        <f t="shared" si="4"/>
        <v>663064</v>
      </c>
      <c r="F16" s="177">
        <f t="shared" si="0"/>
        <v>0.12567982860093613</v>
      </c>
      <c r="G16" s="39">
        <v>0</v>
      </c>
      <c r="H16" s="39">
        <v>1146022.92</v>
      </c>
      <c r="I16" s="210">
        <f t="shared" si="9"/>
        <v>1146022.92</v>
      </c>
      <c r="J16" s="178">
        <f t="shared" si="1"/>
        <v>0.11888527649057205</v>
      </c>
      <c r="K16" s="42"/>
      <c r="L16" s="39"/>
      <c r="M16" s="39"/>
      <c r="N16" s="210">
        <f t="shared" si="10"/>
        <v>0</v>
      </c>
      <c r="O16" s="178">
        <f t="shared" si="2"/>
        <v>0</v>
      </c>
      <c r="P16" s="42"/>
      <c r="Q16" s="39"/>
      <c r="R16" s="39"/>
      <c r="S16" s="210">
        <f t="shared" si="11"/>
        <v>0</v>
      </c>
      <c r="T16" s="178">
        <f t="shared" si="5"/>
        <v>0</v>
      </c>
      <c r="U16" s="402"/>
      <c r="V16" s="39"/>
      <c r="W16" s="39"/>
      <c r="X16" s="210">
        <f t="shared" si="12"/>
        <v>0</v>
      </c>
      <c r="Y16" s="178">
        <f t="shared" si="6"/>
        <v>0</v>
      </c>
      <c r="Z16" s="402"/>
      <c r="AA16" s="39"/>
      <c r="AB16" s="39"/>
      <c r="AC16" s="210">
        <f t="shared" si="13"/>
        <v>0</v>
      </c>
      <c r="AD16" s="178">
        <f t="shared" si="14"/>
        <v>0</v>
      </c>
      <c r="AE16" s="402"/>
      <c r="AF16" s="465"/>
      <c r="AG16" s="465"/>
      <c r="AH16" s="465">
        <f t="shared" si="15"/>
        <v>0</v>
      </c>
      <c r="AI16" s="465"/>
      <c r="AJ16" s="465"/>
      <c r="AK16" s="465"/>
      <c r="AL16" s="465"/>
      <c r="AM16" s="465">
        <f t="shared" si="16"/>
        <v>0</v>
      </c>
      <c r="AN16" s="465"/>
      <c r="AO16" s="465"/>
      <c r="AP16" s="465"/>
      <c r="AQ16" s="465"/>
      <c r="AR16" s="465">
        <f t="shared" si="17"/>
        <v>0</v>
      </c>
      <c r="AS16" s="465"/>
      <c r="AT16" s="465"/>
      <c r="AU16" s="465"/>
      <c r="AV16" s="465"/>
      <c r="AW16" s="465">
        <f t="shared" si="18"/>
        <v>0</v>
      </c>
      <c r="AX16" s="465"/>
      <c r="AY16" s="465"/>
      <c r="AZ16" s="465"/>
      <c r="BA16" s="465"/>
      <c r="BB16" s="465">
        <f t="shared" si="19"/>
        <v>0</v>
      </c>
      <c r="BC16" s="465"/>
      <c r="BD16" s="465"/>
      <c r="BE16" s="465"/>
      <c r="BF16" s="465"/>
      <c r="BG16" s="465">
        <f t="shared" si="20"/>
        <v>0</v>
      </c>
      <c r="BH16" s="465"/>
      <c r="BI16" s="465"/>
      <c r="BJ16" s="39">
        <f t="shared" si="7"/>
        <v>0</v>
      </c>
      <c r="BK16" s="39">
        <f t="shared" si="8"/>
        <v>1146022.92</v>
      </c>
      <c r="BL16" s="210">
        <f t="shared" si="21"/>
        <v>1146022.92</v>
      </c>
      <c r="BM16" s="178">
        <f t="shared" si="3"/>
        <v>0.11608208189533463</v>
      </c>
      <c r="BN16" s="42"/>
    </row>
    <row r="17" spans="1:66" s="2" customFormat="1" ht="84" customHeight="1" outlineLevel="2" x14ac:dyDescent="0.25">
      <c r="A17" s="238"/>
      <c r="B17" s="7" t="s">
        <v>22</v>
      </c>
      <c r="C17" s="111"/>
      <c r="D17" s="113"/>
      <c r="E17" s="106">
        <f t="shared" si="4"/>
        <v>0</v>
      </c>
      <c r="F17" s="177">
        <f t="shared" si="0"/>
        <v>0</v>
      </c>
      <c r="G17" s="39">
        <v>0</v>
      </c>
      <c r="H17" s="39">
        <v>3800</v>
      </c>
      <c r="I17" s="210">
        <f t="shared" si="9"/>
        <v>3800</v>
      </c>
      <c r="J17" s="178">
        <f t="shared" si="1"/>
        <v>3.9420158426166016E-4</v>
      </c>
      <c r="K17" s="42"/>
      <c r="L17" s="39"/>
      <c r="M17" s="39">
        <v>28000</v>
      </c>
      <c r="N17" s="210">
        <f t="shared" si="10"/>
        <v>28000</v>
      </c>
      <c r="O17" s="178">
        <f t="shared" si="2"/>
        <v>0.34063741474190545</v>
      </c>
      <c r="P17" s="42" t="s">
        <v>515</v>
      </c>
      <c r="Q17" s="39"/>
      <c r="R17" s="39"/>
      <c r="S17" s="210">
        <f t="shared" si="11"/>
        <v>0</v>
      </c>
      <c r="T17" s="178">
        <f t="shared" si="5"/>
        <v>0</v>
      </c>
      <c r="U17" s="402"/>
      <c r="V17" s="39"/>
      <c r="W17" s="39"/>
      <c r="X17" s="210">
        <f t="shared" si="12"/>
        <v>0</v>
      </c>
      <c r="Y17" s="178">
        <f t="shared" si="6"/>
        <v>0</v>
      </c>
      <c r="Z17" s="402"/>
      <c r="AA17" s="39"/>
      <c r="AB17" s="39"/>
      <c r="AC17" s="210">
        <f t="shared" si="13"/>
        <v>0</v>
      </c>
      <c r="AD17" s="178">
        <f t="shared" si="14"/>
        <v>0</v>
      </c>
      <c r="AE17" s="402"/>
      <c r="AF17" s="465"/>
      <c r="AG17" s="465"/>
      <c r="AH17" s="465">
        <f t="shared" si="15"/>
        <v>0</v>
      </c>
      <c r="AI17" s="465"/>
      <c r="AJ17" s="465"/>
      <c r="AK17" s="465"/>
      <c r="AL17" s="465"/>
      <c r="AM17" s="465">
        <f t="shared" si="16"/>
        <v>0</v>
      </c>
      <c r="AN17" s="465"/>
      <c r="AO17" s="465"/>
      <c r="AP17" s="465"/>
      <c r="AQ17" s="465"/>
      <c r="AR17" s="465">
        <f t="shared" si="17"/>
        <v>0</v>
      </c>
      <c r="AS17" s="465"/>
      <c r="AT17" s="465"/>
      <c r="AU17" s="465"/>
      <c r="AV17" s="465"/>
      <c r="AW17" s="465">
        <f t="shared" si="18"/>
        <v>0</v>
      </c>
      <c r="AX17" s="465"/>
      <c r="AY17" s="465"/>
      <c r="AZ17" s="465"/>
      <c r="BA17" s="465"/>
      <c r="BB17" s="465">
        <f t="shared" si="19"/>
        <v>0</v>
      </c>
      <c r="BC17" s="465"/>
      <c r="BD17" s="465"/>
      <c r="BE17" s="465"/>
      <c r="BF17" s="465"/>
      <c r="BG17" s="465">
        <f t="shared" si="20"/>
        <v>0</v>
      </c>
      <c r="BH17" s="465"/>
      <c r="BI17" s="465"/>
      <c r="BJ17" s="39">
        <f t="shared" si="7"/>
        <v>0</v>
      </c>
      <c r="BK17" s="39">
        <f t="shared" si="8"/>
        <v>31800</v>
      </c>
      <c r="BL17" s="210">
        <f t="shared" si="21"/>
        <v>31800</v>
      </c>
      <c r="BM17" s="178">
        <f t="shared" si="3"/>
        <v>3.221061411469538E-3</v>
      </c>
      <c r="BN17" s="42"/>
    </row>
    <row r="18" spans="1:66" s="2" customFormat="1" ht="93.6" customHeight="1" outlineLevel="2" x14ac:dyDescent="0.25">
      <c r="A18" s="238"/>
      <c r="B18" s="7" t="s">
        <v>0</v>
      </c>
      <c r="C18" s="111">
        <v>105129</v>
      </c>
      <c r="D18" s="113"/>
      <c r="E18" s="106">
        <f t="shared" si="4"/>
        <v>105129</v>
      </c>
      <c r="F18" s="177">
        <f t="shared" si="0"/>
        <v>1.992657526420951E-2</v>
      </c>
      <c r="G18" s="39">
        <v>119606.65</v>
      </c>
      <c r="H18" s="39">
        <v>20000</v>
      </c>
      <c r="I18" s="210">
        <f t="shared" si="9"/>
        <v>139606.65</v>
      </c>
      <c r="J18" s="178">
        <f t="shared" si="1"/>
        <v>1.4482411211437658E-2</v>
      </c>
      <c r="K18" s="42"/>
      <c r="L18" s="39"/>
      <c r="M18" s="39"/>
      <c r="N18" s="210">
        <f t="shared" si="10"/>
        <v>0</v>
      </c>
      <c r="O18" s="178">
        <f t="shared" si="2"/>
        <v>0</v>
      </c>
      <c r="P18" s="42"/>
      <c r="Q18" s="39"/>
      <c r="R18" s="39"/>
      <c r="S18" s="210">
        <f t="shared" si="11"/>
        <v>0</v>
      </c>
      <c r="T18" s="178">
        <f t="shared" si="5"/>
        <v>0</v>
      </c>
      <c r="U18" s="402"/>
      <c r="V18" s="39"/>
      <c r="W18" s="39"/>
      <c r="X18" s="210">
        <f t="shared" si="12"/>
        <v>0</v>
      </c>
      <c r="Y18" s="178">
        <f t="shared" si="6"/>
        <v>0</v>
      </c>
      <c r="Z18" s="402"/>
      <c r="AA18" s="39"/>
      <c r="AB18" s="39"/>
      <c r="AC18" s="210">
        <f t="shared" si="13"/>
        <v>0</v>
      </c>
      <c r="AD18" s="178">
        <f t="shared" si="14"/>
        <v>0</v>
      </c>
      <c r="AE18" s="402"/>
      <c r="AF18" s="465"/>
      <c r="AG18" s="465"/>
      <c r="AH18" s="465">
        <f t="shared" si="15"/>
        <v>0</v>
      </c>
      <c r="AI18" s="465"/>
      <c r="AJ18" s="465"/>
      <c r="AK18" s="465"/>
      <c r="AL18" s="465"/>
      <c r="AM18" s="465">
        <f t="shared" si="16"/>
        <v>0</v>
      </c>
      <c r="AN18" s="465"/>
      <c r="AO18" s="465"/>
      <c r="AP18" s="465"/>
      <c r="AQ18" s="465"/>
      <c r="AR18" s="465">
        <f t="shared" si="17"/>
        <v>0</v>
      </c>
      <c r="AS18" s="465"/>
      <c r="AT18" s="465"/>
      <c r="AU18" s="465"/>
      <c r="AV18" s="465"/>
      <c r="AW18" s="465">
        <f t="shared" si="18"/>
        <v>0</v>
      </c>
      <c r="AX18" s="465"/>
      <c r="AY18" s="465"/>
      <c r="AZ18" s="465"/>
      <c r="BA18" s="465"/>
      <c r="BB18" s="465">
        <f t="shared" si="19"/>
        <v>0</v>
      </c>
      <c r="BC18" s="465"/>
      <c r="BD18" s="465"/>
      <c r="BE18" s="465"/>
      <c r="BF18" s="465"/>
      <c r="BG18" s="465">
        <f t="shared" si="20"/>
        <v>0</v>
      </c>
      <c r="BH18" s="465"/>
      <c r="BI18" s="465"/>
      <c r="BJ18" s="39">
        <f t="shared" si="7"/>
        <v>119606.65</v>
      </c>
      <c r="BK18" s="39">
        <f t="shared" si="8"/>
        <v>20000</v>
      </c>
      <c r="BL18" s="210">
        <f t="shared" si="21"/>
        <v>139606.65</v>
      </c>
      <c r="BM18" s="178">
        <f t="shared" si="3"/>
        <v>1.414093060061427E-2</v>
      </c>
      <c r="BN18" s="42"/>
    </row>
    <row r="19" spans="1:66" s="2" customFormat="1" ht="58.2" customHeight="1" outlineLevel="2" x14ac:dyDescent="0.25">
      <c r="A19" s="238"/>
      <c r="B19" s="7" t="s">
        <v>53</v>
      </c>
      <c r="C19" s="114"/>
      <c r="D19" s="113"/>
      <c r="E19" s="106">
        <f t="shared" si="4"/>
        <v>0</v>
      </c>
      <c r="F19" s="177">
        <f t="shared" si="0"/>
        <v>0</v>
      </c>
      <c r="G19" s="39">
        <v>96680</v>
      </c>
      <c r="H19" s="39">
        <v>1600</v>
      </c>
      <c r="I19" s="210">
        <f t="shared" si="9"/>
        <v>98280</v>
      </c>
      <c r="J19" s="178">
        <f t="shared" si="1"/>
        <v>1.0195297816114727E-2</v>
      </c>
      <c r="K19" s="42"/>
      <c r="L19" s="39"/>
      <c r="M19" s="39"/>
      <c r="N19" s="210">
        <f t="shared" si="10"/>
        <v>0</v>
      </c>
      <c r="O19" s="178">
        <f t="shared" si="2"/>
        <v>0</v>
      </c>
      <c r="P19" s="42"/>
      <c r="Q19" s="39"/>
      <c r="R19" s="39"/>
      <c r="S19" s="210">
        <f t="shared" si="11"/>
        <v>0</v>
      </c>
      <c r="T19" s="178">
        <f t="shared" si="5"/>
        <v>0</v>
      </c>
      <c r="U19" s="402"/>
      <c r="V19" s="39"/>
      <c r="W19" s="39"/>
      <c r="X19" s="210">
        <f t="shared" si="12"/>
        <v>0</v>
      </c>
      <c r="Y19" s="178">
        <f t="shared" si="6"/>
        <v>0</v>
      </c>
      <c r="Z19" s="402"/>
      <c r="AA19" s="39"/>
      <c r="AB19" s="39"/>
      <c r="AC19" s="210">
        <f t="shared" si="13"/>
        <v>0</v>
      </c>
      <c r="AD19" s="178">
        <f t="shared" si="14"/>
        <v>0</v>
      </c>
      <c r="AE19" s="402"/>
      <c r="AF19" s="465"/>
      <c r="AG19" s="465"/>
      <c r="AH19" s="465">
        <f t="shared" si="15"/>
        <v>0</v>
      </c>
      <c r="AI19" s="465"/>
      <c r="AJ19" s="465"/>
      <c r="AK19" s="465"/>
      <c r="AL19" s="465"/>
      <c r="AM19" s="465">
        <f t="shared" si="16"/>
        <v>0</v>
      </c>
      <c r="AN19" s="465"/>
      <c r="AO19" s="465"/>
      <c r="AP19" s="465"/>
      <c r="AQ19" s="465"/>
      <c r="AR19" s="465">
        <f t="shared" si="17"/>
        <v>0</v>
      </c>
      <c r="AS19" s="465"/>
      <c r="AT19" s="465"/>
      <c r="AU19" s="465"/>
      <c r="AV19" s="465"/>
      <c r="AW19" s="465">
        <f t="shared" si="18"/>
        <v>0</v>
      </c>
      <c r="AX19" s="465"/>
      <c r="AY19" s="465"/>
      <c r="AZ19" s="465"/>
      <c r="BA19" s="465"/>
      <c r="BB19" s="465">
        <f t="shared" si="19"/>
        <v>0</v>
      </c>
      <c r="BC19" s="465"/>
      <c r="BD19" s="465"/>
      <c r="BE19" s="465"/>
      <c r="BF19" s="465"/>
      <c r="BG19" s="465">
        <f t="shared" si="20"/>
        <v>0</v>
      </c>
      <c r="BH19" s="465"/>
      <c r="BI19" s="465"/>
      <c r="BJ19" s="39">
        <f t="shared" si="7"/>
        <v>96680</v>
      </c>
      <c r="BK19" s="39">
        <f t="shared" si="8"/>
        <v>1600</v>
      </c>
      <c r="BL19" s="210">
        <f t="shared" si="21"/>
        <v>98280</v>
      </c>
      <c r="BM19" s="178">
        <f t="shared" si="3"/>
        <v>9.954903003749252E-3</v>
      </c>
      <c r="BN19" s="42"/>
    </row>
    <row r="20" spans="1:66" s="2" customFormat="1" ht="35.4" customHeight="1" outlineLevel="2" x14ac:dyDescent="0.25">
      <c r="A20" s="238"/>
      <c r="B20" s="7" t="s">
        <v>57</v>
      </c>
      <c r="C20" s="114">
        <v>149120</v>
      </c>
      <c r="D20" s="113"/>
      <c r="E20" s="106">
        <f t="shared" si="4"/>
        <v>149120</v>
      </c>
      <c r="F20" s="177">
        <f t="shared" si="0"/>
        <v>2.8264807078911835E-2</v>
      </c>
      <c r="G20" s="39">
        <v>320123.12799999997</v>
      </c>
      <c r="H20" s="39">
        <v>0</v>
      </c>
      <c r="I20" s="210">
        <f t="shared" si="9"/>
        <v>320123.12799999997</v>
      </c>
      <c r="J20" s="178">
        <f t="shared" si="1"/>
        <v>3.3208695846420583E-2</v>
      </c>
      <c r="K20" s="42"/>
      <c r="L20" s="39">
        <v>44.27</v>
      </c>
      <c r="M20" s="39"/>
      <c r="N20" s="210">
        <f t="shared" si="10"/>
        <v>44.27</v>
      </c>
      <c r="O20" s="178">
        <f t="shared" si="2"/>
        <v>5.3857208395086272E-4</v>
      </c>
      <c r="P20" s="42" t="s">
        <v>530</v>
      </c>
      <c r="Q20" s="39"/>
      <c r="R20" s="39"/>
      <c r="S20" s="210">
        <f t="shared" si="11"/>
        <v>0</v>
      </c>
      <c r="T20" s="178">
        <f t="shared" si="5"/>
        <v>0</v>
      </c>
      <c r="U20" s="402"/>
      <c r="V20" s="39"/>
      <c r="W20" s="39"/>
      <c r="X20" s="210">
        <f t="shared" si="12"/>
        <v>0</v>
      </c>
      <c r="Y20" s="178">
        <f t="shared" si="6"/>
        <v>0</v>
      </c>
      <c r="Z20" s="402"/>
      <c r="AA20" s="39"/>
      <c r="AB20" s="39"/>
      <c r="AC20" s="210">
        <f t="shared" si="13"/>
        <v>0</v>
      </c>
      <c r="AD20" s="178">
        <f t="shared" si="14"/>
        <v>0</v>
      </c>
      <c r="AE20" s="402"/>
      <c r="AF20" s="465"/>
      <c r="AG20" s="465"/>
      <c r="AH20" s="465">
        <f t="shared" si="15"/>
        <v>0</v>
      </c>
      <c r="AI20" s="465"/>
      <c r="AJ20" s="465"/>
      <c r="AK20" s="465"/>
      <c r="AL20" s="465"/>
      <c r="AM20" s="465">
        <f t="shared" si="16"/>
        <v>0</v>
      </c>
      <c r="AN20" s="465"/>
      <c r="AO20" s="465"/>
      <c r="AP20" s="465"/>
      <c r="AQ20" s="465"/>
      <c r="AR20" s="465">
        <f t="shared" si="17"/>
        <v>0</v>
      </c>
      <c r="AS20" s="465"/>
      <c r="AT20" s="465"/>
      <c r="AU20" s="465"/>
      <c r="AV20" s="465"/>
      <c r="AW20" s="465">
        <f t="shared" si="18"/>
        <v>0</v>
      </c>
      <c r="AX20" s="465"/>
      <c r="AY20" s="465"/>
      <c r="AZ20" s="465"/>
      <c r="BA20" s="465"/>
      <c r="BB20" s="465">
        <f t="shared" si="19"/>
        <v>0</v>
      </c>
      <c r="BC20" s="465"/>
      <c r="BD20" s="465"/>
      <c r="BE20" s="465"/>
      <c r="BF20" s="465"/>
      <c r="BG20" s="465">
        <f t="shared" si="20"/>
        <v>0</v>
      </c>
      <c r="BH20" s="465"/>
      <c r="BI20" s="465"/>
      <c r="BJ20" s="39">
        <f t="shared" si="7"/>
        <v>320167.39799999999</v>
      </c>
      <c r="BK20" s="39">
        <f t="shared" si="8"/>
        <v>0</v>
      </c>
      <c r="BL20" s="210">
        <f t="shared" si="21"/>
        <v>320167.39799999999</v>
      </c>
      <c r="BM20" s="178">
        <f t="shared" si="3"/>
        <v>3.2430152544289603E-2</v>
      </c>
      <c r="BN20" s="42"/>
    </row>
    <row r="21" spans="1:66" s="2" customFormat="1" ht="211.2" customHeight="1" outlineLevel="2" x14ac:dyDescent="0.25">
      <c r="A21" s="238"/>
      <c r="B21" s="7" t="s">
        <v>58</v>
      </c>
      <c r="C21" s="114">
        <v>842772</v>
      </c>
      <c r="D21" s="113"/>
      <c r="E21" s="106">
        <f t="shared" si="4"/>
        <v>842772</v>
      </c>
      <c r="F21" s="177">
        <f t="shared" si="0"/>
        <v>0.15974240874134041</v>
      </c>
      <c r="G21" s="39">
        <v>1594999.0980000002</v>
      </c>
      <c r="H21" s="39">
        <v>2050</v>
      </c>
      <c r="I21" s="210">
        <f t="shared" si="9"/>
        <v>1597049.0980000002</v>
      </c>
      <c r="J21" s="178">
        <f t="shared" si="1"/>
        <v>0.1656734959408567</v>
      </c>
      <c r="K21" s="42"/>
      <c r="L21" s="39">
        <v>21975</v>
      </c>
      <c r="M21" s="39">
        <f>1400</f>
        <v>1400</v>
      </c>
      <c r="N21" s="210">
        <f t="shared" si="10"/>
        <v>23375</v>
      </c>
      <c r="O21" s="178">
        <f t="shared" si="2"/>
        <v>0.28437141319971571</v>
      </c>
      <c r="P21" s="388" t="s">
        <v>539</v>
      </c>
      <c r="Q21" s="39"/>
      <c r="R21" s="39"/>
      <c r="S21" s="210">
        <f t="shared" si="11"/>
        <v>0</v>
      </c>
      <c r="T21" s="178">
        <f t="shared" si="5"/>
        <v>0</v>
      </c>
      <c r="U21" s="440"/>
      <c r="V21" s="39"/>
      <c r="W21" s="39"/>
      <c r="X21" s="210">
        <f t="shared" si="12"/>
        <v>0</v>
      </c>
      <c r="Y21" s="178">
        <f t="shared" si="6"/>
        <v>0</v>
      </c>
      <c r="Z21" s="440"/>
      <c r="AA21" s="39"/>
      <c r="AB21" s="39"/>
      <c r="AC21" s="210">
        <f t="shared" si="13"/>
        <v>0</v>
      </c>
      <c r="AD21" s="178">
        <f t="shared" si="14"/>
        <v>0</v>
      </c>
      <c r="AE21" s="440"/>
      <c r="AF21" s="459"/>
      <c r="AG21" s="459"/>
      <c r="AH21" s="459">
        <f t="shared" si="15"/>
        <v>0</v>
      </c>
      <c r="AI21" s="459"/>
      <c r="AJ21" s="459"/>
      <c r="AK21" s="459"/>
      <c r="AL21" s="459"/>
      <c r="AM21" s="459">
        <f t="shared" si="16"/>
        <v>0</v>
      </c>
      <c r="AN21" s="459"/>
      <c r="AO21" s="459"/>
      <c r="AP21" s="459"/>
      <c r="AQ21" s="459"/>
      <c r="AR21" s="459">
        <f t="shared" si="17"/>
        <v>0</v>
      </c>
      <c r="AS21" s="459"/>
      <c r="AT21" s="459"/>
      <c r="AU21" s="459"/>
      <c r="AV21" s="459"/>
      <c r="AW21" s="459">
        <f t="shared" si="18"/>
        <v>0</v>
      </c>
      <c r="AX21" s="459"/>
      <c r="AY21" s="459"/>
      <c r="AZ21" s="459"/>
      <c r="BA21" s="459"/>
      <c r="BB21" s="459">
        <f t="shared" si="19"/>
        <v>0</v>
      </c>
      <c r="BC21" s="459"/>
      <c r="BD21" s="459"/>
      <c r="BE21" s="459"/>
      <c r="BF21" s="459"/>
      <c r="BG21" s="459">
        <f t="shared" si="20"/>
        <v>0</v>
      </c>
      <c r="BH21" s="459"/>
      <c r="BI21" s="459"/>
      <c r="BJ21" s="39">
        <f t="shared" si="7"/>
        <v>1616974.0980000002</v>
      </c>
      <c r="BK21" s="39">
        <f t="shared" si="8"/>
        <v>3450</v>
      </c>
      <c r="BL21" s="210">
        <f t="shared" si="21"/>
        <v>1620424.0980000002</v>
      </c>
      <c r="BM21" s="178">
        <f t="shared" si="3"/>
        <v>0.16413476516613629</v>
      </c>
      <c r="BN21" s="42"/>
    </row>
    <row r="22" spans="1:66" s="2" customFormat="1" ht="13.8" outlineLevel="2" x14ac:dyDescent="0.25">
      <c r="A22" s="238"/>
      <c r="B22" s="7" t="s">
        <v>621</v>
      </c>
      <c r="C22" s="114"/>
      <c r="D22" s="445"/>
      <c r="E22" s="446"/>
      <c r="F22" s="447"/>
      <c r="G22" s="452"/>
      <c r="H22" s="452"/>
      <c r="I22" s="453"/>
      <c r="J22" s="450"/>
      <c r="K22" s="456"/>
      <c r="L22" s="452"/>
      <c r="M22" s="452"/>
      <c r="N22" s="453"/>
      <c r="O22" s="450"/>
      <c r="P22" s="458"/>
      <c r="Q22" s="452"/>
      <c r="R22" s="452"/>
      <c r="S22" s="453"/>
      <c r="T22" s="450"/>
      <c r="U22" s="459"/>
      <c r="V22" s="452"/>
      <c r="W22" s="452"/>
      <c r="X22" s="453"/>
      <c r="Y22" s="450"/>
      <c r="Z22" s="459"/>
      <c r="AA22" s="452"/>
      <c r="AB22" s="452"/>
      <c r="AC22" s="453"/>
      <c r="AD22" s="450"/>
      <c r="AE22" s="459"/>
      <c r="AF22" s="459"/>
      <c r="AG22" s="459"/>
      <c r="AH22" s="459"/>
      <c r="AI22" s="459"/>
      <c r="AJ22" s="459"/>
      <c r="AK22" s="459"/>
      <c r="AL22" s="459"/>
      <c r="AM22" s="459"/>
      <c r="AN22" s="459"/>
      <c r="AO22" s="459"/>
      <c r="AP22" s="459"/>
      <c r="AQ22" s="459"/>
      <c r="AR22" s="459"/>
      <c r="AS22" s="459"/>
      <c r="AT22" s="459"/>
      <c r="AU22" s="459"/>
      <c r="AV22" s="459"/>
      <c r="AW22" s="459"/>
      <c r="AX22" s="459"/>
      <c r="AY22" s="459"/>
      <c r="AZ22" s="459"/>
      <c r="BA22" s="459"/>
      <c r="BB22" s="459"/>
      <c r="BC22" s="459"/>
      <c r="BD22" s="459"/>
      <c r="BE22" s="459"/>
      <c r="BF22" s="459"/>
      <c r="BG22" s="459"/>
      <c r="BH22" s="459"/>
      <c r="BI22" s="459"/>
      <c r="BJ22" s="39">
        <f t="shared" si="7"/>
        <v>0</v>
      </c>
      <c r="BK22" s="39">
        <f t="shared" si="8"/>
        <v>0</v>
      </c>
      <c r="BL22" s="453"/>
      <c r="BM22" s="450"/>
      <c r="BN22" s="456"/>
    </row>
    <row r="23" spans="1:66" s="2" customFormat="1" ht="13.8" outlineLevel="2" x14ac:dyDescent="0.25">
      <c r="A23" s="238"/>
      <c r="B23" s="471" t="s">
        <v>630</v>
      </c>
      <c r="C23" s="114"/>
      <c r="D23" s="445"/>
      <c r="E23" s="446"/>
      <c r="F23" s="447"/>
      <c r="G23" s="452"/>
      <c r="H23" s="452"/>
      <c r="I23" s="453"/>
      <c r="J23" s="450"/>
      <c r="K23" s="456"/>
      <c r="L23" s="452"/>
      <c r="M23" s="452"/>
      <c r="N23" s="453"/>
      <c r="O23" s="450"/>
      <c r="P23" s="458"/>
      <c r="Q23" s="452"/>
      <c r="R23" s="452"/>
      <c r="S23" s="453"/>
      <c r="T23" s="450"/>
      <c r="U23" s="459"/>
      <c r="V23" s="452"/>
      <c r="W23" s="452"/>
      <c r="X23" s="453"/>
      <c r="Y23" s="450"/>
      <c r="Z23" s="459"/>
      <c r="AA23" s="452"/>
      <c r="AB23" s="452"/>
      <c r="AC23" s="453"/>
      <c r="AD23" s="450"/>
      <c r="AE23" s="459"/>
      <c r="AF23" s="459"/>
      <c r="AG23" s="459"/>
      <c r="AH23" s="459"/>
      <c r="AI23" s="459"/>
      <c r="AJ23" s="459"/>
      <c r="AK23" s="459"/>
      <c r="AL23" s="459"/>
      <c r="AM23" s="459"/>
      <c r="AN23" s="459"/>
      <c r="AO23" s="459"/>
      <c r="AP23" s="459"/>
      <c r="AQ23" s="459"/>
      <c r="AR23" s="459"/>
      <c r="AS23" s="459"/>
      <c r="AT23" s="459"/>
      <c r="AU23" s="459"/>
      <c r="AV23" s="459"/>
      <c r="AW23" s="459"/>
      <c r="AX23" s="459"/>
      <c r="AY23" s="459"/>
      <c r="AZ23" s="459"/>
      <c r="BA23" s="459"/>
      <c r="BB23" s="459"/>
      <c r="BC23" s="459"/>
      <c r="BD23" s="459"/>
      <c r="BE23" s="459"/>
      <c r="BF23" s="459"/>
      <c r="BG23" s="459"/>
      <c r="BH23" s="459"/>
      <c r="BI23" s="459"/>
      <c r="BJ23" s="39">
        <f t="shared" si="7"/>
        <v>0</v>
      </c>
      <c r="BK23" s="39">
        <f t="shared" si="8"/>
        <v>0</v>
      </c>
      <c r="BL23" s="453"/>
      <c r="BM23" s="450"/>
      <c r="BN23" s="456"/>
    </row>
    <row r="24" spans="1:66" s="2" customFormat="1" ht="61.95" customHeight="1" outlineLevel="2" x14ac:dyDescent="0.25">
      <c r="A24" s="238"/>
      <c r="B24" s="7" t="s">
        <v>23</v>
      </c>
      <c r="C24" s="114">
        <v>91600</v>
      </c>
      <c r="D24" s="113"/>
      <c r="E24" s="106">
        <f t="shared" si="4"/>
        <v>91600</v>
      </c>
      <c r="F24" s="177">
        <f t="shared" ref="F24:F33" si="22">E24/$E$89</f>
        <v>1.7362233962099811E-2</v>
      </c>
      <c r="G24" s="39">
        <v>335405.788</v>
      </c>
      <c r="H24" s="39">
        <v>2150</v>
      </c>
      <c r="I24" s="210">
        <f t="shared" si="9"/>
        <v>337555.788</v>
      </c>
      <c r="J24" s="178">
        <f t="shared" ref="J24:J33" si="23">I24/$I$89</f>
        <v>3.5017112212182393E-2</v>
      </c>
      <c r="K24" s="42"/>
      <c r="L24" s="39">
        <v>4030</v>
      </c>
      <c r="M24" s="39"/>
      <c r="N24" s="210">
        <f t="shared" si="10"/>
        <v>4030</v>
      </c>
      <c r="O24" s="178">
        <f t="shared" ref="O24:O33" si="24">N24/$N$89</f>
        <v>4.9027456478924251E-2</v>
      </c>
      <c r="P24" s="388" t="s">
        <v>538</v>
      </c>
      <c r="Q24" s="39">
        <f>541.65*1.2</f>
        <v>649.9799999999999</v>
      </c>
      <c r="R24" s="39"/>
      <c r="S24" s="210">
        <f t="shared" si="11"/>
        <v>649.9799999999999</v>
      </c>
      <c r="T24" s="178">
        <f>S24/$S$89</f>
        <v>0.48533754870475682</v>
      </c>
      <c r="U24" s="440"/>
      <c r="V24" s="39"/>
      <c r="W24" s="39"/>
      <c r="X24" s="210">
        <f t="shared" ref="X24:X33" si="25">V24+W24*1</f>
        <v>0</v>
      </c>
      <c r="Y24" s="178">
        <f>X24/$S$89</f>
        <v>0</v>
      </c>
      <c r="Z24" s="440"/>
      <c r="AA24" s="39"/>
      <c r="AB24" s="39"/>
      <c r="AC24" s="210">
        <f t="shared" ref="AC24:AC33" si="26">AA24+AB24*1</f>
        <v>0</v>
      </c>
      <c r="AD24" s="178">
        <f>AC24/$S$89</f>
        <v>0</v>
      </c>
      <c r="AE24" s="440"/>
      <c r="AF24" s="459"/>
      <c r="AG24" s="459"/>
      <c r="AH24" s="459">
        <f t="shared" si="15"/>
        <v>0</v>
      </c>
      <c r="AI24" s="459"/>
      <c r="AJ24" s="459"/>
      <c r="AK24" s="459"/>
      <c r="AL24" s="459"/>
      <c r="AM24" s="459">
        <f t="shared" ref="AM24:AM33" si="27">AK24+AL24*1</f>
        <v>0</v>
      </c>
      <c r="AN24" s="459"/>
      <c r="AO24" s="459"/>
      <c r="AP24" s="459"/>
      <c r="AQ24" s="459"/>
      <c r="AR24" s="459">
        <f t="shared" ref="AR24:AR33" si="28">AP24+AQ24*1</f>
        <v>0</v>
      </c>
      <c r="AS24" s="459"/>
      <c r="AT24" s="459"/>
      <c r="AU24" s="459"/>
      <c r="AV24" s="459"/>
      <c r="AW24" s="459">
        <f t="shared" ref="AW24:AW33" si="29">AU24+AV24*1</f>
        <v>0</v>
      </c>
      <c r="AX24" s="459"/>
      <c r="AY24" s="459"/>
      <c r="AZ24" s="459"/>
      <c r="BA24" s="459"/>
      <c r="BB24" s="459">
        <f t="shared" ref="BB24:BB33" si="30">AZ24+BA24*1</f>
        <v>0</v>
      </c>
      <c r="BC24" s="459"/>
      <c r="BD24" s="459"/>
      <c r="BE24" s="459"/>
      <c r="BF24" s="459"/>
      <c r="BG24" s="459">
        <f t="shared" ref="BG24:BG33" si="31">BE24+BF24*1</f>
        <v>0</v>
      </c>
      <c r="BH24" s="459"/>
      <c r="BI24" s="459"/>
      <c r="BJ24" s="39">
        <f t="shared" si="7"/>
        <v>340085.76799999998</v>
      </c>
      <c r="BK24" s="39">
        <f t="shared" si="8"/>
        <v>2150</v>
      </c>
      <c r="BL24" s="210">
        <f t="shared" si="21"/>
        <v>342235.76799999998</v>
      </c>
      <c r="BM24" s="178">
        <f t="shared" ref="BM24:BM33" si="32">BL24/$BL$89</f>
        <v>3.4665485092120793E-2</v>
      </c>
      <c r="BN24" s="42"/>
    </row>
    <row r="25" spans="1:66" s="2" customFormat="1" ht="39" customHeight="1" outlineLevel="2" x14ac:dyDescent="0.25">
      <c r="A25" s="238"/>
      <c r="B25" s="7" t="s">
        <v>24</v>
      </c>
      <c r="C25" s="114">
        <f>2000+91476</f>
        <v>93476</v>
      </c>
      <c r="D25" s="113"/>
      <c r="E25" s="106">
        <f t="shared" si="4"/>
        <v>93476</v>
      </c>
      <c r="F25" s="177">
        <f t="shared" si="22"/>
        <v>1.7717818579052861E-2</v>
      </c>
      <c r="G25" s="39">
        <v>50561.34</v>
      </c>
      <c r="H25" s="39">
        <v>26378</v>
      </c>
      <c r="I25" s="210">
        <f t="shared" si="9"/>
        <v>76939.34</v>
      </c>
      <c r="J25" s="178">
        <f t="shared" si="23"/>
        <v>7.9814762421175044E-3</v>
      </c>
      <c r="K25" s="42"/>
      <c r="L25" s="39"/>
      <c r="M25" s="39">
        <v>3874.75</v>
      </c>
      <c r="N25" s="210">
        <f t="shared" si="10"/>
        <v>3874.75</v>
      </c>
      <c r="O25" s="178">
        <f t="shared" si="24"/>
        <v>4.7138743670399934E-2</v>
      </c>
      <c r="P25" s="42"/>
      <c r="Q25" s="39"/>
      <c r="R25" s="39"/>
      <c r="S25" s="210">
        <f t="shared" si="11"/>
        <v>0</v>
      </c>
      <c r="T25" s="178">
        <f t="shared" ref="T25:T33" si="33">S25/$N$89</f>
        <v>0</v>
      </c>
      <c r="U25" s="402"/>
      <c r="V25" s="39"/>
      <c r="W25" s="39"/>
      <c r="X25" s="210">
        <f t="shared" si="25"/>
        <v>0</v>
      </c>
      <c r="Y25" s="178">
        <f t="shared" ref="Y25:Y33" si="34">X25/$N$89</f>
        <v>0</v>
      </c>
      <c r="Z25" s="402"/>
      <c r="AA25" s="39"/>
      <c r="AB25" s="39"/>
      <c r="AC25" s="210">
        <f t="shared" si="26"/>
        <v>0</v>
      </c>
      <c r="AD25" s="178">
        <f t="shared" ref="AD25:AD33" si="35">AC25/$N$89</f>
        <v>0</v>
      </c>
      <c r="AE25" s="402"/>
      <c r="AF25" s="465"/>
      <c r="AG25" s="465"/>
      <c r="AH25" s="465">
        <f t="shared" si="15"/>
        <v>0</v>
      </c>
      <c r="AI25" s="465"/>
      <c r="AJ25" s="465"/>
      <c r="AK25" s="465"/>
      <c r="AL25" s="465"/>
      <c r="AM25" s="465">
        <f t="shared" si="27"/>
        <v>0</v>
      </c>
      <c r="AN25" s="465"/>
      <c r="AO25" s="465"/>
      <c r="AP25" s="465"/>
      <c r="AQ25" s="465"/>
      <c r="AR25" s="465">
        <f t="shared" si="28"/>
        <v>0</v>
      </c>
      <c r="AS25" s="465"/>
      <c r="AT25" s="465"/>
      <c r="AU25" s="465"/>
      <c r="AV25" s="465"/>
      <c r="AW25" s="465">
        <f t="shared" si="29"/>
        <v>0</v>
      </c>
      <c r="AX25" s="465"/>
      <c r="AY25" s="465"/>
      <c r="AZ25" s="465"/>
      <c r="BA25" s="465"/>
      <c r="BB25" s="465">
        <f t="shared" si="30"/>
        <v>0</v>
      </c>
      <c r="BC25" s="465"/>
      <c r="BD25" s="465"/>
      <c r="BE25" s="465"/>
      <c r="BF25" s="465"/>
      <c r="BG25" s="465">
        <f t="shared" si="31"/>
        <v>0</v>
      </c>
      <c r="BH25" s="465"/>
      <c r="BI25" s="465"/>
      <c r="BJ25" s="39">
        <f t="shared" si="7"/>
        <v>50561.34</v>
      </c>
      <c r="BK25" s="39">
        <f t="shared" si="8"/>
        <v>30252.75</v>
      </c>
      <c r="BL25" s="210">
        <f t="shared" si="21"/>
        <v>80814.09</v>
      </c>
      <c r="BM25" s="178">
        <f t="shared" si="32"/>
        <v>8.1857593333970521E-3</v>
      </c>
      <c r="BN25" s="42"/>
    </row>
    <row r="26" spans="1:66" s="2" customFormat="1" ht="49.2" customHeight="1" outlineLevel="2" x14ac:dyDescent="0.25">
      <c r="A26" s="238"/>
      <c r="B26" s="7" t="s">
        <v>45</v>
      </c>
      <c r="C26" s="114">
        <v>2628732</v>
      </c>
      <c r="D26" s="113"/>
      <c r="E26" s="106">
        <f t="shared" si="4"/>
        <v>2628732</v>
      </c>
      <c r="F26" s="177">
        <f t="shared" si="22"/>
        <v>0.49826048043295373</v>
      </c>
      <c r="G26" s="39">
        <v>4589343.0329999998</v>
      </c>
      <c r="H26" s="39">
        <v>1258</v>
      </c>
      <c r="I26" s="210">
        <f t="shared" si="9"/>
        <v>4590601.0329999998</v>
      </c>
      <c r="J26" s="178">
        <f t="shared" si="23"/>
        <v>0.47621636840047726</v>
      </c>
      <c r="K26" s="42"/>
      <c r="L26" s="39"/>
      <c r="M26" s="39"/>
      <c r="N26" s="210">
        <f t="shared" si="10"/>
        <v>0</v>
      </c>
      <c r="O26" s="178">
        <f t="shared" si="24"/>
        <v>0</v>
      </c>
      <c r="P26" s="42"/>
      <c r="Q26" s="39"/>
      <c r="R26" s="39"/>
      <c r="S26" s="210">
        <f t="shared" si="11"/>
        <v>0</v>
      </c>
      <c r="T26" s="178">
        <f t="shared" si="33"/>
        <v>0</v>
      </c>
      <c r="U26" s="416"/>
      <c r="V26" s="39"/>
      <c r="W26" s="39"/>
      <c r="X26" s="210">
        <f t="shared" si="25"/>
        <v>0</v>
      </c>
      <c r="Y26" s="178">
        <f t="shared" si="34"/>
        <v>0</v>
      </c>
      <c r="Z26" s="416"/>
      <c r="AA26" s="39"/>
      <c r="AB26" s="39"/>
      <c r="AC26" s="210">
        <f t="shared" si="26"/>
        <v>0</v>
      </c>
      <c r="AD26" s="178">
        <f t="shared" si="35"/>
        <v>0</v>
      </c>
      <c r="AE26" s="416"/>
      <c r="AF26" s="460"/>
      <c r="AG26" s="460"/>
      <c r="AH26" s="460">
        <f t="shared" si="15"/>
        <v>0</v>
      </c>
      <c r="AI26" s="460"/>
      <c r="AJ26" s="460"/>
      <c r="AK26" s="460"/>
      <c r="AL26" s="460"/>
      <c r="AM26" s="460">
        <f t="shared" si="27"/>
        <v>0</v>
      </c>
      <c r="AN26" s="460"/>
      <c r="AO26" s="460"/>
      <c r="AP26" s="460"/>
      <c r="AQ26" s="460"/>
      <c r="AR26" s="460">
        <f t="shared" si="28"/>
        <v>0</v>
      </c>
      <c r="AS26" s="460"/>
      <c r="AT26" s="460"/>
      <c r="AU26" s="460"/>
      <c r="AV26" s="460"/>
      <c r="AW26" s="460">
        <f t="shared" si="29"/>
        <v>0</v>
      </c>
      <c r="AX26" s="460"/>
      <c r="AY26" s="460"/>
      <c r="AZ26" s="460"/>
      <c r="BA26" s="460"/>
      <c r="BB26" s="460">
        <f t="shared" si="30"/>
        <v>0</v>
      </c>
      <c r="BC26" s="460"/>
      <c r="BD26" s="460"/>
      <c r="BE26" s="951">
        <f>122717.13*1.2</f>
        <v>147260.55600000001</v>
      </c>
      <c r="BF26" s="460"/>
      <c r="BG26" s="951">
        <f t="shared" si="31"/>
        <v>147260.55600000001</v>
      </c>
      <c r="BH26" s="460"/>
      <c r="BI26" s="455" t="s">
        <v>956</v>
      </c>
      <c r="BJ26" s="39">
        <f>G26+L26+Q26+V26+AF26+AK26+AP26+AU26+AZ26+BE26</f>
        <v>4736603.5889999997</v>
      </c>
      <c r="BK26" s="39">
        <f t="shared" si="8"/>
        <v>1258</v>
      </c>
      <c r="BL26" s="210">
        <f>BJ26+BK26*1</f>
        <v>4737861.5889999997</v>
      </c>
      <c r="BM26" s="178">
        <f t="shared" si="32"/>
        <v>0.47990387223935999</v>
      </c>
      <c r="BN26" s="42"/>
    </row>
    <row r="27" spans="1:66" s="2" customFormat="1" ht="76.2" customHeight="1" outlineLevel="2" x14ac:dyDescent="0.25">
      <c r="A27" s="238"/>
      <c r="B27" s="7" t="s">
        <v>25</v>
      </c>
      <c r="C27" s="114">
        <v>10000</v>
      </c>
      <c r="D27" s="113"/>
      <c r="E27" s="106">
        <f t="shared" si="4"/>
        <v>10000</v>
      </c>
      <c r="F27" s="177">
        <f t="shared" si="22"/>
        <v>1.8954403888755253E-3</v>
      </c>
      <c r="G27" s="39">
        <v>11499.982</v>
      </c>
      <c r="H27" s="39">
        <v>5140</v>
      </c>
      <c r="I27" s="210">
        <f t="shared" si="9"/>
        <v>16639.982</v>
      </c>
      <c r="J27" s="178">
        <f t="shared" si="23"/>
        <v>1.7261861227593444E-3</v>
      </c>
      <c r="K27" s="42"/>
      <c r="L27" s="39"/>
      <c r="M27" s="39"/>
      <c r="N27" s="210">
        <f t="shared" si="10"/>
        <v>0</v>
      </c>
      <c r="O27" s="178">
        <f t="shared" si="24"/>
        <v>0</v>
      </c>
      <c r="P27" s="42"/>
      <c r="Q27" s="39"/>
      <c r="R27" s="39"/>
      <c r="S27" s="210">
        <f t="shared" si="11"/>
        <v>0</v>
      </c>
      <c r="T27" s="178">
        <f t="shared" si="33"/>
        <v>0</v>
      </c>
      <c r="U27" s="402"/>
      <c r="V27" s="39"/>
      <c r="W27" s="39"/>
      <c r="X27" s="210">
        <f t="shared" si="25"/>
        <v>0</v>
      </c>
      <c r="Y27" s="178">
        <f t="shared" si="34"/>
        <v>0</v>
      </c>
      <c r="Z27" s="402"/>
      <c r="AA27" s="39"/>
      <c r="AB27" s="39"/>
      <c r="AC27" s="210">
        <f t="shared" si="26"/>
        <v>0</v>
      </c>
      <c r="AD27" s="178">
        <f t="shared" si="35"/>
        <v>0</v>
      </c>
      <c r="AE27" s="402"/>
      <c r="AF27" s="465"/>
      <c r="AG27" s="465"/>
      <c r="AH27" s="465">
        <f t="shared" si="15"/>
        <v>0</v>
      </c>
      <c r="AI27" s="465"/>
      <c r="AJ27" s="465"/>
      <c r="AK27" s="465"/>
      <c r="AL27" s="465"/>
      <c r="AM27" s="465">
        <f t="shared" si="27"/>
        <v>0</v>
      </c>
      <c r="AN27" s="465"/>
      <c r="AO27" s="465"/>
      <c r="AP27" s="465"/>
      <c r="AQ27" s="465"/>
      <c r="AR27" s="465">
        <f t="shared" si="28"/>
        <v>0</v>
      </c>
      <c r="AS27" s="465"/>
      <c r="AT27" s="465"/>
      <c r="AU27" s="465"/>
      <c r="AV27" s="465"/>
      <c r="AW27" s="465">
        <f t="shared" si="29"/>
        <v>0</v>
      </c>
      <c r="AX27" s="465"/>
      <c r="AY27" s="465"/>
      <c r="AZ27" s="465"/>
      <c r="BA27" s="465"/>
      <c r="BB27" s="465">
        <f t="shared" si="30"/>
        <v>0</v>
      </c>
      <c r="BC27" s="465"/>
      <c r="BD27" s="465"/>
      <c r="BE27" s="465"/>
      <c r="BF27" s="465"/>
      <c r="BG27" s="465">
        <f t="shared" si="31"/>
        <v>0</v>
      </c>
      <c r="BH27" s="465"/>
      <c r="BI27" s="465"/>
      <c r="BJ27" s="39">
        <f t="shared" si="7"/>
        <v>11499.982</v>
      </c>
      <c r="BK27" s="39">
        <f t="shared" si="8"/>
        <v>5140</v>
      </c>
      <c r="BL27" s="210">
        <f t="shared" si="21"/>
        <v>16639.982</v>
      </c>
      <c r="BM27" s="178">
        <f t="shared" si="32"/>
        <v>1.6854843996147078E-3</v>
      </c>
      <c r="BN27" s="42"/>
    </row>
    <row r="28" spans="1:66" s="226" customFormat="1" ht="117.6" customHeight="1" outlineLevel="2" x14ac:dyDescent="0.25">
      <c r="A28" s="238"/>
      <c r="B28" s="262" t="s">
        <v>52</v>
      </c>
      <c r="C28" s="114">
        <v>44450</v>
      </c>
      <c r="D28" s="113"/>
      <c r="E28" s="106">
        <f t="shared" si="4"/>
        <v>44450</v>
      </c>
      <c r="F28" s="177">
        <f t="shared" si="22"/>
        <v>8.4252325285517106E-3</v>
      </c>
      <c r="G28" s="39">
        <v>6245.3639999999996</v>
      </c>
      <c r="H28" s="39">
        <v>25286</v>
      </c>
      <c r="I28" s="210">
        <f t="shared" si="9"/>
        <v>31531.364000000001</v>
      </c>
      <c r="J28" s="178">
        <f t="shared" si="23"/>
        <v>3.2709772744029153E-3</v>
      </c>
      <c r="K28" s="42"/>
      <c r="L28" s="39"/>
      <c r="M28" s="39"/>
      <c r="N28" s="210">
        <f t="shared" si="10"/>
        <v>0</v>
      </c>
      <c r="O28" s="178">
        <f t="shared" si="24"/>
        <v>0</v>
      </c>
      <c r="P28" s="42"/>
      <c r="Q28" s="39"/>
      <c r="R28" s="39"/>
      <c r="S28" s="210">
        <f t="shared" si="11"/>
        <v>0</v>
      </c>
      <c r="T28" s="178">
        <f t="shared" si="33"/>
        <v>0</v>
      </c>
      <c r="U28" s="402"/>
      <c r="V28" s="39"/>
      <c r="W28" s="39"/>
      <c r="X28" s="210">
        <f t="shared" si="25"/>
        <v>0</v>
      </c>
      <c r="Y28" s="178">
        <f t="shared" si="34"/>
        <v>0</v>
      </c>
      <c r="Z28" s="402"/>
      <c r="AA28" s="39"/>
      <c r="AB28" s="39"/>
      <c r="AC28" s="210">
        <f t="shared" si="26"/>
        <v>0</v>
      </c>
      <c r="AD28" s="178">
        <f t="shared" si="35"/>
        <v>0</v>
      </c>
      <c r="AE28" s="402"/>
      <c r="AF28" s="465"/>
      <c r="AG28" s="465"/>
      <c r="AH28" s="465">
        <f t="shared" si="15"/>
        <v>0</v>
      </c>
      <c r="AI28" s="465"/>
      <c r="AJ28" s="465"/>
      <c r="AK28" s="465"/>
      <c r="AL28" s="465"/>
      <c r="AM28" s="465">
        <f t="shared" si="27"/>
        <v>0</v>
      </c>
      <c r="AN28" s="465"/>
      <c r="AO28" s="465"/>
      <c r="AP28" s="465"/>
      <c r="AQ28" s="465"/>
      <c r="AR28" s="465">
        <f t="shared" si="28"/>
        <v>0</v>
      </c>
      <c r="AS28" s="465"/>
      <c r="AT28" s="465"/>
      <c r="AU28" s="465"/>
      <c r="AV28" s="465"/>
      <c r="AW28" s="465">
        <f t="shared" si="29"/>
        <v>0</v>
      </c>
      <c r="AX28" s="465"/>
      <c r="AY28" s="465"/>
      <c r="AZ28" s="465"/>
      <c r="BA28" s="465"/>
      <c r="BB28" s="465">
        <f t="shared" si="30"/>
        <v>0</v>
      </c>
      <c r="BC28" s="465"/>
      <c r="BD28" s="465"/>
      <c r="BE28" s="465"/>
      <c r="BF28" s="465"/>
      <c r="BG28" s="465">
        <f t="shared" si="31"/>
        <v>0</v>
      </c>
      <c r="BH28" s="465"/>
      <c r="BI28" s="465"/>
      <c r="BJ28" s="39">
        <f t="shared" si="7"/>
        <v>6245.3639999999996</v>
      </c>
      <c r="BK28" s="39">
        <f t="shared" si="8"/>
        <v>25286</v>
      </c>
      <c r="BL28" s="210">
        <f t="shared" si="21"/>
        <v>31531.364000000001</v>
      </c>
      <c r="BM28" s="178">
        <f t="shared" si="32"/>
        <v>3.1938509380943329E-3</v>
      </c>
      <c r="BN28" s="42"/>
    </row>
    <row r="29" spans="1:66" s="2" customFormat="1" ht="115.95" customHeight="1" outlineLevel="2" x14ac:dyDescent="0.25">
      <c r="A29" s="238"/>
      <c r="B29" s="7" t="s">
        <v>31</v>
      </c>
      <c r="C29" s="114">
        <v>9100</v>
      </c>
      <c r="D29" s="113">
        <v>117760</v>
      </c>
      <c r="E29" s="106">
        <f t="shared" si="4"/>
        <v>126860</v>
      </c>
      <c r="F29" s="178">
        <f t="shared" si="22"/>
        <v>2.4045556773274916E-2</v>
      </c>
      <c r="G29" s="39">
        <v>51980</v>
      </c>
      <c r="H29" s="39">
        <v>149010</v>
      </c>
      <c r="I29" s="210">
        <f t="shared" si="9"/>
        <v>200990</v>
      </c>
      <c r="J29" s="178">
        <f t="shared" si="23"/>
        <v>2.0850151689671335E-2</v>
      </c>
      <c r="K29" s="79"/>
      <c r="L29" s="39">
        <v>600</v>
      </c>
      <c r="M29" s="39">
        <v>1600</v>
      </c>
      <c r="N29" s="210">
        <f t="shared" si="10"/>
        <v>2200</v>
      </c>
      <c r="O29" s="178">
        <f t="shared" si="24"/>
        <v>2.6764368301149716E-2</v>
      </c>
      <c r="P29" s="388" t="s">
        <v>513</v>
      </c>
      <c r="Q29" s="39"/>
      <c r="R29" s="39"/>
      <c r="S29" s="210">
        <f t="shared" si="11"/>
        <v>0</v>
      </c>
      <c r="T29" s="178">
        <f t="shared" si="33"/>
        <v>0</v>
      </c>
      <c r="U29" s="440"/>
      <c r="V29" s="39"/>
      <c r="W29" s="39"/>
      <c r="X29" s="210">
        <f t="shared" si="25"/>
        <v>0</v>
      </c>
      <c r="Y29" s="178">
        <f t="shared" si="34"/>
        <v>0</v>
      </c>
      <c r="Z29" s="440"/>
      <c r="AA29" s="39"/>
      <c r="AB29" s="39"/>
      <c r="AC29" s="210">
        <f t="shared" si="26"/>
        <v>0</v>
      </c>
      <c r="AD29" s="178">
        <f t="shared" si="35"/>
        <v>0</v>
      </c>
      <c r="AE29" s="440"/>
      <c r="AF29" s="459"/>
      <c r="AG29" s="459"/>
      <c r="AH29" s="459">
        <f t="shared" si="15"/>
        <v>0</v>
      </c>
      <c r="AI29" s="459"/>
      <c r="AJ29" s="459"/>
      <c r="AK29" s="459"/>
      <c r="AL29" s="459"/>
      <c r="AM29" s="459">
        <f t="shared" si="27"/>
        <v>0</v>
      </c>
      <c r="AN29" s="459"/>
      <c r="AO29" s="459"/>
      <c r="AP29" s="459"/>
      <c r="AQ29" s="459"/>
      <c r="AR29" s="459">
        <f t="shared" si="28"/>
        <v>0</v>
      </c>
      <c r="AS29" s="459"/>
      <c r="AT29" s="459"/>
      <c r="AU29" s="459"/>
      <c r="AV29" s="459"/>
      <c r="AW29" s="459">
        <f t="shared" si="29"/>
        <v>0</v>
      </c>
      <c r="AX29" s="459"/>
      <c r="AY29" s="459"/>
      <c r="AZ29" s="459"/>
      <c r="BA29" s="459"/>
      <c r="BB29" s="459">
        <f t="shared" si="30"/>
        <v>0</v>
      </c>
      <c r="BC29" s="459"/>
      <c r="BD29" s="459"/>
      <c r="BE29" s="459"/>
      <c r="BF29" s="459"/>
      <c r="BG29" s="459">
        <f t="shared" si="31"/>
        <v>0</v>
      </c>
      <c r="BH29" s="459"/>
      <c r="BI29" s="459"/>
      <c r="BJ29" s="39">
        <f t="shared" si="7"/>
        <v>52580</v>
      </c>
      <c r="BK29" s="39">
        <f t="shared" si="8"/>
        <v>150610</v>
      </c>
      <c r="BL29" s="210">
        <f t="shared" si="21"/>
        <v>203190</v>
      </c>
      <c r="BM29" s="178">
        <f t="shared" si="32"/>
        <v>2.0581366924418094E-2</v>
      </c>
      <c r="BN29" s="79"/>
    </row>
    <row r="30" spans="1:66" s="2" customFormat="1" ht="82.8" outlineLevel="2" x14ac:dyDescent="0.25">
      <c r="A30" s="238"/>
      <c r="B30" s="7" t="s">
        <v>62</v>
      </c>
      <c r="C30" s="114"/>
      <c r="D30" s="113">
        <v>102625</v>
      </c>
      <c r="E30" s="106">
        <f t="shared" si="4"/>
        <v>102625</v>
      </c>
      <c r="F30" s="178">
        <f t="shared" si="22"/>
        <v>1.945195699083508E-2</v>
      </c>
      <c r="G30" s="39">
        <v>0</v>
      </c>
      <c r="H30" s="39">
        <v>107779.5</v>
      </c>
      <c r="I30" s="210">
        <f t="shared" si="9"/>
        <v>107779.5</v>
      </c>
      <c r="J30" s="178">
        <f t="shared" si="23"/>
        <v>1.118074990813937E-2</v>
      </c>
      <c r="K30" s="79"/>
      <c r="L30" s="39"/>
      <c r="M30" s="39">
        <v>3020</v>
      </c>
      <c r="N30" s="210">
        <f t="shared" si="10"/>
        <v>3020</v>
      </c>
      <c r="O30" s="178">
        <f t="shared" si="24"/>
        <v>3.6740178304305517E-2</v>
      </c>
      <c r="P30" s="388" t="s">
        <v>512</v>
      </c>
      <c r="Q30" s="39"/>
      <c r="R30" s="39"/>
      <c r="S30" s="210">
        <f t="shared" si="11"/>
        <v>0</v>
      </c>
      <c r="T30" s="178">
        <f t="shared" si="33"/>
        <v>0</v>
      </c>
      <c r="U30" s="440"/>
      <c r="V30" s="39"/>
      <c r="W30" s="39"/>
      <c r="X30" s="210">
        <f t="shared" si="25"/>
        <v>0</v>
      </c>
      <c r="Y30" s="178">
        <f t="shared" si="34"/>
        <v>0</v>
      </c>
      <c r="Z30" s="440"/>
      <c r="AA30" s="39"/>
      <c r="AB30" s="39"/>
      <c r="AC30" s="210">
        <f t="shared" si="26"/>
        <v>0</v>
      </c>
      <c r="AD30" s="178">
        <f t="shared" si="35"/>
        <v>0</v>
      </c>
      <c r="AE30" s="440"/>
      <c r="AF30" s="459"/>
      <c r="AG30" s="459"/>
      <c r="AH30" s="459">
        <f t="shared" si="15"/>
        <v>0</v>
      </c>
      <c r="AI30" s="459"/>
      <c r="AJ30" s="459"/>
      <c r="AK30" s="459"/>
      <c r="AL30" s="459"/>
      <c r="AM30" s="459">
        <f t="shared" si="27"/>
        <v>0</v>
      </c>
      <c r="AN30" s="459"/>
      <c r="AO30" s="459"/>
      <c r="AP30" s="459"/>
      <c r="AQ30" s="459"/>
      <c r="AR30" s="459">
        <f t="shared" si="28"/>
        <v>0</v>
      </c>
      <c r="AS30" s="459"/>
      <c r="AT30" s="459"/>
      <c r="AU30" s="459"/>
      <c r="AV30" s="459"/>
      <c r="AW30" s="459">
        <f t="shared" si="29"/>
        <v>0</v>
      </c>
      <c r="AX30" s="459"/>
      <c r="AY30" s="459"/>
      <c r="AZ30" s="459"/>
      <c r="BA30" s="459"/>
      <c r="BB30" s="459">
        <f t="shared" si="30"/>
        <v>0</v>
      </c>
      <c r="BC30" s="459"/>
      <c r="BD30" s="459"/>
      <c r="BE30" s="459"/>
      <c r="BF30" s="459"/>
      <c r="BG30" s="459">
        <f t="shared" si="31"/>
        <v>0</v>
      </c>
      <c r="BH30" s="459"/>
      <c r="BI30" s="459"/>
      <c r="BJ30" s="39">
        <f t="shared" si="7"/>
        <v>0</v>
      </c>
      <c r="BK30" s="39">
        <f t="shared" si="8"/>
        <v>110799.5</v>
      </c>
      <c r="BL30" s="210">
        <f t="shared" si="21"/>
        <v>110799.5</v>
      </c>
      <c r="BM30" s="178">
        <f t="shared" si="32"/>
        <v>1.1223018674846512E-2</v>
      </c>
      <c r="BN30" s="79"/>
    </row>
    <row r="31" spans="1:66" s="2" customFormat="1" ht="127.95" customHeight="1" outlineLevel="2" x14ac:dyDescent="0.25">
      <c r="A31" s="238"/>
      <c r="B31" s="7" t="s">
        <v>34</v>
      </c>
      <c r="C31" s="114">
        <f>3900</f>
        <v>3900</v>
      </c>
      <c r="D31" s="113">
        <f>20700+2300</f>
        <v>23000</v>
      </c>
      <c r="E31" s="106">
        <f t="shared" si="4"/>
        <v>26900</v>
      </c>
      <c r="F31" s="178">
        <f t="shared" si="22"/>
        <v>5.0987346460751627E-3</v>
      </c>
      <c r="G31" s="39">
        <v>27120.590000000004</v>
      </c>
      <c r="H31" s="39">
        <v>28584</v>
      </c>
      <c r="I31" s="210">
        <f t="shared" si="9"/>
        <v>55704.590000000004</v>
      </c>
      <c r="J31" s="178">
        <f t="shared" si="23"/>
        <v>5.7786414812226929E-3</v>
      </c>
      <c r="K31" s="79"/>
      <c r="L31" s="39">
        <v>3748.5</v>
      </c>
      <c r="M31" s="39">
        <f>6040+200</f>
        <v>6240</v>
      </c>
      <c r="N31" s="210">
        <f t="shared" si="10"/>
        <v>9988.5</v>
      </c>
      <c r="O31" s="178">
        <f t="shared" si="24"/>
        <v>0.12151631489819724</v>
      </c>
      <c r="P31" s="388" t="s">
        <v>516</v>
      </c>
      <c r="Q31" s="39"/>
      <c r="R31" s="39"/>
      <c r="S31" s="210">
        <f t="shared" si="11"/>
        <v>0</v>
      </c>
      <c r="T31" s="178">
        <f t="shared" si="33"/>
        <v>0</v>
      </c>
      <c r="U31" s="440"/>
      <c r="V31" s="39"/>
      <c r="W31" s="39"/>
      <c r="X31" s="210">
        <f t="shared" si="25"/>
        <v>0</v>
      </c>
      <c r="Y31" s="178">
        <f t="shared" si="34"/>
        <v>0</v>
      </c>
      <c r="Z31" s="440"/>
      <c r="AA31" s="39"/>
      <c r="AB31" s="39"/>
      <c r="AC31" s="210">
        <f t="shared" si="26"/>
        <v>0</v>
      </c>
      <c r="AD31" s="178">
        <f t="shared" si="35"/>
        <v>0</v>
      </c>
      <c r="AE31" s="440"/>
      <c r="AF31" s="459"/>
      <c r="AG31" s="459"/>
      <c r="AH31" s="459">
        <f t="shared" si="15"/>
        <v>0</v>
      </c>
      <c r="AI31" s="459"/>
      <c r="AJ31" s="459"/>
      <c r="AK31" s="459"/>
      <c r="AL31" s="459"/>
      <c r="AM31" s="459">
        <f t="shared" si="27"/>
        <v>0</v>
      </c>
      <c r="AN31" s="459"/>
      <c r="AO31" s="459"/>
      <c r="AP31" s="459"/>
      <c r="AQ31" s="459"/>
      <c r="AR31" s="459">
        <f t="shared" si="28"/>
        <v>0</v>
      </c>
      <c r="AS31" s="459"/>
      <c r="AT31" s="459"/>
      <c r="AU31" s="459"/>
      <c r="AV31" s="459"/>
      <c r="AW31" s="459">
        <f t="shared" si="29"/>
        <v>0</v>
      </c>
      <c r="AX31" s="459"/>
      <c r="AY31" s="459"/>
      <c r="AZ31" s="459"/>
      <c r="BA31" s="459"/>
      <c r="BB31" s="459">
        <f t="shared" si="30"/>
        <v>0</v>
      </c>
      <c r="BC31" s="459"/>
      <c r="BD31" s="459"/>
      <c r="BE31" s="459"/>
      <c r="BF31" s="459"/>
      <c r="BG31" s="459">
        <f t="shared" si="31"/>
        <v>0</v>
      </c>
      <c r="BH31" s="459"/>
      <c r="BI31" s="459"/>
      <c r="BJ31" s="39">
        <f t="shared" si="7"/>
        <v>30869.090000000004</v>
      </c>
      <c r="BK31" s="39">
        <f t="shared" si="8"/>
        <v>34824</v>
      </c>
      <c r="BL31" s="210">
        <f t="shared" si="21"/>
        <v>65693.09</v>
      </c>
      <c r="BM31" s="178">
        <f t="shared" si="32"/>
        <v>6.6541345031193517E-3</v>
      </c>
      <c r="BN31" s="79"/>
    </row>
    <row r="32" spans="1:66" s="2" customFormat="1" ht="14.4" customHeight="1" outlineLevel="2" x14ac:dyDescent="0.25">
      <c r="A32" s="238"/>
      <c r="B32" s="32" t="s">
        <v>2</v>
      </c>
      <c r="C32" s="115"/>
      <c r="D32" s="116"/>
      <c r="E32" s="106">
        <f t="shared" si="4"/>
        <v>0</v>
      </c>
      <c r="F32" s="178">
        <f t="shared" si="22"/>
        <v>0</v>
      </c>
      <c r="G32" s="39">
        <v>0</v>
      </c>
      <c r="H32" s="39">
        <v>0</v>
      </c>
      <c r="I32" s="210">
        <f t="shared" si="9"/>
        <v>0</v>
      </c>
      <c r="J32" s="178">
        <f t="shared" si="23"/>
        <v>0</v>
      </c>
      <c r="K32" s="79"/>
      <c r="L32" s="39"/>
      <c r="M32" s="39"/>
      <c r="N32" s="210">
        <f t="shared" si="10"/>
        <v>0</v>
      </c>
      <c r="O32" s="178">
        <f t="shared" si="24"/>
        <v>0</v>
      </c>
      <c r="P32" s="79"/>
      <c r="Q32" s="39"/>
      <c r="R32" s="39"/>
      <c r="S32" s="210">
        <f t="shared" si="11"/>
        <v>0</v>
      </c>
      <c r="T32" s="178">
        <f t="shared" si="33"/>
        <v>0</v>
      </c>
      <c r="U32" s="259"/>
      <c r="V32" s="39"/>
      <c r="W32" s="39"/>
      <c r="X32" s="210">
        <f t="shared" si="25"/>
        <v>0</v>
      </c>
      <c r="Y32" s="178">
        <f t="shared" si="34"/>
        <v>0</v>
      </c>
      <c r="Z32" s="259"/>
      <c r="AA32" s="39"/>
      <c r="AB32" s="39"/>
      <c r="AC32" s="210">
        <f t="shared" si="26"/>
        <v>0</v>
      </c>
      <c r="AD32" s="178">
        <f t="shared" si="35"/>
        <v>0</v>
      </c>
      <c r="AE32" s="259"/>
      <c r="AF32" s="465"/>
      <c r="AG32" s="465"/>
      <c r="AH32" s="465">
        <f t="shared" si="15"/>
        <v>0</v>
      </c>
      <c r="AI32" s="465"/>
      <c r="AJ32" s="465"/>
      <c r="AK32" s="465"/>
      <c r="AL32" s="465"/>
      <c r="AM32" s="465">
        <f t="shared" si="27"/>
        <v>0</v>
      </c>
      <c r="AN32" s="465"/>
      <c r="AO32" s="465"/>
      <c r="AP32" s="465"/>
      <c r="AQ32" s="465"/>
      <c r="AR32" s="465">
        <f t="shared" si="28"/>
        <v>0</v>
      </c>
      <c r="AS32" s="465"/>
      <c r="AT32" s="465"/>
      <c r="AU32" s="465"/>
      <c r="AV32" s="465"/>
      <c r="AW32" s="465">
        <f t="shared" si="29"/>
        <v>0</v>
      </c>
      <c r="AX32" s="465"/>
      <c r="AY32" s="465"/>
      <c r="AZ32" s="465"/>
      <c r="BA32" s="465"/>
      <c r="BB32" s="465">
        <f t="shared" si="30"/>
        <v>0</v>
      </c>
      <c r="BC32" s="465"/>
      <c r="BD32" s="465"/>
      <c r="BE32" s="465"/>
      <c r="BF32" s="465"/>
      <c r="BG32" s="465">
        <f t="shared" si="31"/>
        <v>0</v>
      </c>
      <c r="BH32" s="465"/>
      <c r="BI32" s="465"/>
      <c r="BJ32" s="39">
        <f t="shared" si="7"/>
        <v>0</v>
      </c>
      <c r="BK32" s="39">
        <f t="shared" si="8"/>
        <v>0</v>
      </c>
      <c r="BL32" s="210">
        <f t="shared" si="21"/>
        <v>0</v>
      </c>
      <c r="BM32" s="178">
        <f t="shared" si="32"/>
        <v>0</v>
      </c>
      <c r="BN32" s="79"/>
    </row>
    <row r="33" spans="1:66" s="2" customFormat="1" ht="36.6" customHeight="1" outlineLevel="2" thickBot="1" x14ac:dyDescent="0.3">
      <c r="A33" s="238"/>
      <c r="B33" s="32" t="s">
        <v>75</v>
      </c>
      <c r="C33" s="115"/>
      <c r="D33" s="116"/>
      <c r="E33" s="106">
        <f t="shared" si="4"/>
        <v>0</v>
      </c>
      <c r="F33" s="178">
        <f t="shared" si="22"/>
        <v>0</v>
      </c>
      <c r="G33" s="39">
        <v>0</v>
      </c>
      <c r="H33" s="39">
        <v>868</v>
      </c>
      <c r="I33" s="210">
        <f t="shared" si="9"/>
        <v>868</v>
      </c>
      <c r="J33" s="178">
        <f t="shared" si="23"/>
        <v>9.0043940826084484E-5</v>
      </c>
      <c r="K33" s="79"/>
      <c r="L33" s="39"/>
      <c r="M33" s="39"/>
      <c r="N33" s="210">
        <f t="shared" si="10"/>
        <v>0</v>
      </c>
      <c r="O33" s="178">
        <f t="shared" si="24"/>
        <v>0</v>
      </c>
      <c r="P33" s="79"/>
      <c r="Q33" s="39"/>
      <c r="R33" s="39"/>
      <c r="S33" s="210">
        <f t="shared" si="11"/>
        <v>0</v>
      </c>
      <c r="T33" s="178">
        <f t="shared" si="33"/>
        <v>0</v>
      </c>
      <c r="U33" s="259"/>
      <c r="V33" s="39"/>
      <c r="W33" s="39"/>
      <c r="X33" s="210">
        <f t="shared" si="25"/>
        <v>0</v>
      </c>
      <c r="Y33" s="178">
        <f t="shared" si="34"/>
        <v>0</v>
      </c>
      <c r="Z33" s="259"/>
      <c r="AA33" s="39"/>
      <c r="AB33" s="39"/>
      <c r="AC33" s="210">
        <f t="shared" si="26"/>
        <v>0</v>
      </c>
      <c r="AD33" s="178">
        <f t="shared" si="35"/>
        <v>0</v>
      </c>
      <c r="AE33" s="259"/>
      <c r="AF33" s="465"/>
      <c r="AG33" s="465"/>
      <c r="AH33" s="465">
        <f t="shared" si="15"/>
        <v>0</v>
      </c>
      <c r="AI33" s="465"/>
      <c r="AJ33" s="465"/>
      <c r="AK33" s="465"/>
      <c r="AL33" s="465"/>
      <c r="AM33" s="465">
        <f t="shared" si="27"/>
        <v>0</v>
      </c>
      <c r="AN33" s="465"/>
      <c r="AO33" s="465"/>
      <c r="AP33" s="465"/>
      <c r="AQ33" s="465"/>
      <c r="AR33" s="465">
        <f t="shared" si="28"/>
        <v>0</v>
      </c>
      <c r="AS33" s="465"/>
      <c r="AT33" s="465"/>
      <c r="AU33" s="465"/>
      <c r="AV33" s="465"/>
      <c r="AW33" s="465">
        <f t="shared" si="29"/>
        <v>0</v>
      </c>
      <c r="AX33" s="465"/>
      <c r="AY33" s="465"/>
      <c r="AZ33" s="465"/>
      <c r="BA33" s="465"/>
      <c r="BB33" s="465">
        <f t="shared" si="30"/>
        <v>0</v>
      </c>
      <c r="BC33" s="465"/>
      <c r="BD33" s="465"/>
      <c r="BE33" s="465"/>
      <c r="BF33" s="465"/>
      <c r="BG33" s="465">
        <f t="shared" si="31"/>
        <v>0</v>
      </c>
      <c r="BH33" s="465"/>
      <c r="BI33" s="465"/>
      <c r="BJ33" s="39">
        <f t="shared" si="7"/>
        <v>0</v>
      </c>
      <c r="BK33" s="39">
        <f t="shared" si="8"/>
        <v>868</v>
      </c>
      <c r="BL33" s="210">
        <f t="shared" si="21"/>
        <v>868</v>
      </c>
      <c r="BM33" s="178">
        <f t="shared" si="32"/>
        <v>8.7920795759608773E-5</v>
      </c>
      <c r="BN33" s="79"/>
    </row>
    <row r="34" spans="1:66" s="2" customFormat="1" ht="13.8" outlineLevel="2" x14ac:dyDescent="0.25">
      <c r="A34" s="238"/>
      <c r="B34" s="12"/>
      <c r="C34" s="46"/>
      <c r="D34" s="47"/>
      <c r="E34" s="48"/>
      <c r="F34" s="179"/>
      <c r="G34" s="48"/>
      <c r="H34" s="48"/>
      <c r="I34" s="48"/>
      <c r="J34" s="48"/>
      <c r="K34" s="48"/>
      <c r="L34" s="39"/>
      <c r="M34" s="39"/>
      <c r="N34" s="48"/>
      <c r="O34" s="48"/>
      <c r="P34" s="48"/>
      <c r="Q34" s="39"/>
      <c r="R34" s="39"/>
      <c r="S34" s="48"/>
      <c r="T34" s="48"/>
      <c r="U34" s="48"/>
      <c r="V34" s="39"/>
      <c r="W34" s="39"/>
      <c r="X34" s="48"/>
      <c r="Y34" s="48"/>
      <c r="Z34" s="48"/>
      <c r="AA34" s="39"/>
      <c r="AB34" s="39"/>
      <c r="AC34" s="48"/>
      <c r="AD34" s="48"/>
      <c r="AE34" s="48"/>
      <c r="AF34" s="476"/>
      <c r="AG34" s="476"/>
      <c r="AH34" s="476"/>
      <c r="AI34" s="476"/>
      <c r="AJ34" s="476"/>
      <c r="AK34" s="476"/>
      <c r="AL34" s="476"/>
      <c r="AM34" s="476"/>
      <c r="AN34" s="476"/>
      <c r="AO34" s="476"/>
      <c r="AP34" s="476"/>
      <c r="AQ34" s="476"/>
      <c r="AR34" s="476"/>
      <c r="AS34" s="476"/>
      <c r="AT34" s="476"/>
      <c r="AU34" s="476"/>
      <c r="AV34" s="476"/>
      <c r="AW34" s="476"/>
      <c r="AX34" s="476"/>
      <c r="AY34" s="476"/>
      <c r="AZ34" s="476"/>
      <c r="BA34" s="476"/>
      <c r="BB34" s="476"/>
      <c r="BC34" s="476"/>
      <c r="BD34" s="476"/>
      <c r="BE34" s="476"/>
      <c r="BF34" s="476"/>
      <c r="BG34" s="476"/>
      <c r="BH34" s="476"/>
      <c r="BI34" s="476"/>
      <c r="BJ34" s="39">
        <f>G34+L34+Q34+V34+AF34</f>
        <v>0</v>
      </c>
      <c r="BK34" s="39">
        <f>H34+M34+R34+W34+AG34</f>
        <v>0</v>
      </c>
      <c r="BL34" s="48"/>
      <c r="BM34" s="48"/>
      <c r="BN34" s="48"/>
    </row>
    <row r="35" spans="1:66" s="88" customFormat="1" ht="13.8" outlineLevel="1" x14ac:dyDescent="0.25">
      <c r="A35" s="238"/>
      <c r="B35" s="89" t="s">
        <v>80</v>
      </c>
      <c r="C35" s="90">
        <f>C36</f>
        <v>0</v>
      </c>
      <c r="D35" s="90">
        <f>D36</f>
        <v>0</v>
      </c>
      <c r="E35" s="91">
        <f>E36</f>
        <v>0</v>
      </c>
      <c r="F35" s="165">
        <f>E35/$E$89</f>
        <v>0</v>
      </c>
      <c r="G35" s="90">
        <f>G36</f>
        <v>0</v>
      </c>
      <c r="H35" s="90">
        <f>H36</f>
        <v>0</v>
      </c>
      <c r="I35" s="91">
        <f>I36</f>
        <v>0</v>
      </c>
      <c r="J35" s="91"/>
      <c r="K35" s="91"/>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634"/>
      <c r="AG35" s="634"/>
      <c r="AH35" s="634">
        <f>AH36</f>
        <v>0</v>
      </c>
      <c r="AI35" s="634"/>
      <c r="AJ35" s="634"/>
      <c r="AK35" s="634"/>
      <c r="AL35" s="634"/>
      <c r="AM35" s="634">
        <f>AM36</f>
        <v>0</v>
      </c>
      <c r="AN35" s="634"/>
      <c r="AO35" s="634"/>
      <c r="AP35" s="634"/>
      <c r="AQ35" s="634"/>
      <c r="AR35" s="634">
        <f>AR36</f>
        <v>0</v>
      </c>
      <c r="AS35" s="634"/>
      <c r="AT35" s="634"/>
      <c r="AU35" s="634"/>
      <c r="AV35" s="634"/>
      <c r="AW35" s="634">
        <f>AW36</f>
        <v>0</v>
      </c>
      <c r="AX35" s="634"/>
      <c r="AY35" s="634"/>
      <c r="AZ35" s="634"/>
      <c r="BA35" s="634"/>
      <c r="BB35" s="634">
        <f>BB36</f>
        <v>0</v>
      </c>
      <c r="BC35" s="634"/>
      <c r="BD35" s="634"/>
      <c r="BE35" s="634"/>
      <c r="BF35" s="634"/>
      <c r="BG35" s="634">
        <f>BG36</f>
        <v>0</v>
      </c>
      <c r="BH35" s="634"/>
      <c r="BI35" s="634"/>
      <c r="BJ35" s="90">
        <f>BJ36</f>
        <v>0</v>
      </c>
      <c r="BK35" s="90">
        <f>BK36</f>
        <v>0</v>
      </c>
      <c r="BL35" s="91">
        <f>BL36</f>
        <v>0</v>
      </c>
      <c r="BM35" s="91"/>
      <c r="BN35" s="91"/>
    </row>
    <row r="36" spans="1:66" s="226" customFormat="1" ht="13.8" outlineLevel="3" x14ac:dyDescent="0.25">
      <c r="A36" s="238"/>
      <c r="B36" s="19" t="s">
        <v>81</v>
      </c>
      <c r="C36" s="43"/>
      <c r="D36" s="49"/>
      <c r="E36" s="106">
        <f>C36+D36</f>
        <v>0</v>
      </c>
      <c r="F36" s="178">
        <f>E36/$E$89</f>
        <v>0</v>
      </c>
      <c r="G36" s="39"/>
      <c r="H36" s="39"/>
      <c r="I36" s="106">
        <f>G36+H36*1</f>
        <v>0</v>
      </c>
      <c r="J36" s="178">
        <f>I36/$I$89</f>
        <v>0</v>
      </c>
      <c r="K36" s="45"/>
      <c r="L36" s="39"/>
      <c r="M36" s="39"/>
      <c r="N36" s="106">
        <f>L36+M36*1</f>
        <v>0</v>
      </c>
      <c r="O36" s="178">
        <f>N36/$N$89</f>
        <v>0</v>
      </c>
      <c r="P36" s="45"/>
      <c r="Q36" s="39"/>
      <c r="R36" s="39"/>
      <c r="S36" s="106">
        <f>Q36+R36*1</f>
        <v>0</v>
      </c>
      <c r="T36" s="178">
        <f>S36/$N$89</f>
        <v>0</v>
      </c>
      <c r="U36" s="45"/>
      <c r="V36" s="39"/>
      <c r="W36" s="39"/>
      <c r="X36" s="106">
        <f>V36+W36*1</f>
        <v>0</v>
      </c>
      <c r="Y36" s="178">
        <f>X36/$N$89</f>
        <v>0</v>
      </c>
      <c r="Z36" s="45"/>
      <c r="AA36" s="39"/>
      <c r="AB36" s="39"/>
      <c r="AC36" s="106">
        <f>AA36+AB36*1</f>
        <v>0</v>
      </c>
      <c r="AD36" s="178">
        <f>AC36/$N$89</f>
        <v>0</v>
      </c>
      <c r="AE36" s="45"/>
      <c r="AF36" s="642"/>
      <c r="AG36" s="642"/>
      <c r="AH36" s="642">
        <f>AF36+AG36*1</f>
        <v>0</v>
      </c>
      <c r="AI36" s="642"/>
      <c r="AJ36" s="642"/>
      <c r="AK36" s="642"/>
      <c r="AL36" s="642"/>
      <c r="AM36" s="642">
        <f>AK36+AL36*1</f>
        <v>0</v>
      </c>
      <c r="AN36" s="642"/>
      <c r="AO36" s="642"/>
      <c r="AP36" s="642"/>
      <c r="AQ36" s="642"/>
      <c r="AR36" s="642">
        <f>AP36+AQ36*1</f>
        <v>0</v>
      </c>
      <c r="AS36" s="642"/>
      <c r="AT36" s="642"/>
      <c r="AU36" s="642"/>
      <c r="AV36" s="642"/>
      <c r="AW36" s="642">
        <f>AU36+AV36*1</f>
        <v>0</v>
      </c>
      <c r="AX36" s="642"/>
      <c r="AY36" s="642"/>
      <c r="AZ36" s="642"/>
      <c r="BA36" s="642"/>
      <c r="BB36" s="642">
        <f>AZ36+BA36*1</f>
        <v>0</v>
      </c>
      <c r="BC36" s="642"/>
      <c r="BD36" s="642"/>
      <c r="BE36" s="642"/>
      <c r="BF36" s="642"/>
      <c r="BG36" s="642">
        <f>BE36+BF36*1</f>
        <v>0</v>
      </c>
      <c r="BH36" s="642"/>
      <c r="BI36" s="642"/>
      <c r="BJ36" s="39">
        <f>G36+L36</f>
        <v>0</v>
      </c>
      <c r="BK36" s="39">
        <f>H36+M36</f>
        <v>0</v>
      </c>
      <c r="BL36" s="106">
        <f>BJ36+BK36*1</f>
        <v>0</v>
      </c>
      <c r="BM36" s="178">
        <f>BL36/$BL$89</f>
        <v>0</v>
      </c>
      <c r="BN36" s="45"/>
    </row>
    <row r="37" spans="1:66" s="2" customFormat="1" ht="14.4" outlineLevel="1" thickBot="1" x14ac:dyDescent="0.3">
      <c r="A37" s="4"/>
      <c r="B37" s="14"/>
      <c r="C37" s="50"/>
      <c r="D37" s="51"/>
      <c r="E37" s="52"/>
      <c r="F37" s="181"/>
      <c r="G37" s="39"/>
      <c r="H37" s="39"/>
      <c r="I37" s="52"/>
      <c r="J37" s="52"/>
      <c r="K37" s="52"/>
      <c r="L37" s="39"/>
      <c r="M37" s="39"/>
      <c r="N37" s="52"/>
      <c r="O37" s="52"/>
      <c r="P37" s="52"/>
      <c r="Q37" s="39"/>
      <c r="R37" s="39"/>
      <c r="S37" s="52"/>
      <c r="T37" s="52"/>
      <c r="U37" s="52"/>
      <c r="V37" s="39"/>
      <c r="W37" s="39"/>
      <c r="X37" s="52"/>
      <c r="Y37" s="52"/>
      <c r="Z37" s="52"/>
      <c r="AA37" s="39"/>
      <c r="AB37" s="39"/>
      <c r="AC37" s="52"/>
      <c r="AD37" s="52"/>
      <c r="AE37" s="52"/>
      <c r="AF37" s="647"/>
      <c r="AG37" s="647"/>
      <c r="AH37" s="647"/>
      <c r="AI37" s="647"/>
      <c r="AJ37" s="647"/>
      <c r="AK37" s="647"/>
      <c r="AL37" s="647"/>
      <c r="AM37" s="647"/>
      <c r="AN37" s="647"/>
      <c r="AO37" s="647"/>
      <c r="AP37" s="647"/>
      <c r="AQ37" s="647"/>
      <c r="AR37" s="647"/>
      <c r="AS37" s="647"/>
      <c r="AT37" s="647"/>
      <c r="AU37" s="647"/>
      <c r="AV37" s="647"/>
      <c r="AW37" s="647"/>
      <c r="AX37" s="647"/>
      <c r="AY37" s="647"/>
      <c r="AZ37" s="647"/>
      <c r="BA37" s="647"/>
      <c r="BB37" s="647"/>
      <c r="BC37" s="647"/>
      <c r="BD37" s="647"/>
      <c r="BE37" s="647"/>
      <c r="BF37" s="647"/>
      <c r="BG37" s="647"/>
      <c r="BH37" s="647"/>
      <c r="BI37" s="647"/>
      <c r="BJ37" s="39"/>
      <c r="BK37" s="39"/>
      <c r="BL37" s="52"/>
      <c r="BM37" s="52"/>
      <c r="BN37" s="52"/>
    </row>
    <row r="38" spans="1:66" ht="14.4" thickBot="1" x14ac:dyDescent="0.3">
      <c r="A38" s="33"/>
      <c r="B38" s="34" t="s">
        <v>46</v>
      </c>
      <c r="C38" s="53">
        <f>(C5)-(C8)</f>
        <v>2065067</v>
      </c>
      <c r="D38" s="53">
        <f>(D5)-(D8)</f>
        <v>-964731</v>
      </c>
      <c r="E38" s="53">
        <f>(E5)-(E8)</f>
        <v>1100336</v>
      </c>
      <c r="F38" s="166"/>
      <c r="G38" s="53">
        <f>(G5)-(G8)</f>
        <v>2258140.1609000014</v>
      </c>
      <c r="H38" s="53">
        <f>(H5)-(H8)</f>
        <v>-1664752.22</v>
      </c>
      <c r="I38" s="53">
        <f>(I5)-(I8)</f>
        <v>593387.94089999981</v>
      </c>
      <c r="J38" s="53"/>
      <c r="K38" s="53"/>
      <c r="L38" s="53">
        <f>(L5)-(L8)</f>
        <v>-30397.77</v>
      </c>
      <c r="M38" s="53">
        <f>(M5)-(M8)</f>
        <v>-44134.75</v>
      </c>
      <c r="N38" s="53">
        <f>(N5)-(N8)</f>
        <v>-74532.52</v>
      </c>
      <c r="O38" s="53"/>
      <c r="P38" s="53"/>
      <c r="Q38" s="53">
        <f>(Q5)-(Q8)</f>
        <v>1298576.99</v>
      </c>
      <c r="R38" s="53">
        <f>(R5)-(R8)</f>
        <v>0</v>
      </c>
      <c r="S38" s="53">
        <f>(S5)-(S8)</f>
        <v>1298576.99</v>
      </c>
      <c r="T38" s="53"/>
      <c r="U38" s="53"/>
      <c r="V38" s="53">
        <f>(V5)-(V8)</f>
        <v>0</v>
      </c>
      <c r="W38" s="53">
        <f>(W5)-(W8)</f>
        <v>1200</v>
      </c>
      <c r="X38" s="53">
        <f>(X5)-(X8)</f>
        <v>1200</v>
      </c>
      <c r="Y38" s="53"/>
      <c r="Z38" s="53"/>
      <c r="AA38" s="53">
        <f>(AA5)-(AA8)</f>
        <v>0</v>
      </c>
      <c r="AB38" s="53">
        <f>(AB5)-(AB8)</f>
        <v>0</v>
      </c>
      <c r="AC38" s="53">
        <f>(AC5)-(AC8)</f>
        <v>0</v>
      </c>
      <c r="AD38" s="53"/>
      <c r="AE38" s="53"/>
      <c r="AF38" s="648"/>
      <c r="AG38" s="648"/>
      <c r="AH38" s="648">
        <f>(AH5)-(AH8)</f>
        <v>0</v>
      </c>
      <c r="AI38" s="648"/>
      <c r="AJ38" s="648"/>
      <c r="AK38" s="648"/>
      <c r="AL38" s="648"/>
      <c r="AM38" s="648">
        <f>(AM5)-(AM8)</f>
        <v>0</v>
      </c>
      <c r="AN38" s="648"/>
      <c r="AO38" s="648"/>
      <c r="AP38" s="648"/>
      <c r="AQ38" s="648"/>
      <c r="AR38" s="648">
        <f>(AR5)-(AR8)</f>
        <v>0</v>
      </c>
      <c r="AS38" s="648"/>
      <c r="AT38" s="648"/>
      <c r="AU38" s="648"/>
      <c r="AV38" s="648"/>
      <c r="AW38" s="648">
        <f>(AW5)-(AW8)</f>
        <v>0</v>
      </c>
      <c r="AX38" s="648"/>
      <c r="AY38" s="648"/>
      <c r="AZ38" s="648"/>
      <c r="BA38" s="648"/>
      <c r="BB38" s="648">
        <f>(BB5)-(BB8)</f>
        <v>0</v>
      </c>
      <c r="BC38" s="648"/>
      <c r="BD38" s="648"/>
      <c r="BE38" s="648"/>
      <c r="BF38" s="648"/>
      <c r="BG38" s="648">
        <f>(BG5)-(BG8)</f>
        <v>-147260.55600000001</v>
      </c>
      <c r="BH38" s="648"/>
      <c r="BI38" s="648"/>
      <c r="BJ38" s="53">
        <f>(BJ5)-(BJ8)</f>
        <v>3379058.8249000013</v>
      </c>
      <c r="BK38" s="53">
        <f>(BK5)-(BK8)</f>
        <v>-1707686.97</v>
      </c>
      <c r="BL38" s="53">
        <f>(BL5)-(BL8)</f>
        <v>1671371.8549000006</v>
      </c>
      <c r="BM38" s="53"/>
      <c r="BN38" s="53"/>
    </row>
    <row r="39" spans="1:66" ht="13.8" x14ac:dyDescent="0.25">
      <c r="A39" s="293"/>
      <c r="B39" s="15" t="s">
        <v>47</v>
      </c>
      <c r="C39" s="157">
        <f>C38/(C5)</f>
        <v>0.34006161420117098</v>
      </c>
      <c r="D39" s="157" t="e">
        <f>D38/(D5)</f>
        <v>#DIV/0!</v>
      </c>
      <c r="E39" s="158">
        <f>E38/(E5)</f>
        <v>0.18119607563515355</v>
      </c>
      <c r="F39" s="167"/>
      <c r="G39" s="54">
        <f>G38/(G5)</f>
        <v>0.23331519937551301</v>
      </c>
      <c r="H39" s="54" t="e">
        <f>H38/(H5)</f>
        <v>#DIV/0!</v>
      </c>
      <c r="I39" s="55">
        <f>I38/(I5)</f>
        <v>6.1309934668948789E-2</v>
      </c>
      <c r="J39" s="55"/>
      <c r="K39" s="55"/>
      <c r="L39" s="54" t="e">
        <f>L38/(L5)</f>
        <v>#DIV/0!</v>
      </c>
      <c r="M39" s="54" t="e">
        <f>M38/(M5)</f>
        <v>#DIV/0!</v>
      </c>
      <c r="N39" s="55" t="e">
        <f>N38/(N5)</f>
        <v>#DIV/0!</v>
      </c>
      <c r="O39" s="55"/>
      <c r="P39" s="55"/>
      <c r="Q39" s="54">
        <f>Q38/(Q5)</f>
        <v>0.9994997178976357</v>
      </c>
      <c r="R39" s="54" t="e">
        <f>R38/(R5)</f>
        <v>#DIV/0!</v>
      </c>
      <c r="S39" s="55">
        <f>S38/(S5)</f>
        <v>0.9994997178976357</v>
      </c>
      <c r="T39" s="55"/>
      <c r="U39" s="55"/>
      <c r="V39" s="54" t="e">
        <f>V38/(V5)</f>
        <v>#DIV/0!</v>
      </c>
      <c r="W39" s="54">
        <f>W38/(W5)</f>
        <v>1</v>
      </c>
      <c r="X39" s="55">
        <f>X38/(X5)</f>
        <v>1</v>
      </c>
      <c r="Y39" s="55"/>
      <c r="Z39" s="55"/>
      <c r="AA39" s="54" t="e">
        <f>AA38/(AA5)</f>
        <v>#DIV/0!</v>
      </c>
      <c r="AB39" s="54" t="e">
        <f>AB38/(AB5)</f>
        <v>#DIV/0!</v>
      </c>
      <c r="AC39" s="55" t="e">
        <f>AC38/(AC5)</f>
        <v>#DIV/0!</v>
      </c>
      <c r="AD39" s="55"/>
      <c r="AE39" s="55"/>
      <c r="AF39" s="639"/>
      <c r="AG39" s="639"/>
      <c r="AH39" s="639" t="e">
        <f>AH38/(AH5)</f>
        <v>#DIV/0!</v>
      </c>
      <c r="AI39" s="639"/>
      <c r="AJ39" s="639"/>
      <c r="AK39" s="639"/>
      <c r="AL39" s="639"/>
      <c r="AM39" s="639" t="e">
        <f>AM38/(AM5)</f>
        <v>#DIV/0!</v>
      </c>
      <c r="AN39" s="639"/>
      <c r="AO39" s="639"/>
      <c r="AP39" s="639"/>
      <c r="AQ39" s="639"/>
      <c r="AR39" s="639" t="e">
        <f>AR38/(AR5)</f>
        <v>#DIV/0!</v>
      </c>
      <c r="AS39" s="639"/>
      <c r="AT39" s="639"/>
      <c r="AU39" s="639"/>
      <c r="AV39" s="639"/>
      <c r="AW39" s="639" t="e">
        <f>AW38/(AW5)</f>
        <v>#DIV/0!</v>
      </c>
      <c r="AX39" s="639"/>
      <c r="AY39" s="639"/>
      <c r="AZ39" s="639"/>
      <c r="BA39" s="639"/>
      <c r="BB39" s="639" t="e">
        <f>BB38/(BB5)</f>
        <v>#DIV/0!</v>
      </c>
      <c r="BC39" s="639"/>
      <c r="BD39" s="639"/>
      <c r="BE39" s="639"/>
      <c r="BF39" s="639"/>
      <c r="BG39" s="639" t="e">
        <f>BG38/(BG5)</f>
        <v>#DIV/0!</v>
      </c>
      <c r="BH39" s="639"/>
      <c r="BI39" s="639"/>
      <c r="BJ39" s="54">
        <f>BJ38/(BJ5)</f>
        <v>0.30781054661728713</v>
      </c>
      <c r="BK39" s="54">
        <f>BK38/(BK5)</f>
        <v>-1423.0724749999999</v>
      </c>
      <c r="BL39" s="55">
        <f>BL38/(BL5)</f>
        <v>0.15223459537610193</v>
      </c>
      <c r="BM39" s="55"/>
      <c r="BN39" s="55"/>
    </row>
    <row r="40" spans="1:66" ht="14.4" outlineLevel="1" thickBot="1" x14ac:dyDescent="0.3">
      <c r="A40" s="295"/>
      <c r="B40" s="16"/>
      <c r="C40" s="56"/>
      <c r="D40" s="57"/>
      <c r="E40" s="58"/>
      <c r="F40" s="16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649"/>
      <c r="AG40" s="649"/>
      <c r="AH40" s="649"/>
      <c r="AI40" s="649"/>
      <c r="AJ40" s="649"/>
      <c r="AK40" s="649"/>
      <c r="AL40" s="649"/>
      <c r="AM40" s="649"/>
      <c r="AN40" s="649"/>
      <c r="AO40" s="649"/>
      <c r="AP40" s="649"/>
      <c r="AQ40" s="649"/>
      <c r="AR40" s="649"/>
      <c r="AS40" s="649"/>
      <c r="AT40" s="649"/>
      <c r="AU40" s="649"/>
      <c r="AV40" s="649"/>
      <c r="AW40" s="649"/>
      <c r="AX40" s="649"/>
      <c r="AY40" s="649"/>
      <c r="AZ40" s="649"/>
      <c r="BA40" s="649"/>
      <c r="BB40" s="649"/>
      <c r="BC40" s="649"/>
      <c r="BD40" s="649"/>
      <c r="BE40" s="649"/>
      <c r="BF40" s="649"/>
      <c r="BG40" s="649"/>
      <c r="BH40" s="649"/>
      <c r="BI40" s="649"/>
      <c r="BJ40" s="58"/>
      <c r="BK40" s="58"/>
      <c r="BL40" s="58"/>
      <c r="BM40" s="58"/>
      <c r="BN40" s="58"/>
    </row>
    <row r="41" spans="1:66" ht="13.8" outlineLevel="1" x14ac:dyDescent="0.25">
      <c r="A41" s="11"/>
      <c r="B41" s="22" t="s">
        <v>26</v>
      </c>
      <c r="C41" s="117">
        <f>SUM(C42:C48)</f>
        <v>7500</v>
      </c>
      <c r="D41" s="117">
        <f>SUM(D42:D48)</f>
        <v>0</v>
      </c>
      <c r="E41" s="118">
        <f>SUM(E42:E48)</f>
        <v>7500</v>
      </c>
      <c r="F41" s="169">
        <f t="shared" ref="F41:F48" si="36">E41/$E$89</f>
        <v>1.4215802916566439E-3</v>
      </c>
      <c r="G41" s="117">
        <f>SUM(G42:G48)</f>
        <v>34788.54</v>
      </c>
      <c r="H41" s="117">
        <f>SUM(H42:H48)</f>
        <v>5658.2</v>
      </c>
      <c r="I41" s="118">
        <f>SUM(I42:I48)</f>
        <v>40446.74</v>
      </c>
      <c r="J41" s="169">
        <f t="shared" ref="J41:J49" si="37">I41/$I$89</f>
        <v>4.1958339437419634E-3</v>
      </c>
      <c r="K41" s="60"/>
      <c r="L41" s="117">
        <f>SUM(L42:L48)</f>
        <v>464</v>
      </c>
      <c r="M41" s="117">
        <f>SUM(M42:M48)</f>
        <v>500</v>
      </c>
      <c r="N41" s="118">
        <f>SUM(N42:N48)</f>
        <v>964</v>
      </c>
      <c r="O41" s="169">
        <f t="shared" ref="O41:O49" si="38">N41/$N$89</f>
        <v>1.1727659564685603E-2</v>
      </c>
      <c r="P41" s="60"/>
      <c r="Q41" s="117">
        <f>SUM(Q42:Q48)</f>
        <v>195</v>
      </c>
      <c r="R41" s="117">
        <f>SUM(R42:R48)</f>
        <v>0</v>
      </c>
      <c r="S41" s="118">
        <f>SUM(S42:S48)</f>
        <v>195</v>
      </c>
      <c r="T41" s="169">
        <f t="shared" ref="T41:T49" si="39">S41/$N$89</f>
        <v>2.3722962812382704E-3</v>
      </c>
      <c r="U41" s="60"/>
      <c r="V41" s="117">
        <f>SUM(V42:V48)</f>
        <v>0</v>
      </c>
      <c r="W41" s="117">
        <f>SUM(W42:W48)</f>
        <v>0</v>
      </c>
      <c r="X41" s="118">
        <f>SUM(X42:X48)</f>
        <v>0</v>
      </c>
      <c r="Y41" s="169">
        <f t="shared" ref="Y41:Y46" si="40">X41/$N$89</f>
        <v>0</v>
      </c>
      <c r="Z41" s="60"/>
      <c r="AA41" s="117">
        <f>SUM(AA42:AA48)</f>
        <v>52</v>
      </c>
      <c r="AB41" s="117">
        <f>SUM(AB42:AB48)</f>
        <v>0</v>
      </c>
      <c r="AC41" s="118">
        <f>SUM(AC42:AC48)</f>
        <v>52</v>
      </c>
      <c r="AD41" s="169">
        <f t="shared" ref="AD41:AD46" si="41">AC41/$N$89</f>
        <v>6.3261234166353878E-4</v>
      </c>
      <c r="AE41" s="60"/>
      <c r="AF41" s="650"/>
      <c r="AG41" s="650"/>
      <c r="AH41" s="650">
        <f>SUM(AH42:AH48)</f>
        <v>0</v>
      </c>
      <c r="AI41" s="650"/>
      <c r="AJ41" s="650"/>
      <c r="AK41" s="650"/>
      <c r="AL41" s="650"/>
      <c r="AM41" s="650">
        <f>SUM(AM42:AM48)</f>
        <v>192</v>
      </c>
      <c r="AN41" s="650"/>
      <c r="AO41" s="650"/>
      <c r="AP41" s="650"/>
      <c r="AQ41" s="650"/>
      <c r="AR41" s="650">
        <f>SUM(AR42:AR48)</f>
        <v>113</v>
      </c>
      <c r="AS41" s="650"/>
      <c r="AT41" s="650"/>
      <c r="AU41" s="650"/>
      <c r="AV41" s="650"/>
      <c r="AW41" s="650">
        <f>SUM(AW42:AW48)</f>
        <v>0</v>
      </c>
      <c r="AX41" s="650"/>
      <c r="AY41" s="650"/>
      <c r="AZ41" s="650"/>
      <c r="BA41" s="650"/>
      <c r="BB41" s="650">
        <f>SUM(BB42:BB48)</f>
        <v>0</v>
      </c>
      <c r="BC41" s="650"/>
      <c r="BD41" s="650"/>
      <c r="BE41" s="650"/>
      <c r="BF41" s="650"/>
      <c r="BG41" s="650">
        <f>SUM(BG42:BG48)</f>
        <v>0</v>
      </c>
      <c r="BH41" s="650"/>
      <c r="BI41" s="650"/>
      <c r="BJ41" s="117">
        <f>SUM(BJ42:BJ48)</f>
        <v>35752.54</v>
      </c>
      <c r="BK41" s="117">
        <f>SUM(BK42:BK48)</f>
        <v>6158.2</v>
      </c>
      <c r="BL41" s="118">
        <f>SUM(BL42:BL48)</f>
        <v>41910.74</v>
      </c>
      <c r="BM41" s="169">
        <f>BL41/$BL$89</f>
        <v>4.2451907968595222E-3</v>
      </c>
      <c r="BN41" s="60"/>
    </row>
    <row r="42" spans="1:66" ht="43.2" customHeight="1" outlineLevel="2" x14ac:dyDescent="0.25">
      <c r="A42" s="4015"/>
      <c r="B42" s="18" t="s">
        <v>7</v>
      </c>
      <c r="C42" s="113"/>
      <c r="D42" s="119"/>
      <c r="E42" s="120">
        <f t="shared" ref="E42:E48" si="42">C42+D42</f>
        <v>0</v>
      </c>
      <c r="F42" s="178">
        <f t="shared" si="36"/>
        <v>0</v>
      </c>
      <c r="G42" s="39">
        <v>0</v>
      </c>
      <c r="H42" s="39">
        <v>0</v>
      </c>
      <c r="I42" s="106">
        <f t="shared" ref="I42:I48" si="43">G42+H42*1</f>
        <v>0</v>
      </c>
      <c r="J42" s="178">
        <f t="shared" si="37"/>
        <v>0</v>
      </c>
      <c r="K42" s="79"/>
      <c r="L42" s="39"/>
      <c r="M42" s="39"/>
      <c r="N42" s="106">
        <f t="shared" ref="N42:N48" si="44">L42+M42*1</f>
        <v>0</v>
      </c>
      <c r="O42" s="178">
        <f t="shared" si="38"/>
        <v>0</v>
      </c>
      <c r="P42" s="79"/>
      <c r="Q42" s="39"/>
      <c r="R42" s="39"/>
      <c r="S42" s="106">
        <f t="shared" ref="S42:S48" si="45">Q42+R42*1</f>
        <v>0</v>
      </c>
      <c r="T42" s="178">
        <f t="shared" si="39"/>
        <v>0</v>
      </c>
      <c r="U42" s="79"/>
      <c r="V42" s="39"/>
      <c r="W42" s="39"/>
      <c r="X42" s="106">
        <f t="shared" ref="X42:X48" si="46">V42+W42*1</f>
        <v>0</v>
      </c>
      <c r="Y42" s="178">
        <f t="shared" si="40"/>
        <v>0</v>
      </c>
      <c r="Z42" s="79"/>
      <c r="AA42" s="39"/>
      <c r="AB42" s="39"/>
      <c r="AC42" s="106">
        <f t="shared" ref="AC42:AC48" si="47">AA42+AB42*1</f>
        <v>0</v>
      </c>
      <c r="AD42" s="178">
        <f t="shared" si="41"/>
        <v>0</v>
      </c>
      <c r="AE42" s="79"/>
      <c r="AF42" s="456"/>
      <c r="AG42" s="456"/>
      <c r="AH42" s="456">
        <f t="shared" ref="AH42:AH48" si="48">AF42+AG42*1</f>
        <v>0</v>
      </c>
      <c r="AI42" s="456"/>
      <c r="AJ42" s="456"/>
      <c r="AK42" s="456"/>
      <c r="AL42" s="456"/>
      <c r="AM42" s="456">
        <f t="shared" ref="AM42:AM48" si="49">AK42+AL42*1</f>
        <v>0</v>
      </c>
      <c r="AN42" s="456"/>
      <c r="AO42" s="456"/>
      <c r="AP42" s="456"/>
      <c r="AQ42" s="456"/>
      <c r="AR42" s="456">
        <f t="shared" ref="AR42:AR48" si="50">AP42+AQ42*1</f>
        <v>0</v>
      </c>
      <c r="AS42" s="456"/>
      <c r="AT42" s="456"/>
      <c r="AU42" s="456"/>
      <c r="AV42" s="456"/>
      <c r="AW42" s="456">
        <f t="shared" ref="AW42:AW48" si="51">AU42+AV42*1</f>
        <v>0</v>
      </c>
      <c r="AX42" s="456"/>
      <c r="AY42" s="456"/>
      <c r="AZ42" s="456"/>
      <c r="BA42" s="456"/>
      <c r="BB42" s="456">
        <f t="shared" ref="BB42:BB48" si="52">AZ42+BA42*1</f>
        <v>0</v>
      </c>
      <c r="BC42" s="456"/>
      <c r="BD42" s="456"/>
      <c r="BE42" s="456"/>
      <c r="BF42" s="456"/>
      <c r="BG42" s="456">
        <f t="shared" ref="BG42:BG48" si="53">BE42+BF42*1</f>
        <v>0</v>
      </c>
      <c r="BH42" s="456"/>
      <c r="BI42" s="456"/>
      <c r="BJ42" s="39">
        <f t="shared" ref="BJ42:BJ48" si="54">G42+L42+Q42+V42+AF42+AK42+AP42+AU42+AZ42</f>
        <v>0</v>
      </c>
      <c r="BK42" s="39">
        <f t="shared" ref="BK42:BK48" si="55">H42+M42+R42+W42+AG42+AL42+AQ42+AV42+BA42</f>
        <v>0</v>
      </c>
      <c r="BL42" s="106">
        <f t="shared" ref="BL42:BL48" si="56">BJ42+BK42*1</f>
        <v>0</v>
      </c>
      <c r="BM42" s="178">
        <f t="shared" ref="BM42:BM72" si="57">BL42/$BL$89</f>
        <v>0</v>
      </c>
      <c r="BN42" s="79"/>
    </row>
    <row r="43" spans="1:66" ht="13.8" outlineLevel="2" x14ac:dyDescent="0.25">
      <c r="A43" s="4015"/>
      <c r="B43" s="18" t="s">
        <v>27</v>
      </c>
      <c r="C43" s="113"/>
      <c r="D43" s="119"/>
      <c r="E43" s="120">
        <f t="shared" si="42"/>
        <v>0</v>
      </c>
      <c r="F43" s="178">
        <f t="shared" si="36"/>
        <v>0</v>
      </c>
      <c r="G43" s="39">
        <v>0</v>
      </c>
      <c r="H43" s="39">
        <v>4662.2</v>
      </c>
      <c r="I43" s="106">
        <f t="shared" si="43"/>
        <v>4662.2</v>
      </c>
      <c r="J43" s="178">
        <f t="shared" si="37"/>
        <v>4.8364384898545054E-4</v>
      </c>
      <c r="K43" s="79"/>
      <c r="L43" s="39"/>
      <c r="M43" s="39">
        <v>500</v>
      </c>
      <c r="N43" s="106">
        <f t="shared" si="44"/>
        <v>500</v>
      </c>
      <c r="O43" s="178">
        <f t="shared" si="38"/>
        <v>6.0828109775340261E-3</v>
      </c>
      <c r="P43" s="79" t="s">
        <v>514</v>
      </c>
      <c r="Q43" s="39"/>
      <c r="R43" s="39"/>
      <c r="S43" s="106">
        <f t="shared" si="45"/>
        <v>0</v>
      </c>
      <c r="T43" s="178">
        <f t="shared" si="39"/>
        <v>0</v>
      </c>
      <c r="U43" s="79"/>
      <c r="V43" s="39"/>
      <c r="W43" s="39"/>
      <c r="X43" s="106">
        <f t="shared" si="46"/>
        <v>0</v>
      </c>
      <c r="Y43" s="178">
        <f t="shared" si="40"/>
        <v>0</v>
      </c>
      <c r="Z43" s="79"/>
      <c r="AA43" s="39"/>
      <c r="AB43" s="39"/>
      <c r="AC43" s="106">
        <f t="shared" si="47"/>
        <v>0</v>
      </c>
      <c r="AD43" s="178">
        <f t="shared" si="41"/>
        <v>0</v>
      </c>
      <c r="AE43" s="79"/>
      <c r="AF43" s="456"/>
      <c r="AG43" s="456"/>
      <c r="AH43" s="456">
        <f t="shared" si="48"/>
        <v>0</v>
      </c>
      <c r="AI43" s="456"/>
      <c r="AJ43" s="456"/>
      <c r="AK43" s="456"/>
      <c r="AL43" s="456"/>
      <c r="AM43" s="456">
        <f t="shared" si="49"/>
        <v>0</v>
      </c>
      <c r="AN43" s="456"/>
      <c r="AO43" s="456"/>
      <c r="AP43" s="456"/>
      <c r="AQ43" s="456"/>
      <c r="AR43" s="456">
        <f t="shared" si="50"/>
        <v>0</v>
      </c>
      <c r="AS43" s="456"/>
      <c r="AT43" s="456"/>
      <c r="AU43" s="456"/>
      <c r="AV43" s="456"/>
      <c r="AW43" s="456">
        <f t="shared" si="51"/>
        <v>0</v>
      </c>
      <c r="AX43" s="456"/>
      <c r="AY43" s="456"/>
      <c r="AZ43" s="456"/>
      <c r="BA43" s="456"/>
      <c r="BB43" s="456">
        <f t="shared" si="52"/>
        <v>0</v>
      </c>
      <c r="BC43" s="456"/>
      <c r="BD43" s="456"/>
      <c r="BE43" s="456"/>
      <c r="BF43" s="456"/>
      <c r="BG43" s="456">
        <f t="shared" si="53"/>
        <v>0</v>
      </c>
      <c r="BH43" s="456"/>
      <c r="BI43" s="456"/>
      <c r="BJ43" s="39">
        <f t="shared" si="54"/>
        <v>0</v>
      </c>
      <c r="BK43" s="39">
        <f t="shared" si="55"/>
        <v>5162.2</v>
      </c>
      <c r="BL43" s="106">
        <f t="shared" si="56"/>
        <v>5162.2</v>
      </c>
      <c r="BM43" s="178">
        <f t="shared" si="57"/>
        <v>5.2288563579522165E-4</v>
      </c>
      <c r="BN43" s="79"/>
    </row>
    <row r="44" spans="1:66" ht="67.2" customHeight="1" outlineLevel="2" x14ac:dyDescent="0.25">
      <c r="A44" s="4015"/>
      <c r="B44" s="19" t="s">
        <v>28</v>
      </c>
      <c r="C44" s="113">
        <v>2000</v>
      </c>
      <c r="D44" s="119"/>
      <c r="E44" s="120">
        <f t="shared" si="42"/>
        <v>2000</v>
      </c>
      <c r="F44" s="178">
        <f t="shared" si="36"/>
        <v>3.7908807777510507E-4</v>
      </c>
      <c r="G44" s="39">
        <v>0</v>
      </c>
      <c r="H44" s="39">
        <v>240</v>
      </c>
      <c r="I44" s="106">
        <f t="shared" si="43"/>
        <v>240</v>
      </c>
      <c r="J44" s="178">
        <f t="shared" si="37"/>
        <v>2.4896942163894326E-5</v>
      </c>
      <c r="K44" s="79"/>
      <c r="L44" s="39"/>
      <c r="M44" s="39"/>
      <c r="N44" s="106">
        <f t="shared" si="44"/>
        <v>0</v>
      </c>
      <c r="O44" s="178">
        <f t="shared" si="38"/>
        <v>0</v>
      </c>
      <c r="P44" s="79"/>
      <c r="Q44" s="39"/>
      <c r="R44" s="39"/>
      <c r="S44" s="106">
        <f t="shared" si="45"/>
        <v>0</v>
      </c>
      <c r="T44" s="178">
        <f t="shared" si="39"/>
        <v>0</v>
      </c>
      <c r="U44" s="79"/>
      <c r="V44" s="39"/>
      <c r="W44" s="39"/>
      <c r="X44" s="106">
        <f t="shared" si="46"/>
        <v>0</v>
      </c>
      <c r="Y44" s="178">
        <f t="shared" si="40"/>
        <v>0</v>
      </c>
      <c r="Z44" s="79"/>
      <c r="AA44" s="39"/>
      <c r="AB44" s="39"/>
      <c r="AC44" s="106">
        <f t="shared" si="47"/>
        <v>0</v>
      </c>
      <c r="AD44" s="178">
        <f t="shared" si="41"/>
        <v>0</v>
      </c>
      <c r="AE44" s="79"/>
      <c r="AF44" s="456"/>
      <c r="AG44" s="456"/>
      <c r="AH44" s="456">
        <f t="shared" si="48"/>
        <v>0</v>
      </c>
      <c r="AI44" s="456"/>
      <c r="AJ44" s="456"/>
      <c r="AK44" s="456"/>
      <c r="AL44" s="456"/>
      <c r="AM44" s="456">
        <f t="shared" si="49"/>
        <v>0</v>
      </c>
      <c r="AN44" s="456"/>
      <c r="AO44" s="456"/>
      <c r="AP44" s="456"/>
      <c r="AQ44" s="456"/>
      <c r="AR44" s="456">
        <f t="shared" si="50"/>
        <v>0</v>
      </c>
      <c r="AS44" s="456"/>
      <c r="AT44" s="456"/>
      <c r="AU44" s="456"/>
      <c r="AV44" s="456"/>
      <c r="AW44" s="456">
        <f t="shared" si="51"/>
        <v>0</v>
      </c>
      <c r="AX44" s="456"/>
      <c r="AY44" s="456"/>
      <c r="AZ44" s="456"/>
      <c r="BA44" s="456"/>
      <c r="BB44" s="456">
        <f t="shared" si="52"/>
        <v>0</v>
      </c>
      <c r="BC44" s="456"/>
      <c r="BD44" s="456"/>
      <c r="BE44" s="456"/>
      <c r="BF44" s="456"/>
      <c r="BG44" s="456">
        <f t="shared" si="53"/>
        <v>0</v>
      </c>
      <c r="BH44" s="456"/>
      <c r="BI44" s="456"/>
      <c r="BJ44" s="39">
        <f t="shared" si="54"/>
        <v>0</v>
      </c>
      <c r="BK44" s="39">
        <f t="shared" si="55"/>
        <v>240</v>
      </c>
      <c r="BL44" s="106">
        <f t="shared" si="56"/>
        <v>240</v>
      </c>
      <c r="BM44" s="178">
        <f t="shared" si="57"/>
        <v>2.4309897445053117E-5</v>
      </c>
      <c r="BN44" s="79"/>
    </row>
    <row r="45" spans="1:66" ht="13.8" outlineLevel="2" x14ac:dyDescent="0.25">
      <c r="A45" s="4015"/>
      <c r="B45" s="18" t="s">
        <v>8</v>
      </c>
      <c r="C45" s="113">
        <v>4000</v>
      </c>
      <c r="D45" s="119"/>
      <c r="E45" s="120">
        <f t="shared" si="42"/>
        <v>4000</v>
      </c>
      <c r="F45" s="178">
        <f t="shared" si="36"/>
        <v>7.5817615555021014E-4</v>
      </c>
      <c r="G45" s="39">
        <v>6781</v>
      </c>
      <c r="H45" s="39">
        <v>0</v>
      </c>
      <c r="I45" s="106">
        <f t="shared" si="43"/>
        <v>6781</v>
      </c>
      <c r="J45" s="178">
        <f t="shared" si="37"/>
        <v>7.0344235338903091E-4</v>
      </c>
      <c r="K45" s="79"/>
      <c r="L45" s="39"/>
      <c r="M45" s="39"/>
      <c r="N45" s="106">
        <f t="shared" si="44"/>
        <v>0</v>
      </c>
      <c r="O45" s="178">
        <f t="shared" si="38"/>
        <v>0</v>
      </c>
      <c r="P45" s="79"/>
      <c r="Q45" s="39"/>
      <c r="R45" s="39"/>
      <c r="S45" s="106">
        <f t="shared" si="45"/>
        <v>0</v>
      </c>
      <c r="T45" s="178">
        <f t="shared" si="39"/>
        <v>0</v>
      </c>
      <c r="U45" s="79"/>
      <c r="V45" s="39"/>
      <c r="W45" s="39"/>
      <c r="X45" s="106">
        <f t="shared" si="46"/>
        <v>0</v>
      </c>
      <c r="Y45" s="178">
        <f t="shared" si="40"/>
        <v>0</v>
      </c>
      <c r="Z45" s="79"/>
      <c r="AA45" s="39"/>
      <c r="AB45" s="39"/>
      <c r="AC45" s="106">
        <f t="shared" si="47"/>
        <v>0</v>
      </c>
      <c r="AD45" s="178">
        <f t="shared" si="41"/>
        <v>0</v>
      </c>
      <c r="AE45" s="79"/>
      <c r="AF45" s="456"/>
      <c r="AG45" s="456"/>
      <c r="AH45" s="456">
        <f t="shared" si="48"/>
        <v>0</v>
      </c>
      <c r="AI45" s="456"/>
      <c r="AJ45" s="456"/>
      <c r="AK45" s="456"/>
      <c r="AL45" s="456"/>
      <c r="AM45" s="456">
        <f t="shared" si="49"/>
        <v>0</v>
      </c>
      <c r="AN45" s="456"/>
      <c r="AO45" s="456"/>
      <c r="AP45" s="456"/>
      <c r="AQ45" s="456"/>
      <c r="AR45" s="456">
        <f t="shared" si="50"/>
        <v>0</v>
      </c>
      <c r="AS45" s="456"/>
      <c r="AT45" s="456"/>
      <c r="AU45" s="456"/>
      <c r="AV45" s="456"/>
      <c r="AW45" s="456">
        <f t="shared" si="51"/>
        <v>0</v>
      </c>
      <c r="AX45" s="456"/>
      <c r="AY45" s="456"/>
      <c r="AZ45" s="456"/>
      <c r="BA45" s="456"/>
      <c r="BB45" s="456">
        <f t="shared" si="52"/>
        <v>0</v>
      </c>
      <c r="BC45" s="456"/>
      <c r="BD45" s="456"/>
      <c r="BE45" s="456"/>
      <c r="BF45" s="456"/>
      <c r="BG45" s="456">
        <f t="shared" si="53"/>
        <v>0</v>
      </c>
      <c r="BH45" s="456"/>
      <c r="BI45" s="456"/>
      <c r="BJ45" s="39">
        <f t="shared" si="54"/>
        <v>6781</v>
      </c>
      <c r="BK45" s="39">
        <f t="shared" si="55"/>
        <v>0</v>
      </c>
      <c r="BL45" s="106">
        <f t="shared" si="56"/>
        <v>6781</v>
      </c>
      <c r="BM45" s="178">
        <f t="shared" si="57"/>
        <v>6.8685589406210495E-4</v>
      </c>
      <c r="BN45" s="79"/>
    </row>
    <row r="46" spans="1:66" ht="13.2" customHeight="1" outlineLevel="2" x14ac:dyDescent="0.25">
      <c r="A46" s="4015"/>
      <c r="B46" s="18" t="s">
        <v>29</v>
      </c>
      <c r="C46" s="113"/>
      <c r="D46" s="119"/>
      <c r="E46" s="120">
        <f t="shared" si="42"/>
        <v>0</v>
      </c>
      <c r="F46" s="178">
        <f t="shared" si="36"/>
        <v>0</v>
      </c>
      <c r="G46" s="39">
        <v>0</v>
      </c>
      <c r="H46" s="39">
        <v>0</v>
      </c>
      <c r="I46" s="106">
        <f t="shared" si="43"/>
        <v>0</v>
      </c>
      <c r="J46" s="178">
        <f t="shared" si="37"/>
        <v>0</v>
      </c>
      <c r="K46" s="79"/>
      <c r="L46" s="39"/>
      <c r="M46" s="39"/>
      <c r="N46" s="106">
        <f t="shared" si="44"/>
        <v>0</v>
      </c>
      <c r="O46" s="178">
        <f t="shared" si="38"/>
        <v>0</v>
      </c>
      <c r="P46" s="79"/>
      <c r="Q46" s="39"/>
      <c r="R46" s="39"/>
      <c r="S46" s="106">
        <f t="shared" si="45"/>
        <v>0</v>
      </c>
      <c r="T46" s="178">
        <f t="shared" si="39"/>
        <v>0</v>
      </c>
      <c r="U46" s="79"/>
      <c r="V46" s="39"/>
      <c r="W46" s="39"/>
      <c r="X46" s="106">
        <f t="shared" si="46"/>
        <v>0</v>
      </c>
      <c r="Y46" s="178">
        <f t="shared" si="40"/>
        <v>0</v>
      </c>
      <c r="Z46" s="79"/>
      <c r="AA46" s="39"/>
      <c r="AB46" s="39"/>
      <c r="AC46" s="106">
        <f t="shared" si="47"/>
        <v>0</v>
      </c>
      <c r="AD46" s="178">
        <f t="shared" si="41"/>
        <v>0</v>
      </c>
      <c r="AE46" s="79"/>
      <c r="AF46" s="456"/>
      <c r="AG46" s="456"/>
      <c r="AH46" s="456">
        <f t="shared" si="48"/>
        <v>0</v>
      </c>
      <c r="AI46" s="456"/>
      <c r="AJ46" s="456"/>
      <c r="AK46" s="456"/>
      <c r="AL46" s="456"/>
      <c r="AM46" s="456">
        <f t="shared" si="49"/>
        <v>0</v>
      </c>
      <c r="AN46" s="456"/>
      <c r="AO46" s="456"/>
      <c r="AP46" s="456"/>
      <c r="AQ46" s="456"/>
      <c r="AR46" s="456">
        <f t="shared" si="50"/>
        <v>0</v>
      </c>
      <c r="AS46" s="456"/>
      <c r="AT46" s="456"/>
      <c r="AU46" s="456"/>
      <c r="AV46" s="456"/>
      <c r="AW46" s="456">
        <f t="shared" si="51"/>
        <v>0</v>
      </c>
      <c r="AX46" s="456"/>
      <c r="AY46" s="456"/>
      <c r="AZ46" s="456"/>
      <c r="BA46" s="456"/>
      <c r="BB46" s="456">
        <f t="shared" si="52"/>
        <v>0</v>
      </c>
      <c r="BC46" s="456"/>
      <c r="BD46" s="456"/>
      <c r="BE46" s="456"/>
      <c r="BF46" s="456"/>
      <c r="BG46" s="456">
        <f t="shared" si="53"/>
        <v>0</v>
      </c>
      <c r="BH46" s="456"/>
      <c r="BI46" s="456"/>
      <c r="BJ46" s="39">
        <f t="shared" si="54"/>
        <v>0</v>
      </c>
      <c r="BK46" s="39">
        <f t="shared" si="55"/>
        <v>0</v>
      </c>
      <c r="BL46" s="106">
        <f t="shared" si="56"/>
        <v>0</v>
      </c>
      <c r="BM46" s="178">
        <f t="shared" si="57"/>
        <v>0</v>
      </c>
      <c r="BN46" s="79"/>
    </row>
    <row r="47" spans="1:66" ht="13.8" outlineLevel="2" x14ac:dyDescent="0.25">
      <c r="A47" s="4015"/>
      <c r="B47" s="18" t="s">
        <v>30</v>
      </c>
      <c r="C47" s="113">
        <v>0</v>
      </c>
      <c r="D47" s="119"/>
      <c r="E47" s="120">
        <f t="shared" si="42"/>
        <v>0</v>
      </c>
      <c r="F47" s="178">
        <f t="shared" si="36"/>
        <v>0</v>
      </c>
      <c r="G47" s="39">
        <v>24643.22</v>
      </c>
      <c r="H47" s="39">
        <v>636</v>
      </c>
      <c r="I47" s="106">
        <f t="shared" si="43"/>
        <v>25279.22</v>
      </c>
      <c r="J47" s="178">
        <f t="shared" si="37"/>
        <v>2.62239699286817E-3</v>
      </c>
      <c r="K47" s="79"/>
      <c r="L47" s="39">
        <v>464</v>
      </c>
      <c r="M47" s="39"/>
      <c r="N47" s="106">
        <f t="shared" si="44"/>
        <v>464</v>
      </c>
      <c r="O47" s="178">
        <f t="shared" si="38"/>
        <v>5.6448485871515765E-3</v>
      </c>
      <c r="P47" s="79"/>
      <c r="Q47" s="39">
        <v>195</v>
      </c>
      <c r="R47" s="39"/>
      <c r="S47" s="106">
        <f t="shared" si="45"/>
        <v>195</v>
      </c>
      <c r="T47" s="178">
        <f>S47/$S$89</f>
        <v>0.14560574478818977</v>
      </c>
      <c r="U47" s="79" t="s">
        <v>486</v>
      </c>
      <c r="V47" s="39"/>
      <c r="W47" s="39"/>
      <c r="X47" s="106">
        <f t="shared" si="46"/>
        <v>0</v>
      </c>
      <c r="Y47" s="178">
        <f>X47/$S$89</f>
        <v>0</v>
      </c>
      <c r="Z47" s="79" t="s">
        <v>486</v>
      </c>
      <c r="AA47" s="610">
        <v>52</v>
      </c>
      <c r="AB47" s="39"/>
      <c r="AC47" s="106">
        <f t="shared" si="47"/>
        <v>52</v>
      </c>
      <c r="AD47" s="178">
        <f>AC47/$S$89</f>
        <v>3.8828198610183939E-2</v>
      </c>
      <c r="AE47" s="79" t="s">
        <v>486</v>
      </c>
      <c r="AF47" s="456"/>
      <c r="AG47" s="456"/>
      <c r="AH47" s="456">
        <f t="shared" si="48"/>
        <v>0</v>
      </c>
      <c r="AI47" s="456"/>
      <c r="AJ47" s="456"/>
      <c r="AK47" s="457">
        <v>192</v>
      </c>
      <c r="AL47" s="456"/>
      <c r="AM47" s="457">
        <f t="shared" si="49"/>
        <v>192</v>
      </c>
      <c r="AN47" s="456"/>
      <c r="AO47" s="456"/>
      <c r="AP47" s="457">
        <v>113</v>
      </c>
      <c r="AQ47" s="456"/>
      <c r="AR47" s="457">
        <f t="shared" si="50"/>
        <v>113</v>
      </c>
      <c r="AS47" s="456"/>
      <c r="AT47" s="456"/>
      <c r="AU47" s="457"/>
      <c r="AV47" s="456"/>
      <c r="AW47" s="457">
        <f t="shared" si="51"/>
        <v>0</v>
      </c>
      <c r="AX47" s="456"/>
      <c r="AY47" s="456"/>
      <c r="AZ47" s="457"/>
      <c r="BA47" s="456"/>
      <c r="BB47" s="457">
        <f t="shared" si="52"/>
        <v>0</v>
      </c>
      <c r="BC47" s="456"/>
      <c r="BD47" s="456"/>
      <c r="BE47" s="457"/>
      <c r="BF47" s="456"/>
      <c r="BG47" s="457">
        <f t="shared" si="53"/>
        <v>0</v>
      </c>
      <c r="BH47" s="456"/>
      <c r="BI47" s="456"/>
      <c r="BJ47" s="39">
        <f t="shared" si="54"/>
        <v>25607.22</v>
      </c>
      <c r="BK47" s="39">
        <f t="shared" si="55"/>
        <v>636</v>
      </c>
      <c r="BL47" s="106">
        <f t="shared" si="56"/>
        <v>26243.22</v>
      </c>
      <c r="BM47" s="178">
        <f t="shared" si="57"/>
        <v>2.6582082784498621E-3</v>
      </c>
      <c r="BN47" s="79"/>
    </row>
    <row r="48" spans="1:66" ht="13.8" outlineLevel="2" x14ac:dyDescent="0.25">
      <c r="A48" s="4015"/>
      <c r="B48" s="18" t="s">
        <v>15</v>
      </c>
      <c r="C48" s="113">
        <v>1500</v>
      </c>
      <c r="D48" s="119"/>
      <c r="E48" s="120">
        <f t="shared" si="42"/>
        <v>1500</v>
      </c>
      <c r="F48" s="178">
        <f t="shared" si="36"/>
        <v>2.8431605833132881E-4</v>
      </c>
      <c r="G48" s="39">
        <v>3364.3199999999997</v>
      </c>
      <c r="H48" s="39">
        <v>120</v>
      </c>
      <c r="I48" s="106">
        <f t="shared" si="43"/>
        <v>3484.3199999999997</v>
      </c>
      <c r="J48" s="178">
        <f t="shared" si="37"/>
        <v>3.6145380633541778E-4</v>
      </c>
      <c r="K48" s="79"/>
      <c r="L48" s="39"/>
      <c r="M48" s="39"/>
      <c r="N48" s="106">
        <f t="shared" si="44"/>
        <v>0</v>
      </c>
      <c r="O48" s="178">
        <f t="shared" si="38"/>
        <v>0</v>
      </c>
      <c r="P48" s="79"/>
      <c r="Q48" s="39"/>
      <c r="R48" s="39"/>
      <c r="S48" s="106">
        <f t="shared" si="45"/>
        <v>0</v>
      </c>
      <c r="T48" s="178">
        <f t="shared" si="39"/>
        <v>0</v>
      </c>
      <c r="U48" s="79"/>
      <c r="V48" s="39"/>
      <c r="W48" s="39"/>
      <c r="X48" s="106">
        <f t="shared" si="46"/>
        <v>0</v>
      </c>
      <c r="Y48" s="178">
        <f>X48/$N$89</f>
        <v>0</v>
      </c>
      <c r="Z48" s="79"/>
      <c r="AA48" s="39"/>
      <c r="AB48" s="39"/>
      <c r="AC48" s="106">
        <f t="shared" si="47"/>
        <v>0</v>
      </c>
      <c r="AD48" s="178">
        <f>AC48/$N$89</f>
        <v>0</v>
      </c>
      <c r="AE48" s="79"/>
      <c r="AF48" s="456"/>
      <c r="AG48" s="456"/>
      <c r="AH48" s="456">
        <f t="shared" si="48"/>
        <v>0</v>
      </c>
      <c r="AI48" s="456"/>
      <c r="AJ48" s="456"/>
      <c r="AK48" s="456"/>
      <c r="AL48" s="456"/>
      <c r="AM48" s="456">
        <f t="shared" si="49"/>
        <v>0</v>
      </c>
      <c r="AN48" s="456"/>
      <c r="AO48" s="456"/>
      <c r="AP48" s="456"/>
      <c r="AQ48" s="456"/>
      <c r="AR48" s="456">
        <f t="shared" si="50"/>
        <v>0</v>
      </c>
      <c r="AS48" s="456"/>
      <c r="AT48" s="456"/>
      <c r="AU48" s="456"/>
      <c r="AV48" s="456"/>
      <c r="AW48" s="456">
        <f t="shared" si="51"/>
        <v>0</v>
      </c>
      <c r="AX48" s="456"/>
      <c r="AY48" s="456"/>
      <c r="AZ48" s="456"/>
      <c r="BA48" s="456"/>
      <c r="BB48" s="456">
        <f t="shared" si="52"/>
        <v>0</v>
      </c>
      <c r="BC48" s="456"/>
      <c r="BD48" s="456"/>
      <c r="BE48" s="456"/>
      <c r="BF48" s="456"/>
      <c r="BG48" s="456">
        <f t="shared" si="53"/>
        <v>0</v>
      </c>
      <c r="BH48" s="456"/>
      <c r="BI48" s="456"/>
      <c r="BJ48" s="39">
        <f t="shared" si="54"/>
        <v>3364.3199999999997</v>
      </c>
      <c r="BK48" s="39">
        <f t="shared" si="55"/>
        <v>120</v>
      </c>
      <c r="BL48" s="106">
        <f t="shared" si="56"/>
        <v>3484.3199999999997</v>
      </c>
      <c r="BM48" s="178">
        <f t="shared" si="57"/>
        <v>3.5293109110728113E-4</v>
      </c>
      <c r="BN48" s="79"/>
    </row>
    <row r="49" spans="1:66" s="2" customFormat="1" ht="14.4" outlineLevel="2" thickBot="1" x14ac:dyDescent="0.3">
      <c r="A49" s="11"/>
      <c r="B49" s="35"/>
      <c r="C49" s="116"/>
      <c r="D49" s="121"/>
      <c r="E49" s="122"/>
      <c r="F49" s="182"/>
      <c r="G49" s="210">
        <v>0</v>
      </c>
      <c r="H49" s="210">
        <v>0</v>
      </c>
      <c r="I49" s="52"/>
      <c r="J49" s="178">
        <f t="shared" si="37"/>
        <v>0</v>
      </c>
      <c r="K49" s="52"/>
      <c r="L49" s="39"/>
      <c r="M49" s="39"/>
      <c r="N49" s="52"/>
      <c r="O49" s="178">
        <f t="shared" si="38"/>
        <v>0</v>
      </c>
      <c r="P49" s="52"/>
      <c r="Q49" s="39"/>
      <c r="R49" s="39"/>
      <c r="S49" s="52"/>
      <c r="T49" s="178">
        <f t="shared" si="39"/>
        <v>0</v>
      </c>
      <c r="U49" s="52"/>
      <c r="V49" s="39"/>
      <c r="W49" s="39"/>
      <c r="X49" s="52"/>
      <c r="Y49" s="178">
        <f>X49/$N$89</f>
        <v>0</v>
      </c>
      <c r="Z49" s="52"/>
      <c r="AA49" s="39"/>
      <c r="AB49" s="39"/>
      <c r="AC49" s="52"/>
      <c r="AD49" s="178">
        <f>AC49/$N$89</f>
        <v>0</v>
      </c>
      <c r="AE49" s="52"/>
      <c r="AF49" s="647"/>
      <c r="AG49" s="647"/>
      <c r="AH49" s="647"/>
      <c r="AI49" s="647"/>
      <c r="AJ49" s="647"/>
      <c r="AK49" s="647"/>
      <c r="AL49" s="647"/>
      <c r="AM49" s="647"/>
      <c r="AN49" s="647"/>
      <c r="AO49" s="647"/>
      <c r="AP49" s="647"/>
      <c r="AQ49" s="647"/>
      <c r="AR49" s="647"/>
      <c r="AS49" s="647"/>
      <c r="AT49" s="647"/>
      <c r="AU49" s="647"/>
      <c r="AV49" s="647"/>
      <c r="AW49" s="647"/>
      <c r="AX49" s="647"/>
      <c r="AY49" s="647"/>
      <c r="AZ49" s="647"/>
      <c r="BA49" s="647"/>
      <c r="BB49" s="647"/>
      <c r="BC49" s="647"/>
      <c r="BD49" s="647"/>
      <c r="BE49" s="647"/>
      <c r="BF49" s="647"/>
      <c r="BG49" s="647"/>
      <c r="BH49" s="647"/>
      <c r="BI49" s="647"/>
      <c r="BJ49" s="39">
        <f>G49+L49+Q49+V49+AF49</f>
        <v>0</v>
      </c>
      <c r="BK49" s="39">
        <f>H49+M49+R49+W49+AG49</f>
        <v>0</v>
      </c>
      <c r="BL49" s="52"/>
      <c r="BM49" s="178">
        <f t="shared" si="57"/>
        <v>0</v>
      </c>
      <c r="BN49" s="52"/>
    </row>
    <row r="50" spans="1:66" s="2" customFormat="1" ht="13.8" outlineLevel="1" x14ac:dyDescent="0.25">
      <c r="A50" s="293"/>
      <c r="B50" s="17" t="s">
        <v>59</v>
      </c>
      <c r="C50" s="123">
        <f>SUM(C51:C52)</f>
        <v>0</v>
      </c>
      <c r="D50" s="123">
        <f>SUM(D51:D52)</f>
        <v>0</v>
      </c>
      <c r="E50" s="123">
        <f>SUM(E51:E52)</f>
        <v>0</v>
      </c>
      <c r="F50" s="170">
        <f>E50/$E$89</f>
        <v>0</v>
      </c>
      <c r="G50" s="123">
        <f>G52+G51</f>
        <v>8551.2000000000007</v>
      </c>
      <c r="H50" s="123">
        <f>H52+H51</f>
        <v>0</v>
      </c>
      <c r="I50" s="123">
        <f>SUM(I51:I52)</f>
        <v>8551.2000000000007</v>
      </c>
      <c r="J50" s="60"/>
      <c r="K50" s="60"/>
      <c r="L50" s="123">
        <f>L52+L51</f>
        <v>0</v>
      </c>
      <c r="M50" s="123">
        <f>M52+M51</f>
        <v>0</v>
      </c>
      <c r="N50" s="123">
        <f>SUM(N51:N52)</f>
        <v>0</v>
      </c>
      <c r="O50" s="60"/>
      <c r="P50" s="60"/>
      <c r="Q50" s="123">
        <f>Q52+Q51</f>
        <v>0</v>
      </c>
      <c r="R50" s="123">
        <f>R52+R51</f>
        <v>0</v>
      </c>
      <c r="S50" s="123">
        <f>SUM(S51:S52)</f>
        <v>0</v>
      </c>
      <c r="T50" s="60"/>
      <c r="U50" s="60"/>
      <c r="V50" s="123">
        <f>V52+V51</f>
        <v>0</v>
      </c>
      <c r="W50" s="123">
        <f>W52+W51</f>
        <v>0</v>
      </c>
      <c r="X50" s="123">
        <f>SUM(X51:X52)</f>
        <v>0</v>
      </c>
      <c r="Y50" s="60"/>
      <c r="Z50" s="60"/>
      <c r="AA50" s="123">
        <f>AA52+AA51</f>
        <v>0</v>
      </c>
      <c r="AB50" s="123">
        <f>AB52+AB51</f>
        <v>0</v>
      </c>
      <c r="AC50" s="123">
        <f>SUM(AC51:AC52)</f>
        <v>0</v>
      </c>
      <c r="AD50" s="60"/>
      <c r="AE50" s="60"/>
      <c r="AF50" s="652"/>
      <c r="AG50" s="652"/>
      <c r="AH50" s="652">
        <f>SUM(AH51:AH52)</f>
        <v>0</v>
      </c>
      <c r="AI50" s="652"/>
      <c r="AJ50" s="652"/>
      <c r="AK50" s="652"/>
      <c r="AL50" s="652"/>
      <c r="AM50" s="652">
        <f>SUM(AM51:AM52)</f>
        <v>0</v>
      </c>
      <c r="AN50" s="652"/>
      <c r="AO50" s="652"/>
      <c r="AP50" s="652"/>
      <c r="AQ50" s="652"/>
      <c r="AR50" s="652">
        <f>SUM(AR51:AR52)</f>
        <v>0</v>
      </c>
      <c r="AS50" s="652"/>
      <c r="AT50" s="652"/>
      <c r="AU50" s="652"/>
      <c r="AV50" s="652"/>
      <c r="AW50" s="652">
        <f>SUM(AW51:AW52)</f>
        <v>0</v>
      </c>
      <c r="AX50" s="652"/>
      <c r="AY50" s="652"/>
      <c r="AZ50" s="652"/>
      <c r="BA50" s="652"/>
      <c r="BB50" s="652">
        <f>SUM(BB51:BB52)</f>
        <v>0</v>
      </c>
      <c r="BC50" s="652"/>
      <c r="BD50" s="652"/>
      <c r="BE50" s="652"/>
      <c r="BF50" s="652"/>
      <c r="BG50" s="652">
        <f>SUM(BG51:BG52)</f>
        <v>0</v>
      </c>
      <c r="BH50" s="652"/>
      <c r="BI50" s="652"/>
      <c r="BJ50" s="123">
        <f>BJ52+BJ51</f>
        <v>8551.2000000000007</v>
      </c>
      <c r="BK50" s="123">
        <f>BK52+BK51</f>
        <v>0</v>
      </c>
      <c r="BL50" s="123">
        <f>SUM(BL51:BL52)</f>
        <v>8551.2000000000007</v>
      </c>
      <c r="BM50" s="60"/>
      <c r="BN50" s="60"/>
    </row>
    <row r="51" spans="1:66" s="226" customFormat="1" ht="13.8" outlineLevel="1" x14ac:dyDescent="0.25">
      <c r="A51" s="234"/>
      <c r="B51" s="18" t="s">
        <v>60</v>
      </c>
      <c r="C51" s="113"/>
      <c r="D51" s="119"/>
      <c r="E51" s="119">
        <f>C51+D51</f>
        <v>0</v>
      </c>
      <c r="F51" s="180">
        <f>E51/$E$89</f>
        <v>0</v>
      </c>
      <c r="G51" s="39">
        <v>0</v>
      </c>
      <c r="H51" s="39">
        <v>0</v>
      </c>
      <c r="I51" s="106">
        <f>G51+H51*1</f>
        <v>0</v>
      </c>
      <c r="J51" s="178">
        <f>I51/$I$89</f>
        <v>0</v>
      </c>
      <c r="K51" s="45"/>
      <c r="L51" s="39"/>
      <c r="M51" s="39"/>
      <c r="N51" s="106">
        <f>L51+M51*1</f>
        <v>0</v>
      </c>
      <c r="O51" s="178">
        <f>N51/$N$89</f>
        <v>0</v>
      </c>
      <c r="P51" s="45"/>
      <c r="Q51" s="39"/>
      <c r="R51" s="39"/>
      <c r="S51" s="106">
        <f>Q51+R51*1</f>
        <v>0</v>
      </c>
      <c r="T51" s="178">
        <f>S51/$N$89</f>
        <v>0</v>
      </c>
      <c r="U51" s="45"/>
      <c r="V51" s="39"/>
      <c r="W51" s="39"/>
      <c r="X51" s="106">
        <f>V51+W51*1</f>
        <v>0</v>
      </c>
      <c r="Y51" s="178">
        <f>X51/$N$89</f>
        <v>0</v>
      </c>
      <c r="Z51" s="45"/>
      <c r="AA51" s="39"/>
      <c r="AB51" s="39"/>
      <c r="AC51" s="106">
        <f>AA51+AB51*1</f>
        <v>0</v>
      </c>
      <c r="AD51" s="178">
        <f>AC51/$N$89</f>
        <v>0</v>
      </c>
      <c r="AE51" s="45"/>
      <c r="AF51" s="642"/>
      <c r="AG51" s="642"/>
      <c r="AH51" s="642">
        <f>AF51+AG51*1</f>
        <v>0</v>
      </c>
      <c r="AI51" s="642"/>
      <c r="AJ51" s="642"/>
      <c r="AK51" s="642"/>
      <c r="AL51" s="642"/>
      <c r="AM51" s="642">
        <f>AK51+AL51*1</f>
        <v>0</v>
      </c>
      <c r="AN51" s="642"/>
      <c r="AO51" s="642"/>
      <c r="AP51" s="642"/>
      <c r="AQ51" s="642"/>
      <c r="AR51" s="642">
        <f>AP51+AQ51*1</f>
        <v>0</v>
      </c>
      <c r="AS51" s="642"/>
      <c r="AT51" s="642"/>
      <c r="AU51" s="642"/>
      <c r="AV51" s="642"/>
      <c r="AW51" s="642">
        <f>AU51+AV51*1</f>
        <v>0</v>
      </c>
      <c r="AX51" s="642"/>
      <c r="AY51" s="642"/>
      <c r="AZ51" s="642"/>
      <c r="BA51" s="642"/>
      <c r="BB51" s="642">
        <f>AZ51+BA51*1</f>
        <v>0</v>
      </c>
      <c r="BC51" s="642"/>
      <c r="BD51" s="642"/>
      <c r="BE51" s="642"/>
      <c r="BF51" s="642"/>
      <c r="BG51" s="642">
        <f>BE51+BF51*1</f>
        <v>0</v>
      </c>
      <c r="BH51" s="642"/>
      <c r="BI51" s="642"/>
      <c r="BJ51" s="39">
        <f>G51+L51+Q51+V51+AF51+AK51+AP51+AU51+AZ51</f>
        <v>0</v>
      </c>
      <c r="BK51" s="39">
        <f>H51+M51+R51+W51+AG51+AL51+AQ51+AV51+BA51</f>
        <v>0</v>
      </c>
      <c r="BL51" s="106">
        <f>BJ51+BK51*1</f>
        <v>0</v>
      </c>
      <c r="BM51" s="178">
        <f t="shared" si="57"/>
        <v>0</v>
      </c>
      <c r="BN51" s="45"/>
    </row>
    <row r="52" spans="1:66" s="235" customFormat="1" ht="13.8" outlineLevel="2" x14ac:dyDescent="0.25">
      <c r="A52" s="234"/>
      <c r="B52" s="18" t="s">
        <v>61</v>
      </c>
      <c r="C52" s="113"/>
      <c r="D52" s="119"/>
      <c r="E52" s="119">
        <f>C52+D52</f>
        <v>0</v>
      </c>
      <c r="F52" s="180">
        <f>E52/$E$89</f>
        <v>0</v>
      </c>
      <c r="G52" s="39">
        <v>8551.2000000000007</v>
      </c>
      <c r="H52" s="39">
        <v>0</v>
      </c>
      <c r="I52" s="106">
        <f>G52+H52*1</f>
        <v>8551.2000000000007</v>
      </c>
      <c r="J52" s="178">
        <f>I52/$I$89</f>
        <v>8.8707804929955491E-4</v>
      </c>
      <c r="K52" s="45"/>
      <c r="L52" s="39"/>
      <c r="M52" s="39"/>
      <c r="N52" s="106">
        <f>L52+M52*1</f>
        <v>0</v>
      </c>
      <c r="O52" s="178">
        <f>N52/$N$89</f>
        <v>0</v>
      </c>
      <c r="P52" s="45"/>
      <c r="Q52" s="39"/>
      <c r="R52" s="39"/>
      <c r="S52" s="106">
        <f>Q52+R52*1</f>
        <v>0</v>
      </c>
      <c r="T52" s="178">
        <f>S52/$N$89</f>
        <v>0</v>
      </c>
      <c r="U52" s="45"/>
      <c r="V52" s="39"/>
      <c r="W52" s="39"/>
      <c r="X52" s="106">
        <f>V52+W52*1</f>
        <v>0</v>
      </c>
      <c r="Y52" s="178">
        <f>X52/$N$89</f>
        <v>0</v>
      </c>
      <c r="Z52" s="45"/>
      <c r="AA52" s="39"/>
      <c r="AB52" s="39"/>
      <c r="AC52" s="106">
        <f>AA52+AB52*1</f>
        <v>0</v>
      </c>
      <c r="AD52" s="178">
        <f>AC52/$N$89</f>
        <v>0</v>
      </c>
      <c r="AE52" s="45"/>
      <c r="AF52" s="642"/>
      <c r="AG52" s="642"/>
      <c r="AH52" s="642">
        <f>AF52+AG52*1</f>
        <v>0</v>
      </c>
      <c r="AI52" s="642"/>
      <c r="AJ52" s="642"/>
      <c r="AK52" s="642"/>
      <c r="AL52" s="642"/>
      <c r="AM52" s="642">
        <f>AK52+AL52*1</f>
        <v>0</v>
      </c>
      <c r="AN52" s="642"/>
      <c r="AO52" s="642"/>
      <c r="AP52" s="642"/>
      <c r="AQ52" s="642"/>
      <c r="AR52" s="642">
        <f>AP52+AQ52*1</f>
        <v>0</v>
      </c>
      <c r="AS52" s="642"/>
      <c r="AT52" s="642"/>
      <c r="AU52" s="642"/>
      <c r="AV52" s="642"/>
      <c r="AW52" s="642">
        <f>AU52+AV52*1</f>
        <v>0</v>
      </c>
      <c r="AX52" s="642"/>
      <c r="AY52" s="642"/>
      <c r="AZ52" s="642"/>
      <c r="BA52" s="642"/>
      <c r="BB52" s="642">
        <f>AZ52+BA52*1</f>
        <v>0</v>
      </c>
      <c r="BC52" s="642"/>
      <c r="BD52" s="642"/>
      <c r="BE52" s="642"/>
      <c r="BF52" s="642"/>
      <c r="BG52" s="642">
        <f>BE52+BF52*1</f>
        <v>0</v>
      </c>
      <c r="BH52" s="642"/>
      <c r="BI52" s="642"/>
      <c r="BJ52" s="39">
        <f>G52+L52+Q52+V52+AF52+AK52+AP52+AU52+AZ52</f>
        <v>8551.2000000000007</v>
      </c>
      <c r="BK52" s="39">
        <f>H52+M52+R52+W52+AG52+AL52+AQ52+AV52+BA52</f>
        <v>0</v>
      </c>
      <c r="BL52" s="106">
        <f>BJ52+BK52*1</f>
        <v>8551.2000000000007</v>
      </c>
      <c r="BM52" s="178">
        <f t="shared" si="57"/>
        <v>8.6616164596724264E-4</v>
      </c>
      <c r="BN52" s="45"/>
    </row>
    <row r="53" spans="1:66" ht="14.4" outlineLevel="1" thickBot="1" x14ac:dyDescent="0.3">
      <c r="A53" s="20"/>
      <c r="B53" s="21"/>
      <c r="C53" s="124"/>
      <c r="D53" s="125"/>
      <c r="E53" s="126"/>
      <c r="F53" s="183"/>
      <c r="G53" s="210">
        <v>0</v>
      </c>
      <c r="H53" s="210">
        <v>0</v>
      </c>
      <c r="I53" s="61"/>
      <c r="J53" s="61"/>
      <c r="K53" s="61"/>
      <c r="L53" s="39"/>
      <c r="M53" s="39"/>
      <c r="N53" s="61"/>
      <c r="O53" s="61"/>
      <c r="P53" s="61"/>
      <c r="Q53" s="39"/>
      <c r="R53" s="39"/>
      <c r="S53" s="61"/>
      <c r="T53" s="61"/>
      <c r="U53" s="61"/>
      <c r="V53" s="39"/>
      <c r="W53" s="39"/>
      <c r="X53" s="61"/>
      <c r="Y53" s="61"/>
      <c r="Z53" s="61"/>
      <c r="AA53" s="39"/>
      <c r="AB53" s="39"/>
      <c r="AC53" s="61"/>
      <c r="AD53" s="61"/>
      <c r="AE53" s="61"/>
      <c r="AF53" s="638"/>
      <c r="AG53" s="638"/>
      <c r="AH53" s="638"/>
      <c r="AI53" s="638"/>
      <c r="AJ53" s="638"/>
      <c r="AK53" s="638"/>
      <c r="AL53" s="638"/>
      <c r="AM53" s="638"/>
      <c r="AN53" s="638"/>
      <c r="AO53" s="638"/>
      <c r="AP53" s="638"/>
      <c r="AQ53" s="638"/>
      <c r="AR53" s="638"/>
      <c r="AS53" s="638"/>
      <c r="AT53" s="638"/>
      <c r="AU53" s="638"/>
      <c r="AV53" s="638"/>
      <c r="AW53" s="638"/>
      <c r="AX53" s="638"/>
      <c r="AY53" s="638"/>
      <c r="AZ53" s="638"/>
      <c r="BA53" s="638"/>
      <c r="BB53" s="638"/>
      <c r="BC53" s="638"/>
      <c r="BD53" s="638"/>
      <c r="BE53" s="638"/>
      <c r="BF53" s="638"/>
      <c r="BG53" s="638"/>
      <c r="BH53" s="638"/>
      <c r="BI53" s="638"/>
      <c r="BJ53" s="39">
        <f>G53+L53+Q53+V53+AF53+AK53</f>
        <v>0</v>
      </c>
      <c r="BK53" s="39">
        <f>H53+M53+R53+W53+AG53+AL53</f>
        <v>0</v>
      </c>
      <c r="BL53" s="61"/>
      <c r="BM53" s="61"/>
      <c r="BN53" s="61"/>
    </row>
    <row r="54" spans="1:66" ht="13.8" outlineLevel="1" x14ac:dyDescent="0.25">
      <c r="A54" s="236"/>
      <c r="B54" s="17" t="s">
        <v>1</v>
      </c>
      <c r="C54" s="123">
        <f>SUM(C55:C71)</f>
        <v>64345</v>
      </c>
      <c r="D54" s="123">
        <f>SUM(D55:D71)</f>
        <v>49505</v>
      </c>
      <c r="E54" s="127">
        <f>SUM(E55:E71)</f>
        <v>113850</v>
      </c>
      <c r="F54" s="170">
        <f>E54/$E$89</f>
        <v>2.1579588827347857E-2</v>
      </c>
      <c r="G54" s="123">
        <f>SUM(G55:G71)</f>
        <v>159405.008</v>
      </c>
      <c r="H54" s="123">
        <f>SUM(H55:H71)</f>
        <v>104230.76</v>
      </c>
      <c r="I54" s="127">
        <f>SUM(I55:I71)</f>
        <v>263635.76800000004</v>
      </c>
      <c r="J54" s="169">
        <f t="shared" ref="J54:J72" si="58">I54/$I$89</f>
        <v>2.7348851950957764E-2</v>
      </c>
      <c r="K54" s="60"/>
      <c r="L54" s="123">
        <f>SUM(L55:L72)</f>
        <v>0</v>
      </c>
      <c r="M54" s="123">
        <f>SUM(M55:M72)</f>
        <v>28.5</v>
      </c>
      <c r="N54" s="123">
        <f>SUM(N55:N72)</f>
        <v>28.5</v>
      </c>
      <c r="O54" s="169">
        <f t="shared" ref="O54:O72" si="59">N54/$N$89</f>
        <v>3.4672022571943952E-4</v>
      </c>
      <c r="P54" s="60"/>
      <c r="Q54" s="123">
        <f>SUM(Q55:Q72)</f>
        <v>0</v>
      </c>
      <c r="R54" s="123">
        <f>SUM(R55:R72)</f>
        <v>430</v>
      </c>
      <c r="S54" s="123">
        <f>SUM(S55:S72)</f>
        <v>430</v>
      </c>
      <c r="T54" s="169">
        <f>S54/$S$89</f>
        <v>0.32107933466113642</v>
      </c>
      <c r="U54" s="60"/>
      <c r="V54" s="123">
        <f>SUM(V55:V72)</f>
        <v>0</v>
      </c>
      <c r="W54" s="123">
        <f>SUM(W55:W72)</f>
        <v>1027</v>
      </c>
      <c r="X54" s="123">
        <f>SUM(X55:X72)</f>
        <v>1027</v>
      </c>
      <c r="Y54" s="169">
        <f>X54/$S$89</f>
        <v>0.7668569225511328</v>
      </c>
      <c r="Z54" s="60"/>
      <c r="AA54" s="123">
        <f>SUM(AA55:AA72)</f>
        <v>0</v>
      </c>
      <c r="AB54" s="123">
        <f>SUM(AB55:AB72)</f>
        <v>0</v>
      </c>
      <c r="AC54" s="123">
        <f>SUM(AC55:AC72)</f>
        <v>0</v>
      </c>
      <c r="AD54" s="169">
        <f>AC54/$S$89</f>
        <v>0</v>
      </c>
      <c r="AE54" s="60"/>
      <c r="AF54" s="652"/>
      <c r="AG54" s="652"/>
      <c r="AH54" s="652">
        <f>SUM(AH55:AH72)</f>
        <v>500</v>
      </c>
      <c r="AI54" s="652"/>
      <c r="AJ54" s="652"/>
      <c r="AK54" s="652"/>
      <c r="AL54" s="652"/>
      <c r="AM54" s="652">
        <f>SUM(AM55:AM72)</f>
        <v>0</v>
      </c>
      <c r="AN54" s="652"/>
      <c r="AO54" s="652"/>
      <c r="AP54" s="652"/>
      <c r="AQ54" s="652"/>
      <c r="AR54" s="652">
        <f>SUM(AR55:AR72)</f>
        <v>0</v>
      </c>
      <c r="AS54" s="652"/>
      <c r="AT54" s="652"/>
      <c r="AU54" s="652"/>
      <c r="AV54" s="652"/>
      <c r="AW54" s="652">
        <f>SUM(AW55:AW72)</f>
        <v>0</v>
      </c>
      <c r="AX54" s="652"/>
      <c r="AY54" s="652"/>
      <c r="AZ54" s="652"/>
      <c r="BA54" s="652"/>
      <c r="BB54" s="652">
        <f>SUM(BB55:BB72)</f>
        <v>0</v>
      </c>
      <c r="BC54" s="652"/>
      <c r="BD54" s="652"/>
      <c r="BE54" s="652"/>
      <c r="BF54" s="652"/>
      <c r="BG54" s="652">
        <f>SUM(BG55:BG72)</f>
        <v>0</v>
      </c>
      <c r="BH54" s="652"/>
      <c r="BI54" s="652"/>
      <c r="BJ54" s="123">
        <f>SUM(BJ55:BJ72)</f>
        <v>159905.008</v>
      </c>
      <c r="BK54" s="123">
        <f>SUM(BK55:BK72)</f>
        <v>105716.26</v>
      </c>
      <c r="BL54" s="123">
        <f>SUM(BL55:BL72)</f>
        <v>265621.26800000004</v>
      </c>
      <c r="BM54" s="169">
        <f t="shared" si="57"/>
        <v>2.6905107434604041E-2</v>
      </c>
      <c r="BN54" s="60"/>
    </row>
    <row r="55" spans="1:66" ht="13.95" customHeight="1" outlineLevel="2" x14ac:dyDescent="0.25">
      <c r="A55" s="237"/>
      <c r="B55" s="19" t="s">
        <v>77</v>
      </c>
      <c r="C55" s="113"/>
      <c r="D55" s="128"/>
      <c r="E55" s="120">
        <f t="shared" ref="E55:E71" si="60">C55+D55</f>
        <v>0</v>
      </c>
      <c r="F55" s="178">
        <f>E55/$E$89</f>
        <v>0</v>
      </c>
      <c r="G55" s="39">
        <v>0</v>
      </c>
      <c r="H55" s="39">
        <v>0</v>
      </c>
      <c r="I55" s="106">
        <f t="shared" ref="I55:I71" si="61">G55+H55*1</f>
        <v>0</v>
      </c>
      <c r="J55" s="178">
        <f t="shared" si="58"/>
        <v>0</v>
      </c>
      <c r="K55" s="79"/>
      <c r="L55" s="210"/>
      <c r="M55" s="210"/>
      <c r="N55" s="106">
        <f t="shared" ref="N55:N71" si="62">L55+M55*1</f>
        <v>0</v>
      </c>
      <c r="O55" s="178">
        <f t="shared" si="59"/>
        <v>0</v>
      </c>
      <c r="P55" s="79"/>
      <c r="Q55" s="210"/>
      <c r="R55" s="210"/>
      <c r="S55" s="106">
        <f t="shared" ref="S55:S71" si="63">Q55+R55*1</f>
        <v>0</v>
      </c>
      <c r="T55" s="178">
        <f t="shared" ref="T55:T64" si="64">S55/$N$89</f>
        <v>0</v>
      </c>
      <c r="U55" s="79"/>
      <c r="V55" s="210"/>
      <c r="W55" s="210"/>
      <c r="X55" s="106">
        <f t="shared" ref="X55:X71" si="65">V55+W55*1</f>
        <v>0</v>
      </c>
      <c r="Y55" s="178">
        <f t="shared" ref="Y55:Y64" si="66">X55/$N$89</f>
        <v>0</v>
      </c>
      <c r="Z55" s="79"/>
      <c r="AA55" s="210"/>
      <c r="AB55" s="210"/>
      <c r="AC55" s="106">
        <f t="shared" ref="AC55:AC71" si="67">AA55+AB55*1</f>
        <v>0</v>
      </c>
      <c r="AD55" s="178">
        <f t="shared" ref="AD55:AD64" si="68">AC55/$N$89</f>
        <v>0</v>
      </c>
      <c r="AE55" s="79"/>
      <c r="AF55" s="456"/>
      <c r="AG55" s="456"/>
      <c r="AH55" s="456">
        <f t="shared" ref="AH55:AH71" si="69">AF55+AG55*1</f>
        <v>0</v>
      </c>
      <c r="AI55" s="456"/>
      <c r="AJ55" s="456"/>
      <c r="AK55" s="456"/>
      <c r="AL55" s="456"/>
      <c r="AM55" s="456">
        <f t="shared" ref="AM55:AM71" si="70">AK55+AL55*1</f>
        <v>0</v>
      </c>
      <c r="AN55" s="456"/>
      <c r="AO55" s="456"/>
      <c r="AP55" s="456"/>
      <c r="AQ55" s="456"/>
      <c r="AR55" s="456">
        <f t="shared" ref="AR55:AR71" si="71">AP55+AQ55*1</f>
        <v>0</v>
      </c>
      <c r="AS55" s="456"/>
      <c r="AT55" s="456"/>
      <c r="AU55" s="456"/>
      <c r="AV55" s="456"/>
      <c r="AW55" s="456">
        <f t="shared" ref="AW55:AW71" si="72">AU55+AV55*1</f>
        <v>0</v>
      </c>
      <c r="AX55" s="456"/>
      <c r="AY55" s="456"/>
      <c r="AZ55" s="456"/>
      <c r="BA55" s="456"/>
      <c r="BB55" s="456">
        <f t="shared" ref="BB55:BB71" si="73">AZ55+BA55*1</f>
        <v>0</v>
      </c>
      <c r="BC55" s="456"/>
      <c r="BD55" s="456"/>
      <c r="BE55" s="456"/>
      <c r="BF55" s="456"/>
      <c r="BG55" s="456">
        <f t="shared" ref="BG55:BG71" si="74">BE55+BF55*1</f>
        <v>0</v>
      </c>
      <c r="BH55" s="456"/>
      <c r="BI55" s="456"/>
      <c r="BJ55" s="39">
        <f t="shared" ref="BJ55:BJ71" si="75">G55+L55+Q55+V55+AF55+AK55+AP55+AU55+AZ55</f>
        <v>0</v>
      </c>
      <c r="BK55" s="39">
        <f t="shared" ref="BK55:BK71" si="76">H55+M55+R55+W55+AG55+AL55+AQ55+AV55+BA55</f>
        <v>0</v>
      </c>
      <c r="BL55" s="106">
        <f t="shared" ref="BL55:BL71" si="77">BJ55+BK55*1</f>
        <v>0</v>
      </c>
      <c r="BM55" s="178">
        <f t="shared" si="57"/>
        <v>0</v>
      </c>
      <c r="BN55" s="79"/>
    </row>
    <row r="56" spans="1:66" ht="13.95" customHeight="1" outlineLevel="2" x14ac:dyDescent="0.25">
      <c r="A56" s="237"/>
      <c r="B56" s="19" t="s">
        <v>76</v>
      </c>
      <c r="C56" s="113"/>
      <c r="D56" s="128"/>
      <c r="E56" s="120">
        <f t="shared" si="60"/>
        <v>0</v>
      </c>
      <c r="F56" s="178">
        <f t="shared" ref="F56:F72" si="78">E56/$E$89</f>
        <v>0</v>
      </c>
      <c r="G56" s="39">
        <v>0</v>
      </c>
      <c r="H56" s="39">
        <v>0</v>
      </c>
      <c r="I56" s="106">
        <f t="shared" si="61"/>
        <v>0</v>
      </c>
      <c r="J56" s="178">
        <f t="shared" si="58"/>
        <v>0</v>
      </c>
      <c r="K56" s="79"/>
      <c r="L56" s="210"/>
      <c r="M56" s="210"/>
      <c r="N56" s="106">
        <f t="shared" si="62"/>
        <v>0</v>
      </c>
      <c r="O56" s="178">
        <f t="shared" si="59"/>
        <v>0</v>
      </c>
      <c r="P56" s="79"/>
      <c r="Q56" s="210"/>
      <c r="R56" s="210"/>
      <c r="S56" s="106">
        <f t="shared" si="63"/>
        <v>0</v>
      </c>
      <c r="T56" s="178">
        <f t="shared" si="64"/>
        <v>0</v>
      </c>
      <c r="U56" s="79"/>
      <c r="V56" s="210"/>
      <c r="W56" s="210"/>
      <c r="X56" s="106">
        <f t="shared" si="65"/>
        <v>0</v>
      </c>
      <c r="Y56" s="178">
        <f t="shared" si="66"/>
        <v>0</v>
      </c>
      <c r="Z56" s="79"/>
      <c r="AA56" s="210"/>
      <c r="AB56" s="210"/>
      <c r="AC56" s="106">
        <f t="shared" si="67"/>
        <v>0</v>
      </c>
      <c r="AD56" s="178">
        <f t="shared" si="68"/>
        <v>0</v>
      </c>
      <c r="AE56" s="79"/>
      <c r="AF56" s="456"/>
      <c r="AG56" s="456"/>
      <c r="AH56" s="456">
        <f t="shared" si="69"/>
        <v>0</v>
      </c>
      <c r="AI56" s="456"/>
      <c r="AJ56" s="456"/>
      <c r="AK56" s="456"/>
      <c r="AL56" s="456"/>
      <c r="AM56" s="456">
        <f t="shared" si="70"/>
        <v>0</v>
      </c>
      <c r="AN56" s="456"/>
      <c r="AO56" s="456"/>
      <c r="AP56" s="456"/>
      <c r="AQ56" s="456"/>
      <c r="AR56" s="456">
        <f t="shared" si="71"/>
        <v>0</v>
      </c>
      <c r="AS56" s="456"/>
      <c r="AT56" s="456"/>
      <c r="AU56" s="456"/>
      <c r="AV56" s="456"/>
      <c r="AW56" s="456">
        <f t="shared" si="72"/>
        <v>0</v>
      </c>
      <c r="AX56" s="456"/>
      <c r="AY56" s="456"/>
      <c r="AZ56" s="456"/>
      <c r="BA56" s="456"/>
      <c r="BB56" s="456">
        <f t="shared" si="73"/>
        <v>0</v>
      </c>
      <c r="BC56" s="456"/>
      <c r="BD56" s="456"/>
      <c r="BE56" s="456"/>
      <c r="BF56" s="456"/>
      <c r="BG56" s="456">
        <f t="shared" si="74"/>
        <v>0</v>
      </c>
      <c r="BH56" s="456"/>
      <c r="BI56" s="456"/>
      <c r="BJ56" s="39">
        <f t="shared" si="75"/>
        <v>0</v>
      </c>
      <c r="BK56" s="39">
        <f t="shared" si="76"/>
        <v>0</v>
      </c>
      <c r="BL56" s="106">
        <f t="shared" si="77"/>
        <v>0</v>
      </c>
      <c r="BM56" s="178">
        <f t="shared" si="57"/>
        <v>0</v>
      </c>
      <c r="BN56" s="79"/>
    </row>
    <row r="57" spans="1:66" ht="13.95" customHeight="1" outlineLevel="2" x14ac:dyDescent="0.25">
      <c r="A57" s="237"/>
      <c r="B57" s="19" t="s">
        <v>68</v>
      </c>
      <c r="C57" s="113"/>
      <c r="D57" s="128"/>
      <c r="E57" s="120">
        <f t="shared" si="60"/>
        <v>0</v>
      </c>
      <c r="F57" s="178">
        <f t="shared" si="78"/>
        <v>0</v>
      </c>
      <c r="G57" s="39">
        <v>0</v>
      </c>
      <c r="H57" s="39">
        <v>0</v>
      </c>
      <c r="I57" s="106">
        <f t="shared" si="61"/>
        <v>0</v>
      </c>
      <c r="J57" s="178">
        <f t="shared" si="58"/>
        <v>0</v>
      </c>
      <c r="K57" s="79"/>
      <c r="L57" s="210"/>
      <c r="M57" s="210"/>
      <c r="N57" s="106">
        <f t="shared" si="62"/>
        <v>0</v>
      </c>
      <c r="O57" s="178">
        <f t="shared" si="59"/>
        <v>0</v>
      </c>
      <c r="P57" s="79"/>
      <c r="Q57" s="210"/>
      <c r="R57" s="210"/>
      <c r="S57" s="106">
        <f t="shared" si="63"/>
        <v>0</v>
      </c>
      <c r="T57" s="178">
        <f t="shared" si="64"/>
        <v>0</v>
      </c>
      <c r="U57" s="79"/>
      <c r="V57" s="210"/>
      <c r="W57" s="210"/>
      <c r="X57" s="106">
        <f t="shared" si="65"/>
        <v>0</v>
      </c>
      <c r="Y57" s="178">
        <f t="shared" si="66"/>
        <v>0</v>
      </c>
      <c r="Z57" s="79"/>
      <c r="AA57" s="210"/>
      <c r="AB57" s="210"/>
      <c r="AC57" s="106">
        <f t="shared" si="67"/>
        <v>0</v>
      </c>
      <c r="AD57" s="178">
        <f t="shared" si="68"/>
        <v>0</v>
      </c>
      <c r="AE57" s="79"/>
      <c r="AF57" s="456"/>
      <c r="AG57" s="456"/>
      <c r="AH57" s="456">
        <f t="shared" si="69"/>
        <v>0</v>
      </c>
      <c r="AI57" s="456"/>
      <c r="AJ57" s="456"/>
      <c r="AK57" s="456"/>
      <c r="AL57" s="456"/>
      <c r="AM57" s="456">
        <f t="shared" si="70"/>
        <v>0</v>
      </c>
      <c r="AN57" s="456"/>
      <c r="AO57" s="456"/>
      <c r="AP57" s="456"/>
      <c r="AQ57" s="456"/>
      <c r="AR57" s="456">
        <f t="shared" si="71"/>
        <v>0</v>
      </c>
      <c r="AS57" s="456"/>
      <c r="AT57" s="456"/>
      <c r="AU57" s="456"/>
      <c r="AV57" s="456"/>
      <c r="AW57" s="456">
        <f t="shared" si="72"/>
        <v>0</v>
      </c>
      <c r="AX57" s="456"/>
      <c r="AY57" s="456"/>
      <c r="AZ57" s="456"/>
      <c r="BA57" s="456"/>
      <c r="BB57" s="456">
        <f t="shared" si="73"/>
        <v>0</v>
      </c>
      <c r="BC57" s="456"/>
      <c r="BD57" s="456"/>
      <c r="BE57" s="456"/>
      <c r="BF57" s="456"/>
      <c r="BG57" s="456">
        <f t="shared" si="74"/>
        <v>0</v>
      </c>
      <c r="BH57" s="456"/>
      <c r="BI57" s="456"/>
      <c r="BJ57" s="39">
        <f t="shared" si="75"/>
        <v>0</v>
      </c>
      <c r="BK57" s="39">
        <f t="shared" si="76"/>
        <v>0</v>
      </c>
      <c r="BL57" s="106">
        <f t="shared" si="77"/>
        <v>0</v>
      </c>
      <c r="BM57" s="178">
        <f t="shared" si="57"/>
        <v>0</v>
      </c>
      <c r="BN57" s="79"/>
    </row>
    <row r="58" spans="1:66" ht="14.4" customHeight="1" outlineLevel="2" x14ac:dyDescent="0.25">
      <c r="A58" s="237"/>
      <c r="B58" s="19" t="s">
        <v>67</v>
      </c>
      <c r="C58" s="113">
        <v>21300</v>
      </c>
      <c r="D58" s="128">
        <v>44505</v>
      </c>
      <c r="E58" s="120">
        <f t="shared" si="60"/>
        <v>65805</v>
      </c>
      <c r="F58" s="178">
        <f t="shared" si="78"/>
        <v>1.2472945478995395E-2</v>
      </c>
      <c r="G58" s="39">
        <v>70248.33</v>
      </c>
      <c r="H58" s="39">
        <v>90234</v>
      </c>
      <c r="I58" s="106">
        <f t="shared" si="61"/>
        <v>160482.33000000002</v>
      </c>
      <c r="J58" s="178">
        <f t="shared" si="58"/>
        <v>1.6647997034737516E-2</v>
      </c>
      <c r="K58" s="79"/>
      <c r="L58" s="210"/>
      <c r="M58" s="210"/>
      <c r="N58" s="106">
        <f t="shared" si="62"/>
        <v>0</v>
      </c>
      <c r="O58" s="178">
        <f t="shared" si="59"/>
        <v>0</v>
      </c>
      <c r="P58" s="79"/>
      <c r="Q58" s="210"/>
      <c r="R58" s="210"/>
      <c r="S58" s="106">
        <f t="shared" si="63"/>
        <v>0</v>
      </c>
      <c r="T58" s="178">
        <f t="shared" si="64"/>
        <v>0</v>
      </c>
      <c r="U58" s="79"/>
      <c r="V58" s="210"/>
      <c r="W58" s="210"/>
      <c r="X58" s="106">
        <f t="shared" si="65"/>
        <v>0</v>
      </c>
      <c r="Y58" s="178">
        <f t="shared" si="66"/>
        <v>0</v>
      </c>
      <c r="Z58" s="79"/>
      <c r="AA58" s="210"/>
      <c r="AB58" s="210"/>
      <c r="AC58" s="106">
        <f t="shared" si="67"/>
        <v>0</v>
      </c>
      <c r="AD58" s="178">
        <f t="shared" si="68"/>
        <v>0</v>
      </c>
      <c r="AE58" s="79"/>
      <c r="AF58" s="456"/>
      <c r="AG58" s="456"/>
      <c r="AH58" s="456">
        <f t="shared" si="69"/>
        <v>0</v>
      </c>
      <c r="AI58" s="456"/>
      <c r="AJ58" s="456"/>
      <c r="AK58" s="456"/>
      <c r="AL58" s="456"/>
      <c r="AM58" s="456">
        <f t="shared" si="70"/>
        <v>0</v>
      </c>
      <c r="AN58" s="456"/>
      <c r="AO58" s="456"/>
      <c r="AP58" s="456"/>
      <c r="AQ58" s="456"/>
      <c r="AR58" s="456">
        <f t="shared" si="71"/>
        <v>0</v>
      </c>
      <c r="AS58" s="456"/>
      <c r="AT58" s="456"/>
      <c r="AU58" s="456"/>
      <c r="AV58" s="456"/>
      <c r="AW58" s="456">
        <f t="shared" si="72"/>
        <v>0</v>
      </c>
      <c r="AX58" s="456"/>
      <c r="AY58" s="456"/>
      <c r="AZ58" s="456"/>
      <c r="BA58" s="456"/>
      <c r="BB58" s="456">
        <f t="shared" si="73"/>
        <v>0</v>
      </c>
      <c r="BC58" s="456"/>
      <c r="BD58" s="456"/>
      <c r="BE58" s="456"/>
      <c r="BF58" s="456"/>
      <c r="BG58" s="456">
        <f t="shared" si="74"/>
        <v>0</v>
      </c>
      <c r="BH58" s="456"/>
      <c r="BI58" s="456"/>
      <c r="BJ58" s="39">
        <f t="shared" si="75"/>
        <v>70248.33</v>
      </c>
      <c r="BK58" s="39">
        <f t="shared" si="76"/>
        <v>90234</v>
      </c>
      <c r="BL58" s="106">
        <f t="shared" si="77"/>
        <v>160482.33000000002</v>
      </c>
      <c r="BM58" s="178">
        <f t="shared" si="57"/>
        <v>1.6255454100179881E-2</v>
      </c>
      <c r="BN58" s="79"/>
    </row>
    <row r="59" spans="1:66" ht="14.4" customHeight="1" outlineLevel="2" x14ac:dyDescent="0.25">
      <c r="A59" s="237"/>
      <c r="B59" s="19" t="s">
        <v>66</v>
      </c>
      <c r="C59" s="113">
        <v>5070</v>
      </c>
      <c r="D59" s="128"/>
      <c r="E59" s="120">
        <f t="shared" si="60"/>
        <v>5070</v>
      </c>
      <c r="F59" s="178">
        <f t="shared" si="78"/>
        <v>9.6098827715989136E-4</v>
      </c>
      <c r="G59" s="39">
        <v>16822.3</v>
      </c>
      <c r="H59" s="39">
        <v>0</v>
      </c>
      <c r="I59" s="106">
        <f t="shared" si="61"/>
        <v>16822.3</v>
      </c>
      <c r="J59" s="178">
        <f t="shared" si="58"/>
        <v>1.7450992923486645E-3</v>
      </c>
      <c r="K59" s="79"/>
      <c r="L59" s="210"/>
      <c r="M59" s="210"/>
      <c r="N59" s="106">
        <f t="shared" si="62"/>
        <v>0</v>
      </c>
      <c r="O59" s="178">
        <f t="shared" si="59"/>
        <v>0</v>
      </c>
      <c r="P59" s="79"/>
      <c r="Q59" s="210"/>
      <c r="R59" s="210"/>
      <c r="S59" s="106">
        <f t="shared" si="63"/>
        <v>0</v>
      </c>
      <c r="T59" s="178">
        <f t="shared" si="64"/>
        <v>0</v>
      </c>
      <c r="U59" s="79"/>
      <c r="V59" s="210"/>
      <c r="W59" s="210"/>
      <c r="X59" s="106">
        <f t="shared" si="65"/>
        <v>0</v>
      </c>
      <c r="Y59" s="178">
        <f t="shared" si="66"/>
        <v>0</v>
      </c>
      <c r="Z59" s="79"/>
      <c r="AA59" s="210"/>
      <c r="AB59" s="210"/>
      <c r="AC59" s="106">
        <f t="shared" si="67"/>
        <v>0</v>
      </c>
      <c r="AD59" s="178">
        <f t="shared" si="68"/>
        <v>0</v>
      </c>
      <c r="AE59" s="79"/>
      <c r="AF59" s="456"/>
      <c r="AG59" s="456"/>
      <c r="AH59" s="456">
        <f t="shared" si="69"/>
        <v>0</v>
      </c>
      <c r="AI59" s="456"/>
      <c r="AJ59" s="456"/>
      <c r="AK59" s="456"/>
      <c r="AL59" s="456"/>
      <c r="AM59" s="456">
        <f t="shared" si="70"/>
        <v>0</v>
      </c>
      <c r="AN59" s="456"/>
      <c r="AO59" s="456"/>
      <c r="AP59" s="456"/>
      <c r="AQ59" s="456"/>
      <c r="AR59" s="456">
        <f t="shared" si="71"/>
        <v>0</v>
      </c>
      <c r="AS59" s="456"/>
      <c r="AT59" s="456"/>
      <c r="AU59" s="456"/>
      <c r="AV59" s="456"/>
      <c r="AW59" s="456">
        <f t="shared" si="72"/>
        <v>0</v>
      </c>
      <c r="AX59" s="456"/>
      <c r="AY59" s="456"/>
      <c r="AZ59" s="456"/>
      <c r="BA59" s="456"/>
      <c r="BB59" s="456">
        <f t="shared" si="73"/>
        <v>0</v>
      </c>
      <c r="BC59" s="456"/>
      <c r="BD59" s="456"/>
      <c r="BE59" s="456"/>
      <c r="BF59" s="456"/>
      <c r="BG59" s="456">
        <f t="shared" si="74"/>
        <v>0</v>
      </c>
      <c r="BH59" s="456"/>
      <c r="BI59" s="456"/>
      <c r="BJ59" s="39">
        <f t="shared" si="75"/>
        <v>16822.3</v>
      </c>
      <c r="BK59" s="39">
        <f t="shared" si="76"/>
        <v>0</v>
      </c>
      <c r="BL59" s="106">
        <f t="shared" si="77"/>
        <v>16822.3</v>
      </c>
      <c r="BM59" s="178">
        <f t="shared" si="57"/>
        <v>1.7039516157913209E-3</v>
      </c>
      <c r="BN59" s="79"/>
    </row>
    <row r="60" spans="1:66" ht="14.4" customHeight="1" outlineLevel="2" x14ac:dyDescent="0.25">
      <c r="A60" s="237"/>
      <c r="B60" s="19" t="s">
        <v>65</v>
      </c>
      <c r="C60" s="113">
        <v>5720</v>
      </c>
      <c r="D60" s="128"/>
      <c r="E60" s="120">
        <f t="shared" si="60"/>
        <v>5720</v>
      </c>
      <c r="F60" s="178">
        <f t="shared" si="78"/>
        <v>1.0841919024368004E-3</v>
      </c>
      <c r="G60" s="39">
        <v>18978.439999999999</v>
      </c>
      <c r="H60" s="39">
        <v>0</v>
      </c>
      <c r="I60" s="106">
        <f t="shared" si="61"/>
        <v>18978.439999999999</v>
      </c>
      <c r="J60" s="178">
        <f t="shared" si="58"/>
        <v>1.9687713460039107E-3</v>
      </c>
      <c r="K60" s="79"/>
      <c r="L60" s="210"/>
      <c r="M60" s="210"/>
      <c r="N60" s="106">
        <f t="shared" si="62"/>
        <v>0</v>
      </c>
      <c r="O60" s="178">
        <f t="shared" si="59"/>
        <v>0</v>
      </c>
      <c r="P60" s="79"/>
      <c r="Q60" s="210"/>
      <c r="R60" s="210"/>
      <c r="S60" s="106">
        <f t="shared" si="63"/>
        <v>0</v>
      </c>
      <c r="T60" s="178">
        <f t="shared" si="64"/>
        <v>0</v>
      </c>
      <c r="U60" s="79"/>
      <c r="V60" s="210"/>
      <c r="W60" s="210"/>
      <c r="X60" s="106">
        <f t="shared" si="65"/>
        <v>0</v>
      </c>
      <c r="Y60" s="178">
        <f t="shared" si="66"/>
        <v>0</v>
      </c>
      <c r="Z60" s="79"/>
      <c r="AA60" s="210"/>
      <c r="AB60" s="210"/>
      <c r="AC60" s="106">
        <f t="shared" si="67"/>
        <v>0</v>
      </c>
      <c r="AD60" s="178">
        <f t="shared" si="68"/>
        <v>0</v>
      </c>
      <c r="AE60" s="79"/>
      <c r="AF60" s="456"/>
      <c r="AG60" s="456"/>
      <c r="AH60" s="456">
        <f t="shared" si="69"/>
        <v>0</v>
      </c>
      <c r="AI60" s="456"/>
      <c r="AJ60" s="456"/>
      <c r="AK60" s="456"/>
      <c r="AL60" s="456"/>
      <c r="AM60" s="456">
        <f t="shared" si="70"/>
        <v>0</v>
      </c>
      <c r="AN60" s="456"/>
      <c r="AO60" s="456"/>
      <c r="AP60" s="456"/>
      <c r="AQ60" s="456"/>
      <c r="AR60" s="456">
        <f t="shared" si="71"/>
        <v>0</v>
      </c>
      <c r="AS60" s="456"/>
      <c r="AT60" s="456"/>
      <c r="AU60" s="456"/>
      <c r="AV60" s="456"/>
      <c r="AW60" s="456">
        <f t="shared" si="72"/>
        <v>0</v>
      </c>
      <c r="AX60" s="456"/>
      <c r="AY60" s="456"/>
      <c r="AZ60" s="456"/>
      <c r="BA60" s="456"/>
      <c r="BB60" s="456">
        <f t="shared" si="73"/>
        <v>0</v>
      </c>
      <c r="BC60" s="456"/>
      <c r="BD60" s="456"/>
      <c r="BE60" s="456"/>
      <c r="BF60" s="456"/>
      <c r="BG60" s="456">
        <f t="shared" si="74"/>
        <v>0</v>
      </c>
      <c r="BH60" s="456"/>
      <c r="BI60" s="456"/>
      <c r="BJ60" s="39">
        <f t="shared" si="75"/>
        <v>18978.439999999999</v>
      </c>
      <c r="BK60" s="39">
        <f t="shared" si="76"/>
        <v>0</v>
      </c>
      <c r="BL60" s="106">
        <f t="shared" si="77"/>
        <v>18978.439999999999</v>
      </c>
      <c r="BM60" s="178">
        <f t="shared" si="57"/>
        <v>1.9223497086128911E-3</v>
      </c>
      <c r="BN60" s="79"/>
    </row>
    <row r="61" spans="1:66" ht="13.95" customHeight="1" outlineLevel="2" x14ac:dyDescent="0.25">
      <c r="A61" s="237"/>
      <c r="B61" s="19" t="s">
        <v>32</v>
      </c>
      <c r="C61" s="113"/>
      <c r="D61" s="128"/>
      <c r="E61" s="120">
        <f t="shared" si="60"/>
        <v>0</v>
      </c>
      <c r="F61" s="178">
        <f t="shared" si="78"/>
        <v>0</v>
      </c>
      <c r="G61" s="39">
        <v>0</v>
      </c>
      <c r="H61" s="39">
        <v>0</v>
      </c>
      <c r="I61" s="106">
        <f t="shared" si="61"/>
        <v>0</v>
      </c>
      <c r="J61" s="178">
        <f t="shared" si="58"/>
        <v>0</v>
      </c>
      <c r="K61" s="79"/>
      <c r="L61" s="210"/>
      <c r="M61" s="210"/>
      <c r="N61" s="106">
        <f t="shared" si="62"/>
        <v>0</v>
      </c>
      <c r="O61" s="178">
        <f t="shared" si="59"/>
        <v>0</v>
      </c>
      <c r="P61" s="79"/>
      <c r="Q61" s="210"/>
      <c r="R61" s="210"/>
      <c r="S61" s="106">
        <f t="shared" si="63"/>
        <v>0</v>
      </c>
      <c r="T61" s="178">
        <f t="shared" si="64"/>
        <v>0</v>
      </c>
      <c r="U61" s="79"/>
      <c r="V61" s="210"/>
      <c r="W61" s="210"/>
      <c r="X61" s="106">
        <f t="shared" si="65"/>
        <v>0</v>
      </c>
      <c r="Y61" s="178">
        <f t="shared" si="66"/>
        <v>0</v>
      </c>
      <c r="Z61" s="79"/>
      <c r="AA61" s="210"/>
      <c r="AB61" s="210"/>
      <c r="AC61" s="106">
        <f t="shared" si="67"/>
        <v>0</v>
      </c>
      <c r="AD61" s="178">
        <f t="shared" si="68"/>
        <v>0</v>
      </c>
      <c r="AE61" s="79"/>
      <c r="AF61" s="456"/>
      <c r="AG61" s="456"/>
      <c r="AH61" s="456">
        <f t="shared" si="69"/>
        <v>0</v>
      </c>
      <c r="AI61" s="456"/>
      <c r="AJ61" s="456"/>
      <c r="AK61" s="456"/>
      <c r="AL61" s="456"/>
      <c r="AM61" s="456">
        <f t="shared" si="70"/>
        <v>0</v>
      </c>
      <c r="AN61" s="456"/>
      <c r="AO61" s="456"/>
      <c r="AP61" s="456"/>
      <c r="AQ61" s="456"/>
      <c r="AR61" s="456">
        <f t="shared" si="71"/>
        <v>0</v>
      </c>
      <c r="AS61" s="456"/>
      <c r="AT61" s="456"/>
      <c r="AU61" s="456"/>
      <c r="AV61" s="456"/>
      <c r="AW61" s="456">
        <f t="shared" si="72"/>
        <v>0</v>
      </c>
      <c r="AX61" s="456"/>
      <c r="AY61" s="456"/>
      <c r="AZ61" s="456"/>
      <c r="BA61" s="456"/>
      <c r="BB61" s="456">
        <f t="shared" si="73"/>
        <v>0</v>
      </c>
      <c r="BC61" s="456"/>
      <c r="BD61" s="456"/>
      <c r="BE61" s="456"/>
      <c r="BF61" s="456"/>
      <c r="BG61" s="456">
        <f t="shared" si="74"/>
        <v>0</v>
      </c>
      <c r="BH61" s="456"/>
      <c r="BI61" s="456"/>
      <c r="BJ61" s="39">
        <f t="shared" si="75"/>
        <v>0</v>
      </c>
      <c r="BK61" s="39">
        <f t="shared" si="76"/>
        <v>0</v>
      </c>
      <c r="BL61" s="106">
        <f t="shared" si="77"/>
        <v>0</v>
      </c>
      <c r="BM61" s="178">
        <f t="shared" si="57"/>
        <v>0</v>
      </c>
      <c r="BN61" s="79"/>
    </row>
    <row r="62" spans="1:66" ht="30.6" customHeight="1" outlineLevel="2" x14ac:dyDescent="0.25">
      <c r="A62" s="237"/>
      <c r="B62" s="19" t="s">
        <v>33</v>
      </c>
      <c r="C62" s="129"/>
      <c r="D62" s="128"/>
      <c r="E62" s="120">
        <f t="shared" si="60"/>
        <v>0</v>
      </c>
      <c r="F62" s="178">
        <f t="shared" si="78"/>
        <v>0</v>
      </c>
      <c r="G62" s="39">
        <v>0</v>
      </c>
      <c r="H62" s="39">
        <v>0</v>
      </c>
      <c r="I62" s="106">
        <f t="shared" si="61"/>
        <v>0</v>
      </c>
      <c r="J62" s="178">
        <f t="shared" si="58"/>
        <v>0</v>
      </c>
      <c r="K62" s="79"/>
      <c r="L62" s="210"/>
      <c r="M62" s="210"/>
      <c r="N62" s="106">
        <f t="shared" si="62"/>
        <v>0</v>
      </c>
      <c r="O62" s="178">
        <f t="shared" si="59"/>
        <v>0</v>
      </c>
      <c r="P62" s="79"/>
      <c r="Q62" s="210"/>
      <c r="R62" s="210"/>
      <c r="S62" s="106">
        <f t="shared" si="63"/>
        <v>0</v>
      </c>
      <c r="T62" s="178">
        <f t="shared" si="64"/>
        <v>0</v>
      </c>
      <c r="U62" s="79"/>
      <c r="V62" s="210"/>
      <c r="W62" s="210"/>
      <c r="X62" s="106">
        <f t="shared" si="65"/>
        <v>0</v>
      </c>
      <c r="Y62" s="178">
        <f t="shared" si="66"/>
        <v>0</v>
      </c>
      <c r="Z62" s="79"/>
      <c r="AA62" s="210"/>
      <c r="AB62" s="210"/>
      <c r="AC62" s="106"/>
      <c r="AD62" s="178">
        <f t="shared" si="68"/>
        <v>0</v>
      </c>
      <c r="AE62" s="79"/>
      <c r="AF62" s="456"/>
      <c r="AG62" s="456"/>
      <c r="AH62" s="456">
        <f t="shared" si="69"/>
        <v>0</v>
      </c>
      <c r="AI62" s="456"/>
      <c r="AJ62" s="456"/>
      <c r="AK62" s="456"/>
      <c r="AL62" s="456"/>
      <c r="AM62" s="456">
        <f t="shared" si="70"/>
        <v>0</v>
      </c>
      <c r="AN62" s="456"/>
      <c r="AO62" s="456"/>
      <c r="AP62" s="456"/>
      <c r="AQ62" s="456"/>
      <c r="AR62" s="456">
        <f t="shared" si="71"/>
        <v>0</v>
      </c>
      <c r="AS62" s="456"/>
      <c r="AT62" s="456"/>
      <c r="AU62" s="456"/>
      <c r="AV62" s="456"/>
      <c r="AW62" s="456">
        <f t="shared" si="72"/>
        <v>0</v>
      </c>
      <c r="AX62" s="456"/>
      <c r="AY62" s="456"/>
      <c r="AZ62" s="456"/>
      <c r="BA62" s="456"/>
      <c r="BB62" s="456">
        <f t="shared" si="73"/>
        <v>0</v>
      </c>
      <c r="BC62" s="456"/>
      <c r="BD62" s="456"/>
      <c r="BE62" s="456"/>
      <c r="BF62" s="456"/>
      <c r="BG62" s="456">
        <f t="shared" si="74"/>
        <v>0</v>
      </c>
      <c r="BH62" s="456"/>
      <c r="BI62" s="456"/>
      <c r="BJ62" s="39">
        <f t="shared" si="75"/>
        <v>0</v>
      </c>
      <c r="BK62" s="39">
        <f t="shared" si="76"/>
        <v>0</v>
      </c>
      <c r="BL62" s="106">
        <f t="shared" si="77"/>
        <v>0</v>
      </c>
      <c r="BM62" s="178">
        <f t="shared" si="57"/>
        <v>0</v>
      </c>
      <c r="BN62" s="79"/>
    </row>
    <row r="63" spans="1:66" ht="31.95" customHeight="1" outlineLevel="2" x14ac:dyDescent="0.25">
      <c r="A63" s="237"/>
      <c r="B63" s="19" t="s">
        <v>35</v>
      </c>
      <c r="C63" s="129">
        <v>13520</v>
      </c>
      <c r="D63" s="128"/>
      <c r="E63" s="120">
        <f t="shared" si="60"/>
        <v>13520</v>
      </c>
      <c r="F63" s="178">
        <f t="shared" si="78"/>
        <v>2.5626354057597103E-3</v>
      </c>
      <c r="G63" s="39">
        <v>13059.26</v>
      </c>
      <c r="H63" s="39">
        <v>200</v>
      </c>
      <c r="I63" s="106">
        <f t="shared" si="61"/>
        <v>13259.26</v>
      </c>
      <c r="J63" s="178">
        <f t="shared" si="58"/>
        <v>1.3754792889834895E-3</v>
      </c>
      <c r="K63" s="79"/>
      <c r="L63" s="210"/>
      <c r="M63" s="210"/>
      <c r="N63" s="106">
        <f t="shared" si="62"/>
        <v>0</v>
      </c>
      <c r="O63" s="178">
        <f t="shared" si="59"/>
        <v>0</v>
      </c>
      <c r="P63" s="79"/>
      <c r="Q63" s="210"/>
      <c r="R63" s="210"/>
      <c r="S63" s="106">
        <f t="shared" si="63"/>
        <v>0</v>
      </c>
      <c r="T63" s="178">
        <f t="shared" si="64"/>
        <v>0</v>
      </c>
      <c r="U63" s="79"/>
      <c r="V63" s="210"/>
      <c r="W63" s="210">
        <v>1027</v>
      </c>
      <c r="X63" s="106">
        <f t="shared" si="65"/>
        <v>1027</v>
      </c>
      <c r="Y63" s="178">
        <f t="shared" si="66"/>
        <v>1.249409374785489E-2</v>
      </c>
      <c r="Z63" s="389" t="s">
        <v>709</v>
      </c>
      <c r="AA63" s="210"/>
      <c r="AB63" s="210"/>
      <c r="AC63" s="106"/>
      <c r="AD63" s="178">
        <f t="shared" si="68"/>
        <v>0</v>
      </c>
      <c r="AE63" s="389"/>
      <c r="AF63" s="454"/>
      <c r="AG63" s="454"/>
      <c r="AH63" s="454">
        <f t="shared" si="69"/>
        <v>0</v>
      </c>
      <c r="AI63" s="454"/>
      <c r="AJ63" s="454"/>
      <c r="AK63" s="454"/>
      <c r="AL63" s="454"/>
      <c r="AM63" s="454">
        <f t="shared" si="70"/>
        <v>0</v>
      </c>
      <c r="AN63" s="454"/>
      <c r="AO63" s="454"/>
      <c r="AP63" s="454"/>
      <c r="AQ63" s="454"/>
      <c r="AR63" s="454">
        <f t="shared" si="71"/>
        <v>0</v>
      </c>
      <c r="AS63" s="454"/>
      <c r="AT63" s="454"/>
      <c r="AU63" s="454"/>
      <c r="AV63" s="454"/>
      <c r="AW63" s="454">
        <f t="shared" si="72"/>
        <v>0</v>
      </c>
      <c r="AX63" s="454"/>
      <c r="AY63" s="454"/>
      <c r="AZ63" s="454"/>
      <c r="BA63" s="454"/>
      <c r="BB63" s="454">
        <f t="shared" si="73"/>
        <v>0</v>
      </c>
      <c r="BC63" s="454"/>
      <c r="BD63" s="454"/>
      <c r="BE63" s="454"/>
      <c r="BF63" s="454"/>
      <c r="BG63" s="454">
        <f t="shared" si="74"/>
        <v>0</v>
      </c>
      <c r="BH63" s="454"/>
      <c r="BI63" s="454"/>
      <c r="BJ63" s="39">
        <f t="shared" si="75"/>
        <v>13059.26</v>
      </c>
      <c r="BK63" s="39">
        <f t="shared" si="76"/>
        <v>1227</v>
      </c>
      <c r="BL63" s="106">
        <f t="shared" si="77"/>
        <v>14286.26</v>
      </c>
      <c r="BM63" s="178">
        <f t="shared" si="57"/>
        <v>1.447072981139019E-3</v>
      </c>
      <c r="BN63" s="79"/>
    </row>
    <row r="64" spans="1:66" ht="31.2" customHeight="1" outlineLevel="2" x14ac:dyDescent="0.25">
      <c r="A64" s="237"/>
      <c r="B64" s="19" t="s">
        <v>63</v>
      </c>
      <c r="C64" s="129"/>
      <c r="D64" s="128"/>
      <c r="E64" s="120">
        <f t="shared" si="60"/>
        <v>0</v>
      </c>
      <c r="F64" s="178">
        <f t="shared" si="78"/>
        <v>0</v>
      </c>
      <c r="G64" s="39">
        <v>0</v>
      </c>
      <c r="H64" s="39">
        <v>0</v>
      </c>
      <c r="I64" s="106">
        <f t="shared" si="61"/>
        <v>0</v>
      </c>
      <c r="J64" s="178">
        <f t="shared" si="58"/>
        <v>0</v>
      </c>
      <c r="K64" s="79"/>
      <c r="L64" s="210"/>
      <c r="M64" s="210"/>
      <c r="N64" s="106">
        <f t="shared" si="62"/>
        <v>0</v>
      </c>
      <c r="O64" s="178">
        <f t="shared" si="59"/>
        <v>0</v>
      </c>
      <c r="P64" s="79"/>
      <c r="Q64" s="210"/>
      <c r="R64" s="210"/>
      <c r="S64" s="106">
        <f t="shared" si="63"/>
        <v>0</v>
      </c>
      <c r="T64" s="178">
        <f t="shared" si="64"/>
        <v>0</v>
      </c>
      <c r="U64" s="79"/>
      <c r="V64" s="210"/>
      <c r="W64" s="210"/>
      <c r="X64" s="106">
        <f t="shared" si="65"/>
        <v>0</v>
      </c>
      <c r="Y64" s="178">
        <f t="shared" si="66"/>
        <v>0</v>
      </c>
      <c r="Z64" s="79"/>
      <c r="AA64" s="210"/>
      <c r="AB64" s="210"/>
      <c r="AC64" s="106"/>
      <c r="AD64" s="178">
        <f t="shared" si="68"/>
        <v>0</v>
      </c>
      <c r="AE64" s="79"/>
      <c r="AF64" s="456"/>
      <c r="AG64" s="456"/>
      <c r="AH64" s="456">
        <f t="shared" si="69"/>
        <v>0</v>
      </c>
      <c r="AI64" s="456"/>
      <c r="AJ64" s="456"/>
      <c r="AK64" s="456"/>
      <c r="AL64" s="456"/>
      <c r="AM64" s="456">
        <f t="shared" si="70"/>
        <v>0</v>
      </c>
      <c r="AN64" s="456"/>
      <c r="AO64" s="456"/>
      <c r="AP64" s="456"/>
      <c r="AQ64" s="456"/>
      <c r="AR64" s="456">
        <f t="shared" si="71"/>
        <v>0</v>
      </c>
      <c r="AS64" s="456"/>
      <c r="AT64" s="456"/>
      <c r="AU64" s="456"/>
      <c r="AV64" s="456"/>
      <c r="AW64" s="456">
        <f t="shared" si="72"/>
        <v>0</v>
      </c>
      <c r="AX64" s="456"/>
      <c r="AY64" s="456"/>
      <c r="AZ64" s="456"/>
      <c r="BA64" s="456"/>
      <c r="BB64" s="456">
        <f t="shared" si="73"/>
        <v>0</v>
      </c>
      <c r="BC64" s="456"/>
      <c r="BD64" s="456"/>
      <c r="BE64" s="456"/>
      <c r="BF64" s="456"/>
      <c r="BG64" s="456">
        <f t="shared" si="74"/>
        <v>0</v>
      </c>
      <c r="BH64" s="456"/>
      <c r="BI64" s="456"/>
      <c r="BJ64" s="39">
        <f t="shared" si="75"/>
        <v>0</v>
      </c>
      <c r="BK64" s="39">
        <f t="shared" si="76"/>
        <v>0</v>
      </c>
      <c r="BL64" s="106">
        <f t="shared" si="77"/>
        <v>0</v>
      </c>
      <c r="BM64" s="178">
        <f t="shared" si="57"/>
        <v>0</v>
      </c>
      <c r="BN64" s="79"/>
    </row>
    <row r="65" spans="1:66" ht="93" customHeight="1" outlineLevel="2" x14ac:dyDescent="0.25">
      <c r="A65" s="237"/>
      <c r="B65" s="19" t="s">
        <v>36</v>
      </c>
      <c r="C65" s="129"/>
      <c r="D65" s="128"/>
      <c r="E65" s="120">
        <f t="shared" si="60"/>
        <v>0</v>
      </c>
      <c r="F65" s="178">
        <f t="shared" si="78"/>
        <v>0</v>
      </c>
      <c r="G65" s="39">
        <v>9146.6779999999999</v>
      </c>
      <c r="H65" s="39">
        <v>0</v>
      </c>
      <c r="I65" s="106">
        <f t="shared" si="61"/>
        <v>9146.6779999999999</v>
      </c>
      <c r="J65" s="178">
        <f t="shared" si="58"/>
        <v>9.4885130482401923E-4</v>
      </c>
      <c r="K65" s="79"/>
      <c r="L65" s="39"/>
      <c r="M65" s="39"/>
      <c r="N65" s="106">
        <f t="shared" si="62"/>
        <v>0</v>
      </c>
      <c r="O65" s="178">
        <f>N65/$N$89</f>
        <v>0</v>
      </c>
      <c r="P65" s="79"/>
      <c r="Q65" s="39"/>
      <c r="R65" s="39"/>
      <c r="S65" s="106">
        <f t="shared" si="63"/>
        <v>0</v>
      </c>
      <c r="T65" s="178">
        <f>S65/$N$89</f>
        <v>0</v>
      </c>
      <c r="U65" s="79"/>
      <c r="V65" s="39"/>
      <c r="W65" s="39"/>
      <c r="X65" s="106">
        <f t="shared" si="65"/>
        <v>0</v>
      </c>
      <c r="Y65" s="178">
        <f>X65/$N$89</f>
        <v>0</v>
      </c>
      <c r="Z65" s="79"/>
      <c r="AA65" s="39"/>
      <c r="AB65" s="39"/>
      <c r="AC65" s="106">
        <f t="shared" si="67"/>
        <v>0</v>
      </c>
      <c r="AD65" s="178">
        <f>AC65/$N$89</f>
        <v>0</v>
      </c>
      <c r="AE65" s="79"/>
      <c r="AF65" s="456"/>
      <c r="AG65" s="456"/>
      <c r="AH65" s="456">
        <f t="shared" si="69"/>
        <v>0</v>
      </c>
      <c r="AI65" s="456"/>
      <c r="AJ65" s="456"/>
      <c r="AK65" s="456"/>
      <c r="AL65" s="456"/>
      <c r="AM65" s="456">
        <f t="shared" si="70"/>
        <v>0</v>
      </c>
      <c r="AN65" s="456"/>
      <c r="AO65" s="456"/>
      <c r="AP65" s="456"/>
      <c r="AQ65" s="456"/>
      <c r="AR65" s="456">
        <f t="shared" si="71"/>
        <v>0</v>
      </c>
      <c r="AS65" s="456"/>
      <c r="AT65" s="456"/>
      <c r="AU65" s="456"/>
      <c r="AV65" s="456"/>
      <c r="AW65" s="456">
        <f t="shared" si="72"/>
        <v>0</v>
      </c>
      <c r="AX65" s="456"/>
      <c r="AY65" s="456"/>
      <c r="AZ65" s="456"/>
      <c r="BA65" s="456"/>
      <c r="BB65" s="456">
        <f t="shared" si="73"/>
        <v>0</v>
      </c>
      <c r="BC65" s="456"/>
      <c r="BD65" s="456"/>
      <c r="BE65" s="456"/>
      <c r="BF65" s="456"/>
      <c r="BG65" s="456">
        <f t="shared" si="74"/>
        <v>0</v>
      </c>
      <c r="BH65" s="456"/>
      <c r="BI65" s="456"/>
      <c r="BJ65" s="39">
        <f t="shared" si="75"/>
        <v>9146.6779999999999</v>
      </c>
      <c r="BK65" s="39">
        <f t="shared" si="76"/>
        <v>0</v>
      </c>
      <c r="BL65" s="106">
        <f t="shared" si="77"/>
        <v>9146.6779999999999</v>
      </c>
      <c r="BM65" s="178">
        <f t="shared" si="57"/>
        <v>9.2647835059551475E-4</v>
      </c>
      <c r="BN65" s="79"/>
    </row>
    <row r="66" spans="1:66" s="2" customFormat="1" ht="59.4" customHeight="1" outlineLevel="2" x14ac:dyDescent="0.25">
      <c r="A66" s="237"/>
      <c r="B66" s="19" t="s">
        <v>37</v>
      </c>
      <c r="C66" s="129"/>
      <c r="D66" s="128"/>
      <c r="E66" s="120">
        <f t="shared" si="60"/>
        <v>0</v>
      </c>
      <c r="F66" s="178">
        <f t="shared" si="78"/>
        <v>0</v>
      </c>
      <c r="G66" s="39">
        <v>0</v>
      </c>
      <c r="H66" s="39">
        <v>0</v>
      </c>
      <c r="I66" s="106">
        <f t="shared" si="61"/>
        <v>0</v>
      </c>
      <c r="J66" s="178">
        <f t="shared" si="58"/>
        <v>0</v>
      </c>
      <c r="K66" s="79"/>
      <c r="L66" s="39"/>
      <c r="M66" s="39"/>
      <c r="N66" s="106">
        <f t="shared" si="62"/>
        <v>0</v>
      </c>
      <c r="O66" s="178">
        <f t="shared" si="59"/>
        <v>0</v>
      </c>
      <c r="P66" s="79"/>
      <c r="Q66" s="39"/>
      <c r="R66" s="39"/>
      <c r="S66" s="106">
        <f t="shared" si="63"/>
        <v>0</v>
      </c>
      <c r="T66" s="178">
        <f t="shared" ref="T66:T72" si="79">S66/$N$89</f>
        <v>0</v>
      </c>
      <c r="U66" s="79"/>
      <c r="V66" s="39"/>
      <c r="W66" s="39"/>
      <c r="X66" s="106">
        <f t="shared" si="65"/>
        <v>0</v>
      </c>
      <c r="Y66" s="178">
        <f>X66/$N$89</f>
        <v>0</v>
      </c>
      <c r="Z66" s="79"/>
      <c r="AA66" s="39"/>
      <c r="AB66" s="39"/>
      <c r="AC66" s="106">
        <f t="shared" si="67"/>
        <v>0</v>
      </c>
      <c r="AD66" s="178">
        <f>AC66/$N$89</f>
        <v>0</v>
      </c>
      <c r="AE66" s="79"/>
      <c r="AF66" s="128">
        <v>500</v>
      </c>
      <c r="AG66" s="456"/>
      <c r="AH66" s="457">
        <f t="shared" si="69"/>
        <v>500</v>
      </c>
      <c r="AI66" s="456"/>
      <c r="AJ66" s="454" t="s">
        <v>796</v>
      </c>
      <c r="AK66" s="128"/>
      <c r="AL66" s="456"/>
      <c r="AM66" s="457">
        <f t="shared" si="70"/>
        <v>0</v>
      </c>
      <c r="AN66" s="456"/>
      <c r="AO66" s="454"/>
      <c r="AP66" s="128"/>
      <c r="AQ66" s="456"/>
      <c r="AR66" s="457">
        <f t="shared" si="71"/>
        <v>0</v>
      </c>
      <c r="AS66" s="456"/>
      <c r="AT66" s="454"/>
      <c r="AU66" s="128"/>
      <c r="AV66" s="456"/>
      <c r="AW66" s="457">
        <f t="shared" si="72"/>
        <v>0</v>
      </c>
      <c r="AX66" s="456"/>
      <c r="AY66" s="454"/>
      <c r="AZ66" s="128"/>
      <c r="BA66" s="456"/>
      <c r="BB66" s="457">
        <f t="shared" si="73"/>
        <v>0</v>
      </c>
      <c r="BC66" s="456"/>
      <c r="BD66" s="454"/>
      <c r="BE66" s="128"/>
      <c r="BF66" s="456"/>
      <c r="BG66" s="457">
        <f t="shared" si="74"/>
        <v>0</v>
      </c>
      <c r="BH66" s="456"/>
      <c r="BI66" s="454"/>
      <c r="BJ66" s="39">
        <f t="shared" si="75"/>
        <v>500</v>
      </c>
      <c r="BK66" s="39">
        <f t="shared" si="76"/>
        <v>0</v>
      </c>
      <c r="BL66" s="106">
        <f t="shared" si="77"/>
        <v>500</v>
      </c>
      <c r="BM66" s="178">
        <f t="shared" si="57"/>
        <v>5.0645619677193992E-5</v>
      </c>
      <c r="BN66" s="79"/>
    </row>
    <row r="67" spans="1:66" s="2" customFormat="1" ht="102" customHeight="1" outlineLevel="2" x14ac:dyDescent="0.25">
      <c r="A67" s="237"/>
      <c r="B67" s="19" t="s">
        <v>3</v>
      </c>
      <c r="C67" s="129"/>
      <c r="D67" s="128"/>
      <c r="E67" s="120">
        <f t="shared" si="60"/>
        <v>0</v>
      </c>
      <c r="F67" s="178">
        <f t="shared" si="78"/>
        <v>0</v>
      </c>
      <c r="G67" s="39">
        <v>0</v>
      </c>
      <c r="H67" s="39">
        <v>0</v>
      </c>
      <c r="I67" s="106">
        <f t="shared" si="61"/>
        <v>0</v>
      </c>
      <c r="J67" s="178">
        <f t="shared" si="58"/>
        <v>0</v>
      </c>
      <c r="K67" s="79"/>
      <c r="L67" s="39"/>
      <c r="M67" s="39"/>
      <c r="N67" s="106">
        <f t="shared" si="62"/>
        <v>0</v>
      </c>
      <c r="O67" s="178">
        <f t="shared" si="59"/>
        <v>0</v>
      </c>
      <c r="P67" s="79"/>
      <c r="Q67" s="39"/>
      <c r="R67" s="39"/>
      <c r="S67" s="106">
        <f t="shared" si="63"/>
        <v>0</v>
      </c>
      <c r="T67" s="178">
        <f t="shared" si="79"/>
        <v>0</v>
      </c>
      <c r="U67" s="79"/>
      <c r="V67" s="39"/>
      <c r="W67" s="39"/>
      <c r="X67" s="106">
        <f t="shared" si="65"/>
        <v>0</v>
      </c>
      <c r="Y67" s="178">
        <f>X67/$N$89</f>
        <v>0</v>
      </c>
      <c r="Z67" s="79"/>
      <c r="AA67" s="39"/>
      <c r="AB67" s="39"/>
      <c r="AC67" s="106">
        <f t="shared" si="67"/>
        <v>0</v>
      </c>
      <c r="AD67" s="178">
        <f>AC67/$N$89</f>
        <v>0</v>
      </c>
      <c r="AE67" s="79"/>
      <c r="AF67" s="456"/>
      <c r="AG67" s="456"/>
      <c r="AH67" s="456">
        <f t="shared" si="69"/>
        <v>0</v>
      </c>
      <c r="AI67" s="456"/>
      <c r="AJ67" s="456"/>
      <c r="AK67" s="456"/>
      <c r="AL67" s="456"/>
      <c r="AM67" s="456">
        <f t="shared" si="70"/>
        <v>0</v>
      </c>
      <c r="AN67" s="456"/>
      <c r="AO67" s="456"/>
      <c r="AP67" s="456"/>
      <c r="AQ67" s="456"/>
      <c r="AR67" s="456">
        <f t="shared" si="71"/>
        <v>0</v>
      </c>
      <c r="AS67" s="456"/>
      <c r="AT67" s="456"/>
      <c r="AU67" s="456"/>
      <c r="AV67" s="456"/>
      <c r="AW67" s="456">
        <f t="shared" si="72"/>
        <v>0</v>
      </c>
      <c r="AX67" s="456"/>
      <c r="AY67" s="456"/>
      <c r="AZ67" s="456"/>
      <c r="BA67" s="456"/>
      <c r="BB67" s="456">
        <f t="shared" si="73"/>
        <v>0</v>
      </c>
      <c r="BC67" s="456"/>
      <c r="BD67" s="456"/>
      <c r="BE67" s="456"/>
      <c r="BF67" s="456"/>
      <c r="BG67" s="456">
        <f t="shared" si="74"/>
        <v>0</v>
      </c>
      <c r="BH67" s="456"/>
      <c r="BI67" s="456"/>
      <c r="BJ67" s="39">
        <f t="shared" si="75"/>
        <v>0</v>
      </c>
      <c r="BK67" s="39">
        <f t="shared" si="76"/>
        <v>0</v>
      </c>
      <c r="BL67" s="106">
        <f t="shared" si="77"/>
        <v>0</v>
      </c>
      <c r="BM67" s="178">
        <f t="shared" si="57"/>
        <v>0</v>
      </c>
      <c r="BN67" s="79"/>
    </row>
    <row r="68" spans="1:66" s="2" customFormat="1" ht="24" customHeight="1" outlineLevel="2" x14ac:dyDescent="0.25">
      <c r="A68" s="237"/>
      <c r="B68" s="19" t="s">
        <v>5</v>
      </c>
      <c r="C68" s="129"/>
      <c r="D68" s="128">
        <v>5000</v>
      </c>
      <c r="E68" s="120">
        <f t="shared" si="60"/>
        <v>5000</v>
      </c>
      <c r="F68" s="178">
        <f t="shared" si="78"/>
        <v>9.4772019443776264E-4</v>
      </c>
      <c r="G68" s="39">
        <v>0</v>
      </c>
      <c r="H68" s="39">
        <v>6576.76</v>
      </c>
      <c r="I68" s="106">
        <f t="shared" si="61"/>
        <v>6576.76</v>
      </c>
      <c r="J68" s="178">
        <f t="shared" si="58"/>
        <v>6.8225505560755685E-4</v>
      </c>
      <c r="K68" s="79"/>
      <c r="L68" s="39"/>
      <c r="M68" s="39">
        <v>28.5</v>
      </c>
      <c r="N68" s="106">
        <f t="shared" si="62"/>
        <v>28.5</v>
      </c>
      <c r="O68" s="178">
        <f t="shared" si="59"/>
        <v>3.4672022571943952E-4</v>
      </c>
      <c r="P68" s="79"/>
      <c r="Q68" s="39"/>
      <c r="R68" s="39">
        <v>430</v>
      </c>
      <c r="S68" s="106">
        <f t="shared" si="63"/>
        <v>430</v>
      </c>
      <c r="T68" s="178">
        <f>S68/$S$89</f>
        <v>0.32107933466113642</v>
      </c>
      <c r="U68" s="79" t="s">
        <v>546</v>
      </c>
      <c r="V68" s="39"/>
      <c r="W68" s="39"/>
      <c r="X68" s="106">
        <f t="shared" si="65"/>
        <v>0</v>
      </c>
      <c r="Y68" s="178">
        <f>X68/$S$89</f>
        <v>0</v>
      </c>
      <c r="Z68" s="79" t="s">
        <v>546</v>
      </c>
      <c r="AA68" s="39"/>
      <c r="AB68" s="39"/>
      <c r="AC68" s="106">
        <f t="shared" si="67"/>
        <v>0</v>
      </c>
      <c r="AD68" s="178">
        <f>AC68/$S$89</f>
        <v>0</v>
      </c>
      <c r="AE68" s="79" t="s">
        <v>546</v>
      </c>
      <c r="AF68" s="456"/>
      <c r="AG68" s="456"/>
      <c r="AH68" s="456">
        <f t="shared" si="69"/>
        <v>0</v>
      </c>
      <c r="AI68" s="456"/>
      <c r="AJ68" s="456"/>
      <c r="AK68" s="456"/>
      <c r="AL68" s="456"/>
      <c r="AM68" s="456">
        <f t="shared" si="70"/>
        <v>0</v>
      </c>
      <c r="AN68" s="456"/>
      <c r="AO68" s="456"/>
      <c r="AP68" s="456"/>
      <c r="AQ68" s="456"/>
      <c r="AR68" s="456">
        <f t="shared" si="71"/>
        <v>0</v>
      </c>
      <c r="AS68" s="456"/>
      <c r="AT68" s="456"/>
      <c r="AU68" s="456"/>
      <c r="AV68" s="456"/>
      <c r="AW68" s="456">
        <f t="shared" si="72"/>
        <v>0</v>
      </c>
      <c r="AX68" s="456"/>
      <c r="AY68" s="456"/>
      <c r="AZ68" s="456"/>
      <c r="BA68" s="456"/>
      <c r="BB68" s="456">
        <f t="shared" si="73"/>
        <v>0</v>
      </c>
      <c r="BC68" s="456"/>
      <c r="BD68" s="456"/>
      <c r="BE68" s="456"/>
      <c r="BF68" s="456"/>
      <c r="BG68" s="456">
        <f t="shared" si="74"/>
        <v>0</v>
      </c>
      <c r="BH68" s="456"/>
      <c r="BI68" s="456"/>
      <c r="BJ68" s="39">
        <f t="shared" si="75"/>
        <v>0</v>
      </c>
      <c r="BK68" s="39">
        <f t="shared" si="76"/>
        <v>7035.26</v>
      </c>
      <c r="BL68" s="106">
        <f t="shared" si="77"/>
        <v>7035.26</v>
      </c>
      <c r="BM68" s="178">
        <f t="shared" si="57"/>
        <v>7.1261020458035171E-4</v>
      </c>
      <c r="BN68" s="79"/>
    </row>
    <row r="69" spans="1:66" s="2" customFormat="1" ht="13.8" outlineLevel="2" x14ac:dyDescent="0.25">
      <c r="A69" s="237"/>
      <c r="B69" s="19" t="s">
        <v>42</v>
      </c>
      <c r="C69" s="129">
        <v>18735</v>
      </c>
      <c r="D69" s="128"/>
      <c r="E69" s="120">
        <f t="shared" si="60"/>
        <v>18735</v>
      </c>
      <c r="F69" s="178">
        <f t="shared" si="78"/>
        <v>3.5511075685582968E-3</v>
      </c>
      <c r="G69" s="39">
        <v>31150</v>
      </c>
      <c r="H69" s="39">
        <v>0</v>
      </c>
      <c r="I69" s="106">
        <f t="shared" si="61"/>
        <v>31150</v>
      </c>
      <c r="J69" s="178">
        <f t="shared" si="58"/>
        <v>3.2314156183554511E-3</v>
      </c>
      <c r="K69" s="79"/>
      <c r="L69" s="39"/>
      <c r="M69" s="39"/>
      <c r="N69" s="106">
        <f t="shared" si="62"/>
        <v>0</v>
      </c>
      <c r="O69" s="178">
        <f t="shared" si="59"/>
        <v>0</v>
      </c>
      <c r="P69" s="79"/>
      <c r="Q69" s="39"/>
      <c r="R69" s="39"/>
      <c r="S69" s="106">
        <f t="shared" si="63"/>
        <v>0</v>
      </c>
      <c r="T69" s="178">
        <f t="shared" si="79"/>
        <v>0</v>
      </c>
      <c r="U69" s="79"/>
      <c r="V69" s="39"/>
      <c r="W69" s="39"/>
      <c r="X69" s="106">
        <f t="shared" si="65"/>
        <v>0</v>
      </c>
      <c r="Y69" s="178">
        <f>X69/$N$89</f>
        <v>0</v>
      </c>
      <c r="Z69" s="79"/>
      <c r="AA69" s="39"/>
      <c r="AB69" s="39"/>
      <c r="AC69" s="106">
        <f t="shared" si="67"/>
        <v>0</v>
      </c>
      <c r="AD69" s="178">
        <f>AC69/$N$89</f>
        <v>0</v>
      </c>
      <c r="AE69" s="79"/>
      <c r="AF69" s="456"/>
      <c r="AG69" s="456"/>
      <c r="AH69" s="456">
        <f t="shared" si="69"/>
        <v>0</v>
      </c>
      <c r="AI69" s="456"/>
      <c r="AJ69" s="456"/>
      <c r="AK69" s="456"/>
      <c r="AL69" s="456"/>
      <c r="AM69" s="456">
        <f t="shared" si="70"/>
        <v>0</v>
      </c>
      <c r="AN69" s="456"/>
      <c r="AO69" s="456"/>
      <c r="AP69" s="456"/>
      <c r="AQ69" s="456"/>
      <c r="AR69" s="456">
        <f t="shared" si="71"/>
        <v>0</v>
      </c>
      <c r="AS69" s="456"/>
      <c r="AT69" s="456"/>
      <c r="AU69" s="456"/>
      <c r="AV69" s="456"/>
      <c r="AW69" s="456">
        <f t="shared" si="72"/>
        <v>0</v>
      </c>
      <c r="AX69" s="456"/>
      <c r="AY69" s="456"/>
      <c r="AZ69" s="456"/>
      <c r="BA69" s="456"/>
      <c r="BB69" s="456">
        <f t="shared" si="73"/>
        <v>0</v>
      </c>
      <c r="BC69" s="456"/>
      <c r="BD69" s="456"/>
      <c r="BE69" s="456"/>
      <c r="BF69" s="456"/>
      <c r="BG69" s="456">
        <f t="shared" si="74"/>
        <v>0</v>
      </c>
      <c r="BH69" s="456"/>
      <c r="BI69" s="456"/>
      <c r="BJ69" s="39">
        <f t="shared" si="75"/>
        <v>31150</v>
      </c>
      <c r="BK69" s="39">
        <f t="shared" si="76"/>
        <v>0</v>
      </c>
      <c r="BL69" s="106">
        <f t="shared" si="77"/>
        <v>31150</v>
      </c>
      <c r="BM69" s="178">
        <f t="shared" si="57"/>
        <v>3.1552221058891859E-3</v>
      </c>
      <c r="BN69" s="79"/>
    </row>
    <row r="70" spans="1:66" s="2" customFormat="1" ht="22.95" customHeight="1" outlineLevel="2" x14ac:dyDescent="0.25">
      <c r="A70" s="237"/>
      <c r="B70" s="19" t="s">
        <v>6</v>
      </c>
      <c r="C70" s="129"/>
      <c r="D70" s="128"/>
      <c r="E70" s="120">
        <f t="shared" si="60"/>
        <v>0</v>
      </c>
      <c r="F70" s="178">
        <f t="shared" si="78"/>
        <v>0</v>
      </c>
      <c r="G70" s="39">
        <v>0</v>
      </c>
      <c r="H70" s="39">
        <v>5200</v>
      </c>
      <c r="I70" s="106">
        <f t="shared" si="61"/>
        <v>5200</v>
      </c>
      <c r="J70" s="178">
        <f t="shared" si="58"/>
        <v>5.3943374688437712E-4</v>
      </c>
      <c r="K70" s="79"/>
      <c r="L70" s="39"/>
      <c r="M70" s="39"/>
      <c r="N70" s="106">
        <f t="shared" si="62"/>
        <v>0</v>
      </c>
      <c r="O70" s="178">
        <f t="shared" si="59"/>
        <v>0</v>
      </c>
      <c r="P70" s="79"/>
      <c r="Q70" s="39"/>
      <c r="R70" s="39"/>
      <c r="S70" s="106">
        <f t="shared" si="63"/>
        <v>0</v>
      </c>
      <c r="T70" s="178">
        <f t="shared" si="79"/>
        <v>0</v>
      </c>
      <c r="U70" s="79"/>
      <c r="V70" s="39"/>
      <c r="W70" s="39"/>
      <c r="X70" s="106">
        <f t="shared" si="65"/>
        <v>0</v>
      </c>
      <c r="Y70" s="178">
        <f>X70/$N$89</f>
        <v>0</v>
      </c>
      <c r="Z70" s="79"/>
      <c r="AA70" s="39"/>
      <c r="AB70" s="39"/>
      <c r="AC70" s="106">
        <f t="shared" si="67"/>
        <v>0</v>
      </c>
      <c r="AD70" s="178">
        <f>AC70/$N$89</f>
        <v>0</v>
      </c>
      <c r="AE70" s="79"/>
      <c r="AF70" s="456"/>
      <c r="AG70" s="456"/>
      <c r="AH70" s="456">
        <f t="shared" si="69"/>
        <v>0</v>
      </c>
      <c r="AI70" s="456"/>
      <c r="AJ70" s="456"/>
      <c r="AK70" s="456"/>
      <c r="AL70" s="456"/>
      <c r="AM70" s="456">
        <f t="shared" si="70"/>
        <v>0</v>
      </c>
      <c r="AN70" s="456"/>
      <c r="AO70" s="456"/>
      <c r="AP70" s="456"/>
      <c r="AQ70" s="456"/>
      <c r="AR70" s="456">
        <f t="shared" si="71"/>
        <v>0</v>
      </c>
      <c r="AS70" s="456"/>
      <c r="AT70" s="456"/>
      <c r="AU70" s="456"/>
      <c r="AV70" s="456"/>
      <c r="AW70" s="456">
        <f t="shared" si="72"/>
        <v>0</v>
      </c>
      <c r="AX70" s="456"/>
      <c r="AY70" s="456"/>
      <c r="AZ70" s="456"/>
      <c r="BA70" s="456"/>
      <c r="BB70" s="456">
        <f t="shared" si="73"/>
        <v>0</v>
      </c>
      <c r="BC70" s="456"/>
      <c r="BD70" s="456"/>
      <c r="BE70" s="456"/>
      <c r="BF70" s="456"/>
      <c r="BG70" s="456">
        <f t="shared" si="74"/>
        <v>0</v>
      </c>
      <c r="BH70" s="456"/>
      <c r="BI70" s="456"/>
      <c r="BJ70" s="39">
        <f t="shared" si="75"/>
        <v>0</v>
      </c>
      <c r="BK70" s="39">
        <f t="shared" si="76"/>
        <v>5200</v>
      </c>
      <c r="BL70" s="106">
        <f t="shared" si="77"/>
        <v>5200</v>
      </c>
      <c r="BM70" s="178">
        <f t="shared" si="57"/>
        <v>5.2671444464281753E-4</v>
      </c>
      <c r="BN70" s="79"/>
    </row>
    <row r="71" spans="1:66" s="2" customFormat="1" ht="13.95" customHeight="1" outlineLevel="2" x14ac:dyDescent="0.25">
      <c r="A71" s="237"/>
      <c r="B71" s="19" t="s">
        <v>401</v>
      </c>
      <c r="C71" s="129"/>
      <c r="D71" s="128"/>
      <c r="E71" s="120">
        <f t="shared" si="60"/>
        <v>0</v>
      </c>
      <c r="F71" s="184">
        <f t="shared" si="78"/>
        <v>0</v>
      </c>
      <c r="G71" s="39">
        <v>0</v>
      </c>
      <c r="H71" s="39">
        <v>2020</v>
      </c>
      <c r="I71" s="106">
        <f t="shared" si="61"/>
        <v>2020</v>
      </c>
      <c r="J71" s="178">
        <f t="shared" si="58"/>
        <v>2.0954926321277724E-4</v>
      </c>
      <c r="K71" s="79"/>
      <c r="L71" s="39"/>
      <c r="M71" s="39"/>
      <c r="N71" s="106">
        <f t="shared" si="62"/>
        <v>0</v>
      </c>
      <c r="O71" s="178">
        <f t="shared" si="59"/>
        <v>0</v>
      </c>
      <c r="P71" s="79"/>
      <c r="Q71" s="39"/>
      <c r="R71" s="39"/>
      <c r="S71" s="106">
        <f t="shared" si="63"/>
        <v>0</v>
      </c>
      <c r="T71" s="178">
        <f t="shared" si="79"/>
        <v>0</v>
      </c>
      <c r="U71" s="79"/>
      <c r="V71" s="39"/>
      <c r="W71" s="39"/>
      <c r="X71" s="106">
        <f t="shared" si="65"/>
        <v>0</v>
      </c>
      <c r="Y71" s="178">
        <f>X71/$N$89</f>
        <v>0</v>
      </c>
      <c r="Z71" s="79"/>
      <c r="AA71" s="39"/>
      <c r="AB71" s="39"/>
      <c r="AC71" s="106">
        <f t="shared" si="67"/>
        <v>0</v>
      </c>
      <c r="AD71" s="178">
        <f>AC71/$N$89</f>
        <v>0</v>
      </c>
      <c r="AE71" s="79"/>
      <c r="AF71" s="456"/>
      <c r="AG71" s="456"/>
      <c r="AH71" s="456">
        <f t="shared" si="69"/>
        <v>0</v>
      </c>
      <c r="AI71" s="456"/>
      <c r="AJ71" s="456"/>
      <c r="AK71" s="456"/>
      <c r="AL71" s="456"/>
      <c r="AM71" s="456">
        <f t="shared" si="70"/>
        <v>0</v>
      </c>
      <c r="AN71" s="456"/>
      <c r="AO71" s="456"/>
      <c r="AP71" s="456"/>
      <c r="AQ71" s="456"/>
      <c r="AR71" s="456">
        <f t="shared" si="71"/>
        <v>0</v>
      </c>
      <c r="AS71" s="456"/>
      <c r="AT71" s="456"/>
      <c r="AU71" s="456"/>
      <c r="AV71" s="456"/>
      <c r="AW71" s="456">
        <f t="shared" si="72"/>
        <v>0</v>
      </c>
      <c r="AX71" s="456"/>
      <c r="AY71" s="456"/>
      <c r="AZ71" s="456"/>
      <c r="BA71" s="456"/>
      <c r="BB71" s="456">
        <f t="shared" si="73"/>
        <v>0</v>
      </c>
      <c r="BC71" s="456"/>
      <c r="BD71" s="456"/>
      <c r="BE71" s="456"/>
      <c r="BF71" s="456"/>
      <c r="BG71" s="456">
        <f t="shared" si="74"/>
        <v>0</v>
      </c>
      <c r="BH71" s="456"/>
      <c r="BI71" s="456"/>
      <c r="BJ71" s="39">
        <f t="shared" si="75"/>
        <v>0</v>
      </c>
      <c r="BK71" s="39">
        <f t="shared" si="76"/>
        <v>2020</v>
      </c>
      <c r="BL71" s="106">
        <f t="shared" si="77"/>
        <v>2020</v>
      </c>
      <c r="BM71" s="178">
        <f t="shared" si="57"/>
        <v>2.0460830349586372E-4</v>
      </c>
      <c r="BN71" s="79"/>
    </row>
    <row r="72" spans="1:66" s="2" customFormat="1" ht="14.4" outlineLevel="2" thickBot="1" x14ac:dyDescent="0.3">
      <c r="A72" s="237"/>
      <c r="B72" s="19"/>
      <c r="C72" s="130"/>
      <c r="D72" s="131"/>
      <c r="E72" s="159"/>
      <c r="F72" s="184">
        <f t="shared" si="78"/>
        <v>0</v>
      </c>
      <c r="G72" s="210">
        <v>0</v>
      </c>
      <c r="H72" s="210">
        <v>0</v>
      </c>
      <c r="I72" s="106"/>
      <c r="J72" s="178">
        <f t="shared" si="58"/>
        <v>0</v>
      </c>
      <c r="K72" s="79"/>
      <c r="L72" s="39"/>
      <c r="M72" s="39"/>
      <c r="N72" s="106"/>
      <c r="O72" s="178">
        <f t="shared" si="59"/>
        <v>0</v>
      </c>
      <c r="P72" s="79"/>
      <c r="Q72" s="39"/>
      <c r="R72" s="39"/>
      <c r="S72" s="106"/>
      <c r="T72" s="178">
        <f t="shared" si="79"/>
        <v>0</v>
      </c>
      <c r="U72" s="79"/>
      <c r="V72" s="39"/>
      <c r="W72" s="39"/>
      <c r="X72" s="106"/>
      <c r="Y72" s="178">
        <f>X72/$N$89</f>
        <v>0</v>
      </c>
      <c r="Z72" s="79"/>
      <c r="AA72" s="39"/>
      <c r="AB72" s="39"/>
      <c r="AC72" s="106"/>
      <c r="AD72" s="178">
        <f>AC72/$N$89</f>
        <v>0</v>
      </c>
      <c r="AE72" s="79"/>
      <c r="AF72" s="456"/>
      <c r="AG72" s="456"/>
      <c r="AH72" s="456"/>
      <c r="AI72" s="456"/>
      <c r="AJ72" s="456"/>
      <c r="AK72" s="456"/>
      <c r="AL72" s="456"/>
      <c r="AM72" s="456"/>
      <c r="AN72" s="456"/>
      <c r="AO72" s="456"/>
      <c r="AP72" s="456"/>
      <c r="AQ72" s="456"/>
      <c r="AR72" s="456"/>
      <c r="AS72" s="456"/>
      <c r="AT72" s="456"/>
      <c r="AU72" s="456"/>
      <c r="AV72" s="456"/>
      <c r="AW72" s="456"/>
      <c r="AX72" s="456"/>
      <c r="AY72" s="456"/>
      <c r="AZ72" s="456"/>
      <c r="BA72" s="456"/>
      <c r="BB72" s="456"/>
      <c r="BC72" s="456"/>
      <c r="BD72" s="456"/>
      <c r="BE72" s="456"/>
      <c r="BF72" s="456"/>
      <c r="BG72" s="456"/>
      <c r="BH72" s="456"/>
      <c r="BI72" s="456"/>
      <c r="BJ72" s="39">
        <f>G72+L72+Q72+V72+AF72</f>
        <v>0</v>
      </c>
      <c r="BK72" s="39">
        <f>H72+M72+R72+W72+AG72</f>
        <v>0</v>
      </c>
      <c r="BL72" s="106"/>
      <c r="BM72" s="178">
        <f t="shared" si="57"/>
        <v>0</v>
      </c>
      <c r="BN72" s="79"/>
    </row>
    <row r="73" spans="1:66" s="2" customFormat="1" ht="14.4" outlineLevel="1" thickBot="1" x14ac:dyDescent="0.3">
      <c r="A73" s="237"/>
      <c r="B73" s="13" t="s">
        <v>4</v>
      </c>
      <c r="C73" s="132">
        <f>C74</f>
        <v>182178.78</v>
      </c>
      <c r="D73" s="133">
        <f>D74</f>
        <v>0</v>
      </c>
      <c r="E73" s="132">
        <f>E74</f>
        <v>182178.78</v>
      </c>
      <c r="F73" s="171">
        <f>E73/$E$89</f>
        <v>3.4530901760806879E-2</v>
      </c>
      <c r="G73" s="139">
        <f>G74</f>
        <v>0</v>
      </c>
      <c r="H73" s="63">
        <f>H74</f>
        <v>0</v>
      </c>
      <c r="I73" s="60">
        <f>I74</f>
        <v>0</v>
      </c>
      <c r="J73" s="63"/>
      <c r="K73" s="63"/>
      <c r="L73" s="139">
        <f>L74</f>
        <v>0</v>
      </c>
      <c r="M73" s="63">
        <f>M74</f>
        <v>0</v>
      </c>
      <c r="N73" s="60">
        <f>N74</f>
        <v>0</v>
      </c>
      <c r="O73" s="63"/>
      <c r="P73" s="63"/>
      <c r="Q73" s="139">
        <f>Q74</f>
        <v>0</v>
      </c>
      <c r="R73" s="63">
        <f>R74</f>
        <v>0</v>
      </c>
      <c r="S73" s="60">
        <f>S74</f>
        <v>0</v>
      </c>
      <c r="T73" s="63"/>
      <c r="U73" s="63"/>
      <c r="V73" s="139">
        <f>V74</f>
        <v>0</v>
      </c>
      <c r="W73" s="63">
        <f>W74</f>
        <v>0</v>
      </c>
      <c r="X73" s="60">
        <f>X74</f>
        <v>0</v>
      </c>
      <c r="Y73" s="63"/>
      <c r="Z73" s="63"/>
      <c r="AA73" s="139">
        <f>AA74</f>
        <v>0</v>
      </c>
      <c r="AB73" s="63">
        <f>AB74</f>
        <v>0</v>
      </c>
      <c r="AC73" s="60">
        <f>AC74</f>
        <v>0</v>
      </c>
      <c r="AD73" s="63"/>
      <c r="AE73" s="63"/>
      <c r="AF73" s="645"/>
      <c r="AG73" s="645"/>
      <c r="AH73" s="645">
        <f>AH74</f>
        <v>0</v>
      </c>
      <c r="AI73" s="645"/>
      <c r="AJ73" s="645"/>
      <c r="AK73" s="645"/>
      <c r="AL73" s="645"/>
      <c r="AM73" s="645">
        <f>AM74</f>
        <v>0</v>
      </c>
      <c r="AN73" s="645"/>
      <c r="AO73" s="645"/>
      <c r="AP73" s="645"/>
      <c r="AQ73" s="645"/>
      <c r="AR73" s="645">
        <f>AR74</f>
        <v>0</v>
      </c>
      <c r="AS73" s="645"/>
      <c r="AT73" s="645"/>
      <c r="AU73" s="645"/>
      <c r="AV73" s="645"/>
      <c r="AW73" s="645">
        <f>AW74</f>
        <v>0</v>
      </c>
      <c r="AX73" s="645"/>
      <c r="AY73" s="645"/>
      <c r="AZ73" s="645"/>
      <c r="BA73" s="645"/>
      <c r="BB73" s="645">
        <f>BB74</f>
        <v>0</v>
      </c>
      <c r="BC73" s="645"/>
      <c r="BD73" s="645"/>
      <c r="BE73" s="645"/>
      <c r="BF73" s="645"/>
      <c r="BG73" s="645">
        <f>BG74</f>
        <v>0</v>
      </c>
      <c r="BH73" s="645"/>
      <c r="BI73" s="645"/>
      <c r="BJ73" s="139">
        <f>BJ74</f>
        <v>0</v>
      </c>
      <c r="BK73" s="63">
        <f>BK74</f>
        <v>0</v>
      </c>
      <c r="BL73" s="60">
        <f>BL74</f>
        <v>0</v>
      </c>
      <c r="BM73" s="63"/>
      <c r="BN73" s="63"/>
    </row>
    <row r="74" spans="1:66" s="2" customFormat="1" ht="14.4" outlineLevel="1" thickBot="1" x14ac:dyDescent="0.3">
      <c r="A74" s="20"/>
      <c r="B74" s="225" t="s">
        <v>64</v>
      </c>
      <c r="C74" s="129">
        <f>C6*3%</f>
        <v>182178.78</v>
      </c>
      <c r="D74" s="135"/>
      <c r="E74" s="136">
        <f>C74+D74</f>
        <v>182178.78</v>
      </c>
      <c r="F74" s="185"/>
      <c r="G74" s="39"/>
      <c r="H74" s="39"/>
      <c r="I74" s="64">
        <f>G74+H74*1</f>
        <v>0</v>
      </c>
      <c r="J74" s="64"/>
      <c r="K74" s="64"/>
      <c r="L74" s="39">
        <f>L6*3%</f>
        <v>0</v>
      </c>
      <c r="M74" s="39"/>
      <c r="N74" s="106">
        <f>L74+M74*1</f>
        <v>0</v>
      </c>
      <c r="O74" s="64"/>
      <c r="P74" s="64"/>
      <c r="Q74" s="39"/>
      <c r="R74" s="39"/>
      <c r="S74" s="527">
        <f>Q74+R74*1</f>
        <v>0</v>
      </c>
      <c r="T74" s="64"/>
      <c r="U74" s="64"/>
      <c r="V74" s="39">
        <f>V6*3%</f>
        <v>0</v>
      </c>
      <c r="W74" s="39"/>
      <c r="X74" s="64">
        <f>V74+W74*1</f>
        <v>0</v>
      </c>
      <c r="Y74" s="64"/>
      <c r="Z74" s="64"/>
      <c r="AA74" s="39">
        <f>AA6*3%</f>
        <v>0</v>
      </c>
      <c r="AB74" s="39"/>
      <c r="AC74" s="64">
        <f>AA74+AB74*1</f>
        <v>0</v>
      </c>
      <c r="AD74" s="64"/>
      <c r="AE74" s="64"/>
      <c r="AF74" s="635"/>
      <c r="AG74" s="635"/>
      <c r="AH74" s="635">
        <f>AF74+AG74*1</f>
        <v>0</v>
      </c>
      <c r="AI74" s="635"/>
      <c r="AJ74" s="635"/>
      <c r="AK74" s="635"/>
      <c r="AL74" s="635"/>
      <c r="AM74" s="635">
        <f>AK74+AL74*1</f>
        <v>0</v>
      </c>
      <c r="AN74" s="635"/>
      <c r="AO74" s="635"/>
      <c r="AP74" s="635"/>
      <c r="AQ74" s="635"/>
      <c r="AR74" s="635">
        <f>AP74+AQ74*1</f>
        <v>0</v>
      </c>
      <c r="AS74" s="635"/>
      <c r="AT74" s="635"/>
      <c r="AU74" s="635"/>
      <c r="AV74" s="635"/>
      <c r="AW74" s="635">
        <f>AU74+AV74*1</f>
        <v>0</v>
      </c>
      <c r="AX74" s="635"/>
      <c r="AY74" s="635"/>
      <c r="AZ74" s="635"/>
      <c r="BA74" s="635"/>
      <c r="BB74" s="635">
        <f>AZ74+BA74*1</f>
        <v>0</v>
      </c>
      <c r="BC74" s="635"/>
      <c r="BD74" s="635"/>
      <c r="BE74" s="635"/>
      <c r="BF74" s="635"/>
      <c r="BG74" s="635">
        <f>BE74+BF74*1</f>
        <v>0</v>
      </c>
      <c r="BH74" s="635"/>
      <c r="BI74" s="635"/>
      <c r="BJ74" s="39">
        <f>G74+L74+Q74+V74</f>
        <v>0</v>
      </c>
      <c r="BK74" s="39">
        <f>H74+M74+R74+W74</f>
        <v>0</v>
      </c>
      <c r="BL74" s="523">
        <f>BJ74+BK74*1</f>
        <v>0</v>
      </c>
      <c r="BM74" s="64"/>
      <c r="BN74" s="64"/>
    </row>
    <row r="75" spans="1:66" s="2" customFormat="1" ht="14.4" thickBot="1" x14ac:dyDescent="0.3">
      <c r="A75" s="5"/>
      <c r="B75" s="23" t="s">
        <v>48</v>
      </c>
      <c r="C75" s="137">
        <f>C38-C41-C50-C54</f>
        <v>1993222</v>
      </c>
      <c r="D75" s="137">
        <f>D38-D41-D50-D54</f>
        <v>-1014236</v>
      </c>
      <c r="E75" s="138">
        <f>E38-E41-E50-E54</f>
        <v>978986</v>
      </c>
      <c r="F75" s="172"/>
      <c r="G75" s="65">
        <f>G38-G41-G50-G54</f>
        <v>2055395.4129000013</v>
      </c>
      <c r="H75" s="65">
        <f>H38-H41-H50-H54</f>
        <v>-1774641.18</v>
      </c>
      <c r="I75" s="66">
        <f>I38-I41-I50-I54</f>
        <v>280754.23289999983</v>
      </c>
      <c r="J75" s="66"/>
      <c r="K75" s="66"/>
      <c r="L75" s="65">
        <f>L38-L41-L50-L54</f>
        <v>-30861.77</v>
      </c>
      <c r="M75" s="65">
        <f>M38-M41-M50-M54</f>
        <v>-44663.25</v>
      </c>
      <c r="N75" s="138">
        <f>N38-N41-N50-N54</f>
        <v>-75525.02</v>
      </c>
      <c r="O75" s="66"/>
      <c r="P75" s="66"/>
      <c r="Q75" s="65">
        <f>Q38-Q41-Q50-Q54</f>
        <v>1298381.99</v>
      </c>
      <c r="R75" s="65">
        <f>R38-R41-R50-R54</f>
        <v>-430</v>
      </c>
      <c r="S75" s="138">
        <f>S38-S41-S50-S54</f>
        <v>1297951.99</v>
      </c>
      <c r="T75" s="66"/>
      <c r="U75" s="66"/>
      <c r="V75" s="65">
        <f>V38-V41-V50-V54</f>
        <v>0</v>
      </c>
      <c r="W75" s="65">
        <f>W38-W41-W50-W54</f>
        <v>173</v>
      </c>
      <c r="X75" s="138">
        <f>X38-X41-X50-X54</f>
        <v>173</v>
      </c>
      <c r="Y75" s="66"/>
      <c r="Z75" s="66"/>
      <c r="AA75" s="65">
        <f>AA38-AA41-AA50-AA54</f>
        <v>-52</v>
      </c>
      <c r="AB75" s="65">
        <f>AB38-AB41-AB50-AB54</f>
        <v>0</v>
      </c>
      <c r="AC75" s="138">
        <f>AC38-AC41-AC50-AC54</f>
        <v>-52</v>
      </c>
      <c r="AD75" s="66"/>
      <c r="AE75" s="66"/>
      <c r="AF75" s="646"/>
      <c r="AG75" s="646"/>
      <c r="AH75" s="646">
        <f>AH38-AH41-AH50-AH54</f>
        <v>-500</v>
      </c>
      <c r="AI75" s="646"/>
      <c r="AJ75" s="646"/>
      <c r="AK75" s="646"/>
      <c r="AL75" s="646"/>
      <c r="AM75" s="646">
        <f>AM38-AM41-AM50-AM54</f>
        <v>-192</v>
      </c>
      <c r="AN75" s="646"/>
      <c r="AO75" s="646"/>
      <c r="AP75" s="646"/>
      <c r="AQ75" s="646"/>
      <c r="AR75" s="646">
        <f>AR38-AR41-AR50-AR54</f>
        <v>-113</v>
      </c>
      <c r="AS75" s="646"/>
      <c r="AT75" s="646"/>
      <c r="AU75" s="646"/>
      <c r="AV75" s="646"/>
      <c r="AW75" s="646">
        <f>AW38-AW41-AW50-AW54</f>
        <v>0</v>
      </c>
      <c r="AX75" s="646"/>
      <c r="AY75" s="646"/>
      <c r="AZ75" s="646"/>
      <c r="BA75" s="646"/>
      <c r="BB75" s="646">
        <f>BB38-BB41-BB50-BB54</f>
        <v>0</v>
      </c>
      <c r="BC75" s="646"/>
      <c r="BD75" s="646"/>
      <c r="BE75" s="646"/>
      <c r="BF75" s="646"/>
      <c r="BG75" s="646">
        <f>BG38-BG41-BG50-BG54</f>
        <v>-147260.55600000001</v>
      </c>
      <c r="BH75" s="646"/>
      <c r="BI75" s="646"/>
      <c r="BJ75" s="65">
        <f>BJ38-BJ41-BJ50-BJ54</f>
        <v>3174850.0769000011</v>
      </c>
      <c r="BK75" s="65">
        <f>BK38-BK41-BK50-BK54</f>
        <v>-1819561.43</v>
      </c>
      <c r="BL75" s="138">
        <f>BL38-BL41-BL50-BL54</f>
        <v>1355288.6469000005</v>
      </c>
      <c r="BM75" s="66"/>
      <c r="BN75" s="66"/>
    </row>
    <row r="76" spans="1:66" s="2" customFormat="1" ht="13.8" x14ac:dyDescent="0.25">
      <c r="A76" s="294"/>
      <c r="B76" s="36" t="s">
        <v>49</v>
      </c>
      <c r="C76" s="157">
        <f>C75/C5</f>
        <v>0.32823065342736402</v>
      </c>
      <c r="D76" s="157" t="e">
        <f>D75/D5</f>
        <v>#DIV/0!</v>
      </c>
      <c r="E76" s="158">
        <f>E75/E5</f>
        <v>0.16121295795262214</v>
      </c>
      <c r="F76" s="167"/>
      <c r="G76" s="54">
        <f>G75/G5</f>
        <v>0.2123672386948505</v>
      </c>
      <c r="H76" s="54" t="e">
        <f>H75/H5</f>
        <v>#DIV/0!</v>
      </c>
      <c r="I76" s="55">
        <f>I75/I5</f>
        <v>2.9008044300702484E-2</v>
      </c>
      <c r="J76" s="55"/>
      <c r="K76" s="55"/>
      <c r="L76" s="54" t="e">
        <f>L75/L5</f>
        <v>#DIV/0!</v>
      </c>
      <c r="M76" s="54" t="e">
        <f>M75/M5</f>
        <v>#DIV/0!</v>
      </c>
      <c r="N76" s="55" t="e">
        <f>N75/N5</f>
        <v>#DIV/0!</v>
      </c>
      <c r="O76" s="55"/>
      <c r="P76" s="55"/>
      <c r="Q76" s="54">
        <f>Q75/Q5</f>
        <v>0.99934962864879573</v>
      </c>
      <c r="R76" s="54" t="e">
        <f>R75/R5</f>
        <v>#DIV/0!</v>
      </c>
      <c r="S76" s="55">
        <f>S75/S5</f>
        <v>0.99901866261289207</v>
      </c>
      <c r="T76" s="55"/>
      <c r="U76" s="55"/>
      <c r="V76" s="54" t="e">
        <f>V75/V5</f>
        <v>#DIV/0!</v>
      </c>
      <c r="W76" s="54">
        <f>W75/W5</f>
        <v>0.14416666666666667</v>
      </c>
      <c r="X76" s="55">
        <f>X75/X5</f>
        <v>0.14416666666666667</v>
      </c>
      <c r="Y76" s="55"/>
      <c r="Z76" s="55"/>
      <c r="AA76" s="54" t="e">
        <f>AA75/AA5</f>
        <v>#DIV/0!</v>
      </c>
      <c r="AB76" s="54" t="e">
        <f>AB75/AB5</f>
        <v>#DIV/0!</v>
      </c>
      <c r="AC76" s="55" t="e">
        <f>AC75/AC5</f>
        <v>#DIV/0!</v>
      </c>
      <c r="AD76" s="55"/>
      <c r="AE76" s="55"/>
      <c r="AF76" s="639"/>
      <c r="AG76" s="639"/>
      <c r="AH76" s="639" t="e">
        <f>AH75/AH5</f>
        <v>#DIV/0!</v>
      </c>
      <c r="AI76" s="639"/>
      <c r="AJ76" s="639"/>
      <c r="AK76" s="639"/>
      <c r="AL76" s="639"/>
      <c r="AM76" s="639" t="e">
        <f>AM75/AM5</f>
        <v>#DIV/0!</v>
      </c>
      <c r="AN76" s="639"/>
      <c r="AO76" s="639"/>
      <c r="AP76" s="639"/>
      <c r="AQ76" s="639"/>
      <c r="AR76" s="639" t="e">
        <f>AR75/AR5</f>
        <v>#DIV/0!</v>
      </c>
      <c r="AS76" s="639"/>
      <c r="AT76" s="639"/>
      <c r="AU76" s="639"/>
      <c r="AV76" s="639"/>
      <c r="AW76" s="639" t="e">
        <f>AW75/AW5</f>
        <v>#DIV/0!</v>
      </c>
      <c r="AX76" s="639"/>
      <c r="AY76" s="639"/>
      <c r="AZ76" s="639"/>
      <c r="BA76" s="639"/>
      <c r="BB76" s="639" t="e">
        <f>BB75/BB5</f>
        <v>#DIV/0!</v>
      </c>
      <c r="BC76" s="639"/>
      <c r="BD76" s="639"/>
      <c r="BE76" s="639"/>
      <c r="BF76" s="639"/>
      <c r="BG76" s="639" t="e">
        <f>BG75/BG5</f>
        <v>#DIV/0!</v>
      </c>
      <c r="BH76" s="639"/>
      <c r="BI76" s="639"/>
      <c r="BJ76" s="54">
        <f>BJ75/BJ5</f>
        <v>0.28920844182919658</v>
      </c>
      <c r="BK76" s="54">
        <f>BK75/BK5</f>
        <v>-1516.3011916666667</v>
      </c>
      <c r="BL76" s="55">
        <f>BL75/BL5</f>
        <v>0.12344459323864265</v>
      </c>
      <c r="BM76" s="55"/>
      <c r="BN76" s="55"/>
    </row>
    <row r="77" spans="1:66" s="2" customFormat="1" ht="14.4" outlineLevel="1" thickBot="1" x14ac:dyDescent="0.3">
      <c r="A77" s="294"/>
      <c r="B77" s="27" t="s">
        <v>9</v>
      </c>
      <c r="C77" s="139">
        <f>C78-C79</f>
        <v>0</v>
      </c>
      <c r="D77" s="139">
        <f>D78-D79</f>
        <v>0</v>
      </c>
      <c r="E77" s="140">
        <f>E78-E79</f>
        <v>0</v>
      </c>
      <c r="F77" s="173"/>
      <c r="G77" s="139">
        <f>G78-G79</f>
        <v>0</v>
      </c>
      <c r="H77" s="139">
        <f>H78-H79</f>
        <v>0</v>
      </c>
      <c r="I77" s="140">
        <f>I78-I79</f>
        <v>-241996.52454545451</v>
      </c>
      <c r="J77" s="67"/>
      <c r="K77" s="67"/>
      <c r="L77" s="139">
        <f>L78-L79</f>
        <v>0</v>
      </c>
      <c r="M77" s="139">
        <f>M78-M79</f>
        <v>0</v>
      </c>
      <c r="N77" s="140">
        <f>N78-N79</f>
        <v>-6673.8189655172409</v>
      </c>
      <c r="O77" s="67"/>
      <c r="P77" s="67"/>
      <c r="Q77" s="139">
        <f>Q78-Q79</f>
        <v>0</v>
      </c>
      <c r="R77" s="139">
        <f>R78-R79</f>
        <v>0</v>
      </c>
      <c r="S77" s="140">
        <f>S78-S79</f>
        <v>-64.252873563218387</v>
      </c>
      <c r="T77" s="67"/>
      <c r="U77" s="67"/>
      <c r="V77" s="139">
        <f>V78-V79</f>
        <v>0</v>
      </c>
      <c r="W77" s="139">
        <f>W78-W79</f>
        <v>0</v>
      </c>
      <c r="X77" s="140">
        <f>X78-X79</f>
        <v>-153.45977011494253</v>
      </c>
      <c r="Y77" s="67"/>
      <c r="Z77" s="67"/>
      <c r="AA77" s="139">
        <f>AA78-AA79</f>
        <v>0</v>
      </c>
      <c r="AB77" s="139">
        <f>AB78-AB79</f>
        <v>0</v>
      </c>
      <c r="AC77" s="140">
        <f>AC78-AC79</f>
        <v>0</v>
      </c>
      <c r="AD77" s="67"/>
      <c r="AE77" s="67"/>
      <c r="AF77" s="640"/>
      <c r="AG77" s="640"/>
      <c r="AH77" s="640">
        <f>AH78-AH79</f>
        <v>0</v>
      </c>
      <c r="AI77" s="640"/>
      <c r="AJ77" s="640"/>
      <c r="AK77" s="640"/>
      <c r="AL77" s="640"/>
      <c r="AM77" s="640">
        <f>AM78-AM79</f>
        <v>0</v>
      </c>
      <c r="AN77" s="640"/>
      <c r="AO77" s="640"/>
      <c r="AP77" s="640"/>
      <c r="AQ77" s="640"/>
      <c r="AR77" s="640">
        <f>AR78-AR79</f>
        <v>0</v>
      </c>
      <c r="AS77" s="640"/>
      <c r="AT77" s="640"/>
      <c r="AU77" s="640"/>
      <c r="AV77" s="640"/>
      <c r="AW77" s="640">
        <f>AW78-AW79</f>
        <v>0</v>
      </c>
      <c r="AX77" s="640"/>
      <c r="AY77" s="640"/>
      <c r="AZ77" s="640"/>
      <c r="BA77" s="640"/>
      <c r="BB77" s="640">
        <f>BB78-BB79</f>
        <v>0</v>
      </c>
      <c r="BC77" s="640"/>
      <c r="BD77" s="640"/>
      <c r="BE77" s="640"/>
      <c r="BF77" s="640"/>
      <c r="BG77" s="640">
        <f>BG78-BG79</f>
        <v>0</v>
      </c>
      <c r="BH77" s="640"/>
      <c r="BI77" s="640"/>
      <c r="BJ77" s="139">
        <f>BJ78-BJ79</f>
        <v>0</v>
      </c>
      <c r="BK77" s="139">
        <f>BK78-BK79</f>
        <v>0</v>
      </c>
      <c r="BL77" s="140">
        <f>BL78-BL79</f>
        <v>-248888.05615464991</v>
      </c>
      <c r="BM77" s="67"/>
      <c r="BN77" s="67"/>
    </row>
    <row r="78" spans="1:66" s="2" customFormat="1" ht="13.8" outlineLevel="2" x14ac:dyDescent="0.25">
      <c r="A78" s="11"/>
      <c r="B78" s="6" t="s">
        <v>43</v>
      </c>
      <c r="C78" s="141"/>
      <c r="D78" s="142"/>
      <c r="E78" s="119">
        <f>C78+D78*1.15</f>
        <v>0</v>
      </c>
      <c r="F78" s="186"/>
      <c r="G78" s="39"/>
      <c r="H78" s="39"/>
      <c r="I78" s="68">
        <f>G78+H78*1.15</f>
        <v>0</v>
      </c>
      <c r="J78" s="68"/>
      <c r="K78" s="68"/>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641"/>
      <c r="AG78" s="641"/>
      <c r="AH78" s="641">
        <f>AF78+AG78*1.15</f>
        <v>0</v>
      </c>
      <c r="AI78" s="641"/>
      <c r="AJ78" s="641"/>
      <c r="AK78" s="641"/>
      <c r="AL78" s="641"/>
      <c r="AM78" s="641">
        <f>AK78+AL78*1.15</f>
        <v>0</v>
      </c>
      <c r="AN78" s="641"/>
      <c r="AO78" s="641"/>
      <c r="AP78" s="641"/>
      <c r="AQ78" s="641"/>
      <c r="AR78" s="641">
        <f>AP78+AQ78*1.15</f>
        <v>0</v>
      </c>
      <c r="AS78" s="641"/>
      <c r="AT78" s="641"/>
      <c r="AU78" s="641"/>
      <c r="AV78" s="641"/>
      <c r="AW78" s="641">
        <f>AU78+AV78*1.15</f>
        <v>0</v>
      </c>
      <c r="AX78" s="641"/>
      <c r="AY78" s="641"/>
      <c r="AZ78" s="641"/>
      <c r="BA78" s="641"/>
      <c r="BB78" s="641">
        <f>AZ78+BA78*1.15</f>
        <v>0</v>
      </c>
      <c r="BC78" s="641"/>
      <c r="BD78" s="641"/>
      <c r="BE78" s="641"/>
      <c r="BF78" s="641"/>
      <c r="BG78" s="641">
        <f>BE78+BF78*1.15</f>
        <v>0</v>
      </c>
      <c r="BH78" s="641"/>
      <c r="BI78" s="641"/>
      <c r="BJ78" s="39">
        <f>G78+L78+Q78+V78+AF78+AK78+AP78+AU78+AZ78</f>
        <v>0</v>
      </c>
      <c r="BK78" s="39">
        <f>H78+M78+R78+W78+AG78+AL78+AQ78+AV78+BA78</f>
        <v>0</v>
      </c>
      <c r="BL78" s="68">
        <f>BJ78+BK78*1.15</f>
        <v>0</v>
      </c>
      <c r="BM78" s="68"/>
      <c r="BN78" s="68"/>
    </row>
    <row r="79" spans="1:66" s="2" customFormat="1" ht="13.8" outlineLevel="2" x14ac:dyDescent="0.25">
      <c r="A79" s="11"/>
      <c r="B79" s="24" t="s">
        <v>79</v>
      </c>
      <c r="C79" s="113"/>
      <c r="D79" s="119"/>
      <c r="E79" s="119">
        <f>C79+D79*1.15</f>
        <v>0</v>
      </c>
      <c r="F79" s="180">
        <f>E79/$E$89</f>
        <v>0</v>
      </c>
      <c r="G79" s="39"/>
      <c r="H79" s="39"/>
      <c r="I79" s="106">
        <f>(H8+H41+H50+H54)/0.88*0.12</f>
        <v>241996.52454545451</v>
      </c>
      <c r="J79" s="45"/>
      <c r="K79" s="45"/>
      <c r="L79" s="39"/>
      <c r="M79" s="39"/>
      <c r="N79" s="106">
        <f>(M8+M41+M50+M54)/(1-'расчет 2022'!E4)*'расчет 2022'!E4</f>
        <v>6673.8189655172409</v>
      </c>
      <c r="O79" s="45"/>
      <c r="P79" s="45"/>
      <c r="Q79" s="39"/>
      <c r="R79" s="39"/>
      <c r="S79" s="106">
        <f>(R8+R41+R50+R54)/(1-'расчет 2022'!E4)*'расчет 2022'!E4</f>
        <v>64.252873563218387</v>
      </c>
      <c r="T79" s="45"/>
      <c r="U79" s="45"/>
      <c r="V79" s="39"/>
      <c r="W79" s="39"/>
      <c r="X79" s="106">
        <f>(W8+W41+W50+W54)/(1-'расчет 2022'!E6)*'расчет 2022'!E6</f>
        <v>153.45977011494253</v>
      </c>
      <c r="Y79" s="45"/>
      <c r="Z79" s="45"/>
      <c r="AA79" s="39"/>
      <c r="AB79" s="39"/>
      <c r="AC79" s="106">
        <f>(AB8+AB41+AB50+AB54)/(1-'расчет 2022'!J6)*'расчет 2022'!J6</f>
        <v>0</v>
      </c>
      <c r="AD79" s="45"/>
      <c r="AE79" s="45"/>
      <c r="AF79" s="642"/>
      <c r="AG79" s="642"/>
      <c r="AH79" s="642"/>
      <c r="AI79" s="642"/>
      <c r="AJ79" s="642"/>
      <c r="AK79" s="642"/>
      <c r="AL79" s="642"/>
      <c r="AM79" s="642"/>
      <c r="AN79" s="642"/>
      <c r="AO79" s="642"/>
      <c r="AP79" s="642"/>
      <c r="AQ79" s="642"/>
      <c r="AR79" s="642"/>
      <c r="AS79" s="642"/>
      <c r="AT79" s="642"/>
      <c r="AU79" s="642"/>
      <c r="AV79" s="642"/>
      <c r="AW79" s="642"/>
      <c r="AX79" s="642"/>
      <c r="AY79" s="642"/>
      <c r="AZ79" s="642"/>
      <c r="BA79" s="642"/>
      <c r="BB79" s="642"/>
      <c r="BC79" s="642"/>
      <c r="BD79" s="642"/>
      <c r="BE79" s="642"/>
      <c r="BF79" s="642"/>
      <c r="BG79" s="642"/>
      <c r="BH79" s="642"/>
      <c r="BI79" s="642"/>
      <c r="BJ79" s="39">
        <f>G79+L79+Q79+V79+AF79+AK79+AP79+AU79+AZ79</f>
        <v>0</v>
      </c>
      <c r="BK79" s="39">
        <f>H79+M79+R79+W79+AG79+AL79+AQ79+AV79+BA79</f>
        <v>0</v>
      </c>
      <c r="BL79" s="106">
        <f>I79+N79+S79+X79+AH79+BG79</f>
        <v>248888.05615464991</v>
      </c>
      <c r="BM79" s="45"/>
      <c r="BN79" s="45"/>
    </row>
    <row r="80" spans="1:66" ht="13.8" outlineLevel="2" x14ac:dyDescent="0.25">
      <c r="A80" s="3"/>
      <c r="B80" s="25"/>
      <c r="C80" s="143"/>
      <c r="D80" s="144"/>
      <c r="E80" s="145"/>
      <c r="F80" s="187"/>
      <c r="G80" s="39"/>
      <c r="H80" s="39"/>
      <c r="I80" s="69"/>
      <c r="J80" s="69"/>
      <c r="K80" s="69"/>
      <c r="L80" s="39"/>
      <c r="M80" s="39"/>
      <c r="N80" s="69"/>
      <c r="O80" s="69"/>
      <c r="P80" s="69"/>
      <c r="Q80" s="39"/>
      <c r="R80" s="39"/>
      <c r="S80" s="69"/>
      <c r="T80" s="69"/>
      <c r="U80" s="69"/>
      <c r="V80" s="39"/>
      <c r="W80" s="39"/>
      <c r="X80" s="69"/>
      <c r="Y80" s="69"/>
      <c r="Z80" s="69"/>
      <c r="AA80" s="39"/>
      <c r="AB80" s="39"/>
      <c r="AC80" s="69"/>
      <c r="AD80" s="69"/>
      <c r="AE80" s="69"/>
      <c r="AF80" s="476"/>
      <c r="AG80" s="476"/>
      <c r="AH80" s="476"/>
      <c r="AI80" s="476"/>
      <c r="AJ80" s="476"/>
      <c r="AK80" s="476"/>
      <c r="AL80" s="476"/>
      <c r="AM80" s="476"/>
      <c r="AN80" s="476"/>
      <c r="AO80" s="476"/>
      <c r="AP80" s="476"/>
      <c r="AQ80" s="476"/>
      <c r="AR80" s="476"/>
      <c r="AS80" s="476"/>
      <c r="AT80" s="476"/>
      <c r="AU80" s="476"/>
      <c r="AV80" s="476"/>
      <c r="AW80" s="476"/>
      <c r="AX80" s="476"/>
      <c r="AY80" s="476"/>
      <c r="AZ80" s="476"/>
      <c r="BA80" s="476"/>
      <c r="BB80" s="476"/>
      <c r="BC80" s="476"/>
      <c r="BD80" s="476"/>
      <c r="BE80" s="476"/>
      <c r="BF80" s="476"/>
      <c r="BG80" s="476"/>
      <c r="BH80" s="476"/>
      <c r="BI80" s="476"/>
      <c r="BJ80" s="39"/>
      <c r="BK80" s="39"/>
      <c r="BL80" s="69"/>
      <c r="BM80" s="69"/>
      <c r="BN80" s="69"/>
    </row>
    <row r="81" spans="1:66" s="2" customFormat="1" ht="14.4" outlineLevel="1" thickBot="1" x14ac:dyDescent="0.3">
      <c r="A81" s="26"/>
      <c r="B81" s="27" t="s">
        <v>12</v>
      </c>
      <c r="C81" s="139">
        <f>(C75+C78)-C79</f>
        <v>1993222</v>
      </c>
      <c r="D81" s="139">
        <f>(D75+D78)-D79</f>
        <v>-1014236</v>
      </c>
      <c r="E81" s="140">
        <f>(E75+E78)-E79</f>
        <v>978986</v>
      </c>
      <c r="F81" s="173"/>
      <c r="G81" s="140">
        <f>(G75+G78)-G79</f>
        <v>2055395.4129000013</v>
      </c>
      <c r="H81" s="139">
        <f>(H75+H78)-H79</f>
        <v>-1774641.18</v>
      </c>
      <c r="I81" s="140">
        <f>(I75+I78)-I79</f>
        <v>38757.708354545321</v>
      </c>
      <c r="J81" s="67"/>
      <c r="K81" s="67"/>
      <c r="L81" s="139">
        <f>(L75+L78)-L79</f>
        <v>-30861.77</v>
      </c>
      <c r="M81" s="139">
        <f>(M75+M78)-M79</f>
        <v>-44663.25</v>
      </c>
      <c r="N81" s="140">
        <f>(N75+N78)-N79</f>
        <v>-82198.83896551725</v>
      </c>
      <c r="O81" s="67"/>
      <c r="P81" s="67"/>
      <c r="Q81" s="139">
        <f>(Q75+Q78)-Q79</f>
        <v>1298381.99</v>
      </c>
      <c r="R81" s="139">
        <f>(R75+R78)-R79</f>
        <v>-430</v>
      </c>
      <c r="S81" s="140">
        <f>(S75+S78)-S79</f>
        <v>1297887.7371264368</v>
      </c>
      <c r="T81" s="67"/>
      <c r="U81" s="67"/>
      <c r="V81" s="139">
        <f>(V75+V78)-V79</f>
        <v>0</v>
      </c>
      <c r="W81" s="139">
        <f>(W75+W78)-W79</f>
        <v>173</v>
      </c>
      <c r="X81" s="140">
        <f>(X75+X78)-X79</f>
        <v>19.540229885057471</v>
      </c>
      <c r="Y81" s="67"/>
      <c r="Z81" s="67"/>
      <c r="AA81" s="139">
        <f>(AA75+AA78)-AA79</f>
        <v>-52</v>
      </c>
      <c r="AB81" s="139">
        <f>(AB75+AB78)-AB79</f>
        <v>0</v>
      </c>
      <c r="AC81" s="140">
        <f>(AC75+AC78)-AC79</f>
        <v>-52</v>
      </c>
      <c r="AD81" s="67"/>
      <c r="AE81" s="67"/>
      <c r="AF81" s="640">
        <f>(AF75+AF78)-AF79</f>
        <v>0</v>
      </c>
      <c r="AG81" s="640">
        <f>(AG75+AG78)-AG79</f>
        <v>0</v>
      </c>
      <c r="AH81" s="640">
        <f>(AH75+AH78)-AH79</f>
        <v>-500</v>
      </c>
      <c r="AI81" s="640"/>
      <c r="AJ81" s="640"/>
      <c r="AK81" s="640">
        <f>(AK75+AK78)-AK79</f>
        <v>0</v>
      </c>
      <c r="AL81" s="640">
        <f>(AL75+AL78)-AL79</f>
        <v>0</v>
      </c>
      <c r="AM81" s="640">
        <f>(AM75+AM78)-AM79</f>
        <v>-192</v>
      </c>
      <c r="AN81" s="640"/>
      <c r="AO81" s="640"/>
      <c r="AP81" s="640">
        <f>(AP75+AP78)-AP79</f>
        <v>0</v>
      </c>
      <c r="AQ81" s="640">
        <f>(AQ75+AQ78)-AQ79</f>
        <v>0</v>
      </c>
      <c r="AR81" s="640">
        <f>(AR75+AR78)-AR79</f>
        <v>-113</v>
      </c>
      <c r="AS81" s="640"/>
      <c r="AT81" s="640"/>
      <c r="AU81" s="640">
        <f>(AU75+AU78)-AU79</f>
        <v>0</v>
      </c>
      <c r="AV81" s="640">
        <f>(AV75+AV78)-AV79</f>
        <v>0</v>
      </c>
      <c r="AW81" s="640">
        <f>(AW75+AW78)-AW79</f>
        <v>0</v>
      </c>
      <c r="AX81" s="640"/>
      <c r="AY81" s="640"/>
      <c r="AZ81" s="640">
        <f>(AZ75+AZ78)-AZ79</f>
        <v>0</v>
      </c>
      <c r="BA81" s="640">
        <f>(BA75+BA78)-BA79</f>
        <v>0</v>
      </c>
      <c r="BB81" s="640">
        <f>(BB75+BB78)-BB79</f>
        <v>0</v>
      </c>
      <c r="BC81" s="640"/>
      <c r="BD81" s="640"/>
      <c r="BE81" s="640">
        <f>(BE75+BE78)-BE79</f>
        <v>0</v>
      </c>
      <c r="BF81" s="640">
        <f>(BF75+BF78)-BF79</f>
        <v>0</v>
      </c>
      <c r="BG81" s="640">
        <f>(BG75+BG78)-BG79</f>
        <v>-147260.55600000001</v>
      </c>
      <c r="BH81" s="640"/>
      <c r="BI81" s="640"/>
      <c r="BJ81" s="139">
        <f>(BJ75+BJ78)-BJ79</f>
        <v>3174850.0769000011</v>
      </c>
      <c r="BK81" s="139">
        <f>(BK75+BK78)-BK79</f>
        <v>-1819561.43</v>
      </c>
      <c r="BL81" s="140">
        <f>(BL75+BL78)-BL79</f>
        <v>1106400.5907453506</v>
      </c>
      <c r="BM81" s="67"/>
      <c r="BN81" s="67"/>
    </row>
    <row r="82" spans="1:66" s="2" customFormat="1" ht="13.95" customHeight="1" outlineLevel="2" x14ac:dyDescent="0.25">
      <c r="A82" s="293"/>
      <c r="B82" s="308" t="s">
        <v>38</v>
      </c>
      <c r="C82" s="112"/>
      <c r="D82" s="310"/>
      <c r="E82" s="334">
        <f>C82+D82</f>
        <v>0</v>
      </c>
      <c r="F82" s="335">
        <f>E82/$E$89</f>
        <v>0</v>
      </c>
      <c r="G82" s="112"/>
      <c r="H82" s="142"/>
      <c r="I82" s="146">
        <f>G82+H82</f>
        <v>0</v>
      </c>
      <c r="J82" s="101"/>
      <c r="K82" s="101"/>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642"/>
      <c r="AG82" s="642"/>
      <c r="AH82" s="642">
        <f>AF82+AG82</f>
        <v>0</v>
      </c>
      <c r="AI82" s="642"/>
      <c r="AJ82" s="642"/>
      <c r="AK82" s="642"/>
      <c r="AL82" s="642"/>
      <c r="AM82" s="642">
        <f>AK82+AL82</f>
        <v>0</v>
      </c>
      <c r="AN82" s="642"/>
      <c r="AO82" s="642"/>
      <c r="AP82" s="642"/>
      <c r="AQ82" s="642"/>
      <c r="AR82" s="642">
        <f>AP82+AQ82</f>
        <v>0</v>
      </c>
      <c r="AS82" s="642"/>
      <c r="AT82" s="642"/>
      <c r="AU82" s="642"/>
      <c r="AV82" s="642"/>
      <c r="AW82" s="642">
        <f>AU82+AV82</f>
        <v>0</v>
      </c>
      <c r="AX82" s="642"/>
      <c r="AY82" s="642"/>
      <c r="AZ82" s="642"/>
      <c r="BA82" s="642"/>
      <c r="BB82" s="642">
        <f>AZ82+BA82</f>
        <v>0</v>
      </c>
      <c r="BC82" s="642"/>
      <c r="BD82" s="642"/>
      <c r="BE82" s="642"/>
      <c r="BF82" s="642"/>
      <c r="BG82" s="642">
        <f>BE82+BF82</f>
        <v>0</v>
      </c>
      <c r="BH82" s="642"/>
      <c r="BI82" s="642"/>
      <c r="BJ82" s="39"/>
      <c r="BK82" s="39"/>
      <c r="BL82" s="146">
        <f>BJ82+BK82</f>
        <v>0</v>
      </c>
      <c r="BM82" s="101"/>
      <c r="BN82" s="101"/>
    </row>
    <row r="83" spans="1:66" s="2" customFormat="1" ht="13.8" outlineLevel="1" x14ac:dyDescent="0.25">
      <c r="A83" s="11"/>
      <c r="B83" s="28" t="s">
        <v>13</v>
      </c>
      <c r="C83" s="147">
        <f>(C81+C7)-C36</f>
        <v>1993222</v>
      </c>
      <c r="D83" s="147">
        <f>(D81+D7)-D36</f>
        <v>-1014236</v>
      </c>
      <c r="E83" s="147">
        <f>(E81+E7)-E36</f>
        <v>978986</v>
      </c>
      <c r="F83" s="174"/>
      <c r="G83" s="147">
        <f>(G81+G7)-G36</f>
        <v>2055395.4129000013</v>
      </c>
      <c r="H83" s="147">
        <f>(H81+H7)-H36</f>
        <v>-1774641.18</v>
      </c>
      <c r="I83" s="148">
        <f>(I81+I7)-I36</f>
        <v>38757.708354545321</v>
      </c>
      <c r="J83" s="70"/>
      <c r="K83" s="70"/>
      <c r="L83" s="147">
        <f>(L81+L7)-L36</f>
        <v>-30861.77</v>
      </c>
      <c r="M83" s="147">
        <f>(M81+M7)-M36</f>
        <v>-44663.25</v>
      </c>
      <c r="N83" s="148">
        <f>(N81+N7)-N36</f>
        <v>-82198.83896551725</v>
      </c>
      <c r="O83" s="70"/>
      <c r="P83" s="70"/>
      <c r="Q83" s="147">
        <f>(Q81+Q7)-Q36</f>
        <v>1298381.99</v>
      </c>
      <c r="R83" s="147">
        <f>(R81+R7)-R36</f>
        <v>-430</v>
      </c>
      <c r="S83" s="148">
        <f>(S81+S7)-S36</f>
        <v>1297887.7371264368</v>
      </c>
      <c r="T83" s="70"/>
      <c r="U83" s="70"/>
      <c r="V83" s="147">
        <f>(V81+V7)-V36</f>
        <v>219</v>
      </c>
      <c r="W83" s="147">
        <f>(W81+W7)-W36</f>
        <v>173</v>
      </c>
      <c r="X83" s="148">
        <f>(X81+X7)-X36</f>
        <v>238.54022988505747</v>
      </c>
      <c r="Y83" s="70"/>
      <c r="Z83" s="70"/>
      <c r="AA83" s="147">
        <f>(AA81+AA7)-AA36</f>
        <v>-52</v>
      </c>
      <c r="AB83" s="147">
        <f>(AB81+AB7)-AB36</f>
        <v>0</v>
      </c>
      <c r="AC83" s="148">
        <f>(AC81+AC7)-AC36</f>
        <v>-52</v>
      </c>
      <c r="AD83" s="70"/>
      <c r="AE83" s="70"/>
      <c r="AF83" s="643">
        <f>(AF81)-AF36</f>
        <v>0</v>
      </c>
      <c r="AG83" s="643">
        <f>(AG81)-AG36</f>
        <v>0</v>
      </c>
      <c r="AH83" s="643">
        <f>(AH81)-AH36</f>
        <v>-500</v>
      </c>
      <c r="AI83" s="643"/>
      <c r="AJ83" s="643"/>
      <c r="AK83" s="643">
        <f>(AK81)-AK36</f>
        <v>0</v>
      </c>
      <c r="AL83" s="643">
        <f>(AL81)-AL36</f>
        <v>0</v>
      </c>
      <c r="AM83" s="643">
        <f>(AM81)-AM36</f>
        <v>-192</v>
      </c>
      <c r="AN83" s="643"/>
      <c r="AO83" s="643"/>
      <c r="AP83" s="643">
        <f>(AP81)-AP36</f>
        <v>0</v>
      </c>
      <c r="AQ83" s="643">
        <f>(AQ81)-AQ36</f>
        <v>0</v>
      </c>
      <c r="AR83" s="643">
        <f>(AR81)-AR36</f>
        <v>-113</v>
      </c>
      <c r="AS83" s="643"/>
      <c r="AT83" s="643"/>
      <c r="AU83" s="643">
        <f>(AU81)-AU36</f>
        <v>0</v>
      </c>
      <c r="AV83" s="643">
        <f>(AV81)-AV36</f>
        <v>0</v>
      </c>
      <c r="AW83" s="643">
        <f>(AW81)-AW36</f>
        <v>0</v>
      </c>
      <c r="AX83" s="643"/>
      <c r="AY83" s="643"/>
      <c r="AZ83" s="643">
        <f>(AZ81)-AZ36</f>
        <v>0</v>
      </c>
      <c r="BA83" s="643">
        <f>(BA81)-BA36</f>
        <v>0</v>
      </c>
      <c r="BB83" s="643">
        <f>(BB81)-BB36</f>
        <v>0</v>
      </c>
      <c r="BC83" s="643"/>
      <c r="BD83" s="643"/>
      <c r="BE83" s="643">
        <f>(BE81)-BE36</f>
        <v>0</v>
      </c>
      <c r="BF83" s="643">
        <f>(BF81)-BF36</f>
        <v>0</v>
      </c>
      <c r="BG83" s="643">
        <f>(BG81)-BG36</f>
        <v>-147260.55600000001</v>
      </c>
      <c r="BH83" s="643"/>
      <c r="BI83" s="643"/>
      <c r="BJ83" s="147">
        <f>(BJ81)-BJ36</f>
        <v>3174850.0769000011</v>
      </c>
      <c r="BK83" s="147">
        <f>(BK81)-BK36</f>
        <v>-1819561.43</v>
      </c>
      <c r="BL83" s="148">
        <f>(BL81)-BL36</f>
        <v>1106400.5907453506</v>
      </c>
      <c r="BM83" s="70"/>
      <c r="BN83" s="70"/>
    </row>
    <row r="84" spans="1:66" s="2" customFormat="1" ht="14.4" outlineLevel="1" thickBot="1" x14ac:dyDescent="0.3">
      <c r="A84" s="11"/>
      <c r="B84" s="211" t="s">
        <v>14</v>
      </c>
      <c r="C84" s="212">
        <f>C83-C73-C82</f>
        <v>1811043.22</v>
      </c>
      <c r="D84" s="212">
        <f>D83-D73-D82</f>
        <v>-1014236</v>
      </c>
      <c r="E84" s="212">
        <f>E83-E73-E82</f>
        <v>796807.22</v>
      </c>
      <c r="F84" s="214"/>
      <c r="G84" s="39">
        <v>2055395.4129000001</v>
      </c>
      <c r="H84" s="39">
        <v>-1774641.1800000002</v>
      </c>
      <c r="I84" s="213">
        <f>I83-I73-I82</f>
        <v>38757.708354545321</v>
      </c>
      <c r="J84" s="82"/>
      <c r="K84" s="82"/>
      <c r="L84" s="213">
        <f>L83-L73-L82</f>
        <v>-30861.77</v>
      </c>
      <c r="M84" s="213">
        <f>M83-M73-M82</f>
        <v>-44663.25</v>
      </c>
      <c r="N84" s="213">
        <f>N83-N73-N82</f>
        <v>-82198.83896551725</v>
      </c>
      <c r="O84" s="82"/>
      <c r="P84" s="82"/>
      <c r="Q84" s="213">
        <f>Q83-Q73-Q82</f>
        <v>1298381.99</v>
      </c>
      <c r="R84" s="213">
        <f>R83-R73-R82</f>
        <v>-430</v>
      </c>
      <c r="S84" s="213">
        <f>S83-S73-S82</f>
        <v>1297887.7371264368</v>
      </c>
      <c r="T84" s="82"/>
      <c r="U84" s="82"/>
      <c r="V84" s="213">
        <f>V83-V73-V82</f>
        <v>219</v>
      </c>
      <c r="W84" s="213">
        <f>W83-W73-W82</f>
        <v>173</v>
      </c>
      <c r="X84" s="213">
        <f>X83-X73-X82</f>
        <v>238.54022988505747</v>
      </c>
      <c r="Y84" s="82"/>
      <c r="Z84" s="82"/>
      <c r="AA84" s="213">
        <f>AA83-AA73-AA82</f>
        <v>-52</v>
      </c>
      <c r="AB84" s="213">
        <f>AB83-AB73-AB82</f>
        <v>0</v>
      </c>
      <c r="AC84" s="213">
        <f>AC83-AC73-AC82</f>
        <v>-52</v>
      </c>
      <c r="AD84" s="82"/>
      <c r="AE84" s="82"/>
      <c r="AF84" s="537">
        <f>AF83-AF73-AF82</f>
        <v>0</v>
      </c>
      <c r="AG84" s="537">
        <f>AG83-AG73-AG82</f>
        <v>0</v>
      </c>
      <c r="AH84" s="537">
        <f>AH83-AH73-AH82</f>
        <v>-500</v>
      </c>
      <c r="AI84" s="537"/>
      <c r="AJ84" s="537"/>
      <c r="AK84" s="537">
        <f>AK83-AK73-AK82</f>
        <v>0</v>
      </c>
      <c r="AL84" s="537">
        <f>AL83-AL73-AL82</f>
        <v>0</v>
      </c>
      <c r="AM84" s="537">
        <f>AM83-AM73-AM82</f>
        <v>-192</v>
      </c>
      <c r="AN84" s="537"/>
      <c r="AO84" s="537"/>
      <c r="AP84" s="537">
        <f>AP83-AP73-AP82</f>
        <v>0</v>
      </c>
      <c r="AQ84" s="537">
        <f>AQ83-AQ73-AQ82</f>
        <v>0</v>
      </c>
      <c r="AR84" s="537">
        <f>AR83-AR73-AR82</f>
        <v>-113</v>
      </c>
      <c r="AS84" s="537"/>
      <c r="AT84" s="537"/>
      <c r="AU84" s="537">
        <f>AU83-AU73-AU82</f>
        <v>0</v>
      </c>
      <c r="AV84" s="537">
        <f>AV83-AV73-AV82</f>
        <v>0</v>
      </c>
      <c r="AW84" s="537">
        <f>AW83-AW73-AW82</f>
        <v>0</v>
      </c>
      <c r="AX84" s="537"/>
      <c r="AY84" s="537"/>
      <c r="AZ84" s="537">
        <f>AZ83-AZ73-AZ82</f>
        <v>0</v>
      </c>
      <c r="BA84" s="537">
        <f>BA83-BA73-BA82</f>
        <v>0</v>
      </c>
      <c r="BB84" s="537">
        <f>BB83-BB73-BB82</f>
        <v>0</v>
      </c>
      <c r="BC84" s="537"/>
      <c r="BD84" s="537"/>
      <c r="BE84" s="537">
        <f>BE83-BE73-BE82</f>
        <v>0</v>
      </c>
      <c r="BF84" s="537">
        <f>BF83-BF73-BF82</f>
        <v>0</v>
      </c>
      <c r="BG84" s="537">
        <f>BG83-BG73-BG82</f>
        <v>-147260.55600000001</v>
      </c>
      <c r="BH84" s="537"/>
      <c r="BI84" s="537"/>
      <c r="BJ84" s="213">
        <f>BJ83-BJ73-BJ82</f>
        <v>3174850.0769000011</v>
      </c>
      <c r="BK84" s="213">
        <f>BK83-BK73-BK82</f>
        <v>-1819561.43</v>
      </c>
      <c r="BL84" s="213">
        <f>BL83-BL73-BL82</f>
        <v>1106400.5907453506</v>
      </c>
      <c r="BM84" s="82"/>
      <c r="BN84" s="82"/>
    </row>
    <row r="85" spans="1:66" s="2" customFormat="1" ht="13.8" outlineLevel="3" x14ac:dyDescent="0.25">
      <c r="A85" s="293"/>
      <c r="B85" s="216" t="s">
        <v>44</v>
      </c>
      <c r="C85" s="141"/>
      <c r="D85" s="142"/>
      <c r="E85" s="146">
        <f>C85+D85</f>
        <v>0</v>
      </c>
      <c r="F85" s="217">
        <f>E85/$E$89</f>
        <v>0</v>
      </c>
      <c r="G85" s="39"/>
      <c r="H85" s="39"/>
      <c r="I85" s="219">
        <f>G85+H85*1.15</f>
        <v>0</v>
      </c>
      <c r="J85" s="102"/>
      <c r="K85" s="102"/>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642"/>
      <c r="AG85" s="642"/>
      <c r="AH85" s="642">
        <f>AF85+AG85*1.15</f>
        <v>0</v>
      </c>
      <c r="AI85" s="642"/>
      <c r="AJ85" s="642"/>
      <c r="AK85" s="642"/>
      <c r="AL85" s="642"/>
      <c r="AM85" s="642">
        <f>AK85+AL85*1.15</f>
        <v>0</v>
      </c>
      <c r="AN85" s="642"/>
      <c r="AO85" s="642"/>
      <c r="AP85" s="642"/>
      <c r="AQ85" s="642"/>
      <c r="AR85" s="642">
        <f>AP85+AQ85*1.15</f>
        <v>0</v>
      </c>
      <c r="AS85" s="642"/>
      <c r="AT85" s="642"/>
      <c r="AU85" s="642"/>
      <c r="AV85" s="642"/>
      <c r="AW85" s="642">
        <f>AU85+AV85*1.15</f>
        <v>0</v>
      </c>
      <c r="AX85" s="642"/>
      <c r="AY85" s="642"/>
      <c r="AZ85" s="642"/>
      <c r="BA85" s="642"/>
      <c r="BB85" s="642">
        <f>AZ85+BA85*1.15</f>
        <v>0</v>
      </c>
      <c r="BC85" s="642"/>
      <c r="BD85" s="642"/>
      <c r="BE85" s="642"/>
      <c r="BF85" s="642"/>
      <c r="BG85" s="642">
        <f>BE85+BF85*1.15</f>
        <v>0</v>
      </c>
      <c r="BH85" s="642"/>
      <c r="BI85" s="642"/>
      <c r="BJ85" s="39">
        <f>G85+L85</f>
        <v>0</v>
      </c>
      <c r="BK85" s="39">
        <f>H85+M85</f>
        <v>0</v>
      </c>
      <c r="BL85" s="219">
        <f>BJ85+BK85*1.15</f>
        <v>0</v>
      </c>
      <c r="BM85" s="102"/>
      <c r="BN85" s="102"/>
    </row>
    <row r="86" spans="1:66" s="2" customFormat="1" ht="27.6" x14ac:dyDescent="0.25">
      <c r="A86" s="11"/>
      <c r="B86" s="37" t="s">
        <v>50</v>
      </c>
      <c r="C86" s="149">
        <f>C84-C85</f>
        <v>1811043.22</v>
      </c>
      <c r="D86" s="149">
        <f>D84-D85</f>
        <v>-1014236</v>
      </c>
      <c r="E86" s="150">
        <f>E84-E85</f>
        <v>796807.22</v>
      </c>
      <c r="F86" s="175"/>
      <c r="G86" s="149">
        <f>G84-G85</f>
        <v>2055395.4129000001</v>
      </c>
      <c r="H86" s="149">
        <f>H84-H85</f>
        <v>-1774641.1800000002</v>
      </c>
      <c r="I86" s="150">
        <f>I84-I85</f>
        <v>38757.708354545321</v>
      </c>
      <c r="J86" s="73"/>
      <c r="K86" s="73"/>
      <c r="L86" s="150">
        <f>L84-L85</f>
        <v>-30861.77</v>
      </c>
      <c r="M86" s="150">
        <f>M84-M85</f>
        <v>-44663.25</v>
      </c>
      <c r="N86" s="150">
        <f>N84-N85</f>
        <v>-82198.83896551725</v>
      </c>
      <c r="O86" s="73"/>
      <c r="P86" s="73"/>
      <c r="Q86" s="150">
        <f>Q84-Q85</f>
        <v>1298381.99</v>
      </c>
      <c r="R86" s="150">
        <f>R84-R85</f>
        <v>-430</v>
      </c>
      <c r="S86" s="150">
        <f>S84-S85</f>
        <v>1297887.7371264368</v>
      </c>
      <c r="T86" s="73"/>
      <c r="U86" s="73"/>
      <c r="V86" s="150">
        <f>V84-V85</f>
        <v>219</v>
      </c>
      <c r="W86" s="150">
        <f>W84-W85</f>
        <v>173</v>
      </c>
      <c r="X86" s="150">
        <f>X84-X85</f>
        <v>238.54022988505747</v>
      </c>
      <c r="Y86" s="73"/>
      <c r="Z86" s="73"/>
      <c r="AA86" s="150">
        <f>AA84-AA85</f>
        <v>-52</v>
      </c>
      <c r="AB86" s="150">
        <f>AB84-AB85</f>
        <v>0</v>
      </c>
      <c r="AC86" s="150">
        <f>AC84-AC85</f>
        <v>-52</v>
      </c>
      <c r="AD86" s="73"/>
      <c r="AE86" s="73"/>
      <c r="AF86" s="538"/>
      <c r="AG86" s="538"/>
      <c r="AH86" s="538">
        <f>AH84-AH85</f>
        <v>-500</v>
      </c>
      <c r="AI86" s="538"/>
      <c r="AJ86" s="538"/>
      <c r="AK86" s="538"/>
      <c r="AL86" s="538"/>
      <c r="AM86" s="538">
        <f>AM84-AM85</f>
        <v>-192</v>
      </c>
      <c r="AN86" s="538"/>
      <c r="AO86" s="538"/>
      <c r="AP86" s="538"/>
      <c r="AQ86" s="538"/>
      <c r="AR86" s="538">
        <f>AR84-AR85</f>
        <v>-113</v>
      </c>
      <c r="AS86" s="538"/>
      <c r="AT86" s="538"/>
      <c r="AU86" s="538"/>
      <c r="AV86" s="538"/>
      <c r="AW86" s="538">
        <f>AW84-AW85</f>
        <v>0</v>
      </c>
      <c r="AX86" s="538"/>
      <c r="AY86" s="538"/>
      <c r="AZ86" s="538"/>
      <c r="BA86" s="538"/>
      <c r="BB86" s="538">
        <f>BB84-BB85</f>
        <v>0</v>
      </c>
      <c r="BC86" s="538"/>
      <c r="BD86" s="538"/>
      <c r="BE86" s="538"/>
      <c r="BF86" s="538"/>
      <c r="BG86" s="538">
        <f>BG84-BG85</f>
        <v>-147260.55600000001</v>
      </c>
      <c r="BH86" s="538"/>
      <c r="BI86" s="538"/>
      <c r="BJ86" s="150">
        <f>BJ84-BJ85</f>
        <v>3174850.0769000011</v>
      </c>
      <c r="BK86" s="150">
        <f>BK84-BK85</f>
        <v>-1819561.43</v>
      </c>
      <c r="BL86" s="150">
        <f>BL84-BL85</f>
        <v>1106400.5907453506</v>
      </c>
      <c r="BM86" s="73"/>
      <c r="BN86" s="73"/>
    </row>
    <row r="87" spans="1:66" s="2" customFormat="1" ht="14.4" thickBot="1" x14ac:dyDescent="0.3">
      <c r="A87" s="295"/>
      <c r="B87" s="29" t="s">
        <v>51</v>
      </c>
      <c r="C87" s="155">
        <f>C86/C5</f>
        <v>0.29823065342736405</v>
      </c>
      <c r="D87" s="151" t="e">
        <f>D86/D5</f>
        <v>#DIV/0!</v>
      </c>
      <c r="E87" s="156">
        <f>E86/E5</f>
        <v>0.13121295795262214</v>
      </c>
      <c r="F87" s="176"/>
      <c r="G87" s="155">
        <f>G86/G5</f>
        <v>0.21236723869485036</v>
      </c>
      <c r="H87" s="151" t="e">
        <f>H86/H5</f>
        <v>#DIV/0!</v>
      </c>
      <c r="I87" s="156">
        <f>I86/I5</f>
        <v>4.004517792409598E-3</v>
      </c>
      <c r="J87" s="75"/>
      <c r="K87" s="75"/>
      <c r="L87" s="155" t="e">
        <f>L86/L5</f>
        <v>#DIV/0!</v>
      </c>
      <c r="M87" s="151" t="e">
        <f>M86/M5</f>
        <v>#DIV/0!</v>
      </c>
      <c r="N87" s="156" t="e">
        <f>N86/N5</f>
        <v>#DIV/0!</v>
      </c>
      <c r="O87" s="75"/>
      <c r="P87" s="75"/>
      <c r="Q87" s="155">
        <f>Q86/Q5</f>
        <v>0.99934962864879573</v>
      </c>
      <c r="R87" s="151" t="e">
        <f>R86/R5</f>
        <v>#DIV/0!</v>
      </c>
      <c r="S87" s="156">
        <f>S86/S5</f>
        <v>0.99896920791787203</v>
      </c>
      <c r="T87" s="75"/>
      <c r="U87" s="75"/>
      <c r="V87" s="155" t="e">
        <f>V86/V5</f>
        <v>#DIV/0!</v>
      </c>
      <c r="W87" s="151">
        <f>W86/W5</f>
        <v>0.14416666666666667</v>
      </c>
      <c r="X87" s="156">
        <f>X86/X5</f>
        <v>0.19878352490421455</v>
      </c>
      <c r="Y87" s="75"/>
      <c r="Z87" s="75"/>
      <c r="AA87" s="155" t="e">
        <f>AA86/AA5</f>
        <v>#DIV/0!</v>
      </c>
      <c r="AB87" s="151" t="e">
        <f>AB86/AB5</f>
        <v>#DIV/0!</v>
      </c>
      <c r="AC87" s="156" t="e">
        <f>AC86/AC5</f>
        <v>#DIV/0!</v>
      </c>
      <c r="AD87" s="75"/>
      <c r="AE87" s="75"/>
      <c r="AF87" s="539"/>
      <c r="AG87" s="539"/>
      <c r="AH87" s="539" t="e">
        <f>AH86/AH5</f>
        <v>#DIV/0!</v>
      </c>
      <c r="AI87" s="539"/>
      <c r="AJ87" s="539"/>
      <c r="AK87" s="539"/>
      <c r="AL87" s="539"/>
      <c r="AM87" s="539" t="e">
        <f>AM86/AM5</f>
        <v>#DIV/0!</v>
      </c>
      <c r="AN87" s="539"/>
      <c r="AO87" s="539"/>
      <c r="AP87" s="539"/>
      <c r="AQ87" s="539"/>
      <c r="AR87" s="539" t="e">
        <f>AR86/AR5</f>
        <v>#DIV/0!</v>
      </c>
      <c r="AS87" s="539"/>
      <c r="AT87" s="539"/>
      <c r="AU87" s="539"/>
      <c r="AV87" s="539"/>
      <c r="AW87" s="539" t="e">
        <f>AW86/AW5</f>
        <v>#DIV/0!</v>
      </c>
      <c r="AX87" s="539"/>
      <c r="AY87" s="539"/>
      <c r="AZ87" s="539"/>
      <c r="BA87" s="539"/>
      <c r="BB87" s="539" t="e">
        <f>BB86/BB5</f>
        <v>#DIV/0!</v>
      </c>
      <c r="BC87" s="539"/>
      <c r="BD87" s="539"/>
      <c r="BE87" s="539"/>
      <c r="BF87" s="539"/>
      <c r="BG87" s="539" t="e">
        <f>BG86/BG5</f>
        <v>#DIV/0!</v>
      </c>
      <c r="BH87" s="539"/>
      <c r="BI87" s="539"/>
      <c r="BJ87" s="155">
        <f>BJ86/BJ5</f>
        <v>0.28920844182919658</v>
      </c>
      <c r="BK87" s="151">
        <f>BK86/BK5</f>
        <v>-1516.3011916666667</v>
      </c>
      <c r="BL87" s="156">
        <f>BL86/BL5</f>
        <v>0.10077496863561582</v>
      </c>
      <c r="BM87" s="75"/>
      <c r="BN87" s="75"/>
    </row>
    <row r="88" spans="1:66" ht="13.8" x14ac:dyDescent="0.25">
      <c r="A88" s="30"/>
      <c r="B88" s="30"/>
      <c r="C88" s="152"/>
      <c r="D88" s="152"/>
      <c r="E88" s="152"/>
      <c r="F88" s="188"/>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row>
    <row r="89" spans="1:66" x14ac:dyDescent="0.25">
      <c r="B89" s="221" t="s">
        <v>56</v>
      </c>
      <c r="C89" s="153"/>
      <c r="D89" s="153"/>
      <c r="E89" s="154">
        <f>E8+E36+E41+E50+E54+E73+E79+E82+E85</f>
        <v>5275818.78</v>
      </c>
      <c r="F89" s="189"/>
      <c r="I89" s="391">
        <v>9639738.0216454547</v>
      </c>
      <c r="N89" s="391">
        <f>N8+N36+N41+N50+N54+N73+N79+N82+N85</f>
        <v>82198.83896551725</v>
      </c>
      <c r="S89" s="391">
        <f>S8+S36+S41+S50+S54+S73+S79+S82+S85</f>
        <v>1339.2328735632184</v>
      </c>
      <c r="X89" s="391">
        <f>X8+X36+X41+X50+X54+X73+X79+X82+X85</f>
        <v>1180.4597701149426</v>
      </c>
      <c r="AC89" s="391">
        <f>AC8+AC36+AC41+AC50+AC54+AC73+AC79+AC82+AC85</f>
        <v>52</v>
      </c>
      <c r="AH89" s="391">
        <f>AH8+AH36+AH41+AH50+AH54+AH73+AH79+AH82+AH85</f>
        <v>500</v>
      </c>
      <c r="AM89" s="391">
        <f>AM8+AM36+AM41+AM50+AM54+AM73+AM79+AM82+AM85</f>
        <v>192</v>
      </c>
      <c r="AR89" s="391">
        <f>AR8+AR36+AR41+AR50+AR54+AR73+AR79+AR82+AR85</f>
        <v>113</v>
      </c>
      <c r="AW89" s="391">
        <f>AW8+AW36+AW41+AW50+AW54+AW73+AW79+AW82+AW85</f>
        <v>0</v>
      </c>
      <c r="BB89" s="391">
        <f>BB8+BB36+BB41+BB50+BB54+BB73+BB79+BB82+BB85</f>
        <v>0</v>
      </c>
      <c r="BG89" s="391">
        <f>BG8+BG36+BG41+BG50+BG54+BG73+BG79+BG82+BG85</f>
        <v>147260.55600000001</v>
      </c>
      <c r="BL89" s="391">
        <f>BL8+BL36+BL41+BL50+BL54+BL73+BL79+BL82+BL85</f>
        <v>9872522.1092546489</v>
      </c>
    </row>
    <row r="90" spans="1:66" x14ac:dyDescent="0.25">
      <c r="C90" s="153"/>
      <c r="D90" s="153"/>
      <c r="E90" s="153"/>
      <c r="BL90" s="395"/>
    </row>
    <row r="91" spans="1:66" s="2" customFormat="1" x14ac:dyDescent="0.25">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c r="BK91" s="38"/>
      <c r="BL91" s="38"/>
      <c r="BM91" s="38"/>
      <c r="BN91" s="38"/>
    </row>
    <row r="92" spans="1:66" x14ac:dyDescent="0.25">
      <c r="C92" s="38"/>
      <c r="D92" s="38"/>
    </row>
    <row r="93" spans="1:66" s="2" customFormat="1" x14ac:dyDescent="0.25">
      <c r="A93" s="8"/>
      <c r="B93" s="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686">
        <f>AH5-AH89</f>
        <v>-500</v>
      </c>
      <c r="AI93" s="38"/>
      <c r="AJ93" s="38"/>
      <c r="AK93" s="38"/>
      <c r="AL93" s="38"/>
      <c r="AM93" s="686">
        <f>AM5-AM89</f>
        <v>-192</v>
      </c>
      <c r="AN93" s="38"/>
      <c r="AO93" s="38"/>
      <c r="AP93" s="38"/>
      <c r="AQ93" s="38"/>
      <c r="AR93" s="38"/>
      <c r="AS93" s="38"/>
      <c r="AT93" s="38"/>
      <c r="AU93" s="38"/>
      <c r="AV93" s="38"/>
      <c r="AW93" s="38"/>
      <c r="AX93" s="38"/>
      <c r="AY93" s="38"/>
      <c r="AZ93" s="38"/>
      <c r="BA93" s="38"/>
      <c r="BB93" s="38"/>
      <c r="BC93" s="38"/>
      <c r="BD93" s="38"/>
      <c r="BE93" s="38"/>
      <c r="BF93" s="38"/>
      <c r="BG93" s="38"/>
      <c r="BH93" s="38"/>
      <c r="BI93" s="38"/>
      <c r="BJ93" s="38"/>
      <c r="BK93" s="38"/>
      <c r="BL93" s="686">
        <f>BL5-BL89</f>
        <v>1106400.5907453522</v>
      </c>
      <c r="BM93" s="38"/>
      <c r="BN93" s="38"/>
    </row>
    <row r="94" spans="1:66" s="2" customFormat="1" x14ac:dyDescent="0.25">
      <c r="A94" s="8"/>
      <c r="B94" s="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c r="BK94" s="38"/>
      <c r="BL94" s="38"/>
      <c r="BM94" s="38"/>
      <c r="BN94" s="38"/>
    </row>
    <row r="95" spans="1:66" s="2" customFormat="1" x14ac:dyDescent="0.25">
      <c r="A95" s="8"/>
      <c r="B95" s="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c r="BK95" s="38"/>
      <c r="BL95" s="38"/>
      <c r="BM95" s="38"/>
      <c r="BN95" s="38"/>
    </row>
    <row r="96" spans="1:66" s="2" customFormat="1" x14ac:dyDescent="0.25">
      <c r="A96" s="8"/>
      <c r="B96" s="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row>
    <row r="97" spans="1:66" x14ac:dyDescent="0.25">
      <c r="C97" s="38"/>
      <c r="D97" s="38"/>
    </row>
    <row r="98" spans="1:66"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row>
    <row r="99" spans="1:66" x14ac:dyDescent="0.25">
      <c r="C99" s="38"/>
      <c r="D99" s="38"/>
    </row>
  </sheetData>
  <mergeCells count="15">
    <mergeCell ref="BJ2:BM3"/>
    <mergeCell ref="G2:J3"/>
    <mergeCell ref="A42:A48"/>
    <mergeCell ref="A2:F2"/>
    <mergeCell ref="A3:F3"/>
    <mergeCell ref="L2:O3"/>
    <mergeCell ref="Q2:T3"/>
    <mergeCell ref="V2:Y3"/>
    <mergeCell ref="AA2:AE3"/>
    <mergeCell ref="AF2:AJ3"/>
    <mergeCell ref="AK2:AO3"/>
    <mergeCell ref="AP2:AT3"/>
    <mergeCell ref="AU2:AY3"/>
    <mergeCell ref="AZ2:BD3"/>
    <mergeCell ref="BE2:BI3"/>
  </mergeCells>
  <pageMargins left="0.39370078740157483" right="0.19685039370078741" top="0.19685039370078741" bottom="0.19685039370078741" header="0.11811023622047245" footer="0.11811023622047245"/>
  <pageSetup paperSize="9" scale="28" orientation="portrait" horizontalDpi="4294967295" verticalDpi="4294967295"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5" tint="0.79998168889431442"/>
  </sheetPr>
  <dimension ref="A1:BE109"/>
  <sheetViews>
    <sheetView zoomScale="70" zoomScaleNormal="70" workbookViewId="0">
      <pane xSplit="2" ySplit="3" topLeftCell="AK64" activePane="bottomRight" state="frozen"/>
      <selection activeCell="AF91" sqref="AF91"/>
      <selection pane="topRight" activeCell="AF91" sqref="AF91"/>
      <selection pane="bottomLeft" activeCell="AF91" sqref="AF91"/>
      <selection pane="bottomRight" activeCell="AQ79" sqref="AQ79"/>
    </sheetView>
  </sheetViews>
  <sheetFormatPr defaultColWidth="7.44140625" defaultRowHeight="13.2" outlineLevelRow="2" outlineLevelCol="1" x14ac:dyDescent="0.25"/>
  <cols>
    <col min="1" max="1" width="5.5546875" style="8" customWidth="1"/>
    <col min="2" max="2" width="47.44140625" style="8" customWidth="1"/>
    <col min="3" max="3" width="16" style="77" hidden="1" customWidth="1"/>
    <col min="4" max="4" width="18.33203125" style="77" hidden="1" customWidth="1"/>
    <col min="5" max="5" width="17.109375" style="38" hidden="1" customWidth="1"/>
    <col min="6" max="6" width="9.5546875" style="38" hidden="1" customWidth="1"/>
    <col min="7" max="9" width="16.33203125" style="38" hidden="1" customWidth="1"/>
    <col min="10" max="10" width="13.6640625" style="38" hidden="1" customWidth="1"/>
    <col min="11" max="11" width="28.88671875" style="38" hidden="1" customWidth="1"/>
    <col min="12" max="14" width="16.33203125" style="38" hidden="1" customWidth="1" outlineLevel="1"/>
    <col min="15" max="15" width="9" style="38" hidden="1" customWidth="1" outlineLevel="1"/>
    <col min="16" max="16" width="38.109375" style="38" hidden="1" customWidth="1" outlineLevel="1"/>
    <col min="17" max="18" width="16.33203125" style="38" hidden="1" customWidth="1" outlineLevel="1"/>
    <col min="19" max="19" width="16.109375" style="38" hidden="1" customWidth="1" outlineLevel="1"/>
    <col min="20" max="20" width="16" style="38" hidden="1" customWidth="1" outlineLevel="1"/>
    <col min="21" max="21" width="46.33203125" style="38" hidden="1" customWidth="1" outlineLevel="1"/>
    <col min="22" max="23" width="16.44140625" style="38" hidden="1" customWidth="1" outlineLevel="1"/>
    <col min="24" max="24" width="16.109375" style="38" hidden="1" customWidth="1" outlineLevel="1"/>
    <col min="25" max="25" width="24.33203125" style="38" hidden="1" customWidth="1" outlineLevel="1"/>
    <col min="26" max="26" width="38.33203125" style="38" hidden="1" customWidth="1" outlineLevel="1"/>
    <col min="27" max="28" width="16.44140625" style="38" hidden="1" customWidth="1" outlineLevel="1"/>
    <col min="29" max="29" width="16.109375" style="38" hidden="1" customWidth="1" outlineLevel="1"/>
    <col min="30" max="30" width="16.6640625" style="38" hidden="1" customWidth="1" outlineLevel="1"/>
    <col min="31" max="31" width="38.33203125" style="38" hidden="1" customWidth="1" outlineLevel="1"/>
    <col min="32" max="33" width="16.44140625" style="38" hidden="1" customWidth="1" outlineLevel="1"/>
    <col min="34" max="34" width="16.109375" style="38" hidden="1" customWidth="1" outlineLevel="1"/>
    <col min="35" max="35" width="19" style="38" hidden="1" customWidth="1" outlineLevel="1"/>
    <col min="36" max="36" width="38.88671875" style="38" hidden="1" customWidth="1" outlineLevel="1"/>
    <col min="37" max="37" width="24.88671875" style="38" customWidth="1" collapsed="1"/>
    <col min="38" max="38" width="21.33203125" style="38" customWidth="1"/>
    <col min="39" max="39" width="17.88671875" style="38" customWidth="1"/>
    <col min="40" max="40" width="8.88671875" style="38" customWidth="1"/>
    <col min="41" max="41" width="29.33203125" style="38" customWidth="1"/>
    <col min="42" max="42" width="18.33203125" style="38" customWidth="1"/>
    <col min="43" max="43" width="22.6640625" style="38" customWidth="1"/>
    <col min="44" max="44" width="19.44140625" style="38" customWidth="1"/>
    <col min="45" max="45" width="10" style="38" customWidth="1"/>
    <col min="46" max="46" width="29.33203125" style="38" customWidth="1"/>
    <col min="47" max="49" width="16.33203125" style="38" customWidth="1"/>
    <col min="50" max="50" width="9" style="38" customWidth="1"/>
    <col min="51" max="51" width="16.33203125" style="38" customWidth="1"/>
    <col min="52" max="52" width="14.5546875" style="1" hidden="1" customWidth="1"/>
    <col min="53" max="53" width="38.5546875" style="1" hidden="1" customWidth="1"/>
    <col min="54" max="54" width="14.5546875" style="1" hidden="1" customWidth="1"/>
    <col min="55" max="55" width="0" style="1" hidden="1" customWidth="1"/>
    <col min="56" max="56" width="13.33203125" style="1" hidden="1" customWidth="1"/>
    <col min="57" max="57" width="13.33203125" style="1" bestFit="1" customWidth="1"/>
    <col min="58" max="16384" width="7.44140625" style="1"/>
  </cols>
  <sheetData>
    <row r="1" spans="1:57" ht="13.8" thickBot="1" x14ac:dyDescent="0.3">
      <c r="C1" s="38"/>
      <c r="D1" s="38"/>
      <c r="AA1" s="38">
        <f>(AA6/1.2)*3%</f>
        <v>60749.208500000001</v>
      </c>
    </row>
    <row r="2" spans="1:57" ht="22.2" customHeight="1" x14ac:dyDescent="0.25">
      <c r="A2" s="4016" t="s">
        <v>364</v>
      </c>
      <c r="B2" s="4017"/>
      <c r="C2" s="4017"/>
      <c r="D2" s="4017"/>
      <c r="E2" s="4017"/>
      <c r="F2" s="4018"/>
      <c r="G2" s="4019" t="s">
        <v>464</v>
      </c>
      <c r="H2" s="4020"/>
      <c r="I2" s="4020"/>
      <c r="J2" s="4020"/>
      <c r="K2" s="382"/>
      <c r="L2" s="4019" t="s">
        <v>465</v>
      </c>
      <c r="M2" s="4020"/>
      <c r="N2" s="4020"/>
      <c r="O2" s="4020"/>
      <c r="P2" s="376"/>
      <c r="Q2" s="4019" t="s">
        <v>545</v>
      </c>
      <c r="R2" s="4020"/>
      <c r="S2" s="4020"/>
      <c r="T2" s="4020"/>
      <c r="U2" s="399"/>
      <c r="V2" s="4019" t="s">
        <v>624</v>
      </c>
      <c r="W2" s="4020"/>
      <c r="X2" s="4020"/>
      <c r="Y2" s="4020"/>
      <c r="Z2" s="466"/>
      <c r="AA2" s="4140" t="s">
        <v>714</v>
      </c>
      <c r="AB2" s="4141"/>
      <c r="AC2" s="4141"/>
      <c r="AD2" s="4141"/>
      <c r="AE2" s="533"/>
      <c r="AF2" s="4140" t="s">
        <v>770</v>
      </c>
      <c r="AG2" s="4141"/>
      <c r="AH2" s="4141"/>
      <c r="AI2" s="4141"/>
      <c r="AJ2" s="627"/>
      <c r="AK2" s="4053" t="s">
        <v>820</v>
      </c>
      <c r="AL2" s="4054"/>
      <c r="AM2" s="4054"/>
      <c r="AN2" s="4054"/>
      <c r="AO2" s="691"/>
      <c r="AP2" s="4185" t="s">
        <v>836</v>
      </c>
      <c r="AQ2" s="4186"/>
      <c r="AR2" s="4186"/>
      <c r="AS2" s="4186"/>
      <c r="AT2" s="757"/>
      <c r="AU2" s="4212" t="s">
        <v>469</v>
      </c>
      <c r="AV2" s="4213"/>
      <c r="AW2" s="4213"/>
      <c r="AX2" s="4213"/>
      <c r="AY2" s="384"/>
      <c r="AZ2" s="4019" t="s">
        <v>154</v>
      </c>
      <c r="BA2" s="4020"/>
      <c r="BB2" s="4020"/>
      <c r="BC2" s="4020"/>
    </row>
    <row r="3" spans="1:57" ht="14.4" customHeight="1" thickBot="1" x14ac:dyDescent="0.3">
      <c r="A3" s="4035" t="s">
        <v>54</v>
      </c>
      <c r="B3" s="4036"/>
      <c r="C3" s="4036"/>
      <c r="D3" s="4036"/>
      <c r="E3" s="4036"/>
      <c r="F3" s="4037"/>
      <c r="G3" s="4021"/>
      <c r="H3" s="4022"/>
      <c r="I3" s="4022"/>
      <c r="J3" s="4022"/>
      <c r="K3" s="383"/>
      <c r="L3" s="4021"/>
      <c r="M3" s="4022"/>
      <c r="N3" s="4022"/>
      <c r="O3" s="4022"/>
      <c r="P3" s="377"/>
      <c r="Q3" s="4021"/>
      <c r="R3" s="4022"/>
      <c r="S3" s="4022"/>
      <c r="T3" s="4022"/>
      <c r="U3" s="400"/>
      <c r="V3" s="4021"/>
      <c r="W3" s="4022"/>
      <c r="X3" s="4022"/>
      <c r="Y3" s="4022"/>
      <c r="Z3" s="467"/>
      <c r="AA3" s="4143"/>
      <c r="AB3" s="4144"/>
      <c r="AC3" s="4144"/>
      <c r="AD3" s="4144"/>
      <c r="AE3" s="534"/>
      <c r="AF3" s="4143"/>
      <c r="AG3" s="4144"/>
      <c r="AH3" s="4144"/>
      <c r="AI3" s="4144"/>
      <c r="AJ3" s="628"/>
      <c r="AK3" s="4056"/>
      <c r="AL3" s="4057"/>
      <c r="AM3" s="4057"/>
      <c r="AN3" s="4057"/>
      <c r="AO3" s="692"/>
      <c r="AP3" s="4188"/>
      <c r="AQ3" s="4189"/>
      <c r="AR3" s="4189"/>
      <c r="AS3" s="4189"/>
      <c r="AT3" s="758"/>
      <c r="AU3" s="4214"/>
      <c r="AV3" s="4215"/>
      <c r="AW3" s="4215"/>
      <c r="AX3" s="4215"/>
      <c r="AY3" s="385"/>
      <c r="AZ3" s="4021"/>
      <c r="BA3" s="4022"/>
      <c r="BB3" s="4022"/>
      <c r="BC3" s="4022"/>
    </row>
    <row r="4" spans="1:57" ht="41.4" thickBot="1" x14ac:dyDescent="0.3">
      <c r="A4" s="92"/>
      <c r="B4" s="93" t="s">
        <v>11</v>
      </c>
      <c r="C4" s="239" t="s">
        <v>55</v>
      </c>
      <c r="D4" s="239" t="s">
        <v>18</v>
      </c>
      <c r="E4" s="240" t="s">
        <v>39</v>
      </c>
      <c r="F4" s="209" t="s">
        <v>40</v>
      </c>
      <c r="G4" s="94" t="s">
        <v>55</v>
      </c>
      <c r="H4" s="94" t="s">
        <v>18</v>
      </c>
      <c r="I4" s="95" t="s">
        <v>39</v>
      </c>
      <c r="J4" s="209" t="s">
        <v>40</v>
      </c>
      <c r="K4" s="241" t="s">
        <v>86</v>
      </c>
      <c r="L4" s="94" t="s">
        <v>55</v>
      </c>
      <c r="M4" s="94" t="s">
        <v>18</v>
      </c>
      <c r="N4" s="95" t="s">
        <v>39</v>
      </c>
      <c r="O4" s="209" t="s">
        <v>40</v>
      </c>
      <c r="P4" s="95" t="s">
        <v>19</v>
      </c>
      <c r="Q4" s="94" t="s">
        <v>55</v>
      </c>
      <c r="R4" s="94" t="s">
        <v>18</v>
      </c>
      <c r="S4" s="95" t="s">
        <v>39</v>
      </c>
      <c r="T4" s="209" t="s">
        <v>40</v>
      </c>
      <c r="U4" s="95" t="s">
        <v>19</v>
      </c>
      <c r="V4" s="94" t="s">
        <v>55</v>
      </c>
      <c r="W4" s="94" t="s">
        <v>18</v>
      </c>
      <c r="X4" s="95" t="s">
        <v>39</v>
      </c>
      <c r="Y4" s="209" t="s">
        <v>40</v>
      </c>
      <c r="Z4" s="95" t="s">
        <v>19</v>
      </c>
      <c r="AA4" s="94" t="s">
        <v>55</v>
      </c>
      <c r="AB4" s="94" t="s">
        <v>18</v>
      </c>
      <c r="AC4" s="95" t="s">
        <v>39</v>
      </c>
      <c r="AD4" s="209" t="s">
        <v>40</v>
      </c>
      <c r="AE4" s="95" t="s">
        <v>19</v>
      </c>
      <c r="AF4" s="94" t="s">
        <v>55</v>
      </c>
      <c r="AG4" s="94" t="s">
        <v>18</v>
      </c>
      <c r="AH4" s="95" t="s">
        <v>39</v>
      </c>
      <c r="AI4" s="209" t="s">
        <v>40</v>
      </c>
      <c r="AJ4" s="95" t="s">
        <v>19</v>
      </c>
      <c r="AK4" s="94" t="s">
        <v>55</v>
      </c>
      <c r="AL4" s="94" t="s">
        <v>18</v>
      </c>
      <c r="AM4" s="95" t="s">
        <v>39</v>
      </c>
      <c r="AN4" s="209" t="s">
        <v>40</v>
      </c>
      <c r="AO4" s="95" t="s">
        <v>19</v>
      </c>
      <c r="AP4" s="94" t="s">
        <v>55</v>
      </c>
      <c r="AQ4" s="94" t="s">
        <v>18</v>
      </c>
      <c r="AR4" s="95" t="s">
        <v>39</v>
      </c>
      <c r="AS4" s="209" t="s">
        <v>40</v>
      </c>
      <c r="AT4" s="95" t="s">
        <v>19</v>
      </c>
      <c r="AU4" s="94" t="s">
        <v>55</v>
      </c>
      <c r="AV4" s="94" t="s">
        <v>18</v>
      </c>
      <c r="AW4" s="95" t="s">
        <v>39</v>
      </c>
      <c r="AX4" s="209" t="s">
        <v>40</v>
      </c>
      <c r="AY4" s="95" t="s">
        <v>19</v>
      </c>
      <c r="AZ4" s="632" t="s">
        <v>55</v>
      </c>
      <c r="BA4" s="632" t="s">
        <v>18</v>
      </c>
      <c r="BB4" s="653" t="s">
        <v>39</v>
      </c>
      <c r="BC4" s="654" t="s">
        <v>40</v>
      </c>
    </row>
    <row r="5" spans="1:57" s="88" customFormat="1" ht="14.4" thickBot="1" x14ac:dyDescent="0.3">
      <c r="A5" s="83"/>
      <c r="B5" s="84" t="s">
        <v>10</v>
      </c>
      <c r="C5" s="85">
        <f>C6</f>
        <v>11734618</v>
      </c>
      <c r="D5" s="85">
        <f>D6</f>
        <v>0</v>
      </c>
      <c r="E5" s="86">
        <f>E6</f>
        <v>11734618</v>
      </c>
      <c r="F5" s="87"/>
      <c r="G5" s="85">
        <f>G6</f>
        <v>0</v>
      </c>
      <c r="H5" s="85">
        <f>H6</f>
        <v>0</v>
      </c>
      <c r="I5" s="86">
        <f>I6</f>
        <v>0</v>
      </c>
      <c r="J5" s="87"/>
      <c r="K5" s="263"/>
      <c r="L5" s="87">
        <f>L6</f>
        <v>3675026.01</v>
      </c>
      <c r="M5" s="87">
        <f>M6</f>
        <v>0</v>
      </c>
      <c r="N5" s="87">
        <f>N6</f>
        <v>3675026.01</v>
      </c>
      <c r="O5" s="87"/>
      <c r="P5" s="87"/>
      <c r="Q5" s="87">
        <f>Q6</f>
        <v>0</v>
      </c>
      <c r="R5" s="87">
        <f>R6</f>
        <v>0</v>
      </c>
      <c r="S5" s="87">
        <f>S6</f>
        <v>0</v>
      </c>
      <c r="T5" s="87"/>
      <c r="U5" s="87"/>
      <c r="V5" s="87">
        <f>V6</f>
        <v>4304007.54</v>
      </c>
      <c r="W5" s="87">
        <f>W6</f>
        <v>0</v>
      </c>
      <c r="X5" s="87">
        <f>X6</f>
        <v>4304007.54</v>
      </c>
      <c r="Y5" s="87"/>
      <c r="Z5" s="87"/>
      <c r="AA5" s="87">
        <f>AA6</f>
        <v>2429968.34</v>
      </c>
      <c r="AB5" s="87">
        <f>AB6</f>
        <v>0</v>
      </c>
      <c r="AC5" s="87">
        <f>AC6</f>
        <v>2429968.34</v>
      </c>
      <c r="AD5" s="87"/>
      <c r="AE5" s="87"/>
      <c r="AF5" s="87">
        <f>AF6</f>
        <v>664109.04</v>
      </c>
      <c r="AG5" s="87">
        <f>AG6</f>
        <v>0</v>
      </c>
      <c r="AH5" s="87">
        <f>AH6</f>
        <v>664109.04</v>
      </c>
      <c r="AI5" s="87"/>
      <c r="AJ5" s="87"/>
      <c r="AK5" s="87">
        <f>AK6</f>
        <v>1055644.3899999999</v>
      </c>
      <c r="AL5" s="87">
        <f>AL6</f>
        <v>0</v>
      </c>
      <c r="AM5" s="87">
        <f>AM6</f>
        <v>1055644.3899999999</v>
      </c>
      <c r="AN5" s="87"/>
      <c r="AO5" s="87"/>
      <c r="AP5" s="87">
        <f>AP6</f>
        <v>0.69999999925494194</v>
      </c>
      <c r="AQ5" s="87">
        <f>AQ6</f>
        <v>0</v>
      </c>
      <c r="AR5" s="87">
        <f>AR6</f>
        <v>0.69999999925494194</v>
      </c>
      <c r="AS5" s="87"/>
      <c r="AT5" s="87"/>
      <c r="AU5" s="87">
        <f>AU6</f>
        <v>12128756.02</v>
      </c>
      <c r="AV5" s="87">
        <f>AV6</f>
        <v>0</v>
      </c>
      <c r="AW5" s="87">
        <f>AW6</f>
        <v>12128756.02</v>
      </c>
      <c r="AX5" s="87"/>
      <c r="AY5" s="87"/>
      <c r="AZ5" s="620">
        <f>AZ6</f>
        <v>12128756.02</v>
      </c>
      <c r="BA5" s="620">
        <f>BA6</f>
        <v>0</v>
      </c>
      <c r="BB5" s="620">
        <f>BB6</f>
        <v>12128756.02</v>
      </c>
      <c r="BC5" s="620"/>
    </row>
    <row r="6" spans="1:57" s="2" customFormat="1" ht="13.8" outlineLevel="1" x14ac:dyDescent="0.25">
      <c r="A6" s="331">
        <f>'PL_Сватово очередь 2'!I6</f>
        <v>0</v>
      </c>
      <c r="B6" s="9" t="s">
        <v>17</v>
      </c>
      <c r="C6" s="104">
        <v>11734618</v>
      </c>
      <c r="D6" s="105"/>
      <c r="E6" s="106">
        <f>C6+D6</f>
        <v>11734618</v>
      </c>
      <c r="F6" s="39"/>
      <c r="G6" s="39"/>
      <c r="H6" s="39"/>
      <c r="I6" s="39">
        <f>G6+H6</f>
        <v>0</v>
      </c>
      <c r="J6" s="39"/>
      <c r="K6" s="291"/>
      <c r="L6" s="39">
        <f>519596.18+764454.65+1485765.18+905210</f>
        <v>3675026.01</v>
      </c>
      <c r="M6" s="39"/>
      <c r="N6" s="106">
        <f>L6+M6</f>
        <v>3675026.01</v>
      </c>
      <c r="O6" s="39"/>
      <c r="P6" s="39"/>
      <c r="Q6" s="39"/>
      <c r="R6" s="39"/>
      <c r="S6" s="106">
        <f>Q6+R6</f>
        <v>0</v>
      </c>
      <c r="T6" s="39"/>
      <c r="U6" s="39"/>
      <c r="V6" s="39">
        <v>4304007.54</v>
      </c>
      <c r="W6" s="39"/>
      <c r="X6" s="106">
        <f>V6+W6</f>
        <v>4304007.54</v>
      </c>
      <c r="Y6" s="39"/>
      <c r="Z6" s="39"/>
      <c r="AA6" s="39">
        <v>2429968.34</v>
      </c>
      <c r="AB6" s="39"/>
      <c r="AC6" s="106">
        <f>AA6+AB6</f>
        <v>2429968.34</v>
      </c>
      <c r="AD6" s="39"/>
      <c r="AE6" s="39"/>
      <c r="AF6" s="39">
        <v>664109.04</v>
      </c>
      <c r="AG6" s="39"/>
      <c r="AH6" s="106">
        <f>AF6+AG6</f>
        <v>664109.04</v>
      </c>
      <c r="AI6" s="39"/>
      <c r="AJ6" s="39"/>
      <c r="AK6" s="610">
        <v>1055644.3899999999</v>
      </c>
      <c r="AL6" s="39"/>
      <c r="AM6" s="106">
        <f>AK6+AL6</f>
        <v>1055644.3899999999</v>
      </c>
      <c r="AN6" s="39"/>
      <c r="AO6" s="39"/>
      <c r="AP6" s="39">
        <v>0.69999999925494194</v>
      </c>
      <c r="AQ6" s="39"/>
      <c r="AR6" s="106">
        <f>AP6+AQ6</f>
        <v>0.69999999925494194</v>
      </c>
      <c r="AS6" s="39"/>
      <c r="AT6" s="39"/>
      <c r="AU6" s="39">
        <f>G6+L6+Q6+V6+AA6+AF6+AK6+AP6</f>
        <v>12128756.02</v>
      </c>
      <c r="AV6" s="39">
        <f>H6+M6+R6+W6+AB6+AG6+AL6+AQ6</f>
        <v>0</v>
      </c>
      <c r="AW6" s="106">
        <f>AU6+AV6</f>
        <v>12128756.02</v>
      </c>
      <c r="AX6" s="39"/>
      <c r="AY6" s="39"/>
      <c r="AZ6" s="834">
        <v>12128756.02</v>
      </c>
      <c r="BA6" s="452"/>
      <c r="BB6" s="446">
        <f>AZ6+BA6</f>
        <v>12128756.02</v>
      </c>
      <c r="BC6" s="452"/>
      <c r="BD6" s="842"/>
      <c r="BE6" s="842"/>
    </row>
    <row r="7" spans="1:57" s="2" customFormat="1" ht="15" customHeight="1" outlineLevel="1" collapsed="1" thickBot="1" x14ac:dyDescent="0.3">
      <c r="A7" s="238"/>
      <c r="B7" s="10" t="s">
        <v>41</v>
      </c>
      <c r="C7" s="107"/>
      <c r="D7" s="108"/>
      <c r="E7" s="106">
        <f>C7+D7</f>
        <v>0</v>
      </c>
      <c r="F7" s="40"/>
      <c r="G7" s="40"/>
      <c r="H7" s="40"/>
      <c r="I7" s="40">
        <f>G7+H7</f>
        <v>0</v>
      </c>
      <c r="J7" s="40"/>
      <c r="K7" s="40"/>
      <c r="L7" s="39"/>
      <c r="M7" s="39"/>
      <c r="N7" s="106">
        <f>L7+M7</f>
        <v>0</v>
      </c>
      <c r="O7" s="40"/>
      <c r="P7" s="40"/>
      <c r="Q7" s="39"/>
      <c r="R7" s="39"/>
      <c r="S7" s="106">
        <f>Q7+R7</f>
        <v>0</v>
      </c>
      <c r="T7" s="40"/>
      <c r="U7" s="40"/>
      <c r="V7" s="39"/>
      <c r="W7" s="39"/>
      <c r="X7" s="106">
        <f>V7+W7</f>
        <v>0</v>
      </c>
      <c r="Y7" s="40"/>
      <c r="Z7" s="40"/>
      <c r="AA7" s="39"/>
      <c r="AB7" s="39"/>
      <c r="AC7" s="106">
        <f>AA7+AB7</f>
        <v>0</v>
      </c>
      <c r="AD7" s="40"/>
      <c r="AE7" s="40"/>
      <c r="AF7" s="39"/>
      <c r="AG7" s="39"/>
      <c r="AH7" s="106">
        <f>AF7+AG7</f>
        <v>0</v>
      </c>
      <c r="AI7" s="40"/>
      <c r="AJ7" s="40"/>
      <c r="AK7" s="39"/>
      <c r="AL7" s="39"/>
      <c r="AM7" s="106">
        <f>AK7+AL7</f>
        <v>0</v>
      </c>
      <c r="AN7" s="40"/>
      <c r="AO7" s="40"/>
      <c r="AP7" s="39"/>
      <c r="AQ7" s="39"/>
      <c r="AR7" s="106">
        <f>AP7+AQ7</f>
        <v>0</v>
      </c>
      <c r="AS7" s="40"/>
      <c r="AT7" s="40"/>
      <c r="AU7" s="39">
        <f>G7+L7+Q7+V7+AA7+AF7+AK7+AP7</f>
        <v>0</v>
      </c>
      <c r="AV7" s="39">
        <f>H7+M7+R7+W7+AB7+AG7+AL7+AQ7</f>
        <v>0</v>
      </c>
      <c r="AW7" s="106">
        <f>AU7+AV7</f>
        <v>0</v>
      </c>
      <c r="AX7" s="40"/>
      <c r="AY7" s="40"/>
      <c r="AZ7" s="452"/>
      <c r="BA7" s="452"/>
      <c r="BB7" s="446">
        <f>AZ7+BA7</f>
        <v>0</v>
      </c>
      <c r="BC7" s="612"/>
      <c r="BD7" s="842"/>
      <c r="BE7" s="842"/>
    </row>
    <row r="8" spans="1:57" s="88" customFormat="1" ht="15" customHeight="1" outlineLevel="1" thickBot="1" x14ac:dyDescent="0.3">
      <c r="A8" s="238"/>
      <c r="B8" s="84" t="s">
        <v>16</v>
      </c>
      <c r="C8" s="109">
        <f>SUM(C9:C33)</f>
        <v>6699549</v>
      </c>
      <c r="D8" s="109">
        <f>SUM(D9:D33)</f>
        <v>2067772</v>
      </c>
      <c r="E8" s="110">
        <f>SUM(E9:E33)</f>
        <v>8767321</v>
      </c>
      <c r="F8" s="164">
        <f t="shared" ref="F8:F22" si="0">E8/$E$89</f>
        <v>0.93036792829241699</v>
      </c>
      <c r="G8" s="109">
        <f>SUM(G9:G33)</f>
        <v>245713.43</v>
      </c>
      <c r="H8" s="109">
        <f>SUM(H9:H33)</f>
        <v>121054.54000000001</v>
      </c>
      <c r="I8" s="110">
        <f>SUM(I9:I33)</f>
        <v>366767.97</v>
      </c>
      <c r="J8" s="164">
        <f t="shared" ref="J8:J21" si="1">I8/$I$89</f>
        <v>0.85580856678226902</v>
      </c>
      <c r="K8" s="264"/>
      <c r="L8" s="109">
        <f>SUM(L9:L33)</f>
        <v>830693.50399999996</v>
      </c>
      <c r="M8" s="109">
        <f>SUM(M9:M33)</f>
        <v>564634.27</v>
      </c>
      <c r="N8" s="110">
        <f>SUM(N9:N33)</f>
        <v>1395327.774</v>
      </c>
      <c r="O8" s="164">
        <f t="shared" ref="O8:O21" si="2">N8/$N$89</f>
        <v>0.92836764367089786</v>
      </c>
      <c r="P8" s="87"/>
      <c r="Q8" s="109">
        <f>SUM(Q9:Q33)</f>
        <v>453110</v>
      </c>
      <c r="R8" s="109">
        <f>SUM(R9:R33)</f>
        <v>319474.13</v>
      </c>
      <c r="S8" s="110">
        <f>SUM(S9:S33)</f>
        <v>772584.12999999989</v>
      </c>
      <c r="T8" s="164">
        <f t="shared" ref="T8:T22" si="3">S8/$S$89</f>
        <v>0.90405592935393986</v>
      </c>
      <c r="U8" s="87"/>
      <c r="V8" s="109">
        <f>SUM(V9:V33)</f>
        <v>2430381.6179999998</v>
      </c>
      <c r="W8" s="109">
        <f>SUM(W9:W33)</f>
        <v>343535.41000000003</v>
      </c>
      <c r="X8" s="110">
        <f>SUM(X9:X33)</f>
        <v>2773917.0279999999</v>
      </c>
      <c r="Y8" s="164">
        <f>X8/$X$89</f>
        <v>0.97029747522931309</v>
      </c>
      <c r="Z8" s="87"/>
      <c r="AA8" s="109">
        <f>SUM(AA9:AA33)</f>
        <v>1106413.0759999999</v>
      </c>
      <c r="AB8" s="109">
        <f>SUM(AB9:AB33)</f>
        <v>565780.30000000005</v>
      </c>
      <c r="AC8" s="110">
        <f>SUM(AC9:AC33)</f>
        <v>1672193.3759999999</v>
      </c>
      <c r="AD8" s="164">
        <f>AC8/$AC$89</f>
        <v>0.9428937397587871</v>
      </c>
      <c r="AE8" s="87"/>
      <c r="AF8" s="109">
        <f>SUM(AF9:AF33)</f>
        <v>285528.22599999997</v>
      </c>
      <c r="AG8" s="109">
        <f>SUM(AG9:AG33)</f>
        <v>277243.81</v>
      </c>
      <c r="AH8" s="110">
        <f>SUM(AH9:AH33)</f>
        <v>562772.03599999996</v>
      </c>
      <c r="AI8" s="164">
        <f>AH8/$AH$89</f>
        <v>0.89420799606473711</v>
      </c>
      <c r="AJ8" s="87"/>
      <c r="AK8" s="109">
        <f>SUM(AK9:AK33)</f>
        <v>748249.78799999994</v>
      </c>
      <c r="AL8" s="109">
        <f>SUM(AL9:AL33)</f>
        <v>208670</v>
      </c>
      <c r="AM8" s="110">
        <f>SUM(AM9:AM33)</f>
        <v>956919.78799999994</v>
      </c>
      <c r="AN8" s="164">
        <f>AM8/$AH$89</f>
        <v>1.520483022049399</v>
      </c>
      <c r="AO8" s="87"/>
      <c r="AP8" s="109">
        <f>SUM(AP9:AP33)</f>
        <v>-94434.409999999247</v>
      </c>
      <c r="AQ8" s="109">
        <f>SUM(AQ9:AQ33)</f>
        <v>98985.179999999818</v>
      </c>
      <c r="AR8" s="110">
        <f>SUM(AR9:AR33)</f>
        <v>4550.7700000005752</v>
      </c>
      <c r="AS8" s="164">
        <f>AR8/$AH$89</f>
        <v>7.2308762019796568E-3</v>
      </c>
      <c r="AT8" s="87"/>
      <c r="AU8" s="109">
        <f>SUM(AU9:AU33)</f>
        <v>6005655.2320000008</v>
      </c>
      <c r="AV8" s="109">
        <f>SUM(AV9:AV33)</f>
        <v>2499377.64</v>
      </c>
      <c r="AW8" s="110">
        <f>SUM(AW9:AW33)</f>
        <v>8505032.8719999995</v>
      </c>
      <c r="AX8" s="164">
        <f t="shared" ref="AX8:AX33" si="4">AW8/$AW$89</f>
        <v>0.90059797586028556</v>
      </c>
      <c r="AY8" s="87"/>
      <c r="AZ8" s="618">
        <f>SUM(AZ9:AZ33)</f>
        <v>6005655.2320000008</v>
      </c>
      <c r="BA8" s="618">
        <f>SUM(BA9:BA33)</f>
        <v>2499377.64</v>
      </c>
      <c r="BB8" s="619">
        <f>SUM(BB9:BB33)</f>
        <v>8505032.8719999995</v>
      </c>
      <c r="BC8" s="577" t="e">
        <f>BB8/$F$89</f>
        <v>#DIV/0!</v>
      </c>
      <c r="BD8" s="842"/>
      <c r="BE8" s="842"/>
    </row>
    <row r="9" spans="1:57" s="2" customFormat="1" ht="30" customHeight="1" outlineLevel="2" x14ac:dyDescent="0.25">
      <c r="A9" s="238"/>
      <c r="B9" s="644" t="s">
        <v>74</v>
      </c>
      <c r="C9" s="111"/>
      <c r="D9" s="112"/>
      <c r="E9" s="106">
        <f t="shared" ref="E9:E33" si="5">C9+D9</f>
        <v>0</v>
      </c>
      <c r="F9" s="177">
        <f t="shared" si="0"/>
        <v>0</v>
      </c>
      <c r="G9" s="41"/>
      <c r="H9" s="41"/>
      <c r="I9" s="41">
        <f>G9+H9*1</f>
        <v>0</v>
      </c>
      <c r="J9" s="178">
        <f t="shared" si="1"/>
        <v>0</v>
      </c>
      <c r="K9" s="363"/>
      <c r="L9" s="39"/>
      <c r="M9" s="39"/>
      <c r="N9" s="210">
        <f>L9+M9*1</f>
        <v>0</v>
      </c>
      <c r="O9" s="178">
        <f t="shared" si="2"/>
        <v>0</v>
      </c>
      <c r="P9" s="42"/>
      <c r="Q9" s="39"/>
      <c r="R9" s="39"/>
      <c r="S9" s="210">
        <f>Q9+R9*1</f>
        <v>0</v>
      </c>
      <c r="T9" s="178">
        <f t="shared" si="3"/>
        <v>0</v>
      </c>
      <c r="U9" s="402"/>
      <c r="V9" s="39">
        <v>21850</v>
      </c>
      <c r="W9" s="39"/>
      <c r="X9" s="210">
        <f>V9+W9*1</f>
        <v>21850</v>
      </c>
      <c r="Y9" s="178">
        <f>X9/$X$89</f>
        <v>7.6429826918963245E-3</v>
      </c>
      <c r="Z9" s="402"/>
      <c r="AA9" s="39">
        <v>21850.92</v>
      </c>
      <c r="AB9" s="39"/>
      <c r="AC9" s="210">
        <f>AA9+AB9*1</f>
        <v>21850.92</v>
      </c>
      <c r="AD9" s="178">
        <f>AC9/$AC$89</f>
        <v>1.2321000652002388E-2</v>
      </c>
      <c r="AE9" s="388" t="s">
        <v>725</v>
      </c>
      <c r="AF9" s="39"/>
      <c r="AG9" s="39"/>
      <c r="AH9" s="210">
        <f>AF9+AG9*1</f>
        <v>0</v>
      </c>
      <c r="AI9" s="178">
        <f>AH9/$AH$89</f>
        <v>0</v>
      </c>
      <c r="AJ9" s="388"/>
      <c r="AK9" s="39"/>
      <c r="AL9" s="39"/>
      <c r="AM9" s="210">
        <f>AK9+AL9*1</f>
        <v>0</v>
      </c>
      <c r="AN9" s="178">
        <f>AM9/$AH$89</f>
        <v>0</v>
      </c>
      <c r="AO9" s="388"/>
      <c r="AP9" s="39"/>
      <c r="AQ9" s="39"/>
      <c r="AR9" s="210">
        <f>AP9+AQ9*1</f>
        <v>0</v>
      </c>
      <c r="AS9" s="178">
        <f>AR9/$AH$89</f>
        <v>0</v>
      </c>
      <c r="AT9" s="388"/>
      <c r="AU9" s="39">
        <f t="shared" ref="AU9:AU32" si="6">G9+L9+Q9+V9+AA9+AF9+AK9+AP9</f>
        <v>43700.92</v>
      </c>
      <c r="AV9" s="39">
        <f t="shared" ref="AV9:AV32" si="7">H9+M9+R9+W9+AB9+AG9+AL9+AQ9</f>
        <v>0</v>
      </c>
      <c r="AW9" s="210">
        <f>AU9+AV9*1</f>
        <v>43700.92</v>
      </c>
      <c r="AX9" s="178">
        <f t="shared" si="4"/>
        <v>4.6274906502480444E-3</v>
      </c>
      <c r="AY9" s="42"/>
      <c r="AZ9" s="488">
        <f>21850+21850.92</f>
        <v>43700.92</v>
      </c>
      <c r="BA9" s="488"/>
      <c r="BB9" s="489">
        <f>AZ9+BA9*1</f>
        <v>43700.92</v>
      </c>
      <c r="BC9" s="485" t="e">
        <f>BB9/$F$89</f>
        <v>#DIV/0!</v>
      </c>
      <c r="BD9" s="842"/>
      <c r="BE9" s="842"/>
    </row>
    <row r="10" spans="1:57" s="2" customFormat="1" ht="14.4" customHeight="1" outlineLevel="2" x14ac:dyDescent="0.25">
      <c r="A10" s="238"/>
      <c r="B10" s="644" t="s">
        <v>72</v>
      </c>
      <c r="C10" s="111"/>
      <c r="D10" s="112"/>
      <c r="E10" s="106">
        <f t="shared" si="5"/>
        <v>0</v>
      </c>
      <c r="F10" s="177">
        <f t="shared" si="0"/>
        <v>0</v>
      </c>
      <c r="G10" s="41"/>
      <c r="H10" s="41"/>
      <c r="I10" s="41">
        <f t="shared" ref="I10:I33" si="8">G10+H10*1</f>
        <v>0</v>
      </c>
      <c r="J10" s="178">
        <f t="shared" si="1"/>
        <v>0</v>
      </c>
      <c r="K10" s="363"/>
      <c r="L10" s="39"/>
      <c r="M10" s="39"/>
      <c r="N10" s="210">
        <f t="shared" ref="N10:N33" si="9">L10+M10*1</f>
        <v>0</v>
      </c>
      <c r="O10" s="178">
        <f t="shared" si="2"/>
        <v>0</v>
      </c>
      <c r="P10" s="42"/>
      <c r="Q10" s="39"/>
      <c r="R10" s="39"/>
      <c r="S10" s="210">
        <f t="shared" ref="S10:S33" si="10">Q10+R10*1</f>
        <v>0</v>
      </c>
      <c r="T10" s="178">
        <f t="shared" si="3"/>
        <v>0</v>
      </c>
      <c r="U10" s="402"/>
      <c r="V10" s="39">
        <v>5293.08</v>
      </c>
      <c r="W10" s="39"/>
      <c r="X10" s="210">
        <f t="shared" ref="X10:X22" si="11">V10+W10*1</f>
        <v>5293.08</v>
      </c>
      <c r="Y10" s="178">
        <f t="shared" ref="Y10:Y33" si="12">X10/$X$89</f>
        <v>1.8514836991680823E-3</v>
      </c>
      <c r="Z10" s="388"/>
      <c r="AA10" s="39">
        <v>5293.08</v>
      </c>
      <c r="AB10" s="39"/>
      <c r="AC10" s="210">
        <f t="shared" ref="AC10:AC33" si="13">AA10+AB10*1</f>
        <v>5293.08</v>
      </c>
      <c r="AD10" s="178">
        <f>AC10/$AC$89</f>
        <v>2.984590220050268E-3</v>
      </c>
      <c r="AE10" s="388"/>
      <c r="AF10" s="39"/>
      <c r="AG10" s="39"/>
      <c r="AH10" s="210">
        <f t="shared" ref="AH10:AH33" si="14">AF10+AG10*1</f>
        <v>0</v>
      </c>
      <c r="AI10" s="178">
        <f t="shared" ref="AI10:AI33" si="15">AH10/$AH$89</f>
        <v>0</v>
      </c>
      <c r="AJ10" s="388"/>
      <c r="AK10" s="39"/>
      <c r="AL10" s="39"/>
      <c r="AM10" s="210">
        <f t="shared" ref="AM10:AM33" si="16">AK10+AL10*1</f>
        <v>0</v>
      </c>
      <c r="AN10" s="178">
        <f>AM10/$AH$89</f>
        <v>0</v>
      </c>
      <c r="AO10" s="388"/>
      <c r="AP10" s="39"/>
      <c r="AQ10" s="39"/>
      <c r="AR10" s="210">
        <f t="shared" ref="AR10:AR33" si="17">AP10+AQ10*1</f>
        <v>0</v>
      </c>
      <c r="AS10" s="178">
        <f>AR10/$AH$89</f>
        <v>0</v>
      </c>
      <c r="AT10" s="388"/>
      <c r="AU10" s="39">
        <f t="shared" si="6"/>
        <v>10586.16</v>
      </c>
      <c r="AV10" s="39">
        <f t="shared" si="7"/>
        <v>0</v>
      </c>
      <c r="AW10" s="210">
        <f t="shared" ref="AW10:AW33" si="18">AU10+AV10*1</f>
        <v>10586.16</v>
      </c>
      <c r="AX10" s="178">
        <f t="shared" si="4"/>
        <v>1.1209685384662345E-3</v>
      </c>
      <c r="AY10" s="42"/>
      <c r="AZ10" s="452">
        <f>5293.08+5293.08</f>
        <v>10586.16</v>
      </c>
      <c r="BA10" s="452"/>
      <c r="BB10" s="453">
        <f t="shared" ref="BB10:BB33" si="19">AZ10+BA10*1</f>
        <v>10586.16</v>
      </c>
      <c r="BC10" s="450" t="e">
        <f t="shared" ref="BC10:BC33" si="20">BB10/$F$89</f>
        <v>#DIV/0!</v>
      </c>
      <c r="BD10" s="842"/>
      <c r="BE10" s="842"/>
    </row>
    <row r="11" spans="1:57" s="2" customFormat="1" ht="36" customHeight="1" outlineLevel="2" x14ac:dyDescent="0.25">
      <c r="A11" s="238"/>
      <c r="B11" s="644" t="s">
        <v>69</v>
      </c>
      <c r="C11" s="111"/>
      <c r="D11" s="112"/>
      <c r="E11" s="106">
        <f t="shared" si="5"/>
        <v>0</v>
      </c>
      <c r="F11" s="177">
        <f t="shared" si="0"/>
        <v>0</v>
      </c>
      <c r="G11" s="41"/>
      <c r="H11" s="41"/>
      <c r="I11" s="41">
        <f t="shared" si="8"/>
        <v>0</v>
      </c>
      <c r="J11" s="178">
        <f t="shared" si="1"/>
        <v>0</v>
      </c>
      <c r="K11" s="291"/>
      <c r="L11" s="39"/>
      <c r="M11" s="39"/>
      <c r="N11" s="210">
        <f t="shared" si="9"/>
        <v>0</v>
      </c>
      <c r="O11" s="178">
        <f t="shared" si="2"/>
        <v>0</v>
      </c>
      <c r="P11" s="42"/>
      <c r="Q11" s="39"/>
      <c r="R11" s="39"/>
      <c r="S11" s="210">
        <f t="shared" si="10"/>
        <v>0</v>
      </c>
      <c r="T11" s="178">
        <f t="shared" si="3"/>
        <v>0</v>
      </c>
      <c r="U11" s="402"/>
      <c r="V11" s="39">
        <v>5971.68</v>
      </c>
      <c r="W11" s="39"/>
      <c r="X11" s="210">
        <f t="shared" si="11"/>
        <v>5971.68</v>
      </c>
      <c r="Y11" s="178">
        <f t="shared" si="12"/>
        <v>2.0888534041896313E-3</v>
      </c>
      <c r="Z11" s="388"/>
      <c r="AA11" s="39">
        <v>5971.68</v>
      </c>
      <c r="AB11" s="39"/>
      <c r="AC11" s="210">
        <f t="shared" si="13"/>
        <v>5971.68</v>
      </c>
      <c r="AD11" s="178">
        <f t="shared" ref="AD11:AD33" si="21">AC11/$AC$89</f>
        <v>3.3672299918515846E-3</v>
      </c>
      <c r="AE11" s="388"/>
      <c r="AF11" s="39"/>
      <c r="AG11" s="39"/>
      <c r="AH11" s="210">
        <f t="shared" si="14"/>
        <v>0</v>
      </c>
      <c r="AI11" s="178">
        <f>AH11/$AH$89</f>
        <v>0</v>
      </c>
      <c r="AJ11" s="388"/>
      <c r="AK11" s="39"/>
      <c r="AL11" s="39"/>
      <c r="AM11" s="210">
        <f t="shared" si="16"/>
        <v>0</v>
      </c>
      <c r="AN11" s="178">
        <f>AM11/$AH$89</f>
        <v>0</v>
      </c>
      <c r="AO11" s="388"/>
      <c r="AP11" s="39"/>
      <c r="AQ11" s="39"/>
      <c r="AR11" s="210">
        <f t="shared" si="17"/>
        <v>0</v>
      </c>
      <c r="AS11" s="178">
        <f>AR11/$AH$89</f>
        <v>0</v>
      </c>
      <c r="AT11" s="388"/>
      <c r="AU11" s="39">
        <f t="shared" si="6"/>
        <v>11943.36</v>
      </c>
      <c r="AV11" s="39">
        <f t="shared" si="7"/>
        <v>0</v>
      </c>
      <c r="AW11" s="210">
        <f t="shared" si="18"/>
        <v>11943.36</v>
      </c>
      <c r="AX11" s="178">
        <f t="shared" si="4"/>
        <v>1.2646824536542134E-3</v>
      </c>
      <c r="AY11" s="42"/>
      <c r="AZ11" s="452">
        <f>5971.68+5971.68</f>
        <v>11943.36</v>
      </c>
      <c r="BA11" s="452"/>
      <c r="BB11" s="453">
        <f t="shared" si="19"/>
        <v>11943.36</v>
      </c>
      <c r="BC11" s="450" t="e">
        <f t="shared" si="20"/>
        <v>#DIV/0!</v>
      </c>
      <c r="BD11" s="842"/>
      <c r="BE11" s="842"/>
    </row>
    <row r="12" spans="1:57" s="2" customFormat="1" ht="52.2" customHeight="1" outlineLevel="2" x14ac:dyDescent="0.25">
      <c r="A12" s="238"/>
      <c r="B12" s="644" t="s">
        <v>73</v>
      </c>
      <c r="C12" s="111">
        <v>38640</v>
      </c>
      <c r="D12" s="112">
        <v>97865</v>
      </c>
      <c r="E12" s="106">
        <f t="shared" si="5"/>
        <v>136505</v>
      </c>
      <c r="F12" s="177">
        <f t="shared" si="0"/>
        <v>1.4485596461171705E-2</v>
      </c>
      <c r="G12" s="41"/>
      <c r="H12" s="41">
        <f>12550.91+7903.63</f>
        <v>20454.54</v>
      </c>
      <c r="I12" s="41">
        <f t="shared" si="8"/>
        <v>20454.54</v>
      </c>
      <c r="J12" s="178">
        <f t="shared" si="1"/>
        <v>4.7728187828371696E-2</v>
      </c>
      <c r="K12" s="291" t="s">
        <v>375</v>
      </c>
      <c r="L12" s="39">
        <v>5203.1899999999996</v>
      </c>
      <c r="M12" s="39">
        <f>19796.82+5000</f>
        <v>24796.82</v>
      </c>
      <c r="N12" s="210">
        <f t="shared" si="9"/>
        <v>30000.01</v>
      </c>
      <c r="O12" s="178">
        <f t="shared" si="2"/>
        <v>1.9960212297618445E-2</v>
      </c>
      <c r="P12" s="261" t="s">
        <v>474</v>
      </c>
      <c r="Q12" s="39">
        <v>9821</v>
      </c>
      <c r="R12" s="39">
        <v>15179</v>
      </c>
      <c r="S12" s="210">
        <f t="shared" si="10"/>
        <v>25000</v>
      </c>
      <c r="T12" s="178">
        <f t="shared" si="3"/>
        <v>2.9254287470088857E-2</v>
      </c>
      <c r="U12" s="417" t="s">
        <v>583</v>
      </c>
      <c r="V12" s="39">
        <v>11574.73</v>
      </c>
      <c r="W12" s="39">
        <v>13425.27</v>
      </c>
      <c r="X12" s="210">
        <f t="shared" si="11"/>
        <v>25000</v>
      </c>
      <c r="Y12" s="178">
        <f t="shared" si="12"/>
        <v>8.7448314552589518E-3</v>
      </c>
      <c r="Z12" s="388" t="s">
        <v>639</v>
      </c>
      <c r="AA12" s="39"/>
      <c r="AB12" s="39">
        <v>24999.999999999996</v>
      </c>
      <c r="AC12" s="210">
        <f t="shared" si="13"/>
        <v>24999.999999999996</v>
      </c>
      <c r="AD12" s="178">
        <f t="shared" si="21"/>
        <v>1.4096661206945048E-2</v>
      </c>
      <c r="AE12" s="388" t="s">
        <v>719</v>
      </c>
      <c r="AF12" s="39"/>
      <c r="AG12" s="39">
        <v>25000</v>
      </c>
      <c r="AH12" s="210">
        <f t="shared" si="14"/>
        <v>25000</v>
      </c>
      <c r="AI12" s="178">
        <f t="shared" si="15"/>
        <v>3.9723366605974059E-2</v>
      </c>
      <c r="AJ12" s="388" t="s">
        <v>777</v>
      </c>
      <c r="AK12" s="39"/>
      <c r="AL12" s="39"/>
      <c r="AM12" s="210">
        <f t="shared" si="16"/>
        <v>0</v>
      </c>
      <c r="AN12" s="178">
        <f t="shared" ref="AN12:AN25" si="22">AM12/$AH$89</f>
        <v>0</v>
      </c>
      <c r="AO12" s="388"/>
      <c r="AP12" s="39"/>
      <c r="AQ12" s="39">
        <v>-4999.6300000000047</v>
      </c>
      <c r="AR12" s="210">
        <f t="shared" si="17"/>
        <v>-4999.6300000000047</v>
      </c>
      <c r="AS12" s="178">
        <f t="shared" ref="AS12:AS25" si="23">AR12/$AH$89</f>
        <v>-7.94408541536905E-3</v>
      </c>
      <c r="AT12" s="388"/>
      <c r="AU12" s="39">
        <f t="shared" si="6"/>
        <v>26598.92</v>
      </c>
      <c r="AV12" s="39">
        <f t="shared" si="7"/>
        <v>118856</v>
      </c>
      <c r="AW12" s="210">
        <f t="shared" si="18"/>
        <v>145454.91999999998</v>
      </c>
      <c r="AX12" s="178">
        <f t="shared" si="4"/>
        <v>1.5402222249155788E-2</v>
      </c>
      <c r="AY12" s="42"/>
      <c r="AZ12" s="452">
        <v>26598.92</v>
      </c>
      <c r="BA12" s="452">
        <f>12551+7904+19797+15179+13425+25000+25000</f>
        <v>118856</v>
      </c>
      <c r="BB12" s="453">
        <f>AZ12+BA12*1</f>
        <v>145454.91999999998</v>
      </c>
      <c r="BC12" s="450" t="e">
        <f t="shared" si="20"/>
        <v>#DIV/0!</v>
      </c>
      <c r="BD12" s="842"/>
      <c r="BE12" s="842"/>
    </row>
    <row r="13" spans="1:57" s="2" customFormat="1" ht="14.4" customHeight="1" outlineLevel="2" x14ac:dyDescent="0.25">
      <c r="A13" s="238"/>
      <c r="B13" s="31" t="s">
        <v>71</v>
      </c>
      <c r="C13" s="111">
        <v>10560</v>
      </c>
      <c r="D13" s="112"/>
      <c r="E13" s="106">
        <f t="shared" si="5"/>
        <v>10560</v>
      </c>
      <c r="F13" s="177">
        <f t="shared" si="0"/>
        <v>1.1206028982819179E-3</v>
      </c>
      <c r="G13" s="41">
        <v>1914.55</v>
      </c>
      <c r="H13" s="41"/>
      <c r="I13" s="41">
        <f t="shared" si="8"/>
        <v>1914.55</v>
      </c>
      <c r="J13" s="178">
        <f t="shared" si="1"/>
        <v>4.4673701782982668E-3</v>
      </c>
      <c r="K13" s="291"/>
      <c r="L13" s="39">
        <v>1787.29</v>
      </c>
      <c r="M13" s="39"/>
      <c r="N13" s="210">
        <f t="shared" si="9"/>
        <v>1787.29</v>
      </c>
      <c r="O13" s="178">
        <f t="shared" si="2"/>
        <v>1.1891558648617275E-3</v>
      </c>
      <c r="P13" s="42"/>
      <c r="Q13" s="39">
        <v>2379</v>
      </c>
      <c r="R13" s="39"/>
      <c r="S13" s="210">
        <f t="shared" si="10"/>
        <v>2379</v>
      </c>
      <c r="T13" s="178">
        <f t="shared" si="3"/>
        <v>2.7838379956536554E-3</v>
      </c>
      <c r="U13" s="402"/>
      <c r="V13" s="39">
        <v>2803.82</v>
      </c>
      <c r="W13" s="39"/>
      <c r="X13" s="210">
        <f t="shared" si="11"/>
        <v>2803.82</v>
      </c>
      <c r="Y13" s="178">
        <f t="shared" si="12"/>
        <v>9.8075733323536624E-4</v>
      </c>
      <c r="Z13" s="388"/>
      <c r="AA13" s="39"/>
      <c r="AB13" s="39"/>
      <c r="AC13" s="210">
        <f t="shared" si="13"/>
        <v>0</v>
      </c>
      <c r="AD13" s="178">
        <f t="shared" si="21"/>
        <v>0</v>
      </c>
      <c r="AE13" s="388"/>
      <c r="AF13" s="39"/>
      <c r="AG13" s="39"/>
      <c r="AH13" s="210">
        <f t="shared" si="14"/>
        <v>0</v>
      </c>
      <c r="AI13" s="178">
        <f t="shared" si="15"/>
        <v>0</v>
      </c>
      <c r="AJ13" s="388"/>
      <c r="AK13" s="39"/>
      <c r="AL13" s="39"/>
      <c r="AM13" s="210">
        <f t="shared" si="16"/>
        <v>0</v>
      </c>
      <c r="AN13" s="178">
        <f t="shared" si="22"/>
        <v>0</v>
      </c>
      <c r="AO13" s="388"/>
      <c r="AP13" s="39"/>
      <c r="AQ13" s="39"/>
      <c r="AR13" s="210">
        <f t="shared" si="17"/>
        <v>0</v>
      </c>
      <c r="AS13" s="178">
        <f t="shared" si="23"/>
        <v>0</v>
      </c>
      <c r="AT13" s="388"/>
      <c r="AU13" s="39">
        <f t="shared" si="6"/>
        <v>8884.66</v>
      </c>
      <c r="AV13" s="39">
        <f t="shared" si="7"/>
        <v>0</v>
      </c>
      <c r="AW13" s="210">
        <f t="shared" si="18"/>
        <v>8884.66</v>
      </c>
      <c r="AX13" s="178">
        <f t="shared" si="4"/>
        <v>9.4079669445478007E-4</v>
      </c>
      <c r="AY13" s="42"/>
      <c r="AZ13" s="452">
        <v>8884.66</v>
      </c>
      <c r="BA13" s="452"/>
      <c r="BB13" s="453">
        <f t="shared" si="19"/>
        <v>8884.66</v>
      </c>
      <c r="BC13" s="450" t="e">
        <f t="shared" si="20"/>
        <v>#DIV/0!</v>
      </c>
      <c r="BD13" s="842"/>
      <c r="BE13" s="842"/>
    </row>
    <row r="14" spans="1:57" s="2" customFormat="1" ht="14.4" customHeight="1" outlineLevel="2" x14ac:dyDescent="0.25">
      <c r="A14" s="238"/>
      <c r="B14" s="31" t="s">
        <v>70</v>
      </c>
      <c r="C14" s="111">
        <v>9360</v>
      </c>
      <c r="D14" s="112"/>
      <c r="E14" s="106">
        <f t="shared" si="5"/>
        <v>9360</v>
      </c>
      <c r="F14" s="177">
        <f t="shared" si="0"/>
        <v>9.93261659840791E-4</v>
      </c>
      <c r="G14" s="41">
        <v>2160</v>
      </c>
      <c r="H14" s="41"/>
      <c r="I14" s="41">
        <f t="shared" si="8"/>
        <v>2160</v>
      </c>
      <c r="J14" s="178">
        <f t="shared" si="1"/>
        <v>5.0400979787021787E-3</v>
      </c>
      <c r="K14" s="291"/>
      <c r="L14" s="39">
        <v>2016.43</v>
      </c>
      <c r="M14" s="39"/>
      <c r="N14" s="210">
        <f t="shared" si="9"/>
        <v>2016.43</v>
      </c>
      <c r="O14" s="178">
        <f t="shared" si="2"/>
        <v>1.3416119155722536E-3</v>
      </c>
      <c r="P14" s="42"/>
      <c r="Q14" s="39">
        <v>2684</v>
      </c>
      <c r="R14" s="39"/>
      <c r="S14" s="210">
        <f t="shared" si="10"/>
        <v>2684</v>
      </c>
      <c r="T14" s="178">
        <f t="shared" si="3"/>
        <v>3.1407403027887393E-3</v>
      </c>
      <c r="U14" s="402"/>
      <c r="V14" s="39">
        <v>3163.28</v>
      </c>
      <c r="W14" s="39"/>
      <c r="X14" s="210">
        <f t="shared" si="11"/>
        <v>3163.28</v>
      </c>
      <c r="Y14" s="178">
        <f t="shared" si="12"/>
        <v>1.1064940178316617E-3</v>
      </c>
      <c r="Z14" s="388"/>
      <c r="AA14" s="39"/>
      <c r="AB14" s="39"/>
      <c r="AC14" s="210">
        <f t="shared" si="13"/>
        <v>0</v>
      </c>
      <c r="AD14" s="178">
        <f t="shared" si="21"/>
        <v>0</v>
      </c>
      <c r="AE14" s="388"/>
      <c r="AF14" s="39"/>
      <c r="AG14" s="39"/>
      <c r="AH14" s="210">
        <f t="shared" si="14"/>
        <v>0</v>
      </c>
      <c r="AI14" s="178">
        <f t="shared" si="15"/>
        <v>0</v>
      </c>
      <c r="AJ14" s="388"/>
      <c r="AK14" s="39"/>
      <c r="AL14" s="39"/>
      <c r="AM14" s="210">
        <f t="shared" si="16"/>
        <v>0</v>
      </c>
      <c r="AN14" s="178">
        <f t="shared" si="22"/>
        <v>0</v>
      </c>
      <c r="AO14" s="388"/>
      <c r="AP14" s="39"/>
      <c r="AQ14" s="39"/>
      <c r="AR14" s="210">
        <f t="shared" si="17"/>
        <v>0</v>
      </c>
      <c r="AS14" s="178">
        <f t="shared" si="23"/>
        <v>0</v>
      </c>
      <c r="AT14" s="388"/>
      <c r="AU14" s="39">
        <f t="shared" si="6"/>
        <v>10023.710000000001</v>
      </c>
      <c r="AV14" s="39">
        <f t="shared" si="7"/>
        <v>0</v>
      </c>
      <c r="AW14" s="210">
        <f t="shared" si="18"/>
        <v>10023.710000000001</v>
      </c>
      <c r="AX14" s="178">
        <f t="shared" si="4"/>
        <v>1.0614107049873968E-3</v>
      </c>
      <c r="AY14" s="42"/>
      <c r="AZ14" s="452">
        <v>10023.710000000001</v>
      </c>
      <c r="BA14" s="452"/>
      <c r="BB14" s="453">
        <f t="shared" si="19"/>
        <v>10023.710000000001</v>
      </c>
      <c r="BC14" s="450" t="e">
        <f t="shared" si="20"/>
        <v>#DIV/0!</v>
      </c>
      <c r="BD14" s="842"/>
      <c r="BE14" s="842"/>
    </row>
    <row r="15" spans="1:57" s="2" customFormat="1" ht="14.4" customHeight="1" outlineLevel="2" x14ac:dyDescent="0.25">
      <c r="A15" s="238"/>
      <c r="B15" s="7" t="s">
        <v>20</v>
      </c>
      <c r="C15" s="111"/>
      <c r="D15" s="113"/>
      <c r="E15" s="106">
        <f t="shared" si="5"/>
        <v>0</v>
      </c>
      <c r="F15" s="177">
        <f t="shared" si="0"/>
        <v>0</v>
      </c>
      <c r="G15" s="41"/>
      <c r="H15" s="41"/>
      <c r="I15" s="41">
        <f t="shared" si="8"/>
        <v>0</v>
      </c>
      <c r="J15" s="178">
        <f t="shared" si="1"/>
        <v>0</v>
      </c>
      <c r="K15" s="291"/>
      <c r="L15" s="39"/>
      <c r="M15" s="39">
        <v>14000</v>
      </c>
      <c r="N15" s="210">
        <f t="shared" si="9"/>
        <v>14000</v>
      </c>
      <c r="O15" s="178">
        <f t="shared" si="2"/>
        <v>9.3147626339677297E-3</v>
      </c>
      <c r="P15" s="42"/>
      <c r="Q15" s="39"/>
      <c r="R15" s="39"/>
      <c r="S15" s="210">
        <f t="shared" si="10"/>
        <v>0</v>
      </c>
      <c r="T15" s="178">
        <f t="shared" si="3"/>
        <v>0</v>
      </c>
      <c r="U15" s="402"/>
      <c r="V15" s="39"/>
      <c r="W15" s="39"/>
      <c r="X15" s="210">
        <f t="shared" si="11"/>
        <v>0</v>
      </c>
      <c r="Y15" s="178">
        <f t="shared" si="12"/>
        <v>0</v>
      </c>
      <c r="Z15" s="388"/>
      <c r="AA15" s="39"/>
      <c r="AB15" s="39"/>
      <c r="AC15" s="210">
        <f t="shared" si="13"/>
        <v>0</v>
      </c>
      <c r="AD15" s="178">
        <f t="shared" si="21"/>
        <v>0</v>
      </c>
      <c r="AE15" s="388"/>
      <c r="AF15" s="39"/>
      <c r="AG15" s="39"/>
      <c r="AH15" s="210">
        <f t="shared" si="14"/>
        <v>0</v>
      </c>
      <c r="AI15" s="178">
        <f t="shared" si="15"/>
        <v>0</v>
      </c>
      <c r="AJ15" s="388"/>
      <c r="AK15" s="39"/>
      <c r="AL15" s="39">
        <v>8400</v>
      </c>
      <c r="AM15" s="210">
        <f t="shared" si="16"/>
        <v>8400</v>
      </c>
      <c r="AN15" s="178">
        <f t="shared" si="22"/>
        <v>1.3347051179607283E-2</v>
      </c>
      <c r="AO15" s="388"/>
      <c r="AP15" s="39"/>
      <c r="AQ15" s="39"/>
      <c r="AR15" s="210">
        <f t="shared" si="17"/>
        <v>0</v>
      </c>
      <c r="AS15" s="178">
        <f t="shared" si="23"/>
        <v>0</v>
      </c>
      <c r="AT15" s="388"/>
      <c r="AU15" s="39">
        <f t="shared" si="6"/>
        <v>0</v>
      </c>
      <c r="AV15" s="39">
        <f t="shared" si="7"/>
        <v>22400</v>
      </c>
      <c r="AW15" s="210">
        <f t="shared" si="18"/>
        <v>22400</v>
      </c>
      <c r="AX15" s="178">
        <f t="shared" si="4"/>
        <v>2.3719361186344862E-3</v>
      </c>
      <c r="AY15" s="42"/>
      <c r="AZ15" s="452"/>
      <c r="BA15" s="452">
        <v>22400</v>
      </c>
      <c r="BB15" s="453">
        <f t="shared" si="19"/>
        <v>22400</v>
      </c>
      <c r="BC15" s="450" t="e">
        <f t="shared" si="20"/>
        <v>#DIV/0!</v>
      </c>
      <c r="BD15" s="842"/>
      <c r="BE15" s="842"/>
    </row>
    <row r="16" spans="1:57" s="2" customFormat="1" ht="40.200000000000003" customHeight="1" outlineLevel="2" x14ac:dyDescent="0.25">
      <c r="A16" s="292"/>
      <c r="B16" s="7" t="s">
        <v>21</v>
      </c>
      <c r="C16" s="111"/>
      <c r="D16" s="113">
        <v>1554366</v>
      </c>
      <c r="E16" s="106">
        <f t="shared" si="5"/>
        <v>1554366</v>
      </c>
      <c r="F16" s="177">
        <f t="shared" si="0"/>
        <v>0.16494574285898406</v>
      </c>
      <c r="G16" s="41"/>
      <c r="H16" s="41"/>
      <c r="I16" s="41">
        <f t="shared" si="8"/>
        <v>0</v>
      </c>
      <c r="J16" s="178">
        <f t="shared" si="1"/>
        <v>0</v>
      </c>
      <c r="K16" s="291"/>
      <c r="L16" s="39"/>
      <c r="M16" s="39">
        <f>69331.25+29850.4+16616+12640+28888+48025.2+5536+88823.4+67848+88432.2</f>
        <v>455990.45</v>
      </c>
      <c r="N16" s="210">
        <f t="shared" si="9"/>
        <v>455990.45</v>
      </c>
      <c r="O16" s="178">
        <f t="shared" si="2"/>
        <v>0.30338877179329504</v>
      </c>
      <c r="P16" s="261" t="s">
        <v>521</v>
      </c>
      <c r="Q16" s="39"/>
      <c r="R16" s="39">
        <v>259709.18</v>
      </c>
      <c r="S16" s="210">
        <f t="shared" si="10"/>
        <v>259709.18</v>
      </c>
      <c r="T16" s="178">
        <f t="shared" si="3"/>
        <v>0.30390428041364204</v>
      </c>
      <c r="U16" s="417" t="s">
        <v>559</v>
      </c>
      <c r="V16" s="39"/>
      <c r="W16" s="39">
        <f>303161.14</f>
        <v>303161.14</v>
      </c>
      <c r="X16" s="210">
        <f t="shared" si="11"/>
        <v>303161.14</v>
      </c>
      <c r="Y16" s="178">
        <f t="shared" si="12"/>
        <v>0.10604372292336653</v>
      </c>
      <c r="Z16" s="388" t="s">
        <v>712</v>
      </c>
      <c r="AA16" s="39"/>
      <c r="AB16" s="39">
        <f>131733.3</f>
        <v>131733.29999999999</v>
      </c>
      <c r="AC16" s="210">
        <f t="shared" si="13"/>
        <v>131733.29999999999</v>
      </c>
      <c r="AD16" s="178">
        <f t="shared" si="21"/>
        <v>7.4279987990914162E-2</v>
      </c>
      <c r="AE16" s="388" t="s">
        <v>769</v>
      </c>
      <c r="AF16" s="39"/>
      <c r="AG16" s="39">
        <v>140588.81</v>
      </c>
      <c r="AH16" s="210">
        <f t="shared" si="14"/>
        <v>140588.81</v>
      </c>
      <c r="AI16" s="178">
        <f t="shared" si="15"/>
        <v>0.22338643361310526</v>
      </c>
      <c r="AJ16" s="388" t="s">
        <v>791</v>
      </c>
      <c r="AK16" s="39"/>
      <c r="AL16" s="39"/>
      <c r="AM16" s="210">
        <f t="shared" si="16"/>
        <v>0</v>
      </c>
      <c r="AN16" s="178">
        <f t="shared" si="22"/>
        <v>0</v>
      </c>
      <c r="AO16" s="388"/>
      <c r="AP16" s="39"/>
      <c r="AQ16" s="39">
        <v>54935.809999999823</v>
      </c>
      <c r="AR16" s="210">
        <f t="shared" si="17"/>
        <v>54935.809999999823</v>
      </c>
      <c r="AS16" s="178">
        <f t="shared" si="23"/>
        <v>8.7289412817045151E-2</v>
      </c>
      <c r="AT16" s="388"/>
      <c r="AU16" s="39">
        <f t="shared" si="6"/>
        <v>0</v>
      </c>
      <c r="AV16" s="39">
        <f t="shared" si="7"/>
        <v>1346118.69</v>
      </c>
      <c r="AW16" s="210">
        <f t="shared" si="18"/>
        <v>1346118.69</v>
      </c>
      <c r="AX16" s="178">
        <f t="shared" si="4"/>
        <v>0.14254051521339015</v>
      </c>
      <c r="AY16" s="42"/>
      <c r="AZ16" s="452"/>
      <c r="BA16" s="452">
        <v>1346118.69</v>
      </c>
      <c r="BB16" s="453">
        <f t="shared" si="19"/>
        <v>1346118.69</v>
      </c>
      <c r="BC16" s="450" t="e">
        <f t="shared" si="20"/>
        <v>#DIV/0!</v>
      </c>
      <c r="BD16" s="842"/>
      <c r="BE16" s="842"/>
    </row>
    <row r="17" spans="1:57" s="2" customFormat="1" ht="36" customHeight="1" outlineLevel="2" x14ac:dyDescent="0.25">
      <c r="A17" s="238"/>
      <c r="B17" s="7" t="s">
        <v>22</v>
      </c>
      <c r="C17" s="111"/>
      <c r="D17" s="113">
        <v>57500</v>
      </c>
      <c r="E17" s="106">
        <f t="shared" si="5"/>
        <v>57500</v>
      </c>
      <c r="F17" s="177">
        <f t="shared" si="0"/>
        <v>6.1017676753040038E-3</v>
      </c>
      <c r="G17" s="161"/>
      <c r="H17" s="113">
        <v>25000</v>
      </c>
      <c r="I17" s="41">
        <f t="shared" si="8"/>
        <v>25000</v>
      </c>
      <c r="J17" s="178">
        <f t="shared" si="1"/>
        <v>5.8334467346090026E-2</v>
      </c>
      <c r="K17" s="291" t="s">
        <v>376</v>
      </c>
      <c r="L17" s="39"/>
      <c r="M17" s="39"/>
      <c r="N17" s="210">
        <f t="shared" si="9"/>
        <v>0</v>
      </c>
      <c r="O17" s="178">
        <f t="shared" si="2"/>
        <v>0</v>
      </c>
      <c r="P17" s="42"/>
      <c r="Q17" s="39"/>
      <c r="R17" s="39"/>
      <c r="S17" s="210">
        <f t="shared" si="10"/>
        <v>0</v>
      </c>
      <c r="T17" s="178">
        <f t="shared" si="3"/>
        <v>0</v>
      </c>
      <c r="U17" s="402"/>
      <c r="V17" s="39"/>
      <c r="W17" s="39"/>
      <c r="X17" s="210">
        <f t="shared" si="11"/>
        <v>0</v>
      </c>
      <c r="Y17" s="178">
        <f t="shared" si="12"/>
        <v>0</v>
      </c>
      <c r="Z17" s="388"/>
      <c r="AA17" s="39"/>
      <c r="AB17" s="39"/>
      <c r="AC17" s="210">
        <f t="shared" si="13"/>
        <v>0</v>
      </c>
      <c r="AD17" s="178">
        <f t="shared" si="21"/>
        <v>0</v>
      </c>
      <c r="AE17" s="388"/>
      <c r="AF17" s="39"/>
      <c r="AG17" s="39">
        <v>25000</v>
      </c>
      <c r="AH17" s="210">
        <f t="shared" si="14"/>
        <v>25000</v>
      </c>
      <c r="AI17" s="178">
        <f t="shared" si="15"/>
        <v>3.9723366605974059E-2</v>
      </c>
      <c r="AJ17" s="388" t="s">
        <v>794</v>
      </c>
      <c r="AK17" s="39"/>
      <c r="AL17" s="39"/>
      <c r="AM17" s="210">
        <f t="shared" si="16"/>
        <v>0</v>
      </c>
      <c r="AN17" s="178">
        <f t="shared" si="22"/>
        <v>0</v>
      </c>
      <c r="AO17" s="388"/>
      <c r="AP17" s="39"/>
      <c r="AQ17" s="39"/>
      <c r="AR17" s="210">
        <f t="shared" si="17"/>
        <v>0</v>
      </c>
      <c r="AS17" s="178">
        <f t="shared" si="23"/>
        <v>0</v>
      </c>
      <c r="AT17" s="388"/>
      <c r="AU17" s="39">
        <f t="shared" si="6"/>
        <v>0</v>
      </c>
      <c r="AV17" s="39">
        <f t="shared" si="7"/>
        <v>50000</v>
      </c>
      <c r="AW17" s="210">
        <f t="shared" si="18"/>
        <v>50000</v>
      </c>
      <c r="AX17" s="178">
        <f t="shared" si="4"/>
        <v>5.2945002648091214E-3</v>
      </c>
      <c r="AY17" s="42"/>
      <c r="AZ17" s="452"/>
      <c r="BA17" s="452">
        <v>50000</v>
      </c>
      <c r="BB17" s="453">
        <f t="shared" si="19"/>
        <v>50000</v>
      </c>
      <c r="BC17" s="450" t="e">
        <f t="shared" si="20"/>
        <v>#DIV/0!</v>
      </c>
      <c r="BD17" s="842"/>
      <c r="BE17" s="842"/>
    </row>
    <row r="18" spans="1:57" s="2" customFormat="1" ht="62.4" customHeight="1" outlineLevel="2" x14ac:dyDescent="0.25">
      <c r="A18" s="238"/>
      <c r="B18" s="7" t="s">
        <v>0</v>
      </c>
      <c r="C18" s="111">
        <v>860664</v>
      </c>
      <c r="D18" s="113">
        <v>23000</v>
      </c>
      <c r="E18" s="106">
        <f t="shared" si="5"/>
        <v>883664</v>
      </c>
      <c r="F18" s="177">
        <f t="shared" si="0"/>
        <v>9.3772390104866737E-2</v>
      </c>
      <c r="G18" s="161"/>
      <c r="H18" s="41">
        <v>300</v>
      </c>
      <c r="I18" s="41">
        <f t="shared" si="8"/>
        <v>300</v>
      </c>
      <c r="J18" s="178">
        <f t="shared" si="1"/>
        <v>7.0001360815308039E-4</v>
      </c>
      <c r="K18" s="291" t="s">
        <v>374</v>
      </c>
      <c r="L18" s="39"/>
      <c r="M18" s="39"/>
      <c r="N18" s="210">
        <f t="shared" si="9"/>
        <v>0</v>
      </c>
      <c r="O18" s="178">
        <f t="shared" si="2"/>
        <v>0</v>
      </c>
      <c r="P18" s="42"/>
      <c r="Q18" s="39">
        <f>151200</f>
        <v>151200</v>
      </c>
      <c r="R18" s="39">
        <v>20000</v>
      </c>
      <c r="S18" s="210">
        <f t="shared" si="10"/>
        <v>171200</v>
      </c>
      <c r="T18" s="178">
        <f t="shared" si="3"/>
        <v>0.20033336059516849</v>
      </c>
      <c r="U18" s="417" t="s">
        <v>582</v>
      </c>
      <c r="V18" s="39"/>
      <c r="W18" s="39"/>
      <c r="X18" s="210">
        <f t="shared" si="11"/>
        <v>0</v>
      </c>
      <c r="Y18" s="178">
        <f t="shared" si="12"/>
        <v>0</v>
      </c>
      <c r="Z18" s="388"/>
      <c r="AA18" s="39"/>
      <c r="AB18" s="39">
        <v>394000</v>
      </c>
      <c r="AC18" s="210">
        <f t="shared" si="13"/>
        <v>394000</v>
      </c>
      <c r="AD18" s="178">
        <f t="shared" si="21"/>
        <v>0.22216338062145399</v>
      </c>
      <c r="AE18" s="388" t="s">
        <v>734</v>
      </c>
      <c r="AF18" s="39"/>
      <c r="AG18" s="39">
        <v>80000</v>
      </c>
      <c r="AH18" s="210">
        <f t="shared" si="14"/>
        <v>80000</v>
      </c>
      <c r="AI18" s="178">
        <f t="shared" si="15"/>
        <v>0.12711477313911698</v>
      </c>
      <c r="AJ18" s="388" t="s">
        <v>792</v>
      </c>
      <c r="AK18" s="39"/>
      <c r="AL18" s="39">
        <v>22320</v>
      </c>
      <c r="AM18" s="210">
        <f t="shared" si="16"/>
        <v>22320</v>
      </c>
      <c r="AN18" s="178">
        <f t="shared" si="22"/>
        <v>3.5465021705813636E-2</v>
      </c>
      <c r="AO18" s="388" t="s">
        <v>864</v>
      </c>
      <c r="AP18" s="39">
        <v>124058</v>
      </c>
      <c r="AQ18" s="39">
        <v>50000</v>
      </c>
      <c r="AR18" s="210">
        <f t="shared" si="17"/>
        <v>174058</v>
      </c>
      <c r="AS18" s="178">
        <f t="shared" si="23"/>
        <v>0.27656678978810528</v>
      </c>
      <c r="AT18" s="388"/>
      <c r="AU18" s="39">
        <f t="shared" si="6"/>
        <v>275258</v>
      </c>
      <c r="AV18" s="39">
        <f t="shared" si="7"/>
        <v>566620</v>
      </c>
      <c r="AW18" s="210">
        <f t="shared" si="18"/>
        <v>841878</v>
      </c>
      <c r="AX18" s="178">
        <f t="shared" si="4"/>
        <v>8.9146465878739464E-2</v>
      </c>
      <c r="AY18" s="42"/>
      <c r="AZ18" s="835">
        <f>462+123596+151200</f>
        <v>275258</v>
      </c>
      <c r="BA18" s="452">
        <v>566620</v>
      </c>
      <c r="BB18" s="453">
        <f t="shared" si="19"/>
        <v>841878</v>
      </c>
      <c r="BC18" s="450" t="e">
        <f t="shared" si="20"/>
        <v>#DIV/0!</v>
      </c>
      <c r="BD18" s="842"/>
      <c r="BE18" s="842"/>
    </row>
    <row r="19" spans="1:57" s="2" customFormat="1" ht="51.6" customHeight="1" outlineLevel="2" x14ac:dyDescent="0.25">
      <c r="A19" s="238"/>
      <c r="B19" s="7" t="s">
        <v>53</v>
      </c>
      <c r="C19" s="114"/>
      <c r="D19" s="113"/>
      <c r="E19" s="106">
        <f t="shared" si="5"/>
        <v>0</v>
      </c>
      <c r="F19" s="177">
        <f t="shared" si="0"/>
        <v>0</v>
      </c>
      <c r="G19" s="161">
        <f>920+2760+15400.08</f>
        <v>19080.080000000002</v>
      </c>
      <c r="H19" s="113"/>
      <c r="I19" s="41">
        <f t="shared" si="8"/>
        <v>19080.080000000002</v>
      </c>
      <c r="J19" s="178">
        <f t="shared" si="1"/>
        <v>4.4521052148831425E-2</v>
      </c>
      <c r="K19" s="291" t="s">
        <v>382</v>
      </c>
      <c r="L19" s="39">
        <f>300+300+4080+2400+2400+2310</f>
        <v>11790</v>
      </c>
      <c r="M19" s="39">
        <v>8000</v>
      </c>
      <c r="N19" s="210">
        <f t="shared" si="9"/>
        <v>19790</v>
      </c>
      <c r="O19" s="178">
        <f t="shared" si="2"/>
        <v>1.3167082323301528E-2</v>
      </c>
      <c r="P19" s="261" t="s">
        <v>524</v>
      </c>
      <c r="Q19" s="39">
        <f>4080</f>
        <v>4080</v>
      </c>
      <c r="R19" s="39">
        <v>510</v>
      </c>
      <c r="S19" s="210">
        <f t="shared" si="10"/>
        <v>4590</v>
      </c>
      <c r="T19" s="178">
        <f t="shared" si="3"/>
        <v>5.3710871795083137E-3</v>
      </c>
      <c r="U19" s="401" t="s">
        <v>618</v>
      </c>
      <c r="V19" s="39">
        <v>63430</v>
      </c>
      <c r="W19" s="39"/>
      <c r="X19" s="210">
        <f t="shared" si="11"/>
        <v>63430</v>
      </c>
      <c r="Y19" s="178">
        <f t="shared" si="12"/>
        <v>2.2187386368283015E-2</v>
      </c>
      <c r="Z19" s="388" t="s">
        <v>631</v>
      </c>
      <c r="AA19" s="39">
        <f>3080*1.2</f>
        <v>3696</v>
      </c>
      <c r="AB19" s="39"/>
      <c r="AC19" s="210">
        <f t="shared" si="13"/>
        <v>3696</v>
      </c>
      <c r="AD19" s="178">
        <f t="shared" si="21"/>
        <v>2.0840503928347561E-3</v>
      </c>
      <c r="AE19" s="388" t="s">
        <v>738</v>
      </c>
      <c r="AF19" s="39"/>
      <c r="AG19" s="39"/>
      <c r="AH19" s="210">
        <f t="shared" si="14"/>
        <v>0</v>
      </c>
      <c r="AI19" s="178">
        <f t="shared" si="15"/>
        <v>0</v>
      </c>
      <c r="AJ19" s="388"/>
      <c r="AK19" s="39"/>
      <c r="AL19" s="39">
        <v>1600</v>
      </c>
      <c r="AM19" s="210">
        <f t="shared" si="16"/>
        <v>1600</v>
      </c>
      <c r="AN19" s="178">
        <f t="shared" si="22"/>
        <v>2.5422954627823398E-3</v>
      </c>
      <c r="AO19" s="388" t="s">
        <v>863</v>
      </c>
      <c r="AP19" s="39">
        <v>-84376.08</v>
      </c>
      <c r="AQ19" s="39">
        <v>-510</v>
      </c>
      <c r="AR19" s="210">
        <f t="shared" si="17"/>
        <v>-84886.080000000002</v>
      </c>
      <c r="AS19" s="178">
        <f t="shared" si="23"/>
        <v>-0.13487843502336169</v>
      </c>
      <c r="AT19" s="388"/>
      <c r="AU19" s="39">
        <f t="shared" si="6"/>
        <v>17700</v>
      </c>
      <c r="AV19" s="39">
        <f t="shared" si="7"/>
        <v>9600</v>
      </c>
      <c r="AW19" s="210">
        <f t="shared" si="18"/>
        <v>27300</v>
      </c>
      <c r="AX19" s="178">
        <f t="shared" si="4"/>
        <v>2.8907971445857801E-3</v>
      </c>
      <c r="AY19" s="42"/>
      <c r="AZ19" s="452">
        <v>17700</v>
      </c>
      <c r="BA19" s="452">
        <f>8000+1600</f>
        <v>9600</v>
      </c>
      <c r="BB19" s="453">
        <f t="shared" si="19"/>
        <v>27300</v>
      </c>
      <c r="BC19" s="450" t="e">
        <f t="shared" si="20"/>
        <v>#DIV/0!</v>
      </c>
      <c r="BD19" s="842"/>
      <c r="BE19" s="842"/>
    </row>
    <row r="20" spans="1:57" s="2" customFormat="1" ht="14.4" customHeight="1" outlineLevel="2" x14ac:dyDescent="0.25">
      <c r="A20" s="238"/>
      <c r="B20" s="7" t="s">
        <v>57</v>
      </c>
      <c r="C20" s="114"/>
      <c r="D20" s="113"/>
      <c r="E20" s="106">
        <f t="shared" si="5"/>
        <v>0</v>
      </c>
      <c r="F20" s="177">
        <f t="shared" si="0"/>
        <v>0</v>
      </c>
      <c r="G20" s="161"/>
      <c r="H20" s="113"/>
      <c r="I20" s="41">
        <f t="shared" si="8"/>
        <v>0</v>
      </c>
      <c r="J20" s="178">
        <f t="shared" si="1"/>
        <v>0</v>
      </c>
      <c r="K20" s="291"/>
      <c r="L20" s="39"/>
      <c r="M20" s="39"/>
      <c r="N20" s="210">
        <f t="shared" si="9"/>
        <v>0</v>
      </c>
      <c r="O20" s="178">
        <f t="shared" si="2"/>
        <v>0</v>
      </c>
      <c r="P20" s="42"/>
      <c r="Q20" s="39"/>
      <c r="R20" s="39"/>
      <c r="S20" s="210">
        <f t="shared" si="10"/>
        <v>0</v>
      </c>
      <c r="T20" s="178">
        <f t="shared" si="3"/>
        <v>0</v>
      </c>
      <c r="U20" s="402"/>
      <c r="V20" s="39"/>
      <c r="W20" s="39"/>
      <c r="X20" s="210">
        <f t="shared" si="11"/>
        <v>0</v>
      </c>
      <c r="Y20" s="178">
        <f t="shared" si="12"/>
        <v>0</v>
      </c>
      <c r="Z20" s="388"/>
      <c r="AA20" s="39"/>
      <c r="AB20" s="39"/>
      <c r="AC20" s="210">
        <f t="shared" si="13"/>
        <v>0</v>
      </c>
      <c r="AD20" s="178">
        <f>AC20/$AC$89</f>
        <v>0</v>
      </c>
      <c r="AE20" s="388"/>
      <c r="AF20" s="39"/>
      <c r="AG20" s="39"/>
      <c r="AH20" s="210">
        <f t="shared" si="14"/>
        <v>0</v>
      </c>
      <c r="AI20" s="178">
        <f t="shared" si="15"/>
        <v>0</v>
      </c>
      <c r="AJ20" s="388"/>
      <c r="AK20" s="39"/>
      <c r="AL20" s="39"/>
      <c r="AM20" s="210">
        <f t="shared" si="16"/>
        <v>0</v>
      </c>
      <c r="AN20" s="178">
        <f t="shared" si="22"/>
        <v>0</v>
      </c>
      <c r="AO20" s="388"/>
      <c r="AP20" s="39"/>
      <c r="AQ20" s="39"/>
      <c r="AR20" s="210">
        <f t="shared" si="17"/>
        <v>0</v>
      </c>
      <c r="AS20" s="178">
        <f t="shared" si="23"/>
        <v>0</v>
      </c>
      <c r="AT20" s="388"/>
      <c r="AU20" s="39">
        <f t="shared" si="6"/>
        <v>0</v>
      </c>
      <c r="AV20" s="39">
        <f t="shared" si="7"/>
        <v>0</v>
      </c>
      <c r="AW20" s="210">
        <f t="shared" si="18"/>
        <v>0</v>
      </c>
      <c r="AX20" s="178">
        <f t="shared" si="4"/>
        <v>0</v>
      </c>
      <c r="AY20" s="42"/>
      <c r="AZ20" s="452"/>
      <c r="BA20" s="452"/>
      <c r="BB20" s="453">
        <f t="shared" si="19"/>
        <v>0</v>
      </c>
      <c r="BC20" s="450" t="e">
        <f t="shared" si="20"/>
        <v>#DIV/0!</v>
      </c>
      <c r="BD20" s="842"/>
      <c r="BE20" s="842"/>
    </row>
    <row r="21" spans="1:57" s="2" customFormat="1" ht="69" customHeight="1" outlineLevel="2" x14ac:dyDescent="0.25">
      <c r="A21" s="238"/>
      <c r="B21" s="7" t="s">
        <v>58</v>
      </c>
      <c r="C21" s="114">
        <v>628720</v>
      </c>
      <c r="D21" s="113"/>
      <c r="E21" s="106">
        <f t="shared" si="5"/>
        <v>628720</v>
      </c>
      <c r="F21" s="177">
        <f t="shared" si="0"/>
        <v>6.6718319527254488E-2</v>
      </c>
      <c r="G21" s="161">
        <f>174*393.7+4200+80530</f>
        <v>153233.79999999999</v>
      </c>
      <c r="H21" s="113"/>
      <c r="I21" s="41">
        <f t="shared" si="8"/>
        <v>153233.79999999999</v>
      </c>
      <c r="J21" s="178">
        <f t="shared" si="1"/>
        <v>0.3575524840966916</v>
      </c>
      <c r="K21" s="291" t="s">
        <v>379</v>
      </c>
      <c r="L21" s="39">
        <f>(213*393.7+105*409.71)+4480.01+951+14731.2</f>
        <v>147039.86000000002</v>
      </c>
      <c r="M21" s="39"/>
      <c r="N21" s="210">
        <f t="shared" si="9"/>
        <v>147039.86000000002</v>
      </c>
      <c r="O21" s="178">
        <f t="shared" si="2"/>
        <v>9.7831528116560457E-2</v>
      </c>
      <c r="P21" s="261" t="s">
        <v>523</v>
      </c>
      <c r="Q21" s="39">
        <f>17172+88583+91365+7800+11200+54746</f>
        <v>270866</v>
      </c>
      <c r="R21" s="39"/>
      <c r="S21" s="210">
        <f t="shared" si="10"/>
        <v>270866</v>
      </c>
      <c r="T21" s="178">
        <f t="shared" si="3"/>
        <v>0.31695967319492352</v>
      </c>
      <c r="U21" s="417" t="s">
        <v>591</v>
      </c>
      <c r="V21" s="39">
        <v>160937</v>
      </c>
      <c r="W21" s="39"/>
      <c r="X21" s="210">
        <f t="shared" si="11"/>
        <v>160937</v>
      </c>
      <c r="Y21" s="178">
        <f t="shared" si="12"/>
        <v>5.6294677596600402E-2</v>
      </c>
      <c r="Z21" s="388" t="s">
        <v>629</v>
      </c>
      <c r="AA21" s="39">
        <v>93306.9</v>
      </c>
      <c r="AB21" s="39"/>
      <c r="AC21" s="210">
        <f t="shared" si="13"/>
        <v>93306.9</v>
      </c>
      <c r="AD21" s="178">
        <f t="shared" si="21"/>
        <v>5.261263030281204E-2</v>
      </c>
      <c r="AE21" s="388" t="s">
        <v>735</v>
      </c>
      <c r="AF21" s="39"/>
      <c r="AG21" s="39"/>
      <c r="AH21" s="210">
        <f t="shared" si="14"/>
        <v>0</v>
      </c>
      <c r="AI21" s="178">
        <f t="shared" si="15"/>
        <v>0</v>
      </c>
      <c r="AJ21" s="388"/>
      <c r="AK21" s="39"/>
      <c r="AL21" s="39"/>
      <c r="AM21" s="210">
        <f t="shared" si="16"/>
        <v>0</v>
      </c>
      <c r="AN21" s="178">
        <f t="shared" si="22"/>
        <v>0</v>
      </c>
      <c r="AO21" s="388"/>
      <c r="AP21" s="39">
        <v>-206597.56000000006</v>
      </c>
      <c r="AQ21" s="39">
        <v>0</v>
      </c>
      <c r="AR21" s="210">
        <f t="shared" si="17"/>
        <v>-206597.56000000006</v>
      </c>
      <c r="AS21" s="178">
        <f t="shared" si="23"/>
        <v>-0.32827002463118898</v>
      </c>
      <c r="AT21" s="388"/>
      <c r="AU21" s="39">
        <f t="shared" si="6"/>
        <v>618786</v>
      </c>
      <c r="AV21" s="39">
        <f t="shared" si="7"/>
        <v>0</v>
      </c>
      <c r="AW21" s="210">
        <f t="shared" si="18"/>
        <v>618786</v>
      </c>
      <c r="AX21" s="178">
        <f t="shared" si="4"/>
        <v>6.5523252817203531E-2</v>
      </c>
      <c r="AY21" s="42"/>
      <c r="AZ21" s="452">
        <f>5600+68504+126878+179948+144549+93307</f>
        <v>618786</v>
      </c>
      <c r="BA21" s="452"/>
      <c r="BB21" s="453">
        <f t="shared" si="19"/>
        <v>618786</v>
      </c>
      <c r="BC21" s="450" t="e">
        <f t="shared" si="20"/>
        <v>#DIV/0!</v>
      </c>
      <c r="BD21" s="842"/>
      <c r="BE21" s="842"/>
    </row>
    <row r="22" spans="1:57" s="2" customFormat="1" ht="63.6" customHeight="1" outlineLevel="2" x14ac:dyDescent="0.25">
      <c r="A22" s="238"/>
      <c r="B22" s="7" t="s">
        <v>621</v>
      </c>
      <c r="C22" s="114">
        <v>78606</v>
      </c>
      <c r="D22" s="445"/>
      <c r="E22" s="106">
        <f>C22+D22</f>
        <v>78606</v>
      </c>
      <c r="F22" s="177">
        <f t="shared" si="0"/>
        <v>8.3414878240860267E-3</v>
      </c>
      <c r="G22" s="448"/>
      <c r="H22" s="445"/>
      <c r="I22" s="449"/>
      <c r="J22" s="450"/>
      <c r="K22" s="451"/>
      <c r="L22" s="452"/>
      <c r="M22" s="452"/>
      <c r="N22" s="453"/>
      <c r="O22" s="450"/>
      <c r="P22" s="454"/>
      <c r="Q22" s="452"/>
      <c r="R22" s="452"/>
      <c r="S22" s="453"/>
      <c r="T22" s="178">
        <f t="shared" si="3"/>
        <v>0</v>
      </c>
      <c r="U22" s="455"/>
      <c r="V22" s="452">
        <v>49033</v>
      </c>
      <c r="W22" s="452">
        <v>500</v>
      </c>
      <c r="X22" s="210">
        <f t="shared" si="11"/>
        <v>49533</v>
      </c>
      <c r="Y22" s="178">
        <f t="shared" si="12"/>
        <v>1.7326309458933667E-2</v>
      </c>
      <c r="Z22" s="388" t="s">
        <v>644</v>
      </c>
      <c r="AA22" s="452">
        <f>52751.73*1.2</f>
        <v>63302.076000000001</v>
      </c>
      <c r="AB22" s="452"/>
      <c r="AC22" s="210">
        <f t="shared" si="13"/>
        <v>63302.076000000001</v>
      </c>
      <c r="AD22" s="178">
        <f t="shared" si="21"/>
        <v>3.5693916762731488E-2</v>
      </c>
      <c r="AE22" s="388" t="s">
        <v>737</v>
      </c>
      <c r="AF22" s="452">
        <f>11200+10229+4480</f>
        <v>25909</v>
      </c>
      <c r="AG22" s="452"/>
      <c r="AH22" s="210">
        <f t="shared" si="14"/>
        <v>25909</v>
      </c>
      <c r="AI22" s="178">
        <f t="shared" si="15"/>
        <v>4.1167708215767276E-2</v>
      </c>
      <c r="AJ22" s="388" t="s">
        <v>799</v>
      </c>
      <c r="AK22" s="452">
        <f>13533.33*1.2</f>
        <v>16239.995999999999</v>
      </c>
      <c r="AL22" s="452"/>
      <c r="AM22" s="210">
        <f t="shared" si="16"/>
        <v>16239.995999999999</v>
      </c>
      <c r="AN22" s="178">
        <f t="shared" si="22"/>
        <v>2.580429259150209E-2</v>
      </c>
      <c r="AO22" s="388" t="s">
        <v>862</v>
      </c>
      <c r="AP22" s="452">
        <v>341522.02799999999</v>
      </c>
      <c r="AQ22" s="452">
        <v>0</v>
      </c>
      <c r="AR22" s="210">
        <f t="shared" si="17"/>
        <v>341522.02799999999</v>
      </c>
      <c r="AS22" s="178">
        <f t="shared" si="23"/>
        <v>0.54265618889038947</v>
      </c>
      <c r="AT22" s="388"/>
      <c r="AU22" s="39">
        <f t="shared" si="6"/>
        <v>496006.1</v>
      </c>
      <c r="AV22" s="39">
        <f t="shared" si="7"/>
        <v>500</v>
      </c>
      <c r="AW22" s="210">
        <f>AU22+AV22*1</f>
        <v>496506.1</v>
      </c>
      <c r="AX22" s="178">
        <f t="shared" si="4"/>
        <v>5.2575033558586878E-2</v>
      </c>
      <c r="AY22" s="456"/>
      <c r="AZ22" s="452">
        <v>496006.1</v>
      </c>
      <c r="BA22" s="452">
        <v>500</v>
      </c>
      <c r="BB22" s="453">
        <f t="shared" si="19"/>
        <v>496506.1</v>
      </c>
      <c r="BC22" s="450" t="e">
        <f t="shared" si="20"/>
        <v>#DIV/0!</v>
      </c>
      <c r="BD22" s="842"/>
      <c r="BE22" s="842"/>
    </row>
    <row r="23" spans="1:57" s="2" customFormat="1" ht="37.950000000000003" customHeight="1" outlineLevel="2" x14ac:dyDescent="0.25">
      <c r="A23" s="238"/>
      <c r="B23" s="471" t="s">
        <v>630</v>
      </c>
      <c r="C23" s="114"/>
      <c r="D23" s="445"/>
      <c r="E23" s="446"/>
      <c r="F23" s="447"/>
      <c r="G23" s="448"/>
      <c r="H23" s="445"/>
      <c r="I23" s="449"/>
      <c r="J23" s="450"/>
      <c r="K23" s="451"/>
      <c r="L23" s="452"/>
      <c r="M23" s="452"/>
      <c r="N23" s="453"/>
      <c r="O23" s="450"/>
      <c r="P23" s="454"/>
      <c r="Q23" s="452"/>
      <c r="R23" s="452"/>
      <c r="S23" s="453"/>
      <c r="T23" s="450"/>
      <c r="U23" s="455"/>
      <c r="V23" s="452">
        <v>6600</v>
      </c>
      <c r="W23" s="452"/>
      <c r="X23" s="210">
        <f>V23+W23*1</f>
        <v>6600</v>
      </c>
      <c r="Y23" s="178">
        <f t="shared" si="12"/>
        <v>2.3086355041883632E-3</v>
      </c>
      <c r="Z23" s="388"/>
      <c r="AA23" s="452"/>
      <c r="AB23" s="452"/>
      <c r="AC23" s="210">
        <f t="shared" si="13"/>
        <v>0</v>
      </c>
      <c r="AD23" s="178">
        <f t="shared" si="21"/>
        <v>0</v>
      </c>
      <c r="AE23" s="388"/>
      <c r="AF23" s="452">
        <f>3080+1745</f>
        <v>4825</v>
      </c>
      <c r="AG23" s="452"/>
      <c r="AH23" s="210">
        <f t="shared" si="14"/>
        <v>4825</v>
      </c>
      <c r="AI23" s="178">
        <f t="shared" si="15"/>
        <v>7.6666097549529929E-3</v>
      </c>
      <c r="AJ23" s="388"/>
      <c r="AK23" s="452"/>
      <c r="AL23" s="452"/>
      <c r="AM23" s="210">
        <f t="shared" si="16"/>
        <v>0</v>
      </c>
      <c r="AN23" s="178">
        <f t="shared" si="22"/>
        <v>0</v>
      </c>
      <c r="AO23" s="388"/>
      <c r="AP23" s="452">
        <v>-3520</v>
      </c>
      <c r="AQ23" s="452">
        <v>0</v>
      </c>
      <c r="AR23" s="210">
        <f t="shared" si="17"/>
        <v>-3520</v>
      </c>
      <c r="AS23" s="178">
        <f t="shared" si="23"/>
        <v>-5.5930500181211474E-3</v>
      </c>
      <c r="AT23" s="388"/>
      <c r="AU23" s="39">
        <f t="shared" si="6"/>
        <v>7905</v>
      </c>
      <c r="AV23" s="39">
        <f t="shared" si="7"/>
        <v>0</v>
      </c>
      <c r="AW23" s="210">
        <f>AU23+AV23*1</f>
        <v>7905</v>
      </c>
      <c r="AX23" s="450"/>
      <c r="AY23" s="456"/>
      <c r="AZ23" s="452">
        <f>3080+3080+1745</f>
        <v>7905</v>
      </c>
      <c r="BA23" s="452"/>
      <c r="BB23" s="453">
        <f t="shared" si="19"/>
        <v>7905</v>
      </c>
      <c r="BC23" s="450" t="e">
        <f t="shared" si="20"/>
        <v>#DIV/0!</v>
      </c>
      <c r="BD23" s="842"/>
      <c r="BE23" s="842"/>
    </row>
    <row r="24" spans="1:57" s="2" customFormat="1" ht="57.6" customHeight="1" outlineLevel="2" x14ac:dyDescent="0.25">
      <c r="A24" s="238"/>
      <c r="B24" s="7" t="s">
        <v>23</v>
      </c>
      <c r="C24" s="114">
        <f>30000+126827</f>
        <v>156827</v>
      </c>
      <c r="D24" s="113"/>
      <c r="E24" s="106">
        <f t="shared" si="5"/>
        <v>156827</v>
      </c>
      <c r="F24" s="177">
        <f t="shared" ref="F24:F33" si="24">E24/$E$89</f>
        <v>1.6642120334172193E-2</v>
      </c>
      <c r="G24" s="161">
        <f>34000+29000+300+920+951</f>
        <v>65171</v>
      </c>
      <c r="H24" s="113"/>
      <c r="I24" s="41">
        <f t="shared" si="8"/>
        <v>65171</v>
      </c>
      <c r="J24" s="178">
        <f t="shared" ref="J24:J55" si="25">I24/$I$89</f>
        <v>0.15206862285648132</v>
      </c>
      <c r="K24" s="291" t="s">
        <v>381</v>
      </c>
      <c r="L24" s="39">
        <f>24000</f>
        <v>24000</v>
      </c>
      <c r="M24" s="39"/>
      <c r="N24" s="210">
        <f t="shared" si="9"/>
        <v>24000</v>
      </c>
      <c r="O24" s="178">
        <f t="shared" ref="O24:O33" si="26">N24/$N$89</f>
        <v>1.5968164515373251E-2</v>
      </c>
      <c r="P24" s="42" t="s">
        <v>522</v>
      </c>
      <c r="Q24" s="39">
        <f>780+1500+3200+4800</f>
        <v>10280</v>
      </c>
      <c r="R24" s="39"/>
      <c r="S24" s="210">
        <f t="shared" si="10"/>
        <v>10280</v>
      </c>
      <c r="T24" s="178">
        <f t="shared" ref="T24:T33" si="27">S24/$S$89</f>
        <v>1.2029363007700538E-2</v>
      </c>
      <c r="U24" s="417" t="s">
        <v>592</v>
      </c>
      <c r="V24" s="39">
        <v>8466.66</v>
      </c>
      <c r="W24" s="452">
        <v>300</v>
      </c>
      <c r="X24" s="210">
        <f t="shared" ref="X24:X33" si="28">V24+W24*1</f>
        <v>8766.66</v>
      </c>
      <c r="Y24" s="178">
        <f t="shared" si="12"/>
        <v>3.066518565022418E-3</v>
      </c>
      <c r="Z24" s="388" t="s">
        <v>646</v>
      </c>
      <c r="AA24" s="39"/>
      <c r="AB24" s="452"/>
      <c r="AC24" s="210">
        <f t="shared" si="13"/>
        <v>0</v>
      </c>
      <c r="AD24" s="178">
        <f t="shared" si="21"/>
        <v>0</v>
      </c>
      <c r="AE24" s="388"/>
      <c r="AF24" s="39">
        <v>1166</v>
      </c>
      <c r="AG24" s="452"/>
      <c r="AH24" s="210">
        <f t="shared" si="14"/>
        <v>1166</v>
      </c>
      <c r="AI24" s="178">
        <f t="shared" si="15"/>
        <v>1.85269781850263E-3</v>
      </c>
      <c r="AJ24" s="388"/>
      <c r="AK24" s="39"/>
      <c r="AL24" s="452"/>
      <c r="AM24" s="210">
        <f t="shared" si="16"/>
        <v>0</v>
      </c>
      <c r="AN24" s="178">
        <f t="shared" si="22"/>
        <v>0</v>
      </c>
      <c r="AO24" s="388"/>
      <c r="AP24" s="39">
        <v>12004.335999999996</v>
      </c>
      <c r="AQ24" s="452">
        <v>280</v>
      </c>
      <c r="AR24" s="210">
        <f t="shared" si="17"/>
        <v>12284.335999999996</v>
      </c>
      <c r="AS24" s="178">
        <f t="shared" si="23"/>
        <v>1.951900729755859E-2</v>
      </c>
      <c r="AT24" s="388"/>
      <c r="AU24" s="39">
        <f t="shared" si="6"/>
        <v>121087.996</v>
      </c>
      <c r="AV24" s="39">
        <f t="shared" si="7"/>
        <v>580</v>
      </c>
      <c r="AW24" s="210">
        <f t="shared" si="18"/>
        <v>121667.996</v>
      </c>
      <c r="AX24" s="178">
        <f t="shared" si="4"/>
        <v>1.2883424740815901E-2</v>
      </c>
      <c r="AY24" s="42"/>
      <c r="AZ24" s="452">
        <f>(15000+13333.33+19166.67+5000+250+792.5+250+250+20000+792.5+650+250+666.67+250+2000+250+250+250+3000+1000+250+650+583.33+250+3333.33+1500+250+250+250+1500+250+1000)*1.2+240+920+6600+1166</f>
        <v>121087.996</v>
      </c>
      <c r="BA24" s="452">
        <v>580</v>
      </c>
      <c r="BB24" s="453">
        <f>AZ24+BA24*1</f>
        <v>121667.996</v>
      </c>
      <c r="BC24" s="450" t="e">
        <f>BB24/$F$89</f>
        <v>#DIV/0!</v>
      </c>
      <c r="BD24" s="842"/>
      <c r="BE24" s="842"/>
    </row>
    <row r="25" spans="1:57" s="2" customFormat="1" ht="53.4" customHeight="1" outlineLevel="2" x14ac:dyDescent="0.25">
      <c r="A25" s="238"/>
      <c r="B25" s="7" t="s">
        <v>24</v>
      </c>
      <c r="C25" s="114">
        <v>235864</v>
      </c>
      <c r="D25" s="113"/>
      <c r="E25" s="106">
        <f t="shared" si="5"/>
        <v>235864</v>
      </c>
      <c r="F25" s="177">
        <f t="shared" si="24"/>
        <v>2.5029344886398325E-2</v>
      </c>
      <c r="G25" s="161"/>
      <c r="H25" s="113">
        <v>4010</v>
      </c>
      <c r="I25" s="41">
        <f t="shared" si="8"/>
        <v>4010</v>
      </c>
      <c r="J25" s="178">
        <f t="shared" si="25"/>
        <v>9.3568485623128413E-3</v>
      </c>
      <c r="K25" s="366" t="s">
        <v>373</v>
      </c>
      <c r="L25" s="39"/>
      <c r="M25" s="39">
        <v>2350</v>
      </c>
      <c r="N25" s="210">
        <f t="shared" si="9"/>
        <v>2350</v>
      </c>
      <c r="O25" s="178">
        <f t="shared" si="26"/>
        <v>1.5635494421302977E-3</v>
      </c>
      <c r="P25" s="261" t="s">
        <v>481</v>
      </c>
      <c r="Q25" s="39"/>
      <c r="R25" s="39">
        <v>567</v>
      </c>
      <c r="S25" s="210">
        <f t="shared" si="10"/>
        <v>567</v>
      </c>
      <c r="T25" s="178">
        <f t="shared" si="27"/>
        <v>6.634872398216153E-4</v>
      </c>
      <c r="U25" s="417" t="s">
        <v>620</v>
      </c>
      <c r="V25" s="39">
        <f>19204.36*1.2</f>
        <v>23045.232</v>
      </c>
      <c r="W25" s="39">
        <v>125</v>
      </c>
      <c r="X25" s="210">
        <f t="shared" si="28"/>
        <v>23170.232</v>
      </c>
      <c r="Y25" s="178">
        <f t="shared" si="12"/>
        <v>8.1047909447699018E-3</v>
      </c>
      <c r="Z25" s="388" t="s">
        <v>643</v>
      </c>
      <c r="AA25" s="39">
        <f>25197.48*1.2</f>
        <v>30236.975999999999</v>
      </c>
      <c r="AB25" s="39">
        <v>1247</v>
      </c>
      <c r="AC25" s="210">
        <f t="shared" si="13"/>
        <v>31483.975999999999</v>
      </c>
      <c r="AD25" s="178">
        <f>AC25/$AC$89</f>
        <v>1.7752757724783557E-2</v>
      </c>
      <c r="AE25" s="388" t="s">
        <v>733</v>
      </c>
      <c r="AF25" s="39">
        <f>10153.89*1.2</f>
        <v>12184.668</v>
      </c>
      <c r="AG25" s="39">
        <v>1290</v>
      </c>
      <c r="AH25" s="210">
        <f t="shared" si="14"/>
        <v>13474.668</v>
      </c>
      <c r="AI25" s="178">
        <f t="shared" si="15"/>
        <v>2.1410367074311491E-2</v>
      </c>
      <c r="AJ25" s="388"/>
      <c r="AK25" s="39">
        <f>22102.82*1.2</f>
        <v>26523.383999999998</v>
      </c>
      <c r="AL25" s="39">
        <v>1200</v>
      </c>
      <c r="AM25" s="210">
        <f t="shared" si="16"/>
        <v>27723.383999999998</v>
      </c>
      <c r="AN25" s="178">
        <f t="shared" si="22"/>
        <v>4.4050645847607817E-2</v>
      </c>
      <c r="AO25" s="388"/>
      <c r="AP25" s="39">
        <v>-26791.643999999993</v>
      </c>
      <c r="AQ25" s="39">
        <v>0</v>
      </c>
      <c r="AR25" s="210">
        <f t="shared" si="17"/>
        <v>-26791.643999999993</v>
      </c>
      <c r="AS25" s="178">
        <f t="shared" si="23"/>
        <v>-4.2570171863549798E-2</v>
      </c>
      <c r="AT25" s="388"/>
      <c r="AU25" s="39">
        <f t="shared" si="6"/>
        <v>65198.616000000002</v>
      </c>
      <c r="AV25" s="39">
        <f t="shared" si="7"/>
        <v>10789</v>
      </c>
      <c r="AW25" s="210">
        <f t="shared" si="18"/>
        <v>75987.616000000009</v>
      </c>
      <c r="AX25" s="178">
        <f t="shared" si="4"/>
        <v>8.0463290606842767E-3</v>
      </c>
      <c r="AY25" s="42"/>
      <c r="AZ25" s="452">
        <f>76658.55*1.2-268.26-(22102.82*1.2)</f>
        <v>65198.616000000002</v>
      </c>
      <c r="BA25" s="452">
        <v>10789</v>
      </c>
      <c r="BB25" s="453">
        <f>AZ25+BA25*1</f>
        <v>75987.616000000009</v>
      </c>
      <c r="BC25" s="450" t="e">
        <f>BB25/$F$89</f>
        <v>#DIV/0!</v>
      </c>
      <c r="BD25" s="842"/>
      <c r="BE25" s="842"/>
    </row>
    <row r="26" spans="1:57" s="2" customFormat="1" ht="60" customHeight="1" outlineLevel="2" x14ac:dyDescent="0.25">
      <c r="A26" s="238"/>
      <c r="B26" s="7" t="s">
        <v>45</v>
      </c>
      <c r="C26" s="114">
        <v>4272858</v>
      </c>
      <c r="D26" s="113"/>
      <c r="E26" s="106">
        <f t="shared" si="5"/>
        <v>4272858</v>
      </c>
      <c r="F26" s="177">
        <f t="shared" si="24"/>
        <v>0.45342585783589767</v>
      </c>
      <c r="G26" s="161"/>
      <c r="H26" s="113"/>
      <c r="I26" s="41">
        <f t="shared" si="8"/>
        <v>0</v>
      </c>
      <c r="J26" s="178">
        <f t="shared" si="25"/>
        <v>0</v>
      </c>
      <c r="K26" s="291"/>
      <c r="L26" s="39">
        <f>(109994.7+214001.41+203218.46)*1.2</f>
        <v>632657.48399999994</v>
      </c>
      <c r="M26" s="39"/>
      <c r="N26" s="210">
        <f t="shared" si="9"/>
        <v>632657.48399999994</v>
      </c>
      <c r="O26" s="178">
        <f t="shared" si="26"/>
        <v>0.42093244943308833</v>
      </c>
      <c r="P26" s="42"/>
      <c r="Q26" s="39"/>
      <c r="R26" s="39"/>
      <c r="S26" s="210">
        <f t="shared" si="10"/>
        <v>0</v>
      </c>
      <c r="T26" s="178">
        <f t="shared" si="27"/>
        <v>0</v>
      </c>
      <c r="U26" s="402"/>
      <c r="V26" s="39">
        <f>(2719775.56-422472.93-271317.25-13852.47-298651.13)*1.2</f>
        <v>2056178.1359999997</v>
      </c>
      <c r="W26" s="39"/>
      <c r="X26" s="210">
        <f t="shared" si="28"/>
        <v>2056178.1359999997</v>
      </c>
      <c r="Y26" s="178">
        <f t="shared" si="12"/>
        <v>0.7192372496523407</v>
      </c>
      <c r="Z26" s="388"/>
      <c r="AA26" s="39">
        <f>(1099514.75-385947.82)*1.2</f>
        <v>856280.31599999988</v>
      </c>
      <c r="AB26" s="39"/>
      <c r="AC26" s="210">
        <f t="shared" si="13"/>
        <v>856280.31599999988</v>
      </c>
      <c r="AD26" s="178">
        <f t="shared" si="21"/>
        <v>0.48282774051311389</v>
      </c>
      <c r="AE26" s="388"/>
      <c r="AF26" s="39">
        <f>198575.24*1.2</f>
        <v>238290.28799999997</v>
      </c>
      <c r="AG26" s="39">
        <v>5085</v>
      </c>
      <c r="AH26" s="210">
        <f t="shared" si="14"/>
        <v>243375.28799999997</v>
      </c>
      <c r="AI26" s="178">
        <f>AH26/$AH$89</f>
        <v>0.38670743152234072</v>
      </c>
      <c r="AJ26" s="388"/>
      <c r="AK26" s="39">
        <f>585197.09*1.2</f>
        <v>702236.50799999991</v>
      </c>
      <c r="AL26" s="39"/>
      <c r="AM26" s="210">
        <f t="shared" si="16"/>
        <v>702236.50799999991</v>
      </c>
      <c r="AN26" s="178">
        <f>AM26/$AH$89</f>
        <v>1.1158079300553212</v>
      </c>
      <c r="AO26" s="388"/>
      <c r="AP26" s="39">
        <v>-234881.51199999917</v>
      </c>
      <c r="AQ26" s="39">
        <v>0</v>
      </c>
      <c r="AR26" s="210">
        <f t="shared" si="17"/>
        <v>-234881.51199999917</v>
      </c>
      <c r="AS26" s="178">
        <f>AR26/$AH$89</f>
        <v>-0.37321137640565849</v>
      </c>
      <c r="AT26" s="388"/>
      <c r="AU26" s="39">
        <f t="shared" si="6"/>
        <v>4250761.2200000007</v>
      </c>
      <c r="AV26" s="39">
        <f t="shared" si="7"/>
        <v>5085</v>
      </c>
      <c r="AW26" s="210">
        <f t="shared" si="18"/>
        <v>4255846.2200000007</v>
      </c>
      <c r="AX26" s="178">
        <f t="shared" si="4"/>
        <v>0.45065157877553802</v>
      </c>
      <c r="AY26" s="42"/>
      <c r="AZ26" s="452">
        <f>(5453199.69-1914155.09)*1.2-720+4627.7</f>
        <v>4250761.2200000007</v>
      </c>
      <c r="BA26" s="452">
        <v>5085</v>
      </c>
      <c r="BB26" s="453">
        <f t="shared" si="19"/>
        <v>4255846.2200000007</v>
      </c>
      <c r="BC26" s="450" t="e">
        <f t="shared" si="20"/>
        <v>#DIV/0!</v>
      </c>
      <c r="BD26" s="842"/>
      <c r="BE26" s="842"/>
    </row>
    <row r="27" spans="1:57" s="2" customFormat="1" ht="32.4" customHeight="1" outlineLevel="2" x14ac:dyDescent="0.25">
      <c r="A27" s="238"/>
      <c r="B27" s="7" t="s">
        <v>25</v>
      </c>
      <c r="C27" s="114">
        <v>12000</v>
      </c>
      <c r="D27" s="113"/>
      <c r="E27" s="106">
        <f t="shared" si="5"/>
        <v>12000</v>
      </c>
      <c r="F27" s="177">
        <f t="shared" si="24"/>
        <v>1.2734123844112704E-3</v>
      </c>
      <c r="G27" s="161">
        <v>3214</v>
      </c>
      <c r="H27" s="113"/>
      <c r="I27" s="41">
        <f t="shared" si="8"/>
        <v>3214</v>
      </c>
      <c r="J27" s="178">
        <f t="shared" si="25"/>
        <v>7.4994791220133342E-3</v>
      </c>
      <c r="K27" s="291" t="s">
        <v>383</v>
      </c>
      <c r="L27" s="39"/>
      <c r="M27" s="39"/>
      <c r="N27" s="210">
        <f t="shared" si="9"/>
        <v>0</v>
      </c>
      <c r="O27" s="178">
        <f t="shared" si="26"/>
        <v>0</v>
      </c>
      <c r="P27" s="42"/>
      <c r="Q27" s="39"/>
      <c r="R27" s="39"/>
      <c r="S27" s="210">
        <f t="shared" si="10"/>
        <v>0</v>
      </c>
      <c r="T27" s="178">
        <f t="shared" si="27"/>
        <v>0</v>
      </c>
      <c r="U27" s="402"/>
      <c r="V27" s="39"/>
      <c r="W27" s="39"/>
      <c r="X27" s="210">
        <f t="shared" si="28"/>
        <v>0</v>
      </c>
      <c r="Y27" s="178">
        <f t="shared" si="12"/>
        <v>0</v>
      </c>
      <c r="Z27" s="388"/>
      <c r="AA27" s="39">
        <f>1750*1.2</f>
        <v>2100</v>
      </c>
      <c r="AB27" s="39"/>
      <c r="AC27" s="210">
        <f t="shared" si="13"/>
        <v>2100</v>
      </c>
      <c r="AD27" s="178">
        <f t="shared" si="21"/>
        <v>1.1841195413833843E-3</v>
      </c>
      <c r="AE27" s="388" t="s">
        <v>739</v>
      </c>
      <c r="AF27" s="39"/>
      <c r="AG27" s="39"/>
      <c r="AH27" s="210">
        <f t="shared" si="14"/>
        <v>0</v>
      </c>
      <c r="AI27" s="178">
        <f t="shared" si="15"/>
        <v>0</v>
      </c>
      <c r="AJ27" s="388"/>
      <c r="AK27" s="39"/>
      <c r="AL27" s="39"/>
      <c r="AM27" s="210">
        <f t="shared" si="16"/>
        <v>0</v>
      </c>
      <c r="AN27" s="178">
        <f t="shared" ref="AN27:AN33" si="29">AM27/$AH$89</f>
        <v>0</v>
      </c>
      <c r="AO27" s="388"/>
      <c r="AP27" s="39">
        <v>0</v>
      </c>
      <c r="AQ27" s="39">
        <v>0</v>
      </c>
      <c r="AR27" s="210">
        <f t="shared" si="17"/>
        <v>0</v>
      </c>
      <c r="AS27" s="178">
        <f t="shared" ref="AS27:AS33" si="30">AR27/$AH$89</f>
        <v>0</v>
      </c>
      <c r="AT27" s="388"/>
      <c r="AU27" s="39">
        <f t="shared" si="6"/>
        <v>5314</v>
      </c>
      <c r="AV27" s="39">
        <f t="shared" si="7"/>
        <v>0</v>
      </c>
      <c r="AW27" s="210">
        <f t="shared" si="18"/>
        <v>5314</v>
      </c>
      <c r="AX27" s="178">
        <f t="shared" si="4"/>
        <v>5.6269948814391337E-4</v>
      </c>
      <c r="AY27" s="42"/>
      <c r="AZ27" s="452">
        <f>2100+3214</f>
        <v>5314</v>
      </c>
      <c r="BA27" s="452"/>
      <c r="BB27" s="453">
        <f t="shared" si="19"/>
        <v>5314</v>
      </c>
      <c r="BC27" s="450" t="e">
        <f t="shared" si="20"/>
        <v>#DIV/0!</v>
      </c>
      <c r="BD27" s="842"/>
      <c r="BE27" s="842"/>
    </row>
    <row r="28" spans="1:57" s="226" customFormat="1" ht="56.4" customHeight="1" outlineLevel="2" x14ac:dyDescent="0.25">
      <c r="A28" s="238"/>
      <c r="B28" s="262" t="s">
        <v>52</v>
      </c>
      <c r="C28" s="114">
        <v>145450</v>
      </c>
      <c r="D28" s="113"/>
      <c r="E28" s="106">
        <f t="shared" si="5"/>
        <v>145450</v>
      </c>
      <c r="F28" s="177">
        <f t="shared" si="24"/>
        <v>1.5434819276051606E-2</v>
      </c>
      <c r="G28" s="161">
        <f>700+240</f>
        <v>940</v>
      </c>
      <c r="H28" s="113">
        <v>1700</v>
      </c>
      <c r="I28" s="41">
        <f t="shared" si="8"/>
        <v>2640</v>
      </c>
      <c r="J28" s="178">
        <f t="shared" si="25"/>
        <v>6.1601197517471068E-3</v>
      </c>
      <c r="K28" s="291" t="s">
        <v>380</v>
      </c>
      <c r="L28" s="39">
        <f>3062</f>
        <v>3062</v>
      </c>
      <c r="M28" s="39">
        <v>950</v>
      </c>
      <c r="N28" s="210">
        <f t="shared" si="9"/>
        <v>4012</v>
      </c>
      <c r="O28" s="178">
        <f t="shared" si="26"/>
        <v>2.6693448348198952E-3</v>
      </c>
      <c r="P28" s="291" t="s">
        <v>525</v>
      </c>
      <c r="Q28" s="39">
        <v>1800</v>
      </c>
      <c r="R28" s="39">
        <v>213.95</v>
      </c>
      <c r="S28" s="210">
        <f t="shared" si="10"/>
        <v>2013.95</v>
      </c>
      <c r="T28" s="178">
        <f t="shared" si="27"/>
        <v>2.356666890015418E-3</v>
      </c>
      <c r="U28" s="417" t="s">
        <v>619</v>
      </c>
      <c r="V28" s="39">
        <f>1500*1.2+5235</f>
        <v>7035</v>
      </c>
      <c r="W28" s="39">
        <v>90</v>
      </c>
      <c r="X28" s="210">
        <f t="shared" si="28"/>
        <v>7125</v>
      </c>
      <c r="Y28" s="178">
        <f t="shared" si="12"/>
        <v>2.4922769647488015E-3</v>
      </c>
      <c r="Z28" s="388" t="s">
        <v>645</v>
      </c>
      <c r="AA28" s="39">
        <f>300*1.2+1476*1.2+5599.94*1.2</f>
        <v>8851.1279999999988</v>
      </c>
      <c r="AB28" s="39"/>
      <c r="AC28" s="210">
        <f t="shared" si="13"/>
        <v>8851.1279999999988</v>
      </c>
      <c r="AD28" s="178">
        <f t="shared" si="21"/>
        <v>4.9908541086122046E-3</v>
      </c>
      <c r="AE28" s="388" t="s">
        <v>742</v>
      </c>
      <c r="AF28" s="39">
        <f>2176.27+761+216</f>
        <v>3153.27</v>
      </c>
      <c r="AG28" s="39"/>
      <c r="AH28" s="210">
        <f t="shared" si="14"/>
        <v>3153.27</v>
      </c>
      <c r="AI28" s="178">
        <f t="shared" si="15"/>
        <v>5.0103400087047924E-3</v>
      </c>
      <c r="AJ28" s="388" t="s">
        <v>800</v>
      </c>
      <c r="AK28" s="39">
        <f>30*108.33</f>
        <v>3249.9</v>
      </c>
      <c r="AL28" s="39"/>
      <c r="AM28" s="210">
        <f t="shared" si="16"/>
        <v>3249.9</v>
      </c>
      <c r="AN28" s="178">
        <f t="shared" si="29"/>
        <v>5.1638787653102034E-3</v>
      </c>
      <c r="AO28" s="388" t="s">
        <v>865</v>
      </c>
      <c r="AP28" s="39">
        <v>-4290.7279999999992</v>
      </c>
      <c r="AQ28" s="39">
        <v>0</v>
      </c>
      <c r="AR28" s="210">
        <f t="shared" si="17"/>
        <v>-4290.7279999999992</v>
      </c>
      <c r="AS28" s="178">
        <f t="shared" si="30"/>
        <v>-6.8176864540207133E-3</v>
      </c>
      <c r="AT28" s="388"/>
      <c r="AU28" s="39">
        <f t="shared" si="6"/>
        <v>23800.57</v>
      </c>
      <c r="AV28" s="39">
        <f t="shared" si="7"/>
        <v>2953.95</v>
      </c>
      <c r="AW28" s="210">
        <f t="shared" si="18"/>
        <v>26754.52</v>
      </c>
      <c r="AX28" s="178">
        <f t="shared" si="4"/>
        <v>2.8330362644968187E-3</v>
      </c>
      <c r="AY28" s="42"/>
      <c r="AZ28" s="452">
        <f>885+7897+(2166*1.2)+2814+6716.57+2176+712.8</f>
        <v>23800.57</v>
      </c>
      <c r="BA28" s="452">
        <f>99.95+114+1200+50+450+950+90</f>
        <v>2953.95</v>
      </c>
      <c r="BB28" s="453">
        <f t="shared" si="19"/>
        <v>26754.52</v>
      </c>
      <c r="BC28" s="450" t="e">
        <f t="shared" si="20"/>
        <v>#DIV/0!</v>
      </c>
      <c r="BD28" s="842"/>
      <c r="BE28" s="842"/>
    </row>
    <row r="29" spans="1:57" s="2" customFormat="1" ht="37.950000000000003" customHeight="1" outlineLevel="2" x14ac:dyDescent="0.25">
      <c r="A29" s="238"/>
      <c r="B29" s="262" t="s">
        <v>31</v>
      </c>
      <c r="C29" s="114">
        <v>0</v>
      </c>
      <c r="D29" s="113">
        <v>177330</v>
      </c>
      <c r="E29" s="106">
        <f t="shared" si="5"/>
        <v>177330</v>
      </c>
      <c r="F29" s="178">
        <f t="shared" si="24"/>
        <v>1.881785151063755E-2</v>
      </c>
      <c r="G29" s="161"/>
      <c r="H29" s="113">
        <f>22400+1500</f>
        <v>23900</v>
      </c>
      <c r="I29" s="41">
        <f t="shared" si="8"/>
        <v>23900</v>
      </c>
      <c r="J29" s="178">
        <f t="shared" si="25"/>
        <v>5.5767750782862065E-2</v>
      </c>
      <c r="K29" s="291" t="s">
        <v>378</v>
      </c>
      <c r="L29" s="39">
        <v>800</v>
      </c>
      <c r="M29" s="39">
        <v>16200</v>
      </c>
      <c r="N29" s="210">
        <f t="shared" si="9"/>
        <v>17000</v>
      </c>
      <c r="O29" s="178">
        <f t="shared" si="26"/>
        <v>1.1310783198389388E-2</v>
      </c>
      <c r="P29" s="389" t="s">
        <v>479</v>
      </c>
      <c r="Q29" s="39"/>
      <c r="R29" s="39">
        <v>16800</v>
      </c>
      <c r="S29" s="210">
        <f t="shared" si="10"/>
        <v>16800</v>
      </c>
      <c r="T29" s="178">
        <f t="shared" si="27"/>
        <v>1.9658881179899709E-2</v>
      </c>
      <c r="U29" s="439" t="s">
        <v>579</v>
      </c>
      <c r="V29" s="39">
        <v>5000</v>
      </c>
      <c r="W29" s="39">
        <v>12000</v>
      </c>
      <c r="X29" s="210">
        <f t="shared" si="28"/>
        <v>17000</v>
      </c>
      <c r="Y29" s="178">
        <f t="shared" si="12"/>
        <v>5.9464853895760872E-3</v>
      </c>
      <c r="Z29" s="388" t="s">
        <v>627</v>
      </c>
      <c r="AA29" s="39">
        <v>7100</v>
      </c>
      <c r="AB29" s="39">
        <v>2100</v>
      </c>
      <c r="AC29" s="210">
        <f t="shared" si="13"/>
        <v>9200</v>
      </c>
      <c r="AD29" s="178">
        <f t="shared" si="21"/>
        <v>5.1875713241557779E-3</v>
      </c>
      <c r="AE29" s="388" t="s">
        <v>729</v>
      </c>
      <c r="AF29" s="39"/>
      <c r="AG29" s="39"/>
      <c r="AH29" s="210">
        <f t="shared" si="14"/>
        <v>0</v>
      </c>
      <c r="AI29" s="178">
        <f t="shared" si="15"/>
        <v>0</v>
      </c>
      <c r="AJ29" s="388"/>
      <c r="AK29" s="39"/>
      <c r="AL29" s="39"/>
      <c r="AM29" s="210">
        <f t="shared" si="16"/>
        <v>0</v>
      </c>
      <c r="AN29" s="178">
        <f t="shared" si="29"/>
        <v>0</v>
      </c>
      <c r="AO29" s="388"/>
      <c r="AP29" s="39">
        <v>-800</v>
      </c>
      <c r="AQ29" s="39">
        <v>1200</v>
      </c>
      <c r="AR29" s="210">
        <f t="shared" si="17"/>
        <v>400</v>
      </c>
      <c r="AS29" s="178">
        <f t="shared" si="30"/>
        <v>6.3557386569558494E-4</v>
      </c>
      <c r="AT29" s="388"/>
      <c r="AU29" s="39">
        <f t="shared" si="6"/>
        <v>12100</v>
      </c>
      <c r="AV29" s="39">
        <f t="shared" si="7"/>
        <v>72200</v>
      </c>
      <c r="AW29" s="210">
        <f t="shared" si="18"/>
        <v>84300</v>
      </c>
      <c r="AX29" s="178">
        <f t="shared" si="4"/>
        <v>8.9265274464681785E-3</v>
      </c>
      <c r="AY29" s="79"/>
      <c r="AZ29" s="452">
        <f>13100-400-400-200</f>
        <v>12100</v>
      </c>
      <c r="BA29" s="452">
        <v>72200</v>
      </c>
      <c r="BB29" s="453">
        <f t="shared" si="19"/>
        <v>84300</v>
      </c>
      <c r="BC29" s="450" t="e">
        <f t="shared" si="20"/>
        <v>#DIV/0!</v>
      </c>
      <c r="BD29" s="842"/>
      <c r="BE29" s="842"/>
    </row>
    <row r="30" spans="1:57" s="2" customFormat="1" ht="59.4" customHeight="1" outlineLevel="2" x14ac:dyDescent="0.25">
      <c r="A30" s="238"/>
      <c r="B30" s="262" t="s">
        <v>62</v>
      </c>
      <c r="C30" s="114">
        <v>0</v>
      </c>
      <c r="D30" s="113">
        <f>130111</f>
        <v>130111</v>
      </c>
      <c r="E30" s="106">
        <f t="shared" si="5"/>
        <v>130111</v>
      </c>
      <c r="F30" s="178">
        <f t="shared" si="24"/>
        <v>1.38070798956779E-2</v>
      </c>
      <c r="G30" s="161"/>
      <c r="H30" s="113">
        <v>38638</v>
      </c>
      <c r="I30" s="41">
        <f t="shared" si="8"/>
        <v>38638</v>
      </c>
      <c r="J30" s="178">
        <f t="shared" si="25"/>
        <v>9.0157085972729062E-2</v>
      </c>
      <c r="K30" s="291"/>
      <c r="L30" s="39"/>
      <c r="M30" s="39">
        <v>41480</v>
      </c>
      <c r="N30" s="210">
        <f t="shared" si="9"/>
        <v>41480</v>
      </c>
      <c r="O30" s="178">
        <f t="shared" si="26"/>
        <v>2.7598311004070106E-2</v>
      </c>
      <c r="P30" s="291" t="s">
        <v>478</v>
      </c>
      <c r="Q30" s="39"/>
      <c r="R30" s="39">
        <v>6495</v>
      </c>
      <c r="S30" s="210">
        <f t="shared" si="10"/>
        <v>6495</v>
      </c>
      <c r="T30" s="178">
        <f t="shared" si="27"/>
        <v>7.6002638847290846E-3</v>
      </c>
      <c r="U30" s="442" t="s">
        <v>577</v>
      </c>
      <c r="V30" s="39"/>
      <c r="W30" s="39">
        <v>13934</v>
      </c>
      <c r="X30" s="210">
        <f t="shared" si="28"/>
        <v>13934</v>
      </c>
      <c r="Y30" s="178">
        <f t="shared" si="12"/>
        <v>4.8740192599031297E-3</v>
      </c>
      <c r="Z30" s="388" t="s">
        <v>625</v>
      </c>
      <c r="AA30" s="39"/>
      <c r="AB30" s="39">
        <v>11500</v>
      </c>
      <c r="AC30" s="210">
        <f t="shared" si="13"/>
        <v>11500</v>
      </c>
      <c r="AD30" s="178">
        <f t="shared" si="21"/>
        <v>6.4844641551947231E-3</v>
      </c>
      <c r="AE30" s="388"/>
      <c r="AF30" s="39"/>
      <c r="AG30" s="39"/>
      <c r="AH30" s="210">
        <f t="shared" si="14"/>
        <v>0</v>
      </c>
      <c r="AI30" s="178">
        <f t="shared" si="15"/>
        <v>0</v>
      </c>
      <c r="AJ30" s="388"/>
      <c r="AK30" s="39"/>
      <c r="AL30" s="39">
        <v>1350</v>
      </c>
      <c r="AM30" s="210">
        <f t="shared" si="16"/>
        <v>1350</v>
      </c>
      <c r="AN30" s="178">
        <f t="shared" si="29"/>
        <v>2.1450617967225991E-3</v>
      </c>
      <c r="AO30" s="388"/>
      <c r="AP30" s="39">
        <v>0</v>
      </c>
      <c r="AQ30" s="39">
        <v>0</v>
      </c>
      <c r="AR30" s="210">
        <f t="shared" si="17"/>
        <v>0</v>
      </c>
      <c r="AS30" s="178">
        <f t="shared" si="30"/>
        <v>0</v>
      </c>
      <c r="AT30" s="388"/>
      <c r="AU30" s="39">
        <f t="shared" si="6"/>
        <v>0</v>
      </c>
      <c r="AV30" s="39">
        <f t="shared" si="7"/>
        <v>113397</v>
      </c>
      <c r="AW30" s="210">
        <f t="shared" si="18"/>
        <v>113397</v>
      </c>
      <c r="AX30" s="178">
        <f t="shared" si="4"/>
        <v>1.2007608930571198E-2</v>
      </c>
      <c r="AY30" s="79"/>
      <c r="AZ30" s="452"/>
      <c r="BA30" s="452">
        <v>113397</v>
      </c>
      <c r="BB30" s="453">
        <f t="shared" si="19"/>
        <v>113397</v>
      </c>
      <c r="BC30" s="450" t="e">
        <f t="shared" si="20"/>
        <v>#DIV/0!</v>
      </c>
      <c r="BD30" s="842"/>
      <c r="BE30" s="842"/>
    </row>
    <row r="31" spans="1:57" s="2" customFormat="1" ht="62.4" customHeight="1" outlineLevel="2" x14ac:dyDescent="0.25">
      <c r="A31" s="238"/>
      <c r="B31" s="262" t="s">
        <v>34</v>
      </c>
      <c r="C31" s="114"/>
      <c r="D31" s="113">
        <v>13800</v>
      </c>
      <c r="E31" s="106">
        <f t="shared" si="5"/>
        <v>13800</v>
      </c>
      <c r="F31" s="178">
        <f t="shared" si="24"/>
        <v>1.464424242072961E-3</v>
      </c>
      <c r="G31" s="161"/>
      <c r="H31" s="113">
        <f>3322+3730</f>
        <v>7052</v>
      </c>
      <c r="I31" s="41">
        <f t="shared" si="8"/>
        <v>7052</v>
      </c>
      <c r="J31" s="178">
        <f t="shared" si="25"/>
        <v>1.6454986548985074E-2</v>
      </c>
      <c r="K31" s="291" t="s">
        <v>377</v>
      </c>
      <c r="L31" s="39">
        <v>2337.25</v>
      </c>
      <c r="M31" s="39">
        <f>867</f>
        <v>867</v>
      </c>
      <c r="N31" s="210">
        <f t="shared" si="9"/>
        <v>3204.25</v>
      </c>
      <c r="O31" s="178">
        <f t="shared" si="26"/>
        <v>2.1319162978493643E-3</v>
      </c>
      <c r="P31" s="389" t="s">
        <v>484</v>
      </c>
      <c r="Q31" s="39"/>
      <c r="R31" s="39"/>
      <c r="S31" s="210">
        <f t="shared" si="10"/>
        <v>0</v>
      </c>
      <c r="T31" s="178">
        <f t="shared" si="27"/>
        <v>0</v>
      </c>
      <c r="U31" s="403"/>
      <c r="V31" s="39"/>
      <c r="W31" s="39"/>
      <c r="X31" s="210">
        <f t="shared" si="28"/>
        <v>0</v>
      </c>
      <c r="Y31" s="178">
        <f t="shared" si="12"/>
        <v>0</v>
      </c>
      <c r="Z31" s="388"/>
      <c r="AA31" s="39">
        <f>7020*1.2</f>
        <v>8424</v>
      </c>
      <c r="AB31" s="39">
        <f>200</f>
        <v>200</v>
      </c>
      <c r="AC31" s="210">
        <f t="shared" si="13"/>
        <v>8624</v>
      </c>
      <c r="AD31" s="178">
        <f>AC31/$AC$89</f>
        <v>4.8627842499477641E-3</v>
      </c>
      <c r="AE31" s="388" t="s">
        <v>736</v>
      </c>
      <c r="AF31" s="39"/>
      <c r="AG31" s="39">
        <v>280</v>
      </c>
      <c r="AH31" s="210">
        <f t="shared" si="14"/>
        <v>280</v>
      </c>
      <c r="AI31" s="178">
        <f t="shared" si="15"/>
        <v>4.4490170598690944E-4</v>
      </c>
      <c r="AJ31" s="388" t="s">
        <v>793</v>
      </c>
      <c r="AK31" s="39"/>
      <c r="AL31" s="39">
        <v>6600</v>
      </c>
      <c r="AM31" s="210">
        <f t="shared" si="16"/>
        <v>6600</v>
      </c>
      <c r="AN31" s="178">
        <f t="shared" si="29"/>
        <v>1.0486968783977152E-2</v>
      </c>
      <c r="AO31" s="388"/>
      <c r="AP31" s="39">
        <v>-10761.25</v>
      </c>
      <c r="AQ31" s="39">
        <v>-1921</v>
      </c>
      <c r="AR31" s="210">
        <f t="shared" si="17"/>
        <v>-12682.25</v>
      </c>
      <c r="AS31" s="178">
        <f t="shared" si="30"/>
        <v>-2.0151266645544581E-2</v>
      </c>
      <c r="AT31" s="388"/>
      <c r="AU31" s="39">
        <f t="shared" si="6"/>
        <v>0</v>
      </c>
      <c r="AV31" s="39">
        <f t="shared" si="7"/>
        <v>13078</v>
      </c>
      <c r="AW31" s="210">
        <f t="shared" si="18"/>
        <v>13078</v>
      </c>
      <c r="AX31" s="178">
        <f t="shared" si="4"/>
        <v>1.3848294892634737E-3</v>
      </c>
      <c r="AY31" s="79"/>
      <c r="AZ31" s="452"/>
      <c r="BA31" s="452">
        <v>13078</v>
      </c>
      <c r="BB31" s="453">
        <f t="shared" si="19"/>
        <v>13078</v>
      </c>
      <c r="BC31" s="450" t="e">
        <f t="shared" si="20"/>
        <v>#DIV/0!</v>
      </c>
      <c r="BD31" s="842"/>
      <c r="BE31" s="842"/>
    </row>
    <row r="32" spans="1:57" s="2" customFormat="1" ht="14.4" customHeight="1" outlineLevel="2" x14ac:dyDescent="0.25">
      <c r="A32" s="238"/>
      <c r="B32" s="32" t="s">
        <v>2</v>
      </c>
      <c r="C32" s="115">
        <v>250000</v>
      </c>
      <c r="D32" s="116"/>
      <c r="E32" s="106">
        <f t="shared" si="5"/>
        <v>250000</v>
      </c>
      <c r="F32" s="178">
        <f t="shared" si="24"/>
        <v>2.6529424675234798E-2</v>
      </c>
      <c r="G32" s="161"/>
      <c r="H32" s="116"/>
      <c r="I32" s="41">
        <f t="shared" si="8"/>
        <v>0</v>
      </c>
      <c r="J32" s="178">
        <f t="shared" si="25"/>
        <v>0</v>
      </c>
      <c r="K32" s="290"/>
      <c r="L32" s="39"/>
      <c r="M32" s="39"/>
      <c r="N32" s="210">
        <f t="shared" si="9"/>
        <v>0</v>
      </c>
      <c r="O32" s="178">
        <f t="shared" si="26"/>
        <v>0</v>
      </c>
      <c r="P32" s="79"/>
      <c r="Q32" s="39"/>
      <c r="R32" s="39"/>
      <c r="S32" s="210">
        <f t="shared" si="10"/>
        <v>0</v>
      </c>
      <c r="T32" s="178">
        <f t="shared" si="27"/>
        <v>0</v>
      </c>
      <c r="U32" s="259"/>
      <c r="V32" s="39"/>
      <c r="W32" s="39"/>
      <c r="X32" s="210">
        <f t="shared" si="28"/>
        <v>0</v>
      </c>
      <c r="Y32" s="178">
        <f t="shared" si="12"/>
        <v>0</v>
      </c>
      <c r="Z32" s="259"/>
      <c r="AA32" s="39"/>
      <c r="AB32" s="39"/>
      <c r="AC32" s="210">
        <f t="shared" si="13"/>
        <v>0</v>
      </c>
      <c r="AD32" s="178">
        <f t="shared" si="21"/>
        <v>0</v>
      </c>
      <c r="AE32" s="259"/>
      <c r="AF32" s="39"/>
      <c r="AG32" s="39"/>
      <c r="AH32" s="210">
        <f t="shared" si="14"/>
        <v>0</v>
      </c>
      <c r="AI32" s="178">
        <f t="shared" si="15"/>
        <v>0</v>
      </c>
      <c r="AJ32" s="259"/>
      <c r="AK32" s="39"/>
      <c r="AL32" s="39">
        <v>164000</v>
      </c>
      <c r="AM32" s="210">
        <f t="shared" si="16"/>
        <v>164000</v>
      </c>
      <c r="AN32" s="178">
        <f t="shared" si="29"/>
        <v>0.26058528493518984</v>
      </c>
      <c r="AO32" s="259"/>
      <c r="AP32" s="39"/>
      <c r="AQ32" s="39"/>
      <c r="AR32" s="210">
        <f t="shared" si="17"/>
        <v>0</v>
      </c>
      <c r="AS32" s="178">
        <f t="shared" si="30"/>
        <v>0</v>
      </c>
      <c r="AT32" s="259"/>
      <c r="AU32" s="39">
        <f t="shared" si="6"/>
        <v>0</v>
      </c>
      <c r="AV32" s="39">
        <f t="shared" si="7"/>
        <v>164000</v>
      </c>
      <c r="AW32" s="210">
        <f t="shared" si="18"/>
        <v>164000</v>
      </c>
      <c r="AX32" s="178">
        <f t="shared" si="4"/>
        <v>1.7365960868573917E-2</v>
      </c>
      <c r="AY32" s="79"/>
      <c r="AZ32" s="452"/>
      <c r="BA32" s="452">
        <v>164000</v>
      </c>
      <c r="BB32" s="453">
        <f t="shared" si="19"/>
        <v>164000</v>
      </c>
      <c r="BC32" s="450" t="e">
        <f t="shared" si="20"/>
        <v>#DIV/0!</v>
      </c>
      <c r="BD32" s="842"/>
      <c r="BE32" s="842"/>
    </row>
    <row r="33" spans="1:57" s="2" customFormat="1" ht="52.2" customHeight="1" outlineLevel="2" thickBot="1" x14ac:dyDescent="0.3">
      <c r="A33" s="238"/>
      <c r="B33" s="32" t="s">
        <v>75</v>
      </c>
      <c r="C33" s="115">
        <v>0</v>
      </c>
      <c r="D33" s="116">
        <v>13799.999999999998</v>
      </c>
      <c r="E33" s="106">
        <f t="shared" si="5"/>
        <v>13799.999999999998</v>
      </c>
      <c r="F33" s="178">
        <f t="shared" si="24"/>
        <v>1.4644242420729608E-3</v>
      </c>
      <c r="G33" s="161"/>
      <c r="H33" s="116"/>
      <c r="I33" s="41">
        <f t="shared" si="8"/>
        <v>0</v>
      </c>
      <c r="J33" s="178">
        <f t="shared" si="25"/>
        <v>0</v>
      </c>
      <c r="K33" s="291"/>
      <c r="L33" s="39"/>
      <c r="M33" s="39"/>
      <c r="N33" s="210">
        <f t="shared" si="9"/>
        <v>0</v>
      </c>
      <c r="O33" s="178">
        <f t="shared" si="26"/>
        <v>0</v>
      </c>
      <c r="P33" s="79"/>
      <c r="Q33" s="39"/>
      <c r="R33" s="39"/>
      <c r="S33" s="210">
        <f t="shared" si="10"/>
        <v>0</v>
      </c>
      <c r="T33" s="178">
        <f t="shared" si="27"/>
        <v>0</v>
      </c>
      <c r="U33" s="259"/>
      <c r="V33" s="39"/>
      <c r="W33" s="39"/>
      <c r="X33" s="210">
        <f t="shared" si="28"/>
        <v>0</v>
      </c>
      <c r="Y33" s="178">
        <f t="shared" si="12"/>
        <v>0</v>
      </c>
      <c r="Z33" s="259"/>
      <c r="AA33" s="553"/>
      <c r="AB33" s="554"/>
      <c r="AC33" s="590">
        <f t="shared" si="13"/>
        <v>0</v>
      </c>
      <c r="AD33" s="178">
        <f t="shared" si="21"/>
        <v>0</v>
      </c>
      <c r="AE33" s="515"/>
      <c r="AF33" s="553"/>
      <c r="AG33" s="554"/>
      <c r="AH33" s="590">
        <f t="shared" si="14"/>
        <v>0</v>
      </c>
      <c r="AI33" s="178">
        <f t="shared" si="15"/>
        <v>0</v>
      </c>
      <c r="AJ33" s="515"/>
      <c r="AK33" s="553"/>
      <c r="AL33" s="554">
        <v>3200</v>
      </c>
      <c r="AM33" s="590">
        <f t="shared" si="16"/>
        <v>3200</v>
      </c>
      <c r="AN33" s="178">
        <f t="shared" si="29"/>
        <v>5.0845909255646795E-3</v>
      </c>
      <c r="AO33" s="515"/>
      <c r="AP33" s="553"/>
      <c r="AQ33" s="554"/>
      <c r="AR33" s="590">
        <f t="shared" si="17"/>
        <v>0</v>
      </c>
      <c r="AS33" s="178">
        <f t="shared" si="30"/>
        <v>0</v>
      </c>
      <c r="AT33" s="515"/>
      <c r="AU33" s="39">
        <f>G33+L33+Q33+V33+AA33+AF33+AK33+AP33</f>
        <v>0</v>
      </c>
      <c r="AV33" s="39">
        <f>H33+M33+R33+W33+AB33+AG33+AL33+AQ33</f>
        <v>3200</v>
      </c>
      <c r="AW33" s="210">
        <f t="shared" si="18"/>
        <v>3200</v>
      </c>
      <c r="AX33" s="178">
        <f t="shared" si="4"/>
        <v>3.3884801694778377E-4</v>
      </c>
      <c r="AY33" s="79"/>
      <c r="AZ33" s="512"/>
      <c r="BA33" s="512">
        <v>3200</v>
      </c>
      <c r="BB33" s="513">
        <f t="shared" si="19"/>
        <v>3200</v>
      </c>
      <c r="BC33" s="508" t="e">
        <f t="shared" si="20"/>
        <v>#DIV/0!</v>
      </c>
      <c r="BD33" s="842"/>
      <c r="BE33" s="842"/>
    </row>
    <row r="34" spans="1:57" s="2" customFormat="1" ht="13.8" outlineLevel="2" x14ac:dyDescent="0.25">
      <c r="A34" s="238"/>
      <c r="B34" s="12"/>
      <c r="C34" s="46"/>
      <c r="D34" s="47"/>
      <c r="E34" s="48"/>
      <c r="F34" s="179"/>
      <c r="G34" s="96"/>
      <c r="H34" s="48"/>
      <c r="I34" s="48"/>
      <c r="J34" s="202">
        <f t="shared" si="25"/>
        <v>0</v>
      </c>
      <c r="K34" s="266"/>
      <c r="L34" s="39"/>
      <c r="M34" s="39"/>
      <c r="N34" s="48"/>
      <c r="O34" s="48"/>
      <c r="P34" s="48"/>
      <c r="Q34" s="39"/>
      <c r="R34" s="39"/>
      <c r="S34" s="48"/>
      <c r="T34" s="48"/>
      <c r="U34" s="48"/>
      <c r="V34" s="39"/>
      <c r="W34" s="39"/>
      <c r="X34" s="48"/>
      <c r="Y34" s="48"/>
      <c r="Z34" s="48"/>
      <c r="AA34" s="452"/>
      <c r="AB34" s="452"/>
      <c r="AC34" s="476"/>
      <c r="AD34" s="476"/>
      <c r="AE34" s="476"/>
      <c r="AF34" s="452"/>
      <c r="AG34" s="452"/>
      <c r="AH34" s="476"/>
      <c r="AI34" s="476"/>
      <c r="AJ34" s="476"/>
      <c r="AK34" s="452"/>
      <c r="AL34" s="452"/>
      <c r="AM34" s="476"/>
      <c r="AN34" s="476"/>
      <c r="AO34" s="476"/>
      <c r="AP34" s="452"/>
      <c r="AQ34" s="452"/>
      <c r="AR34" s="476"/>
      <c r="AS34" s="476"/>
      <c r="AT34" s="476"/>
      <c r="AU34" s="452"/>
      <c r="AV34" s="452"/>
      <c r="AW34" s="48"/>
      <c r="AX34" s="48"/>
      <c r="AY34" s="48"/>
      <c r="AZ34" s="452"/>
      <c r="BA34" s="452"/>
      <c r="BB34" s="476"/>
      <c r="BC34" s="476"/>
      <c r="BD34" s="842"/>
      <c r="BE34" s="842"/>
    </row>
    <row r="35" spans="1:57" s="88" customFormat="1" ht="13.8" x14ac:dyDescent="0.25">
      <c r="A35" s="238"/>
      <c r="B35" s="89" t="s">
        <v>80</v>
      </c>
      <c r="C35" s="90">
        <f>C36</f>
        <v>70750</v>
      </c>
      <c r="D35" s="90">
        <f>D36</f>
        <v>0</v>
      </c>
      <c r="E35" s="91">
        <f>E36</f>
        <v>70750</v>
      </c>
      <c r="F35" s="165">
        <f>E35/$E$89</f>
        <v>7.5078271830914482E-3</v>
      </c>
      <c r="G35" s="90">
        <f>G36</f>
        <v>0</v>
      </c>
      <c r="H35" s="90">
        <f>H36</f>
        <v>0</v>
      </c>
      <c r="I35" s="91">
        <f>I36</f>
        <v>0</v>
      </c>
      <c r="J35" s="190">
        <f t="shared" si="25"/>
        <v>0</v>
      </c>
      <c r="K35" s="267"/>
      <c r="L35" s="90">
        <f>L36</f>
        <v>0</v>
      </c>
      <c r="M35" s="90">
        <f>M36</f>
        <v>0</v>
      </c>
      <c r="N35" s="91">
        <f>N36</f>
        <v>0</v>
      </c>
      <c r="O35" s="91"/>
      <c r="P35" s="91"/>
      <c r="Q35" s="90">
        <f>Q36</f>
        <v>0</v>
      </c>
      <c r="R35" s="90">
        <f>R36</f>
        <v>0</v>
      </c>
      <c r="S35" s="91">
        <f>S36</f>
        <v>0</v>
      </c>
      <c r="T35" s="91"/>
      <c r="U35" s="404"/>
      <c r="V35" s="90">
        <f>V36</f>
        <v>0</v>
      </c>
      <c r="W35" s="90">
        <f>W36</f>
        <v>0</v>
      </c>
      <c r="X35" s="91">
        <f>X36</f>
        <v>0</v>
      </c>
      <c r="Y35" s="91"/>
      <c r="Z35" s="404"/>
      <c r="AA35" s="90">
        <f>AA36</f>
        <v>0</v>
      </c>
      <c r="AB35" s="90">
        <f>AB36</f>
        <v>0</v>
      </c>
      <c r="AC35" s="91">
        <f>AC36</f>
        <v>0</v>
      </c>
      <c r="AD35" s="91"/>
      <c r="AE35" s="404"/>
      <c r="AF35" s="90">
        <f>AF36</f>
        <v>0</v>
      </c>
      <c r="AG35" s="90">
        <f>AG36</f>
        <v>0</v>
      </c>
      <c r="AH35" s="91">
        <f>AH36</f>
        <v>0</v>
      </c>
      <c r="AI35" s="91">
        <f>AH35/$AH$89</f>
        <v>0</v>
      </c>
      <c r="AJ35" s="404"/>
      <c r="AK35" s="90">
        <f>AK36</f>
        <v>0</v>
      </c>
      <c r="AL35" s="90">
        <f>AL36</f>
        <v>0</v>
      </c>
      <c r="AM35" s="91">
        <f>AM36</f>
        <v>0</v>
      </c>
      <c r="AN35" s="91">
        <f>AM35/$AH$89</f>
        <v>0</v>
      </c>
      <c r="AO35" s="404"/>
      <c r="AP35" s="90">
        <f>AP36</f>
        <v>0</v>
      </c>
      <c r="AQ35" s="90">
        <f>AQ36</f>
        <v>0</v>
      </c>
      <c r="AR35" s="91">
        <f>AR36</f>
        <v>0</v>
      </c>
      <c r="AS35" s="91">
        <f>AR35/$AH$89</f>
        <v>0</v>
      </c>
      <c r="AT35" s="404"/>
      <c r="AU35" s="90">
        <f>AU36</f>
        <v>0</v>
      </c>
      <c r="AV35" s="90">
        <f>AV36</f>
        <v>0</v>
      </c>
      <c r="AW35" s="91">
        <f>AW36</f>
        <v>0</v>
      </c>
      <c r="AX35" s="91"/>
      <c r="AY35" s="91"/>
      <c r="AZ35" s="536">
        <f>AZ36</f>
        <v>0</v>
      </c>
      <c r="BA35" s="536">
        <f>BA36</f>
        <v>0</v>
      </c>
      <c r="BB35" s="658">
        <f>BB36</f>
        <v>0</v>
      </c>
      <c r="BC35" s="658"/>
      <c r="BD35" s="842"/>
      <c r="BE35" s="842"/>
    </row>
    <row r="36" spans="1:57" s="226" customFormat="1" ht="13.8" x14ac:dyDescent="0.25">
      <c r="A36" s="238"/>
      <c r="B36" s="19" t="s">
        <v>81</v>
      </c>
      <c r="C36" s="43">
        <f>58750+12000</f>
        <v>70750</v>
      </c>
      <c r="D36" s="49"/>
      <c r="E36" s="106">
        <f>C36+D36</f>
        <v>70750</v>
      </c>
      <c r="F36" s="178">
        <f>E36/$E$89</f>
        <v>7.5078271830914482E-3</v>
      </c>
      <c r="G36" s="97"/>
      <c r="H36" s="45"/>
      <c r="I36" s="41">
        <f>G36+H36*1</f>
        <v>0</v>
      </c>
      <c r="J36" s="178">
        <f t="shared" si="25"/>
        <v>0</v>
      </c>
      <c r="K36" s="265"/>
      <c r="L36" s="39"/>
      <c r="M36" s="39"/>
      <c r="N36" s="106">
        <f>L36+M36*1</f>
        <v>0</v>
      </c>
      <c r="O36" s="178">
        <f>N36/$N$89</f>
        <v>0</v>
      </c>
      <c r="P36" s="45"/>
      <c r="Q36" s="39"/>
      <c r="R36" s="39"/>
      <c r="S36" s="106">
        <f>Q36+R36*1</f>
        <v>0</v>
      </c>
      <c r="T36" s="178">
        <f>S36/$S$89</f>
        <v>0</v>
      </c>
      <c r="U36" s="405"/>
      <c r="V36" s="39"/>
      <c r="W36" s="39"/>
      <c r="X36" s="106">
        <f>V36+W36*1</f>
        <v>0</v>
      </c>
      <c r="Y36" s="178">
        <f>X36/$X$89</f>
        <v>0</v>
      </c>
      <c r="Z36" s="405"/>
      <c r="AA36" s="39"/>
      <c r="AB36" s="39"/>
      <c r="AC36" s="106">
        <f>AA36+AB36*1</f>
        <v>0</v>
      </c>
      <c r="AD36" s="178">
        <f>AC36/$AC$89</f>
        <v>0</v>
      </c>
      <c r="AE36" s="405"/>
      <c r="AF36" s="39"/>
      <c r="AG36" s="39"/>
      <c r="AH36" s="106">
        <f>AF36+AG36*1</f>
        <v>0</v>
      </c>
      <c r="AI36" s="178">
        <f>AH36/$AH$89</f>
        <v>0</v>
      </c>
      <c r="AJ36" s="405"/>
      <c r="AK36" s="39"/>
      <c r="AL36" s="39"/>
      <c r="AM36" s="106">
        <f>AK36+AL36*1</f>
        <v>0</v>
      </c>
      <c r="AN36" s="178">
        <f>AM36/$AH$89</f>
        <v>0</v>
      </c>
      <c r="AO36" s="405"/>
      <c r="AP36" s="39"/>
      <c r="AQ36" s="39"/>
      <c r="AR36" s="106">
        <f>AP36+AQ36*1</f>
        <v>0</v>
      </c>
      <c r="AS36" s="178">
        <f>AR36/$AH$89</f>
        <v>0</v>
      </c>
      <c r="AT36" s="405"/>
      <c r="AU36" s="39">
        <f>G36+L36+Q36+V36+AA36</f>
        <v>0</v>
      </c>
      <c r="AV36" s="39">
        <f>H36+M36+R36+W36+AB36</f>
        <v>0</v>
      </c>
      <c r="AW36" s="106">
        <f>AU36+AV36*1</f>
        <v>0</v>
      </c>
      <c r="AX36" s="178">
        <f>AW36/$AW$89</f>
        <v>0</v>
      </c>
      <c r="AY36" s="45"/>
      <c r="AZ36" s="452"/>
      <c r="BA36" s="452"/>
      <c r="BB36" s="446">
        <f>AZ36+BA36*1</f>
        <v>0</v>
      </c>
      <c r="BC36" s="450" t="e">
        <f>BB36/$F$89</f>
        <v>#DIV/0!</v>
      </c>
      <c r="BD36" s="842"/>
      <c r="BE36" s="842"/>
    </row>
    <row r="37" spans="1:57" s="2" customFormat="1" ht="14.4" thickBot="1" x14ac:dyDescent="0.3">
      <c r="A37" s="4"/>
      <c r="B37" s="14"/>
      <c r="C37" s="50"/>
      <c r="D37" s="51"/>
      <c r="E37" s="52"/>
      <c r="F37" s="181"/>
      <c r="G37" s="98"/>
      <c r="H37" s="52"/>
      <c r="I37" s="52"/>
      <c r="J37" s="203">
        <f t="shared" si="25"/>
        <v>0</v>
      </c>
      <c r="K37" s="268"/>
      <c r="L37" s="39"/>
      <c r="M37" s="39"/>
      <c r="N37" s="52"/>
      <c r="O37" s="52"/>
      <c r="P37" s="52"/>
      <c r="Q37" s="39"/>
      <c r="R37" s="39"/>
      <c r="S37" s="52"/>
      <c r="T37" s="52"/>
      <c r="U37" s="64"/>
      <c r="V37" s="39"/>
      <c r="W37" s="39"/>
      <c r="X37" s="52"/>
      <c r="Y37" s="52"/>
      <c r="Z37" s="64"/>
      <c r="AA37" s="39"/>
      <c r="AB37" s="39"/>
      <c r="AC37" s="52"/>
      <c r="AD37" s="52"/>
      <c r="AE37" s="64"/>
      <c r="AF37" s="39"/>
      <c r="AG37" s="39"/>
      <c r="AH37" s="52"/>
      <c r="AI37" s="52"/>
      <c r="AJ37" s="64"/>
      <c r="AK37" s="39"/>
      <c r="AL37" s="39"/>
      <c r="AM37" s="52"/>
      <c r="AN37" s="52"/>
      <c r="AO37" s="64"/>
      <c r="AP37" s="39"/>
      <c r="AQ37" s="39"/>
      <c r="AR37" s="52"/>
      <c r="AS37" s="52"/>
      <c r="AT37" s="64"/>
      <c r="AU37" s="39"/>
      <c r="AV37" s="39"/>
      <c r="AW37" s="52"/>
      <c r="AX37" s="52"/>
      <c r="AY37" s="52"/>
      <c r="AZ37" s="452"/>
      <c r="BA37" s="452"/>
      <c r="BB37" s="606"/>
      <c r="BC37" s="606"/>
      <c r="BD37" s="842"/>
      <c r="BE37" s="842"/>
    </row>
    <row r="38" spans="1:57" ht="14.4" thickBot="1" x14ac:dyDescent="0.3">
      <c r="A38" s="33"/>
      <c r="B38" s="34" t="s">
        <v>46</v>
      </c>
      <c r="C38" s="53">
        <f>(C5)-(C8)</f>
        <v>5035069</v>
      </c>
      <c r="D38" s="53">
        <f>(D5)-(D8)</f>
        <v>-2067772</v>
      </c>
      <c r="E38" s="53">
        <f>(E5)-(E8)</f>
        <v>2967297</v>
      </c>
      <c r="F38" s="166"/>
      <c r="G38" s="53">
        <f>(G5)-(G8)</f>
        <v>-245713.43</v>
      </c>
      <c r="H38" s="53">
        <f>(H5)-(H8)</f>
        <v>-121054.54000000001</v>
      </c>
      <c r="I38" s="53">
        <f>(I5)-(I8)</f>
        <v>-366767.97</v>
      </c>
      <c r="J38" s="191">
        <f t="shared" si="25"/>
        <v>-0.85580856678226902</v>
      </c>
      <c r="K38" s="269"/>
      <c r="L38" s="53">
        <f>(L5)-(L8)</f>
        <v>2844332.5060000001</v>
      </c>
      <c r="M38" s="53">
        <f>(M5)-(M8)</f>
        <v>-564634.27</v>
      </c>
      <c r="N38" s="53">
        <f>(N5)-(N8)</f>
        <v>2279698.2359999996</v>
      </c>
      <c r="O38" s="53"/>
      <c r="P38" s="53"/>
      <c r="Q38" s="53">
        <f>(Q5)-(Q8)</f>
        <v>-453110</v>
      </c>
      <c r="R38" s="53">
        <f>(R5)-(R8)</f>
        <v>-319474.13</v>
      </c>
      <c r="S38" s="53">
        <f>(S5)-(S8)</f>
        <v>-772584.12999999989</v>
      </c>
      <c r="T38" s="53"/>
      <c r="U38" s="406"/>
      <c r="V38" s="53">
        <f>(V5)-(V8)</f>
        <v>1873625.9220000003</v>
      </c>
      <c r="W38" s="53">
        <f>(W5)-(W8)</f>
        <v>-343535.41000000003</v>
      </c>
      <c r="X38" s="53">
        <f>(X5)-(X8)</f>
        <v>1530090.5120000001</v>
      </c>
      <c r="Y38" s="53"/>
      <c r="Z38" s="406"/>
      <c r="AA38" s="53">
        <f>(AA5)-(AA8)</f>
        <v>1323555.264</v>
      </c>
      <c r="AB38" s="53">
        <f>(AB5)-(AB8)</f>
        <v>-565780.30000000005</v>
      </c>
      <c r="AC38" s="53">
        <f>(AC5)-(AC8)</f>
        <v>757774.96399999992</v>
      </c>
      <c r="AD38" s="53"/>
      <c r="AE38" s="406"/>
      <c r="AF38" s="53">
        <f>(AF5)-(AF8)</f>
        <v>378580.81400000007</v>
      </c>
      <c r="AG38" s="53">
        <f>(AG5)-(AG8)</f>
        <v>-277243.81</v>
      </c>
      <c r="AH38" s="53">
        <f>(AH5)-(AH8)</f>
        <v>101337.00400000007</v>
      </c>
      <c r="AI38" s="53"/>
      <c r="AJ38" s="406"/>
      <c r="AK38" s="53">
        <f>(AK5)-(AK8)</f>
        <v>307394.60199999996</v>
      </c>
      <c r="AL38" s="53">
        <f>(AL5)-(AL8)</f>
        <v>-208670</v>
      </c>
      <c r="AM38" s="53">
        <f>(AM5)-(AM8)</f>
        <v>98724.601999999955</v>
      </c>
      <c r="AN38" s="53"/>
      <c r="AO38" s="406"/>
      <c r="AP38" s="53">
        <f>(AP5)-(AP8)</f>
        <v>94435.109999998502</v>
      </c>
      <c r="AQ38" s="53">
        <f>(AQ5)-(AQ8)</f>
        <v>-98985.179999999818</v>
      </c>
      <c r="AR38" s="53">
        <f>(AR5)-(AR8)</f>
        <v>-4550.0700000013203</v>
      </c>
      <c r="AS38" s="53"/>
      <c r="AT38" s="406"/>
      <c r="AU38" s="53">
        <f>(AU5)-(AU8)</f>
        <v>6123100.7879999988</v>
      </c>
      <c r="AV38" s="53">
        <f>(AV5)-(AV8)</f>
        <v>-2499377.64</v>
      </c>
      <c r="AW38" s="53">
        <f>(AW5)-(AW8)</f>
        <v>3623723.148</v>
      </c>
      <c r="AX38" s="53"/>
      <c r="AY38" s="53"/>
      <c r="AZ38" s="648">
        <f>(AZ5)-(AZ8)</f>
        <v>6123100.7879999988</v>
      </c>
      <c r="BA38" s="648">
        <f>(BA5)-(BA8)</f>
        <v>-2499377.64</v>
      </c>
      <c r="BB38" s="648">
        <f>(BB5)-(BB8)</f>
        <v>3623723.148</v>
      </c>
      <c r="BC38" s="648"/>
      <c r="BD38" s="842"/>
      <c r="BE38" s="842"/>
    </row>
    <row r="39" spans="1:57" ht="13.8" x14ac:dyDescent="0.25">
      <c r="A39" s="293"/>
      <c r="B39" s="15" t="s">
        <v>47</v>
      </c>
      <c r="C39" s="157">
        <f>C38/(C5)</f>
        <v>0.42907821967447085</v>
      </c>
      <c r="D39" s="157" t="e">
        <f>D38/(D5)</f>
        <v>#DIV/0!</v>
      </c>
      <c r="E39" s="158">
        <f>E38/(E5)</f>
        <v>0.25286694462486975</v>
      </c>
      <c r="F39" s="167"/>
      <c r="G39" s="157" t="e">
        <f>G38/(G5)</f>
        <v>#DIV/0!</v>
      </c>
      <c r="H39" s="157" t="e">
        <f>H38/(H5)</f>
        <v>#DIV/0!</v>
      </c>
      <c r="I39" s="158" t="e">
        <f>I38/(I5)</f>
        <v>#DIV/0!</v>
      </c>
      <c r="J39" s="192" t="e">
        <f t="shared" si="25"/>
        <v>#DIV/0!</v>
      </c>
      <c r="K39" s="270"/>
      <c r="L39" s="54">
        <f>L38/(L5)</f>
        <v>0.77396255108409429</v>
      </c>
      <c r="M39" s="54" t="e">
        <f>M38/(M5)</f>
        <v>#DIV/0!</v>
      </c>
      <c r="N39" s="55">
        <f>N38/(N5)</f>
        <v>0.62032166025404534</v>
      </c>
      <c r="O39" s="55"/>
      <c r="P39" s="55"/>
      <c r="Q39" s="54" t="e">
        <f>Q38/(Q5)</f>
        <v>#DIV/0!</v>
      </c>
      <c r="R39" s="54" t="e">
        <f>R38/(R5)</f>
        <v>#DIV/0!</v>
      </c>
      <c r="S39" s="55" t="e">
        <f>S38/(S5)</f>
        <v>#DIV/0!</v>
      </c>
      <c r="T39" s="55"/>
      <c r="U39" s="407"/>
      <c r="V39" s="54">
        <f>V38/(V5)</f>
        <v>0.43532124527830179</v>
      </c>
      <c r="W39" s="54" t="e">
        <f>W38/(W5)</f>
        <v>#DIV/0!</v>
      </c>
      <c r="X39" s="55">
        <f>X38/(X5)</f>
        <v>0.3555036783230171</v>
      </c>
      <c r="Y39" s="55"/>
      <c r="Z39" s="407"/>
      <c r="AA39" s="54">
        <f>AA38/(AA5)</f>
        <v>0.54468004467910069</v>
      </c>
      <c r="AB39" s="54" t="e">
        <f>AB38/(AB5)</f>
        <v>#DIV/0!</v>
      </c>
      <c r="AC39" s="55">
        <f>AC38/(AC5)</f>
        <v>0.31184561194735566</v>
      </c>
      <c r="AD39" s="55"/>
      <c r="AE39" s="407"/>
      <c r="AF39" s="54">
        <f>AF38/(AF5)</f>
        <v>0.57005821513888755</v>
      </c>
      <c r="AG39" s="54" t="e">
        <f>AG38/(AG5)</f>
        <v>#DIV/0!</v>
      </c>
      <c r="AH39" s="55">
        <f>AH38/(AH5)</f>
        <v>0.1525909118779652</v>
      </c>
      <c r="AI39" s="55"/>
      <c r="AJ39" s="407"/>
      <c r="AK39" s="54">
        <f>AK38/(AK5)</f>
        <v>0.29119143237241091</v>
      </c>
      <c r="AL39" s="54" t="e">
        <f>AL38/(AL5)</f>
        <v>#DIV/0!</v>
      </c>
      <c r="AM39" s="55">
        <f>AM38/(AM5)</f>
        <v>9.3520699712144509E-2</v>
      </c>
      <c r="AN39" s="55"/>
      <c r="AO39" s="407"/>
      <c r="AP39" s="54">
        <f>AP38/(AP5)</f>
        <v>134907.30014358897</v>
      </c>
      <c r="AQ39" s="54" t="e">
        <f>AQ38/(AQ5)</f>
        <v>#DIV/0!</v>
      </c>
      <c r="AR39" s="55">
        <f>AR38/(AR5)</f>
        <v>-6500.1000069203892</v>
      </c>
      <c r="AS39" s="55"/>
      <c r="AT39" s="407"/>
      <c r="AU39" s="54">
        <f>AU38/(AU5)</f>
        <v>0.50484161590052323</v>
      </c>
      <c r="AV39" s="54" t="e">
        <f>AV38/(AV5)</f>
        <v>#DIV/0!</v>
      </c>
      <c r="AW39" s="55">
        <f>AW38/(AW5)</f>
        <v>0.29877121297720688</v>
      </c>
      <c r="AX39" s="55"/>
      <c r="AY39" s="55"/>
      <c r="AZ39" s="639">
        <f>AZ38/(AZ5)</f>
        <v>0.50484161590052323</v>
      </c>
      <c r="BA39" s="639" t="e">
        <f>BA38/(BA5)</f>
        <v>#DIV/0!</v>
      </c>
      <c r="BB39" s="660">
        <f>BB38/(BB5)</f>
        <v>0.29877121297720688</v>
      </c>
      <c r="BC39" s="660"/>
      <c r="BD39" s="842"/>
      <c r="BE39" s="842"/>
    </row>
    <row r="40" spans="1:57" ht="14.4" thickBot="1" x14ac:dyDescent="0.3">
      <c r="A40" s="295"/>
      <c r="B40" s="16"/>
      <c r="C40" s="56"/>
      <c r="D40" s="57"/>
      <c r="E40" s="58"/>
      <c r="F40" s="168"/>
      <c r="G40" s="80"/>
      <c r="H40" s="80"/>
      <c r="I40" s="80"/>
      <c r="J40" s="193">
        <f t="shared" si="25"/>
        <v>0</v>
      </c>
      <c r="K40" s="271"/>
      <c r="L40" s="58"/>
      <c r="M40" s="58"/>
      <c r="N40" s="58"/>
      <c r="O40" s="58"/>
      <c r="P40" s="58"/>
      <c r="Q40" s="58"/>
      <c r="R40" s="58"/>
      <c r="S40" s="58"/>
      <c r="T40" s="58"/>
      <c r="U40" s="408"/>
      <c r="V40" s="58"/>
      <c r="W40" s="58"/>
      <c r="X40" s="58"/>
      <c r="Y40" s="58"/>
      <c r="Z40" s="408"/>
      <c r="AA40" s="58"/>
      <c r="AB40" s="58"/>
      <c r="AC40" s="58"/>
      <c r="AD40" s="58"/>
      <c r="AE40" s="408"/>
      <c r="AF40" s="58"/>
      <c r="AG40" s="58"/>
      <c r="AH40" s="58"/>
      <c r="AI40" s="58"/>
      <c r="AJ40" s="408"/>
      <c r="AK40" s="58"/>
      <c r="AL40" s="58"/>
      <c r="AM40" s="58"/>
      <c r="AN40" s="58"/>
      <c r="AO40" s="408"/>
      <c r="AP40" s="58"/>
      <c r="AQ40" s="58"/>
      <c r="AR40" s="58"/>
      <c r="AS40" s="58"/>
      <c r="AT40" s="408"/>
      <c r="AU40" s="58"/>
      <c r="AV40" s="58"/>
      <c r="AW40" s="58"/>
      <c r="AX40" s="58"/>
      <c r="AY40" s="58"/>
      <c r="AZ40" s="649"/>
      <c r="BA40" s="649"/>
      <c r="BB40" s="649"/>
      <c r="BC40" s="649"/>
      <c r="BD40" s="842"/>
      <c r="BE40" s="842"/>
    </row>
    <row r="41" spans="1:57" ht="14.4" thickBot="1" x14ac:dyDescent="0.3">
      <c r="A41" s="11"/>
      <c r="B41" s="22" t="s">
        <v>26</v>
      </c>
      <c r="C41" s="117">
        <f>SUM(C42:C48)</f>
        <v>26800</v>
      </c>
      <c r="D41" s="117">
        <f>SUM(D42:D48)</f>
        <v>16281.999999999998</v>
      </c>
      <c r="E41" s="118">
        <f>SUM(E42:E48)</f>
        <v>43082</v>
      </c>
      <c r="F41" s="169">
        <f t="shared" ref="F41:F48" si="31">E41/$E$89</f>
        <v>4.5717626954338625E-3</v>
      </c>
      <c r="G41" s="117">
        <f>SUM(G42:G48)</f>
        <v>1931.58</v>
      </c>
      <c r="H41" s="117">
        <f>SUM(H42:H48)</f>
        <v>572</v>
      </c>
      <c r="I41" s="118">
        <f>SUM(I42:I48)</f>
        <v>2503.58</v>
      </c>
      <c r="J41" s="169">
        <f t="shared" si="25"/>
        <v>5.8418002303329631E-3</v>
      </c>
      <c r="K41" s="272"/>
      <c r="L41" s="117">
        <f>SUM(L42:L48)</f>
        <v>0</v>
      </c>
      <c r="M41" s="117">
        <f>SUM(M42:M48)</f>
        <v>721</v>
      </c>
      <c r="N41" s="118">
        <f>SUM(N42:N48)</f>
        <v>721</v>
      </c>
      <c r="O41" s="169">
        <f t="shared" ref="O41:O49" si="32">N41/$N$89</f>
        <v>4.797102756493381E-4</v>
      </c>
      <c r="P41" s="60"/>
      <c r="Q41" s="117">
        <f>SUM(Q42:Q48)</f>
        <v>7488.7800000000007</v>
      </c>
      <c r="R41" s="117">
        <f>SUM(R42:R48)</f>
        <v>791.8</v>
      </c>
      <c r="S41" s="118">
        <f>SUM(S42:S48)</f>
        <v>8280.58</v>
      </c>
      <c r="T41" s="169">
        <f>S41/$S$89</f>
        <v>9.689698709562735E-3</v>
      </c>
      <c r="U41" s="409"/>
      <c r="V41" s="117">
        <f>SUM(V42:V48)</f>
        <v>3386</v>
      </c>
      <c r="W41" s="117">
        <f>SUM(W42:W48)</f>
        <v>411</v>
      </c>
      <c r="X41" s="118">
        <f>SUM(X42:X48)</f>
        <v>3797</v>
      </c>
      <c r="Y41" s="169">
        <f>X41/$S$89</f>
        <v>4.4431411809570951E-3</v>
      </c>
      <c r="Z41" s="409"/>
      <c r="AA41" s="117">
        <f>SUM(AA42:AA48)</f>
        <v>1320</v>
      </c>
      <c r="AB41" s="117">
        <f>SUM(AB42:AB48)</f>
        <v>350</v>
      </c>
      <c r="AC41" s="118">
        <f>SUM(AC42:AC48)</f>
        <v>1670</v>
      </c>
      <c r="AD41" s="169">
        <f>AC41/$AC$89</f>
        <v>9.4165696862392935E-4</v>
      </c>
      <c r="AE41" s="409"/>
      <c r="AF41" s="117">
        <f>SUM(AF42:AF48)</f>
        <v>1503.5</v>
      </c>
      <c r="AG41" s="117">
        <f>SUM(AG42:AG48)</f>
        <v>0</v>
      </c>
      <c r="AH41" s="118">
        <f>SUM(AH42:AH48)</f>
        <v>1503.5</v>
      </c>
      <c r="AI41" s="169">
        <f>AH41/$AH$89</f>
        <v>2.3889632676832796E-3</v>
      </c>
      <c r="AJ41" s="409"/>
      <c r="AK41" s="117">
        <f>SUM(AK42:AK48)</f>
        <v>2492</v>
      </c>
      <c r="AL41" s="117">
        <f>SUM(AL42:AL48)</f>
        <v>0</v>
      </c>
      <c r="AM41" s="118">
        <f>SUM(AM42:AM48)</f>
        <v>2492</v>
      </c>
      <c r="AN41" s="169">
        <f>AM41/$AH$89</f>
        <v>3.9596251832834939E-3</v>
      </c>
      <c r="AO41" s="409"/>
      <c r="AP41" s="117">
        <f>SUM(AP42:AP48)</f>
        <v>-2751.65</v>
      </c>
      <c r="AQ41" s="117">
        <f>SUM(AQ42:AQ48)</f>
        <v>0</v>
      </c>
      <c r="AR41" s="118">
        <f>SUM(AR42:AR48)</f>
        <v>-2751.65</v>
      </c>
      <c r="AS41" s="169">
        <f>AR41/$AH$89</f>
        <v>-4.3721920688531406E-3</v>
      </c>
      <c r="AT41" s="409"/>
      <c r="AU41" s="117">
        <f>SUM(AU42:AU48)</f>
        <v>15370.21</v>
      </c>
      <c r="AV41" s="117">
        <f>SUM(AV42:AV48)</f>
        <v>2845.8</v>
      </c>
      <c r="AW41" s="118">
        <f>SUM(AW42:AW48)</f>
        <v>18216.009999999998</v>
      </c>
      <c r="AX41" s="169">
        <f t="shared" ref="AX41:AX49" si="33">AW41/$AW$89</f>
        <v>1.9288933953753118E-3</v>
      </c>
      <c r="AY41" s="60"/>
      <c r="AZ41" s="836">
        <f>SUM(AZ42:AZ48)</f>
        <v>15370.21</v>
      </c>
      <c r="BA41" s="836">
        <f>SUM(BA42:BA48)</f>
        <v>2845.8</v>
      </c>
      <c r="BB41" s="843">
        <f>SUM(BB42:BB48)</f>
        <v>18216.009999999998</v>
      </c>
      <c r="BC41" s="838" t="e">
        <f t="shared" ref="BC41:BC52" si="34">BB41/$F$89</f>
        <v>#DIV/0!</v>
      </c>
      <c r="BD41" s="842"/>
      <c r="BE41" s="842"/>
    </row>
    <row r="42" spans="1:57" ht="13.8" x14ac:dyDescent="0.25">
      <c r="A42" s="4015"/>
      <c r="B42" s="18" t="s">
        <v>7</v>
      </c>
      <c r="C42" s="113"/>
      <c r="D42" s="119"/>
      <c r="E42" s="120">
        <f t="shared" ref="E42:E48" si="35">C42+D42</f>
        <v>0</v>
      </c>
      <c r="F42" s="178">
        <f t="shared" si="31"/>
        <v>0</v>
      </c>
      <c r="G42" s="78"/>
      <c r="H42" s="103"/>
      <c r="I42" s="41">
        <f t="shared" ref="I42:I48" si="36">G42+H42*1</f>
        <v>0</v>
      </c>
      <c r="J42" s="178">
        <f t="shared" si="25"/>
        <v>0</v>
      </c>
      <c r="K42" s="265"/>
      <c r="L42" s="39"/>
      <c r="M42" s="39"/>
      <c r="N42" s="106">
        <f t="shared" ref="N42:N48" si="37">L42+M42*1</f>
        <v>0</v>
      </c>
      <c r="O42" s="178">
        <f t="shared" si="32"/>
        <v>0</v>
      </c>
      <c r="P42" s="79"/>
      <c r="Q42" s="39"/>
      <c r="R42" s="39"/>
      <c r="S42" s="106">
        <f t="shared" ref="S42:S48" si="38">Q42+R42*1</f>
        <v>0</v>
      </c>
      <c r="T42" s="178">
        <f t="shared" ref="T42:T52" si="39">S42/$S$89</f>
        <v>0</v>
      </c>
      <c r="U42" s="259"/>
      <c r="V42" s="39"/>
      <c r="W42" s="39"/>
      <c r="X42" s="106">
        <f t="shared" ref="X42:X48" si="40">V42+W42*1</f>
        <v>0</v>
      </c>
      <c r="Y42" s="178">
        <f t="shared" ref="Y42:Y49" si="41">X42/$X$89</f>
        <v>0</v>
      </c>
      <c r="Z42" s="259"/>
      <c r="AA42" s="39"/>
      <c r="AB42" s="39"/>
      <c r="AC42" s="106">
        <f t="shared" ref="AC42:AC48" si="42">AA42+AB42*1</f>
        <v>0</v>
      </c>
      <c r="AD42" s="178">
        <f>AC42/$AC$89</f>
        <v>0</v>
      </c>
      <c r="AE42" s="259"/>
      <c r="AF42" s="39"/>
      <c r="AG42" s="39"/>
      <c r="AH42" s="106">
        <f t="shared" ref="AH42:AH48" si="43">AF42+AG42*1</f>
        <v>0</v>
      </c>
      <c r="AI42" s="178">
        <f t="shared" ref="AI42:AI52" si="44">AH42/$AH$89</f>
        <v>0</v>
      </c>
      <c r="AJ42" s="259"/>
      <c r="AK42" s="39"/>
      <c r="AL42" s="39"/>
      <c r="AM42" s="106">
        <f t="shared" ref="AM42:AM48" si="45">AK42+AL42*1</f>
        <v>0</v>
      </c>
      <c r="AN42" s="178">
        <f t="shared" ref="AN42:AN49" si="46">AM42/$AH$89</f>
        <v>0</v>
      </c>
      <c r="AO42" s="259"/>
      <c r="AP42" s="39"/>
      <c r="AQ42" s="39"/>
      <c r="AR42" s="106">
        <f t="shared" ref="AR42:AR48" si="47">AP42+AQ42*1</f>
        <v>0</v>
      </c>
      <c r="AS42" s="178">
        <f t="shared" ref="AS42:AS49" si="48">AR42/$AH$89</f>
        <v>0</v>
      </c>
      <c r="AT42" s="259"/>
      <c r="AU42" s="39">
        <f t="shared" ref="AU42:AU48" si="49">G42+L42+Q42+V42+AA42+AF42+AK42+AP42</f>
        <v>0</v>
      </c>
      <c r="AV42" s="39">
        <f t="shared" ref="AV42:AV48" si="50">H42+M42+R42+W42+AB42+AG42+AL42+AQ42</f>
        <v>0</v>
      </c>
      <c r="AW42" s="106">
        <f t="shared" ref="AW42:AW48" si="51">AU42+AV42*1</f>
        <v>0</v>
      </c>
      <c r="AX42" s="178">
        <f t="shared" si="33"/>
        <v>0</v>
      </c>
      <c r="AY42" s="79"/>
      <c r="AZ42" s="452"/>
      <c r="BA42" s="452"/>
      <c r="BB42" s="446">
        <f t="shared" ref="BB42:BB48" si="52">AZ42+BA42*1</f>
        <v>0</v>
      </c>
      <c r="BC42" s="447" t="e">
        <f t="shared" si="34"/>
        <v>#DIV/0!</v>
      </c>
      <c r="BD42" s="842"/>
      <c r="BE42" s="842"/>
    </row>
    <row r="43" spans="1:57" ht="13.8" x14ac:dyDescent="0.25">
      <c r="A43" s="4015"/>
      <c r="B43" s="18" t="s">
        <v>27</v>
      </c>
      <c r="C43" s="113"/>
      <c r="D43" s="119">
        <v>4000</v>
      </c>
      <c r="E43" s="120">
        <f t="shared" si="35"/>
        <v>4000</v>
      </c>
      <c r="F43" s="178">
        <f t="shared" si="31"/>
        <v>4.2447079480375681E-4</v>
      </c>
      <c r="G43" s="78"/>
      <c r="H43" s="103"/>
      <c r="I43" s="41">
        <f t="shared" si="36"/>
        <v>0</v>
      </c>
      <c r="J43" s="178">
        <f t="shared" si="25"/>
        <v>0</v>
      </c>
      <c r="K43" s="291"/>
      <c r="L43" s="39"/>
      <c r="M43" s="39">
        <v>721</v>
      </c>
      <c r="N43" s="106">
        <f t="shared" si="37"/>
        <v>721</v>
      </c>
      <c r="O43" s="178">
        <f t="shared" si="32"/>
        <v>4.797102756493381E-4</v>
      </c>
      <c r="P43" s="79" t="s">
        <v>480</v>
      </c>
      <c r="Q43" s="39"/>
      <c r="R43" s="39">
        <v>326</v>
      </c>
      <c r="S43" s="106">
        <f t="shared" si="38"/>
        <v>326</v>
      </c>
      <c r="T43" s="178">
        <f t="shared" si="39"/>
        <v>3.8147590860995869E-4</v>
      </c>
      <c r="U43" s="415" t="s">
        <v>480</v>
      </c>
      <c r="V43" s="39"/>
      <c r="W43" s="39">
        <v>340</v>
      </c>
      <c r="X43" s="106">
        <f t="shared" si="40"/>
        <v>340</v>
      </c>
      <c r="Y43" s="178">
        <f t="shared" si="41"/>
        <v>1.1892970779152175E-4</v>
      </c>
      <c r="Z43" s="388" t="s">
        <v>480</v>
      </c>
      <c r="AA43" s="39"/>
      <c r="AB43" s="39">
        <v>350</v>
      </c>
      <c r="AC43" s="106">
        <f t="shared" si="42"/>
        <v>350</v>
      </c>
      <c r="AD43" s="178">
        <f>AC43/$AC$89</f>
        <v>1.9735325689723069E-4</v>
      </c>
      <c r="AE43" s="388" t="s">
        <v>732</v>
      </c>
      <c r="AF43" s="39"/>
      <c r="AG43" s="39"/>
      <c r="AH43" s="106">
        <f t="shared" si="43"/>
        <v>0</v>
      </c>
      <c r="AI43" s="178">
        <f t="shared" si="44"/>
        <v>0</v>
      </c>
      <c r="AJ43" s="388" t="s">
        <v>732</v>
      </c>
      <c r="AK43" s="39"/>
      <c r="AL43" s="39"/>
      <c r="AM43" s="106">
        <f t="shared" si="45"/>
        <v>0</v>
      </c>
      <c r="AN43" s="178">
        <f t="shared" si="46"/>
        <v>0</v>
      </c>
      <c r="AO43" s="388" t="s">
        <v>732</v>
      </c>
      <c r="AP43" s="39"/>
      <c r="AQ43" s="39"/>
      <c r="AR43" s="106">
        <f t="shared" si="47"/>
        <v>0</v>
      </c>
      <c r="AS43" s="178">
        <f t="shared" si="48"/>
        <v>0</v>
      </c>
      <c r="AT43" s="388"/>
      <c r="AU43" s="39">
        <f t="shared" si="49"/>
        <v>0</v>
      </c>
      <c r="AV43" s="39">
        <f t="shared" si="50"/>
        <v>1737</v>
      </c>
      <c r="AW43" s="106">
        <f t="shared" si="51"/>
        <v>1737</v>
      </c>
      <c r="AX43" s="178">
        <f t="shared" si="33"/>
        <v>1.8393093919946886E-4</v>
      </c>
      <c r="AY43" s="79"/>
      <c r="AZ43" s="452"/>
      <c r="BA43" s="452">
        <v>1737</v>
      </c>
      <c r="BB43" s="446">
        <f t="shared" si="52"/>
        <v>1737</v>
      </c>
      <c r="BC43" s="450" t="e">
        <f t="shared" si="34"/>
        <v>#DIV/0!</v>
      </c>
      <c r="BD43" s="842"/>
      <c r="BE43" s="842"/>
    </row>
    <row r="44" spans="1:57" ht="13.8" x14ac:dyDescent="0.25">
      <c r="A44" s="4015"/>
      <c r="B44" s="19" t="s">
        <v>28</v>
      </c>
      <c r="C44" s="113"/>
      <c r="D44" s="119">
        <v>690</v>
      </c>
      <c r="E44" s="120">
        <f t="shared" si="35"/>
        <v>690</v>
      </c>
      <c r="F44" s="178">
        <f t="shared" si="31"/>
        <v>7.322121210364805E-5</v>
      </c>
      <c r="G44" s="78"/>
      <c r="H44" s="369">
        <v>460</v>
      </c>
      <c r="I44" s="41">
        <f t="shared" si="36"/>
        <v>460</v>
      </c>
      <c r="J44" s="178">
        <f t="shared" si="25"/>
        <v>1.0733541991680565E-3</v>
      </c>
      <c r="K44" s="366" t="s">
        <v>371</v>
      </c>
      <c r="L44" s="39"/>
      <c r="M44" s="39"/>
      <c r="N44" s="106">
        <f t="shared" si="37"/>
        <v>0</v>
      </c>
      <c r="O44" s="178">
        <f t="shared" si="32"/>
        <v>0</v>
      </c>
      <c r="P44" s="79"/>
      <c r="Q44" s="39"/>
      <c r="R44" s="39"/>
      <c r="S44" s="106">
        <f t="shared" si="38"/>
        <v>0</v>
      </c>
      <c r="T44" s="178">
        <f t="shared" si="39"/>
        <v>0</v>
      </c>
      <c r="U44" s="259"/>
      <c r="V44" s="39"/>
      <c r="W44" s="39"/>
      <c r="X44" s="106">
        <f t="shared" si="40"/>
        <v>0</v>
      </c>
      <c r="Y44" s="178">
        <f t="shared" si="41"/>
        <v>0</v>
      </c>
      <c r="Z44" s="388"/>
      <c r="AA44" s="39"/>
      <c r="AB44" s="39"/>
      <c r="AC44" s="106">
        <f t="shared" si="42"/>
        <v>0</v>
      </c>
      <c r="AD44" s="178">
        <f t="shared" ref="AD44:AD52" si="53">AC44/$AC$89</f>
        <v>0</v>
      </c>
      <c r="AE44" s="388"/>
      <c r="AF44" s="39"/>
      <c r="AG44" s="39"/>
      <c r="AH44" s="106">
        <f t="shared" si="43"/>
        <v>0</v>
      </c>
      <c r="AI44" s="178">
        <f t="shared" si="44"/>
        <v>0</v>
      </c>
      <c r="AJ44" s="388"/>
      <c r="AK44" s="39"/>
      <c r="AL44" s="39"/>
      <c r="AM44" s="106">
        <f t="shared" si="45"/>
        <v>0</v>
      </c>
      <c r="AN44" s="178">
        <f t="shared" si="46"/>
        <v>0</v>
      </c>
      <c r="AO44" s="388"/>
      <c r="AP44" s="39"/>
      <c r="AQ44" s="39"/>
      <c r="AR44" s="106">
        <f t="shared" si="47"/>
        <v>0</v>
      </c>
      <c r="AS44" s="178">
        <f t="shared" si="48"/>
        <v>0</v>
      </c>
      <c r="AT44" s="388"/>
      <c r="AU44" s="39">
        <f t="shared" si="49"/>
        <v>0</v>
      </c>
      <c r="AV44" s="39">
        <f t="shared" si="50"/>
        <v>460</v>
      </c>
      <c r="AW44" s="106">
        <f t="shared" si="51"/>
        <v>460</v>
      </c>
      <c r="AX44" s="178">
        <f t="shared" si="33"/>
        <v>4.8709402436243913E-5</v>
      </c>
      <c r="AY44" s="79"/>
      <c r="AZ44" s="452"/>
      <c r="BA44" s="452">
        <v>460</v>
      </c>
      <c r="BB44" s="446">
        <f t="shared" si="52"/>
        <v>460</v>
      </c>
      <c r="BC44" s="450" t="e">
        <f t="shared" si="34"/>
        <v>#DIV/0!</v>
      </c>
      <c r="BD44" s="842"/>
      <c r="BE44" s="842"/>
    </row>
    <row r="45" spans="1:57" ht="13.8" x14ac:dyDescent="0.25">
      <c r="A45" s="4015"/>
      <c r="B45" s="18" t="s">
        <v>8</v>
      </c>
      <c r="C45" s="113"/>
      <c r="D45" s="119">
        <v>11591.999999999998</v>
      </c>
      <c r="E45" s="120">
        <f t="shared" si="35"/>
        <v>11591.999999999998</v>
      </c>
      <c r="F45" s="178">
        <f t="shared" si="31"/>
        <v>1.230116363341287E-3</v>
      </c>
      <c r="G45" s="78">
        <v>540</v>
      </c>
      <c r="H45" s="103"/>
      <c r="I45" s="41">
        <f t="shared" si="36"/>
        <v>540</v>
      </c>
      <c r="J45" s="178">
        <f t="shared" si="25"/>
        <v>1.2600244946755447E-3</v>
      </c>
      <c r="K45" s="291"/>
      <c r="L45" s="39"/>
      <c r="M45" s="39"/>
      <c r="N45" s="106">
        <f t="shared" si="37"/>
        <v>0</v>
      </c>
      <c r="O45" s="178">
        <f t="shared" si="32"/>
        <v>0</v>
      </c>
      <c r="P45" s="79"/>
      <c r="Q45" s="39">
        <v>1080</v>
      </c>
      <c r="R45" s="39"/>
      <c r="S45" s="106">
        <f t="shared" si="38"/>
        <v>1080</v>
      </c>
      <c r="T45" s="178">
        <f t="shared" si="39"/>
        <v>1.2637852187078386E-3</v>
      </c>
      <c r="U45" s="415" t="s">
        <v>581</v>
      </c>
      <c r="V45" s="39">
        <v>800</v>
      </c>
      <c r="W45" s="39"/>
      <c r="X45" s="106">
        <f t="shared" si="40"/>
        <v>800</v>
      </c>
      <c r="Y45" s="178">
        <f t="shared" si="41"/>
        <v>2.7983460656828645E-4</v>
      </c>
      <c r="Z45" s="388" t="s">
        <v>581</v>
      </c>
      <c r="AA45" s="39"/>
      <c r="AB45" s="39"/>
      <c r="AC45" s="106">
        <f t="shared" si="42"/>
        <v>0</v>
      </c>
      <c r="AD45" s="178">
        <f t="shared" si="53"/>
        <v>0</v>
      </c>
      <c r="AE45" s="388"/>
      <c r="AF45" s="39"/>
      <c r="AG45" s="39"/>
      <c r="AH45" s="106">
        <f t="shared" si="43"/>
        <v>0</v>
      </c>
      <c r="AI45" s="178">
        <f t="shared" si="44"/>
        <v>0</v>
      </c>
      <c r="AJ45" s="388"/>
      <c r="AK45" s="39">
        <v>2320</v>
      </c>
      <c r="AL45" s="39"/>
      <c r="AM45" s="106">
        <f t="shared" si="45"/>
        <v>2320</v>
      </c>
      <c r="AN45" s="178">
        <f t="shared" si="46"/>
        <v>3.6863284210343927E-3</v>
      </c>
      <c r="AO45" s="388"/>
      <c r="AP45" s="39">
        <v>-1700</v>
      </c>
      <c r="AQ45" s="39"/>
      <c r="AR45" s="106">
        <f t="shared" si="47"/>
        <v>-1700</v>
      </c>
      <c r="AS45" s="178">
        <f t="shared" si="48"/>
        <v>-2.701188929206236E-3</v>
      </c>
      <c r="AT45" s="388"/>
      <c r="AU45" s="39">
        <f t="shared" si="49"/>
        <v>3040</v>
      </c>
      <c r="AV45" s="39">
        <f t="shared" si="50"/>
        <v>0</v>
      </c>
      <c r="AW45" s="106">
        <f t="shared" si="51"/>
        <v>3040</v>
      </c>
      <c r="AX45" s="178">
        <f t="shared" si="33"/>
        <v>3.2190561610039454E-4</v>
      </c>
      <c r="AY45" s="79"/>
      <c r="AZ45" s="452">
        <f>2320+720</f>
        <v>3040</v>
      </c>
      <c r="BA45" s="452"/>
      <c r="BB45" s="446">
        <f t="shared" si="52"/>
        <v>3040</v>
      </c>
      <c r="BC45" s="450" t="e">
        <f t="shared" si="34"/>
        <v>#DIV/0!</v>
      </c>
      <c r="BD45" s="842"/>
      <c r="BE45" s="842"/>
    </row>
    <row r="46" spans="1:57" ht="13.8" x14ac:dyDescent="0.25">
      <c r="A46" s="4015"/>
      <c r="B46" s="18" t="s">
        <v>29</v>
      </c>
      <c r="C46" s="113"/>
      <c r="D46" s="119"/>
      <c r="E46" s="120">
        <f t="shared" si="35"/>
        <v>0</v>
      </c>
      <c r="F46" s="178">
        <f t="shared" si="31"/>
        <v>0</v>
      </c>
      <c r="G46" s="78"/>
      <c r="H46" s="103"/>
      <c r="I46" s="41">
        <f t="shared" si="36"/>
        <v>0</v>
      </c>
      <c r="J46" s="178">
        <f t="shared" si="25"/>
        <v>0</v>
      </c>
      <c r="K46" s="265"/>
      <c r="L46" s="39"/>
      <c r="M46" s="39"/>
      <c r="N46" s="106">
        <f t="shared" si="37"/>
        <v>0</v>
      </c>
      <c r="O46" s="178">
        <f t="shared" si="32"/>
        <v>0</v>
      </c>
      <c r="P46" s="79"/>
      <c r="Q46" s="39"/>
      <c r="R46" s="39"/>
      <c r="S46" s="106">
        <f t="shared" si="38"/>
        <v>0</v>
      </c>
      <c r="T46" s="178">
        <f t="shared" si="39"/>
        <v>0</v>
      </c>
      <c r="U46" s="259"/>
      <c r="V46" s="39"/>
      <c r="W46" s="39"/>
      <c r="X46" s="106">
        <f t="shared" si="40"/>
        <v>0</v>
      </c>
      <c r="Y46" s="178">
        <f t="shared" si="41"/>
        <v>0</v>
      </c>
      <c r="Z46" s="388"/>
      <c r="AA46" s="39"/>
      <c r="AB46" s="39"/>
      <c r="AC46" s="106">
        <f t="shared" si="42"/>
        <v>0</v>
      </c>
      <c r="AD46" s="178">
        <f t="shared" si="53"/>
        <v>0</v>
      </c>
      <c r="AE46" s="388"/>
      <c r="AF46" s="39"/>
      <c r="AG46" s="39"/>
      <c r="AH46" s="106">
        <f t="shared" si="43"/>
        <v>0</v>
      </c>
      <c r="AI46" s="178">
        <f t="shared" si="44"/>
        <v>0</v>
      </c>
      <c r="AJ46" s="388"/>
      <c r="AK46" s="39"/>
      <c r="AL46" s="39"/>
      <c r="AM46" s="106">
        <f t="shared" si="45"/>
        <v>0</v>
      </c>
      <c r="AN46" s="178">
        <f t="shared" si="46"/>
        <v>0</v>
      </c>
      <c r="AO46" s="388"/>
      <c r="AP46" s="39">
        <v>0</v>
      </c>
      <c r="AQ46" s="39"/>
      <c r="AR46" s="106">
        <f t="shared" si="47"/>
        <v>0</v>
      </c>
      <c r="AS46" s="178">
        <f t="shared" si="48"/>
        <v>0</v>
      </c>
      <c r="AT46" s="388"/>
      <c r="AU46" s="39">
        <f t="shared" si="49"/>
        <v>0</v>
      </c>
      <c r="AV46" s="39">
        <f t="shared" si="50"/>
        <v>0</v>
      </c>
      <c r="AW46" s="106">
        <f t="shared" si="51"/>
        <v>0</v>
      </c>
      <c r="AX46" s="178">
        <f t="shared" si="33"/>
        <v>0</v>
      </c>
      <c r="AY46" s="79"/>
      <c r="AZ46" s="452"/>
      <c r="BA46" s="452"/>
      <c r="BB46" s="446">
        <f t="shared" si="52"/>
        <v>0</v>
      </c>
      <c r="BC46" s="450" t="e">
        <f t="shared" si="34"/>
        <v>#DIV/0!</v>
      </c>
      <c r="BD46" s="842"/>
      <c r="BE46" s="842"/>
    </row>
    <row r="47" spans="1:57" ht="27.6" x14ac:dyDescent="0.25">
      <c r="A47" s="4015"/>
      <c r="B47" s="18" t="s">
        <v>30</v>
      </c>
      <c r="C47" s="113">
        <v>16800</v>
      </c>
      <c r="D47" s="119"/>
      <c r="E47" s="120">
        <f t="shared" si="35"/>
        <v>16800</v>
      </c>
      <c r="F47" s="178">
        <f t="shared" si="31"/>
        <v>1.7827773381757785E-3</v>
      </c>
      <c r="G47" s="78"/>
      <c r="H47" s="103"/>
      <c r="I47" s="41">
        <f t="shared" si="36"/>
        <v>0</v>
      </c>
      <c r="J47" s="178">
        <f t="shared" si="25"/>
        <v>0</v>
      </c>
      <c r="K47" s="291"/>
      <c r="L47" s="39"/>
      <c r="M47" s="39"/>
      <c r="N47" s="106">
        <f t="shared" si="37"/>
        <v>0</v>
      </c>
      <c r="O47" s="178">
        <f t="shared" si="32"/>
        <v>0</v>
      </c>
      <c r="P47" s="79"/>
      <c r="Q47" s="39">
        <v>5146.8</v>
      </c>
      <c r="R47" s="39">
        <v>465.8</v>
      </c>
      <c r="S47" s="106">
        <f t="shared" si="38"/>
        <v>5612.6</v>
      </c>
      <c r="T47" s="178">
        <f t="shared" si="39"/>
        <v>6.5677045541848288E-3</v>
      </c>
      <c r="U47" s="259"/>
      <c r="V47" s="39">
        <v>2586</v>
      </c>
      <c r="W47" s="39">
        <v>71</v>
      </c>
      <c r="X47" s="106">
        <f t="shared" si="40"/>
        <v>2657</v>
      </c>
      <c r="Y47" s="178">
        <f t="shared" si="41"/>
        <v>9.2940068706492149E-4</v>
      </c>
      <c r="Z47" s="388" t="s">
        <v>632</v>
      </c>
      <c r="AA47" s="39">
        <v>1320</v>
      </c>
      <c r="AB47" s="39"/>
      <c r="AC47" s="106">
        <f t="shared" si="42"/>
        <v>1320</v>
      </c>
      <c r="AD47" s="178">
        <f t="shared" si="53"/>
        <v>7.4430371172669861E-4</v>
      </c>
      <c r="AE47" s="388"/>
      <c r="AF47" s="39">
        <v>451.85</v>
      </c>
      <c r="AG47" s="39"/>
      <c r="AH47" s="106">
        <f t="shared" si="43"/>
        <v>451.85</v>
      </c>
      <c r="AI47" s="178">
        <f t="shared" si="44"/>
        <v>7.1796012803637514E-4</v>
      </c>
      <c r="AJ47" s="388"/>
      <c r="AK47" s="39">
        <v>172</v>
      </c>
      <c r="AL47" s="39"/>
      <c r="AM47" s="106">
        <f t="shared" si="45"/>
        <v>172</v>
      </c>
      <c r="AN47" s="178">
        <f t="shared" si="46"/>
        <v>2.7329676224910153E-4</v>
      </c>
      <c r="AO47" s="388"/>
      <c r="AP47" s="39"/>
      <c r="AQ47" s="39"/>
      <c r="AR47" s="106">
        <f t="shared" si="47"/>
        <v>0</v>
      </c>
      <c r="AS47" s="178">
        <f t="shared" si="48"/>
        <v>0</v>
      </c>
      <c r="AT47" s="388"/>
      <c r="AU47" s="39">
        <f t="shared" si="49"/>
        <v>9676.65</v>
      </c>
      <c r="AV47" s="39">
        <f t="shared" si="50"/>
        <v>536.79999999999995</v>
      </c>
      <c r="AW47" s="106">
        <f t="shared" si="51"/>
        <v>10213.449999999999</v>
      </c>
      <c r="AX47" s="178">
        <f t="shared" si="33"/>
        <v>1.0815022745922942E-3</v>
      </c>
      <c r="AY47" s="79"/>
      <c r="AZ47" s="452">
        <v>9676.65</v>
      </c>
      <c r="BA47" s="452">
        <v>536.79999999999995</v>
      </c>
      <c r="BB47" s="446">
        <f t="shared" si="52"/>
        <v>10213.449999999999</v>
      </c>
      <c r="BC47" s="450" t="e">
        <f t="shared" si="34"/>
        <v>#DIV/0!</v>
      </c>
      <c r="BD47" s="842"/>
      <c r="BE47" s="842"/>
    </row>
    <row r="48" spans="1:57" ht="30.6" x14ac:dyDescent="0.25">
      <c r="A48" s="4015"/>
      <c r="B48" s="18" t="s">
        <v>15</v>
      </c>
      <c r="C48" s="113">
        <v>10000</v>
      </c>
      <c r="D48" s="119"/>
      <c r="E48" s="120">
        <f t="shared" si="35"/>
        <v>10000</v>
      </c>
      <c r="F48" s="178">
        <f t="shared" si="31"/>
        <v>1.061176987009392E-3</v>
      </c>
      <c r="G48" s="78">
        <v>1391.58</v>
      </c>
      <c r="H48" s="103">
        <v>112</v>
      </c>
      <c r="I48" s="41">
        <f t="shared" si="36"/>
        <v>1503.58</v>
      </c>
      <c r="J48" s="178">
        <f t="shared" si="25"/>
        <v>3.5084215364893615E-3</v>
      </c>
      <c r="K48" s="366" t="s">
        <v>372</v>
      </c>
      <c r="L48" s="39"/>
      <c r="M48" s="39"/>
      <c r="N48" s="106">
        <f t="shared" si="37"/>
        <v>0</v>
      </c>
      <c r="O48" s="178">
        <f t="shared" si="32"/>
        <v>0</v>
      </c>
      <c r="P48" s="79"/>
      <c r="Q48" s="39">
        <v>1261.98</v>
      </c>
      <c r="R48" s="39"/>
      <c r="S48" s="106">
        <f t="shared" si="38"/>
        <v>1261.98</v>
      </c>
      <c r="T48" s="178">
        <f t="shared" si="39"/>
        <v>1.4767330280601094E-3</v>
      </c>
      <c r="U48" s="259"/>
      <c r="V48" s="39"/>
      <c r="W48" s="39"/>
      <c r="X48" s="106">
        <f t="shared" si="40"/>
        <v>0</v>
      </c>
      <c r="Y48" s="178">
        <f t="shared" si="41"/>
        <v>0</v>
      </c>
      <c r="Z48" s="388"/>
      <c r="AA48" s="39"/>
      <c r="AB48" s="39"/>
      <c r="AC48" s="106">
        <f t="shared" si="42"/>
        <v>0</v>
      </c>
      <c r="AD48" s="178">
        <f t="shared" si="53"/>
        <v>0</v>
      </c>
      <c r="AE48" s="388"/>
      <c r="AF48" s="39">
        <v>1051.6500000000001</v>
      </c>
      <c r="AG48" s="39"/>
      <c r="AH48" s="106">
        <f t="shared" si="43"/>
        <v>1051.6500000000001</v>
      </c>
      <c r="AI48" s="178">
        <f t="shared" si="44"/>
        <v>1.6710031396469048E-3</v>
      </c>
      <c r="AJ48" s="388"/>
      <c r="AK48" s="39"/>
      <c r="AL48" s="39"/>
      <c r="AM48" s="106">
        <f t="shared" si="45"/>
        <v>0</v>
      </c>
      <c r="AN48" s="178">
        <f t="shared" si="46"/>
        <v>0</v>
      </c>
      <c r="AO48" s="388"/>
      <c r="AP48" s="39">
        <v>-1051.6500000000001</v>
      </c>
      <c r="AQ48" s="39"/>
      <c r="AR48" s="106">
        <f t="shared" si="47"/>
        <v>-1051.6500000000001</v>
      </c>
      <c r="AS48" s="178">
        <f t="shared" si="48"/>
        <v>-1.6710031396469048E-3</v>
      </c>
      <c r="AT48" s="388"/>
      <c r="AU48" s="39">
        <f t="shared" si="49"/>
        <v>2653.56</v>
      </c>
      <c r="AV48" s="39">
        <f t="shared" si="50"/>
        <v>112</v>
      </c>
      <c r="AW48" s="106">
        <f t="shared" si="51"/>
        <v>2765.56</v>
      </c>
      <c r="AX48" s="178">
        <f t="shared" si="33"/>
        <v>2.9284516304691025E-4</v>
      </c>
      <c r="AY48" s="79"/>
      <c r="AZ48" s="452">
        <f>1391.58+1261.98</f>
        <v>2653.56</v>
      </c>
      <c r="BA48" s="452">
        <v>112</v>
      </c>
      <c r="BB48" s="446">
        <f t="shared" si="52"/>
        <v>2765.56</v>
      </c>
      <c r="BC48" s="450" t="e">
        <f t="shared" si="34"/>
        <v>#DIV/0!</v>
      </c>
      <c r="BD48" s="842"/>
      <c r="BE48" s="842"/>
    </row>
    <row r="49" spans="1:57" s="2" customFormat="1" ht="14.4" thickBot="1" x14ac:dyDescent="0.3">
      <c r="A49" s="11"/>
      <c r="B49" s="35"/>
      <c r="C49" s="116"/>
      <c r="D49" s="121"/>
      <c r="E49" s="122"/>
      <c r="F49" s="182"/>
      <c r="G49" s="222"/>
      <c r="H49" s="223"/>
      <c r="I49" s="52"/>
      <c r="J49" s="203">
        <f t="shared" si="25"/>
        <v>0</v>
      </c>
      <c r="K49" s="273"/>
      <c r="L49" s="39"/>
      <c r="M49" s="39"/>
      <c r="N49" s="52"/>
      <c r="O49" s="178">
        <f t="shared" si="32"/>
        <v>0</v>
      </c>
      <c r="P49" s="52"/>
      <c r="Q49" s="39"/>
      <c r="R49" s="39"/>
      <c r="S49" s="52"/>
      <c r="T49" s="178">
        <f t="shared" si="39"/>
        <v>0</v>
      </c>
      <c r="U49" s="64"/>
      <c r="V49" s="39"/>
      <c r="W49" s="39"/>
      <c r="X49" s="52"/>
      <c r="Y49" s="178">
        <f t="shared" si="41"/>
        <v>0</v>
      </c>
      <c r="Z49" s="64"/>
      <c r="AA49" s="39"/>
      <c r="AB49" s="39"/>
      <c r="AC49" s="52"/>
      <c r="AD49" s="178">
        <f t="shared" si="53"/>
        <v>0</v>
      </c>
      <c r="AE49" s="64"/>
      <c r="AF49" s="39"/>
      <c r="AG49" s="39"/>
      <c r="AH49" s="52"/>
      <c r="AI49" s="178">
        <f t="shared" si="44"/>
        <v>0</v>
      </c>
      <c r="AJ49" s="64"/>
      <c r="AK49" s="39"/>
      <c r="AL49" s="39"/>
      <c r="AM49" s="52"/>
      <c r="AN49" s="178">
        <f t="shared" si="46"/>
        <v>0</v>
      </c>
      <c r="AO49" s="64"/>
      <c r="AP49" s="39"/>
      <c r="AQ49" s="39"/>
      <c r="AR49" s="52"/>
      <c r="AS49" s="178">
        <f t="shared" si="48"/>
        <v>0</v>
      </c>
      <c r="AT49" s="64"/>
      <c r="AU49" s="39"/>
      <c r="AV49" s="39"/>
      <c r="AW49" s="52"/>
      <c r="AX49" s="178">
        <f t="shared" si="33"/>
        <v>0</v>
      </c>
      <c r="AY49" s="52"/>
      <c r="AZ49" s="452"/>
      <c r="BA49" s="452"/>
      <c r="BB49" s="606"/>
      <c r="BC49" s="450" t="e">
        <f t="shared" si="34"/>
        <v>#DIV/0!</v>
      </c>
      <c r="BD49" s="842"/>
      <c r="BE49" s="842"/>
    </row>
    <row r="50" spans="1:57" s="2" customFormat="1" ht="14.4" thickBot="1" x14ac:dyDescent="0.3">
      <c r="A50" s="293"/>
      <c r="B50" s="17" t="s">
        <v>59</v>
      </c>
      <c r="C50" s="123"/>
      <c r="D50" s="123"/>
      <c r="E50" s="123">
        <f>SUM(E51:E52)</f>
        <v>0</v>
      </c>
      <c r="F50" s="170">
        <f>E50/$E$89</f>
        <v>0</v>
      </c>
      <c r="G50" s="123">
        <f>SUM(G51:G52)</f>
        <v>1758.8</v>
      </c>
      <c r="H50" s="123">
        <f>SUM(H51:H52)</f>
        <v>0</v>
      </c>
      <c r="I50" s="123">
        <f>SUM(I51:I52)</f>
        <v>1758.8</v>
      </c>
      <c r="J50" s="170">
        <f t="shared" si="25"/>
        <v>4.1039464467321259E-3</v>
      </c>
      <c r="K50" s="274"/>
      <c r="L50" s="123">
        <f>L52+L51</f>
        <v>0</v>
      </c>
      <c r="M50" s="123">
        <f>M52+M51</f>
        <v>0</v>
      </c>
      <c r="N50" s="123">
        <f>SUM(N51:N52)</f>
        <v>0</v>
      </c>
      <c r="O50" s="60"/>
      <c r="P50" s="60"/>
      <c r="Q50" s="123">
        <f>Q52+Q51</f>
        <v>0</v>
      </c>
      <c r="R50" s="123">
        <f>R52+R51</f>
        <v>0</v>
      </c>
      <c r="S50" s="123">
        <f>SUM(S51:S52)</f>
        <v>0</v>
      </c>
      <c r="T50" s="60"/>
      <c r="U50" s="409"/>
      <c r="V50" s="123">
        <f>V52+V51</f>
        <v>0</v>
      </c>
      <c r="W50" s="123">
        <f>W52+W51</f>
        <v>0</v>
      </c>
      <c r="X50" s="123">
        <f>SUM(X51:X52)</f>
        <v>0</v>
      </c>
      <c r="Y50" s="60"/>
      <c r="Z50" s="409"/>
      <c r="AA50" s="123">
        <f>AA52+AA51</f>
        <v>0</v>
      </c>
      <c r="AB50" s="123">
        <f>AB52+AB51</f>
        <v>0</v>
      </c>
      <c r="AC50" s="123">
        <f>SUM(AC51:AC52)</f>
        <v>0</v>
      </c>
      <c r="AD50" s="60"/>
      <c r="AE50" s="409"/>
      <c r="AF50" s="123">
        <f>AF52+AF51</f>
        <v>0</v>
      </c>
      <c r="AG50" s="123">
        <f>AG52+AG51</f>
        <v>0</v>
      </c>
      <c r="AH50" s="123">
        <f>SUM(AH51:AH52)</f>
        <v>0</v>
      </c>
      <c r="AI50" s="60">
        <f>AH50/$AH$89</f>
        <v>0</v>
      </c>
      <c r="AJ50" s="409"/>
      <c r="AK50" s="123">
        <f>AK52+AK51</f>
        <v>0</v>
      </c>
      <c r="AL50" s="123">
        <f>AL52+AL51</f>
        <v>0</v>
      </c>
      <c r="AM50" s="123">
        <f>SUM(AM51:AM52)</f>
        <v>0</v>
      </c>
      <c r="AN50" s="60">
        <f>AM50/$AH$89</f>
        <v>0</v>
      </c>
      <c r="AO50" s="409"/>
      <c r="AP50" s="123">
        <f>AP52+AP51</f>
        <v>0</v>
      </c>
      <c r="AQ50" s="123">
        <f>AQ52+AQ51</f>
        <v>0</v>
      </c>
      <c r="AR50" s="123">
        <f>SUM(AR51:AR52)</f>
        <v>0</v>
      </c>
      <c r="AS50" s="60">
        <f>AR50/$AH$89</f>
        <v>0</v>
      </c>
      <c r="AT50" s="409"/>
      <c r="AU50" s="123">
        <f>AU52+AU51</f>
        <v>1758.8</v>
      </c>
      <c r="AV50" s="123">
        <f>AV52+AV51</f>
        <v>0</v>
      </c>
      <c r="AW50" s="123">
        <f>SUM(AW51:AW52)</f>
        <v>1758.8</v>
      </c>
      <c r="AX50" s="60"/>
      <c r="AY50" s="60"/>
      <c r="AZ50" s="836">
        <f>AZ52+AZ51</f>
        <v>1758.8</v>
      </c>
      <c r="BA50" s="836">
        <f>BA52+BA51</f>
        <v>0</v>
      </c>
      <c r="BB50" s="836">
        <f>SUM(BB51:BB52)</f>
        <v>1758.8</v>
      </c>
      <c r="BC50" s="837" t="e">
        <v>#DIV/0!</v>
      </c>
      <c r="BD50" s="842"/>
      <c r="BE50" s="842"/>
    </row>
    <row r="51" spans="1:57" s="226" customFormat="1" ht="13.8" outlineLevel="1" x14ac:dyDescent="0.25">
      <c r="A51" s="234"/>
      <c r="B51" s="18" t="s">
        <v>60</v>
      </c>
      <c r="C51" s="113"/>
      <c r="D51" s="119"/>
      <c r="E51" s="119">
        <f>C51+D51</f>
        <v>0</v>
      </c>
      <c r="F51" s="180">
        <f>E51/$E$89</f>
        <v>0</v>
      </c>
      <c r="G51" s="45"/>
      <c r="H51" s="45"/>
      <c r="I51" s="41">
        <f>G51+H51*1</f>
        <v>0</v>
      </c>
      <c r="J51" s="178">
        <f t="shared" si="25"/>
        <v>0</v>
      </c>
      <c r="K51" s="265"/>
      <c r="L51" s="39"/>
      <c r="M51" s="39"/>
      <c r="N51" s="106">
        <f>L51+M51*1</f>
        <v>0</v>
      </c>
      <c r="O51" s="178">
        <f>N51/$N$89</f>
        <v>0</v>
      </c>
      <c r="P51" s="45"/>
      <c r="Q51" s="39"/>
      <c r="R51" s="39"/>
      <c r="S51" s="106">
        <f>Q51+R51*1</f>
        <v>0</v>
      </c>
      <c r="T51" s="178">
        <f t="shared" si="39"/>
        <v>0</v>
      </c>
      <c r="U51" s="405"/>
      <c r="V51" s="39"/>
      <c r="W51" s="39"/>
      <c r="X51" s="106">
        <f>V51+W51*1</f>
        <v>0</v>
      </c>
      <c r="Y51" s="178">
        <f>X51/$S$89</f>
        <v>0</v>
      </c>
      <c r="Z51" s="405"/>
      <c r="AA51" s="39"/>
      <c r="AB51" s="39"/>
      <c r="AC51" s="106">
        <f>AA51+AB51*1</f>
        <v>0</v>
      </c>
      <c r="AD51" s="178">
        <f t="shared" si="53"/>
        <v>0</v>
      </c>
      <c r="AE51" s="405"/>
      <c r="AF51" s="39"/>
      <c r="AG51" s="39"/>
      <c r="AH51" s="106">
        <f>AF51+AG51*1</f>
        <v>0</v>
      </c>
      <c r="AI51" s="178">
        <f t="shared" si="44"/>
        <v>0</v>
      </c>
      <c r="AJ51" s="405"/>
      <c r="AK51" s="39"/>
      <c r="AL51" s="39"/>
      <c r="AM51" s="106">
        <f>AK51+AL51*1</f>
        <v>0</v>
      </c>
      <c r="AN51" s="178">
        <f>AM51/$AH$89</f>
        <v>0</v>
      </c>
      <c r="AO51" s="405"/>
      <c r="AP51" s="39"/>
      <c r="AQ51" s="39"/>
      <c r="AR51" s="106">
        <f>AP51+AQ51*1</f>
        <v>0</v>
      </c>
      <c r="AS51" s="178">
        <f>AR51/$AH$89</f>
        <v>0</v>
      </c>
      <c r="AT51" s="405"/>
      <c r="AU51" s="39">
        <f>G51+L51+Q51+V51+AA51+AF51+AK51+AP51</f>
        <v>0</v>
      </c>
      <c r="AV51" s="39">
        <f>H51+M51+R51+W51+AB51+AG51+AL51+AQ51</f>
        <v>0</v>
      </c>
      <c r="AW51" s="106">
        <f>AU51+AV51*1</f>
        <v>0</v>
      </c>
      <c r="AX51" s="178">
        <f>AW51/$AW$89</f>
        <v>0</v>
      </c>
      <c r="AY51" s="45"/>
      <c r="AZ51" s="452"/>
      <c r="BA51" s="452"/>
      <c r="BB51" s="446">
        <f>AZ51+BA51*1</f>
        <v>0</v>
      </c>
      <c r="BC51" s="447" t="e">
        <f t="shared" si="34"/>
        <v>#DIV/0!</v>
      </c>
      <c r="BD51" s="842"/>
      <c r="BE51" s="842"/>
    </row>
    <row r="52" spans="1:57" s="235" customFormat="1" ht="13.8" outlineLevel="2" x14ac:dyDescent="0.25">
      <c r="A52" s="234"/>
      <c r="B52" s="18" t="s">
        <v>61</v>
      </c>
      <c r="C52" s="113"/>
      <c r="D52" s="119"/>
      <c r="E52" s="119">
        <f>C52+D52</f>
        <v>0</v>
      </c>
      <c r="F52" s="180">
        <f>E52/$E$89</f>
        <v>0</v>
      </c>
      <c r="G52" s="45">
        <v>1758.8</v>
      </c>
      <c r="H52" s="224"/>
      <c r="I52" s="41">
        <f>G52+H52*1</f>
        <v>1758.8</v>
      </c>
      <c r="J52" s="178">
        <f t="shared" si="25"/>
        <v>4.1039464467321259E-3</v>
      </c>
      <c r="K52" s="367" t="s">
        <v>366</v>
      </c>
      <c r="L52" s="39"/>
      <c r="M52" s="39"/>
      <c r="N52" s="106">
        <f>L52+M52*1</f>
        <v>0</v>
      </c>
      <c r="O52" s="178">
        <f>N52/$N$89</f>
        <v>0</v>
      </c>
      <c r="P52" s="45"/>
      <c r="Q52" s="39"/>
      <c r="R52" s="39"/>
      <c r="S52" s="106">
        <f>Q52+R52*1</f>
        <v>0</v>
      </c>
      <c r="T52" s="178">
        <f t="shared" si="39"/>
        <v>0</v>
      </c>
      <c r="U52" s="405"/>
      <c r="V52" s="39"/>
      <c r="W52" s="39"/>
      <c r="X52" s="106">
        <f>V52+W52*1</f>
        <v>0</v>
      </c>
      <c r="Y52" s="178">
        <f>X52/$S$89</f>
        <v>0</v>
      </c>
      <c r="Z52" s="405"/>
      <c r="AA52" s="39"/>
      <c r="AB52" s="39"/>
      <c r="AC52" s="106">
        <f>AA52+AB52*1</f>
        <v>0</v>
      </c>
      <c r="AD52" s="178">
        <f t="shared" si="53"/>
        <v>0</v>
      </c>
      <c r="AE52" s="405"/>
      <c r="AF52" s="39"/>
      <c r="AG52" s="39"/>
      <c r="AH52" s="106">
        <f>AF52+AG52*1</f>
        <v>0</v>
      </c>
      <c r="AI52" s="178">
        <f t="shared" si="44"/>
        <v>0</v>
      </c>
      <c r="AJ52" s="405"/>
      <c r="AK52" s="39"/>
      <c r="AL52" s="39"/>
      <c r="AM52" s="106">
        <f>AK52+AL52*1</f>
        <v>0</v>
      </c>
      <c r="AN52" s="178">
        <f>AM52/$AH$89</f>
        <v>0</v>
      </c>
      <c r="AO52" s="405"/>
      <c r="AP52" s="39"/>
      <c r="AQ52" s="39"/>
      <c r="AR52" s="106">
        <f>AP52+AQ52*1</f>
        <v>0</v>
      </c>
      <c r="AS52" s="178">
        <f>AR52/$AH$89</f>
        <v>0</v>
      </c>
      <c r="AT52" s="405"/>
      <c r="AU52" s="39">
        <f>G52+L52+Q52+V52+AA52+AF52+AK52+AP52</f>
        <v>1758.8</v>
      </c>
      <c r="AV52" s="39">
        <f>H52+M52+R52+W52+AB52+AG52+AL52+AQ52</f>
        <v>0</v>
      </c>
      <c r="AW52" s="106">
        <f>AU52+AV52*1</f>
        <v>1758.8</v>
      </c>
      <c r="AX52" s="178">
        <f>AW52/$AW$89</f>
        <v>1.8623934131492564E-4</v>
      </c>
      <c r="AY52" s="45"/>
      <c r="AZ52" s="452">
        <v>1758.8</v>
      </c>
      <c r="BA52" s="452"/>
      <c r="BB52" s="446">
        <f>AZ52+BA52*1</f>
        <v>1758.8</v>
      </c>
      <c r="BC52" s="450" t="e">
        <f t="shared" si="34"/>
        <v>#DIV/0!</v>
      </c>
      <c r="BD52" s="842"/>
      <c r="BE52" s="842"/>
    </row>
    <row r="53" spans="1:57" ht="14.4" outlineLevel="1" thickBot="1" x14ac:dyDescent="0.3">
      <c r="A53" s="20"/>
      <c r="B53" s="21"/>
      <c r="C53" s="124"/>
      <c r="D53" s="125"/>
      <c r="E53" s="126"/>
      <c r="F53" s="183"/>
      <c r="G53" s="81"/>
      <c r="H53" s="81"/>
      <c r="I53" s="81"/>
      <c r="J53" s="204">
        <f t="shared" si="25"/>
        <v>0</v>
      </c>
      <c r="K53" s="275"/>
      <c r="L53" s="39"/>
      <c r="M53" s="39"/>
      <c r="N53" s="61"/>
      <c r="O53" s="61"/>
      <c r="P53" s="61"/>
      <c r="Q53" s="39"/>
      <c r="R53" s="39"/>
      <c r="S53" s="61"/>
      <c r="T53" s="61"/>
      <c r="U53" s="61"/>
      <c r="V53" s="39"/>
      <c r="W53" s="39"/>
      <c r="X53" s="61"/>
      <c r="Y53" s="61"/>
      <c r="Z53" s="61"/>
      <c r="AA53" s="39"/>
      <c r="AB53" s="39"/>
      <c r="AC53" s="61"/>
      <c r="AD53" s="61"/>
      <c r="AE53" s="61"/>
      <c r="AF53" s="39"/>
      <c r="AG53" s="39"/>
      <c r="AH53" s="61"/>
      <c r="AI53" s="61"/>
      <c r="AJ53" s="61"/>
      <c r="AK53" s="39"/>
      <c r="AL53" s="39"/>
      <c r="AM53" s="61"/>
      <c r="AN53" s="61"/>
      <c r="AO53" s="61"/>
      <c r="AP53" s="39"/>
      <c r="AQ53" s="39"/>
      <c r="AR53" s="61"/>
      <c r="AS53" s="61"/>
      <c r="AT53" s="61"/>
      <c r="AU53" s="39"/>
      <c r="AV53" s="39"/>
      <c r="AW53" s="61"/>
      <c r="AX53" s="61"/>
      <c r="AY53" s="61"/>
      <c r="AZ53" s="452"/>
      <c r="BA53" s="452"/>
      <c r="BB53" s="668"/>
      <c r="BC53" s="668"/>
      <c r="BD53" s="842"/>
      <c r="BE53" s="842"/>
    </row>
    <row r="54" spans="1:57" ht="14.4" outlineLevel="1" thickBot="1" x14ac:dyDescent="0.3">
      <c r="A54" s="236"/>
      <c r="B54" s="17" t="s">
        <v>1</v>
      </c>
      <c r="C54" s="123">
        <f>SUM(C55:C71)</f>
        <v>65773</v>
      </c>
      <c r="D54" s="123">
        <f>SUM(D55:D71)</f>
        <v>124534.2</v>
      </c>
      <c r="E54" s="127">
        <f>SUM(E55:E71)</f>
        <v>190307.20000000001</v>
      </c>
      <c r="F54" s="170">
        <f t="shared" ref="F54:F73" si="54">E54/$E$89</f>
        <v>2.0194962110219379E-2</v>
      </c>
      <c r="G54" s="123">
        <f>SUM(G55:G71)</f>
        <v>16169.95</v>
      </c>
      <c r="H54" s="123">
        <f>SUM(H55:H71)</f>
        <v>21649.200000000001</v>
      </c>
      <c r="I54" s="127">
        <f>SUM(I55:I71)</f>
        <v>37819.15</v>
      </c>
      <c r="J54" s="170">
        <f t="shared" si="25"/>
        <v>8.8246398829275235E-2</v>
      </c>
      <c r="K54" s="274"/>
      <c r="L54" s="123">
        <f>SUM(L55:L72)</f>
        <v>8052</v>
      </c>
      <c r="M54" s="123">
        <f>SUM(M55:M72)</f>
        <v>12537.9</v>
      </c>
      <c r="N54" s="123">
        <f>SUM(N55:N72)</f>
        <v>20589.900000000001</v>
      </c>
      <c r="O54" s="169">
        <f t="shared" ref="O54:O72" si="55">N54/$N$89</f>
        <v>1.3699287939795156E-2</v>
      </c>
      <c r="P54" s="60"/>
      <c r="Q54" s="123">
        <f>SUM(Q55:Q72)</f>
        <v>10589.535</v>
      </c>
      <c r="R54" s="123">
        <f>SUM(R55:R72)</f>
        <v>13281</v>
      </c>
      <c r="S54" s="123">
        <f>SUM(S55:S72)</f>
        <v>23870.535</v>
      </c>
      <c r="T54" s="169">
        <f>S54/$S$89</f>
        <v>2.7932619718192699E-2</v>
      </c>
      <c r="U54" s="409"/>
      <c r="V54" s="123">
        <f>SUM(V55:V72)</f>
        <v>10535.35</v>
      </c>
      <c r="W54" s="123">
        <f>SUM(W55:W72)</f>
        <v>16693.45</v>
      </c>
      <c r="X54" s="123">
        <f>SUM(X55:X72)</f>
        <v>27228.800000000003</v>
      </c>
      <c r="Y54" s="169">
        <f>X54/$X$89</f>
        <v>9.5244506691581996E-3</v>
      </c>
      <c r="Z54" s="409"/>
      <c r="AA54" s="123">
        <f>SUM(AA55:AA72)</f>
        <v>14729.6</v>
      </c>
      <c r="AB54" s="123">
        <f>SUM(AB55:AB72)</f>
        <v>13302</v>
      </c>
      <c r="AC54" s="123">
        <f>SUM(AC55:AC72)</f>
        <v>28031.599999999999</v>
      </c>
      <c r="AD54" s="169">
        <f>AC54/$AC$89</f>
        <v>1.5806078731544035E-2</v>
      </c>
      <c r="AE54" s="409"/>
      <c r="AF54" s="123">
        <f>SUM(AF55:AF72)</f>
        <v>11544</v>
      </c>
      <c r="AG54" s="123">
        <f>SUM(AG55:AG72)</f>
        <v>11687</v>
      </c>
      <c r="AH54" s="123">
        <f>SUM(AH55:AH72)</f>
        <v>23231</v>
      </c>
      <c r="AI54" s="169">
        <f>AH54/$AH$89</f>
        <v>3.6912541184935331E-2</v>
      </c>
      <c r="AJ54" s="409"/>
      <c r="AK54" s="123">
        <f>SUM(AK55:AK72)</f>
        <v>0</v>
      </c>
      <c r="AL54" s="123">
        <f>SUM(AL55:AL72)</f>
        <v>0</v>
      </c>
      <c r="AM54" s="123">
        <f>SUM(AM55:AM72)</f>
        <v>0</v>
      </c>
      <c r="AN54" s="169">
        <f>AM54/$AH$89</f>
        <v>0</v>
      </c>
      <c r="AO54" s="409"/>
      <c r="AP54" s="123">
        <f>SUM(AP55:AP72)</f>
        <v>5017.5650000000023</v>
      </c>
      <c r="AQ54" s="123">
        <f>SUM(AQ55:AQ72)</f>
        <v>1641</v>
      </c>
      <c r="AR54" s="123">
        <f>SUM(AR55:AR72)</f>
        <v>6658.5650000000023</v>
      </c>
      <c r="AS54" s="169">
        <f>AR54/$AH$89</f>
        <v>1.0580024742588309E-2</v>
      </c>
      <c r="AT54" s="409"/>
      <c r="AU54" s="123">
        <f>SUM(AU55:AU72)</f>
        <v>76638</v>
      </c>
      <c r="AV54" s="123">
        <f>SUM(AV55:AV72)</f>
        <v>90791.55</v>
      </c>
      <c r="AW54" s="123">
        <f>SUM(AW55:AW72)</f>
        <v>167429.54999999999</v>
      </c>
      <c r="AX54" s="169">
        <f t="shared" ref="AX54:AX72" si="56">AW54/$AW$89</f>
        <v>1.7729115936237438E-2</v>
      </c>
      <c r="AY54" s="60"/>
      <c r="AZ54" s="836">
        <f>SUM(AZ55:AZ72)</f>
        <v>76638</v>
      </c>
      <c r="BA54" s="836">
        <f>SUM(BA55:BA72)</f>
        <v>90791.55</v>
      </c>
      <c r="BB54" s="836">
        <f>SUM(BB55:BB72)</f>
        <v>167429.54999999999</v>
      </c>
      <c r="BC54" s="838" t="e">
        <f t="shared" ref="BC54:BC71" si="57">BB54/$F$89</f>
        <v>#DIV/0!</v>
      </c>
      <c r="BD54" s="842"/>
      <c r="BE54" s="842"/>
    </row>
    <row r="55" spans="1:57" ht="13.95" customHeight="1" outlineLevel="2" x14ac:dyDescent="0.25">
      <c r="A55" s="237"/>
      <c r="B55" s="19" t="s">
        <v>77</v>
      </c>
      <c r="C55" s="113"/>
      <c r="D55" s="128"/>
      <c r="E55" s="120">
        <f t="shared" ref="E55:E71" si="58">C55+D55</f>
        <v>0</v>
      </c>
      <c r="F55" s="178">
        <f t="shared" si="54"/>
        <v>0</v>
      </c>
      <c r="G55" s="78"/>
      <c r="H55" s="161"/>
      <c r="I55" s="41">
        <f t="shared" ref="I55:I71" si="59">G55+H55*1</f>
        <v>0</v>
      </c>
      <c r="J55" s="178">
        <f t="shared" si="25"/>
        <v>0</v>
      </c>
      <c r="K55" s="291"/>
      <c r="L55" s="210"/>
      <c r="M55" s="210"/>
      <c r="N55" s="106">
        <f t="shared" ref="N55:N71" si="60">L55+M55*1</f>
        <v>0</v>
      </c>
      <c r="O55" s="178">
        <f t="shared" si="55"/>
        <v>0</v>
      </c>
      <c r="P55" s="79"/>
      <c r="Q55" s="210"/>
      <c r="R55" s="210"/>
      <c r="S55" s="106">
        <f t="shared" ref="S55:S71" si="61">Q55+R55*1</f>
        <v>0</v>
      </c>
      <c r="T55" s="178">
        <f t="shared" ref="T55:T72" si="62">S55/$S$89</f>
        <v>0</v>
      </c>
      <c r="U55" s="259"/>
      <c r="V55" s="210"/>
      <c r="W55" s="210"/>
      <c r="X55" s="106">
        <f t="shared" ref="X55:X71" si="63">V55+W55*1</f>
        <v>0</v>
      </c>
      <c r="Y55" s="178">
        <f t="shared" ref="Y55:Y72" si="64">X55/$X$89</f>
        <v>0</v>
      </c>
      <c r="Z55" s="259"/>
      <c r="AA55" s="210"/>
      <c r="AB55" s="210"/>
      <c r="AC55" s="106">
        <f t="shared" ref="AC55:AC71" si="65">AA55+AB55*1</f>
        <v>0</v>
      </c>
      <c r="AD55" s="178">
        <f t="shared" ref="AD55:AD72" si="66">AC55/$AC$89</f>
        <v>0</v>
      </c>
      <c r="AE55" s="259"/>
      <c r="AF55" s="210"/>
      <c r="AG55" s="210"/>
      <c r="AH55" s="106">
        <f t="shared" ref="AH55:AH71" si="67">AF55+AG55*1</f>
        <v>0</v>
      </c>
      <c r="AI55" s="178">
        <f t="shared" ref="AI55:AI72" si="68">AH55/$AH$89</f>
        <v>0</v>
      </c>
      <c r="AJ55" s="259"/>
      <c r="AK55" s="210"/>
      <c r="AL55" s="210"/>
      <c r="AM55" s="106">
        <f t="shared" ref="AM55:AM71" si="69">AK55+AL55*1</f>
        <v>0</v>
      </c>
      <c r="AN55" s="178">
        <f t="shared" ref="AN55:AN72" si="70">AM55/$AH$89</f>
        <v>0</v>
      </c>
      <c r="AO55" s="259"/>
      <c r="AP55" s="210"/>
      <c r="AQ55" s="210"/>
      <c r="AR55" s="106">
        <f t="shared" ref="AR55:AR71" si="71">AP55+AQ55*1</f>
        <v>0</v>
      </c>
      <c r="AS55" s="178">
        <f t="shared" ref="AS55:AS72" si="72">AR55/$AH$89</f>
        <v>0</v>
      </c>
      <c r="AT55" s="259"/>
      <c r="AU55" s="39">
        <f t="shared" ref="AU55:AU71" si="73">G55+L55+Q55+V55+AA55+AF55+AK55+AP55</f>
        <v>0</v>
      </c>
      <c r="AV55" s="39">
        <f t="shared" ref="AV55:AV71" si="74">H55+M55+R55+W55+AB55+AG55+AL55+AQ55</f>
        <v>0</v>
      </c>
      <c r="AW55" s="106">
        <f t="shared" ref="AW55:AW71" si="75">AU55+AV55*1</f>
        <v>0</v>
      </c>
      <c r="AX55" s="178">
        <f t="shared" si="56"/>
        <v>0</v>
      </c>
      <c r="AY55" s="79"/>
      <c r="AZ55" s="452"/>
      <c r="BA55" s="452"/>
      <c r="BB55" s="446">
        <f t="shared" ref="BB55:BB71" si="76">AZ55+BA55*1</f>
        <v>0</v>
      </c>
      <c r="BC55" s="447" t="e">
        <f t="shared" si="57"/>
        <v>#DIV/0!</v>
      </c>
      <c r="BD55" s="842"/>
      <c r="BE55" s="842"/>
    </row>
    <row r="56" spans="1:57" ht="13.95" customHeight="1" outlineLevel="2" x14ac:dyDescent="0.25">
      <c r="A56" s="237"/>
      <c r="B56" s="19" t="s">
        <v>76</v>
      </c>
      <c r="C56" s="113"/>
      <c r="D56" s="119"/>
      <c r="E56" s="120">
        <f t="shared" si="58"/>
        <v>0</v>
      </c>
      <c r="F56" s="178">
        <f t="shared" si="54"/>
        <v>0</v>
      </c>
      <c r="G56" s="163"/>
      <c r="H56" s="111"/>
      <c r="I56" s="41">
        <f t="shared" si="59"/>
        <v>0</v>
      </c>
      <c r="J56" s="178">
        <f t="shared" ref="J56:J74" si="77">I56/$I$89</f>
        <v>0</v>
      </c>
      <c r="K56" s="291"/>
      <c r="L56" s="210"/>
      <c r="M56" s="210"/>
      <c r="N56" s="106">
        <f t="shared" si="60"/>
        <v>0</v>
      </c>
      <c r="O56" s="178">
        <f t="shared" si="55"/>
        <v>0</v>
      </c>
      <c r="P56" s="79"/>
      <c r="Q56" s="210"/>
      <c r="R56" s="210"/>
      <c r="S56" s="106">
        <f t="shared" si="61"/>
        <v>0</v>
      </c>
      <c r="T56" s="178">
        <f t="shared" si="62"/>
        <v>0</v>
      </c>
      <c r="U56" s="259"/>
      <c r="V56" s="210"/>
      <c r="W56" s="210"/>
      <c r="X56" s="106">
        <f t="shared" si="63"/>
        <v>0</v>
      </c>
      <c r="Y56" s="178">
        <f t="shared" si="64"/>
        <v>0</v>
      </c>
      <c r="Z56" s="259"/>
      <c r="AA56" s="210"/>
      <c r="AB56" s="210"/>
      <c r="AC56" s="106">
        <f t="shared" si="65"/>
        <v>0</v>
      </c>
      <c r="AD56" s="178">
        <f t="shared" si="66"/>
        <v>0</v>
      </c>
      <c r="AE56" s="259"/>
      <c r="AF56" s="210"/>
      <c r="AG56" s="210"/>
      <c r="AH56" s="106">
        <f t="shared" si="67"/>
        <v>0</v>
      </c>
      <c r="AI56" s="178">
        <f t="shared" si="68"/>
        <v>0</v>
      </c>
      <c r="AJ56" s="259"/>
      <c r="AK56" s="210"/>
      <c r="AL56" s="210"/>
      <c r="AM56" s="106">
        <f t="shared" si="69"/>
        <v>0</v>
      </c>
      <c r="AN56" s="178">
        <f t="shared" si="70"/>
        <v>0</v>
      </c>
      <c r="AO56" s="259"/>
      <c r="AP56" s="210"/>
      <c r="AQ56" s="210"/>
      <c r="AR56" s="106">
        <f t="shared" si="71"/>
        <v>0</v>
      </c>
      <c r="AS56" s="178">
        <f t="shared" si="72"/>
        <v>0</v>
      </c>
      <c r="AT56" s="259"/>
      <c r="AU56" s="39">
        <f t="shared" si="73"/>
        <v>0</v>
      </c>
      <c r="AV56" s="39">
        <f t="shared" si="74"/>
        <v>0</v>
      </c>
      <c r="AW56" s="106">
        <f t="shared" si="75"/>
        <v>0</v>
      </c>
      <c r="AX56" s="178">
        <f t="shared" si="56"/>
        <v>0</v>
      </c>
      <c r="AY56" s="79"/>
      <c r="AZ56" s="452"/>
      <c r="BA56" s="452"/>
      <c r="BB56" s="446">
        <f t="shared" si="76"/>
        <v>0</v>
      </c>
      <c r="BC56" s="450" t="e">
        <f t="shared" si="57"/>
        <v>#DIV/0!</v>
      </c>
      <c r="BD56" s="842"/>
      <c r="BE56" s="842"/>
    </row>
    <row r="57" spans="1:57" ht="13.95" customHeight="1" outlineLevel="2" x14ac:dyDescent="0.25">
      <c r="A57" s="237"/>
      <c r="B57" s="19" t="s">
        <v>68</v>
      </c>
      <c r="C57" s="113"/>
      <c r="D57" s="119"/>
      <c r="E57" s="120">
        <f t="shared" si="58"/>
        <v>0</v>
      </c>
      <c r="F57" s="178">
        <f t="shared" si="54"/>
        <v>0</v>
      </c>
      <c r="G57" s="163"/>
      <c r="H57" s="111"/>
      <c r="I57" s="41">
        <f t="shared" si="59"/>
        <v>0</v>
      </c>
      <c r="J57" s="178">
        <f t="shared" si="77"/>
        <v>0</v>
      </c>
      <c r="K57" s="291"/>
      <c r="L57" s="210"/>
      <c r="M57" s="210"/>
      <c r="N57" s="106">
        <f t="shared" si="60"/>
        <v>0</v>
      </c>
      <c r="O57" s="178">
        <f t="shared" si="55"/>
        <v>0</v>
      </c>
      <c r="P57" s="79"/>
      <c r="Q57" s="210"/>
      <c r="R57" s="210"/>
      <c r="S57" s="106">
        <f t="shared" si="61"/>
        <v>0</v>
      </c>
      <c r="T57" s="178">
        <f t="shared" si="62"/>
        <v>0</v>
      </c>
      <c r="U57" s="259"/>
      <c r="V57" s="210"/>
      <c r="W57" s="210"/>
      <c r="X57" s="106">
        <f t="shared" si="63"/>
        <v>0</v>
      </c>
      <c r="Y57" s="178">
        <f t="shared" si="64"/>
        <v>0</v>
      </c>
      <c r="Z57" s="388"/>
      <c r="AA57" s="210"/>
      <c r="AB57" s="210"/>
      <c r="AC57" s="106">
        <f t="shared" si="65"/>
        <v>0</v>
      </c>
      <c r="AD57" s="178">
        <f t="shared" si="66"/>
        <v>0</v>
      </c>
      <c r="AE57" s="388"/>
      <c r="AF57" s="210"/>
      <c r="AG57" s="210"/>
      <c r="AH57" s="106">
        <f t="shared" si="67"/>
        <v>0</v>
      </c>
      <c r="AI57" s="178">
        <f t="shared" si="68"/>
        <v>0</v>
      </c>
      <c r="AJ57" s="388"/>
      <c r="AK57" s="210"/>
      <c r="AL57" s="210"/>
      <c r="AM57" s="106">
        <f t="shared" si="69"/>
        <v>0</v>
      </c>
      <c r="AN57" s="178">
        <f t="shared" si="70"/>
        <v>0</v>
      </c>
      <c r="AO57" s="388"/>
      <c r="AP57" s="210"/>
      <c r="AQ57" s="210"/>
      <c r="AR57" s="106">
        <f t="shared" si="71"/>
        <v>0</v>
      </c>
      <c r="AS57" s="178">
        <f t="shared" si="72"/>
        <v>0</v>
      </c>
      <c r="AT57" s="388"/>
      <c r="AU57" s="39">
        <f t="shared" si="73"/>
        <v>0</v>
      </c>
      <c r="AV57" s="39">
        <f t="shared" si="74"/>
        <v>0</v>
      </c>
      <c r="AW57" s="106">
        <f t="shared" si="75"/>
        <v>0</v>
      </c>
      <c r="AX57" s="178">
        <f t="shared" si="56"/>
        <v>0</v>
      </c>
      <c r="AY57" s="79"/>
      <c r="AZ57" s="452"/>
      <c r="BA57" s="452"/>
      <c r="BB57" s="446">
        <f t="shared" si="76"/>
        <v>0</v>
      </c>
      <c r="BC57" s="450" t="e">
        <f t="shared" si="57"/>
        <v>#DIV/0!</v>
      </c>
      <c r="BD57" s="842"/>
      <c r="BE57" s="842"/>
    </row>
    <row r="58" spans="1:57" ht="13.8" outlineLevel="2" x14ac:dyDescent="0.25">
      <c r="A58" s="237"/>
      <c r="B58" s="19" t="s">
        <v>67</v>
      </c>
      <c r="C58" s="113">
        <v>26565</v>
      </c>
      <c r="D58" s="119">
        <v>70075</v>
      </c>
      <c r="E58" s="120">
        <f t="shared" si="58"/>
        <v>96640</v>
      </c>
      <c r="F58" s="178">
        <f t="shared" si="54"/>
        <v>1.0255214402458765E-2</v>
      </c>
      <c r="G58" s="78">
        <v>5232.5</v>
      </c>
      <c r="H58" s="161">
        <v>11267.5</v>
      </c>
      <c r="I58" s="41">
        <f t="shared" si="59"/>
        <v>16500</v>
      </c>
      <c r="J58" s="178">
        <f t="shared" si="77"/>
        <v>3.8500748448419421E-2</v>
      </c>
      <c r="K58" s="291"/>
      <c r="L58" s="210">
        <v>5313</v>
      </c>
      <c r="M58" s="210">
        <v>12187</v>
      </c>
      <c r="N58" s="106">
        <f t="shared" si="60"/>
        <v>17500</v>
      </c>
      <c r="O58" s="178">
        <f t="shared" si="55"/>
        <v>1.1643453292459664E-2</v>
      </c>
      <c r="P58" s="79" t="s">
        <v>472</v>
      </c>
      <c r="Q58" s="210">
        <f>10626/2</f>
        <v>5313</v>
      </c>
      <c r="R58" s="210">
        <f>24374/2</f>
        <v>12187</v>
      </c>
      <c r="S58" s="106">
        <f t="shared" si="61"/>
        <v>17500</v>
      </c>
      <c r="T58" s="178">
        <f t="shared" si="62"/>
        <v>2.0478001229062199E-2</v>
      </c>
      <c r="U58" s="415" t="s">
        <v>472</v>
      </c>
      <c r="V58" s="210">
        <v>5313</v>
      </c>
      <c r="W58" s="210">
        <v>12187</v>
      </c>
      <c r="X58" s="106">
        <f t="shared" si="63"/>
        <v>17500</v>
      </c>
      <c r="Y58" s="178">
        <f t="shared" si="64"/>
        <v>6.1213820186812665E-3</v>
      </c>
      <c r="Z58" s="388" t="s">
        <v>637</v>
      </c>
      <c r="AA58" s="210">
        <f>10626/2</f>
        <v>5313</v>
      </c>
      <c r="AB58" s="210">
        <f>24374/2</f>
        <v>12187</v>
      </c>
      <c r="AC58" s="106">
        <f t="shared" si="65"/>
        <v>17500</v>
      </c>
      <c r="AD58" s="178">
        <f t="shared" si="66"/>
        <v>9.8676628448615342E-3</v>
      </c>
      <c r="AE58" s="388" t="s">
        <v>716</v>
      </c>
      <c r="AF58" s="210">
        <v>5313</v>
      </c>
      <c r="AG58" s="210">
        <v>11687</v>
      </c>
      <c r="AH58" s="106">
        <f t="shared" si="67"/>
        <v>17000</v>
      </c>
      <c r="AI58" s="178">
        <f t="shared" si="68"/>
        <v>2.7011889292062358E-2</v>
      </c>
      <c r="AJ58" s="388" t="s">
        <v>472</v>
      </c>
      <c r="AK58" s="210"/>
      <c r="AL58" s="210"/>
      <c r="AM58" s="106">
        <f t="shared" si="69"/>
        <v>0</v>
      </c>
      <c r="AN58" s="178">
        <f t="shared" si="70"/>
        <v>0</v>
      </c>
      <c r="AO58" s="388"/>
      <c r="AP58" s="210">
        <v>0.5</v>
      </c>
      <c r="AQ58" s="210">
        <v>0</v>
      </c>
      <c r="AR58" s="106">
        <f t="shared" si="71"/>
        <v>0.5</v>
      </c>
      <c r="AS58" s="178">
        <f t="shared" si="72"/>
        <v>7.9446733211948115E-7</v>
      </c>
      <c r="AT58" s="388"/>
      <c r="AU58" s="39">
        <f t="shared" si="73"/>
        <v>31798</v>
      </c>
      <c r="AV58" s="39">
        <f t="shared" si="74"/>
        <v>71702.5</v>
      </c>
      <c r="AW58" s="106">
        <f t="shared" si="75"/>
        <v>103500.5</v>
      </c>
      <c r="AX58" s="178">
        <f t="shared" si="56"/>
        <v>1.0959668493157529E-2</v>
      </c>
      <c r="AY58" s="79"/>
      <c r="AZ58" s="453">
        <f>5313+5233+5313+2922+7704+5313</f>
        <v>31798</v>
      </c>
      <c r="BA58" s="453">
        <f>11687+11268+12187+12187+12187+12186.5</f>
        <v>71702.5</v>
      </c>
      <c r="BB58" s="446">
        <f t="shared" si="76"/>
        <v>103500.5</v>
      </c>
      <c r="BC58" s="450" t="e">
        <f t="shared" si="57"/>
        <v>#DIV/0!</v>
      </c>
      <c r="BD58" s="842"/>
      <c r="BE58" s="842"/>
    </row>
    <row r="59" spans="1:57" ht="14.4" customHeight="1" outlineLevel="2" x14ac:dyDescent="0.25">
      <c r="A59" s="237"/>
      <c r="B59" s="19" t="s">
        <v>66</v>
      </c>
      <c r="C59" s="113">
        <v>7150</v>
      </c>
      <c r="D59" s="119">
        <v>0</v>
      </c>
      <c r="E59" s="120">
        <f t="shared" si="58"/>
        <v>7150</v>
      </c>
      <c r="F59" s="178">
        <f t="shared" si="54"/>
        <v>7.5874154571171524E-4</v>
      </c>
      <c r="G59" s="163">
        <v>1267.5</v>
      </c>
      <c r="H59" s="111"/>
      <c r="I59" s="41">
        <f t="shared" si="59"/>
        <v>1267.5</v>
      </c>
      <c r="J59" s="178">
        <f t="shared" si="77"/>
        <v>2.9575574944467643E-3</v>
      </c>
      <c r="K59" s="291"/>
      <c r="L59" s="210">
        <v>1287</v>
      </c>
      <c r="M59" s="210"/>
      <c r="N59" s="106">
        <f t="shared" si="60"/>
        <v>1287</v>
      </c>
      <c r="O59" s="178">
        <f t="shared" si="55"/>
        <v>8.5629282213689061E-4</v>
      </c>
      <c r="P59" s="79"/>
      <c r="Q59" s="210">
        <f>2904/2</f>
        <v>1452</v>
      </c>
      <c r="R59" s="210"/>
      <c r="S59" s="106">
        <f t="shared" si="61"/>
        <v>1452</v>
      </c>
      <c r="T59" s="178">
        <f t="shared" si="62"/>
        <v>1.6990890162627607E-3</v>
      </c>
      <c r="U59" s="259"/>
      <c r="V59" s="210">
        <v>1287</v>
      </c>
      <c r="W59" s="210"/>
      <c r="X59" s="106">
        <f t="shared" si="63"/>
        <v>1287</v>
      </c>
      <c r="Y59" s="178">
        <f t="shared" si="64"/>
        <v>4.5018392331673085E-4</v>
      </c>
      <c r="Z59" s="388"/>
      <c r="AA59" s="210">
        <f>2574/2</f>
        <v>1287</v>
      </c>
      <c r="AB59" s="210"/>
      <c r="AC59" s="106">
        <f t="shared" si="65"/>
        <v>1287</v>
      </c>
      <c r="AD59" s="178">
        <f t="shared" si="66"/>
        <v>7.2569611893353117E-4</v>
      </c>
      <c r="AE59" s="388"/>
      <c r="AF59" s="210">
        <v>1287</v>
      </c>
      <c r="AG59" s="210"/>
      <c r="AH59" s="106">
        <f t="shared" si="67"/>
        <v>1287</v>
      </c>
      <c r="AI59" s="178">
        <f t="shared" si="68"/>
        <v>2.0449589128755446E-3</v>
      </c>
      <c r="AJ59" s="388"/>
      <c r="AK59" s="210"/>
      <c r="AL59" s="210"/>
      <c r="AM59" s="106">
        <f t="shared" si="69"/>
        <v>0</v>
      </c>
      <c r="AN59" s="178">
        <f t="shared" si="70"/>
        <v>0</v>
      </c>
      <c r="AO59" s="388"/>
      <c r="AP59" s="210">
        <v>1122.5</v>
      </c>
      <c r="AQ59" s="210">
        <v>0</v>
      </c>
      <c r="AR59" s="106">
        <f t="shared" si="71"/>
        <v>1122.5</v>
      </c>
      <c r="AS59" s="178">
        <f t="shared" si="72"/>
        <v>1.7835791606082352E-3</v>
      </c>
      <c r="AT59" s="388"/>
      <c r="AU59" s="39">
        <f t="shared" si="73"/>
        <v>8990</v>
      </c>
      <c r="AV59" s="39">
        <f t="shared" si="74"/>
        <v>0</v>
      </c>
      <c r="AW59" s="106">
        <f t="shared" si="75"/>
        <v>8990</v>
      </c>
      <c r="AX59" s="178">
        <f t="shared" si="56"/>
        <v>9.5195114761267993E-4</v>
      </c>
      <c r="AY59" s="79"/>
      <c r="AZ59" s="452">
        <f>1287+1268+1287+2574+1287+1287</f>
        <v>8990</v>
      </c>
      <c r="BA59" s="453"/>
      <c r="BB59" s="446">
        <f t="shared" si="76"/>
        <v>8990</v>
      </c>
      <c r="BC59" s="450" t="e">
        <f t="shared" si="57"/>
        <v>#DIV/0!</v>
      </c>
      <c r="BD59" s="842"/>
      <c r="BE59" s="842"/>
    </row>
    <row r="60" spans="1:57" ht="14.4" customHeight="1" outlineLevel="2" x14ac:dyDescent="0.25">
      <c r="A60" s="237"/>
      <c r="B60" s="19" t="s">
        <v>65</v>
      </c>
      <c r="C60" s="113">
        <v>6338</v>
      </c>
      <c r="D60" s="119">
        <v>0</v>
      </c>
      <c r="E60" s="120">
        <f t="shared" si="58"/>
        <v>6338</v>
      </c>
      <c r="F60" s="178">
        <f t="shared" si="54"/>
        <v>6.725739743665526E-4</v>
      </c>
      <c r="G60" s="163">
        <v>1430</v>
      </c>
      <c r="H60" s="111"/>
      <c r="I60" s="41">
        <f t="shared" si="59"/>
        <v>1430</v>
      </c>
      <c r="J60" s="178">
        <f t="shared" si="77"/>
        <v>3.3367315321963498E-3</v>
      </c>
      <c r="K60" s="291"/>
      <c r="L60" s="210">
        <v>1452</v>
      </c>
      <c r="M60" s="210"/>
      <c r="N60" s="106">
        <f t="shared" si="60"/>
        <v>1452</v>
      </c>
      <c r="O60" s="178">
        <f t="shared" si="55"/>
        <v>9.6607395318008176E-4</v>
      </c>
      <c r="P60" s="79"/>
      <c r="Q60" s="210">
        <f>2574/2</f>
        <v>1287</v>
      </c>
      <c r="R60" s="210"/>
      <c r="S60" s="106">
        <f t="shared" si="61"/>
        <v>1287</v>
      </c>
      <c r="T60" s="178">
        <f t="shared" si="62"/>
        <v>1.5060107189601743E-3</v>
      </c>
      <c r="U60" s="259"/>
      <c r="V60" s="210">
        <v>1452</v>
      </c>
      <c r="W60" s="210"/>
      <c r="X60" s="106">
        <f t="shared" si="63"/>
        <v>1452</v>
      </c>
      <c r="Y60" s="178">
        <f t="shared" si="64"/>
        <v>5.0789981092143994E-4</v>
      </c>
      <c r="Z60" s="388"/>
      <c r="AA60" s="210">
        <f>2904/2</f>
        <v>1452</v>
      </c>
      <c r="AB60" s="210"/>
      <c r="AC60" s="106">
        <f t="shared" si="65"/>
        <v>1452</v>
      </c>
      <c r="AD60" s="178">
        <f t="shared" si="66"/>
        <v>8.1873408289936847E-4</v>
      </c>
      <c r="AE60" s="388"/>
      <c r="AF60" s="210">
        <v>1452</v>
      </c>
      <c r="AG60" s="210"/>
      <c r="AH60" s="106">
        <f t="shared" si="67"/>
        <v>1452</v>
      </c>
      <c r="AI60" s="178">
        <f t="shared" si="68"/>
        <v>2.3071331324749731E-3</v>
      </c>
      <c r="AJ60" s="388"/>
      <c r="AK60" s="210"/>
      <c r="AL60" s="210"/>
      <c r="AM60" s="106">
        <f t="shared" si="69"/>
        <v>0</v>
      </c>
      <c r="AN60" s="178">
        <f t="shared" si="70"/>
        <v>0</v>
      </c>
      <c r="AO60" s="388"/>
      <c r="AP60" s="210">
        <v>1617</v>
      </c>
      <c r="AQ60" s="210">
        <v>0</v>
      </c>
      <c r="AR60" s="106">
        <f t="shared" si="71"/>
        <v>1617</v>
      </c>
      <c r="AS60" s="178">
        <f t="shared" si="72"/>
        <v>2.569307352074402E-3</v>
      </c>
      <c r="AT60" s="388"/>
      <c r="AU60" s="39">
        <f t="shared" si="73"/>
        <v>10142</v>
      </c>
      <c r="AV60" s="39">
        <f t="shared" si="74"/>
        <v>0</v>
      </c>
      <c r="AW60" s="106">
        <f t="shared" si="75"/>
        <v>10142</v>
      </c>
      <c r="AX60" s="178">
        <f t="shared" si="56"/>
        <v>1.073936433713882E-3</v>
      </c>
      <c r="AY60" s="79"/>
      <c r="AZ60" s="452">
        <f>1452+1430+1452+2904+1452+1452</f>
        <v>10142</v>
      </c>
      <c r="BA60" s="453"/>
      <c r="BB60" s="446">
        <f t="shared" si="76"/>
        <v>10142</v>
      </c>
      <c r="BC60" s="450" t="e">
        <f t="shared" si="57"/>
        <v>#DIV/0!</v>
      </c>
      <c r="BD60" s="842"/>
      <c r="BE60" s="842"/>
    </row>
    <row r="61" spans="1:57" ht="13.95" customHeight="1" outlineLevel="2" x14ac:dyDescent="0.25">
      <c r="A61" s="237"/>
      <c r="B61" s="19" t="s">
        <v>32</v>
      </c>
      <c r="C61" s="113"/>
      <c r="D61" s="119"/>
      <c r="E61" s="120">
        <f t="shared" si="58"/>
        <v>0</v>
      </c>
      <c r="F61" s="178">
        <f t="shared" si="54"/>
        <v>0</v>
      </c>
      <c r="G61" s="78"/>
      <c r="H61" s="161"/>
      <c r="I61" s="41">
        <f t="shared" si="59"/>
        <v>0</v>
      </c>
      <c r="J61" s="178">
        <f t="shared" si="77"/>
        <v>0</v>
      </c>
      <c r="K61" s="291"/>
      <c r="L61" s="210"/>
      <c r="M61" s="210"/>
      <c r="N61" s="106">
        <f t="shared" si="60"/>
        <v>0</v>
      </c>
      <c r="O61" s="178">
        <f t="shared" si="55"/>
        <v>0</v>
      </c>
      <c r="P61" s="79"/>
      <c r="Q61" s="210"/>
      <c r="R61" s="210"/>
      <c r="S61" s="106">
        <f t="shared" si="61"/>
        <v>0</v>
      </c>
      <c r="T61" s="178">
        <f t="shared" si="62"/>
        <v>0</v>
      </c>
      <c r="U61" s="259"/>
      <c r="V61" s="210"/>
      <c r="W61" s="210"/>
      <c r="X61" s="106">
        <f t="shared" si="63"/>
        <v>0</v>
      </c>
      <c r="Y61" s="178">
        <f t="shared" si="64"/>
        <v>0</v>
      </c>
      <c r="Z61" s="388"/>
      <c r="AA61" s="210"/>
      <c r="AB61" s="210"/>
      <c r="AC61" s="106">
        <f t="shared" si="65"/>
        <v>0</v>
      </c>
      <c r="AD61" s="178">
        <f t="shared" si="66"/>
        <v>0</v>
      </c>
      <c r="AE61" s="388"/>
      <c r="AF61" s="210"/>
      <c r="AG61" s="210"/>
      <c r="AH61" s="106">
        <f t="shared" si="67"/>
        <v>0</v>
      </c>
      <c r="AI61" s="178">
        <f t="shared" si="68"/>
        <v>0</v>
      </c>
      <c r="AJ61" s="388"/>
      <c r="AK61" s="210"/>
      <c r="AL61" s="210"/>
      <c r="AM61" s="106">
        <f t="shared" si="69"/>
        <v>0</v>
      </c>
      <c r="AN61" s="178">
        <f t="shared" si="70"/>
        <v>0</v>
      </c>
      <c r="AO61" s="388"/>
      <c r="AP61" s="210">
        <v>0</v>
      </c>
      <c r="AQ61" s="210">
        <v>0</v>
      </c>
      <c r="AR61" s="106">
        <f t="shared" si="71"/>
        <v>0</v>
      </c>
      <c r="AS61" s="178">
        <f t="shared" si="72"/>
        <v>0</v>
      </c>
      <c r="AT61" s="388"/>
      <c r="AU61" s="39">
        <f t="shared" si="73"/>
        <v>0</v>
      </c>
      <c r="AV61" s="39">
        <f t="shared" si="74"/>
        <v>0</v>
      </c>
      <c r="AW61" s="106">
        <f t="shared" si="75"/>
        <v>0</v>
      </c>
      <c r="AX61" s="178">
        <f t="shared" si="56"/>
        <v>0</v>
      </c>
      <c r="AY61" s="79"/>
      <c r="AZ61" s="453"/>
      <c r="BA61" s="453"/>
      <c r="BB61" s="446">
        <f t="shared" si="76"/>
        <v>0</v>
      </c>
      <c r="BC61" s="450" t="e">
        <f t="shared" si="57"/>
        <v>#DIV/0!</v>
      </c>
      <c r="BD61" s="842"/>
      <c r="BE61" s="842"/>
    </row>
    <row r="62" spans="1:57" ht="30.6" customHeight="1" outlineLevel="2" x14ac:dyDescent="0.25">
      <c r="A62" s="237"/>
      <c r="B62" s="19" t="s">
        <v>33</v>
      </c>
      <c r="C62" s="113">
        <v>800</v>
      </c>
      <c r="D62" s="119"/>
      <c r="E62" s="120">
        <f t="shared" si="58"/>
        <v>800</v>
      </c>
      <c r="F62" s="178">
        <f t="shared" si="54"/>
        <v>8.4894158960751359E-5</v>
      </c>
      <c r="G62" s="78"/>
      <c r="H62" s="161"/>
      <c r="I62" s="41">
        <f t="shared" si="59"/>
        <v>0</v>
      </c>
      <c r="J62" s="178">
        <f t="shared" si="77"/>
        <v>0</v>
      </c>
      <c r="K62" s="291"/>
      <c r="L62" s="210"/>
      <c r="M62" s="210"/>
      <c r="N62" s="106">
        <f t="shared" si="60"/>
        <v>0</v>
      </c>
      <c r="O62" s="178">
        <f t="shared" si="55"/>
        <v>0</v>
      </c>
      <c r="P62" s="79"/>
      <c r="Q62" s="210"/>
      <c r="R62" s="210"/>
      <c r="S62" s="106">
        <f t="shared" si="61"/>
        <v>0</v>
      </c>
      <c r="T62" s="178">
        <f t="shared" si="62"/>
        <v>0</v>
      </c>
      <c r="U62" s="259"/>
      <c r="V62" s="210"/>
      <c r="W62" s="210"/>
      <c r="X62" s="106">
        <f t="shared" si="63"/>
        <v>0</v>
      </c>
      <c r="Y62" s="178">
        <f t="shared" si="64"/>
        <v>0</v>
      </c>
      <c r="Z62" s="388"/>
      <c r="AA62" s="210"/>
      <c r="AB62" s="210"/>
      <c r="AC62" s="106">
        <f t="shared" si="65"/>
        <v>0</v>
      </c>
      <c r="AD62" s="178">
        <f t="shared" si="66"/>
        <v>0</v>
      </c>
      <c r="AE62" s="388"/>
      <c r="AF62" s="210"/>
      <c r="AG62" s="210"/>
      <c r="AH62" s="106">
        <f t="shared" si="67"/>
        <v>0</v>
      </c>
      <c r="AI62" s="178">
        <f t="shared" si="68"/>
        <v>0</v>
      </c>
      <c r="AJ62" s="388"/>
      <c r="AK62" s="210"/>
      <c r="AL62" s="210"/>
      <c r="AM62" s="106">
        <f t="shared" si="69"/>
        <v>0</v>
      </c>
      <c r="AN62" s="178">
        <f t="shared" si="70"/>
        <v>0</v>
      </c>
      <c r="AO62" s="388"/>
      <c r="AP62" s="210">
        <v>0</v>
      </c>
      <c r="AQ62" s="210">
        <v>0</v>
      </c>
      <c r="AR62" s="106">
        <f t="shared" si="71"/>
        <v>0</v>
      </c>
      <c r="AS62" s="178">
        <f t="shared" si="72"/>
        <v>0</v>
      </c>
      <c r="AT62" s="388"/>
      <c r="AU62" s="39">
        <f t="shared" si="73"/>
        <v>0</v>
      </c>
      <c r="AV62" s="39">
        <f t="shared" si="74"/>
        <v>0</v>
      </c>
      <c r="AW62" s="106">
        <f t="shared" si="75"/>
        <v>0</v>
      </c>
      <c r="AX62" s="178">
        <f t="shared" si="56"/>
        <v>0</v>
      </c>
      <c r="AY62" s="79"/>
      <c r="AZ62" s="453"/>
      <c r="BA62" s="453"/>
      <c r="BB62" s="446">
        <f t="shared" si="76"/>
        <v>0</v>
      </c>
      <c r="BC62" s="450" t="e">
        <f t="shared" si="57"/>
        <v>#DIV/0!</v>
      </c>
      <c r="BD62" s="842"/>
      <c r="BE62" s="842"/>
    </row>
    <row r="63" spans="1:57" ht="52.2" customHeight="1" outlineLevel="2" x14ac:dyDescent="0.25">
      <c r="A63" s="237"/>
      <c r="B63" s="615" t="s">
        <v>35</v>
      </c>
      <c r="C63" s="113">
        <v>15120</v>
      </c>
      <c r="D63" s="119"/>
      <c r="E63" s="120">
        <f t="shared" si="58"/>
        <v>15120</v>
      </c>
      <c r="F63" s="178">
        <f t="shared" si="54"/>
        <v>1.6044996043582008E-3</v>
      </c>
      <c r="G63" s="78">
        <v>1839.95</v>
      </c>
      <c r="H63" s="161"/>
      <c r="I63" s="41">
        <f t="shared" si="59"/>
        <v>1839.95</v>
      </c>
      <c r="J63" s="178">
        <f t="shared" si="77"/>
        <v>4.293300127737534E-3</v>
      </c>
      <c r="K63" s="366" t="s">
        <v>370</v>
      </c>
      <c r="L63" s="210"/>
      <c r="M63" s="210"/>
      <c r="N63" s="106">
        <f t="shared" si="60"/>
        <v>0</v>
      </c>
      <c r="O63" s="178">
        <f t="shared" si="55"/>
        <v>0</v>
      </c>
      <c r="P63" s="79"/>
      <c r="Q63" s="210">
        <f>5075.07/2</f>
        <v>2537.5349999999999</v>
      </c>
      <c r="R63" s="210"/>
      <c r="S63" s="106">
        <f t="shared" si="61"/>
        <v>2537.5349999999999</v>
      </c>
      <c r="T63" s="178">
        <f t="shared" si="62"/>
        <v>2.9693511342164768E-3</v>
      </c>
      <c r="U63" s="415" t="s">
        <v>580</v>
      </c>
      <c r="V63" s="210">
        <v>2483.35</v>
      </c>
      <c r="W63" s="210">
        <v>599.79999999999995</v>
      </c>
      <c r="X63" s="106">
        <f t="shared" si="63"/>
        <v>3083.1499999999996</v>
      </c>
      <c r="Y63" s="178">
        <f t="shared" si="64"/>
        <v>1.0784650840512653E-3</v>
      </c>
      <c r="Z63" s="388" t="s">
        <v>628</v>
      </c>
      <c r="AA63" s="210">
        <f>12955.2/2</f>
        <v>6477.6</v>
      </c>
      <c r="AB63" s="210">
        <f>1035+80</f>
        <v>1115</v>
      </c>
      <c r="AC63" s="106">
        <f t="shared" si="65"/>
        <v>7592.6</v>
      </c>
      <c r="AD63" s="178">
        <f t="shared" si="66"/>
        <v>4.2812123951940393E-3</v>
      </c>
      <c r="AE63" s="388" t="s">
        <v>731</v>
      </c>
      <c r="AF63" s="210">
        <v>3492</v>
      </c>
      <c r="AG63" s="210"/>
      <c r="AH63" s="106">
        <f t="shared" si="67"/>
        <v>3492</v>
      </c>
      <c r="AI63" s="178">
        <f t="shared" si="68"/>
        <v>5.5485598475224565E-3</v>
      </c>
      <c r="AJ63" s="388" t="s">
        <v>778</v>
      </c>
      <c r="AK63" s="210"/>
      <c r="AL63" s="210"/>
      <c r="AM63" s="106">
        <f t="shared" si="69"/>
        <v>0</v>
      </c>
      <c r="AN63" s="178">
        <f t="shared" si="70"/>
        <v>0</v>
      </c>
      <c r="AO63" s="388"/>
      <c r="AP63" s="210">
        <v>777.56500000000233</v>
      </c>
      <c r="AQ63" s="210">
        <v>4472</v>
      </c>
      <c r="AR63" s="106">
        <f t="shared" si="71"/>
        <v>5249.5650000000023</v>
      </c>
      <c r="AS63" s="178">
        <f t="shared" si="72"/>
        <v>8.3412158006756117E-3</v>
      </c>
      <c r="AT63" s="388"/>
      <c r="AU63" s="39">
        <f t="shared" si="73"/>
        <v>17608</v>
      </c>
      <c r="AV63" s="39">
        <f t="shared" si="74"/>
        <v>6186.8</v>
      </c>
      <c r="AW63" s="106">
        <f t="shared" si="75"/>
        <v>23794.799999999999</v>
      </c>
      <c r="AX63" s="178">
        <f t="shared" si="56"/>
        <v>2.5196314980216014E-3</v>
      </c>
      <c r="AY63" s="79"/>
      <c r="AZ63" s="452">
        <f>17608</f>
        <v>17608</v>
      </c>
      <c r="BA63" s="453">
        <f>599.8+80+867+1094+865+872+1035+774</f>
        <v>6186.8</v>
      </c>
      <c r="BB63" s="446">
        <f t="shared" si="76"/>
        <v>23794.799999999999</v>
      </c>
      <c r="BC63" s="450" t="e">
        <f t="shared" si="57"/>
        <v>#DIV/0!</v>
      </c>
      <c r="BD63" s="842"/>
      <c r="BE63" s="842"/>
    </row>
    <row r="64" spans="1:57" ht="31.2" customHeight="1" outlineLevel="2" x14ac:dyDescent="0.25">
      <c r="A64" s="237"/>
      <c r="B64" s="615" t="s">
        <v>63</v>
      </c>
      <c r="C64" s="113"/>
      <c r="D64" s="119"/>
      <c r="E64" s="120">
        <f t="shared" si="58"/>
        <v>0</v>
      </c>
      <c r="F64" s="178">
        <f t="shared" si="54"/>
        <v>0</v>
      </c>
      <c r="G64" s="78"/>
      <c r="H64" s="161"/>
      <c r="I64" s="41">
        <f t="shared" si="59"/>
        <v>0</v>
      </c>
      <c r="J64" s="178">
        <f t="shared" si="77"/>
        <v>0</v>
      </c>
      <c r="K64" s="291"/>
      <c r="L64" s="210"/>
      <c r="M64" s="210"/>
      <c r="N64" s="106">
        <f t="shared" si="60"/>
        <v>0</v>
      </c>
      <c r="O64" s="178">
        <f t="shared" si="55"/>
        <v>0</v>
      </c>
      <c r="P64" s="79"/>
      <c r="Q64" s="210"/>
      <c r="R64" s="210"/>
      <c r="S64" s="106">
        <f t="shared" si="61"/>
        <v>0</v>
      </c>
      <c r="T64" s="178">
        <f t="shared" si="62"/>
        <v>0</v>
      </c>
      <c r="U64" s="259"/>
      <c r="V64" s="210"/>
      <c r="W64" s="210"/>
      <c r="X64" s="106">
        <f t="shared" si="63"/>
        <v>0</v>
      </c>
      <c r="Y64" s="178">
        <f t="shared" si="64"/>
        <v>0</v>
      </c>
      <c r="Z64" s="388"/>
      <c r="AA64" s="210"/>
      <c r="AB64" s="210"/>
      <c r="AC64" s="106">
        <f t="shared" si="65"/>
        <v>0</v>
      </c>
      <c r="AD64" s="178">
        <f t="shared" si="66"/>
        <v>0</v>
      </c>
      <c r="AE64" s="388"/>
      <c r="AF64" s="210"/>
      <c r="AG64" s="210"/>
      <c r="AH64" s="106">
        <f t="shared" si="67"/>
        <v>0</v>
      </c>
      <c r="AI64" s="178">
        <f t="shared" si="68"/>
        <v>0</v>
      </c>
      <c r="AJ64" s="388"/>
      <c r="AK64" s="210"/>
      <c r="AL64" s="210"/>
      <c r="AM64" s="106">
        <f t="shared" si="69"/>
        <v>0</v>
      </c>
      <c r="AN64" s="178">
        <f t="shared" si="70"/>
        <v>0</v>
      </c>
      <c r="AO64" s="388"/>
      <c r="AP64" s="210"/>
      <c r="AQ64" s="210"/>
      <c r="AR64" s="106">
        <f t="shared" si="71"/>
        <v>0</v>
      </c>
      <c r="AS64" s="178">
        <f t="shared" si="72"/>
        <v>0</v>
      </c>
      <c r="AT64" s="388"/>
      <c r="AU64" s="39">
        <f t="shared" si="73"/>
        <v>0</v>
      </c>
      <c r="AV64" s="39">
        <f t="shared" si="74"/>
        <v>0</v>
      </c>
      <c r="AW64" s="106">
        <f t="shared" si="75"/>
        <v>0</v>
      </c>
      <c r="AX64" s="178">
        <f t="shared" si="56"/>
        <v>0</v>
      </c>
      <c r="AY64" s="79"/>
      <c r="AZ64" s="453"/>
      <c r="BA64" s="453"/>
      <c r="BB64" s="446">
        <f t="shared" si="76"/>
        <v>0</v>
      </c>
      <c r="BC64" s="450" t="e">
        <f t="shared" si="57"/>
        <v>#DIV/0!</v>
      </c>
      <c r="BD64" s="842"/>
      <c r="BE64" s="842"/>
    </row>
    <row r="65" spans="1:57" ht="40.200000000000003" customHeight="1" outlineLevel="2" x14ac:dyDescent="0.25">
      <c r="A65" s="237"/>
      <c r="B65" s="615" t="s">
        <v>36</v>
      </c>
      <c r="C65" s="113"/>
      <c r="D65" s="119"/>
      <c r="E65" s="120">
        <f t="shared" si="58"/>
        <v>0</v>
      </c>
      <c r="F65" s="178">
        <f t="shared" si="54"/>
        <v>0</v>
      </c>
      <c r="G65" s="78"/>
      <c r="H65" s="161"/>
      <c r="I65" s="41">
        <f t="shared" si="59"/>
        <v>0</v>
      </c>
      <c r="J65" s="342">
        <f t="shared" si="77"/>
        <v>0</v>
      </c>
      <c r="K65" s="291"/>
      <c r="L65" s="39"/>
      <c r="M65" s="39"/>
      <c r="N65" s="106">
        <f t="shared" si="60"/>
        <v>0</v>
      </c>
      <c r="O65" s="178">
        <f>N65/$N$89</f>
        <v>0</v>
      </c>
      <c r="P65" s="79"/>
      <c r="Q65" s="39"/>
      <c r="R65" s="39">
        <v>1094</v>
      </c>
      <c r="S65" s="106">
        <f t="shared" si="61"/>
        <v>1094</v>
      </c>
      <c r="T65" s="178">
        <f t="shared" si="62"/>
        <v>1.2801676196910884E-3</v>
      </c>
      <c r="U65" s="439" t="s">
        <v>578</v>
      </c>
      <c r="V65" s="39"/>
      <c r="W65" s="39">
        <v>1737</v>
      </c>
      <c r="X65" s="106">
        <f t="shared" si="63"/>
        <v>1737</v>
      </c>
      <c r="Y65" s="178">
        <f t="shared" si="64"/>
        <v>6.0759088951139204E-4</v>
      </c>
      <c r="Z65" s="388" t="s">
        <v>626</v>
      </c>
      <c r="AA65" s="39">
        <v>200</v>
      </c>
      <c r="AB65" s="39"/>
      <c r="AC65" s="106">
        <f t="shared" si="65"/>
        <v>200</v>
      </c>
      <c r="AD65" s="178">
        <f t="shared" si="66"/>
        <v>1.127732896555604E-4</v>
      </c>
      <c r="AE65" s="388" t="s">
        <v>730</v>
      </c>
      <c r="AF65" s="39"/>
      <c r="AG65" s="39"/>
      <c r="AH65" s="106">
        <f t="shared" si="67"/>
        <v>0</v>
      </c>
      <c r="AI65" s="178">
        <f t="shared" si="68"/>
        <v>0</v>
      </c>
      <c r="AJ65" s="388"/>
      <c r="AK65" s="39"/>
      <c r="AL65" s="39"/>
      <c r="AM65" s="106">
        <f t="shared" si="69"/>
        <v>0</v>
      </c>
      <c r="AN65" s="178">
        <f t="shared" si="70"/>
        <v>0</v>
      </c>
      <c r="AO65" s="388"/>
      <c r="AP65" s="39">
        <v>800</v>
      </c>
      <c r="AQ65" s="39">
        <v>-2831</v>
      </c>
      <c r="AR65" s="106">
        <f t="shared" si="71"/>
        <v>-2031</v>
      </c>
      <c r="AS65" s="178">
        <f t="shared" si="72"/>
        <v>-3.2271263030693325E-3</v>
      </c>
      <c r="AT65" s="388"/>
      <c r="AU65" s="39">
        <f t="shared" si="73"/>
        <v>1000</v>
      </c>
      <c r="AV65" s="39">
        <f t="shared" si="74"/>
        <v>0</v>
      </c>
      <c r="AW65" s="106">
        <f t="shared" si="75"/>
        <v>1000</v>
      </c>
      <c r="AX65" s="178">
        <f t="shared" si="56"/>
        <v>1.0589000529618242E-4</v>
      </c>
      <c r="AY65" s="79"/>
      <c r="AZ65" s="452">
        <f>400+400+200</f>
        <v>1000</v>
      </c>
      <c r="BA65" s="452"/>
      <c r="BB65" s="446">
        <f t="shared" si="76"/>
        <v>1000</v>
      </c>
      <c r="BC65" s="450" t="e">
        <f t="shared" si="57"/>
        <v>#DIV/0!</v>
      </c>
      <c r="BD65" s="842"/>
      <c r="BE65" s="842"/>
    </row>
    <row r="66" spans="1:57" s="2" customFormat="1" ht="13.95" customHeight="1" outlineLevel="2" x14ac:dyDescent="0.25">
      <c r="A66" s="237"/>
      <c r="B66" s="615" t="s">
        <v>37</v>
      </c>
      <c r="C66" s="113"/>
      <c r="D66" s="119"/>
      <c r="E66" s="120">
        <f t="shared" si="58"/>
        <v>0</v>
      </c>
      <c r="F66" s="178">
        <f t="shared" si="54"/>
        <v>0</v>
      </c>
      <c r="G66" s="78"/>
      <c r="H66" s="161"/>
      <c r="I66" s="41">
        <f t="shared" si="59"/>
        <v>0</v>
      </c>
      <c r="J66" s="178">
        <f t="shared" si="77"/>
        <v>0</v>
      </c>
      <c r="K66" s="291"/>
      <c r="L66" s="39"/>
      <c r="M66" s="39"/>
      <c r="N66" s="106">
        <f t="shared" si="60"/>
        <v>0</v>
      </c>
      <c r="O66" s="178">
        <f t="shared" si="55"/>
        <v>0</v>
      </c>
      <c r="P66" s="79"/>
      <c r="Q66" s="39"/>
      <c r="R66" s="39"/>
      <c r="S66" s="106">
        <f t="shared" si="61"/>
        <v>0</v>
      </c>
      <c r="T66" s="178">
        <f t="shared" si="62"/>
        <v>0</v>
      </c>
      <c r="U66" s="259"/>
      <c r="V66" s="39"/>
      <c r="W66" s="39"/>
      <c r="X66" s="106">
        <f t="shared" si="63"/>
        <v>0</v>
      </c>
      <c r="Y66" s="178">
        <f t="shared" si="64"/>
        <v>0</v>
      </c>
      <c r="Z66" s="388"/>
      <c r="AA66" s="39"/>
      <c r="AB66" s="39"/>
      <c r="AC66" s="106">
        <f t="shared" si="65"/>
        <v>0</v>
      </c>
      <c r="AD66" s="178">
        <f t="shared" si="66"/>
        <v>0</v>
      </c>
      <c r="AE66" s="388"/>
      <c r="AF66" s="39"/>
      <c r="AG66" s="39"/>
      <c r="AH66" s="106">
        <f t="shared" si="67"/>
        <v>0</v>
      </c>
      <c r="AI66" s="178">
        <f t="shared" si="68"/>
        <v>0</v>
      </c>
      <c r="AJ66" s="388"/>
      <c r="AK66" s="39"/>
      <c r="AL66" s="39"/>
      <c r="AM66" s="106">
        <f t="shared" si="69"/>
        <v>0</v>
      </c>
      <c r="AN66" s="178">
        <f t="shared" si="70"/>
        <v>0</v>
      </c>
      <c r="AO66" s="388"/>
      <c r="AP66" s="39">
        <v>0</v>
      </c>
      <c r="AQ66" s="39">
        <v>0</v>
      </c>
      <c r="AR66" s="106">
        <f t="shared" si="71"/>
        <v>0</v>
      </c>
      <c r="AS66" s="178">
        <f t="shared" si="72"/>
        <v>0</v>
      </c>
      <c r="AT66" s="388"/>
      <c r="AU66" s="39">
        <f t="shared" si="73"/>
        <v>0</v>
      </c>
      <c r="AV66" s="39">
        <f t="shared" si="74"/>
        <v>0</v>
      </c>
      <c r="AW66" s="106">
        <f t="shared" si="75"/>
        <v>0</v>
      </c>
      <c r="AX66" s="178">
        <f t="shared" si="56"/>
        <v>0</v>
      </c>
      <c r="AY66" s="79"/>
      <c r="AZ66" s="452"/>
      <c r="BA66" s="452"/>
      <c r="BB66" s="446">
        <f t="shared" si="76"/>
        <v>0</v>
      </c>
      <c r="BC66" s="450" t="e">
        <f t="shared" si="57"/>
        <v>#DIV/0!</v>
      </c>
      <c r="BD66" s="842"/>
      <c r="BE66" s="842"/>
    </row>
    <row r="67" spans="1:57" s="2" customFormat="1" ht="13.8" x14ac:dyDescent="0.25">
      <c r="A67" s="237"/>
      <c r="B67" s="19" t="s">
        <v>3</v>
      </c>
      <c r="C67" s="113"/>
      <c r="D67" s="119"/>
      <c r="E67" s="120">
        <f t="shared" si="58"/>
        <v>0</v>
      </c>
      <c r="F67" s="178">
        <f t="shared" si="54"/>
        <v>0</v>
      </c>
      <c r="G67" s="78"/>
      <c r="H67" s="161"/>
      <c r="I67" s="41">
        <f t="shared" si="59"/>
        <v>0</v>
      </c>
      <c r="J67" s="178">
        <f t="shared" si="77"/>
        <v>0</v>
      </c>
      <c r="K67" s="291"/>
      <c r="L67" s="39"/>
      <c r="M67" s="39"/>
      <c r="N67" s="106">
        <f t="shared" si="60"/>
        <v>0</v>
      </c>
      <c r="O67" s="178">
        <f t="shared" si="55"/>
        <v>0</v>
      </c>
      <c r="P67" s="79"/>
      <c r="Q67" s="39"/>
      <c r="R67" s="39"/>
      <c r="S67" s="106">
        <f t="shared" si="61"/>
        <v>0</v>
      </c>
      <c r="T67" s="178">
        <f t="shared" si="62"/>
        <v>0</v>
      </c>
      <c r="U67" s="259"/>
      <c r="V67" s="39"/>
      <c r="W67" s="39"/>
      <c r="X67" s="106">
        <f t="shared" si="63"/>
        <v>0</v>
      </c>
      <c r="Y67" s="178">
        <f t="shared" si="64"/>
        <v>0</v>
      </c>
      <c r="Z67" s="388"/>
      <c r="AA67" s="39"/>
      <c r="AB67" s="39"/>
      <c r="AC67" s="106">
        <f t="shared" si="65"/>
        <v>0</v>
      </c>
      <c r="AD67" s="178">
        <f t="shared" si="66"/>
        <v>0</v>
      </c>
      <c r="AE67" s="388"/>
      <c r="AF67" s="39"/>
      <c r="AG67" s="39"/>
      <c r="AH67" s="106">
        <f t="shared" si="67"/>
        <v>0</v>
      </c>
      <c r="AI67" s="178">
        <f t="shared" si="68"/>
        <v>0</v>
      </c>
      <c r="AJ67" s="388"/>
      <c r="AK67" s="39"/>
      <c r="AL67" s="39"/>
      <c r="AM67" s="106">
        <f t="shared" si="69"/>
        <v>0</v>
      </c>
      <c r="AN67" s="178">
        <f t="shared" si="70"/>
        <v>0</v>
      </c>
      <c r="AO67" s="388"/>
      <c r="AP67" s="39">
        <v>0</v>
      </c>
      <c r="AQ67" s="39">
        <v>0</v>
      </c>
      <c r="AR67" s="106">
        <f t="shared" si="71"/>
        <v>0</v>
      </c>
      <c r="AS67" s="178">
        <f t="shared" si="72"/>
        <v>0</v>
      </c>
      <c r="AT67" s="388"/>
      <c r="AU67" s="39">
        <f t="shared" si="73"/>
        <v>0</v>
      </c>
      <c r="AV67" s="39">
        <f t="shared" si="74"/>
        <v>0</v>
      </c>
      <c r="AW67" s="106">
        <f t="shared" si="75"/>
        <v>0</v>
      </c>
      <c r="AX67" s="178">
        <f t="shared" si="56"/>
        <v>0</v>
      </c>
      <c r="AY67" s="79"/>
      <c r="AZ67" s="452"/>
      <c r="BA67" s="452"/>
      <c r="BB67" s="446">
        <f t="shared" si="76"/>
        <v>0</v>
      </c>
      <c r="BC67" s="450" t="e">
        <f t="shared" si="57"/>
        <v>#DIV/0!</v>
      </c>
      <c r="BD67" s="842"/>
      <c r="BE67" s="842"/>
    </row>
    <row r="68" spans="1:57" s="2" customFormat="1" ht="13.8" x14ac:dyDescent="0.25">
      <c r="A68" s="237"/>
      <c r="B68" s="19" t="s">
        <v>5</v>
      </c>
      <c r="C68" s="113">
        <v>0</v>
      </c>
      <c r="D68" s="119">
        <v>9609.2000000000007</v>
      </c>
      <c r="E68" s="120">
        <f t="shared" si="58"/>
        <v>9609.2000000000007</v>
      </c>
      <c r="F68" s="178">
        <f t="shared" si="54"/>
        <v>1.019706190357065E-3</v>
      </c>
      <c r="G68" s="78"/>
      <c r="H68" s="362">
        <v>381.7</v>
      </c>
      <c r="I68" s="41">
        <f t="shared" si="59"/>
        <v>381.7</v>
      </c>
      <c r="J68" s="178">
        <f t="shared" si="77"/>
        <v>8.906506474401025E-4</v>
      </c>
      <c r="K68" s="291"/>
      <c r="L68" s="39"/>
      <c r="M68" s="39">
        <v>350.9</v>
      </c>
      <c r="N68" s="106">
        <f t="shared" si="60"/>
        <v>350.9</v>
      </c>
      <c r="O68" s="178">
        <f t="shared" si="55"/>
        <v>2.3346787201851974E-4</v>
      </c>
      <c r="P68" s="79"/>
      <c r="Q68" s="39"/>
      <c r="R68" s="39"/>
      <c r="S68" s="106">
        <f t="shared" si="61"/>
        <v>0</v>
      </c>
      <c r="T68" s="178">
        <f t="shared" si="62"/>
        <v>0</v>
      </c>
      <c r="U68" s="259"/>
      <c r="V68" s="39"/>
      <c r="W68" s="39">
        <v>2169.65</v>
      </c>
      <c r="X68" s="106">
        <f t="shared" si="63"/>
        <v>2169.65</v>
      </c>
      <c r="Y68" s="178">
        <f t="shared" si="64"/>
        <v>7.5892894267610349E-4</v>
      </c>
      <c r="Z68" s="388" t="s">
        <v>546</v>
      </c>
      <c r="AA68" s="39"/>
      <c r="AB68" s="39"/>
      <c r="AC68" s="106">
        <f t="shared" si="65"/>
        <v>0</v>
      </c>
      <c r="AD68" s="178">
        <f t="shared" si="66"/>
        <v>0</v>
      </c>
      <c r="AE68" s="388"/>
      <c r="AF68" s="39"/>
      <c r="AG68" s="39"/>
      <c r="AH68" s="106">
        <f t="shared" si="67"/>
        <v>0</v>
      </c>
      <c r="AI68" s="178">
        <f t="shared" si="68"/>
        <v>0</v>
      </c>
      <c r="AJ68" s="388"/>
      <c r="AK68" s="39"/>
      <c r="AL68" s="39"/>
      <c r="AM68" s="106">
        <f t="shared" si="69"/>
        <v>0</v>
      </c>
      <c r="AN68" s="178">
        <f t="shared" si="70"/>
        <v>0</v>
      </c>
      <c r="AO68" s="388"/>
      <c r="AP68" s="39">
        <v>0</v>
      </c>
      <c r="AQ68" s="39">
        <v>0</v>
      </c>
      <c r="AR68" s="106">
        <f t="shared" si="71"/>
        <v>0</v>
      </c>
      <c r="AS68" s="178">
        <f t="shared" si="72"/>
        <v>0</v>
      </c>
      <c r="AT68" s="388"/>
      <c r="AU68" s="39">
        <f t="shared" si="73"/>
        <v>0</v>
      </c>
      <c r="AV68" s="39">
        <f t="shared" si="74"/>
        <v>2902.25</v>
      </c>
      <c r="AW68" s="106">
        <f t="shared" si="75"/>
        <v>2902.25</v>
      </c>
      <c r="AX68" s="178">
        <f t="shared" si="56"/>
        <v>3.0731926787084542E-4</v>
      </c>
      <c r="AY68" s="79"/>
      <c r="AZ68" s="452"/>
      <c r="BA68" s="452">
        <v>2902.25</v>
      </c>
      <c r="BB68" s="446">
        <f t="shared" si="76"/>
        <v>2902.25</v>
      </c>
      <c r="BC68" s="450" t="e">
        <f t="shared" si="57"/>
        <v>#DIV/0!</v>
      </c>
      <c r="BD68" s="842"/>
      <c r="BE68" s="842"/>
    </row>
    <row r="69" spans="1:57" s="2" customFormat="1" ht="13.8" x14ac:dyDescent="0.25">
      <c r="A69" s="237"/>
      <c r="B69" s="19" t="s">
        <v>42</v>
      </c>
      <c r="C69" s="113">
        <v>9800</v>
      </c>
      <c r="D69" s="119">
        <v>44850</v>
      </c>
      <c r="E69" s="120">
        <f t="shared" si="58"/>
        <v>54650</v>
      </c>
      <c r="F69" s="178">
        <f t="shared" si="54"/>
        <v>5.7993322340063273E-3</v>
      </c>
      <c r="G69" s="78">
        <v>6400</v>
      </c>
      <c r="H69" s="161"/>
      <c r="I69" s="41">
        <f t="shared" si="59"/>
        <v>6400</v>
      </c>
      <c r="J69" s="178">
        <f t="shared" si="77"/>
        <v>1.4933623640599048E-2</v>
      </c>
      <c r="K69" s="366" t="s">
        <v>369</v>
      </c>
      <c r="L69" s="39"/>
      <c r="M69" s="39"/>
      <c r="N69" s="106">
        <f t="shared" si="60"/>
        <v>0</v>
      </c>
      <c r="O69" s="178">
        <f t="shared" si="55"/>
        <v>0</v>
      </c>
      <c r="P69" s="79"/>
      <c r="Q69" s="39"/>
      <c r="R69" s="39"/>
      <c r="S69" s="106">
        <f t="shared" si="61"/>
        <v>0</v>
      </c>
      <c r="T69" s="178">
        <f t="shared" si="62"/>
        <v>0</v>
      </c>
      <c r="U69" s="259"/>
      <c r="V69" s="39"/>
      <c r="W69" s="39"/>
      <c r="X69" s="106">
        <f t="shared" si="63"/>
        <v>0</v>
      </c>
      <c r="Y69" s="178">
        <f t="shared" si="64"/>
        <v>0</v>
      </c>
      <c r="Z69" s="388"/>
      <c r="AA69" s="39"/>
      <c r="AB69" s="39"/>
      <c r="AC69" s="106">
        <f t="shared" si="65"/>
        <v>0</v>
      </c>
      <c r="AD69" s="178">
        <f t="shared" si="66"/>
        <v>0</v>
      </c>
      <c r="AE69" s="388"/>
      <c r="AF69" s="39"/>
      <c r="AG69" s="39"/>
      <c r="AH69" s="106">
        <f t="shared" si="67"/>
        <v>0</v>
      </c>
      <c r="AI69" s="178">
        <f t="shared" si="68"/>
        <v>0</v>
      </c>
      <c r="AJ69" s="388"/>
      <c r="AK69" s="39"/>
      <c r="AL69" s="39"/>
      <c r="AM69" s="106">
        <f t="shared" si="69"/>
        <v>0</v>
      </c>
      <c r="AN69" s="178">
        <f t="shared" si="70"/>
        <v>0</v>
      </c>
      <c r="AO69" s="388"/>
      <c r="AP69" s="39">
        <v>700</v>
      </c>
      <c r="AQ69" s="39">
        <v>0</v>
      </c>
      <c r="AR69" s="106">
        <f t="shared" si="71"/>
        <v>700</v>
      </c>
      <c r="AS69" s="178">
        <f t="shared" si="72"/>
        <v>1.1122542649672736E-3</v>
      </c>
      <c r="AT69" s="388"/>
      <c r="AU69" s="39">
        <f t="shared" si="73"/>
        <v>7100</v>
      </c>
      <c r="AV69" s="39">
        <f t="shared" si="74"/>
        <v>0</v>
      </c>
      <c r="AW69" s="106">
        <f t="shared" si="75"/>
        <v>7100</v>
      </c>
      <c r="AX69" s="178">
        <f t="shared" si="56"/>
        <v>7.5181903760289522E-4</v>
      </c>
      <c r="AY69" s="79"/>
      <c r="AZ69" s="452">
        <f>700+6400</f>
        <v>7100</v>
      </c>
      <c r="BA69" s="452"/>
      <c r="BB69" s="446">
        <f t="shared" si="76"/>
        <v>7100</v>
      </c>
      <c r="BC69" s="450" t="e">
        <f t="shared" si="57"/>
        <v>#DIV/0!</v>
      </c>
      <c r="BD69" s="842"/>
      <c r="BE69" s="842"/>
    </row>
    <row r="70" spans="1:57" s="2" customFormat="1" ht="13.8" x14ac:dyDescent="0.25">
      <c r="A70" s="237"/>
      <c r="B70" s="19" t="s">
        <v>6</v>
      </c>
      <c r="C70" s="113"/>
      <c r="D70" s="119"/>
      <c r="E70" s="120">
        <f t="shared" si="58"/>
        <v>0</v>
      </c>
      <c r="F70" s="178">
        <f t="shared" si="54"/>
        <v>0</v>
      </c>
      <c r="G70" s="78"/>
      <c r="H70" s="161"/>
      <c r="I70" s="41">
        <f t="shared" si="59"/>
        <v>0</v>
      </c>
      <c r="J70" s="178">
        <f t="shared" si="77"/>
        <v>0</v>
      </c>
      <c r="K70" s="291"/>
      <c r="L70" s="39"/>
      <c r="M70" s="39"/>
      <c r="N70" s="106">
        <f t="shared" si="60"/>
        <v>0</v>
      </c>
      <c r="O70" s="178">
        <f t="shared" si="55"/>
        <v>0</v>
      </c>
      <c r="P70" s="79"/>
      <c r="Q70" s="39"/>
      <c r="R70" s="39"/>
      <c r="S70" s="106">
        <f t="shared" si="61"/>
        <v>0</v>
      </c>
      <c r="T70" s="178">
        <f t="shared" si="62"/>
        <v>0</v>
      </c>
      <c r="U70" s="259"/>
      <c r="V70" s="39"/>
      <c r="W70" s="39"/>
      <c r="X70" s="106">
        <f t="shared" si="63"/>
        <v>0</v>
      </c>
      <c r="Y70" s="178">
        <f t="shared" si="64"/>
        <v>0</v>
      </c>
      <c r="Z70" s="259"/>
      <c r="AA70" s="557"/>
      <c r="AB70" s="558"/>
      <c r="AC70" s="559">
        <f t="shared" si="65"/>
        <v>0</v>
      </c>
      <c r="AD70" s="450">
        <f>AC70/$AC$89</f>
        <v>0</v>
      </c>
      <c r="AE70" s="503"/>
      <c r="AF70" s="557"/>
      <c r="AG70" s="558"/>
      <c r="AH70" s="559">
        <f t="shared" si="67"/>
        <v>0</v>
      </c>
      <c r="AI70" s="178">
        <f t="shared" si="68"/>
        <v>0</v>
      </c>
      <c r="AJ70" s="503"/>
      <c r="AK70" s="557"/>
      <c r="AL70" s="558"/>
      <c r="AM70" s="559">
        <f t="shared" si="69"/>
        <v>0</v>
      </c>
      <c r="AN70" s="178">
        <f t="shared" si="70"/>
        <v>0</v>
      </c>
      <c r="AO70" s="503"/>
      <c r="AP70" s="557"/>
      <c r="AQ70" s="558"/>
      <c r="AR70" s="559">
        <f t="shared" si="71"/>
        <v>0</v>
      </c>
      <c r="AS70" s="178">
        <f t="shared" si="72"/>
        <v>0</v>
      </c>
      <c r="AT70" s="503"/>
      <c r="AU70" s="39">
        <f t="shared" si="73"/>
        <v>0</v>
      </c>
      <c r="AV70" s="39">
        <f t="shared" si="74"/>
        <v>0</v>
      </c>
      <c r="AW70" s="559">
        <f t="shared" si="75"/>
        <v>0</v>
      </c>
      <c r="AX70" s="178">
        <f t="shared" si="56"/>
        <v>0</v>
      </c>
      <c r="AY70" s="79"/>
      <c r="AZ70" s="452"/>
      <c r="BA70" s="452"/>
      <c r="BB70" s="446">
        <f t="shared" si="76"/>
        <v>0</v>
      </c>
      <c r="BC70" s="450" t="e">
        <f t="shared" si="57"/>
        <v>#DIV/0!</v>
      </c>
      <c r="BD70" s="842"/>
      <c r="BE70" s="842"/>
    </row>
    <row r="71" spans="1:57" s="2" customFormat="1" ht="13.8" x14ac:dyDescent="0.25">
      <c r="A71" s="237"/>
      <c r="B71" s="19" t="s">
        <v>367</v>
      </c>
      <c r="C71" s="113"/>
      <c r="D71" s="119"/>
      <c r="E71" s="120">
        <f t="shared" si="58"/>
        <v>0</v>
      </c>
      <c r="F71" s="184">
        <f t="shared" si="54"/>
        <v>0</v>
      </c>
      <c r="G71" s="78"/>
      <c r="H71" s="161">
        <v>10000</v>
      </c>
      <c r="I71" s="41">
        <f t="shared" si="59"/>
        <v>10000</v>
      </c>
      <c r="J71" s="178">
        <f t="shared" si="77"/>
        <v>2.3333786938436012E-2</v>
      </c>
      <c r="K71" s="366" t="s">
        <v>368</v>
      </c>
      <c r="L71" s="39"/>
      <c r="M71" s="39"/>
      <c r="N71" s="106">
        <f t="shared" si="60"/>
        <v>0</v>
      </c>
      <c r="O71" s="178">
        <f t="shared" si="55"/>
        <v>0</v>
      </c>
      <c r="P71" s="79"/>
      <c r="Q71" s="39"/>
      <c r="R71" s="39"/>
      <c r="S71" s="106">
        <f t="shared" si="61"/>
        <v>0</v>
      </c>
      <c r="T71" s="178">
        <f t="shared" si="62"/>
        <v>0</v>
      </c>
      <c r="U71" s="259"/>
      <c r="V71" s="39"/>
      <c r="W71" s="39"/>
      <c r="X71" s="106">
        <f t="shared" si="63"/>
        <v>0</v>
      </c>
      <c r="Y71" s="178">
        <f t="shared" si="64"/>
        <v>0</v>
      </c>
      <c r="Z71" s="259"/>
      <c r="AA71" s="560"/>
      <c r="AB71" s="452"/>
      <c r="AC71" s="446">
        <f t="shared" si="65"/>
        <v>0</v>
      </c>
      <c r="AD71" s="450">
        <f t="shared" si="66"/>
        <v>0</v>
      </c>
      <c r="AE71" s="503"/>
      <c r="AF71" s="560"/>
      <c r="AG71" s="452"/>
      <c r="AH71" s="446">
        <f t="shared" si="67"/>
        <v>0</v>
      </c>
      <c r="AI71" s="178">
        <f t="shared" si="68"/>
        <v>0</v>
      </c>
      <c r="AJ71" s="503"/>
      <c r="AK71" s="560"/>
      <c r="AL71" s="452"/>
      <c r="AM71" s="446">
        <f t="shared" si="69"/>
        <v>0</v>
      </c>
      <c r="AN71" s="178">
        <f t="shared" si="70"/>
        <v>0</v>
      </c>
      <c r="AO71" s="503"/>
      <c r="AP71" s="560"/>
      <c r="AQ71" s="452"/>
      <c r="AR71" s="446">
        <f t="shared" si="71"/>
        <v>0</v>
      </c>
      <c r="AS71" s="178">
        <f t="shared" si="72"/>
        <v>0</v>
      </c>
      <c r="AT71" s="503"/>
      <c r="AU71" s="39">
        <f t="shared" si="73"/>
        <v>0</v>
      </c>
      <c r="AV71" s="39">
        <f t="shared" si="74"/>
        <v>10000</v>
      </c>
      <c r="AW71" s="446">
        <f t="shared" si="75"/>
        <v>10000</v>
      </c>
      <c r="AX71" s="178">
        <f t="shared" si="56"/>
        <v>1.0589000529618242E-3</v>
      </c>
      <c r="AY71" s="79"/>
      <c r="AZ71" s="452"/>
      <c r="BA71" s="452">
        <v>10000</v>
      </c>
      <c r="BB71" s="446">
        <f t="shared" si="76"/>
        <v>10000</v>
      </c>
      <c r="BC71" s="450" t="e">
        <f t="shared" si="57"/>
        <v>#DIV/0!</v>
      </c>
      <c r="BD71" s="842"/>
      <c r="BE71" s="842"/>
    </row>
    <row r="72" spans="1:57" s="2" customFormat="1" ht="14.4" thickBot="1" x14ac:dyDescent="0.3">
      <c r="A72" s="237"/>
      <c r="B72" s="19"/>
      <c r="C72" s="143"/>
      <c r="D72" s="144"/>
      <c r="E72" s="159"/>
      <c r="F72" s="184">
        <f t="shared" si="54"/>
        <v>0</v>
      </c>
      <c r="G72" s="160"/>
      <c r="H72" s="162"/>
      <c r="I72" s="62"/>
      <c r="J72" s="178">
        <f t="shared" si="77"/>
        <v>0</v>
      </c>
      <c r="K72" s="276"/>
      <c r="L72" s="39"/>
      <c r="M72" s="39"/>
      <c r="N72" s="106"/>
      <c r="O72" s="178">
        <f t="shared" si="55"/>
        <v>0</v>
      </c>
      <c r="P72" s="79"/>
      <c r="Q72" s="39"/>
      <c r="R72" s="39"/>
      <c r="S72" s="106"/>
      <c r="T72" s="178">
        <f t="shared" si="62"/>
        <v>0</v>
      </c>
      <c r="U72" s="259"/>
      <c r="V72" s="39"/>
      <c r="W72" s="39"/>
      <c r="X72" s="106"/>
      <c r="Y72" s="178">
        <f t="shared" si="64"/>
        <v>0</v>
      </c>
      <c r="Z72" s="259"/>
      <c r="AA72" s="557"/>
      <c r="AB72" s="558"/>
      <c r="AC72" s="559"/>
      <c r="AD72" s="450">
        <f t="shared" si="66"/>
        <v>0</v>
      </c>
      <c r="AE72" s="503"/>
      <c r="AF72" s="557"/>
      <c r="AG72" s="558"/>
      <c r="AH72" s="559"/>
      <c r="AI72" s="178">
        <f t="shared" si="68"/>
        <v>0</v>
      </c>
      <c r="AJ72" s="503"/>
      <c r="AK72" s="557"/>
      <c r="AL72" s="558"/>
      <c r="AM72" s="559"/>
      <c r="AN72" s="178">
        <f t="shared" si="70"/>
        <v>0</v>
      </c>
      <c r="AO72" s="503"/>
      <c r="AP72" s="557"/>
      <c r="AQ72" s="558"/>
      <c r="AR72" s="559"/>
      <c r="AS72" s="178">
        <f t="shared" si="72"/>
        <v>0</v>
      </c>
      <c r="AT72" s="503"/>
      <c r="AU72" s="558"/>
      <c r="AV72" s="452"/>
      <c r="AW72" s="446"/>
      <c r="AX72" s="178">
        <f t="shared" si="56"/>
        <v>0</v>
      </c>
      <c r="AY72" s="79"/>
      <c r="AZ72" s="535"/>
      <c r="BA72" s="535"/>
      <c r="BB72" s="622"/>
      <c r="BC72" s="583"/>
      <c r="BD72" s="842"/>
      <c r="BE72" s="842"/>
    </row>
    <row r="73" spans="1:57" s="2" customFormat="1" ht="14.4" thickBot="1" x14ac:dyDescent="0.3">
      <c r="A73" s="237"/>
      <c r="B73" s="13" t="s">
        <v>4</v>
      </c>
      <c r="C73" s="132">
        <f>C74</f>
        <v>352038.54</v>
      </c>
      <c r="D73" s="133">
        <f>D74</f>
        <v>0</v>
      </c>
      <c r="E73" s="132">
        <f>E74</f>
        <v>352038.54</v>
      </c>
      <c r="F73" s="171">
        <f t="shared" si="54"/>
        <v>3.7357519718838529E-2</v>
      </c>
      <c r="G73" s="99">
        <f>G74</f>
        <v>0</v>
      </c>
      <c r="H73" s="63">
        <f>H74</f>
        <v>0</v>
      </c>
      <c r="I73" s="63">
        <f>I74</f>
        <v>0</v>
      </c>
      <c r="J73" s="178">
        <f t="shared" si="77"/>
        <v>0</v>
      </c>
      <c r="K73" s="277"/>
      <c r="L73" s="139">
        <f>L74</f>
        <v>0</v>
      </c>
      <c r="M73" s="63">
        <f>M74</f>
        <v>0</v>
      </c>
      <c r="N73" s="60">
        <f>N74</f>
        <v>0</v>
      </c>
      <c r="O73" s="63"/>
      <c r="P73" s="63"/>
      <c r="Q73" s="139">
        <f>Q74</f>
        <v>0</v>
      </c>
      <c r="R73" s="63">
        <f>R74</f>
        <v>0</v>
      </c>
      <c r="S73" s="60">
        <f>S74</f>
        <v>0</v>
      </c>
      <c r="T73" s="63"/>
      <c r="U73" s="410"/>
      <c r="V73" s="139">
        <f>V74</f>
        <v>0</v>
      </c>
      <c r="W73" s="63">
        <f>W74</f>
        <v>0</v>
      </c>
      <c r="X73" s="60">
        <f>X74</f>
        <v>0</v>
      </c>
      <c r="Y73" s="63"/>
      <c r="Z73" s="410"/>
      <c r="AA73" s="547">
        <f>AA74</f>
        <v>0</v>
      </c>
      <c r="AB73" s="556">
        <f>AB74</f>
        <v>0</v>
      </c>
      <c r="AC73" s="548">
        <f>AC74</f>
        <v>0</v>
      </c>
      <c r="AD73" s="556"/>
      <c r="AE73" s="607"/>
      <c r="AF73" s="547">
        <f>AF74</f>
        <v>0</v>
      </c>
      <c r="AG73" s="556">
        <f>AG74</f>
        <v>0</v>
      </c>
      <c r="AH73" s="548">
        <f>AH74</f>
        <v>0</v>
      </c>
      <c r="AI73" s="556"/>
      <c r="AJ73" s="607"/>
      <c r="AK73" s="547">
        <f>AK74</f>
        <v>0</v>
      </c>
      <c r="AL73" s="556">
        <f>AL74</f>
        <v>0</v>
      </c>
      <c r="AM73" s="548">
        <f>AM74</f>
        <v>0</v>
      </c>
      <c r="AN73" s="556"/>
      <c r="AO73" s="607"/>
      <c r="AP73" s="547">
        <f>AP74</f>
        <v>363862.68059999996</v>
      </c>
      <c r="AQ73" s="556">
        <f>AQ74</f>
        <v>0</v>
      </c>
      <c r="AR73" s="548">
        <f>AR74</f>
        <v>363862.68059999996</v>
      </c>
      <c r="AS73" s="556"/>
      <c r="AT73" s="607"/>
      <c r="AU73" s="547">
        <f>AU74</f>
        <v>363862.68059999996</v>
      </c>
      <c r="AV73" s="556">
        <f>AV74</f>
        <v>0</v>
      </c>
      <c r="AW73" s="548">
        <f>AW74</f>
        <v>363862.68059999996</v>
      </c>
      <c r="AX73" s="63"/>
      <c r="AY73" s="63"/>
      <c r="AZ73" s="836">
        <f>AZ74</f>
        <v>363862.68059999996</v>
      </c>
      <c r="BA73" s="839">
        <f>BA74</f>
        <v>0</v>
      </c>
      <c r="BB73" s="837">
        <f>BB74</f>
        <v>363862.68059999996</v>
      </c>
      <c r="BC73" s="840"/>
      <c r="BD73" s="842"/>
      <c r="BE73" s="842"/>
    </row>
    <row r="74" spans="1:57" s="2" customFormat="1" ht="14.4" thickBot="1" x14ac:dyDescent="0.3">
      <c r="A74" s="20"/>
      <c r="B74" s="225" t="s">
        <v>64</v>
      </c>
      <c r="C74" s="129">
        <f>C6*3%</f>
        <v>352038.54</v>
      </c>
      <c r="D74" s="135"/>
      <c r="E74" s="136">
        <f>C74+D74</f>
        <v>352038.54</v>
      </c>
      <c r="F74" s="185"/>
      <c r="G74" s="163"/>
      <c r="H74" s="112"/>
      <c r="I74" s="41">
        <f>G74+H74*1</f>
        <v>0</v>
      </c>
      <c r="J74" s="178">
        <f t="shared" si="77"/>
        <v>0</v>
      </c>
      <c r="K74" s="278"/>
      <c r="L74" s="39"/>
      <c r="M74" s="39"/>
      <c r="N74" s="523">
        <f>L74+M74*1</f>
        <v>0</v>
      </c>
      <c r="O74" s="64"/>
      <c r="P74" s="64"/>
      <c r="Q74" s="39"/>
      <c r="R74" s="39"/>
      <c r="S74" s="523">
        <f>Q74+R74*1</f>
        <v>0</v>
      </c>
      <c r="T74" s="64"/>
      <c r="U74" s="64"/>
      <c r="V74" s="39"/>
      <c r="W74" s="39"/>
      <c r="X74" s="106">
        <f>V74+W74*1</f>
        <v>0</v>
      </c>
      <c r="Y74" s="64"/>
      <c r="Z74" s="64"/>
      <c r="AA74" s="452"/>
      <c r="AB74" s="452"/>
      <c r="AC74" s="446">
        <f>AA74+AB74*1</f>
        <v>0</v>
      </c>
      <c r="AD74" s="608"/>
      <c r="AE74" s="608"/>
      <c r="AF74" s="452"/>
      <c r="AG74" s="452"/>
      <c r="AH74" s="446">
        <f>AF74+AG74*1</f>
        <v>0</v>
      </c>
      <c r="AI74" s="608"/>
      <c r="AJ74" s="608"/>
      <c r="AK74" s="452"/>
      <c r="AL74" s="452"/>
      <c r="AM74" s="446">
        <f>AK74+AL74*1</f>
        <v>0</v>
      </c>
      <c r="AN74" s="608"/>
      <c r="AO74" s="608"/>
      <c r="AP74" s="452">
        <v>363862.68059999996</v>
      </c>
      <c r="AQ74" s="452"/>
      <c r="AR74" s="446">
        <f>AP74+AQ74*1</f>
        <v>363862.68059999996</v>
      </c>
      <c r="AS74" s="608"/>
      <c r="AT74" s="608"/>
      <c r="AU74" s="39">
        <v>363862.68059999996</v>
      </c>
      <c r="AV74" s="39">
        <f>H74+M74+R74+W74+AB74+AG74</f>
        <v>0</v>
      </c>
      <c r="AW74" s="39">
        <f>AU74+AV74*1</f>
        <v>363862.68059999996</v>
      </c>
      <c r="AX74" s="64"/>
      <c r="AY74" s="64"/>
      <c r="AZ74" s="452">
        <f>AZ6*3%</f>
        <v>363862.68059999996</v>
      </c>
      <c r="BA74" s="452"/>
      <c r="BB74" s="841">
        <f>AZ74+BA74*1</f>
        <v>363862.68059999996</v>
      </c>
      <c r="BC74" s="608"/>
      <c r="BD74" s="842"/>
      <c r="BE74" s="842"/>
    </row>
    <row r="75" spans="1:57" s="2" customFormat="1" ht="14.4" thickBot="1" x14ac:dyDescent="0.3">
      <c r="A75" s="5"/>
      <c r="B75" s="23" t="s">
        <v>48</v>
      </c>
      <c r="C75" s="137">
        <f>C38-C41-C50-C54</f>
        <v>4942496</v>
      </c>
      <c r="D75" s="137">
        <f>D38-D41-D50-D54</f>
        <v>-2208588.2000000002</v>
      </c>
      <c r="E75" s="138">
        <f>E38-E41-E50-E54</f>
        <v>2733907.8</v>
      </c>
      <c r="F75" s="172"/>
      <c r="G75" s="65">
        <f>G38-G41-G50-G54</f>
        <v>-265573.75999999995</v>
      </c>
      <c r="H75" s="65">
        <f>H38-H41-H50-H54</f>
        <v>-143275.74000000002</v>
      </c>
      <c r="I75" s="66">
        <f>I38-I41-I50-I54</f>
        <v>-408849.5</v>
      </c>
      <c r="J75" s="195"/>
      <c r="K75" s="279"/>
      <c r="L75" s="65">
        <f>L38-L41-L50-L54</f>
        <v>2836280.5060000001</v>
      </c>
      <c r="M75" s="65">
        <f>M38-M41-M50-M54</f>
        <v>-577893.17000000004</v>
      </c>
      <c r="N75" s="138">
        <f>N38-N41-N50-N54</f>
        <v>2258387.3359999997</v>
      </c>
      <c r="O75" s="66"/>
      <c r="P75" s="66"/>
      <c r="Q75" s="65">
        <f>Q38-Q41-Q50-Q54</f>
        <v>-471188.315</v>
      </c>
      <c r="R75" s="65">
        <f>R38-R41-R50-R54</f>
        <v>-333546.93</v>
      </c>
      <c r="S75" s="138">
        <f>S38-S41-S50-S54</f>
        <v>-804735.24499999988</v>
      </c>
      <c r="T75" s="66"/>
      <c r="U75" s="411"/>
      <c r="V75" s="65">
        <f>V38-V41-V50-V54</f>
        <v>1859704.5720000002</v>
      </c>
      <c r="W75" s="65">
        <f>W38-W41-W50-W54</f>
        <v>-360639.86000000004</v>
      </c>
      <c r="X75" s="138">
        <f>X38-X41-X50-X54</f>
        <v>1499064.7120000001</v>
      </c>
      <c r="Y75" s="66"/>
      <c r="Z75" s="411"/>
      <c r="AA75" s="65">
        <f>AA38-AA41-AA50-AA54</f>
        <v>1307505.6639999999</v>
      </c>
      <c r="AB75" s="65">
        <f>AB38-AB41-AB50-AB54</f>
        <v>-579432.30000000005</v>
      </c>
      <c r="AC75" s="138">
        <f>AC38-AC41-AC50-AC54</f>
        <v>728073.36399999994</v>
      </c>
      <c r="AD75" s="66"/>
      <c r="AE75" s="411"/>
      <c r="AF75" s="65">
        <f>AF38-AF41-AF50-AF54</f>
        <v>365533.31400000007</v>
      </c>
      <c r="AG75" s="65">
        <f>AG38-AG41-AG50-AG54</f>
        <v>-288930.81</v>
      </c>
      <c r="AH75" s="138">
        <f>AH38-AH41-AH50-AH54</f>
        <v>76602.504000000074</v>
      </c>
      <c r="AI75" s="66"/>
      <c r="AJ75" s="411"/>
      <c r="AK75" s="65">
        <f>AK38-AK41-AK50-AK54</f>
        <v>304902.60199999996</v>
      </c>
      <c r="AL75" s="65">
        <f>AL38-AL41-AL50-AL54</f>
        <v>-208670</v>
      </c>
      <c r="AM75" s="138">
        <f>AM38-AM41-AM50-AM54</f>
        <v>96232.601999999955</v>
      </c>
      <c r="AN75" s="66"/>
      <c r="AO75" s="411"/>
      <c r="AP75" s="65">
        <f>AP38-AP41-AP50-AP54</f>
        <v>92169.194999998494</v>
      </c>
      <c r="AQ75" s="65">
        <f>AQ38-AQ41-AQ50-AQ54</f>
        <v>-100626.17999999982</v>
      </c>
      <c r="AR75" s="138">
        <f>AR38-AR41-AR50-AR54</f>
        <v>-8456.985000001323</v>
      </c>
      <c r="AS75" s="66"/>
      <c r="AT75" s="411"/>
      <c r="AU75" s="65">
        <f>AU38-AU41-AU50-AU54</f>
        <v>6029333.777999999</v>
      </c>
      <c r="AV75" s="65">
        <f>AV38-AV41-AV50-AV54</f>
        <v>-2593014.9899999998</v>
      </c>
      <c r="AW75" s="138">
        <f>AW38-AW41-AW50-AW54</f>
        <v>3436318.7880000006</v>
      </c>
      <c r="AX75" s="66"/>
      <c r="AY75" s="66"/>
      <c r="AZ75" s="646">
        <f>AZ38-AZ41-AZ50-AZ54</f>
        <v>6029333.777999999</v>
      </c>
      <c r="BA75" s="646">
        <f>BA38-BA41-BA50-BA54</f>
        <v>-2593014.9899999998</v>
      </c>
      <c r="BB75" s="670">
        <f>BB38-BB41-BB50-BB54</f>
        <v>3436318.7880000006</v>
      </c>
      <c r="BC75" s="671"/>
      <c r="BD75" s="842"/>
      <c r="BE75" s="842"/>
    </row>
    <row r="76" spans="1:57" s="2" customFormat="1" ht="13.8" x14ac:dyDescent="0.25">
      <c r="A76" s="294"/>
      <c r="B76" s="36" t="s">
        <v>49</v>
      </c>
      <c r="C76" s="157">
        <f>C75/C5</f>
        <v>0.4211893390990657</v>
      </c>
      <c r="D76" s="157" t="e">
        <f>D75/D5</f>
        <v>#DIV/0!</v>
      </c>
      <c r="E76" s="158">
        <f>E75/E5</f>
        <v>0.23297799723859777</v>
      </c>
      <c r="F76" s="167"/>
      <c r="G76" s="54" t="e">
        <f>G75/G5</f>
        <v>#DIV/0!</v>
      </c>
      <c r="H76" s="54" t="e">
        <f>H75/H5</f>
        <v>#DIV/0!</v>
      </c>
      <c r="I76" s="55" t="e">
        <f>I75/I5</f>
        <v>#DIV/0!</v>
      </c>
      <c r="J76" s="196"/>
      <c r="K76" s="280"/>
      <c r="L76" s="54">
        <f>L75/L5</f>
        <v>0.77177154618288002</v>
      </c>
      <c r="M76" s="54" t="e">
        <f>M75/M5</f>
        <v>#DIV/0!</v>
      </c>
      <c r="N76" s="55">
        <f>N75/N5</f>
        <v>0.61452281694191324</v>
      </c>
      <c r="O76" s="55"/>
      <c r="P76" s="55"/>
      <c r="Q76" s="54" t="e">
        <f>Q75/Q5</f>
        <v>#DIV/0!</v>
      </c>
      <c r="R76" s="54" t="e">
        <f>R75/R5</f>
        <v>#DIV/0!</v>
      </c>
      <c r="S76" s="55" t="e">
        <f>S75/S5</f>
        <v>#DIV/0!</v>
      </c>
      <c r="T76" s="55"/>
      <c r="U76" s="55"/>
      <c r="V76" s="54">
        <f>V75/V5</f>
        <v>0.43208673653949969</v>
      </c>
      <c r="W76" s="54" t="e">
        <f>W75/W5</f>
        <v>#DIV/0!</v>
      </c>
      <c r="X76" s="55">
        <f>X75/X5</f>
        <v>0.34829509429716288</v>
      </c>
      <c r="Y76" s="55"/>
      <c r="Z76" s="55"/>
      <c r="AA76" s="54">
        <f>AA75/AA5</f>
        <v>0.53807518496310947</v>
      </c>
      <c r="AB76" s="54" t="e">
        <f>AB75/AB5</f>
        <v>#DIV/0!</v>
      </c>
      <c r="AC76" s="55">
        <f>AC75/AC5</f>
        <v>0.29962257203729659</v>
      </c>
      <c r="AD76" s="55"/>
      <c r="AE76" s="55"/>
      <c r="AF76" s="54">
        <f>AF75/AF5</f>
        <v>0.55041159204819745</v>
      </c>
      <c r="AG76" s="54" t="e">
        <f>AG75/AG5</f>
        <v>#DIV/0!</v>
      </c>
      <c r="AH76" s="55">
        <f>AH75/AH5</f>
        <v>0.11534627506350474</v>
      </c>
      <c r="AI76" s="55"/>
      <c r="AJ76" s="55"/>
      <c r="AK76" s="54">
        <f>AK75/AK5</f>
        <v>0.28883078893641445</v>
      </c>
      <c r="AL76" s="54" t="e">
        <f>AL75/AL5</f>
        <v>#DIV/0!</v>
      </c>
      <c r="AM76" s="55">
        <f>AM75/AM5</f>
        <v>9.1160056276148038E-2</v>
      </c>
      <c r="AN76" s="55"/>
      <c r="AO76" s="55"/>
      <c r="AP76" s="54">
        <f>AP75/AP5</f>
        <v>131670.27871157214</v>
      </c>
      <c r="AQ76" s="54" t="e">
        <f>AQ75/AQ5</f>
        <v>#DIV/0!</v>
      </c>
      <c r="AR76" s="55">
        <f>AR75/AR5</f>
        <v>-12081.407155718103</v>
      </c>
      <c r="AS76" s="55"/>
      <c r="AT76" s="55"/>
      <c r="AU76" s="54">
        <f>AU75/AU5</f>
        <v>0.49711064911008074</v>
      </c>
      <c r="AV76" s="54" t="e">
        <f>AV75/AV5</f>
        <v>#DIV/0!</v>
      </c>
      <c r="AW76" s="55">
        <f>AW75/AW5</f>
        <v>0.28331996969298429</v>
      </c>
      <c r="AX76" s="55"/>
      <c r="AY76" s="55"/>
      <c r="AZ76" s="639">
        <f>AZ75/AZ5</f>
        <v>0.49711064911008074</v>
      </c>
      <c r="BA76" s="639" t="e">
        <f>BA75/BA5</f>
        <v>#DIV/0!</v>
      </c>
      <c r="BB76" s="660">
        <f>BB75/BB5</f>
        <v>0.28331996969298429</v>
      </c>
      <c r="BC76" s="660"/>
      <c r="BD76" s="842"/>
      <c r="BE76" s="842"/>
    </row>
    <row r="77" spans="1:57" s="2" customFormat="1" ht="14.4" thickBot="1" x14ac:dyDescent="0.3">
      <c r="A77" s="294"/>
      <c r="B77" s="27" t="s">
        <v>9</v>
      </c>
      <c r="C77" s="139">
        <f>C78-C79</f>
        <v>0</v>
      </c>
      <c r="D77" s="139">
        <f>D78-D79</f>
        <v>0</v>
      </c>
      <c r="E77" s="140">
        <f>E78-E79</f>
        <v>0</v>
      </c>
      <c r="F77" s="173"/>
      <c r="G77" s="67">
        <f>G78-G79</f>
        <v>0</v>
      </c>
      <c r="H77" s="67">
        <f>H78-H79</f>
        <v>0</v>
      </c>
      <c r="I77" s="67">
        <f>I78-I79</f>
        <v>-19713.59721109796</v>
      </c>
      <c r="J77" s="197"/>
      <c r="K77" s="281"/>
      <c r="L77" s="139">
        <f>L78-L79</f>
        <v>0</v>
      </c>
      <c r="M77" s="139">
        <f>M78-M79</f>
        <v>0</v>
      </c>
      <c r="N77" s="140">
        <f>N78-N79</f>
        <v>-86351.852988505751</v>
      </c>
      <c r="O77" s="67"/>
      <c r="P77" s="67"/>
      <c r="Q77" s="139">
        <f>Q78-Q79</f>
        <v>0</v>
      </c>
      <c r="R77" s="139">
        <f>R78-R79</f>
        <v>0</v>
      </c>
      <c r="S77" s="140">
        <f>S78-S79</f>
        <v>-49840.345862068971</v>
      </c>
      <c r="T77" s="67"/>
      <c r="U77" s="67"/>
      <c r="V77" s="139">
        <f>V78-V79</f>
        <v>0</v>
      </c>
      <c r="W77" s="139">
        <f>W78-W79</f>
        <v>0</v>
      </c>
      <c r="X77" s="140">
        <f>X78-X79</f>
        <v>-53888.71471264369</v>
      </c>
      <c r="Y77" s="67"/>
      <c r="Z77" s="67"/>
      <c r="AA77" s="139">
        <f>AA78-AA79</f>
        <v>0</v>
      </c>
      <c r="AB77" s="139">
        <f>AB78-AB79</f>
        <v>0</v>
      </c>
      <c r="AC77" s="140">
        <f>AC78-AC79</f>
        <v>-71574.61605369598</v>
      </c>
      <c r="AD77" s="67"/>
      <c r="AE77" s="67"/>
      <c r="AF77" s="139">
        <f>AF78-AF79</f>
        <v>0</v>
      </c>
      <c r="AG77" s="139">
        <f>AG78-AG79</f>
        <v>0</v>
      </c>
      <c r="AH77" s="140">
        <f>AH78-AH79</f>
        <v>-41845.961938586428</v>
      </c>
      <c r="AI77" s="67"/>
      <c r="AJ77" s="67"/>
      <c r="AK77" s="139">
        <f>AK78-AK79</f>
        <v>0</v>
      </c>
      <c r="AL77" s="139">
        <f>AL78-AL79</f>
        <v>0</v>
      </c>
      <c r="AM77" s="140" t="e">
        <f>AM78-AM79</f>
        <v>#DIV/0!</v>
      </c>
      <c r="AN77" s="67"/>
      <c r="AO77" s="67"/>
      <c r="AP77" s="139">
        <f>AP78-AP79</f>
        <v>-387462.00999999995</v>
      </c>
      <c r="AQ77" s="139">
        <f>AQ78-AQ79</f>
        <v>-161096</v>
      </c>
      <c r="AR77" s="140">
        <f>AR78-AR79</f>
        <v>0</v>
      </c>
      <c r="AS77" s="67"/>
      <c r="AT77" s="67"/>
      <c r="AU77" s="139">
        <f>AU78-AU79</f>
        <v>-387462.00999999995</v>
      </c>
      <c r="AV77" s="139">
        <f>AV78-AV79</f>
        <v>-161096</v>
      </c>
      <c r="AW77" s="140">
        <f>AW78-AW79</f>
        <v>-387462.00999999995</v>
      </c>
      <c r="AX77" s="67"/>
      <c r="AY77" s="67"/>
      <c r="AZ77" s="587">
        <f>AZ78-AZ79</f>
        <v>-387462.00999999995</v>
      </c>
      <c r="BA77" s="587">
        <f>BA78-BA79</f>
        <v>0</v>
      </c>
      <c r="BB77" s="674">
        <f>BB78-BB79</f>
        <v>-387462.00999999995</v>
      </c>
      <c r="BC77" s="675"/>
      <c r="BD77" s="842"/>
      <c r="BE77" s="842"/>
    </row>
    <row r="78" spans="1:57" s="2" customFormat="1" ht="13.8" x14ac:dyDescent="0.25">
      <c r="A78" s="11"/>
      <c r="B78" s="6" t="s">
        <v>43</v>
      </c>
      <c r="C78" s="141"/>
      <c r="D78" s="142"/>
      <c r="E78" s="119">
        <f>C78+D78*1.15</f>
        <v>0</v>
      </c>
      <c r="F78" s="186"/>
      <c r="G78" s="71"/>
      <c r="H78" s="71"/>
      <c r="I78" s="71">
        <f>G78+H78*1.15</f>
        <v>0</v>
      </c>
      <c r="J78" s="178">
        <f>I78/$I$89</f>
        <v>0</v>
      </c>
      <c r="K78" s="265"/>
      <c r="L78" s="39"/>
      <c r="M78" s="39"/>
      <c r="N78" s="68">
        <f>L78+M78*1.15</f>
        <v>0</v>
      </c>
      <c r="O78" s="68"/>
      <c r="P78" s="68"/>
      <c r="Q78" s="39"/>
      <c r="R78" s="39"/>
      <c r="S78" s="68">
        <f>Q78+R78*1.15</f>
        <v>0</v>
      </c>
      <c r="T78" s="68"/>
      <c r="U78" s="68"/>
      <c r="V78" s="39"/>
      <c r="W78" s="39"/>
      <c r="X78" s="68">
        <f>V78+W78*1.15</f>
        <v>0</v>
      </c>
      <c r="Y78" s="68"/>
      <c r="Z78" s="68"/>
      <c r="AA78" s="39"/>
      <c r="AB78" s="39"/>
      <c r="AC78" s="68">
        <f>AA78+AB78*1.15</f>
        <v>0</v>
      </c>
      <c r="AD78" s="68"/>
      <c r="AE78" s="68"/>
      <c r="AF78" s="39"/>
      <c r="AG78" s="39"/>
      <c r="AH78" s="68">
        <f>AF78+AG78*1.15</f>
        <v>0</v>
      </c>
      <c r="AI78" s="68"/>
      <c r="AJ78" s="68"/>
      <c r="AK78" s="39"/>
      <c r="AL78" s="39"/>
      <c r="AM78" s="68">
        <f>AK78+AL78*1.15</f>
        <v>0</v>
      </c>
      <c r="AN78" s="68"/>
      <c r="AO78" s="68"/>
      <c r="AP78" s="39"/>
      <c r="AQ78" s="39"/>
      <c r="AR78" s="68">
        <f>AP78+AQ78*1.15</f>
        <v>0</v>
      </c>
      <c r="AS78" s="68"/>
      <c r="AT78" s="68"/>
      <c r="AU78" s="39">
        <f>G78+L78+Q78+V78+AA78+AF78+AK78+AP78</f>
        <v>0</v>
      </c>
      <c r="AV78" s="39">
        <f>H78+M78+R78+W78+AB78+AG78+AL78+AQ78</f>
        <v>0</v>
      </c>
      <c r="AW78" s="68">
        <f>AU78+AV78*1.15</f>
        <v>0</v>
      </c>
      <c r="AX78" s="68"/>
      <c r="AY78" s="68"/>
      <c r="AZ78" s="452"/>
      <c r="BA78" s="452"/>
      <c r="BB78" s="676">
        <f>AZ78+BA78*1.15</f>
        <v>0</v>
      </c>
      <c r="BC78" s="676"/>
      <c r="BD78" s="842"/>
      <c r="BE78" s="842"/>
    </row>
    <row r="79" spans="1:57" s="2" customFormat="1" ht="13.8" x14ac:dyDescent="0.25">
      <c r="A79" s="11"/>
      <c r="B79" s="24" t="s">
        <v>79</v>
      </c>
      <c r="C79" s="113"/>
      <c r="D79" s="119"/>
      <c r="E79" s="119">
        <f>C79+D79*1.15</f>
        <v>0</v>
      </c>
      <c r="F79" s="180">
        <f>E79/$E$89</f>
        <v>0</v>
      </c>
      <c r="G79" s="45"/>
      <c r="H79" s="45"/>
      <c r="I79" s="394">
        <f>(H8+H41+H50+H54)/(1-'расчет 2020'!E15)*'расчет 2020'!E15</f>
        <v>19713.59721109796</v>
      </c>
      <c r="J79" s="178">
        <f>I79/$I$89</f>
        <v>4.599928771139062E-2</v>
      </c>
      <c r="K79" s="265"/>
      <c r="L79" s="39"/>
      <c r="M79" s="39"/>
      <c r="N79" s="106">
        <f>(M8+M41+M50+M54)/(1-'расчет 2022'!E4)*'расчет 2022'!E4</f>
        <v>86351.852988505751</v>
      </c>
      <c r="O79" s="45"/>
      <c r="P79" s="45"/>
      <c r="Q79" s="39"/>
      <c r="R79" s="39"/>
      <c r="S79" s="106">
        <f>(R8+R41+R50+R54)/(1-'расчет 2022'!E5)*'расчет 2022'!E5</f>
        <v>49840.345862068971</v>
      </c>
      <c r="T79" s="45"/>
      <c r="U79" s="45"/>
      <c r="V79" s="39"/>
      <c r="W79" s="39"/>
      <c r="X79" s="106">
        <f>(W8+W41+W50+W54)/(1-'расчет 2022'!E6)*'расчет 2022'!E6</f>
        <v>53888.71471264369</v>
      </c>
      <c r="Y79" s="45"/>
      <c r="Z79" s="45"/>
      <c r="AA79" s="39"/>
      <c r="AB79" s="39"/>
      <c r="AC79" s="106">
        <f>(AB8+AB41+AB50+AB54)/(1-'расчет 2022'!E7)*'расчет 2022'!E7</f>
        <v>71574.61605369598</v>
      </c>
      <c r="AD79" s="45"/>
      <c r="AE79" s="45"/>
      <c r="AF79" s="39"/>
      <c r="AG79" s="39"/>
      <c r="AH79" s="106">
        <f>(AG8+AG41+AG50+AG54)/(1-'расчет 2022'!E8)*'расчет 2022'!E8</f>
        <v>41845.961938586428</v>
      </c>
      <c r="AI79" s="45"/>
      <c r="AJ79" s="45"/>
      <c r="AK79" s="39"/>
      <c r="AL79" s="39"/>
      <c r="AM79" s="106" t="e">
        <f>(AL8+AL41+AL50+AL54)/(1-'расчет 2022'!E9)*'расчет 2022'!E9</f>
        <v>#DIV/0!</v>
      </c>
      <c r="AN79" s="45"/>
      <c r="AO79" s="45"/>
      <c r="AP79" s="39">
        <v>387462.00999999995</v>
      </c>
      <c r="AQ79" s="39">
        <v>161096</v>
      </c>
      <c r="AR79" s="106">
        <f>(AQ8+AQ41+AQ50+AQ54)/(1-'расчет 2022'!J9)*'расчет 2022'!J9</f>
        <v>0</v>
      </c>
      <c r="AS79" s="45"/>
      <c r="AT79" s="45"/>
      <c r="AU79" s="39">
        <f>G79+L79+Q79+V79+AA79+AF79+AK79+AP79</f>
        <v>387462.00999999995</v>
      </c>
      <c r="AV79" s="39">
        <f>H79+M79+R79+W79+AB79+AG79+AL79+AQ79</f>
        <v>161096</v>
      </c>
      <c r="AW79" s="106">
        <f>AU79</f>
        <v>387462.00999999995</v>
      </c>
      <c r="AX79" s="45"/>
      <c r="AY79" s="45"/>
      <c r="AZ79" s="452">
        <f>(BA8+BA35+BA41+BA50+BA54+BA73+AY79)/0.87*0.13</f>
        <v>387462.00999999995</v>
      </c>
      <c r="BA79" s="452"/>
      <c r="BB79" s="446">
        <f>AZ79+BA79</f>
        <v>387462.00999999995</v>
      </c>
      <c r="BC79" s="693"/>
      <c r="BD79" s="842"/>
      <c r="BE79" s="842"/>
    </row>
    <row r="80" spans="1:57" ht="13.8" x14ac:dyDescent="0.25">
      <c r="A80" s="3"/>
      <c r="B80" s="25"/>
      <c r="C80" s="143"/>
      <c r="D80" s="144"/>
      <c r="E80" s="145"/>
      <c r="F80" s="187"/>
      <c r="G80" s="69"/>
      <c r="H80" s="69"/>
      <c r="I80" s="69"/>
      <c r="J80" s="177"/>
      <c r="K80" s="282"/>
      <c r="L80" s="39"/>
      <c r="M80" s="39"/>
      <c r="N80" s="69"/>
      <c r="O80" s="69"/>
      <c r="P80" s="69"/>
      <c r="Q80" s="39"/>
      <c r="R80" s="39"/>
      <c r="S80" s="69"/>
      <c r="T80" s="69"/>
      <c r="U80" s="69"/>
      <c r="V80" s="39"/>
      <c r="W80" s="39"/>
      <c r="X80" s="69"/>
      <c r="Y80" s="69"/>
      <c r="Z80" s="69"/>
      <c r="AA80" s="39"/>
      <c r="AB80" s="39"/>
      <c r="AC80" s="69"/>
      <c r="AD80" s="69"/>
      <c r="AE80" s="69"/>
      <c r="AF80" s="39"/>
      <c r="AG80" s="39"/>
      <c r="AH80" s="69"/>
      <c r="AI80" s="69"/>
      <c r="AJ80" s="69"/>
      <c r="AK80" s="39"/>
      <c r="AL80" s="39"/>
      <c r="AM80" s="69"/>
      <c r="AN80" s="69"/>
      <c r="AO80" s="69"/>
      <c r="AP80" s="39"/>
      <c r="AQ80" s="39"/>
      <c r="AR80" s="69"/>
      <c r="AS80" s="69"/>
      <c r="AT80" s="69"/>
      <c r="AU80" s="39"/>
      <c r="AV80" s="39"/>
      <c r="AW80" s="69"/>
      <c r="AX80" s="69"/>
      <c r="AY80" s="69"/>
      <c r="AZ80" s="452"/>
      <c r="BA80" s="452"/>
      <c r="BB80" s="678"/>
      <c r="BC80" s="678"/>
      <c r="BD80" s="842"/>
      <c r="BE80" s="842"/>
    </row>
    <row r="81" spans="1:57" s="2" customFormat="1" ht="14.4" thickBot="1" x14ac:dyDescent="0.3">
      <c r="A81" s="26"/>
      <c r="B81" s="27" t="s">
        <v>12</v>
      </c>
      <c r="C81" s="139">
        <f>(C75+C78)-C79</f>
        <v>4942496</v>
      </c>
      <c r="D81" s="139">
        <f>(D75+D78)-D79</f>
        <v>-2208588.2000000002</v>
      </c>
      <c r="E81" s="140">
        <f>(E75+E78)-E79</f>
        <v>2733907.8</v>
      </c>
      <c r="F81" s="173"/>
      <c r="G81" s="139">
        <f>(G75+G78)-G79</f>
        <v>-265573.75999999995</v>
      </c>
      <c r="H81" s="139">
        <f>(H75+H78)-H79</f>
        <v>-143275.74000000002</v>
      </c>
      <c r="I81" s="140">
        <f>(I75+I78)-I79</f>
        <v>-428563.09721109795</v>
      </c>
      <c r="J81" s="198"/>
      <c r="K81" s="283"/>
      <c r="L81" s="139">
        <f>(L75+L78)-L79</f>
        <v>2836280.5060000001</v>
      </c>
      <c r="M81" s="139">
        <f>(M75+M78)-M79</f>
        <v>-577893.17000000004</v>
      </c>
      <c r="N81" s="140">
        <f>(N75+N78)-N79</f>
        <v>2172035.4830114939</v>
      </c>
      <c r="O81" s="67"/>
      <c r="P81" s="67"/>
      <c r="Q81" s="139">
        <f>(Q75+Q78)-Q79</f>
        <v>-471188.315</v>
      </c>
      <c r="R81" s="139">
        <f>(R75+R78)-R79</f>
        <v>-333546.93</v>
      </c>
      <c r="S81" s="140">
        <f>(S75+S78)-S79</f>
        <v>-854575.59086206881</v>
      </c>
      <c r="T81" s="67"/>
      <c r="U81" s="67"/>
      <c r="V81" s="139">
        <f>(V75+V78)-V79</f>
        <v>1859704.5720000002</v>
      </c>
      <c r="W81" s="139">
        <f>(W75+W78)-W79</f>
        <v>-360639.86000000004</v>
      </c>
      <c r="X81" s="140">
        <f>(X75+X78)-X79</f>
        <v>1445175.9972873563</v>
      </c>
      <c r="Y81" s="67"/>
      <c r="Z81" s="67"/>
      <c r="AA81" s="139">
        <f>(AA75+AA78)-AA79</f>
        <v>1307505.6639999999</v>
      </c>
      <c r="AB81" s="139">
        <f>(AB75+AB78)-AB79</f>
        <v>-579432.30000000005</v>
      </c>
      <c r="AC81" s="140">
        <f>(AC75+AC78)-AC79</f>
        <v>656498.74794630392</v>
      </c>
      <c r="AD81" s="67"/>
      <c r="AE81" s="67"/>
      <c r="AF81" s="139">
        <f>(AF75+AF78)-AF79</f>
        <v>365533.31400000007</v>
      </c>
      <c r="AG81" s="139">
        <f>(AG75+AG78)-AG79</f>
        <v>-288930.81</v>
      </c>
      <c r="AH81" s="140">
        <f>(AH75+AH78)-AH79</f>
        <v>34756.542061413646</v>
      </c>
      <c r="AI81" s="67"/>
      <c r="AJ81" s="67"/>
      <c r="AK81" s="139">
        <f>(AK75+AK78)-AK79</f>
        <v>304902.60199999996</v>
      </c>
      <c r="AL81" s="139">
        <f>(AL75+AL78)-AL79</f>
        <v>-208670</v>
      </c>
      <c r="AM81" s="140" t="e">
        <f>(AM75+AM78)-AM79</f>
        <v>#DIV/0!</v>
      </c>
      <c r="AN81" s="67"/>
      <c r="AO81" s="67"/>
      <c r="AP81" s="139">
        <f>(AP75+AP78)-AP79</f>
        <v>-295292.81500000146</v>
      </c>
      <c r="AQ81" s="139">
        <f>(AQ75+AQ78)-AQ79</f>
        <v>-261722.17999999982</v>
      </c>
      <c r="AR81" s="140">
        <f>(AR75+AR78)-AR79</f>
        <v>-8456.985000001323</v>
      </c>
      <c r="AS81" s="67"/>
      <c r="AT81" s="67"/>
      <c r="AU81" s="139">
        <f>(AU75+AU78)-AU79</f>
        <v>5641871.7679999992</v>
      </c>
      <c r="AV81" s="139">
        <f>(AV75+AV78)-AV79</f>
        <v>-2754110.9899999998</v>
      </c>
      <c r="AW81" s="140">
        <f>(AW75+AW78)-AW79</f>
        <v>3048856.7780000009</v>
      </c>
      <c r="AX81" s="67"/>
      <c r="AY81" s="67"/>
      <c r="AZ81" s="587">
        <f>(AZ75+AZ78)-AZ79</f>
        <v>5641871.7679999992</v>
      </c>
      <c r="BA81" s="587">
        <f>(BA75+BA78)-BA79</f>
        <v>-2593014.9899999998</v>
      </c>
      <c r="BB81" s="674">
        <f>(BB75+BB78)-BB79</f>
        <v>3048856.7780000009</v>
      </c>
      <c r="BC81" s="675"/>
      <c r="BD81" s="842"/>
      <c r="BE81" s="842"/>
    </row>
    <row r="82" spans="1:57" s="2" customFormat="1" ht="13.8" x14ac:dyDescent="0.25">
      <c r="A82" s="293"/>
      <c r="B82" s="6" t="s">
        <v>38</v>
      </c>
      <c r="C82" s="141"/>
      <c r="D82" s="142"/>
      <c r="E82" s="146">
        <f>C82+D82</f>
        <v>0</v>
      </c>
      <c r="F82" s="180">
        <f>E82/$E$89</f>
        <v>0</v>
      </c>
      <c r="G82" s="141"/>
      <c r="H82" s="142"/>
      <c r="I82" s="146">
        <f>G82+H82</f>
        <v>0</v>
      </c>
      <c r="J82" s="178">
        <f>I82/$I$89</f>
        <v>0</v>
      </c>
      <c r="K82" s="284"/>
      <c r="L82" s="39"/>
      <c r="M82" s="39"/>
      <c r="N82" s="146">
        <f>L82+M82</f>
        <v>0</v>
      </c>
      <c r="O82" s="101"/>
      <c r="P82" s="101"/>
      <c r="Q82" s="39"/>
      <c r="R82" s="39"/>
      <c r="S82" s="146">
        <f>Q82+R82</f>
        <v>0</v>
      </c>
      <c r="T82" s="101"/>
      <c r="U82" s="101"/>
      <c r="V82" s="39"/>
      <c r="W82" s="39"/>
      <c r="X82" s="146">
        <f>V82+W82</f>
        <v>0</v>
      </c>
      <c r="Y82" s="101"/>
      <c r="Z82" s="101"/>
      <c r="AA82" s="39"/>
      <c r="AB82" s="39"/>
      <c r="AC82" s="146">
        <f>AA82+AB82</f>
        <v>0</v>
      </c>
      <c r="AD82" s="101"/>
      <c r="AE82" s="101"/>
      <c r="AF82" s="39"/>
      <c r="AG82" s="39"/>
      <c r="AH82" s="146">
        <f>AF82+AG82</f>
        <v>0</v>
      </c>
      <c r="AI82" s="101"/>
      <c r="AJ82" s="101"/>
      <c r="AK82" s="39"/>
      <c r="AL82" s="39"/>
      <c r="AM82" s="146">
        <f>AK82+AL82</f>
        <v>0</v>
      </c>
      <c r="AN82" s="101"/>
      <c r="AO82" s="101"/>
      <c r="AP82" s="39"/>
      <c r="AQ82" s="39"/>
      <c r="AR82" s="146">
        <f>AP82+AQ82</f>
        <v>0</v>
      </c>
      <c r="AS82" s="101"/>
      <c r="AT82" s="101"/>
      <c r="AU82" s="39">
        <f>G82+L82+Q82+V82+AA82+AF82</f>
        <v>0</v>
      </c>
      <c r="AV82" s="39">
        <f>H82+M82+R82+W82+AB82+AG82</f>
        <v>0</v>
      </c>
      <c r="AW82" s="146">
        <f>AU82+AV82*1</f>
        <v>0</v>
      </c>
      <c r="AX82" s="101"/>
      <c r="AY82" s="101"/>
      <c r="AZ82" s="452"/>
      <c r="BA82" s="452"/>
      <c r="BB82" s="565">
        <f>AZ82+BA82</f>
        <v>0</v>
      </c>
      <c r="BC82" s="642"/>
      <c r="BD82" s="842"/>
      <c r="BE82" s="842"/>
    </row>
    <row r="83" spans="1:57" s="2" customFormat="1" ht="13.8" x14ac:dyDescent="0.25">
      <c r="A83" s="11"/>
      <c r="B83" s="28" t="s">
        <v>13</v>
      </c>
      <c r="C83" s="147">
        <f>(C81+C7)-C36</f>
        <v>4871746</v>
      </c>
      <c r="D83" s="147">
        <f>(D81+D7)-D36</f>
        <v>-2208588.2000000002</v>
      </c>
      <c r="E83" s="147">
        <f>(E81+E7)-E36</f>
        <v>2663157.7999999998</v>
      </c>
      <c r="F83" s="174"/>
      <c r="G83" s="147">
        <f>(G81+G7)-G36</f>
        <v>-265573.75999999995</v>
      </c>
      <c r="H83" s="147">
        <f>(H81+H7)-H36</f>
        <v>-143275.74000000002</v>
      </c>
      <c r="I83" s="148">
        <f>(I81+I7)-I36</f>
        <v>-428563.09721109795</v>
      </c>
      <c r="J83" s="199"/>
      <c r="K83" s="285"/>
      <c r="L83" s="147">
        <f>(L81+L7)-L36</f>
        <v>2836280.5060000001</v>
      </c>
      <c r="M83" s="147">
        <f>(M81+M7)-M36</f>
        <v>-577893.17000000004</v>
      </c>
      <c r="N83" s="148">
        <f>(N81+N7)-N36</f>
        <v>2172035.4830114939</v>
      </c>
      <c r="O83" s="70"/>
      <c r="P83" s="70"/>
      <c r="Q83" s="147">
        <f>(Q81+Q7)-Q36</f>
        <v>-471188.315</v>
      </c>
      <c r="R83" s="147">
        <f>(R81+R7)-R36</f>
        <v>-333546.93</v>
      </c>
      <c r="S83" s="148">
        <f>(S81+S7)-S36</f>
        <v>-854575.59086206881</v>
      </c>
      <c r="T83" s="70"/>
      <c r="U83" s="70"/>
      <c r="V83" s="147">
        <f>(V81+V7)-V36</f>
        <v>1859704.5720000002</v>
      </c>
      <c r="W83" s="147">
        <f>(W81+W7)-W36</f>
        <v>-360639.86000000004</v>
      </c>
      <c r="X83" s="148">
        <f>(X81+X7)-X36</f>
        <v>1445175.9972873563</v>
      </c>
      <c r="Y83" s="70"/>
      <c r="Z83" s="70"/>
      <c r="AA83" s="147">
        <f>(AA81+AA7)-AA36</f>
        <v>1307505.6639999999</v>
      </c>
      <c r="AB83" s="147">
        <f>(AB81+AB7)-AB36</f>
        <v>-579432.30000000005</v>
      </c>
      <c r="AC83" s="148">
        <f>(AC81+AC7)-AC36</f>
        <v>656498.74794630392</v>
      </c>
      <c r="AD83" s="70"/>
      <c r="AE83" s="70"/>
      <c r="AF83" s="147">
        <f>(AF81+AF7)-AF36</f>
        <v>365533.31400000007</v>
      </c>
      <c r="AG83" s="147">
        <f>(AG81+AG7)-AG36</f>
        <v>-288930.81</v>
      </c>
      <c r="AH83" s="148">
        <f>(AH81+AH7)-AH36</f>
        <v>34756.542061413646</v>
      </c>
      <c r="AI83" s="70"/>
      <c r="AJ83" s="70"/>
      <c r="AK83" s="147">
        <f>(AK81+AK7)-AK36</f>
        <v>304902.60199999996</v>
      </c>
      <c r="AL83" s="147">
        <f>(AL81+AL7)-AL36</f>
        <v>-208670</v>
      </c>
      <c r="AM83" s="148" t="e">
        <f>(AM81+AM7)-AM36</f>
        <v>#DIV/0!</v>
      </c>
      <c r="AN83" s="70"/>
      <c r="AO83" s="70"/>
      <c r="AP83" s="147">
        <f>(AP81+AP7)-AP36</f>
        <v>-295292.81500000146</v>
      </c>
      <c r="AQ83" s="147">
        <f>(AQ81+AQ7)-AQ36</f>
        <v>-261722.17999999982</v>
      </c>
      <c r="AR83" s="148">
        <f>(AR81+AR7)-AR36</f>
        <v>-8456.985000001323</v>
      </c>
      <c r="AS83" s="70"/>
      <c r="AT83" s="70"/>
      <c r="AU83" s="147">
        <f>(AU81+AU7)-AU36</f>
        <v>5641871.7679999992</v>
      </c>
      <c r="AV83" s="147">
        <f>(AV81+AV7)-AV36</f>
        <v>-2754110.9899999998</v>
      </c>
      <c r="AW83" s="148">
        <f>(AW81+AW7)-AW36</f>
        <v>3048856.7780000009</v>
      </c>
      <c r="AX83" s="70"/>
      <c r="AY83" s="70"/>
      <c r="AZ83" s="679">
        <f>(AZ81+AZ7)-AZ36</f>
        <v>5641871.7679999992</v>
      </c>
      <c r="BA83" s="679">
        <f>(BA81+BA7)-BA36</f>
        <v>-2593014.9899999998</v>
      </c>
      <c r="BB83" s="680">
        <f>(BB81+BB7)-BB36</f>
        <v>3048856.7780000009</v>
      </c>
      <c r="BC83" s="681"/>
      <c r="BD83" s="842"/>
      <c r="BE83" s="842"/>
    </row>
    <row r="84" spans="1:57" s="2" customFormat="1" ht="14.4" thickBot="1" x14ac:dyDescent="0.3">
      <c r="A84" s="11"/>
      <c r="B84" s="211" t="s">
        <v>14</v>
      </c>
      <c r="C84" s="212">
        <f>C83-C73-C82</f>
        <v>4519707.46</v>
      </c>
      <c r="D84" s="212">
        <f>D83-D73-D82</f>
        <v>-2208588.2000000002</v>
      </c>
      <c r="E84" s="212">
        <f>E83-E73-E82</f>
        <v>2311119.2599999998</v>
      </c>
      <c r="F84" s="214"/>
      <c r="G84" s="212">
        <f>G83-G73-G82</f>
        <v>-265573.75999999995</v>
      </c>
      <c r="H84" s="212">
        <f>H83-H73-H82</f>
        <v>-143275.74000000002</v>
      </c>
      <c r="I84" s="213">
        <f>I83-I73-I82</f>
        <v>-428563.09721109795</v>
      </c>
      <c r="J84" s="215"/>
      <c r="K84" s="286"/>
      <c r="L84" s="213">
        <f>L83-L73-L82</f>
        <v>2836280.5060000001</v>
      </c>
      <c r="M84" s="213">
        <f>M83-M73-M82</f>
        <v>-577893.17000000004</v>
      </c>
      <c r="N84" s="213">
        <f>N83-N73-N82</f>
        <v>2172035.4830114939</v>
      </c>
      <c r="O84" s="82"/>
      <c r="P84" s="82"/>
      <c r="Q84" s="213">
        <f>Q83-Q73-Q82</f>
        <v>-471188.315</v>
      </c>
      <c r="R84" s="213">
        <f>R83-R73-R82</f>
        <v>-333546.93</v>
      </c>
      <c r="S84" s="213">
        <f>S83-S73-S82</f>
        <v>-854575.59086206881</v>
      </c>
      <c r="T84" s="82"/>
      <c r="U84" s="82"/>
      <c r="V84" s="213">
        <f>V83-V73-V82</f>
        <v>1859704.5720000002</v>
      </c>
      <c r="W84" s="213">
        <f>W83-W73-W82</f>
        <v>-360639.86000000004</v>
      </c>
      <c r="X84" s="213">
        <f>X83-X73-X82</f>
        <v>1445175.9972873563</v>
      </c>
      <c r="Y84" s="82"/>
      <c r="Z84" s="82"/>
      <c r="AA84" s="589">
        <f>AA83-AA73-AA82</f>
        <v>1307505.6639999999</v>
      </c>
      <c r="AB84" s="589">
        <f>AB83-AB73-AB82</f>
        <v>-579432.30000000005</v>
      </c>
      <c r="AC84" s="213">
        <f>AC83-AC73-AC82</f>
        <v>656498.74794630392</v>
      </c>
      <c r="AD84" s="82"/>
      <c r="AE84" s="82"/>
      <c r="AF84" s="589">
        <f>AF83-AF73-AF82</f>
        <v>365533.31400000007</v>
      </c>
      <c r="AG84" s="589">
        <f>AG83-AG73-AG82</f>
        <v>-288930.81</v>
      </c>
      <c r="AH84" s="213">
        <f>AH83-AH73-AH82</f>
        <v>34756.542061413646</v>
      </c>
      <c r="AI84" s="82"/>
      <c r="AJ84" s="82"/>
      <c r="AK84" s="589">
        <f>AK83-AK73-AK82</f>
        <v>304902.60199999996</v>
      </c>
      <c r="AL84" s="589">
        <f>AL83-AL73-AL82</f>
        <v>-208670</v>
      </c>
      <c r="AM84" s="213" t="e">
        <f>AM83-AM73-AM82</f>
        <v>#DIV/0!</v>
      </c>
      <c r="AN84" s="82"/>
      <c r="AO84" s="82"/>
      <c r="AP84" s="589">
        <f>AP83-AP73-AP82</f>
        <v>-659155.49560000142</v>
      </c>
      <c r="AQ84" s="589">
        <f>AQ83-AQ73-AQ82</f>
        <v>-261722.17999999982</v>
      </c>
      <c r="AR84" s="213">
        <f>AR83-AR73-AR82</f>
        <v>-372319.66560000129</v>
      </c>
      <c r="AS84" s="82"/>
      <c r="AT84" s="82"/>
      <c r="AU84" s="589">
        <f>AU83-AU73-AU82</f>
        <v>5278009.0873999996</v>
      </c>
      <c r="AV84" s="589">
        <f>AV83-AV73-AV82</f>
        <v>-2754110.9899999998</v>
      </c>
      <c r="AW84" s="213">
        <f>AW83-AW73-AW82</f>
        <v>2684994.0974000008</v>
      </c>
      <c r="AX84" s="82"/>
      <c r="AY84" s="82"/>
      <c r="AZ84" s="562">
        <f>AZ83-AZ73-AZ82</f>
        <v>5278009.0873999996</v>
      </c>
      <c r="BA84" s="562">
        <f>BA83-BA73-BA82</f>
        <v>-2593014.9899999998</v>
      </c>
      <c r="BB84" s="562">
        <f>BB83-BB73-BB82</f>
        <v>2684994.0974000008</v>
      </c>
      <c r="BC84" s="537"/>
      <c r="BD84" s="842"/>
      <c r="BE84" s="842"/>
    </row>
    <row r="85" spans="1:57" s="2" customFormat="1" ht="13.8" x14ac:dyDescent="0.25">
      <c r="A85" s="293"/>
      <c r="B85" s="216" t="s">
        <v>44</v>
      </c>
      <c r="C85" s="141"/>
      <c r="D85" s="142"/>
      <c r="E85" s="146">
        <f>C85+D85</f>
        <v>0</v>
      </c>
      <c r="F85" s="217">
        <f>E85/$E$89</f>
        <v>0</v>
      </c>
      <c r="G85" s="102"/>
      <c r="H85" s="102"/>
      <c r="I85" s="146">
        <f>G85+H85</f>
        <v>0</v>
      </c>
      <c r="J85" s="178">
        <f>I85/$I$89</f>
        <v>0</v>
      </c>
      <c r="K85" s="287"/>
      <c r="L85" s="39"/>
      <c r="M85" s="39"/>
      <c r="N85" s="219">
        <f>L85+M85*1.15</f>
        <v>0</v>
      </c>
      <c r="O85" s="102"/>
      <c r="P85" s="102"/>
      <c r="Q85" s="39"/>
      <c r="R85" s="39"/>
      <c r="S85" s="219">
        <f>Q85+R85*1.15</f>
        <v>0</v>
      </c>
      <c r="T85" s="102"/>
      <c r="U85" s="102"/>
      <c r="V85" s="39"/>
      <c r="W85" s="39"/>
      <c r="X85" s="219">
        <f>V85+W85*1.15</f>
        <v>0</v>
      </c>
      <c r="Y85" s="102"/>
      <c r="Z85" s="102"/>
      <c r="AA85" s="39"/>
      <c r="AB85" s="39"/>
      <c r="AC85" s="219">
        <f>AA85+AB85*1.15</f>
        <v>0</v>
      </c>
      <c r="AD85" s="102"/>
      <c r="AE85" s="102"/>
      <c r="AF85" s="39"/>
      <c r="AG85" s="39"/>
      <c r="AH85" s="219">
        <f>AF85+AG85*1.15</f>
        <v>0</v>
      </c>
      <c r="AI85" s="102"/>
      <c r="AJ85" s="102"/>
      <c r="AK85" s="39"/>
      <c r="AL85" s="39"/>
      <c r="AM85" s="219">
        <f>AK85+AL85*1.15</f>
        <v>0</v>
      </c>
      <c r="AN85" s="102"/>
      <c r="AO85" s="102"/>
      <c r="AP85" s="39"/>
      <c r="AQ85" s="39"/>
      <c r="AR85" s="219">
        <f>AP85+AQ85*1.15</f>
        <v>0</v>
      </c>
      <c r="AS85" s="102"/>
      <c r="AT85" s="102"/>
      <c r="AU85" s="39">
        <f>G85+L85+Q85+V85+AA85+AF85</f>
        <v>0</v>
      </c>
      <c r="AV85" s="39">
        <f>H85+M85+R85+W85+AB85+AG85</f>
        <v>0</v>
      </c>
      <c r="AW85" s="219">
        <f>AU85+AV85*1</f>
        <v>0</v>
      </c>
      <c r="AX85" s="102"/>
      <c r="AY85" s="102"/>
      <c r="AZ85" s="488"/>
      <c r="BA85" s="488"/>
      <c r="BB85" s="484">
        <f>AZ85+BA85*1.15</f>
        <v>0</v>
      </c>
      <c r="BC85" s="566"/>
      <c r="BD85" s="842"/>
      <c r="BE85" s="842"/>
    </row>
    <row r="86" spans="1:57" s="2" customFormat="1" ht="27.6" x14ac:dyDescent="0.25">
      <c r="A86" s="11"/>
      <c r="B86" s="37" t="s">
        <v>50</v>
      </c>
      <c r="C86" s="149">
        <f>C84-C85</f>
        <v>4519707.46</v>
      </c>
      <c r="D86" s="149">
        <f>D84-D85</f>
        <v>-2208588.2000000002</v>
      </c>
      <c r="E86" s="150">
        <f>E84-E85</f>
        <v>2311119.2599999998</v>
      </c>
      <c r="F86" s="175"/>
      <c r="G86" s="72">
        <f>G84-G85</f>
        <v>-265573.75999999995</v>
      </c>
      <c r="H86" s="72">
        <f>H84-H85</f>
        <v>-143275.74000000002</v>
      </c>
      <c r="I86" s="73">
        <f>I84-I85</f>
        <v>-428563.09721109795</v>
      </c>
      <c r="J86" s="200"/>
      <c r="K86" s="288"/>
      <c r="L86" s="150">
        <f>L84-L85</f>
        <v>2836280.5060000001</v>
      </c>
      <c r="M86" s="150">
        <f>M84-M85</f>
        <v>-577893.17000000004</v>
      </c>
      <c r="N86" s="150">
        <f>N84-N85</f>
        <v>2172035.4830114939</v>
      </c>
      <c r="O86" s="73"/>
      <c r="P86" s="73"/>
      <c r="Q86" s="150">
        <f>Q84-Q85</f>
        <v>-471188.315</v>
      </c>
      <c r="R86" s="150">
        <f>R84-R85</f>
        <v>-333546.93</v>
      </c>
      <c r="S86" s="150">
        <f>S84-S85</f>
        <v>-854575.59086206881</v>
      </c>
      <c r="T86" s="73"/>
      <c r="U86" s="73"/>
      <c r="V86" s="150">
        <f>V84-V85</f>
        <v>1859704.5720000002</v>
      </c>
      <c r="W86" s="150">
        <f>W84-W85</f>
        <v>-360639.86000000004</v>
      </c>
      <c r="X86" s="150">
        <f>X84-X85</f>
        <v>1445175.9972873563</v>
      </c>
      <c r="Y86" s="73"/>
      <c r="Z86" s="73"/>
      <c r="AA86" s="150">
        <f>AA84-AA85</f>
        <v>1307505.6639999999</v>
      </c>
      <c r="AB86" s="150">
        <f>AB84-AB85</f>
        <v>-579432.30000000005</v>
      </c>
      <c r="AC86" s="150">
        <f>AC84-AC85</f>
        <v>656498.74794630392</v>
      </c>
      <c r="AD86" s="73"/>
      <c r="AE86" s="73"/>
      <c r="AF86" s="150">
        <f>AF84-AF85</f>
        <v>365533.31400000007</v>
      </c>
      <c r="AG86" s="150">
        <f>AG84-AG85</f>
        <v>-288930.81</v>
      </c>
      <c r="AH86" s="150">
        <f>AH84-AH85</f>
        <v>34756.542061413646</v>
      </c>
      <c r="AI86" s="73"/>
      <c r="AJ86" s="73"/>
      <c r="AK86" s="150">
        <f>AK84-AK85</f>
        <v>304902.60199999996</v>
      </c>
      <c r="AL86" s="150">
        <f>AL84-AL85</f>
        <v>-208670</v>
      </c>
      <c r="AM86" s="150" t="e">
        <f>AM84-AM85</f>
        <v>#DIV/0!</v>
      </c>
      <c r="AN86" s="73"/>
      <c r="AO86" s="73"/>
      <c r="AP86" s="150">
        <f>AP84-AP85</f>
        <v>-659155.49560000142</v>
      </c>
      <c r="AQ86" s="150">
        <f>AQ84-AQ85</f>
        <v>-261722.17999999982</v>
      </c>
      <c r="AR86" s="150">
        <f>AR84-AR85</f>
        <v>-372319.66560000129</v>
      </c>
      <c r="AS86" s="73"/>
      <c r="AT86" s="73"/>
      <c r="AU86" s="150">
        <f>AU84-AU85</f>
        <v>5278009.0873999996</v>
      </c>
      <c r="AV86" s="150">
        <f>AV84-AV85</f>
        <v>-2754110.9899999998</v>
      </c>
      <c r="AW86" s="150">
        <f>AW84-AW85</f>
        <v>2684994.0974000008</v>
      </c>
      <c r="AX86" s="73"/>
      <c r="AY86" s="73"/>
      <c r="AZ86" s="569">
        <f>AZ84-AZ85</f>
        <v>5278009.0873999996</v>
      </c>
      <c r="BA86" s="569">
        <f>BA84-BA85</f>
        <v>-2593014.9899999998</v>
      </c>
      <c r="BB86" s="569">
        <f>BB84-BB85</f>
        <v>2684994.0974000008</v>
      </c>
      <c r="BC86" s="538"/>
      <c r="BD86" s="842"/>
      <c r="BE86" s="842"/>
    </row>
    <row r="87" spans="1:57" s="2" customFormat="1" ht="14.4" thickBot="1" x14ac:dyDescent="0.3">
      <c r="A87" s="295"/>
      <c r="B87" s="29" t="s">
        <v>51</v>
      </c>
      <c r="C87" s="155">
        <f>C86/C5</f>
        <v>0.38516016967914934</v>
      </c>
      <c r="D87" s="151" t="e">
        <f>D86/D5</f>
        <v>#DIV/0!</v>
      </c>
      <c r="E87" s="156">
        <f>E86/E5</f>
        <v>0.19694882781868142</v>
      </c>
      <c r="F87" s="176"/>
      <c r="G87" s="74" t="e">
        <f>G86/G5</f>
        <v>#DIV/0!</v>
      </c>
      <c r="H87" s="74" t="e">
        <f>H86/H5</f>
        <v>#DIV/0!</v>
      </c>
      <c r="I87" s="75" t="e">
        <f>I86/I5</f>
        <v>#DIV/0!</v>
      </c>
      <c r="J87" s="201"/>
      <c r="K87" s="289"/>
      <c r="L87" s="155">
        <f>L86/L5</f>
        <v>0.77177154618288002</v>
      </c>
      <c r="M87" s="151" t="e">
        <f>M86/M5</f>
        <v>#DIV/0!</v>
      </c>
      <c r="N87" s="156">
        <f>N86/N5</f>
        <v>0.59102588038866533</v>
      </c>
      <c r="O87" s="75"/>
      <c r="P87" s="75"/>
      <c r="Q87" s="155" t="e">
        <f>Q86/Q5</f>
        <v>#DIV/0!</v>
      </c>
      <c r="R87" s="151" t="e">
        <f>R86/R5</f>
        <v>#DIV/0!</v>
      </c>
      <c r="S87" s="156" t="e">
        <f>S86/S5</f>
        <v>#DIV/0!</v>
      </c>
      <c r="T87" s="75"/>
      <c r="U87" s="75"/>
      <c r="V87" s="155">
        <f>V86/V5</f>
        <v>0.43208673653949969</v>
      </c>
      <c r="W87" s="151" t="e">
        <f>W86/W5</f>
        <v>#DIV/0!</v>
      </c>
      <c r="X87" s="156">
        <f>X86/X5</f>
        <v>0.33577450407704357</v>
      </c>
      <c r="Y87" s="75"/>
      <c r="Z87" s="75"/>
      <c r="AA87" s="155">
        <f>AA86/AA5</f>
        <v>0.53807518496310947</v>
      </c>
      <c r="AB87" s="151" t="e">
        <f>AB86/AB5</f>
        <v>#DIV/0!</v>
      </c>
      <c r="AC87" s="156">
        <f>AC86/AC5</f>
        <v>0.2701676137666485</v>
      </c>
      <c r="AD87" s="75"/>
      <c r="AE87" s="75"/>
      <c r="AF87" s="155">
        <f>AF86/AF5</f>
        <v>0.55041159204819745</v>
      </c>
      <c r="AG87" s="151" t="e">
        <f>AG86/AG5</f>
        <v>#DIV/0!</v>
      </c>
      <c r="AH87" s="156">
        <f>AH86/AH5</f>
        <v>5.2335595463982303E-2</v>
      </c>
      <c r="AI87" s="75"/>
      <c r="AJ87" s="75"/>
      <c r="AK87" s="155">
        <f>AK86/AK5</f>
        <v>0.28883078893641445</v>
      </c>
      <c r="AL87" s="151" t="e">
        <f>AL86/AL5</f>
        <v>#DIV/0!</v>
      </c>
      <c r="AM87" s="156" t="e">
        <f>AM86/AM5</f>
        <v>#DIV/0!</v>
      </c>
      <c r="AN87" s="75"/>
      <c r="AO87" s="75"/>
      <c r="AP87" s="155">
        <f>AP86/AP5</f>
        <v>-941650.70900226547</v>
      </c>
      <c r="AQ87" s="151" t="e">
        <f>AQ86/AQ5</f>
        <v>#DIV/0!</v>
      </c>
      <c r="AR87" s="156">
        <f>AR86/AR5</f>
        <v>-531885.23713755235</v>
      </c>
      <c r="AS87" s="75"/>
      <c r="AT87" s="75"/>
      <c r="AU87" s="155">
        <f>AU86/AU5</f>
        <v>0.43516491540407781</v>
      </c>
      <c r="AV87" s="151" t="e">
        <f>AV86/AV5</f>
        <v>#DIV/0!</v>
      </c>
      <c r="AW87" s="156">
        <f>AW86/AW5</f>
        <v>0.22137423598698136</v>
      </c>
      <c r="AX87" s="75"/>
      <c r="AY87" s="75"/>
      <c r="AZ87" s="575">
        <f>AZ86/AZ5</f>
        <v>0.43516491540407781</v>
      </c>
      <c r="BA87" s="575" t="e">
        <f>BA86/BA5</f>
        <v>#DIV/0!</v>
      </c>
      <c r="BB87" s="575">
        <f>BB86/BB5</f>
        <v>0.22137423598698136</v>
      </c>
      <c r="BC87" s="576"/>
      <c r="BD87" s="842"/>
      <c r="BE87" s="842"/>
    </row>
    <row r="88" spans="1:57" ht="13.8" x14ac:dyDescent="0.25">
      <c r="A88" s="30"/>
      <c r="B88" s="30"/>
      <c r="C88" s="152"/>
      <c r="D88" s="152"/>
      <c r="E88" s="152"/>
      <c r="F88" s="188"/>
      <c r="G88" s="76"/>
      <c r="H88" s="76"/>
      <c r="I88" s="76"/>
      <c r="J88" s="208"/>
      <c r="K88" s="208"/>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row>
    <row r="89" spans="1:57" x14ac:dyDescent="0.25">
      <c r="B89" s="221" t="s">
        <v>56</v>
      </c>
      <c r="C89" s="153"/>
      <c r="D89" s="153"/>
      <c r="E89" s="154">
        <f>E8+E36+E41+E50+E54+E73+E79+E82+E85</f>
        <v>9423498.7399999984</v>
      </c>
      <c r="F89" s="189"/>
      <c r="I89" s="154">
        <f>I8+I36+I41+I50+I54+I73+I79+I82+I85</f>
        <v>428563.09721109795</v>
      </c>
      <c r="N89" s="154">
        <f>N8+N36+N41+N50+N54+N73+N79+N82+N85</f>
        <v>1502990.5269885056</v>
      </c>
      <c r="S89" s="154">
        <f>S8+S36+S41+S50+S54+S73+S79+S82+S85</f>
        <v>854575.59086206881</v>
      </c>
      <c r="X89" s="154">
        <f>X8+X36+X41+X50+X54+X73+X79+X82+X85</f>
        <v>2858831.5427126433</v>
      </c>
      <c r="AC89" s="154">
        <f>AC8+AC36+AC41+AC50+AC54+AC73+AC79+AC82+AC85</f>
        <v>1773469.592053696</v>
      </c>
      <c r="AH89" s="154">
        <f>AH8+AH36+AH41+AH50+AH54+AH73+AH79+AH82+AH85</f>
        <v>629352.4979385864</v>
      </c>
      <c r="AM89" s="154" t="e">
        <f>AM8+AM36+AM41+AM50+AM54+AM73+AM79+AM82+AM85</f>
        <v>#DIV/0!</v>
      </c>
      <c r="AR89" s="154">
        <f>AR8+AR36+AR41+AR50+AR54+AR73+AR79+AR82+AR85</f>
        <v>372320.36560000054</v>
      </c>
      <c r="AW89" s="154">
        <f>AW8+AW36+AW41+AW50+AW54+AW73+AW79+AW82+AW85</f>
        <v>9443761.9226000011</v>
      </c>
      <c r="AZ89" s="38"/>
      <c r="BA89" s="38"/>
      <c r="BB89" s="154"/>
      <c r="BC89" s="38"/>
    </row>
    <row r="90" spans="1:57" x14ac:dyDescent="0.25">
      <c r="C90" s="153"/>
      <c r="D90" s="153"/>
      <c r="E90" s="153"/>
      <c r="AW90" s="393" t="e">
        <f>(N89+I89+S89+X89+AC89+AH89+AM89+AR89)</f>
        <v>#DIV/0!</v>
      </c>
      <c r="AZ90" s="395"/>
      <c r="BA90" s="395"/>
      <c r="BB90" s="395"/>
      <c r="BC90" s="395"/>
    </row>
    <row r="91" spans="1:57" s="2" customFormat="1" x14ac:dyDescent="0.25">
      <c r="A91" s="8"/>
      <c r="B91" s="8"/>
      <c r="C91" s="153"/>
      <c r="D91" s="153"/>
      <c r="E91" s="153"/>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95"/>
      <c r="BA91" s="395"/>
      <c r="BB91" s="395"/>
      <c r="BC91" s="395"/>
    </row>
    <row r="92" spans="1:57" x14ac:dyDescent="0.25">
      <c r="B92" s="629"/>
      <c r="C92" s="38"/>
      <c r="D92" s="38"/>
      <c r="AH92" s="38">
        <f>AH5-AH89</f>
        <v>34756.542061413638</v>
      </c>
      <c r="AM92" s="687" t="e">
        <f>AM5-AM89</f>
        <v>#DIV/0!</v>
      </c>
      <c r="AR92" s="687">
        <f>AR5-AR89</f>
        <v>-372319.66560000129</v>
      </c>
      <c r="AW92" s="687">
        <f>AW5-AW89</f>
        <v>2684994.0973999985</v>
      </c>
      <c r="AZ92" s="395"/>
      <c r="BA92" s="395"/>
      <c r="BB92" s="395"/>
      <c r="BC92" s="395"/>
    </row>
    <row r="93" spans="1:57" s="2" customFormat="1" x14ac:dyDescent="0.25">
      <c r="A93" s="8"/>
      <c r="B93" s="629"/>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95"/>
      <c r="BA93" s="395"/>
      <c r="BB93" s="395"/>
      <c r="BC93" s="395"/>
    </row>
    <row r="94" spans="1:57" s="2" customFormat="1" x14ac:dyDescent="0.25">
      <c r="A94" s="8"/>
      <c r="B94" s="629"/>
      <c r="C94" s="38"/>
      <c r="D94" s="38"/>
      <c r="E94" s="38"/>
      <c r="F94" s="38"/>
      <c r="G94" s="38"/>
      <c r="H94" s="38"/>
      <c r="I94" s="38"/>
      <c r="J94" s="38"/>
      <c r="K94" s="38"/>
      <c r="L94" s="38"/>
      <c r="M94" s="38"/>
      <c r="N94" s="38"/>
      <c r="O94" s="38"/>
      <c r="P94" s="38"/>
      <c r="Q94" s="38"/>
      <c r="R94" s="38"/>
      <c r="S94" s="38"/>
      <c r="T94" s="38"/>
      <c r="U94" s="38"/>
      <c r="V94" s="38"/>
      <c r="W94" s="38"/>
      <c r="X94" s="38"/>
      <c r="Y94" s="38"/>
      <c r="Z94" s="38"/>
      <c r="AA94" s="626"/>
      <c r="AB94" s="38"/>
      <c r="AC94" s="38"/>
      <c r="AD94" s="38"/>
      <c r="AE94" s="38"/>
      <c r="AF94" s="38"/>
      <c r="AG94" s="38"/>
      <c r="AH94" s="38"/>
      <c r="AI94" s="38"/>
      <c r="AJ94" s="38"/>
      <c r="AK94" s="38"/>
      <c r="AL94" s="38"/>
      <c r="AM94" s="38"/>
      <c r="AN94" s="38"/>
      <c r="AO94" s="38"/>
      <c r="AP94" s="38"/>
      <c r="AQ94" s="38"/>
      <c r="AR94" s="38"/>
      <c r="AS94" s="38"/>
      <c r="AT94" s="38"/>
      <c r="AU94" s="626"/>
      <c r="AV94" s="38"/>
      <c r="AW94" s="38"/>
      <c r="AX94" s="38"/>
      <c r="AY94" s="38"/>
      <c r="AZ94" s="395"/>
      <c r="BA94" s="395"/>
      <c r="BB94" s="395"/>
      <c r="BC94" s="395"/>
    </row>
    <row r="95" spans="1:57" s="2" customFormat="1" x14ac:dyDescent="0.25">
      <c r="A95" s="8"/>
      <c r="B95" s="629"/>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687"/>
      <c r="BA95" s="844"/>
      <c r="BB95" s="687"/>
      <c r="BC95" s="395"/>
    </row>
    <row r="96" spans="1:57" s="2" customFormat="1" x14ac:dyDescent="0.25">
      <c r="A96" s="8"/>
      <c r="B96" s="629"/>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687"/>
      <c r="BA96" s="844"/>
      <c r="BB96" s="687"/>
      <c r="BC96" s="395"/>
    </row>
    <row r="97" spans="1:55" x14ac:dyDescent="0.25">
      <c r="B97" s="629"/>
      <c r="C97" s="38"/>
      <c r="D97" s="38"/>
      <c r="AZ97" s="687"/>
      <c r="BA97" s="844"/>
      <c r="BB97" s="687"/>
      <c r="BC97" s="395"/>
    </row>
    <row r="98" spans="1:55" s="2" customFormat="1" x14ac:dyDescent="0.25">
      <c r="A98" s="8"/>
      <c r="B98" s="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687"/>
      <c r="BA98" s="844"/>
      <c r="BB98" s="687"/>
      <c r="BC98" s="395"/>
    </row>
    <row r="99" spans="1:55" x14ac:dyDescent="0.25">
      <c r="C99" s="38"/>
      <c r="D99" s="38"/>
      <c r="AZ99" s="687"/>
      <c r="BA99" s="844"/>
      <c r="BB99" s="687"/>
      <c r="BC99" s="395"/>
    </row>
    <row r="100" spans="1:55" x14ac:dyDescent="0.25">
      <c r="AZ100" s="687"/>
      <c r="BA100" s="844"/>
      <c r="BB100" s="687"/>
      <c r="BC100" s="395"/>
    </row>
    <row r="101" spans="1:55" x14ac:dyDescent="0.25">
      <c r="AZ101" s="687"/>
      <c r="BA101" s="395"/>
      <c r="BB101" s="395"/>
      <c r="BC101" s="395"/>
    </row>
    <row r="102" spans="1:55" x14ac:dyDescent="0.25">
      <c r="AZ102" s="687"/>
      <c r="BA102" s="395"/>
      <c r="BB102" s="395"/>
      <c r="BC102" s="395"/>
    </row>
    <row r="103" spans="1:55" x14ac:dyDescent="0.25">
      <c r="AZ103" s="687"/>
      <c r="BA103" s="395"/>
      <c r="BB103" s="395"/>
      <c r="BC103" s="395"/>
    </row>
    <row r="104" spans="1:55" x14ac:dyDescent="0.25">
      <c r="AZ104" s="687"/>
      <c r="BA104" s="395"/>
      <c r="BB104" s="395"/>
      <c r="BC104" s="395"/>
    </row>
    <row r="105" spans="1:55" x14ac:dyDescent="0.25">
      <c r="AZ105" s="687"/>
      <c r="BA105" s="395"/>
      <c r="BB105" s="395"/>
      <c r="BC105" s="395"/>
    </row>
    <row r="106" spans="1:55" x14ac:dyDescent="0.25">
      <c r="AZ106" s="687"/>
      <c r="BA106" s="395"/>
      <c r="BB106" s="395"/>
      <c r="BC106" s="395"/>
    </row>
    <row r="107" spans="1:55" x14ac:dyDescent="0.25">
      <c r="AZ107" s="395"/>
      <c r="BA107" s="395"/>
      <c r="BB107" s="395"/>
      <c r="BC107" s="395"/>
    </row>
    <row r="108" spans="1:55" x14ac:dyDescent="0.25">
      <c r="AZ108" s="38"/>
      <c r="BA108" s="395"/>
      <c r="BB108" s="395"/>
      <c r="BC108" s="395"/>
    </row>
    <row r="109" spans="1:55" x14ac:dyDescent="0.25">
      <c r="AZ109" s="38"/>
      <c r="BA109" s="395"/>
      <c r="BB109" s="395"/>
      <c r="BC109" s="395"/>
    </row>
  </sheetData>
  <mergeCells count="13">
    <mergeCell ref="AZ2:BC3"/>
    <mergeCell ref="AU2:AX3"/>
    <mergeCell ref="G2:J3"/>
    <mergeCell ref="A3:F3"/>
    <mergeCell ref="A42:A48"/>
    <mergeCell ref="A2:F2"/>
    <mergeCell ref="L2:O3"/>
    <mergeCell ref="Q2:T3"/>
    <mergeCell ref="V2:Y3"/>
    <mergeCell ref="AA2:AD3"/>
    <mergeCell ref="AF2:AI3"/>
    <mergeCell ref="AK2:AN3"/>
    <mergeCell ref="AP2:AS3"/>
  </mergeCells>
  <pageMargins left="0.7" right="0.7" top="0.75" bottom="0.75" header="0.3" footer="0.3"/>
  <pageSetup paperSize="9" orientation="portrait" r:id="rId1"/>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B1:Q23"/>
  <sheetViews>
    <sheetView workbookViewId="0">
      <selection activeCell="M24" sqref="M24"/>
    </sheetView>
  </sheetViews>
  <sheetFormatPr defaultRowHeight="14.4" x14ac:dyDescent="0.3"/>
  <cols>
    <col min="13" max="13" width="13.88671875" bestFit="1" customWidth="1"/>
  </cols>
  <sheetData>
    <row r="1" spans="2:17" x14ac:dyDescent="0.3">
      <c r="B1" s="3148"/>
      <c r="C1" s="3148"/>
      <c r="D1" s="3148"/>
      <c r="E1" s="3148"/>
      <c r="F1" s="3148"/>
      <c r="G1" s="3148"/>
      <c r="H1" s="3148"/>
      <c r="I1" s="3148"/>
      <c r="J1" s="3148"/>
      <c r="K1" s="3148"/>
      <c r="L1" s="3148"/>
      <c r="M1" s="3148" t="s">
        <v>1940</v>
      </c>
      <c r="N1" s="3148"/>
      <c r="O1" s="3161">
        <v>24</v>
      </c>
      <c r="P1" s="3148" t="s">
        <v>1941</v>
      </c>
      <c r="Q1" s="3161">
        <v>8</v>
      </c>
    </row>
    <row r="2" spans="2:17" ht="72.599999999999994" thickBot="1" x14ac:dyDescent="0.35">
      <c r="B2" s="3149" t="s">
        <v>1942</v>
      </c>
      <c r="C2" s="3149" t="s">
        <v>1943</v>
      </c>
      <c r="D2" s="3149" t="s">
        <v>1944</v>
      </c>
      <c r="E2" s="3150" t="s">
        <v>1945</v>
      </c>
      <c r="F2" s="3151" t="s">
        <v>1946</v>
      </c>
      <c r="G2" s="3151" t="s">
        <v>1270</v>
      </c>
      <c r="H2" s="3149" t="s">
        <v>1947</v>
      </c>
      <c r="I2" s="3149" t="s">
        <v>1948</v>
      </c>
      <c r="J2" s="3152" t="s">
        <v>1949</v>
      </c>
      <c r="K2" s="3152" t="s">
        <v>1950</v>
      </c>
      <c r="L2" s="3152" t="s">
        <v>19</v>
      </c>
      <c r="M2" s="3152" t="s">
        <v>1951</v>
      </c>
      <c r="N2" s="3152" t="s">
        <v>1952</v>
      </c>
      <c r="O2" s="3152" t="s">
        <v>1953</v>
      </c>
      <c r="P2" s="3152"/>
      <c r="Q2" s="3152"/>
    </row>
    <row r="3" spans="2:17" x14ac:dyDescent="0.3">
      <c r="B3" s="3153" t="s">
        <v>1954</v>
      </c>
      <c r="C3" s="3153" t="s">
        <v>1955</v>
      </c>
      <c r="D3" s="3153" t="s">
        <v>1956</v>
      </c>
      <c r="E3" s="3153" t="s">
        <v>1957</v>
      </c>
      <c r="F3" s="3154">
        <v>2008</v>
      </c>
      <c r="G3" s="3154">
        <v>1</v>
      </c>
      <c r="H3" s="3153">
        <v>125</v>
      </c>
      <c r="I3" s="3153" t="s">
        <v>1958</v>
      </c>
      <c r="J3" s="3155">
        <v>467.63</v>
      </c>
      <c r="K3" s="3155">
        <v>494.88</v>
      </c>
      <c r="L3" s="3148"/>
      <c r="M3" s="3159">
        <v>89784.959999999992</v>
      </c>
      <c r="N3" s="3159">
        <v>95016.959999999992</v>
      </c>
      <c r="O3" s="3148">
        <v>192</v>
      </c>
      <c r="P3" s="3148"/>
      <c r="Q3" s="3148"/>
    </row>
    <row r="4" spans="2:17" x14ac:dyDescent="0.3">
      <c r="B4" s="3156" t="s">
        <v>1959</v>
      </c>
      <c r="C4" s="3156" t="s">
        <v>1960</v>
      </c>
      <c r="D4" s="3156" t="s">
        <v>1961</v>
      </c>
      <c r="E4" s="3156" t="s">
        <v>1962</v>
      </c>
      <c r="F4" s="3157">
        <v>2011</v>
      </c>
      <c r="G4" s="3157">
        <v>1</v>
      </c>
      <c r="H4" s="3156">
        <v>125</v>
      </c>
      <c r="I4" s="3156" t="s">
        <v>1963</v>
      </c>
      <c r="J4" s="3155">
        <v>467.63</v>
      </c>
      <c r="K4" s="3155">
        <v>494.88</v>
      </c>
      <c r="L4" s="3148"/>
      <c r="M4" s="3159">
        <v>89784.959999999992</v>
      </c>
      <c r="N4" s="3159">
        <v>95016.959999999992</v>
      </c>
      <c r="O4" s="3148">
        <v>192</v>
      </c>
      <c r="P4" s="3148"/>
      <c r="Q4" s="3148"/>
    </row>
    <row r="5" spans="2:17" x14ac:dyDescent="0.3">
      <c r="B5" s="3156" t="s">
        <v>1964</v>
      </c>
      <c r="C5" s="3156" t="s">
        <v>1965</v>
      </c>
      <c r="D5" s="3156" t="s">
        <v>1966</v>
      </c>
      <c r="E5" s="3156" t="s">
        <v>1967</v>
      </c>
      <c r="F5" s="3157">
        <v>2012</v>
      </c>
      <c r="G5" s="3157">
        <v>1</v>
      </c>
      <c r="H5" s="3156">
        <v>125</v>
      </c>
      <c r="I5" s="3156" t="s">
        <v>1968</v>
      </c>
      <c r="J5" s="3155">
        <v>467.63</v>
      </c>
      <c r="K5" s="3155">
        <v>494.88</v>
      </c>
      <c r="L5" s="3148"/>
      <c r="M5" s="3159">
        <v>89784.959999999992</v>
      </c>
      <c r="N5" s="3159">
        <v>95016.959999999992</v>
      </c>
      <c r="O5" s="3148">
        <v>192</v>
      </c>
      <c r="P5" s="3148"/>
      <c r="Q5" s="3148"/>
    </row>
    <row r="6" spans="2:17" x14ac:dyDescent="0.3">
      <c r="B6" s="3156" t="s">
        <v>1969</v>
      </c>
      <c r="C6" s="3156" t="s">
        <v>877</v>
      </c>
      <c r="D6" s="3156" t="s">
        <v>1970</v>
      </c>
      <c r="E6" s="3156" t="s">
        <v>1971</v>
      </c>
      <c r="F6" s="3157">
        <v>2013</v>
      </c>
      <c r="G6" s="3158"/>
      <c r="H6" s="3156">
        <v>125</v>
      </c>
      <c r="I6" s="3156" t="s">
        <v>1972</v>
      </c>
      <c r="J6" s="3155">
        <v>467.63</v>
      </c>
      <c r="K6" s="3155">
        <v>494.88</v>
      </c>
      <c r="L6" s="3148"/>
      <c r="M6" s="3159">
        <v>89784.959999999992</v>
      </c>
      <c r="N6" s="3159">
        <v>95016.959999999992</v>
      </c>
      <c r="O6" s="3148">
        <v>192</v>
      </c>
      <c r="P6" s="3148"/>
      <c r="Q6" s="3148"/>
    </row>
    <row r="7" spans="2:17" x14ac:dyDescent="0.3">
      <c r="B7" s="3156" t="s">
        <v>1973</v>
      </c>
      <c r="C7" s="3156" t="s">
        <v>1974</v>
      </c>
      <c r="D7" s="3156" t="s">
        <v>1975</v>
      </c>
      <c r="E7" s="3156" t="s">
        <v>1976</v>
      </c>
      <c r="F7" s="3157">
        <v>2013</v>
      </c>
      <c r="G7" s="3158"/>
      <c r="H7" s="3156">
        <v>125</v>
      </c>
      <c r="I7" s="3156" t="s">
        <v>1977</v>
      </c>
      <c r="J7" s="3155">
        <v>467.63</v>
      </c>
      <c r="K7" s="3155">
        <v>494.88</v>
      </c>
      <c r="L7" s="3148"/>
      <c r="M7" s="3159">
        <v>89784.959999999992</v>
      </c>
      <c r="N7" s="3159">
        <v>95016.959999999992</v>
      </c>
      <c r="O7" s="3148">
        <v>192</v>
      </c>
      <c r="P7" s="3148"/>
      <c r="Q7" s="3148"/>
    </row>
    <row r="8" spans="2:17" x14ac:dyDescent="0.3">
      <c r="B8" s="3156" t="s">
        <v>1978</v>
      </c>
      <c r="C8" s="3156" t="s">
        <v>1978</v>
      </c>
      <c r="D8" s="3156" t="s">
        <v>1979</v>
      </c>
      <c r="E8" s="3156" t="s">
        <v>1980</v>
      </c>
      <c r="F8" s="3157">
        <v>2013</v>
      </c>
      <c r="G8" s="3157">
        <v>1</v>
      </c>
      <c r="H8" s="3156">
        <v>175</v>
      </c>
      <c r="I8" s="3156" t="s">
        <v>1981</v>
      </c>
      <c r="J8" s="3155">
        <v>544.04999999999995</v>
      </c>
      <c r="K8" s="3155">
        <v>606.82000000000005</v>
      </c>
      <c r="L8" s="3148"/>
      <c r="M8" s="3159">
        <v>104457.59999999999</v>
      </c>
      <c r="N8" s="3159">
        <v>116509.44</v>
      </c>
      <c r="O8" s="3148">
        <v>192</v>
      </c>
      <c r="P8" s="3148"/>
      <c r="Q8" s="3148"/>
    </row>
    <row r="9" spans="2:17" x14ac:dyDescent="0.3">
      <c r="B9" s="3156" t="s">
        <v>1982</v>
      </c>
      <c r="C9" s="3156" t="s">
        <v>1982</v>
      </c>
      <c r="D9" s="3156" t="s">
        <v>1983</v>
      </c>
      <c r="E9" s="3156" t="s">
        <v>1984</v>
      </c>
      <c r="F9" s="3157">
        <v>2008</v>
      </c>
      <c r="G9" s="3157">
        <v>1</v>
      </c>
      <c r="H9" s="3156">
        <v>160</v>
      </c>
      <c r="I9" s="3156" t="s">
        <v>1985</v>
      </c>
      <c r="J9" s="3155">
        <v>592.98</v>
      </c>
      <c r="K9" s="3155">
        <v>620.24</v>
      </c>
      <c r="L9" s="3148"/>
      <c r="M9" s="3159">
        <v>113852.16</v>
      </c>
      <c r="N9" s="3159">
        <v>119086.08</v>
      </c>
      <c r="O9" s="3148">
        <v>192</v>
      </c>
      <c r="P9" s="3148"/>
      <c r="Q9" s="3148"/>
    </row>
    <row r="10" spans="2:17" x14ac:dyDescent="0.3">
      <c r="B10" s="3156" t="s">
        <v>1986</v>
      </c>
      <c r="C10" s="3156" t="s">
        <v>1987</v>
      </c>
      <c r="D10" s="3156" t="s">
        <v>1988</v>
      </c>
      <c r="E10" s="3156" t="s">
        <v>1989</v>
      </c>
      <c r="F10" s="3157">
        <v>2007</v>
      </c>
      <c r="G10" s="3157">
        <v>1</v>
      </c>
      <c r="H10" s="3156">
        <v>143</v>
      </c>
      <c r="I10" s="3156" t="s">
        <v>1990</v>
      </c>
      <c r="J10" s="3155">
        <v>496.93</v>
      </c>
      <c r="K10" s="3155">
        <v>524.19000000000005</v>
      </c>
      <c r="L10" s="3148"/>
      <c r="M10" s="3159">
        <v>95410.559999999998</v>
      </c>
      <c r="N10" s="3159">
        <v>100644.48000000001</v>
      </c>
      <c r="O10" s="3148">
        <v>192</v>
      </c>
      <c r="P10" s="3148"/>
      <c r="Q10" s="3148"/>
    </row>
    <row r="11" spans="2:17" x14ac:dyDescent="0.3">
      <c r="B11" s="3156" t="s">
        <v>1991</v>
      </c>
      <c r="C11" s="3156" t="s">
        <v>1991</v>
      </c>
      <c r="D11" s="3156" t="s">
        <v>1992</v>
      </c>
      <c r="E11" s="3156" t="s">
        <v>1993</v>
      </c>
      <c r="F11" s="3157">
        <v>2008</v>
      </c>
      <c r="G11" s="3157"/>
      <c r="H11" s="3156">
        <v>143</v>
      </c>
      <c r="I11" s="3156" t="s">
        <v>1994</v>
      </c>
      <c r="J11" s="3155">
        <v>496.93</v>
      </c>
      <c r="K11" s="3155">
        <v>524.19000000000005</v>
      </c>
      <c r="L11" s="3148"/>
      <c r="M11" s="3159">
        <v>95410.559999999998</v>
      </c>
      <c r="N11" s="3159">
        <v>100644.48000000001</v>
      </c>
      <c r="O11" s="3148">
        <v>192</v>
      </c>
      <c r="P11" s="3148"/>
      <c r="Q11" s="3148"/>
    </row>
    <row r="12" spans="2:17" x14ac:dyDescent="0.3">
      <c r="B12" s="3156" t="s">
        <v>1995</v>
      </c>
      <c r="C12" s="3156" t="s">
        <v>1996</v>
      </c>
      <c r="D12" s="3156" t="s">
        <v>1997</v>
      </c>
      <c r="E12" s="3156" t="s">
        <v>1998</v>
      </c>
      <c r="F12" s="3157">
        <v>2013</v>
      </c>
      <c r="G12" s="3157">
        <v>1</v>
      </c>
      <c r="H12" s="3156">
        <v>143</v>
      </c>
      <c r="I12" s="3156" t="s">
        <v>1999</v>
      </c>
      <c r="J12" s="3155">
        <v>496.93</v>
      </c>
      <c r="K12" s="3155">
        <v>524.19000000000005</v>
      </c>
      <c r="L12" s="3148"/>
      <c r="M12" s="3159">
        <v>95410.559999999998</v>
      </c>
      <c r="N12" s="3159">
        <v>100644.48000000001</v>
      </c>
      <c r="O12" s="3148">
        <v>192</v>
      </c>
      <c r="P12" s="3148"/>
      <c r="Q12" s="3148"/>
    </row>
    <row r="13" spans="2:17" x14ac:dyDescent="0.3">
      <c r="B13" s="3156" t="s">
        <v>2000</v>
      </c>
      <c r="C13" s="3156" t="s">
        <v>2001</v>
      </c>
      <c r="D13" s="3156" t="s">
        <v>2002</v>
      </c>
      <c r="E13" s="3156" t="s">
        <v>2003</v>
      </c>
      <c r="F13" s="3157">
        <v>2013</v>
      </c>
      <c r="G13" s="3157">
        <v>1</v>
      </c>
      <c r="H13" s="3156">
        <v>343</v>
      </c>
      <c r="I13" s="3156" t="s">
        <v>2004</v>
      </c>
      <c r="J13" s="3155">
        <v>995.97</v>
      </c>
      <c r="K13" s="3159">
        <v>1023.23</v>
      </c>
      <c r="L13" s="3148"/>
      <c r="M13" s="3159">
        <v>191226.23999999999</v>
      </c>
      <c r="N13" s="3159">
        <v>196460.16</v>
      </c>
      <c r="O13" s="3148">
        <v>192</v>
      </c>
      <c r="P13" s="3148"/>
      <c r="Q13" s="3148"/>
    </row>
    <row r="14" spans="2:17" x14ac:dyDescent="0.3">
      <c r="B14" s="3156" t="s">
        <v>2005</v>
      </c>
      <c r="C14" s="3156" t="s">
        <v>2005</v>
      </c>
      <c r="D14" s="3156" t="s">
        <v>2006</v>
      </c>
      <c r="E14" s="3156" t="s">
        <v>2007</v>
      </c>
      <c r="F14" s="3157">
        <v>2019</v>
      </c>
      <c r="G14" s="3157">
        <v>1</v>
      </c>
      <c r="H14" s="3156">
        <v>300</v>
      </c>
      <c r="I14" s="3156" t="s">
        <v>2008</v>
      </c>
      <c r="J14" s="3155">
        <v>355.37</v>
      </c>
      <c r="K14" s="3160">
        <v>386.37</v>
      </c>
      <c r="L14" s="3148"/>
      <c r="M14" s="3159">
        <v>68231.040000000008</v>
      </c>
      <c r="N14" s="3159">
        <v>74183.040000000008</v>
      </c>
      <c r="O14" s="3148">
        <v>192</v>
      </c>
      <c r="P14" s="3148"/>
      <c r="Q14" s="3148"/>
    </row>
    <row r="15" spans="2:17" x14ac:dyDescent="0.3">
      <c r="B15" s="3156" t="s">
        <v>2009</v>
      </c>
      <c r="C15" s="3156" t="s">
        <v>2009</v>
      </c>
      <c r="D15" s="3156" t="s">
        <v>2010</v>
      </c>
      <c r="E15" s="3156" t="s">
        <v>2011</v>
      </c>
      <c r="F15" s="3157">
        <v>2019</v>
      </c>
      <c r="G15" s="3157">
        <v>1</v>
      </c>
      <c r="H15" s="3156">
        <v>300</v>
      </c>
      <c r="I15" s="3156" t="s">
        <v>2012</v>
      </c>
      <c r="J15" s="3155">
        <v>355.37</v>
      </c>
      <c r="K15" s="3160">
        <v>386.37</v>
      </c>
      <c r="L15" s="3148"/>
      <c r="M15" s="3159">
        <v>68231.040000000008</v>
      </c>
      <c r="N15" s="3159">
        <v>74183.040000000008</v>
      </c>
      <c r="O15" s="3148">
        <v>192</v>
      </c>
      <c r="P15" s="3148"/>
      <c r="Q15" s="3148"/>
    </row>
    <row r="16" spans="2:17" x14ac:dyDescent="0.3">
      <c r="B16" s="3156" t="s">
        <v>270</v>
      </c>
      <c r="C16" s="3156" t="s">
        <v>270</v>
      </c>
      <c r="D16" s="3156"/>
      <c r="E16" s="3156">
        <v>13282</v>
      </c>
      <c r="F16" s="3157">
        <v>1990</v>
      </c>
      <c r="G16" s="3158"/>
      <c r="H16" s="3156">
        <v>420</v>
      </c>
      <c r="I16" s="3156" t="s">
        <v>2013</v>
      </c>
      <c r="J16" s="3155">
        <v>304.14999999999998</v>
      </c>
      <c r="K16" s="3160">
        <v>308.41000000000003</v>
      </c>
      <c r="L16" s="3148"/>
      <c r="M16" s="3159">
        <v>58396.799999999996</v>
      </c>
      <c r="N16" s="3159">
        <v>59214.720000000001</v>
      </c>
      <c r="O16" s="3148">
        <v>192</v>
      </c>
      <c r="P16" s="3148"/>
      <c r="Q16" s="3148"/>
    </row>
    <row r="17" spans="2:15" x14ac:dyDescent="0.3">
      <c r="B17" s="3156" t="s">
        <v>2014</v>
      </c>
      <c r="C17" s="3156" t="s">
        <v>2015</v>
      </c>
      <c r="D17" s="3156"/>
      <c r="E17" s="3156">
        <v>12481</v>
      </c>
      <c r="F17" s="3157">
        <v>1989</v>
      </c>
      <c r="G17" s="3158"/>
      <c r="H17" s="3156">
        <v>420</v>
      </c>
      <c r="I17" s="3156" t="s">
        <v>2016</v>
      </c>
      <c r="J17" s="3155">
        <v>304.14999999999998</v>
      </c>
      <c r="K17" s="3160">
        <v>308.41000000000003</v>
      </c>
      <c r="L17" s="3148"/>
      <c r="M17" s="3159">
        <v>58396.799999999996</v>
      </c>
      <c r="N17" s="3159">
        <v>59214.720000000001</v>
      </c>
      <c r="O17" s="3148">
        <v>192</v>
      </c>
    </row>
    <row r="18" spans="2:15" x14ac:dyDescent="0.3">
      <c r="B18" s="3156" t="s">
        <v>1185</v>
      </c>
      <c r="C18" s="3156" t="s">
        <v>2017</v>
      </c>
      <c r="D18" s="3156" t="s">
        <v>2018</v>
      </c>
      <c r="E18" s="3156" t="s">
        <v>2019</v>
      </c>
      <c r="F18" s="3157">
        <v>2011</v>
      </c>
      <c r="G18" s="3157">
        <v>1</v>
      </c>
      <c r="H18" s="3156">
        <v>480</v>
      </c>
      <c r="I18" s="3156" t="s">
        <v>2020</v>
      </c>
      <c r="J18" s="3155">
        <v>430.84</v>
      </c>
      <c r="K18" s="3160">
        <v>461.84</v>
      </c>
      <c r="L18" s="3148"/>
      <c r="M18" s="3159">
        <v>82721.279999999999</v>
      </c>
      <c r="N18" s="3159">
        <v>88673.279999999999</v>
      </c>
      <c r="O18" s="3148">
        <v>192</v>
      </c>
    </row>
    <row r="19" spans="2:15" x14ac:dyDescent="0.3">
      <c r="B19" s="3156" t="s">
        <v>2021</v>
      </c>
      <c r="C19" s="3156" t="s">
        <v>2021</v>
      </c>
      <c r="D19" s="3156" t="s">
        <v>2022</v>
      </c>
      <c r="E19" s="3156" t="s">
        <v>2023</v>
      </c>
      <c r="F19" s="3157">
        <v>2016</v>
      </c>
      <c r="G19" s="3157">
        <v>1</v>
      </c>
      <c r="H19" s="3156">
        <v>240</v>
      </c>
      <c r="I19" s="3156" t="s">
        <v>2024</v>
      </c>
      <c r="J19" s="3155">
        <v>563.19000000000005</v>
      </c>
      <c r="K19" s="3160">
        <v>601.95000000000005</v>
      </c>
      <c r="L19" s="3148"/>
      <c r="M19" s="3159">
        <v>108132.48000000001</v>
      </c>
      <c r="N19" s="3159">
        <v>115574.40000000001</v>
      </c>
      <c r="O19" s="3148">
        <v>192</v>
      </c>
    </row>
    <row r="20" spans="2:15" x14ac:dyDescent="0.3">
      <c r="B20" s="3156" t="s">
        <v>2025</v>
      </c>
      <c r="C20" s="3156" t="s">
        <v>2026</v>
      </c>
      <c r="D20" s="3156" t="s">
        <v>2027</v>
      </c>
      <c r="E20" s="3156" t="s">
        <v>2028</v>
      </c>
      <c r="F20" s="3157">
        <v>2014</v>
      </c>
      <c r="G20" s="3157">
        <v>1</v>
      </c>
      <c r="H20" s="3156">
        <v>240</v>
      </c>
      <c r="I20" s="3156" t="s">
        <v>2029</v>
      </c>
      <c r="J20" s="3155">
        <v>965.67</v>
      </c>
      <c r="K20" s="3160">
        <v>969.93</v>
      </c>
      <c r="L20" s="3148"/>
      <c r="M20" s="3159">
        <v>185408.63999999998</v>
      </c>
      <c r="N20" s="3159">
        <v>186226.56</v>
      </c>
      <c r="O20" s="3148">
        <v>192</v>
      </c>
    </row>
    <row r="21" spans="2:15" x14ac:dyDescent="0.3">
      <c r="B21" s="3156" t="s">
        <v>2030</v>
      </c>
      <c r="C21" s="3156" t="s">
        <v>2031</v>
      </c>
      <c r="D21" s="3156" t="s">
        <v>2032</v>
      </c>
      <c r="E21" s="3156" t="s">
        <v>2033</v>
      </c>
      <c r="F21" s="3157">
        <v>2008</v>
      </c>
      <c r="G21" s="3157">
        <v>1</v>
      </c>
      <c r="H21" s="3156">
        <v>230</v>
      </c>
      <c r="I21" s="3156" t="s">
        <v>2034</v>
      </c>
      <c r="J21" s="3155">
        <v>490.46</v>
      </c>
      <c r="K21" s="3160">
        <v>529.22</v>
      </c>
      <c r="L21" s="3148"/>
      <c r="M21" s="3159">
        <v>94168.319999999992</v>
      </c>
      <c r="N21" s="3159">
        <v>101610.24000000001</v>
      </c>
      <c r="O21" s="3148">
        <v>192</v>
      </c>
    </row>
    <row r="22" spans="2:15" x14ac:dyDescent="0.3">
      <c r="B22" s="3156" t="s">
        <v>2035</v>
      </c>
      <c r="C22" s="3156" t="s">
        <v>2035</v>
      </c>
      <c r="D22" s="3156" t="s">
        <v>2036</v>
      </c>
      <c r="E22" s="3156" t="s">
        <v>2037</v>
      </c>
      <c r="F22" s="3157">
        <v>2010</v>
      </c>
      <c r="G22" s="3158"/>
      <c r="H22" s="3156">
        <v>65</v>
      </c>
      <c r="I22" s="3156" t="s">
        <v>2038</v>
      </c>
      <c r="J22" s="3155">
        <v>802.86</v>
      </c>
      <c r="K22" s="3160">
        <v>802.86</v>
      </c>
      <c r="L22" s="3148" t="s">
        <v>2039</v>
      </c>
      <c r="M22" s="3159">
        <v>19268.64</v>
      </c>
      <c r="N22" s="3159">
        <v>19268.64</v>
      </c>
      <c r="O22" s="3148">
        <v>24</v>
      </c>
    </row>
    <row r="23" spans="2:15" x14ac:dyDescent="0.3">
      <c r="B23" s="3148"/>
      <c r="C23" s="3148"/>
      <c r="D23" s="3148"/>
      <c r="E23" s="3148"/>
      <c r="F23" s="3148"/>
      <c r="G23" s="3148"/>
      <c r="H23" s="3148"/>
      <c r="I23" s="3148"/>
      <c r="J23" s="3148"/>
      <c r="K23" s="3148"/>
      <c r="L23" s="3148"/>
      <c r="M23" s="3162">
        <v>1887647.52</v>
      </c>
      <c r="N23" s="3162">
        <v>1987222.5599999998</v>
      </c>
      <c r="O23" s="3162">
        <v>3672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48</vt:i4>
      </vt:variant>
    </vt:vector>
  </HeadingPairs>
  <TitlesOfParts>
    <vt:vector size="48" baseType="lpstr">
      <vt:lpstr>расчет 2020</vt:lpstr>
      <vt:lpstr>ОС</vt:lpstr>
      <vt:lpstr>PL_Сватово очередь 2</vt:lpstr>
      <vt:lpstr>расчет 2022</vt:lpstr>
      <vt:lpstr>PL_Козин</vt:lpstr>
      <vt:lpstr>Лист1</vt:lpstr>
      <vt:lpstr>Цех ЗП</vt:lpstr>
      <vt:lpstr>PL_Пуща-Водица</vt:lpstr>
      <vt:lpstr>Печановка-2</vt:lpstr>
      <vt:lpstr>PL_Ретал</vt:lpstr>
      <vt:lpstr>Глухов</vt:lpstr>
      <vt:lpstr>PL_МХП3</vt:lpstr>
      <vt:lpstr>PL_Ладыжин-2</vt:lpstr>
      <vt:lpstr>Олияр</vt:lpstr>
      <vt:lpstr>Беловоды</vt:lpstr>
      <vt:lpstr>Мексика</vt:lpstr>
      <vt:lpstr>Печановка</vt:lpstr>
      <vt:lpstr>PL_Нежин</vt:lpstr>
      <vt:lpstr>PL_Королевка</vt:lpstr>
      <vt:lpstr>Яр Вал</vt:lpstr>
      <vt:lpstr>PL_Пологи</vt:lpstr>
      <vt:lpstr>Славута</vt:lpstr>
      <vt:lpstr>PL_Волчанск</vt:lpstr>
      <vt:lpstr>ООН_Черниговская_обл</vt:lpstr>
      <vt:lpstr>Щедро_лапша</vt:lpstr>
      <vt:lpstr>Приднепровский МЄЗ 2</vt:lpstr>
      <vt:lpstr>Старкон Убежище</vt:lpstr>
      <vt:lpstr>Турбина</vt:lpstr>
      <vt:lpstr>Подгорцы</vt:lpstr>
      <vt:lpstr>PL_Производство</vt:lpstr>
      <vt:lpstr>МК Щедро. Флекситанки</vt:lpstr>
      <vt:lpstr>МК _Шаблон</vt:lpstr>
      <vt:lpstr>Техника</vt:lpstr>
      <vt:lpstr>PL_Логистика</vt:lpstr>
      <vt:lpstr>ЦО_логистика</vt:lpstr>
      <vt:lpstr>Форд Тягач</vt:lpstr>
      <vt:lpstr>MAN Blue KA1783HI</vt:lpstr>
      <vt:lpstr>MAN green KA2790IE</vt:lpstr>
      <vt:lpstr>MAN №3 white KA7837HO</vt:lpstr>
      <vt:lpstr>MAN №4 white KA3597HO</vt:lpstr>
      <vt:lpstr>MAN №5 Тент МД</vt:lpstr>
      <vt:lpstr>PL_Щедро</vt:lpstr>
      <vt:lpstr>Кривой Рог</vt:lpstr>
      <vt:lpstr>Нежин-2</vt:lpstr>
      <vt:lpstr>Красноармейская</vt:lpstr>
      <vt:lpstr>PL_Приднепровский МЭЗ</vt:lpstr>
      <vt:lpstr>Харьков</vt:lpstr>
      <vt:lpstr>Лист2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2024-04-22T07:26:33Z</dcterms:modified>
</cp:coreProperties>
</file>